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ЭтаКнига" defaultThemeVersion="124226"/>
  <bookViews>
    <workbookView xWindow="0" yWindow="135" windowWidth="19410" windowHeight="9795" firstSheet="5" activeTab="9"/>
  </bookViews>
  <sheets>
    <sheet name="БА расх 2018" sheetId="1" state="hidden" r:id="rId1"/>
    <sheet name="БА расх 2018 (2)" sheetId="4" state="hidden" r:id="rId2"/>
    <sheet name="БА расх 2018 (3)" sheetId="5" state="hidden" r:id="rId3"/>
    <sheet name="БА расх 2018 (на 25 02 18)" sheetId="6" state="hidden" r:id="rId4"/>
    <sheet name="БА расх 2018 (31 03)" sheetId="9" state="hidden" r:id="rId5"/>
    <sheet name="БА расх 2018 31 12 2018" sheetId="10" r:id="rId6"/>
    <sheet name="Вед-я стр-ра" sheetId="8" state="hidden" r:id="rId7"/>
    <sheet name="БА источники 2018 31.12.18" sheetId="22" r:id="rId8"/>
    <sheet name="БА источн (31 10) 2018" sheetId="20" state="hidden" r:id="rId9"/>
    <sheet name="БА расх 2019-2020" sheetId="18" r:id="rId10"/>
    <sheet name="БА источники (2019-2020)" sheetId="21" state="hidden" r:id="rId11"/>
    <sheet name="сравн ЦСР" sheetId="11" state="hidden" r:id="rId12"/>
    <sheet name="АС БЮДЖЕТ на 31 10" sheetId="12" state="hidden" r:id="rId13"/>
    <sheet name="реш СГД № 265" sheetId="16" state="hidden" r:id="rId14"/>
    <sheet name="Лист5" sheetId="17" state="hidden" r:id="rId15"/>
    <sheet name="исх данные АС БЮДЖЕТ (2)" sheetId="19" state="hidden" r:id="rId16"/>
  </sheets>
  <externalReferences>
    <externalReference r:id="rId17"/>
    <externalReference r:id="rId18"/>
    <externalReference r:id="rId19"/>
    <externalReference r:id="rId20"/>
    <externalReference r:id="rId21"/>
  </externalReferences>
  <definedNames>
    <definedName name="_xlnm._FilterDatabase" localSheetId="12" hidden="1">'АС БЮДЖЕТ на 31 10'!$A$8:$K$864</definedName>
    <definedName name="_xlnm._FilterDatabase" localSheetId="0" hidden="1">'БА расх 2018'!$A$19:$H$1982</definedName>
    <definedName name="_xlnm._FilterDatabase" localSheetId="1" hidden="1">'БА расх 2018 (2)'!$A$19:$H$1982</definedName>
    <definedName name="_xlnm._FilterDatabase" localSheetId="2" hidden="1">'БА расх 2018 (3)'!$A$19:$H$2054</definedName>
    <definedName name="_xlnm._FilterDatabase" localSheetId="4" hidden="1">'БА расх 2018 (31 03)'!$G$1:$G$2186</definedName>
    <definedName name="_xlnm._FilterDatabase" localSheetId="3" hidden="1">'БА расх 2018 (на 25 02 18)'!$A$19:$H$2107</definedName>
    <definedName name="_xlnm._FilterDatabase" localSheetId="5" hidden="1">'БА расх 2018 31 12 2018'!$C$11:$H$2536</definedName>
    <definedName name="_xlnm._FilterDatabase" localSheetId="9" hidden="1">'БА расх 2019-2020'!$A$10:$S$2525</definedName>
    <definedName name="_xlnm._FilterDatabase" localSheetId="6" hidden="1">'Вед-я стр-ра'!$G$1:$G$3000</definedName>
    <definedName name="_xlnm._FilterDatabase" localSheetId="15" hidden="1">'исх данные АС БЮДЖЕТ (2)'!$F$1:$G$512</definedName>
    <definedName name="_xlnm._FilterDatabase" localSheetId="11" hidden="1">'сравн ЦСР'!$F$1:$F$1046680</definedName>
    <definedName name="_xlnm.Print_Titles" localSheetId="0">'БА расх 2018'!$19:$19</definedName>
    <definedName name="_xlnm.Print_Titles" localSheetId="1">'БА расх 2018 (2)'!$19:$19</definedName>
    <definedName name="_xlnm.Print_Titles" localSheetId="2">'БА расх 2018 (3)'!$19:$19</definedName>
    <definedName name="_xlnm.Print_Titles" localSheetId="4">'БА расх 2018 (31 03)'!$11:$11</definedName>
    <definedName name="_xlnm.Print_Titles" localSheetId="3">'БА расх 2018 (на 25 02 18)'!$19:$19</definedName>
    <definedName name="_xlnm.Print_Titles" localSheetId="5">'БА расх 2018 31 12 2018'!$11:$11</definedName>
    <definedName name="_xlnm.Print_Titles" localSheetId="9">'БА расх 2019-2020'!$10:$10</definedName>
    <definedName name="_xlnm.Print_Titles" localSheetId="6">'Вед-я стр-ра'!$4:$4</definedName>
    <definedName name="_xlnm.Print_Titles" localSheetId="13">'реш СГД № 265'!$4:$4</definedName>
    <definedName name="_xlnm.Print_Area" localSheetId="8">'БА источн (31 10) 2018'!$A$1:$D$22</definedName>
    <definedName name="_xlnm.Print_Area" localSheetId="10">'БА источники (2019-2020)'!$A$1:$E$21</definedName>
    <definedName name="_xlnm.Print_Area" localSheetId="7">'БА источники 2018 31.12.18'!$A$1:$D$26</definedName>
    <definedName name="_xlnm.Print_Area" localSheetId="0">'БА расх 2018'!$B$1:$H$1839</definedName>
    <definedName name="_xlnm.Print_Area" localSheetId="1">'БА расх 2018 (2)'!$B$1:$H$1839</definedName>
    <definedName name="_xlnm.Print_Area" localSheetId="2">'БА расх 2018 (3)'!$B$1:$H$1911</definedName>
    <definedName name="_xlnm.Print_Area" localSheetId="4">'БА расх 2018 (31 03)'!$B$1:$H$2044</definedName>
    <definedName name="_xlnm.Print_Area" localSheetId="3">'БА расх 2018 (на 25 02 18)'!$B$1:$H$1964</definedName>
    <definedName name="_xlnm.Print_Area" localSheetId="5">'БА расх 2018 31 12 2018'!$B$1:$H$2514</definedName>
    <definedName name="_xlnm.Print_Area" localSheetId="9">'БА расх 2019-2020'!$B$1:$I$1766</definedName>
    <definedName name="_xlnm.Print_Area" localSheetId="6">'Вед-я стр-ра'!$B$1:$J$1596</definedName>
    <definedName name="_xlnm.Print_Area" localSheetId="13">'реш СГД № 265'!$C$1:$K$1904</definedName>
    <definedName name="_xlnm.Print_Area" localSheetId="11">'сравн ЦСР'!$E$4:$F$730</definedName>
  </definedNames>
  <calcPr calcId="125725"/>
</workbook>
</file>

<file path=xl/calcChain.xml><?xml version="1.0" encoding="utf-8"?>
<calcChain xmlns="http://schemas.openxmlformats.org/spreadsheetml/2006/main">
  <c r="D32" i="22"/>
  <c r="D31"/>
  <c r="D33" s="1"/>
  <c r="D20"/>
  <c r="D19"/>
  <c r="D18"/>
  <c r="D11" s="1"/>
  <c r="D12"/>
  <c r="D10"/>
  <c r="J269" i="10" l="1"/>
  <c r="K269" s="1"/>
  <c r="J2374"/>
  <c r="K2374" s="1"/>
  <c r="J2373"/>
  <c r="K2373" s="1"/>
  <c r="J2366"/>
  <c r="K2366" s="1"/>
  <c r="J2365"/>
  <c r="K2365" s="1"/>
  <c r="L2365" s="1"/>
  <c r="J2231"/>
  <c r="K2231" s="1"/>
  <c r="J2230"/>
  <c r="K2230" s="1"/>
  <c r="L2230" s="1"/>
  <c r="J2154"/>
  <c r="K2154" s="1"/>
  <c r="J2153"/>
  <c r="K2153" s="1"/>
  <c r="L2153" s="1"/>
  <c r="J2152"/>
  <c r="K2152" s="1"/>
  <c r="L2152" s="1"/>
  <c r="J2148"/>
  <c r="K2148" s="1"/>
  <c r="J2147"/>
  <c r="K2147" s="1"/>
  <c r="L2147" s="1"/>
  <c r="J2146"/>
  <c r="K2146" s="1"/>
  <c r="L2146" s="1"/>
  <c r="J2136"/>
  <c r="K2136" s="1"/>
  <c r="J2135"/>
  <c r="K2135" s="1"/>
  <c r="L2135" s="1"/>
  <c r="J2134"/>
  <c r="K2134" s="1"/>
  <c r="L2134" s="1"/>
  <c r="J2075"/>
  <c r="K2075" s="1"/>
  <c r="J2074"/>
  <c r="K2074" s="1"/>
  <c r="L2074" s="1"/>
  <c r="J2073"/>
  <c r="K2073" s="1"/>
  <c r="L2073" s="1"/>
  <c r="J2072"/>
  <c r="K2072" s="1"/>
  <c r="J2071"/>
  <c r="K2071" s="1"/>
  <c r="L2071" s="1"/>
  <c r="J2070"/>
  <c r="K2070" s="1"/>
  <c r="L2070" s="1"/>
  <c r="J2069"/>
  <c r="K2069" s="1"/>
  <c r="J2068"/>
  <c r="K2068" s="1"/>
  <c r="L2068" s="1"/>
  <c r="J2067"/>
  <c r="K2067" s="1"/>
  <c r="L2067" s="1"/>
  <c r="J2063"/>
  <c r="K2063" s="1"/>
  <c r="J2062"/>
  <c r="K2062" s="1"/>
  <c r="L2062" s="1"/>
  <c r="J2061"/>
  <c r="K2061" s="1"/>
  <c r="L2061" s="1"/>
  <c r="J2060"/>
  <c r="K2060" s="1"/>
  <c r="J2059"/>
  <c r="K2059" s="1"/>
  <c r="L2059" s="1"/>
  <c r="J2058"/>
  <c r="K2058" s="1"/>
  <c r="L2058" s="1"/>
  <c r="J2057"/>
  <c r="K2057" s="1"/>
  <c r="J2056"/>
  <c r="K2056" s="1"/>
  <c r="L2056" s="1"/>
  <c r="J2055"/>
  <c r="K2055" s="1"/>
  <c r="L2055" s="1"/>
  <c r="J2041"/>
  <c r="K2041" s="1"/>
  <c r="J2040"/>
  <c r="K2040" s="1"/>
  <c r="J2039"/>
  <c r="K2039" s="1"/>
  <c r="J2032"/>
  <c r="K2032" s="1"/>
  <c r="J2031"/>
  <c r="K2031" s="1"/>
  <c r="J2030"/>
  <c r="K2030" s="1"/>
  <c r="J1955"/>
  <c r="K1955" s="1"/>
  <c r="J1954"/>
  <c r="K1954" s="1"/>
  <c r="L1954" s="1"/>
  <c r="J1860"/>
  <c r="K1860" s="1"/>
  <c r="J1859"/>
  <c r="K1859" s="1"/>
  <c r="L1859" s="1"/>
  <c r="J1858"/>
  <c r="K1858" s="1"/>
  <c r="L1858" s="1"/>
  <c r="J1721"/>
  <c r="K1721" s="1"/>
  <c r="J1720"/>
  <c r="K1720" s="1"/>
  <c r="J1719"/>
  <c r="K1719" s="1"/>
  <c r="L1719" s="1"/>
  <c r="J1600"/>
  <c r="K1600" s="1"/>
  <c r="J1599"/>
  <c r="K1599" s="1"/>
  <c r="L1599" s="1"/>
  <c r="J1598"/>
  <c r="K1598" s="1"/>
  <c r="L1598" s="1"/>
  <c r="J1597"/>
  <c r="K1597" s="1"/>
  <c r="J1596"/>
  <c r="K1596" s="1"/>
  <c r="L1596" s="1"/>
  <c r="J1595"/>
  <c r="K1595" s="1"/>
  <c r="L1595" s="1"/>
  <c r="J1580"/>
  <c r="K1580" s="1"/>
  <c r="J1579"/>
  <c r="K1579" s="1"/>
  <c r="L1579" s="1"/>
  <c r="J1578"/>
  <c r="K1578" s="1"/>
  <c r="L1578" s="1"/>
  <c r="J827"/>
  <c r="K827" s="1"/>
  <c r="L827" s="1"/>
  <c r="J830"/>
  <c r="K830" s="1"/>
  <c r="J829"/>
  <c r="K829" s="1"/>
  <c r="J828"/>
  <c r="K828" s="1"/>
  <c r="L828" s="1"/>
  <c r="J752"/>
  <c r="K752" s="1"/>
  <c r="J751"/>
  <c r="K751" s="1"/>
  <c r="L751" s="1"/>
  <c r="J750"/>
  <c r="K750" s="1"/>
  <c r="J749"/>
  <c r="K749" s="1"/>
  <c r="L749" s="1"/>
  <c r="J748"/>
  <c r="K748" s="1"/>
  <c r="L748" s="1"/>
  <c r="J747"/>
  <c r="K747" s="1"/>
  <c r="J746"/>
  <c r="K746" s="1"/>
  <c r="L746" s="1"/>
  <c r="J745"/>
  <c r="K745" s="1"/>
  <c r="J744"/>
  <c r="K744" s="1"/>
  <c r="L744" s="1"/>
  <c r="J743"/>
  <c r="K743" s="1"/>
  <c r="L743" s="1"/>
  <c r="J732"/>
  <c r="K732" s="1"/>
  <c r="J731"/>
  <c r="K731" s="1"/>
  <c r="L731" s="1"/>
  <c r="J730"/>
  <c r="K730" s="1"/>
  <c r="J729"/>
  <c r="K729" s="1"/>
  <c r="L729" s="1"/>
  <c r="J728"/>
  <c r="K728" s="1"/>
  <c r="L728" s="1"/>
  <c r="J727"/>
  <c r="K727" s="1"/>
  <c r="L727" s="1"/>
  <c r="J726"/>
  <c r="K726" s="1"/>
  <c r="L726" s="1"/>
  <c r="J1099"/>
  <c r="K1099" s="1"/>
  <c r="J945"/>
  <c r="K945" s="1"/>
  <c r="J940"/>
  <c r="K940" s="1"/>
  <c r="J949"/>
  <c r="K949" s="1"/>
  <c r="J948"/>
  <c r="K948" s="1"/>
  <c r="J947"/>
  <c r="K947" s="1"/>
  <c r="J946"/>
  <c r="K946" s="1"/>
  <c r="J944"/>
  <c r="K944" s="1"/>
  <c r="J943"/>
  <c r="K943" s="1"/>
  <c r="J942"/>
  <c r="K942" s="1"/>
  <c r="J941"/>
  <c r="K941" s="1"/>
  <c r="J346"/>
  <c r="K346" s="1"/>
  <c r="I778" i="12"/>
  <c r="J778"/>
  <c r="I779"/>
  <c r="J779"/>
  <c r="I780"/>
  <c r="J780"/>
  <c r="I781"/>
  <c r="J781"/>
  <c r="I782"/>
  <c r="J782"/>
  <c r="I783"/>
  <c r="J783"/>
  <c r="I784"/>
  <c r="J784"/>
  <c r="I785"/>
  <c r="J785"/>
  <c r="I786"/>
  <c r="J786"/>
  <c r="I787"/>
  <c r="J787"/>
  <c r="I788"/>
  <c r="J788"/>
  <c r="I789"/>
  <c r="J789"/>
  <c r="I790"/>
  <c r="J790"/>
  <c r="I791"/>
  <c r="J791"/>
  <c r="I792"/>
  <c r="J792"/>
  <c r="I793"/>
  <c r="J793"/>
  <c r="I794"/>
  <c r="J794"/>
  <c r="I795"/>
  <c r="J795"/>
  <c r="I796"/>
  <c r="J796"/>
  <c r="I797"/>
  <c r="J797"/>
  <c r="I798"/>
  <c r="J798"/>
  <c r="I799"/>
  <c r="J799"/>
  <c r="I800"/>
  <c r="J800"/>
  <c r="I801"/>
  <c r="J801"/>
  <c r="I802"/>
  <c r="J802"/>
  <c r="I803"/>
  <c r="J803"/>
  <c r="I804"/>
  <c r="J804"/>
  <c r="I805"/>
  <c r="J805"/>
  <c r="I806"/>
  <c r="J806"/>
  <c r="I807"/>
  <c r="J807"/>
  <c r="I808"/>
  <c r="J808"/>
  <c r="I809"/>
  <c r="J809"/>
  <c r="I810"/>
  <c r="J810"/>
  <c r="I811"/>
  <c r="J811"/>
  <c r="I812"/>
  <c r="J812"/>
  <c r="I813"/>
  <c r="J813"/>
  <c r="I814"/>
  <c r="J814"/>
  <c r="I815"/>
  <c r="J815"/>
  <c r="I816"/>
  <c r="J816"/>
  <c r="I817"/>
  <c r="J817"/>
  <c r="I818"/>
  <c r="J818"/>
  <c r="I819"/>
  <c r="J819"/>
  <c r="I820"/>
  <c r="J820"/>
  <c r="I821"/>
  <c r="J821"/>
  <c r="I822"/>
  <c r="J822"/>
  <c r="I823"/>
  <c r="J823"/>
  <c r="I824"/>
  <c r="J824"/>
  <c r="I825"/>
  <c r="J825"/>
  <c r="I826"/>
  <c r="J826"/>
  <c r="I827"/>
  <c r="J827"/>
  <c r="I828"/>
  <c r="J828"/>
  <c r="I829"/>
  <c r="J829"/>
  <c r="I830"/>
  <c r="J830"/>
  <c r="I831"/>
  <c r="J831"/>
  <c r="I832"/>
  <c r="J832"/>
  <c r="I833"/>
  <c r="J833"/>
  <c r="I834"/>
  <c r="J834"/>
  <c r="I835"/>
  <c r="J835"/>
  <c r="I836"/>
  <c r="J836"/>
  <c r="I837"/>
  <c r="J837"/>
  <c r="I838"/>
  <c r="J838"/>
  <c r="I839"/>
  <c r="J839"/>
  <c r="I840"/>
  <c r="J840"/>
  <c r="I841"/>
  <c r="J841"/>
  <c r="I842"/>
  <c r="J842"/>
  <c r="I843"/>
  <c r="J843"/>
  <c r="I844"/>
  <c r="J844"/>
  <c r="I845"/>
  <c r="J845"/>
  <c r="I846"/>
  <c r="J846"/>
  <c r="I847"/>
  <c r="J847"/>
  <c r="I848"/>
  <c r="J848"/>
  <c r="I849"/>
  <c r="J849"/>
  <c r="I850"/>
  <c r="J850"/>
  <c r="I851"/>
  <c r="J851"/>
  <c r="I852"/>
  <c r="J852"/>
  <c r="I853"/>
  <c r="J853"/>
  <c r="I854"/>
  <c r="J854"/>
  <c r="I855"/>
  <c r="J855"/>
  <c r="I856"/>
  <c r="J856"/>
  <c r="I857"/>
  <c r="J857"/>
  <c r="I858"/>
  <c r="J858"/>
  <c r="I859"/>
  <c r="J859"/>
  <c r="I860"/>
  <c r="J860"/>
  <c r="I861"/>
  <c r="J861"/>
  <c r="I862"/>
  <c r="J862"/>
  <c r="I863"/>
  <c r="J863"/>
  <c r="I864"/>
  <c r="J864"/>
  <c r="D19" i="21"/>
  <c r="A17"/>
  <c r="E16"/>
  <c r="D16"/>
  <c r="E15"/>
  <c r="E12" s="1"/>
  <c r="D15"/>
  <c r="D14"/>
  <c r="E13"/>
  <c r="E18" s="1"/>
  <c r="D13"/>
  <c r="D11" s="1"/>
  <c r="A12"/>
  <c r="E11"/>
  <c r="E10"/>
  <c r="D10"/>
  <c r="D41" i="20"/>
  <c r="D40"/>
  <c r="D42" s="1"/>
  <c r="D20"/>
  <c r="D19"/>
  <c r="D18"/>
  <c r="D11" s="1"/>
  <c r="D12"/>
  <c r="D10"/>
  <c r="A779" i="12" l="1"/>
  <c r="A781"/>
  <c r="A782"/>
  <c r="A780"/>
  <c r="A778"/>
  <c r="A863"/>
  <c r="A861"/>
  <c r="A859"/>
  <c r="A857"/>
  <c r="A855"/>
  <c r="A853"/>
  <c r="A851"/>
  <c r="A849"/>
  <c r="A847"/>
  <c r="A845"/>
  <c r="A843"/>
  <c r="A841"/>
  <c r="A839"/>
  <c r="A837"/>
  <c r="A835"/>
  <c r="A833"/>
  <c r="A831"/>
  <c r="A829"/>
  <c r="A827"/>
  <c r="A825"/>
  <c r="A823"/>
  <c r="A821"/>
  <c r="A819"/>
  <c r="A817"/>
  <c r="A815"/>
  <c r="A813"/>
  <c r="A811"/>
  <c r="A809"/>
  <c r="A807"/>
  <c r="A805"/>
  <c r="A803"/>
  <c r="A801"/>
  <c r="A799"/>
  <c r="A797"/>
  <c r="A795"/>
  <c r="A793"/>
  <c r="A791"/>
  <c r="A789"/>
  <c r="A787"/>
  <c r="A785"/>
  <c r="A783"/>
  <c r="A864"/>
  <c r="A862"/>
  <c r="A860"/>
  <c r="A858"/>
  <c r="A856"/>
  <c r="A854"/>
  <c r="A852"/>
  <c r="A850"/>
  <c r="A848"/>
  <c r="A846"/>
  <c r="A844"/>
  <c r="A842"/>
  <c r="A840"/>
  <c r="A838"/>
  <c r="A836"/>
  <c r="A834"/>
  <c r="A832"/>
  <c r="A830"/>
  <c r="A828"/>
  <c r="A826"/>
  <c r="A824"/>
  <c r="A822"/>
  <c r="A820"/>
  <c r="A818"/>
  <c r="A816"/>
  <c r="A814"/>
  <c r="A812"/>
  <c r="A810"/>
  <c r="A808"/>
  <c r="A806"/>
  <c r="A804"/>
  <c r="A802"/>
  <c r="A800"/>
  <c r="A798"/>
  <c r="A796"/>
  <c r="A794"/>
  <c r="A792"/>
  <c r="A790"/>
  <c r="A788"/>
  <c r="A786"/>
  <c r="A784"/>
  <c r="L1720" i="10"/>
  <c r="D12" i="21"/>
  <c r="D18"/>
  <c r="D17" s="1"/>
  <c r="E19"/>
  <c r="E17" s="1"/>
  <c r="K1649" i="18" l="1"/>
  <c r="L1649" s="1"/>
  <c r="K1648"/>
  <c r="L1648" s="1"/>
  <c r="M1648" s="1"/>
  <c r="N1648" s="1"/>
  <c r="K1647"/>
  <c r="L1647" s="1"/>
  <c r="K1646"/>
  <c r="L1646" s="1"/>
  <c r="K1645"/>
  <c r="L1645" s="1"/>
  <c r="K1644"/>
  <c r="L1644" s="1"/>
  <c r="M1644" s="1"/>
  <c r="N1644" s="1"/>
  <c r="K1657"/>
  <c r="L1657" s="1"/>
  <c r="K1658"/>
  <c r="L1658" s="1"/>
  <c r="K1659"/>
  <c r="L1659" s="1"/>
  <c r="K1660"/>
  <c r="L1660" s="1"/>
  <c r="K1661"/>
  <c r="L1661" s="1"/>
  <c r="K1637"/>
  <c r="L1637" s="1"/>
  <c r="K1638"/>
  <c r="L1638" s="1"/>
  <c r="M1638" s="1"/>
  <c r="N1638" s="1"/>
  <c r="K1639"/>
  <c r="L1639" s="1"/>
  <c r="M1639" s="1"/>
  <c r="N1639" s="1"/>
  <c r="K1640"/>
  <c r="L1640" s="1"/>
  <c r="K1641"/>
  <c r="L1641" s="1"/>
  <c r="M1641" s="1"/>
  <c r="N1641" s="1"/>
  <c r="K1642"/>
  <c r="L1642" s="1"/>
  <c r="M1642" s="1"/>
  <c r="N1642" s="1"/>
  <c r="K1643"/>
  <c r="L1643" s="1"/>
  <c r="N1643" s="1"/>
  <c r="K1635"/>
  <c r="L1635" s="1"/>
  <c r="M1635" s="1"/>
  <c r="N1635" s="1"/>
  <c r="K1636"/>
  <c r="L1636" s="1"/>
  <c r="M1636" s="1"/>
  <c r="N1636" s="1"/>
  <c r="K1529"/>
  <c r="L1529" s="1"/>
  <c r="K1527"/>
  <c r="L1527" s="1"/>
  <c r="M1527" s="1"/>
  <c r="N1527" s="1"/>
  <c r="K1528"/>
  <c r="L1528" s="1"/>
  <c r="M1528" s="1"/>
  <c r="N1528" s="1"/>
  <c r="K1524"/>
  <c r="L1524" s="1"/>
  <c r="M1524" s="1"/>
  <c r="N1524" s="1"/>
  <c r="K1525"/>
  <c r="L1525" s="1"/>
  <c r="M1525" s="1"/>
  <c r="N1525" s="1"/>
  <c r="K1526"/>
  <c r="L1526" s="1"/>
  <c r="K1473"/>
  <c r="L1473" s="1"/>
  <c r="K1471"/>
  <c r="L1471" s="1"/>
  <c r="K1472"/>
  <c r="L1472" s="1"/>
  <c r="K1468"/>
  <c r="L1468" s="1"/>
  <c r="M1468" s="1"/>
  <c r="N1468" s="1"/>
  <c r="K1469"/>
  <c r="L1469" s="1"/>
  <c r="M1469" s="1"/>
  <c r="N1469" s="1"/>
  <c r="K1470"/>
  <c r="L1470" s="1"/>
  <c r="K637"/>
  <c r="L637" s="1"/>
  <c r="K638"/>
  <c r="L638" s="1"/>
  <c r="G512" i="19"/>
  <c r="F512"/>
  <c r="I509"/>
  <c r="H509"/>
  <c r="I508"/>
  <c r="H508"/>
  <c r="I507"/>
  <c r="H507"/>
  <c r="I506"/>
  <c r="H506"/>
  <c r="A506" s="1"/>
  <c r="I505"/>
  <c r="H505"/>
  <c r="I504"/>
  <c r="H504"/>
  <c r="A504" s="1"/>
  <c r="I503"/>
  <c r="H503"/>
  <c r="I502"/>
  <c r="H502"/>
  <c r="I501"/>
  <c r="H501"/>
  <c r="I500"/>
  <c r="H500"/>
  <c r="I499"/>
  <c r="H499"/>
  <c r="I498"/>
  <c r="H498"/>
  <c r="I497"/>
  <c r="H497"/>
  <c r="I496"/>
  <c r="H496"/>
  <c r="I495"/>
  <c r="H495"/>
  <c r="I494"/>
  <c r="H494"/>
  <c r="I493"/>
  <c r="A493" s="1"/>
  <c r="H493"/>
  <c r="I492"/>
  <c r="H492"/>
  <c r="I491"/>
  <c r="H491"/>
  <c r="I490"/>
  <c r="H490"/>
  <c r="I489"/>
  <c r="A489" s="1"/>
  <c r="H489"/>
  <c r="I488"/>
  <c r="H488"/>
  <c r="I487"/>
  <c r="A487" s="1"/>
  <c r="H487"/>
  <c r="I486"/>
  <c r="H486"/>
  <c r="I485"/>
  <c r="H485"/>
  <c r="I484"/>
  <c r="H484"/>
  <c r="I483"/>
  <c r="H483"/>
  <c r="I482"/>
  <c r="H482"/>
  <c r="I481"/>
  <c r="H481"/>
  <c r="I480"/>
  <c r="H480"/>
  <c r="I479"/>
  <c r="H479"/>
  <c r="I478"/>
  <c r="H478"/>
  <c r="I477"/>
  <c r="H477"/>
  <c r="I476"/>
  <c r="A476" s="1"/>
  <c r="H476"/>
  <c r="I475"/>
  <c r="H475"/>
  <c r="I474"/>
  <c r="H474"/>
  <c r="I473"/>
  <c r="H473"/>
  <c r="I472"/>
  <c r="H472"/>
  <c r="I471"/>
  <c r="H471"/>
  <c r="I470"/>
  <c r="H470"/>
  <c r="I469"/>
  <c r="H469"/>
  <c r="I468"/>
  <c r="H468"/>
  <c r="I467"/>
  <c r="H467"/>
  <c r="I466"/>
  <c r="H466"/>
  <c r="I465"/>
  <c r="H465"/>
  <c r="I464"/>
  <c r="H464"/>
  <c r="I463"/>
  <c r="H463"/>
  <c r="I462"/>
  <c r="H462"/>
  <c r="I461"/>
  <c r="H461"/>
  <c r="I460"/>
  <c r="H460"/>
  <c r="I459"/>
  <c r="H459"/>
  <c r="I458"/>
  <c r="A458" s="1"/>
  <c r="H458"/>
  <c r="I457"/>
  <c r="H457"/>
  <c r="I456"/>
  <c r="H456"/>
  <c r="I455"/>
  <c r="H455"/>
  <c r="I454"/>
  <c r="A454" s="1"/>
  <c r="H454"/>
  <c r="I453"/>
  <c r="H453"/>
  <c r="I452"/>
  <c r="H452"/>
  <c r="I451"/>
  <c r="H451"/>
  <c r="I450"/>
  <c r="H450"/>
  <c r="I449"/>
  <c r="H449"/>
  <c r="I448"/>
  <c r="H448"/>
  <c r="I447"/>
  <c r="H447"/>
  <c r="I446"/>
  <c r="H446"/>
  <c r="I445"/>
  <c r="H445"/>
  <c r="I444"/>
  <c r="H444"/>
  <c r="I443"/>
  <c r="H443"/>
  <c r="I442"/>
  <c r="H442"/>
  <c r="I441"/>
  <c r="H441"/>
  <c r="I440"/>
  <c r="H440"/>
  <c r="I439"/>
  <c r="H439"/>
  <c r="I438"/>
  <c r="H438"/>
  <c r="I437"/>
  <c r="H437"/>
  <c r="I436"/>
  <c r="H436"/>
  <c r="I435"/>
  <c r="H435"/>
  <c r="I434"/>
  <c r="H434"/>
  <c r="I433"/>
  <c r="H433"/>
  <c r="I432"/>
  <c r="H432"/>
  <c r="I431"/>
  <c r="H431"/>
  <c r="I430"/>
  <c r="H430"/>
  <c r="I429"/>
  <c r="H429"/>
  <c r="I428"/>
  <c r="H428"/>
  <c r="I427"/>
  <c r="H427"/>
  <c r="I426"/>
  <c r="A426" s="1"/>
  <c r="H426"/>
  <c r="I425"/>
  <c r="H425"/>
  <c r="I424"/>
  <c r="H424"/>
  <c r="I423"/>
  <c r="H423"/>
  <c r="I422"/>
  <c r="H422"/>
  <c r="I421"/>
  <c r="H421"/>
  <c r="I420"/>
  <c r="H420"/>
  <c r="I419"/>
  <c r="H419"/>
  <c r="I418"/>
  <c r="H418"/>
  <c r="I417"/>
  <c r="H417"/>
  <c r="I416"/>
  <c r="H416"/>
  <c r="I415"/>
  <c r="H415"/>
  <c r="I414"/>
  <c r="H414"/>
  <c r="I413"/>
  <c r="H413"/>
  <c r="I412"/>
  <c r="H412"/>
  <c r="I411"/>
  <c r="H411"/>
  <c r="I410"/>
  <c r="H410"/>
  <c r="I409"/>
  <c r="H409"/>
  <c r="I408"/>
  <c r="H408"/>
  <c r="I407"/>
  <c r="H407"/>
  <c r="I406"/>
  <c r="H406"/>
  <c r="I405"/>
  <c r="H405"/>
  <c r="I404"/>
  <c r="A404" s="1"/>
  <c r="H404"/>
  <c r="I403"/>
  <c r="H403"/>
  <c r="I402"/>
  <c r="H402"/>
  <c r="I401"/>
  <c r="H401"/>
  <c r="I400"/>
  <c r="H400"/>
  <c r="I399"/>
  <c r="H399"/>
  <c r="I398"/>
  <c r="H398"/>
  <c r="I397"/>
  <c r="H397"/>
  <c r="I396"/>
  <c r="H396"/>
  <c r="I395"/>
  <c r="H395"/>
  <c r="I394"/>
  <c r="H394"/>
  <c r="I393"/>
  <c r="H393"/>
  <c r="I392"/>
  <c r="H392"/>
  <c r="I391"/>
  <c r="H391"/>
  <c r="I390"/>
  <c r="H390"/>
  <c r="I389"/>
  <c r="H389"/>
  <c r="I388"/>
  <c r="H388"/>
  <c r="I387"/>
  <c r="H387"/>
  <c r="I386"/>
  <c r="H386"/>
  <c r="I385"/>
  <c r="H385"/>
  <c r="I384"/>
  <c r="H384"/>
  <c r="I383"/>
  <c r="H383"/>
  <c r="I382"/>
  <c r="H382"/>
  <c r="I381"/>
  <c r="H381"/>
  <c r="I380"/>
  <c r="H380"/>
  <c r="I379"/>
  <c r="H379"/>
  <c r="I378"/>
  <c r="H378"/>
  <c r="I377"/>
  <c r="H377"/>
  <c r="I376"/>
  <c r="H376"/>
  <c r="I375"/>
  <c r="H375"/>
  <c r="I374"/>
  <c r="H374"/>
  <c r="I373"/>
  <c r="H373"/>
  <c r="I372"/>
  <c r="H372"/>
  <c r="I371"/>
  <c r="H371"/>
  <c r="I370"/>
  <c r="H370"/>
  <c r="I369"/>
  <c r="H369"/>
  <c r="I368"/>
  <c r="H368"/>
  <c r="I367"/>
  <c r="H367"/>
  <c r="I366"/>
  <c r="H366"/>
  <c r="I365"/>
  <c r="H365"/>
  <c r="I364"/>
  <c r="H364"/>
  <c r="I363"/>
  <c r="H363"/>
  <c r="I362"/>
  <c r="H362"/>
  <c r="I361"/>
  <c r="H361"/>
  <c r="I360"/>
  <c r="H360"/>
  <c r="I359"/>
  <c r="H359"/>
  <c r="I358"/>
  <c r="H358"/>
  <c r="I357"/>
  <c r="H357"/>
  <c r="I356"/>
  <c r="H356"/>
  <c r="I355"/>
  <c r="H355"/>
  <c r="I354"/>
  <c r="H354"/>
  <c r="I353"/>
  <c r="H353"/>
  <c r="I352"/>
  <c r="H352"/>
  <c r="I351"/>
  <c r="H351"/>
  <c r="I350"/>
  <c r="H350"/>
  <c r="I349"/>
  <c r="H349"/>
  <c r="I348"/>
  <c r="H348"/>
  <c r="I347"/>
  <c r="H347"/>
  <c r="I346"/>
  <c r="H346"/>
  <c r="I345"/>
  <c r="H345"/>
  <c r="I344"/>
  <c r="H344"/>
  <c r="I343"/>
  <c r="H343"/>
  <c r="I342"/>
  <c r="H342"/>
  <c r="I341"/>
  <c r="H341"/>
  <c r="I340"/>
  <c r="H340"/>
  <c r="I339"/>
  <c r="H339"/>
  <c r="I338"/>
  <c r="H338"/>
  <c r="I337"/>
  <c r="H337"/>
  <c r="I336"/>
  <c r="H336"/>
  <c r="I335"/>
  <c r="H335"/>
  <c r="I334"/>
  <c r="H334"/>
  <c r="I333"/>
  <c r="H333"/>
  <c r="I332"/>
  <c r="H332"/>
  <c r="I331"/>
  <c r="H331"/>
  <c r="I330"/>
  <c r="H330"/>
  <c r="I329"/>
  <c r="H329"/>
  <c r="I328"/>
  <c r="H328"/>
  <c r="I327"/>
  <c r="H327"/>
  <c r="I326"/>
  <c r="H326"/>
  <c r="I325"/>
  <c r="H325"/>
  <c r="I324"/>
  <c r="H324"/>
  <c r="I323"/>
  <c r="H323"/>
  <c r="I322"/>
  <c r="H322"/>
  <c r="I321"/>
  <c r="H321"/>
  <c r="I320"/>
  <c r="H320"/>
  <c r="I319"/>
  <c r="H319"/>
  <c r="I318"/>
  <c r="H318"/>
  <c r="I317"/>
  <c r="H317"/>
  <c r="I316"/>
  <c r="H316"/>
  <c r="I315"/>
  <c r="H315"/>
  <c r="I314"/>
  <c r="H314"/>
  <c r="I313"/>
  <c r="H313"/>
  <c r="I312"/>
  <c r="H312"/>
  <c r="I311"/>
  <c r="H311"/>
  <c r="I310"/>
  <c r="H310"/>
  <c r="I309"/>
  <c r="H309"/>
  <c r="I308"/>
  <c r="H308"/>
  <c r="I307"/>
  <c r="H307"/>
  <c r="I306"/>
  <c r="H306"/>
  <c r="I305"/>
  <c r="H305"/>
  <c r="I304"/>
  <c r="H304"/>
  <c r="I303"/>
  <c r="H303"/>
  <c r="I302"/>
  <c r="H302"/>
  <c r="I301"/>
  <c r="H301"/>
  <c r="I300"/>
  <c r="H300"/>
  <c r="I299"/>
  <c r="H299"/>
  <c r="I298"/>
  <c r="H298"/>
  <c r="I297"/>
  <c r="H297"/>
  <c r="I296"/>
  <c r="H296"/>
  <c r="I295"/>
  <c r="H295"/>
  <c r="I294"/>
  <c r="H294"/>
  <c r="I293"/>
  <c r="H293"/>
  <c r="I292"/>
  <c r="H292"/>
  <c r="I291"/>
  <c r="H291"/>
  <c r="I290"/>
  <c r="H290"/>
  <c r="I289"/>
  <c r="H289"/>
  <c r="I288"/>
  <c r="H288"/>
  <c r="I287"/>
  <c r="H287"/>
  <c r="I286"/>
  <c r="H286"/>
  <c r="I285"/>
  <c r="H285"/>
  <c r="I284"/>
  <c r="H284"/>
  <c r="I283"/>
  <c r="H283"/>
  <c r="I282"/>
  <c r="H282"/>
  <c r="I281"/>
  <c r="H281"/>
  <c r="I280"/>
  <c r="H280"/>
  <c r="I279"/>
  <c r="H279"/>
  <c r="I278"/>
  <c r="H278"/>
  <c r="I277"/>
  <c r="H277"/>
  <c r="I276"/>
  <c r="H276"/>
  <c r="I275"/>
  <c r="H275"/>
  <c r="I274"/>
  <c r="H274"/>
  <c r="I273"/>
  <c r="H273"/>
  <c r="I272"/>
  <c r="A272" s="1"/>
  <c r="H272"/>
  <c r="I271"/>
  <c r="H271"/>
  <c r="I270"/>
  <c r="H270"/>
  <c r="I269"/>
  <c r="H269"/>
  <c r="I268"/>
  <c r="A268" s="1"/>
  <c r="H268"/>
  <c r="I267"/>
  <c r="H267"/>
  <c r="I266"/>
  <c r="H266"/>
  <c r="I265"/>
  <c r="H265"/>
  <c r="I264"/>
  <c r="H264"/>
  <c r="I263"/>
  <c r="H263"/>
  <c r="I262"/>
  <c r="H262"/>
  <c r="I261"/>
  <c r="H261"/>
  <c r="I260"/>
  <c r="H260"/>
  <c r="I259"/>
  <c r="H259"/>
  <c r="I258"/>
  <c r="H258"/>
  <c r="I257"/>
  <c r="H257"/>
  <c r="I256"/>
  <c r="H256"/>
  <c r="I255"/>
  <c r="H255"/>
  <c r="I254"/>
  <c r="H254"/>
  <c r="I253"/>
  <c r="H253"/>
  <c r="I252"/>
  <c r="H252"/>
  <c r="I251"/>
  <c r="H251"/>
  <c r="I250"/>
  <c r="H250"/>
  <c r="I249"/>
  <c r="H249"/>
  <c r="I248"/>
  <c r="H248"/>
  <c r="I247"/>
  <c r="H247"/>
  <c r="I246"/>
  <c r="H246"/>
  <c r="I245"/>
  <c r="H245"/>
  <c r="I244"/>
  <c r="H244"/>
  <c r="I243"/>
  <c r="A243" s="1"/>
  <c r="H243"/>
  <c r="I242"/>
  <c r="H242"/>
  <c r="I241"/>
  <c r="H241"/>
  <c r="I240"/>
  <c r="H240"/>
  <c r="I239"/>
  <c r="H239"/>
  <c r="I238"/>
  <c r="H238"/>
  <c r="I237"/>
  <c r="H237"/>
  <c r="I236"/>
  <c r="H236"/>
  <c r="I235"/>
  <c r="H235"/>
  <c r="I234"/>
  <c r="H234"/>
  <c r="I233"/>
  <c r="H233"/>
  <c r="I232"/>
  <c r="H232"/>
  <c r="I231"/>
  <c r="H231"/>
  <c r="I230"/>
  <c r="H230"/>
  <c r="I229"/>
  <c r="H229"/>
  <c r="I228"/>
  <c r="H228"/>
  <c r="I227"/>
  <c r="H227"/>
  <c r="I226"/>
  <c r="H226"/>
  <c r="I225"/>
  <c r="H225"/>
  <c r="I224"/>
  <c r="H224"/>
  <c r="I223"/>
  <c r="H223"/>
  <c r="I222"/>
  <c r="H222"/>
  <c r="I221"/>
  <c r="H221"/>
  <c r="I220"/>
  <c r="H220"/>
  <c r="I219"/>
  <c r="H219"/>
  <c r="I218"/>
  <c r="H218"/>
  <c r="I217"/>
  <c r="H217"/>
  <c r="I216"/>
  <c r="H216"/>
  <c r="I215"/>
  <c r="H215"/>
  <c r="I214"/>
  <c r="H214"/>
  <c r="I213"/>
  <c r="H213"/>
  <c r="I212"/>
  <c r="H212"/>
  <c r="I211"/>
  <c r="H211"/>
  <c r="I210"/>
  <c r="H210"/>
  <c r="I209"/>
  <c r="H209"/>
  <c r="I208"/>
  <c r="H208"/>
  <c r="I207"/>
  <c r="H207"/>
  <c r="I206"/>
  <c r="H206"/>
  <c r="I205"/>
  <c r="H205"/>
  <c r="I204"/>
  <c r="H204"/>
  <c r="I203"/>
  <c r="H203"/>
  <c r="I202"/>
  <c r="H202"/>
  <c r="I201"/>
  <c r="H201"/>
  <c r="I200"/>
  <c r="H200"/>
  <c r="I199"/>
  <c r="H199"/>
  <c r="I198"/>
  <c r="H198"/>
  <c r="I197"/>
  <c r="A197" s="1"/>
  <c r="H197"/>
  <c r="I196"/>
  <c r="H196"/>
  <c r="I195"/>
  <c r="H195"/>
  <c r="I194"/>
  <c r="H194"/>
  <c r="I193"/>
  <c r="H193"/>
  <c r="I192"/>
  <c r="H192"/>
  <c r="I191"/>
  <c r="H191"/>
  <c r="I190"/>
  <c r="H190"/>
  <c r="I189"/>
  <c r="H189"/>
  <c r="I188"/>
  <c r="H188"/>
  <c r="I187"/>
  <c r="H187"/>
  <c r="I186"/>
  <c r="H186"/>
  <c r="I185"/>
  <c r="A185" s="1"/>
  <c r="H185"/>
  <c r="I184"/>
  <c r="H184"/>
  <c r="I183"/>
  <c r="H183"/>
  <c r="I182"/>
  <c r="H182"/>
  <c r="I181"/>
  <c r="A181" s="1"/>
  <c r="H181"/>
  <c r="I180"/>
  <c r="H180"/>
  <c r="I179"/>
  <c r="H179"/>
  <c r="I178"/>
  <c r="H178"/>
  <c r="I177"/>
  <c r="H177"/>
  <c r="I176"/>
  <c r="H176"/>
  <c r="I175"/>
  <c r="H175"/>
  <c r="I174"/>
  <c r="H174"/>
  <c r="I173"/>
  <c r="H173"/>
  <c r="I172"/>
  <c r="H172"/>
  <c r="I171"/>
  <c r="H171"/>
  <c r="I170"/>
  <c r="H170"/>
  <c r="I169"/>
  <c r="H169"/>
  <c r="I168"/>
  <c r="H168"/>
  <c r="I167"/>
  <c r="H167"/>
  <c r="I166"/>
  <c r="H166"/>
  <c r="I165"/>
  <c r="H165"/>
  <c r="I164"/>
  <c r="H164"/>
  <c r="I163"/>
  <c r="H163"/>
  <c r="I162"/>
  <c r="H162"/>
  <c r="I161"/>
  <c r="H161"/>
  <c r="I160"/>
  <c r="H160"/>
  <c r="I159"/>
  <c r="H159"/>
  <c r="I158"/>
  <c r="H158"/>
  <c r="I157"/>
  <c r="H157"/>
  <c r="I156"/>
  <c r="H156"/>
  <c r="I155"/>
  <c r="H155"/>
  <c r="I154"/>
  <c r="H154"/>
  <c r="I153"/>
  <c r="H153"/>
  <c r="I152"/>
  <c r="H152"/>
  <c r="I151"/>
  <c r="H151"/>
  <c r="I150"/>
  <c r="H150"/>
  <c r="I149"/>
  <c r="H149"/>
  <c r="I148"/>
  <c r="H148"/>
  <c r="I147"/>
  <c r="H147"/>
  <c r="I146"/>
  <c r="H146"/>
  <c r="I145"/>
  <c r="H145"/>
  <c r="I144"/>
  <c r="H144"/>
  <c r="I143"/>
  <c r="H143"/>
  <c r="I142"/>
  <c r="H142"/>
  <c r="I141"/>
  <c r="H141"/>
  <c r="I140"/>
  <c r="H140"/>
  <c r="I139"/>
  <c r="H139"/>
  <c r="I138"/>
  <c r="H138"/>
  <c r="I137"/>
  <c r="H137"/>
  <c r="I136"/>
  <c r="H136"/>
  <c r="I135"/>
  <c r="H135"/>
  <c r="I134"/>
  <c r="H134"/>
  <c r="I133"/>
  <c r="H133"/>
  <c r="I132"/>
  <c r="H132"/>
  <c r="I131"/>
  <c r="H131"/>
  <c r="I130"/>
  <c r="H130"/>
  <c r="I129"/>
  <c r="H129"/>
  <c r="I128"/>
  <c r="H128"/>
  <c r="I127"/>
  <c r="H127"/>
  <c r="I126"/>
  <c r="H126"/>
  <c r="I125"/>
  <c r="H125"/>
  <c r="I124"/>
  <c r="H124"/>
  <c r="I123"/>
  <c r="H123"/>
  <c r="I122"/>
  <c r="H122"/>
  <c r="I121"/>
  <c r="H121"/>
  <c r="I120"/>
  <c r="H120"/>
  <c r="I119"/>
  <c r="H119"/>
  <c r="I118"/>
  <c r="H118"/>
  <c r="I117"/>
  <c r="H117"/>
  <c r="I116"/>
  <c r="H116"/>
  <c r="I115"/>
  <c r="H115"/>
  <c r="I114"/>
  <c r="H114"/>
  <c r="I113"/>
  <c r="H113"/>
  <c r="I112"/>
  <c r="H112"/>
  <c r="I111"/>
  <c r="H111"/>
  <c r="I110"/>
  <c r="H110"/>
  <c r="I109"/>
  <c r="H109"/>
  <c r="I108"/>
  <c r="H108"/>
  <c r="I107"/>
  <c r="H107"/>
  <c r="I106"/>
  <c r="H106"/>
  <c r="I105"/>
  <c r="H105"/>
  <c r="I104"/>
  <c r="H104"/>
  <c r="I103"/>
  <c r="H103"/>
  <c r="I102"/>
  <c r="H102"/>
  <c r="I101"/>
  <c r="H101"/>
  <c r="I100"/>
  <c r="H100"/>
  <c r="I99"/>
  <c r="H99"/>
  <c r="I98"/>
  <c r="H98"/>
  <c r="I97"/>
  <c r="H97"/>
  <c r="I96"/>
  <c r="H96"/>
  <c r="I95"/>
  <c r="H95"/>
  <c r="I94"/>
  <c r="H94"/>
  <c r="I93"/>
  <c r="H93"/>
  <c r="I92"/>
  <c r="H92"/>
  <c r="I91"/>
  <c r="H91"/>
  <c r="I90"/>
  <c r="H90"/>
  <c r="I89"/>
  <c r="H89"/>
  <c r="I88"/>
  <c r="A88" s="1"/>
  <c r="H88"/>
  <c r="I87"/>
  <c r="H87"/>
  <c r="I86"/>
  <c r="A86" s="1"/>
  <c r="H86"/>
  <c r="I85"/>
  <c r="H85"/>
  <c r="I84"/>
  <c r="A84" s="1"/>
  <c r="H84"/>
  <c r="I83"/>
  <c r="H83"/>
  <c r="I82"/>
  <c r="A82" s="1"/>
  <c r="H82"/>
  <c r="I81"/>
  <c r="H81"/>
  <c r="I80"/>
  <c r="A80" s="1"/>
  <c r="H80"/>
  <c r="I79"/>
  <c r="H79"/>
  <c r="I78"/>
  <c r="H78"/>
  <c r="I77"/>
  <c r="H77"/>
  <c r="I76"/>
  <c r="A76" s="1"/>
  <c r="H76"/>
  <c r="I75"/>
  <c r="H75"/>
  <c r="I74"/>
  <c r="A74" s="1"/>
  <c r="H74"/>
  <c r="I73"/>
  <c r="H73"/>
  <c r="I72"/>
  <c r="A72" s="1"/>
  <c r="H72"/>
  <c r="I71"/>
  <c r="H71"/>
  <c r="I70"/>
  <c r="A70" s="1"/>
  <c r="H70"/>
  <c r="I69"/>
  <c r="H69"/>
  <c r="I68"/>
  <c r="A68" s="1"/>
  <c r="H68"/>
  <c r="I67"/>
  <c r="H67"/>
  <c r="I66"/>
  <c r="H66"/>
  <c r="I65"/>
  <c r="H65"/>
  <c r="I64"/>
  <c r="H64"/>
  <c r="I63"/>
  <c r="H63"/>
  <c r="I62"/>
  <c r="H62"/>
  <c r="I61"/>
  <c r="H61"/>
  <c r="I60"/>
  <c r="H60"/>
  <c r="I59"/>
  <c r="H59"/>
  <c r="I58"/>
  <c r="H58"/>
  <c r="I57"/>
  <c r="H57"/>
  <c r="I56"/>
  <c r="H56"/>
  <c r="I55"/>
  <c r="H55"/>
  <c r="I54"/>
  <c r="H54"/>
  <c r="I53"/>
  <c r="H53"/>
  <c r="I52"/>
  <c r="H52"/>
  <c r="I51"/>
  <c r="H51"/>
  <c r="I50"/>
  <c r="H50"/>
  <c r="I49"/>
  <c r="H49"/>
  <c r="I48"/>
  <c r="H48"/>
  <c r="I47"/>
  <c r="H47"/>
  <c r="I46"/>
  <c r="H46"/>
  <c r="I45"/>
  <c r="H45"/>
  <c r="I44"/>
  <c r="H44"/>
  <c r="I43"/>
  <c r="H43"/>
  <c r="I42"/>
  <c r="H42"/>
  <c r="I41"/>
  <c r="H41"/>
  <c r="I40"/>
  <c r="H40"/>
  <c r="I39"/>
  <c r="H39"/>
  <c r="I38"/>
  <c r="H38"/>
  <c r="I37"/>
  <c r="H37"/>
  <c r="I36"/>
  <c r="H36"/>
  <c r="I35"/>
  <c r="A35" s="1"/>
  <c r="H35"/>
  <c r="I34"/>
  <c r="H34"/>
  <c r="I33"/>
  <c r="A33" s="1"/>
  <c r="H33"/>
  <c r="I32"/>
  <c r="H32"/>
  <c r="I31"/>
  <c r="A31" s="1"/>
  <c r="H31"/>
  <c r="I30"/>
  <c r="H30"/>
  <c r="I29"/>
  <c r="H29"/>
  <c r="I28"/>
  <c r="H28"/>
  <c r="I27"/>
  <c r="A27" s="1"/>
  <c r="H27"/>
  <c r="I26"/>
  <c r="H26"/>
  <c r="I25"/>
  <c r="H25"/>
  <c r="I24"/>
  <c r="H24"/>
  <c r="I23"/>
  <c r="A23" s="1"/>
  <c r="H23"/>
  <c r="I22"/>
  <c r="H22"/>
  <c r="I21"/>
  <c r="A21" s="1"/>
  <c r="H21"/>
  <c r="I20"/>
  <c r="H20"/>
  <c r="I19"/>
  <c r="H19"/>
  <c r="I18"/>
  <c r="H18"/>
  <c r="I17"/>
  <c r="H17"/>
  <c r="I16"/>
  <c r="H16"/>
  <c r="I15"/>
  <c r="H15"/>
  <c r="I14"/>
  <c r="A14" s="1"/>
  <c r="H14"/>
  <c r="I13"/>
  <c r="H13"/>
  <c r="I12"/>
  <c r="A12" s="1"/>
  <c r="H12"/>
  <c r="I11"/>
  <c r="H11"/>
  <c r="I10"/>
  <c r="H10"/>
  <c r="I9"/>
  <c r="H9"/>
  <c r="F4" i="11"/>
  <c r="F5"/>
  <c r="F6"/>
  <c r="F7"/>
  <c r="F8"/>
  <c r="F9"/>
  <c r="F10"/>
  <c r="F11"/>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11"/>
  <c r="F112"/>
  <c r="F113"/>
  <c r="F114"/>
  <c r="F115"/>
  <c r="F116"/>
  <c r="F117"/>
  <c r="F118"/>
  <c r="F119"/>
  <c r="F120"/>
  <c r="F121"/>
  <c r="F122"/>
  <c r="F123"/>
  <c r="F124"/>
  <c r="F125"/>
  <c r="F126"/>
  <c r="F127"/>
  <c r="F128"/>
  <c r="F129"/>
  <c r="F130"/>
  <c r="F131"/>
  <c r="F132"/>
  <c r="F133"/>
  <c r="F134"/>
  <c r="F135"/>
  <c r="F136"/>
  <c r="F137"/>
  <c r="F138"/>
  <c r="F139"/>
  <c r="F140"/>
  <c r="F141"/>
  <c r="F142"/>
  <c r="F143"/>
  <c r="F144"/>
  <c r="F145"/>
  <c r="F146"/>
  <c r="F147"/>
  <c r="F148"/>
  <c r="F149"/>
  <c r="F150"/>
  <c r="F151"/>
  <c r="F152"/>
  <c r="F153"/>
  <c r="F154"/>
  <c r="F155"/>
  <c r="F156"/>
  <c r="F157"/>
  <c r="F158"/>
  <c r="F159"/>
  <c r="F160"/>
  <c r="F161"/>
  <c r="F162"/>
  <c r="F163"/>
  <c r="F164"/>
  <c r="F165"/>
  <c r="F166"/>
  <c r="F167"/>
  <c r="F168"/>
  <c r="F169"/>
  <c r="F170"/>
  <c r="F171"/>
  <c r="F172"/>
  <c r="F173"/>
  <c r="F174"/>
  <c r="F175"/>
  <c r="F176"/>
  <c r="F177"/>
  <c r="F178"/>
  <c r="F179"/>
  <c r="F180"/>
  <c r="F181"/>
  <c r="F182"/>
  <c r="F183"/>
  <c r="F184"/>
  <c r="F185"/>
  <c r="F186"/>
  <c r="F187"/>
  <c r="F188"/>
  <c r="F189"/>
  <c r="F190"/>
  <c r="F191"/>
  <c r="F192"/>
  <c r="F193"/>
  <c r="F194"/>
  <c r="F195"/>
  <c r="F196"/>
  <c r="F197"/>
  <c r="F198"/>
  <c r="F199"/>
  <c r="F200"/>
  <c r="F201"/>
  <c r="F202"/>
  <c r="F203"/>
  <c r="F204"/>
  <c r="F205"/>
  <c r="F206"/>
  <c r="F207"/>
  <c r="F208"/>
  <c r="F209"/>
  <c r="F210"/>
  <c r="F211"/>
  <c r="F212"/>
  <c r="F213"/>
  <c r="F214"/>
  <c r="F215"/>
  <c r="F216"/>
  <c r="F217"/>
  <c r="F218"/>
  <c r="F219"/>
  <c r="F220"/>
  <c r="F221"/>
  <c r="F222"/>
  <c r="F223"/>
  <c r="F224"/>
  <c r="F225"/>
  <c r="F226"/>
  <c r="F227"/>
  <c r="F228"/>
  <c r="F229"/>
  <c r="F230"/>
  <c r="F231"/>
  <c r="F232"/>
  <c r="F233"/>
  <c r="F234"/>
  <c r="F235"/>
  <c r="F236"/>
  <c r="F237"/>
  <c r="F238"/>
  <c r="F239"/>
  <c r="F240"/>
  <c r="F241"/>
  <c r="F242"/>
  <c r="F243"/>
  <c r="F244"/>
  <c r="F245"/>
  <c r="F246"/>
  <c r="F247"/>
  <c r="F248"/>
  <c r="F249"/>
  <c r="F250"/>
  <c r="F251"/>
  <c r="F252"/>
  <c r="F253"/>
  <c r="F254"/>
  <c r="F255"/>
  <c r="F256"/>
  <c r="F257"/>
  <c r="F258"/>
  <c r="F259"/>
  <c r="F260"/>
  <c r="F261"/>
  <c r="F262"/>
  <c r="F263"/>
  <c r="F264"/>
  <c r="F265"/>
  <c r="F266"/>
  <c r="F267"/>
  <c r="F268"/>
  <c r="F269"/>
  <c r="F270"/>
  <c r="F271"/>
  <c r="F272"/>
  <c r="F273"/>
  <c r="F274"/>
  <c r="F275"/>
  <c r="F276"/>
  <c r="F277"/>
  <c r="F278"/>
  <c r="F279"/>
  <c r="F280"/>
  <c r="F281"/>
  <c r="F282"/>
  <c r="F283"/>
  <c r="F284"/>
  <c r="F285"/>
  <c r="F286"/>
  <c r="F287"/>
  <c r="F288"/>
  <c r="F289"/>
  <c r="F290"/>
  <c r="F291"/>
  <c r="F292"/>
  <c r="F293"/>
  <c r="F294"/>
  <c r="F295"/>
  <c r="F296"/>
  <c r="F297"/>
  <c r="F298"/>
  <c r="F299"/>
  <c r="F300"/>
  <c r="F301"/>
  <c r="F302"/>
  <c r="F303"/>
  <c r="F304"/>
  <c r="F305"/>
  <c r="F306"/>
  <c r="F307"/>
  <c r="F308"/>
  <c r="F309"/>
  <c r="F310"/>
  <c r="F311"/>
  <c r="F312"/>
  <c r="F313"/>
  <c r="F314"/>
  <c r="F315"/>
  <c r="F316"/>
  <c r="F317"/>
  <c r="F318"/>
  <c r="F319"/>
  <c r="F320"/>
  <c r="F321"/>
  <c r="F322"/>
  <c r="F323"/>
  <c r="F324"/>
  <c r="F325"/>
  <c r="F326"/>
  <c r="F327"/>
  <c r="F328"/>
  <c r="F329"/>
  <c r="F330"/>
  <c r="F331"/>
  <c r="F332"/>
  <c r="F333"/>
  <c r="F334"/>
  <c r="F335"/>
  <c r="F336"/>
  <c r="F337"/>
  <c r="F338"/>
  <c r="F339"/>
  <c r="F340"/>
  <c r="F341"/>
  <c r="F342"/>
  <c r="F343"/>
  <c r="F344"/>
  <c r="F345"/>
  <c r="F346"/>
  <c r="F347"/>
  <c r="F348"/>
  <c r="F349"/>
  <c r="F350"/>
  <c r="F351"/>
  <c r="F352"/>
  <c r="F353"/>
  <c r="F354"/>
  <c r="F355"/>
  <c r="F356"/>
  <c r="F357"/>
  <c r="F358"/>
  <c r="F359"/>
  <c r="F360"/>
  <c r="F361"/>
  <c r="F362"/>
  <c r="F363"/>
  <c r="F364"/>
  <c r="F365"/>
  <c r="F366"/>
  <c r="F367"/>
  <c r="F368"/>
  <c r="F369"/>
  <c r="F370"/>
  <c r="F371"/>
  <c r="F372"/>
  <c r="F373"/>
  <c r="F374"/>
  <c r="F375"/>
  <c r="F376"/>
  <c r="F377"/>
  <c r="F378"/>
  <c r="F379"/>
  <c r="F380"/>
  <c r="F381"/>
  <c r="F382"/>
  <c r="F383"/>
  <c r="F384"/>
  <c r="F385"/>
  <c r="F386"/>
  <c r="F387"/>
  <c r="F388"/>
  <c r="F389"/>
  <c r="F390"/>
  <c r="F391"/>
  <c r="F392"/>
  <c r="F393"/>
  <c r="F394"/>
  <c r="F395"/>
  <c r="F396"/>
  <c r="F397"/>
  <c r="F398"/>
  <c r="F399"/>
  <c r="F400"/>
  <c r="F401"/>
  <c r="F402"/>
  <c r="F403"/>
  <c r="F404"/>
  <c r="F405"/>
  <c r="F406"/>
  <c r="F407"/>
  <c r="F408"/>
  <c r="F409"/>
  <c r="F410"/>
  <c r="F411"/>
  <c r="F412"/>
  <c r="F413"/>
  <c r="F414"/>
  <c r="F415"/>
  <c r="F416"/>
  <c r="F417"/>
  <c r="F418"/>
  <c r="F419"/>
  <c r="F420"/>
  <c r="F421"/>
  <c r="F422"/>
  <c r="F423"/>
  <c r="F424"/>
  <c r="F425"/>
  <c r="F426"/>
  <c r="F427"/>
  <c r="F428"/>
  <c r="F429"/>
  <c r="F430"/>
  <c r="F431"/>
  <c r="F432"/>
  <c r="F433"/>
  <c r="F434"/>
  <c r="F435"/>
  <c r="F436"/>
  <c r="F437"/>
  <c r="F438"/>
  <c r="F439"/>
  <c r="F440"/>
  <c r="F441"/>
  <c r="F442"/>
  <c r="F443"/>
  <c r="F444"/>
  <c r="F445"/>
  <c r="F446"/>
  <c r="F447"/>
  <c r="F448"/>
  <c r="F449"/>
  <c r="F450"/>
  <c r="F451"/>
  <c r="F452"/>
  <c r="F453"/>
  <c r="F454"/>
  <c r="F455"/>
  <c r="F456"/>
  <c r="F457"/>
  <c r="F458"/>
  <c r="F459"/>
  <c r="F460"/>
  <c r="F461"/>
  <c r="F462"/>
  <c r="F463"/>
  <c r="F464"/>
  <c r="F465"/>
  <c r="F466"/>
  <c r="F467"/>
  <c r="F468"/>
  <c r="F469"/>
  <c r="F470"/>
  <c r="F471"/>
  <c r="F472"/>
  <c r="F473"/>
  <c r="F474"/>
  <c r="F475"/>
  <c r="F476"/>
  <c r="F477"/>
  <c r="F478"/>
  <c r="F479"/>
  <c r="F480"/>
  <c r="F481"/>
  <c r="F482"/>
  <c r="F483"/>
  <c r="F484"/>
  <c r="F485"/>
  <c r="F486"/>
  <c r="F487"/>
  <c r="F488"/>
  <c r="F489"/>
  <c r="F490"/>
  <c r="F491"/>
  <c r="F492"/>
  <c r="F493"/>
  <c r="F494"/>
  <c r="F495"/>
  <c r="F496"/>
  <c r="F497"/>
  <c r="F498"/>
  <c r="F499"/>
  <c r="F500"/>
  <c r="F501"/>
  <c r="F502"/>
  <c r="F503"/>
  <c r="F504"/>
  <c r="F505"/>
  <c r="F506"/>
  <c r="F507"/>
  <c r="F508"/>
  <c r="F509"/>
  <c r="F510"/>
  <c r="F511"/>
  <c r="F512"/>
  <c r="F513"/>
  <c r="F514"/>
  <c r="F515"/>
  <c r="F516"/>
  <c r="F517"/>
  <c r="F518"/>
  <c r="F519"/>
  <c r="F520"/>
  <c r="F521"/>
  <c r="F522"/>
  <c r="F523"/>
  <c r="F524"/>
  <c r="F525"/>
  <c r="F526"/>
  <c r="F527"/>
  <c r="F528"/>
  <c r="F529"/>
  <c r="F530"/>
  <c r="F531"/>
  <c r="F532"/>
  <c r="F533"/>
  <c r="F534"/>
  <c r="F535"/>
  <c r="F536"/>
  <c r="F537"/>
  <c r="F538"/>
  <c r="F539"/>
  <c r="F540"/>
  <c r="F541"/>
  <c r="F542"/>
  <c r="F543"/>
  <c r="F544"/>
  <c r="F545"/>
  <c r="F546"/>
  <c r="F547"/>
  <c r="F548"/>
  <c r="F549"/>
  <c r="F550"/>
  <c r="F551"/>
  <c r="F552"/>
  <c r="F553"/>
  <c r="F554"/>
  <c r="F555"/>
  <c r="F556"/>
  <c r="F557"/>
  <c r="F558"/>
  <c r="F559"/>
  <c r="F560"/>
  <c r="F561"/>
  <c r="F562"/>
  <c r="F563"/>
  <c r="F564"/>
  <c r="F565"/>
  <c r="F566"/>
  <c r="F567"/>
  <c r="F568"/>
  <c r="F569"/>
  <c r="F570"/>
  <c r="F571"/>
  <c r="F572"/>
  <c r="F573"/>
  <c r="F574"/>
  <c r="F575"/>
  <c r="F576"/>
  <c r="F577"/>
  <c r="F578"/>
  <c r="F579"/>
  <c r="F580"/>
  <c r="F581"/>
  <c r="F582"/>
  <c r="F583"/>
  <c r="F584"/>
  <c r="F585"/>
  <c r="F586"/>
  <c r="F587"/>
  <c r="F588"/>
  <c r="F589"/>
  <c r="F590"/>
  <c r="F591"/>
  <c r="F592"/>
  <c r="F593"/>
  <c r="F594"/>
  <c r="F595"/>
  <c r="F596"/>
  <c r="F597"/>
  <c r="F598"/>
  <c r="F599"/>
  <c r="F600"/>
  <c r="F601"/>
  <c r="F602"/>
  <c r="F603"/>
  <c r="F604"/>
  <c r="F605"/>
  <c r="F606"/>
  <c r="F607"/>
  <c r="F608"/>
  <c r="F609"/>
  <c r="F610"/>
  <c r="F611"/>
  <c r="F612"/>
  <c r="F613"/>
  <c r="F614"/>
  <c r="F615"/>
  <c r="F616"/>
  <c r="F617"/>
  <c r="F618"/>
  <c r="F619"/>
  <c r="F620"/>
  <c r="F621"/>
  <c r="F622"/>
  <c r="F623"/>
  <c r="F624"/>
  <c r="F625"/>
  <c r="F626"/>
  <c r="F627"/>
  <c r="F628"/>
  <c r="F629"/>
  <c r="F630"/>
  <c r="F631"/>
  <c r="F632"/>
  <c r="F633"/>
  <c r="F634"/>
  <c r="F635"/>
  <c r="F636"/>
  <c r="F637"/>
  <c r="F638"/>
  <c r="F639"/>
  <c r="F640"/>
  <c r="F641"/>
  <c r="F642"/>
  <c r="F643"/>
  <c r="F644"/>
  <c r="F645"/>
  <c r="F646"/>
  <c r="F647"/>
  <c r="F648"/>
  <c r="F649"/>
  <c r="F650"/>
  <c r="F651"/>
  <c r="F652"/>
  <c r="F653"/>
  <c r="F654"/>
  <c r="F655"/>
  <c r="F656"/>
  <c r="F657"/>
  <c r="F658"/>
  <c r="F659"/>
  <c r="F660"/>
  <c r="F661"/>
  <c r="F662"/>
  <c r="F663"/>
  <c r="F664"/>
  <c r="F665"/>
  <c r="F666"/>
  <c r="F667"/>
  <c r="F668"/>
  <c r="F669"/>
  <c r="F670"/>
  <c r="F671"/>
  <c r="F672"/>
  <c r="F673"/>
  <c r="F674"/>
  <c r="F675"/>
  <c r="F676"/>
  <c r="F677"/>
  <c r="F678"/>
  <c r="F679"/>
  <c r="F680"/>
  <c r="F681"/>
  <c r="F682"/>
  <c r="F683"/>
  <c r="F684"/>
  <c r="F685"/>
  <c r="F686"/>
  <c r="F687"/>
  <c r="F688"/>
  <c r="F689"/>
  <c r="F690"/>
  <c r="F691"/>
  <c r="F692"/>
  <c r="F693"/>
  <c r="F694"/>
  <c r="F695"/>
  <c r="F696"/>
  <c r="F697"/>
  <c r="F698"/>
  <c r="F699"/>
  <c r="F700"/>
  <c r="F701"/>
  <c r="F702"/>
  <c r="F703"/>
  <c r="F704"/>
  <c r="F705"/>
  <c r="F706"/>
  <c r="F707"/>
  <c r="F708"/>
  <c r="F709"/>
  <c r="F710"/>
  <c r="F711"/>
  <c r="F712"/>
  <c r="F713"/>
  <c r="F714"/>
  <c r="F715"/>
  <c r="F716"/>
  <c r="F717"/>
  <c r="F718"/>
  <c r="F719"/>
  <c r="F720"/>
  <c r="F721"/>
  <c r="F722"/>
  <c r="F723"/>
  <c r="F724"/>
  <c r="F725"/>
  <c r="F726"/>
  <c r="F727"/>
  <c r="F728"/>
  <c r="F729"/>
  <c r="F730"/>
  <c r="F731"/>
  <c r="F732"/>
  <c r="F733"/>
  <c r="F734"/>
  <c r="F735"/>
  <c r="F736"/>
  <c r="F737"/>
  <c r="F738"/>
  <c r="F739"/>
  <c r="F740"/>
  <c r="F741"/>
  <c r="F742"/>
  <c r="F743"/>
  <c r="F744"/>
  <c r="F745"/>
  <c r="F746"/>
  <c r="F747"/>
  <c r="F748"/>
  <c r="F749"/>
  <c r="F750"/>
  <c r="F751"/>
  <c r="F752"/>
  <c r="F753"/>
  <c r="F754"/>
  <c r="F755"/>
  <c r="F756"/>
  <c r="F757"/>
  <c r="F758"/>
  <c r="F759"/>
  <c r="F760"/>
  <c r="F761"/>
  <c r="F762"/>
  <c r="F763"/>
  <c r="F764"/>
  <c r="F765"/>
  <c r="F766"/>
  <c r="F767"/>
  <c r="F768"/>
  <c r="F769"/>
  <c r="F770"/>
  <c r="F771"/>
  <c r="F3"/>
  <c r="C4"/>
  <c r="C5"/>
  <c r="C6"/>
  <c r="C7"/>
  <c r="C8"/>
  <c r="C9"/>
  <c r="C10"/>
  <c r="C11"/>
  <c r="C12"/>
  <c r="C13"/>
  <c r="C14"/>
  <c r="C15"/>
  <c r="C16"/>
  <c r="C17"/>
  <c r="C18"/>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528"/>
  <c r="C529"/>
  <c r="C530"/>
  <c r="C531"/>
  <c r="C532"/>
  <c r="C533"/>
  <c r="C534"/>
  <c r="C535"/>
  <c r="C536"/>
  <c r="C537"/>
  <c r="C538"/>
  <c r="C539"/>
  <c r="C540"/>
  <c r="C541"/>
  <c r="C542"/>
  <c r="C543"/>
  <c r="C544"/>
  <c r="C545"/>
  <c r="C546"/>
  <c r="C547"/>
  <c r="C548"/>
  <c r="C549"/>
  <c r="C550"/>
  <c r="C551"/>
  <c r="C552"/>
  <c r="C553"/>
  <c r="C554"/>
  <c r="C555"/>
  <c r="C556"/>
  <c r="C557"/>
  <c r="C558"/>
  <c r="C559"/>
  <c r="C560"/>
  <c r="C561"/>
  <c r="C562"/>
  <c r="C563"/>
  <c r="C564"/>
  <c r="C565"/>
  <c r="C566"/>
  <c r="C567"/>
  <c r="C568"/>
  <c r="C569"/>
  <c r="C570"/>
  <c r="C571"/>
  <c r="C572"/>
  <c r="C573"/>
  <c r="C574"/>
  <c r="C575"/>
  <c r="C576"/>
  <c r="C577"/>
  <c r="C578"/>
  <c r="C579"/>
  <c r="C580"/>
  <c r="C581"/>
  <c r="C582"/>
  <c r="C583"/>
  <c r="C584"/>
  <c r="C585"/>
  <c r="C586"/>
  <c r="C587"/>
  <c r="C588"/>
  <c r="C589"/>
  <c r="C590"/>
  <c r="C591"/>
  <c r="C592"/>
  <c r="C593"/>
  <c r="C594"/>
  <c r="C595"/>
  <c r="C596"/>
  <c r="C597"/>
  <c r="C598"/>
  <c r="C599"/>
  <c r="C600"/>
  <c r="C601"/>
  <c r="C602"/>
  <c r="C603"/>
  <c r="C604"/>
  <c r="C605"/>
  <c r="C606"/>
  <c r="C607"/>
  <c r="C608"/>
  <c r="C609"/>
  <c r="C610"/>
  <c r="C611"/>
  <c r="C612"/>
  <c r="C613"/>
  <c r="C614"/>
  <c r="C615"/>
  <c r="C616"/>
  <c r="C617"/>
  <c r="C618"/>
  <c r="C619"/>
  <c r="C620"/>
  <c r="C621"/>
  <c r="C622"/>
  <c r="C623"/>
  <c r="C624"/>
  <c r="C625"/>
  <c r="C626"/>
  <c r="C627"/>
  <c r="C628"/>
  <c r="C629"/>
  <c r="C630"/>
  <c r="C631"/>
  <c r="C632"/>
  <c r="C633"/>
  <c r="C634"/>
  <c r="C635"/>
  <c r="C636"/>
  <c r="C637"/>
  <c r="C638"/>
  <c r="C639"/>
  <c r="C640"/>
  <c r="C641"/>
  <c r="C642"/>
  <c r="C643"/>
  <c r="C644"/>
  <c r="C645"/>
  <c r="C646"/>
  <c r="C647"/>
  <c r="C648"/>
  <c r="C649"/>
  <c r="C650"/>
  <c r="C651"/>
  <c r="C652"/>
  <c r="C653"/>
  <c r="C654"/>
  <c r="C655"/>
  <c r="C656"/>
  <c r="C657"/>
  <c r="C658"/>
  <c r="C659"/>
  <c r="C660"/>
  <c r="C661"/>
  <c r="C662"/>
  <c r="C663"/>
  <c r="C664"/>
  <c r="C665"/>
  <c r="C666"/>
  <c r="C667"/>
  <c r="C3"/>
  <c r="N18" i="18"/>
  <c r="N19"/>
  <c r="N20"/>
  <c r="N22"/>
  <c r="N24"/>
  <c r="N25"/>
  <c r="N28"/>
  <c r="N29"/>
  <c r="N33"/>
  <c r="N34"/>
  <c r="N37"/>
  <c r="N38"/>
  <c r="N42"/>
  <c r="N43"/>
  <c r="N46"/>
  <c r="N47"/>
  <c r="N53"/>
  <c r="N60"/>
  <c r="N66"/>
  <c r="N75"/>
  <c r="N76"/>
  <c r="N79"/>
  <c r="N80"/>
  <c r="N86"/>
  <c r="N87"/>
  <c r="N89"/>
  <c r="N91"/>
  <c r="N92"/>
  <c r="N95"/>
  <c r="N96"/>
  <c r="N99"/>
  <c r="N100"/>
  <c r="N102"/>
  <c r="N105"/>
  <c r="N111"/>
  <c r="N118"/>
  <c r="N121"/>
  <c r="N127"/>
  <c r="N133"/>
  <c r="N137"/>
  <c r="N142"/>
  <c r="N146"/>
  <c r="N150"/>
  <c r="N154"/>
  <c r="N155"/>
  <c r="N156"/>
  <c r="N158"/>
  <c r="N160"/>
  <c r="N161"/>
  <c r="N162"/>
  <c r="N168"/>
  <c r="N172"/>
  <c r="N176"/>
  <c r="N181"/>
  <c r="N185"/>
  <c r="N186"/>
  <c r="N190"/>
  <c r="N191"/>
  <c r="N195"/>
  <c r="N201"/>
  <c r="N206"/>
  <c r="N207"/>
  <c r="N208"/>
  <c r="N210"/>
  <c r="N212"/>
  <c r="N213"/>
  <c r="N214"/>
  <c r="N217"/>
  <c r="N222"/>
  <c r="N223"/>
  <c r="N231"/>
  <c r="N232"/>
  <c r="N236"/>
  <c r="N238"/>
  <c r="N242"/>
  <c r="N247"/>
  <c r="N251"/>
  <c r="N253"/>
  <c r="N261"/>
  <c r="N269"/>
  <c r="N277"/>
  <c r="N284"/>
  <c r="N288"/>
  <c r="N298"/>
  <c r="N300"/>
  <c r="N303"/>
  <c r="N306"/>
  <c r="N310"/>
  <c r="N315"/>
  <c r="N316"/>
  <c r="N318"/>
  <c r="N320"/>
  <c r="N321"/>
  <c r="N322"/>
  <c r="N325"/>
  <c r="N326"/>
  <c r="N334"/>
  <c r="N340"/>
  <c r="N343"/>
  <c r="N351"/>
  <c r="N360"/>
  <c r="N361"/>
  <c r="N363"/>
  <c r="N365"/>
  <c r="N366"/>
  <c r="N367"/>
  <c r="N370"/>
  <c r="N371"/>
  <c r="N376"/>
  <c r="N383"/>
  <c r="N387"/>
  <c r="N389"/>
  <c r="N391"/>
  <c r="N398"/>
  <c r="N408"/>
  <c r="N413"/>
  <c r="N414"/>
  <c r="N416"/>
  <c r="N418"/>
  <c r="N419"/>
  <c r="N420"/>
  <c r="N423"/>
  <c r="N424"/>
  <c r="N432"/>
  <c r="N440"/>
  <c r="N450"/>
  <c r="N451"/>
  <c r="N453"/>
  <c r="N456"/>
  <c r="N458"/>
  <c r="N460"/>
  <c r="N464"/>
  <c r="N470"/>
  <c r="N476"/>
  <c r="N478"/>
  <c r="N484"/>
  <c r="N491"/>
  <c r="N492"/>
  <c r="N494"/>
  <c r="N495"/>
  <c r="N497"/>
  <c r="N500"/>
  <c r="N502"/>
  <c r="N504"/>
  <c r="N508"/>
  <c r="N513"/>
  <c r="N519"/>
  <c r="N524"/>
  <c r="N529"/>
  <c r="N535"/>
  <c r="N537"/>
  <c r="N543"/>
  <c r="N549"/>
  <c r="N556"/>
  <c r="N558"/>
  <c r="N564"/>
  <c r="N569"/>
  <c r="N575"/>
  <c r="N577"/>
  <c r="N584"/>
  <c r="N587"/>
  <c r="N593"/>
  <c r="N600"/>
  <c r="N602"/>
  <c r="N604"/>
  <c r="N608"/>
  <c r="N614"/>
  <c r="N619"/>
  <c r="N620"/>
  <c r="N622"/>
  <c r="N624"/>
  <c r="N625"/>
  <c r="N626"/>
  <c r="N629"/>
  <c r="N630"/>
  <c r="N633"/>
  <c r="N634"/>
  <c r="N636"/>
  <c r="N641"/>
  <c r="N642"/>
  <c r="N643"/>
  <c r="N645"/>
  <c r="N653"/>
  <c r="N655"/>
  <c r="N659"/>
  <c r="N662"/>
  <c r="N665"/>
  <c r="N668"/>
  <c r="N677"/>
  <c r="N678"/>
  <c r="N680"/>
  <c r="N682"/>
  <c r="N690"/>
  <c r="N692"/>
  <c r="N697"/>
  <c r="N699"/>
  <c r="N703"/>
  <c r="N707"/>
  <c r="N711"/>
  <c r="N713"/>
  <c r="N719"/>
  <c r="N721"/>
  <c r="N727"/>
  <c r="N734"/>
  <c r="N740"/>
  <c r="N744"/>
  <c r="N745"/>
  <c r="N746"/>
  <c r="N748"/>
  <c r="N752"/>
  <c r="N756"/>
  <c r="N760"/>
  <c r="N764"/>
  <c r="N772"/>
  <c r="N774"/>
  <c r="N779"/>
  <c r="N781"/>
  <c r="N785"/>
  <c r="N789"/>
  <c r="N792"/>
  <c r="N796"/>
  <c r="N798"/>
  <c r="N802"/>
  <c r="N806"/>
  <c r="N810"/>
  <c r="N816"/>
  <c r="N822"/>
  <c r="N828"/>
  <c r="N834"/>
  <c r="N835"/>
  <c r="N837"/>
  <c r="N839"/>
  <c r="N840"/>
  <c r="N841"/>
  <c r="N844"/>
  <c r="N845"/>
  <c r="N849"/>
  <c r="N859"/>
  <c r="N867"/>
  <c r="N875"/>
  <c r="N877"/>
  <c r="N880"/>
  <c r="N882"/>
  <c r="N885"/>
  <c r="N887"/>
  <c r="N890"/>
  <c r="N893"/>
  <c r="N895"/>
  <c r="N898"/>
  <c r="N900"/>
  <c r="N903"/>
  <c r="N905"/>
  <c r="N908"/>
  <c r="N910"/>
  <c r="N913"/>
  <c r="N915"/>
  <c r="N918"/>
  <c r="N920"/>
  <c r="N923"/>
  <c r="N925"/>
  <c r="N928"/>
  <c r="N930"/>
  <c r="N934"/>
  <c r="N936"/>
  <c r="N939"/>
  <c r="N941"/>
  <c r="N944"/>
  <c r="N946"/>
  <c r="N949"/>
  <c r="N951"/>
  <c r="N956"/>
  <c r="N959"/>
  <c r="N962"/>
  <c r="N965"/>
  <c r="N968"/>
  <c r="N971"/>
  <c r="N974"/>
  <c r="N977"/>
  <c r="N980"/>
  <c r="N983"/>
  <c r="N986"/>
  <c r="N989"/>
  <c r="N992"/>
  <c r="N995"/>
  <c r="N998"/>
  <c r="N1001"/>
  <c r="N1004"/>
  <c r="N1007"/>
  <c r="N1010"/>
  <c r="N1014"/>
  <c r="N1018"/>
  <c r="N1022"/>
  <c r="N1027"/>
  <c r="N1034"/>
  <c r="N1037"/>
  <c r="N1044"/>
  <c r="N1045"/>
  <c r="N1050"/>
  <c r="N1055"/>
  <c r="N1057"/>
  <c r="N1058"/>
  <c r="N1061"/>
  <c r="N1066"/>
  <c r="N1067"/>
  <c r="N1069"/>
  <c r="N1071"/>
  <c r="N1074"/>
  <c r="N1075"/>
  <c r="N1078"/>
  <c r="N1079"/>
  <c r="N1080"/>
  <c r="N1082"/>
  <c r="N1085"/>
  <c r="N1086"/>
  <c r="N1087"/>
  <c r="N1089"/>
  <c r="N1091"/>
  <c r="N1092"/>
  <c r="N1102"/>
  <c r="N1108"/>
  <c r="N1116"/>
  <c r="N1123"/>
  <c r="N1128"/>
  <c r="N1130"/>
  <c r="N1134"/>
  <c r="N1138"/>
  <c r="N1144"/>
  <c r="N1145"/>
  <c r="N1147"/>
  <c r="N1149"/>
  <c r="N1150"/>
  <c r="N1153"/>
  <c r="N1154"/>
  <c r="N1157"/>
  <c r="N1158"/>
  <c r="N1160"/>
  <c r="N1169"/>
  <c r="N1170"/>
  <c r="N1172"/>
  <c r="N1174"/>
  <c r="N1175"/>
  <c r="N1178"/>
  <c r="N1179"/>
  <c r="N1182"/>
  <c r="N1183"/>
  <c r="N1184"/>
  <c r="N1186"/>
  <c r="N1189"/>
  <c r="N1196"/>
  <c r="N1199"/>
  <c r="N1207"/>
  <c r="N1210"/>
  <c r="N1218"/>
  <c r="N1219"/>
  <c r="N1226"/>
  <c r="N1229"/>
  <c r="N1232"/>
  <c r="N1240"/>
  <c r="N1243"/>
  <c r="N1252"/>
  <c r="N1253"/>
  <c r="N1255"/>
  <c r="N1257"/>
  <c r="N1258"/>
  <c r="N1261"/>
  <c r="N1262"/>
  <c r="N1265"/>
  <c r="N1266"/>
  <c r="N1267"/>
  <c r="N1269"/>
  <c r="N1272"/>
  <c r="N1279"/>
  <c r="N1287"/>
  <c r="N1290"/>
  <c r="N1298"/>
  <c r="N1299"/>
  <c r="N1306"/>
  <c r="N1309"/>
  <c r="N1312"/>
  <c r="N1320"/>
  <c r="N1323"/>
  <c r="N1332"/>
  <c r="N1333"/>
  <c r="N1335"/>
  <c r="N1337"/>
  <c r="N1338"/>
  <c r="N1341"/>
  <c r="N1342"/>
  <c r="N1345"/>
  <c r="N1346"/>
  <c r="N1347"/>
  <c r="N1349"/>
  <c r="N1352"/>
  <c r="N1359"/>
  <c r="N1362"/>
  <c r="N1370"/>
  <c r="N1373"/>
  <c r="N1381"/>
  <c r="N1382"/>
  <c r="N1389"/>
  <c r="N1392"/>
  <c r="N1400"/>
  <c r="N1403"/>
  <c r="N1413"/>
  <c r="N1418"/>
  <c r="N1426"/>
  <c r="N1427"/>
  <c r="N1434"/>
  <c r="N1437"/>
  <c r="N1440"/>
  <c r="N1445"/>
  <c r="N1452"/>
  <c r="N1458"/>
  <c r="N1461"/>
  <c r="N1464"/>
  <c r="N1476"/>
  <c r="N1480"/>
  <c r="N1481"/>
  <c r="N1484"/>
  <c r="N1492"/>
  <c r="N1499"/>
  <c r="N1506"/>
  <c r="N1510"/>
  <c r="N1514"/>
  <c r="N1517"/>
  <c r="N1520"/>
  <c r="N1535"/>
  <c r="N1541"/>
  <c r="N1545"/>
  <c r="N1549"/>
  <c r="N1555"/>
  <c r="N1556"/>
  <c r="N1558"/>
  <c r="N1560"/>
  <c r="N1561"/>
  <c r="N1564"/>
  <c r="N1565"/>
  <c r="N1573"/>
  <c r="N1581"/>
  <c r="N1585"/>
  <c r="N1594"/>
  <c r="N1595"/>
  <c r="N1597"/>
  <c r="N1599"/>
  <c r="N1600"/>
  <c r="N1603"/>
  <c r="N1604"/>
  <c r="N1608"/>
  <c r="N1610"/>
  <c r="N1613"/>
  <c r="N1621"/>
  <c r="N1626"/>
  <c r="N1669"/>
  <c r="N1679"/>
  <c r="N1685"/>
  <c r="N1689"/>
  <c r="N1690"/>
  <c r="N1692"/>
  <c r="N1694"/>
  <c r="N1695"/>
  <c r="N1696"/>
  <c r="N1700"/>
  <c r="N1705"/>
  <c r="N1710"/>
  <c r="N1711"/>
  <c r="N1713"/>
  <c r="N1715"/>
  <c r="N1716"/>
  <c r="N1717"/>
  <c r="N1721"/>
  <c r="N1725"/>
  <c r="N1729"/>
  <c r="N1734"/>
  <c r="N1735"/>
  <c r="N1737"/>
  <c r="N1739"/>
  <c r="N1740"/>
  <c r="N1743"/>
  <c r="N1744"/>
  <c r="N1753"/>
  <c r="N1754"/>
  <c r="N1756"/>
  <c r="N1758"/>
  <c r="N1759"/>
  <c r="N1760"/>
  <c r="N1763"/>
  <c r="N1764"/>
  <c r="K2525"/>
  <c r="L2525" s="1"/>
  <c r="M2525" s="1"/>
  <c r="K2524"/>
  <c r="L2524" s="1"/>
  <c r="M2524" s="1"/>
  <c r="K2523"/>
  <c r="L2523" s="1"/>
  <c r="M2523" s="1"/>
  <c r="K2522"/>
  <c r="L2522" s="1"/>
  <c r="M2522" s="1"/>
  <c r="K2521"/>
  <c r="L2521" s="1"/>
  <c r="M2521" s="1"/>
  <c r="K2520"/>
  <c r="L2520" s="1"/>
  <c r="M2520" s="1"/>
  <c r="K2519"/>
  <c r="L2519" s="1"/>
  <c r="M2519" s="1"/>
  <c r="K2518"/>
  <c r="L2518" s="1"/>
  <c r="M2518" s="1"/>
  <c r="K2517"/>
  <c r="L2517" s="1"/>
  <c r="M2517" s="1"/>
  <c r="K2516"/>
  <c r="L2516" s="1"/>
  <c r="M2516" s="1"/>
  <c r="K2515"/>
  <c r="L2515" s="1"/>
  <c r="M2515" s="1"/>
  <c r="K2514"/>
  <c r="L2514" s="1"/>
  <c r="M2514" s="1"/>
  <c r="K2513"/>
  <c r="L2513" s="1"/>
  <c r="M2513" s="1"/>
  <c r="K2512"/>
  <c r="L2512" s="1"/>
  <c r="M2512" s="1"/>
  <c r="K2511"/>
  <c r="L2511" s="1"/>
  <c r="M2511" s="1"/>
  <c r="K2510"/>
  <c r="L2510" s="1"/>
  <c r="M2510" s="1"/>
  <c r="K2509"/>
  <c r="L2509" s="1"/>
  <c r="M2509" s="1"/>
  <c r="K2508"/>
  <c r="L2508" s="1"/>
  <c r="M2508" s="1"/>
  <c r="K2507"/>
  <c r="L2507" s="1"/>
  <c r="M2507" s="1"/>
  <c r="K2506"/>
  <c r="L2506" s="1"/>
  <c r="M2506" s="1"/>
  <c r="K2505"/>
  <c r="L2505" s="1"/>
  <c r="M2505" s="1"/>
  <c r="K2504"/>
  <c r="L2504" s="1"/>
  <c r="M2504" s="1"/>
  <c r="K2503"/>
  <c r="L2503" s="1"/>
  <c r="M2503" s="1"/>
  <c r="K2502"/>
  <c r="L2502" s="1"/>
  <c r="M2502" s="1"/>
  <c r="K2501"/>
  <c r="L2501" s="1"/>
  <c r="M2501" s="1"/>
  <c r="K2500"/>
  <c r="L2500" s="1"/>
  <c r="M2500" s="1"/>
  <c r="K2499"/>
  <c r="L2499" s="1"/>
  <c r="M2499" s="1"/>
  <c r="K2498"/>
  <c r="L2498" s="1"/>
  <c r="M2498" s="1"/>
  <c r="K2497"/>
  <c r="L2497" s="1"/>
  <c r="M2497" s="1"/>
  <c r="K2496"/>
  <c r="L2496" s="1"/>
  <c r="M2496" s="1"/>
  <c r="K2495"/>
  <c r="L2495" s="1"/>
  <c r="M2495" s="1"/>
  <c r="K2494"/>
  <c r="L2494" s="1"/>
  <c r="M2494" s="1"/>
  <c r="K2493"/>
  <c r="L2493" s="1"/>
  <c r="M2493" s="1"/>
  <c r="K2492"/>
  <c r="L2492" s="1"/>
  <c r="M2492" s="1"/>
  <c r="K2491"/>
  <c r="L2491" s="1"/>
  <c r="M2491" s="1"/>
  <c r="K2490"/>
  <c r="L2490" s="1"/>
  <c r="M2490" s="1"/>
  <c r="K2489"/>
  <c r="L2489" s="1"/>
  <c r="M2489" s="1"/>
  <c r="K2488"/>
  <c r="L2488" s="1"/>
  <c r="M2488" s="1"/>
  <c r="K2487"/>
  <c r="L2487" s="1"/>
  <c r="M2487" s="1"/>
  <c r="K2486"/>
  <c r="L2486" s="1"/>
  <c r="M2486" s="1"/>
  <c r="K2485"/>
  <c r="L2485" s="1"/>
  <c r="M2485" s="1"/>
  <c r="K2484"/>
  <c r="L2484" s="1"/>
  <c r="M2484" s="1"/>
  <c r="K2483"/>
  <c r="L2483" s="1"/>
  <c r="M2483" s="1"/>
  <c r="K2482"/>
  <c r="L2482" s="1"/>
  <c r="M2482" s="1"/>
  <c r="K2481"/>
  <c r="L2481" s="1"/>
  <c r="M2481" s="1"/>
  <c r="K2480"/>
  <c r="L2480" s="1"/>
  <c r="M2480" s="1"/>
  <c r="K2479"/>
  <c r="L2479" s="1"/>
  <c r="M2479" s="1"/>
  <c r="K2478"/>
  <c r="L2478" s="1"/>
  <c r="M2478" s="1"/>
  <c r="K2477"/>
  <c r="L2477" s="1"/>
  <c r="M2477" s="1"/>
  <c r="K2476"/>
  <c r="L2476" s="1"/>
  <c r="M2476" s="1"/>
  <c r="K2475"/>
  <c r="L2475" s="1"/>
  <c r="M2475" s="1"/>
  <c r="K2474"/>
  <c r="L2474" s="1"/>
  <c r="M2474" s="1"/>
  <c r="K2473"/>
  <c r="L2473" s="1"/>
  <c r="M2473" s="1"/>
  <c r="K2472"/>
  <c r="L2472" s="1"/>
  <c r="M2472" s="1"/>
  <c r="K2471"/>
  <c r="L2471" s="1"/>
  <c r="M2471" s="1"/>
  <c r="K2470"/>
  <c r="L2470" s="1"/>
  <c r="M2470" s="1"/>
  <c r="K2469"/>
  <c r="L2469" s="1"/>
  <c r="M2469" s="1"/>
  <c r="K2468"/>
  <c r="L2468" s="1"/>
  <c r="M2468" s="1"/>
  <c r="K2467"/>
  <c r="L2467" s="1"/>
  <c r="M2467" s="1"/>
  <c r="K2466"/>
  <c r="L2466" s="1"/>
  <c r="M2466" s="1"/>
  <c r="K2465"/>
  <c r="L2465" s="1"/>
  <c r="M2465" s="1"/>
  <c r="K2464"/>
  <c r="L2464" s="1"/>
  <c r="M2464" s="1"/>
  <c r="K2463"/>
  <c r="L2463" s="1"/>
  <c r="M2463" s="1"/>
  <c r="K2462"/>
  <c r="L2462" s="1"/>
  <c r="M2462" s="1"/>
  <c r="K2461"/>
  <c r="L2461" s="1"/>
  <c r="M2461" s="1"/>
  <c r="K2460"/>
  <c r="L2460" s="1"/>
  <c r="M2460" s="1"/>
  <c r="K2459"/>
  <c r="L2459" s="1"/>
  <c r="M2459" s="1"/>
  <c r="K2458"/>
  <c r="L2458" s="1"/>
  <c r="M2458" s="1"/>
  <c r="K2457"/>
  <c r="L2457" s="1"/>
  <c r="M2457" s="1"/>
  <c r="K2456"/>
  <c r="L2456" s="1"/>
  <c r="M2456" s="1"/>
  <c r="K2455"/>
  <c r="L2455" s="1"/>
  <c r="M2455" s="1"/>
  <c r="K2454"/>
  <c r="L2454" s="1"/>
  <c r="M2454" s="1"/>
  <c r="K2453"/>
  <c r="L2453" s="1"/>
  <c r="M2453" s="1"/>
  <c r="K2452"/>
  <c r="L2452" s="1"/>
  <c r="M2452" s="1"/>
  <c r="K2451"/>
  <c r="L2451" s="1"/>
  <c r="M2451" s="1"/>
  <c r="K2450"/>
  <c r="L2450" s="1"/>
  <c r="M2450" s="1"/>
  <c r="K2449"/>
  <c r="L2449" s="1"/>
  <c r="M2449" s="1"/>
  <c r="K2448"/>
  <c r="L2448" s="1"/>
  <c r="M2448" s="1"/>
  <c r="K2447"/>
  <c r="L2447" s="1"/>
  <c r="M2447" s="1"/>
  <c r="K2446"/>
  <c r="L2446" s="1"/>
  <c r="M2446" s="1"/>
  <c r="K2445"/>
  <c r="L2445" s="1"/>
  <c r="M2445" s="1"/>
  <c r="K2444"/>
  <c r="L2444" s="1"/>
  <c r="M2444" s="1"/>
  <c r="K2443"/>
  <c r="L2443" s="1"/>
  <c r="M2443" s="1"/>
  <c r="K2442"/>
  <c r="L2442" s="1"/>
  <c r="M2442" s="1"/>
  <c r="K2441"/>
  <c r="L2441" s="1"/>
  <c r="M2441" s="1"/>
  <c r="K2440"/>
  <c r="L2440" s="1"/>
  <c r="M2440" s="1"/>
  <c r="K2439"/>
  <c r="L2439" s="1"/>
  <c r="M2439" s="1"/>
  <c r="K2438"/>
  <c r="L2438" s="1"/>
  <c r="M2438" s="1"/>
  <c r="K2437"/>
  <c r="L2437" s="1"/>
  <c r="M2437" s="1"/>
  <c r="K2436"/>
  <c r="L2436" s="1"/>
  <c r="M2436" s="1"/>
  <c r="K2435"/>
  <c r="L2435" s="1"/>
  <c r="M2435" s="1"/>
  <c r="K2434"/>
  <c r="L2434" s="1"/>
  <c r="M2434" s="1"/>
  <c r="K2433"/>
  <c r="L2433" s="1"/>
  <c r="M2433" s="1"/>
  <c r="K2432"/>
  <c r="L2432" s="1"/>
  <c r="M2432" s="1"/>
  <c r="K2431"/>
  <c r="L2431" s="1"/>
  <c r="M2431" s="1"/>
  <c r="K2430"/>
  <c r="L2430" s="1"/>
  <c r="M2430" s="1"/>
  <c r="K2429"/>
  <c r="L2429" s="1"/>
  <c r="M2429" s="1"/>
  <c r="K2428"/>
  <c r="L2428" s="1"/>
  <c r="M2428" s="1"/>
  <c r="K2427"/>
  <c r="L2427" s="1"/>
  <c r="M2427" s="1"/>
  <c r="K2426"/>
  <c r="L2426" s="1"/>
  <c r="M2426" s="1"/>
  <c r="K2425"/>
  <c r="L2425" s="1"/>
  <c r="M2425" s="1"/>
  <c r="K2424"/>
  <c r="L2424" s="1"/>
  <c r="M2424" s="1"/>
  <c r="K2423"/>
  <c r="L2423" s="1"/>
  <c r="M2423" s="1"/>
  <c r="K2422"/>
  <c r="L2422" s="1"/>
  <c r="M2422" s="1"/>
  <c r="K2421"/>
  <c r="L2421" s="1"/>
  <c r="M2421" s="1"/>
  <c r="K2420"/>
  <c r="L2420" s="1"/>
  <c r="M2420" s="1"/>
  <c r="K2419"/>
  <c r="L2419" s="1"/>
  <c r="M2419" s="1"/>
  <c r="K2418"/>
  <c r="L2418" s="1"/>
  <c r="M2418" s="1"/>
  <c r="K2417"/>
  <c r="L2417" s="1"/>
  <c r="M2417" s="1"/>
  <c r="K2416"/>
  <c r="L2416" s="1"/>
  <c r="M2416" s="1"/>
  <c r="K2415"/>
  <c r="L2415" s="1"/>
  <c r="M2415" s="1"/>
  <c r="K2414"/>
  <c r="L2414" s="1"/>
  <c r="M2414" s="1"/>
  <c r="K2413"/>
  <c r="L2413" s="1"/>
  <c r="M2413" s="1"/>
  <c r="K2412"/>
  <c r="L2412" s="1"/>
  <c r="M2412" s="1"/>
  <c r="K2411"/>
  <c r="L2411" s="1"/>
  <c r="M2411" s="1"/>
  <c r="K2410"/>
  <c r="L2410" s="1"/>
  <c r="M2410" s="1"/>
  <c r="K2409"/>
  <c r="L2409" s="1"/>
  <c r="M2409" s="1"/>
  <c r="K2408"/>
  <c r="L2408" s="1"/>
  <c r="M2408" s="1"/>
  <c r="K2407"/>
  <c r="L2407" s="1"/>
  <c r="M2407" s="1"/>
  <c r="K2406"/>
  <c r="L2406" s="1"/>
  <c r="M2406" s="1"/>
  <c r="K2405"/>
  <c r="L2405" s="1"/>
  <c r="M2405" s="1"/>
  <c r="K2404"/>
  <c r="L2404" s="1"/>
  <c r="M2404" s="1"/>
  <c r="K2403"/>
  <c r="L2403" s="1"/>
  <c r="M2403" s="1"/>
  <c r="K2402"/>
  <c r="L2402" s="1"/>
  <c r="M2402" s="1"/>
  <c r="K2401"/>
  <c r="L2401" s="1"/>
  <c r="M2401" s="1"/>
  <c r="K2400"/>
  <c r="L2400" s="1"/>
  <c r="M2400" s="1"/>
  <c r="K2399"/>
  <c r="L2399" s="1"/>
  <c r="M2399" s="1"/>
  <c r="K2398"/>
  <c r="L2398" s="1"/>
  <c r="M2398" s="1"/>
  <c r="K2397"/>
  <c r="L2397" s="1"/>
  <c r="M2397" s="1"/>
  <c r="K2396"/>
  <c r="L2396" s="1"/>
  <c r="M2396" s="1"/>
  <c r="K2395"/>
  <c r="L2395" s="1"/>
  <c r="M2395" s="1"/>
  <c r="K2394"/>
  <c r="L2394" s="1"/>
  <c r="M2394" s="1"/>
  <c r="K2393"/>
  <c r="L2393" s="1"/>
  <c r="M2393" s="1"/>
  <c r="K2392"/>
  <c r="L2392" s="1"/>
  <c r="M2392" s="1"/>
  <c r="K2391"/>
  <c r="L2391" s="1"/>
  <c r="M2391" s="1"/>
  <c r="K2390"/>
  <c r="L2390" s="1"/>
  <c r="M2390" s="1"/>
  <c r="K2389"/>
  <c r="L2389" s="1"/>
  <c r="M2389" s="1"/>
  <c r="K2388"/>
  <c r="L2388" s="1"/>
  <c r="M2388" s="1"/>
  <c r="K2387"/>
  <c r="L2387" s="1"/>
  <c r="M2387" s="1"/>
  <c r="K2386"/>
  <c r="L2386" s="1"/>
  <c r="M2386" s="1"/>
  <c r="K2385"/>
  <c r="L2385" s="1"/>
  <c r="M2385" s="1"/>
  <c r="K2384"/>
  <c r="L2384" s="1"/>
  <c r="M2384" s="1"/>
  <c r="K2383"/>
  <c r="L2383" s="1"/>
  <c r="M2383" s="1"/>
  <c r="K2382"/>
  <c r="L2382" s="1"/>
  <c r="M2382" s="1"/>
  <c r="K2381"/>
  <c r="L2381" s="1"/>
  <c r="M2381" s="1"/>
  <c r="K2380"/>
  <c r="L2380" s="1"/>
  <c r="M2380" s="1"/>
  <c r="K2379"/>
  <c r="L2379" s="1"/>
  <c r="M2379" s="1"/>
  <c r="K2378"/>
  <c r="L2378" s="1"/>
  <c r="M2378" s="1"/>
  <c r="K2377"/>
  <c r="L2377" s="1"/>
  <c r="M2377" s="1"/>
  <c r="K2376"/>
  <c r="L2376" s="1"/>
  <c r="M2376" s="1"/>
  <c r="K2375"/>
  <c r="L2375" s="1"/>
  <c r="M2375" s="1"/>
  <c r="K2374"/>
  <c r="L2374" s="1"/>
  <c r="M2374" s="1"/>
  <c r="K2373"/>
  <c r="L2373" s="1"/>
  <c r="M2373" s="1"/>
  <c r="K2372"/>
  <c r="L2372" s="1"/>
  <c r="M2372" s="1"/>
  <c r="K2371"/>
  <c r="L2371" s="1"/>
  <c r="M2371" s="1"/>
  <c r="K2370"/>
  <c r="L2370" s="1"/>
  <c r="M2370" s="1"/>
  <c r="K2369"/>
  <c r="L2369" s="1"/>
  <c r="M2369" s="1"/>
  <c r="K2368"/>
  <c r="L2368" s="1"/>
  <c r="M2368" s="1"/>
  <c r="K2367"/>
  <c r="L2367" s="1"/>
  <c r="M2367" s="1"/>
  <c r="K2366"/>
  <c r="L2366" s="1"/>
  <c r="M2366" s="1"/>
  <c r="K2365"/>
  <c r="L2365" s="1"/>
  <c r="M2365" s="1"/>
  <c r="K2364"/>
  <c r="L2364" s="1"/>
  <c r="M2364" s="1"/>
  <c r="K2363"/>
  <c r="L2363" s="1"/>
  <c r="M2363" s="1"/>
  <c r="K2362"/>
  <c r="L2362" s="1"/>
  <c r="M2362" s="1"/>
  <c r="K2361"/>
  <c r="L2361" s="1"/>
  <c r="M2361" s="1"/>
  <c r="K2360"/>
  <c r="L2360" s="1"/>
  <c r="M2360" s="1"/>
  <c r="K2359"/>
  <c r="L2359" s="1"/>
  <c r="M2359" s="1"/>
  <c r="K2358"/>
  <c r="L2358" s="1"/>
  <c r="M2358" s="1"/>
  <c r="K2357"/>
  <c r="L2357" s="1"/>
  <c r="M2357" s="1"/>
  <c r="K2356"/>
  <c r="L2356" s="1"/>
  <c r="M2356" s="1"/>
  <c r="K2355"/>
  <c r="L2355" s="1"/>
  <c r="M2355" s="1"/>
  <c r="K2354"/>
  <c r="L2354" s="1"/>
  <c r="M2354" s="1"/>
  <c r="K2353"/>
  <c r="L2353" s="1"/>
  <c r="M2353" s="1"/>
  <c r="K2352"/>
  <c r="L2352" s="1"/>
  <c r="M2352" s="1"/>
  <c r="K2351"/>
  <c r="L2351" s="1"/>
  <c r="M2351" s="1"/>
  <c r="K2350"/>
  <c r="L2350" s="1"/>
  <c r="M2350" s="1"/>
  <c r="K2349"/>
  <c r="L2349" s="1"/>
  <c r="M2349" s="1"/>
  <c r="K2348"/>
  <c r="L2348" s="1"/>
  <c r="M2348" s="1"/>
  <c r="K2347"/>
  <c r="L2347" s="1"/>
  <c r="M2347" s="1"/>
  <c r="K2346"/>
  <c r="L2346" s="1"/>
  <c r="M2346" s="1"/>
  <c r="K2345"/>
  <c r="L2345" s="1"/>
  <c r="M2345" s="1"/>
  <c r="K2344"/>
  <c r="L2344" s="1"/>
  <c r="M2344" s="1"/>
  <c r="K2343"/>
  <c r="L2343" s="1"/>
  <c r="M2343" s="1"/>
  <c r="K2342"/>
  <c r="L2342" s="1"/>
  <c r="M2342" s="1"/>
  <c r="K2341"/>
  <c r="L2341" s="1"/>
  <c r="M2341" s="1"/>
  <c r="K2340"/>
  <c r="L2340" s="1"/>
  <c r="M2340" s="1"/>
  <c r="K2339"/>
  <c r="L2339" s="1"/>
  <c r="M2339" s="1"/>
  <c r="K2338"/>
  <c r="L2338" s="1"/>
  <c r="M2338" s="1"/>
  <c r="K2337"/>
  <c r="L2337" s="1"/>
  <c r="M2337" s="1"/>
  <c r="K2336"/>
  <c r="L2336" s="1"/>
  <c r="M2336" s="1"/>
  <c r="K2335"/>
  <c r="L2335" s="1"/>
  <c r="M2335" s="1"/>
  <c r="K2334"/>
  <c r="L2334" s="1"/>
  <c r="M2334" s="1"/>
  <c r="K2333"/>
  <c r="L2333" s="1"/>
  <c r="M2333" s="1"/>
  <c r="K2332"/>
  <c r="L2332" s="1"/>
  <c r="M2332" s="1"/>
  <c r="K2331"/>
  <c r="L2331" s="1"/>
  <c r="M2331" s="1"/>
  <c r="K2330"/>
  <c r="L2330" s="1"/>
  <c r="M2330" s="1"/>
  <c r="K2329"/>
  <c r="L2329" s="1"/>
  <c r="M2329" s="1"/>
  <c r="K2328"/>
  <c r="L2328" s="1"/>
  <c r="M2328" s="1"/>
  <c r="K2327"/>
  <c r="L2327" s="1"/>
  <c r="M2327" s="1"/>
  <c r="K2326"/>
  <c r="L2326" s="1"/>
  <c r="M2326" s="1"/>
  <c r="K2325"/>
  <c r="L2325" s="1"/>
  <c r="M2325" s="1"/>
  <c r="K2324"/>
  <c r="L2324" s="1"/>
  <c r="M2324" s="1"/>
  <c r="K2323"/>
  <c r="L2323" s="1"/>
  <c r="M2323" s="1"/>
  <c r="K2322"/>
  <c r="L2322" s="1"/>
  <c r="M2322" s="1"/>
  <c r="K2321"/>
  <c r="L2321" s="1"/>
  <c r="M2321" s="1"/>
  <c r="K2320"/>
  <c r="L2320" s="1"/>
  <c r="M2320" s="1"/>
  <c r="K2319"/>
  <c r="L2319" s="1"/>
  <c r="M2319" s="1"/>
  <c r="K2318"/>
  <c r="L2318" s="1"/>
  <c r="M2318" s="1"/>
  <c r="K2317"/>
  <c r="L2317" s="1"/>
  <c r="M2317" s="1"/>
  <c r="K2316"/>
  <c r="L2316" s="1"/>
  <c r="M2316" s="1"/>
  <c r="K2315"/>
  <c r="L2315" s="1"/>
  <c r="M2315" s="1"/>
  <c r="K2314"/>
  <c r="L2314" s="1"/>
  <c r="M2314" s="1"/>
  <c r="K2313"/>
  <c r="L2313" s="1"/>
  <c r="M2313" s="1"/>
  <c r="K2312"/>
  <c r="L2312" s="1"/>
  <c r="M2312" s="1"/>
  <c r="K2311"/>
  <c r="L2311" s="1"/>
  <c r="M2311" s="1"/>
  <c r="K2310"/>
  <c r="L2310" s="1"/>
  <c r="M2310" s="1"/>
  <c r="K2309"/>
  <c r="L2309" s="1"/>
  <c r="M2309" s="1"/>
  <c r="K2308"/>
  <c r="L2308" s="1"/>
  <c r="M2308" s="1"/>
  <c r="K2307"/>
  <c r="L2307" s="1"/>
  <c r="M2307" s="1"/>
  <c r="K2306"/>
  <c r="L2306" s="1"/>
  <c r="M2306" s="1"/>
  <c r="K2305"/>
  <c r="L2305" s="1"/>
  <c r="M2305" s="1"/>
  <c r="K2304"/>
  <c r="L2304" s="1"/>
  <c r="M2304" s="1"/>
  <c r="K2303"/>
  <c r="L2303" s="1"/>
  <c r="M2303" s="1"/>
  <c r="K2302"/>
  <c r="L2302" s="1"/>
  <c r="M2302" s="1"/>
  <c r="K2301"/>
  <c r="L2301" s="1"/>
  <c r="M2301" s="1"/>
  <c r="K2300"/>
  <c r="L2300" s="1"/>
  <c r="M2300" s="1"/>
  <c r="K2299"/>
  <c r="L2299" s="1"/>
  <c r="M2299" s="1"/>
  <c r="K2298"/>
  <c r="L2298" s="1"/>
  <c r="M2298" s="1"/>
  <c r="K2297"/>
  <c r="L2297" s="1"/>
  <c r="M2297" s="1"/>
  <c r="K2296"/>
  <c r="L2296" s="1"/>
  <c r="M2296" s="1"/>
  <c r="K2295"/>
  <c r="L2295" s="1"/>
  <c r="M2295" s="1"/>
  <c r="K2294"/>
  <c r="L2294" s="1"/>
  <c r="M2294" s="1"/>
  <c r="K2293"/>
  <c r="L2293" s="1"/>
  <c r="M2293" s="1"/>
  <c r="K2292"/>
  <c r="L2292" s="1"/>
  <c r="M2292" s="1"/>
  <c r="K2291"/>
  <c r="L2291" s="1"/>
  <c r="M2291" s="1"/>
  <c r="K2290"/>
  <c r="L2290" s="1"/>
  <c r="M2290" s="1"/>
  <c r="K2289"/>
  <c r="L2289" s="1"/>
  <c r="M2289" s="1"/>
  <c r="K2288"/>
  <c r="L2288" s="1"/>
  <c r="M2288" s="1"/>
  <c r="K2287"/>
  <c r="L2287" s="1"/>
  <c r="M2287" s="1"/>
  <c r="K2286"/>
  <c r="L2286" s="1"/>
  <c r="M2286" s="1"/>
  <c r="K2285"/>
  <c r="L2285" s="1"/>
  <c r="M2285" s="1"/>
  <c r="K2284"/>
  <c r="L2284" s="1"/>
  <c r="M2284" s="1"/>
  <c r="K2283"/>
  <c r="L2283" s="1"/>
  <c r="M2283" s="1"/>
  <c r="K2282"/>
  <c r="L2282" s="1"/>
  <c r="M2282" s="1"/>
  <c r="K2281"/>
  <c r="L2281" s="1"/>
  <c r="M2281" s="1"/>
  <c r="K2280"/>
  <c r="L2280" s="1"/>
  <c r="M2280" s="1"/>
  <c r="K2279"/>
  <c r="L2279" s="1"/>
  <c r="M2279" s="1"/>
  <c r="K2278"/>
  <c r="L2278" s="1"/>
  <c r="M2278" s="1"/>
  <c r="K2277"/>
  <c r="L2277" s="1"/>
  <c r="M2277" s="1"/>
  <c r="K2276"/>
  <c r="L2276" s="1"/>
  <c r="M2276" s="1"/>
  <c r="K2275"/>
  <c r="L2275" s="1"/>
  <c r="M2275" s="1"/>
  <c r="K2274"/>
  <c r="L2274" s="1"/>
  <c r="M2274" s="1"/>
  <c r="K2273"/>
  <c r="L2273" s="1"/>
  <c r="M2273" s="1"/>
  <c r="K2272"/>
  <c r="L2272" s="1"/>
  <c r="M2272" s="1"/>
  <c r="K2271"/>
  <c r="L2271" s="1"/>
  <c r="M2271" s="1"/>
  <c r="K2270"/>
  <c r="L2270" s="1"/>
  <c r="M2270" s="1"/>
  <c r="K2269"/>
  <c r="L2269" s="1"/>
  <c r="M2269" s="1"/>
  <c r="K2268"/>
  <c r="L2268" s="1"/>
  <c r="M2268" s="1"/>
  <c r="K2267"/>
  <c r="L2267" s="1"/>
  <c r="M2267" s="1"/>
  <c r="K2266"/>
  <c r="L2266" s="1"/>
  <c r="M2266" s="1"/>
  <c r="K2265"/>
  <c r="L2265" s="1"/>
  <c r="M2265" s="1"/>
  <c r="K2264"/>
  <c r="L2264" s="1"/>
  <c r="M2264" s="1"/>
  <c r="K2263"/>
  <c r="L2263" s="1"/>
  <c r="M2263" s="1"/>
  <c r="K2262"/>
  <c r="L2262" s="1"/>
  <c r="M2262" s="1"/>
  <c r="K2261"/>
  <c r="L2261" s="1"/>
  <c r="M2261" s="1"/>
  <c r="K2260"/>
  <c r="L2260" s="1"/>
  <c r="M2260" s="1"/>
  <c r="K2259"/>
  <c r="L2259" s="1"/>
  <c r="M2259" s="1"/>
  <c r="K2258"/>
  <c r="L2258" s="1"/>
  <c r="M2258" s="1"/>
  <c r="K2257"/>
  <c r="L2257" s="1"/>
  <c r="M2257" s="1"/>
  <c r="K2256"/>
  <c r="L2256" s="1"/>
  <c r="M2256" s="1"/>
  <c r="K2255"/>
  <c r="L2255" s="1"/>
  <c r="M2255" s="1"/>
  <c r="K2254"/>
  <c r="L2254" s="1"/>
  <c r="M2254" s="1"/>
  <c r="K2253"/>
  <c r="L2253" s="1"/>
  <c r="M2253" s="1"/>
  <c r="K2252"/>
  <c r="L2252" s="1"/>
  <c r="M2252" s="1"/>
  <c r="K2251"/>
  <c r="L2251" s="1"/>
  <c r="M2251" s="1"/>
  <c r="K2250"/>
  <c r="L2250" s="1"/>
  <c r="M2250" s="1"/>
  <c r="K2249"/>
  <c r="L2249" s="1"/>
  <c r="M2249" s="1"/>
  <c r="K2248"/>
  <c r="L2248" s="1"/>
  <c r="M2248" s="1"/>
  <c r="K2247"/>
  <c r="L2247" s="1"/>
  <c r="M2247" s="1"/>
  <c r="K2246"/>
  <c r="L2246" s="1"/>
  <c r="M2246" s="1"/>
  <c r="K2245"/>
  <c r="L2245" s="1"/>
  <c r="M2245" s="1"/>
  <c r="K2244"/>
  <c r="L2244" s="1"/>
  <c r="M2244" s="1"/>
  <c r="K2243"/>
  <c r="L2243" s="1"/>
  <c r="M2243" s="1"/>
  <c r="K2242"/>
  <c r="L2242" s="1"/>
  <c r="M2242" s="1"/>
  <c r="K2241"/>
  <c r="L2241" s="1"/>
  <c r="M2241" s="1"/>
  <c r="K2240"/>
  <c r="L2240" s="1"/>
  <c r="M2240" s="1"/>
  <c r="K2239"/>
  <c r="L2239" s="1"/>
  <c r="M2239" s="1"/>
  <c r="K2238"/>
  <c r="L2238" s="1"/>
  <c r="M2238" s="1"/>
  <c r="K2237"/>
  <c r="L2237" s="1"/>
  <c r="M2237" s="1"/>
  <c r="K2236"/>
  <c r="L2236" s="1"/>
  <c r="M2236" s="1"/>
  <c r="K2235"/>
  <c r="L2235" s="1"/>
  <c r="M2235" s="1"/>
  <c r="K2234"/>
  <c r="L2234" s="1"/>
  <c r="M2234" s="1"/>
  <c r="K2233"/>
  <c r="L2233" s="1"/>
  <c r="M2233" s="1"/>
  <c r="K2232"/>
  <c r="L2232" s="1"/>
  <c r="M2232" s="1"/>
  <c r="K2231"/>
  <c r="L2231" s="1"/>
  <c r="M2231" s="1"/>
  <c r="K2230"/>
  <c r="L2230" s="1"/>
  <c r="M2230" s="1"/>
  <c r="K2229"/>
  <c r="L2229" s="1"/>
  <c r="M2229" s="1"/>
  <c r="K2228"/>
  <c r="L2228" s="1"/>
  <c r="M2228" s="1"/>
  <c r="K2227"/>
  <c r="L2227" s="1"/>
  <c r="M2227" s="1"/>
  <c r="K2226"/>
  <c r="L2226" s="1"/>
  <c r="M2226" s="1"/>
  <c r="K2225"/>
  <c r="L2225" s="1"/>
  <c r="M2225" s="1"/>
  <c r="K2224"/>
  <c r="L2224" s="1"/>
  <c r="M2224" s="1"/>
  <c r="K2223"/>
  <c r="L2223" s="1"/>
  <c r="M2223" s="1"/>
  <c r="K2222"/>
  <c r="L2222" s="1"/>
  <c r="M2222" s="1"/>
  <c r="K2221"/>
  <c r="L2221" s="1"/>
  <c r="M2221" s="1"/>
  <c r="K2220"/>
  <c r="L2220" s="1"/>
  <c r="M2220" s="1"/>
  <c r="K2219"/>
  <c r="L2219" s="1"/>
  <c r="M2219" s="1"/>
  <c r="K2218"/>
  <c r="L2218" s="1"/>
  <c r="M2218" s="1"/>
  <c r="K2217"/>
  <c r="L2217" s="1"/>
  <c r="M2217" s="1"/>
  <c r="K2216"/>
  <c r="L2216" s="1"/>
  <c r="M2216" s="1"/>
  <c r="K2215"/>
  <c r="L2215" s="1"/>
  <c r="M2215" s="1"/>
  <c r="K2214"/>
  <c r="L2214" s="1"/>
  <c r="M2214" s="1"/>
  <c r="K2213"/>
  <c r="L2213" s="1"/>
  <c r="M2213" s="1"/>
  <c r="K2212"/>
  <c r="L2212" s="1"/>
  <c r="M2212" s="1"/>
  <c r="K2211"/>
  <c r="L2211" s="1"/>
  <c r="M2211" s="1"/>
  <c r="K2210"/>
  <c r="L2210" s="1"/>
  <c r="M2210" s="1"/>
  <c r="K2209"/>
  <c r="L2209" s="1"/>
  <c r="M2209" s="1"/>
  <c r="K2208"/>
  <c r="L2208" s="1"/>
  <c r="M2208" s="1"/>
  <c r="K2207"/>
  <c r="L2207" s="1"/>
  <c r="M2207" s="1"/>
  <c r="K2206"/>
  <c r="L2206" s="1"/>
  <c r="M2206" s="1"/>
  <c r="K2205"/>
  <c r="L2205" s="1"/>
  <c r="M2205" s="1"/>
  <c r="K2204"/>
  <c r="L2204" s="1"/>
  <c r="M2204" s="1"/>
  <c r="K2203"/>
  <c r="L2203" s="1"/>
  <c r="M2203" s="1"/>
  <c r="K2202"/>
  <c r="L2202" s="1"/>
  <c r="M2202" s="1"/>
  <c r="K2201"/>
  <c r="L2201" s="1"/>
  <c r="M2201" s="1"/>
  <c r="K2200"/>
  <c r="L2200" s="1"/>
  <c r="M2200" s="1"/>
  <c r="K2199"/>
  <c r="L2199" s="1"/>
  <c r="M2199" s="1"/>
  <c r="K2198"/>
  <c r="L2198" s="1"/>
  <c r="M2198" s="1"/>
  <c r="K2197"/>
  <c r="L2197" s="1"/>
  <c r="M2197" s="1"/>
  <c r="K2196"/>
  <c r="L2196" s="1"/>
  <c r="M2196" s="1"/>
  <c r="K2195"/>
  <c r="L2195" s="1"/>
  <c r="M2195" s="1"/>
  <c r="K2194"/>
  <c r="L2194" s="1"/>
  <c r="M2194" s="1"/>
  <c r="K2193"/>
  <c r="L2193" s="1"/>
  <c r="M2193" s="1"/>
  <c r="K2192"/>
  <c r="L2192" s="1"/>
  <c r="M2192" s="1"/>
  <c r="K2191"/>
  <c r="L2191" s="1"/>
  <c r="M2191" s="1"/>
  <c r="K2190"/>
  <c r="L2190" s="1"/>
  <c r="M2190" s="1"/>
  <c r="K2189"/>
  <c r="L2189" s="1"/>
  <c r="M2189" s="1"/>
  <c r="K2188"/>
  <c r="L2188" s="1"/>
  <c r="M2188" s="1"/>
  <c r="K2187"/>
  <c r="L2187" s="1"/>
  <c r="M2187" s="1"/>
  <c r="K2186"/>
  <c r="L2186" s="1"/>
  <c r="M2186" s="1"/>
  <c r="K2185"/>
  <c r="L2185" s="1"/>
  <c r="M2185" s="1"/>
  <c r="K2184"/>
  <c r="L2184" s="1"/>
  <c r="M2184" s="1"/>
  <c r="K2183"/>
  <c r="L2183" s="1"/>
  <c r="M2183" s="1"/>
  <c r="K2182"/>
  <c r="L2182" s="1"/>
  <c r="M2182" s="1"/>
  <c r="K2181"/>
  <c r="L2181" s="1"/>
  <c r="M2181" s="1"/>
  <c r="K2180"/>
  <c r="L2180" s="1"/>
  <c r="M2180" s="1"/>
  <c r="K2179"/>
  <c r="L2179" s="1"/>
  <c r="M2179" s="1"/>
  <c r="K2178"/>
  <c r="L2178" s="1"/>
  <c r="M2178" s="1"/>
  <c r="K2177"/>
  <c r="L2177" s="1"/>
  <c r="M2177" s="1"/>
  <c r="K2176"/>
  <c r="L2176" s="1"/>
  <c r="M2176" s="1"/>
  <c r="K2175"/>
  <c r="L2175" s="1"/>
  <c r="M2175" s="1"/>
  <c r="K2174"/>
  <c r="L2174" s="1"/>
  <c r="M2174" s="1"/>
  <c r="K2173"/>
  <c r="L2173" s="1"/>
  <c r="M2173" s="1"/>
  <c r="K2172"/>
  <c r="L2172" s="1"/>
  <c r="M2172" s="1"/>
  <c r="K2171"/>
  <c r="L2171" s="1"/>
  <c r="M2171" s="1"/>
  <c r="K2170"/>
  <c r="L2170" s="1"/>
  <c r="M2170" s="1"/>
  <c r="K2169"/>
  <c r="L2169" s="1"/>
  <c r="M2169" s="1"/>
  <c r="K2168"/>
  <c r="L2168" s="1"/>
  <c r="M2168" s="1"/>
  <c r="K2167"/>
  <c r="L2167" s="1"/>
  <c r="M2167" s="1"/>
  <c r="K2166"/>
  <c r="L2166" s="1"/>
  <c r="M2166" s="1"/>
  <c r="K2165"/>
  <c r="L2165" s="1"/>
  <c r="M2165" s="1"/>
  <c r="K2164"/>
  <c r="L2164" s="1"/>
  <c r="M2164" s="1"/>
  <c r="K2163"/>
  <c r="L2163" s="1"/>
  <c r="M2163" s="1"/>
  <c r="K2162"/>
  <c r="L2162" s="1"/>
  <c r="M2162" s="1"/>
  <c r="K2161"/>
  <c r="L2161" s="1"/>
  <c r="M2161" s="1"/>
  <c r="K2160"/>
  <c r="L2160" s="1"/>
  <c r="M2160" s="1"/>
  <c r="K2159"/>
  <c r="L2159" s="1"/>
  <c r="M2159" s="1"/>
  <c r="K2158"/>
  <c r="L2158" s="1"/>
  <c r="M2158" s="1"/>
  <c r="K2157"/>
  <c r="L2157" s="1"/>
  <c r="M2157" s="1"/>
  <c r="K2156"/>
  <c r="L2156" s="1"/>
  <c r="M2156" s="1"/>
  <c r="K2155"/>
  <c r="L2155" s="1"/>
  <c r="M2155" s="1"/>
  <c r="K2154"/>
  <c r="L2154" s="1"/>
  <c r="M2154" s="1"/>
  <c r="K2153"/>
  <c r="L2153" s="1"/>
  <c r="M2153" s="1"/>
  <c r="K2152"/>
  <c r="L2152" s="1"/>
  <c r="M2152" s="1"/>
  <c r="K2151"/>
  <c r="L2151" s="1"/>
  <c r="M2151" s="1"/>
  <c r="K2150"/>
  <c r="L2150" s="1"/>
  <c r="M2150" s="1"/>
  <c r="K2149"/>
  <c r="L2149" s="1"/>
  <c r="M2149" s="1"/>
  <c r="K2148"/>
  <c r="L2148" s="1"/>
  <c r="M2148" s="1"/>
  <c r="K2147"/>
  <c r="L2147" s="1"/>
  <c r="M2147" s="1"/>
  <c r="K2146"/>
  <c r="L2146" s="1"/>
  <c r="M2146" s="1"/>
  <c r="K2145"/>
  <c r="L2145" s="1"/>
  <c r="M2145" s="1"/>
  <c r="K2144"/>
  <c r="L2144" s="1"/>
  <c r="M2144" s="1"/>
  <c r="K2143"/>
  <c r="L2143" s="1"/>
  <c r="M2143" s="1"/>
  <c r="K2142"/>
  <c r="L2142" s="1"/>
  <c r="M2142" s="1"/>
  <c r="K2141"/>
  <c r="L2141" s="1"/>
  <c r="M2141" s="1"/>
  <c r="K2140"/>
  <c r="L2140" s="1"/>
  <c r="M2140" s="1"/>
  <c r="K2139"/>
  <c r="L2139" s="1"/>
  <c r="M2139" s="1"/>
  <c r="K2138"/>
  <c r="L2138" s="1"/>
  <c r="M2138" s="1"/>
  <c r="K2137"/>
  <c r="L2137" s="1"/>
  <c r="M2137" s="1"/>
  <c r="K2136"/>
  <c r="L2136" s="1"/>
  <c r="M2136" s="1"/>
  <c r="K2135"/>
  <c r="L2135" s="1"/>
  <c r="M2135" s="1"/>
  <c r="K2134"/>
  <c r="L2134" s="1"/>
  <c r="M2134" s="1"/>
  <c r="K2133"/>
  <c r="L2133" s="1"/>
  <c r="M2133" s="1"/>
  <c r="K2132"/>
  <c r="L2132" s="1"/>
  <c r="M2132" s="1"/>
  <c r="K2131"/>
  <c r="L2131" s="1"/>
  <c r="M2131" s="1"/>
  <c r="K2130"/>
  <c r="L2130" s="1"/>
  <c r="M2130" s="1"/>
  <c r="K2129"/>
  <c r="L2129" s="1"/>
  <c r="M2129" s="1"/>
  <c r="K2128"/>
  <c r="L2128" s="1"/>
  <c r="M2128" s="1"/>
  <c r="K2127"/>
  <c r="L2127" s="1"/>
  <c r="M2127" s="1"/>
  <c r="K2126"/>
  <c r="L2126" s="1"/>
  <c r="M2126" s="1"/>
  <c r="K2125"/>
  <c r="L2125" s="1"/>
  <c r="M2125" s="1"/>
  <c r="K2124"/>
  <c r="L2124" s="1"/>
  <c r="M2124" s="1"/>
  <c r="K2123"/>
  <c r="L2123" s="1"/>
  <c r="M2123" s="1"/>
  <c r="K2122"/>
  <c r="L2122" s="1"/>
  <c r="M2122" s="1"/>
  <c r="K2121"/>
  <c r="L2121" s="1"/>
  <c r="M2121" s="1"/>
  <c r="K2120"/>
  <c r="L2120" s="1"/>
  <c r="M2120" s="1"/>
  <c r="K2119"/>
  <c r="L2119" s="1"/>
  <c r="M2119" s="1"/>
  <c r="K2118"/>
  <c r="L2118" s="1"/>
  <c r="M2118" s="1"/>
  <c r="K2117"/>
  <c r="L2117" s="1"/>
  <c r="M2117" s="1"/>
  <c r="K2116"/>
  <c r="L2116" s="1"/>
  <c r="M2116" s="1"/>
  <c r="K2115"/>
  <c r="L2115" s="1"/>
  <c r="M2115" s="1"/>
  <c r="K2114"/>
  <c r="L2114" s="1"/>
  <c r="M2114" s="1"/>
  <c r="K2113"/>
  <c r="L2113" s="1"/>
  <c r="M2113" s="1"/>
  <c r="K2112"/>
  <c r="L2112" s="1"/>
  <c r="M2112" s="1"/>
  <c r="K2111"/>
  <c r="L2111" s="1"/>
  <c r="M2111" s="1"/>
  <c r="K2110"/>
  <c r="L2110" s="1"/>
  <c r="M2110" s="1"/>
  <c r="K2109"/>
  <c r="L2109" s="1"/>
  <c r="M2109" s="1"/>
  <c r="K2108"/>
  <c r="L2108" s="1"/>
  <c r="M2108" s="1"/>
  <c r="K2107"/>
  <c r="L2107" s="1"/>
  <c r="M2107" s="1"/>
  <c r="K2106"/>
  <c r="L2106" s="1"/>
  <c r="M2106" s="1"/>
  <c r="K2105"/>
  <c r="L2105" s="1"/>
  <c r="M2105" s="1"/>
  <c r="K2104"/>
  <c r="L2104" s="1"/>
  <c r="M2104" s="1"/>
  <c r="K2103"/>
  <c r="L2103" s="1"/>
  <c r="M2103" s="1"/>
  <c r="K2102"/>
  <c r="L2102" s="1"/>
  <c r="M2102" s="1"/>
  <c r="K2101"/>
  <c r="L2101" s="1"/>
  <c r="M2101" s="1"/>
  <c r="K2100"/>
  <c r="L2100" s="1"/>
  <c r="M2100" s="1"/>
  <c r="K2099"/>
  <c r="L2099" s="1"/>
  <c r="M2099" s="1"/>
  <c r="K2098"/>
  <c r="L2098" s="1"/>
  <c r="M2098" s="1"/>
  <c r="K2097"/>
  <c r="L2097" s="1"/>
  <c r="M2097" s="1"/>
  <c r="K2096"/>
  <c r="L2096" s="1"/>
  <c r="M2096" s="1"/>
  <c r="K2095"/>
  <c r="L2095" s="1"/>
  <c r="M2095" s="1"/>
  <c r="K2094"/>
  <c r="L2094" s="1"/>
  <c r="M2094" s="1"/>
  <c r="K2093"/>
  <c r="L2093" s="1"/>
  <c r="M2093" s="1"/>
  <c r="K2092"/>
  <c r="L2092" s="1"/>
  <c r="M2092" s="1"/>
  <c r="K2091"/>
  <c r="L2091" s="1"/>
  <c r="M2091" s="1"/>
  <c r="K2090"/>
  <c r="L2090" s="1"/>
  <c r="M2090" s="1"/>
  <c r="K2089"/>
  <c r="L2089" s="1"/>
  <c r="M2089" s="1"/>
  <c r="K2088"/>
  <c r="L2088" s="1"/>
  <c r="M2088" s="1"/>
  <c r="K2087"/>
  <c r="L2087" s="1"/>
  <c r="M2087" s="1"/>
  <c r="K2086"/>
  <c r="L2086" s="1"/>
  <c r="M2086" s="1"/>
  <c r="K2085"/>
  <c r="L2085" s="1"/>
  <c r="M2085" s="1"/>
  <c r="K2084"/>
  <c r="L2084" s="1"/>
  <c r="M2084" s="1"/>
  <c r="K2083"/>
  <c r="L2083" s="1"/>
  <c r="M2083" s="1"/>
  <c r="K2082"/>
  <c r="L2082" s="1"/>
  <c r="M2082" s="1"/>
  <c r="K2081"/>
  <c r="L2081" s="1"/>
  <c r="M2081" s="1"/>
  <c r="K2080"/>
  <c r="L2080" s="1"/>
  <c r="M2080" s="1"/>
  <c r="K2079"/>
  <c r="L2079" s="1"/>
  <c r="M2079" s="1"/>
  <c r="K2078"/>
  <c r="L2078" s="1"/>
  <c r="M2078" s="1"/>
  <c r="K2077"/>
  <c r="L2077" s="1"/>
  <c r="M2077" s="1"/>
  <c r="K2076"/>
  <c r="L2076" s="1"/>
  <c r="M2076" s="1"/>
  <c r="K2075"/>
  <c r="L2075" s="1"/>
  <c r="M2075" s="1"/>
  <c r="K2074"/>
  <c r="L2074" s="1"/>
  <c r="M2074" s="1"/>
  <c r="K2073"/>
  <c r="L2073" s="1"/>
  <c r="M2073" s="1"/>
  <c r="K2072"/>
  <c r="L2072" s="1"/>
  <c r="M2072" s="1"/>
  <c r="K2071"/>
  <c r="L2071" s="1"/>
  <c r="M2071" s="1"/>
  <c r="K2070"/>
  <c r="L2070" s="1"/>
  <c r="M2070" s="1"/>
  <c r="K2069"/>
  <c r="L2069" s="1"/>
  <c r="M2069" s="1"/>
  <c r="K2068"/>
  <c r="L2068" s="1"/>
  <c r="M2068" s="1"/>
  <c r="K2067"/>
  <c r="L2067" s="1"/>
  <c r="M2067" s="1"/>
  <c r="K2066"/>
  <c r="L2066" s="1"/>
  <c r="M2066" s="1"/>
  <c r="K2065"/>
  <c r="L2065" s="1"/>
  <c r="M2065" s="1"/>
  <c r="K2064"/>
  <c r="L2064" s="1"/>
  <c r="M2064" s="1"/>
  <c r="K2063"/>
  <c r="L2063" s="1"/>
  <c r="M2063" s="1"/>
  <c r="K2062"/>
  <c r="L2062" s="1"/>
  <c r="M2062" s="1"/>
  <c r="K2061"/>
  <c r="L2061" s="1"/>
  <c r="M2061" s="1"/>
  <c r="K2060"/>
  <c r="L2060" s="1"/>
  <c r="M2060" s="1"/>
  <c r="K2059"/>
  <c r="L2059" s="1"/>
  <c r="M2059" s="1"/>
  <c r="K2058"/>
  <c r="L2058" s="1"/>
  <c r="M2058" s="1"/>
  <c r="K2057"/>
  <c r="L2057" s="1"/>
  <c r="M2057" s="1"/>
  <c r="K2056"/>
  <c r="L2056" s="1"/>
  <c r="M2056" s="1"/>
  <c r="K2055"/>
  <c r="L2055" s="1"/>
  <c r="M2055" s="1"/>
  <c r="K2054"/>
  <c r="L2054" s="1"/>
  <c r="M2054" s="1"/>
  <c r="K2053"/>
  <c r="L2053" s="1"/>
  <c r="M2053" s="1"/>
  <c r="K2052"/>
  <c r="L2052" s="1"/>
  <c r="M2052" s="1"/>
  <c r="K2051"/>
  <c r="L2051" s="1"/>
  <c r="M2051" s="1"/>
  <c r="K2050"/>
  <c r="L2050" s="1"/>
  <c r="M2050" s="1"/>
  <c r="K2049"/>
  <c r="L2049" s="1"/>
  <c r="M2049" s="1"/>
  <c r="K2048"/>
  <c r="L2048" s="1"/>
  <c r="M2048" s="1"/>
  <c r="K2047"/>
  <c r="L2047" s="1"/>
  <c r="M2047" s="1"/>
  <c r="K2046"/>
  <c r="L2046" s="1"/>
  <c r="M2046" s="1"/>
  <c r="K2045"/>
  <c r="L2045" s="1"/>
  <c r="M2045" s="1"/>
  <c r="K2044"/>
  <c r="L2044" s="1"/>
  <c r="M2044" s="1"/>
  <c r="K2043"/>
  <c r="L2043" s="1"/>
  <c r="M2043" s="1"/>
  <c r="K2042"/>
  <c r="L2042" s="1"/>
  <c r="M2042" s="1"/>
  <c r="K2041"/>
  <c r="L2041" s="1"/>
  <c r="M2041" s="1"/>
  <c r="K2040"/>
  <c r="L2040" s="1"/>
  <c r="M2040" s="1"/>
  <c r="K2039"/>
  <c r="L2039" s="1"/>
  <c r="M2039" s="1"/>
  <c r="K2038"/>
  <c r="L2038" s="1"/>
  <c r="M2038" s="1"/>
  <c r="K2037"/>
  <c r="L2037" s="1"/>
  <c r="M2037" s="1"/>
  <c r="K2036"/>
  <c r="L2036" s="1"/>
  <c r="M2036" s="1"/>
  <c r="K2035"/>
  <c r="L2035" s="1"/>
  <c r="M2035" s="1"/>
  <c r="K2034"/>
  <c r="L2034" s="1"/>
  <c r="M2034" s="1"/>
  <c r="K2033"/>
  <c r="L2033" s="1"/>
  <c r="M2033" s="1"/>
  <c r="K2032"/>
  <c r="L2032" s="1"/>
  <c r="M2032" s="1"/>
  <c r="K2031"/>
  <c r="L2031" s="1"/>
  <c r="M2031" s="1"/>
  <c r="K2030"/>
  <c r="L2030" s="1"/>
  <c r="M2030" s="1"/>
  <c r="K2029"/>
  <c r="L2029" s="1"/>
  <c r="M2029" s="1"/>
  <c r="K2028"/>
  <c r="L2028" s="1"/>
  <c r="M2028" s="1"/>
  <c r="K2027"/>
  <c r="L2027" s="1"/>
  <c r="M2027" s="1"/>
  <c r="K2026"/>
  <c r="L2026" s="1"/>
  <c r="M2026" s="1"/>
  <c r="K2025"/>
  <c r="L2025" s="1"/>
  <c r="M2025" s="1"/>
  <c r="K2024"/>
  <c r="L2024" s="1"/>
  <c r="M2024" s="1"/>
  <c r="K2023"/>
  <c r="L2023" s="1"/>
  <c r="M2023" s="1"/>
  <c r="K2022"/>
  <c r="L2022" s="1"/>
  <c r="M2022" s="1"/>
  <c r="K2021"/>
  <c r="L2021" s="1"/>
  <c r="M2021" s="1"/>
  <c r="K2020"/>
  <c r="L2020" s="1"/>
  <c r="M2020" s="1"/>
  <c r="K2019"/>
  <c r="L2019" s="1"/>
  <c r="M2019" s="1"/>
  <c r="K2018"/>
  <c r="L2018" s="1"/>
  <c r="M2018" s="1"/>
  <c r="K2017"/>
  <c r="L2017" s="1"/>
  <c r="M2017" s="1"/>
  <c r="K2016"/>
  <c r="L2016" s="1"/>
  <c r="M2016" s="1"/>
  <c r="K2015"/>
  <c r="L2015" s="1"/>
  <c r="M2015" s="1"/>
  <c r="K2014"/>
  <c r="L2014" s="1"/>
  <c r="M2014" s="1"/>
  <c r="K2013"/>
  <c r="L2013" s="1"/>
  <c r="M2013" s="1"/>
  <c r="K2012"/>
  <c r="L2012" s="1"/>
  <c r="M2012" s="1"/>
  <c r="K2011"/>
  <c r="L2011" s="1"/>
  <c r="M2011" s="1"/>
  <c r="K2010"/>
  <c r="L2010" s="1"/>
  <c r="M2010" s="1"/>
  <c r="K2009"/>
  <c r="L2009" s="1"/>
  <c r="M2009" s="1"/>
  <c r="K2008"/>
  <c r="L2008" s="1"/>
  <c r="M2008" s="1"/>
  <c r="K2007"/>
  <c r="L2007" s="1"/>
  <c r="M2007" s="1"/>
  <c r="K2006"/>
  <c r="L2006" s="1"/>
  <c r="M2006" s="1"/>
  <c r="K2005"/>
  <c r="L2005" s="1"/>
  <c r="M2005" s="1"/>
  <c r="K2004"/>
  <c r="L2004" s="1"/>
  <c r="M2004" s="1"/>
  <c r="K2003"/>
  <c r="L2003" s="1"/>
  <c r="M2003" s="1"/>
  <c r="K2002"/>
  <c r="L2002" s="1"/>
  <c r="M2002" s="1"/>
  <c r="K2001"/>
  <c r="L2001" s="1"/>
  <c r="M2001" s="1"/>
  <c r="K2000"/>
  <c r="L2000" s="1"/>
  <c r="M2000" s="1"/>
  <c r="K1999"/>
  <c r="L1999" s="1"/>
  <c r="M1999" s="1"/>
  <c r="K1998"/>
  <c r="L1998" s="1"/>
  <c r="M1998" s="1"/>
  <c r="K1997"/>
  <c r="L1997" s="1"/>
  <c r="M1997" s="1"/>
  <c r="K1996"/>
  <c r="L1996" s="1"/>
  <c r="M1996" s="1"/>
  <c r="K1995"/>
  <c r="L1995" s="1"/>
  <c r="M1995" s="1"/>
  <c r="K1994"/>
  <c r="L1994" s="1"/>
  <c r="M1994" s="1"/>
  <c r="K1993"/>
  <c r="L1993" s="1"/>
  <c r="M1993" s="1"/>
  <c r="K1992"/>
  <c r="L1992" s="1"/>
  <c r="M1992" s="1"/>
  <c r="K1991"/>
  <c r="L1991" s="1"/>
  <c r="M1991" s="1"/>
  <c r="K1990"/>
  <c r="L1990" s="1"/>
  <c r="M1990" s="1"/>
  <c r="K1989"/>
  <c r="L1989" s="1"/>
  <c r="M1989" s="1"/>
  <c r="K1988"/>
  <c r="L1988" s="1"/>
  <c r="M1988" s="1"/>
  <c r="K1987"/>
  <c r="L1987" s="1"/>
  <c r="M1987" s="1"/>
  <c r="K1986"/>
  <c r="L1986" s="1"/>
  <c r="M1986" s="1"/>
  <c r="K1985"/>
  <c r="L1985" s="1"/>
  <c r="M1985" s="1"/>
  <c r="K1984"/>
  <c r="L1984" s="1"/>
  <c r="M1984" s="1"/>
  <c r="K1983"/>
  <c r="L1983" s="1"/>
  <c r="M1983" s="1"/>
  <c r="K1982"/>
  <c r="L1982" s="1"/>
  <c r="M1982" s="1"/>
  <c r="K1981"/>
  <c r="L1981" s="1"/>
  <c r="M1981" s="1"/>
  <c r="K1980"/>
  <c r="L1980" s="1"/>
  <c r="M1980" s="1"/>
  <c r="K1979"/>
  <c r="L1979" s="1"/>
  <c r="M1979" s="1"/>
  <c r="K1978"/>
  <c r="L1978" s="1"/>
  <c r="M1978" s="1"/>
  <c r="K1977"/>
  <c r="L1977" s="1"/>
  <c r="M1977" s="1"/>
  <c r="K1976"/>
  <c r="L1976" s="1"/>
  <c r="M1976" s="1"/>
  <c r="K1975"/>
  <c r="L1975" s="1"/>
  <c r="M1975" s="1"/>
  <c r="K1974"/>
  <c r="L1974" s="1"/>
  <c r="M1974" s="1"/>
  <c r="K1973"/>
  <c r="L1973" s="1"/>
  <c r="M1973" s="1"/>
  <c r="K1972"/>
  <c r="L1972" s="1"/>
  <c r="M1972" s="1"/>
  <c r="K1971"/>
  <c r="L1971" s="1"/>
  <c r="M1971" s="1"/>
  <c r="K1970"/>
  <c r="L1970" s="1"/>
  <c r="M1970" s="1"/>
  <c r="K1969"/>
  <c r="L1969" s="1"/>
  <c r="M1969" s="1"/>
  <c r="K1968"/>
  <c r="L1968" s="1"/>
  <c r="M1968" s="1"/>
  <c r="K1967"/>
  <c r="L1967" s="1"/>
  <c r="M1967" s="1"/>
  <c r="K1966"/>
  <c r="L1966" s="1"/>
  <c r="M1966" s="1"/>
  <c r="K1965"/>
  <c r="L1965" s="1"/>
  <c r="M1965" s="1"/>
  <c r="K1964"/>
  <c r="L1964" s="1"/>
  <c r="M1964" s="1"/>
  <c r="K1963"/>
  <c r="L1963" s="1"/>
  <c r="M1963" s="1"/>
  <c r="K1962"/>
  <c r="L1962" s="1"/>
  <c r="M1962" s="1"/>
  <c r="K1961"/>
  <c r="L1961" s="1"/>
  <c r="M1961" s="1"/>
  <c r="K1960"/>
  <c r="L1960" s="1"/>
  <c r="M1960" s="1"/>
  <c r="K1959"/>
  <c r="L1959" s="1"/>
  <c r="M1959" s="1"/>
  <c r="K1958"/>
  <c r="L1958" s="1"/>
  <c r="M1958" s="1"/>
  <c r="K1957"/>
  <c r="L1957" s="1"/>
  <c r="M1957" s="1"/>
  <c r="K1956"/>
  <c r="L1956" s="1"/>
  <c r="M1956" s="1"/>
  <c r="K1955"/>
  <c r="L1955" s="1"/>
  <c r="M1955" s="1"/>
  <c r="K1954"/>
  <c r="L1954" s="1"/>
  <c r="M1954" s="1"/>
  <c r="K1953"/>
  <c r="L1953" s="1"/>
  <c r="M1953" s="1"/>
  <c r="K1952"/>
  <c r="L1952" s="1"/>
  <c r="M1952" s="1"/>
  <c r="K1951"/>
  <c r="L1951" s="1"/>
  <c r="M1951" s="1"/>
  <c r="K1950"/>
  <c r="L1950" s="1"/>
  <c r="M1950" s="1"/>
  <c r="K1949"/>
  <c r="L1949" s="1"/>
  <c r="M1949" s="1"/>
  <c r="K1948"/>
  <c r="L1948" s="1"/>
  <c r="M1948" s="1"/>
  <c r="K1947"/>
  <c r="L1947" s="1"/>
  <c r="M1947" s="1"/>
  <c r="K1946"/>
  <c r="L1946" s="1"/>
  <c r="M1946" s="1"/>
  <c r="K1945"/>
  <c r="L1945" s="1"/>
  <c r="M1945" s="1"/>
  <c r="K1944"/>
  <c r="L1944" s="1"/>
  <c r="M1944" s="1"/>
  <c r="K1943"/>
  <c r="L1943" s="1"/>
  <c r="M1943" s="1"/>
  <c r="K1942"/>
  <c r="L1942" s="1"/>
  <c r="M1942" s="1"/>
  <c r="K1941"/>
  <c r="L1941" s="1"/>
  <c r="M1941" s="1"/>
  <c r="K1940"/>
  <c r="L1940" s="1"/>
  <c r="M1940" s="1"/>
  <c r="K1939"/>
  <c r="L1939" s="1"/>
  <c r="M1939" s="1"/>
  <c r="K1938"/>
  <c r="L1938" s="1"/>
  <c r="M1938" s="1"/>
  <c r="K1937"/>
  <c r="L1937" s="1"/>
  <c r="M1937" s="1"/>
  <c r="K1936"/>
  <c r="L1936" s="1"/>
  <c r="M1936" s="1"/>
  <c r="K1935"/>
  <c r="L1935" s="1"/>
  <c r="M1935" s="1"/>
  <c r="K1934"/>
  <c r="L1934" s="1"/>
  <c r="M1934" s="1"/>
  <c r="K1933"/>
  <c r="L1933" s="1"/>
  <c r="M1933" s="1"/>
  <c r="K1932"/>
  <c r="L1932" s="1"/>
  <c r="M1932" s="1"/>
  <c r="K1931"/>
  <c r="L1931" s="1"/>
  <c r="M1931" s="1"/>
  <c r="K1930"/>
  <c r="L1930" s="1"/>
  <c r="M1930" s="1"/>
  <c r="K1929"/>
  <c r="L1929" s="1"/>
  <c r="M1929" s="1"/>
  <c r="K1928"/>
  <c r="L1928" s="1"/>
  <c r="M1928" s="1"/>
  <c r="K1927"/>
  <c r="L1927" s="1"/>
  <c r="M1927" s="1"/>
  <c r="K1926"/>
  <c r="L1926" s="1"/>
  <c r="M1926" s="1"/>
  <c r="K1925"/>
  <c r="L1925" s="1"/>
  <c r="M1925" s="1"/>
  <c r="K1924"/>
  <c r="L1924" s="1"/>
  <c r="M1924" s="1"/>
  <c r="K1923"/>
  <c r="L1923" s="1"/>
  <c r="M1923" s="1"/>
  <c r="K1922"/>
  <c r="L1922" s="1"/>
  <c r="M1922" s="1"/>
  <c r="K1921"/>
  <c r="L1921" s="1"/>
  <c r="M1921" s="1"/>
  <c r="K1920"/>
  <c r="L1920" s="1"/>
  <c r="M1920" s="1"/>
  <c r="K1919"/>
  <c r="L1919" s="1"/>
  <c r="M1919" s="1"/>
  <c r="K1918"/>
  <c r="L1918" s="1"/>
  <c r="M1918" s="1"/>
  <c r="K1917"/>
  <c r="L1917" s="1"/>
  <c r="M1917" s="1"/>
  <c r="K1916"/>
  <c r="L1916" s="1"/>
  <c r="M1916" s="1"/>
  <c r="K1915"/>
  <c r="L1915" s="1"/>
  <c r="M1915" s="1"/>
  <c r="K1914"/>
  <c r="L1914" s="1"/>
  <c r="M1914" s="1"/>
  <c r="K1913"/>
  <c r="L1913" s="1"/>
  <c r="M1913" s="1"/>
  <c r="K1912"/>
  <c r="L1912" s="1"/>
  <c r="M1912" s="1"/>
  <c r="K1911"/>
  <c r="L1911" s="1"/>
  <c r="M1911" s="1"/>
  <c r="K1910"/>
  <c r="L1910" s="1"/>
  <c r="M1910" s="1"/>
  <c r="K1909"/>
  <c r="L1909" s="1"/>
  <c r="M1909" s="1"/>
  <c r="K1908"/>
  <c r="L1908" s="1"/>
  <c r="M1908" s="1"/>
  <c r="K1907"/>
  <c r="L1907" s="1"/>
  <c r="M1907" s="1"/>
  <c r="K1906"/>
  <c r="L1906" s="1"/>
  <c r="M1906" s="1"/>
  <c r="K1905"/>
  <c r="L1905" s="1"/>
  <c r="M1905" s="1"/>
  <c r="K1904"/>
  <c r="L1904" s="1"/>
  <c r="M1904" s="1"/>
  <c r="K1903"/>
  <c r="L1903" s="1"/>
  <c r="M1903" s="1"/>
  <c r="K1902"/>
  <c r="L1902" s="1"/>
  <c r="M1902" s="1"/>
  <c r="K1901"/>
  <c r="L1901" s="1"/>
  <c r="M1901" s="1"/>
  <c r="K1900"/>
  <c r="L1900" s="1"/>
  <c r="M1900" s="1"/>
  <c r="K1899"/>
  <c r="L1899" s="1"/>
  <c r="M1899" s="1"/>
  <c r="K1898"/>
  <c r="L1898" s="1"/>
  <c r="M1898" s="1"/>
  <c r="K1897"/>
  <c r="L1897" s="1"/>
  <c r="M1897" s="1"/>
  <c r="K1896"/>
  <c r="L1896" s="1"/>
  <c r="M1896" s="1"/>
  <c r="K1895"/>
  <c r="L1895" s="1"/>
  <c r="M1895" s="1"/>
  <c r="K1894"/>
  <c r="L1894" s="1"/>
  <c r="M1894" s="1"/>
  <c r="K1893"/>
  <c r="L1893" s="1"/>
  <c r="M1893" s="1"/>
  <c r="K1892"/>
  <c r="L1892" s="1"/>
  <c r="M1892" s="1"/>
  <c r="K1891"/>
  <c r="L1891" s="1"/>
  <c r="M1891" s="1"/>
  <c r="K1890"/>
  <c r="L1890" s="1"/>
  <c r="M1890" s="1"/>
  <c r="K1889"/>
  <c r="L1889" s="1"/>
  <c r="M1889" s="1"/>
  <c r="K1888"/>
  <c r="L1888" s="1"/>
  <c r="M1888" s="1"/>
  <c r="K1887"/>
  <c r="L1887" s="1"/>
  <c r="M1887" s="1"/>
  <c r="K1886"/>
  <c r="L1886" s="1"/>
  <c r="M1886" s="1"/>
  <c r="K1885"/>
  <c r="L1885" s="1"/>
  <c r="M1885" s="1"/>
  <c r="K1884"/>
  <c r="L1884" s="1"/>
  <c r="M1884" s="1"/>
  <c r="K1883"/>
  <c r="L1883" s="1"/>
  <c r="M1883" s="1"/>
  <c r="K1882"/>
  <c r="L1882" s="1"/>
  <c r="M1882" s="1"/>
  <c r="K1881"/>
  <c r="L1881" s="1"/>
  <c r="M1881" s="1"/>
  <c r="K1880"/>
  <c r="L1880" s="1"/>
  <c r="M1880" s="1"/>
  <c r="K1879"/>
  <c r="L1879" s="1"/>
  <c r="M1879" s="1"/>
  <c r="K1878"/>
  <c r="L1878" s="1"/>
  <c r="M1878" s="1"/>
  <c r="K1877"/>
  <c r="L1877" s="1"/>
  <c r="M1877" s="1"/>
  <c r="K1876"/>
  <c r="L1876" s="1"/>
  <c r="M1876" s="1"/>
  <c r="K1875"/>
  <c r="L1875" s="1"/>
  <c r="M1875" s="1"/>
  <c r="K1874"/>
  <c r="L1874" s="1"/>
  <c r="M1874" s="1"/>
  <c r="K1873"/>
  <c r="L1873" s="1"/>
  <c r="M1873" s="1"/>
  <c r="K1872"/>
  <c r="L1872" s="1"/>
  <c r="M1872" s="1"/>
  <c r="K1871"/>
  <c r="L1871" s="1"/>
  <c r="M1871" s="1"/>
  <c r="K1870"/>
  <c r="L1870" s="1"/>
  <c r="M1870" s="1"/>
  <c r="K1869"/>
  <c r="L1869" s="1"/>
  <c r="M1869" s="1"/>
  <c r="K1868"/>
  <c r="L1868" s="1"/>
  <c r="M1868" s="1"/>
  <c r="K1867"/>
  <c r="L1867" s="1"/>
  <c r="M1867" s="1"/>
  <c r="K1866"/>
  <c r="L1866" s="1"/>
  <c r="M1866" s="1"/>
  <c r="K1865"/>
  <c r="L1865" s="1"/>
  <c r="M1865" s="1"/>
  <c r="K1864"/>
  <c r="L1864" s="1"/>
  <c r="M1864" s="1"/>
  <c r="K1863"/>
  <c r="L1863" s="1"/>
  <c r="M1863" s="1"/>
  <c r="K1862"/>
  <c r="L1862" s="1"/>
  <c r="M1862" s="1"/>
  <c r="K1861"/>
  <c r="L1861" s="1"/>
  <c r="M1861" s="1"/>
  <c r="K1860"/>
  <c r="L1860" s="1"/>
  <c r="M1860" s="1"/>
  <c r="K1859"/>
  <c r="L1859" s="1"/>
  <c r="M1859" s="1"/>
  <c r="K1858"/>
  <c r="L1858" s="1"/>
  <c r="M1858" s="1"/>
  <c r="K1857"/>
  <c r="L1857" s="1"/>
  <c r="M1857" s="1"/>
  <c r="K1856"/>
  <c r="L1856" s="1"/>
  <c r="M1856" s="1"/>
  <c r="K1855"/>
  <c r="L1855" s="1"/>
  <c r="M1855" s="1"/>
  <c r="K1854"/>
  <c r="L1854" s="1"/>
  <c r="M1854" s="1"/>
  <c r="K1853"/>
  <c r="L1853" s="1"/>
  <c r="M1853" s="1"/>
  <c r="K1852"/>
  <c r="L1852" s="1"/>
  <c r="M1852" s="1"/>
  <c r="K1851"/>
  <c r="L1851" s="1"/>
  <c r="M1851" s="1"/>
  <c r="K1850"/>
  <c r="L1850" s="1"/>
  <c r="M1850" s="1"/>
  <c r="K1849"/>
  <c r="L1849" s="1"/>
  <c r="M1849" s="1"/>
  <c r="K1848"/>
  <c r="L1848" s="1"/>
  <c r="M1848" s="1"/>
  <c r="K1847"/>
  <c r="L1847" s="1"/>
  <c r="M1847" s="1"/>
  <c r="K1846"/>
  <c r="L1846" s="1"/>
  <c r="M1846" s="1"/>
  <c r="K1845"/>
  <c r="L1845" s="1"/>
  <c r="M1845" s="1"/>
  <c r="K1844"/>
  <c r="L1844" s="1"/>
  <c r="M1844" s="1"/>
  <c r="K1843"/>
  <c r="L1843" s="1"/>
  <c r="M1843" s="1"/>
  <c r="K1842"/>
  <c r="L1842" s="1"/>
  <c r="M1842" s="1"/>
  <c r="K1841"/>
  <c r="L1841" s="1"/>
  <c r="M1841" s="1"/>
  <c r="K1840"/>
  <c r="L1840" s="1"/>
  <c r="M1840" s="1"/>
  <c r="K1839"/>
  <c r="L1839" s="1"/>
  <c r="M1839" s="1"/>
  <c r="K1838"/>
  <c r="L1838" s="1"/>
  <c r="M1838" s="1"/>
  <c r="K1837"/>
  <c r="L1837" s="1"/>
  <c r="M1837" s="1"/>
  <c r="K1836"/>
  <c r="L1836" s="1"/>
  <c r="M1836" s="1"/>
  <c r="K1835"/>
  <c r="L1835" s="1"/>
  <c r="M1835" s="1"/>
  <c r="K1834"/>
  <c r="L1834" s="1"/>
  <c r="M1834" s="1"/>
  <c r="K1833"/>
  <c r="L1833" s="1"/>
  <c r="M1833" s="1"/>
  <c r="K1832"/>
  <c r="L1832" s="1"/>
  <c r="M1832" s="1"/>
  <c r="K1831"/>
  <c r="L1831" s="1"/>
  <c r="M1831" s="1"/>
  <c r="K1830"/>
  <c r="L1830" s="1"/>
  <c r="M1830" s="1"/>
  <c r="K1829"/>
  <c r="L1829" s="1"/>
  <c r="M1829" s="1"/>
  <c r="K1828"/>
  <c r="L1828" s="1"/>
  <c r="M1828" s="1"/>
  <c r="K1827"/>
  <c r="L1827" s="1"/>
  <c r="M1827" s="1"/>
  <c r="K1826"/>
  <c r="L1826" s="1"/>
  <c r="M1826" s="1"/>
  <c r="K1825"/>
  <c r="L1825" s="1"/>
  <c r="M1825" s="1"/>
  <c r="K1824"/>
  <c r="L1824" s="1"/>
  <c r="M1824" s="1"/>
  <c r="K1823"/>
  <c r="L1823" s="1"/>
  <c r="M1823" s="1"/>
  <c r="K1822"/>
  <c r="L1822" s="1"/>
  <c r="M1822" s="1"/>
  <c r="K1821"/>
  <c r="L1821" s="1"/>
  <c r="M1821" s="1"/>
  <c r="K1820"/>
  <c r="L1820" s="1"/>
  <c r="M1820" s="1"/>
  <c r="K1819"/>
  <c r="L1819" s="1"/>
  <c r="M1819" s="1"/>
  <c r="K1818"/>
  <c r="L1818" s="1"/>
  <c r="M1818" s="1"/>
  <c r="K1817"/>
  <c r="L1817" s="1"/>
  <c r="M1817" s="1"/>
  <c r="K1816"/>
  <c r="L1816" s="1"/>
  <c r="M1816" s="1"/>
  <c r="K1815"/>
  <c r="L1815" s="1"/>
  <c r="M1815" s="1"/>
  <c r="K1814"/>
  <c r="L1814" s="1"/>
  <c r="M1814" s="1"/>
  <c r="K1813"/>
  <c r="L1813" s="1"/>
  <c r="M1813" s="1"/>
  <c r="K1812"/>
  <c r="L1812" s="1"/>
  <c r="M1812" s="1"/>
  <c r="K1811"/>
  <c r="L1811" s="1"/>
  <c r="M1811" s="1"/>
  <c r="K1810"/>
  <c r="L1810" s="1"/>
  <c r="M1810" s="1"/>
  <c r="K1809"/>
  <c r="L1809" s="1"/>
  <c r="M1809" s="1"/>
  <c r="K1808"/>
  <c r="L1808" s="1"/>
  <c r="M1808" s="1"/>
  <c r="K1807"/>
  <c r="L1807" s="1"/>
  <c r="M1807" s="1"/>
  <c r="K1806"/>
  <c r="L1806" s="1"/>
  <c r="M1806" s="1"/>
  <c r="K1805"/>
  <c r="L1805" s="1"/>
  <c r="M1805" s="1"/>
  <c r="K1804"/>
  <c r="L1804" s="1"/>
  <c r="M1804" s="1"/>
  <c r="K1803"/>
  <c r="L1803" s="1"/>
  <c r="M1803" s="1"/>
  <c r="K1802"/>
  <c r="L1802" s="1"/>
  <c r="M1802" s="1"/>
  <c r="K1801"/>
  <c r="L1801" s="1"/>
  <c r="M1801" s="1"/>
  <c r="K1800"/>
  <c r="L1800" s="1"/>
  <c r="M1800" s="1"/>
  <c r="K1799"/>
  <c r="L1799" s="1"/>
  <c r="M1799" s="1"/>
  <c r="K1798"/>
  <c r="L1798" s="1"/>
  <c r="M1798" s="1"/>
  <c r="K1797"/>
  <c r="L1797" s="1"/>
  <c r="M1797" s="1"/>
  <c r="K1796"/>
  <c r="L1796" s="1"/>
  <c r="M1796" s="1"/>
  <c r="K1795"/>
  <c r="L1795" s="1"/>
  <c r="M1795" s="1"/>
  <c r="K1794"/>
  <c r="L1794" s="1"/>
  <c r="M1794" s="1"/>
  <c r="K1793"/>
  <c r="L1793" s="1"/>
  <c r="M1793" s="1"/>
  <c r="K1792"/>
  <c r="L1792" s="1"/>
  <c r="M1792" s="1"/>
  <c r="K1791"/>
  <c r="L1791" s="1"/>
  <c r="M1791" s="1"/>
  <c r="K1790"/>
  <c r="L1790" s="1"/>
  <c r="M1790" s="1"/>
  <c r="K1789"/>
  <c r="L1789" s="1"/>
  <c r="M1789" s="1"/>
  <c r="K1788"/>
  <c r="L1788" s="1"/>
  <c r="M1788" s="1"/>
  <c r="K1787"/>
  <c r="L1787" s="1"/>
  <c r="M1787" s="1"/>
  <c r="K1786"/>
  <c r="L1786" s="1"/>
  <c r="M1786" s="1"/>
  <c r="K1785"/>
  <c r="L1785" s="1"/>
  <c r="M1785" s="1"/>
  <c r="K1784"/>
  <c r="L1784" s="1"/>
  <c r="M1784" s="1"/>
  <c r="K1783"/>
  <c r="L1783" s="1"/>
  <c r="M1783" s="1"/>
  <c r="K1782"/>
  <c r="L1782" s="1"/>
  <c r="M1782" s="1"/>
  <c r="K1781"/>
  <c r="L1781" s="1"/>
  <c r="M1781" s="1"/>
  <c r="K1780"/>
  <c r="L1780" s="1"/>
  <c r="M1780" s="1"/>
  <c r="K1779"/>
  <c r="L1779" s="1"/>
  <c r="M1779" s="1"/>
  <c r="K1778"/>
  <c r="L1778" s="1"/>
  <c r="M1778" s="1"/>
  <c r="K1777"/>
  <c r="L1777" s="1"/>
  <c r="M1777" s="1"/>
  <c r="K1776"/>
  <c r="L1776" s="1"/>
  <c r="M1776" s="1"/>
  <c r="K1775"/>
  <c r="L1775" s="1"/>
  <c r="M1775" s="1"/>
  <c r="K1774"/>
  <c r="L1774" s="1"/>
  <c r="M1774" s="1"/>
  <c r="K1773"/>
  <c r="L1773" s="1"/>
  <c r="M1773" s="1"/>
  <c r="K1772"/>
  <c r="L1772" s="1"/>
  <c r="M1772" s="1"/>
  <c r="K1771"/>
  <c r="L1771" s="1"/>
  <c r="M1771" s="1"/>
  <c r="K1770"/>
  <c r="L1770" s="1"/>
  <c r="M1770" s="1"/>
  <c r="K1769"/>
  <c r="L1769" s="1"/>
  <c r="M1769" s="1"/>
  <c r="K1768"/>
  <c r="L1768" s="1"/>
  <c r="M1768" s="1"/>
  <c r="K1767"/>
  <c r="L1767" s="1"/>
  <c r="M1767" s="1"/>
  <c r="K1766"/>
  <c r="L1766" s="1"/>
  <c r="M1766" s="1"/>
  <c r="K1765"/>
  <c r="L1765" s="1"/>
  <c r="M1765" s="1"/>
  <c r="K1764"/>
  <c r="L1764" s="1"/>
  <c r="K1763"/>
  <c r="L1763" s="1"/>
  <c r="K1762"/>
  <c r="L1762" s="1"/>
  <c r="M1762" s="1"/>
  <c r="N1762" s="1"/>
  <c r="K1761"/>
  <c r="L1761" s="1"/>
  <c r="M1761" s="1"/>
  <c r="N1761" s="1"/>
  <c r="K1760"/>
  <c r="L1760" s="1"/>
  <c r="K1759"/>
  <c r="L1759" s="1"/>
  <c r="K1758"/>
  <c r="L1758" s="1"/>
  <c r="K1757"/>
  <c r="L1757" s="1"/>
  <c r="M1757" s="1"/>
  <c r="N1757" s="1"/>
  <c r="K1756"/>
  <c r="L1756" s="1"/>
  <c r="K1755"/>
  <c r="L1755" s="1"/>
  <c r="M1755" s="1"/>
  <c r="N1755" s="1"/>
  <c r="K1754"/>
  <c r="L1754" s="1"/>
  <c r="K1753"/>
  <c r="L1753" s="1"/>
  <c r="K1752"/>
  <c r="L1752" s="1"/>
  <c r="M1752" s="1"/>
  <c r="N1752" s="1"/>
  <c r="K1751"/>
  <c r="L1751" s="1"/>
  <c r="M1751" s="1"/>
  <c r="N1751" s="1"/>
  <c r="K1750"/>
  <c r="L1750" s="1"/>
  <c r="M1750" s="1"/>
  <c r="N1750" s="1"/>
  <c r="K1749"/>
  <c r="L1749" s="1"/>
  <c r="M1749" s="1"/>
  <c r="N1749" s="1"/>
  <c r="K1748"/>
  <c r="L1748" s="1"/>
  <c r="M1748" s="1"/>
  <c r="N1748" s="1"/>
  <c r="K1747"/>
  <c r="L1747" s="1"/>
  <c r="M1747" s="1"/>
  <c r="N1747" s="1"/>
  <c r="K1746"/>
  <c r="L1746" s="1"/>
  <c r="M1746" s="1"/>
  <c r="N1746" s="1"/>
  <c r="K1745"/>
  <c r="L1745" s="1"/>
  <c r="M1745" s="1"/>
  <c r="N1745" s="1"/>
  <c r="K1744"/>
  <c r="L1744" s="1"/>
  <c r="K1743"/>
  <c r="L1743" s="1"/>
  <c r="K1742"/>
  <c r="L1742" s="1"/>
  <c r="M1742" s="1"/>
  <c r="N1742" s="1"/>
  <c r="K1741"/>
  <c r="L1741" s="1"/>
  <c r="M1741" s="1"/>
  <c r="N1741" s="1"/>
  <c r="K1740"/>
  <c r="L1740" s="1"/>
  <c r="K1739"/>
  <c r="L1739" s="1"/>
  <c r="K1738"/>
  <c r="L1738" s="1"/>
  <c r="M1738" s="1"/>
  <c r="N1738" s="1"/>
  <c r="K1737"/>
  <c r="L1737" s="1"/>
  <c r="K1736"/>
  <c r="L1736" s="1"/>
  <c r="M1736" s="1"/>
  <c r="N1736" s="1"/>
  <c r="K1735"/>
  <c r="L1735" s="1"/>
  <c r="K1734"/>
  <c r="L1734" s="1"/>
  <c r="K1733"/>
  <c r="L1733" s="1"/>
  <c r="M1733" s="1"/>
  <c r="N1733" s="1"/>
  <c r="K1732"/>
  <c r="L1732" s="1"/>
  <c r="M1732" s="1"/>
  <c r="N1732" s="1"/>
  <c r="K1731"/>
  <c r="L1731" s="1"/>
  <c r="M1731" s="1"/>
  <c r="N1731" s="1"/>
  <c r="K1730"/>
  <c r="L1730" s="1"/>
  <c r="M1730" s="1"/>
  <c r="N1730" s="1"/>
  <c r="K1729"/>
  <c r="L1729" s="1"/>
  <c r="K1728"/>
  <c r="L1728" s="1"/>
  <c r="M1728" s="1"/>
  <c r="N1728" s="1"/>
  <c r="K1727"/>
  <c r="L1727" s="1"/>
  <c r="M1727" s="1"/>
  <c r="N1727" s="1"/>
  <c r="K1726"/>
  <c r="L1726" s="1"/>
  <c r="M1726" s="1"/>
  <c r="N1726" s="1"/>
  <c r="K1725"/>
  <c r="L1725" s="1"/>
  <c r="K1724"/>
  <c r="L1724" s="1"/>
  <c r="M1724" s="1"/>
  <c r="N1724" s="1"/>
  <c r="K1723"/>
  <c r="L1723" s="1"/>
  <c r="M1723" s="1"/>
  <c r="N1723" s="1"/>
  <c r="K1722"/>
  <c r="L1722" s="1"/>
  <c r="M1722" s="1"/>
  <c r="N1722" s="1"/>
  <c r="K1721"/>
  <c r="L1721" s="1"/>
  <c r="K1720"/>
  <c r="L1720" s="1"/>
  <c r="M1720" s="1"/>
  <c r="N1720" s="1"/>
  <c r="K1719"/>
  <c r="L1719" s="1"/>
  <c r="M1719" s="1"/>
  <c r="N1719" s="1"/>
  <c r="K1718"/>
  <c r="L1718" s="1"/>
  <c r="M1718" s="1"/>
  <c r="N1718" s="1"/>
  <c r="K1717"/>
  <c r="L1717" s="1"/>
  <c r="K1716"/>
  <c r="L1716" s="1"/>
  <c r="K1715"/>
  <c r="L1715" s="1"/>
  <c r="K1714"/>
  <c r="L1714" s="1"/>
  <c r="M1714" s="1"/>
  <c r="N1714" s="1"/>
  <c r="K1713"/>
  <c r="L1713" s="1"/>
  <c r="K1712"/>
  <c r="L1712" s="1"/>
  <c r="M1712" s="1"/>
  <c r="N1712" s="1"/>
  <c r="K1711"/>
  <c r="L1711" s="1"/>
  <c r="K1710"/>
  <c r="L1710" s="1"/>
  <c r="K1709"/>
  <c r="L1709" s="1"/>
  <c r="M1709" s="1"/>
  <c r="N1709" s="1"/>
  <c r="K1708"/>
  <c r="L1708" s="1"/>
  <c r="M1708" s="1"/>
  <c r="N1708" s="1"/>
  <c r="K1707"/>
  <c r="L1707" s="1"/>
  <c r="M1707" s="1"/>
  <c r="N1707" s="1"/>
  <c r="K1706"/>
  <c r="L1706" s="1"/>
  <c r="M1706" s="1"/>
  <c r="N1706" s="1"/>
  <c r="K1705"/>
  <c r="L1705" s="1"/>
  <c r="K1704"/>
  <c r="L1704" s="1"/>
  <c r="M1704" s="1"/>
  <c r="N1704" s="1"/>
  <c r="K1703"/>
  <c r="L1703" s="1"/>
  <c r="M1703" s="1"/>
  <c r="N1703" s="1"/>
  <c r="K1702"/>
  <c r="L1702" s="1"/>
  <c r="M1702" s="1"/>
  <c r="N1702" s="1"/>
  <c r="K1701"/>
  <c r="L1701" s="1"/>
  <c r="M1701" s="1"/>
  <c r="N1701" s="1"/>
  <c r="K1700"/>
  <c r="L1700" s="1"/>
  <c r="K1699"/>
  <c r="L1699" s="1"/>
  <c r="M1699" s="1"/>
  <c r="N1699" s="1"/>
  <c r="K1698"/>
  <c r="L1698" s="1"/>
  <c r="M1698" s="1"/>
  <c r="N1698" s="1"/>
  <c r="K1697"/>
  <c r="L1697" s="1"/>
  <c r="M1697" s="1"/>
  <c r="N1697" s="1"/>
  <c r="K1696"/>
  <c r="L1696" s="1"/>
  <c r="K1695"/>
  <c r="L1695" s="1"/>
  <c r="K1694"/>
  <c r="L1694" s="1"/>
  <c r="K1693"/>
  <c r="L1693" s="1"/>
  <c r="M1693" s="1"/>
  <c r="N1693" s="1"/>
  <c r="K1692"/>
  <c r="L1692" s="1"/>
  <c r="K1691"/>
  <c r="L1691" s="1"/>
  <c r="M1691" s="1"/>
  <c r="N1691" s="1"/>
  <c r="K1690"/>
  <c r="L1690" s="1"/>
  <c r="K1689"/>
  <c r="L1689" s="1"/>
  <c r="K1688"/>
  <c r="L1688" s="1"/>
  <c r="M1688" s="1"/>
  <c r="N1688" s="1"/>
  <c r="K1687"/>
  <c r="L1687" s="1"/>
  <c r="M1687" s="1"/>
  <c r="N1687" s="1"/>
  <c r="K1686"/>
  <c r="L1686" s="1"/>
  <c r="M1686" s="1"/>
  <c r="N1686" s="1"/>
  <c r="K1685"/>
  <c r="L1685" s="1"/>
  <c r="K1684"/>
  <c r="L1684" s="1"/>
  <c r="M1684" s="1"/>
  <c r="N1684" s="1"/>
  <c r="K1683"/>
  <c r="L1683" s="1"/>
  <c r="M1683" s="1"/>
  <c r="N1683" s="1"/>
  <c r="K1682"/>
  <c r="L1682" s="1"/>
  <c r="M1682" s="1"/>
  <c r="N1682" s="1"/>
  <c r="K1681"/>
  <c r="L1681" s="1"/>
  <c r="M1681" s="1"/>
  <c r="N1681" s="1"/>
  <c r="K1680"/>
  <c r="L1680" s="1"/>
  <c r="M1680" s="1"/>
  <c r="N1680" s="1"/>
  <c r="K1679"/>
  <c r="L1679" s="1"/>
  <c r="K1678"/>
  <c r="L1678" s="1"/>
  <c r="M1678" s="1"/>
  <c r="N1678" s="1"/>
  <c r="K1677"/>
  <c r="L1677" s="1"/>
  <c r="M1677" s="1"/>
  <c r="N1677" s="1"/>
  <c r="K1676"/>
  <c r="L1676" s="1"/>
  <c r="M1676" s="1"/>
  <c r="N1676" s="1"/>
  <c r="K1675"/>
  <c r="L1675" s="1"/>
  <c r="M1675" s="1"/>
  <c r="N1675" s="1"/>
  <c r="K1674"/>
  <c r="L1674" s="1"/>
  <c r="M1674" s="1"/>
  <c r="N1674" s="1"/>
  <c r="K1673"/>
  <c r="L1673" s="1"/>
  <c r="M1673" s="1"/>
  <c r="N1673" s="1"/>
  <c r="K1672"/>
  <c r="L1672" s="1"/>
  <c r="M1672" s="1"/>
  <c r="N1672" s="1"/>
  <c r="K1671"/>
  <c r="L1671" s="1"/>
  <c r="M1671" s="1"/>
  <c r="N1671" s="1"/>
  <c r="K1670"/>
  <c r="L1670" s="1"/>
  <c r="M1670" s="1"/>
  <c r="N1670" s="1"/>
  <c r="K1669"/>
  <c r="L1669" s="1"/>
  <c r="K1668"/>
  <c r="L1668" s="1"/>
  <c r="M1668" s="1"/>
  <c r="N1668" s="1"/>
  <c r="K1667"/>
  <c r="L1667" s="1"/>
  <c r="M1667" s="1"/>
  <c r="N1667" s="1"/>
  <c r="K1666"/>
  <c r="L1666" s="1"/>
  <c r="M1666" s="1"/>
  <c r="N1666" s="1"/>
  <c r="K1665"/>
  <c r="L1665" s="1"/>
  <c r="M1665" s="1"/>
  <c r="N1665" s="1"/>
  <c r="K1664"/>
  <c r="L1664" s="1"/>
  <c r="M1664" s="1"/>
  <c r="N1664" s="1"/>
  <c r="K1663"/>
  <c r="L1663" s="1"/>
  <c r="M1663" s="1"/>
  <c r="N1663" s="1"/>
  <c r="K1662"/>
  <c r="L1662" s="1"/>
  <c r="M1662" s="1"/>
  <c r="N1662" s="1"/>
  <c r="K1656"/>
  <c r="L1656" s="1"/>
  <c r="K1655"/>
  <c r="L1655" s="1"/>
  <c r="M1655" s="1"/>
  <c r="N1655" s="1"/>
  <c r="K1654"/>
  <c r="L1654" s="1"/>
  <c r="M1654" s="1"/>
  <c r="N1654" s="1"/>
  <c r="K1653"/>
  <c r="L1653" s="1"/>
  <c r="M1653" s="1"/>
  <c r="N1653" s="1"/>
  <c r="K1652"/>
  <c r="L1652" s="1"/>
  <c r="M1652" s="1"/>
  <c r="N1652" s="1"/>
  <c r="K1651"/>
  <c r="L1651" s="1"/>
  <c r="M1651" s="1"/>
  <c r="N1651" s="1"/>
  <c r="K1650"/>
  <c r="L1650" s="1"/>
  <c r="M1650" s="1"/>
  <c r="N1650" s="1"/>
  <c r="K1634"/>
  <c r="L1634" s="1"/>
  <c r="K1633"/>
  <c r="L1633" s="1"/>
  <c r="M1633" s="1"/>
  <c r="N1633" s="1"/>
  <c r="K1632"/>
  <c r="L1632" s="1"/>
  <c r="M1632" s="1"/>
  <c r="N1632" s="1"/>
  <c r="K1631"/>
  <c r="L1631" s="1"/>
  <c r="M1631" s="1"/>
  <c r="N1631" s="1"/>
  <c r="K1630"/>
  <c r="L1630" s="1"/>
  <c r="M1630" s="1"/>
  <c r="N1630" s="1"/>
  <c r="K1629"/>
  <c r="L1629" s="1"/>
  <c r="M1629" s="1"/>
  <c r="N1629" s="1"/>
  <c r="K1628"/>
  <c r="L1628" s="1"/>
  <c r="M1628" s="1"/>
  <c r="N1628" s="1"/>
  <c r="K1627"/>
  <c r="L1627" s="1"/>
  <c r="M1627" s="1"/>
  <c r="N1627" s="1"/>
  <c r="K1626"/>
  <c r="L1626" s="1"/>
  <c r="K1625"/>
  <c r="L1625" s="1"/>
  <c r="M1625" s="1"/>
  <c r="N1625" s="1"/>
  <c r="K1624"/>
  <c r="L1624" s="1"/>
  <c r="M1624" s="1"/>
  <c r="N1624" s="1"/>
  <c r="K1623"/>
  <c r="L1623" s="1"/>
  <c r="M1623" s="1"/>
  <c r="N1623" s="1"/>
  <c r="K1622"/>
  <c r="L1622" s="1"/>
  <c r="M1622" s="1"/>
  <c r="N1622" s="1"/>
  <c r="K1621"/>
  <c r="L1621" s="1"/>
  <c r="K1620"/>
  <c r="L1620" s="1"/>
  <c r="M1620" s="1"/>
  <c r="N1620" s="1"/>
  <c r="K1619"/>
  <c r="L1619" s="1"/>
  <c r="M1619" s="1"/>
  <c r="N1619" s="1"/>
  <c r="K1618"/>
  <c r="L1618" s="1"/>
  <c r="M1618" s="1"/>
  <c r="N1618" s="1"/>
  <c r="K1617"/>
  <c r="L1617" s="1"/>
  <c r="M1617" s="1"/>
  <c r="N1617" s="1"/>
  <c r="K1616"/>
  <c r="L1616" s="1"/>
  <c r="M1616" s="1"/>
  <c r="N1616" s="1"/>
  <c r="K1615"/>
  <c r="L1615" s="1"/>
  <c r="M1615" s="1"/>
  <c r="N1615" s="1"/>
  <c r="K1614"/>
  <c r="L1614" s="1"/>
  <c r="M1614" s="1"/>
  <c r="N1614" s="1"/>
  <c r="K1613"/>
  <c r="L1613" s="1"/>
  <c r="K1612"/>
  <c r="L1612" s="1"/>
  <c r="M1612" s="1"/>
  <c r="N1612" s="1"/>
  <c r="K1611"/>
  <c r="L1611" s="1"/>
  <c r="M1611" s="1"/>
  <c r="N1611" s="1"/>
  <c r="K1610"/>
  <c r="L1610" s="1"/>
  <c r="K1609"/>
  <c r="L1609" s="1"/>
  <c r="M1609" s="1"/>
  <c r="N1609" s="1"/>
  <c r="K1608"/>
  <c r="L1608" s="1"/>
  <c r="K1607"/>
  <c r="L1607" s="1"/>
  <c r="M1607" s="1"/>
  <c r="N1607" s="1"/>
  <c r="K1606"/>
  <c r="L1606" s="1"/>
  <c r="M1606" s="1"/>
  <c r="N1606" s="1"/>
  <c r="K1605"/>
  <c r="L1605" s="1"/>
  <c r="M1605" s="1"/>
  <c r="N1605" s="1"/>
  <c r="K1604"/>
  <c r="L1604" s="1"/>
  <c r="K1603"/>
  <c r="L1603" s="1"/>
  <c r="K1602"/>
  <c r="L1602" s="1"/>
  <c r="M1602" s="1"/>
  <c r="N1602" s="1"/>
  <c r="K1601"/>
  <c r="L1601" s="1"/>
  <c r="M1601" s="1"/>
  <c r="N1601" s="1"/>
  <c r="K1600"/>
  <c r="L1600" s="1"/>
  <c r="K1599"/>
  <c r="L1599" s="1"/>
  <c r="K1598"/>
  <c r="L1598" s="1"/>
  <c r="M1598" s="1"/>
  <c r="N1598" s="1"/>
  <c r="K1597"/>
  <c r="L1597" s="1"/>
  <c r="K1596"/>
  <c r="L1596" s="1"/>
  <c r="M1596" s="1"/>
  <c r="N1596" s="1"/>
  <c r="K1595"/>
  <c r="L1595" s="1"/>
  <c r="K1594"/>
  <c r="L1594" s="1"/>
  <c r="K1593"/>
  <c r="L1593" s="1"/>
  <c r="M1593" s="1"/>
  <c r="N1593" s="1"/>
  <c r="K1592"/>
  <c r="L1592" s="1"/>
  <c r="M1592" s="1"/>
  <c r="N1592" s="1"/>
  <c r="K1591"/>
  <c r="L1591" s="1"/>
  <c r="M1591" s="1"/>
  <c r="N1591" s="1"/>
  <c r="K1590"/>
  <c r="L1590" s="1"/>
  <c r="M1590" s="1"/>
  <c r="N1590" s="1"/>
  <c r="K1589"/>
  <c r="L1589" s="1"/>
  <c r="M1589" s="1"/>
  <c r="N1589" s="1"/>
  <c r="K1588"/>
  <c r="L1588" s="1"/>
  <c r="M1588" s="1"/>
  <c r="N1588" s="1"/>
  <c r="K1587"/>
  <c r="L1587" s="1"/>
  <c r="M1587" s="1"/>
  <c r="N1587" s="1"/>
  <c r="K1586"/>
  <c r="L1586" s="1"/>
  <c r="M1586" s="1"/>
  <c r="N1586" s="1"/>
  <c r="K1585"/>
  <c r="L1585" s="1"/>
  <c r="K1584"/>
  <c r="L1584" s="1"/>
  <c r="M1584" s="1"/>
  <c r="N1584" s="1"/>
  <c r="K1583"/>
  <c r="L1583" s="1"/>
  <c r="M1583" s="1"/>
  <c r="N1583" s="1"/>
  <c r="K1582"/>
  <c r="L1582" s="1"/>
  <c r="M1582" s="1"/>
  <c r="N1582" s="1"/>
  <c r="K1581"/>
  <c r="L1581" s="1"/>
  <c r="K1580"/>
  <c r="L1580" s="1"/>
  <c r="M1580" s="1"/>
  <c r="N1580" s="1"/>
  <c r="K1579"/>
  <c r="L1579" s="1"/>
  <c r="M1579" s="1"/>
  <c r="N1579" s="1"/>
  <c r="K1578"/>
  <c r="L1578" s="1"/>
  <c r="M1578" s="1"/>
  <c r="N1578" s="1"/>
  <c r="K1577"/>
  <c r="L1577" s="1"/>
  <c r="M1577" s="1"/>
  <c r="N1577" s="1"/>
  <c r="K1576"/>
  <c r="L1576" s="1"/>
  <c r="M1576" s="1"/>
  <c r="N1576" s="1"/>
  <c r="K1575"/>
  <c r="L1575" s="1"/>
  <c r="M1575" s="1"/>
  <c r="N1575" s="1"/>
  <c r="K1574"/>
  <c r="L1574" s="1"/>
  <c r="M1574" s="1"/>
  <c r="N1574" s="1"/>
  <c r="K1573"/>
  <c r="L1573" s="1"/>
  <c r="K1572"/>
  <c r="L1572" s="1"/>
  <c r="M1572" s="1"/>
  <c r="N1572" s="1"/>
  <c r="K1571"/>
  <c r="L1571" s="1"/>
  <c r="M1571" s="1"/>
  <c r="N1571" s="1"/>
  <c r="K1570"/>
  <c r="L1570" s="1"/>
  <c r="M1570" s="1"/>
  <c r="N1570" s="1"/>
  <c r="K1569"/>
  <c r="L1569" s="1"/>
  <c r="M1569" s="1"/>
  <c r="N1569" s="1"/>
  <c r="K1568"/>
  <c r="L1568" s="1"/>
  <c r="M1568" s="1"/>
  <c r="N1568" s="1"/>
  <c r="K1567"/>
  <c r="L1567" s="1"/>
  <c r="M1567" s="1"/>
  <c r="N1567" s="1"/>
  <c r="K1566"/>
  <c r="L1566" s="1"/>
  <c r="M1566" s="1"/>
  <c r="N1566" s="1"/>
  <c r="K1565"/>
  <c r="L1565" s="1"/>
  <c r="K1564"/>
  <c r="L1564" s="1"/>
  <c r="K1563"/>
  <c r="L1563" s="1"/>
  <c r="M1563" s="1"/>
  <c r="N1563" s="1"/>
  <c r="K1562"/>
  <c r="L1562" s="1"/>
  <c r="M1562" s="1"/>
  <c r="N1562" s="1"/>
  <c r="K1561"/>
  <c r="L1561" s="1"/>
  <c r="K1560"/>
  <c r="L1560" s="1"/>
  <c r="K1559"/>
  <c r="L1559" s="1"/>
  <c r="M1559" s="1"/>
  <c r="N1559" s="1"/>
  <c r="K1558"/>
  <c r="L1558" s="1"/>
  <c r="K1557"/>
  <c r="L1557" s="1"/>
  <c r="M1557" s="1"/>
  <c r="N1557" s="1"/>
  <c r="K1556"/>
  <c r="L1556" s="1"/>
  <c r="K1555"/>
  <c r="L1555" s="1"/>
  <c r="K1554"/>
  <c r="L1554" s="1"/>
  <c r="M1554" s="1"/>
  <c r="N1554" s="1"/>
  <c r="K1553"/>
  <c r="L1553" s="1"/>
  <c r="M1553" s="1"/>
  <c r="N1553" s="1"/>
  <c r="K1552"/>
  <c r="L1552" s="1"/>
  <c r="M1552" s="1"/>
  <c r="N1552" s="1"/>
  <c r="K1551"/>
  <c r="L1551" s="1"/>
  <c r="M1551" s="1"/>
  <c r="N1551" s="1"/>
  <c r="K1550"/>
  <c r="L1550" s="1"/>
  <c r="M1550" s="1"/>
  <c r="N1550" s="1"/>
  <c r="K1549"/>
  <c r="L1549" s="1"/>
  <c r="K1548"/>
  <c r="L1548" s="1"/>
  <c r="M1548" s="1"/>
  <c r="N1548" s="1"/>
  <c r="K1547"/>
  <c r="L1547" s="1"/>
  <c r="M1547" s="1"/>
  <c r="N1547" s="1"/>
  <c r="K1546"/>
  <c r="L1546" s="1"/>
  <c r="M1546" s="1"/>
  <c r="K1545"/>
  <c r="L1545" s="1"/>
  <c r="K1544"/>
  <c r="L1544" s="1"/>
  <c r="M1544" s="1"/>
  <c r="N1544" s="1"/>
  <c r="K1543"/>
  <c r="L1543" s="1"/>
  <c r="M1543" s="1"/>
  <c r="N1543" s="1"/>
  <c r="K1542"/>
  <c r="L1542" s="1"/>
  <c r="M1542" s="1"/>
  <c r="N1542" s="1"/>
  <c r="K1541"/>
  <c r="L1541" s="1"/>
  <c r="K1540"/>
  <c r="L1540" s="1"/>
  <c r="M1540" s="1"/>
  <c r="N1540" s="1"/>
  <c r="K1539"/>
  <c r="L1539" s="1"/>
  <c r="M1539" s="1"/>
  <c r="N1539" s="1"/>
  <c r="K1538"/>
  <c r="L1538" s="1"/>
  <c r="M1538" s="1"/>
  <c r="N1538" s="1"/>
  <c r="K1537"/>
  <c r="L1537" s="1"/>
  <c r="M1537" s="1"/>
  <c r="N1537" s="1"/>
  <c r="K1536"/>
  <c r="L1536" s="1"/>
  <c r="M1536" s="1"/>
  <c r="N1536" s="1"/>
  <c r="K1535"/>
  <c r="L1535" s="1"/>
  <c r="K1534"/>
  <c r="L1534" s="1"/>
  <c r="M1534" s="1"/>
  <c r="N1534" s="1"/>
  <c r="K1533"/>
  <c r="L1533" s="1"/>
  <c r="M1533" s="1"/>
  <c r="N1533" s="1"/>
  <c r="K1532"/>
  <c r="L1532" s="1"/>
  <c r="M1532" s="1"/>
  <c r="N1532" s="1"/>
  <c r="K1531"/>
  <c r="L1531" s="1"/>
  <c r="M1531" s="1"/>
  <c r="N1531" s="1"/>
  <c r="K1530"/>
  <c r="L1530" s="1"/>
  <c r="M1530" s="1"/>
  <c r="N1530" s="1"/>
  <c r="K1523"/>
  <c r="L1523" s="1"/>
  <c r="K1522"/>
  <c r="L1522" s="1"/>
  <c r="M1522" s="1"/>
  <c r="N1522" s="1"/>
  <c r="K1521"/>
  <c r="L1521" s="1"/>
  <c r="M1521" s="1"/>
  <c r="N1521" s="1"/>
  <c r="K1520"/>
  <c r="L1520" s="1"/>
  <c r="K1519"/>
  <c r="L1519" s="1"/>
  <c r="M1519" s="1"/>
  <c r="N1519" s="1"/>
  <c r="K1518"/>
  <c r="L1518" s="1"/>
  <c r="M1518" s="1"/>
  <c r="N1518" s="1"/>
  <c r="K1517"/>
  <c r="L1517" s="1"/>
  <c r="K1516"/>
  <c r="L1516" s="1"/>
  <c r="M1516" s="1"/>
  <c r="N1516" s="1"/>
  <c r="K1515"/>
  <c r="L1515" s="1"/>
  <c r="M1515" s="1"/>
  <c r="N1515" s="1"/>
  <c r="K1514"/>
  <c r="L1514" s="1"/>
  <c r="K1513"/>
  <c r="L1513" s="1"/>
  <c r="M1513" s="1"/>
  <c r="N1513" s="1"/>
  <c r="K1512"/>
  <c r="L1512" s="1"/>
  <c r="M1512" s="1"/>
  <c r="N1512" s="1"/>
  <c r="K1511"/>
  <c r="L1511" s="1"/>
  <c r="M1511" s="1"/>
  <c r="N1511" s="1"/>
  <c r="K1510"/>
  <c r="L1510" s="1"/>
  <c r="K1509"/>
  <c r="L1509" s="1"/>
  <c r="M1509" s="1"/>
  <c r="N1509" s="1"/>
  <c r="K1508"/>
  <c r="L1508" s="1"/>
  <c r="M1508" s="1"/>
  <c r="N1508" s="1"/>
  <c r="K1507"/>
  <c r="L1507" s="1"/>
  <c r="M1507" s="1"/>
  <c r="N1507" s="1"/>
  <c r="K1506"/>
  <c r="L1506" s="1"/>
  <c r="K1505"/>
  <c r="L1505" s="1"/>
  <c r="M1505" s="1"/>
  <c r="N1505" s="1"/>
  <c r="K1504"/>
  <c r="L1504" s="1"/>
  <c r="M1504" s="1"/>
  <c r="N1504" s="1"/>
  <c r="K1503"/>
  <c r="L1503" s="1"/>
  <c r="M1503" s="1"/>
  <c r="N1503" s="1"/>
  <c r="K1502"/>
  <c r="L1502" s="1"/>
  <c r="M1502" s="1"/>
  <c r="N1502" s="1"/>
  <c r="K1501"/>
  <c r="L1501" s="1"/>
  <c r="M1501" s="1"/>
  <c r="N1501" s="1"/>
  <c r="K1500"/>
  <c r="L1500" s="1"/>
  <c r="M1500" s="1"/>
  <c r="N1500" s="1"/>
  <c r="K1499"/>
  <c r="L1499" s="1"/>
  <c r="K1498"/>
  <c r="L1498" s="1"/>
  <c r="M1498" s="1"/>
  <c r="N1498" s="1"/>
  <c r="K1497"/>
  <c r="L1497" s="1"/>
  <c r="M1497" s="1"/>
  <c r="N1497" s="1"/>
  <c r="K1496"/>
  <c r="L1496" s="1"/>
  <c r="M1496" s="1"/>
  <c r="N1496" s="1"/>
  <c r="K1495"/>
  <c r="L1495" s="1"/>
  <c r="M1495" s="1"/>
  <c r="N1495" s="1"/>
  <c r="K1494"/>
  <c r="L1494" s="1"/>
  <c r="M1494" s="1"/>
  <c r="N1494" s="1"/>
  <c r="K1493"/>
  <c r="L1493" s="1"/>
  <c r="M1493" s="1"/>
  <c r="N1493" s="1"/>
  <c r="K1492"/>
  <c r="L1492" s="1"/>
  <c r="K1491"/>
  <c r="L1491" s="1"/>
  <c r="M1491" s="1"/>
  <c r="N1491" s="1"/>
  <c r="K1490"/>
  <c r="L1490" s="1"/>
  <c r="M1490" s="1"/>
  <c r="N1490" s="1"/>
  <c r="K1489"/>
  <c r="L1489" s="1"/>
  <c r="M1489" s="1"/>
  <c r="N1489" s="1"/>
  <c r="K1488"/>
  <c r="L1488" s="1"/>
  <c r="M1488" s="1"/>
  <c r="N1488" s="1"/>
  <c r="K1487"/>
  <c r="L1487" s="1"/>
  <c r="M1487" s="1"/>
  <c r="N1487" s="1"/>
  <c r="K1486"/>
  <c r="L1486" s="1"/>
  <c r="M1486" s="1"/>
  <c r="N1486" s="1"/>
  <c r="K1485"/>
  <c r="L1485" s="1"/>
  <c r="M1485" s="1"/>
  <c r="N1485" s="1"/>
  <c r="K1484"/>
  <c r="L1484" s="1"/>
  <c r="K1483"/>
  <c r="L1483" s="1"/>
  <c r="M1483" s="1"/>
  <c r="N1483" s="1"/>
  <c r="K1482"/>
  <c r="L1482" s="1"/>
  <c r="M1482" s="1"/>
  <c r="N1482" s="1"/>
  <c r="K1481"/>
  <c r="L1481" s="1"/>
  <c r="K1480"/>
  <c r="L1480" s="1"/>
  <c r="K1479"/>
  <c r="L1479" s="1"/>
  <c r="M1479" s="1"/>
  <c r="N1479" s="1"/>
  <c r="K1478"/>
  <c r="L1478" s="1"/>
  <c r="M1478" s="1"/>
  <c r="N1478" s="1"/>
  <c r="K1477"/>
  <c r="L1477" s="1"/>
  <c r="M1477" s="1"/>
  <c r="N1477" s="1"/>
  <c r="K1476"/>
  <c r="L1476" s="1"/>
  <c r="K1475"/>
  <c r="L1475" s="1"/>
  <c r="M1475" s="1"/>
  <c r="N1475" s="1"/>
  <c r="K1474"/>
  <c r="L1474" s="1"/>
  <c r="M1474" s="1"/>
  <c r="N1474" s="1"/>
  <c r="K1467"/>
  <c r="L1467" s="1"/>
  <c r="M1467" s="1"/>
  <c r="N1467" s="1"/>
  <c r="K1466"/>
  <c r="L1466" s="1"/>
  <c r="M1466" s="1"/>
  <c r="N1466" s="1"/>
  <c r="K1465"/>
  <c r="L1465" s="1"/>
  <c r="M1465" s="1"/>
  <c r="N1465" s="1"/>
  <c r="K1464"/>
  <c r="L1464" s="1"/>
  <c r="K1463"/>
  <c r="L1463" s="1"/>
  <c r="M1463" s="1"/>
  <c r="N1463" s="1"/>
  <c r="K1462"/>
  <c r="L1462" s="1"/>
  <c r="M1462" s="1"/>
  <c r="N1462" s="1"/>
  <c r="K1461"/>
  <c r="L1461" s="1"/>
  <c r="K1460"/>
  <c r="L1460" s="1"/>
  <c r="M1460" s="1"/>
  <c r="N1460" s="1"/>
  <c r="K1459"/>
  <c r="L1459" s="1"/>
  <c r="M1459" s="1"/>
  <c r="N1459" s="1"/>
  <c r="K1458"/>
  <c r="L1458" s="1"/>
  <c r="K1457"/>
  <c r="L1457" s="1"/>
  <c r="M1457" s="1"/>
  <c r="N1457" s="1"/>
  <c r="K1456"/>
  <c r="L1456" s="1"/>
  <c r="M1456" s="1"/>
  <c r="N1456" s="1"/>
  <c r="K1455"/>
  <c r="L1455" s="1"/>
  <c r="M1455" s="1"/>
  <c r="N1455" s="1"/>
  <c r="K1454"/>
  <c r="L1454" s="1"/>
  <c r="M1454" s="1"/>
  <c r="N1454" s="1"/>
  <c r="K1453"/>
  <c r="L1453" s="1"/>
  <c r="M1453" s="1"/>
  <c r="N1453" s="1"/>
  <c r="K1452"/>
  <c r="L1452" s="1"/>
  <c r="K1451"/>
  <c r="L1451" s="1"/>
  <c r="M1451" s="1"/>
  <c r="N1451" s="1"/>
  <c r="K1450"/>
  <c r="L1450" s="1"/>
  <c r="M1450" s="1"/>
  <c r="N1450" s="1"/>
  <c r="K1449"/>
  <c r="L1449" s="1"/>
  <c r="M1449" s="1"/>
  <c r="N1449" s="1"/>
  <c r="K1448"/>
  <c r="L1448" s="1"/>
  <c r="M1448" s="1"/>
  <c r="N1448" s="1"/>
  <c r="K1447"/>
  <c r="L1447" s="1"/>
  <c r="M1447" s="1"/>
  <c r="N1447" s="1"/>
  <c r="K1446"/>
  <c r="L1446" s="1"/>
  <c r="M1446" s="1"/>
  <c r="N1446" s="1"/>
  <c r="K1445"/>
  <c r="L1445" s="1"/>
  <c r="K1444"/>
  <c r="L1444" s="1"/>
  <c r="M1444" s="1"/>
  <c r="N1444" s="1"/>
  <c r="K1443"/>
  <c r="L1443" s="1"/>
  <c r="M1443" s="1"/>
  <c r="N1443" s="1"/>
  <c r="K1442"/>
  <c r="L1442" s="1"/>
  <c r="M1442" s="1"/>
  <c r="N1442" s="1"/>
  <c r="K1441"/>
  <c r="L1441" s="1"/>
  <c r="M1441" s="1"/>
  <c r="N1441" s="1"/>
  <c r="K1440"/>
  <c r="L1440" s="1"/>
  <c r="K1439"/>
  <c r="L1439" s="1"/>
  <c r="M1439" s="1"/>
  <c r="N1439" s="1"/>
  <c r="K1438"/>
  <c r="L1438" s="1"/>
  <c r="M1438" s="1"/>
  <c r="N1438" s="1"/>
  <c r="K1437"/>
  <c r="L1437" s="1"/>
  <c r="K1436"/>
  <c r="L1436" s="1"/>
  <c r="M1436" s="1"/>
  <c r="N1436" s="1"/>
  <c r="K1435"/>
  <c r="L1435" s="1"/>
  <c r="M1435" s="1"/>
  <c r="N1435" s="1"/>
  <c r="K1434"/>
  <c r="L1434" s="1"/>
  <c r="K1433"/>
  <c r="L1433" s="1"/>
  <c r="M1433" s="1"/>
  <c r="N1433" s="1"/>
  <c r="K1432"/>
  <c r="L1432" s="1"/>
  <c r="M1432" s="1"/>
  <c r="N1432" s="1"/>
  <c r="K1431"/>
  <c r="L1431" s="1"/>
  <c r="M1431" s="1"/>
  <c r="N1431" s="1"/>
  <c r="K1430"/>
  <c r="L1430" s="1"/>
  <c r="M1430" s="1"/>
  <c r="N1430" s="1"/>
  <c r="K1429"/>
  <c r="L1429" s="1"/>
  <c r="M1429" s="1"/>
  <c r="N1429" s="1"/>
  <c r="K1428"/>
  <c r="L1428" s="1"/>
  <c r="M1428" s="1"/>
  <c r="N1428" s="1"/>
  <c r="K1427"/>
  <c r="L1427" s="1"/>
  <c r="K1426"/>
  <c r="L1426" s="1"/>
  <c r="K1425"/>
  <c r="L1425" s="1"/>
  <c r="M1425" s="1"/>
  <c r="N1425" s="1"/>
  <c r="K1424"/>
  <c r="L1424" s="1"/>
  <c r="M1424" s="1"/>
  <c r="N1424" s="1"/>
  <c r="K1423"/>
  <c r="L1423" s="1"/>
  <c r="M1423" s="1"/>
  <c r="N1423" s="1"/>
  <c r="K1422"/>
  <c r="L1422" s="1"/>
  <c r="M1422" s="1"/>
  <c r="N1422" s="1"/>
  <c r="K1421"/>
  <c r="L1421" s="1"/>
  <c r="M1421" s="1"/>
  <c r="N1421" s="1"/>
  <c r="K1420"/>
  <c r="L1420" s="1"/>
  <c r="M1420" s="1"/>
  <c r="N1420" s="1"/>
  <c r="K1419"/>
  <c r="L1419" s="1"/>
  <c r="M1419" s="1"/>
  <c r="N1419" s="1"/>
  <c r="K1418"/>
  <c r="L1418" s="1"/>
  <c r="K1417"/>
  <c r="L1417" s="1"/>
  <c r="M1417" s="1"/>
  <c r="N1417" s="1"/>
  <c r="K1416"/>
  <c r="L1416" s="1"/>
  <c r="M1416" s="1"/>
  <c r="N1416" s="1"/>
  <c r="K1415"/>
  <c r="L1415" s="1"/>
  <c r="M1415" s="1"/>
  <c r="N1415" s="1"/>
  <c r="K1414"/>
  <c r="L1414" s="1"/>
  <c r="M1414" s="1"/>
  <c r="N1414" s="1"/>
  <c r="K1413"/>
  <c r="L1413" s="1"/>
  <c r="K1412"/>
  <c r="L1412" s="1"/>
  <c r="M1412" s="1"/>
  <c r="N1412" s="1"/>
  <c r="K1411"/>
  <c r="L1411" s="1"/>
  <c r="M1411" s="1"/>
  <c r="N1411" s="1"/>
  <c r="K1410"/>
  <c r="L1410" s="1"/>
  <c r="M1410" s="1"/>
  <c r="N1410" s="1"/>
  <c r="K1409"/>
  <c r="L1409" s="1"/>
  <c r="M1409" s="1"/>
  <c r="N1409" s="1"/>
  <c r="K1408"/>
  <c r="L1408" s="1"/>
  <c r="M1408" s="1"/>
  <c r="N1408" s="1"/>
  <c r="K1407"/>
  <c r="L1407" s="1"/>
  <c r="M1407" s="1"/>
  <c r="N1407" s="1"/>
  <c r="K1406"/>
  <c r="L1406" s="1"/>
  <c r="M1406" s="1"/>
  <c r="N1406" s="1"/>
  <c r="K1405"/>
  <c r="L1405" s="1"/>
  <c r="M1405" s="1"/>
  <c r="N1405" s="1"/>
  <c r="K1404"/>
  <c r="L1404" s="1"/>
  <c r="M1404" s="1"/>
  <c r="N1404" s="1"/>
  <c r="K1403"/>
  <c r="L1403" s="1"/>
  <c r="K1402"/>
  <c r="L1402" s="1"/>
  <c r="M1402" s="1"/>
  <c r="N1402" s="1"/>
  <c r="K1401"/>
  <c r="L1401" s="1"/>
  <c r="M1401" s="1"/>
  <c r="N1401" s="1"/>
  <c r="K1400"/>
  <c r="L1400" s="1"/>
  <c r="K1399"/>
  <c r="L1399" s="1"/>
  <c r="M1399" s="1"/>
  <c r="N1399" s="1"/>
  <c r="K1398"/>
  <c r="L1398" s="1"/>
  <c r="M1398" s="1"/>
  <c r="N1398" s="1"/>
  <c r="K1397"/>
  <c r="L1397" s="1"/>
  <c r="M1397" s="1"/>
  <c r="N1397" s="1"/>
  <c r="K1396"/>
  <c r="L1396" s="1"/>
  <c r="M1396" s="1"/>
  <c r="N1396" s="1"/>
  <c r="K1395"/>
  <c r="L1395" s="1"/>
  <c r="M1395" s="1"/>
  <c r="N1395" s="1"/>
  <c r="K1394"/>
  <c r="L1394" s="1"/>
  <c r="M1394" s="1"/>
  <c r="N1394" s="1"/>
  <c r="K1393"/>
  <c r="L1393" s="1"/>
  <c r="M1393" s="1"/>
  <c r="N1393" s="1"/>
  <c r="K1392"/>
  <c r="L1392" s="1"/>
  <c r="K1391"/>
  <c r="L1391" s="1"/>
  <c r="M1391" s="1"/>
  <c r="N1391" s="1"/>
  <c r="K1390"/>
  <c r="L1390" s="1"/>
  <c r="M1390" s="1"/>
  <c r="N1390" s="1"/>
  <c r="K1389"/>
  <c r="L1389" s="1"/>
  <c r="K1388"/>
  <c r="L1388" s="1"/>
  <c r="M1388" s="1"/>
  <c r="N1388" s="1"/>
  <c r="K1387"/>
  <c r="L1387" s="1"/>
  <c r="M1387" s="1"/>
  <c r="N1387" s="1"/>
  <c r="K1386"/>
  <c r="L1386" s="1"/>
  <c r="M1386" s="1"/>
  <c r="N1386" s="1"/>
  <c r="K1385"/>
  <c r="L1385" s="1"/>
  <c r="M1385" s="1"/>
  <c r="N1385" s="1"/>
  <c r="K1384"/>
  <c r="L1384" s="1"/>
  <c r="M1384" s="1"/>
  <c r="N1384" s="1"/>
  <c r="K1383"/>
  <c r="L1383" s="1"/>
  <c r="M1383" s="1"/>
  <c r="N1383" s="1"/>
  <c r="K1382"/>
  <c r="L1382" s="1"/>
  <c r="K1381"/>
  <c r="L1381" s="1"/>
  <c r="K1380"/>
  <c r="L1380" s="1"/>
  <c r="M1380" s="1"/>
  <c r="N1380" s="1"/>
  <c r="K1379"/>
  <c r="L1379" s="1"/>
  <c r="M1379" s="1"/>
  <c r="N1379" s="1"/>
  <c r="K1378"/>
  <c r="L1378" s="1"/>
  <c r="M1378" s="1"/>
  <c r="N1378" s="1"/>
  <c r="K1377"/>
  <c r="L1377" s="1"/>
  <c r="M1377" s="1"/>
  <c r="N1377" s="1"/>
  <c r="K1376"/>
  <c r="L1376" s="1"/>
  <c r="M1376" s="1"/>
  <c r="N1376" s="1"/>
  <c r="K1375"/>
  <c r="L1375" s="1"/>
  <c r="M1375" s="1"/>
  <c r="N1375" s="1"/>
  <c r="K1374"/>
  <c r="L1374" s="1"/>
  <c r="M1374" s="1"/>
  <c r="N1374" s="1"/>
  <c r="K1373"/>
  <c r="L1373" s="1"/>
  <c r="K1372"/>
  <c r="L1372" s="1"/>
  <c r="M1372" s="1"/>
  <c r="N1372" s="1"/>
  <c r="K1371"/>
  <c r="L1371" s="1"/>
  <c r="M1371" s="1"/>
  <c r="N1371" s="1"/>
  <c r="K1370"/>
  <c r="L1370" s="1"/>
  <c r="K1369"/>
  <c r="L1369" s="1"/>
  <c r="M1369" s="1"/>
  <c r="N1369" s="1"/>
  <c r="K1368"/>
  <c r="L1368" s="1"/>
  <c r="M1368" s="1"/>
  <c r="N1368" s="1"/>
  <c r="K1367"/>
  <c r="L1367" s="1"/>
  <c r="M1367" s="1"/>
  <c r="N1367" s="1"/>
  <c r="K1366"/>
  <c r="L1366" s="1"/>
  <c r="M1366" s="1"/>
  <c r="N1366" s="1"/>
  <c r="K1365"/>
  <c r="L1365" s="1"/>
  <c r="M1365" s="1"/>
  <c r="N1365" s="1"/>
  <c r="K1364"/>
  <c r="L1364" s="1"/>
  <c r="M1364" s="1"/>
  <c r="N1364" s="1"/>
  <c r="K1363"/>
  <c r="L1363" s="1"/>
  <c r="M1363" s="1"/>
  <c r="N1363" s="1"/>
  <c r="K1362"/>
  <c r="L1362" s="1"/>
  <c r="K1361"/>
  <c r="L1361" s="1"/>
  <c r="M1361" s="1"/>
  <c r="N1361" s="1"/>
  <c r="K1360"/>
  <c r="L1360" s="1"/>
  <c r="M1360" s="1"/>
  <c r="N1360" s="1"/>
  <c r="K1359"/>
  <c r="L1359" s="1"/>
  <c r="K1358"/>
  <c r="L1358" s="1"/>
  <c r="M1358" s="1"/>
  <c r="N1358" s="1"/>
  <c r="K1357"/>
  <c r="L1357" s="1"/>
  <c r="M1357" s="1"/>
  <c r="N1357" s="1"/>
  <c r="K1356"/>
  <c r="L1356" s="1"/>
  <c r="M1356" s="1"/>
  <c r="N1356" s="1"/>
  <c r="K1355"/>
  <c r="L1355" s="1"/>
  <c r="M1355" s="1"/>
  <c r="N1355" s="1"/>
  <c r="K1354"/>
  <c r="L1354" s="1"/>
  <c r="M1354" s="1"/>
  <c r="N1354" s="1"/>
  <c r="K1353"/>
  <c r="L1353" s="1"/>
  <c r="M1353" s="1"/>
  <c r="N1353" s="1"/>
  <c r="K1352"/>
  <c r="L1352" s="1"/>
  <c r="K1351"/>
  <c r="L1351" s="1"/>
  <c r="M1351" s="1"/>
  <c r="N1351" s="1"/>
  <c r="K1350"/>
  <c r="L1350" s="1"/>
  <c r="M1350" s="1"/>
  <c r="N1350" s="1"/>
  <c r="K1349"/>
  <c r="L1349" s="1"/>
  <c r="K1348"/>
  <c r="L1348" s="1"/>
  <c r="M1348" s="1"/>
  <c r="N1348" s="1"/>
  <c r="K1347"/>
  <c r="L1347" s="1"/>
  <c r="K1346"/>
  <c r="L1346" s="1"/>
  <c r="K1345"/>
  <c r="L1345" s="1"/>
  <c r="K1344"/>
  <c r="L1344" s="1"/>
  <c r="M1344" s="1"/>
  <c r="N1344" s="1"/>
  <c r="K1343"/>
  <c r="L1343" s="1"/>
  <c r="M1343" s="1"/>
  <c r="N1343" s="1"/>
  <c r="K1342"/>
  <c r="L1342" s="1"/>
  <c r="K1341"/>
  <c r="L1341" s="1"/>
  <c r="K1340"/>
  <c r="L1340" s="1"/>
  <c r="M1340" s="1"/>
  <c r="N1340" s="1"/>
  <c r="K1339"/>
  <c r="L1339" s="1"/>
  <c r="M1339" s="1"/>
  <c r="N1339" s="1"/>
  <c r="K1338"/>
  <c r="L1338" s="1"/>
  <c r="K1337"/>
  <c r="L1337" s="1"/>
  <c r="K1336"/>
  <c r="L1336" s="1"/>
  <c r="M1336" s="1"/>
  <c r="N1336" s="1"/>
  <c r="K1335"/>
  <c r="L1335" s="1"/>
  <c r="K1334"/>
  <c r="L1334" s="1"/>
  <c r="M1334" s="1"/>
  <c r="N1334" s="1"/>
  <c r="K1333"/>
  <c r="L1333" s="1"/>
  <c r="K1332"/>
  <c r="L1332" s="1"/>
  <c r="K1331"/>
  <c r="L1331" s="1"/>
  <c r="M1331" s="1"/>
  <c r="N1331" s="1"/>
  <c r="K1330"/>
  <c r="L1330" s="1"/>
  <c r="M1330" s="1"/>
  <c r="N1330" s="1"/>
  <c r="K1329"/>
  <c r="L1329" s="1"/>
  <c r="M1329" s="1"/>
  <c r="N1329" s="1"/>
  <c r="K1328"/>
  <c r="L1328" s="1"/>
  <c r="M1328" s="1"/>
  <c r="N1328" s="1"/>
  <c r="K1327"/>
  <c r="L1327" s="1"/>
  <c r="M1327" s="1"/>
  <c r="N1327" s="1"/>
  <c r="K1326"/>
  <c r="L1326" s="1"/>
  <c r="M1326" s="1"/>
  <c r="N1326" s="1"/>
  <c r="K1325"/>
  <c r="L1325" s="1"/>
  <c r="M1325" s="1"/>
  <c r="N1325" s="1"/>
  <c r="K1324"/>
  <c r="L1324" s="1"/>
  <c r="M1324" s="1"/>
  <c r="N1324" s="1"/>
  <c r="K1323"/>
  <c r="L1323" s="1"/>
  <c r="K1322"/>
  <c r="L1322" s="1"/>
  <c r="M1322" s="1"/>
  <c r="N1322" s="1"/>
  <c r="K1321"/>
  <c r="L1321" s="1"/>
  <c r="M1321" s="1"/>
  <c r="N1321" s="1"/>
  <c r="K1320"/>
  <c r="L1320" s="1"/>
  <c r="K1319"/>
  <c r="L1319" s="1"/>
  <c r="M1319" s="1"/>
  <c r="N1319" s="1"/>
  <c r="K1318"/>
  <c r="L1318" s="1"/>
  <c r="M1318" s="1"/>
  <c r="N1318" s="1"/>
  <c r="K1317"/>
  <c r="L1317" s="1"/>
  <c r="M1317" s="1"/>
  <c r="N1317" s="1"/>
  <c r="K1316"/>
  <c r="L1316" s="1"/>
  <c r="M1316" s="1"/>
  <c r="N1316" s="1"/>
  <c r="K1315"/>
  <c r="L1315" s="1"/>
  <c r="M1315" s="1"/>
  <c r="N1315" s="1"/>
  <c r="K1314"/>
  <c r="L1314" s="1"/>
  <c r="M1314" s="1"/>
  <c r="N1314" s="1"/>
  <c r="K1313"/>
  <c r="L1313" s="1"/>
  <c r="M1313" s="1"/>
  <c r="N1313" s="1"/>
  <c r="K1312"/>
  <c r="L1312" s="1"/>
  <c r="K1311"/>
  <c r="L1311" s="1"/>
  <c r="M1311" s="1"/>
  <c r="N1311" s="1"/>
  <c r="K1310"/>
  <c r="L1310" s="1"/>
  <c r="M1310" s="1"/>
  <c r="N1310" s="1"/>
  <c r="K1309"/>
  <c r="L1309" s="1"/>
  <c r="K1308"/>
  <c r="L1308" s="1"/>
  <c r="M1308" s="1"/>
  <c r="N1308" s="1"/>
  <c r="K1307"/>
  <c r="L1307" s="1"/>
  <c r="M1307" s="1"/>
  <c r="N1307" s="1"/>
  <c r="K1306"/>
  <c r="L1306" s="1"/>
  <c r="K1305"/>
  <c r="L1305" s="1"/>
  <c r="M1305" s="1"/>
  <c r="N1305" s="1"/>
  <c r="K1304"/>
  <c r="L1304" s="1"/>
  <c r="M1304" s="1"/>
  <c r="N1304" s="1"/>
  <c r="K1303"/>
  <c r="L1303" s="1"/>
  <c r="M1303" s="1"/>
  <c r="N1303" s="1"/>
  <c r="K1302"/>
  <c r="L1302" s="1"/>
  <c r="M1302" s="1"/>
  <c r="N1302" s="1"/>
  <c r="K1301"/>
  <c r="L1301" s="1"/>
  <c r="M1301" s="1"/>
  <c r="N1301" s="1"/>
  <c r="K1300"/>
  <c r="L1300" s="1"/>
  <c r="M1300" s="1"/>
  <c r="N1300" s="1"/>
  <c r="K1299"/>
  <c r="L1299" s="1"/>
  <c r="K1298"/>
  <c r="L1298" s="1"/>
  <c r="K1297"/>
  <c r="L1297" s="1"/>
  <c r="M1297" s="1"/>
  <c r="N1297" s="1"/>
  <c r="K1296"/>
  <c r="L1296" s="1"/>
  <c r="M1296" s="1"/>
  <c r="N1296" s="1"/>
  <c r="K1295"/>
  <c r="L1295" s="1"/>
  <c r="M1295" s="1"/>
  <c r="N1295" s="1"/>
  <c r="K1294"/>
  <c r="L1294" s="1"/>
  <c r="M1294" s="1"/>
  <c r="N1294" s="1"/>
  <c r="K1293"/>
  <c r="L1293" s="1"/>
  <c r="M1293" s="1"/>
  <c r="N1293" s="1"/>
  <c r="K1292"/>
  <c r="L1292" s="1"/>
  <c r="M1292" s="1"/>
  <c r="N1292" s="1"/>
  <c r="K1291"/>
  <c r="L1291" s="1"/>
  <c r="M1291" s="1"/>
  <c r="N1291" s="1"/>
  <c r="K1290"/>
  <c r="L1290" s="1"/>
  <c r="K1289"/>
  <c r="L1289" s="1"/>
  <c r="M1289" s="1"/>
  <c r="N1289" s="1"/>
  <c r="K1288"/>
  <c r="L1288" s="1"/>
  <c r="M1288" s="1"/>
  <c r="N1288" s="1"/>
  <c r="K1287"/>
  <c r="L1287" s="1"/>
  <c r="K1286"/>
  <c r="L1286" s="1"/>
  <c r="M1286" s="1"/>
  <c r="N1286" s="1"/>
  <c r="K1285"/>
  <c r="L1285" s="1"/>
  <c r="M1285" s="1"/>
  <c r="N1285" s="1"/>
  <c r="K1284"/>
  <c r="L1284" s="1"/>
  <c r="M1284" s="1"/>
  <c r="N1284" s="1"/>
  <c r="K1283"/>
  <c r="L1283" s="1"/>
  <c r="M1283" s="1"/>
  <c r="N1283" s="1"/>
  <c r="K1282"/>
  <c r="L1282" s="1"/>
  <c r="M1282" s="1"/>
  <c r="N1282" s="1"/>
  <c r="K1281"/>
  <c r="L1281" s="1"/>
  <c r="M1281" s="1"/>
  <c r="N1281" s="1"/>
  <c r="K1280"/>
  <c r="L1280" s="1"/>
  <c r="M1280" s="1"/>
  <c r="N1280" s="1"/>
  <c r="K1279"/>
  <c r="L1279" s="1"/>
  <c r="K1278"/>
  <c r="L1278" s="1"/>
  <c r="M1278" s="1"/>
  <c r="N1278" s="1"/>
  <c r="K1277"/>
  <c r="L1277" s="1"/>
  <c r="M1277" s="1"/>
  <c r="N1277" s="1"/>
  <c r="K1276"/>
  <c r="L1276" s="1"/>
  <c r="M1276" s="1"/>
  <c r="N1276" s="1"/>
  <c r="K1275"/>
  <c r="L1275" s="1"/>
  <c r="M1275" s="1"/>
  <c r="N1275" s="1"/>
  <c r="K1274"/>
  <c r="L1274" s="1"/>
  <c r="M1274" s="1"/>
  <c r="N1274" s="1"/>
  <c r="K1273"/>
  <c r="L1273" s="1"/>
  <c r="M1273" s="1"/>
  <c r="N1273" s="1"/>
  <c r="K1272"/>
  <c r="L1272" s="1"/>
  <c r="K1271"/>
  <c r="K1270"/>
  <c r="K1269"/>
  <c r="L1269" s="1"/>
  <c r="K1268"/>
  <c r="L1268" s="1"/>
  <c r="M1268" s="1"/>
  <c r="N1268" s="1"/>
  <c r="K1267"/>
  <c r="L1267" s="1"/>
  <c r="K1266"/>
  <c r="L1266" s="1"/>
  <c r="K1265"/>
  <c r="L1265" s="1"/>
  <c r="K1264"/>
  <c r="L1264" s="1"/>
  <c r="M1264" s="1"/>
  <c r="N1264" s="1"/>
  <c r="K1263"/>
  <c r="L1263" s="1"/>
  <c r="M1263" s="1"/>
  <c r="N1263" s="1"/>
  <c r="K1262"/>
  <c r="L1262" s="1"/>
  <c r="K1261"/>
  <c r="L1261" s="1"/>
  <c r="K1260"/>
  <c r="L1260" s="1"/>
  <c r="M1260" s="1"/>
  <c r="N1260" s="1"/>
  <c r="K1259"/>
  <c r="L1259" s="1"/>
  <c r="M1259" s="1"/>
  <c r="N1259" s="1"/>
  <c r="K1258"/>
  <c r="L1258" s="1"/>
  <c r="K1257"/>
  <c r="L1257" s="1"/>
  <c r="K1256"/>
  <c r="L1256" s="1"/>
  <c r="M1256" s="1"/>
  <c r="N1256" s="1"/>
  <c r="K1255"/>
  <c r="L1255" s="1"/>
  <c r="K1254"/>
  <c r="L1254" s="1"/>
  <c r="M1254" s="1"/>
  <c r="N1254" s="1"/>
  <c r="K1253"/>
  <c r="L1253" s="1"/>
  <c r="K1252"/>
  <c r="L1252" s="1"/>
  <c r="K1251"/>
  <c r="L1251" s="1"/>
  <c r="M1251" s="1"/>
  <c r="N1251" s="1"/>
  <c r="K1250"/>
  <c r="L1250" s="1"/>
  <c r="M1250" s="1"/>
  <c r="N1250" s="1"/>
  <c r="K1249"/>
  <c r="L1249" s="1"/>
  <c r="M1249" s="1"/>
  <c r="N1249" s="1"/>
  <c r="K1248"/>
  <c r="L1248" s="1"/>
  <c r="M1248" s="1"/>
  <c r="N1248" s="1"/>
  <c r="K1247"/>
  <c r="L1247" s="1"/>
  <c r="M1247" s="1"/>
  <c r="N1247" s="1"/>
  <c r="K1246"/>
  <c r="L1246" s="1"/>
  <c r="M1246" s="1"/>
  <c r="N1246" s="1"/>
  <c r="K1245"/>
  <c r="L1245" s="1"/>
  <c r="M1245" s="1"/>
  <c r="N1245" s="1"/>
  <c r="K1244"/>
  <c r="L1244" s="1"/>
  <c r="M1244" s="1"/>
  <c r="N1244" s="1"/>
  <c r="K1243"/>
  <c r="L1243" s="1"/>
  <c r="K1242"/>
  <c r="L1242" s="1"/>
  <c r="M1242" s="1"/>
  <c r="N1242" s="1"/>
  <c r="K1241"/>
  <c r="L1241" s="1"/>
  <c r="M1241" s="1"/>
  <c r="N1241" s="1"/>
  <c r="K1240"/>
  <c r="L1240" s="1"/>
  <c r="K1239"/>
  <c r="L1239" s="1"/>
  <c r="M1239" s="1"/>
  <c r="N1239" s="1"/>
  <c r="K1238"/>
  <c r="L1238" s="1"/>
  <c r="M1238" s="1"/>
  <c r="N1238" s="1"/>
  <c r="K1237"/>
  <c r="L1237" s="1"/>
  <c r="M1237" s="1"/>
  <c r="N1237" s="1"/>
  <c r="K1236"/>
  <c r="L1236" s="1"/>
  <c r="M1236" s="1"/>
  <c r="N1236" s="1"/>
  <c r="K1235"/>
  <c r="L1235" s="1"/>
  <c r="M1235" s="1"/>
  <c r="N1235" s="1"/>
  <c r="K1234"/>
  <c r="L1234" s="1"/>
  <c r="M1234" s="1"/>
  <c r="N1234" s="1"/>
  <c r="K1233"/>
  <c r="L1233" s="1"/>
  <c r="M1233" s="1"/>
  <c r="N1233" s="1"/>
  <c r="K1232"/>
  <c r="L1232" s="1"/>
  <c r="K1231"/>
  <c r="L1231" s="1"/>
  <c r="M1231" s="1"/>
  <c r="N1231" s="1"/>
  <c r="K1230"/>
  <c r="L1230" s="1"/>
  <c r="M1230" s="1"/>
  <c r="N1230" s="1"/>
  <c r="K1229"/>
  <c r="L1229" s="1"/>
  <c r="K1228"/>
  <c r="L1228" s="1"/>
  <c r="M1228" s="1"/>
  <c r="N1228" s="1"/>
  <c r="K1227"/>
  <c r="L1227" s="1"/>
  <c r="M1227" s="1"/>
  <c r="N1227" s="1"/>
  <c r="K1226"/>
  <c r="L1226" s="1"/>
  <c r="K1225"/>
  <c r="L1225" s="1"/>
  <c r="M1225" s="1"/>
  <c r="N1225" s="1"/>
  <c r="K1224"/>
  <c r="L1224" s="1"/>
  <c r="M1224" s="1"/>
  <c r="N1224" s="1"/>
  <c r="K1223"/>
  <c r="L1223" s="1"/>
  <c r="M1223" s="1"/>
  <c r="N1223" s="1"/>
  <c r="K1222"/>
  <c r="L1222" s="1"/>
  <c r="M1222" s="1"/>
  <c r="N1222" s="1"/>
  <c r="K1221"/>
  <c r="L1221" s="1"/>
  <c r="M1221" s="1"/>
  <c r="N1221" s="1"/>
  <c r="K1220"/>
  <c r="L1220" s="1"/>
  <c r="M1220" s="1"/>
  <c r="N1220" s="1"/>
  <c r="K1219"/>
  <c r="L1219" s="1"/>
  <c r="K1218"/>
  <c r="L1218" s="1"/>
  <c r="K1217"/>
  <c r="L1217" s="1"/>
  <c r="M1217" s="1"/>
  <c r="N1217" s="1"/>
  <c r="K1216"/>
  <c r="L1216" s="1"/>
  <c r="M1216" s="1"/>
  <c r="N1216" s="1"/>
  <c r="K1215"/>
  <c r="L1215" s="1"/>
  <c r="M1215" s="1"/>
  <c r="N1215" s="1"/>
  <c r="K1214"/>
  <c r="L1214" s="1"/>
  <c r="M1214" s="1"/>
  <c r="N1214" s="1"/>
  <c r="K1213"/>
  <c r="L1213" s="1"/>
  <c r="M1213" s="1"/>
  <c r="N1213" s="1"/>
  <c r="K1212"/>
  <c r="L1212" s="1"/>
  <c r="M1212" s="1"/>
  <c r="N1212" s="1"/>
  <c r="K1211"/>
  <c r="L1211" s="1"/>
  <c r="M1211" s="1"/>
  <c r="N1211" s="1"/>
  <c r="K1210"/>
  <c r="L1210" s="1"/>
  <c r="K1209"/>
  <c r="L1209" s="1"/>
  <c r="M1209" s="1"/>
  <c r="N1209" s="1"/>
  <c r="K1208"/>
  <c r="L1208" s="1"/>
  <c r="M1208" s="1"/>
  <c r="N1208" s="1"/>
  <c r="K1207"/>
  <c r="L1207" s="1"/>
  <c r="K1206"/>
  <c r="L1206" s="1"/>
  <c r="M1206" s="1"/>
  <c r="N1206" s="1"/>
  <c r="K1205"/>
  <c r="L1205" s="1"/>
  <c r="M1205" s="1"/>
  <c r="N1205" s="1"/>
  <c r="K1204"/>
  <c r="L1204" s="1"/>
  <c r="M1204" s="1"/>
  <c r="N1204" s="1"/>
  <c r="K1203"/>
  <c r="L1203" s="1"/>
  <c r="M1203" s="1"/>
  <c r="N1203" s="1"/>
  <c r="K1202"/>
  <c r="L1202" s="1"/>
  <c r="M1202" s="1"/>
  <c r="N1202" s="1"/>
  <c r="K1201"/>
  <c r="L1201" s="1"/>
  <c r="M1201" s="1"/>
  <c r="N1201" s="1"/>
  <c r="K1200"/>
  <c r="L1200" s="1"/>
  <c r="M1200" s="1"/>
  <c r="N1200" s="1"/>
  <c r="K1199"/>
  <c r="L1199" s="1"/>
  <c r="K1198"/>
  <c r="L1198" s="1"/>
  <c r="M1198" s="1"/>
  <c r="N1198" s="1"/>
  <c r="K1197"/>
  <c r="L1197" s="1"/>
  <c r="M1197" s="1"/>
  <c r="N1197" s="1"/>
  <c r="K1196"/>
  <c r="L1196" s="1"/>
  <c r="K1195"/>
  <c r="L1195" s="1"/>
  <c r="M1195" s="1"/>
  <c r="N1195" s="1"/>
  <c r="K1194"/>
  <c r="L1194" s="1"/>
  <c r="M1194" s="1"/>
  <c r="N1194" s="1"/>
  <c r="K1193"/>
  <c r="L1193" s="1"/>
  <c r="M1193" s="1"/>
  <c r="N1193" s="1"/>
  <c r="K1192"/>
  <c r="L1192" s="1"/>
  <c r="M1192" s="1"/>
  <c r="N1192" s="1"/>
  <c r="K1191"/>
  <c r="L1191" s="1"/>
  <c r="M1191" s="1"/>
  <c r="N1191" s="1"/>
  <c r="K1190"/>
  <c r="L1190" s="1"/>
  <c r="M1190" s="1"/>
  <c r="N1190" s="1"/>
  <c r="K1189"/>
  <c r="L1189" s="1"/>
  <c r="K1188"/>
  <c r="L1188" s="1"/>
  <c r="M1188" s="1"/>
  <c r="N1188" s="1"/>
  <c r="K1187"/>
  <c r="L1187" s="1"/>
  <c r="M1187" s="1"/>
  <c r="N1187" s="1"/>
  <c r="K1186"/>
  <c r="L1186" s="1"/>
  <c r="K1185"/>
  <c r="L1185" s="1"/>
  <c r="M1185" s="1"/>
  <c r="N1185" s="1"/>
  <c r="K1184"/>
  <c r="L1184" s="1"/>
  <c r="K1183"/>
  <c r="L1183" s="1"/>
  <c r="K1182"/>
  <c r="L1182" s="1"/>
  <c r="K1181"/>
  <c r="L1181" s="1"/>
  <c r="M1181" s="1"/>
  <c r="N1181" s="1"/>
  <c r="K1180"/>
  <c r="L1180" s="1"/>
  <c r="M1180" s="1"/>
  <c r="N1180" s="1"/>
  <c r="K1179"/>
  <c r="L1179" s="1"/>
  <c r="K1178"/>
  <c r="L1178" s="1"/>
  <c r="K1177"/>
  <c r="L1177" s="1"/>
  <c r="M1177" s="1"/>
  <c r="N1177" s="1"/>
  <c r="K1176"/>
  <c r="L1176" s="1"/>
  <c r="M1176" s="1"/>
  <c r="N1176" s="1"/>
  <c r="K1175"/>
  <c r="L1175" s="1"/>
  <c r="K1174"/>
  <c r="L1174" s="1"/>
  <c r="K1173"/>
  <c r="L1173" s="1"/>
  <c r="M1173" s="1"/>
  <c r="N1173" s="1"/>
  <c r="K1172"/>
  <c r="L1172" s="1"/>
  <c r="K1171"/>
  <c r="L1171" s="1"/>
  <c r="M1171" s="1"/>
  <c r="N1171" s="1"/>
  <c r="K1170"/>
  <c r="L1170" s="1"/>
  <c r="K1169"/>
  <c r="L1169" s="1"/>
  <c r="K1168"/>
  <c r="L1168" s="1"/>
  <c r="M1168" s="1"/>
  <c r="N1168" s="1"/>
  <c r="K1167"/>
  <c r="L1167" s="1"/>
  <c r="M1167" s="1"/>
  <c r="N1167" s="1"/>
  <c r="K1166"/>
  <c r="L1166" s="1"/>
  <c r="M1166" s="1"/>
  <c r="N1166" s="1"/>
  <c r="K1165"/>
  <c r="L1165" s="1"/>
  <c r="M1165" s="1"/>
  <c r="N1165" s="1"/>
  <c r="K1164"/>
  <c r="L1164" s="1"/>
  <c r="M1164" s="1"/>
  <c r="N1164" s="1"/>
  <c r="K1163"/>
  <c r="L1163" s="1"/>
  <c r="M1163" s="1"/>
  <c r="N1163" s="1"/>
  <c r="K1162"/>
  <c r="L1162" s="1"/>
  <c r="M1162" s="1"/>
  <c r="N1162" s="1"/>
  <c r="K1161"/>
  <c r="L1161" s="1"/>
  <c r="M1161" s="1"/>
  <c r="N1161" s="1"/>
  <c r="K1160"/>
  <c r="L1160" s="1"/>
  <c r="K1159"/>
  <c r="L1159" s="1"/>
  <c r="M1159" s="1"/>
  <c r="N1159" s="1"/>
  <c r="K1158"/>
  <c r="L1158" s="1"/>
  <c r="K1157"/>
  <c r="L1157" s="1"/>
  <c r="K1156"/>
  <c r="L1156" s="1"/>
  <c r="M1156" s="1"/>
  <c r="N1156" s="1"/>
  <c r="K1155"/>
  <c r="L1155" s="1"/>
  <c r="M1155" s="1"/>
  <c r="N1155" s="1"/>
  <c r="K1154"/>
  <c r="L1154" s="1"/>
  <c r="K1153"/>
  <c r="L1153" s="1"/>
  <c r="K1152"/>
  <c r="L1152" s="1"/>
  <c r="M1152" s="1"/>
  <c r="N1152" s="1"/>
  <c r="K1151"/>
  <c r="L1151" s="1"/>
  <c r="M1151" s="1"/>
  <c r="N1151" s="1"/>
  <c r="K1150"/>
  <c r="L1150" s="1"/>
  <c r="K1149"/>
  <c r="L1149" s="1"/>
  <c r="K1148"/>
  <c r="L1148" s="1"/>
  <c r="M1148" s="1"/>
  <c r="N1148" s="1"/>
  <c r="K1147"/>
  <c r="L1147" s="1"/>
  <c r="K1146"/>
  <c r="L1146" s="1"/>
  <c r="M1146" s="1"/>
  <c r="N1146" s="1"/>
  <c r="K1145"/>
  <c r="L1145" s="1"/>
  <c r="K1144"/>
  <c r="L1144" s="1"/>
  <c r="K1143"/>
  <c r="L1143" s="1"/>
  <c r="M1143" s="1"/>
  <c r="N1143" s="1"/>
  <c r="K1142"/>
  <c r="L1142" s="1"/>
  <c r="M1142" s="1"/>
  <c r="N1142" s="1"/>
  <c r="K1141"/>
  <c r="L1141" s="1"/>
  <c r="M1141" s="1"/>
  <c r="N1141" s="1"/>
  <c r="K1140"/>
  <c r="L1140" s="1"/>
  <c r="M1140" s="1"/>
  <c r="N1140" s="1"/>
  <c r="K1139"/>
  <c r="L1139" s="1"/>
  <c r="M1139" s="1"/>
  <c r="N1139" s="1"/>
  <c r="K1138"/>
  <c r="L1138" s="1"/>
  <c r="K1137"/>
  <c r="L1137" s="1"/>
  <c r="M1137" s="1"/>
  <c r="N1137" s="1"/>
  <c r="K1136"/>
  <c r="L1136" s="1"/>
  <c r="M1136" s="1"/>
  <c r="N1136" s="1"/>
  <c r="K1135"/>
  <c r="L1135" s="1"/>
  <c r="M1135" s="1"/>
  <c r="N1135" s="1"/>
  <c r="K1134"/>
  <c r="L1134" s="1"/>
  <c r="K1133"/>
  <c r="L1133" s="1"/>
  <c r="M1133" s="1"/>
  <c r="N1133" s="1"/>
  <c r="K1132"/>
  <c r="L1132" s="1"/>
  <c r="M1132" s="1"/>
  <c r="N1132" s="1"/>
  <c r="K1131"/>
  <c r="L1131" s="1"/>
  <c r="M1131" s="1"/>
  <c r="N1131" s="1"/>
  <c r="K1130"/>
  <c r="L1130" s="1"/>
  <c r="K1129"/>
  <c r="L1129" s="1"/>
  <c r="M1129" s="1"/>
  <c r="N1129" s="1"/>
  <c r="K1128"/>
  <c r="L1128" s="1"/>
  <c r="K1127"/>
  <c r="L1127" s="1"/>
  <c r="M1127" s="1"/>
  <c r="N1127" s="1"/>
  <c r="K1126"/>
  <c r="L1126" s="1"/>
  <c r="M1126" s="1"/>
  <c r="N1126" s="1"/>
  <c r="K1125"/>
  <c r="L1125" s="1"/>
  <c r="M1125" s="1"/>
  <c r="N1125" s="1"/>
  <c r="K1124"/>
  <c r="L1124" s="1"/>
  <c r="M1124" s="1"/>
  <c r="N1124" s="1"/>
  <c r="K1123"/>
  <c r="L1123" s="1"/>
  <c r="K1122"/>
  <c r="L1122" s="1"/>
  <c r="M1122" s="1"/>
  <c r="N1122" s="1"/>
  <c r="K1121"/>
  <c r="L1121" s="1"/>
  <c r="M1121" s="1"/>
  <c r="N1121" s="1"/>
  <c r="K1120"/>
  <c r="L1120" s="1"/>
  <c r="M1120" s="1"/>
  <c r="N1120" s="1"/>
  <c r="K1119"/>
  <c r="L1119" s="1"/>
  <c r="M1119" s="1"/>
  <c r="N1119" s="1"/>
  <c r="K1118"/>
  <c r="L1118" s="1"/>
  <c r="M1118" s="1"/>
  <c r="N1118" s="1"/>
  <c r="K1117"/>
  <c r="L1117" s="1"/>
  <c r="M1117" s="1"/>
  <c r="N1117" s="1"/>
  <c r="K1116"/>
  <c r="L1116" s="1"/>
  <c r="K1115"/>
  <c r="L1115" s="1"/>
  <c r="M1115" s="1"/>
  <c r="N1115" s="1"/>
  <c r="K1114"/>
  <c r="L1114" s="1"/>
  <c r="M1114" s="1"/>
  <c r="N1114" s="1"/>
  <c r="K1113"/>
  <c r="L1113" s="1"/>
  <c r="M1113" s="1"/>
  <c r="N1113" s="1"/>
  <c r="K1112"/>
  <c r="L1112" s="1"/>
  <c r="M1112" s="1"/>
  <c r="N1112" s="1"/>
  <c r="K1111"/>
  <c r="L1111" s="1"/>
  <c r="M1111" s="1"/>
  <c r="N1111" s="1"/>
  <c r="K1110"/>
  <c r="L1110" s="1"/>
  <c r="M1110" s="1"/>
  <c r="N1110" s="1"/>
  <c r="K1109"/>
  <c r="L1109" s="1"/>
  <c r="M1109" s="1"/>
  <c r="N1109" s="1"/>
  <c r="K1108"/>
  <c r="L1108" s="1"/>
  <c r="K1107"/>
  <c r="L1107" s="1"/>
  <c r="M1107" s="1"/>
  <c r="N1107" s="1"/>
  <c r="K1106"/>
  <c r="L1106" s="1"/>
  <c r="M1106" s="1"/>
  <c r="N1106" s="1"/>
  <c r="K1105"/>
  <c r="L1105" s="1"/>
  <c r="M1105" s="1"/>
  <c r="N1105" s="1"/>
  <c r="K1104"/>
  <c r="L1104" s="1"/>
  <c r="M1104" s="1"/>
  <c r="N1104" s="1"/>
  <c r="K1103"/>
  <c r="L1103" s="1"/>
  <c r="M1103" s="1"/>
  <c r="N1103" s="1"/>
  <c r="K1102"/>
  <c r="L1102" s="1"/>
  <c r="K1101"/>
  <c r="L1101" s="1"/>
  <c r="M1101" s="1"/>
  <c r="N1101" s="1"/>
  <c r="K1100"/>
  <c r="L1100" s="1"/>
  <c r="M1100" s="1"/>
  <c r="N1100" s="1"/>
  <c r="K1099"/>
  <c r="L1099" s="1"/>
  <c r="M1099" s="1"/>
  <c r="N1099" s="1"/>
  <c r="K1098"/>
  <c r="L1098" s="1"/>
  <c r="M1098" s="1"/>
  <c r="N1098" s="1"/>
  <c r="K1097"/>
  <c r="L1097" s="1"/>
  <c r="M1097" s="1"/>
  <c r="N1097" s="1"/>
  <c r="K1096"/>
  <c r="L1096" s="1"/>
  <c r="M1096" s="1"/>
  <c r="N1096" s="1"/>
  <c r="K1095"/>
  <c r="L1095" s="1"/>
  <c r="M1095" s="1"/>
  <c r="N1095" s="1"/>
  <c r="K1094"/>
  <c r="L1094" s="1"/>
  <c r="M1094" s="1"/>
  <c r="N1094" s="1"/>
  <c r="K1093"/>
  <c r="L1093" s="1"/>
  <c r="M1093" s="1"/>
  <c r="N1093" s="1"/>
  <c r="K1092"/>
  <c r="L1092" s="1"/>
  <c r="K1091"/>
  <c r="L1091" s="1"/>
  <c r="K1090"/>
  <c r="L1090" s="1"/>
  <c r="M1090" s="1"/>
  <c r="N1090" s="1"/>
  <c r="K1089"/>
  <c r="L1089" s="1"/>
  <c r="K1088"/>
  <c r="L1088" s="1"/>
  <c r="M1088" s="1"/>
  <c r="N1088" s="1"/>
  <c r="K1087"/>
  <c r="L1087" s="1"/>
  <c r="K1086"/>
  <c r="L1086" s="1"/>
  <c r="K1085"/>
  <c r="L1085" s="1"/>
  <c r="K1084"/>
  <c r="L1084" s="1"/>
  <c r="M1084" s="1"/>
  <c r="N1084" s="1"/>
  <c r="K1083"/>
  <c r="L1083" s="1"/>
  <c r="M1083" s="1"/>
  <c r="N1083" s="1"/>
  <c r="K1082"/>
  <c r="L1082" s="1"/>
  <c r="K1081"/>
  <c r="L1081" s="1"/>
  <c r="M1081" s="1"/>
  <c r="N1081" s="1"/>
  <c r="K1080"/>
  <c r="L1080" s="1"/>
  <c r="K1079"/>
  <c r="L1079" s="1"/>
  <c r="K1078"/>
  <c r="L1078" s="1"/>
  <c r="K1077"/>
  <c r="L1077" s="1"/>
  <c r="M1077" s="1"/>
  <c r="N1077" s="1"/>
  <c r="K1076"/>
  <c r="L1076" s="1"/>
  <c r="M1076" s="1"/>
  <c r="N1076" s="1"/>
  <c r="K1075"/>
  <c r="L1075" s="1"/>
  <c r="K1074"/>
  <c r="L1074" s="1"/>
  <c r="K1073"/>
  <c r="L1073" s="1"/>
  <c r="M1073" s="1"/>
  <c r="N1073" s="1"/>
  <c r="K1072"/>
  <c r="L1072" s="1"/>
  <c r="M1072" s="1"/>
  <c r="N1072" s="1"/>
  <c r="K1071"/>
  <c r="L1071" s="1"/>
  <c r="K1070"/>
  <c r="L1070" s="1"/>
  <c r="M1070" s="1"/>
  <c r="N1070" s="1"/>
  <c r="K1069"/>
  <c r="L1069" s="1"/>
  <c r="K1068"/>
  <c r="L1068" s="1"/>
  <c r="M1068" s="1"/>
  <c r="N1068" s="1"/>
  <c r="K1067"/>
  <c r="L1067" s="1"/>
  <c r="K1066"/>
  <c r="L1066" s="1"/>
  <c r="K1065"/>
  <c r="L1065" s="1"/>
  <c r="M1065" s="1"/>
  <c r="N1065" s="1"/>
  <c r="K1064"/>
  <c r="L1064" s="1"/>
  <c r="M1064" s="1"/>
  <c r="N1064" s="1"/>
  <c r="K1063"/>
  <c r="L1063" s="1"/>
  <c r="M1063" s="1"/>
  <c r="N1063" s="1"/>
  <c r="K1062"/>
  <c r="L1062" s="1"/>
  <c r="M1062" s="1"/>
  <c r="N1062" s="1"/>
  <c r="K1061"/>
  <c r="L1061" s="1"/>
  <c r="K1060"/>
  <c r="L1060" s="1"/>
  <c r="M1060" s="1"/>
  <c r="N1060" s="1"/>
  <c r="K1059"/>
  <c r="L1059" s="1"/>
  <c r="M1059" s="1"/>
  <c r="N1059" s="1"/>
  <c r="K1058"/>
  <c r="L1058" s="1"/>
  <c r="K1057"/>
  <c r="L1057" s="1"/>
  <c r="K1056"/>
  <c r="L1056" s="1"/>
  <c r="M1056" s="1"/>
  <c r="N1056" s="1"/>
  <c r="K1055"/>
  <c r="L1055" s="1"/>
  <c r="K1054"/>
  <c r="L1054" s="1"/>
  <c r="M1054" s="1"/>
  <c r="N1054" s="1"/>
  <c r="K1053"/>
  <c r="L1053" s="1"/>
  <c r="M1053" s="1"/>
  <c r="N1053" s="1"/>
  <c r="K1052"/>
  <c r="L1052" s="1"/>
  <c r="M1052" s="1"/>
  <c r="N1052" s="1"/>
  <c r="K1051"/>
  <c r="L1051" s="1"/>
  <c r="M1051" s="1"/>
  <c r="N1051" s="1"/>
  <c r="K1050"/>
  <c r="L1050" s="1"/>
  <c r="K1049"/>
  <c r="L1049" s="1"/>
  <c r="M1049" s="1"/>
  <c r="N1049" s="1"/>
  <c r="K1048"/>
  <c r="L1048" s="1"/>
  <c r="M1048" s="1"/>
  <c r="N1048" s="1"/>
  <c r="K1047"/>
  <c r="L1047" s="1"/>
  <c r="M1047" s="1"/>
  <c r="N1047" s="1"/>
  <c r="K1046"/>
  <c r="L1046" s="1"/>
  <c r="M1046" s="1"/>
  <c r="N1046" s="1"/>
  <c r="K1045"/>
  <c r="L1045" s="1"/>
  <c r="K1044"/>
  <c r="L1044" s="1"/>
  <c r="K1043"/>
  <c r="L1043" s="1"/>
  <c r="M1043" s="1"/>
  <c r="N1043" s="1"/>
  <c r="K1042"/>
  <c r="L1042" s="1"/>
  <c r="M1042" s="1"/>
  <c r="N1042" s="1"/>
  <c r="K1041"/>
  <c r="L1041" s="1"/>
  <c r="M1041" s="1"/>
  <c r="N1041" s="1"/>
  <c r="K1040"/>
  <c r="L1040" s="1"/>
  <c r="M1040" s="1"/>
  <c r="N1040" s="1"/>
  <c r="K1039"/>
  <c r="L1039" s="1"/>
  <c r="M1039" s="1"/>
  <c r="N1039" s="1"/>
  <c r="K1038"/>
  <c r="L1038" s="1"/>
  <c r="M1038" s="1"/>
  <c r="N1038" s="1"/>
  <c r="K1037"/>
  <c r="L1037" s="1"/>
  <c r="K1036"/>
  <c r="L1036" s="1"/>
  <c r="M1036" s="1"/>
  <c r="N1036" s="1"/>
  <c r="K1035"/>
  <c r="L1035" s="1"/>
  <c r="M1035" s="1"/>
  <c r="N1035" s="1"/>
  <c r="K1034"/>
  <c r="L1034" s="1"/>
  <c r="K1033"/>
  <c r="L1033" s="1"/>
  <c r="M1033" s="1"/>
  <c r="N1033" s="1"/>
  <c r="K1032"/>
  <c r="L1032" s="1"/>
  <c r="M1032" s="1"/>
  <c r="N1032" s="1"/>
  <c r="K1031"/>
  <c r="L1031" s="1"/>
  <c r="M1031" s="1"/>
  <c r="N1031" s="1"/>
  <c r="K1030"/>
  <c r="L1030" s="1"/>
  <c r="M1030" s="1"/>
  <c r="N1030" s="1"/>
  <c r="K1029"/>
  <c r="L1029" s="1"/>
  <c r="M1029" s="1"/>
  <c r="N1029" s="1"/>
  <c r="K1028"/>
  <c r="L1028" s="1"/>
  <c r="M1028" s="1"/>
  <c r="N1028" s="1"/>
  <c r="K1027"/>
  <c r="L1027" s="1"/>
  <c r="K1026"/>
  <c r="L1026" s="1"/>
  <c r="M1026" s="1"/>
  <c r="N1026" s="1"/>
  <c r="K1025"/>
  <c r="L1025" s="1"/>
  <c r="M1025" s="1"/>
  <c r="N1025" s="1"/>
  <c r="K1024"/>
  <c r="L1024" s="1"/>
  <c r="M1024" s="1"/>
  <c r="N1024" s="1"/>
  <c r="K1023"/>
  <c r="L1023" s="1"/>
  <c r="M1023" s="1"/>
  <c r="N1023" s="1"/>
  <c r="K1022"/>
  <c r="L1022" s="1"/>
  <c r="K1021"/>
  <c r="L1021" s="1"/>
  <c r="M1021" s="1"/>
  <c r="N1021" s="1"/>
  <c r="K1020"/>
  <c r="L1020" s="1"/>
  <c r="M1020" s="1"/>
  <c r="N1020" s="1"/>
  <c r="K1019"/>
  <c r="L1019" s="1"/>
  <c r="M1019" s="1"/>
  <c r="N1019" s="1"/>
  <c r="K1018"/>
  <c r="L1018" s="1"/>
  <c r="K1017"/>
  <c r="L1017" s="1"/>
  <c r="M1017" s="1"/>
  <c r="N1017" s="1"/>
  <c r="K1016"/>
  <c r="L1016" s="1"/>
  <c r="M1016" s="1"/>
  <c r="N1016" s="1"/>
  <c r="K1015"/>
  <c r="L1015" s="1"/>
  <c r="M1015" s="1"/>
  <c r="N1015" s="1"/>
  <c r="K1014"/>
  <c r="L1014" s="1"/>
  <c r="K1013"/>
  <c r="L1013" s="1"/>
  <c r="M1013" s="1"/>
  <c r="N1013" s="1"/>
  <c r="K1012"/>
  <c r="L1012" s="1"/>
  <c r="M1012" s="1"/>
  <c r="N1012" s="1"/>
  <c r="K1011"/>
  <c r="L1011" s="1"/>
  <c r="M1011" s="1"/>
  <c r="N1011" s="1"/>
  <c r="K1010"/>
  <c r="L1010" s="1"/>
  <c r="K1009"/>
  <c r="L1009" s="1"/>
  <c r="M1009" s="1"/>
  <c r="N1009" s="1"/>
  <c r="K1008"/>
  <c r="L1008" s="1"/>
  <c r="M1008" s="1"/>
  <c r="N1008" s="1"/>
  <c r="K1007"/>
  <c r="L1007" s="1"/>
  <c r="K1006"/>
  <c r="L1006" s="1"/>
  <c r="M1006" s="1"/>
  <c r="N1006" s="1"/>
  <c r="K1005"/>
  <c r="L1005" s="1"/>
  <c r="M1005" s="1"/>
  <c r="N1005" s="1"/>
  <c r="K1004"/>
  <c r="L1004" s="1"/>
  <c r="K1003"/>
  <c r="L1003" s="1"/>
  <c r="M1003" s="1"/>
  <c r="N1003" s="1"/>
  <c r="K1002"/>
  <c r="L1002" s="1"/>
  <c r="M1002" s="1"/>
  <c r="N1002" s="1"/>
  <c r="K1001"/>
  <c r="L1001" s="1"/>
  <c r="K1000"/>
  <c r="L1000" s="1"/>
  <c r="M1000" s="1"/>
  <c r="N1000" s="1"/>
  <c r="K999"/>
  <c r="L999" s="1"/>
  <c r="M999" s="1"/>
  <c r="N999" s="1"/>
  <c r="K998"/>
  <c r="L998" s="1"/>
  <c r="K997"/>
  <c r="L997" s="1"/>
  <c r="M997" s="1"/>
  <c r="N997" s="1"/>
  <c r="K996"/>
  <c r="L996" s="1"/>
  <c r="M996" s="1"/>
  <c r="N996" s="1"/>
  <c r="K995"/>
  <c r="L995" s="1"/>
  <c r="K994"/>
  <c r="L994" s="1"/>
  <c r="M994" s="1"/>
  <c r="N994" s="1"/>
  <c r="K993"/>
  <c r="L993" s="1"/>
  <c r="M993" s="1"/>
  <c r="N993" s="1"/>
  <c r="K992"/>
  <c r="L992" s="1"/>
  <c r="K991"/>
  <c r="L991" s="1"/>
  <c r="M991" s="1"/>
  <c r="N991" s="1"/>
  <c r="K990"/>
  <c r="L990" s="1"/>
  <c r="M990" s="1"/>
  <c r="N990" s="1"/>
  <c r="K989"/>
  <c r="L989" s="1"/>
  <c r="K988"/>
  <c r="L988" s="1"/>
  <c r="M988" s="1"/>
  <c r="N988" s="1"/>
  <c r="K987"/>
  <c r="L987" s="1"/>
  <c r="M987" s="1"/>
  <c r="N987" s="1"/>
  <c r="K986"/>
  <c r="L986" s="1"/>
  <c r="K985"/>
  <c r="L985" s="1"/>
  <c r="M985" s="1"/>
  <c r="N985" s="1"/>
  <c r="K984"/>
  <c r="L984" s="1"/>
  <c r="M984" s="1"/>
  <c r="N984" s="1"/>
  <c r="K983"/>
  <c r="L983" s="1"/>
  <c r="K982"/>
  <c r="L982" s="1"/>
  <c r="M982" s="1"/>
  <c r="N982" s="1"/>
  <c r="K981"/>
  <c r="L981" s="1"/>
  <c r="M981" s="1"/>
  <c r="N981" s="1"/>
  <c r="K980"/>
  <c r="L980" s="1"/>
  <c r="K979"/>
  <c r="L979" s="1"/>
  <c r="M979" s="1"/>
  <c r="N979" s="1"/>
  <c r="K978"/>
  <c r="L978" s="1"/>
  <c r="M978" s="1"/>
  <c r="N978" s="1"/>
  <c r="K977"/>
  <c r="L977" s="1"/>
  <c r="K976"/>
  <c r="L976" s="1"/>
  <c r="M976" s="1"/>
  <c r="N976" s="1"/>
  <c r="K975"/>
  <c r="L975" s="1"/>
  <c r="M975" s="1"/>
  <c r="N975" s="1"/>
  <c r="K974"/>
  <c r="L974" s="1"/>
  <c r="K973"/>
  <c r="L973" s="1"/>
  <c r="M973" s="1"/>
  <c r="N973" s="1"/>
  <c r="K972"/>
  <c r="L972" s="1"/>
  <c r="M972" s="1"/>
  <c r="N972" s="1"/>
  <c r="K971"/>
  <c r="L971" s="1"/>
  <c r="K970"/>
  <c r="L970" s="1"/>
  <c r="M970" s="1"/>
  <c r="N970" s="1"/>
  <c r="K969"/>
  <c r="L969" s="1"/>
  <c r="M969" s="1"/>
  <c r="N969" s="1"/>
  <c r="K968"/>
  <c r="L968" s="1"/>
  <c r="K967"/>
  <c r="L967" s="1"/>
  <c r="M967" s="1"/>
  <c r="N967" s="1"/>
  <c r="K966"/>
  <c r="L966" s="1"/>
  <c r="M966" s="1"/>
  <c r="N966" s="1"/>
  <c r="K965"/>
  <c r="L965" s="1"/>
  <c r="K964"/>
  <c r="L964" s="1"/>
  <c r="M964" s="1"/>
  <c r="N964" s="1"/>
  <c r="K963"/>
  <c r="L963" s="1"/>
  <c r="M963" s="1"/>
  <c r="N963" s="1"/>
  <c r="K962"/>
  <c r="L962" s="1"/>
  <c r="K961"/>
  <c r="L961" s="1"/>
  <c r="M961" s="1"/>
  <c r="N961" s="1"/>
  <c r="K960"/>
  <c r="L960" s="1"/>
  <c r="M960" s="1"/>
  <c r="N960" s="1"/>
  <c r="K959"/>
  <c r="L959" s="1"/>
  <c r="K958"/>
  <c r="L958" s="1"/>
  <c r="M958" s="1"/>
  <c r="N958" s="1"/>
  <c r="K957"/>
  <c r="L957" s="1"/>
  <c r="M957" s="1"/>
  <c r="N957" s="1"/>
  <c r="K956"/>
  <c r="L956" s="1"/>
  <c r="K955"/>
  <c r="L955" s="1"/>
  <c r="M955" s="1"/>
  <c r="N955" s="1"/>
  <c r="K954"/>
  <c r="L954" s="1"/>
  <c r="M954" s="1"/>
  <c r="N954" s="1"/>
  <c r="K953"/>
  <c r="L953" s="1"/>
  <c r="M953" s="1"/>
  <c r="N953" s="1"/>
  <c r="K952"/>
  <c r="L952" s="1"/>
  <c r="M952" s="1"/>
  <c r="N952" s="1"/>
  <c r="K951"/>
  <c r="L951" s="1"/>
  <c r="K950"/>
  <c r="L950" s="1"/>
  <c r="M950" s="1"/>
  <c r="N950" s="1"/>
  <c r="K949"/>
  <c r="L949" s="1"/>
  <c r="K948"/>
  <c r="L948" s="1"/>
  <c r="M948" s="1"/>
  <c r="N948" s="1"/>
  <c r="K947"/>
  <c r="L947" s="1"/>
  <c r="M947" s="1"/>
  <c r="N947" s="1"/>
  <c r="K946"/>
  <c r="L946" s="1"/>
  <c r="K945"/>
  <c r="L945" s="1"/>
  <c r="M945" s="1"/>
  <c r="N945" s="1"/>
  <c r="K944"/>
  <c r="L944" s="1"/>
  <c r="K943"/>
  <c r="L943" s="1"/>
  <c r="M943" s="1"/>
  <c r="N943" s="1"/>
  <c r="K942"/>
  <c r="L942" s="1"/>
  <c r="M942" s="1"/>
  <c r="N942" s="1"/>
  <c r="K941"/>
  <c r="L941" s="1"/>
  <c r="K940"/>
  <c r="L940" s="1"/>
  <c r="M940" s="1"/>
  <c r="N940" s="1"/>
  <c r="K939"/>
  <c r="L939" s="1"/>
  <c r="K938"/>
  <c r="L938" s="1"/>
  <c r="M938" s="1"/>
  <c r="N938" s="1"/>
  <c r="K937"/>
  <c r="L937" s="1"/>
  <c r="M937" s="1"/>
  <c r="N937" s="1"/>
  <c r="K936"/>
  <c r="L936" s="1"/>
  <c r="K935"/>
  <c r="L935" s="1"/>
  <c r="M935" s="1"/>
  <c r="N935" s="1"/>
  <c r="K934"/>
  <c r="L934" s="1"/>
  <c r="K933"/>
  <c r="L933" s="1"/>
  <c r="M933" s="1"/>
  <c r="N933" s="1"/>
  <c r="K932"/>
  <c r="L932" s="1"/>
  <c r="M932" s="1"/>
  <c r="N932" s="1"/>
  <c r="K931"/>
  <c r="L931" s="1"/>
  <c r="M931" s="1"/>
  <c r="N931" s="1"/>
  <c r="K930"/>
  <c r="L930" s="1"/>
  <c r="K929"/>
  <c r="L929" s="1"/>
  <c r="M929" s="1"/>
  <c r="N929" s="1"/>
  <c r="K928"/>
  <c r="L928" s="1"/>
  <c r="K927"/>
  <c r="L927" s="1"/>
  <c r="M927" s="1"/>
  <c r="N927" s="1"/>
  <c r="K926"/>
  <c r="L926" s="1"/>
  <c r="M926" s="1"/>
  <c r="N926" s="1"/>
  <c r="K925"/>
  <c r="L925" s="1"/>
  <c r="K924"/>
  <c r="L924" s="1"/>
  <c r="M924" s="1"/>
  <c r="N924" s="1"/>
  <c r="K923"/>
  <c r="L923" s="1"/>
  <c r="K922"/>
  <c r="L922" s="1"/>
  <c r="M922" s="1"/>
  <c r="N922" s="1"/>
  <c r="K921"/>
  <c r="L921" s="1"/>
  <c r="M921" s="1"/>
  <c r="N921" s="1"/>
  <c r="K920"/>
  <c r="L920" s="1"/>
  <c r="K919"/>
  <c r="L919" s="1"/>
  <c r="M919" s="1"/>
  <c r="N919" s="1"/>
  <c r="K918"/>
  <c r="L918" s="1"/>
  <c r="K917"/>
  <c r="L917" s="1"/>
  <c r="M917" s="1"/>
  <c r="N917" s="1"/>
  <c r="K916"/>
  <c r="L916" s="1"/>
  <c r="M916" s="1"/>
  <c r="N916" s="1"/>
  <c r="K915"/>
  <c r="L915" s="1"/>
  <c r="K914"/>
  <c r="L914" s="1"/>
  <c r="M914" s="1"/>
  <c r="N914" s="1"/>
  <c r="K913"/>
  <c r="L913" s="1"/>
  <c r="K912"/>
  <c r="L912" s="1"/>
  <c r="M912" s="1"/>
  <c r="N912" s="1"/>
  <c r="K911"/>
  <c r="L911" s="1"/>
  <c r="M911" s="1"/>
  <c r="N911" s="1"/>
  <c r="K910"/>
  <c r="L910" s="1"/>
  <c r="K909"/>
  <c r="L909" s="1"/>
  <c r="M909" s="1"/>
  <c r="N909" s="1"/>
  <c r="K908"/>
  <c r="L908" s="1"/>
  <c r="K907"/>
  <c r="L907" s="1"/>
  <c r="M907" s="1"/>
  <c r="N907" s="1"/>
  <c r="K906"/>
  <c r="L906" s="1"/>
  <c r="M906" s="1"/>
  <c r="N906" s="1"/>
  <c r="K905"/>
  <c r="L905" s="1"/>
  <c r="K904"/>
  <c r="L904" s="1"/>
  <c r="M904" s="1"/>
  <c r="N904" s="1"/>
  <c r="K903"/>
  <c r="L903" s="1"/>
  <c r="K902"/>
  <c r="L902" s="1"/>
  <c r="M902" s="1"/>
  <c r="N902" s="1"/>
  <c r="K901"/>
  <c r="L901" s="1"/>
  <c r="M901" s="1"/>
  <c r="N901" s="1"/>
  <c r="K900"/>
  <c r="L900" s="1"/>
  <c r="K899"/>
  <c r="L899" s="1"/>
  <c r="M899" s="1"/>
  <c r="N899" s="1"/>
  <c r="K898"/>
  <c r="L898" s="1"/>
  <c r="K897"/>
  <c r="L897" s="1"/>
  <c r="M897" s="1"/>
  <c r="N897" s="1"/>
  <c r="K896"/>
  <c r="L896" s="1"/>
  <c r="M896" s="1"/>
  <c r="N896" s="1"/>
  <c r="K895"/>
  <c r="L895" s="1"/>
  <c r="K894"/>
  <c r="L894" s="1"/>
  <c r="M894" s="1"/>
  <c r="N894" s="1"/>
  <c r="K893"/>
  <c r="L893" s="1"/>
  <c r="K892"/>
  <c r="L892" s="1"/>
  <c r="M892" s="1"/>
  <c r="N892" s="1"/>
  <c r="K891"/>
  <c r="L891" s="1"/>
  <c r="M891" s="1"/>
  <c r="N891" s="1"/>
  <c r="K890"/>
  <c r="L890" s="1"/>
  <c r="K889"/>
  <c r="L889" s="1"/>
  <c r="M889" s="1"/>
  <c r="N889" s="1"/>
  <c r="K888"/>
  <c r="L888" s="1"/>
  <c r="M888" s="1"/>
  <c r="N888" s="1"/>
  <c r="K887"/>
  <c r="L887" s="1"/>
  <c r="K886"/>
  <c r="L886" s="1"/>
  <c r="M886" s="1"/>
  <c r="N886" s="1"/>
  <c r="K885"/>
  <c r="L885" s="1"/>
  <c r="K884"/>
  <c r="L884" s="1"/>
  <c r="M884" s="1"/>
  <c r="N884" s="1"/>
  <c r="K883"/>
  <c r="L883" s="1"/>
  <c r="M883" s="1"/>
  <c r="N883" s="1"/>
  <c r="K882"/>
  <c r="L882" s="1"/>
  <c r="K881"/>
  <c r="L881" s="1"/>
  <c r="M881" s="1"/>
  <c r="N881" s="1"/>
  <c r="K880"/>
  <c r="L880" s="1"/>
  <c r="K879"/>
  <c r="L879" s="1"/>
  <c r="M879" s="1"/>
  <c r="N879" s="1"/>
  <c r="K878"/>
  <c r="L878" s="1"/>
  <c r="M878" s="1"/>
  <c r="N878" s="1"/>
  <c r="K877"/>
  <c r="L877" s="1"/>
  <c r="K876"/>
  <c r="L876" s="1"/>
  <c r="M876" s="1"/>
  <c r="N876" s="1"/>
  <c r="K875"/>
  <c r="L875" s="1"/>
  <c r="K874"/>
  <c r="L874" s="1"/>
  <c r="M874" s="1"/>
  <c r="N874" s="1"/>
  <c r="K873"/>
  <c r="L873" s="1"/>
  <c r="M873" s="1"/>
  <c r="N873" s="1"/>
  <c r="K872"/>
  <c r="L872" s="1"/>
  <c r="M872" s="1"/>
  <c r="N872" s="1"/>
  <c r="K871"/>
  <c r="L871" s="1"/>
  <c r="M871" s="1"/>
  <c r="N871" s="1"/>
  <c r="K870"/>
  <c r="L870" s="1"/>
  <c r="M870" s="1"/>
  <c r="N870" s="1"/>
  <c r="K869"/>
  <c r="L869" s="1"/>
  <c r="M869" s="1"/>
  <c r="N869" s="1"/>
  <c r="K868"/>
  <c r="L868" s="1"/>
  <c r="M868" s="1"/>
  <c r="N868" s="1"/>
  <c r="K867"/>
  <c r="L867" s="1"/>
  <c r="K866"/>
  <c r="L866" s="1"/>
  <c r="M866" s="1"/>
  <c r="N866" s="1"/>
  <c r="K865"/>
  <c r="L865" s="1"/>
  <c r="M865" s="1"/>
  <c r="N865" s="1"/>
  <c r="K864"/>
  <c r="L864" s="1"/>
  <c r="M864" s="1"/>
  <c r="N864" s="1"/>
  <c r="K863"/>
  <c r="L863" s="1"/>
  <c r="M863" s="1"/>
  <c r="N863" s="1"/>
  <c r="K862"/>
  <c r="L862" s="1"/>
  <c r="M862" s="1"/>
  <c r="N862" s="1"/>
  <c r="K861"/>
  <c r="L861" s="1"/>
  <c r="M861" s="1"/>
  <c r="N861" s="1"/>
  <c r="K860"/>
  <c r="L860" s="1"/>
  <c r="M860" s="1"/>
  <c r="N860" s="1"/>
  <c r="K859"/>
  <c r="L859" s="1"/>
  <c r="K858"/>
  <c r="L858" s="1"/>
  <c r="M858" s="1"/>
  <c r="N858" s="1"/>
  <c r="K857"/>
  <c r="L857" s="1"/>
  <c r="M857" s="1"/>
  <c r="N857" s="1"/>
  <c r="K856"/>
  <c r="L856" s="1"/>
  <c r="M856" s="1"/>
  <c r="N856" s="1"/>
  <c r="K855"/>
  <c r="L855" s="1"/>
  <c r="M855" s="1"/>
  <c r="N855" s="1"/>
  <c r="K854"/>
  <c r="L854" s="1"/>
  <c r="M854" s="1"/>
  <c r="N854" s="1"/>
  <c r="K853"/>
  <c r="L853" s="1"/>
  <c r="M853" s="1"/>
  <c r="N853" s="1"/>
  <c r="K852"/>
  <c r="L852" s="1"/>
  <c r="M852" s="1"/>
  <c r="N852" s="1"/>
  <c r="K851"/>
  <c r="L851" s="1"/>
  <c r="M851" s="1"/>
  <c r="N851" s="1"/>
  <c r="K850"/>
  <c r="L850" s="1"/>
  <c r="M850" s="1"/>
  <c r="N850" s="1"/>
  <c r="K849"/>
  <c r="L849" s="1"/>
  <c r="K848"/>
  <c r="L848" s="1"/>
  <c r="M848" s="1"/>
  <c r="N848" s="1"/>
  <c r="K847"/>
  <c r="L847" s="1"/>
  <c r="M847" s="1"/>
  <c r="N847" s="1"/>
  <c r="K846"/>
  <c r="L846" s="1"/>
  <c r="M846" s="1"/>
  <c r="N846" s="1"/>
  <c r="K845"/>
  <c r="L845" s="1"/>
  <c r="K844"/>
  <c r="L844" s="1"/>
  <c r="K843"/>
  <c r="L843" s="1"/>
  <c r="M843" s="1"/>
  <c r="N843" s="1"/>
  <c r="K842"/>
  <c r="L842" s="1"/>
  <c r="M842" s="1"/>
  <c r="N842" s="1"/>
  <c r="K841"/>
  <c r="L841" s="1"/>
  <c r="K840"/>
  <c r="L840" s="1"/>
  <c r="K839"/>
  <c r="L839" s="1"/>
  <c r="K838"/>
  <c r="L838" s="1"/>
  <c r="M838" s="1"/>
  <c r="N838" s="1"/>
  <c r="K837"/>
  <c r="L837" s="1"/>
  <c r="K836"/>
  <c r="L836" s="1"/>
  <c r="M836" s="1"/>
  <c r="N836" s="1"/>
  <c r="K835"/>
  <c r="L835" s="1"/>
  <c r="K834"/>
  <c r="L834" s="1"/>
  <c r="K833"/>
  <c r="L833" s="1"/>
  <c r="M833" s="1"/>
  <c r="N833" s="1"/>
  <c r="K832"/>
  <c r="L832" s="1"/>
  <c r="M832" s="1"/>
  <c r="N832" s="1"/>
  <c r="K831"/>
  <c r="L831" s="1"/>
  <c r="M831" s="1"/>
  <c r="N831" s="1"/>
  <c r="K830"/>
  <c r="L830" s="1"/>
  <c r="M830" s="1"/>
  <c r="N830" s="1"/>
  <c r="K829"/>
  <c r="L829" s="1"/>
  <c r="M829" s="1"/>
  <c r="N829" s="1"/>
  <c r="K828"/>
  <c r="L828" s="1"/>
  <c r="K827"/>
  <c r="L827" s="1"/>
  <c r="M827" s="1"/>
  <c r="N827" s="1"/>
  <c r="K826"/>
  <c r="L826" s="1"/>
  <c r="M826" s="1"/>
  <c r="N826" s="1"/>
  <c r="K825"/>
  <c r="L825" s="1"/>
  <c r="M825" s="1"/>
  <c r="N825" s="1"/>
  <c r="K824"/>
  <c r="L824" s="1"/>
  <c r="M824" s="1"/>
  <c r="N824" s="1"/>
  <c r="K823"/>
  <c r="L823" s="1"/>
  <c r="M823" s="1"/>
  <c r="N823" s="1"/>
  <c r="K822"/>
  <c r="L822" s="1"/>
  <c r="K821"/>
  <c r="L821" s="1"/>
  <c r="M821" s="1"/>
  <c r="N821" s="1"/>
  <c r="K820"/>
  <c r="L820" s="1"/>
  <c r="M820" s="1"/>
  <c r="N820" s="1"/>
  <c r="K819"/>
  <c r="L819" s="1"/>
  <c r="M819" s="1"/>
  <c r="N819" s="1"/>
  <c r="K818"/>
  <c r="L818" s="1"/>
  <c r="M818" s="1"/>
  <c r="N818" s="1"/>
  <c r="K817"/>
  <c r="L817" s="1"/>
  <c r="M817" s="1"/>
  <c r="N817" s="1"/>
  <c r="K816"/>
  <c r="L816" s="1"/>
  <c r="K815"/>
  <c r="L815" s="1"/>
  <c r="M815" s="1"/>
  <c r="N815" s="1"/>
  <c r="K814"/>
  <c r="L814" s="1"/>
  <c r="M814" s="1"/>
  <c r="N814" s="1"/>
  <c r="K813"/>
  <c r="L813" s="1"/>
  <c r="M813" s="1"/>
  <c r="N813" s="1"/>
  <c r="K812"/>
  <c r="L812" s="1"/>
  <c r="M812" s="1"/>
  <c r="N812" s="1"/>
  <c r="K811"/>
  <c r="L811" s="1"/>
  <c r="M811" s="1"/>
  <c r="N811" s="1"/>
  <c r="K810"/>
  <c r="L810" s="1"/>
  <c r="K809"/>
  <c r="L809" s="1"/>
  <c r="M809" s="1"/>
  <c r="N809" s="1"/>
  <c r="K808"/>
  <c r="L808" s="1"/>
  <c r="M808" s="1"/>
  <c r="N808" s="1"/>
  <c r="K807"/>
  <c r="L807" s="1"/>
  <c r="M807" s="1"/>
  <c r="N807" s="1"/>
  <c r="K806"/>
  <c r="L806" s="1"/>
  <c r="K805"/>
  <c r="L805" s="1"/>
  <c r="M805" s="1"/>
  <c r="N805" s="1"/>
  <c r="K804"/>
  <c r="L804" s="1"/>
  <c r="M804" s="1"/>
  <c r="N804" s="1"/>
  <c r="K803"/>
  <c r="L803" s="1"/>
  <c r="M803" s="1"/>
  <c r="N803" s="1"/>
  <c r="K802"/>
  <c r="L802" s="1"/>
  <c r="K801"/>
  <c r="L801" s="1"/>
  <c r="M801" s="1"/>
  <c r="N801" s="1"/>
  <c r="K800"/>
  <c r="L800" s="1"/>
  <c r="M800" s="1"/>
  <c r="N800" s="1"/>
  <c r="K799"/>
  <c r="L799" s="1"/>
  <c r="M799" s="1"/>
  <c r="N799" s="1"/>
  <c r="K798"/>
  <c r="L798" s="1"/>
  <c r="K797"/>
  <c r="L797" s="1"/>
  <c r="M797" s="1"/>
  <c r="N797" s="1"/>
  <c r="K796"/>
  <c r="L796" s="1"/>
  <c r="K795"/>
  <c r="L795" s="1"/>
  <c r="M795" s="1"/>
  <c r="N795" s="1"/>
  <c r="K794"/>
  <c r="L794" s="1"/>
  <c r="M794" s="1"/>
  <c r="N794" s="1"/>
  <c r="K793"/>
  <c r="L793" s="1"/>
  <c r="M793" s="1"/>
  <c r="N793" s="1"/>
  <c r="K792"/>
  <c r="L792" s="1"/>
  <c r="K791"/>
  <c r="L791" s="1"/>
  <c r="M791" s="1"/>
  <c r="N791" s="1"/>
  <c r="K790"/>
  <c r="L790" s="1"/>
  <c r="M790" s="1"/>
  <c r="N790" s="1"/>
  <c r="K789"/>
  <c r="L789" s="1"/>
  <c r="K788"/>
  <c r="L788" s="1"/>
  <c r="M788" s="1"/>
  <c r="N788" s="1"/>
  <c r="K787"/>
  <c r="L787" s="1"/>
  <c r="M787" s="1"/>
  <c r="N787" s="1"/>
  <c r="K786"/>
  <c r="L786" s="1"/>
  <c r="M786" s="1"/>
  <c r="N786" s="1"/>
  <c r="K785"/>
  <c r="L785" s="1"/>
  <c r="K784"/>
  <c r="L784" s="1"/>
  <c r="M784" s="1"/>
  <c r="N784" s="1"/>
  <c r="K783"/>
  <c r="L783" s="1"/>
  <c r="M783" s="1"/>
  <c r="N783" s="1"/>
  <c r="K782"/>
  <c r="L782" s="1"/>
  <c r="M782" s="1"/>
  <c r="N782" s="1"/>
  <c r="K781"/>
  <c r="L781" s="1"/>
  <c r="K780"/>
  <c r="L780" s="1"/>
  <c r="M780" s="1"/>
  <c r="N780" s="1"/>
  <c r="K779"/>
  <c r="L779" s="1"/>
  <c r="K778"/>
  <c r="L778" s="1"/>
  <c r="M778" s="1"/>
  <c r="N778" s="1"/>
  <c r="K777"/>
  <c r="L777" s="1"/>
  <c r="M777" s="1"/>
  <c r="N777" s="1"/>
  <c r="K776"/>
  <c r="L776" s="1"/>
  <c r="M776" s="1"/>
  <c r="N776" s="1"/>
  <c r="K775"/>
  <c r="L775" s="1"/>
  <c r="M775" s="1"/>
  <c r="N775" s="1"/>
  <c r="K774"/>
  <c r="L774" s="1"/>
  <c r="K773"/>
  <c r="L773" s="1"/>
  <c r="M773" s="1"/>
  <c r="N773" s="1"/>
  <c r="K772"/>
  <c r="L772" s="1"/>
  <c r="K771"/>
  <c r="L771" s="1"/>
  <c r="M771" s="1"/>
  <c r="N771" s="1"/>
  <c r="K770"/>
  <c r="L770" s="1"/>
  <c r="M770" s="1"/>
  <c r="N770" s="1"/>
  <c r="K769"/>
  <c r="L769" s="1"/>
  <c r="M769" s="1"/>
  <c r="N769" s="1"/>
  <c r="K768"/>
  <c r="L768" s="1"/>
  <c r="M768" s="1"/>
  <c r="N768" s="1"/>
  <c r="K767"/>
  <c r="L767" s="1"/>
  <c r="M767" s="1"/>
  <c r="N767" s="1"/>
  <c r="K766"/>
  <c r="L766" s="1"/>
  <c r="M766" s="1"/>
  <c r="N766" s="1"/>
  <c r="K765"/>
  <c r="L765" s="1"/>
  <c r="M765" s="1"/>
  <c r="N765" s="1"/>
  <c r="K764"/>
  <c r="L764" s="1"/>
  <c r="K763"/>
  <c r="L763" s="1"/>
  <c r="M763" s="1"/>
  <c r="N763" s="1"/>
  <c r="K762"/>
  <c r="L762" s="1"/>
  <c r="M762" s="1"/>
  <c r="N762" s="1"/>
  <c r="K761"/>
  <c r="L761" s="1"/>
  <c r="M761" s="1"/>
  <c r="N761" s="1"/>
  <c r="K760"/>
  <c r="L760" s="1"/>
  <c r="K759"/>
  <c r="L759" s="1"/>
  <c r="M759" s="1"/>
  <c r="N759" s="1"/>
  <c r="K758"/>
  <c r="L758" s="1"/>
  <c r="M758" s="1"/>
  <c r="N758" s="1"/>
  <c r="K757"/>
  <c r="L757" s="1"/>
  <c r="M757" s="1"/>
  <c r="N757" s="1"/>
  <c r="K756"/>
  <c r="L756" s="1"/>
  <c r="K755"/>
  <c r="L755" s="1"/>
  <c r="M755" s="1"/>
  <c r="N755" s="1"/>
  <c r="K754"/>
  <c r="L754" s="1"/>
  <c r="M754" s="1"/>
  <c r="N754" s="1"/>
  <c r="K753"/>
  <c r="L753" s="1"/>
  <c r="M753" s="1"/>
  <c r="N753" s="1"/>
  <c r="K752"/>
  <c r="L752" s="1"/>
  <c r="K751"/>
  <c r="L751" s="1"/>
  <c r="M751" s="1"/>
  <c r="N751" s="1"/>
  <c r="K750"/>
  <c r="L750" s="1"/>
  <c r="M750" s="1"/>
  <c r="N750" s="1"/>
  <c r="K749"/>
  <c r="L749" s="1"/>
  <c r="M749" s="1"/>
  <c r="N749" s="1"/>
  <c r="K748"/>
  <c r="L748" s="1"/>
  <c r="K747"/>
  <c r="L747" s="1"/>
  <c r="M747" s="1"/>
  <c r="N747" s="1"/>
  <c r="K746"/>
  <c r="L746" s="1"/>
  <c r="K745"/>
  <c r="L745" s="1"/>
  <c r="K744"/>
  <c r="L744" s="1"/>
  <c r="K743"/>
  <c r="L743" s="1"/>
  <c r="M743" s="1"/>
  <c r="N743" s="1"/>
  <c r="K742"/>
  <c r="L742" s="1"/>
  <c r="M742" s="1"/>
  <c r="N742" s="1"/>
  <c r="K741"/>
  <c r="L741" s="1"/>
  <c r="M741" s="1"/>
  <c r="N741" s="1"/>
  <c r="K740"/>
  <c r="L740" s="1"/>
  <c r="K739"/>
  <c r="L739" s="1"/>
  <c r="M739" s="1"/>
  <c r="N739" s="1"/>
  <c r="K738"/>
  <c r="L738" s="1"/>
  <c r="M738" s="1"/>
  <c r="N738" s="1"/>
  <c r="K737"/>
  <c r="L737" s="1"/>
  <c r="M737" s="1"/>
  <c r="N737" s="1"/>
  <c r="K736"/>
  <c r="L736" s="1"/>
  <c r="M736" s="1"/>
  <c r="N736" s="1"/>
  <c r="K735"/>
  <c r="L735" s="1"/>
  <c r="M735" s="1"/>
  <c r="N735" s="1"/>
  <c r="K734"/>
  <c r="L734" s="1"/>
  <c r="K733"/>
  <c r="L733" s="1"/>
  <c r="M733" s="1"/>
  <c r="N733" s="1"/>
  <c r="K732"/>
  <c r="L732" s="1"/>
  <c r="M732" s="1"/>
  <c r="N732" s="1"/>
  <c r="K731"/>
  <c r="L731" s="1"/>
  <c r="M731" s="1"/>
  <c r="N731" s="1"/>
  <c r="K730"/>
  <c r="L730" s="1"/>
  <c r="M730" s="1"/>
  <c r="N730" s="1"/>
  <c r="K729"/>
  <c r="L729" s="1"/>
  <c r="M729" s="1"/>
  <c r="N729" s="1"/>
  <c r="K728"/>
  <c r="L728" s="1"/>
  <c r="M728" s="1"/>
  <c r="N728" s="1"/>
  <c r="K727"/>
  <c r="L727" s="1"/>
  <c r="K726"/>
  <c r="L726" s="1"/>
  <c r="M726" s="1"/>
  <c r="N726" s="1"/>
  <c r="K725"/>
  <c r="L725" s="1"/>
  <c r="M725" s="1"/>
  <c r="N725" s="1"/>
  <c r="K724"/>
  <c r="L724" s="1"/>
  <c r="M724" s="1"/>
  <c r="N724" s="1"/>
  <c r="K723"/>
  <c r="L723" s="1"/>
  <c r="M723" s="1"/>
  <c r="N723" s="1"/>
  <c r="K722"/>
  <c r="L722" s="1"/>
  <c r="M722" s="1"/>
  <c r="N722" s="1"/>
  <c r="K721"/>
  <c r="L721" s="1"/>
  <c r="K720"/>
  <c r="L720" s="1"/>
  <c r="M720" s="1"/>
  <c r="N720" s="1"/>
  <c r="K719"/>
  <c r="L719" s="1"/>
  <c r="K718"/>
  <c r="L718" s="1"/>
  <c r="M718" s="1"/>
  <c r="N718" s="1"/>
  <c r="K717"/>
  <c r="L717" s="1"/>
  <c r="M717" s="1"/>
  <c r="N717" s="1"/>
  <c r="K716"/>
  <c r="L716" s="1"/>
  <c r="M716" s="1"/>
  <c r="N716" s="1"/>
  <c r="K715"/>
  <c r="L715" s="1"/>
  <c r="M715" s="1"/>
  <c r="N715" s="1"/>
  <c r="K714"/>
  <c r="L714" s="1"/>
  <c r="M714" s="1"/>
  <c r="N714" s="1"/>
  <c r="K713"/>
  <c r="L713" s="1"/>
  <c r="K712"/>
  <c r="L712" s="1"/>
  <c r="M712" s="1"/>
  <c r="N712" s="1"/>
  <c r="K711"/>
  <c r="L711" s="1"/>
  <c r="K710"/>
  <c r="L710" s="1"/>
  <c r="M710" s="1"/>
  <c r="N710" s="1"/>
  <c r="K709"/>
  <c r="L709" s="1"/>
  <c r="M709" s="1"/>
  <c r="N709" s="1"/>
  <c r="K708"/>
  <c r="L708" s="1"/>
  <c r="M708" s="1"/>
  <c r="N708" s="1"/>
  <c r="K707"/>
  <c r="L707" s="1"/>
  <c r="K706"/>
  <c r="L706" s="1"/>
  <c r="M706" s="1"/>
  <c r="N706" s="1"/>
  <c r="K705"/>
  <c r="L705" s="1"/>
  <c r="M705" s="1"/>
  <c r="N705" s="1"/>
  <c r="K704"/>
  <c r="L704" s="1"/>
  <c r="M704" s="1"/>
  <c r="N704" s="1"/>
  <c r="K703"/>
  <c r="L703" s="1"/>
  <c r="K702"/>
  <c r="L702" s="1"/>
  <c r="M702" s="1"/>
  <c r="N702" s="1"/>
  <c r="K701"/>
  <c r="L701" s="1"/>
  <c r="M701" s="1"/>
  <c r="N701" s="1"/>
  <c r="K700"/>
  <c r="L700" s="1"/>
  <c r="M700" s="1"/>
  <c r="N700" s="1"/>
  <c r="K699"/>
  <c r="L699" s="1"/>
  <c r="K698"/>
  <c r="L698" s="1"/>
  <c r="M698" s="1"/>
  <c r="N698" s="1"/>
  <c r="K697"/>
  <c r="L697" s="1"/>
  <c r="K696"/>
  <c r="L696" s="1"/>
  <c r="M696" s="1"/>
  <c r="N696" s="1"/>
  <c r="K695"/>
  <c r="L695" s="1"/>
  <c r="M695" s="1"/>
  <c r="N695" s="1"/>
  <c r="K694"/>
  <c r="L694" s="1"/>
  <c r="M694" s="1"/>
  <c r="N694" s="1"/>
  <c r="K693"/>
  <c r="L693" s="1"/>
  <c r="M693" s="1"/>
  <c r="N693" s="1"/>
  <c r="K692"/>
  <c r="L692" s="1"/>
  <c r="K691"/>
  <c r="L691" s="1"/>
  <c r="M691" s="1"/>
  <c r="N691" s="1"/>
  <c r="K690"/>
  <c r="L690" s="1"/>
  <c r="K689"/>
  <c r="L689" s="1"/>
  <c r="M689" s="1"/>
  <c r="N689" s="1"/>
  <c r="K688"/>
  <c r="L688" s="1"/>
  <c r="M688" s="1"/>
  <c r="N688" s="1"/>
  <c r="K687"/>
  <c r="L687" s="1"/>
  <c r="M687" s="1"/>
  <c r="N687" s="1"/>
  <c r="K686"/>
  <c r="L686" s="1"/>
  <c r="M686" s="1"/>
  <c r="N686" s="1"/>
  <c r="K685"/>
  <c r="L685" s="1"/>
  <c r="M685" s="1"/>
  <c r="N685" s="1"/>
  <c r="K684"/>
  <c r="L684" s="1"/>
  <c r="M684" s="1"/>
  <c r="N684" s="1"/>
  <c r="K683"/>
  <c r="L683" s="1"/>
  <c r="M683" s="1"/>
  <c r="N683" s="1"/>
  <c r="K682"/>
  <c r="L682" s="1"/>
  <c r="K681"/>
  <c r="L681" s="1"/>
  <c r="M681" s="1"/>
  <c r="N681" s="1"/>
  <c r="K680"/>
  <c r="L680" s="1"/>
  <c r="K679"/>
  <c r="L679" s="1"/>
  <c r="M679" s="1"/>
  <c r="N679" s="1"/>
  <c r="K678"/>
  <c r="L678" s="1"/>
  <c r="K677"/>
  <c r="L677" s="1"/>
  <c r="K676"/>
  <c r="L676" s="1"/>
  <c r="M676" s="1"/>
  <c r="N676" s="1"/>
  <c r="K675"/>
  <c r="L675" s="1"/>
  <c r="M675" s="1"/>
  <c r="N675" s="1"/>
  <c r="K674"/>
  <c r="L674" s="1"/>
  <c r="M674" s="1"/>
  <c r="N674" s="1"/>
  <c r="K673"/>
  <c r="L673" s="1"/>
  <c r="M673" s="1"/>
  <c r="N673" s="1"/>
  <c r="K672"/>
  <c r="L672" s="1"/>
  <c r="M672" s="1"/>
  <c r="N672" s="1"/>
  <c r="K671"/>
  <c r="L671" s="1"/>
  <c r="M671" s="1"/>
  <c r="N671" s="1"/>
  <c r="K670"/>
  <c r="L670" s="1"/>
  <c r="M670" s="1"/>
  <c r="N670" s="1"/>
  <c r="K669"/>
  <c r="L669" s="1"/>
  <c r="M669" s="1"/>
  <c r="N669" s="1"/>
  <c r="K668"/>
  <c r="L668" s="1"/>
  <c r="K667"/>
  <c r="L667" s="1"/>
  <c r="M667" s="1"/>
  <c r="N667" s="1"/>
  <c r="K666"/>
  <c r="L666" s="1"/>
  <c r="M666" s="1"/>
  <c r="N666" s="1"/>
  <c r="K665"/>
  <c r="L665" s="1"/>
  <c r="K664"/>
  <c r="L664" s="1"/>
  <c r="M664" s="1"/>
  <c r="N664" s="1"/>
  <c r="K663"/>
  <c r="L663" s="1"/>
  <c r="M663" s="1"/>
  <c r="N663" s="1"/>
  <c r="K662"/>
  <c r="L662" s="1"/>
  <c r="K661"/>
  <c r="L661" s="1"/>
  <c r="M661" s="1"/>
  <c r="N661" s="1"/>
  <c r="K660"/>
  <c r="L660" s="1"/>
  <c r="M660" s="1"/>
  <c r="N660" s="1"/>
  <c r="K659"/>
  <c r="L659" s="1"/>
  <c r="K658"/>
  <c r="L658" s="1"/>
  <c r="M658" s="1"/>
  <c r="N658" s="1"/>
  <c r="K657"/>
  <c r="L657" s="1"/>
  <c r="M657" s="1"/>
  <c r="N657" s="1"/>
  <c r="K656"/>
  <c r="L656" s="1"/>
  <c r="M656" s="1"/>
  <c r="N656" s="1"/>
  <c r="K655"/>
  <c r="L655" s="1"/>
  <c r="K654"/>
  <c r="L654" s="1"/>
  <c r="M654" s="1"/>
  <c r="N654" s="1"/>
  <c r="K653"/>
  <c r="L653" s="1"/>
  <c r="K652"/>
  <c r="L652" s="1"/>
  <c r="M652" s="1"/>
  <c r="N652" s="1"/>
  <c r="K651"/>
  <c r="L651" s="1"/>
  <c r="M651" s="1"/>
  <c r="N651" s="1"/>
  <c r="K650"/>
  <c r="L650" s="1"/>
  <c r="M650" s="1"/>
  <c r="N650" s="1"/>
  <c r="K649"/>
  <c r="L649" s="1"/>
  <c r="M649" s="1"/>
  <c r="N649" s="1"/>
  <c r="K648"/>
  <c r="L648" s="1"/>
  <c r="M648" s="1"/>
  <c r="N648" s="1"/>
  <c r="K647"/>
  <c r="L647" s="1"/>
  <c r="M647" s="1"/>
  <c r="N647" s="1"/>
  <c r="K646"/>
  <c r="L646" s="1"/>
  <c r="M646" s="1"/>
  <c r="N646" s="1"/>
  <c r="K645"/>
  <c r="L645" s="1"/>
  <c r="K644"/>
  <c r="L644" s="1"/>
  <c r="M644" s="1"/>
  <c r="N644" s="1"/>
  <c r="K643"/>
  <c r="L643" s="1"/>
  <c r="K642"/>
  <c r="L642" s="1"/>
  <c r="K641"/>
  <c r="L641" s="1"/>
  <c r="K640"/>
  <c r="L640" s="1"/>
  <c r="M640" s="1"/>
  <c r="N640" s="1"/>
  <c r="K639"/>
  <c r="L639" s="1"/>
  <c r="M639" s="1"/>
  <c r="N639" s="1"/>
  <c r="K636"/>
  <c r="L636" s="1"/>
  <c r="K635"/>
  <c r="L635" s="1"/>
  <c r="M635" s="1"/>
  <c r="N635" s="1"/>
  <c r="K634"/>
  <c r="L634" s="1"/>
  <c r="K633"/>
  <c r="L633" s="1"/>
  <c r="K632"/>
  <c r="L632" s="1"/>
  <c r="M632" s="1"/>
  <c r="N632" s="1"/>
  <c r="K631"/>
  <c r="L631" s="1"/>
  <c r="M631" s="1"/>
  <c r="N631" s="1"/>
  <c r="K630"/>
  <c r="L630" s="1"/>
  <c r="K629"/>
  <c r="L629" s="1"/>
  <c r="K628"/>
  <c r="L628" s="1"/>
  <c r="M628" s="1"/>
  <c r="N628" s="1"/>
  <c r="K627"/>
  <c r="L627" s="1"/>
  <c r="M627" s="1"/>
  <c r="N627" s="1"/>
  <c r="K626"/>
  <c r="L626" s="1"/>
  <c r="K625"/>
  <c r="L625" s="1"/>
  <c r="K624"/>
  <c r="L624" s="1"/>
  <c r="K623"/>
  <c r="L623" s="1"/>
  <c r="M623" s="1"/>
  <c r="N623" s="1"/>
  <c r="K622"/>
  <c r="L622" s="1"/>
  <c r="K621"/>
  <c r="L621" s="1"/>
  <c r="M621" s="1"/>
  <c r="N621" s="1"/>
  <c r="K620"/>
  <c r="L620" s="1"/>
  <c r="K619"/>
  <c r="L619" s="1"/>
  <c r="K618"/>
  <c r="L618" s="1"/>
  <c r="M618" s="1"/>
  <c r="N618" s="1"/>
  <c r="K617"/>
  <c r="L617" s="1"/>
  <c r="M617" s="1"/>
  <c r="N617" s="1"/>
  <c r="K616"/>
  <c r="L616" s="1"/>
  <c r="M616" s="1"/>
  <c r="N616" s="1"/>
  <c r="K615"/>
  <c r="L615" s="1"/>
  <c r="M615" s="1"/>
  <c r="N615" s="1"/>
  <c r="K614"/>
  <c r="L614" s="1"/>
  <c r="K613"/>
  <c r="L613" s="1"/>
  <c r="M613" s="1"/>
  <c r="N613" s="1"/>
  <c r="K612"/>
  <c r="L612" s="1"/>
  <c r="M612" s="1"/>
  <c r="N612" s="1"/>
  <c r="K611"/>
  <c r="L611" s="1"/>
  <c r="M611" s="1"/>
  <c r="N611" s="1"/>
  <c r="K610"/>
  <c r="L610" s="1"/>
  <c r="M610" s="1"/>
  <c r="N610" s="1"/>
  <c r="K609"/>
  <c r="L609" s="1"/>
  <c r="M609" s="1"/>
  <c r="N609" s="1"/>
  <c r="K608"/>
  <c r="L608" s="1"/>
  <c r="K607"/>
  <c r="L607" s="1"/>
  <c r="M607" s="1"/>
  <c r="N607" s="1"/>
  <c r="K606"/>
  <c r="L606" s="1"/>
  <c r="M606" s="1"/>
  <c r="N606" s="1"/>
  <c r="K605"/>
  <c r="L605" s="1"/>
  <c r="M605" s="1"/>
  <c r="N605" s="1"/>
  <c r="K604"/>
  <c r="L604" s="1"/>
  <c r="K603"/>
  <c r="L603" s="1"/>
  <c r="M603" s="1"/>
  <c r="N603" s="1"/>
  <c r="K602"/>
  <c r="L602" s="1"/>
  <c r="K601"/>
  <c r="L601" s="1"/>
  <c r="M601" s="1"/>
  <c r="N601" s="1"/>
  <c r="K600"/>
  <c r="L600" s="1"/>
  <c r="K599"/>
  <c r="L599" s="1"/>
  <c r="M599" s="1"/>
  <c r="N599" s="1"/>
  <c r="K598"/>
  <c r="L598" s="1"/>
  <c r="M598" s="1"/>
  <c r="N598" s="1"/>
  <c r="K597"/>
  <c r="L597" s="1"/>
  <c r="M597" s="1"/>
  <c r="N597" s="1"/>
  <c r="K596"/>
  <c r="L596" s="1"/>
  <c r="M596" s="1"/>
  <c r="N596" s="1"/>
  <c r="K595"/>
  <c r="L595" s="1"/>
  <c r="M595" s="1"/>
  <c r="N595" s="1"/>
  <c r="K594"/>
  <c r="L594" s="1"/>
  <c r="M594" s="1"/>
  <c r="N594" s="1"/>
  <c r="K593"/>
  <c r="L593" s="1"/>
  <c r="K592"/>
  <c r="L592" s="1"/>
  <c r="M592" s="1"/>
  <c r="N592" s="1"/>
  <c r="K591"/>
  <c r="L591" s="1"/>
  <c r="M591" s="1"/>
  <c r="N591" s="1"/>
  <c r="K590"/>
  <c r="L590" s="1"/>
  <c r="M590" s="1"/>
  <c r="N590" s="1"/>
  <c r="K589"/>
  <c r="L589" s="1"/>
  <c r="M589" s="1"/>
  <c r="N589" s="1"/>
  <c r="K588"/>
  <c r="L588" s="1"/>
  <c r="M588" s="1"/>
  <c r="N588" s="1"/>
  <c r="K587"/>
  <c r="L587" s="1"/>
  <c r="K586"/>
  <c r="L586" s="1"/>
  <c r="M586" s="1"/>
  <c r="N586" s="1"/>
  <c r="K585"/>
  <c r="L585" s="1"/>
  <c r="M585" s="1"/>
  <c r="N585" s="1"/>
  <c r="K584"/>
  <c r="L584" s="1"/>
  <c r="K583"/>
  <c r="L583" s="1"/>
  <c r="M583" s="1"/>
  <c r="N583" s="1"/>
  <c r="K582"/>
  <c r="L582" s="1"/>
  <c r="M582" s="1"/>
  <c r="N582" s="1"/>
  <c r="K581"/>
  <c r="L581" s="1"/>
  <c r="M581" s="1"/>
  <c r="N581" s="1"/>
  <c r="K580"/>
  <c r="L580" s="1"/>
  <c r="M580" s="1"/>
  <c r="N580" s="1"/>
  <c r="K579"/>
  <c r="L579" s="1"/>
  <c r="M579" s="1"/>
  <c r="N579" s="1"/>
  <c r="K578"/>
  <c r="L578" s="1"/>
  <c r="M578" s="1"/>
  <c r="N578" s="1"/>
  <c r="K577"/>
  <c r="L577" s="1"/>
  <c r="K576"/>
  <c r="L576" s="1"/>
  <c r="M576" s="1"/>
  <c r="N576" s="1"/>
  <c r="K575"/>
  <c r="L575" s="1"/>
  <c r="K574"/>
  <c r="L574" s="1"/>
  <c r="M574" s="1"/>
  <c r="N574" s="1"/>
  <c r="K573"/>
  <c r="L573" s="1"/>
  <c r="M573" s="1"/>
  <c r="N573" s="1"/>
  <c r="K572"/>
  <c r="L572" s="1"/>
  <c r="M572" s="1"/>
  <c r="N572" s="1"/>
  <c r="K571"/>
  <c r="L571" s="1"/>
  <c r="M571" s="1"/>
  <c r="N571" s="1"/>
  <c r="K570"/>
  <c r="L570" s="1"/>
  <c r="M570" s="1"/>
  <c r="N570" s="1"/>
  <c r="K569"/>
  <c r="L569" s="1"/>
  <c r="K568"/>
  <c r="L568" s="1"/>
  <c r="M568" s="1"/>
  <c r="N568" s="1"/>
  <c r="K567"/>
  <c r="L567" s="1"/>
  <c r="M567" s="1"/>
  <c r="N567" s="1"/>
  <c r="K566"/>
  <c r="L566" s="1"/>
  <c r="M566" s="1"/>
  <c r="N566" s="1"/>
  <c r="K565"/>
  <c r="L565" s="1"/>
  <c r="M565" s="1"/>
  <c r="N565" s="1"/>
  <c r="K564"/>
  <c r="L564" s="1"/>
  <c r="K563"/>
  <c r="L563" s="1"/>
  <c r="M563" s="1"/>
  <c r="N563" s="1"/>
  <c r="K562"/>
  <c r="L562" s="1"/>
  <c r="M562" s="1"/>
  <c r="N562" s="1"/>
  <c r="K561"/>
  <c r="L561" s="1"/>
  <c r="M561" s="1"/>
  <c r="N561" s="1"/>
  <c r="K560"/>
  <c r="L560" s="1"/>
  <c r="M560" s="1"/>
  <c r="N560" s="1"/>
  <c r="K559"/>
  <c r="L559" s="1"/>
  <c r="M559" s="1"/>
  <c r="N559" s="1"/>
  <c r="K558"/>
  <c r="L558" s="1"/>
  <c r="K557"/>
  <c r="L557" s="1"/>
  <c r="M557" s="1"/>
  <c r="N557" s="1"/>
  <c r="K556"/>
  <c r="L556" s="1"/>
  <c r="K555"/>
  <c r="L555" s="1"/>
  <c r="M555" s="1"/>
  <c r="N555" s="1"/>
  <c r="K554"/>
  <c r="L554" s="1"/>
  <c r="M554" s="1"/>
  <c r="N554" s="1"/>
  <c r="K553"/>
  <c r="L553" s="1"/>
  <c r="M553" s="1"/>
  <c r="N553" s="1"/>
  <c r="K552"/>
  <c r="L552" s="1"/>
  <c r="M552" s="1"/>
  <c r="N552" s="1"/>
  <c r="K551"/>
  <c r="L551" s="1"/>
  <c r="M551" s="1"/>
  <c r="N551" s="1"/>
  <c r="K550"/>
  <c r="L550" s="1"/>
  <c r="M550" s="1"/>
  <c r="N550" s="1"/>
  <c r="K549"/>
  <c r="L549" s="1"/>
  <c r="K548"/>
  <c r="L548" s="1"/>
  <c r="M548" s="1"/>
  <c r="N548" s="1"/>
  <c r="K547"/>
  <c r="L547" s="1"/>
  <c r="M547" s="1"/>
  <c r="N547" s="1"/>
  <c r="K546"/>
  <c r="L546" s="1"/>
  <c r="M546" s="1"/>
  <c r="N546" s="1"/>
  <c r="K545"/>
  <c r="L545" s="1"/>
  <c r="M545" s="1"/>
  <c r="N545" s="1"/>
  <c r="K544"/>
  <c r="L544" s="1"/>
  <c r="M544" s="1"/>
  <c r="N544" s="1"/>
  <c r="K543"/>
  <c r="L543" s="1"/>
  <c r="K542"/>
  <c r="L542" s="1"/>
  <c r="M542" s="1"/>
  <c r="N542" s="1"/>
  <c r="K541"/>
  <c r="L541" s="1"/>
  <c r="M541" s="1"/>
  <c r="N541" s="1"/>
  <c r="K540"/>
  <c r="L540" s="1"/>
  <c r="M540" s="1"/>
  <c r="N540" s="1"/>
  <c r="K539"/>
  <c r="L539" s="1"/>
  <c r="M539" s="1"/>
  <c r="N539" s="1"/>
  <c r="K538"/>
  <c r="L538" s="1"/>
  <c r="M538" s="1"/>
  <c r="N538" s="1"/>
  <c r="K537"/>
  <c r="L537" s="1"/>
  <c r="K536"/>
  <c r="L536" s="1"/>
  <c r="M536" s="1"/>
  <c r="N536" s="1"/>
  <c r="K535"/>
  <c r="L535" s="1"/>
  <c r="K534"/>
  <c r="L534" s="1"/>
  <c r="M534" s="1"/>
  <c r="N534" s="1"/>
  <c r="K533"/>
  <c r="L533" s="1"/>
  <c r="M533" s="1"/>
  <c r="N533" s="1"/>
  <c r="K532"/>
  <c r="L532" s="1"/>
  <c r="M532" s="1"/>
  <c r="N532" s="1"/>
  <c r="K531"/>
  <c r="L531" s="1"/>
  <c r="M531" s="1"/>
  <c r="N531" s="1"/>
  <c r="K530"/>
  <c r="L530" s="1"/>
  <c r="M530" s="1"/>
  <c r="N530" s="1"/>
  <c r="K529"/>
  <c r="L529" s="1"/>
  <c r="K528"/>
  <c r="L528" s="1"/>
  <c r="M528" s="1"/>
  <c r="N528" s="1"/>
  <c r="K527"/>
  <c r="L527" s="1"/>
  <c r="M527" s="1"/>
  <c r="N527" s="1"/>
  <c r="K526"/>
  <c r="L526" s="1"/>
  <c r="M526" s="1"/>
  <c r="N526" s="1"/>
  <c r="K525"/>
  <c r="L525" s="1"/>
  <c r="M525" s="1"/>
  <c r="N525" s="1"/>
  <c r="K524"/>
  <c r="L524" s="1"/>
  <c r="K523"/>
  <c r="L523" s="1"/>
  <c r="M523" s="1"/>
  <c r="N523" s="1"/>
  <c r="K522"/>
  <c r="L522" s="1"/>
  <c r="M522" s="1"/>
  <c r="N522" s="1"/>
  <c r="K521"/>
  <c r="L521" s="1"/>
  <c r="M521" s="1"/>
  <c r="N521" s="1"/>
  <c r="K520"/>
  <c r="L520" s="1"/>
  <c r="M520" s="1"/>
  <c r="N520" s="1"/>
  <c r="K519"/>
  <c r="L519" s="1"/>
  <c r="K518"/>
  <c r="L518" s="1"/>
  <c r="M518" s="1"/>
  <c r="N518" s="1"/>
  <c r="K517"/>
  <c r="L517" s="1"/>
  <c r="M517" s="1"/>
  <c r="N517" s="1"/>
  <c r="K516"/>
  <c r="L516" s="1"/>
  <c r="M516" s="1"/>
  <c r="N516" s="1"/>
  <c r="K515"/>
  <c r="L515" s="1"/>
  <c r="M515" s="1"/>
  <c r="N515" s="1"/>
  <c r="K514"/>
  <c r="L514" s="1"/>
  <c r="M514" s="1"/>
  <c r="N514" s="1"/>
  <c r="K513"/>
  <c r="L513" s="1"/>
  <c r="K512"/>
  <c r="L512" s="1"/>
  <c r="M512" s="1"/>
  <c r="N512" s="1"/>
  <c r="K511"/>
  <c r="L511" s="1"/>
  <c r="M511" s="1"/>
  <c r="N511" s="1"/>
  <c r="K510"/>
  <c r="L510" s="1"/>
  <c r="M510" s="1"/>
  <c r="N510" s="1"/>
  <c r="K509"/>
  <c r="L509" s="1"/>
  <c r="M509" s="1"/>
  <c r="N509" s="1"/>
  <c r="K508"/>
  <c r="L508" s="1"/>
  <c r="K507"/>
  <c r="L507" s="1"/>
  <c r="M507" s="1"/>
  <c r="N507" s="1"/>
  <c r="K506"/>
  <c r="L506" s="1"/>
  <c r="M506" s="1"/>
  <c r="N506" s="1"/>
  <c r="K505"/>
  <c r="L505" s="1"/>
  <c r="M505" s="1"/>
  <c r="N505" s="1"/>
  <c r="K504"/>
  <c r="L504" s="1"/>
  <c r="K503"/>
  <c r="L503" s="1"/>
  <c r="M503" s="1"/>
  <c r="N503" s="1"/>
  <c r="K502"/>
  <c r="L502" s="1"/>
  <c r="K501"/>
  <c r="L501" s="1"/>
  <c r="M501" s="1"/>
  <c r="N501" s="1"/>
  <c r="K500"/>
  <c r="L500" s="1"/>
  <c r="K499"/>
  <c r="L499" s="1"/>
  <c r="M499" s="1"/>
  <c r="N499" s="1"/>
  <c r="K498"/>
  <c r="L498" s="1"/>
  <c r="M498" s="1"/>
  <c r="N498" s="1"/>
  <c r="K497"/>
  <c r="L497" s="1"/>
  <c r="K496"/>
  <c r="L496" s="1"/>
  <c r="M496" s="1"/>
  <c r="N496" s="1"/>
  <c r="K495"/>
  <c r="L495" s="1"/>
  <c r="K494"/>
  <c r="L494" s="1"/>
  <c r="K493"/>
  <c r="L493" s="1"/>
  <c r="M493" s="1"/>
  <c r="N493" s="1"/>
  <c r="K492"/>
  <c r="L492" s="1"/>
  <c r="K491"/>
  <c r="L491" s="1"/>
  <c r="K490"/>
  <c r="L490" s="1"/>
  <c r="M490" s="1"/>
  <c r="N490" s="1"/>
  <c r="K489"/>
  <c r="L489" s="1"/>
  <c r="M489" s="1"/>
  <c r="N489" s="1"/>
  <c r="K488"/>
  <c r="L488" s="1"/>
  <c r="M488" s="1"/>
  <c r="N488" s="1"/>
  <c r="K487"/>
  <c r="L487" s="1"/>
  <c r="M487" s="1"/>
  <c r="N487" s="1"/>
  <c r="K486"/>
  <c r="L486" s="1"/>
  <c r="M486" s="1"/>
  <c r="N486" s="1"/>
  <c r="K485"/>
  <c r="L485" s="1"/>
  <c r="M485" s="1"/>
  <c r="N485" s="1"/>
  <c r="K484"/>
  <c r="L484" s="1"/>
  <c r="K483"/>
  <c r="L483" s="1"/>
  <c r="M483" s="1"/>
  <c r="N483" s="1"/>
  <c r="K482"/>
  <c r="L482" s="1"/>
  <c r="M482" s="1"/>
  <c r="N482" s="1"/>
  <c r="K481"/>
  <c r="L481" s="1"/>
  <c r="M481" s="1"/>
  <c r="N481" s="1"/>
  <c r="K480"/>
  <c r="L480" s="1"/>
  <c r="M480" s="1"/>
  <c r="N480" s="1"/>
  <c r="K479"/>
  <c r="L479" s="1"/>
  <c r="M479" s="1"/>
  <c r="N479" s="1"/>
  <c r="K478"/>
  <c r="L478" s="1"/>
  <c r="K477"/>
  <c r="L477" s="1"/>
  <c r="M477" s="1"/>
  <c r="N477" s="1"/>
  <c r="K476"/>
  <c r="L476" s="1"/>
  <c r="K475"/>
  <c r="L475" s="1"/>
  <c r="M475" s="1"/>
  <c r="N475" s="1"/>
  <c r="K474"/>
  <c r="L474" s="1"/>
  <c r="M474" s="1"/>
  <c r="N474" s="1"/>
  <c r="K473"/>
  <c r="L473" s="1"/>
  <c r="M473" s="1"/>
  <c r="N473" s="1"/>
  <c r="K472"/>
  <c r="L472" s="1"/>
  <c r="M472" s="1"/>
  <c r="N472" s="1"/>
  <c r="K471"/>
  <c r="L471" s="1"/>
  <c r="M471" s="1"/>
  <c r="N471" s="1"/>
  <c r="K470"/>
  <c r="L470" s="1"/>
  <c r="K469"/>
  <c r="L469" s="1"/>
  <c r="M469" s="1"/>
  <c r="N469" s="1"/>
  <c r="K468"/>
  <c r="L468" s="1"/>
  <c r="M468" s="1"/>
  <c r="N468" s="1"/>
  <c r="K467"/>
  <c r="L467" s="1"/>
  <c r="M467" s="1"/>
  <c r="N467" s="1"/>
  <c r="K466"/>
  <c r="L466" s="1"/>
  <c r="M466" s="1"/>
  <c r="N466" s="1"/>
  <c r="K465"/>
  <c r="L465" s="1"/>
  <c r="M465" s="1"/>
  <c r="N465" s="1"/>
  <c r="K464"/>
  <c r="L464" s="1"/>
  <c r="K463"/>
  <c r="L463" s="1"/>
  <c r="M463" s="1"/>
  <c r="N463" s="1"/>
  <c r="K462"/>
  <c r="L462" s="1"/>
  <c r="M462" s="1"/>
  <c r="N462" s="1"/>
  <c r="K461"/>
  <c r="L461" s="1"/>
  <c r="M461" s="1"/>
  <c r="N461" s="1"/>
  <c r="K460"/>
  <c r="L460" s="1"/>
  <c r="K459"/>
  <c r="L459" s="1"/>
  <c r="M459" s="1"/>
  <c r="N459" s="1"/>
  <c r="K458"/>
  <c r="L458" s="1"/>
  <c r="K457"/>
  <c r="L457" s="1"/>
  <c r="M457" s="1"/>
  <c r="N457" s="1"/>
  <c r="K456"/>
  <c r="L456" s="1"/>
  <c r="K455"/>
  <c r="L455" s="1"/>
  <c r="M455" s="1"/>
  <c r="N455" s="1"/>
  <c r="K454"/>
  <c r="L454" s="1"/>
  <c r="M454" s="1"/>
  <c r="N454" s="1"/>
  <c r="K453"/>
  <c r="L453" s="1"/>
  <c r="K452"/>
  <c r="L452" s="1"/>
  <c r="M452" s="1"/>
  <c r="N452" s="1"/>
  <c r="K451"/>
  <c r="L451" s="1"/>
  <c r="K450"/>
  <c r="L450" s="1"/>
  <c r="K449"/>
  <c r="L449" s="1"/>
  <c r="M449" s="1"/>
  <c r="N449" s="1"/>
  <c r="K448"/>
  <c r="L448" s="1"/>
  <c r="M448" s="1"/>
  <c r="N448" s="1"/>
  <c r="K447"/>
  <c r="L447" s="1"/>
  <c r="M447" s="1"/>
  <c r="N447" s="1"/>
  <c r="K446"/>
  <c r="L446" s="1"/>
  <c r="M446" s="1"/>
  <c r="N446" s="1"/>
  <c r="K445"/>
  <c r="L445" s="1"/>
  <c r="M445" s="1"/>
  <c r="N445" s="1"/>
  <c r="K444"/>
  <c r="L444" s="1"/>
  <c r="M444" s="1"/>
  <c r="N444" s="1"/>
  <c r="K443"/>
  <c r="L443" s="1"/>
  <c r="M443" s="1"/>
  <c r="N443" s="1"/>
  <c r="K442"/>
  <c r="L442" s="1"/>
  <c r="M442" s="1"/>
  <c r="N442" s="1"/>
  <c r="K441"/>
  <c r="L441" s="1"/>
  <c r="M441" s="1"/>
  <c r="N441" s="1"/>
  <c r="K440"/>
  <c r="L440" s="1"/>
  <c r="K439"/>
  <c r="L439" s="1"/>
  <c r="M439" s="1"/>
  <c r="N439" s="1"/>
  <c r="K438"/>
  <c r="L438" s="1"/>
  <c r="M438" s="1"/>
  <c r="N438" s="1"/>
  <c r="K437"/>
  <c r="L437" s="1"/>
  <c r="M437" s="1"/>
  <c r="N437" s="1"/>
  <c r="K436"/>
  <c r="L436" s="1"/>
  <c r="M436" s="1"/>
  <c r="N436" s="1"/>
  <c r="K435"/>
  <c r="L435" s="1"/>
  <c r="M435" s="1"/>
  <c r="N435" s="1"/>
  <c r="K434"/>
  <c r="L434" s="1"/>
  <c r="M434" s="1"/>
  <c r="N434" s="1"/>
  <c r="K433"/>
  <c r="L433" s="1"/>
  <c r="M433" s="1"/>
  <c r="N433" s="1"/>
  <c r="K432"/>
  <c r="L432" s="1"/>
  <c r="K431"/>
  <c r="L431" s="1"/>
  <c r="M431" s="1"/>
  <c r="N431" s="1"/>
  <c r="K430"/>
  <c r="L430" s="1"/>
  <c r="M430" s="1"/>
  <c r="N430" s="1"/>
  <c r="K429"/>
  <c r="L429" s="1"/>
  <c r="M429" s="1"/>
  <c r="N429" s="1"/>
  <c r="K428"/>
  <c r="L428" s="1"/>
  <c r="M428" s="1"/>
  <c r="N428" s="1"/>
  <c r="K427"/>
  <c r="L427" s="1"/>
  <c r="M427" s="1"/>
  <c r="N427" s="1"/>
  <c r="K426"/>
  <c r="L426" s="1"/>
  <c r="M426" s="1"/>
  <c r="N426" s="1"/>
  <c r="K425"/>
  <c r="L425" s="1"/>
  <c r="M425" s="1"/>
  <c r="N425" s="1"/>
  <c r="K424"/>
  <c r="L424" s="1"/>
  <c r="K423"/>
  <c r="L423" s="1"/>
  <c r="K422"/>
  <c r="L422" s="1"/>
  <c r="M422" s="1"/>
  <c r="N422" s="1"/>
  <c r="K421"/>
  <c r="L421" s="1"/>
  <c r="M421" s="1"/>
  <c r="N421" s="1"/>
  <c r="K420"/>
  <c r="L420" s="1"/>
  <c r="K419"/>
  <c r="L419" s="1"/>
  <c r="K418"/>
  <c r="L418" s="1"/>
  <c r="K417"/>
  <c r="L417" s="1"/>
  <c r="M417" s="1"/>
  <c r="N417" s="1"/>
  <c r="K416"/>
  <c r="L416" s="1"/>
  <c r="K415"/>
  <c r="L415" s="1"/>
  <c r="M415" s="1"/>
  <c r="N415" s="1"/>
  <c r="K414"/>
  <c r="L414" s="1"/>
  <c r="K413"/>
  <c r="L413" s="1"/>
  <c r="K412"/>
  <c r="L412" s="1"/>
  <c r="M412" s="1"/>
  <c r="N412" s="1"/>
  <c r="K411"/>
  <c r="L411" s="1"/>
  <c r="M411" s="1"/>
  <c r="N411" s="1"/>
  <c r="K410"/>
  <c r="L410" s="1"/>
  <c r="M410" s="1"/>
  <c r="N410" s="1"/>
  <c r="K409"/>
  <c r="L409" s="1"/>
  <c r="M409" s="1"/>
  <c r="N409" s="1"/>
  <c r="K408"/>
  <c r="L408" s="1"/>
  <c r="K407"/>
  <c r="L407" s="1"/>
  <c r="M407" s="1"/>
  <c r="N407" s="1"/>
  <c r="K406"/>
  <c r="L406" s="1"/>
  <c r="M406" s="1"/>
  <c r="N406" s="1"/>
  <c r="K405"/>
  <c r="L405" s="1"/>
  <c r="M405" s="1"/>
  <c r="N405" s="1"/>
  <c r="K404"/>
  <c r="L404" s="1"/>
  <c r="M404" s="1"/>
  <c r="N404" s="1"/>
  <c r="K403"/>
  <c r="L403" s="1"/>
  <c r="M403" s="1"/>
  <c r="N403" s="1"/>
  <c r="K402"/>
  <c r="L402" s="1"/>
  <c r="M402" s="1"/>
  <c r="N402" s="1"/>
  <c r="K401"/>
  <c r="L401" s="1"/>
  <c r="M401" s="1"/>
  <c r="N401" s="1"/>
  <c r="K400"/>
  <c r="L400" s="1"/>
  <c r="M400" s="1"/>
  <c r="N400" s="1"/>
  <c r="K399"/>
  <c r="L399" s="1"/>
  <c r="M399" s="1"/>
  <c r="N399" s="1"/>
  <c r="K398"/>
  <c r="L398" s="1"/>
  <c r="K397"/>
  <c r="L397" s="1"/>
  <c r="M397" s="1"/>
  <c r="N397" s="1"/>
  <c r="K396"/>
  <c r="L396" s="1"/>
  <c r="M396" s="1"/>
  <c r="N396" s="1"/>
  <c r="K395"/>
  <c r="L395" s="1"/>
  <c r="M395" s="1"/>
  <c r="N395" s="1"/>
  <c r="K394"/>
  <c r="L394" s="1"/>
  <c r="M394" s="1"/>
  <c r="N394" s="1"/>
  <c r="K393"/>
  <c r="L393" s="1"/>
  <c r="M393" s="1"/>
  <c r="N393" s="1"/>
  <c r="K392"/>
  <c r="L392" s="1"/>
  <c r="M392" s="1"/>
  <c r="N392" s="1"/>
  <c r="K391"/>
  <c r="L391" s="1"/>
  <c r="K390"/>
  <c r="L390" s="1"/>
  <c r="M390" s="1"/>
  <c r="N390" s="1"/>
  <c r="K389"/>
  <c r="L389" s="1"/>
  <c r="K388"/>
  <c r="L388" s="1"/>
  <c r="M388" s="1"/>
  <c r="N388" s="1"/>
  <c r="K387"/>
  <c r="L387" s="1"/>
  <c r="K386"/>
  <c r="L386" s="1"/>
  <c r="M386" s="1"/>
  <c r="N386" s="1"/>
  <c r="K385"/>
  <c r="L385" s="1"/>
  <c r="M385" s="1"/>
  <c r="N385" s="1"/>
  <c r="K384"/>
  <c r="L384" s="1"/>
  <c r="M384" s="1"/>
  <c r="N384" s="1"/>
  <c r="K383"/>
  <c r="L383" s="1"/>
  <c r="K382"/>
  <c r="L382" s="1"/>
  <c r="M382" s="1"/>
  <c r="N382" s="1"/>
  <c r="K381"/>
  <c r="L381" s="1"/>
  <c r="M381" s="1"/>
  <c r="N381" s="1"/>
  <c r="K380"/>
  <c r="L380" s="1"/>
  <c r="M380" s="1"/>
  <c r="N380" s="1"/>
  <c r="K379"/>
  <c r="L379" s="1"/>
  <c r="M379" s="1"/>
  <c r="N379" s="1"/>
  <c r="K378"/>
  <c r="L378" s="1"/>
  <c r="M378" s="1"/>
  <c r="N378" s="1"/>
  <c r="K377"/>
  <c r="L377" s="1"/>
  <c r="M377" s="1"/>
  <c r="N377" s="1"/>
  <c r="K376"/>
  <c r="L376" s="1"/>
  <c r="K375"/>
  <c r="L375" s="1"/>
  <c r="M375" s="1"/>
  <c r="N375" s="1"/>
  <c r="K374"/>
  <c r="L374" s="1"/>
  <c r="M374" s="1"/>
  <c r="N374" s="1"/>
  <c r="K373"/>
  <c r="L373" s="1"/>
  <c r="M373" s="1"/>
  <c r="N373" s="1"/>
  <c r="K372"/>
  <c r="L372" s="1"/>
  <c r="M372" s="1"/>
  <c r="N372" s="1"/>
  <c r="K371"/>
  <c r="L371" s="1"/>
  <c r="K370"/>
  <c r="L370" s="1"/>
  <c r="K369"/>
  <c r="L369" s="1"/>
  <c r="M369" s="1"/>
  <c r="N369" s="1"/>
  <c r="K368"/>
  <c r="L368" s="1"/>
  <c r="M368" s="1"/>
  <c r="N368" s="1"/>
  <c r="K367"/>
  <c r="L367" s="1"/>
  <c r="K366"/>
  <c r="L366" s="1"/>
  <c r="K365"/>
  <c r="L365" s="1"/>
  <c r="K364"/>
  <c r="L364" s="1"/>
  <c r="M364" s="1"/>
  <c r="N364" s="1"/>
  <c r="K363"/>
  <c r="L363" s="1"/>
  <c r="K362"/>
  <c r="L362" s="1"/>
  <c r="M362" s="1"/>
  <c r="N362" s="1"/>
  <c r="K361"/>
  <c r="L361" s="1"/>
  <c r="K360"/>
  <c r="L360" s="1"/>
  <c r="K359"/>
  <c r="L359" s="1"/>
  <c r="M359" s="1"/>
  <c r="N359" s="1"/>
  <c r="K358"/>
  <c r="L358" s="1"/>
  <c r="M358" s="1"/>
  <c r="N358" s="1"/>
  <c r="K357"/>
  <c r="L357" s="1"/>
  <c r="M357" s="1"/>
  <c r="N357" s="1"/>
  <c r="K356"/>
  <c r="L356" s="1"/>
  <c r="M356" s="1"/>
  <c r="N356" s="1"/>
  <c r="K355"/>
  <c r="L355" s="1"/>
  <c r="M355" s="1"/>
  <c r="N355" s="1"/>
  <c r="K354"/>
  <c r="L354" s="1"/>
  <c r="M354" s="1"/>
  <c r="N354" s="1"/>
  <c r="K353"/>
  <c r="L353" s="1"/>
  <c r="M353" s="1"/>
  <c r="N353" s="1"/>
  <c r="K352"/>
  <c r="L352" s="1"/>
  <c r="M352" s="1"/>
  <c r="N352" s="1"/>
  <c r="K351"/>
  <c r="L351" s="1"/>
  <c r="K350"/>
  <c r="L350" s="1"/>
  <c r="M350" s="1"/>
  <c r="N350" s="1"/>
  <c r="K349"/>
  <c r="L349" s="1"/>
  <c r="M349" s="1"/>
  <c r="N349" s="1"/>
  <c r="K348"/>
  <c r="L348" s="1"/>
  <c r="M348" s="1"/>
  <c r="N348" s="1"/>
  <c r="K347"/>
  <c r="L347" s="1"/>
  <c r="M347" s="1"/>
  <c r="N347" s="1"/>
  <c r="K346"/>
  <c r="L346" s="1"/>
  <c r="M346" s="1"/>
  <c r="N346" s="1"/>
  <c r="K345"/>
  <c r="L345" s="1"/>
  <c r="M345" s="1"/>
  <c r="N345" s="1"/>
  <c r="K344"/>
  <c r="L344" s="1"/>
  <c r="M344" s="1"/>
  <c r="N344" s="1"/>
  <c r="K343"/>
  <c r="L343" s="1"/>
  <c r="K342"/>
  <c r="L342" s="1"/>
  <c r="M342" s="1"/>
  <c r="N342" s="1"/>
  <c r="K341"/>
  <c r="L341" s="1"/>
  <c r="M341" s="1"/>
  <c r="N341" s="1"/>
  <c r="K340"/>
  <c r="L340" s="1"/>
  <c r="K339"/>
  <c r="L339" s="1"/>
  <c r="M339" s="1"/>
  <c r="N339" s="1"/>
  <c r="K338"/>
  <c r="L338" s="1"/>
  <c r="M338" s="1"/>
  <c r="N338" s="1"/>
  <c r="K337"/>
  <c r="L337" s="1"/>
  <c r="M337" s="1"/>
  <c r="N337" s="1"/>
  <c r="K336"/>
  <c r="L336" s="1"/>
  <c r="M336" s="1"/>
  <c r="N336" s="1"/>
  <c r="K335"/>
  <c r="L335" s="1"/>
  <c r="M335" s="1"/>
  <c r="N335" s="1"/>
  <c r="K334"/>
  <c r="L334" s="1"/>
  <c r="K333"/>
  <c r="L333" s="1"/>
  <c r="M333" s="1"/>
  <c r="N333" s="1"/>
  <c r="K332"/>
  <c r="L332" s="1"/>
  <c r="M332" s="1"/>
  <c r="N332" s="1"/>
  <c r="K331"/>
  <c r="L331" s="1"/>
  <c r="M331" s="1"/>
  <c r="N331" s="1"/>
  <c r="K330"/>
  <c r="L330" s="1"/>
  <c r="M330" s="1"/>
  <c r="N330" s="1"/>
  <c r="K329"/>
  <c r="L329" s="1"/>
  <c r="M329" s="1"/>
  <c r="N329" s="1"/>
  <c r="K328"/>
  <c r="L328" s="1"/>
  <c r="M328" s="1"/>
  <c r="N328" s="1"/>
  <c r="K327"/>
  <c r="L327" s="1"/>
  <c r="M327" s="1"/>
  <c r="N327" s="1"/>
  <c r="K326"/>
  <c r="L326" s="1"/>
  <c r="K325"/>
  <c r="L325" s="1"/>
  <c r="K324"/>
  <c r="L324" s="1"/>
  <c r="M324" s="1"/>
  <c r="N324" s="1"/>
  <c r="K323"/>
  <c r="L323" s="1"/>
  <c r="M323" s="1"/>
  <c r="N323" s="1"/>
  <c r="K322"/>
  <c r="L322" s="1"/>
  <c r="K321"/>
  <c r="L321" s="1"/>
  <c r="K320"/>
  <c r="L320" s="1"/>
  <c r="K319"/>
  <c r="L319" s="1"/>
  <c r="M319" s="1"/>
  <c r="N319" s="1"/>
  <c r="K318"/>
  <c r="L318" s="1"/>
  <c r="K317"/>
  <c r="L317" s="1"/>
  <c r="M317" s="1"/>
  <c r="N317" s="1"/>
  <c r="K316"/>
  <c r="L316" s="1"/>
  <c r="K315"/>
  <c r="L315" s="1"/>
  <c r="K314"/>
  <c r="L314" s="1"/>
  <c r="M314" s="1"/>
  <c r="N314" s="1"/>
  <c r="K313"/>
  <c r="L313" s="1"/>
  <c r="M313" s="1"/>
  <c r="N313" s="1"/>
  <c r="K312"/>
  <c r="L312" s="1"/>
  <c r="M312" s="1"/>
  <c r="N312" s="1"/>
  <c r="K311"/>
  <c r="L311" s="1"/>
  <c r="M311" s="1"/>
  <c r="N311" s="1"/>
  <c r="K310"/>
  <c r="L310" s="1"/>
  <c r="K309"/>
  <c r="L309" s="1"/>
  <c r="M309" s="1"/>
  <c r="N309" s="1"/>
  <c r="K308"/>
  <c r="L308" s="1"/>
  <c r="M308" s="1"/>
  <c r="N308" s="1"/>
  <c r="K307"/>
  <c r="L307" s="1"/>
  <c r="M307" s="1"/>
  <c r="N307" s="1"/>
  <c r="K306"/>
  <c r="L306" s="1"/>
  <c r="K305"/>
  <c r="L305" s="1"/>
  <c r="M305" s="1"/>
  <c r="N305" s="1"/>
  <c r="K304"/>
  <c r="L304" s="1"/>
  <c r="M304" s="1"/>
  <c r="N304" s="1"/>
  <c r="K303"/>
  <c r="L303" s="1"/>
  <c r="K302"/>
  <c r="L302" s="1"/>
  <c r="M302" s="1"/>
  <c r="N302" s="1"/>
  <c r="K301"/>
  <c r="L301" s="1"/>
  <c r="M301" s="1"/>
  <c r="N301" s="1"/>
  <c r="K300"/>
  <c r="L300" s="1"/>
  <c r="K299"/>
  <c r="L299" s="1"/>
  <c r="M299" s="1"/>
  <c r="N299" s="1"/>
  <c r="K298"/>
  <c r="L298" s="1"/>
  <c r="K297"/>
  <c r="L297" s="1"/>
  <c r="M297" s="1"/>
  <c r="N297" s="1"/>
  <c r="K296"/>
  <c r="L296" s="1"/>
  <c r="M296" s="1"/>
  <c r="N296" s="1"/>
  <c r="K295"/>
  <c r="L295" s="1"/>
  <c r="M295" s="1"/>
  <c r="N295" s="1"/>
  <c r="K294"/>
  <c r="L294" s="1"/>
  <c r="M294" s="1"/>
  <c r="N294" s="1"/>
  <c r="K293"/>
  <c r="L293" s="1"/>
  <c r="M293" s="1"/>
  <c r="N293" s="1"/>
  <c r="K292"/>
  <c r="L292" s="1"/>
  <c r="M292" s="1"/>
  <c r="N292" s="1"/>
  <c r="K291"/>
  <c r="L291" s="1"/>
  <c r="M291" s="1"/>
  <c r="N291" s="1"/>
  <c r="K290"/>
  <c r="L290" s="1"/>
  <c r="M290" s="1"/>
  <c r="N290" s="1"/>
  <c r="K289"/>
  <c r="L289" s="1"/>
  <c r="M289" s="1"/>
  <c r="N289" s="1"/>
  <c r="K288"/>
  <c r="L288" s="1"/>
  <c r="K287"/>
  <c r="L287" s="1"/>
  <c r="M287" s="1"/>
  <c r="N287" s="1"/>
  <c r="K286"/>
  <c r="L286" s="1"/>
  <c r="M286" s="1"/>
  <c r="N286" s="1"/>
  <c r="K285"/>
  <c r="L285" s="1"/>
  <c r="M285" s="1"/>
  <c r="N285" s="1"/>
  <c r="K284"/>
  <c r="L284" s="1"/>
  <c r="K283"/>
  <c r="L283" s="1"/>
  <c r="M283" s="1"/>
  <c r="N283" s="1"/>
  <c r="K282"/>
  <c r="L282" s="1"/>
  <c r="M282" s="1"/>
  <c r="N282" s="1"/>
  <c r="K281"/>
  <c r="L281" s="1"/>
  <c r="M281" s="1"/>
  <c r="N281" s="1"/>
  <c r="K280"/>
  <c r="L280" s="1"/>
  <c r="M280" s="1"/>
  <c r="N280" s="1"/>
  <c r="K279"/>
  <c r="L279" s="1"/>
  <c r="M279" s="1"/>
  <c r="N279" s="1"/>
  <c r="K278"/>
  <c r="L278" s="1"/>
  <c r="M278" s="1"/>
  <c r="N278" s="1"/>
  <c r="K277"/>
  <c r="L277" s="1"/>
  <c r="K276"/>
  <c r="L276" s="1"/>
  <c r="M276" s="1"/>
  <c r="N276" s="1"/>
  <c r="K275"/>
  <c r="L275" s="1"/>
  <c r="M275" s="1"/>
  <c r="N275" s="1"/>
  <c r="K274"/>
  <c r="L274" s="1"/>
  <c r="M274" s="1"/>
  <c r="N274" s="1"/>
  <c r="K273"/>
  <c r="L273" s="1"/>
  <c r="M273" s="1"/>
  <c r="N273" s="1"/>
  <c r="K272"/>
  <c r="L272" s="1"/>
  <c r="M272" s="1"/>
  <c r="N272" s="1"/>
  <c r="K271"/>
  <c r="L271" s="1"/>
  <c r="M271" s="1"/>
  <c r="N271" s="1"/>
  <c r="K270"/>
  <c r="L270" s="1"/>
  <c r="M270" s="1"/>
  <c r="N270" s="1"/>
  <c r="K269"/>
  <c r="L269" s="1"/>
  <c r="K268"/>
  <c r="L268" s="1"/>
  <c r="M268" s="1"/>
  <c r="N268" s="1"/>
  <c r="K267"/>
  <c r="L267" s="1"/>
  <c r="M267" s="1"/>
  <c r="N267" s="1"/>
  <c r="K266"/>
  <c r="L266" s="1"/>
  <c r="M266" s="1"/>
  <c r="N266" s="1"/>
  <c r="K265"/>
  <c r="L265" s="1"/>
  <c r="M265" s="1"/>
  <c r="N265" s="1"/>
  <c r="K264"/>
  <c r="L264" s="1"/>
  <c r="M264" s="1"/>
  <c r="N264" s="1"/>
  <c r="K263"/>
  <c r="L263" s="1"/>
  <c r="M263" s="1"/>
  <c r="N263" s="1"/>
  <c r="K262"/>
  <c r="L262" s="1"/>
  <c r="M262" s="1"/>
  <c r="N262" s="1"/>
  <c r="K261"/>
  <c r="L261" s="1"/>
  <c r="K260"/>
  <c r="L260" s="1"/>
  <c r="M260" s="1"/>
  <c r="N260" s="1"/>
  <c r="K259"/>
  <c r="L259" s="1"/>
  <c r="M259" s="1"/>
  <c r="N259" s="1"/>
  <c r="K258"/>
  <c r="L258" s="1"/>
  <c r="M258" s="1"/>
  <c r="N258" s="1"/>
  <c r="K257"/>
  <c r="L257" s="1"/>
  <c r="M257" s="1"/>
  <c r="N257" s="1"/>
  <c r="K256"/>
  <c r="L256" s="1"/>
  <c r="M256" s="1"/>
  <c r="N256" s="1"/>
  <c r="K255"/>
  <c r="L255" s="1"/>
  <c r="M255" s="1"/>
  <c r="N255" s="1"/>
  <c r="K254"/>
  <c r="L254" s="1"/>
  <c r="M254" s="1"/>
  <c r="N254" s="1"/>
  <c r="K253"/>
  <c r="L253" s="1"/>
  <c r="K252"/>
  <c r="L252" s="1"/>
  <c r="M252" s="1"/>
  <c r="N252" s="1"/>
  <c r="K251"/>
  <c r="L251" s="1"/>
  <c r="K250"/>
  <c r="L250" s="1"/>
  <c r="M250" s="1"/>
  <c r="N250" s="1"/>
  <c r="K249"/>
  <c r="L249" s="1"/>
  <c r="M249" s="1"/>
  <c r="N249" s="1"/>
  <c r="K248"/>
  <c r="L248" s="1"/>
  <c r="M248" s="1"/>
  <c r="N248" s="1"/>
  <c r="K247"/>
  <c r="L247" s="1"/>
  <c r="K246"/>
  <c r="L246" s="1"/>
  <c r="M246" s="1"/>
  <c r="N246" s="1"/>
  <c r="K245"/>
  <c r="L245" s="1"/>
  <c r="M245" s="1"/>
  <c r="N245" s="1"/>
  <c r="K244"/>
  <c r="L244" s="1"/>
  <c r="M244" s="1"/>
  <c r="N244" s="1"/>
  <c r="K243"/>
  <c r="L243" s="1"/>
  <c r="M243" s="1"/>
  <c r="N243" s="1"/>
  <c r="K242"/>
  <c r="L242" s="1"/>
  <c r="K241"/>
  <c r="L241" s="1"/>
  <c r="M241" s="1"/>
  <c r="N241" s="1"/>
  <c r="K240"/>
  <c r="L240" s="1"/>
  <c r="M240" s="1"/>
  <c r="N240" s="1"/>
  <c r="K239"/>
  <c r="L239" s="1"/>
  <c r="M239" s="1"/>
  <c r="N239" s="1"/>
  <c r="K238"/>
  <c r="L238" s="1"/>
  <c r="K237"/>
  <c r="L237" s="1"/>
  <c r="M237" s="1"/>
  <c r="N237" s="1"/>
  <c r="K236"/>
  <c r="L236" s="1"/>
  <c r="K235"/>
  <c r="L235" s="1"/>
  <c r="M235" s="1"/>
  <c r="N235" s="1"/>
  <c r="K234"/>
  <c r="L234" s="1"/>
  <c r="M234" s="1"/>
  <c r="N234" s="1"/>
  <c r="K233"/>
  <c r="L233" s="1"/>
  <c r="M233" s="1"/>
  <c r="N233" s="1"/>
  <c r="K232"/>
  <c r="L232" s="1"/>
  <c r="K231"/>
  <c r="L231" s="1"/>
  <c r="K230"/>
  <c r="L230" s="1"/>
  <c r="M230" s="1"/>
  <c r="N230" s="1"/>
  <c r="K229"/>
  <c r="L229" s="1"/>
  <c r="M229" s="1"/>
  <c r="N229" s="1"/>
  <c r="K228"/>
  <c r="L228" s="1"/>
  <c r="M228" s="1"/>
  <c r="N228" s="1"/>
  <c r="K227"/>
  <c r="L227" s="1"/>
  <c r="M227" s="1"/>
  <c r="N227" s="1"/>
  <c r="K226"/>
  <c r="L226" s="1"/>
  <c r="M226" s="1"/>
  <c r="N226" s="1"/>
  <c r="K225"/>
  <c r="L225" s="1"/>
  <c r="M225" s="1"/>
  <c r="N225" s="1"/>
  <c r="K224"/>
  <c r="L224" s="1"/>
  <c r="M224" s="1"/>
  <c r="N224" s="1"/>
  <c r="K223"/>
  <c r="L223" s="1"/>
  <c r="K222"/>
  <c r="L222" s="1"/>
  <c r="K221"/>
  <c r="L221" s="1"/>
  <c r="M221" s="1"/>
  <c r="N221" s="1"/>
  <c r="K220"/>
  <c r="L220" s="1"/>
  <c r="M220" s="1"/>
  <c r="N220" s="1"/>
  <c r="K219"/>
  <c r="L219" s="1"/>
  <c r="M219" s="1"/>
  <c r="N219" s="1"/>
  <c r="K218"/>
  <c r="L218" s="1"/>
  <c r="M218" s="1"/>
  <c r="N218" s="1"/>
  <c r="K217"/>
  <c r="L217" s="1"/>
  <c r="K216"/>
  <c r="L216" s="1"/>
  <c r="M216" s="1"/>
  <c r="N216" s="1"/>
  <c r="K215"/>
  <c r="L215" s="1"/>
  <c r="M215" s="1"/>
  <c r="N215" s="1"/>
  <c r="K214"/>
  <c r="L214" s="1"/>
  <c r="K213"/>
  <c r="L213" s="1"/>
  <c r="K212"/>
  <c r="L212" s="1"/>
  <c r="K211"/>
  <c r="L211" s="1"/>
  <c r="M211" s="1"/>
  <c r="N211" s="1"/>
  <c r="K210"/>
  <c r="L210" s="1"/>
  <c r="K209"/>
  <c r="L209" s="1"/>
  <c r="M209" s="1"/>
  <c r="N209" s="1"/>
  <c r="K208"/>
  <c r="L208" s="1"/>
  <c r="K207"/>
  <c r="L207" s="1"/>
  <c r="K206"/>
  <c r="L206" s="1"/>
  <c r="K205"/>
  <c r="L205" s="1"/>
  <c r="M205" s="1"/>
  <c r="N205" s="1"/>
  <c r="K204"/>
  <c r="L204" s="1"/>
  <c r="M204" s="1"/>
  <c r="N204" s="1"/>
  <c r="K203"/>
  <c r="L203" s="1"/>
  <c r="M203" s="1"/>
  <c r="N203" s="1"/>
  <c r="K202"/>
  <c r="L202" s="1"/>
  <c r="M202" s="1"/>
  <c r="N202" s="1"/>
  <c r="K201"/>
  <c r="L201" s="1"/>
  <c r="K200"/>
  <c r="L200" s="1"/>
  <c r="M200" s="1"/>
  <c r="N200" s="1"/>
  <c r="K199"/>
  <c r="L199" s="1"/>
  <c r="M199" s="1"/>
  <c r="N199" s="1"/>
  <c r="K198"/>
  <c r="L198" s="1"/>
  <c r="M198" s="1"/>
  <c r="N198" s="1"/>
  <c r="K197"/>
  <c r="L197" s="1"/>
  <c r="M197" s="1"/>
  <c r="N197" s="1"/>
  <c r="K196"/>
  <c r="L196" s="1"/>
  <c r="M196" s="1"/>
  <c r="N196" s="1"/>
  <c r="K195"/>
  <c r="L195" s="1"/>
  <c r="K194"/>
  <c r="L194" s="1"/>
  <c r="M194" s="1"/>
  <c r="N194" s="1"/>
  <c r="K193"/>
  <c r="L193" s="1"/>
  <c r="M193" s="1"/>
  <c r="N193" s="1"/>
  <c r="K192"/>
  <c r="L192" s="1"/>
  <c r="M192" s="1"/>
  <c r="N192" s="1"/>
  <c r="K191"/>
  <c r="L191" s="1"/>
  <c r="K190"/>
  <c r="L190" s="1"/>
  <c r="K189"/>
  <c r="L189" s="1"/>
  <c r="M189" s="1"/>
  <c r="N189" s="1"/>
  <c r="K188"/>
  <c r="L188" s="1"/>
  <c r="M188" s="1"/>
  <c r="N188" s="1"/>
  <c r="K187"/>
  <c r="L187" s="1"/>
  <c r="M187" s="1"/>
  <c r="N187" s="1"/>
  <c r="K186"/>
  <c r="L186" s="1"/>
  <c r="K185"/>
  <c r="L185" s="1"/>
  <c r="K184"/>
  <c r="L184" s="1"/>
  <c r="M184" s="1"/>
  <c r="N184" s="1"/>
  <c r="K183"/>
  <c r="L183" s="1"/>
  <c r="M183" s="1"/>
  <c r="N183" s="1"/>
  <c r="K182"/>
  <c r="L182" s="1"/>
  <c r="M182" s="1"/>
  <c r="N182" s="1"/>
  <c r="K181"/>
  <c r="L181" s="1"/>
  <c r="K180"/>
  <c r="L180" s="1"/>
  <c r="M180" s="1"/>
  <c r="N180" s="1"/>
  <c r="K179"/>
  <c r="L179" s="1"/>
  <c r="M179" s="1"/>
  <c r="N179" s="1"/>
  <c r="K178"/>
  <c r="L178" s="1"/>
  <c r="M178" s="1"/>
  <c r="N178" s="1"/>
  <c r="K177"/>
  <c r="L177" s="1"/>
  <c r="M177" s="1"/>
  <c r="N177" s="1"/>
  <c r="K176"/>
  <c r="L176" s="1"/>
  <c r="K175"/>
  <c r="L175" s="1"/>
  <c r="M175" s="1"/>
  <c r="N175" s="1"/>
  <c r="K174"/>
  <c r="L174" s="1"/>
  <c r="M174" s="1"/>
  <c r="N174" s="1"/>
  <c r="K173"/>
  <c r="L173" s="1"/>
  <c r="M173" s="1"/>
  <c r="N173" s="1"/>
  <c r="K172"/>
  <c r="L172" s="1"/>
  <c r="K171"/>
  <c r="L171" s="1"/>
  <c r="M171" s="1"/>
  <c r="N171" s="1"/>
  <c r="K170"/>
  <c r="L170" s="1"/>
  <c r="M170" s="1"/>
  <c r="N170" s="1"/>
  <c r="K169"/>
  <c r="L169" s="1"/>
  <c r="M169" s="1"/>
  <c r="N169" s="1"/>
  <c r="K168"/>
  <c r="L168" s="1"/>
  <c r="K167"/>
  <c r="L167" s="1"/>
  <c r="M167" s="1"/>
  <c r="N167" s="1"/>
  <c r="K166"/>
  <c r="L166" s="1"/>
  <c r="M166" s="1"/>
  <c r="N166" s="1"/>
  <c r="K165"/>
  <c r="L165" s="1"/>
  <c r="M165" s="1"/>
  <c r="N165" s="1"/>
  <c r="K164"/>
  <c r="L164" s="1"/>
  <c r="M164" s="1"/>
  <c r="N164" s="1"/>
  <c r="K163"/>
  <c r="L163" s="1"/>
  <c r="M163" s="1"/>
  <c r="N163" s="1"/>
  <c r="K162"/>
  <c r="L162" s="1"/>
  <c r="K161"/>
  <c r="L161" s="1"/>
  <c r="K160"/>
  <c r="L160" s="1"/>
  <c r="K159"/>
  <c r="L159" s="1"/>
  <c r="M159" s="1"/>
  <c r="N159" s="1"/>
  <c r="K158"/>
  <c r="L158" s="1"/>
  <c r="K157"/>
  <c r="L157" s="1"/>
  <c r="M157" s="1"/>
  <c r="N157" s="1"/>
  <c r="K156"/>
  <c r="L156" s="1"/>
  <c r="K155"/>
  <c r="L155" s="1"/>
  <c r="K154"/>
  <c r="L154" s="1"/>
  <c r="K153"/>
  <c r="L153" s="1"/>
  <c r="M153" s="1"/>
  <c r="N153" s="1"/>
  <c r="K152"/>
  <c r="L152" s="1"/>
  <c r="M152" s="1"/>
  <c r="N152" s="1"/>
  <c r="K151"/>
  <c r="L151" s="1"/>
  <c r="M151" s="1"/>
  <c r="N151" s="1"/>
  <c r="K150"/>
  <c r="L150" s="1"/>
  <c r="K149"/>
  <c r="L149" s="1"/>
  <c r="M149" s="1"/>
  <c r="N149" s="1"/>
  <c r="K148"/>
  <c r="L148" s="1"/>
  <c r="M148" s="1"/>
  <c r="N148" s="1"/>
  <c r="K147"/>
  <c r="L147" s="1"/>
  <c r="M147" s="1"/>
  <c r="N147" s="1"/>
  <c r="K146"/>
  <c r="L146" s="1"/>
  <c r="K145"/>
  <c r="L145" s="1"/>
  <c r="M145" s="1"/>
  <c r="N145" s="1"/>
  <c r="K144"/>
  <c r="L144" s="1"/>
  <c r="M144" s="1"/>
  <c r="N144" s="1"/>
  <c r="K143"/>
  <c r="L143" s="1"/>
  <c r="M143" s="1"/>
  <c r="N143" s="1"/>
  <c r="K142"/>
  <c r="L142" s="1"/>
  <c r="K141"/>
  <c r="L141" s="1"/>
  <c r="M141" s="1"/>
  <c r="N141" s="1"/>
  <c r="K140"/>
  <c r="L140" s="1"/>
  <c r="M140" s="1"/>
  <c r="N140" s="1"/>
  <c r="K139"/>
  <c r="L139" s="1"/>
  <c r="M139" s="1"/>
  <c r="N139" s="1"/>
  <c r="K138"/>
  <c r="L138" s="1"/>
  <c r="M138" s="1"/>
  <c r="N138" s="1"/>
  <c r="K137"/>
  <c r="L137" s="1"/>
  <c r="K136"/>
  <c r="L136" s="1"/>
  <c r="M136" s="1"/>
  <c r="N136" s="1"/>
  <c r="K135"/>
  <c r="L135" s="1"/>
  <c r="M135" s="1"/>
  <c r="N135" s="1"/>
  <c r="K134"/>
  <c r="L134" s="1"/>
  <c r="M134" s="1"/>
  <c r="N134" s="1"/>
  <c r="K133"/>
  <c r="L133" s="1"/>
  <c r="K132"/>
  <c r="L132" s="1"/>
  <c r="M132" s="1"/>
  <c r="N132" s="1"/>
  <c r="K131"/>
  <c r="L131" s="1"/>
  <c r="M131" s="1"/>
  <c r="N131" s="1"/>
  <c r="K130"/>
  <c r="L130" s="1"/>
  <c r="M130" s="1"/>
  <c r="N130" s="1"/>
  <c r="K129"/>
  <c r="L129" s="1"/>
  <c r="M129" s="1"/>
  <c r="N129" s="1"/>
  <c r="K128"/>
  <c r="L128" s="1"/>
  <c r="M128" s="1"/>
  <c r="N128" s="1"/>
  <c r="K127"/>
  <c r="L127" s="1"/>
  <c r="K126"/>
  <c r="L126" s="1"/>
  <c r="M126" s="1"/>
  <c r="N126" s="1"/>
  <c r="K125"/>
  <c r="L125" s="1"/>
  <c r="M125" s="1"/>
  <c r="N125" s="1"/>
  <c r="K124"/>
  <c r="L124" s="1"/>
  <c r="M124" s="1"/>
  <c r="N124" s="1"/>
  <c r="K123"/>
  <c r="L123" s="1"/>
  <c r="M123" s="1"/>
  <c r="N123" s="1"/>
  <c r="K122"/>
  <c r="L122" s="1"/>
  <c r="M122" s="1"/>
  <c r="N122" s="1"/>
  <c r="K121"/>
  <c r="L121" s="1"/>
  <c r="K120"/>
  <c r="L120" s="1"/>
  <c r="M120" s="1"/>
  <c r="N120" s="1"/>
  <c r="K119"/>
  <c r="L119" s="1"/>
  <c r="M119" s="1"/>
  <c r="N119" s="1"/>
  <c r="K118"/>
  <c r="L118" s="1"/>
  <c r="K117"/>
  <c r="L117" s="1"/>
  <c r="M117" s="1"/>
  <c r="N117" s="1"/>
  <c r="K116"/>
  <c r="L116" s="1"/>
  <c r="M116" s="1"/>
  <c r="N116" s="1"/>
  <c r="K115"/>
  <c r="L115" s="1"/>
  <c r="M115" s="1"/>
  <c r="N115" s="1"/>
  <c r="K114"/>
  <c r="L114" s="1"/>
  <c r="M114" s="1"/>
  <c r="N114" s="1"/>
  <c r="K113"/>
  <c r="L113" s="1"/>
  <c r="M113" s="1"/>
  <c r="N113" s="1"/>
  <c r="K112"/>
  <c r="L112" s="1"/>
  <c r="M112" s="1"/>
  <c r="N112" s="1"/>
  <c r="K111"/>
  <c r="L111" s="1"/>
  <c r="K110"/>
  <c r="L110" s="1"/>
  <c r="M110" s="1"/>
  <c r="N110" s="1"/>
  <c r="K109"/>
  <c r="L109" s="1"/>
  <c r="M109" s="1"/>
  <c r="N109" s="1"/>
  <c r="K108"/>
  <c r="L108" s="1"/>
  <c r="M108" s="1"/>
  <c r="N108" s="1"/>
  <c r="K107"/>
  <c r="L107" s="1"/>
  <c r="M107" s="1"/>
  <c r="N107" s="1"/>
  <c r="K106"/>
  <c r="L106" s="1"/>
  <c r="M106" s="1"/>
  <c r="N106" s="1"/>
  <c r="K105"/>
  <c r="L105" s="1"/>
  <c r="K104"/>
  <c r="L104" s="1"/>
  <c r="M104" s="1"/>
  <c r="N104" s="1"/>
  <c r="K103"/>
  <c r="L103" s="1"/>
  <c r="M103" s="1"/>
  <c r="N103" s="1"/>
  <c r="K102"/>
  <c r="L102" s="1"/>
  <c r="K101"/>
  <c r="L101" s="1"/>
  <c r="M101" s="1"/>
  <c r="N101" s="1"/>
  <c r="K100"/>
  <c r="L100" s="1"/>
  <c r="K99"/>
  <c r="L99" s="1"/>
  <c r="K98"/>
  <c r="L98" s="1"/>
  <c r="M98" s="1"/>
  <c r="N98" s="1"/>
  <c r="K97"/>
  <c r="L97" s="1"/>
  <c r="M97" s="1"/>
  <c r="N97" s="1"/>
  <c r="K96"/>
  <c r="L96" s="1"/>
  <c r="K95"/>
  <c r="L95" s="1"/>
  <c r="K94"/>
  <c r="L94" s="1"/>
  <c r="M94" s="1"/>
  <c r="N94" s="1"/>
  <c r="K93"/>
  <c r="L93" s="1"/>
  <c r="M93" s="1"/>
  <c r="N93" s="1"/>
  <c r="K92"/>
  <c r="L92" s="1"/>
  <c r="K91"/>
  <c r="L91" s="1"/>
  <c r="K90"/>
  <c r="L90" s="1"/>
  <c r="M90" s="1"/>
  <c r="N90" s="1"/>
  <c r="K89"/>
  <c r="L89" s="1"/>
  <c r="K88"/>
  <c r="L88" s="1"/>
  <c r="M88" s="1"/>
  <c r="N88" s="1"/>
  <c r="K87"/>
  <c r="L87" s="1"/>
  <c r="K86"/>
  <c r="L86" s="1"/>
  <c r="K85"/>
  <c r="L85" s="1"/>
  <c r="M85" s="1"/>
  <c r="N85" s="1"/>
  <c r="K84"/>
  <c r="L84" s="1"/>
  <c r="M84" s="1"/>
  <c r="N84" s="1"/>
  <c r="K83"/>
  <c r="L83" s="1"/>
  <c r="M83" s="1"/>
  <c r="N83" s="1"/>
  <c r="K82"/>
  <c r="L82" s="1"/>
  <c r="M82" s="1"/>
  <c r="N82" s="1"/>
  <c r="K81"/>
  <c r="L81" s="1"/>
  <c r="M81" s="1"/>
  <c r="N81" s="1"/>
  <c r="K80"/>
  <c r="L80" s="1"/>
  <c r="K79"/>
  <c r="L79" s="1"/>
  <c r="K78"/>
  <c r="L78" s="1"/>
  <c r="M78" s="1"/>
  <c r="N78" s="1"/>
  <c r="K77"/>
  <c r="L77" s="1"/>
  <c r="M77" s="1"/>
  <c r="N77" s="1"/>
  <c r="K76"/>
  <c r="L76" s="1"/>
  <c r="K75"/>
  <c r="L75" s="1"/>
  <c r="K74"/>
  <c r="L74" s="1"/>
  <c r="M74" s="1"/>
  <c r="N74" s="1"/>
  <c r="K73"/>
  <c r="L73" s="1"/>
  <c r="M73" s="1"/>
  <c r="N73" s="1"/>
  <c r="K72"/>
  <c r="L72" s="1"/>
  <c r="M72" s="1"/>
  <c r="N72" s="1"/>
  <c r="K71"/>
  <c r="L71" s="1"/>
  <c r="M71" s="1"/>
  <c r="N71" s="1"/>
  <c r="K70"/>
  <c r="L70" s="1"/>
  <c r="M70" s="1"/>
  <c r="N70" s="1"/>
  <c r="K69"/>
  <c r="L69" s="1"/>
  <c r="M69" s="1"/>
  <c r="N69" s="1"/>
  <c r="K68"/>
  <c r="L68" s="1"/>
  <c r="M68" s="1"/>
  <c r="N68" s="1"/>
  <c r="K67"/>
  <c r="L67" s="1"/>
  <c r="M67" s="1"/>
  <c r="N67" s="1"/>
  <c r="K66"/>
  <c r="L66" s="1"/>
  <c r="K65"/>
  <c r="L65" s="1"/>
  <c r="M65" s="1"/>
  <c r="N65" s="1"/>
  <c r="K64"/>
  <c r="L64" s="1"/>
  <c r="M64" s="1"/>
  <c r="N64" s="1"/>
  <c r="K63"/>
  <c r="L63" s="1"/>
  <c r="M63" s="1"/>
  <c r="N63" s="1"/>
  <c r="K62"/>
  <c r="L62" s="1"/>
  <c r="M62" s="1"/>
  <c r="N62" s="1"/>
  <c r="K61"/>
  <c r="L61" s="1"/>
  <c r="M61" s="1"/>
  <c r="N61" s="1"/>
  <c r="K60"/>
  <c r="L60" s="1"/>
  <c r="K59"/>
  <c r="L59" s="1"/>
  <c r="M59" s="1"/>
  <c r="N59" s="1"/>
  <c r="K58"/>
  <c r="L58" s="1"/>
  <c r="M58" s="1"/>
  <c r="N58" s="1"/>
  <c r="K57"/>
  <c r="L57" s="1"/>
  <c r="M57" s="1"/>
  <c r="N57" s="1"/>
  <c r="K56"/>
  <c r="L56" s="1"/>
  <c r="M56" s="1"/>
  <c r="N56" s="1"/>
  <c r="K55"/>
  <c r="L55" s="1"/>
  <c r="M55" s="1"/>
  <c r="N55" s="1"/>
  <c r="K54"/>
  <c r="L54" s="1"/>
  <c r="M54" s="1"/>
  <c r="N54" s="1"/>
  <c r="K53"/>
  <c r="L53" s="1"/>
  <c r="K52"/>
  <c r="L52" s="1"/>
  <c r="M52" s="1"/>
  <c r="N52" s="1"/>
  <c r="K51"/>
  <c r="L51" s="1"/>
  <c r="M51" s="1"/>
  <c r="N51" s="1"/>
  <c r="K50"/>
  <c r="L50" s="1"/>
  <c r="M50" s="1"/>
  <c r="N50" s="1"/>
  <c r="K49"/>
  <c r="L49" s="1"/>
  <c r="M49" s="1"/>
  <c r="N49" s="1"/>
  <c r="K48"/>
  <c r="L48" s="1"/>
  <c r="M48" s="1"/>
  <c r="N48" s="1"/>
  <c r="K47"/>
  <c r="L47" s="1"/>
  <c r="K46"/>
  <c r="L46" s="1"/>
  <c r="K45"/>
  <c r="L45" s="1"/>
  <c r="M45" s="1"/>
  <c r="N45" s="1"/>
  <c r="K44"/>
  <c r="L44" s="1"/>
  <c r="M44" s="1"/>
  <c r="N44" s="1"/>
  <c r="K43"/>
  <c r="L43" s="1"/>
  <c r="K42"/>
  <c r="L42" s="1"/>
  <c r="K41"/>
  <c r="L41" s="1"/>
  <c r="M41" s="1"/>
  <c r="N41" s="1"/>
  <c r="K40"/>
  <c r="L40" s="1"/>
  <c r="M40" s="1"/>
  <c r="N40" s="1"/>
  <c r="K39"/>
  <c r="L39" s="1"/>
  <c r="M39" s="1"/>
  <c r="N39" s="1"/>
  <c r="K38"/>
  <c r="L38" s="1"/>
  <c r="K37"/>
  <c r="L37" s="1"/>
  <c r="K36"/>
  <c r="L36" s="1"/>
  <c r="M36" s="1"/>
  <c r="N36" s="1"/>
  <c r="K35"/>
  <c r="L35" s="1"/>
  <c r="M35" s="1"/>
  <c r="N35" s="1"/>
  <c r="K34"/>
  <c r="L34" s="1"/>
  <c r="K33"/>
  <c r="L33" s="1"/>
  <c r="K32"/>
  <c r="L32" s="1"/>
  <c r="M32" s="1"/>
  <c r="N32" s="1"/>
  <c r="K31"/>
  <c r="L31" s="1"/>
  <c r="M31" s="1"/>
  <c r="N31" s="1"/>
  <c r="K30"/>
  <c r="L30" s="1"/>
  <c r="M30" s="1"/>
  <c r="N30" s="1"/>
  <c r="K29"/>
  <c r="L29" s="1"/>
  <c r="K28"/>
  <c r="L28" s="1"/>
  <c r="K27"/>
  <c r="L27" s="1"/>
  <c r="M27" s="1"/>
  <c r="N27" s="1"/>
  <c r="K26"/>
  <c r="L26" s="1"/>
  <c r="M26" s="1"/>
  <c r="N26" s="1"/>
  <c r="K25"/>
  <c r="L25" s="1"/>
  <c r="K24"/>
  <c r="L24" s="1"/>
  <c r="K23"/>
  <c r="L23" s="1"/>
  <c r="M23" s="1"/>
  <c r="N23" s="1"/>
  <c r="K22"/>
  <c r="L22" s="1"/>
  <c r="K21"/>
  <c r="L21" s="1"/>
  <c r="M21" s="1"/>
  <c r="N21" s="1"/>
  <c r="K20"/>
  <c r="L20" s="1"/>
  <c r="K19"/>
  <c r="L19" s="1"/>
  <c r="K18"/>
  <c r="L18" s="1"/>
  <c r="K17"/>
  <c r="L17" s="1"/>
  <c r="M17" s="1"/>
  <c r="N17" s="1"/>
  <c r="K16"/>
  <c r="L16" s="1"/>
  <c r="M16" s="1"/>
  <c r="N16" s="1"/>
  <c r="K15"/>
  <c r="L15" s="1"/>
  <c r="M15" s="1"/>
  <c r="N15" s="1"/>
  <c r="K14"/>
  <c r="L14" s="1"/>
  <c r="M14" s="1"/>
  <c r="N14" s="1"/>
  <c r="K13"/>
  <c r="L13" s="1"/>
  <c r="M13" s="1"/>
  <c r="N13" s="1"/>
  <c r="K12"/>
  <c r="L12" s="1"/>
  <c r="M12" s="1"/>
  <c r="N12" s="1"/>
  <c r="K11"/>
  <c r="L11" s="1"/>
  <c r="M11" s="1"/>
  <c r="N11" s="1"/>
  <c r="M1470" l="1"/>
  <c r="N1470" s="1"/>
  <c r="A495" i="19"/>
  <c r="A126"/>
  <c r="A132"/>
  <c r="A140"/>
  <c r="A164"/>
  <c r="A300"/>
  <c r="A314"/>
  <c r="A322"/>
  <c r="A347"/>
  <c r="A354"/>
  <c r="A362"/>
  <c r="A396"/>
  <c r="A142"/>
  <c r="A169"/>
  <c r="A176"/>
  <c r="A180"/>
  <c r="A325"/>
  <c r="A346"/>
  <c r="A357"/>
  <c r="A365"/>
  <c r="A399"/>
  <c r="A40"/>
  <c r="A50"/>
  <c r="A64"/>
  <c r="A94"/>
  <c r="A103"/>
  <c r="A106"/>
  <c r="A216"/>
  <c r="A225"/>
  <c r="A263"/>
  <c r="A267"/>
  <c r="A295"/>
  <c r="A299"/>
  <c r="A304"/>
  <c r="A328"/>
  <c r="A329"/>
  <c r="A337"/>
  <c r="A341"/>
  <c r="A367"/>
  <c r="A371"/>
  <c r="A412"/>
  <c r="A429"/>
  <c r="A449"/>
  <c r="A469"/>
  <c r="A474"/>
  <c r="A475"/>
  <c r="A53"/>
  <c r="A67"/>
  <c r="A115"/>
  <c r="A117"/>
  <c r="A119"/>
  <c r="A143"/>
  <c r="A145"/>
  <c r="A149"/>
  <c r="A155"/>
  <c r="A253"/>
  <c r="A260"/>
  <c r="A284"/>
  <c r="A292"/>
  <c r="A413"/>
  <c r="A422"/>
  <c r="A425"/>
  <c r="A451"/>
  <c r="A453"/>
  <c r="A473"/>
  <c r="A19"/>
  <c r="A37"/>
  <c r="A78"/>
  <c r="A93"/>
  <c r="A96"/>
  <c r="A97"/>
  <c r="A99"/>
  <c r="A101"/>
  <c r="A105"/>
  <c r="A111"/>
  <c r="A122"/>
  <c r="A171"/>
  <c r="A189"/>
  <c r="A201"/>
  <c r="A232"/>
  <c r="A238"/>
  <c r="A242"/>
  <c r="A248"/>
  <c r="A252"/>
  <c r="A256"/>
  <c r="A276"/>
  <c r="A309"/>
  <c r="A313"/>
  <c r="A318"/>
  <c r="A331"/>
  <c r="A345"/>
  <c r="A378"/>
  <c r="A388"/>
  <c r="A389"/>
  <c r="A390"/>
  <c r="A393"/>
  <c r="A486"/>
  <c r="A498"/>
  <c r="A500"/>
  <c r="A11"/>
  <c r="A18"/>
  <c r="A24"/>
  <c r="A26"/>
  <c r="A39"/>
  <c r="A42"/>
  <c r="A44"/>
  <c r="A46"/>
  <c r="A48"/>
  <c r="A54"/>
  <c r="A56"/>
  <c r="A58"/>
  <c r="A60"/>
  <c r="A62"/>
  <c r="A90"/>
  <c r="A114"/>
  <c r="A125"/>
  <c r="A130"/>
  <c r="A134"/>
  <c r="A151"/>
  <c r="A158"/>
  <c r="A204"/>
  <c r="A209"/>
  <c r="A217"/>
  <c r="A220"/>
  <c r="A237"/>
  <c r="A247"/>
  <c r="A279"/>
  <c r="A283"/>
  <c r="A288"/>
  <c r="A334"/>
  <c r="A336"/>
  <c r="A358"/>
  <c r="A360"/>
  <c r="A375"/>
  <c r="A385"/>
  <c r="A445"/>
  <c r="A461"/>
  <c r="A406"/>
  <c r="A408"/>
  <c r="A439"/>
  <c r="A464"/>
  <c r="A466"/>
  <c r="A482"/>
  <c r="A484"/>
  <c r="A501"/>
  <c r="A503"/>
  <c r="A10"/>
  <c r="A15"/>
  <c r="A45"/>
  <c r="A49"/>
  <c r="A52"/>
  <c r="A69"/>
  <c r="A73"/>
  <c r="A77"/>
  <c r="A98"/>
  <c r="A102"/>
  <c r="A108"/>
  <c r="A110"/>
  <c r="A129"/>
  <c r="A148"/>
  <c r="A150"/>
  <c r="A166"/>
  <c r="A184"/>
  <c r="A188"/>
  <c r="A208"/>
  <c r="A211"/>
  <c r="A213"/>
  <c r="A229"/>
  <c r="A246"/>
  <c r="A249"/>
  <c r="A271"/>
  <c r="A275"/>
  <c r="A280"/>
  <c r="A303"/>
  <c r="A310"/>
  <c r="A335"/>
  <c r="A350"/>
  <c r="A353"/>
  <c r="A370"/>
  <c r="A374"/>
  <c r="A379"/>
  <c r="A392"/>
  <c r="A400"/>
  <c r="A410"/>
  <c r="A411"/>
  <c r="A444"/>
  <c r="A448"/>
  <c r="A452"/>
  <c r="A467"/>
  <c r="A479"/>
  <c r="A481"/>
  <c r="A491"/>
  <c r="A497"/>
  <c r="A17"/>
  <c r="A28"/>
  <c r="A30"/>
  <c r="A32"/>
  <c r="A36"/>
  <c r="A57"/>
  <c r="A59"/>
  <c r="A63"/>
  <c r="A66"/>
  <c r="A81"/>
  <c r="A85"/>
  <c r="A89"/>
  <c r="A92"/>
  <c r="A121"/>
  <c r="A139"/>
  <c r="A154"/>
  <c r="A161"/>
  <c r="A170"/>
  <c r="A174"/>
  <c r="A177"/>
  <c r="A196"/>
  <c r="A200"/>
  <c r="A205"/>
  <c r="A219"/>
  <c r="A226"/>
  <c r="A234"/>
  <c r="A236"/>
  <c r="A239"/>
  <c r="A259"/>
  <c r="A264"/>
  <c r="A287"/>
  <c r="A291"/>
  <c r="A296"/>
  <c r="A317"/>
  <c r="A321"/>
  <c r="A326"/>
  <c r="A340"/>
  <c r="A344"/>
  <c r="A366"/>
  <c r="A384"/>
  <c r="A403"/>
  <c r="A419"/>
  <c r="A423"/>
  <c r="A436"/>
  <c r="A457"/>
  <c r="A463"/>
  <c r="A470"/>
  <c r="A472"/>
  <c r="A478"/>
  <c r="A492"/>
  <c r="A507"/>
  <c r="A509"/>
  <c r="A29"/>
  <c r="A9"/>
  <c r="A16"/>
  <c r="A20"/>
  <c r="A25"/>
  <c r="A13"/>
  <c r="A22"/>
  <c r="A38"/>
  <c r="A43"/>
  <c r="A51"/>
  <c r="A65"/>
  <c r="A71"/>
  <c r="A83"/>
  <c r="A91"/>
  <c r="A104"/>
  <c r="A107"/>
  <c r="A109"/>
  <c r="A112"/>
  <c r="A118"/>
  <c r="A120"/>
  <c r="A123"/>
  <c r="A128"/>
  <c r="A131"/>
  <c r="A133"/>
  <c r="A136"/>
  <c r="A137"/>
  <c r="A146"/>
  <c r="A152"/>
  <c r="A153"/>
  <c r="A157"/>
  <c r="A159"/>
  <c r="A163"/>
  <c r="A168"/>
  <c r="A173"/>
  <c r="A179"/>
  <c r="A182"/>
  <c r="A187"/>
  <c r="A190"/>
  <c r="A193"/>
  <c r="A194"/>
  <c r="A199"/>
  <c r="A202"/>
  <c r="A206"/>
  <c r="A210"/>
  <c r="A212"/>
  <c r="A215"/>
  <c r="A218"/>
  <c r="A222"/>
  <c r="A223"/>
  <c r="A230"/>
  <c r="A235"/>
  <c r="A241"/>
  <c r="A244"/>
  <c r="A251"/>
  <c r="A254"/>
  <c r="A258"/>
  <c r="A261"/>
  <c r="A266"/>
  <c r="A269"/>
  <c r="A274"/>
  <c r="A277"/>
  <c r="A282"/>
  <c r="A285"/>
  <c r="A290"/>
  <c r="A293"/>
  <c r="A298"/>
  <c r="A301"/>
  <c r="A306"/>
  <c r="A307"/>
  <c r="A312"/>
  <c r="A315"/>
  <c r="A320"/>
  <c r="A323"/>
  <c r="A332"/>
  <c r="A338"/>
  <c r="A343"/>
  <c r="A348"/>
  <c r="A352"/>
  <c r="A355"/>
  <c r="A359"/>
  <c r="A363"/>
  <c r="A368"/>
  <c r="A373"/>
  <c r="A376"/>
  <c r="A383"/>
  <c r="A386"/>
  <c r="A395"/>
  <c r="A397"/>
  <c r="A402"/>
  <c r="A407"/>
  <c r="A414"/>
  <c r="A415"/>
  <c r="A418"/>
  <c r="A420"/>
  <c r="A428"/>
  <c r="A430"/>
  <c r="A433"/>
  <c r="A434"/>
  <c r="A438"/>
  <c r="A440"/>
  <c r="A441"/>
  <c r="A442"/>
  <c r="A447"/>
  <c r="A450"/>
  <c r="A455"/>
  <c r="A460"/>
  <c r="A462"/>
  <c r="A468"/>
  <c r="A477"/>
  <c r="A480"/>
  <c r="A488"/>
  <c r="A490"/>
  <c r="A502"/>
  <c r="A505"/>
  <c r="A34"/>
  <c r="A41"/>
  <c r="A47"/>
  <c r="A55"/>
  <c r="A61"/>
  <c r="A75"/>
  <c r="A79"/>
  <c r="A87"/>
  <c r="A95"/>
  <c r="A100"/>
  <c r="A113"/>
  <c r="A116"/>
  <c r="A124"/>
  <c r="A127"/>
  <c r="A135"/>
  <c r="A138"/>
  <c r="A141"/>
  <c r="A144"/>
  <c r="A147"/>
  <c r="A156"/>
  <c r="A160"/>
  <c r="A162"/>
  <c r="A165"/>
  <c r="A167"/>
  <c r="A172"/>
  <c r="A175"/>
  <c r="A178"/>
  <c r="A183"/>
  <c r="A186"/>
  <c r="A191"/>
  <c r="A192"/>
  <c r="A195"/>
  <c r="A198"/>
  <c r="A203"/>
  <c r="A207"/>
  <c r="A214"/>
  <c r="A221"/>
  <c r="A224"/>
  <c r="A227"/>
  <c r="A228"/>
  <c r="A231"/>
  <c r="A233"/>
  <c r="A240"/>
  <c r="A245"/>
  <c r="A250"/>
  <c r="A255"/>
  <c r="A257"/>
  <c r="A262"/>
  <c r="A265"/>
  <c r="A270"/>
  <c r="A273"/>
  <c r="A278"/>
  <c r="A281"/>
  <c r="A286"/>
  <c r="A289"/>
  <c r="A294"/>
  <c r="A297"/>
  <c r="A302"/>
  <c r="A305"/>
  <c r="A308"/>
  <c r="A311"/>
  <c r="A316"/>
  <c r="A319"/>
  <c r="A324"/>
  <c r="A327"/>
  <c r="A330"/>
  <c r="A333"/>
  <c r="A339"/>
  <c r="A342"/>
  <c r="A349"/>
  <c r="A351"/>
  <c r="A356"/>
  <c r="A361"/>
  <c r="A364"/>
  <c r="A369"/>
  <c r="A372"/>
  <c r="A377"/>
  <c r="A380"/>
  <c r="A381"/>
  <c r="A382"/>
  <c r="A387"/>
  <c r="A391"/>
  <c r="A394"/>
  <c r="A398"/>
  <c r="A401"/>
  <c r="A405"/>
  <c r="A409"/>
  <c r="A416"/>
  <c r="A417"/>
  <c r="A421"/>
  <c r="A424"/>
  <c r="A427"/>
  <c r="A431"/>
  <c r="A432"/>
  <c r="A435"/>
  <c r="A437"/>
  <c r="A443"/>
  <c r="A446"/>
  <c r="A456"/>
  <c r="A459"/>
  <c r="A465"/>
  <c r="A471"/>
  <c r="A483"/>
  <c r="A485"/>
  <c r="A494"/>
  <c r="A496"/>
  <c r="A499"/>
  <c r="A508"/>
  <c r="N1546" i="18"/>
  <c r="L1270"/>
  <c r="M1270" s="1"/>
  <c r="N1270" s="1"/>
  <c r="L1271"/>
  <c r="M1271" s="1"/>
  <c r="N1271" s="1"/>
  <c r="J2137" i="10" l="1"/>
  <c r="K2137" s="1"/>
  <c r="J2138"/>
  <c r="K2138" s="1"/>
  <c r="J2139"/>
  <c r="K2139" s="1"/>
  <c r="J1110"/>
  <c r="K1110" s="1"/>
  <c r="J1111"/>
  <c r="K1111" s="1"/>
  <c r="J588"/>
  <c r="K588" s="1"/>
  <c r="J589"/>
  <c r="K589" s="1"/>
  <c r="J2354"/>
  <c r="K2354" s="1"/>
  <c r="J2353"/>
  <c r="K2353" s="1"/>
  <c r="J2349"/>
  <c r="K2349" s="1"/>
  <c r="J2342"/>
  <c r="K2342" s="1"/>
  <c r="J2341"/>
  <c r="K2341" s="1"/>
  <c r="J2340"/>
  <c r="K2340" s="1"/>
  <c r="J2339"/>
  <c r="K2339" s="1"/>
  <c r="J2338"/>
  <c r="K2338" s="1"/>
  <c r="J2223"/>
  <c r="K2223" s="1"/>
  <c r="J2101"/>
  <c r="K2101" s="1"/>
  <c r="J2082"/>
  <c r="K2082" s="1"/>
  <c r="J2066"/>
  <c r="K2066" s="1"/>
  <c r="J2065"/>
  <c r="K2065" s="1"/>
  <c r="J2064"/>
  <c r="K2064" s="1"/>
  <c r="J2048"/>
  <c r="K2048" s="1"/>
  <c r="J2047"/>
  <c r="K2047" s="1"/>
  <c r="J2046"/>
  <c r="K2046" s="1"/>
  <c r="J2045"/>
  <c r="K2045" s="1"/>
  <c r="J2038"/>
  <c r="K2038" s="1"/>
  <c r="J2037"/>
  <c r="K2037" s="1"/>
  <c r="J2036"/>
  <c r="K2036" s="1"/>
  <c r="J2035"/>
  <c r="K2035" s="1"/>
  <c r="J2034"/>
  <c r="K2034" s="1"/>
  <c r="J2033"/>
  <c r="K2033" s="1"/>
  <c r="J2029"/>
  <c r="K2029" s="1"/>
  <c r="J2028"/>
  <c r="K2028" s="1"/>
  <c r="J2027"/>
  <c r="K2027" s="1"/>
  <c r="J2026"/>
  <c r="K2026" s="1"/>
  <c r="J2025"/>
  <c r="K2025" s="1"/>
  <c r="J2024"/>
  <c r="K2024" s="1"/>
  <c r="J2008"/>
  <c r="K2008" s="1"/>
  <c r="J2007"/>
  <c r="K2007" s="1"/>
  <c r="J2006"/>
  <c r="K2006" s="1"/>
  <c r="J1999"/>
  <c r="K1999" s="1"/>
  <c r="J1993"/>
  <c r="K1993" s="1"/>
  <c r="J1992"/>
  <c r="K1992" s="1"/>
  <c r="J1991"/>
  <c r="K1991" s="1"/>
  <c r="J1981"/>
  <c r="K1981" s="1"/>
  <c r="J1980"/>
  <c r="K1980" s="1"/>
  <c r="J1979"/>
  <c r="K1979" s="1"/>
  <c r="J1978"/>
  <c r="K1978" s="1"/>
  <c r="J1977"/>
  <c r="K1977" s="1"/>
  <c r="J1976"/>
  <c r="K1976" s="1"/>
  <c r="J1975"/>
  <c r="K1975" s="1"/>
  <c r="J1974"/>
  <c r="K1974" s="1"/>
  <c r="J1973"/>
  <c r="K1973" s="1"/>
  <c r="J1972"/>
  <c r="K1972" s="1"/>
  <c r="J1967"/>
  <c r="K1967" s="1"/>
  <c r="J1966"/>
  <c r="K1966" s="1"/>
  <c r="J1965"/>
  <c r="K1965" s="1"/>
  <c r="J1964"/>
  <c r="K1964" s="1"/>
  <c r="J1963"/>
  <c r="K1963" s="1"/>
  <c r="J1962"/>
  <c r="K1962" s="1"/>
  <c r="J1961"/>
  <c r="K1961" s="1"/>
  <c r="J1960"/>
  <c r="K1960" s="1"/>
  <c r="J1959"/>
  <c r="K1959" s="1"/>
  <c r="J1958"/>
  <c r="K1958" s="1"/>
  <c r="J1937"/>
  <c r="K1937" s="1"/>
  <c r="J1936"/>
  <c r="K1936" s="1"/>
  <c r="J1935"/>
  <c r="K1935" s="1"/>
  <c r="J1816"/>
  <c r="K1816" s="1"/>
  <c r="J1815"/>
  <c r="K1815" s="1"/>
  <c r="J1814"/>
  <c r="K1814" s="1"/>
  <c r="J1813"/>
  <c r="K1813" s="1"/>
  <c r="J1731"/>
  <c r="K1731" s="1"/>
  <c r="J1722"/>
  <c r="K1722" s="1"/>
  <c r="J1707"/>
  <c r="K1707" s="1"/>
  <c r="J1706"/>
  <c r="K1706" s="1"/>
  <c r="J1705"/>
  <c r="K1705" s="1"/>
  <c r="J1704"/>
  <c r="K1704" s="1"/>
  <c r="J1703"/>
  <c r="K1703" s="1"/>
  <c r="J1702"/>
  <c r="K1702" s="1"/>
  <c r="J1701"/>
  <c r="K1701" s="1"/>
  <c r="J1700"/>
  <c r="K1700" s="1"/>
  <c r="J1693"/>
  <c r="K1693" s="1"/>
  <c r="J1692"/>
  <c r="K1692" s="1"/>
  <c r="J1691"/>
  <c r="K1691" s="1"/>
  <c r="J1690"/>
  <c r="K1690" s="1"/>
  <c r="J1689"/>
  <c r="K1689" s="1"/>
  <c r="J1661"/>
  <c r="K1661" s="1"/>
  <c r="J1660"/>
  <c r="K1660" s="1"/>
  <c r="J1659"/>
  <c r="K1659" s="1"/>
  <c r="J1658"/>
  <c r="K1658" s="1"/>
  <c r="J1657"/>
  <c r="K1657" s="1"/>
  <c r="J1605"/>
  <c r="K1605" s="1"/>
  <c r="J1604"/>
  <c r="K1604" s="1"/>
  <c r="J1603"/>
  <c r="K1603" s="1"/>
  <c r="J1602"/>
  <c r="K1602" s="1"/>
  <c r="J1601"/>
  <c r="K1601" s="1"/>
  <c r="J1582"/>
  <c r="K1582" s="1"/>
  <c r="J1581"/>
  <c r="K1581" s="1"/>
  <c r="J1557"/>
  <c r="K1557" s="1"/>
  <c r="J1556"/>
  <c r="K1556" s="1"/>
  <c r="J1555"/>
  <c r="K1555" s="1"/>
  <c r="J1554"/>
  <c r="K1554" s="1"/>
  <c r="J1525"/>
  <c r="K1525" s="1"/>
  <c r="J1524"/>
  <c r="K1524" s="1"/>
  <c r="J1523"/>
  <c r="K1523" s="1"/>
  <c r="J1522"/>
  <c r="K1522" s="1"/>
  <c r="J1521"/>
  <c r="K1521" s="1"/>
  <c r="J1519"/>
  <c r="K1519" s="1"/>
  <c r="J1518"/>
  <c r="K1518" s="1"/>
  <c r="J1517"/>
  <c r="K1517" s="1"/>
  <c r="J1516"/>
  <c r="K1516" s="1"/>
  <c r="G2" i="17" l="1"/>
  <c r="G1"/>
  <c r="J112" i="10"/>
  <c r="K112" s="1"/>
  <c r="J113"/>
  <c r="M1118"/>
  <c r="M1119"/>
  <c r="M1120"/>
  <c r="M1124"/>
  <c r="M1125"/>
  <c r="M1126"/>
  <c r="N2000" i="16"/>
  <c r="N1999"/>
  <c r="N1998"/>
  <c r="N1997"/>
  <c r="N1996"/>
  <c r="N1995"/>
  <c r="N1994"/>
  <c r="N1993"/>
  <c r="N1992"/>
  <c r="N1991"/>
  <c r="N1990"/>
  <c r="N1989"/>
  <c r="N1988"/>
  <c r="N1987"/>
  <c r="N1986"/>
  <c r="N1985"/>
  <c r="N1984"/>
  <c r="N1983"/>
  <c r="N1982"/>
  <c r="N1981"/>
  <c r="N1980"/>
  <c r="N1979"/>
  <c r="N1978"/>
  <c r="N1977"/>
  <c r="N1976"/>
  <c r="N1975"/>
  <c r="N1974"/>
  <c r="N1973"/>
  <c r="N1972"/>
  <c r="N1971"/>
  <c r="N1970"/>
  <c r="N1969"/>
  <c r="N1968"/>
  <c r="N1967"/>
  <c r="N1966"/>
  <c r="N1965"/>
  <c r="N1964"/>
  <c r="N1963"/>
  <c r="N1962"/>
  <c r="N1961"/>
  <c r="N1960"/>
  <c r="N1959"/>
  <c r="N1958"/>
  <c r="N1957"/>
  <c r="N1956"/>
  <c r="N1955"/>
  <c r="N1954"/>
  <c r="N1953"/>
  <c r="N1952"/>
  <c r="N1951"/>
  <c r="N1950"/>
  <c r="N1949"/>
  <c r="N1948"/>
  <c r="N1947"/>
  <c r="N1946"/>
  <c r="N1945"/>
  <c r="N1944"/>
  <c r="N1943"/>
  <c r="N1942"/>
  <c r="N1941"/>
  <c r="N1940"/>
  <c r="N1939"/>
  <c r="N1938"/>
  <c r="N1937"/>
  <c r="N1936"/>
  <c r="N1935"/>
  <c r="N1934"/>
  <c r="N1933"/>
  <c r="N1932"/>
  <c r="N1931"/>
  <c r="N1930"/>
  <c r="N1929"/>
  <c r="N1928"/>
  <c r="N1927"/>
  <c r="N1926"/>
  <c r="N1925"/>
  <c r="N1924"/>
  <c r="N1923"/>
  <c r="N1922"/>
  <c r="N1921"/>
  <c r="N1920"/>
  <c r="N1919"/>
  <c r="N1918"/>
  <c r="N1917"/>
  <c r="N1916"/>
  <c r="N1915"/>
  <c r="N1914"/>
  <c r="N1913"/>
  <c r="N1912"/>
  <c r="N1911"/>
  <c r="N1910"/>
  <c r="N1909"/>
  <c r="N1908"/>
  <c r="N1907"/>
  <c r="N1906"/>
  <c r="N1905"/>
  <c r="N1904"/>
  <c r="N1903"/>
  <c r="N1902"/>
  <c r="N1901"/>
  <c r="N1900"/>
  <c r="N1899"/>
  <c r="N1898"/>
  <c r="N1897"/>
  <c r="N1896"/>
  <c r="N1895"/>
  <c r="N1894"/>
  <c r="N1893"/>
  <c r="N1892"/>
  <c r="N1891"/>
  <c r="N1890"/>
  <c r="N1889"/>
  <c r="N1888"/>
  <c r="N1887"/>
  <c r="N1886"/>
  <c r="N1885"/>
  <c r="N1884"/>
  <c r="N1883"/>
  <c r="N1882"/>
  <c r="N1881"/>
  <c r="N1880"/>
  <c r="N1879"/>
  <c r="N1878"/>
  <c r="N1877"/>
  <c r="N1876"/>
  <c r="N1875"/>
  <c r="N1874"/>
  <c r="N1873"/>
  <c r="N1872"/>
  <c r="N1871"/>
  <c r="N1870"/>
  <c r="N1869"/>
  <c r="N1868"/>
  <c r="N1867"/>
  <c r="N1866"/>
  <c r="N1865"/>
  <c r="N1864"/>
  <c r="N1863"/>
  <c r="N1862"/>
  <c r="N1861"/>
  <c r="N1860"/>
  <c r="N1859"/>
  <c r="N1858"/>
  <c r="N1857"/>
  <c r="N1856"/>
  <c r="N1855"/>
  <c r="N1854"/>
  <c r="N1853"/>
  <c r="N1852"/>
  <c r="N1851"/>
  <c r="N1850"/>
  <c r="N1849"/>
  <c r="N1848"/>
  <c r="N1847"/>
  <c r="N1846"/>
  <c r="N1845"/>
  <c r="N1844"/>
  <c r="N1843"/>
  <c r="N1842"/>
  <c r="N1841"/>
  <c r="N1840"/>
  <c r="N1839"/>
  <c r="N1838"/>
  <c r="N1837"/>
  <c r="N1836"/>
  <c r="N1835"/>
  <c r="N1834"/>
  <c r="N1833"/>
  <c r="N1832"/>
  <c r="N1831"/>
  <c r="N1830"/>
  <c r="N1829"/>
  <c r="N1828"/>
  <c r="N1827"/>
  <c r="N1826"/>
  <c r="N1825"/>
  <c r="N1824"/>
  <c r="N1823"/>
  <c r="N1822"/>
  <c r="N1821"/>
  <c r="N1820"/>
  <c r="N1819"/>
  <c r="N1818"/>
  <c r="N1817"/>
  <c r="N1816"/>
  <c r="N1815"/>
  <c r="N1814"/>
  <c r="N1813"/>
  <c r="N1812"/>
  <c r="N1811"/>
  <c r="N1810"/>
  <c r="N1809"/>
  <c r="N1808"/>
  <c r="N1807"/>
  <c r="N1806"/>
  <c r="N1805"/>
  <c r="N1804"/>
  <c r="N1803"/>
  <c r="N1802"/>
  <c r="N1801"/>
  <c r="N1800"/>
  <c r="N1799"/>
  <c r="N1798"/>
  <c r="N1797"/>
  <c r="N1796"/>
  <c r="N1795"/>
  <c r="N1794"/>
  <c r="N1793"/>
  <c r="N1792"/>
  <c r="N1791"/>
  <c r="N1790"/>
  <c r="N1789"/>
  <c r="N1788"/>
  <c r="N1787"/>
  <c r="N1786"/>
  <c r="N1785"/>
  <c r="N1784"/>
  <c r="N1783"/>
  <c r="N1782"/>
  <c r="N1781"/>
  <c r="N1780"/>
  <c r="N1779"/>
  <c r="N1778"/>
  <c r="N1777"/>
  <c r="N1776"/>
  <c r="N1775"/>
  <c r="N1774"/>
  <c r="N1773"/>
  <c r="N1772"/>
  <c r="N1771"/>
  <c r="N1770"/>
  <c r="N1769"/>
  <c r="N1768"/>
  <c r="N1767"/>
  <c r="N1766"/>
  <c r="N1765"/>
  <c r="N1764"/>
  <c r="N1763"/>
  <c r="N1762"/>
  <c r="N1761"/>
  <c r="N1760"/>
  <c r="N1759"/>
  <c r="N1758"/>
  <c r="N1757"/>
  <c r="N1756"/>
  <c r="N1755"/>
  <c r="N1754"/>
  <c r="N1753"/>
  <c r="N1752"/>
  <c r="N1751"/>
  <c r="N1750"/>
  <c r="N1749"/>
  <c r="N1748"/>
  <c r="N1747"/>
  <c r="N1746"/>
  <c r="N1745"/>
  <c r="N1744"/>
  <c r="N1743"/>
  <c r="N1742"/>
  <c r="N1741"/>
  <c r="N1740"/>
  <c r="N1739"/>
  <c r="N1738"/>
  <c r="N1737"/>
  <c r="N1736"/>
  <c r="N1735"/>
  <c r="N1734"/>
  <c r="N1733"/>
  <c r="N1732"/>
  <c r="N1731"/>
  <c r="N1730"/>
  <c r="N1729"/>
  <c r="N1728"/>
  <c r="N1727"/>
  <c r="N1726"/>
  <c r="N1725"/>
  <c r="N1724"/>
  <c r="N1723"/>
  <c r="N1722"/>
  <c r="N1721"/>
  <c r="N1720"/>
  <c r="N1719"/>
  <c r="N1718"/>
  <c r="N1717"/>
  <c r="N1716"/>
  <c r="N1715"/>
  <c r="N1714"/>
  <c r="N1713"/>
  <c r="N1712"/>
  <c r="N1711"/>
  <c r="N1710"/>
  <c r="N1709"/>
  <c r="N1708"/>
  <c r="N1707"/>
  <c r="N1706"/>
  <c r="N1705"/>
  <c r="N1704"/>
  <c r="N1703"/>
  <c r="N1702"/>
  <c r="N1701"/>
  <c r="N1700"/>
  <c r="N1699"/>
  <c r="N1698"/>
  <c r="N1697"/>
  <c r="N1696"/>
  <c r="N1695"/>
  <c r="N1694"/>
  <c r="N1693"/>
  <c r="N1692"/>
  <c r="N1691"/>
  <c r="N1690"/>
  <c r="N1689"/>
  <c r="N1688"/>
  <c r="N1687"/>
  <c r="N1686"/>
  <c r="N1685"/>
  <c r="N1684"/>
  <c r="N1683"/>
  <c r="N1682"/>
  <c r="N1681"/>
  <c r="N1680"/>
  <c r="N1679"/>
  <c r="N1678"/>
  <c r="N1677"/>
  <c r="N1676"/>
  <c r="N1675"/>
  <c r="N1674"/>
  <c r="N1673"/>
  <c r="N1672"/>
  <c r="N1671"/>
  <c r="N1670"/>
  <c r="N1669"/>
  <c r="N1668"/>
  <c r="N1667"/>
  <c r="N1666"/>
  <c r="N1665"/>
  <c r="N1664"/>
  <c r="N1663"/>
  <c r="N1662"/>
  <c r="N1661"/>
  <c r="N1660"/>
  <c r="N1659"/>
  <c r="N1658"/>
  <c r="N1657"/>
  <c r="N1656"/>
  <c r="N1655"/>
  <c r="N1654"/>
  <c r="N1653"/>
  <c r="N1652"/>
  <c r="N1651"/>
  <c r="N1650"/>
  <c r="N1649"/>
  <c r="N1648"/>
  <c r="N1647"/>
  <c r="N1646"/>
  <c r="N1645"/>
  <c r="N1644"/>
  <c r="N1643"/>
  <c r="N1642"/>
  <c r="N1641"/>
  <c r="N1640"/>
  <c r="N1639"/>
  <c r="N1638"/>
  <c r="N1637"/>
  <c r="N1636"/>
  <c r="N1635"/>
  <c r="N1634"/>
  <c r="N1633"/>
  <c r="N1632"/>
  <c r="N1631"/>
  <c r="N1630"/>
  <c r="N1629"/>
  <c r="N1628"/>
  <c r="N1627"/>
  <c r="N1626"/>
  <c r="N1625"/>
  <c r="N1624"/>
  <c r="N1623"/>
  <c r="N1622"/>
  <c r="N1621"/>
  <c r="N1620"/>
  <c r="N1619"/>
  <c r="N1618"/>
  <c r="N1617"/>
  <c r="N1616"/>
  <c r="N1615"/>
  <c r="N1614"/>
  <c r="N1613"/>
  <c r="N1612"/>
  <c r="N1611"/>
  <c r="N1610"/>
  <c r="N1609"/>
  <c r="N1608"/>
  <c r="N1607"/>
  <c r="N1606"/>
  <c r="N1605"/>
  <c r="N1604"/>
  <c r="N1603"/>
  <c r="N1602"/>
  <c r="N1601"/>
  <c r="N1600"/>
  <c r="N1599"/>
  <c r="N1598"/>
  <c r="N1597"/>
  <c r="N1596"/>
  <c r="N1595"/>
  <c r="N1594"/>
  <c r="N1593"/>
  <c r="N1592"/>
  <c r="N1591"/>
  <c r="N1590"/>
  <c r="N1589"/>
  <c r="N1588"/>
  <c r="N1587"/>
  <c r="N1586"/>
  <c r="N1585"/>
  <c r="N1584"/>
  <c r="N1583"/>
  <c r="N1582"/>
  <c r="N1581"/>
  <c r="N1580"/>
  <c r="N1579"/>
  <c r="N1578"/>
  <c r="N1577"/>
  <c r="N1576"/>
  <c r="N1575"/>
  <c r="N1574"/>
  <c r="N1573"/>
  <c r="N1572"/>
  <c r="N1571"/>
  <c r="N1570"/>
  <c r="N1569"/>
  <c r="N1568"/>
  <c r="N1567"/>
  <c r="N1566"/>
  <c r="N1565"/>
  <c r="N1564"/>
  <c r="N1563"/>
  <c r="N1562"/>
  <c r="N1561"/>
  <c r="N1560"/>
  <c r="N1559"/>
  <c r="N1558"/>
  <c r="N1557"/>
  <c r="N1556"/>
  <c r="N1555"/>
  <c r="N1554"/>
  <c r="N1553"/>
  <c r="N1552"/>
  <c r="N1551"/>
  <c r="N1550"/>
  <c r="N1549"/>
  <c r="N1548"/>
  <c r="N1547"/>
  <c r="N1546"/>
  <c r="N1545"/>
  <c r="N1544"/>
  <c r="N1543"/>
  <c r="N1542"/>
  <c r="N1541"/>
  <c r="N1540"/>
  <c r="N1539"/>
  <c r="N1538"/>
  <c r="N1537"/>
  <c r="N1536"/>
  <c r="N1535"/>
  <c r="N1534"/>
  <c r="N1533"/>
  <c r="N1532"/>
  <c r="N1531"/>
  <c r="N1530"/>
  <c r="N1529"/>
  <c r="N1528"/>
  <c r="N1527"/>
  <c r="N1526"/>
  <c r="N1525"/>
  <c r="N1524"/>
  <c r="N1523"/>
  <c r="N1522"/>
  <c r="N1521"/>
  <c r="N1520"/>
  <c r="N1519"/>
  <c r="N1518"/>
  <c r="N1517"/>
  <c r="N1516"/>
  <c r="N1515"/>
  <c r="N1514"/>
  <c r="N1513"/>
  <c r="N1512"/>
  <c r="N1511"/>
  <c r="N1510"/>
  <c r="N1509"/>
  <c r="N1508"/>
  <c r="N1507"/>
  <c r="N1506"/>
  <c r="N1505"/>
  <c r="N1504"/>
  <c r="N1503"/>
  <c r="N1502"/>
  <c r="N1501"/>
  <c r="N1500"/>
  <c r="N1499"/>
  <c r="N1498"/>
  <c r="N1497"/>
  <c r="N1496"/>
  <c r="N1495"/>
  <c r="N1494"/>
  <c r="N1493"/>
  <c r="N1492"/>
  <c r="N1491"/>
  <c r="N1490"/>
  <c r="N1489"/>
  <c r="N1488"/>
  <c r="N1487"/>
  <c r="N1486"/>
  <c r="N1485"/>
  <c r="N1484"/>
  <c r="N1483"/>
  <c r="N1482"/>
  <c r="N1481"/>
  <c r="N1480"/>
  <c r="N1479"/>
  <c r="N1478"/>
  <c r="N1477"/>
  <c r="N1476"/>
  <c r="N1475"/>
  <c r="N1474"/>
  <c r="N1473"/>
  <c r="N1472"/>
  <c r="N1471"/>
  <c r="N1470"/>
  <c r="N1469"/>
  <c r="N1468"/>
  <c r="N1467"/>
  <c r="N1466"/>
  <c r="N1465"/>
  <c r="N1464"/>
  <c r="N1463"/>
  <c r="N1462"/>
  <c r="N1461"/>
  <c r="N1460"/>
  <c r="N1459"/>
  <c r="N1458"/>
  <c r="N1457"/>
  <c r="N1456"/>
  <c r="N1455"/>
  <c r="N1454"/>
  <c r="N1453"/>
  <c r="N1452"/>
  <c r="N1451"/>
  <c r="N1450"/>
  <c r="N1449"/>
  <c r="N1448"/>
  <c r="N1447"/>
  <c r="N1446"/>
  <c r="N1445"/>
  <c r="N1444"/>
  <c r="N1443"/>
  <c r="N1442"/>
  <c r="N1441"/>
  <c r="N1440"/>
  <c r="N1439"/>
  <c r="N1438"/>
  <c r="N1437"/>
  <c r="N1436"/>
  <c r="N1435"/>
  <c r="N1434"/>
  <c r="N1433"/>
  <c r="N1432"/>
  <c r="N1431"/>
  <c r="N1430"/>
  <c r="N1429"/>
  <c r="N1428"/>
  <c r="N1427"/>
  <c r="N1426"/>
  <c r="N1425"/>
  <c r="N1424"/>
  <c r="N1423"/>
  <c r="N1422"/>
  <c r="N1421"/>
  <c r="N1420"/>
  <c r="N1419"/>
  <c r="N1418"/>
  <c r="N1417"/>
  <c r="N1416"/>
  <c r="N1415"/>
  <c r="N1414"/>
  <c r="N1413"/>
  <c r="N1412"/>
  <c r="N1411"/>
  <c r="N1410"/>
  <c r="N1409"/>
  <c r="N1408"/>
  <c r="N1407"/>
  <c r="N1406"/>
  <c r="N1405"/>
  <c r="N1404"/>
  <c r="N1403"/>
  <c r="N1402"/>
  <c r="N1401"/>
  <c r="N1400"/>
  <c r="N1399"/>
  <c r="N1398"/>
  <c r="N1397"/>
  <c r="N1396"/>
  <c r="N1395"/>
  <c r="N1394"/>
  <c r="N1393"/>
  <c r="N1392"/>
  <c r="N1391"/>
  <c r="N1390"/>
  <c r="N1389"/>
  <c r="N1388"/>
  <c r="N1387"/>
  <c r="N1386"/>
  <c r="N1385"/>
  <c r="N1384"/>
  <c r="N1383"/>
  <c r="N1382"/>
  <c r="N1381"/>
  <c r="N1380"/>
  <c r="N1379"/>
  <c r="N1378"/>
  <c r="N1377"/>
  <c r="N1376"/>
  <c r="N1375"/>
  <c r="N1374"/>
  <c r="N1373"/>
  <c r="N1372"/>
  <c r="N1371"/>
  <c r="N1370"/>
  <c r="N1369"/>
  <c r="N1368"/>
  <c r="N1367"/>
  <c r="N1366"/>
  <c r="N1365"/>
  <c r="N1364"/>
  <c r="N1363"/>
  <c r="N1362"/>
  <c r="N1361"/>
  <c r="N1360"/>
  <c r="N1359"/>
  <c r="N1358"/>
  <c r="N1357"/>
  <c r="N1356"/>
  <c r="N1355"/>
  <c r="N1354"/>
  <c r="N1353"/>
  <c r="N1352"/>
  <c r="N1351"/>
  <c r="N1350"/>
  <c r="N1349"/>
  <c r="N1348"/>
  <c r="N1347"/>
  <c r="N1346"/>
  <c r="N1345"/>
  <c r="N1344"/>
  <c r="N1343"/>
  <c r="N1342"/>
  <c r="N1341"/>
  <c r="N1340"/>
  <c r="N1339"/>
  <c r="N1338"/>
  <c r="N1337"/>
  <c r="N1336"/>
  <c r="N1335"/>
  <c r="N1334"/>
  <c r="N1333"/>
  <c r="N1332"/>
  <c r="N1331"/>
  <c r="N1330"/>
  <c r="N1329"/>
  <c r="N1328"/>
  <c r="N1327"/>
  <c r="N1326"/>
  <c r="N1325"/>
  <c r="N1324"/>
  <c r="N1323"/>
  <c r="N1322"/>
  <c r="N1321"/>
  <c r="N1320"/>
  <c r="N1319"/>
  <c r="N1318"/>
  <c r="N1317"/>
  <c r="N1316"/>
  <c r="N1315"/>
  <c r="N1314"/>
  <c r="N1313"/>
  <c r="N1312"/>
  <c r="N1311"/>
  <c r="N1310"/>
  <c r="N1309"/>
  <c r="N1308"/>
  <c r="N1307"/>
  <c r="N1306"/>
  <c r="N1305"/>
  <c r="N1304"/>
  <c r="N1303"/>
  <c r="N1302"/>
  <c r="N1301"/>
  <c r="N1300"/>
  <c r="N1299"/>
  <c r="N1298"/>
  <c r="N1297"/>
  <c r="N1296"/>
  <c r="N1295"/>
  <c r="N1294"/>
  <c r="N1293"/>
  <c r="N1292"/>
  <c r="N1291"/>
  <c r="N1290"/>
  <c r="N1289"/>
  <c r="N1288"/>
  <c r="N1287"/>
  <c r="N1286"/>
  <c r="N1285"/>
  <c r="N1284"/>
  <c r="N1283"/>
  <c r="N1282"/>
  <c r="N1281"/>
  <c r="N1280"/>
  <c r="N1279"/>
  <c r="N1278"/>
  <c r="N1277"/>
  <c r="N1276"/>
  <c r="N1275"/>
  <c r="N1274"/>
  <c r="N1273"/>
  <c r="N1272"/>
  <c r="N1271"/>
  <c r="N1270"/>
  <c r="N1269"/>
  <c r="N1268"/>
  <c r="N1267"/>
  <c r="N1266"/>
  <c r="N1265"/>
  <c r="N1264"/>
  <c r="N1263"/>
  <c r="N1262"/>
  <c r="N1261"/>
  <c r="N1260"/>
  <c r="N1259"/>
  <c r="N1258"/>
  <c r="N1257"/>
  <c r="N1256"/>
  <c r="N1255"/>
  <c r="N1254"/>
  <c r="N1253"/>
  <c r="N1252"/>
  <c r="N1251"/>
  <c r="N1250"/>
  <c r="N1249"/>
  <c r="N1248"/>
  <c r="N1247"/>
  <c r="N1246"/>
  <c r="N1245"/>
  <c r="N1244"/>
  <c r="N1243"/>
  <c r="N1242"/>
  <c r="N1241"/>
  <c r="N1240"/>
  <c r="N1239"/>
  <c r="N1238"/>
  <c r="N1237"/>
  <c r="N1236"/>
  <c r="N1235"/>
  <c r="N1234"/>
  <c r="N1233"/>
  <c r="N1232"/>
  <c r="N1231"/>
  <c r="N1230"/>
  <c r="N1229"/>
  <c r="N1228"/>
  <c r="N1227"/>
  <c r="N1226"/>
  <c r="N1225"/>
  <c r="N1224"/>
  <c r="N1223"/>
  <c r="N1222"/>
  <c r="N1221"/>
  <c r="N1220"/>
  <c r="N1219"/>
  <c r="N1218"/>
  <c r="N1217"/>
  <c r="N1216"/>
  <c r="N1215"/>
  <c r="N1214"/>
  <c r="N1213"/>
  <c r="N1212"/>
  <c r="N1211"/>
  <c r="N1210"/>
  <c r="N1209"/>
  <c r="N1208"/>
  <c r="N1207"/>
  <c r="N1206"/>
  <c r="N1205"/>
  <c r="N1204"/>
  <c r="N1203"/>
  <c r="N1202"/>
  <c r="N1201"/>
  <c r="N1200"/>
  <c r="N1199"/>
  <c r="N1198"/>
  <c r="N1197"/>
  <c r="N1196"/>
  <c r="N1195"/>
  <c r="N1194"/>
  <c r="N1193"/>
  <c r="N1192"/>
  <c r="N1191"/>
  <c r="N1190"/>
  <c r="N1189"/>
  <c r="N1188"/>
  <c r="N1187"/>
  <c r="N1186"/>
  <c r="N1185"/>
  <c r="N1184"/>
  <c r="N1183"/>
  <c r="N1182"/>
  <c r="N1181"/>
  <c r="N1180"/>
  <c r="N1179"/>
  <c r="N1178"/>
  <c r="N1177"/>
  <c r="N1176"/>
  <c r="N1175"/>
  <c r="N1174"/>
  <c r="N1173"/>
  <c r="N1172"/>
  <c r="N1171"/>
  <c r="N1170"/>
  <c r="N1169"/>
  <c r="N1168"/>
  <c r="N1167"/>
  <c r="N1166"/>
  <c r="N1165"/>
  <c r="N1164"/>
  <c r="N1163"/>
  <c r="N1162"/>
  <c r="N1161"/>
  <c r="N1160"/>
  <c r="N1159"/>
  <c r="N1158"/>
  <c r="N1157"/>
  <c r="N1156"/>
  <c r="N1155"/>
  <c r="N1154"/>
  <c r="N1153"/>
  <c r="N1152"/>
  <c r="N1151"/>
  <c r="N1150"/>
  <c r="N1149"/>
  <c r="N1148"/>
  <c r="N1147"/>
  <c r="N1146"/>
  <c r="N1145"/>
  <c r="N1144"/>
  <c r="N1143"/>
  <c r="N1142"/>
  <c r="N1141"/>
  <c r="N1140"/>
  <c r="N1139"/>
  <c r="N1138"/>
  <c r="N1137"/>
  <c r="N1136"/>
  <c r="N1135"/>
  <c r="N1134"/>
  <c r="N1133"/>
  <c r="N1132"/>
  <c r="N1131"/>
  <c r="N1130"/>
  <c r="N1129"/>
  <c r="N1128"/>
  <c r="N1127"/>
  <c r="N1126"/>
  <c r="N1125"/>
  <c r="N1124"/>
  <c r="N1123"/>
  <c r="N1122"/>
  <c r="N1121"/>
  <c r="N1120"/>
  <c r="N1119"/>
  <c r="N1118"/>
  <c r="N1117"/>
  <c r="N1116"/>
  <c r="N1115"/>
  <c r="N1114"/>
  <c r="N1113"/>
  <c r="N1112"/>
  <c r="N1111"/>
  <c r="N1110"/>
  <c r="N1109"/>
  <c r="N1108"/>
  <c r="N1107"/>
  <c r="N1106"/>
  <c r="N1105"/>
  <c r="N1104"/>
  <c r="N1103"/>
  <c r="N1102"/>
  <c r="N1101"/>
  <c r="N1100"/>
  <c r="N1099"/>
  <c r="N1098"/>
  <c r="N1097"/>
  <c r="N1096"/>
  <c r="N1095"/>
  <c r="N1094"/>
  <c r="N1093"/>
  <c r="N1092"/>
  <c r="N1091"/>
  <c r="N1090"/>
  <c r="N1089"/>
  <c r="N1088"/>
  <c r="N1087"/>
  <c r="N1086"/>
  <c r="N1085"/>
  <c r="N1084"/>
  <c r="N1083"/>
  <c r="N1082"/>
  <c r="N1081"/>
  <c r="N1080"/>
  <c r="N1079"/>
  <c r="N1078"/>
  <c r="N1077"/>
  <c r="N1076"/>
  <c r="N1075"/>
  <c r="N1074"/>
  <c r="N1073"/>
  <c r="N1072"/>
  <c r="N1071"/>
  <c r="N1070"/>
  <c r="N1069"/>
  <c r="N1068"/>
  <c r="N1067"/>
  <c r="N1066"/>
  <c r="N1065"/>
  <c r="N1064"/>
  <c r="N1063"/>
  <c r="N1062"/>
  <c r="N1061"/>
  <c r="N1060"/>
  <c r="N1059"/>
  <c r="N1058"/>
  <c r="N1057"/>
  <c r="N1056"/>
  <c r="N1055"/>
  <c r="N1054"/>
  <c r="N1053"/>
  <c r="N1052"/>
  <c r="N1051"/>
  <c r="N1050"/>
  <c r="N1049"/>
  <c r="N1048"/>
  <c r="N1047"/>
  <c r="N1046"/>
  <c r="N1045"/>
  <c r="N1044"/>
  <c r="N1043"/>
  <c r="N1042"/>
  <c r="N1041"/>
  <c r="N1040"/>
  <c r="N1039"/>
  <c r="N1038"/>
  <c r="N1037"/>
  <c r="N1036"/>
  <c r="N1035"/>
  <c r="N1034"/>
  <c r="N1033"/>
  <c r="N1032"/>
  <c r="N1031"/>
  <c r="N1030"/>
  <c r="N1029"/>
  <c r="N1028"/>
  <c r="N1027"/>
  <c r="N1026"/>
  <c r="N1025"/>
  <c r="N1024"/>
  <c r="N1023"/>
  <c r="N1022"/>
  <c r="N1021"/>
  <c r="N1020"/>
  <c r="N1019"/>
  <c r="N1018"/>
  <c r="N1017"/>
  <c r="N1016"/>
  <c r="N1015"/>
  <c r="N1014"/>
  <c r="N1013"/>
  <c r="N1012"/>
  <c r="N1011"/>
  <c r="N1010"/>
  <c r="N1009"/>
  <c r="N1008"/>
  <c r="N1007"/>
  <c r="N1006"/>
  <c r="N1005"/>
  <c r="N1004"/>
  <c r="N1003"/>
  <c r="N1002"/>
  <c r="N1001"/>
  <c r="N1000"/>
  <c r="N999"/>
  <c r="N998"/>
  <c r="N997"/>
  <c r="N996"/>
  <c r="N995"/>
  <c r="N994"/>
  <c r="N993"/>
  <c r="N992"/>
  <c r="N991"/>
  <c r="N990"/>
  <c r="N989"/>
  <c r="N988"/>
  <c r="N987"/>
  <c r="N986"/>
  <c r="N985"/>
  <c r="N984"/>
  <c r="N983"/>
  <c r="N982"/>
  <c r="N981"/>
  <c r="N980"/>
  <c r="N979"/>
  <c r="N978"/>
  <c r="N977"/>
  <c r="N976"/>
  <c r="N975"/>
  <c r="N974"/>
  <c r="N973"/>
  <c r="N972"/>
  <c r="N971"/>
  <c r="N970"/>
  <c r="N969"/>
  <c r="N968"/>
  <c r="N967"/>
  <c r="N966"/>
  <c r="N965"/>
  <c r="N964"/>
  <c r="N963"/>
  <c r="N962"/>
  <c r="N961"/>
  <c r="N960"/>
  <c r="N959"/>
  <c r="N958"/>
  <c r="N957"/>
  <c r="N956"/>
  <c r="N955"/>
  <c r="N954"/>
  <c r="N953"/>
  <c r="N952"/>
  <c r="N951"/>
  <c r="N950"/>
  <c r="N949"/>
  <c r="N948"/>
  <c r="N947"/>
  <c r="N946"/>
  <c r="N945"/>
  <c r="N944"/>
  <c r="N943"/>
  <c r="N942"/>
  <c r="N941"/>
  <c r="N940"/>
  <c r="N939"/>
  <c r="N938"/>
  <c r="N937"/>
  <c r="N936"/>
  <c r="N935"/>
  <c r="N934"/>
  <c r="N933"/>
  <c r="N932"/>
  <c r="N931"/>
  <c r="N930"/>
  <c r="N929"/>
  <c r="N928"/>
  <c r="N927"/>
  <c r="N926"/>
  <c r="N925"/>
  <c r="N924"/>
  <c r="N923"/>
  <c r="N922"/>
  <c r="N921"/>
  <c r="N920"/>
  <c r="N919"/>
  <c r="N918"/>
  <c r="N917"/>
  <c r="N916"/>
  <c r="N915"/>
  <c r="N914"/>
  <c r="N913"/>
  <c r="N912"/>
  <c r="N911"/>
  <c r="N910"/>
  <c r="N909"/>
  <c r="N908"/>
  <c r="N907"/>
  <c r="N906"/>
  <c r="N905"/>
  <c r="N904"/>
  <c r="N903"/>
  <c r="N902"/>
  <c r="N901"/>
  <c r="N900"/>
  <c r="N899"/>
  <c r="N898"/>
  <c r="N897"/>
  <c r="N896"/>
  <c r="N895"/>
  <c r="N894"/>
  <c r="N893"/>
  <c r="N892"/>
  <c r="N891"/>
  <c r="N890"/>
  <c r="N889"/>
  <c r="N888"/>
  <c r="N887"/>
  <c r="N886"/>
  <c r="N885"/>
  <c r="N884"/>
  <c r="N883"/>
  <c r="N882"/>
  <c r="N881"/>
  <c r="N880"/>
  <c r="N879"/>
  <c r="N878"/>
  <c r="N877"/>
  <c r="N876"/>
  <c r="N875"/>
  <c r="N874"/>
  <c r="N873"/>
  <c r="N872"/>
  <c r="N871"/>
  <c r="N870"/>
  <c r="N869"/>
  <c r="N868"/>
  <c r="N867"/>
  <c r="N866"/>
  <c r="N865"/>
  <c r="N864"/>
  <c r="N863"/>
  <c r="N862"/>
  <c r="N861"/>
  <c r="N860"/>
  <c r="N859"/>
  <c r="N858"/>
  <c r="N857"/>
  <c r="N856"/>
  <c r="N855"/>
  <c r="N854"/>
  <c r="N853"/>
  <c r="N852"/>
  <c r="N851"/>
  <c r="N850"/>
  <c r="N849"/>
  <c r="N848"/>
  <c r="N847"/>
  <c r="N846"/>
  <c r="N845"/>
  <c r="N844"/>
  <c r="N843"/>
  <c r="N842"/>
  <c r="N841"/>
  <c r="N840"/>
  <c r="N839"/>
  <c r="N838"/>
  <c r="N837"/>
  <c r="N836"/>
  <c r="N835"/>
  <c r="N834"/>
  <c r="N833"/>
  <c r="N832"/>
  <c r="N831"/>
  <c r="N830"/>
  <c r="N829"/>
  <c r="N828"/>
  <c r="N827"/>
  <c r="N826"/>
  <c r="N825"/>
  <c r="N824"/>
  <c r="N823"/>
  <c r="N822"/>
  <c r="N821"/>
  <c r="N820"/>
  <c r="N819"/>
  <c r="N818"/>
  <c r="N817"/>
  <c r="N816"/>
  <c r="N815"/>
  <c r="N814"/>
  <c r="N813"/>
  <c r="N812"/>
  <c r="N811"/>
  <c r="N810"/>
  <c r="N809"/>
  <c r="N808"/>
  <c r="N807"/>
  <c r="N806"/>
  <c r="N805"/>
  <c r="N804"/>
  <c r="N803"/>
  <c r="N802"/>
  <c r="N801"/>
  <c r="N800"/>
  <c r="N799"/>
  <c r="N798"/>
  <c r="N797"/>
  <c r="N796"/>
  <c r="N795"/>
  <c r="N794"/>
  <c r="N793"/>
  <c r="N792"/>
  <c r="N791"/>
  <c r="N790"/>
  <c r="N789"/>
  <c r="N788"/>
  <c r="N787"/>
  <c r="N786"/>
  <c r="N785"/>
  <c r="N784"/>
  <c r="N783"/>
  <c r="N782"/>
  <c r="N781"/>
  <c r="N780"/>
  <c r="N779"/>
  <c r="N778"/>
  <c r="N777"/>
  <c r="N776"/>
  <c r="N775"/>
  <c r="N774"/>
  <c r="N773"/>
  <c r="N772"/>
  <c r="N771"/>
  <c r="N770"/>
  <c r="N769"/>
  <c r="N768"/>
  <c r="N767"/>
  <c r="N766"/>
  <c r="N765"/>
  <c r="N764"/>
  <c r="N763"/>
  <c r="N762"/>
  <c r="N761"/>
  <c r="N760"/>
  <c r="N759"/>
  <c r="N758"/>
  <c r="N757"/>
  <c r="N756"/>
  <c r="N755"/>
  <c r="N754"/>
  <c r="N753"/>
  <c r="N752"/>
  <c r="N751"/>
  <c r="N750"/>
  <c r="N749"/>
  <c r="N748"/>
  <c r="N747"/>
  <c r="N746"/>
  <c r="N745"/>
  <c r="N744"/>
  <c r="N743"/>
  <c r="N742"/>
  <c r="N741"/>
  <c r="N740"/>
  <c r="N739"/>
  <c r="N738"/>
  <c r="N737"/>
  <c r="N736"/>
  <c r="N735"/>
  <c r="N734"/>
  <c r="N733"/>
  <c r="N732"/>
  <c r="N731"/>
  <c r="N730"/>
  <c r="N729"/>
  <c r="N728"/>
  <c r="N727"/>
  <c r="N726"/>
  <c r="N725"/>
  <c r="N724"/>
  <c r="N723"/>
  <c r="N722"/>
  <c r="N721"/>
  <c r="N720"/>
  <c r="N719"/>
  <c r="N718"/>
  <c r="N717"/>
  <c r="N716"/>
  <c r="N715"/>
  <c r="N714"/>
  <c r="N713"/>
  <c r="N712"/>
  <c r="N711"/>
  <c r="N710"/>
  <c r="N709"/>
  <c r="N708"/>
  <c r="N707"/>
  <c r="N706"/>
  <c r="N705"/>
  <c r="N704"/>
  <c r="N703"/>
  <c r="N702"/>
  <c r="N701"/>
  <c r="N700"/>
  <c r="N699"/>
  <c r="N698"/>
  <c r="N697"/>
  <c r="N696"/>
  <c r="N695"/>
  <c r="N694"/>
  <c r="N693"/>
  <c r="N692"/>
  <c r="N691"/>
  <c r="N690"/>
  <c r="N689"/>
  <c r="N688"/>
  <c r="N687"/>
  <c r="N686"/>
  <c r="N685"/>
  <c r="N684"/>
  <c r="N683"/>
  <c r="N682"/>
  <c r="N681"/>
  <c r="N680"/>
  <c r="N679"/>
  <c r="N678"/>
  <c r="N677"/>
  <c r="N676"/>
  <c r="N675"/>
  <c r="N674"/>
  <c r="N673"/>
  <c r="N672"/>
  <c r="N671"/>
  <c r="N670"/>
  <c r="N669"/>
  <c r="N668"/>
  <c r="N667"/>
  <c r="N666"/>
  <c r="N665"/>
  <c r="N664"/>
  <c r="N663"/>
  <c r="N662"/>
  <c r="N661"/>
  <c r="N660"/>
  <c r="N659"/>
  <c r="N658"/>
  <c r="N657"/>
  <c r="N656"/>
  <c r="N655"/>
  <c r="N654"/>
  <c r="N653"/>
  <c r="N652"/>
  <c r="N651"/>
  <c r="N650"/>
  <c r="N649"/>
  <c r="N648"/>
  <c r="N647"/>
  <c r="N646"/>
  <c r="N645"/>
  <c r="N644"/>
  <c r="N643"/>
  <c r="N642"/>
  <c r="N641"/>
  <c r="N640"/>
  <c r="N639"/>
  <c r="N638"/>
  <c r="N637"/>
  <c r="N636"/>
  <c r="N635"/>
  <c r="N634"/>
  <c r="N633"/>
  <c r="N632"/>
  <c r="N631"/>
  <c r="N630"/>
  <c r="N629"/>
  <c r="N628"/>
  <c r="N627"/>
  <c r="N626"/>
  <c r="N625"/>
  <c r="N624"/>
  <c r="N623"/>
  <c r="N622"/>
  <c r="N621"/>
  <c r="N620"/>
  <c r="N619"/>
  <c r="N618"/>
  <c r="N617"/>
  <c r="N616"/>
  <c r="N615"/>
  <c r="N614"/>
  <c r="N613"/>
  <c r="N612"/>
  <c r="N611"/>
  <c r="N610"/>
  <c r="N609"/>
  <c r="N608"/>
  <c r="N607"/>
  <c r="N606"/>
  <c r="N605"/>
  <c r="N604"/>
  <c r="N603"/>
  <c r="N602"/>
  <c r="N601"/>
  <c r="N600"/>
  <c r="N599"/>
  <c r="N598"/>
  <c r="N597"/>
  <c r="N596"/>
  <c r="N595"/>
  <c r="N594"/>
  <c r="N593"/>
  <c r="N592"/>
  <c r="N591"/>
  <c r="N590"/>
  <c r="N589"/>
  <c r="N588"/>
  <c r="N587"/>
  <c r="N586"/>
  <c r="N585"/>
  <c r="N584"/>
  <c r="N583"/>
  <c r="N582"/>
  <c r="N581"/>
  <c r="N580"/>
  <c r="N579"/>
  <c r="N578"/>
  <c r="N577"/>
  <c r="N576"/>
  <c r="N575"/>
  <c r="N574"/>
  <c r="N573"/>
  <c r="N572"/>
  <c r="N571"/>
  <c r="N570"/>
  <c r="N569"/>
  <c r="N568"/>
  <c r="N567"/>
  <c r="N566"/>
  <c r="N565"/>
  <c r="N564"/>
  <c r="N563"/>
  <c r="N562"/>
  <c r="N561"/>
  <c r="N560"/>
  <c r="N559"/>
  <c r="N558"/>
  <c r="N557"/>
  <c r="N556"/>
  <c r="N555"/>
  <c r="N554"/>
  <c r="N553"/>
  <c r="N552"/>
  <c r="N551"/>
  <c r="N550"/>
  <c r="N549"/>
  <c r="N548"/>
  <c r="N547"/>
  <c r="N546"/>
  <c r="N545"/>
  <c r="N544"/>
  <c r="N543"/>
  <c r="N542"/>
  <c r="N541"/>
  <c r="N540"/>
  <c r="N539"/>
  <c r="N538"/>
  <c r="N537"/>
  <c r="N536"/>
  <c r="N535"/>
  <c r="N534"/>
  <c r="N533"/>
  <c r="N532"/>
  <c r="N531"/>
  <c r="N530"/>
  <c r="N529"/>
  <c r="N528"/>
  <c r="N527"/>
  <c r="N526"/>
  <c r="N525"/>
  <c r="N524"/>
  <c r="N523"/>
  <c r="N522"/>
  <c r="N521"/>
  <c r="N520"/>
  <c r="N519"/>
  <c r="N518"/>
  <c r="N517"/>
  <c r="N516"/>
  <c r="N515"/>
  <c r="N514"/>
  <c r="N513"/>
  <c r="N512"/>
  <c r="N511"/>
  <c r="N510"/>
  <c r="N509"/>
  <c r="N508"/>
  <c r="N507"/>
  <c r="N506"/>
  <c r="N505"/>
  <c r="N504"/>
  <c r="N503"/>
  <c r="N502"/>
  <c r="N501"/>
  <c r="N500"/>
  <c r="N499"/>
  <c r="N498"/>
  <c r="N497"/>
  <c r="N496"/>
  <c r="N495"/>
  <c r="N494"/>
  <c r="N493"/>
  <c r="N492"/>
  <c r="N491"/>
  <c r="N490"/>
  <c r="N489"/>
  <c r="N488"/>
  <c r="N487"/>
  <c r="N486"/>
  <c r="N485"/>
  <c r="N484"/>
  <c r="N483"/>
  <c r="N482"/>
  <c r="N481"/>
  <c r="N480"/>
  <c r="N479"/>
  <c r="N478"/>
  <c r="N477"/>
  <c r="N476"/>
  <c r="N475"/>
  <c r="N474"/>
  <c r="N473"/>
  <c r="N472"/>
  <c r="N471"/>
  <c r="N470"/>
  <c r="N469"/>
  <c r="N468"/>
  <c r="N467"/>
  <c r="N466"/>
  <c r="N465"/>
  <c r="N464"/>
  <c r="N463"/>
  <c r="N462"/>
  <c r="N461"/>
  <c r="N460"/>
  <c r="N459"/>
  <c r="N458"/>
  <c r="N457"/>
  <c r="N456"/>
  <c r="N455"/>
  <c r="N454"/>
  <c r="N453"/>
  <c r="N452"/>
  <c r="N451"/>
  <c r="N450"/>
  <c r="N449"/>
  <c r="N448"/>
  <c r="N447"/>
  <c r="N446"/>
  <c r="N445"/>
  <c r="N444"/>
  <c r="N443"/>
  <c r="N442"/>
  <c r="N441"/>
  <c r="N440"/>
  <c r="N439"/>
  <c r="N438"/>
  <c r="N437"/>
  <c r="N436"/>
  <c r="N435"/>
  <c r="N434"/>
  <c r="N433"/>
  <c r="N432"/>
  <c r="N431"/>
  <c r="N430"/>
  <c r="N429"/>
  <c r="N428"/>
  <c r="N427"/>
  <c r="N426"/>
  <c r="N425"/>
  <c r="N424"/>
  <c r="N423"/>
  <c r="N422"/>
  <c r="N421"/>
  <c r="N420"/>
  <c r="N419"/>
  <c r="N418"/>
  <c r="N417"/>
  <c r="N416"/>
  <c r="N415"/>
  <c r="N414"/>
  <c r="N413"/>
  <c r="N412"/>
  <c r="N411"/>
  <c r="N410"/>
  <c r="N409"/>
  <c r="N408"/>
  <c r="N407"/>
  <c r="N406"/>
  <c r="N405"/>
  <c r="N404"/>
  <c r="N403"/>
  <c r="N402"/>
  <c r="N401"/>
  <c r="N400"/>
  <c r="N399"/>
  <c r="N398"/>
  <c r="N397"/>
  <c r="N396"/>
  <c r="N395"/>
  <c r="N394"/>
  <c r="N393"/>
  <c r="N392"/>
  <c r="N391"/>
  <c r="N390"/>
  <c r="N389"/>
  <c r="N388"/>
  <c r="N387"/>
  <c r="N386"/>
  <c r="N385"/>
  <c r="N384"/>
  <c r="N383"/>
  <c r="N382"/>
  <c r="N381"/>
  <c r="N380"/>
  <c r="N379"/>
  <c r="N378"/>
  <c r="N377"/>
  <c r="N376"/>
  <c r="N375"/>
  <c r="N374"/>
  <c r="N373"/>
  <c r="N372"/>
  <c r="N371"/>
  <c r="N370"/>
  <c r="N369"/>
  <c r="N368"/>
  <c r="N367"/>
  <c r="N366"/>
  <c r="N365"/>
  <c r="N364"/>
  <c r="N363"/>
  <c r="N362"/>
  <c r="N361"/>
  <c r="N360"/>
  <c r="N359"/>
  <c r="N358"/>
  <c r="N357"/>
  <c r="N356"/>
  <c r="N355"/>
  <c r="N354"/>
  <c r="N353"/>
  <c r="N352"/>
  <c r="N351"/>
  <c r="N350"/>
  <c r="N349"/>
  <c r="N348"/>
  <c r="N347"/>
  <c r="N346"/>
  <c r="N345"/>
  <c r="N344"/>
  <c r="N343"/>
  <c r="N342"/>
  <c r="N341"/>
  <c r="N340"/>
  <c r="N339"/>
  <c r="N338"/>
  <c r="N337"/>
  <c r="N336"/>
  <c r="N335"/>
  <c r="N334"/>
  <c r="N333"/>
  <c r="N332"/>
  <c r="N331"/>
  <c r="N330"/>
  <c r="N329"/>
  <c r="N328"/>
  <c r="N327"/>
  <c r="N326"/>
  <c r="N325"/>
  <c r="N324"/>
  <c r="N323"/>
  <c r="N322"/>
  <c r="N321"/>
  <c r="N320"/>
  <c r="N319"/>
  <c r="N318"/>
  <c r="N317"/>
  <c r="N316"/>
  <c r="N315"/>
  <c r="N314"/>
  <c r="N313"/>
  <c r="N312"/>
  <c r="N311"/>
  <c r="N310"/>
  <c r="N309"/>
  <c r="N308"/>
  <c r="N307"/>
  <c r="N306"/>
  <c r="N305"/>
  <c r="N304"/>
  <c r="N303"/>
  <c r="N302"/>
  <c r="N301"/>
  <c r="N300"/>
  <c r="N299"/>
  <c r="N298"/>
  <c r="N297"/>
  <c r="N296"/>
  <c r="N295"/>
  <c r="N294"/>
  <c r="N293"/>
  <c r="N292"/>
  <c r="N291"/>
  <c r="N290"/>
  <c r="N289"/>
  <c r="N288"/>
  <c r="N287"/>
  <c r="N286"/>
  <c r="N285"/>
  <c r="N284"/>
  <c r="N283"/>
  <c r="N282"/>
  <c r="N281"/>
  <c r="N280"/>
  <c r="N279"/>
  <c r="N278"/>
  <c r="N277"/>
  <c r="N276"/>
  <c r="N275"/>
  <c r="N274"/>
  <c r="N273"/>
  <c r="N272"/>
  <c r="N271"/>
  <c r="N270"/>
  <c r="N269"/>
  <c r="N268"/>
  <c r="N267"/>
  <c r="N266"/>
  <c r="N265"/>
  <c r="N264"/>
  <c r="N263"/>
  <c r="N262"/>
  <c r="N261"/>
  <c r="N260"/>
  <c r="N259"/>
  <c r="N258"/>
  <c r="N257"/>
  <c r="N256"/>
  <c r="N255"/>
  <c r="N254"/>
  <c r="N253"/>
  <c r="N252"/>
  <c r="N251"/>
  <c r="N250"/>
  <c r="N249"/>
  <c r="N248"/>
  <c r="N247"/>
  <c r="N246"/>
  <c r="N245"/>
  <c r="N244"/>
  <c r="N243"/>
  <c r="N242"/>
  <c r="N241"/>
  <c r="N240"/>
  <c r="N239"/>
  <c r="N238"/>
  <c r="N237"/>
  <c r="N236"/>
  <c r="N235"/>
  <c r="N234"/>
  <c r="N233"/>
  <c r="N232"/>
  <c r="N231"/>
  <c r="N230"/>
  <c r="N229"/>
  <c r="N228"/>
  <c r="N227"/>
  <c r="N226"/>
  <c r="N225"/>
  <c r="N224"/>
  <c r="N223"/>
  <c r="N222"/>
  <c r="N221"/>
  <c r="N220"/>
  <c r="N219"/>
  <c r="N218"/>
  <c r="N217"/>
  <c r="N216"/>
  <c r="N215"/>
  <c r="N214"/>
  <c r="N213"/>
  <c r="N212"/>
  <c r="N211"/>
  <c r="N210"/>
  <c r="N209"/>
  <c r="N208"/>
  <c r="N207"/>
  <c r="N206"/>
  <c r="N205"/>
  <c r="N204"/>
  <c r="N203"/>
  <c r="N202"/>
  <c r="N201"/>
  <c r="N200"/>
  <c r="N199"/>
  <c r="N198"/>
  <c r="N197"/>
  <c r="N196"/>
  <c r="N195"/>
  <c r="N194"/>
  <c r="N193"/>
  <c r="N192"/>
  <c r="N191"/>
  <c r="N190"/>
  <c r="N189"/>
  <c r="N188"/>
  <c r="N187"/>
  <c r="N186"/>
  <c r="N185"/>
  <c r="N184"/>
  <c r="N183"/>
  <c r="N182"/>
  <c r="N181"/>
  <c r="N180"/>
  <c r="N179"/>
  <c r="N178"/>
  <c r="N177"/>
  <c r="N176"/>
  <c r="N175"/>
  <c r="N174"/>
  <c r="N173"/>
  <c r="N172"/>
  <c r="N171"/>
  <c r="N170"/>
  <c r="N169"/>
  <c r="N168"/>
  <c r="N167"/>
  <c r="N166"/>
  <c r="N165"/>
  <c r="N164"/>
  <c r="N163"/>
  <c r="N162"/>
  <c r="N161"/>
  <c r="N160"/>
  <c r="N159"/>
  <c r="N158"/>
  <c r="N157"/>
  <c r="N156"/>
  <c r="N155"/>
  <c r="N154"/>
  <c r="N153"/>
  <c r="N152"/>
  <c r="N151"/>
  <c r="N150"/>
  <c r="N149"/>
  <c r="N148"/>
  <c r="N147"/>
  <c r="N146"/>
  <c r="N145"/>
  <c r="N144"/>
  <c r="N143"/>
  <c r="N142"/>
  <c r="N141"/>
  <c r="N140"/>
  <c r="N139"/>
  <c r="N138"/>
  <c r="N137"/>
  <c r="N136"/>
  <c r="N135"/>
  <c r="N134"/>
  <c r="N133"/>
  <c r="N132"/>
  <c r="N131"/>
  <c r="N130"/>
  <c r="N129"/>
  <c r="N128"/>
  <c r="N127"/>
  <c r="N126"/>
  <c r="N125"/>
  <c r="N124"/>
  <c r="N123"/>
  <c r="N122"/>
  <c r="N121"/>
  <c r="N120"/>
  <c r="N119"/>
  <c r="N118"/>
  <c r="N117"/>
  <c r="N116"/>
  <c r="N115"/>
  <c r="N114"/>
  <c r="N113"/>
  <c r="N112"/>
  <c r="N111"/>
  <c r="N110"/>
  <c r="N109"/>
  <c r="N108"/>
  <c r="N107"/>
  <c r="N106"/>
  <c r="N105"/>
  <c r="N104"/>
  <c r="N103"/>
  <c r="N102"/>
  <c r="N101"/>
  <c r="N100"/>
  <c r="N99"/>
  <c r="N98"/>
  <c r="N97"/>
  <c r="N96"/>
  <c r="N95"/>
  <c r="N94"/>
  <c r="N93"/>
  <c r="N92"/>
  <c r="N91"/>
  <c r="N90"/>
  <c r="N89"/>
  <c r="N88"/>
  <c r="N87"/>
  <c r="N86"/>
  <c r="N85"/>
  <c r="N84"/>
  <c r="N83"/>
  <c r="N82"/>
  <c r="N81"/>
  <c r="N80"/>
  <c r="N79"/>
  <c r="N78"/>
  <c r="N77"/>
  <c r="N76"/>
  <c r="N75"/>
  <c r="N74"/>
  <c r="N73"/>
  <c r="N72"/>
  <c r="N71"/>
  <c r="N70"/>
  <c r="N69"/>
  <c r="N68"/>
  <c r="N67"/>
  <c r="N66"/>
  <c r="N65"/>
  <c r="N64"/>
  <c r="N63"/>
  <c r="N62"/>
  <c r="N61"/>
  <c r="N60"/>
  <c r="N59"/>
  <c r="N58"/>
  <c r="N57"/>
  <c r="N56"/>
  <c r="N55"/>
  <c r="N54"/>
  <c r="N53"/>
  <c r="N52"/>
  <c r="N51"/>
  <c r="N50"/>
  <c r="N49"/>
  <c r="N48"/>
  <c r="N47"/>
  <c r="N46"/>
  <c r="N45"/>
  <c r="N44"/>
  <c r="N43"/>
  <c r="N42"/>
  <c r="N41"/>
  <c r="N40"/>
  <c r="N39"/>
  <c r="N38"/>
  <c r="N37"/>
  <c r="N36"/>
  <c r="N35"/>
  <c r="N34"/>
  <c r="N33"/>
  <c r="N32"/>
  <c r="N31"/>
  <c r="N30"/>
  <c r="N29"/>
  <c r="N28"/>
  <c r="N27"/>
  <c r="N26"/>
  <c r="N25"/>
  <c r="N24"/>
  <c r="N23"/>
  <c r="N22"/>
  <c r="N21"/>
  <c r="N20"/>
  <c r="N19"/>
  <c r="N18"/>
  <c r="N17"/>
  <c r="N16"/>
  <c r="N15"/>
  <c r="N14"/>
  <c r="N13"/>
  <c r="N12"/>
  <c r="N11"/>
  <c r="N10"/>
  <c r="N9"/>
  <c r="N8"/>
  <c r="N7"/>
  <c r="N6"/>
  <c r="N5"/>
  <c r="M1904"/>
  <c r="M1903"/>
  <c r="M1902"/>
  <c r="M1901"/>
  <c r="M1900"/>
  <c r="M1899"/>
  <c r="M1898"/>
  <c r="M1897"/>
  <c r="M1896"/>
  <c r="M1895"/>
  <c r="M1894"/>
  <c r="M1893"/>
  <c r="M1892"/>
  <c r="M1891"/>
  <c r="M1890"/>
  <c r="M1889"/>
  <c r="M1888"/>
  <c r="M1887"/>
  <c r="M1886"/>
  <c r="M1885"/>
  <c r="M1884"/>
  <c r="M1883"/>
  <c r="M1882"/>
  <c r="M1881"/>
  <c r="M1880"/>
  <c r="M1879"/>
  <c r="M1878"/>
  <c r="M1877"/>
  <c r="M1876"/>
  <c r="M1875"/>
  <c r="M1874"/>
  <c r="M1873"/>
  <c r="M1872"/>
  <c r="M1871"/>
  <c r="M1870"/>
  <c r="M1869"/>
  <c r="M1868"/>
  <c r="M1867"/>
  <c r="M1866"/>
  <c r="M1865"/>
  <c r="M1864"/>
  <c r="M1863"/>
  <c r="M1862"/>
  <c r="M1861"/>
  <c r="M1860"/>
  <c r="M1859"/>
  <c r="M1858"/>
  <c r="M1857"/>
  <c r="M1856"/>
  <c r="M1855"/>
  <c r="M1854"/>
  <c r="M1853"/>
  <c r="M1852"/>
  <c r="M1851"/>
  <c r="M1850"/>
  <c r="M1849"/>
  <c r="M1848"/>
  <c r="M1847"/>
  <c r="M1846"/>
  <c r="M1845"/>
  <c r="M1844"/>
  <c r="M1843"/>
  <c r="M1842"/>
  <c r="M1841"/>
  <c r="M1840"/>
  <c r="M1839"/>
  <c r="M1838"/>
  <c r="M1837"/>
  <c r="M1836"/>
  <c r="M1835"/>
  <c r="M1834"/>
  <c r="M1833"/>
  <c r="M1832"/>
  <c r="M1831"/>
  <c r="M1830"/>
  <c r="M1829"/>
  <c r="M1828"/>
  <c r="M1827"/>
  <c r="M1826"/>
  <c r="M1825"/>
  <c r="M1824"/>
  <c r="M1823"/>
  <c r="M1822"/>
  <c r="M1821"/>
  <c r="M1820"/>
  <c r="M1819"/>
  <c r="M1818"/>
  <c r="M1817"/>
  <c r="M1816"/>
  <c r="M1815"/>
  <c r="M1814"/>
  <c r="M1813"/>
  <c r="M1812"/>
  <c r="M1811"/>
  <c r="M1810"/>
  <c r="M1809"/>
  <c r="M1808"/>
  <c r="M1807"/>
  <c r="M1806"/>
  <c r="M1805"/>
  <c r="M1804"/>
  <c r="M1803"/>
  <c r="M1802"/>
  <c r="M1801"/>
  <c r="M1800"/>
  <c r="M1799"/>
  <c r="M1798"/>
  <c r="M1797"/>
  <c r="M1796"/>
  <c r="M1795"/>
  <c r="M1794"/>
  <c r="M1793"/>
  <c r="M1792"/>
  <c r="M1791"/>
  <c r="M1790"/>
  <c r="M1789"/>
  <c r="M1788"/>
  <c r="M1787"/>
  <c r="M1786"/>
  <c r="M1785"/>
  <c r="M1784"/>
  <c r="M1783"/>
  <c r="M1782"/>
  <c r="M1781"/>
  <c r="M1780"/>
  <c r="M1779"/>
  <c r="M1778"/>
  <c r="M1777"/>
  <c r="M1776"/>
  <c r="M1775"/>
  <c r="M1774"/>
  <c r="M1773"/>
  <c r="M1772"/>
  <c r="M1771"/>
  <c r="M1770"/>
  <c r="M1769"/>
  <c r="M1768"/>
  <c r="M1767"/>
  <c r="M1766"/>
  <c r="M1765"/>
  <c r="M1764"/>
  <c r="M1763"/>
  <c r="M1762"/>
  <c r="M1761"/>
  <c r="M1760"/>
  <c r="M1759"/>
  <c r="M1758"/>
  <c r="M1757"/>
  <c r="M1756"/>
  <c r="M1755"/>
  <c r="M1754"/>
  <c r="M1753"/>
  <c r="M1752"/>
  <c r="M1751"/>
  <c r="M1750"/>
  <c r="M1749"/>
  <c r="M1748"/>
  <c r="M1747"/>
  <c r="M1746"/>
  <c r="M1745"/>
  <c r="M1744"/>
  <c r="M1743"/>
  <c r="M1742"/>
  <c r="M1741"/>
  <c r="M1740"/>
  <c r="M1739"/>
  <c r="M1738"/>
  <c r="M1737"/>
  <c r="M1736"/>
  <c r="M1735"/>
  <c r="M1734"/>
  <c r="M1733"/>
  <c r="M1732"/>
  <c r="M1731"/>
  <c r="M1730"/>
  <c r="M1729"/>
  <c r="M1728"/>
  <c r="M1727"/>
  <c r="M1726"/>
  <c r="M1725"/>
  <c r="M1724"/>
  <c r="M1723"/>
  <c r="M1722"/>
  <c r="M1721"/>
  <c r="M1720"/>
  <c r="M1719"/>
  <c r="M1718"/>
  <c r="M1717"/>
  <c r="M1716"/>
  <c r="M1715"/>
  <c r="M1714"/>
  <c r="M1713"/>
  <c r="M1712"/>
  <c r="M1711"/>
  <c r="M1710"/>
  <c r="M1709"/>
  <c r="M1708"/>
  <c r="M1707"/>
  <c r="M1706"/>
  <c r="M1705"/>
  <c r="M1704"/>
  <c r="M1703"/>
  <c r="M1702"/>
  <c r="M1701"/>
  <c r="M1700"/>
  <c r="M1699"/>
  <c r="M1698"/>
  <c r="M1697"/>
  <c r="M1696"/>
  <c r="M1695"/>
  <c r="M1694"/>
  <c r="M1693"/>
  <c r="M1692"/>
  <c r="M1691"/>
  <c r="M1690"/>
  <c r="M1689"/>
  <c r="M1688"/>
  <c r="M1687"/>
  <c r="M1686"/>
  <c r="M1685"/>
  <c r="M1684"/>
  <c r="M1683"/>
  <c r="M1682"/>
  <c r="M1681"/>
  <c r="M1680"/>
  <c r="M1679"/>
  <c r="M1678"/>
  <c r="M1677"/>
  <c r="M1676"/>
  <c r="M1675"/>
  <c r="M1674"/>
  <c r="M1673"/>
  <c r="M1672"/>
  <c r="M1671"/>
  <c r="M1670"/>
  <c r="M1669"/>
  <c r="M1668"/>
  <c r="M1667"/>
  <c r="M1666"/>
  <c r="M1665"/>
  <c r="M1664"/>
  <c r="M1663"/>
  <c r="M1662"/>
  <c r="M1661"/>
  <c r="M1660"/>
  <c r="M1659"/>
  <c r="M1658"/>
  <c r="M1657"/>
  <c r="M1656"/>
  <c r="M1655"/>
  <c r="M1654"/>
  <c r="M1653"/>
  <c r="M1652"/>
  <c r="M1651"/>
  <c r="M1650"/>
  <c r="M1649"/>
  <c r="M1648"/>
  <c r="M1647"/>
  <c r="M1646"/>
  <c r="M1645"/>
  <c r="M1644"/>
  <c r="M1643"/>
  <c r="M1642"/>
  <c r="M1641"/>
  <c r="M1640"/>
  <c r="M1639"/>
  <c r="M1638"/>
  <c r="M1637"/>
  <c r="M1636"/>
  <c r="M1635"/>
  <c r="M1634"/>
  <c r="M1633"/>
  <c r="M1632"/>
  <c r="M1631"/>
  <c r="M1630"/>
  <c r="M1629"/>
  <c r="M1628"/>
  <c r="M1627"/>
  <c r="M1626"/>
  <c r="M1625"/>
  <c r="M1624"/>
  <c r="M1623"/>
  <c r="M1622"/>
  <c r="M1621"/>
  <c r="M1620"/>
  <c r="M1619"/>
  <c r="M1618"/>
  <c r="M1617"/>
  <c r="M1616"/>
  <c r="M1615"/>
  <c r="M1614"/>
  <c r="M1613"/>
  <c r="M1612"/>
  <c r="M1611"/>
  <c r="M1610"/>
  <c r="M1609"/>
  <c r="M1608"/>
  <c r="M1607"/>
  <c r="M1606"/>
  <c r="M1605"/>
  <c r="M1604"/>
  <c r="M1603"/>
  <c r="M1602"/>
  <c r="M1601"/>
  <c r="M1600"/>
  <c r="M1599"/>
  <c r="M1598"/>
  <c r="M1597"/>
  <c r="M1596"/>
  <c r="M1595"/>
  <c r="M1594"/>
  <c r="M1593"/>
  <c r="M1592"/>
  <c r="M1591"/>
  <c r="M1590"/>
  <c r="M1589"/>
  <c r="M1588"/>
  <c r="M1587"/>
  <c r="M1586"/>
  <c r="M1585"/>
  <c r="M1584"/>
  <c r="M1583"/>
  <c r="M1582"/>
  <c r="M1581"/>
  <c r="M1580"/>
  <c r="M1579"/>
  <c r="M1578"/>
  <c r="M1577"/>
  <c r="M1576"/>
  <c r="M1575"/>
  <c r="M1574"/>
  <c r="M1573"/>
  <c r="M1572"/>
  <c r="M1571"/>
  <c r="M1570"/>
  <c r="M1569"/>
  <c r="M1568"/>
  <c r="M1567"/>
  <c r="M1566"/>
  <c r="M1565"/>
  <c r="M1564"/>
  <c r="M1563"/>
  <c r="M1562"/>
  <c r="M1561"/>
  <c r="M1560"/>
  <c r="M1559"/>
  <c r="M1558"/>
  <c r="M1557"/>
  <c r="M1556"/>
  <c r="M1555"/>
  <c r="M1554"/>
  <c r="M1553"/>
  <c r="M1552"/>
  <c r="M1551"/>
  <c r="M1550"/>
  <c r="M1549"/>
  <c r="M1548"/>
  <c r="M1547"/>
  <c r="M1546"/>
  <c r="M1545"/>
  <c r="M1544"/>
  <c r="M1543"/>
  <c r="M1542"/>
  <c r="M1541"/>
  <c r="M1540"/>
  <c r="M1539"/>
  <c r="M1538"/>
  <c r="M1537"/>
  <c r="M1536"/>
  <c r="M1535"/>
  <c r="M1534"/>
  <c r="M1533"/>
  <c r="M1532"/>
  <c r="M1531"/>
  <c r="M1530"/>
  <c r="M1529"/>
  <c r="M1528"/>
  <c r="M1527"/>
  <c r="M1526"/>
  <c r="M1525"/>
  <c r="M1524"/>
  <c r="M1523"/>
  <c r="M1522"/>
  <c r="M1521"/>
  <c r="M1520"/>
  <c r="M1519"/>
  <c r="M1518"/>
  <c r="M1517"/>
  <c r="M1516"/>
  <c r="M1515"/>
  <c r="M1514"/>
  <c r="M1513"/>
  <c r="M1512"/>
  <c r="M1511"/>
  <c r="M1510"/>
  <c r="M1509"/>
  <c r="M1508"/>
  <c r="M1507"/>
  <c r="M1506"/>
  <c r="M1505"/>
  <c r="M1504"/>
  <c r="M1503"/>
  <c r="M1502"/>
  <c r="M1501"/>
  <c r="M1500"/>
  <c r="M1499"/>
  <c r="M1498"/>
  <c r="M1497"/>
  <c r="M1496"/>
  <c r="M1495"/>
  <c r="M1494"/>
  <c r="M1493"/>
  <c r="M1492"/>
  <c r="M1491"/>
  <c r="M1490"/>
  <c r="M1489"/>
  <c r="M1488"/>
  <c r="M1487"/>
  <c r="M1486"/>
  <c r="M1485"/>
  <c r="M1484"/>
  <c r="M1483"/>
  <c r="M1482"/>
  <c r="M1481"/>
  <c r="M1480"/>
  <c r="M1479"/>
  <c r="M1478"/>
  <c r="M1477"/>
  <c r="M1476"/>
  <c r="M1475"/>
  <c r="M1474"/>
  <c r="M1473"/>
  <c r="M1472"/>
  <c r="M1471"/>
  <c r="M1470"/>
  <c r="M1469"/>
  <c r="M1468"/>
  <c r="M1467"/>
  <c r="M1466"/>
  <c r="M1465"/>
  <c r="M1464"/>
  <c r="M1463"/>
  <c r="M1462"/>
  <c r="M1461"/>
  <c r="M1460"/>
  <c r="M1459"/>
  <c r="M1458"/>
  <c r="M1457"/>
  <c r="M1456"/>
  <c r="M1455"/>
  <c r="M1454"/>
  <c r="M1453"/>
  <c r="M1452"/>
  <c r="M1451"/>
  <c r="M1450"/>
  <c r="M1449"/>
  <c r="M1448"/>
  <c r="M1447"/>
  <c r="M1446"/>
  <c r="M1445"/>
  <c r="M1444"/>
  <c r="M1443"/>
  <c r="M1442"/>
  <c r="M1441"/>
  <c r="M1440"/>
  <c r="M1439"/>
  <c r="M1438"/>
  <c r="M1437"/>
  <c r="M1436"/>
  <c r="M1435"/>
  <c r="M1434"/>
  <c r="M1433"/>
  <c r="M1432"/>
  <c r="M1431"/>
  <c r="M1430"/>
  <c r="M1429"/>
  <c r="M1428"/>
  <c r="M1427"/>
  <c r="M1426"/>
  <c r="M1425"/>
  <c r="M1424"/>
  <c r="M1423"/>
  <c r="M1422"/>
  <c r="M1421"/>
  <c r="M1420"/>
  <c r="M1419"/>
  <c r="M1418"/>
  <c r="M1417"/>
  <c r="M1416"/>
  <c r="M1415"/>
  <c r="M1414"/>
  <c r="M1413"/>
  <c r="M1412"/>
  <c r="M1411"/>
  <c r="M1410"/>
  <c r="M1409"/>
  <c r="M1408"/>
  <c r="M1407"/>
  <c r="M1406"/>
  <c r="M1405"/>
  <c r="M1404"/>
  <c r="M1403"/>
  <c r="M1402"/>
  <c r="M1401"/>
  <c r="M1400"/>
  <c r="M1399"/>
  <c r="M1398"/>
  <c r="M1397"/>
  <c r="M1396"/>
  <c r="M1395"/>
  <c r="M1394"/>
  <c r="M1393"/>
  <c r="M1392"/>
  <c r="M1391"/>
  <c r="M1390"/>
  <c r="M1389"/>
  <c r="M1388"/>
  <c r="M1387"/>
  <c r="M1386"/>
  <c r="M1385"/>
  <c r="M1384"/>
  <c r="M1383"/>
  <c r="M1382"/>
  <c r="M1381"/>
  <c r="M1380"/>
  <c r="M1379"/>
  <c r="M1378"/>
  <c r="M1377"/>
  <c r="M1376"/>
  <c r="M1375"/>
  <c r="M1374"/>
  <c r="M1373"/>
  <c r="M1372"/>
  <c r="M1371"/>
  <c r="M1370"/>
  <c r="M1369"/>
  <c r="M1368"/>
  <c r="M1367"/>
  <c r="M1366"/>
  <c r="M1365"/>
  <c r="M1364"/>
  <c r="M1363"/>
  <c r="M1362"/>
  <c r="M1361"/>
  <c r="M1360"/>
  <c r="M1359"/>
  <c r="M1358"/>
  <c r="M1357"/>
  <c r="M1356"/>
  <c r="M1355"/>
  <c r="M1354"/>
  <c r="M1353"/>
  <c r="M1352"/>
  <c r="M1351"/>
  <c r="M1350"/>
  <c r="M1349"/>
  <c r="M1348"/>
  <c r="M1347"/>
  <c r="M1346"/>
  <c r="M1345"/>
  <c r="M1344"/>
  <c r="M1343"/>
  <c r="M1342"/>
  <c r="M1341"/>
  <c r="M1340"/>
  <c r="M1339"/>
  <c r="M1338"/>
  <c r="M1337"/>
  <c r="M1336"/>
  <c r="M1335"/>
  <c r="M1334"/>
  <c r="M1333"/>
  <c r="M1332"/>
  <c r="M1331"/>
  <c r="M1330"/>
  <c r="M1329"/>
  <c r="M1328"/>
  <c r="M1327"/>
  <c r="M1326"/>
  <c r="M1325"/>
  <c r="M1324"/>
  <c r="M1323"/>
  <c r="M1322"/>
  <c r="M1321"/>
  <c r="M1320"/>
  <c r="M1319"/>
  <c r="M1318"/>
  <c r="M1317"/>
  <c r="M1316"/>
  <c r="M1315"/>
  <c r="M1314"/>
  <c r="M1313"/>
  <c r="M1312"/>
  <c r="M1311"/>
  <c r="M1310"/>
  <c r="M1309"/>
  <c r="M1308"/>
  <c r="M1307"/>
  <c r="M1306"/>
  <c r="M1305"/>
  <c r="M1304"/>
  <c r="M1303"/>
  <c r="M1302"/>
  <c r="M1301"/>
  <c r="M1300"/>
  <c r="M1299"/>
  <c r="M1298"/>
  <c r="M1297"/>
  <c r="M1296"/>
  <c r="M1295"/>
  <c r="M1294"/>
  <c r="M1293"/>
  <c r="M1292"/>
  <c r="M1291"/>
  <c r="M1290"/>
  <c r="M1289"/>
  <c r="M1288"/>
  <c r="M1287"/>
  <c r="M1286"/>
  <c r="M1285"/>
  <c r="M1284"/>
  <c r="M1283"/>
  <c r="M1282"/>
  <c r="M1281"/>
  <c r="M1280"/>
  <c r="M1279"/>
  <c r="M1278"/>
  <c r="M1277"/>
  <c r="M1276"/>
  <c r="M1275"/>
  <c r="M1274"/>
  <c r="M1273"/>
  <c r="M1272"/>
  <c r="M1271"/>
  <c r="M1270"/>
  <c r="M1269"/>
  <c r="M1268"/>
  <c r="M1267"/>
  <c r="M1266"/>
  <c r="M1265"/>
  <c r="M1264"/>
  <c r="M1263"/>
  <c r="M1262"/>
  <c r="M1261"/>
  <c r="M1260"/>
  <c r="M1259"/>
  <c r="M1258"/>
  <c r="M1257"/>
  <c r="M1256"/>
  <c r="M1255"/>
  <c r="M1254"/>
  <c r="M1253"/>
  <c r="M1252"/>
  <c r="M1251"/>
  <c r="M1250"/>
  <c r="M1249"/>
  <c r="M1248"/>
  <c r="M1247"/>
  <c r="M1246"/>
  <c r="M1245"/>
  <c r="M1244"/>
  <c r="M1243"/>
  <c r="M1242"/>
  <c r="M1241"/>
  <c r="M1240"/>
  <c r="M1239"/>
  <c r="M1238"/>
  <c r="M1237"/>
  <c r="M1236"/>
  <c r="M1235"/>
  <c r="M1234"/>
  <c r="M1233"/>
  <c r="M1232"/>
  <c r="M1231"/>
  <c r="M1230"/>
  <c r="M1229"/>
  <c r="M1228"/>
  <c r="M1227"/>
  <c r="M1226"/>
  <c r="M1225"/>
  <c r="M1224"/>
  <c r="M1223"/>
  <c r="M1222"/>
  <c r="M1221"/>
  <c r="M1220"/>
  <c r="M1219"/>
  <c r="M1218"/>
  <c r="M1217"/>
  <c r="M1216"/>
  <c r="M1215"/>
  <c r="M1214"/>
  <c r="M1213"/>
  <c r="M1212"/>
  <c r="M1211"/>
  <c r="M1210"/>
  <c r="M1209"/>
  <c r="M1208"/>
  <c r="M1207"/>
  <c r="M1206"/>
  <c r="M1205"/>
  <c r="M1204"/>
  <c r="M1203"/>
  <c r="M1202"/>
  <c r="M1201"/>
  <c r="M1200"/>
  <c r="M1199"/>
  <c r="M1198"/>
  <c r="M1197"/>
  <c r="M1196"/>
  <c r="M1195"/>
  <c r="M1194"/>
  <c r="M1193"/>
  <c r="M1192"/>
  <c r="M1191"/>
  <c r="M1190"/>
  <c r="M1189"/>
  <c r="M1188"/>
  <c r="M1187"/>
  <c r="M1186"/>
  <c r="M1185"/>
  <c r="M1184"/>
  <c r="M1183"/>
  <c r="M1182"/>
  <c r="M1181"/>
  <c r="M1180"/>
  <c r="M1179"/>
  <c r="M1178"/>
  <c r="M1177"/>
  <c r="M1176"/>
  <c r="M1175"/>
  <c r="M1174"/>
  <c r="M1173"/>
  <c r="M1172"/>
  <c r="M1171"/>
  <c r="M1170"/>
  <c r="M1169"/>
  <c r="M1168"/>
  <c r="M1167"/>
  <c r="M1166"/>
  <c r="M1165"/>
  <c r="M1164"/>
  <c r="M1163"/>
  <c r="M1162"/>
  <c r="M1161"/>
  <c r="M1160"/>
  <c r="M1159"/>
  <c r="M1158"/>
  <c r="M1157"/>
  <c r="M1156"/>
  <c r="M1155"/>
  <c r="M1154"/>
  <c r="M1153"/>
  <c r="M1152"/>
  <c r="M1151"/>
  <c r="M1150"/>
  <c r="M1149"/>
  <c r="M1148"/>
  <c r="M1147"/>
  <c r="M1146"/>
  <c r="M1145"/>
  <c r="M1144"/>
  <c r="M1143"/>
  <c r="M1142"/>
  <c r="M1141"/>
  <c r="M1140"/>
  <c r="M1139"/>
  <c r="M1138"/>
  <c r="M1137"/>
  <c r="M1136"/>
  <c r="M1135"/>
  <c r="M1134"/>
  <c r="M1133"/>
  <c r="M1132"/>
  <c r="M1131"/>
  <c r="M1130"/>
  <c r="M1129"/>
  <c r="M1128"/>
  <c r="M1127"/>
  <c r="M1126"/>
  <c r="M1125"/>
  <c r="M1124"/>
  <c r="M1123"/>
  <c r="M1122"/>
  <c r="M1121"/>
  <c r="M1120"/>
  <c r="M1119"/>
  <c r="M1118"/>
  <c r="M1117"/>
  <c r="M1116"/>
  <c r="M1115"/>
  <c r="M1114"/>
  <c r="M1113"/>
  <c r="M1112"/>
  <c r="M1111"/>
  <c r="M1110"/>
  <c r="M1109"/>
  <c r="M1108"/>
  <c r="M1107"/>
  <c r="M1106"/>
  <c r="M1105"/>
  <c r="M1104"/>
  <c r="M1103"/>
  <c r="M1102"/>
  <c r="M1101"/>
  <c r="M1100"/>
  <c r="M1099"/>
  <c r="M1098"/>
  <c r="M1097"/>
  <c r="M1096"/>
  <c r="M1095"/>
  <c r="M1094"/>
  <c r="M1093"/>
  <c r="M1092"/>
  <c r="M1091"/>
  <c r="M1090"/>
  <c r="M1089"/>
  <c r="M1088"/>
  <c r="M1087"/>
  <c r="M1086"/>
  <c r="M1085"/>
  <c r="M1084"/>
  <c r="M1083"/>
  <c r="M1082"/>
  <c r="M1081"/>
  <c r="M1080"/>
  <c r="M1079"/>
  <c r="M1078"/>
  <c r="M1077"/>
  <c r="M1076"/>
  <c r="M1075"/>
  <c r="M1074"/>
  <c r="M1073"/>
  <c r="M1072"/>
  <c r="M1071"/>
  <c r="M1070"/>
  <c r="M1069"/>
  <c r="M1068"/>
  <c r="M1067"/>
  <c r="M1066"/>
  <c r="M1065"/>
  <c r="M1064"/>
  <c r="M1063"/>
  <c r="M1062"/>
  <c r="M1061"/>
  <c r="M1060"/>
  <c r="M1059"/>
  <c r="M1058"/>
  <c r="M1057"/>
  <c r="M1056"/>
  <c r="M1055"/>
  <c r="M1054"/>
  <c r="M1053"/>
  <c r="M1052"/>
  <c r="M1051"/>
  <c r="M1050"/>
  <c r="M1049"/>
  <c r="M1048"/>
  <c r="M1047"/>
  <c r="M1046"/>
  <c r="M1045"/>
  <c r="M1044"/>
  <c r="M1043"/>
  <c r="M1042"/>
  <c r="M1041"/>
  <c r="M1040"/>
  <c r="M1039"/>
  <c r="M1038"/>
  <c r="M1037"/>
  <c r="M1036"/>
  <c r="M1035"/>
  <c r="M1034"/>
  <c r="M1033"/>
  <c r="M1032"/>
  <c r="M1031"/>
  <c r="M1030"/>
  <c r="M1029"/>
  <c r="M1028"/>
  <c r="M1027"/>
  <c r="M1026"/>
  <c r="M1025"/>
  <c r="M1024"/>
  <c r="M1023"/>
  <c r="M1022"/>
  <c r="M1021"/>
  <c r="M1020"/>
  <c r="M1019"/>
  <c r="M1018"/>
  <c r="M1017"/>
  <c r="M1016"/>
  <c r="M1015"/>
  <c r="M1014"/>
  <c r="M1013"/>
  <c r="M1012"/>
  <c r="M1011"/>
  <c r="M1010"/>
  <c r="M1009"/>
  <c r="M1008"/>
  <c r="M1007"/>
  <c r="M1006"/>
  <c r="M1005"/>
  <c r="M1004"/>
  <c r="M1003"/>
  <c r="M1002"/>
  <c r="M1001"/>
  <c r="M1000"/>
  <c r="M999"/>
  <c r="M998"/>
  <c r="M997"/>
  <c r="M996"/>
  <c r="M995"/>
  <c r="M994"/>
  <c r="M993"/>
  <c r="M992"/>
  <c r="M991"/>
  <c r="M990"/>
  <c r="M989"/>
  <c r="M988"/>
  <c r="M987"/>
  <c r="M986"/>
  <c r="M985"/>
  <c r="M984"/>
  <c r="M983"/>
  <c r="M982"/>
  <c r="M981"/>
  <c r="M980"/>
  <c r="M979"/>
  <c r="M978"/>
  <c r="M977"/>
  <c r="M976"/>
  <c r="M975"/>
  <c r="M974"/>
  <c r="M973"/>
  <c r="M972"/>
  <c r="M971"/>
  <c r="M970"/>
  <c r="M969"/>
  <c r="M968"/>
  <c r="M967"/>
  <c r="M966"/>
  <c r="M965"/>
  <c r="M964"/>
  <c r="M963"/>
  <c r="M962"/>
  <c r="M961"/>
  <c r="M960"/>
  <c r="M959"/>
  <c r="M958"/>
  <c r="M957"/>
  <c r="M956"/>
  <c r="M955"/>
  <c r="M954"/>
  <c r="M953"/>
  <c r="M952"/>
  <c r="M951"/>
  <c r="M950"/>
  <c r="M949"/>
  <c r="M948"/>
  <c r="M947"/>
  <c r="M946"/>
  <c r="M945"/>
  <c r="M944"/>
  <c r="M943"/>
  <c r="M942"/>
  <c r="M941"/>
  <c r="M940"/>
  <c r="M939"/>
  <c r="M938"/>
  <c r="M937"/>
  <c r="M936"/>
  <c r="M935"/>
  <c r="M934"/>
  <c r="M933"/>
  <c r="M932"/>
  <c r="M931"/>
  <c r="M930"/>
  <c r="M929"/>
  <c r="M928"/>
  <c r="M927"/>
  <c r="M926"/>
  <c r="M925"/>
  <c r="M924"/>
  <c r="M923"/>
  <c r="M922"/>
  <c r="M921"/>
  <c r="M920"/>
  <c r="M919"/>
  <c r="M918"/>
  <c r="M917"/>
  <c r="M916"/>
  <c r="M915"/>
  <c r="M914"/>
  <c r="M913"/>
  <c r="M912"/>
  <c r="M911"/>
  <c r="M910"/>
  <c r="M909"/>
  <c r="M908"/>
  <c r="M907"/>
  <c r="M906"/>
  <c r="M905"/>
  <c r="M904"/>
  <c r="M903"/>
  <c r="M902"/>
  <c r="M901"/>
  <c r="M900"/>
  <c r="M899"/>
  <c r="M898"/>
  <c r="M897"/>
  <c r="M896"/>
  <c r="M895"/>
  <c r="M894"/>
  <c r="M893"/>
  <c r="M892"/>
  <c r="M891"/>
  <c r="M890"/>
  <c r="M889"/>
  <c r="M888"/>
  <c r="M887"/>
  <c r="M886"/>
  <c r="M885"/>
  <c r="M884"/>
  <c r="M883"/>
  <c r="M882"/>
  <c r="M881"/>
  <c r="M880"/>
  <c r="M879"/>
  <c r="M878"/>
  <c r="M877"/>
  <c r="M876"/>
  <c r="M875"/>
  <c r="M874"/>
  <c r="M873"/>
  <c r="M872"/>
  <c r="M871"/>
  <c r="M870"/>
  <c r="M869"/>
  <c r="M868"/>
  <c r="M867"/>
  <c r="M866"/>
  <c r="M865"/>
  <c r="M864"/>
  <c r="M863"/>
  <c r="M862"/>
  <c r="M861"/>
  <c r="M860"/>
  <c r="M859"/>
  <c r="M858"/>
  <c r="M857"/>
  <c r="M856"/>
  <c r="M855"/>
  <c r="M854"/>
  <c r="M853"/>
  <c r="M852"/>
  <c r="M851"/>
  <c r="M850"/>
  <c r="M849"/>
  <c r="M848"/>
  <c r="M847"/>
  <c r="M846"/>
  <c r="M845"/>
  <c r="M844"/>
  <c r="M843"/>
  <c r="M842"/>
  <c r="M841"/>
  <c r="M840"/>
  <c r="M839"/>
  <c r="M838"/>
  <c r="M837"/>
  <c r="M836"/>
  <c r="M835"/>
  <c r="M834"/>
  <c r="M833"/>
  <c r="M832"/>
  <c r="M831"/>
  <c r="M830"/>
  <c r="M829"/>
  <c r="M828"/>
  <c r="M827"/>
  <c r="M826"/>
  <c r="M825"/>
  <c r="M824"/>
  <c r="M823"/>
  <c r="M822"/>
  <c r="M821"/>
  <c r="M820"/>
  <c r="M819"/>
  <c r="M818"/>
  <c r="M817"/>
  <c r="M816"/>
  <c r="M815"/>
  <c r="M814"/>
  <c r="M813"/>
  <c r="M812"/>
  <c r="M811"/>
  <c r="M810"/>
  <c r="M809"/>
  <c r="M808"/>
  <c r="M807"/>
  <c r="M806"/>
  <c r="M805"/>
  <c r="M804"/>
  <c r="M803"/>
  <c r="M802"/>
  <c r="M801"/>
  <c r="M800"/>
  <c r="M799"/>
  <c r="M798"/>
  <c r="M797"/>
  <c r="M796"/>
  <c r="M795"/>
  <c r="M794"/>
  <c r="M793"/>
  <c r="M792"/>
  <c r="M791"/>
  <c r="M790"/>
  <c r="M789"/>
  <c r="M788"/>
  <c r="M787"/>
  <c r="M786"/>
  <c r="M785"/>
  <c r="M784"/>
  <c r="M783"/>
  <c r="M782"/>
  <c r="M781"/>
  <c r="M780"/>
  <c r="M779"/>
  <c r="M778"/>
  <c r="M777"/>
  <c r="M776"/>
  <c r="M775"/>
  <c r="M774"/>
  <c r="M773"/>
  <c r="M772"/>
  <c r="M771"/>
  <c r="M770"/>
  <c r="M769"/>
  <c r="M768"/>
  <c r="M767"/>
  <c r="M766"/>
  <c r="M765"/>
  <c r="M764"/>
  <c r="M763"/>
  <c r="M762"/>
  <c r="M761"/>
  <c r="M760"/>
  <c r="M759"/>
  <c r="M758"/>
  <c r="M757"/>
  <c r="M756"/>
  <c r="M755"/>
  <c r="M754"/>
  <c r="M753"/>
  <c r="M752"/>
  <c r="M751"/>
  <c r="M750"/>
  <c r="M749"/>
  <c r="M748"/>
  <c r="M747"/>
  <c r="M746"/>
  <c r="M745"/>
  <c r="M744"/>
  <c r="M743"/>
  <c r="M742"/>
  <c r="M741"/>
  <c r="M740"/>
  <c r="M739"/>
  <c r="M738"/>
  <c r="M737"/>
  <c r="M736"/>
  <c r="M735"/>
  <c r="M734"/>
  <c r="M733"/>
  <c r="M732"/>
  <c r="M731"/>
  <c r="M730"/>
  <c r="M729"/>
  <c r="M728"/>
  <c r="M727"/>
  <c r="M726"/>
  <c r="M725"/>
  <c r="M724"/>
  <c r="M723"/>
  <c r="M722"/>
  <c r="M721"/>
  <c r="M720"/>
  <c r="M719"/>
  <c r="M718"/>
  <c r="M717"/>
  <c r="M716"/>
  <c r="M715"/>
  <c r="M714"/>
  <c r="M713"/>
  <c r="M712"/>
  <c r="M711"/>
  <c r="M710"/>
  <c r="M709"/>
  <c r="M708"/>
  <c r="M707"/>
  <c r="M706"/>
  <c r="M705"/>
  <c r="M704"/>
  <c r="M703"/>
  <c r="M702"/>
  <c r="M701"/>
  <c r="M700"/>
  <c r="M699"/>
  <c r="M698"/>
  <c r="M697"/>
  <c r="M696"/>
  <c r="M695"/>
  <c r="M694"/>
  <c r="M693"/>
  <c r="M692"/>
  <c r="M691"/>
  <c r="M690"/>
  <c r="M689"/>
  <c r="M688"/>
  <c r="M687"/>
  <c r="M686"/>
  <c r="M685"/>
  <c r="M684"/>
  <c r="M683"/>
  <c r="M682"/>
  <c r="M681"/>
  <c r="M680"/>
  <c r="M679"/>
  <c r="M678"/>
  <c r="M677"/>
  <c r="M676"/>
  <c r="M675"/>
  <c r="M674"/>
  <c r="M673"/>
  <c r="M672"/>
  <c r="M671"/>
  <c r="M670"/>
  <c r="M669"/>
  <c r="M668"/>
  <c r="M667"/>
  <c r="M666"/>
  <c r="M665"/>
  <c r="M664"/>
  <c r="M663"/>
  <c r="M662"/>
  <c r="M661"/>
  <c r="M660"/>
  <c r="M659"/>
  <c r="M658"/>
  <c r="M657"/>
  <c r="M656"/>
  <c r="M655"/>
  <c r="M654"/>
  <c r="M653"/>
  <c r="M652"/>
  <c r="M651"/>
  <c r="M650"/>
  <c r="M649"/>
  <c r="M648"/>
  <c r="M647"/>
  <c r="M646"/>
  <c r="M645"/>
  <c r="M644"/>
  <c r="M643"/>
  <c r="M642"/>
  <c r="M641"/>
  <c r="M640"/>
  <c r="M639"/>
  <c r="M638"/>
  <c r="M637"/>
  <c r="M636"/>
  <c r="M635"/>
  <c r="M634"/>
  <c r="M633"/>
  <c r="M632"/>
  <c r="M631"/>
  <c r="M630"/>
  <c r="M629"/>
  <c r="M628"/>
  <c r="M627"/>
  <c r="M626"/>
  <c r="M625"/>
  <c r="M624"/>
  <c r="M623"/>
  <c r="M622"/>
  <c r="M621"/>
  <c r="M620"/>
  <c r="M619"/>
  <c r="M618"/>
  <c r="M617"/>
  <c r="M616"/>
  <c r="M615"/>
  <c r="M614"/>
  <c r="M613"/>
  <c r="M612"/>
  <c r="M611"/>
  <c r="M610"/>
  <c r="M609"/>
  <c r="M608"/>
  <c r="M607"/>
  <c r="M606"/>
  <c r="M605"/>
  <c r="M604"/>
  <c r="M603"/>
  <c r="M602"/>
  <c r="M601"/>
  <c r="M600"/>
  <c r="M599"/>
  <c r="M598"/>
  <c r="M597"/>
  <c r="M596"/>
  <c r="M595"/>
  <c r="M594"/>
  <c r="M593"/>
  <c r="M592"/>
  <c r="M591"/>
  <c r="M590"/>
  <c r="M589"/>
  <c r="M588"/>
  <c r="M587"/>
  <c r="M586"/>
  <c r="M585"/>
  <c r="M584"/>
  <c r="M583"/>
  <c r="M582"/>
  <c r="M581"/>
  <c r="M580"/>
  <c r="M579"/>
  <c r="M578"/>
  <c r="M577"/>
  <c r="M576"/>
  <c r="M575"/>
  <c r="M574"/>
  <c r="M573"/>
  <c r="M572"/>
  <c r="M571"/>
  <c r="M570"/>
  <c r="M569"/>
  <c r="M568"/>
  <c r="M567"/>
  <c r="M566"/>
  <c r="M565"/>
  <c r="M564"/>
  <c r="M563"/>
  <c r="M562"/>
  <c r="M561"/>
  <c r="M560"/>
  <c r="M559"/>
  <c r="M558"/>
  <c r="M557"/>
  <c r="M556"/>
  <c r="M555"/>
  <c r="M554"/>
  <c r="M553"/>
  <c r="M552"/>
  <c r="M551"/>
  <c r="M550"/>
  <c r="M549"/>
  <c r="M548"/>
  <c r="M547"/>
  <c r="M546"/>
  <c r="M545"/>
  <c r="M544"/>
  <c r="M543"/>
  <c r="M542"/>
  <c r="M541"/>
  <c r="M540"/>
  <c r="M539"/>
  <c r="M538"/>
  <c r="M537"/>
  <c r="M536"/>
  <c r="M535"/>
  <c r="M534"/>
  <c r="M533"/>
  <c r="M532"/>
  <c r="M531"/>
  <c r="M530"/>
  <c r="M529"/>
  <c r="M528"/>
  <c r="M527"/>
  <c r="M526"/>
  <c r="M525"/>
  <c r="M524"/>
  <c r="M523"/>
  <c r="M522"/>
  <c r="M521"/>
  <c r="M520"/>
  <c r="M519"/>
  <c r="M518"/>
  <c r="M517"/>
  <c r="M516"/>
  <c r="M515"/>
  <c r="M514"/>
  <c r="M513"/>
  <c r="M512"/>
  <c r="M511"/>
  <c r="M510"/>
  <c r="M509"/>
  <c r="M508"/>
  <c r="M507"/>
  <c r="M506"/>
  <c r="M505"/>
  <c r="M504"/>
  <c r="M503"/>
  <c r="M502"/>
  <c r="M501"/>
  <c r="M500"/>
  <c r="M499"/>
  <c r="M498"/>
  <c r="M497"/>
  <c r="M496"/>
  <c r="M495"/>
  <c r="M494"/>
  <c r="M493"/>
  <c r="M492"/>
  <c r="M491"/>
  <c r="M490"/>
  <c r="M489"/>
  <c r="M488"/>
  <c r="M487"/>
  <c r="M486"/>
  <c r="M485"/>
  <c r="M484"/>
  <c r="M483"/>
  <c r="M482"/>
  <c r="M481"/>
  <c r="M480"/>
  <c r="M479"/>
  <c r="M478"/>
  <c r="M477"/>
  <c r="M476"/>
  <c r="M475"/>
  <c r="M474"/>
  <c r="M473"/>
  <c r="M472"/>
  <c r="M471"/>
  <c r="M470"/>
  <c r="M469"/>
  <c r="M468"/>
  <c r="M467"/>
  <c r="M466"/>
  <c r="M465"/>
  <c r="M464"/>
  <c r="M463"/>
  <c r="M462"/>
  <c r="M461"/>
  <c r="M460"/>
  <c r="M459"/>
  <c r="M458"/>
  <c r="M457"/>
  <c r="M456"/>
  <c r="M455"/>
  <c r="M454"/>
  <c r="M453"/>
  <c r="M452"/>
  <c r="M451"/>
  <c r="M450"/>
  <c r="M449"/>
  <c r="M448"/>
  <c r="M447"/>
  <c r="M446"/>
  <c r="M445"/>
  <c r="M444"/>
  <c r="M443"/>
  <c r="M442"/>
  <c r="M441"/>
  <c r="M440"/>
  <c r="M439"/>
  <c r="M438"/>
  <c r="M437"/>
  <c r="M436"/>
  <c r="M435"/>
  <c r="M434"/>
  <c r="M433"/>
  <c r="M432"/>
  <c r="M431"/>
  <c r="M430"/>
  <c r="M429"/>
  <c r="M428"/>
  <c r="M427"/>
  <c r="M426"/>
  <c r="M425"/>
  <c r="M424"/>
  <c r="M423"/>
  <c r="M422"/>
  <c r="M421"/>
  <c r="M420"/>
  <c r="M419"/>
  <c r="M418"/>
  <c r="M417"/>
  <c r="M416"/>
  <c r="M415"/>
  <c r="M414"/>
  <c r="M413"/>
  <c r="M412"/>
  <c r="M411"/>
  <c r="M410"/>
  <c r="M409"/>
  <c r="M408"/>
  <c r="M407"/>
  <c r="M406"/>
  <c r="M405"/>
  <c r="M404"/>
  <c r="M403"/>
  <c r="M402"/>
  <c r="M401"/>
  <c r="M400"/>
  <c r="M399"/>
  <c r="M398"/>
  <c r="M397"/>
  <c r="M396"/>
  <c r="M395"/>
  <c r="M394"/>
  <c r="M393"/>
  <c r="M392"/>
  <c r="M391"/>
  <c r="M390"/>
  <c r="M389"/>
  <c r="M388"/>
  <c r="M387"/>
  <c r="M386"/>
  <c r="M385"/>
  <c r="M384"/>
  <c r="M383"/>
  <c r="M382"/>
  <c r="M381"/>
  <c r="M380"/>
  <c r="M379"/>
  <c r="M378"/>
  <c r="M377"/>
  <c r="M376"/>
  <c r="M375"/>
  <c r="M374"/>
  <c r="M373"/>
  <c r="M372"/>
  <c r="M371"/>
  <c r="M370"/>
  <c r="M369"/>
  <c r="M368"/>
  <c r="M367"/>
  <c r="M366"/>
  <c r="M365"/>
  <c r="M364"/>
  <c r="M363"/>
  <c r="M362"/>
  <c r="M361"/>
  <c r="M360"/>
  <c r="M359"/>
  <c r="M358"/>
  <c r="M357"/>
  <c r="M356"/>
  <c r="M355"/>
  <c r="M354"/>
  <c r="M353"/>
  <c r="M352"/>
  <c r="M351"/>
  <c r="M350"/>
  <c r="M349"/>
  <c r="M348"/>
  <c r="M347"/>
  <c r="M346"/>
  <c r="M345"/>
  <c r="M344"/>
  <c r="M343"/>
  <c r="M342"/>
  <c r="M341"/>
  <c r="M340"/>
  <c r="M339"/>
  <c r="M338"/>
  <c r="M337"/>
  <c r="M336"/>
  <c r="M335"/>
  <c r="M334"/>
  <c r="M333"/>
  <c r="M332"/>
  <c r="M331"/>
  <c r="M330"/>
  <c r="M329"/>
  <c r="M328"/>
  <c r="M327"/>
  <c r="M326"/>
  <c r="M325"/>
  <c r="M324"/>
  <c r="M323"/>
  <c r="M322"/>
  <c r="M321"/>
  <c r="M320"/>
  <c r="M319"/>
  <c r="M318"/>
  <c r="M317"/>
  <c r="M316"/>
  <c r="M315"/>
  <c r="M314"/>
  <c r="M313"/>
  <c r="M312"/>
  <c r="M311"/>
  <c r="M310"/>
  <c r="M309"/>
  <c r="M308"/>
  <c r="M307"/>
  <c r="M306"/>
  <c r="M305"/>
  <c r="M304"/>
  <c r="M303"/>
  <c r="M302"/>
  <c r="M301"/>
  <c r="M300"/>
  <c r="M299"/>
  <c r="M298"/>
  <c r="M297"/>
  <c r="M296"/>
  <c r="M295"/>
  <c r="M294"/>
  <c r="M293"/>
  <c r="M292"/>
  <c r="M291"/>
  <c r="M290"/>
  <c r="M289"/>
  <c r="M288"/>
  <c r="M287"/>
  <c r="M286"/>
  <c r="M285"/>
  <c r="M284"/>
  <c r="M283"/>
  <c r="M282"/>
  <c r="M281"/>
  <c r="M280"/>
  <c r="M279"/>
  <c r="M278"/>
  <c r="M277"/>
  <c r="M276"/>
  <c r="M275"/>
  <c r="M274"/>
  <c r="M273"/>
  <c r="M272"/>
  <c r="M271"/>
  <c r="M270"/>
  <c r="M269"/>
  <c r="M268"/>
  <c r="M267"/>
  <c r="M266"/>
  <c r="M265"/>
  <c r="M264"/>
  <c r="M263"/>
  <c r="M262"/>
  <c r="M261"/>
  <c r="M260"/>
  <c r="M259"/>
  <c r="M258"/>
  <c r="M257"/>
  <c r="M256"/>
  <c r="M255"/>
  <c r="M254"/>
  <c r="M253"/>
  <c r="M252"/>
  <c r="M251"/>
  <c r="M250"/>
  <c r="M249"/>
  <c r="M248"/>
  <c r="M247"/>
  <c r="M246"/>
  <c r="M245"/>
  <c r="M244"/>
  <c r="M243"/>
  <c r="M242"/>
  <c r="M241"/>
  <c r="M240"/>
  <c r="M239"/>
  <c r="M238"/>
  <c r="M237"/>
  <c r="M236"/>
  <c r="M235"/>
  <c r="M234"/>
  <c r="M233"/>
  <c r="M232"/>
  <c r="M231"/>
  <c r="M230"/>
  <c r="M229"/>
  <c r="M228"/>
  <c r="M227"/>
  <c r="M226"/>
  <c r="M225"/>
  <c r="M224"/>
  <c r="M223"/>
  <c r="M222"/>
  <c r="M221"/>
  <c r="M220"/>
  <c r="M219"/>
  <c r="M218"/>
  <c r="M217"/>
  <c r="M216"/>
  <c r="M215"/>
  <c r="M214"/>
  <c r="M213"/>
  <c r="M212"/>
  <c r="M211"/>
  <c r="M210"/>
  <c r="M209"/>
  <c r="M208"/>
  <c r="M207"/>
  <c r="M206"/>
  <c r="M205"/>
  <c r="M204"/>
  <c r="M203"/>
  <c r="M202"/>
  <c r="M201"/>
  <c r="M200"/>
  <c r="M199"/>
  <c r="M198"/>
  <c r="M197"/>
  <c r="M196"/>
  <c r="M195"/>
  <c r="M194"/>
  <c r="M193"/>
  <c r="M192"/>
  <c r="M191"/>
  <c r="M190"/>
  <c r="M189"/>
  <c r="M188"/>
  <c r="M187"/>
  <c r="M186"/>
  <c r="M185"/>
  <c r="M184"/>
  <c r="M183"/>
  <c r="M182"/>
  <c r="M181"/>
  <c r="M180"/>
  <c r="M179"/>
  <c r="M178"/>
  <c r="M177"/>
  <c r="M176"/>
  <c r="M175"/>
  <c r="M174"/>
  <c r="M173"/>
  <c r="M172"/>
  <c r="M171"/>
  <c r="M170"/>
  <c r="M169"/>
  <c r="M168"/>
  <c r="M167"/>
  <c r="M166"/>
  <c r="M165"/>
  <c r="M164"/>
  <c r="M163"/>
  <c r="M162"/>
  <c r="M161"/>
  <c r="M160"/>
  <c r="M159"/>
  <c r="M158"/>
  <c r="M157"/>
  <c r="M156"/>
  <c r="M155"/>
  <c r="M154"/>
  <c r="M153"/>
  <c r="M152"/>
  <c r="M151"/>
  <c r="M150"/>
  <c r="M149"/>
  <c r="M148"/>
  <c r="M147"/>
  <c r="M146"/>
  <c r="M145"/>
  <c r="M144"/>
  <c r="M143"/>
  <c r="M142"/>
  <c r="M141"/>
  <c r="M140"/>
  <c r="M139"/>
  <c r="M138"/>
  <c r="M137"/>
  <c r="M136"/>
  <c r="M135"/>
  <c r="M134"/>
  <c r="M133"/>
  <c r="M132"/>
  <c r="M131"/>
  <c r="M130"/>
  <c r="M129"/>
  <c r="M128"/>
  <c r="M127"/>
  <c r="M126"/>
  <c r="M125"/>
  <c r="M124"/>
  <c r="M123"/>
  <c r="M122"/>
  <c r="M121"/>
  <c r="M120"/>
  <c r="M119"/>
  <c r="M118"/>
  <c r="M117"/>
  <c r="M116"/>
  <c r="M115"/>
  <c r="M114"/>
  <c r="M113"/>
  <c r="M112"/>
  <c r="M111"/>
  <c r="M110"/>
  <c r="M109"/>
  <c r="M108"/>
  <c r="M107"/>
  <c r="M106"/>
  <c r="M105"/>
  <c r="M104"/>
  <c r="M103"/>
  <c r="M102"/>
  <c r="M101"/>
  <c r="M100"/>
  <c r="M99"/>
  <c r="M98"/>
  <c r="M97"/>
  <c r="M96"/>
  <c r="M95"/>
  <c r="M94"/>
  <c r="M93"/>
  <c r="M92"/>
  <c r="M91"/>
  <c r="M90"/>
  <c r="M89"/>
  <c r="M88"/>
  <c r="M87"/>
  <c r="M86"/>
  <c r="M85"/>
  <c r="M84"/>
  <c r="M83"/>
  <c r="M82"/>
  <c r="M81"/>
  <c r="M80"/>
  <c r="M79"/>
  <c r="M78"/>
  <c r="M77"/>
  <c r="M76"/>
  <c r="M75"/>
  <c r="M74"/>
  <c r="M73"/>
  <c r="M72"/>
  <c r="M71"/>
  <c r="M70"/>
  <c r="M69"/>
  <c r="M68"/>
  <c r="M67"/>
  <c r="M66"/>
  <c r="M65"/>
  <c r="M64"/>
  <c r="M63"/>
  <c r="M62"/>
  <c r="M61"/>
  <c r="M60"/>
  <c r="M59"/>
  <c r="M58"/>
  <c r="M57"/>
  <c r="M56"/>
  <c r="M55"/>
  <c r="M54"/>
  <c r="M53"/>
  <c r="M52"/>
  <c r="M51"/>
  <c r="M50"/>
  <c r="M49"/>
  <c r="M48"/>
  <c r="M47"/>
  <c r="M46"/>
  <c r="M45"/>
  <c r="M44"/>
  <c r="M43"/>
  <c r="M42"/>
  <c r="M41"/>
  <c r="M40"/>
  <c r="M39"/>
  <c r="M38"/>
  <c r="M37"/>
  <c r="M36"/>
  <c r="M35"/>
  <c r="M34"/>
  <c r="M33"/>
  <c r="M32"/>
  <c r="M31"/>
  <c r="M30"/>
  <c r="M29"/>
  <c r="M28"/>
  <c r="M27"/>
  <c r="M26"/>
  <c r="M6"/>
  <c r="M7"/>
  <c r="M8"/>
  <c r="M9"/>
  <c r="M10"/>
  <c r="M11"/>
  <c r="M12"/>
  <c r="M13"/>
  <c r="M14"/>
  <c r="M15"/>
  <c r="M16"/>
  <c r="M17"/>
  <c r="M18"/>
  <c r="M19"/>
  <c r="M20"/>
  <c r="M21"/>
  <c r="M22"/>
  <c r="M23"/>
  <c r="M24"/>
  <c r="M25"/>
  <c r="M5"/>
  <c r="I1916"/>
  <c r="I1911"/>
  <c r="I1902"/>
  <c r="K1901"/>
  <c r="J1901"/>
  <c r="I1900"/>
  <c r="K1899"/>
  <c r="J1899"/>
  <c r="K1898"/>
  <c r="J1898"/>
  <c r="I1898"/>
  <c r="J1897"/>
  <c r="I1897"/>
  <c r="K1896"/>
  <c r="J1896"/>
  <c r="I1896"/>
  <c r="K1895"/>
  <c r="J1895"/>
  <c r="J1893" s="1"/>
  <c r="I1895"/>
  <c r="K1894"/>
  <c r="J1894"/>
  <c r="I1894"/>
  <c r="I1893"/>
  <c r="I1886"/>
  <c r="K1885"/>
  <c r="J1885"/>
  <c r="K1884"/>
  <c r="K1883" s="1"/>
  <c r="J1884"/>
  <c r="I1884"/>
  <c r="I1883" s="1"/>
  <c r="J1883"/>
  <c r="K1882"/>
  <c r="J1882"/>
  <c r="I1882"/>
  <c r="K1881"/>
  <c r="J1881"/>
  <c r="I1881"/>
  <c r="K1880"/>
  <c r="K1879" s="1"/>
  <c r="J1880"/>
  <c r="I1880"/>
  <c r="I1879" s="1"/>
  <c r="J1879"/>
  <c r="J1878" s="1"/>
  <c r="K1876"/>
  <c r="J1876"/>
  <c r="J1875" s="1"/>
  <c r="J1874" s="1"/>
  <c r="I1876"/>
  <c r="K1875"/>
  <c r="I1875"/>
  <c r="I1874"/>
  <c r="K1873"/>
  <c r="J1873"/>
  <c r="J1872" s="1"/>
  <c r="J1871" s="1"/>
  <c r="I1873"/>
  <c r="K1872"/>
  <c r="K1871" s="1"/>
  <c r="K1869"/>
  <c r="K1868" s="1"/>
  <c r="J1869"/>
  <c r="I1869"/>
  <c r="I1868" s="1"/>
  <c r="J1868"/>
  <c r="I1867"/>
  <c r="I1866" s="1"/>
  <c r="K1866"/>
  <c r="J1866"/>
  <c r="K1865"/>
  <c r="J1865"/>
  <c r="I1865"/>
  <c r="K1864"/>
  <c r="J1864"/>
  <c r="I1864"/>
  <c r="K1863"/>
  <c r="K1862" s="1"/>
  <c r="K1861" s="1"/>
  <c r="J1863"/>
  <c r="I1863"/>
  <c r="I1862" s="1"/>
  <c r="J1862"/>
  <c r="J1861" s="1"/>
  <c r="J1860" s="1"/>
  <c r="K1859"/>
  <c r="K1858" s="1"/>
  <c r="K1857" s="1"/>
  <c r="K1856" s="1"/>
  <c r="J1859"/>
  <c r="I1859"/>
  <c r="I1858" s="1"/>
  <c r="K1855"/>
  <c r="J1855"/>
  <c r="I1855"/>
  <c r="K1854"/>
  <c r="K1853" s="1"/>
  <c r="I1854"/>
  <c r="I1852"/>
  <c r="K1851"/>
  <c r="J1851"/>
  <c r="K1850"/>
  <c r="J1850"/>
  <c r="I1850"/>
  <c r="K1849"/>
  <c r="J1849"/>
  <c r="I1849"/>
  <c r="K1848"/>
  <c r="K1847" s="1"/>
  <c r="K1846" s="1"/>
  <c r="J1848"/>
  <c r="I1848"/>
  <c r="J1847"/>
  <c r="J1846" s="1"/>
  <c r="K1845"/>
  <c r="J1845"/>
  <c r="I1845"/>
  <c r="K1844"/>
  <c r="I1844"/>
  <c r="K1843"/>
  <c r="K1842" s="1"/>
  <c r="K1840"/>
  <c r="K1839" s="1"/>
  <c r="K1838" s="1"/>
  <c r="J1840"/>
  <c r="I1840"/>
  <c r="J1839"/>
  <c r="J1838"/>
  <c r="J1837" s="1"/>
  <c r="I1830"/>
  <c r="I1831" s="1"/>
  <c r="K1828"/>
  <c r="K1827" s="1"/>
  <c r="K1826" s="1"/>
  <c r="J1828"/>
  <c r="J1827"/>
  <c r="J1826" s="1"/>
  <c r="J1825" s="1"/>
  <c r="K1822"/>
  <c r="K1819" s="1"/>
  <c r="K1818" s="1"/>
  <c r="K1817" s="1"/>
  <c r="J1822"/>
  <c r="I1821"/>
  <c r="I1822" s="1"/>
  <c r="J1819"/>
  <c r="J1818"/>
  <c r="J1817" s="1"/>
  <c r="K1816"/>
  <c r="J1816"/>
  <c r="J1815" s="1"/>
  <c r="I1816"/>
  <c r="K1815"/>
  <c r="I1815"/>
  <c r="I1814" s="1"/>
  <c r="K1814"/>
  <c r="K1813" s="1"/>
  <c r="K1809"/>
  <c r="K1806" s="1"/>
  <c r="J1809"/>
  <c r="I1808"/>
  <c r="I1809" s="1"/>
  <c r="J1806"/>
  <c r="K1805"/>
  <c r="I1804"/>
  <c r="I1803"/>
  <c r="J1802"/>
  <c r="J1805" s="1"/>
  <c r="I1802"/>
  <c r="K1800"/>
  <c r="K1798"/>
  <c r="K1797"/>
  <c r="K1792" s="1"/>
  <c r="I1796"/>
  <c r="K1795"/>
  <c r="J1794"/>
  <c r="J1797" s="1"/>
  <c r="J1792" s="1"/>
  <c r="I1794"/>
  <c r="K1787"/>
  <c r="K1784" s="1"/>
  <c r="J1787"/>
  <c r="I1786"/>
  <c r="I1787" s="1"/>
  <c r="K1781"/>
  <c r="J1781"/>
  <c r="I1781"/>
  <c r="K1778"/>
  <c r="J1778"/>
  <c r="I1778"/>
  <c r="K1777"/>
  <c r="J1777"/>
  <c r="I1776"/>
  <c r="I1775"/>
  <c r="I1777" s="1"/>
  <c r="K1773"/>
  <c r="J1773"/>
  <c r="K1772"/>
  <c r="J1771"/>
  <c r="I1771"/>
  <c r="J1770"/>
  <c r="I1770"/>
  <c r="K1768"/>
  <c r="K1767"/>
  <c r="K1766"/>
  <c r="J1766"/>
  <c r="J1767" s="1"/>
  <c r="I1766"/>
  <c r="K1762"/>
  <c r="J1762"/>
  <c r="I1762"/>
  <c r="K1761"/>
  <c r="J1761"/>
  <c r="J1763" s="1"/>
  <c r="K1753"/>
  <c r="J1753"/>
  <c r="J1750" s="1"/>
  <c r="I1752"/>
  <c r="I1753" s="1"/>
  <c r="I1747"/>
  <c r="P1747" s="1"/>
  <c r="K1746"/>
  <c r="J1746"/>
  <c r="P1745"/>
  <c r="I1745"/>
  <c r="K1744"/>
  <c r="J1744"/>
  <c r="I1744"/>
  <c r="P1744" s="1"/>
  <c r="K1743"/>
  <c r="J1743"/>
  <c r="J1739" s="1"/>
  <c r="I1743"/>
  <c r="K1739"/>
  <c r="K1738"/>
  <c r="J1738"/>
  <c r="I1737"/>
  <c r="I1736"/>
  <c r="K1734"/>
  <c r="K1733"/>
  <c r="J1733"/>
  <c r="J1730" s="1"/>
  <c r="I1732"/>
  <c r="I1733" s="1"/>
  <c r="K1730"/>
  <c r="K1729"/>
  <c r="K1725" s="1"/>
  <c r="K1724" s="1"/>
  <c r="J1729"/>
  <c r="I1728"/>
  <c r="I1727"/>
  <c r="I1729" s="1"/>
  <c r="I1725" s="1"/>
  <c r="J1725"/>
  <c r="I1719"/>
  <c r="I1720" s="1"/>
  <c r="K1717"/>
  <c r="K1716" s="1"/>
  <c r="J1717"/>
  <c r="K1712"/>
  <c r="J1712"/>
  <c r="J1711" s="1"/>
  <c r="J1710" s="1"/>
  <c r="J1709" s="1"/>
  <c r="I1712"/>
  <c r="K1711"/>
  <c r="K1710" s="1"/>
  <c r="I1708"/>
  <c r="K1707"/>
  <c r="K1706" s="1"/>
  <c r="J1707"/>
  <c r="I1707"/>
  <c r="I1706" s="1"/>
  <c r="K1705"/>
  <c r="J1705"/>
  <c r="J1702" s="1"/>
  <c r="J1701" s="1"/>
  <c r="I1704"/>
  <c r="I1705" s="1"/>
  <c r="K1702"/>
  <c r="K1696"/>
  <c r="J1696"/>
  <c r="J1693" s="1"/>
  <c r="I1695"/>
  <c r="I1696" s="1"/>
  <c r="K1693"/>
  <c r="K1692"/>
  <c r="J1692"/>
  <c r="I1692"/>
  <c r="K1691"/>
  <c r="J1691"/>
  <c r="I1691"/>
  <c r="I1690"/>
  <c r="I1688"/>
  <c r="K1687"/>
  <c r="J1687"/>
  <c r="I1686"/>
  <c r="K1685"/>
  <c r="J1685"/>
  <c r="K1684"/>
  <c r="J1684"/>
  <c r="J1683" s="1"/>
  <c r="I1684"/>
  <c r="I1683" s="1"/>
  <c r="K1682"/>
  <c r="J1682"/>
  <c r="I1682"/>
  <c r="I1681"/>
  <c r="K1679"/>
  <c r="J1679"/>
  <c r="I1679"/>
  <c r="K1678"/>
  <c r="J1678"/>
  <c r="J1677" s="1"/>
  <c r="I1678"/>
  <c r="I1677"/>
  <c r="K1670"/>
  <c r="J1670"/>
  <c r="J1669" s="1"/>
  <c r="J1668" s="1"/>
  <c r="I1670"/>
  <c r="K1669"/>
  <c r="I1669"/>
  <c r="I1668" s="1"/>
  <c r="K1667"/>
  <c r="K1666" s="1"/>
  <c r="K1665" s="1"/>
  <c r="J1667"/>
  <c r="J1666" s="1"/>
  <c r="I1667"/>
  <c r="K1660"/>
  <c r="J1660"/>
  <c r="I1660"/>
  <c r="I1659" s="1"/>
  <c r="K1659"/>
  <c r="K1658" s="1"/>
  <c r="K1657" s="1"/>
  <c r="I1653"/>
  <c r="K1652"/>
  <c r="J1652"/>
  <c r="K1651"/>
  <c r="K1650" s="1"/>
  <c r="J1651"/>
  <c r="I1651"/>
  <c r="I1650" s="1"/>
  <c r="K1649"/>
  <c r="J1649"/>
  <c r="I1649"/>
  <c r="K1648"/>
  <c r="J1648"/>
  <c r="I1648"/>
  <c r="K1647"/>
  <c r="J1647"/>
  <c r="I1647"/>
  <c r="I1646" s="1"/>
  <c r="K1642"/>
  <c r="K1641" s="1"/>
  <c r="K1640" s="1"/>
  <c r="J1642"/>
  <c r="J1641" s="1"/>
  <c r="J1640" s="1"/>
  <c r="I1642"/>
  <c r="J1639"/>
  <c r="I1638"/>
  <c r="K1637"/>
  <c r="K1639" s="1"/>
  <c r="K1635" s="1"/>
  <c r="J1637"/>
  <c r="I1637"/>
  <c r="I1639" s="1"/>
  <c r="I1632"/>
  <c r="K1631"/>
  <c r="J1631"/>
  <c r="J1633" s="1"/>
  <c r="I1631"/>
  <c r="K1625"/>
  <c r="J1625"/>
  <c r="I1624"/>
  <c r="I1625" s="1"/>
  <c r="K1622"/>
  <c r="K1621" s="1"/>
  <c r="K1620" s="1"/>
  <c r="I1618"/>
  <c r="P1618" s="1"/>
  <c r="P1617"/>
  <c r="K1617"/>
  <c r="J1617"/>
  <c r="I1617"/>
  <c r="K1616"/>
  <c r="J1616"/>
  <c r="I1615"/>
  <c r="I1616" s="1"/>
  <c r="J1613"/>
  <c r="K1612"/>
  <c r="K1611" s="1"/>
  <c r="J1612"/>
  <c r="I1612"/>
  <c r="J1611"/>
  <c r="I1610"/>
  <c r="K1609"/>
  <c r="J1609"/>
  <c r="P1608"/>
  <c r="I1608"/>
  <c r="K1607"/>
  <c r="J1607"/>
  <c r="I1607"/>
  <c r="P1607" s="1"/>
  <c r="K1606"/>
  <c r="J1606"/>
  <c r="J1603" s="1"/>
  <c r="I1605"/>
  <c r="I1606" s="1"/>
  <c r="K1603"/>
  <c r="I1602"/>
  <c r="K1601"/>
  <c r="J1601"/>
  <c r="K1600"/>
  <c r="J1600"/>
  <c r="I1600"/>
  <c r="I1599" s="1"/>
  <c r="J1599"/>
  <c r="K1598"/>
  <c r="K1595" s="1"/>
  <c r="J1598"/>
  <c r="I1597"/>
  <c r="I1598" s="1"/>
  <c r="J1595"/>
  <c r="K1594"/>
  <c r="J1594"/>
  <c r="I1594"/>
  <c r="K1593"/>
  <c r="J1593"/>
  <c r="I1592"/>
  <c r="I1590" s="1"/>
  <c r="K1590"/>
  <c r="J1590"/>
  <c r="I1589"/>
  <c r="I1593" s="1"/>
  <c r="K1586"/>
  <c r="J1586"/>
  <c r="J1583" s="1"/>
  <c r="I1585"/>
  <c r="I1586" s="1"/>
  <c r="K1583"/>
  <c r="K1582"/>
  <c r="J1582"/>
  <c r="J1581" s="1"/>
  <c r="I1582"/>
  <c r="I1581" s="1"/>
  <c r="K1579"/>
  <c r="J1579"/>
  <c r="J1578" s="1"/>
  <c r="J1577" s="1"/>
  <c r="I1579"/>
  <c r="K1578"/>
  <c r="I1578"/>
  <c r="I1577" s="1"/>
  <c r="K1576"/>
  <c r="J1576"/>
  <c r="J1573" s="1"/>
  <c r="J1572" s="1"/>
  <c r="I1575"/>
  <c r="I1576" s="1"/>
  <c r="K1573"/>
  <c r="K1572"/>
  <c r="I1569"/>
  <c r="I1568" s="1"/>
  <c r="K1568"/>
  <c r="J1568"/>
  <c r="J1567" s="1"/>
  <c r="J1566" s="1"/>
  <c r="J1565" s="1"/>
  <c r="K1567"/>
  <c r="K1566"/>
  <c r="I1563"/>
  <c r="K1562"/>
  <c r="K1561" s="1"/>
  <c r="J1562"/>
  <c r="I1562"/>
  <c r="J1561"/>
  <c r="K1560"/>
  <c r="J1560"/>
  <c r="I1560"/>
  <c r="J1559"/>
  <c r="I1559"/>
  <c r="I1558"/>
  <c r="K1554"/>
  <c r="J1554"/>
  <c r="J1553" s="1"/>
  <c r="J1552" s="1"/>
  <c r="J1551" s="1"/>
  <c r="I1554"/>
  <c r="K1553"/>
  <c r="K1552"/>
  <c r="I1547"/>
  <c r="K1546"/>
  <c r="J1546"/>
  <c r="J1545"/>
  <c r="I1542"/>
  <c r="K1541"/>
  <c r="J1541"/>
  <c r="K1540"/>
  <c r="J1540"/>
  <c r="I1539"/>
  <c r="I1540" s="1"/>
  <c r="J1537"/>
  <c r="K1536"/>
  <c r="K1535" s="1"/>
  <c r="J1536"/>
  <c r="I1536"/>
  <c r="J1535"/>
  <c r="K1533"/>
  <c r="J1533"/>
  <c r="I1532"/>
  <c r="I1533" s="1"/>
  <c r="K1530"/>
  <c r="K1529"/>
  <c r="J1529"/>
  <c r="J1528" s="1"/>
  <c r="I1529"/>
  <c r="K1528"/>
  <c r="I1528"/>
  <c r="K1527"/>
  <c r="J1527"/>
  <c r="I1527"/>
  <c r="K1526"/>
  <c r="I1526"/>
  <c r="K1525"/>
  <c r="K1522" s="1"/>
  <c r="J1525"/>
  <c r="I1524"/>
  <c r="I1525" s="1"/>
  <c r="J1522"/>
  <c r="I1521"/>
  <c r="K1520"/>
  <c r="J1520"/>
  <c r="I1519"/>
  <c r="K1518"/>
  <c r="J1518"/>
  <c r="I1517"/>
  <c r="K1516"/>
  <c r="J1516"/>
  <c r="K1515"/>
  <c r="K1514" s="1"/>
  <c r="J1515"/>
  <c r="I1515"/>
  <c r="I1514" s="1"/>
  <c r="K1513"/>
  <c r="K1510" s="1"/>
  <c r="J1513"/>
  <c r="I1512"/>
  <c r="I1513" s="1"/>
  <c r="J1510"/>
  <c r="K1509"/>
  <c r="K1506" s="1"/>
  <c r="J1509"/>
  <c r="I1508"/>
  <c r="I1509" s="1"/>
  <c r="K1505"/>
  <c r="I1503"/>
  <c r="K1502"/>
  <c r="J1502"/>
  <c r="I1502"/>
  <c r="I1505" s="1"/>
  <c r="K1499"/>
  <c r="J1499"/>
  <c r="J1498" s="1"/>
  <c r="I1499"/>
  <c r="K1498"/>
  <c r="I1498"/>
  <c r="K1497"/>
  <c r="J1497"/>
  <c r="I1496"/>
  <c r="I1497" s="1"/>
  <c r="I1494" s="1"/>
  <c r="K1494"/>
  <c r="K1490"/>
  <c r="K1489" s="1"/>
  <c r="K1488" s="1"/>
  <c r="K1487" s="1"/>
  <c r="K1486" s="1"/>
  <c r="J1490"/>
  <c r="I1490"/>
  <c r="J1489"/>
  <c r="J1488" s="1"/>
  <c r="J1487" s="1"/>
  <c r="J1486" s="1"/>
  <c r="K1484"/>
  <c r="K1481" s="1"/>
  <c r="K1480" s="1"/>
  <c r="K1479" s="1"/>
  <c r="J1484"/>
  <c r="I1483"/>
  <c r="I1484" s="1"/>
  <c r="J1481"/>
  <c r="J1480" s="1"/>
  <c r="J1479" s="1"/>
  <c r="I1481"/>
  <c r="I1480" s="1"/>
  <c r="I1479" s="1"/>
  <c r="K1478"/>
  <c r="J1478"/>
  <c r="J1477"/>
  <c r="I1477"/>
  <c r="I1478" s="1"/>
  <c r="K1475"/>
  <c r="J1475"/>
  <c r="K1474"/>
  <c r="K1473" s="1"/>
  <c r="J1474"/>
  <c r="J1473" s="1"/>
  <c r="I1474"/>
  <c r="I1473"/>
  <c r="I1472"/>
  <c r="K1471"/>
  <c r="J1471"/>
  <c r="I1471"/>
  <c r="K1470"/>
  <c r="J1470"/>
  <c r="J1469" s="1"/>
  <c r="I1470"/>
  <c r="K1469"/>
  <c r="K1468" s="1"/>
  <c r="K1467" s="1"/>
  <c r="I1469"/>
  <c r="I1464"/>
  <c r="K1463"/>
  <c r="K1458" s="1"/>
  <c r="J1463"/>
  <c r="I1462"/>
  <c r="K1461"/>
  <c r="J1461"/>
  <c r="K1460"/>
  <c r="K1459" s="1"/>
  <c r="J1460"/>
  <c r="J1459" s="1"/>
  <c r="I1460"/>
  <c r="I1459"/>
  <c r="I1453"/>
  <c r="K1452"/>
  <c r="K1451" s="1"/>
  <c r="K1450" s="1"/>
  <c r="J1452"/>
  <c r="J1451"/>
  <c r="J1450" s="1"/>
  <c r="I1449"/>
  <c r="I1448" s="1"/>
  <c r="K1448"/>
  <c r="J1448"/>
  <c r="K1447"/>
  <c r="K1446" s="1"/>
  <c r="K1445" s="1"/>
  <c r="K1444" s="1"/>
  <c r="J1447"/>
  <c r="I1447"/>
  <c r="I1446" s="1"/>
  <c r="J1446"/>
  <c r="J1445"/>
  <c r="J1444" s="1"/>
  <c r="K1443"/>
  <c r="K1442" s="1"/>
  <c r="J1443"/>
  <c r="J1442" s="1"/>
  <c r="I1443"/>
  <c r="I1442" s="1"/>
  <c r="I1441" s="1"/>
  <c r="J1441"/>
  <c r="J1440" s="1"/>
  <c r="J1439" s="1"/>
  <c r="I1440"/>
  <c r="I1439" s="1"/>
  <c r="I1434"/>
  <c r="I1433" s="1"/>
  <c r="K1433"/>
  <c r="J1433"/>
  <c r="J1432" s="1"/>
  <c r="J1431" s="1"/>
  <c r="K1432"/>
  <c r="K1431" s="1"/>
  <c r="K1429"/>
  <c r="K1428" s="1"/>
  <c r="K1427" s="1"/>
  <c r="J1429"/>
  <c r="I1429"/>
  <c r="I1428" s="1"/>
  <c r="I1427" s="1"/>
  <c r="I1426" s="1"/>
  <c r="K1423"/>
  <c r="J1423"/>
  <c r="J1422" s="1"/>
  <c r="I1423"/>
  <c r="I1422" s="1"/>
  <c r="K1422"/>
  <c r="K1421"/>
  <c r="K1420" s="1"/>
  <c r="J1421"/>
  <c r="I1421"/>
  <c r="I1420" s="1"/>
  <c r="I1414"/>
  <c r="K1413"/>
  <c r="J1413"/>
  <c r="J1412" s="1"/>
  <c r="J1411" s="1"/>
  <c r="K1412"/>
  <c r="K1411" s="1"/>
  <c r="K1410"/>
  <c r="J1410"/>
  <c r="J1406" s="1"/>
  <c r="I1409"/>
  <c r="I1408"/>
  <c r="I1410" s="1"/>
  <c r="K1406"/>
  <c r="K1405"/>
  <c r="J1405"/>
  <c r="I1404"/>
  <c r="I1403"/>
  <c r="K1401"/>
  <c r="J1401"/>
  <c r="K1400"/>
  <c r="K1399" s="1"/>
  <c r="J1400"/>
  <c r="J1399" s="1"/>
  <c r="I1400"/>
  <c r="I1399"/>
  <c r="K1398"/>
  <c r="J1398"/>
  <c r="J1397" s="1"/>
  <c r="I1398"/>
  <c r="K1397"/>
  <c r="I1397"/>
  <c r="K1391"/>
  <c r="K1390" s="1"/>
  <c r="J1391"/>
  <c r="J1390" s="1"/>
  <c r="J1389" s="1"/>
  <c r="I1391"/>
  <c r="I1390"/>
  <c r="I1389" s="1"/>
  <c r="K1388"/>
  <c r="K1385" s="1"/>
  <c r="K1384" s="1"/>
  <c r="J1388"/>
  <c r="J1385" s="1"/>
  <c r="J1384" s="1"/>
  <c r="J1383" s="1"/>
  <c r="J1382" s="1"/>
  <c r="J1381" s="1"/>
  <c r="I1387"/>
  <c r="I1388" s="1"/>
  <c r="I1385"/>
  <c r="I1384"/>
  <c r="I1383" s="1"/>
  <c r="I1382" s="1"/>
  <c r="I1379"/>
  <c r="I1378" s="1"/>
  <c r="I1377" s="1"/>
  <c r="K1378"/>
  <c r="J1378"/>
  <c r="K1377"/>
  <c r="K1376" s="1"/>
  <c r="I1375"/>
  <c r="K1374"/>
  <c r="J1374"/>
  <c r="K1373"/>
  <c r="J1373"/>
  <c r="I1373"/>
  <c r="I1372" s="1"/>
  <c r="J1372"/>
  <c r="K1371"/>
  <c r="J1371"/>
  <c r="J1370" s="1"/>
  <c r="J1369" s="1"/>
  <c r="J1368" s="1"/>
  <c r="I1371"/>
  <c r="K1370"/>
  <c r="I1364"/>
  <c r="K1363"/>
  <c r="J1363"/>
  <c r="I1362"/>
  <c r="K1361"/>
  <c r="J1361"/>
  <c r="J1360"/>
  <c r="I1358"/>
  <c r="K1357"/>
  <c r="K1356" s="1"/>
  <c r="K1355" s="1"/>
  <c r="J1357"/>
  <c r="I1357"/>
  <c r="J1356"/>
  <c r="J1355"/>
  <c r="K1354"/>
  <c r="J1354"/>
  <c r="I1354"/>
  <c r="K1353"/>
  <c r="I1353"/>
  <c r="K1352"/>
  <c r="K1351" s="1"/>
  <c r="J1352"/>
  <c r="I1352"/>
  <c r="I1351" s="1"/>
  <c r="I1350" s="1"/>
  <c r="I1349" s="1"/>
  <c r="J1351"/>
  <c r="I1346"/>
  <c r="K1345"/>
  <c r="J1345"/>
  <c r="I1344"/>
  <c r="K1343"/>
  <c r="J1343"/>
  <c r="K1342"/>
  <c r="K1341" s="1"/>
  <c r="J1342"/>
  <c r="I1342"/>
  <c r="I1341"/>
  <c r="K1340"/>
  <c r="J1340"/>
  <c r="J1338" s="1"/>
  <c r="I1340"/>
  <c r="K1339"/>
  <c r="J1339"/>
  <c r="I1339"/>
  <c r="I1338"/>
  <c r="K1337"/>
  <c r="J1337"/>
  <c r="J1336" s="1"/>
  <c r="I1337"/>
  <c r="K1336"/>
  <c r="K1335"/>
  <c r="J1335"/>
  <c r="I1335"/>
  <c r="K1334"/>
  <c r="J1334"/>
  <c r="I1334"/>
  <c r="K1333"/>
  <c r="J1333"/>
  <c r="I1333"/>
  <c r="I1325"/>
  <c r="K1324"/>
  <c r="J1324"/>
  <c r="J1323"/>
  <c r="K1319"/>
  <c r="J1319"/>
  <c r="I1319"/>
  <c r="K1318"/>
  <c r="I1318"/>
  <c r="K1317"/>
  <c r="K1316" s="1"/>
  <c r="J1317"/>
  <c r="I1317"/>
  <c r="I1316" s="1"/>
  <c r="J1316"/>
  <c r="I1310"/>
  <c r="I1309" s="1"/>
  <c r="I1308" s="1"/>
  <c r="K1309"/>
  <c r="J1309"/>
  <c r="K1308"/>
  <c r="K1307"/>
  <c r="K1306"/>
  <c r="J1306"/>
  <c r="J1302" s="1"/>
  <c r="I1305"/>
  <c r="I1304"/>
  <c r="I1306" s="1"/>
  <c r="K1301"/>
  <c r="J1301"/>
  <c r="I1300"/>
  <c r="I1299"/>
  <c r="K1297"/>
  <c r="J1297"/>
  <c r="K1296"/>
  <c r="K1295" s="1"/>
  <c r="J1296"/>
  <c r="J1295" s="1"/>
  <c r="I1296"/>
  <c r="I1295" s="1"/>
  <c r="K1294"/>
  <c r="K1293" s="1"/>
  <c r="J1294"/>
  <c r="I1294"/>
  <c r="I1293" s="1"/>
  <c r="J1293"/>
  <c r="K1292"/>
  <c r="K1291" s="1"/>
  <c r="J1292"/>
  <c r="J1291" s="1"/>
  <c r="I1292"/>
  <c r="I1291"/>
  <c r="K1290"/>
  <c r="J1290"/>
  <c r="J1289" s="1"/>
  <c r="I1290"/>
  <c r="K1289"/>
  <c r="K1284"/>
  <c r="J1284"/>
  <c r="I1283"/>
  <c r="I1284" s="1"/>
  <c r="J1281"/>
  <c r="K1279"/>
  <c r="K1278" s="1"/>
  <c r="K1275"/>
  <c r="K1274" s="1"/>
  <c r="J1275"/>
  <c r="I1275"/>
  <c r="I1274" s="1"/>
  <c r="J1274"/>
  <c r="K1273"/>
  <c r="K1270" s="1"/>
  <c r="J1273"/>
  <c r="I1272"/>
  <c r="I1273" s="1"/>
  <c r="K1264"/>
  <c r="K1263" s="1"/>
  <c r="J1264"/>
  <c r="I1264"/>
  <c r="J1263"/>
  <c r="I1263"/>
  <c r="I1262" s="1"/>
  <c r="I1258"/>
  <c r="I1257" s="1"/>
  <c r="K1257"/>
  <c r="J1257"/>
  <c r="I1256"/>
  <c r="I1255" s="1"/>
  <c r="K1255"/>
  <c r="J1255"/>
  <c r="K1254"/>
  <c r="J1254"/>
  <c r="I1254"/>
  <c r="F1254"/>
  <c r="E1254"/>
  <c r="D1254"/>
  <c r="K1253"/>
  <c r="J1253"/>
  <c r="F1253"/>
  <c r="E1253"/>
  <c r="D1253"/>
  <c r="K1252"/>
  <c r="J1252"/>
  <c r="I1252"/>
  <c r="K1251"/>
  <c r="K1250" s="1"/>
  <c r="J1251"/>
  <c r="I1251"/>
  <c r="J1250"/>
  <c r="K1249"/>
  <c r="J1249"/>
  <c r="I1249"/>
  <c r="I1248" s="1"/>
  <c r="K1248"/>
  <c r="K1247"/>
  <c r="J1247"/>
  <c r="I1247"/>
  <c r="K1246"/>
  <c r="J1246"/>
  <c r="I1246"/>
  <c r="K1245"/>
  <c r="J1245"/>
  <c r="I1245"/>
  <c r="I1244" s="1"/>
  <c r="K1237"/>
  <c r="J1237"/>
  <c r="I1237"/>
  <c r="J1236"/>
  <c r="I1236"/>
  <c r="K1235"/>
  <c r="J1235"/>
  <c r="J1234" s="1"/>
  <c r="I1235"/>
  <c r="K1234"/>
  <c r="I1228"/>
  <c r="K1227"/>
  <c r="J1227"/>
  <c r="J1226"/>
  <c r="K1224"/>
  <c r="J1224"/>
  <c r="I1223"/>
  <c r="I1222"/>
  <c r="I1224" s="1"/>
  <c r="K1220"/>
  <c r="J1220"/>
  <c r="K1219"/>
  <c r="J1219"/>
  <c r="I1218"/>
  <c r="I1217"/>
  <c r="I1219" s="1"/>
  <c r="K1215"/>
  <c r="K1214"/>
  <c r="K1213" s="1"/>
  <c r="J1214"/>
  <c r="I1214"/>
  <c r="I1213" s="1"/>
  <c r="J1213"/>
  <c r="K1212"/>
  <c r="K1211" s="1"/>
  <c r="J1212"/>
  <c r="I1212"/>
  <c r="I1211"/>
  <c r="K1210"/>
  <c r="J1210"/>
  <c r="J1209" s="1"/>
  <c r="I1210"/>
  <c r="K1209"/>
  <c r="I1209"/>
  <c r="K1204"/>
  <c r="J1204"/>
  <c r="I1204"/>
  <c r="K1203"/>
  <c r="I1203"/>
  <c r="K1202"/>
  <c r="K1201" s="1"/>
  <c r="I1197"/>
  <c r="K1196"/>
  <c r="K1195" s="1"/>
  <c r="J1196"/>
  <c r="J1195"/>
  <c r="J1194" s="1"/>
  <c r="K1193"/>
  <c r="K1190" s="1"/>
  <c r="J1193"/>
  <c r="I1192"/>
  <c r="I1193" s="1"/>
  <c r="J1190"/>
  <c r="K1189"/>
  <c r="J1189"/>
  <c r="I1189"/>
  <c r="J1188"/>
  <c r="J1183" s="1"/>
  <c r="J1182" s="1"/>
  <c r="I1188"/>
  <c r="K1187"/>
  <c r="K1184" s="1"/>
  <c r="J1187"/>
  <c r="I1186"/>
  <c r="I1187" s="1"/>
  <c r="J1184"/>
  <c r="I1178"/>
  <c r="K1177"/>
  <c r="J1177"/>
  <c r="J1176"/>
  <c r="K1173"/>
  <c r="J1173"/>
  <c r="J1172" s="1"/>
  <c r="J1171" s="1"/>
  <c r="I1173"/>
  <c r="I1172" s="1"/>
  <c r="K1172"/>
  <c r="K1170"/>
  <c r="J1170"/>
  <c r="J1169" s="1"/>
  <c r="I1170"/>
  <c r="K1169"/>
  <c r="K1168"/>
  <c r="J1168"/>
  <c r="J1167" s="1"/>
  <c r="I1168"/>
  <c r="I1167"/>
  <c r="I1162"/>
  <c r="I1161" s="1"/>
  <c r="K1161"/>
  <c r="J1161"/>
  <c r="I1160"/>
  <c r="I1159" s="1"/>
  <c r="K1159"/>
  <c r="J1159"/>
  <c r="K1158"/>
  <c r="K1157" s="1"/>
  <c r="J1158"/>
  <c r="I1158"/>
  <c r="J1157"/>
  <c r="K1156"/>
  <c r="J1156"/>
  <c r="I1156"/>
  <c r="K1155"/>
  <c r="J1155"/>
  <c r="I1155"/>
  <c r="I1154" s="1"/>
  <c r="K1153"/>
  <c r="K1152" s="1"/>
  <c r="J1153"/>
  <c r="I1153"/>
  <c r="I1152" s="1"/>
  <c r="J1152"/>
  <c r="K1151"/>
  <c r="J1151"/>
  <c r="I1151"/>
  <c r="K1150"/>
  <c r="J1150"/>
  <c r="I1150"/>
  <c r="K1149"/>
  <c r="K1148" s="1"/>
  <c r="J1149"/>
  <c r="I1149"/>
  <c r="J1148"/>
  <c r="I1141"/>
  <c r="K1140"/>
  <c r="J1140"/>
  <c r="I1139"/>
  <c r="I1138"/>
  <c r="K1137"/>
  <c r="J1137"/>
  <c r="K1136"/>
  <c r="J1136"/>
  <c r="I1136"/>
  <c r="K1135"/>
  <c r="K1134" s="1"/>
  <c r="J1135"/>
  <c r="I1135"/>
  <c r="I1134"/>
  <c r="K1133"/>
  <c r="K1132" s="1"/>
  <c r="J1133"/>
  <c r="I1133"/>
  <c r="I1132" s="1"/>
  <c r="J1132"/>
  <c r="K1131"/>
  <c r="J1131"/>
  <c r="I1131"/>
  <c r="K1130"/>
  <c r="J1130"/>
  <c r="I1130"/>
  <c r="K1129"/>
  <c r="J1129"/>
  <c r="J1128" s="1"/>
  <c r="I1129"/>
  <c r="K1128"/>
  <c r="I1124"/>
  <c r="K1123"/>
  <c r="J1123"/>
  <c r="I1122"/>
  <c r="K1121"/>
  <c r="J1121"/>
  <c r="J1120" s="1"/>
  <c r="J1119" s="1"/>
  <c r="K1120"/>
  <c r="K1116"/>
  <c r="K1115" s="1"/>
  <c r="K1114" s="1"/>
  <c r="J1116"/>
  <c r="I1116"/>
  <c r="I1115"/>
  <c r="I1114"/>
  <c r="K1113"/>
  <c r="J1113"/>
  <c r="I1113"/>
  <c r="K1112"/>
  <c r="K1111" s="1"/>
  <c r="J1112"/>
  <c r="I1112"/>
  <c r="I1111"/>
  <c r="K1110"/>
  <c r="J1110"/>
  <c r="I1110"/>
  <c r="I1108" s="1"/>
  <c r="K1109"/>
  <c r="J1109"/>
  <c r="J1108" s="1"/>
  <c r="J1107" s="1"/>
  <c r="I1109"/>
  <c r="K1108"/>
  <c r="K1107" s="1"/>
  <c r="K1106" s="1"/>
  <c r="K1105"/>
  <c r="J1105"/>
  <c r="J1104" s="1"/>
  <c r="J1103" s="1"/>
  <c r="J1102" s="1"/>
  <c r="I1105"/>
  <c r="I1104"/>
  <c r="I1103"/>
  <c r="I1102"/>
  <c r="I1099"/>
  <c r="K1098"/>
  <c r="J1098"/>
  <c r="I1097"/>
  <c r="K1096"/>
  <c r="J1096"/>
  <c r="K1095"/>
  <c r="K1094" s="1"/>
  <c r="J1095"/>
  <c r="J1094" s="1"/>
  <c r="I1095"/>
  <c r="I1094"/>
  <c r="K1088"/>
  <c r="K1087" s="1"/>
  <c r="K1086" s="1"/>
  <c r="J1088"/>
  <c r="I1088"/>
  <c r="I1087"/>
  <c r="I1086"/>
  <c r="I1085" s="1"/>
  <c r="I1084" s="1"/>
  <c r="I1083"/>
  <c r="K1082"/>
  <c r="J1082"/>
  <c r="I1081"/>
  <c r="K1080"/>
  <c r="J1080"/>
  <c r="K1079"/>
  <c r="K1078" s="1"/>
  <c r="J1079"/>
  <c r="J1078" s="1"/>
  <c r="J1077" s="1"/>
  <c r="I1079"/>
  <c r="I1078" s="1"/>
  <c r="K1077"/>
  <c r="J1076"/>
  <c r="J1075" s="1"/>
  <c r="I1070"/>
  <c r="K1069"/>
  <c r="J1069"/>
  <c r="K1068"/>
  <c r="J1068"/>
  <c r="I1068"/>
  <c r="K1067"/>
  <c r="J1067"/>
  <c r="I1067"/>
  <c r="K1066"/>
  <c r="J1066"/>
  <c r="I1066"/>
  <c r="K1064"/>
  <c r="J1064"/>
  <c r="I1064"/>
  <c r="K1063"/>
  <c r="J1063"/>
  <c r="I1063"/>
  <c r="K1062"/>
  <c r="K1061"/>
  <c r="K1060" s="1"/>
  <c r="J1061"/>
  <c r="I1061"/>
  <c r="J1060"/>
  <c r="I1060"/>
  <c r="K1059"/>
  <c r="J1059"/>
  <c r="I1059"/>
  <c r="K1058"/>
  <c r="J1058"/>
  <c r="I1058"/>
  <c r="K1057"/>
  <c r="J1057"/>
  <c r="I1057"/>
  <c r="J1056"/>
  <c r="I1056"/>
  <c r="K1053"/>
  <c r="K1052" s="1"/>
  <c r="J1053"/>
  <c r="I1053"/>
  <c r="J1052"/>
  <c r="I1052"/>
  <c r="K1051"/>
  <c r="J1051"/>
  <c r="I1051"/>
  <c r="I1049" s="1"/>
  <c r="K1050"/>
  <c r="J1050"/>
  <c r="I1050"/>
  <c r="K1049"/>
  <c r="K1048" s="1"/>
  <c r="K1047" s="1"/>
  <c r="J1049"/>
  <c r="K1046"/>
  <c r="J1046"/>
  <c r="I1046"/>
  <c r="I1045" s="1"/>
  <c r="I1044" s="1"/>
  <c r="I1043" s="1"/>
  <c r="J1045"/>
  <c r="J1044" s="1"/>
  <c r="J1043" s="1"/>
  <c r="I1042"/>
  <c r="K1041"/>
  <c r="J1041"/>
  <c r="J1040" s="1"/>
  <c r="I1041"/>
  <c r="I1040" s="1"/>
  <c r="K1040"/>
  <c r="K1039"/>
  <c r="K1038" s="1"/>
  <c r="K1037" s="1"/>
  <c r="J1039"/>
  <c r="I1039"/>
  <c r="I1038"/>
  <c r="I1037"/>
  <c r="K1033"/>
  <c r="J1033"/>
  <c r="J1032" s="1"/>
  <c r="I1033"/>
  <c r="I1032" s="1"/>
  <c r="K1032"/>
  <c r="K1031"/>
  <c r="K1030" s="1"/>
  <c r="J1031"/>
  <c r="I1031"/>
  <c r="I1030"/>
  <c r="I1029" s="1"/>
  <c r="I1028" s="1"/>
  <c r="I1027" s="1"/>
  <c r="I1026" s="1"/>
  <c r="K1025"/>
  <c r="J1025"/>
  <c r="J1024" s="1"/>
  <c r="J1023" s="1"/>
  <c r="J1022" s="1"/>
  <c r="I1025"/>
  <c r="I1024" s="1"/>
  <c r="I1023" s="1"/>
  <c r="K1024"/>
  <c r="K1023"/>
  <c r="K1022" s="1"/>
  <c r="K1021"/>
  <c r="J1021"/>
  <c r="J1020" s="1"/>
  <c r="J1019" s="1"/>
  <c r="I1021"/>
  <c r="I1020" s="1"/>
  <c r="I1019" s="1"/>
  <c r="K1020"/>
  <c r="K1019"/>
  <c r="K1018"/>
  <c r="J1018"/>
  <c r="J1017" s="1"/>
  <c r="J1016" s="1"/>
  <c r="I1018"/>
  <c r="I1017" s="1"/>
  <c r="I1016" s="1"/>
  <c r="K1017"/>
  <c r="K1016"/>
  <c r="K1015"/>
  <c r="K1014" s="1"/>
  <c r="K1013" s="1"/>
  <c r="J1015"/>
  <c r="I1015"/>
  <c r="J1014"/>
  <c r="J1013" s="1"/>
  <c r="I1014"/>
  <c r="I1013" s="1"/>
  <c r="K1012"/>
  <c r="J1012"/>
  <c r="I1012"/>
  <c r="I1011" s="1"/>
  <c r="J1011"/>
  <c r="K1010"/>
  <c r="I1010"/>
  <c r="I1009" s="1"/>
  <c r="K1009"/>
  <c r="J1009"/>
  <c r="K1008"/>
  <c r="K1007" s="1"/>
  <c r="J1008"/>
  <c r="I1008"/>
  <c r="I1007"/>
  <c r="K1006"/>
  <c r="J1006"/>
  <c r="I1006"/>
  <c r="I1005" s="1"/>
  <c r="K1005"/>
  <c r="J1005"/>
  <c r="K1004"/>
  <c r="K1003"/>
  <c r="J1003"/>
  <c r="I1003"/>
  <c r="K1002"/>
  <c r="J1002"/>
  <c r="I1002"/>
  <c r="K1001"/>
  <c r="I1001"/>
  <c r="K1000"/>
  <c r="J1000"/>
  <c r="I1000"/>
  <c r="K999"/>
  <c r="J999"/>
  <c r="I999"/>
  <c r="K998"/>
  <c r="J998"/>
  <c r="I998"/>
  <c r="K997"/>
  <c r="I997"/>
  <c r="K996"/>
  <c r="K995" s="1"/>
  <c r="I996"/>
  <c r="J995"/>
  <c r="I995"/>
  <c r="K994"/>
  <c r="J994"/>
  <c r="I994"/>
  <c r="I993" s="1"/>
  <c r="K993"/>
  <c r="J993"/>
  <c r="K992"/>
  <c r="J992"/>
  <c r="I992"/>
  <c r="J991"/>
  <c r="I991"/>
  <c r="K990"/>
  <c r="J990"/>
  <c r="I990"/>
  <c r="K989"/>
  <c r="J989"/>
  <c r="K988"/>
  <c r="K987"/>
  <c r="J987"/>
  <c r="I987"/>
  <c r="K986"/>
  <c r="J986"/>
  <c r="I986"/>
  <c r="J985"/>
  <c r="I985"/>
  <c r="K984"/>
  <c r="J984"/>
  <c r="I984"/>
  <c r="K983"/>
  <c r="J983"/>
  <c r="K982"/>
  <c r="K981"/>
  <c r="J981"/>
  <c r="I981"/>
  <c r="K980"/>
  <c r="K979"/>
  <c r="J979"/>
  <c r="I979"/>
  <c r="K978"/>
  <c r="J978"/>
  <c r="J977" s="1"/>
  <c r="I978"/>
  <c r="I977" s="1"/>
  <c r="K976"/>
  <c r="J976"/>
  <c r="I976"/>
  <c r="K975"/>
  <c r="J975"/>
  <c r="K972"/>
  <c r="J972"/>
  <c r="I972"/>
  <c r="K971"/>
  <c r="J971"/>
  <c r="I971"/>
  <c r="K970"/>
  <c r="J970"/>
  <c r="K969"/>
  <c r="J969"/>
  <c r="I969"/>
  <c r="I967" s="1"/>
  <c r="K968"/>
  <c r="J968"/>
  <c r="I968"/>
  <c r="K967"/>
  <c r="K966"/>
  <c r="J966"/>
  <c r="I966"/>
  <c r="K965"/>
  <c r="J965"/>
  <c r="I965"/>
  <c r="I964"/>
  <c r="K963"/>
  <c r="K961" s="1"/>
  <c r="J963"/>
  <c r="I963"/>
  <c r="K962"/>
  <c r="J962"/>
  <c r="J961" s="1"/>
  <c r="I962"/>
  <c r="I961"/>
  <c r="K959"/>
  <c r="J959"/>
  <c r="I959"/>
  <c r="K958"/>
  <c r="J958"/>
  <c r="I958"/>
  <c r="J957"/>
  <c r="I957"/>
  <c r="K956"/>
  <c r="J956"/>
  <c r="I956"/>
  <c r="K955"/>
  <c r="J955"/>
  <c r="I955"/>
  <c r="K954"/>
  <c r="J954"/>
  <c r="K953"/>
  <c r="J953"/>
  <c r="I953"/>
  <c r="K952"/>
  <c r="J952"/>
  <c r="I952"/>
  <c r="K951"/>
  <c r="K950"/>
  <c r="J950"/>
  <c r="I950"/>
  <c r="K949"/>
  <c r="J949"/>
  <c r="I949"/>
  <c r="I948" s="1"/>
  <c r="K947"/>
  <c r="J947"/>
  <c r="I947"/>
  <c r="K946"/>
  <c r="J946"/>
  <c r="J945" s="1"/>
  <c r="I946"/>
  <c r="I945" s="1"/>
  <c r="K944"/>
  <c r="K942" s="1"/>
  <c r="J944"/>
  <c r="I944"/>
  <c r="K943"/>
  <c r="J943"/>
  <c r="J942" s="1"/>
  <c r="I943"/>
  <c r="K941"/>
  <c r="J941"/>
  <c r="I941"/>
  <c r="K940"/>
  <c r="J940"/>
  <c r="I940"/>
  <c r="K939"/>
  <c r="K938"/>
  <c r="J938"/>
  <c r="I938"/>
  <c r="K937"/>
  <c r="J937"/>
  <c r="I937"/>
  <c r="I936" s="1"/>
  <c r="I935"/>
  <c r="I934" s="1"/>
  <c r="K934"/>
  <c r="J934"/>
  <c r="K933"/>
  <c r="J933"/>
  <c r="I933"/>
  <c r="I932" s="1"/>
  <c r="K932"/>
  <c r="J932"/>
  <c r="K931"/>
  <c r="J931"/>
  <c r="I931"/>
  <c r="K930"/>
  <c r="J930"/>
  <c r="I930"/>
  <c r="K929"/>
  <c r="K928"/>
  <c r="J928"/>
  <c r="I928"/>
  <c r="K927"/>
  <c r="J927"/>
  <c r="I927"/>
  <c r="I926"/>
  <c r="K925"/>
  <c r="J925"/>
  <c r="I925"/>
  <c r="K924"/>
  <c r="J924"/>
  <c r="I924"/>
  <c r="J923"/>
  <c r="I923"/>
  <c r="K917"/>
  <c r="J917"/>
  <c r="I917"/>
  <c r="I916" s="1"/>
  <c r="I915" s="1"/>
  <c r="I914" s="1"/>
  <c r="K916"/>
  <c r="J916"/>
  <c r="J915"/>
  <c r="K910"/>
  <c r="J910"/>
  <c r="I910"/>
  <c r="K909"/>
  <c r="J909"/>
  <c r="K908"/>
  <c r="J908"/>
  <c r="J907" s="1"/>
  <c r="K901"/>
  <c r="J901"/>
  <c r="I901"/>
  <c r="K900"/>
  <c r="K899" s="1"/>
  <c r="J900"/>
  <c r="J899" s="1"/>
  <c r="I898"/>
  <c r="K897"/>
  <c r="J897"/>
  <c r="I896"/>
  <c r="K895"/>
  <c r="J895"/>
  <c r="K894"/>
  <c r="K893" s="1"/>
  <c r="J894"/>
  <c r="I894"/>
  <c r="I893" s="1"/>
  <c r="K892"/>
  <c r="J892"/>
  <c r="I892"/>
  <c r="K891"/>
  <c r="J891"/>
  <c r="I891"/>
  <c r="K890"/>
  <c r="J890"/>
  <c r="I890"/>
  <c r="I889" s="1"/>
  <c r="I885"/>
  <c r="K884"/>
  <c r="J884"/>
  <c r="I884"/>
  <c r="I883"/>
  <c r="K882"/>
  <c r="J882"/>
  <c r="I882"/>
  <c r="K881"/>
  <c r="I881"/>
  <c r="K880"/>
  <c r="K879"/>
  <c r="J879"/>
  <c r="I879"/>
  <c r="J878"/>
  <c r="I878"/>
  <c r="I877"/>
  <c r="K874"/>
  <c r="J874"/>
  <c r="I874"/>
  <c r="K873"/>
  <c r="I873"/>
  <c r="K872"/>
  <c r="K871"/>
  <c r="K869"/>
  <c r="J869"/>
  <c r="I869"/>
  <c r="K868"/>
  <c r="J868"/>
  <c r="J867" s="1"/>
  <c r="J866" s="1"/>
  <c r="K867"/>
  <c r="I864"/>
  <c r="K863"/>
  <c r="J863"/>
  <c r="I863"/>
  <c r="K862"/>
  <c r="K861" s="1"/>
  <c r="J862"/>
  <c r="J861" s="1"/>
  <c r="K860"/>
  <c r="J860"/>
  <c r="I860"/>
  <c r="K859"/>
  <c r="I859"/>
  <c r="K858"/>
  <c r="K857"/>
  <c r="J857"/>
  <c r="I857"/>
  <c r="J856"/>
  <c r="I856"/>
  <c r="I855" s="1"/>
  <c r="K854"/>
  <c r="J854"/>
  <c r="I853"/>
  <c r="I852"/>
  <c r="I854" s="1"/>
  <c r="K850"/>
  <c r="J850"/>
  <c r="K849"/>
  <c r="J849"/>
  <c r="I848"/>
  <c r="I847"/>
  <c r="I849" s="1"/>
  <c r="K845"/>
  <c r="K844"/>
  <c r="K843"/>
  <c r="J843"/>
  <c r="I843"/>
  <c r="J842"/>
  <c r="I842"/>
  <c r="I841"/>
  <c r="I839"/>
  <c r="K838"/>
  <c r="J838"/>
  <c r="I837"/>
  <c r="I836"/>
  <c r="K835"/>
  <c r="J835"/>
  <c r="I835"/>
  <c r="K834"/>
  <c r="J834"/>
  <c r="I834"/>
  <c r="K833"/>
  <c r="K832" s="1"/>
  <c r="J833"/>
  <c r="I833"/>
  <c r="I832"/>
  <c r="I830"/>
  <c r="K829"/>
  <c r="J829"/>
  <c r="K828"/>
  <c r="K826" s="1"/>
  <c r="J828"/>
  <c r="I827"/>
  <c r="I828" s="1"/>
  <c r="J826"/>
  <c r="K824"/>
  <c r="J824"/>
  <c r="I823"/>
  <c r="K822"/>
  <c r="J822"/>
  <c r="K821"/>
  <c r="K820" s="1"/>
  <c r="J821"/>
  <c r="J820" s="1"/>
  <c r="I821"/>
  <c r="I820" s="1"/>
  <c r="I818"/>
  <c r="K817"/>
  <c r="J817"/>
  <c r="I816"/>
  <c r="K815"/>
  <c r="J815"/>
  <c r="K814"/>
  <c r="K813" s="1"/>
  <c r="J814"/>
  <c r="I814"/>
  <c r="J813"/>
  <c r="J812" s="1"/>
  <c r="I813"/>
  <c r="I811"/>
  <c r="I810"/>
  <c r="K809"/>
  <c r="J809"/>
  <c r="I809"/>
  <c r="I808"/>
  <c r="I807"/>
  <c r="K806"/>
  <c r="J806"/>
  <c r="K805"/>
  <c r="J805"/>
  <c r="J803" s="1"/>
  <c r="I805"/>
  <c r="K804"/>
  <c r="J804"/>
  <c r="I804"/>
  <c r="I803" s="1"/>
  <c r="K803"/>
  <c r="K802" s="1"/>
  <c r="K800"/>
  <c r="J800"/>
  <c r="I800"/>
  <c r="I798" s="1"/>
  <c r="K799"/>
  <c r="K798" s="1"/>
  <c r="J799"/>
  <c r="I799"/>
  <c r="J798"/>
  <c r="J797" s="1"/>
  <c r="I792"/>
  <c r="K791"/>
  <c r="J791"/>
  <c r="J790" s="1"/>
  <c r="I791"/>
  <c r="I790" s="1"/>
  <c r="K790"/>
  <c r="K789" s="1"/>
  <c r="K788" s="1"/>
  <c r="I787"/>
  <c r="K786"/>
  <c r="J786"/>
  <c r="K785"/>
  <c r="K784" s="1"/>
  <c r="J785"/>
  <c r="J784" s="1"/>
  <c r="I785"/>
  <c r="I784" s="1"/>
  <c r="K782"/>
  <c r="K781" s="1"/>
  <c r="J782"/>
  <c r="J781" s="1"/>
  <c r="I782"/>
  <c r="I781"/>
  <c r="I780" s="1"/>
  <c r="K779"/>
  <c r="K778" s="1"/>
  <c r="J779"/>
  <c r="I779"/>
  <c r="I778" s="1"/>
  <c r="J778"/>
  <c r="J777" s="1"/>
  <c r="K776"/>
  <c r="J776"/>
  <c r="J775" s="1"/>
  <c r="I776"/>
  <c r="I775" s="1"/>
  <c r="K775"/>
  <c r="K774" s="1"/>
  <c r="I773"/>
  <c r="K772"/>
  <c r="J772"/>
  <c r="K771"/>
  <c r="J771"/>
  <c r="I771"/>
  <c r="K770"/>
  <c r="J770"/>
  <c r="I770"/>
  <c r="K769"/>
  <c r="J769"/>
  <c r="I769"/>
  <c r="K768"/>
  <c r="J768"/>
  <c r="I768"/>
  <c r="J767"/>
  <c r="I767"/>
  <c r="K765"/>
  <c r="J765"/>
  <c r="I765"/>
  <c r="I764" s="1"/>
  <c r="I763" s="1"/>
  <c r="K764"/>
  <c r="J764"/>
  <c r="J763"/>
  <c r="K760"/>
  <c r="J760"/>
  <c r="I760"/>
  <c r="J759"/>
  <c r="I759"/>
  <c r="I758" s="1"/>
  <c r="I754"/>
  <c r="I753"/>
  <c r="K752"/>
  <c r="J752"/>
  <c r="I752"/>
  <c r="J751"/>
  <c r="I751"/>
  <c r="I750"/>
  <c r="K749"/>
  <c r="J749"/>
  <c r="I749"/>
  <c r="K748"/>
  <c r="J748"/>
  <c r="I748"/>
  <c r="J747"/>
  <c r="I747"/>
  <c r="I746"/>
  <c r="K744"/>
  <c r="J744"/>
  <c r="I744"/>
  <c r="K743"/>
  <c r="J743"/>
  <c r="I743"/>
  <c r="I742"/>
  <c r="K738"/>
  <c r="J738"/>
  <c r="I738"/>
  <c r="K737"/>
  <c r="K736" s="1"/>
  <c r="J737"/>
  <c r="J736" s="1"/>
  <c r="K735"/>
  <c r="J735"/>
  <c r="I735"/>
  <c r="K734"/>
  <c r="J734"/>
  <c r="I734"/>
  <c r="K733"/>
  <c r="K732" s="1"/>
  <c r="K731"/>
  <c r="J731"/>
  <c r="I731"/>
  <c r="K730"/>
  <c r="K729" s="1"/>
  <c r="I730"/>
  <c r="J728"/>
  <c r="J727" s="1"/>
  <c r="I728"/>
  <c r="K727"/>
  <c r="I727"/>
  <c r="K726"/>
  <c r="I725"/>
  <c r="I724"/>
  <c r="K723"/>
  <c r="J723"/>
  <c r="I722"/>
  <c r="I721"/>
  <c r="K720"/>
  <c r="J720"/>
  <c r="I720"/>
  <c r="K719"/>
  <c r="J719"/>
  <c r="I719"/>
  <c r="I717" s="1"/>
  <c r="K718"/>
  <c r="K717" s="1"/>
  <c r="J718"/>
  <c r="I718"/>
  <c r="J717"/>
  <c r="J716" s="1"/>
  <c r="K714"/>
  <c r="J714"/>
  <c r="I714"/>
  <c r="K713"/>
  <c r="K712" s="1"/>
  <c r="J713"/>
  <c r="J712" s="1"/>
  <c r="I713"/>
  <c r="I712"/>
  <c r="I711" s="1"/>
  <c r="K706"/>
  <c r="J706"/>
  <c r="I706"/>
  <c r="K705"/>
  <c r="J705"/>
  <c r="I705"/>
  <c r="K704"/>
  <c r="J704"/>
  <c r="I704"/>
  <c r="K703"/>
  <c r="J703"/>
  <c r="I703"/>
  <c r="I702" s="1"/>
  <c r="K702"/>
  <c r="K701" s="1"/>
  <c r="K694"/>
  <c r="J694"/>
  <c r="I694"/>
  <c r="I693"/>
  <c r="I692" s="1"/>
  <c r="K692"/>
  <c r="J692"/>
  <c r="K690"/>
  <c r="J690"/>
  <c r="I690"/>
  <c r="I689"/>
  <c r="K688"/>
  <c r="K687" s="1"/>
  <c r="J688"/>
  <c r="I686"/>
  <c r="K685"/>
  <c r="K684" s="1"/>
  <c r="J685"/>
  <c r="J684"/>
  <c r="K681"/>
  <c r="K680" s="1"/>
  <c r="J681"/>
  <c r="I681"/>
  <c r="I680" s="1"/>
  <c r="I675"/>
  <c r="K674"/>
  <c r="J674"/>
  <c r="K673"/>
  <c r="J673"/>
  <c r="I673"/>
  <c r="K672"/>
  <c r="K671" s="1"/>
  <c r="J672"/>
  <c r="J671" s="1"/>
  <c r="I672"/>
  <c r="I671"/>
  <c r="I670"/>
  <c r="K669"/>
  <c r="J669"/>
  <c r="I669"/>
  <c r="K668"/>
  <c r="J668"/>
  <c r="I668"/>
  <c r="K667"/>
  <c r="K666"/>
  <c r="J666"/>
  <c r="I666"/>
  <c r="J665"/>
  <c r="I665"/>
  <c r="K664"/>
  <c r="J664"/>
  <c r="I664"/>
  <c r="I663"/>
  <c r="K661"/>
  <c r="J661"/>
  <c r="K660"/>
  <c r="K659" s="1"/>
  <c r="J660"/>
  <c r="J659" s="1"/>
  <c r="I660"/>
  <c r="K656"/>
  <c r="K653" s="1"/>
  <c r="J656"/>
  <c r="I655"/>
  <c r="I656" s="1"/>
  <c r="J653"/>
  <c r="J652" s="1"/>
  <c r="I649"/>
  <c r="K648"/>
  <c r="J648"/>
  <c r="I647"/>
  <c r="K646"/>
  <c r="J646"/>
  <c r="K645"/>
  <c r="K644" s="1"/>
  <c r="J645"/>
  <c r="J644" s="1"/>
  <c r="J643" s="1"/>
  <c r="I645"/>
  <c r="I644"/>
  <c r="K643"/>
  <c r="I642"/>
  <c r="K640"/>
  <c r="J640"/>
  <c r="I640"/>
  <c r="I639"/>
  <c r="K637"/>
  <c r="J637"/>
  <c r="I637"/>
  <c r="K636"/>
  <c r="J636"/>
  <c r="I636"/>
  <c r="I635" s="1"/>
  <c r="I634" s="1"/>
  <c r="K635"/>
  <c r="K630"/>
  <c r="K629" s="1"/>
  <c r="K628" s="1"/>
  <c r="K627" s="1"/>
  <c r="K626" s="1"/>
  <c r="J630"/>
  <c r="I630"/>
  <c r="I629"/>
  <c r="I628"/>
  <c r="I627" s="1"/>
  <c r="I626" s="1"/>
  <c r="I625"/>
  <c r="K624"/>
  <c r="J624"/>
  <c r="I623"/>
  <c r="K622"/>
  <c r="J622"/>
  <c r="K621"/>
  <c r="K620" s="1"/>
  <c r="J621"/>
  <c r="J620" s="1"/>
  <c r="I621"/>
  <c r="I620"/>
  <c r="K619"/>
  <c r="J619"/>
  <c r="I618"/>
  <c r="I619" s="1"/>
  <c r="I616" s="1"/>
  <c r="J616"/>
  <c r="K611"/>
  <c r="J611"/>
  <c r="I611"/>
  <c r="K610"/>
  <c r="J610"/>
  <c r="I610"/>
  <c r="I609" s="1"/>
  <c r="I608" s="1"/>
  <c r="K609"/>
  <c r="I607"/>
  <c r="I606" s="1"/>
  <c r="K605"/>
  <c r="J605"/>
  <c r="I605"/>
  <c r="I604" s="1"/>
  <c r="J604"/>
  <c r="J603"/>
  <c r="J602" s="1"/>
  <c r="I603"/>
  <c r="I602"/>
  <c r="K601"/>
  <c r="J601"/>
  <c r="I601"/>
  <c r="I600" s="1"/>
  <c r="K600"/>
  <c r="K599" s="1"/>
  <c r="K598" s="1"/>
  <c r="J600"/>
  <c r="J599" s="1"/>
  <c r="J598" s="1"/>
  <c r="J593" s="1"/>
  <c r="I597"/>
  <c r="K596"/>
  <c r="K595" s="1"/>
  <c r="K594" s="1"/>
  <c r="J596"/>
  <c r="I596"/>
  <c r="I595" s="1"/>
  <c r="I594" s="1"/>
  <c r="J595"/>
  <c r="J594"/>
  <c r="I592"/>
  <c r="I591"/>
  <c r="I589"/>
  <c r="K587"/>
  <c r="J587"/>
  <c r="I587"/>
  <c r="K585"/>
  <c r="I585"/>
  <c r="I584" s="1"/>
  <c r="K584"/>
  <c r="I583"/>
  <c r="I582"/>
  <c r="K581"/>
  <c r="J581"/>
  <c r="I580"/>
  <c r="K579"/>
  <c r="J579"/>
  <c r="I578"/>
  <c r="I577"/>
  <c r="K576"/>
  <c r="J576"/>
  <c r="K575"/>
  <c r="J575"/>
  <c r="I575"/>
  <c r="I574"/>
  <c r="I572" s="1"/>
  <c r="I571" s="1"/>
  <c r="K572"/>
  <c r="K571" s="1"/>
  <c r="K570" s="1"/>
  <c r="J572"/>
  <c r="J571"/>
  <c r="J570" s="1"/>
  <c r="K566"/>
  <c r="J566"/>
  <c r="J565" s="1"/>
  <c r="J564" s="1"/>
  <c r="J563" s="1"/>
  <c r="J562" s="1"/>
  <c r="I566"/>
  <c r="I565" s="1"/>
  <c r="I564" s="1"/>
  <c r="I563" s="1"/>
  <c r="I562" s="1"/>
  <c r="K565"/>
  <c r="K564" s="1"/>
  <c r="K563" s="1"/>
  <c r="K562" s="1"/>
  <c r="I561"/>
  <c r="K560"/>
  <c r="K558" s="1"/>
  <c r="K557" s="1"/>
  <c r="K556" s="1"/>
  <c r="J560"/>
  <c r="I560"/>
  <c r="K559"/>
  <c r="J559"/>
  <c r="J558"/>
  <c r="J557"/>
  <c r="J556" s="1"/>
  <c r="K555"/>
  <c r="J555"/>
  <c r="I555"/>
  <c r="K554"/>
  <c r="K553" s="1"/>
  <c r="K552" s="1"/>
  <c r="K551" s="1"/>
  <c r="J554"/>
  <c r="J553" s="1"/>
  <c r="J552" s="1"/>
  <c r="J551" s="1"/>
  <c r="J550" s="1"/>
  <c r="I554"/>
  <c r="I553"/>
  <c r="I552" s="1"/>
  <c r="I551" s="1"/>
  <c r="I550" s="1"/>
  <c r="K549"/>
  <c r="K548" s="1"/>
  <c r="K547" s="1"/>
  <c r="J549"/>
  <c r="J548" s="1"/>
  <c r="I549"/>
  <c r="I548"/>
  <c r="I547" s="1"/>
  <c r="I546" s="1"/>
  <c r="J547"/>
  <c r="K545"/>
  <c r="K542" s="1"/>
  <c r="J545"/>
  <c r="I544"/>
  <c r="I545" s="1"/>
  <c r="J542"/>
  <c r="J541"/>
  <c r="J539"/>
  <c r="J538" s="1"/>
  <c r="I539"/>
  <c r="K538"/>
  <c r="K537" s="1"/>
  <c r="I538"/>
  <c r="I537" s="1"/>
  <c r="K534"/>
  <c r="J533"/>
  <c r="J534" s="1"/>
  <c r="I533"/>
  <c r="I534" s="1"/>
  <c r="I531" s="1"/>
  <c r="I530" s="1"/>
  <c r="K531"/>
  <c r="K530" s="1"/>
  <c r="I527"/>
  <c r="I528" s="1"/>
  <c r="K525"/>
  <c r="K524"/>
  <c r="J524"/>
  <c r="I523"/>
  <c r="I522"/>
  <c r="I520"/>
  <c r="I524" s="1"/>
  <c r="J518"/>
  <c r="K517"/>
  <c r="J517"/>
  <c r="I516"/>
  <c r="I517" s="1"/>
  <c r="I515"/>
  <c r="K513"/>
  <c r="J513"/>
  <c r="I512"/>
  <c r="I511"/>
  <c r="K509"/>
  <c r="J509"/>
  <c r="J508" s="1"/>
  <c r="K508"/>
  <c r="I506"/>
  <c r="I505"/>
  <c r="K504"/>
  <c r="J504"/>
  <c r="I503"/>
  <c r="I502"/>
  <c r="K501"/>
  <c r="J501"/>
  <c r="I499"/>
  <c r="I498"/>
  <c r="I497"/>
  <c r="K496"/>
  <c r="J496"/>
  <c r="I495"/>
  <c r="K493"/>
  <c r="J493"/>
  <c r="I493"/>
  <c r="I492"/>
  <c r="K490"/>
  <c r="J490"/>
  <c r="I489"/>
  <c r="K487"/>
  <c r="J487"/>
  <c r="I486"/>
  <c r="K485"/>
  <c r="K484" s="1"/>
  <c r="K480"/>
  <c r="K479" s="1"/>
  <c r="J480"/>
  <c r="J479" s="1"/>
  <c r="I480"/>
  <c r="I478" s="1"/>
  <c r="I477" s="1"/>
  <c r="I479"/>
  <c r="K475"/>
  <c r="J475"/>
  <c r="I475"/>
  <c r="I474"/>
  <c r="K472"/>
  <c r="J472"/>
  <c r="K471"/>
  <c r="K470" s="1"/>
  <c r="J467"/>
  <c r="J466" s="1"/>
  <c r="I467"/>
  <c r="K466"/>
  <c r="K465" s="1"/>
  <c r="I466"/>
  <c r="I465" s="1"/>
  <c r="J464"/>
  <c r="J463" s="1"/>
  <c r="I464"/>
  <c r="I463" s="1"/>
  <c r="I462" s="1"/>
  <c r="K463"/>
  <c r="K462" s="1"/>
  <c r="K461" s="1"/>
  <c r="K460" s="1"/>
  <c r="K459"/>
  <c r="K456" s="1"/>
  <c r="K455" s="1"/>
  <c r="J459"/>
  <c r="J456" s="1"/>
  <c r="I458"/>
  <c r="I459" s="1"/>
  <c r="I454"/>
  <c r="I453"/>
  <c r="K452"/>
  <c r="J452"/>
  <c r="I451"/>
  <c r="I450"/>
  <c r="K449"/>
  <c r="J449"/>
  <c r="I449"/>
  <c r="I447"/>
  <c r="I446"/>
  <c r="I445"/>
  <c r="K444"/>
  <c r="J444"/>
  <c r="I443"/>
  <c r="K441"/>
  <c r="J441"/>
  <c r="I441"/>
  <c r="I440"/>
  <c r="K438"/>
  <c r="J438"/>
  <c r="J437" s="1"/>
  <c r="I438"/>
  <c r="I437" s="1"/>
  <c r="K429"/>
  <c r="K428" s="1"/>
  <c r="J429"/>
  <c r="J428" s="1"/>
  <c r="I429"/>
  <c r="I428" s="1"/>
  <c r="K422"/>
  <c r="K421" s="1"/>
  <c r="J422"/>
  <c r="J421" s="1"/>
  <c r="I422"/>
  <c r="I421" s="1"/>
  <c r="I420" s="1"/>
  <c r="I415"/>
  <c r="K414"/>
  <c r="J414"/>
  <c r="I413"/>
  <c r="K412"/>
  <c r="J412"/>
  <c r="K411"/>
  <c r="K410" s="1"/>
  <c r="J411"/>
  <c r="I411"/>
  <c r="J410"/>
  <c r="I410"/>
  <c r="K409"/>
  <c r="J409"/>
  <c r="I409"/>
  <c r="I408"/>
  <c r="K406"/>
  <c r="J406"/>
  <c r="K405"/>
  <c r="K404" s="1"/>
  <c r="J405"/>
  <c r="I405"/>
  <c r="J404"/>
  <c r="J403" s="1"/>
  <c r="K401"/>
  <c r="K400" s="1"/>
  <c r="J401"/>
  <c r="I401"/>
  <c r="J400"/>
  <c r="J399" s="1"/>
  <c r="I400"/>
  <c r="I399" s="1"/>
  <c r="I398" s="1"/>
  <c r="K392"/>
  <c r="K391" s="1"/>
  <c r="J392"/>
  <c r="J391" s="1"/>
  <c r="J390" s="1"/>
  <c r="I392"/>
  <c r="I391" s="1"/>
  <c r="I390" s="1"/>
  <c r="I389" s="1"/>
  <c r="K385"/>
  <c r="J385"/>
  <c r="K384"/>
  <c r="J384"/>
  <c r="I384"/>
  <c r="K383"/>
  <c r="J383"/>
  <c r="I383"/>
  <c r="K382"/>
  <c r="I382"/>
  <c r="I381"/>
  <c r="K380"/>
  <c r="J380"/>
  <c r="K379"/>
  <c r="K378" s="1"/>
  <c r="J379"/>
  <c r="I379"/>
  <c r="J378"/>
  <c r="I378"/>
  <c r="K375"/>
  <c r="K374" s="1"/>
  <c r="J375"/>
  <c r="I375"/>
  <c r="J374"/>
  <c r="J373" s="1"/>
  <c r="I374"/>
  <c r="I373" s="1"/>
  <c r="I372" s="1"/>
  <c r="K369"/>
  <c r="J369"/>
  <c r="I369"/>
  <c r="K368"/>
  <c r="I368"/>
  <c r="K367"/>
  <c r="K366" s="1"/>
  <c r="I364"/>
  <c r="K363"/>
  <c r="J363"/>
  <c r="I363"/>
  <c r="K362"/>
  <c r="J362"/>
  <c r="I362"/>
  <c r="K361"/>
  <c r="J361"/>
  <c r="K360"/>
  <c r="J360"/>
  <c r="I360"/>
  <c r="K359"/>
  <c r="J359"/>
  <c r="I359"/>
  <c r="K358"/>
  <c r="J358"/>
  <c r="I358"/>
  <c r="K357"/>
  <c r="K356" s="1"/>
  <c r="I350"/>
  <c r="K349"/>
  <c r="J349"/>
  <c r="K348"/>
  <c r="J348"/>
  <c r="I347"/>
  <c r="I348" s="1"/>
  <c r="K345"/>
  <c r="K344"/>
  <c r="J344"/>
  <c r="I344"/>
  <c r="I343" s="1"/>
  <c r="K343"/>
  <c r="J343"/>
  <c r="K342"/>
  <c r="J342"/>
  <c r="I341"/>
  <c r="I342" s="1"/>
  <c r="I340"/>
  <c r="K338"/>
  <c r="I337"/>
  <c r="K336"/>
  <c r="J336"/>
  <c r="I336"/>
  <c r="K335"/>
  <c r="J335"/>
  <c r="I334"/>
  <c r="K332"/>
  <c r="J332"/>
  <c r="I331"/>
  <c r="K330"/>
  <c r="J330"/>
  <c r="I330"/>
  <c r="I324"/>
  <c r="K323"/>
  <c r="K322" s="1"/>
  <c r="K321" s="1"/>
  <c r="K320" s="1"/>
  <c r="J323"/>
  <c r="I323"/>
  <c r="I322"/>
  <c r="J319"/>
  <c r="I319"/>
  <c r="I318" s="1"/>
  <c r="K318"/>
  <c r="K317" s="1"/>
  <c r="J318"/>
  <c r="J317"/>
  <c r="J316"/>
  <c r="K313"/>
  <c r="J313"/>
  <c r="I312"/>
  <c r="I313" s="1"/>
  <c r="J310"/>
  <c r="J309"/>
  <c r="K309" s="1"/>
  <c r="I309"/>
  <c r="K308"/>
  <c r="J306"/>
  <c r="I306"/>
  <c r="K303"/>
  <c r="J303"/>
  <c r="J300" s="1"/>
  <c r="I303"/>
  <c r="I300"/>
  <c r="J295"/>
  <c r="K294"/>
  <c r="I294"/>
  <c r="K293"/>
  <c r="K290" s="1"/>
  <c r="J293"/>
  <c r="I292"/>
  <c r="I293" s="1"/>
  <c r="J290"/>
  <c r="I286"/>
  <c r="I285" s="1"/>
  <c r="K285"/>
  <c r="J285"/>
  <c r="I284"/>
  <c r="K283"/>
  <c r="J283"/>
  <c r="J282"/>
  <c r="J281" s="1"/>
  <c r="I282"/>
  <c r="I281" s="1"/>
  <c r="K281"/>
  <c r="K280"/>
  <c r="K277"/>
  <c r="J277"/>
  <c r="J274" s="1"/>
  <c r="J273" s="1"/>
  <c r="I276"/>
  <c r="K274"/>
  <c r="I268"/>
  <c r="K267"/>
  <c r="J267"/>
  <c r="I267"/>
  <c r="I266"/>
  <c r="K265"/>
  <c r="K264" s="1"/>
  <c r="J265"/>
  <c r="I265"/>
  <c r="I264" s="1"/>
  <c r="I262"/>
  <c r="K261"/>
  <c r="J261"/>
  <c r="K260"/>
  <c r="J260"/>
  <c r="I259"/>
  <c r="K258"/>
  <c r="J258"/>
  <c r="I257"/>
  <c r="K256"/>
  <c r="J256"/>
  <c r="I255"/>
  <c r="K254"/>
  <c r="J254"/>
  <c r="K253"/>
  <c r="K252" s="1"/>
  <c r="J253"/>
  <c r="I253"/>
  <c r="I252" s="1"/>
  <c r="K251"/>
  <c r="J251"/>
  <c r="I251"/>
  <c r="K250"/>
  <c r="J250"/>
  <c r="I250"/>
  <c r="K249"/>
  <c r="K248" s="1"/>
  <c r="J249"/>
  <c r="I249"/>
  <c r="I248"/>
  <c r="I245"/>
  <c r="K244"/>
  <c r="J244"/>
  <c r="I243"/>
  <c r="K242"/>
  <c r="J242"/>
  <c r="I241"/>
  <c r="K240"/>
  <c r="J240"/>
  <c r="J239" s="1"/>
  <c r="K236"/>
  <c r="J236"/>
  <c r="I236"/>
  <c r="I235" s="1"/>
  <c r="I234" s="1"/>
  <c r="J235"/>
  <c r="K233"/>
  <c r="J233"/>
  <c r="I233"/>
  <c r="I232" s="1"/>
  <c r="K232"/>
  <c r="J232"/>
  <c r="K231"/>
  <c r="K230" s="1"/>
  <c r="J231"/>
  <c r="I231"/>
  <c r="I230"/>
  <c r="K229"/>
  <c r="J229"/>
  <c r="I229"/>
  <c r="K228"/>
  <c r="J228"/>
  <c r="I228"/>
  <c r="J227"/>
  <c r="I227"/>
  <c r="K219"/>
  <c r="J219"/>
  <c r="I219"/>
  <c r="J218"/>
  <c r="I218"/>
  <c r="I217" s="1"/>
  <c r="K216"/>
  <c r="J216"/>
  <c r="I216"/>
  <c r="I215" s="1"/>
  <c r="K215"/>
  <c r="J215"/>
  <c r="J214"/>
  <c r="K210"/>
  <c r="J210"/>
  <c r="I210"/>
  <c r="K209"/>
  <c r="K208" s="1"/>
  <c r="K207" s="1"/>
  <c r="I209"/>
  <c r="K203"/>
  <c r="J203"/>
  <c r="I203"/>
  <c r="J202"/>
  <c r="I202"/>
  <c r="I201" s="1"/>
  <c r="K196"/>
  <c r="J196"/>
  <c r="I196"/>
  <c r="I195" s="1"/>
  <c r="I194" s="1"/>
  <c r="I193" s="1"/>
  <c r="I192" s="1"/>
  <c r="I191" s="1"/>
  <c r="I190" s="1"/>
  <c r="K195"/>
  <c r="J195"/>
  <c r="J194"/>
  <c r="J193" s="1"/>
  <c r="J192" s="1"/>
  <c r="J191" s="1"/>
  <c r="J190" s="1"/>
  <c r="K189"/>
  <c r="J189"/>
  <c r="I189"/>
  <c r="I187" s="1"/>
  <c r="K188"/>
  <c r="J188"/>
  <c r="I188"/>
  <c r="J187"/>
  <c r="J186" s="1"/>
  <c r="K185"/>
  <c r="J185"/>
  <c r="J184" s="1"/>
  <c r="J183" s="1"/>
  <c r="I185"/>
  <c r="I184" s="1"/>
  <c r="I183" s="1"/>
  <c r="K184"/>
  <c r="K183"/>
  <c r="K181"/>
  <c r="J181"/>
  <c r="I181"/>
  <c r="I180" s="1"/>
  <c r="I179" s="1"/>
  <c r="K180"/>
  <c r="J180"/>
  <c r="K179"/>
  <c r="J179"/>
  <c r="K178"/>
  <c r="J178"/>
  <c r="J176" s="1"/>
  <c r="I178"/>
  <c r="K177"/>
  <c r="K176" s="1"/>
  <c r="K175" s="1"/>
  <c r="J177"/>
  <c r="I177"/>
  <c r="I176" s="1"/>
  <c r="I175" s="1"/>
  <c r="K174"/>
  <c r="K173" s="1"/>
  <c r="J174"/>
  <c r="J173" s="1"/>
  <c r="J172" s="1"/>
  <c r="I174"/>
  <c r="I173"/>
  <c r="I172" s="1"/>
  <c r="I171" s="1"/>
  <c r="K172"/>
  <c r="I167"/>
  <c r="K166"/>
  <c r="J166"/>
  <c r="J165" s="1"/>
  <c r="J164" s="1"/>
  <c r="J163" s="1"/>
  <c r="I166"/>
  <c r="K165"/>
  <c r="K164" s="1"/>
  <c r="K163" s="1"/>
  <c r="I162"/>
  <c r="K161"/>
  <c r="J161"/>
  <c r="I161"/>
  <c r="K160"/>
  <c r="J160"/>
  <c r="J159" s="1"/>
  <c r="I160"/>
  <c r="K159"/>
  <c r="I159"/>
  <c r="K158"/>
  <c r="J158"/>
  <c r="I158"/>
  <c r="K157"/>
  <c r="J157"/>
  <c r="I157"/>
  <c r="K156"/>
  <c r="J156"/>
  <c r="I156"/>
  <c r="J155"/>
  <c r="K152"/>
  <c r="J152"/>
  <c r="I152"/>
  <c r="I151" s="1"/>
  <c r="I150" s="1"/>
  <c r="I149" s="1"/>
  <c r="I148" s="1"/>
  <c r="J151"/>
  <c r="J150" s="1"/>
  <c r="J149" s="1"/>
  <c r="J148" s="1"/>
  <c r="K147"/>
  <c r="K146" s="1"/>
  <c r="K145" s="1"/>
  <c r="J147"/>
  <c r="I147"/>
  <c r="I146"/>
  <c r="I145"/>
  <c r="I144" s="1"/>
  <c r="K143"/>
  <c r="K141" s="1"/>
  <c r="J143"/>
  <c r="I143"/>
  <c r="K142"/>
  <c r="J142"/>
  <c r="J141" s="1"/>
  <c r="J140" s="1"/>
  <c r="I142"/>
  <c r="I141"/>
  <c r="I140" s="1"/>
  <c r="K140"/>
  <c r="K139"/>
  <c r="K137" s="1"/>
  <c r="K136" s="1"/>
  <c r="J139"/>
  <c r="I139"/>
  <c r="K138"/>
  <c r="J138"/>
  <c r="I138"/>
  <c r="I137"/>
  <c r="I136" s="1"/>
  <c r="K135"/>
  <c r="K134" s="1"/>
  <c r="K133" s="1"/>
  <c r="J135"/>
  <c r="I135"/>
  <c r="J134"/>
  <c r="J133" s="1"/>
  <c r="I134"/>
  <c r="I133" s="1"/>
  <c r="K131"/>
  <c r="K130" s="1"/>
  <c r="K129" s="1"/>
  <c r="J131"/>
  <c r="I131"/>
  <c r="J130"/>
  <c r="J129" s="1"/>
  <c r="I130"/>
  <c r="I129" s="1"/>
  <c r="K128"/>
  <c r="J128"/>
  <c r="I128"/>
  <c r="I127" s="1"/>
  <c r="I126" s="1"/>
  <c r="K127"/>
  <c r="K126" s="1"/>
  <c r="J127"/>
  <c r="K125"/>
  <c r="J125"/>
  <c r="I125"/>
  <c r="I124" s="1"/>
  <c r="I123" s="1"/>
  <c r="K124"/>
  <c r="K123" s="1"/>
  <c r="K122" s="1"/>
  <c r="J124"/>
  <c r="J123"/>
  <c r="I120"/>
  <c r="K119"/>
  <c r="J119"/>
  <c r="K118"/>
  <c r="J118"/>
  <c r="I118"/>
  <c r="K117"/>
  <c r="J117"/>
  <c r="I117"/>
  <c r="K116"/>
  <c r="K115" s="1"/>
  <c r="J116"/>
  <c r="I116"/>
  <c r="J115"/>
  <c r="I115"/>
  <c r="K113"/>
  <c r="J113"/>
  <c r="I113"/>
  <c r="I112" s="1"/>
  <c r="I111" s="1"/>
  <c r="K112"/>
  <c r="J112"/>
  <c r="J111"/>
  <c r="K110"/>
  <c r="J110"/>
  <c r="J109" s="1"/>
  <c r="I110"/>
  <c r="K109"/>
  <c r="K108" s="1"/>
  <c r="K107"/>
  <c r="J107"/>
  <c r="I107"/>
  <c r="I106" s="1"/>
  <c r="K106"/>
  <c r="K105"/>
  <c r="K103"/>
  <c r="J103"/>
  <c r="I103"/>
  <c r="K102"/>
  <c r="I102"/>
  <c r="K101"/>
  <c r="K100"/>
  <c r="K99" s="1"/>
  <c r="J100"/>
  <c r="I100"/>
  <c r="J99"/>
  <c r="J98" s="1"/>
  <c r="I99"/>
  <c r="I98"/>
  <c r="K95"/>
  <c r="J95"/>
  <c r="J94" s="1"/>
  <c r="I95"/>
  <c r="K94"/>
  <c r="I94"/>
  <c r="K93"/>
  <c r="K92" s="1"/>
  <c r="K90"/>
  <c r="J90"/>
  <c r="I90"/>
  <c r="I89" s="1"/>
  <c r="K89"/>
  <c r="J89"/>
  <c r="K88"/>
  <c r="K87" s="1"/>
  <c r="J88"/>
  <c r="I88"/>
  <c r="J87"/>
  <c r="J86" s="1"/>
  <c r="I87"/>
  <c r="K82"/>
  <c r="J82"/>
  <c r="I82"/>
  <c r="I81" s="1"/>
  <c r="K81"/>
  <c r="K80" s="1"/>
  <c r="K79" s="1"/>
  <c r="J81"/>
  <c r="J80"/>
  <c r="J79"/>
  <c r="I77"/>
  <c r="K76"/>
  <c r="J76"/>
  <c r="I76"/>
  <c r="K75"/>
  <c r="J75"/>
  <c r="I75"/>
  <c r="K74"/>
  <c r="J74"/>
  <c r="I74"/>
  <c r="K73"/>
  <c r="J73"/>
  <c r="I73"/>
  <c r="K72"/>
  <c r="J72"/>
  <c r="I72"/>
  <c r="I71" s="1"/>
  <c r="K71"/>
  <c r="K70"/>
  <c r="K69" s="1"/>
  <c r="J70"/>
  <c r="I70"/>
  <c r="I69" s="1"/>
  <c r="J69"/>
  <c r="K68"/>
  <c r="J68"/>
  <c r="I68"/>
  <c r="K67"/>
  <c r="J67"/>
  <c r="I67"/>
  <c r="K66"/>
  <c r="J66"/>
  <c r="I66"/>
  <c r="J65"/>
  <c r="I61"/>
  <c r="K60"/>
  <c r="J60"/>
  <c r="K59"/>
  <c r="K58" s="1"/>
  <c r="J59"/>
  <c r="I59"/>
  <c r="I58"/>
  <c r="K57"/>
  <c r="J57"/>
  <c r="J56" s="1"/>
  <c r="I57"/>
  <c r="K56"/>
  <c r="I56"/>
  <c r="K49"/>
  <c r="J49"/>
  <c r="J48" s="1"/>
  <c r="J47" s="1"/>
  <c r="J46" s="1"/>
  <c r="J45" s="1"/>
  <c r="I49"/>
  <c r="I48" s="1"/>
  <c r="K48"/>
  <c r="K47"/>
  <c r="K46" s="1"/>
  <c r="K44"/>
  <c r="J44"/>
  <c r="I44"/>
  <c r="K43"/>
  <c r="K42" s="1"/>
  <c r="J43"/>
  <c r="I43"/>
  <c r="J42"/>
  <c r="I42"/>
  <c r="I41" s="1"/>
  <c r="I40" s="1"/>
  <c r="K38"/>
  <c r="J38"/>
  <c r="J37" s="1"/>
  <c r="I38"/>
  <c r="K37"/>
  <c r="I37"/>
  <c r="I36" s="1"/>
  <c r="K36"/>
  <c r="K35"/>
  <c r="K34" s="1"/>
  <c r="I33"/>
  <c r="K32"/>
  <c r="J32"/>
  <c r="I32"/>
  <c r="K31"/>
  <c r="J31"/>
  <c r="I31"/>
  <c r="K30"/>
  <c r="J30"/>
  <c r="K29"/>
  <c r="K28" s="1"/>
  <c r="J29"/>
  <c r="I29"/>
  <c r="J28"/>
  <c r="J27" s="1"/>
  <c r="I28"/>
  <c r="I26"/>
  <c r="K25"/>
  <c r="J25"/>
  <c r="I25"/>
  <c r="K24"/>
  <c r="J24"/>
  <c r="I24"/>
  <c r="K23"/>
  <c r="J23"/>
  <c r="I23"/>
  <c r="K22"/>
  <c r="J22"/>
  <c r="J21" s="1"/>
  <c r="I22"/>
  <c r="K21"/>
  <c r="I21"/>
  <c r="I19"/>
  <c r="K18"/>
  <c r="J18"/>
  <c r="I17"/>
  <c r="K16"/>
  <c r="J16"/>
  <c r="K15"/>
  <c r="K14" s="1"/>
  <c r="J15"/>
  <c r="I15"/>
  <c r="I14" s="1"/>
  <c r="J14"/>
  <c r="K13"/>
  <c r="J13"/>
  <c r="I13"/>
  <c r="K12"/>
  <c r="J12"/>
  <c r="I12"/>
  <c r="K11"/>
  <c r="K10" s="1"/>
  <c r="J11"/>
  <c r="I11"/>
  <c r="J10"/>
  <c r="J9" s="1"/>
  <c r="K113" i="10" l="1"/>
  <c r="J182" i="16"/>
  <c r="J154"/>
  <c r="J153" s="1"/>
  <c r="K1812"/>
  <c r="I1861"/>
  <c r="K1269"/>
  <c r="K1268" s="1"/>
  <c r="K437"/>
  <c r="J702"/>
  <c r="J832"/>
  <c r="K1677"/>
  <c r="I1738"/>
  <c r="I1772"/>
  <c r="I1805"/>
  <c r="K20"/>
  <c r="J635"/>
  <c r="J634" s="1"/>
  <c r="J633" s="1"/>
  <c r="J632" s="1"/>
  <c r="K1396"/>
  <c r="K1395" s="1"/>
  <c r="I444"/>
  <c r="I1301"/>
  <c r="I1405"/>
  <c r="I1401" s="1"/>
  <c r="I1633"/>
  <c r="I1746"/>
  <c r="P1746" s="1"/>
  <c r="P3063" s="1"/>
  <c r="I1797"/>
  <c r="J471"/>
  <c r="J485"/>
  <c r="I806"/>
  <c r="K1419"/>
  <c r="J1458"/>
  <c r="J1457" s="1"/>
  <c r="J1456" s="1"/>
  <c r="J1455" s="1"/>
  <c r="J1772"/>
  <c r="I47"/>
  <c r="K9"/>
  <c r="I35"/>
  <c r="J36"/>
  <c r="K45"/>
  <c r="K78"/>
  <c r="I86"/>
  <c r="K98"/>
  <c r="K41"/>
  <c r="I80"/>
  <c r="J108"/>
  <c r="K114"/>
  <c r="J85"/>
  <c r="K86"/>
  <c r="J93"/>
  <c r="I214"/>
  <c r="J280"/>
  <c r="I317"/>
  <c r="J372"/>
  <c r="K373"/>
  <c r="J398"/>
  <c r="K399"/>
  <c r="J427"/>
  <c r="K436"/>
  <c r="I461"/>
  <c r="J465"/>
  <c r="I476"/>
  <c r="J507"/>
  <c r="K536"/>
  <c r="J537"/>
  <c r="I65"/>
  <c r="J20"/>
  <c r="K27"/>
  <c r="I60"/>
  <c r="J71"/>
  <c r="I119"/>
  <c r="J137"/>
  <c r="K144"/>
  <c r="J146"/>
  <c r="I200"/>
  <c r="K247"/>
  <c r="K263"/>
  <c r="J299"/>
  <c r="I310"/>
  <c r="I427"/>
  <c r="I456"/>
  <c r="K469"/>
  <c r="I518"/>
  <c r="I525"/>
  <c r="I536"/>
  <c r="I10"/>
  <c r="I16"/>
  <c r="I18"/>
  <c r="I20"/>
  <c r="I30"/>
  <c r="J41"/>
  <c r="K55"/>
  <c r="J58"/>
  <c r="K65"/>
  <c r="J78"/>
  <c r="K91"/>
  <c r="I93"/>
  <c r="I101"/>
  <c r="J102"/>
  <c r="I105"/>
  <c r="J106"/>
  <c r="I109"/>
  <c r="K111"/>
  <c r="J114"/>
  <c r="I122"/>
  <c r="J126"/>
  <c r="K132"/>
  <c r="I132"/>
  <c r="K151"/>
  <c r="K155"/>
  <c r="I155"/>
  <c r="K171"/>
  <c r="J175"/>
  <c r="I186"/>
  <c r="I165"/>
  <c r="K194"/>
  <c r="I226"/>
  <c r="K289"/>
  <c r="I338"/>
  <c r="K377"/>
  <c r="I388"/>
  <c r="I419"/>
  <c r="K420"/>
  <c r="J455"/>
  <c r="J484"/>
  <c r="I542"/>
  <c r="I290"/>
  <c r="I345"/>
  <c r="J389"/>
  <c r="K390"/>
  <c r="I397"/>
  <c r="J402"/>
  <c r="K403"/>
  <c r="J420"/>
  <c r="K427"/>
  <c r="J436"/>
  <c r="J462"/>
  <c r="J470"/>
  <c r="I513"/>
  <c r="K529"/>
  <c r="J531"/>
  <c r="K121"/>
  <c r="K187"/>
  <c r="I579"/>
  <c r="K679"/>
  <c r="I777"/>
  <c r="I789"/>
  <c r="J796"/>
  <c r="K797"/>
  <c r="J802"/>
  <c r="J819"/>
  <c r="J831"/>
  <c r="I240"/>
  <c r="I242"/>
  <c r="I244"/>
  <c r="I254"/>
  <c r="I256"/>
  <c r="I258"/>
  <c r="I247" s="1"/>
  <c r="I283"/>
  <c r="J294"/>
  <c r="K300"/>
  <c r="I349"/>
  <c r="J357"/>
  <c r="K478"/>
  <c r="I496"/>
  <c r="K546"/>
  <c r="I559"/>
  <c r="I576"/>
  <c r="I599"/>
  <c r="K608"/>
  <c r="K616"/>
  <c r="I701"/>
  <c r="J701"/>
  <c r="I710"/>
  <c r="K711"/>
  <c r="J726"/>
  <c r="J774"/>
  <c r="K780"/>
  <c r="K783"/>
  <c r="I797"/>
  <c r="J201"/>
  <c r="K202"/>
  <c r="K206"/>
  <c r="I208"/>
  <c r="J209"/>
  <c r="K214"/>
  <c r="J217"/>
  <c r="K218"/>
  <c r="K227"/>
  <c r="J230"/>
  <c r="J226" s="1"/>
  <c r="J234"/>
  <c r="K235"/>
  <c r="J238"/>
  <c r="K239"/>
  <c r="J248"/>
  <c r="J252"/>
  <c r="I261"/>
  <c r="I263"/>
  <c r="J264"/>
  <c r="J272"/>
  <c r="K273"/>
  <c r="I277"/>
  <c r="K279"/>
  <c r="J289"/>
  <c r="I299"/>
  <c r="J305"/>
  <c r="K306"/>
  <c r="K310"/>
  <c r="J315"/>
  <c r="K316"/>
  <c r="I321"/>
  <c r="J322"/>
  <c r="K329"/>
  <c r="I335"/>
  <c r="J338"/>
  <c r="J345"/>
  <c r="K355"/>
  <c r="I357"/>
  <c r="I361"/>
  <c r="K365"/>
  <c r="I367"/>
  <c r="J368"/>
  <c r="I371"/>
  <c r="J382"/>
  <c r="J478"/>
  <c r="I487"/>
  <c r="I504"/>
  <c r="K518"/>
  <c r="I529"/>
  <c r="J540"/>
  <c r="K541"/>
  <c r="J546"/>
  <c r="K569"/>
  <c r="J609"/>
  <c r="J615"/>
  <c r="K634"/>
  <c r="J585"/>
  <c r="J584" s="1"/>
  <c r="J651"/>
  <c r="K652"/>
  <c r="J711"/>
  <c r="I774"/>
  <c r="K777"/>
  <c r="J780"/>
  <c r="J783"/>
  <c r="I845"/>
  <c r="I380"/>
  <c r="I406"/>
  <c r="I412"/>
  <c r="I414"/>
  <c r="I452"/>
  <c r="I472"/>
  <c r="I490"/>
  <c r="I501"/>
  <c r="I509"/>
  <c r="K550"/>
  <c r="I581"/>
  <c r="I653"/>
  <c r="K700"/>
  <c r="K716"/>
  <c r="J789"/>
  <c r="I802"/>
  <c r="K812"/>
  <c r="K819"/>
  <c r="I824"/>
  <c r="K831"/>
  <c r="I850"/>
  <c r="K604"/>
  <c r="J629"/>
  <c r="I1171"/>
  <c r="I1220"/>
  <c r="I1297"/>
  <c r="I1302"/>
  <c r="I622"/>
  <c r="I624"/>
  <c r="I646"/>
  <c r="I648"/>
  <c r="J667"/>
  <c r="J658" s="1"/>
  <c r="J687"/>
  <c r="J733"/>
  <c r="K742"/>
  <c r="I772"/>
  <c r="I786"/>
  <c r="K889"/>
  <c r="I895"/>
  <c r="I897"/>
  <c r="K926"/>
  <c r="J929"/>
  <c r="K936"/>
  <c r="J939"/>
  <c r="I942"/>
  <c r="K948"/>
  <c r="J951"/>
  <c r="I954"/>
  <c r="K964"/>
  <c r="J967"/>
  <c r="I970"/>
  <c r="K1036"/>
  <c r="J1038"/>
  <c r="J1048"/>
  <c r="K1056"/>
  <c r="K1065"/>
  <c r="K1093"/>
  <c r="J1093"/>
  <c r="J1111"/>
  <c r="I1190"/>
  <c r="J1233"/>
  <c r="I1281"/>
  <c r="I1279"/>
  <c r="I661"/>
  <c r="K665"/>
  <c r="I667"/>
  <c r="J680"/>
  <c r="I685"/>
  <c r="I726"/>
  <c r="I729"/>
  <c r="J730"/>
  <c r="I733"/>
  <c r="I737"/>
  <c r="I741"/>
  <c r="J742"/>
  <c r="I745"/>
  <c r="J746"/>
  <c r="K747"/>
  <c r="J750"/>
  <c r="K751"/>
  <c r="I757"/>
  <c r="J758"/>
  <c r="K759"/>
  <c r="K763"/>
  <c r="J766"/>
  <c r="K767"/>
  <c r="I822"/>
  <c r="J841"/>
  <c r="K842"/>
  <c r="J845"/>
  <c r="J855"/>
  <c r="K856"/>
  <c r="I858"/>
  <c r="J859"/>
  <c r="I862"/>
  <c r="J865"/>
  <c r="K866"/>
  <c r="I868"/>
  <c r="K870"/>
  <c r="I872"/>
  <c r="J873"/>
  <c r="I876"/>
  <c r="J877"/>
  <c r="K878"/>
  <c r="I880"/>
  <c r="J881"/>
  <c r="I888"/>
  <c r="J889"/>
  <c r="J893"/>
  <c r="I900"/>
  <c r="J906"/>
  <c r="K907"/>
  <c r="I909"/>
  <c r="I913"/>
  <c r="J914"/>
  <c r="K915"/>
  <c r="K923"/>
  <c r="J926"/>
  <c r="I929"/>
  <c r="J936"/>
  <c r="I939"/>
  <c r="K945"/>
  <c r="J948"/>
  <c r="I951"/>
  <c r="K957"/>
  <c r="J960"/>
  <c r="J964"/>
  <c r="I975"/>
  <c r="K977"/>
  <c r="I983"/>
  <c r="K985"/>
  <c r="I989"/>
  <c r="K991"/>
  <c r="J997"/>
  <c r="J1001"/>
  <c r="J1007"/>
  <c r="K1011"/>
  <c r="I1022"/>
  <c r="J1030"/>
  <c r="J1029" s="1"/>
  <c r="I1036"/>
  <c r="K1045"/>
  <c r="I1048"/>
  <c r="J1062"/>
  <c r="J1055" s="1"/>
  <c r="J1065"/>
  <c r="I1065"/>
  <c r="K1076"/>
  <c r="K1085"/>
  <c r="J1087"/>
  <c r="K1104"/>
  <c r="I1107"/>
  <c r="J1115"/>
  <c r="I1184"/>
  <c r="I1406"/>
  <c r="I674"/>
  <c r="I688"/>
  <c r="I723"/>
  <c r="I815"/>
  <c r="I817"/>
  <c r="I829"/>
  <c r="I838"/>
  <c r="I1062"/>
  <c r="K1029"/>
  <c r="I1215"/>
  <c r="K1262"/>
  <c r="I1270"/>
  <c r="J1288"/>
  <c r="I1381"/>
  <c r="I1522"/>
  <c r="I1537"/>
  <c r="I1629"/>
  <c r="I1069"/>
  <c r="I1080"/>
  <c r="I1082"/>
  <c r="I1096"/>
  <c r="I1098"/>
  <c r="I1128"/>
  <c r="I1140"/>
  <c r="I1148"/>
  <c r="K1154"/>
  <c r="I1177"/>
  <c r="I1183"/>
  <c r="I1227"/>
  <c r="K1244"/>
  <c r="I1250"/>
  <c r="I1243" s="1"/>
  <c r="I1253"/>
  <c r="J1279"/>
  <c r="I1324"/>
  <c r="J1332"/>
  <c r="I1343"/>
  <c r="I1345"/>
  <c r="I1361"/>
  <c r="I1363"/>
  <c r="K1394"/>
  <c r="J1396"/>
  <c r="I1413"/>
  <c r="K1418"/>
  <c r="J1420"/>
  <c r="K1426"/>
  <c r="J1428"/>
  <c r="I1432"/>
  <c r="J1438"/>
  <c r="I1445"/>
  <c r="I1489"/>
  <c r="I1506"/>
  <c r="P1586"/>
  <c r="I1583"/>
  <c r="K1634"/>
  <c r="J1118"/>
  <c r="K1119"/>
  <c r="I1121"/>
  <c r="I1123"/>
  <c r="K1127"/>
  <c r="J1134"/>
  <c r="I1137"/>
  <c r="K1147"/>
  <c r="J1154"/>
  <c r="I1157"/>
  <c r="J1166"/>
  <c r="K1167"/>
  <c r="I1169"/>
  <c r="K1171"/>
  <c r="J1175"/>
  <c r="K1176"/>
  <c r="J1181"/>
  <c r="K1188"/>
  <c r="K1194"/>
  <c r="I1196"/>
  <c r="K1200"/>
  <c r="I1202"/>
  <c r="J1203"/>
  <c r="K1208"/>
  <c r="J1211"/>
  <c r="J1215"/>
  <c r="J1225"/>
  <c r="K1226"/>
  <c r="I1234"/>
  <c r="K1236"/>
  <c r="J1244"/>
  <c r="J1248"/>
  <c r="I1261"/>
  <c r="J1262"/>
  <c r="K1267"/>
  <c r="J1270"/>
  <c r="K1277"/>
  <c r="J1280"/>
  <c r="K1281"/>
  <c r="I1289"/>
  <c r="K1302"/>
  <c r="I1307"/>
  <c r="J1308"/>
  <c r="K1315"/>
  <c r="J1318"/>
  <c r="J1322"/>
  <c r="K1323"/>
  <c r="I1332"/>
  <c r="I1336"/>
  <c r="K1338"/>
  <c r="J1341"/>
  <c r="I1348"/>
  <c r="K1350"/>
  <c r="J1353"/>
  <c r="I1356"/>
  <c r="J1359"/>
  <c r="K1360"/>
  <c r="J1367"/>
  <c r="I1370"/>
  <c r="K1372"/>
  <c r="I1374"/>
  <c r="I1376"/>
  <c r="J1377"/>
  <c r="K1383"/>
  <c r="K1389"/>
  <c r="I1419"/>
  <c r="K1457"/>
  <c r="K1466"/>
  <c r="J1468"/>
  <c r="I1452"/>
  <c r="I1475"/>
  <c r="I1510"/>
  <c r="J1629"/>
  <c r="K1441"/>
  <c r="I1500"/>
  <c r="I1530"/>
  <c r="I1573"/>
  <c r="I1595"/>
  <c r="I1603"/>
  <c r="I1613"/>
  <c r="I1622"/>
  <c r="I1208"/>
  <c r="I1315"/>
  <c r="K1332"/>
  <c r="I1635"/>
  <c r="K1656"/>
  <c r="I1734"/>
  <c r="I1750"/>
  <c r="I1976" s="1"/>
  <c r="J1749"/>
  <c r="J1768"/>
  <c r="I1773"/>
  <c r="I1784"/>
  <c r="J1800"/>
  <c r="J1798"/>
  <c r="K1811"/>
  <c r="I1813"/>
  <c r="J1814"/>
  <c r="K1825"/>
  <c r="I1461"/>
  <c r="I1463"/>
  <c r="K1500"/>
  <c r="J1505"/>
  <c r="I1516"/>
  <c r="I1518"/>
  <c r="I1520"/>
  <c r="I1546"/>
  <c r="J1587"/>
  <c r="K1633"/>
  <c r="I1641"/>
  <c r="J1650"/>
  <c r="J1665"/>
  <c r="J1676"/>
  <c r="K1715"/>
  <c r="K1723"/>
  <c r="I1730"/>
  <c r="I1768"/>
  <c r="I1792"/>
  <c r="I1800"/>
  <c r="I1798"/>
  <c r="I1806"/>
  <c r="J1494"/>
  <c r="J1506"/>
  <c r="J1514"/>
  <c r="J1526"/>
  <c r="J1530"/>
  <c r="I1535"/>
  <c r="K1537"/>
  <c r="I1541"/>
  <c r="J1544"/>
  <c r="K1545"/>
  <c r="J1550"/>
  <c r="K1551"/>
  <c r="I1553"/>
  <c r="J1558"/>
  <c r="K1559"/>
  <c r="I1561"/>
  <c r="K1565"/>
  <c r="I1567"/>
  <c r="K1577"/>
  <c r="J1580"/>
  <c r="K1581"/>
  <c r="I1587"/>
  <c r="K1599"/>
  <c r="I1601"/>
  <c r="I1609"/>
  <c r="I1611"/>
  <c r="K1613"/>
  <c r="K1619"/>
  <c r="J1622"/>
  <c r="J1646"/>
  <c r="I1717"/>
  <c r="I1819"/>
  <c r="J1635"/>
  <c r="I1693"/>
  <c r="I1702"/>
  <c r="J1759"/>
  <c r="J1824"/>
  <c r="I1828"/>
  <c r="K1493"/>
  <c r="J1534"/>
  <c r="K1587"/>
  <c r="K1646"/>
  <c r="K1690"/>
  <c r="I1739"/>
  <c r="K1750"/>
  <c r="I1763"/>
  <c r="J1764"/>
  <c r="I1767"/>
  <c r="J1784"/>
  <c r="J1836"/>
  <c r="K1837"/>
  <c r="I1839"/>
  <c r="I1843"/>
  <c r="J1844"/>
  <c r="I1847"/>
  <c r="I1851"/>
  <c r="I1853"/>
  <c r="J1854"/>
  <c r="I1857"/>
  <c r="J1858"/>
  <c r="I1872"/>
  <c r="K1874"/>
  <c r="J1877"/>
  <c r="K1878"/>
  <c r="J1892"/>
  <c r="K1893"/>
  <c r="K1897"/>
  <c r="I1899"/>
  <c r="I1901"/>
  <c r="I1652"/>
  <c r="I1658"/>
  <c r="J1659"/>
  <c r="I1666"/>
  <c r="K1668"/>
  <c r="K1664" s="1"/>
  <c r="K1683"/>
  <c r="I1685"/>
  <c r="I1687"/>
  <c r="J1690"/>
  <c r="K1701"/>
  <c r="J1706"/>
  <c r="J1700" s="1"/>
  <c r="K1709"/>
  <c r="I1711"/>
  <c r="J1716"/>
  <c r="J1734"/>
  <c r="K1791"/>
  <c r="I1885"/>
  <c r="K1763"/>
  <c r="K1764"/>
  <c r="K1790" l="1"/>
  <c r="I1710"/>
  <c r="J1699"/>
  <c r="K1663"/>
  <c r="J1891"/>
  <c r="I1871"/>
  <c r="I1759"/>
  <c r="J1758"/>
  <c r="I1818"/>
  <c r="J1645"/>
  <c r="K1580"/>
  <c r="K1558"/>
  <c r="K1550"/>
  <c r="K1722"/>
  <c r="K1824"/>
  <c r="J1791"/>
  <c r="I1634"/>
  <c r="I1314"/>
  <c r="J1467"/>
  <c r="K1382"/>
  <c r="K1369"/>
  <c r="K1314"/>
  <c r="I1260"/>
  <c r="K1233"/>
  <c r="I1201"/>
  <c r="K1175"/>
  <c r="K1166"/>
  <c r="K1146"/>
  <c r="I1444"/>
  <c r="J1427"/>
  <c r="J1419"/>
  <c r="J1395"/>
  <c r="I1182"/>
  <c r="I1269"/>
  <c r="I687"/>
  <c r="K1103"/>
  <c r="K1084"/>
  <c r="I922"/>
  <c r="K914"/>
  <c r="K906"/>
  <c r="J888"/>
  <c r="K877"/>
  <c r="I871"/>
  <c r="K855"/>
  <c r="I756"/>
  <c r="J745"/>
  <c r="I736"/>
  <c r="J1037"/>
  <c r="I960"/>
  <c r="I766"/>
  <c r="K603"/>
  <c r="I377"/>
  <c r="I844"/>
  <c r="J614"/>
  <c r="K540"/>
  <c r="I366"/>
  <c r="K354"/>
  <c r="K328"/>
  <c r="J314"/>
  <c r="I298"/>
  <c r="K217"/>
  <c r="I207"/>
  <c r="K710"/>
  <c r="K607"/>
  <c r="I570"/>
  <c r="K477"/>
  <c r="K186"/>
  <c r="K426"/>
  <c r="I289"/>
  <c r="I541"/>
  <c r="K419"/>
  <c r="I387"/>
  <c r="I164"/>
  <c r="K154"/>
  <c r="J122"/>
  <c r="J101"/>
  <c r="J40"/>
  <c r="I9"/>
  <c r="I64"/>
  <c r="K435"/>
  <c r="J279"/>
  <c r="J92"/>
  <c r="J84"/>
  <c r="J35"/>
  <c r="I46"/>
  <c r="K1676"/>
  <c r="K1288"/>
  <c r="I1396"/>
  <c r="I819"/>
  <c r="I97"/>
  <c r="K1759"/>
  <c r="K1700"/>
  <c r="K1892"/>
  <c r="J1853"/>
  <c r="K1836"/>
  <c r="K1749"/>
  <c r="K1645"/>
  <c r="I1827"/>
  <c r="I1689"/>
  <c r="I1552"/>
  <c r="J1543"/>
  <c r="J1493"/>
  <c r="K1629"/>
  <c r="J1500"/>
  <c r="I1724"/>
  <c r="I1621"/>
  <c r="K1440"/>
  <c r="I1451"/>
  <c r="K1456"/>
  <c r="K1359"/>
  <c r="K1349"/>
  <c r="J1315"/>
  <c r="J1261"/>
  <c r="I1242"/>
  <c r="J1202"/>
  <c r="J1180"/>
  <c r="I1166"/>
  <c r="J1147"/>
  <c r="K1126"/>
  <c r="J1117"/>
  <c r="I1431"/>
  <c r="I1147"/>
  <c r="I1628"/>
  <c r="K1028"/>
  <c r="J1054"/>
  <c r="I1106"/>
  <c r="K1044"/>
  <c r="I908"/>
  <c r="J872"/>
  <c r="K865"/>
  <c r="K841"/>
  <c r="J757"/>
  <c r="K746"/>
  <c r="I740"/>
  <c r="I1278"/>
  <c r="J1232"/>
  <c r="K1092"/>
  <c r="K1055"/>
  <c r="K888"/>
  <c r="J657"/>
  <c r="I508"/>
  <c r="I404"/>
  <c r="J650"/>
  <c r="J367"/>
  <c r="I356"/>
  <c r="I332"/>
  <c r="K315"/>
  <c r="J304"/>
  <c r="I274"/>
  <c r="J263"/>
  <c r="K234"/>
  <c r="J225"/>
  <c r="J208"/>
  <c r="J200"/>
  <c r="I796"/>
  <c r="I239"/>
  <c r="J530"/>
  <c r="J461"/>
  <c r="K402"/>
  <c r="J388"/>
  <c r="J483"/>
  <c r="I154"/>
  <c r="K54"/>
  <c r="K468"/>
  <c r="I426"/>
  <c r="J298"/>
  <c r="J297"/>
  <c r="I199"/>
  <c r="J145"/>
  <c r="I114"/>
  <c r="J536"/>
  <c r="J535" s="1"/>
  <c r="J426"/>
  <c r="J397"/>
  <c r="J371"/>
  <c r="K8"/>
  <c r="I1676"/>
  <c r="I1493"/>
  <c r="I1369"/>
  <c r="J922"/>
  <c r="I974"/>
  <c r="I831"/>
  <c r="I783"/>
  <c r="K658"/>
  <c r="I716"/>
  <c r="J64"/>
  <c r="J1715"/>
  <c r="I1665"/>
  <c r="I1645"/>
  <c r="K1860"/>
  <c r="J1843"/>
  <c r="I1878"/>
  <c r="J1689"/>
  <c r="I1657"/>
  <c r="I1856"/>
  <c r="I1846"/>
  <c r="I1838"/>
  <c r="I1764"/>
  <c r="K1689"/>
  <c r="K1544"/>
  <c r="K1714"/>
  <c r="J1664"/>
  <c r="I1640"/>
  <c r="J1813"/>
  <c r="K1810"/>
  <c r="J1748"/>
  <c r="K1655"/>
  <c r="I1572"/>
  <c r="I1418"/>
  <c r="J1350"/>
  <c r="K1331"/>
  <c r="J1321"/>
  <c r="K1280"/>
  <c r="K1266"/>
  <c r="J1243"/>
  <c r="K1225"/>
  <c r="K1207"/>
  <c r="I1195"/>
  <c r="J1127"/>
  <c r="K1118"/>
  <c r="P1583"/>
  <c r="P3062" s="1"/>
  <c r="I1580"/>
  <c r="I1412"/>
  <c r="I1323"/>
  <c r="I1226"/>
  <c r="I1534"/>
  <c r="I1055"/>
  <c r="J1086"/>
  <c r="K1075"/>
  <c r="I1047"/>
  <c r="K974"/>
  <c r="K922"/>
  <c r="I912"/>
  <c r="I899"/>
  <c r="I887" s="1"/>
  <c r="J880"/>
  <c r="I875"/>
  <c r="I867"/>
  <c r="J858"/>
  <c r="J844"/>
  <c r="K766"/>
  <c r="K758"/>
  <c r="J741"/>
  <c r="J729"/>
  <c r="J679"/>
  <c r="I659"/>
  <c r="J1092"/>
  <c r="J732"/>
  <c r="J628"/>
  <c r="I652"/>
  <c r="I471"/>
  <c r="K633"/>
  <c r="K568"/>
  <c r="J477"/>
  <c r="I320"/>
  <c r="K278"/>
  <c r="J271"/>
  <c r="J247"/>
  <c r="J237"/>
  <c r="K226"/>
  <c r="K201"/>
  <c r="I700"/>
  <c r="K615"/>
  <c r="I558"/>
  <c r="J356"/>
  <c r="K299"/>
  <c r="K796"/>
  <c r="I788"/>
  <c r="J469"/>
  <c r="I329"/>
  <c r="I418"/>
  <c r="K376"/>
  <c r="K288"/>
  <c r="K193"/>
  <c r="I182"/>
  <c r="K150"/>
  <c r="I121"/>
  <c r="J105"/>
  <c r="I92"/>
  <c r="J55"/>
  <c r="I455"/>
  <c r="I305"/>
  <c r="K246"/>
  <c r="J136"/>
  <c r="I213"/>
  <c r="K85"/>
  <c r="K104"/>
  <c r="I79"/>
  <c r="K40"/>
  <c r="K39" s="1"/>
  <c r="I34"/>
  <c r="J1724"/>
  <c r="I1557"/>
  <c r="I1458"/>
  <c r="J1269"/>
  <c r="I1077"/>
  <c r="J377"/>
  <c r="J1658"/>
  <c r="I1892"/>
  <c r="K1877"/>
  <c r="J1857"/>
  <c r="J1823"/>
  <c r="I1701"/>
  <c r="J1634"/>
  <c r="I1716"/>
  <c r="J1621"/>
  <c r="J1571"/>
  <c r="I1566"/>
  <c r="J1557"/>
  <c r="J1549"/>
  <c r="K1534"/>
  <c r="I1791"/>
  <c r="I1545"/>
  <c r="I1749"/>
  <c r="I1207"/>
  <c r="J1628"/>
  <c r="I1468"/>
  <c r="K1465"/>
  <c r="J1376"/>
  <c r="I1355"/>
  <c r="J1331"/>
  <c r="K1322"/>
  <c r="J1307"/>
  <c r="I1288"/>
  <c r="I1233"/>
  <c r="J1208"/>
  <c r="K1199"/>
  <c r="K1183"/>
  <c r="J1165"/>
  <c r="I1120"/>
  <c r="I1488"/>
  <c r="J1437"/>
  <c r="K1425"/>
  <c r="K1417"/>
  <c r="K1393"/>
  <c r="I1360"/>
  <c r="J1278"/>
  <c r="K1243"/>
  <c r="I1176"/>
  <c r="I1127"/>
  <c r="J1287"/>
  <c r="K1261"/>
  <c r="J1028"/>
  <c r="I812"/>
  <c r="J1114"/>
  <c r="J974"/>
  <c r="J913"/>
  <c r="J905"/>
  <c r="J876"/>
  <c r="I861"/>
  <c r="K750"/>
  <c r="I732"/>
  <c r="I684"/>
  <c r="I1280"/>
  <c r="J1047"/>
  <c r="K741"/>
  <c r="I615"/>
  <c r="J788"/>
  <c r="K715"/>
  <c r="K699"/>
  <c r="J710"/>
  <c r="K651"/>
  <c r="J608"/>
  <c r="I485"/>
  <c r="J329"/>
  <c r="J321"/>
  <c r="K305"/>
  <c r="J288"/>
  <c r="K272"/>
  <c r="I260"/>
  <c r="K238"/>
  <c r="J213"/>
  <c r="K205"/>
  <c r="J700"/>
  <c r="I598"/>
  <c r="J801"/>
  <c r="K678"/>
  <c r="J435"/>
  <c r="J419"/>
  <c r="J396"/>
  <c r="K389"/>
  <c r="I225"/>
  <c r="J171"/>
  <c r="I108"/>
  <c r="K64"/>
  <c r="I27"/>
  <c r="I460"/>
  <c r="K398"/>
  <c r="K372"/>
  <c r="I316"/>
  <c r="K97"/>
  <c r="I85"/>
  <c r="I1331"/>
  <c r="I1093"/>
  <c r="J762"/>
  <c r="I643"/>
  <c r="K960"/>
  <c r="J569"/>
  <c r="I1915"/>
  <c r="K507"/>
  <c r="I280"/>
  <c r="I55"/>
  <c r="I436"/>
  <c r="J8"/>
  <c r="J395" l="1"/>
  <c r="J699"/>
  <c r="I1092"/>
  <c r="K397"/>
  <c r="I224"/>
  <c r="J212"/>
  <c r="J287"/>
  <c r="J607"/>
  <c r="I614"/>
  <c r="J875"/>
  <c r="K1416"/>
  <c r="I1119"/>
  <c r="K1182"/>
  <c r="I1287"/>
  <c r="K1321"/>
  <c r="J1627"/>
  <c r="J1620"/>
  <c r="J1268"/>
  <c r="I78"/>
  <c r="I328"/>
  <c r="I435"/>
  <c r="I1917"/>
  <c r="J761"/>
  <c r="K677"/>
  <c r="K740"/>
  <c r="J1027"/>
  <c r="J1286"/>
  <c r="I1175"/>
  <c r="J1277"/>
  <c r="I1487"/>
  <c r="J1330"/>
  <c r="I1206"/>
  <c r="I1544"/>
  <c r="I1715"/>
  <c r="I1700"/>
  <c r="J1856"/>
  <c r="I1076"/>
  <c r="J1723"/>
  <c r="I212"/>
  <c r="K287"/>
  <c r="J468"/>
  <c r="J355"/>
  <c r="K614"/>
  <c r="K632"/>
  <c r="I651"/>
  <c r="I658"/>
  <c r="K1074"/>
  <c r="I1054"/>
  <c r="I1225"/>
  <c r="I1411"/>
  <c r="K1117"/>
  <c r="I1194"/>
  <c r="K1265"/>
  <c r="J1320"/>
  <c r="J1349"/>
  <c r="K1654"/>
  <c r="I1656"/>
  <c r="I1877"/>
  <c r="K1841"/>
  <c r="I1664"/>
  <c r="J63"/>
  <c r="I1492"/>
  <c r="K1054"/>
  <c r="J1231"/>
  <c r="I1627"/>
  <c r="I1425"/>
  <c r="K1455"/>
  <c r="K1439"/>
  <c r="K1644"/>
  <c r="K1835"/>
  <c r="K1891"/>
  <c r="I45"/>
  <c r="I386"/>
  <c r="K213"/>
  <c r="K602"/>
  <c r="K1102"/>
  <c r="J1394"/>
  <c r="J1426"/>
  <c r="I1313"/>
  <c r="J1790"/>
  <c r="I1817"/>
  <c r="I1758"/>
  <c r="J1890"/>
  <c r="K1492"/>
  <c r="I801"/>
  <c r="J1106"/>
  <c r="J795"/>
  <c r="I1842"/>
  <c r="I279"/>
  <c r="I315"/>
  <c r="I54"/>
  <c r="J568"/>
  <c r="I84"/>
  <c r="J320"/>
  <c r="J904"/>
  <c r="J7"/>
  <c r="K483"/>
  <c r="I633"/>
  <c r="K96"/>
  <c r="K371"/>
  <c r="K370" s="1"/>
  <c r="K63"/>
  <c r="J170"/>
  <c r="K388"/>
  <c r="J418"/>
  <c r="I593"/>
  <c r="K237"/>
  <c r="K271"/>
  <c r="K304"/>
  <c r="J328"/>
  <c r="K650"/>
  <c r="K698"/>
  <c r="I886"/>
  <c r="J912"/>
  <c r="K1424"/>
  <c r="J1164"/>
  <c r="I1232"/>
  <c r="I1467"/>
  <c r="J1556"/>
  <c r="J1570"/>
  <c r="I1891"/>
  <c r="J376"/>
  <c r="I1556"/>
  <c r="I91"/>
  <c r="I170"/>
  <c r="I417"/>
  <c r="K225"/>
  <c r="J246"/>
  <c r="J476"/>
  <c r="J715"/>
  <c r="K757"/>
  <c r="I866"/>
  <c r="I911"/>
  <c r="K973"/>
  <c r="J1663"/>
  <c r="I1837"/>
  <c r="J1842"/>
  <c r="I1368"/>
  <c r="J144"/>
  <c r="K396"/>
  <c r="J529"/>
  <c r="J207"/>
  <c r="I273"/>
  <c r="K314"/>
  <c r="I355"/>
  <c r="J631"/>
  <c r="I507"/>
  <c r="I739"/>
  <c r="J756"/>
  <c r="I907"/>
  <c r="I1101"/>
  <c r="K1027"/>
  <c r="K1125"/>
  <c r="I1165"/>
  <c r="J1201"/>
  <c r="J1260"/>
  <c r="K1348"/>
  <c r="I1723"/>
  <c r="K1758"/>
  <c r="K1675"/>
  <c r="K434"/>
  <c r="K153"/>
  <c r="K418"/>
  <c r="I288"/>
  <c r="K182"/>
  <c r="K476"/>
  <c r="K606"/>
  <c r="K535"/>
  <c r="K876"/>
  <c r="K905"/>
  <c r="I921"/>
  <c r="I1268"/>
  <c r="K1145"/>
  <c r="K1232"/>
  <c r="K1381"/>
  <c r="K1823"/>
  <c r="K1549"/>
  <c r="K1571"/>
  <c r="J1698"/>
  <c r="K1789"/>
  <c r="I104"/>
  <c r="J1675"/>
  <c r="I1330"/>
  <c r="J434"/>
  <c r="J973"/>
  <c r="K1260"/>
  <c r="I1126"/>
  <c r="K1242"/>
  <c r="I1359"/>
  <c r="I1790"/>
  <c r="I1457"/>
  <c r="J132"/>
  <c r="I304"/>
  <c r="I1910"/>
  <c r="J54"/>
  <c r="K149"/>
  <c r="K192"/>
  <c r="K298"/>
  <c r="K297"/>
  <c r="I557"/>
  <c r="I699"/>
  <c r="J627"/>
  <c r="J1085"/>
  <c r="I1322"/>
  <c r="J1126"/>
  <c r="K1206"/>
  <c r="J1242"/>
  <c r="K1330"/>
  <c r="I1571"/>
  <c r="J1812"/>
  <c r="K1543"/>
  <c r="I1644"/>
  <c r="J1714"/>
  <c r="K657"/>
  <c r="J921"/>
  <c r="K7"/>
  <c r="I238"/>
  <c r="K887"/>
  <c r="K1043"/>
  <c r="I1146"/>
  <c r="I1450"/>
  <c r="J1492"/>
  <c r="K1748"/>
  <c r="K1287"/>
  <c r="J34"/>
  <c r="J91"/>
  <c r="I8"/>
  <c r="J97"/>
  <c r="I163"/>
  <c r="I206"/>
  <c r="J613"/>
  <c r="I762"/>
  <c r="J1036"/>
  <c r="J1035" s="1"/>
  <c r="I1181"/>
  <c r="J1418"/>
  <c r="J1466"/>
  <c r="K1721"/>
  <c r="J1644"/>
  <c r="I1860"/>
  <c r="J1366"/>
  <c r="K801"/>
  <c r="K795" s="1"/>
  <c r="I246"/>
  <c r="I484"/>
  <c r="J1207"/>
  <c r="I1748"/>
  <c r="I1565"/>
  <c r="J1657"/>
  <c r="K84"/>
  <c r="J104"/>
  <c r="K200"/>
  <c r="I470"/>
  <c r="J1091"/>
  <c r="J678"/>
  <c r="J740"/>
  <c r="K921"/>
  <c r="I1035"/>
  <c r="I1417"/>
  <c r="I715"/>
  <c r="I973"/>
  <c r="I1675"/>
  <c r="J425"/>
  <c r="I198"/>
  <c r="I425"/>
  <c r="K53"/>
  <c r="I153"/>
  <c r="J387"/>
  <c r="J460"/>
  <c r="J199"/>
  <c r="J224"/>
  <c r="J366"/>
  <c r="I403"/>
  <c r="K1091"/>
  <c r="I1277"/>
  <c r="K745"/>
  <c r="J871"/>
  <c r="J1146"/>
  <c r="J1179"/>
  <c r="I1241"/>
  <c r="J1314"/>
  <c r="I1620"/>
  <c r="K1628"/>
  <c r="I1551"/>
  <c r="I1826"/>
  <c r="K1699"/>
  <c r="I1395"/>
  <c r="J278"/>
  <c r="J270" s="1"/>
  <c r="I63"/>
  <c r="J39"/>
  <c r="I540"/>
  <c r="K425"/>
  <c r="I569"/>
  <c r="K709"/>
  <c r="K327"/>
  <c r="I365"/>
  <c r="I376"/>
  <c r="I870"/>
  <c r="J887"/>
  <c r="K913"/>
  <c r="I679"/>
  <c r="K1165"/>
  <c r="I1200"/>
  <c r="I1259"/>
  <c r="K1313"/>
  <c r="K1368"/>
  <c r="K1557"/>
  <c r="J1757"/>
  <c r="K1662"/>
  <c r="I1709"/>
  <c r="K762"/>
  <c r="K1164" l="1"/>
  <c r="I370"/>
  <c r="K326"/>
  <c r="I62"/>
  <c r="K1698"/>
  <c r="I1240"/>
  <c r="J386"/>
  <c r="I1394"/>
  <c r="J1090"/>
  <c r="I483"/>
  <c r="J1643"/>
  <c r="K6"/>
  <c r="I1347"/>
  <c r="K761"/>
  <c r="K1661"/>
  <c r="K1556"/>
  <c r="K1312"/>
  <c r="I1199"/>
  <c r="K912"/>
  <c r="K708"/>
  <c r="J870"/>
  <c r="I402"/>
  <c r="J223"/>
  <c r="I424"/>
  <c r="J424"/>
  <c r="I1416"/>
  <c r="K920"/>
  <c r="J677"/>
  <c r="K199"/>
  <c r="J1656"/>
  <c r="I761"/>
  <c r="J96"/>
  <c r="K1286"/>
  <c r="K1329"/>
  <c r="I556"/>
  <c r="K148"/>
  <c r="K83" s="1"/>
  <c r="I297"/>
  <c r="J1674"/>
  <c r="I920"/>
  <c r="I287"/>
  <c r="I1722"/>
  <c r="I1164"/>
  <c r="K1026"/>
  <c r="I169"/>
  <c r="I1555"/>
  <c r="I1890"/>
  <c r="J327"/>
  <c r="K62"/>
  <c r="K482"/>
  <c r="I53"/>
  <c r="J1101"/>
  <c r="J1889"/>
  <c r="J1393"/>
  <c r="K593"/>
  <c r="K1890"/>
  <c r="I1655"/>
  <c r="K1073"/>
  <c r="K613"/>
  <c r="I1075"/>
  <c r="I1699"/>
  <c r="I1543"/>
  <c r="J1329"/>
  <c r="K739"/>
  <c r="J1619"/>
  <c r="I1286"/>
  <c r="I1118"/>
  <c r="I1091"/>
  <c r="I1438"/>
  <c r="J709"/>
  <c r="J886"/>
  <c r="I568"/>
  <c r="I1550"/>
  <c r="K1367"/>
  <c r="I678"/>
  <c r="I1619"/>
  <c r="J1145"/>
  <c r="I1674"/>
  <c r="I1034"/>
  <c r="J1365"/>
  <c r="J1465"/>
  <c r="I205"/>
  <c r="I1456"/>
  <c r="K424"/>
  <c r="I1825"/>
  <c r="K1627"/>
  <c r="J1313"/>
  <c r="I469"/>
  <c r="J1417"/>
  <c r="I7"/>
  <c r="K1035"/>
  <c r="I237"/>
  <c r="I1570"/>
  <c r="J1241"/>
  <c r="J1084"/>
  <c r="I698"/>
  <c r="I1912"/>
  <c r="I1789"/>
  <c r="K1241"/>
  <c r="K1259"/>
  <c r="I1329"/>
  <c r="K1788"/>
  <c r="K904"/>
  <c r="K170"/>
  <c r="K417"/>
  <c r="K1757"/>
  <c r="K1347"/>
  <c r="J1200"/>
  <c r="I354"/>
  <c r="I272"/>
  <c r="J1841"/>
  <c r="K756"/>
  <c r="K224"/>
  <c r="I416"/>
  <c r="J417"/>
  <c r="I632"/>
  <c r="J6"/>
  <c r="J296"/>
  <c r="I314"/>
  <c r="J794"/>
  <c r="I1812"/>
  <c r="I1312"/>
  <c r="K1643"/>
  <c r="I1626"/>
  <c r="J62"/>
  <c r="J1348"/>
  <c r="I650"/>
  <c r="I211"/>
  <c r="J1285"/>
  <c r="J755"/>
  <c r="I434"/>
  <c r="J1626"/>
  <c r="I223"/>
  <c r="I96"/>
  <c r="J482"/>
  <c r="I535"/>
  <c r="K1090"/>
  <c r="J365"/>
  <c r="J198"/>
  <c r="I197"/>
  <c r="I709"/>
  <c r="J739"/>
  <c r="J269"/>
  <c r="K1713"/>
  <c r="J920"/>
  <c r="J1125"/>
  <c r="J53"/>
  <c r="J1034"/>
  <c r="K1570"/>
  <c r="K1231"/>
  <c r="I1267"/>
  <c r="K433"/>
  <c r="I1100"/>
  <c r="J1662"/>
  <c r="J370"/>
  <c r="I1466"/>
  <c r="J169"/>
  <c r="J567"/>
  <c r="I1841"/>
  <c r="K1491"/>
  <c r="J1425"/>
  <c r="K1101"/>
  <c r="I39"/>
  <c r="K1834"/>
  <c r="K1438"/>
  <c r="I1424"/>
  <c r="I1491"/>
  <c r="I1663"/>
  <c r="I657"/>
  <c r="K631"/>
  <c r="J354"/>
  <c r="I327"/>
  <c r="J1267"/>
  <c r="K1320"/>
  <c r="K1415"/>
  <c r="J121"/>
  <c r="J1756"/>
  <c r="J1206"/>
  <c r="I1180"/>
  <c r="J1491"/>
  <c r="I1145"/>
  <c r="K886"/>
  <c r="I1643"/>
  <c r="J1811"/>
  <c r="K1205"/>
  <c r="I1321"/>
  <c r="J626"/>
  <c r="K191"/>
  <c r="I1125"/>
  <c r="J433"/>
  <c r="J1697"/>
  <c r="K1380"/>
  <c r="K875"/>
  <c r="K1674"/>
  <c r="J1259"/>
  <c r="I906"/>
  <c r="K296"/>
  <c r="J206"/>
  <c r="K395"/>
  <c r="I1367"/>
  <c r="I1836"/>
  <c r="I865"/>
  <c r="K794"/>
  <c r="J1555"/>
  <c r="I1231"/>
  <c r="J1163"/>
  <c r="J911"/>
  <c r="K270"/>
  <c r="K387"/>
  <c r="I278"/>
  <c r="I1757"/>
  <c r="J1789"/>
  <c r="K212"/>
  <c r="J1230"/>
  <c r="J1722"/>
  <c r="I1714"/>
  <c r="I1205"/>
  <c r="I1486"/>
  <c r="J1026"/>
  <c r="K676"/>
  <c r="K1181"/>
  <c r="I613"/>
  <c r="J606"/>
  <c r="J211"/>
  <c r="J698"/>
  <c r="K353"/>
  <c r="I795"/>
  <c r="J1721" l="1"/>
  <c r="K211"/>
  <c r="K386"/>
  <c r="J1548"/>
  <c r="I1366"/>
  <c r="J205"/>
  <c r="I905"/>
  <c r="K1673"/>
  <c r="J1810"/>
  <c r="J353"/>
  <c r="K1437"/>
  <c r="J1424"/>
  <c r="J1661"/>
  <c r="K1230"/>
  <c r="I708"/>
  <c r="J197"/>
  <c r="J481"/>
  <c r="I204"/>
  <c r="J1347"/>
  <c r="I1311"/>
  <c r="I631"/>
  <c r="K169"/>
  <c r="I1788"/>
  <c r="I6"/>
  <c r="J1416"/>
  <c r="J1312"/>
  <c r="I1455"/>
  <c r="J1144"/>
  <c r="I677"/>
  <c r="I1437"/>
  <c r="I1285"/>
  <c r="I1654"/>
  <c r="K52"/>
  <c r="I1889"/>
  <c r="J1673"/>
  <c r="J1655"/>
  <c r="J676"/>
  <c r="I423"/>
  <c r="I396"/>
  <c r="K911"/>
  <c r="K1311"/>
  <c r="K1697"/>
  <c r="K325"/>
  <c r="K1163"/>
  <c r="J1564"/>
  <c r="I83"/>
  <c r="I52" s="1"/>
  <c r="K1180"/>
  <c r="I1756"/>
  <c r="K190"/>
  <c r="I1320"/>
  <c r="J1485"/>
  <c r="J1205"/>
  <c r="I1662"/>
  <c r="I1465"/>
  <c r="I1266"/>
  <c r="J919"/>
  <c r="I222"/>
  <c r="J5"/>
  <c r="J416"/>
  <c r="K223"/>
  <c r="I353"/>
  <c r="I1328"/>
  <c r="I1564"/>
  <c r="I468"/>
  <c r="K1626"/>
  <c r="I567"/>
  <c r="I1090"/>
  <c r="J1328"/>
  <c r="I1698"/>
  <c r="K612"/>
  <c r="K1889"/>
  <c r="J1380"/>
  <c r="J1100"/>
  <c r="I168"/>
  <c r="I1163"/>
  <c r="K1328"/>
  <c r="I1415"/>
  <c r="J83"/>
  <c r="J52" s="1"/>
  <c r="K352"/>
  <c r="J204"/>
  <c r="I612"/>
  <c r="K269"/>
  <c r="I1230"/>
  <c r="K793"/>
  <c r="K1198"/>
  <c r="J1755"/>
  <c r="I326"/>
  <c r="K1833"/>
  <c r="K1100"/>
  <c r="K1485"/>
  <c r="K1564"/>
  <c r="I1811"/>
  <c r="I296"/>
  <c r="J1835"/>
  <c r="K416"/>
  <c r="K1240"/>
  <c r="J1074"/>
  <c r="K1034"/>
  <c r="K423"/>
  <c r="I1673"/>
  <c r="K1366"/>
  <c r="J708"/>
  <c r="I1117"/>
  <c r="K919"/>
  <c r="J222"/>
  <c r="I1198"/>
  <c r="K1555"/>
  <c r="K755"/>
  <c r="K5"/>
  <c r="I482"/>
  <c r="I1393"/>
  <c r="J612"/>
  <c r="I794"/>
  <c r="I1485"/>
  <c r="J1229"/>
  <c r="J1788"/>
  <c r="I1835"/>
  <c r="I1144"/>
  <c r="I1179"/>
  <c r="J1266"/>
  <c r="J168"/>
  <c r="K1089"/>
  <c r="J793"/>
  <c r="I271"/>
  <c r="J1199"/>
  <c r="K1756"/>
  <c r="J1240"/>
  <c r="I1824"/>
  <c r="I1549"/>
  <c r="I1074"/>
  <c r="K567"/>
  <c r="J1888"/>
  <c r="K481"/>
  <c r="J326"/>
  <c r="I1721"/>
  <c r="I919"/>
  <c r="K1285"/>
  <c r="I755"/>
  <c r="K198"/>
  <c r="J423"/>
  <c r="K707"/>
  <c r="J1276"/>
  <c r="I918" l="1"/>
  <c r="J325"/>
  <c r="J221" s="1"/>
  <c r="K918"/>
  <c r="J1834"/>
  <c r="I325"/>
  <c r="I1229"/>
  <c r="I1143" s="1"/>
  <c r="J918"/>
  <c r="K1179"/>
  <c r="I1888"/>
  <c r="K168"/>
  <c r="K51" s="1"/>
  <c r="K1229"/>
  <c r="J1713"/>
  <c r="J1672" s="1"/>
  <c r="I433"/>
  <c r="J1089"/>
  <c r="I51"/>
  <c r="J394"/>
  <c r="I1548"/>
  <c r="J1198"/>
  <c r="I1380"/>
  <c r="K1365"/>
  <c r="K1888"/>
  <c r="I1697"/>
  <c r="I1089"/>
  <c r="I352"/>
  <c r="J1654"/>
  <c r="I1454"/>
  <c r="J1415"/>
  <c r="I904"/>
  <c r="I1365"/>
  <c r="K1072"/>
  <c r="K394"/>
  <c r="J432"/>
  <c r="K1276"/>
  <c r="I1713"/>
  <c r="I1823"/>
  <c r="K1548"/>
  <c r="J1073"/>
  <c r="J51"/>
  <c r="K1454"/>
  <c r="J1754"/>
  <c r="K1327"/>
  <c r="I1265"/>
  <c r="I1755"/>
  <c r="I676"/>
  <c r="J1311"/>
  <c r="I707"/>
  <c r="K204"/>
  <c r="K432"/>
  <c r="K697"/>
  <c r="K197"/>
  <c r="I1073"/>
  <c r="K1755"/>
  <c r="I270"/>
  <c r="J1265"/>
  <c r="I1834"/>
  <c r="I793"/>
  <c r="I481"/>
  <c r="J707"/>
  <c r="I1810"/>
  <c r="J1327"/>
  <c r="I1327"/>
  <c r="K222"/>
  <c r="I1661"/>
  <c r="K1144"/>
  <c r="I395"/>
  <c r="I1276"/>
  <c r="I5"/>
  <c r="J352"/>
  <c r="J1454"/>
  <c r="I1833" l="1"/>
  <c r="I1239"/>
  <c r="J1833"/>
  <c r="I903"/>
  <c r="K1143"/>
  <c r="K221"/>
  <c r="K1754"/>
  <c r="K431"/>
  <c r="I697"/>
  <c r="I1754"/>
  <c r="J1072"/>
  <c r="K903"/>
  <c r="I1436"/>
  <c r="J1436"/>
  <c r="I394"/>
  <c r="I1072"/>
  <c r="J431"/>
  <c r="I432"/>
  <c r="K1436"/>
  <c r="J1143"/>
  <c r="K1239"/>
  <c r="J697"/>
  <c r="J1904" s="1"/>
  <c r="I269"/>
  <c r="J903"/>
  <c r="J1239"/>
  <c r="I431" l="1"/>
  <c r="I1672"/>
  <c r="I221"/>
  <c r="K1672"/>
  <c r="K1904" l="1"/>
  <c r="I1904"/>
  <c r="J2536" i="10" l="1"/>
  <c r="K2536" s="1"/>
  <c r="L2536" s="1"/>
  <c r="M2536" s="1"/>
  <c r="J2535"/>
  <c r="K2535" s="1"/>
  <c r="L2535" s="1"/>
  <c r="M2535" s="1"/>
  <c r="J2534"/>
  <c r="K2534" s="1"/>
  <c r="L2534" s="1"/>
  <c r="M2534" s="1"/>
  <c r="J2533"/>
  <c r="K2533" s="1"/>
  <c r="L2533" s="1"/>
  <c r="M2533" s="1"/>
  <c r="J2532"/>
  <c r="K2532" s="1"/>
  <c r="L2532" s="1"/>
  <c r="M2532" s="1"/>
  <c r="J2531"/>
  <c r="K2531" s="1"/>
  <c r="L2531" s="1"/>
  <c r="M2531" s="1"/>
  <c r="J2530"/>
  <c r="K2530" s="1"/>
  <c r="L2530" s="1"/>
  <c r="M2530" s="1"/>
  <c r="J2529"/>
  <c r="K2529" s="1"/>
  <c r="L2529" s="1"/>
  <c r="M2529" s="1"/>
  <c r="J2528"/>
  <c r="K2528" s="1"/>
  <c r="L2528" s="1"/>
  <c r="M2528" s="1"/>
  <c r="J2527"/>
  <c r="K2527" s="1"/>
  <c r="L2527" s="1"/>
  <c r="M2527" s="1"/>
  <c r="J2526"/>
  <c r="K2526" s="1"/>
  <c r="L2526" s="1"/>
  <c r="M2526" s="1"/>
  <c r="J2525"/>
  <c r="K2525" s="1"/>
  <c r="L2525" s="1"/>
  <c r="M2525" s="1"/>
  <c r="J2524"/>
  <c r="K2524" s="1"/>
  <c r="L2524" s="1"/>
  <c r="M2524" s="1"/>
  <c r="J2523"/>
  <c r="K2523" s="1"/>
  <c r="L2523" s="1"/>
  <c r="M2523" s="1"/>
  <c r="J2522"/>
  <c r="K2522" s="1"/>
  <c r="L2522" s="1"/>
  <c r="M2522" s="1"/>
  <c r="J2521"/>
  <c r="K2521" s="1"/>
  <c r="L2521" s="1"/>
  <c r="M2521" s="1"/>
  <c r="J2520"/>
  <c r="K2520" s="1"/>
  <c r="L2520" s="1"/>
  <c r="M2520" s="1"/>
  <c r="J2519"/>
  <c r="K2519" s="1"/>
  <c r="L2519" s="1"/>
  <c r="M2519" s="1"/>
  <c r="J2518"/>
  <c r="K2518" s="1"/>
  <c r="L2518" s="1"/>
  <c r="M2518" s="1"/>
  <c r="J2517"/>
  <c r="K2517" s="1"/>
  <c r="L2517" s="1"/>
  <c r="M2517" s="1"/>
  <c r="J2516"/>
  <c r="K2516" s="1"/>
  <c r="L2516" s="1"/>
  <c r="M2516" s="1"/>
  <c r="J2515"/>
  <c r="K2515" s="1"/>
  <c r="L2515" s="1"/>
  <c r="M2515" s="1"/>
  <c r="J2514"/>
  <c r="K2514" s="1"/>
  <c r="L2514" s="1"/>
  <c r="M2514" s="1"/>
  <c r="J2513"/>
  <c r="K2513" s="1"/>
  <c r="L2513" s="1"/>
  <c r="M2513" s="1"/>
  <c r="J2512"/>
  <c r="K2512" s="1"/>
  <c r="L2512" s="1"/>
  <c r="M2512" s="1"/>
  <c r="J2511"/>
  <c r="K2511" s="1"/>
  <c r="J2510"/>
  <c r="K2510" s="1"/>
  <c r="J2509"/>
  <c r="K2509" s="1"/>
  <c r="L2509" s="1"/>
  <c r="M2509" s="1"/>
  <c r="J2508"/>
  <c r="K2508" s="1"/>
  <c r="L2508" s="1"/>
  <c r="M2508" s="1"/>
  <c r="J2507"/>
  <c r="K2507" s="1"/>
  <c r="J2506"/>
  <c r="K2506" s="1"/>
  <c r="J2505"/>
  <c r="K2505" s="1"/>
  <c r="L2505" s="1"/>
  <c r="M2505" s="1"/>
  <c r="J2504"/>
  <c r="K2504" s="1"/>
  <c r="L2504" s="1"/>
  <c r="M2504" s="1"/>
  <c r="J2503"/>
  <c r="K2503" s="1"/>
  <c r="J2502"/>
  <c r="K2502" s="1"/>
  <c r="J2501"/>
  <c r="K2501" s="1"/>
  <c r="L2501" s="1"/>
  <c r="M2501" s="1"/>
  <c r="J2500"/>
  <c r="K2500" s="1"/>
  <c r="L2500" s="1"/>
  <c r="M2500" s="1"/>
  <c r="J2499"/>
  <c r="K2499" s="1"/>
  <c r="J2498"/>
  <c r="K2498" s="1"/>
  <c r="J2497"/>
  <c r="K2497" s="1"/>
  <c r="J2496"/>
  <c r="K2496" s="1"/>
  <c r="L2496" s="1"/>
  <c r="M2496" s="1"/>
  <c r="J2495"/>
  <c r="K2495" s="1"/>
  <c r="J2494"/>
  <c r="K2494" s="1"/>
  <c r="L2494" s="1"/>
  <c r="M2494" s="1"/>
  <c r="J2493"/>
  <c r="K2493" s="1"/>
  <c r="J2492"/>
  <c r="K2492" s="1"/>
  <c r="J2491"/>
  <c r="K2491" s="1"/>
  <c r="L2491" s="1"/>
  <c r="M2491" s="1"/>
  <c r="J2490"/>
  <c r="K2490" s="1"/>
  <c r="L2490" s="1"/>
  <c r="M2490" s="1"/>
  <c r="J2489"/>
  <c r="K2489" s="1"/>
  <c r="L2489" s="1"/>
  <c r="M2489" s="1"/>
  <c r="J2488"/>
  <c r="K2488" s="1"/>
  <c r="L2488" s="1"/>
  <c r="M2488" s="1"/>
  <c r="J2487"/>
  <c r="K2487" s="1"/>
  <c r="L2487" s="1"/>
  <c r="M2487" s="1"/>
  <c r="J2486"/>
  <c r="K2486" s="1"/>
  <c r="L2486" s="1"/>
  <c r="M2486" s="1"/>
  <c r="J2485"/>
  <c r="K2485" s="1"/>
  <c r="L2485" s="1"/>
  <c r="M2485" s="1"/>
  <c r="J2484"/>
  <c r="K2484" s="1"/>
  <c r="L2484" s="1"/>
  <c r="M2484" s="1"/>
  <c r="J2483"/>
  <c r="K2483" s="1"/>
  <c r="J2482"/>
  <c r="K2482" s="1"/>
  <c r="J2481"/>
  <c r="K2481" s="1"/>
  <c r="L2481" s="1"/>
  <c r="M2481" s="1"/>
  <c r="J2480"/>
  <c r="K2480" s="1"/>
  <c r="L2480" s="1"/>
  <c r="M2480" s="1"/>
  <c r="J2479"/>
  <c r="K2479" s="1"/>
  <c r="J2478"/>
  <c r="K2478" s="1"/>
  <c r="J2477"/>
  <c r="K2477" s="1"/>
  <c r="L2477" s="1"/>
  <c r="M2477" s="1"/>
  <c r="J2476"/>
  <c r="K2476" s="1"/>
  <c r="L2476" s="1"/>
  <c r="M2476" s="1"/>
  <c r="J2475"/>
  <c r="K2475" s="1"/>
  <c r="J2474"/>
  <c r="K2474" s="1"/>
  <c r="J2473"/>
  <c r="K2473" s="1"/>
  <c r="L2473" s="1"/>
  <c r="M2473" s="1"/>
  <c r="J2472"/>
  <c r="K2472" s="1"/>
  <c r="J2471"/>
  <c r="K2471" s="1"/>
  <c r="L2471" s="1"/>
  <c r="M2471" s="1"/>
  <c r="J2470"/>
  <c r="K2470" s="1"/>
  <c r="J2469"/>
  <c r="K2469" s="1"/>
  <c r="J2468"/>
  <c r="K2468" s="1"/>
  <c r="L2468" s="1"/>
  <c r="M2468" s="1"/>
  <c r="J2467"/>
  <c r="K2467" s="1"/>
  <c r="L2467" s="1"/>
  <c r="M2467" s="1"/>
  <c r="J2466"/>
  <c r="K2466" s="1"/>
  <c r="L2466" s="1"/>
  <c r="M2466" s="1"/>
  <c r="J2465"/>
  <c r="K2465" s="1"/>
  <c r="L2465" s="1"/>
  <c r="M2465" s="1"/>
  <c r="J2464"/>
  <c r="K2464" s="1"/>
  <c r="J2463"/>
  <c r="K2463" s="1"/>
  <c r="L2463" s="1"/>
  <c r="M2463" s="1"/>
  <c r="J2462"/>
  <c r="K2462" s="1"/>
  <c r="L2462" s="1"/>
  <c r="M2462" s="1"/>
  <c r="J2461"/>
  <c r="K2461" s="1"/>
  <c r="L2461" s="1"/>
  <c r="M2461" s="1"/>
  <c r="J2460"/>
  <c r="K2460" s="1"/>
  <c r="J2459"/>
  <c r="K2459" s="1"/>
  <c r="L2459" s="1"/>
  <c r="M2459" s="1"/>
  <c r="J2458"/>
  <c r="K2458" s="1"/>
  <c r="L2458" s="1"/>
  <c r="M2458" s="1"/>
  <c r="J2457"/>
  <c r="K2457" s="1"/>
  <c r="L2457" s="1"/>
  <c r="M2457" s="1"/>
  <c r="J2456"/>
  <c r="K2456" s="1"/>
  <c r="J2455"/>
  <c r="K2455" s="1"/>
  <c r="L2455" s="1"/>
  <c r="M2455" s="1"/>
  <c r="J2454"/>
  <c r="K2454" s="1"/>
  <c r="L2454" s="1"/>
  <c r="M2454" s="1"/>
  <c r="J2453"/>
  <c r="K2453" s="1"/>
  <c r="L2453" s="1"/>
  <c r="M2453" s="1"/>
  <c r="J2452"/>
  <c r="K2452" s="1"/>
  <c r="J2451"/>
  <c r="K2451" s="1"/>
  <c r="J2450"/>
  <c r="K2450" s="1"/>
  <c r="L2450" s="1"/>
  <c r="M2450" s="1"/>
  <c r="J2449"/>
  <c r="K2449" s="1"/>
  <c r="L2449" s="1"/>
  <c r="M2449" s="1"/>
  <c r="J2448"/>
  <c r="K2448" s="1"/>
  <c r="J2447"/>
  <c r="K2447" s="1"/>
  <c r="J2446"/>
  <c r="K2446" s="1"/>
  <c r="J2445"/>
  <c r="K2445" s="1"/>
  <c r="L2445" s="1"/>
  <c r="M2445" s="1"/>
  <c r="J2444"/>
  <c r="K2444" s="1"/>
  <c r="J2443"/>
  <c r="K2443" s="1"/>
  <c r="L2443" s="1"/>
  <c r="M2443" s="1"/>
  <c r="J2442"/>
  <c r="K2442" s="1"/>
  <c r="J2441"/>
  <c r="K2441" s="1"/>
  <c r="J2440"/>
  <c r="K2440" s="1"/>
  <c r="L2440" s="1"/>
  <c r="M2440" s="1"/>
  <c r="J2439"/>
  <c r="K2439" s="1"/>
  <c r="L2439" s="1"/>
  <c r="M2439" s="1"/>
  <c r="J2438"/>
  <c r="K2438" s="1"/>
  <c r="L2438" s="1"/>
  <c r="M2438" s="1"/>
  <c r="J2437"/>
  <c r="K2437" s="1"/>
  <c r="L2437" s="1"/>
  <c r="M2437" s="1"/>
  <c r="J2436"/>
  <c r="K2436" s="1"/>
  <c r="J2435"/>
  <c r="K2435" s="1"/>
  <c r="L2435" s="1"/>
  <c r="M2435" s="1"/>
  <c r="J2434"/>
  <c r="K2434" s="1"/>
  <c r="L2434" s="1"/>
  <c r="M2434" s="1"/>
  <c r="J2433"/>
  <c r="K2433" s="1"/>
  <c r="L2433" s="1"/>
  <c r="M2433" s="1"/>
  <c r="J2432"/>
  <c r="K2432" s="1"/>
  <c r="L2432" s="1"/>
  <c r="M2432" s="1"/>
  <c r="J2431"/>
  <c r="K2431" s="1"/>
  <c r="J2430"/>
  <c r="K2430" s="1"/>
  <c r="L2430" s="1"/>
  <c r="M2430" s="1"/>
  <c r="J2429"/>
  <c r="K2429" s="1"/>
  <c r="J2428"/>
  <c r="K2428" s="1"/>
  <c r="L2428" s="1"/>
  <c r="M2428" s="1"/>
  <c r="J2427"/>
  <c r="K2427" s="1"/>
  <c r="L2427" s="1"/>
  <c r="M2427" s="1"/>
  <c r="J2426"/>
  <c r="K2426" s="1"/>
  <c r="L2426" s="1"/>
  <c r="M2426" s="1"/>
  <c r="J2425"/>
  <c r="K2425" s="1"/>
  <c r="J2424"/>
  <c r="K2424" s="1"/>
  <c r="J2423"/>
  <c r="K2423" s="1"/>
  <c r="L2423" s="1"/>
  <c r="M2423" s="1"/>
  <c r="J2422"/>
  <c r="K2422" s="1"/>
  <c r="L2422" s="1"/>
  <c r="M2422" s="1"/>
  <c r="J2421"/>
  <c r="K2421" s="1"/>
  <c r="J2420"/>
  <c r="K2420" s="1"/>
  <c r="J2419"/>
  <c r="K2419" s="1"/>
  <c r="L2419" s="1"/>
  <c r="M2419" s="1"/>
  <c r="J2418"/>
  <c r="K2418" s="1"/>
  <c r="J2417"/>
  <c r="K2417" s="1"/>
  <c r="L2417" s="1"/>
  <c r="M2417" s="1"/>
  <c r="J2416"/>
  <c r="K2416" s="1"/>
  <c r="J2415"/>
  <c r="K2415" s="1"/>
  <c r="J2414"/>
  <c r="K2414" s="1"/>
  <c r="L2414" s="1"/>
  <c r="M2414" s="1"/>
  <c r="J2413"/>
  <c r="K2413" s="1"/>
  <c r="L2413" s="1"/>
  <c r="M2413" s="1"/>
  <c r="J2412"/>
  <c r="K2412" s="1"/>
  <c r="L2412" s="1"/>
  <c r="M2412" s="1"/>
  <c r="J2411"/>
  <c r="K2411" s="1"/>
  <c r="J2410"/>
  <c r="K2410" s="1"/>
  <c r="L2410" s="1"/>
  <c r="M2410" s="1"/>
  <c r="J2409"/>
  <c r="K2409" s="1"/>
  <c r="L2409" s="1"/>
  <c r="M2409" s="1"/>
  <c r="J2408"/>
  <c r="K2408" s="1"/>
  <c r="L2408" s="1"/>
  <c r="M2408" s="1"/>
  <c r="J2407"/>
  <c r="K2407" s="1"/>
  <c r="L2407" s="1"/>
  <c r="M2407" s="1"/>
  <c r="J2406"/>
  <c r="K2406" s="1"/>
  <c r="L2406" s="1"/>
  <c r="M2406" s="1"/>
  <c r="J2405"/>
  <c r="K2405" s="1"/>
  <c r="J2404"/>
  <c r="K2404" s="1"/>
  <c r="L2404" s="1"/>
  <c r="M2404" s="1"/>
  <c r="J2403"/>
  <c r="K2403" s="1"/>
  <c r="L2403" s="1"/>
  <c r="M2403" s="1"/>
  <c r="J2402"/>
  <c r="K2402" s="1"/>
  <c r="L2402" s="1"/>
  <c r="M2402" s="1"/>
  <c r="J2401"/>
  <c r="K2401" s="1"/>
  <c r="L2401" s="1"/>
  <c r="M2401" s="1"/>
  <c r="J2400"/>
  <c r="K2400" s="1"/>
  <c r="L2400" s="1"/>
  <c r="M2400" s="1"/>
  <c r="J2399"/>
  <c r="K2399" s="1"/>
  <c r="L2399" s="1"/>
  <c r="M2399" s="1"/>
  <c r="J2398"/>
  <c r="K2398" s="1"/>
  <c r="L2398" s="1"/>
  <c r="M2398" s="1"/>
  <c r="J2397"/>
  <c r="K2397" s="1"/>
  <c r="L2397" s="1"/>
  <c r="M2397" s="1"/>
  <c r="J2396"/>
  <c r="K2396" s="1"/>
  <c r="L2396" s="1"/>
  <c r="M2396" s="1"/>
  <c r="J2395"/>
  <c r="K2395" s="1"/>
  <c r="J2394"/>
  <c r="K2394" s="1"/>
  <c r="L2394" s="1"/>
  <c r="M2394" s="1"/>
  <c r="J2393"/>
  <c r="K2393" s="1"/>
  <c r="L2393" s="1"/>
  <c r="M2393" s="1"/>
  <c r="J2392"/>
  <c r="K2392" s="1"/>
  <c r="L2392" s="1"/>
  <c r="M2392" s="1"/>
  <c r="J2391"/>
  <c r="K2391" s="1"/>
  <c r="L2391" s="1"/>
  <c r="M2391" s="1"/>
  <c r="J2390"/>
  <c r="K2390" s="1"/>
  <c r="L2390" s="1"/>
  <c r="M2390" s="1"/>
  <c r="J2389"/>
  <c r="K2389" s="1"/>
  <c r="L2389" s="1"/>
  <c r="M2389" s="1"/>
  <c r="J2388"/>
  <c r="K2388" s="1"/>
  <c r="L2388" s="1"/>
  <c r="M2388" s="1"/>
  <c r="J2387"/>
  <c r="K2387" s="1"/>
  <c r="J2386"/>
  <c r="K2386" s="1"/>
  <c r="L2386" s="1"/>
  <c r="M2386" s="1"/>
  <c r="J2385"/>
  <c r="K2385" s="1"/>
  <c r="L2385" s="1"/>
  <c r="M2385" s="1"/>
  <c r="J2384"/>
  <c r="K2384" s="1"/>
  <c r="L2384" s="1"/>
  <c r="M2384" s="1"/>
  <c r="J2383"/>
  <c r="K2383" s="1"/>
  <c r="J2382"/>
  <c r="K2382" s="1"/>
  <c r="L2382" s="1"/>
  <c r="M2382" s="1"/>
  <c r="J2381"/>
  <c r="K2381" s="1"/>
  <c r="L2381" s="1"/>
  <c r="M2381" s="1"/>
  <c r="J2380"/>
  <c r="K2380" s="1"/>
  <c r="L2380" s="1"/>
  <c r="M2380" s="1"/>
  <c r="J2379"/>
  <c r="K2379" s="1"/>
  <c r="L2379" s="1"/>
  <c r="M2379" s="1"/>
  <c r="J2378"/>
  <c r="K2378" s="1"/>
  <c r="L2378" s="1"/>
  <c r="M2378" s="1"/>
  <c r="J2377"/>
  <c r="K2377" s="1"/>
  <c r="L2377" s="1"/>
  <c r="M2377" s="1"/>
  <c r="J2376"/>
  <c r="K2376" s="1"/>
  <c r="L2376" s="1"/>
  <c r="M2376" s="1"/>
  <c r="J2375"/>
  <c r="K2375" s="1"/>
  <c r="L2375" s="1"/>
  <c r="M2375" s="1"/>
  <c r="J2369"/>
  <c r="K2369" s="1"/>
  <c r="J2368"/>
  <c r="K2368" s="1"/>
  <c r="L2368" s="1"/>
  <c r="M2368" s="1"/>
  <c r="J2367"/>
  <c r="K2367" s="1"/>
  <c r="L2367" s="1"/>
  <c r="M2367" s="1"/>
  <c r="J2361"/>
  <c r="K2361" s="1"/>
  <c r="J2360"/>
  <c r="K2360" s="1"/>
  <c r="L2360" s="1"/>
  <c r="M2360" s="1"/>
  <c r="J2359"/>
  <c r="K2359" s="1"/>
  <c r="L2359" s="1"/>
  <c r="M2359" s="1"/>
  <c r="J2358"/>
  <c r="K2358" s="1"/>
  <c r="L2358" s="1"/>
  <c r="M2358" s="1"/>
  <c r="J2357"/>
  <c r="K2357" s="1"/>
  <c r="L2357" s="1"/>
  <c r="M2357" s="1"/>
  <c r="J2356"/>
  <c r="K2356" s="1"/>
  <c r="L2356" s="1"/>
  <c r="M2356" s="1"/>
  <c r="J2355"/>
  <c r="K2355" s="1"/>
  <c r="L2355" s="1"/>
  <c r="M2355" s="1"/>
  <c r="L2353"/>
  <c r="M2353" s="1"/>
  <c r="J2352"/>
  <c r="K2352" s="1"/>
  <c r="M2352" s="1"/>
  <c r="J2351"/>
  <c r="K2351" s="1"/>
  <c r="M2351" s="1"/>
  <c r="J2350"/>
  <c r="K2350" s="1"/>
  <c r="L2350" s="1"/>
  <c r="M2350" s="1"/>
  <c r="L2349"/>
  <c r="M2349" s="1"/>
  <c r="J2348"/>
  <c r="K2348" s="1"/>
  <c r="J2347"/>
  <c r="K2347" s="1"/>
  <c r="L2347" s="1"/>
  <c r="M2347" s="1"/>
  <c r="J2346"/>
  <c r="K2346" s="1"/>
  <c r="M2346" s="1"/>
  <c r="J2345"/>
  <c r="K2345" s="1"/>
  <c r="M2345" s="1"/>
  <c r="J2344"/>
  <c r="K2344" s="1"/>
  <c r="L2344" s="1"/>
  <c r="M2344" s="1"/>
  <c r="J2343"/>
  <c r="K2343" s="1"/>
  <c r="L2343" s="1"/>
  <c r="M2343" s="1"/>
  <c r="L2342"/>
  <c r="M2342" s="1"/>
  <c r="L2341"/>
  <c r="M2341" s="1"/>
  <c r="L2340"/>
  <c r="M2340" s="1"/>
  <c r="L2339"/>
  <c r="M2339" s="1"/>
  <c r="L2338"/>
  <c r="M2338" s="1"/>
  <c r="J2337"/>
  <c r="K2337" s="1"/>
  <c r="J2336"/>
  <c r="K2336" s="1"/>
  <c r="L2336" s="1"/>
  <c r="M2336" s="1"/>
  <c r="J2335"/>
  <c r="K2335" s="1"/>
  <c r="L2335" s="1"/>
  <c r="M2335" s="1"/>
  <c r="J2334"/>
  <c r="K2334" s="1"/>
  <c r="L2334" s="1"/>
  <c r="M2334" s="1"/>
  <c r="J2333"/>
  <c r="K2333" s="1"/>
  <c r="L2333" s="1"/>
  <c r="M2333" s="1"/>
  <c r="J2332"/>
  <c r="K2332" s="1"/>
  <c r="J2331"/>
  <c r="K2331" s="1"/>
  <c r="L2331" s="1"/>
  <c r="M2331" s="1"/>
  <c r="J2330"/>
  <c r="K2330" s="1"/>
  <c r="L2330" s="1"/>
  <c r="M2330" s="1"/>
  <c r="J2329"/>
  <c r="K2329" s="1"/>
  <c r="J2328"/>
  <c r="K2328" s="1"/>
  <c r="L2328" s="1"/>
  <c r="M2328" s="1"/>
  <c r="J2327"/>
  <c r="K2327" s="1"/>
  <c r="M2327" s="1"/>
  <c r="J2326"/>
  <c r="K2326" s="1"/>
  <c r="M2326" s="1"/>
  <c r="J2325"/>
  <c r="K2325" s="1"/>
  <c r="M2325" s="1"/>
  <c r="J2324"/>
  <c r="K2324" s="1"/>
  <c r="L2324" s="1"/>
  <c r="M2324" s="1"/>
  <c r="J2323"/>
  <c r="K2323" s="1"/>
  <c r="J2322"/>
  <c r="K2322" s="1"/>
  <c r="L2322" s="1"/>
  <c r="M2322" s="1"/>
  <c r="J2321"/>
  <c r="K2321" s="1"/>
  <c r="M2321" s="1"/>
  <c r="J2320"/>
  <c r="K2320" s="1"/>
  <c r="M2320" s="1"/>
  <c r="J2319"/>
  <c r="K2319" s="1"/>
  <c r="L2319" s="1"/>
  <c r="M2319" s="1"/>
  <c r="J2318"/>
  <c r="K2318" s="1"/>
  <c r="L2318" s="1"/>
  <c r="M2318" s="1"/>
  <c r="J2317"/>
  <c r="K2317" s="1"/>
  <c r="J2316"/>
  <c r="K2316" s="1"/>
  <c r="L2316" s="1"/>
  <c r="M2316" s="1"/>
  <c r="J2315"/>
  <c r="K2315" s="1"/>
  <c r="L2315" s="1"/>
  <c r="M2315" s="1"/>
  <c r="J2314"/>
  <c r="K2314" s="1"/>
  <c r="J2313"/>
  <c r="K2313" s="1"/>
  <c r="L2313" s="1"/>
  <c r="M2313" s="1"/>
  <c r="J2312"/>
  <c r="K2312" s="1"/>
  <c r="L2312" s="1"/>
  <c r="M2312" s="1"/>
  <c r="J2311"/>
  <c r="K2311" s="1"/>
  <c r="L2311" s="1"/>
  <c r="M2311" s="1"/>
  <c r="J2310"/>
  <c r="K2310" s="1"/>
  <c r="L2310" s="1"/>
  <c r="M2310" s="1"/>
  <c r="J2309"/>
  <c r="K2309" s="1"/>
  <c r="L2309" s="1"/>
  <c r="M2309" s="1"/>
  <c r="J2308"/>
  <c r="K2308" s="1"/>
  <c r="L2308" s="1"/>
  <c r="M2308" s="1"/>
  <c r="J2307"/>
  <c r="K2307" s="1"/>
  <c r="J2306"/>
  <c r="K2306" s="1"/>
  <c r="L2306" s="1"/>
  <c r="M2306" s="1"/>
  <c r="J2305"/>
  <c r="K2305" s="1"/>
  <c r="L2305" s="1"/>
  <c r="M2305" s="1"/>
  <c r="J2304"/>
  <c r="K2304" s="1"/>
  <c r="L2304" s="1"/>
  <c r="M2304" s="1"/>
  <c r="J2303"/>
  <c r="K2303" s="1"/>
  <c r="L2303" s="1"/>
  <c r="M2303" s="1"/>
  <c r="J2302"/>
  <c r="K2302" s="1"/>
  <c r="L2302" s="1"/>
  <c r="M2302" s="1"/>
  <c r="J2301"/>
  <c r="K2301" s="1"/>
  <c r="L2301" s="1"/>
  <c r="M2301" s="1"/>
  <c r="J2300"/>
  <c r="K2300" s="1"/>
  <c r="J2299"/>
  <c r="K2299" s="1"/>
  <c r="L2299" s="1"/>
  <c r="M2299" s="1"/>
  <c r="J2298"/>
  <c r="K2298" s="1"/>
  <c r="L2298" s="1"/>
  <c r="M2298" s="1"/>
  <c r="J2297"/>
  <c r="K2297" s="1"/>
  <c r="L2297" s="1"/>
  <c r="M2297" s="1"/>
  <c r="J2296"/>
  <c r="K2296" s="1"/>
  <c r="J2295"/>
  <c r="K2295" s="1"/>
  <c r="L2295" s="1"/>
  <c r="M2295" s="1"/>
  <c r="J2294"/>
  <c r="K2294" s="1"/>
  <c r="L2294" s="1"/>
  <c r="M2294" s="1"/>
  <c r="J2293"/>
  <c r="K2293" s="1"/>
  <c r="L2293" s="1"/>
  <c r="M2293" s="1"/>
  <c r="J2292"/>
  <c r="K2292" s="1"/>
  <c r="L2292" s="1"/>
  <c r="M2292" s="1"/>
  <c r="J2291"/>
  <c r="K2291" s="1"/>
  <c r="L2291" s="1"/>
  <c r="M2291" s="1"/>
  <c r="J2290"/>
  <c r="K2290" s="1"/>
  <c r="L2290" s="1"/>
  <c r="M2290" s="1"/>
  <c r="J2289"/>
  <c r="K2289" s="1"/>
  <c r="L2289" s="1"/>
  <c r="M2289" s="1"/>
  <c r="J2288"/>
  <c r="K2288" s="1"/>
  <c r="J2287"/>
  <c r="K2287" s="1"/>
  <c r="L2287" s="1"/>
  <c r="M2287" s="1"/>
  <c r="J2286"/>
  <c r="K2286" s="1"/>
  <c r="L2286" s="1"/>
  <c r="M2286" s="1"/>
  <c r="J2285"/>
  <c r="K2285" s="1"/>
  <c r="J2284"/>
  <c r="K2284" s="1"/>
  <c r="L2284" s="1"/>
  <c r="M2284" s="1"/>
  <c r="J2283"/>
  <c r="K2283" s="1"/>
  <c r="J2282"/>
  <c r="K2282" s="1"/>
  <c r="L2282" s="1"/>
  <c r="M2282" s="1"/>
  <c r="J2281"/>
  <c r="K2281" s="1"/>
  <c r="L2281" s="1"/>
  <c r="M2281" s="1"/>
  <c r="J2280"/>
  <c r="K2280" s="1"/>
  <c r="L2280" s="1"/>
  <c r="M2280" s="1"/>
  <c r="J2279"/>
  <c r="K2279" s="1"/>
  <c r="J2278"/>
  <c r="K2278" s="1"/>
  <c r="L2278" s="1"/>
  <c r="M2278" s="1"/>
  <c r="J2277"/>
  <c r="K2277" s="1"/>
  <c r="J2276"/>
  <c r="K2276" s="1"/>
  <c r="J2275"/>
  <c r="K2275" s="1"/>
  <c r="J2274"/>
  <c r="K2274" s="1"/>
  <c r="L2274" s="1"/>
  <c r="M2274" s="1"/>
  <c r="J2273"/>
  <c r="K2273" s="1"/>
  <c r="L2273" s="1"/>
  <c r="M2273" s="1"/>
  <c r="J2272"/>
  <c r="K2272" s="1"/>
  <c r="J2271"/>
  <c r="K2271" s="1"/>
  <c r="J2270"/>
  <c r="K2270" s="1"/>
  <c r="L2270" s="1"/>
  <c r="M2270" s="1"/>
  <c r="J2269"/>
  <c r="K2269" s="1"/>
  <c r="L2269" s="1"/>
  <c r="M2269" s="1"/>
  <c r="J2268"/>
  <c r="K2268" s="1"/>
  <c r="J2267"/>
  <c r="K2267" s="1"/>
  <c r="L2267" s="1"/>
  <c r="M2267" s="1"/>
  <c r="J2266"/>
  <c r="K2266" s="1"/>
  <c r="J2265"/>
  <c r="K2265" s="1"/>
  <c r="J2264"/>
  <c r="K2264" s="1"/>
  <c r="J2263"/>
  <c r="K2263" s="1"/>
  <c r="L2263" s="1"/>
  <c r="M2263" s="1"/>
  <c r="J2262"/>
  <c r="K2262" s="1"/>
  <c r="L2262" s="1"/>
  <c r="M2262" s="1"/>
  <c r="J2261"/>
  <c r="K2261" s="1"/>
  <c r="J2260"/>
  <c r="K2260" s="1"/>
  <c r="J2259"/>
  <c r="K2259" s="1"/>
  <c r="L2259" s="1"/>
  <c r="M2259" s="1"/>
  <c r="J2258"/>
  <c r="K2258" s="1"/>
  <c r="L2258" s="1"/>
  <c r="M2258" s="1"/>
  <c r="J2257"/>
  <c r="K2257" s="1"/>
  <c r="J2256"/>
  <c r="K2256" s="1"/>
  <c r="L2256" s="1"/>
  <c r="M2256" s="1"/>
  <c r="J2255"/>
  <c r="K2255" s="1"/>
  <c r="L2255" s="1"/>
  <c r="M2255" s="1"/>
  <c r="J2254"/>
  <c r="K2254" s="1"/>
  <c r="J2253"/>
  <c r="K2253" s="1"/>
  <c r="L2253" s="1"/>
  <c r="M2253" s="1"/>
  <c r="J2252"/>
  <c r="K2252" s="1"/>
  <c r="L2252" s="1"/>
  <c r="M2252" s="1"/>
  <c r="J2251"/>
  <c r="K2251" s="1"/>
  <c r="J2250"/>
  <c r="K2250" s="1"/>
  <c r="J2249"/>
  <c r="K2249" s="1"/>
  <c r="L2249" s="1"/>
  <c r="M2249" s="1"/>
  <c r="J2248"/>
  <c r="K2248" s="1"/>
  <c r="L2248" s="1"/>
  <c r="M2248" s="1"/>
  <c r="J2247"/>
  <c r="K2247" s="1"/>
  <c r="J2246"/>
  <c r="K2246" s="1"/>
  <c r="J2245"/>
  <c r="K2245" s="1"/>
  <c r="L2245" s="1"/>
  <c r="M2245" s="1"/>
  <c r="J2244"/>
  <c r="K2244" s="1"/>
  <c r="L2244" s="1"/>
  <c r="M2244" s="1"/>
  <c r="J2243"/>
  <c r="K2243" s="1"/>
  <c r="J2242"/>
  <c r="K2242" s="1"/>
  <c r="J2241"/>
  <c r="K2241" s="1"/>
  <c r="J2240"/>
  <c r="K2240" s="1"/>
  <c r="L2240" s="1"/>
  <c r="M2240" s="1"/>
  <c r="J2239"/>
  <c r="K2239" s="1"/>
  <c r="J2238"/>
  <c r="K2238" s="1"/>
  <c r="L2238" s="1"/>
  <c r="M2238" s="1"/>
  <c r="J2237"/>
  <c r="K2237" s="1"/>
  <c r="J2236"/>
  <c r="K2236" s="1"/>
  <c r="J2235"/>
  <c r="K2235" s="1"/>
  <c r="L2235" s="1"/>
  <c r="M2235" s="1"/>
  <c r="J2234"/>
  <c r="K2234" s="1"/>
  <c r="L2234" s="1"/>
  <c r="M2234" s="1"/>
  <c r="J2233"/>
  <c r="K2233" s="1"/>
  <c r="L2233" s="1"/>
  <c r="M2233" s="1"/>
  <c r="J2232"/>
  <c r="K2232" s="1"/>
  <c r="L2232" s="1"/>
  <c r="M2232" s="1"/>
  <c r="J2225"/>
  <c r="K2225" s="1"/>
  <c r="L2225" s="1"/>
  <c r="M2225" s="1"/>
  <c r="J2224"/>
  <c r="K2224" s="1"/>
  <c r="L2224" s="1"/>
  <c r="M2224" s="1"/>
  <c r="L2223"/>
  <c r="M2223" s="1"/>
  <c r="J2222"/>
  <c r="K2222" s="1"/>
  <c r="L2222" s="1"/>
  <c r="M2222" s="1"/>
  <c r="J2221"/>
  <c r="K2221" s="1"/>
  <c r="J2220"/>
  <c r="K2220" s="1"/>
  <c r="L2220" s="1"/>
  <c r="M2220" s="1"/>
  <c r="J2219"/>
  <c r="K2219" s="1"/>
  <c r="L2219" s="1"/>
  <c r="M2219" s="1"/>
  <c r="J2218"/>
  <c r="K2218" s="1"/>
  <c r="L2218" s="1"/>
  <c r="M2218" s="1"/>
  <c r="J2217"/>
  <c r="K2217" s="1"/>
  <c r="J2216"/>
  <c r="K2216" s="1"/>
  <c r="L2216" s="1"/>
  <c r="M2216" s="1"/>
  <c r="J2215"/>
  <c r="K2215" s="1"/>
  <c r="L2215" s="1"/>
  <c r="M2215" s="1"/>
  <c r="J2214"/>
  <c r="K2214" s="1"/>
  <c r="L2214" s="1"/>
  <c r="M2214" s="1"/>
  <c r="J2213"/>
  <c r="K2213" s="1"/>
  <c r="L2213" s="1"/>
  <c r="M2213" s="1"/>
  <c r="J2212"/>
  <c r="K2212" s="1"/>
  <c r="L2212" s="1"/>
  <c r="M2212" s="1"/>
  <c r="J2211"/>
  <c r="K2211" s="1"/>
  <c r="L2211" s="1"/>
  <c r="M2211" s="1"/>
  <c r="J2210"/>
  <c r="K2210" s="1"/>
  <c r="L2210" s="1"/>
  <c r="M2210" s="1"/>
  <c r="J2209"/>
  <c r="K2209" s="1"/>
  <c r="J2208"/>
  <c r="K2208" s="1"/>
  <c r="L2208" s="1"/>
  <c r="M2208" s="1"/>
  <c r="J2207"/>
  <c r="K2207" s="1"/>
  <c r="L2207" s="1"/>
  <c r="M2207" s="1"/>
  <c r="J2206"/>
  <c r="K2206" s="1"/>
  <c r="L2206" s="1"/>
  <c r="M2206" s="1"/>
  <c r="J2205"/>
  <c r="K2205" s="1"/>
  <c r="L2205" s="1"/>
  <c r="M2205" s="1"/>
  <c r="J2204"/>
  <c r="K2204" s="1"/>
  <c r="L2204" s="1"/>
  <c r="M2204" s="1"/>
  <c r="J2203"/>
  <c r="K2203" s="1"/>
  <c r="L2203" s="1"/>
  <c r="M2203" s="1"/>
  <c r="J2202"/>
  <c r="K2202" s="1"/>
  <c r="L2202" s="1"/>
  <c r="M2202" s="1"/>
  <c r="J2201"/>
  <c r="K2201" s="1"/>
  <c r="J2200"/>
  <c r="K2200" s="1"/>
  <c r="J2199"/>
  <c r="K2199" s="1"/>
  <c r="L2199" s="1"/>
  <c r="M2199" s="1"/>
  <c r="J2198"/>
  <c r="K2198" s="1"/>
  <c r="L2198" s="1"/>
  <c r="M2198" s="1"/>
  <c r="J2197"/>
  <c r="K2197" s="1"/>
  <c r="J2196"/>
  <c r="K2196" s="1"/>
  <c r="J2195"/>
  <c r="K2195" s="1"/>
  <c r="L2195" s="1"/>
  <c r="M2195" s="1"/>
  <c r="J2194"/>
  <c r="K2194" s="1"/>
  <c r="L2194" s="1"/>
  <c r="M2194" s="1"/>
  <c r="J2193"/>
  <c r="K2193" s="1"/>
  <c r="J2192"/>
  <c r="K2192" s="1"/>
  <c r="J2191"/>
  <c r="K2191" s="1"/>
  <c r="J2190"/>
  <c r="K2190" s="1"/>
  <c r="L2190" s="1"/>
  <c r="M2190" s="1"/>
  <c r="J2189"/>
  <c r="K2189" s="1"/>
  <c r="J2188"/>
  <c r="K2188" s="1"/>
  <c r="L2188" s="1"/>
  <c r="M2188" s="1"/>
  <c r="J2187"/>
  <c r="K2187" s="1"/>
  <c r="J2186"/>
  <c r="K2186" s="1"/>
  <c r="J2185"/>
  <c r="K2185" s="1"/>
  <c r="L2185" s="1"/>
  <c r="M2185" s="1"/>
  <c r="J2184"/>
  <c r="K2184" s="1"/>
  <c r="L2184" s="1"/>
  <c r="M2184" s="1"/>
  <c r="J2183"/>
  <c r="K2183" s="1"/>
  <c r="L2183" s="1"/>
  <c r="M2183" s="1"/>
  <c r="J2182"/>
  <c r="K2182" s="1"/>
  <c r="L2182" s="1"/>
  <c r="M2182" s="1"/>
  <c r="J2181"/>
  <c r="K2181" s="1"/>
  <c r="L2181" s="1"/>
  <c r="M2181" s="1"/>
  <c r="J2180"/>
  <c r="K2180" s="1"/>
  <c r="J2179"/>
  <c r="K2179" s="1"/>
  <c r="L2179" s="1"/>
  <c r="M2179" s="1"/>
  <c r="J2178"/>
  <c r="K2178" s="1"/>
  <c r="L2178" s="1"/>
  <c r="M2178" s="1"/>
  <c r="J2177"/>
  <c r="K2177" s="1"/>
  <c r="L2177" s="1"/>
  <c r="M2177" s="1"/>
  <c r="J2176"/>
  <c r="K2176" s="1"/>
  <c r="J2175"/>
  <c r="K2175" s="1"/>
  <c r="L2175" s="1"/>
  <c r="M2175" s="1"/>
  <c r="J2174"/>
  <c r="K2174" s="1"/>
  <c r="L2174" s="1"/>
  <c r="M2174" s="1"/>
  <c r="J2173"/>
  <c r="K2173" s="1"/>
  <c r="L2173" s="1"/>
  <c r="M2173" s="1"/>
  <c r="J2172"/>
  <c r="K2172" s="1"/>
  <c r="J2171"/>
  <c r="K2171" s="1"/>
  <c r="L2171" s="1"/>
  <c r="M2171" s="1"/>
  <c r="J2170"/>
  <c r="K2170" s="1"/>
  <c r="L2170" s="1"/>
  <c r="M2170" s="1"/>
  <c r="J2169"/>
  <c r="K2169" s="1"/>
  <c r="L2169" s="1"/>
  <c r="M2169" s="1"/>
  <c r="J2168"/>
  <c r="K2168" s="1"/>
  <c r="L2168" s="1"/>
  <c r="M2168" s="1"/>
  <c r="J2167"/>
  <c r="K2167" s="1"/>
  <c r="L2167" s="1"/>
  <c r="M2167" s="1"/>
  <c r="J2166"/>
  <c r="K2166" s="1"/>
  <c r="J2165"/>
  <c r="K2165" s="1"/>
  <c r="L2165" s="1"/>
  <c r="M2165" s="1"/>
  <c r="J2164"/>
  <c r="K2164" s="1"/>
  <c r="L2164" s="1"/>
  <c r="M2164" s="1"/>
  <c r="J2163"/>
  <c r="K2163" s="1"/>
  <c r="L2163" s="1"/>
  <c r="M2163" s="1"/>
  <c r="J2162"/>
  <c r="K2162" s="1"/>
  <c r="L2162" s="1"/>
  <c r="M2162" s="1"/>
  <c r="J2161"/>
  <c r="K2161" s="1"/>
  <c r="L2161" s="1"/>
  <c r="M2161" s="1"/>
  <c r="J2160"/>
  <c r="K2160" s="1"/>
  <c r="J2159"/>
  <c r="K2159" s="1"/>
  <c r="L2159" s="1"/>
  <c r="M2159" s="1"/>
  <c r="J2158"/>
  <c r="K2158" s="1"/>
  <c r="L2158" s="1"/>
  <c r="M2158" s="1"/>
  <c r="J2157"/>
  <c r="K2157" s="1"/>
  <c r="J2156"/>
  <c r="K2156" s="1"/>
  <c r="L2156" s="1"/>
  <c r="M2156" s="1"/>
  <c r="J2155"/>
  <c r="K2155" s="1"/>
  <c r="L2155" s="1"/>
  <c r="M2155" s="1"/>
  <c r="J2151"/>
  <c r="K2151" s="1"/>
  <c r="J2150"/>
  <c r="K2150" s="1"/>
  <c r="L2150" s="1"/>
  <c r="M2150" s="1"/>
  <c r="J2149"/>
  <c r="K2149" s="1"/>
  <c r="L2149" s="1"/>
  <c r="M2149" s="1"/>
  <c r="J2145"/>
  <c r="K2145" s="1"/>
  <c r="J2144"/>
  <c r="K2144" s="1"/>
  <c r="L2144" s="1"/>
  <c r="M2144" s="1"/>
  <c r="J2143"/>
  <c r="K2143" s="1"/>
  <c r="L2143" s="1"/>
  <c r="M2143" s="1"/>
  <c r="J2142"/>
  <c r="K2142" s="1"/>
  <c r="J2141"/>
  <c r="K2141" s="1"/>
  <c r="L2141" s="1"/>
  <c r="M2141" s="1"/>
  <c r="J2140"/>
  <c r="K2140" s="1"/>
  <c r="L2140" s="1"/>
  <c r="M2140" s="1"/>
  <c r="J2133"/>
  <c r="K2133" s="1"/>
  <c r="J2132"/>
  <c r="K2132" s="1"/>
  <c r="L2132" s="1"/>
  <c r="M2132" s="1"/>
  <c r="J2131"/>
  <c r="K2131" s="1"/>
  <c r="L2131" s="1"/>
  <c r="M2131" s="1"/>
  <c r="J2130"/>
  <c r="K2130" s="1"/>
  <c r="J2129"/>
  <c r="K2129" s="1"/>
  <c r="L2129" s="1"/>
  <c r="M2129" s="1"/>
  <c r="J2128"/>
  <c r="K2128" s="1"/>
  <c r="L2128" s="1"/>
  <c r="M2128" s="1"/>
  <c r="J2127"/>
  <c r="K2127" s="1"/>
  <c r="J2126"/>
  <c r="K2126" s="1"/>
  <c r="L2126" s="1"/>
  <c r="M2126" s="1"/>
  <c r="J2125"/>
  <c r="K2125" s="1"/>
  <c r="L2125" s="1"/>
  <c r="M2125" s="1"/>
  <c r="J2124"/>
  <c r="K2124" s="1"/>
  <c r="J2123"/>
  <c r="K2123" s="1"/>
  <c r="L2123" s="1"/>
  <c r="M2123" s="1"/>
  <c r="J2122"/>
  <c r="K2122" s="1"/>
  <c r="J2121"/>
  <c r="K2121" s="1"/>
  <c r="L2121" s="1"/>
  <c r="M2121" s="1"/>
  <c r="J2120"/>
  <c r="K2120" s="1"/>
  <c r="L2120" s="1"/>
  <c r="M2120" s="1"/>
  <c r="J2119"/>
  <c r="K2119" s="1"/>
  <c r="J2118"/>
  <c r="K2118" s="1"/>
  <c r="L2118" s="1"/>
  <c r="M2118" s="1"/>
  <c r="J2117"/>
  <c r="K2117" s="1"/>
  <c r="L2117" s="1"/>
  <c r="M2117" s="1"/>
  <c r="J2116"/>
  <c r="K2116" s="1"/>
  <c r="J2115"/>
  <c r="K2115" s="1"/>
  <c r="J2114"/>
  <c r="K2114" s="1"/>
  <c r="L2114" s="1"/>
  <c r="M2114" s="1"/>
  <c r="J2113"/>
  <c r="K2113" s="1"/>
  <c r="L2113" s="1"/>
  <c r="M2113" s="1"/>
  <c r="J2112"/>
  <c r="K2112" s="1"/>
  <c r="L2112" s="1"/>
  <c r="M2112" s="1"/>
  <c r="J2111"/>
  <c r="K2111" s="1"/>
  <c r="J2110"/>
  <c r="K2110" s="1"/>
  <c r="L2110" s="1"/>
  <c r="M2110" s="1"/>
  <c r="J2109"/>
  <c r="K2109" s="1"/>
  <c r="L2109" s="1"/>
  <c r="M2109" s="1"/>
  <c r="J2108"/>
  <c r="K2108" s="1"/>
  <c r="L2108" s="1"/>
  <c r="M2108" s="1"/>
  <c r="J2107"/>
  <c r="K2107" s="1"/>
  <c r="J2106"/>
  <c r="K2106" s="1"/>
  <c r="L2106" s="1"/>
  <c r="M2106" s="1"/>
  <c r="J2105"/>
  <c r="K2105" s="1"/>
  <c r="L2105" s="1"/>
  <c r="M2105" s="1"/>
  <c r="J2104"/>
  <c r="K2104" s="1"/>
  <c r="L2104" s="1"/>
  <c r="M2104" s="1"/>
  <c r="J2103"/>
  <c r="K2103" s="1"/>
  <c r="J2102"/>
  <c r="K2102" s="1"/>
  <c r="L2102" s="1"/>
  <c r="M2102" s="1"/>
  <c r="L2101"/>
  <c r="M2101" s="1"/>
  <c r="J2100"/>
  <c r="K2100" s="1"/>
  <c r="J2099"/>
  <c r="K2099" s="1"/>
  <c r="L2099" s="1"/>
  <c r="M2099" s="1"/>
  <c r="J2098"/>
  <c r="K2098" s="1"/>
  <c r="L2098" s="1"/>
  <c r="M2098" s="1"/>
  <c r="J2097"/>
  <c r="K2097" s="1"/>
  <c r="L2097" s="1"/>
  <c r="M2097" s="1"/>
  <c r="J2096"/>
  <c r="K2096" s="1"/>
  <c r="J2095"/>
  <c r="K2095" s="1"/>
  <c r="L2095" s="1"/>
  <c r="M2095" s="1"/>
  <c r="J2094"/>
  <c r="K2094" s="1"/>
  <c r="L2094" s="1"/>
  <c r="M2094" s="1"/>
  <c r="J2093"/>
  <c r="K2093" s="1"/>
  <c r="L2093" s="1"/>
  <c r="M2093" s="1"/>
  <c r="J2092"/>
  <c r="K2092" s="1"/>
  <c r="L2092" s="1"/>
  <c r="M2092" s="1"/>
  <c r="J2091"/>
  <c r="K2091" s="1"/>
  <c r="L2091" s="1"/>
  <c r="M2091" s="1"/>
  <c r="J2090"/>
  <c r="K2090" s="1"/>
  <c r="L2090" s="1"/>
  <c r="M2090" s="1"/>
  <c r="J2089"/>
  <c r="K2089" s="1"/>
  <c r="J2088"/>
  <c r="K2088" s="1"/>
  <c r="L2088" s="1"/>
  <c r="M2088" s="1"/>
  <c r="J2087"/>
  <c r="K2087" s="1"/>
  <c r="L2087" s="1"/>
  <c r="M2087" s="1"/>
  <c r="J2086"/>
  <c r="K2086" s="1"/>
  <c r="L2086" s="1"/>
  <c r="M2086" s="1"/>
  <c r="J2085"/>
  <c r="K2085" s="1"/>
  <c r="L2085" s="1"/>
  <c r="M2085" s="1"/>
  <c r="J2084"/>
  <c r="K2084" s="1"/>
  <c r="L2084" s="1"/>
  <c r="M2084" s="1"/>
  <c r="J2083"/>
  <c r="K2083" s="1"/>
  <c r="L2083" s="1"/>
  <c r="M2083" s="1"/>
  <c r="L2082"/>
  <c r="M2082" s="1"/>
  <c r="J2081"/>
  <c r="K2081" s="1"/>
  <c r="J2080"/>
  <c r="K2080" s="1"/>
  <c r="L2080" s="1"/>
  <c r="M2080" s="1"/>
  <c r="J2079"/>
  <c r="K2079" s="1"/>
  <c r="L2079" s="1"/>
  <c r="M2079" s="1"/>
  <c r="J2078"/>
  <c r="K2078" s="1"/>
  <c r="L2078" s="1"/>
  <c r="M2078" s="1"/>
  <c r="J2077"/>
  <c r="K2077" s="1"/>
  <c r="L2077" s="1"/>
  <c r="M2077" s="1"/>
  <c r="J2076"/>
  <c r="K2076" s="1"/>
  <c r="L2076" s="1"/>
  <c r="M2076" s="1"/>
  <c r="J2054"/>
  <c r="K2054" s="1"/>
  <c r="J2053"/>
  <c r="K2053" s="1"/>
  <c r="L2053" s="1"/>
  <c r="M2053" s="1"/>
  <c r="J2052"/>
  <c r="K2052" s="1"/>
  <c r="L2052" s="1"/>
  <c r="M2052" s="1"/>
  <c r="J2051"/>
  <c r="K2051" s="1"/>
  <c r="J2050"/>
  <c r="K2050" s="1"/>
  <c r="L2050" s="1"/>
  <c r="M2050" s="1"/>
  <c r="J2049"/>
  <c r="K2049" s="1"/>
  <c r="L2049" s="1"/>
  <c r="M2049" s="1"/>
  <c r="L2048"/>
  <c r="M2048" s="1"/>
  <c r="J2044"/>
  <c r="K2044" s="1"/>
  <c r="J2043"/>
  <c r="K2043" s="1"/>
  <c r="L2043" s="1"/>
  <c r="M2043" s="1"/>
  <c r="J2042"/>
  <c r="K2042" s="1"/>
  <c r="L2042" s="1"/>
  <c r="M2042" s="1"/>
  <c r="J2023"/>
  <c r="K2023" s="1"/>
  <c r="J2022"/>
  <c r="K2022" s="1"/>
  <c r="L2022" s="1"/>
  <c r="M2022" s="1"/>
  <c r="J2021"/>
  <c r="K2021" s="1"/>
  <c r="L2021" s="1"/>
  <c r="M2021" s="1"/>
  <c r="J2020"/>
  <c r="K2020" s="1"/>
  <c r="J2019"/>
  <c r="K2019" s="1"/>
  <c r="L2019" s="1"/>
  <c r="M2019" s="1"/>
  <c r="J2018"/>
  <c r="K2018" s="1"/>
  <c r="L2018" s="1"/>
  <c r="M2018" s="1"/>
  <c r="J2017"/>
  <c r="K2017" s="1"/>
  <c r="J2016"/>
  <c r="K2016" s="1"/>
  <c r="L2016" s="1"/>
  <c r="M2016" s="1"/>
  <c r="J2015"/>
  <c r="K2015" s="1"/>
  <c r="L2015" s="1"/>
  <c r="M2015" s="1"/>
  <c r="J2014"/>
  <c r="K2014" s="1"/>
  <c r="J2013"/>
  <c r="K2013" s="1"/>
  <c r="L2013" s="1"/>
  <c r="M2013" s="1"/>
  <c r="J2012"/>
  <c r="K2012" s="1"/>
  <c r="L2012" s="1"/>
  <c r="M2012" s="1"/>
  <c r="J2011"/>
  <c r="K2011" s="1"/>
  <c r="J2010"/>
  <c r="K2010" s="1"/>
  <c r="L2010" s="1"/>
  <c r="M2010" s="1"/>
  <c r="J2009"/>
  <c r="K2009" s="1"/>
  <c r="L2009" s="1"/>
  <c r="M2009" s="1"/>
  <c r="L2008"/>
  <c r="M2008" s="1"/>
  <c r="L2007"/>
  <c r="M2007" s="1"/>
  <c r="L2006"/>
  <c r="M2006" s="1"/>
  <c r="J2005"/>
  <c r="K2005" s="1"/>
  <c r="J2004"/>
  <c r="K2004" s="1"/>
  <c r="L2004" s="1"/>
  <c r="M2004" s="1"/>
  <c r="J2003"/>
  <c r="K2003" s="1"/>
  <c r="L2003" s="1"/>
  <c r="M2003" s="1"/>
  <c r="J2002"/>
  <c r="K2002" s="1"/>
  <c r="L2002" s="1"/>
  <c r="M2002" s="1"/>
  <c r="J2001"/>
  <c r="K2001" s="1"/>
  <c r="L2001" s="1"/>
  <c r="M2001" s="1"/>
  <c r="J2000"/>
  <c r="K2000" s="1"/>
  <c r="L2000" s="1"/>
  <c r="M2000" s="1"/>
  <c r="L1999"/>
  <c r="M1999" s="1"/>
  <c r="J1998"/>
  <c r="K1998" s="1"/>
  <c r="J1997"/>
  <c r="K1997" s="1"/>
  <c r="L1997" s="1"/>
  <c r="M1997" s="1"/>
  <c r="J1996"/>
  <c r="K1996" s="1"/>
  <c r="L1996" s="1"/>
  <c r="M1996" s="1"/>
  <c r="J1995"/>
  <c r="K1995" s="1"/>
  <c r="L1995" s="1"/>
  <c r="M1995" s="1"/>
  <c r="J1994"/>
  <c r="K1994" s="1"/>
  <c r="L1994" s="1"/>
  <c r="M1994" s="1"/>
  <c r="J1990"/>
  <c r="K1990" s="1"/>
  <c r="J1989"/>
  <c r="K1989" s="1"/>
  <c r="L1989" s="1"/>
  <c r="M1989" s="1"/>
  <c r="J1988"/>
  <c r="K1988" s="1"/>
  <c r="L1988" s="1"/>
  <c r="M1988" s="1"/>
  <c r="J1987"/>
  <c r="K1987" s="1"/>
  <c r="J1986"/>
  <c r="K1986" s="1"/>
  <c r="L1986" s="1"/>
  <c r="M1986" s="1"/>
  <c r="J1985"/>
  <c r="K1985" s="1"/>
  <c r="L1985" s="1"/>
  <c r="M1985" s="1"/>
  <c r="J1984"/>
  <c r="K1984" s="1"/>
  <c r="J1983"/>
  <c r="K1983" s="1"/>
  <c r="L1983" s="1"/>
  <c r="M1983" s="1"/>
  <c r="J1982"/>
  <c r="K1982" s="1"/>
  <c r="L1982" s="1"/>
  <c r="M1982" s="1"/>
  <c r="L1981"/>
  <c r="M1981" s="1"/>
  <c r="L1980"/>
  <c r="M1980" s="1"/>
  <c r="L1979"/>
  <c r="M1979" s="1"/>
  <c r="L1978"/>
  <c r="M1978" s="1"/>
  <c r="J1971"/>
  <c r="K1971" s="1"/>
  <c r="J1970"/>
  <c r="K1970" s="1"/>
  <c r="J1969"/>
  <c r="K1969" s="1"/>
  <c r="L1969" s="1"/>
  <c r="M1969" s="1"/>
  <c r="J1968"/>
  <c r="K1968" s="1"/>
  <c r="L1968" s="1"/>
  <c r="M1968" s="1"/>
  <c r="L1967"/>
  <c r="M1967" s="1"/>
  <c r="L1966"/>
  <c r="M1966" s="1"/>
  <c r="L1965"/>
  <c r="M1965" s="1"/>
  <c r="L1964"/>
  <c r="M1964" s="1"/>
  <c r="L1963"/>
  <c r="M1963" s="1"/>
  <c r="J1957"/>
  <c r="K1957" s="1"/>
  <c r="J1956"/>
  <c r="K1956" s="1"/>
  <c r="L1956" s="1"/>
  <c r="M1956" s="1"/>
  <c r="J1953"/>
  <c r="K1953" s="1"/>
  <c r="L1953" s="1"/>
  <c r="M1953" s="1"/>
  <c r="J1952"/>
  <c r="K1952" s="1"/>
  <c r="J1951"/>
  <c r="K1951" s="1"/>
  <c r="L1951" s="1"/>
  <c r="M1951" s="1"/>
  <c r="J1950"/>
  <c r="K1950" s="1"/>
  <c r="L1950" s="1"/>
  <c r="M1950" s="1"/>
  <c r="J1949"/>
  <c r="K1949" s="1"/>
  <c r="J1948"/>
  <c r="K1948" s="1"/>
  <c r="J1947"/>
  <c r="K1947" s="1"/>
  <c r="L1947" s="1"/>
  <c r="M1947" s="1"/>
  <c r="J1946"/>
  <c r="K1946" s="1"/>
  <c r="L1946" s="1"/>
  <c r="M1946" s="1"/>
  <c r="J1945"/>
  <c r="K1945" s="1"/>
  <c r="L1945" s="1"/>
  <c r="M1945" s="1"/>
  <c r="J1944"/>
  <c r="K1944" s="1"/>
  <c r="L1944" s="1"/>
  <c r="M1944" s="1"/>
  <c r="J1943"/>
  <c r="K1943" s="1"/>
  <c r="J1942"/>
  <c r="K1942" s="1"/>
  <c r="L1942" s="1"/>
  <c r="M1942" s="1"/>
  <c r="J1941"/>
  <c r="K1941" s="1"/>
  <c r="L1941" s="1"/>
  <c r="M1941" s="1"/>
  <c r="J1940"/>
  <c r="K1940" s="1"/>
  <c r="L1940" s="1"/>
  <c r="M1940" s="1"/>
  <c r="J1939"/>
  <c r="K1939" s="1"/>
  <c r="L1939" s="1"/>
  <c r="M1939" s="1"/>
  <c r="J1938"/>
  <c r="K1938" s="1"/>
  <c r="L1938" s="1"/>
  <c r="M1938" s="1"/>
  <c r="L1937"/>
  <c r="M1937" s="1"/>
  <c r="L1936"/>
  <c r="M1936" s="1"/>
  <c r="L1935"/>
  <c r="M1935" s="1"/>
  <c r="J1934"/>
  <c r="K1934" s="1"/>
  <c r="L1934" s="1"/>
  <c r="M1934" s="1"/>
  <c r="J1933"/>
  <c r="K1933" s="1"/>
  <c r="J1932"/>
  <c r="K1932" s="1"/>
  <c r="L1932" s="1"/>
  <c r="M1932" s="1"/>
  <c r="J1931"/>
  <c r="K1931" s="1"/>
  <c r="L1931" s="1"/>
  <c r="M1931" s="1"/>
  <c r="J1930"/>
  <c r="K1930" s="1"/>
  <c r="L1930" s="1"/>
  <c r="M1930" s="1"/>
  <c r="J1929"/>
  <c r="K1929" s="1"/>
  <c r="L1929" s="1"/>
  <c r="M1929" s="1"/>
  <c r="J1928"/>
  <c r="K1928" s="1"/>
  <c r="J1927"/>
  <c r="K1927" s="1"/>
  <c r="L1927" s="1"/>
  <c r="M1927" s="1"/>
  <c r="J1926"/>
  <c r="K1926" s="1"/>
  <c r="L1926" s="1"/>
  <c r="M1926" s="1"/>
  <c r="J1925"/>
  <c r="K1925" s="1"/>
  <c r="L1925" s="1"/>
  <c r="M1925" s="1"/>
  <c r="J1924"/>
  <c r="K1924" s="1"/>
  <c r="L1924" s="1"/>
  <c r="M1924" s="1"/>
  <c r="J1923"/>
  <c r="K1923" s="1"/>
  <c r="L1923" s="1"/>
  <c r="M1923" s="1"/>
  <c r="J1922"/>
  <c r="K1922" s="1"/>
  <c r="L1922" s="1"/>
  <c r="M1922" s="1"/>
  <c r="J1921"/>
  <c r="K1921" s="1"/>
  <c r="L1921" s="1"/>
  <c r="M1921" s="1"/>
  <c r="J1920"/>
  <c r="K1920" s="1"/>
  <c r="J1919"/>
  <c r="K1919" s="1"/>
  <c r="L1919" s="1"/>
  <c r="M1919" s="1"/>
  <c r="J1918"/>
  <c r="K1918" s="1"/>
  <c r="L1918" s="1"/>
  <c r="M1918" s="1"/>
  <c r="J1917"/>
  <c r="K1917" s="1"/>
  <c r="J1916"/>
  <c r="K1916" s="1"/>
  <c r="L1916" s="1"/>
  <c r="M1916" s="1"/>
  <c r="J1915"/>
  <c r="K1915" s="1"/>
  <c r="L1915" s="1"/>
  <c r="M1915" s="1"/>
  <c r="J1914"/>
  <c r="K1914" s="1"/>
  <c r="L1914" s="1"/>
  <c r="M1914" s="1"/>
  <c r="J1913"/>
  <c r="K1913" s="1"/>
  <c r="L1913" s="1"/>
  <c r="M1913" s="1"/>
  <c r="J1912"/>
  <c r="K1912" s="1"/>
  <c r="L1912" s="1"/>
  <c r="M1912" s="1"/>
  <c r="J1911"/>
  <c r="K1911" s="1"/>
  <c r="L1911" s="1"/>
  <c r="M1911" s="1"/>
  <c r="J1910"/>
  <c r="K1910" s="1"/>
  <c r="L1910" s="1"/>
  <c r="M1910" s="1"/>
  <c r="J1909"/>
  <c r="K1909" s="1"/>
  <c r="J1908"/>
  <c r="K1908" s="1"/>
  <c r="L1908" s="1"/>
  <c r="M1908" s="1"/>
  <c r="J1907"/>
  <c r="K1907" s="1"/>
  <c r="L1907" s="1"/>
  <c r="M1907" s="1"/>
  <c r="J1906"/>
  <c r="K1906" s="1"/>
  <c r="L1906" s="1"/>
  <c r="M1906" s="1"/>
  <c r="J1905"/>
  <c r="K1905" s="1"/>
  <c r="L1905" s="1"/>
  <c r="M1905" s="1"/>
  <c r="J1904"/>
  <c r="K1904" s="1"/>
  <c r="J1903"/>
  <c r="K1903" s="1"/>
  <c r="L1903" s="1"/>
  <c r="M1903" s="1"/>
  <c r="J1902"/>
  <c r="K1902" s="1"/>
  <c r="M1902" s="1"/>
  <c r="J1901"/>
  <c r="K1901" s="1"/>
  <c r="M1901" s="1"/>
  <c r="J1900"/>
  <c r="K1900" s="1"/>
  <c r="M1900" s="1"/>
  <c r="J1899"/>
  <c r="K1899" s="1"/>
  <c r="L1899" s="1"/>
  <c r="M1899" s="1"/>
  <c r="J1898"/>
  <c r="K1898" s="1"/>
  <c r="J1897"/>
  <c r="K1897" s="1"/>
  <c r="L1897" s="1"/>
  <c r="M1897" s="1"/>
  <c r="J1896"/>
  <c r="K1896" s="1"/>
  <c r="M1896" s="1"/>
  <c r="J1895"/>
  <c r="K1895" s="1"/>
  <c r="M1895" s="1"/>
  <c r="J1894"/>
  <c r="K1894" s="1"/>
  <c r="L1894" s="1"/>
  <c r="M1894" s="1"/>
  <c r="J1893"/>
  <c r="K1893" s="1"/>
  <c r="L1893" s="1"/>
  <c r="M1893" s="1"/>
  <c r="J1892"/>
  <c r="K1892" s="1"/>
  <c r="J1891"/>
  <c r="K1891" s="1"/>
  <c r="L1891" s="1"/>
  <c r="M1891" s="1"/>
  <c r="J1890"/>
  <c r="K1890" s="1"/>
  <c r="L1890" s="1"/>
  <c r="M1890" s="1"/>
  <c r="J1889"/>
  <c r="K1889" s="1"/>
  <c r="J1888"/>
  <c r="K1888" s="1"/>
  <c r="L1888" s="1"/>
  <c r="M1888" s="1"/>
  <c r="J1887"/>
  <c r="K1887" s="1"/>
  <c r="L1887" s="1"/>
  <c r="M1887" s="1"/>
  <c r="J1886"/>
  <c r="K1886" s="1"/>
  <c r="L1886" s="1"/>
  <c r="M1886" s="1"/>
  <c r="J1885"/>
  <c r="K1885" s="1"/>
  <c r="L1885" s="1"/>
  <c r="M1885" s="1"/>
  <c r="J1884"/>
  <c r="K1884" s="1"/>
  <c r="L1884" s="1"/>
  <c r="M1884" s="1"/>
  <c r="J1883"/>
  <c r="K1883" s="1"/>
  <c r="L1883" s="1"/>
  <c r="M1883" s="1"/>
  <c r="J1882"/>
  <c r="K1882" s="1"/>
  <c r="J1881"/>
  <c r="K1881" s="1"/>
  <c r="L1881" s="1"/>
  <c r="M1881" s="1"/>
  <c r="J1880"/>
  <c r="K1880" s="1"/>
  <c r="L1880" s="1"/>
  <c r="M1880" s="1"/>
  <c r="J1879"/>
  <c r="K1879" s="1"/>
  <c r="J1878"/>
  <c r="K1878" s="1"/>
  <c r="L1878" s="1"/>
  <c r="M1878" s="1"/>
  <c r="J1877"/>
  <c r="K1877" s="1"/>
  <c r="L1877" s="1"/>
  <c r="M1877" s="1"/>
  <c r="J1876"/>
  <c r="K1876" s="1"/>
  <c r="L1876" s="1"/>
  <c r="M1876" s="1"/>
  <c r="J1875"/>
  <c r="K1875" s="1"/>
  <c r="L1875" s="1"/>
  <c r="M1875" s="1"/>
  <c r="J1874"/>
  <c r="K1874" s="1"/>
  <c r="J1873"/>
  <c r="K1873" s="1"/>
  <c r="J1872"/>
  <c r="K1872" s="1"/>
  <c r="L1872" s="1"/>
  <c r="M1872" s="1"/>
  <c r="J1871"/>
  <c r="K1871" s="1"/>
  <c r="L1871" s="1"/>
  <c r="M1871" s="1"/>
  <c r="J1870"/>
  <c r="K1870" s="1"/>
  <c r="L1870" s="1"/>
  <c r="M1870" s="1"/>
  <c r="J1869"/>
  <c r="K1869" s="1"/>
  <c r="L1869" s="1"/>
  <c r="M1869" s="1"/>
  <c r="J1868"/>
  <c r="K1868" s="1"/>
  <c r="L1868" s="1"/>
  <c r="M1868" s="1"/>
  <c r="J1867"/>
  <c r="K1867" s="1"/>
  <c r="L1867" s="1"/>
  <c r="M1867" s="1"/>
  <c r="J1866"/>
  <c r="K1866" s="1"/>
  <c r="L1866" s="1"/>
  <c r="M1866" s="1"/>
  <c r="J1865"/>
  <c r="K1865" s="1"/>
  <c r="J1864"/>
  <c r="K1864" s="1"/>
  <c r="L1864" s="1"/>
  <c r="M1864" s="1"/>
  <c r="J1863"/>
  <c r="K1863" s="1"/>
  <c r="L1863" s="1"/>
  <c r="M1863" s="1"/>
  <c r="J1862"/>
  <c r="K1862" s="1"/>
  <c r="L1862" s="1"/>
  <c r="M1862" s="1"/>
  <c r="J1861"/>
  <c r="K1861" s="1"/>
  <c r="L1861" s="1"/>
  <c r="M1861" s="1"/>
  <c r="J1857"/>
  <c r="K1857" s="1"/>
  <c r="J1856"/>
  <c r="K1856" s="1"/>
  <c r="L1856" s="1"/>
  <c r="M1856" s="1"/>
  <c r="J1855"/>
  <c r="K1855" s="1"/>
  <c r="L1855" s="1"/>
  <c r="M1855" s="1"/>
  <c r="J1854"/>
  <c r="K1854" s="1"/>
  <c r="J1853"/>
  <c r="K1853" s="1"/>
  <c r="L1853" s="1"/>
  <c r="M1853" s="1"/>
  <c r="J1852"/>
  <c r="K1852" s="1"/>
  <c r="L1852" s="1"/>
  <c r="M1852" s="1"/>
  <c r="J1851"/>
  <c r="K1851" s="1"/>
  <c r="J1850"/>
  <c r="K1850" s="1"/>
  <c r="L1850" s="1"/>
  <c r="M1850" s="1"/>
  <c r="J1849"/>
  <c r="K1849" s="1"/>
  <c r="L1849" s="1"/>
  <c r="M1849" s="1"/>
  <c r="J1848"/>
  <c r="K1848" s="1"/>
  <c r="L1848" s="1"/>
  <c r="M1848" s="1"/>
  <c r="J1847"/>
  <c r="K1847" s="1"/>
  <c r="L1847" s="1"/>
  <c r="M1847" s="1"/>
  <c r="J1846"/>
  <c r="K1846" s="1"/>
  <c r="L1846" s="1"/>
  <c r="M1846" s="1"/>
  <c r="J1845"/>
  <c r="K1845" s="1"/>
  <c r="L1845" s="1"/>
  <c r="M1845" s="1"/>
  <c r="J1844"/>
  <c r="K1844" s="1"/>
  <c r="L1844" s="1"/>
  <c r="M1844" s="1"/>
  <c r="J1843"/>
  <c r="K1843" s="1"/>
  <c r="J1842"/>
  <c r="K1842" s="1"/>
  <c r="L1842" s="1"/>
  <c r="M1842" s="1"/>
  <c r="J1841"/>
  <c r="K1841" s="1"/>
  <c r="L1841" s="1"/>
  <c r="M1841" s="1"/>
  <c r="J1840"/>
  <c r="K1840" s="1"/>
  <c r="J1839"/>
  <c r="K1839" s="1"/>
  <c r="L1839" s="1"/>
  <c r="M1839" s="1"/>
  <c r="J1838"/>
  <c r="K1838" s="1"/>
  <c r="L1838" s="1"/>
  <c r="M1838" s="1"/>
  <c r="J1837"/>
  <c r="K1837" s="1"/>
  <c r="L1837" s="1"/>
  <c r="M1837" s="1"/>
  <c r="J1836"/>
  <c r="K1836" s="1"/>
  <c r="L1836" s="1"/>
  <c r="M1836" s="1"/>
  <c r="J1835"/>
  <c r="K1835" s="1"/>
  <c r="J1834"/>
  <c r="K1834" s="1"/>
  <c r="L1834" s="1"/>
  <c r="M1834" s="1"/>
  <c r="J1833"/>
  <c r="K1833" s="1"/>
  <c r="L1833" s="1"/>
  <c r="M1833" s="1"/>
  <c r="J1832"/>
  <c r="K1832" s="1"/>
  <c r="J1831"/>
  <c r="K1831" s="1"/>
  <c r="J1830"/>
  <c r="K1830" s="1"/>
  <c r="L1830" s="1"/>
  <c r="M1830" s="1"/>
  <c r="J1829"/>
  <c r="K1829" s="1"/>
  <c r="L1829" s="1"/>
  <c r="M1829" s="1"/>
  <c r="J1828"/>
  <c r="K1828" s="1"/>
  <c r="L1828" s="1"/>
  <c r="M1828" s="1"/>
  <c r="J1827"/>
  <c r="K1827" s="1"/>
  <c r="L1827" s="1"/>
  <c r="M1827" s="1"/>
  <c r="J1826"/>
  <c r="K1826" s="1"/>
  <c r="J1825"/>
  <c r="K1825" s="1"/>
  <c r="L1825" s="1"/>
  <c r="M1825" s="1"/>
  <c r="J1824"/>
  <c r="K1824" s="1"/>
  <c r="L1824" s="1"/>
  <c r="M1824" s="1"/>
  <c r="J1823"/>
  <c r="K1823" s="1"/>
  <c r="J1822"/>
  <c r="K1822" s="1"/>
  <c r="L1822" s="1"/>
  <c r="M1822" s="1"/>
  <c r="J1821"/>
  <c r="K1821" s="1"/>
  <c r="L1821" s="1"/>
  <c r="M1821" s="1"/>
  <c r="J1820"/>
  <c r="K1820" s="1"/>
  <c r="L1820" s="1"/>
  <c r="M1820" s="1"/>
  <c r="J1819"/>
  <c r="K1819" s="1"/>
  <c r="L1819" s="1"/>
  <c r="M1819" s="1"/>
  <c r="J1818"/>
  <c r="K1818" s="1"/>
  <c r="L1818" s="1"/>
  <c r="M1818" s="1"/>
  <c r="J1817"/>
  <c r="K1817" s="1"/>
  <c r="L1817" s="1"/>
  <c r="M1817" s="1"/>
  <c r="J1812"/>
  <c r="K1812" s="1"/>
  <c r="J1811"/>
  <c r="K1811" s="1"/>
  <c r="J1810"/>
  <c r="K1810" s="1"/>
  <c r="L1810" s="1"/>
  <c r="M1810" s="1"/>
  <c r="J1809"/>
  <c r="K1809" s="1"/>
  <c r="L1809" s="1"/>
  <c r="M1809" s="1"/>
  <c r="J1808"/>
  <c r="K1808" s="1"/>
  <c r="J1807"/>
  <c r="K1807" s="1"/>
  <c r="L1807" s="1"/>
  <c r="M1807" s="1"/>
  <c r="J1806"/>
  <c r="K1806" s="1"/>
  <c r="L1806" s="1"/>
  <c r="M1806" s="1"/>
  <c r="J1805"/>
  <c r="K1805" s="1"/>
  <c r="J1804"/>
  <c r="K1804" s="1"/>
  <c r="L1804" s="1"/>
  <c r="M1804" s="1"/>
  <c r="J1803"/>
  <c r="K1803" s="1"/>
  <c r="J1802"/>
  <c r="K1802" s="1"/>
  <c r="J1801"/>
  <c r="K1801" s="1"/>
  <c r="J1800"/>
  <c r="K1800" s="1"/>
  <c r="L1800" s="1"/>
  <c r="M1800" s="1"/>
  <c r="J1799"/>
  <c r="K1799" s="1"/>
  <c r="L1799" s="1"/>
  <c r="M1799" s="1"/>
  <c r="J1798"/>
  <c r="K1798" s="1"/>
  <c r="J1797"/>
  <c r="K1797" s="1"/>
  <c r="J1796"/>
  <c r="K1796" s="1"/>
  <c r="L1796" s="1"/>
  <c r="M1796" s="1"/>
  <c r="J1795"/>
  <c r="K1795" s="1"/>
  <c r="L1795" s="1"/>
  <c r="M1795" s="1"/>
  <c r="J1794"/>
  <c r="K1794" s="1"/>
  <c r="J1793"/>
  <c r="K1793" s="1"/>
  <c r="J1792"/>
  <c r="K1792" s="1"/>
  <c r="J1791"/>
  <c r="K1791" s="1"/>
  <c r="L1791" s="1"/>
  <c r="M1791" s="1"/>
  <c r="J1790"/>
  <c r="K1790" s="1"/>
  <c r="J1789"/>
  <c r="K1789" s="1"/>
  <c r="L1789" s="1"/>
  <c r="M1789" s="1"/>
  <c r="J1788"/>
  <c r="K1788" s="1"/>
  <c r="J1787"/>
  <c r="K1787" s="1"/>
  <c r="J1786"/>
  <c r="K1786" s="1"/>
  <c r="L1786" s="1"/>
  <c r="M1786" s="1"/>
  <c r="J1785"/>
  <c r="K1785" s="1"/>
  <c r="L1785" s="1"/>
  <c r="M1785" s="1"/>
  <c r="J1784"/>
  <c r="K1784" s="1"/>
  <c r="L1784" s="1"/>
  <c r="M1784" s="1"/>
  <c r="J1783"/>
  <c r="K1783" s="1"/>
  <c r="L1783" s="1"/>
  <c r="M1783" s="1"/>
  <c r="J1782"/>
  <c r="K1782" s="1"/>
  <c r="L1782" s="1"/>
  <c r="M1782" s="1"/>
  <c r="J1781"/>
  <c r="K1781" s="1"/>
  <c r="L1781" s="1"/>
  <c r="M1781" s="1"/>
  <c r="J1780"/>
  <c r="K1780" s="1"/>
  <c r="L1780" s="1"/>
  <c r="M1780" s="1"/>
  <c r="J1779"/>
  <c r="K1779" s="1"/>
  <c r="L1779" s="1"/>
  <c r="M1779" s="1"/>
  <c r="J1778"/>
  <c r="K1778" s="1"/>
  <c r="J1777"/>
  <c r="K1777" s="1"/>
  <c r="L1777" s="1"/>
  <c r="M1777" s="1"/>
  <c r="J1776"/>
  <c r="K1776" s="1"/>
  <c r="L1776" s="1"/>
  <c r="M1776" s="1"/>
  <c r="J1775"/>
  <c r="K1775" s="1"/>
  <c r="L1775" s="1"/>
  <c r="M1775" s="1"/>
  <c r="J1774"/>
  <c r="K1774" s="1"/>
  <c r="L1774" s="1"/>
  <c r="M1774" s="1"/>
  <c r="J1773"/>
  <c r="K1773" s="1"/>
  <c r="L1773" s="1"/>
  <c r="M1773" s="1"/>
  <c r="J1772"/>
  <c r="K1772" s="1"/>
  <c r="L1772" s="1"/>
  <c r="M1772" s="1"/>
  <c r="J1771"/>
  <c r="K1771" s="1"/>
  <c r="J1770"/>
  <c r="K1770" s="1"/>
  <c r="L1770" s="1"/>
  <c r="M1770" s="1"/>
  <c r="J1769"/>
  <c r="K1769" s="1"/>
  <c r="L1769" s="1"/>
  <c r="M1769" s="1"/>
  <c r="J1768"/>
  <c r="K1768" s="1"/>
  <c r="J1767"/>
  <c r="K1767" s="1"/>
  <c r="L1767" s="1"/>
  <c r="M1767" s="1"/>
  <c r="J1766"/>
  <c r="K1766" s="1"/>
  <c r="L1766" s="1"/>
  <c r="M1766" s="1"/>
  <c r="J1765"/>
  <c r="K1765" s="1"/>
  <c r="L1765" s="1"/>
  <c r="M1765" s="1"/>
  <c r="J1764"/>
  <c r="K1764" s="1"/>
  <c r="L1764" s="1"/>
  <c r="M1764" s="1"/>
  <c r="J1763"/>
  <c r="K1763" s="1"/>
  <c r="L1763" s="1"/>
  <c r="M1763" s="1"/>
  <c r="J1762"/>
  <c r="K1762" s="1"/>
  <c r="L1762" s="1"/>
  <c r="M1762" s="1"/>
  <c r="J1761"/>
  <c r="K1761" s="1"/>
  <c r="L1761" s="1"/>
  <c r="M1761" s="1"/>
  <c r="J1760"/>
  <c r="K1760" s="1"/>
  <c r="J1759"/>
  <c r="K1759" s="1"/>
  <c r="L1759" s="1"/>
  <c r="M1759" s="1"/>
  <c r="J1758"/>
  <c r="K1758" s="1"/>
  <c r="L1758" s="1"/>
  <c r="M1758" s="1"/>
  <c r="J1757"/>
  <c r="K1757" s="1"/>
  <c r="L1757" s="1"/>
  <c r="M1757" s="1"/>
  <c r="J1756"/>
  <c r="K1756" s="1"/>
  <c r="L1756" s="1"/>
  <c r="M1756" s="1"/>
  <c r="J1755"/>
  <c r="K1755" s="1"/>
  <c r="J1754"/>
  <c r="K1754" s="1"/>
  <c r="L1754" s="1"/>
  <c r="M1754" s="1"/>
  <c r="J1753"/>
  <c r="K1753" s="1"/>
  <c r="M1753" s="1"/>
  <c r="J1752"/>
  <c r="K1752" s="1"/>
  <c r="M1752" s="1"/>
  <c r="J1751"/>
  <c r="K1751" s="1"/>
  <c r="M1751" s="1"/>
  <c r="J1750"/>
  <c r="K1750" s="1"/>
  <c r="L1750" s="1"/>
  <c r="M1750" s="1"/>
  <c r="J1749"/>
  <c r="K1749" s="1"/>
  <c r="J1748"/>
  <c r="K1748" s="1"/>
  <c r="L1748" s="1"/>
  <c r="M1748" s="1"/>
  <c r="J1747"/>
  <c r="K1747" s="1"/>
  <c r="M1747" s="1"/>
  <c r="J1746"/>
  <c r="K1746" s="1"/>
  <c r="M1746" s="1"/>
  <c r="J1745"/>
  <c r="K1745" s="1"/>
  <c r="L1745" s="1"/>
  <c r="M1745" s="1"/>
  <c r="J1744"/>
  <c r="K1744" s="1"/>
  <c r="L1744" s="1"/>
  <c r="M1744" s="1"/>
  <c r="J1743"/>
  <c r="K1743" s="1"/>
  <c r="J1742"/>
  <c r="K1742" s="1"/>
  <c r="L1742" s="1"/>
  <c r="M1742" s="1"/>
  <c r="J1741"/>
  <c r="K1741" s="1"/>
  <c r="L1741" s="1"/>
  <c r="M1741" s="1"/>
  <c r="J1740"/>
  <c r="K1740" s="1"/>
  <c r="J1739"/>
  <c r="K1739" s="1"/>
  <c r="L1739" s="1"/>
  <c r="M1739" s="1"/>
  <c r="J1738"/>
  <c r="K1738" s="1"/>
  <c r="L1738" s="1"/>
  <c r="M1738" s="1"/>
  <c r="J1737"/>
  <c r="K1737" s="1"/>
  <c r="J1736"/>
  <c r="K1736" s="1"/>
  <c r="L1736" s="1"/>
  <c r="M1736" s="1"/>
  <c r="J1735"/>
  <c r="K1735" s="1"/>
  <c r="L1735" s="1"/>
  <c r="M1735" s="1"/>
  <c r="J1734"/>
  <c r="K1734" s="1"/>
  <c r="L1734" s="1"/>
  <c r="M1734" s="1"/>
  <c r="J1733"/>
  <c r="K1733" s="1"/>
  <c r="J1732"/>
  <c r="K1732" s="1"/>
  <c r="L1732" s="1"/>
  <c r="M1732" s="1"/>
  <c r="L1731"/>
  <c r="M1731" s="1"/>
  <c r="J1730"/>
  <c r="K1730" s="1"/>
  <c r="J1729"/>
  <c r="K1729" s="1"/>
  <c r="J1728"/>
  <c r="K1728" s="1"/>
  <c r="L1728" s="1"/>
  <c r="M1728" s="1"/>
  <c r="J1727"/>
  <c r="K1727" s="1"/>
  <c r="L1727" s="1"/>
  <c r="M1727" s="1"/>
  <c r="J1726"/>
  <c r="K1726" s="1"/>
  <c r="L1726" s="1"/>
  <c r="M1726" s="1"/>
  <c r="J1725"/>
  <c r="K1725" s="1"/>
  <c r="L1725" s="1"/>
  <c r="M1725" s="1"/>
  <c r="J1724"/>
  <c r="K1724" s="1"/>
  <c r="L1724" s="1"/>
  <c r="M1724" s="1"/>
  <c r="J1723"/>
  <c r="K1723" s="1"/>
  <c r="L1723" s="1"/>
  <c r="M1723" s="1"/>
  <c r="L1722"/>
  <c r="M1722" s="1"/>
  <c r="J1718"/>
  <c r="K1718" s="1"/>
  <c r="J1717"/>
  <c r="K1717" s="1"/>
  <c r="L1717" s="1"/>
  <c r="M1717" s="1"/>
  <c r="J1716"/>
  <c r="K1716" s="1"/>
  <c r="L1716" s="1"/>
  <c r="M1716" s="1"/>
  <c r="J1715"/>
  <c r="K1715" s="1"/>
  <c r="J1714"/>
  <c r="K1714" s="1"/>
  <c r="L1714" s="1"/>
  <c r="M1714" s="1"/>
  <c r="J1713"/>
  <c r="K1713" s="1"/>
  <c r="L1713" s="1"/>
  <c r="M1713" s="1"/>
  <c r="J1712"/>
  <c r="K1712" s="1"/>
  <c r="L1712" s="1"/>
  <c r="M1712" s="1"/>
  <c r="J1711"/>
  <c r="K1711" s="1"/>
  <c r="L1711" s="1"/>
  <c r="M1711" s="1"/>
  <c r="J1710"/>
  <c r="K1710" s="1"/>
  <c r="L1710" s="1"/>
  <c r="M1710" s="1"/>
  <c r="J1709"/>
  <c r="K1709" s="1"/>
  <c r="L1709" s="1"/>
  <c r="M1709" s="1"/>
  <c r="J1708"/>
  <c r="K1708" s="1"/>
  <c r="L1708" s="1"/>
  <c r="M1708" s="1"/>
  <c r="J1699"/>
  <c r="K1699" s="1"/>
  <c r="J1698"/>
  <c r="K1698" s="1"/>
  <c r="L1698" s="1"/>
  <c r="M1698" s="1"/>
  <c r="J1697"/>
  <c r="K1697" s="1"/>
  <c r="L1697" s="1"/>
  <c r="M1697" s="1"/>
  <c r="J1696"/>
  <c r="K1696" s="1"/>
  <c r="L1696" s="1"/>
  <c r="M1696" s="1"/>
  <c r="J1695"/>
  <c r="K1695" s="1"/>
  <c r="L1695" s="1"/>
  <c r="M1695" s="1"/>
  <c r="J1694"/>
  <c r="K1694" s="1"/>
  <c r="L1694" s="1"/>
  <c r="M1694" s="1"/>
  <c r="L1693"/>
  <c r="M1693" s="1"/>
  <c r="J1688"/>
  <c r="K1688" s="1"/>
  <c r="J1687"/>
  <c r="K1687" s="1"/>
  <c r="J1686"/>
  <c r="K1686" s="1"/>
  <c r="L1686" s="1"/>
  <c r="M1686" s="1"/>
  <c r="J1685"/>
  <c r="K1685" s="1"/>
  <c r="L1685" s="1"/>
  <c r="M1685" s="1"/>
  <c r="J1684"/>
  <c r="K1684" s="1"/>
  <c r="J1683"/>
  <c r="J1682"/>
  <c r="J1681"/>
  <c r="K1681" s="1"/>
  <c r="J1680"/>
  <c r="K1680" s="1"/>
  <c r="L1680" s="1"/>
  <c r="M1680" s="1"/>
  <c r="J1679"/>
  <c r="K1679" s="1"/>
  <c r="J1678"/>
  <c r="K1678" s="1"/>
  <c r="J1677"/>
  <c r="K1677" s="1"/>
  <c r="J1676"/>
  <c r="K1676" s="1"/>
  <c r="L1676" s="1"/>
  <c r="M1676" s="1"/>
  <c r="J1675"/>
  <c r="K1675" s="1"/>
  <c r="L1675" s="1"/>
  <c r="M1675" s="1"/>
  <c r="J1674"/>
  <c r="K1674" s="1"/>
  <c r="J1673"/>
  <c r="K1673" s="1"/>
  <c r="J1672"/>
  <c r="K1672" s="1"/>
  <c r="L1672" s="1"/>
  <c r="M1672" s="1"/>
  <c r="J1671"/>
  <c r="K1671" s="1"/>
  <c r="L1671" s="1"/>
  <c r="M1671" s="1"/>
  <c r="J1670"/>
  <c r="K1670" s="1"/>
  <c r="J1669"/>
  <c r="K1669" s="1"/>
  <c r="J1668"/>
  <c r="K1668" s="1"/>
  <c r="L1668" s="1"/>
  <c r="M1668" s="1"/>
  <c r="J1667"/>
  <c r="K1667" s="1"/>
  <c r="J1666"/>
  <c r="K1666" s="1"/>
  <c r="L1666" s="1"/>
  <c r="M1666" s="1"/>
  <c r="J1665"/>
  <c r="K1665" s="1"/>
  <c r="J1664"/>
  <c r="K1664" s="1"/>
  <c r="J1663"/>
  <c r="K1663" s="1"/>
  <c r="L1663" s="1"/>
  <c r="M1663" s="1"/>
  <c r="J1662"/>
  <c r="K1662" s="1"/>
  <c r="L1662" s="1"/>
  <c r="M1662" s="1"/>
  <c r="L1661"/>
  <c r="M1661" s="1"/>
  <c r="L1660"/>
  <c r="M1660" s="1"/>
  <c r="L1659"/>
  <c r="M1659" s="1"/>
  <c r="L1658"/>
  <c r="M1658" s="1"/>
  <c r="L1657"/>
  <c r="M1657" s="1"/>
  <c r="J1656"/>
  <c r="K1656" s="1"/>
  <c r="L1656" s="1"/>
  <c r="M1656" s="1"/>
  <c r="J1655"/>
  <c r="K1655" s="1"/>
  <c r="J1654"/>
  <c r="K1654" s="1"/>
  <c r="L1654" s="1"/>
  <c r="M1654" s="1"/>
  <c r="J1653"/>
  <c r="K1653" s="1"/>
  <c r="L1653" s="1"/>
  <c r="M1653" s="1"/>
  <c r="J1652"/>
  <c r="K1652" s="1"/>
  <c r="J1651"/>
  <c r="K1651" s="1"/>
  <c r="L1651" s="1"/>
  <c r="M1651" s="1"/>
  <c r="J1650"/>
  <c r="K1650" s="1"/>
  <c r="L1650" s="1"/>
  <c r="M1650" s="1"/>
  <c r="J1649"/>
  <c r="K1649" s="1"/>
  <c r="L1649" s="1"/>
  <c r="M1649" s="1"/>
  <c r="J1648"/>
  <c r="K1648" s="1"/>
  <c r="L1648" s="1"/>
  <c r="M1648" s="1"/>
  <c r="J1647"/>
  <c r="K1647" s="1"/>
  <c r="L1647" s="1"/>
  <c r="M1647" s="1"/>
  <c r="J1646"/>
  <c r="K1646" s="1"/>
  <c r="L1646" s="1"/>
  <c r="M1646" s="1"/>
  <c r="J1645"/>
  <c r="K1645" s="1"/>
  <c r="L1645" s="1"/>
  <c r="M1645" s="1"/>
  <c r="J1644"/>
  <c r="K1644" s="1"/>
  <c r="J1643"/>
  <c r="K1643" s="1"/>
  <c r="L1643" s="1"/>
  <c r="M1643" s="1"/>
  <c r="J1642"/>
  <c r="K1642" s="1"/>
  <c r="L1642" s="1"/>
  <c r="M1642" s="1"/>
  <c r="J1641"/>
  <c r="K1641" s="1"/>
  <c r="L1641" s="1"/>
  <c r="M1641" s="1"/>
  <c r="J1640"/>
  <c r="K1640" s="1"/>
  <c r="L1640" s="1"/>
  <c r="M1640" s="1"/>
  <c r="J1639"/>
  <c r="K1639" s="1"/>
  <c r="J1638"/>
  <c r="K1638" s="1"/>
  <c r="L1638" s="1"/>
  <c r="M1638" s="1"/>
  <c r="J1637"/>
  <c r="K1637" s="1"/>
  <c r="M1637" s="1"/>
  <c r="J1636"/>
  <c r="K1636" s="1"/>
  <c r="M1636" s="1"/>
  <c r="J1635"/>
  <c r="K1635" s="1"/>
  <c r="M1635" s="1"/>
  <c r="J1634"/>
  <c r="K1634" s="1"/>
  <c r="L1634" s="1"/>
  <c r="M1634" s="1"/>
  <c r="J1633"/>
  <c r="K1633" s="1"/>
  <c r="J1632"/>
  <c r="K1632" s="1"/>
  <c r="L1632" s="1"/>
  <c r="M1632" s="1"/>
  <c r="J1631"/>
  <c r="K1631" s="1"/>
  <c r="M1631" s="1"/>
  <c r="J1630"/>
  <c r="K1630" s="1"/>
  <c r="M1630" s="1"/>
  <c r="J1629"/>
  <c r="K1629" s="1"/>
  <c r="L1629" s="1"/>
  <c r="M1629" s="1"/>
  <c r="J1628"/>
  <c r="K1628" s="1"/>
  <c r="L1628" s="1"/>
  <c r="M1628" s="1"/>
  <c r="J1627"/>
  <c r="K1627" s="1"/>
  <c r="J1626"/>
  <c r="K1626" s="1"/>
  <c r="L1626" s="1"/>
  <c r="M1626" s="1"/>
  <c r="J1625"/>
  <c r="K1625" s="1"/>
  <c r="L1625" s="1"/>
  <c r="M1625" s="1"/>
  <c r="J1624"/>
  <c r="K1624" s="1"/>
  <c r="J1623"/>
  <c r="K1623" s="1"/>
  <c r="L1623" s="1"/>
  <c r="M1623" s="1"/>
  <c r="J1622"/>
  <c r="K1622" s="1"/>
  <c r="L1622" s="1"/>
  <c r="M1622" s="1"/>
  <c r="J1621"/>
  <c r="K1621" s="1"/>
  <c r="J1620"/>
  <c r="K1620" s="1"/>
  <c r="L1620" s="1"/>
  <c r="M1620" s="1"/>
  <c r="J1619"/>
  <c r="K1619" s="1"/>
  <c r="L1619" s="1"/>
  <c r="M1619" s="1"/>
  <c r="J1618"/>
  <c r="K1618" s="1"/>
  <c r="L1618" s="1"/>
  <c r="M1618" s="1"/>
  <c r="J1617"/>
  <c r="K1617" s="1"/>
  <c r="L1617" s="1"/>
  <c r="M1617" s="1"/>
  <c r="J1616"/>
  <c r="K1616" s="1"/>
  <c r="L1616" s="1"/>
  <c r="M1616" s="1"/>
  <c r="J1615"/>
  <c r="K1615" s="1"/>
  <c r="L1615" s="1"/>
  <c r="M1615" s="1"/>
  <c r="J1614"/>
  <c r="K1614" s="1"/>
  <c r="J1613"/>
  <c r="K1613" s="1"/>
  <c r="J1612"/>
  <c r="K1612" s="1"/>
  <c r="L1612" s="1"/>
  <c r="M1612" s="1"/>
  <c r="J1611"/>
  <c r="K1611" s="1"/>
  <c r="L1611" s="1"/>
  <c r="M1611" s="1"/>
  <c r="J1610"/>
  <c r="K1610" s="1"/>
  <c r="L1610" s="1"/>
  <c r="M1610" s="1"/>
  <c r="J1609"/>
  <c r="K1609" s="1"/>
  <c r="L1609" s="1"/>
  <c r="M1609" s="1"/>
  <c r="J1608"/>
  <c r="K1608" s="1"/>
  <c r="L1608" s="1"/>
  <c r="M1608" s="1"/>
  <c r="J1607"/>
  <c r="K1607" s="1"/>
  <c r="L1607" s="1"/>
  <c r="M1607" s="1"/>
  <c r="J1606"/>
  <c r="K1606" s="1"/>
  <c r="L1606" s="1"/>
  <c r="M1606" s="1"/>
  <c r="J1594"/>
  <c r="K1594" s="1"/>
  <c r="J1593"/>
  <c r="K1593" s="1"/>
  <c r="L1593" s="1"/>
  <c r="M1593" s="1"/>
  <c r="J1592"/>
  <c r="K1592" s="1"/>
  <c r="L1592" s="1"/>
  <c r="M1592" s="1"/>
  <c r="J1591"/>
  <c r="K1591" s="1"/>
  <c r="J1590"/>
  <c r="K1590" s="1"/>
  <c r="L1590" s="1"/>
  <c r="M1590" s="1"/>
  <c r="J1589"/>
  <c r="K1589" s="1"/>
  <c r="L1589" s="1"/>
  <c r="M1589" s="1"/>
  <c r="J1588"/>
  <c r="K1588" s="1"/>
  <c r="J1587"/>
  <c r="K1587" s="1"/>
  <c r="L1587" s="1"/>
  <c r="M1587" s="1"/>
  <c r="J1586"/>
  <c r="K1586" s="1"/>
  <c r="L1586" s="1"/>
  <c r="M1586" s="1"/>
  <c r="J1585"/>
  <c r="K1585" s="1"/>
  <c r="L1585" s="1"/>
  <c r="M1585" s="1"/>
  <c r="J1584"/>
  <c r="K1584" s="1"/>
  <c r="L1584" s="1"/>
  <c r="M1584" s="1"/>
  <c r="J1583"/>
  <c r="K1583" s="1"/>
  <c r="L1583" s="1"/>
  <c r="M1583" s="1"/>
  <c r="L1582"/>
  <c r="M1582" s="1"/>
  <c r="L1581"/>
  <c r="M1581" s="1"/>
  <c r="J1577"/>
  <c r="K1577" s="1"/>
  <c r="J1576"/>
  <c r="K1576" s="1"/>
  <c r="L1576" s="1"/>
  <c r="M1576" s="1"/>
  <c r="J1575"/>
  <c r="K1575" s="1"/>
  <c r="L1575" s="1"/>
  <c r="M1575" s="1"/>
  <c r="J1574"/>
  <c r="K1574" s="1"/>
  <c r="L1574" s="1"/>
  <c r="M1574" s="1"/>
  <c r="J1573"/>
  <c r="K1573" s="1"/>
  <c r="L1573" s="1"/>
  <c r="M1573" s="1"/>
  <c r="J1572"/>
  <c r="K1572" s="1"/>
  <c r="J1571"/>
  <c r="K1571" s="1"/>
  <c r="L1571" s="1"/>
  <c r="M1571" s="1"/>
  <c r="J1570"/>
  <c r="K1570" s="1"/>
  <c r="L1570" s="1"/>
  <c r="M1570" s="1"/>
  <c r="J1569"/>
  <c r="K1569" s="1"/>
  <c r="L1569" s="1"/>
  <c r="M1569" s="1"/>
  <c r="J1568"/>
  <c r="K1568" s="1"/>
  <c r="L1568" s="1"/>
  <c r="M1568" s="1"/>
  <c r="J1567"/>
  <c r="K1567" s="1"/>
  <c r="J1566"/>
  <c r="K1566" s="1"/>
  <c r="L1566" s="1"/>
  <c r="M1566" s="1"/>
  <c r="J1565"/>
  <c r="K1565" s="1"/>
  <c r="L1565" s="1"/>
  <c r="M1565" s="1"/>
  <c r="J1564"/>
  <c r="K1564" s="1"/>
  <c r="J1563"/>
  <c r="K1563" s="1"/>
  <c r="L1563" s="1"/>
  <c r="M1563" s="1"/>
  <c r="J1562"/>
  <c r="K1562" s="1"/>
  <c r="L1562" s="1"/>
  <c r="M1562" s="1"/>
  <c r="J1561"/>
  <c r="K1561" s="1"/>
  <c r="L1561" s="1"/>
  <c r="M1561" s="1"/>
  <c r="J1560"/>
  <c r="K1560" s="1"/>
  <c r="L1560" s="1"/>
  <c r="M1560" s="1"/>
  <c r="J1559"/>
  <c r="K1559" s="1"/>
  <c r="L1559" s="1"/>
  <c r="M1559" s="1"/>
  <c r="J1558"/>
  <c r="K1558" s="1"/>
  <c r="L1558" s="1"/>
  <c r="M1558" s="1"/>
  <c r="J1553"/>
  <c r="K1553" s="1"/>
  <c r="J1552"/>
  <c r="K1552" s="1"/>
  <c r="J1551"/>
  <c r="K1551" s="1"/>
  <c r="L1551" s="1"/>
  <c r="M1551" s="1"/>
  <c r="J1550"/>
  <c r="K1550" s="1"/>
  <c r="L1550" s="1"/>
  <c r="M1550" s="1"/>
  <c r="J1549"/>
  <c r="K1549" s="1"/>
  <c r="J1548"/>
  <c r="K1548" s="1"/>
  <c r="L1548" s="1"/>
  <c r="M1548" s="1"/>
  <c r="J1547"/>
  <c r="K1547" s="1"/>
  <c r="L1547" s="1"/>
  <c r="M1547" s="1"/>
  <c r="J1546"/>
  <c r="K1546" s="1"/>
  <c r="J1545"/>
  <c r="K1545" s="1"/>
  <c r="L1545" s="1"/>
  <c r="M1545" s="1"/>
  <c r="J1544"/>
  <c r="K1544" s="1"/>
  <c r="J1543"/>
  <c r="K1543" s="1"/>
  <c r="J1542"/>
  <c r="K1542" s="1"/>
  <c r="J1541"/>
  <c r="K1541" s="1"/>
  <c r="L1541" s="1"/>
  <c r="M1541" s="1"/>
  <c r="J1540"/>
  <c r="K1540" s="1"/>
  <c r="L1540" s="1"/>
  <c r="M1540" s="1"/>
  <c r="J1539"/>
  <c r="K1539" s="1"/>
  <c r="J1538"/>
  <c r="K1538" s="1"/>
  <c r="J1537"/>
  <c r="K1537" s="1"/>
  <c r="L1537" s="1"/>
  <c r="M1537" s="1"/>
  <c r="J1536"/>
  <c r="K1536" s="1"/>
  <c r="L1536" s="1"/>
  <c r="M1536" s="1"/>
  <c r="J1535"/>
  <c r="K1535" s="1"/>
  <c r="J1534"/>
  <c r="K1534" s="1"/>
  <c r="J1533"/>
  <c r="K1533" s="1"/>
  <c r="J1532"/>
  <c r="K1532" s="1"/>
  <c r="L1532" s="1"/>
  <c r="M1532" s="1"/>
  <c r="J1531"/>
  <c r="K1531" s="1"/>
  <c r="J1530"/>
  <c r="K1530" s="1"/>
  <c r="L1530" s="1"/>
  <c r="M1530" s="1"/>
  <c r="J1529"/>
  <c r="K1529" s="1"/>
  <c r="J1528"/>
  <c r="K1528" s="1"/>
  <c r="J1527"/>
  <c r="K1527" s="1"/>
  <c r="L1527" s="1"/>
  <c r="M1527" s="1"/>
  <c r="J1526"/>
  <c r="K1526" s="1"/>
  <c r="L1526" s="1"/>
  <c r="M1526" s="1"/>
  <c r="L1525"/>
  <c r="M1525" s="1"/>
  <c r="L1524"/>
  <c r="M1524" s="1"/>
  <c r="L1523"/>
  <c r="M1523" s="1"/>
  <c r="L1522"/>
  <c r="M1522" s="1"/>
  <c r="L1521"/>
  <c r="M1521" s="1"/>
  <c r="J1520"/>
  <c r="K1520" s="1"/>
  <c r="L1520" s="1"/>
  <c r="M1520" s="1"/>
  <c r="J1515"/>
  <c r="K1515" s="1"/>
  <c r="J1514"/>
  <c r="K1514" s="1"/>
  <c r="J1513"/>
  <c r="K1513" s="1"/>
  <c r="L1513" s="1"/>
  <c r="M1513" s="1"/>
  <c r="J1512"/>
  <c r="K1512" s="1"/>
  <c r="J1511"/>
  <c r="K1511" s="1"/>
  <c r="J1510"/>
  <c r="K1510" s="1"/>
  <c r="L1510" s="1"/>
  <c r="M1510" s="1"/>
  <c r="J1509"/>
  <c r="K1509" s="1"/>
  <c r="L1509" s="1"/>
  <c r="M1509" s="1"/>
  <c r="J1508"/>
  <c r="K1508" s="1"/>
  <c r="J1507"/>
  <c r="K1507" s="1"/>
  <c r="L1507" s="1"/>
  <c r="M1507" s="1"/>
  <c r="J1506"/>
  <c r="K1506" s="1"/>
  <c r="J1505"/>
  <c r="K1505" s="1"/>
  <c r="J1504"/>
  <c r="K1504" s="1"/>
  <c r="L1504" s="1"/>
  <c r="M1504" s="1"/>
  <c r="J1503"/>
  <c r="K1503" s="1"/>
  <c r="L1503" s="1"/>
  <c r="M1503" s="1"/>
  <c r="J1502"/>
  <c r="K1502" s="1"/>
  <c r="J1501"/>
  <c r="K1501" s="1"/>
  <c r="J1500"/>
  <c r="K1500" s="1"/>
  <c r="L1500" s="1"/>
  <c r="M1500" s="1"/>
  <c r="J1499"/>
  <c r="K1499" s="1"/>
  <c r="L1499" s="1"/>
  <c r="M1499" s="1"/>
  <c r="J1498"/>
  <c r="K1498" s="1"/>
  <c r="J1497"/>
  <c r="K1497" s="1"/>
  <c r="J1496"/>
  <c r="K1496" s="1"/>
  <c r="L1496" s="1"/>
  <c r="M1496" s="1"/>
  <c r="J1495"/>
  <c r="K1495" s="1"/>
  <c r="J1494"/>
  <c r="K1494" s="1"/>
  <c r="L1494" s="1"/>
  <c r="M1494" s="1"/>
  <c r="J1493"/>
  <c r="K1493" s="1"/>
  <c r="J1492"/>
  <c r="K1492" s="1"/>
  <c r="J1491"/>
  <c r="K1491" s="1"/>
  <c r="L1491" s="1"/>
  <c r="M1491" s="1"/>
  <c r="J1490"/>
  <c r="K1490" s="1"/>
  <c r="L1490" s="1"/>
  <c r="M1490" s="1"/>
  <c r="J1489"/>
  <c r="K1489" s="1"/>
  <c r="L1489" s="1"/>
  <c r="M1489" s="1"/>
  <c r="J1488"/>
  <c r="K1488" s="1"/>
  <c r="L1488" s="1"/>
  <c r="M1488" s="1"/>
  <c r="J1487"/>
  <c r="K1487" s="1"/>
  <c r="L1487" s="1"/>
  <c r="M1487" s="1"/>
  <c r="J1486"/>
  <c r="K1486" s="1"/>
  <c r="J1485"/>
  <c r="K1485" s="1"/>
  <c r="L1485" s="1"/>
  <c r="M1485" s="1"/>
  <c r="J1484"/>
  <c r="K1484" s="1"/>
  <c r="L1484" s="1"/>
  <c r="M1484" s="1"/>
  <c r="J1483"/>
  <c r="K1483" s="1"/>
  <c r="J1482"/>
  <c r="K1482" s="1"/>
  <c r="L1482" s="1"/>
  <c r="M1482" s="1"/>
  <c r="J1481"/>
  <c r="K1481" s="1"/>
  <c r="L1481" s="1"/>
  <c r="M1481" s="1"/>
  <c r="J1480"/>
  <c r="K1480" s="1"/>
  <c r="L1480" s="1"/>
  <c r="M1480" s="1"/>
  <c r="J1479"/>
  <c r="K1479" s="1"/>
  <c r="L1479" s="1"/>
  <c r="M1479" s="1"/>
  <c r="J1478"/>
  <c r="K1478" s="1"/>
  <c r="L1478" s="1"/>
  <c r="M1478" s="1"/>
  <c r="J1477"/>
  <c r="K1477" s="1"/>
  <c r="L1477" s="1"/>
  <c r="M1477" s="1"/>
  <c r="J1476"/>
  <c r="K1476" s="1"/>
  <c r="J1475"/>
  <c r="K1475" s="1"/>
  <c r="L1475" s="1"/>
  <c r="M1475" s="1"/>
  <c r="J1474"/>
  <c r="K1474" s="1"/>
  <c r="J1473"/>
  <c r="K1473" s="1"/>
  <c r="L1473" s="1"/>
  <c r="M1473" s="1"/>
  <c r="J1472"/>
  <c r="K1472" s="1"/>
  <c r="L1472" s="1"/>
  <c r="M1472" s="1"/>
  <c r="J1471"/>
  <c r="K1471" s="1"/>
  <c r="L1471" s="1"/>
  <c r="M1471" s="1"/>
  <c r="J1470"/>
  <c r="K1470" s="1"/>
  <c r="L1470" s="1"/>
  <c r="M1470" s="1"/>
  <c r="J1469"/>
  <c r="K1469" s="1"/>
  <c r="J1468"/>
  <c r="K1468" s="1"/>
  <c r="L1468" s="1"/>
  <c r="M1468" s="1"/>
  <c r="J1467"/>
  <c r="K1467" s="1"/>
  <c r="L1467" s="1"/>
  <c r="M1467" s="1"/>
  <c r="J1466"/>
  <c r="K1466" s="1"/>
  <c r="L1466" s="1"/>
  <c r="M1466" s="1"/>
  <c r="J1465"/>
  <c r="K1465" s="1"/>
  <c r="L1465" s="1"/>
  <c r="M1465" s="1"/>
  <c r="J1464"/>
  <c r="K1464" s="1"/>
  <c r="L1464" s="1"/>
  <c r="M1464" s="1"/>
  <c r="J1463"/>
  <c r="K1463" s="1"/>
  <c r="L1463" s="1"/>
  <c r="M1463" s="1"/>
  <c r="J1462"/>
  <c r="K1462" s="1"/>
  <c r="J1461"/>
  <c r="K1461" s="1"/>
  <c r="L1461" s="1"/>
  <c r="M1461" s="1"/>
  <c r="J1460"/>
  <c r="K1460" s="1"/>
  <c r="L1460" s="1"/>
  <c r="M1460" s="1"/>
  <c r="J1459"/>
  <c r="K1459" s="1"/>
  <c r="J1458"/>
  <c r="K1458" s="1"/>
  <c r="L1458" s="1"/>
  <c r="M1458" s="1"/>
  <c r="J1457"/>
  <c r="K1457" s="1"/>
  <c r="L1457" s="1"/>
  <c r="M1457" s="1"/>
  <c r="J1456"/>
  <c r="K1456" s="1"/>
  <c r="J1455"/>
  <c r="K1455" s="1"/>
  <c r="L1455" s="1"/>
  <c r="M1455" s="1"/>
  <c r="J1454"/>
  <c r="K1454" s="1"/>
  <c r="L1454" s="1"/>
  <c r="M1454" s="1"/>
  <c r="J1453"/>
  <c r="K1453" s="1"/>
  <c r="L1453" s="1"/>
  <c r="M1453" s="1"/>
  <c r="J1452"/>
  <c r="K1452" s="1"/>
  <c r="L1452" s="1"/>
  <c r="M1452" s="1"/>
  <c r="J1451"/>
  <c r="K1451" s="1"/>
  <c r="L1451" s="1"/>
  <c r="M1451" s="1"/>
  <c r="J1450"/>
  <c r="K1450" s="1"/>
  <c r="L1450" s="1"/>
  <c r="M1450" s="1"/>
  <c r="J1449"/>
  <c r="K1449" s="1"/>
  <c r="L1449" s="1"/>
  <c r="M1449" s="1"/>
  <c r="J1448"/>
  <c r="K1448" s="1"/>
  <c r="J1447"/>
  <c r="K1447" s="1"/>
  <c r="L1447" s="1"/>
  <c r="M1447" s="1"/>
  <c r="J1446"/>
  <c r="K1446" s="1"/>
  <c r="L1446" s="1"/>
  <c r="M1446" s="1"/>
  <c r="J1445"/>
  <c r="K1445" s="1"/>
  <c r="L1445" s="1"/>
  <c r="M1445" s="1"/>
  <c r="J1444"/>
  <c r="K1444" s="1"/>
  <c r="L1444" s="1"/>
  <c r="M1444" s="1"/>
  <c r="J1443"/>
  <c r="K1443" s="1"/>
  <c r="L1443" s="1"/>
  <c r="M1443" s="1"/>
  <c r="J1442"/>
  <c r="K1442" s="1"/>
  <c r="J1441"/>
  <c r="K1441" s="1"/>
  <c r="L1441" s="1"/>
  <c r="M1441" s="1"/>
  <c r="J1440"/>
  <c r="K1440" s="1"/>
  <c r="L1440" s="1"/>
  <c r="M1440" s="1"/>
  <c r="J1439"/>
  <c r="K1439" s="1"/>
  <c r="J1438"/>
  <c r="K1438" s="1"/>
  <c r="L1438" s="1"/>
  <c r="M1438" s="1"/>
  <c r="J1437"/>
  <c r="K1437" s="1"/>
  <c r="J1436"/>
  <c r="K1436" s="1"/>
  <c r="J1435"/>
  <c r="K1435" s="1"/>
  <c r="J1434"/>
  <c r="K1434" s="1"/>
  <c r="L1434" s="1"/>
  <c r="M1434" s="1"/>
  <c r="J1433"/>
  <c r="K1433" s="1"/>
  <c r="L1433" s="1"/>
  <c r="M1433" s="1"/>
  <c r="J1432"/>
  <c r="K1432" s="1"/>
  <c r="L1432" s="1"/>
  <c r="M1432" s="1"/>
  <c r="J1431"/>
  <c r="K1431" s="1"/>
  <c r="L1431" s="1"/>
  <c r="M1431" s="1"/>
  <c r="J1430"/>
  <c r="K1430" s="1"/>
  <c r="L1430" s="1"/>
  <c r="M1430" s="1"/>
  <c r="J1429"/>
  <c r="K1429" s="1"/>
  <c r="L1429" s="1"/>
  <c r="M1429" s="1"/>
  <c r="J1428"/>
  <c r="K1428" s="1"/>
  <c r="L1428" s="1"/>
  <c r="M1428" s="1"/>
  <c r="J1427"/>
  <c r="K1427" s="1"/>
  <c r="L1427" s="1"/>
  <c r="M1427" s="1"/>
  <c r="J1426"/>
  <c r="K1426" s="1"/>
  <c r="L1426" s="1"/>
  <c r="M1426" s="1"/>
  <c r="J1425"/>
  <c r="K1425" s="1"/>
  <c r="J1424"/>
  <c r="K1424" s="1"/>
  <c r="J1423"/>
  <c r="K1423" s="1"/>
  <c r="L1423" s="1"/>
  <c r="M1423" s="1"/>
  <c r="J1422"/>
  <c r="K1422" s="1"/>
  <c r="J1421"/>
  <c r="K1421" s="1"/>
  <c r="J1420"/>
  <c r="K1420" s="1"/>
  <c r="J1419"/>
  <c r="K1419" s="1"/>
  <c r="L1419" s="1"/>
  <c r="M1419" s="1"/>
  <c r="J1418"/>
  <c r="K1418" s="1"/>
  <c r="J1417"/>
  <c r="K1417" s="1"/>
  <c r="L1417" s="1"/>
  <c r="M1417" s="1"/>
  <c r="J1416"/>
  <c r="K1416" s="1"/>
  <c r="J1415"/>
  <c r="K1415" s="1"/>
  <c r="J1414"/>
  <c r="K1414" s="1"/>
  <c r="J1413"/>
  <c r="K1413" s="1"/>
  <c r="L1413" s="1"/>
  <c r="M1413" s="1"/>
  <c r="J1412"/>
  <c r="K1412" s="1"/>
  <c r="L1412" s="1"/>
  <c r="M1412" s="1"/>
  <c r="J1411"/>
  <c r="K1411" s="1"/>
  <c r="J1410"/>
  <c r="K1410" s="1"/>
  <c r="L1410" s="1"/>
  <c r="M1410" s="1"/>
  <c r="J1409"/>
  <c r="K1409" s="1"/>
  <c r="J1408"/>
  <c r="K1408" s="1"/>
  <c r="J1407"/>
  <c r="K1407" s="1"/>
  <c r="J1406"/>
  <c r="K1406" s="1"/>
  <c r="L1406" s="1"/>
  <c r="M1406" s="1"/>
  <c r="J1405"/>
  <c r="K1405" s="1"/>
  <c r="L1405" s="1"/>
  <c r="M1405" s="1"/>
  <c r="J1404"/>
  <c r="K1404" s="1"/>
  <c r="J1403"/>
  <c r="K1403" s="1"/>
  <c r="J1402"/>
  <c r="K1402" s="1"/>
  <c r="L1402" s="1"/>
  <c r="M1402" s="1"/>
  <c r="J1401"/>
  <c r="K1401" s="1"/>
  <c r="L1401" s="1"/>
  <c r="M1401" s="1"/>
  <c r="J1400"/>
  <c r="K1400" s="1"/>
  <c r="J1399"/>
  <c r="K1399" s="1"/>
  <c r="L1399" s="1"/>
  <c r="M1399" s="1"/>
  <c r="J1398"/>
  <c r="K1398" s="1"/>
  <c r="J1397"/>
  <c r="K1397" s="1"/>
  <c r="L1397" s="1"/>
  <c r="M1397" s="1"/>
  <c r="J1396"/>
  <c r="K1396" s="1"/>
  <c r="J1395"/>
  <c r="K1395" s="1"/>
  <c r="J1394"/>
  <c r="K1394" s="1"/>
  <c r="L1394" s="1"/>
  <c r="M1394" s="1"/>
  <c r="J1393"/>
  <c r="K1393" s="1"/>
  <c r="L1393" s="1"/>
  <c r="M1393" s="1"/>
  <c r="J1392"/>
  <c r="K1392" s="1"/>
  <c r="L1392" s="1"/>
  <c r="M1392" s="1"/>
  <c r="J1391"/>
  <c r="K1391" s="1"/>
  <c r="L1391" s="1"/>
  <c r="M1391" s="1"/>
  <c r="J1390"/>
  <c r="K1390" s="1"/>
  <c r="J1389"/>
  <c r="K1389" s="1"/>
  <c r="J1388"/>
  <c r="K1388" s="1"/>
  <c r="L1388" s="1"/>
  <c r="M1388" s="1"/>
  <c r="J1387"/>
  <c r="K1387" s="1"/>
  <c r="J1386"/>
  <c r="K1386" s="1"/>
  <c r="L1386" s="1"/>
  <c r="M1386" s="1"/>
  <c r="J1385"/>
  <c r="K1385" s="1"/>
  <c r="L1385" s="1"/>
  <c r="M1385" s="1"/>
  <c r="J1384"/>
  <c r="K1384" s="1"/>
  <c r="L1384" s="1"/>
  <c r="M1384" s="1"/>
  <c r="J1383"/>
  <c r="K1383" s="1"/>
  <c r="L1383" s="1"/>
  <c r="M1383" s="1"/>
  <c r="J1382"/>
  <c r="K1382" s="1"/>
  <c r="J1381"/>
  <c r="K1381" s="1"/>
  <c r="L1381" s="1"/>
  <c r="M1381" s="1"/>
  <c r="J1380"/>
  <c r="K1380" s="1"/>
  <c r="L1380" s="1"/>
  <c r="M1380" s="1"/>
  <c r="J1379"/>
  <c r="K1379" s="1"/>
  <c r="L1379" s="1"/>
  <c r="M1379" s="1"/>
  <c r="J1378"/>
  <c r="K1378" s="1"/>
  <c r="L1378" s="1"/>
  <c r="M1378" s="1"/>
  <c r="J1377"/>
  <c r="K1377" s="1"/>
  <c r="J1376"/>
  <c r="K1376" s="1"/>
  <c r="J1375"/>
  <c r="K1375" s="1"/>
  <c r="L1375" s="1"/>
  <c r="M1375" s="1"/>
  <c r="J1374"/>
  <c r="K1374" s="1"/>
  <c r="L1374" s="1"/>
  <c r="M1374" s="1"/>
  <c r="J1373"/>
  <c r="K1373" s="1"/>
  <c r="L1373" s="1"/>
  <c r="M1373" s="1"/>
  <c r="J1372"/>
  <c r="K1372" s="1"/>
  <c r="J1371"/>
  <c r="K1371" s="1"/>
  <c r="J1370"/>
  <c r="K1370" s="1"/>
  <c r="L1370" s="1"/>
  <c r="M1370" s="1"/>
  <c r="J1369"/>
  <c r="K1369" s="1"/>
  <c r="L1369" s="1"/>
  <c r="M1369" s="1"/>
  <c r="J1368"/>
  <c r="K1368" s="1"/>
  <c r="L1368" s="1"/>
  <c r="M1368" s="1"/>
  <c r="J1367"/>
  <c r="K1367" s="1"/>
  <c r="L1367" s="1"/>
  <c r="M1367" s="1"/>
  <c r="J1366"/>
  <c r="K1366" s="1"/>
  <c r="L1366" s="1"/>
  <c r="M1366" s="1"/>
  <c r="J1365"/>
  <c r="K1365" s="1"/>
  <c r="L1365" s="1"/>
  <c r="M1365" s="1"/>
  <c r="J1364"/>
  <c r="K1364" s="1"/>
  <c r="J1363"/>
  <c r="K1363" s="1"/>
  <c r="L1363" s="1"/>
  <c r="M1363" s="1"/>
  <c r="J1362"/>
  <c r="K1362" s="1"/>
  <c r="L1362" s="1"/>
  <c r="M1362" s="1"/>
  <c r="J1361"/>
  <c r="K1361" s="1"/>
  <c r="J1360"/>
  <c r="K1360" s="1"/>
  <c r="L1360" s="1"/>
  <c r="M1360" s="1"/>
  <c r="J1359"/>
  <c r="K1359" s="1"/>
  <c r="L1359" s="1"/>
  <c r="M1359" s="1"/>
  <c r="J1358"/>
  <c r="K1358" s="1"/>
  <c r="L1358" s="1"/>
  <c r="M1358" s="1"/>
  <c r="J1357"/>
  <c r="K1357" s="1"/>
  <c r="L1357" s="1"/>
  <c r="M1357" s="1"/>
  <c r="J1356"/>
  <c r="K1356" s="1"/>
  <c r="L1356" s="1"/>
  <c r="M1356" s="1"/>
  <c r="J1355"/>
  <c r="K1355" s="1"/>
  <c r="L1355" s="1"/>
  <c r="M1355" s="1"/>
  <c r="J1354"/>
  <c r="K1354" s="1"/>
  <c r="J1353"/>
  <c r="K1353" s="1"/>
  <c r="L1353" s="1"/>
  <c r="M1353" s="1"/>
  <c r="J1352"/>
  <c r="K1352" s="1"/>
  <c r="L1352" s="1"/>
  <c r="M1352" s="1"/>
  <c r="J1351"/>
  <c r="K1351" s="1"/>
  <c r="L1351" s="1"/>
  <c r="M1351" s="1"/>
  <c r="J1350"/>
  <c r="K1350" s="1"/>
  <c r="L1350" s="1"/>
  <c r="M1350" s="1"/>
  <c r="J1349"/>
  <c r="K1349" s="1"/>
  <c r="J1348"/>
  <c r="K1348" s="1"/>
  <c r="L1348" s="1"/>
  <c r="M1348" s="1"/>
  <c r="J1347"/>
  <c r="K1347" s="1"/>
  <c r="L1347" s="1"/>
  <c r="M1347" s="1"/>
  <c r="J1346"/>
  <c r="K1346" s="1"/>
  <c r="L1346" s="1"/>
  <c r="M1346" s="1"/>
  <c r="J1345"/>
  <c r="K1345" s="1"/>
  <c r="J1344"/>
  <c r="K1344" s="1"/>
  <c r="L1344" s="1"/>
  <c r="M1344" s="1"/>
  <c r="J1343"/>
  <c r="K1343" s="1"/>
  <c r="L1343" s="1"/>
  <c r="M1343" s="1"/>
  <c r="J1342"/>
  <c r="K1342" s="1"/>
  <c r="L1342" s="1"/>
  <c r="M1342" s="1"/>
  <c r="J1341"/>
  <c r="K1341" s="1"/>
  <c r="J1340"/>
  <c r="K1340" s="1"/>
  <c r="L1340" s="1"/>
  <c r="M1340" s="1"/>
  <c r="J1339"/>
  <c r="K1339" s="1"/>
  <c r="L1339" s="1"/>
  <c r="M1339" s="1"/>
  <c r="J1338"/>
  <c r="K1338" s="1"/>
  <c r="L1338" s="1"/>
  <c r="M1338" s="1"/>
  <c r="J1337"/>
  <c r="K1337" s="1"/>
  <c r="J1336"/>
  <c r="K1336" s="1"/>
  <c r="L1336" s="1"/>
  <c r="M1336" s="1"/>
  <c r="J1335"/>
  <c r="K1335" s="1"/>
  <c r="L1335" s="1"/>
  <c r="M1335" s="1"/>
  <c r="J1334"/>
  <c r="K1334" s="1"/>
  <c r="J1333"/>
  <c r="K1333" s="1"/>
  <c r="L1333" s="1"/>
  <c r="M1333" s="1"/>
  <c r="J1332"/>
  <c r="K1332" s="1"/>
  <c r="L1332" s="1"/>
  <c r="M1332" s="1"/>
  <c r="J1331"/>
  <c r="K1331" s="1"/>
  <c r="J1330"/>
  <c r="K1330" s="1"/>
  <c r="L1330" s="1"/>
  <c r="M1330" s="1"/>
  <c r="J1329"/>
  <c r="K1329" s="1"/>
  <c r="L1329" s="1"/>
  <c r="M1329" s="1"/>
  <c r="J1328"/>
  <c r="K1328" s="1"/>
  <c r="J1327"/>
  <c r="K1327" s="1"/>
  <c r="L1327" s="1"/>
  <c r="M1327" s="1"/>
  <c r="J1326"/>
  <c r="K1326" s="1"/>
  <c r="L1326" s="1"/>
  <c r="M1326" s="1"/>
  <c r="J1325"/>
  <c r="K1325" s="1"/>
  <c r="J1324"/>
  <c r="K1324" s="1"/>
  <c r="L1324" s="1"/>
  <c r="M1324" s="1"/>
  <c r="J1323"/>
  <c r="K1323" s="1"/>
  <c r="L1323" s="1"/>
  <c r="M1323" s="1"/>
  <c r="J1322"/>
  <c r="K1322" s="1"/>
  <c r="J1321"/>
  <c r="K1321" s="1"/>
  <c r="L1321" s="1"/>
  <c r="M1321" s="1"/>
  <c r="J1320"/>
  <c r="K1320" s="1"/>
  <c r="L1320" s="1"/>
  <c r="M1320" s="1"/>
  <c r="J1319"/>
  <c r="K1319" s="1"/>
  <c r="J1318"/>
  <c r="K1318" s="1"/>
  <c r="L1318" s="1"/>
  <c r="M1318" s="1"/>
  <c r="J1317"/>
  <c r="K1317" s="1"/>
  <c r="L1317" s="1"/>
  <c r="M1317" s="1"/>
  <c r="J1316"/>
  <c r="K1316" s="1"/>
  <c r="J1315"/>
  <c r="K1315" s="1"/>
  <c r="L1315" s="1"/>
  <c r="M1315" s="1"/>
  <c r="J1314"/>
  <c r="K1314" s="1"/>
  <c r="L1314" s="1"/>
  <c r="M1314" s="1"/>
  <c r="J1313"/>
  <c r="K1313" s="1"/>
  <c r="J1312"/>
  <c r="K1312" s="1"/>
  <c r="L1312" s="1"/>
  <c r="M1312" s="1"/>
  <c r="J1311"/>
  <c r="K1311" s="1"/>
  <c r="L1311" s="1"/>
  <c r="M1311" s="1"/>
  <c r="J1310"/>
  <c r="K1310" s="1"/>
  <c r="J1309"/>
  <c r="K1309" s="1"/>
  <c r="L1309" s="1"/>
  <c r="M1309" s="1"/>
  <c r="J1308"/>
  <c r="K1308" s="1"/>
  <c r="L1308" s="1"/>
  <c r="M1308" s="1"/>
  <c r="J1307"/>
  <c r="K1307" s="1"/>
  <c r="J1306"/>
  <c r="K1306" s="1"/>
  <c r="L1306" s="1"/>
  <c r="M1306" s="1"/>
  <c r="J1305"/>
  <c r="K1305" s="1"/>
  <c r="L1305" s="1"/>
  <c r="M1305" s="1"/>
  <c r="J1304"/>
  <c r="K1304" s="1"/>
  <c r="L1304" s="1"/>
  <c r="M1304" s="1"/>
  <c r="J1303"/>
  <c r="K1303" s="1"/>
  <c r="L1303" s="1"/>
  <c r="M1303" s="1"/>
  <c r="J1302"/>
  <c r="K1302" s="1"/>
  <c r="J1301"/>
  <c r="K1301" s="1"/>
  <c r="L1301" s="1"/>
  <c r="M1301" s="1"/>
  <c r="J1300"/>
  <c r="K1300" s="1"/>
  <c r="J1299"/>
  <c r="K1299" s="1"/>
  <c r="L1299" s="1"/>
  <c r="M1299" s="1"/>
  <c r="J1298"/>
  <c r="K1298" s="1"/>
  <c r="L1298" s="1"/>
  <c r="M1298" s="1"/>
  <c r="J1297"/>
  <c r="K1297" s="1"/>
  <c r="J1296"/>
  <c r="K1296" s="1"/>
  <c r="L1296" s="1"/>
  <c r="M1296" s="1"/>
  <c r="J1295"/>
  <c r="K1295" s="1"/>
  <c r="J1294"/>
  <c r="K1294" s="1"/>
  <c r="L1294" s="1"/>
  <c r="M1294" s="1"/>
  <c r="J1293"/>
  <c r="K1293" s="1"/>
  <c r="L1293" s="1"/>
  <c r="M1293" s="1"/>
  <c r="J1292"/>
  <c r="K1292" s="1"/>
  <c r="J1291"/>
  <c r="K1291" s="1"/>
  <c r="L1291" s="1"/>
  <c r="M1291" s="1"/>
  <c r="J1290"/>
  <c r="K1290" s="1"/>
  <c r="J1289"/>
  <c r="K1289" s="1"/>
  <c r="L1289" s="1"/>
  <c r="M1289" s="1"/>
  <c r="J1288"/>
  <c r="K1288" s="1"/>
  <c r="L1288" s="1"/>
  <c r="M1288" s="1"/>
  <c r="J1287"/>
  <c r="K1287" s="1"/>
  <c r="J1286"/>
  <c r="K1286" s="1"/>
  <c r="L1286" s="1"/>
  <c r="M1286" s="1"/>
  <c r="J1285"/>
  <c r="K1285" s="1"/>
  <c r="J1284"/>
  <c r="K1284" s="1"/>
  <c r="L1284" s="1"/>
  <c r="M1284" s="1"/>
  <c r="J1283"/>
  <c r="K1283" s="1"/>
  <c r="L1283" s="1"/>
  <c r="M1283" s="1"/>
  <c r="J1282"/>
  <c r="K1282" s="1"/>
  <c r="L1282" s="1"/>
  <c r="M1282" s="1"/>
  <c r="J1281"/>
  <c r="K1281" s="1"/>
  <c r="J1280"/>
  <c r="K1280" s="1"/>
  <c r="L1280" s="1"/>
  <c r="M1280" s="1"/>
  <c r="J1279"/>
  <c r="K1279" s="1"/>
  <c r="L1279" s="1"/>
  <c r="M1279" s="1"/>
  <c r="J1278"/>
  <c r="K1278" s="1"/>
  <c r="J1277"/>
  <c r="K1277" s="1"/>
  <c r="L1277" s="1"/>
  <c r="M1277" s="1"/>
  <c r="J1276"/>
  <c r="K1276" s="1"/>
  <c r="J1275"/>
  <c r="K1275" s="1"/>
  <c r="L1275" s="1"/>
  <c r="M1275" s="1"/>
  <c r="J1274"/>
  <c r="K1274" s="1"/>
  <c r="L1274" s="1"/>
  <c r="M1274" s="1"/>
  <c r="J1273"/>
  <c r="K1273" s="1"/>
  <c r="J1272"/>
  <c r="K1272" s="1"/>
  <c r="L1272" s="1"/>
  <c r="M1272" s="1"/>
  <c r="J1271"/>
  <c r="K1271" s="1"/>
  <c r="J1270"/>
  <c r="K1270" s="1"/>
  <c r="L1270" s="1"/>
  <c r="M1270" s="1"/>
  <c r="J1269"/>
  <c r="K1269" s="1"/>
  <c r="L1269" s="1"/>
  <c r="M1269" s="1"/>
  <c r="J1268"/>
  <c r="K1268" s="1"/>
  <c r="J1267"/>
  <c r="K1267" s="1"/>
  <c r="L1267" s="1"/>
  <c r="M1267" s="1"/>
  <c r="J1266"/>
  <c r="K1266" s="1"/>
  <c r="J1265"/>
  <c r="K1265" s="1"/>
  <c r="L1265" s="1"/>
  <c r="M1265" s="1"/>
  <c r="J1264"/>
  <c r="K1264" s="1"/>
  <c r="L1264" s="1"/>
  <c r="M1264" s="1"/>
  <c r="J1263"/>
  <c r="K1263" s="1"/>
  <c r="J1262"/>
  <c r="K1262" s="1"/>
  <c r="L1262" s="1"/>
  <c r="M1262" s="1"/>
  <c r="J1261"/>
  <c r="K1261" s="1"/>
  <c r="J1260"/>
  <c r="K1260" s="1"/>
  <c r="L1260" s="1"/>
  <c r="M1260" s="1"/>
  <c r="J1259"/>
  <c r="K1259" s="1"/>
  <c r="L1259" s="1"/>
  <c r="M1259" s="1"/>
  <c r="J1258"/>
  <c r="K1258" s="1"/>
  <c r="J1257"/>
  <c r="K1257" s="1"/>
  <c r="L1257" s="1"/>
  <c r="M1257" s="1"/>
  <c r="J1256"/>
  <c r="K1256" s="1"/>
  <c r="J1255"/>
  <c r="K1255" s="1"/>
  <c r="L1255" s="1"/>
  <c r="M1255" s="1"/>
  <c r="J1254"/>
  <c r="K1254" s="1"/>
  <c r="L1254" s="1"/>
  <c r="M1254" s="1"/>
  <c r="J1253"/>
  <c r="K1253" s="1"/>
  <c r="J1252"/>
  <c r="K1252" s="1"/>
  <c r="L1252" s="1"/>
  <c r="M1252" s="1"/>
  <c r="J1251"/>
  <c r="K1251" s="1"/>
  <c r="J1250"/>
  <c r="K1250" s="1"/>
  <c r="L1250" s="1"/>
  <c r="M1250" s="1"/>
  <c r="J1249"/>
  <c r="K1249" s="1"/>
  <c r="L1249" s="1"/>
  <c r="M1249" s="1"/>
  <c r="J1248"/>
  <c r="K1248" s="1"/>
  <c r="J1247"/>
  <c r="K1247" s="1"/>
  <c r="L1247" s="1"/>
  <c r="M1247" s="1"/>
  <c r="J1246"/>
  <c r="K1246" s="1"/>
  <c r="J1245"/>
  <c r="K1245" s="1"/>
  <c r="L1245" s="1"/>
  <c r="M1245" s="1"/>
  <c r="J1244"/>
  <c r="K1244" s="1"/>
  <c r="L1244" s="1"/>
  <c r="M1244" s="1"/>
  <c r="J1243"/>
  <c r="K1243" s="1"/>
  <c r="J1242"/>
  <c r="K1242" s="1"/>
  <c r="L1242" s="1"/>
  <c r="M1242" s="1"/>
  <c r="J1241"/>
  <c r="K1241" s="1"/>
  <c r="L1241" s="1"/>
  <c r="M1241" s="1"/>
  <c r="J1240"/>
  <c r="K1240" s="1"/>
  <c r="J1239"/>
  <c r="K1239" s="1"/>
  <c r="L1239" s="1"/>
  <c r="M1239" s="1"/>
  <c r="J1238"/>
  <c r="K1238" s="1"/>
  <c r="L1238" s="1"/>
  <c r="M1238" s="1"/>
  <c r="J1237"/>
  <c r="K1237" s="1"/>
  <c r="J1236"/>
  <c r="K1236" s="1"/>
  <c r="L1236" s="1"/>
  <c r="M1236" s="1"/>
  <c r="J1235"/>
  <c r="K1235" s="1"/>
  <c r="J1234"/>
  <c r="K1234" s="1"/>
  <c r="L1234" s="1"/>
  <c r="M1234" s="1"/>
  <c r="J1233"/>
  <c r="K1233" s="1"/>
  <c r="L1233" s="1"/>
  <c r="M1233" s="1"/>
  <c r="J1232"/>
  <c r="K1232" s="1"/>
  <c r="J1231"/>
  <c r="K1231" s="1"/>
  <c r="L1231" s="1"/>
  <c r="M1231" s="1"/>
  <c r="J1230"/>
  <c r="K1230" s="1"/>
  <c r="J1229"/>
  <c r="K1229" s="1"/>
  <c r="L1229" s="1"/>
  <c r="M1229" s="1"/>
  <c r="J1228"/>
  <c r="K1228" s="1"/>
  <c r="L1228" s="1"/>
  <c r="M1228" s="1"/>
  <c r="J1227"/>
  <c r="K1227" s="1"/>
  <c r="J1226"/>
  <c r="K1226" s="1"/>
  <c r="L1226" s="1"/>
  <c r="M1226" s="1"/>
  <c r="J1225"/>
  <c r="K1225" s="1"/>
  <c r="J1224"/>
  <c r="K1224" s="1"/>
  <c r="L1224" s="1"/>
  <c r="M1224" s="1"/>
  <c r="J1223"/>
  <c r="K1223" s="1"/>
  <c r="L1223" s="1"/>
  <c r="M1223" s="1"/>
  <c r="J1222"/>
  <c r="K1222" s="1"/>
  <c r="L1222" s="1"/>
  <c r="M1222" s="1"/>
  <c r="J1221"/>
  <c r="K1221" s="1"/>
  <c r="L1221" s="1"/>
  <c r="M1221" s="1"/>
  <c r="J1220"/>
  <c r="K1220" s="1"/>
  <c r="L1220" s="1"/>
  <c r="M1220" s="1"/>
  <c r="J1219"/>
  <c r="K1219" s="1"/>
  <c r="L1219" s="1"/>
  <c r="M1219" s="1"/>
  <c r="J1218"/>
  <c r="K1218" s="1"/>
  <c r="L1218" s="1"/>
  <c r="M1218" s="1"/>
  <c r="J1217"/>
  <c r="K1217" s="1"/>
  <c r="J1216"/>
  <c r="K1216" s="1"/>
  <c r="L1216" s="1"/>
  <c r="M1216" s="1"/>
  <c r="J1215"/>
  <c r="K1215" s="1"/>
  <c r="L1215" s="1"/>
  <c r="M1215" s="1"/>
  <c r="J1214"/>
  <c r="K1214" s="1"/>
  <c r="L1214" s="1"/>
  <c r="M1214" s="1"/>
  <c r="J1213"/>
  <c r="K1213" s="1"/>
  <c r="L1213" s="1"/>
  <c r="M1213" s="1"/>
  <c r="J1212"/>
  <c r="K1212" s="1"/>
  <c r="L1212" s="1"/>
  <c r="M1212" s="1"/>
  <c r="J1211"/>
  <c r="K1211" s="1"/>
  <c r="L1211" s="1"/>
  <c r="M1211" s="1"/>
  <c r="J1210"/>
  <c r="K1210" s="1"/>
  <c r="L1210" s="1"/>
  <c r="M1210" s="1"/>
  <c r="J1209"/>
  <c r="K1209" s="1"/>
  <c r="J1208"/>
  <c r="K1208" s="1"/>
  <c r="J1207"/>
  <c r="K1207" s="1"/>
  <c r="L1207" s="1"/>
  <c r="M1207" s="1"/>
  <c r="J1206"/>
  <c r="K1206" s="1"/>
  <c r="L1206" s="1"/>
  <c r="M1206" s="1"/>
  <c r="J1205"/>
  <c r="K1205" s="1"/>
  <c r="L1205" s="1"/>
  <c r="M1205" s="1"/>
  <c r="J1204"/>
  <c r="K1204" s="1"/>
  <c r="L1204" s="1"/>
  <c r="M1204" s="1"/>
  <c r="J1203"/>
  <c r="K1203" s="1"/>
  <c r="J1202"/>
  <c r="K1202" s="1"/>
  <c r="L1202" s="1"/>
  <c r="M1202" s="1"/>
  <c r="J1201"/>
  <c r="K1201" s="1"/>
  <c r="L1201" s="1"/>
  <c r="M1201" s="1"/>
  <c r="J1200"/>
  <c r="K1200" s="1"/>
  <c r="L1200" s="1"/>
  <c r="M1200" s="1"/>
  <c r="J1199"/>
  <c r="K1199" s="1"/>
  <c r="L1199" s="1"/>
  <c r="M1199" s="1"/>
  <c r="J1198"/>
  <c r="K1198" s="1"/>
  <c r="L1198" s="1"/>
  <c r="M1198" s="1"/>
  <c r="J1197"/>
  <c r="K1197" s="1"/>
  <c r="L1197" s="1"/>
  <c r="M1197" s="1"/>
  <c r="J1196"/>
  <c r="K1196" s="1"/>
  <c r="L1196" s="1"/>
  <c r="M1196" s="1"/>
  <c r="J1195"/>
  <c r="K1195" s="1"/>
  <c r="L1195" s="1"/>
  <c r="M1195" s="1"/>
  <c r="J1194"/>
  <c r="K1194" s="1"/>
  <c r="L1194" s="1"/>
  <c r="M1194" s="1"/>
  <c r="J1193"/>
  <c r="K1193" s="1"/>
  <c r="J1192"/>
  <c r="K1192" s="1"/>
  <c r="L1192" s="1"/>
  <c r="M1192" s="1"/>
  <c r="J1191"/>
  <c r="K1191" s="1"/>
  <c r="L1191" s="1"/>
  <c r="M1191" s="1"/>
  <c r="J1190"/>
  <c r="K1190" s="1"/>
  <c r="L1190" s="1"/>
  <c r="M1190" s="1"/>
  <c r="J1189"/>
  <c r="K1189" s="1"/>
  <c r="J1188"/>
  <c r="K1188" s="1"/>
  <c r="J1187"/>
  <c r="K1187" s="1"/>
  <c r="L1187" s="1"/>
  <c r="M1187" s="1"/>
  <c r="J1186"/>
  <c r="K1186" s="1"/>
  <c r="L1186" s="1"/>
  <c r="M1186" s="1"/>
  <c r="J1185"/>
  <c r="K1185" s="1"/>
  <c r="J1184"/>
  <c r="K1184" s="1"/>
  <c r="J1183"/>
  <c r="K1183" s="1"/>
  <c r="L1183" s="1"/>
  <c r="M1183" s="1"/>
  <c r="J1182"/>
  <c r="K1182" s="1"/>
  <c r="J1181"/>
  <c r="K1181" s="1"/>
  <c r="J1180"/>
  <c r="K1180" s="1"/>
  <c r="J1179"/>
  <c r="K1179" s="1"/>
  <c r="L1179" s="1"/>
  <c r="M1179" s="1"/>
  <c r="J1178"/>
  <c r="K1178" s="1"/>
  <c r="L1178" s="1"/>
  <c r="M1178" s="1"/>
  <c r="J1177"/>
  <c r="K1177" s="1"/>
  <c r="J1176"/>
  <c r="K1176" s="1"/>
  <c r="J1175"/>
  <c r="K1175" s="1"/>
  <c r="J1174"/>
  <c r="K1174" s="1"/>
  <c r="L1174" s="1"/>
  <c r="M1174" s="1"/>
  <c r="J1173"/>
  <c r="K1173" s="1"/>
  <c r="J1172"/>
  <c r="K1172" s="1"/>
  <c r="L1172" s="1"/>
  <c r="M1172" s="1"/>
  <c r="J1171"/>
  <c r="K1171" s="1"/>
  <c r="J1170"/>
  <c r="K1170" s="1"/>
  <c r="J1169"/>
  <c r="K1169" s="1"/>
  <c r="L1169" s="1"/>
  <c r="M1169" s="1"/>
  <c r="J1168"/>
  <c r="K1168" s="1"/>
  <c r="L1168" s="1"/>
  <c r="M1168" s="1"/>
  <c r="J1167"/>
  <c r="K1167" s="1"/>
  <c r="L1167" s="1"/>
  <c r="M1167" s="1"/>
  <c r="J1166"/>
  <c r="K1166" s="1"/>
  <c r="L1166" s="1"/>
  <c r="M1166" s="1"/>
  <c r="J1165"/>
  <c r="K1165" s="1"/>
  <c r="L1165" s="1"/>
  <c r="M1165" s="1"/>
  <c r="J1164"/>
  <c r="K1164" s="1"/>
  <c r="J1163"/>
  <c r="K1163" s="1"/>
  <c r="L1163" s="1"/>
  <c r="M1163" s="1"/>
  <c r="J1162"/>
  <c r="K1162" s="1"/>
  <c r="L1162" s="1"/>
  <c r="M1162" s="1"/>
  <c r="J1161"/>
  <c r="K1161" s="1"/>
  <c r="J1160"/>
  <c r="K1160" s="1"/>
  <c r="L1160" s="1"/>
  <c r="M1160" s="1"/>
  <c r="J1159"/>
  <c r="K1159" s="1"/>
  <c r="L1159" s="1"/>
  <c r="M1159" s="1"/>
  <c r="J1158"/>
  <c r="K1158" s="1"/>
  <c r="L1158" s="1"/>
  <c r="M1158" s="1"/>
  <c r="J1157"/>
  <c r="K1157" s="1"/>
  <c r="L1157" s="1"/>
  <c r="M1157" s="1"/>
  <c r="J1156"/>
  <c r="K1156" s="1"/>
  <c r="J1155"/>
  <c r="K1155" s="1"/>
  <c r="L1155" s="1"/>
  <c r="M1155" s="1"/>
  <c r="J1154"/>
  <c r="K1154" s="1"/>
  <c r="L1154" s="1"/>
  <c r="M1154" s="1"/>
  <c r="J1153"/>
  <c r="K1153" s="1"/>
  <c r="L1153" s="1"/>
  <c r="M1153" s="1"/>
  <c r="J1152"/>
  <c r="K1152" s="1"/>
  <c r="L1152" s="1"/>
  <c r="M1152" s="1"/>
  <c r="J1151"/>
  <c r="K1151" s="1"/>
  <c r="L1151" s="1"/>
  <c r="M1151" s="1"/>
  <c r="J1150"/>
  <c r="K1150" s="1"/>
  <c r="J1149"/>
  <c r="K1149" s="1"/>
  <c r="L1149" s="1"/>
  <c r="M1149" s="1"/>
  <c r="J1148"/>
  <c r="K1148" s="1"/>
  <c r="L1148" s="1"/>
  <c r="M1148" s="1"/>
  <c r="J1147"/>
  <c r="K1147" s="1"/>
  <c r="L1147" s="1"/>
  <c r="M1147" s="1"/>
  <c r="J1146"/>
  <c r="K1146" s="1"/>
  <c r="L1146" s="1"/>
  <c r="M1146" s="1"/>
  <c r="J1145"/>
  <c r="K1145" s="1"/>
  <c r="L1145" s="1"/>
  <c r="M1145" s="1"/>
  <c r="J1144"/>
  <c r="K1144" s="1"/>
  <c r="J1143"/>
  <c r="K1143" s="1"/>
  <c r="L1143" s="1"/>
  <c r="M1143" s="1"/>
  <c r="J1142"/>
  <c r="K1142" s="1"/>
  <c r="L1142" s="1"/>
  <c r="M1142" s="1"/>
  <c r="J1141"/>
  <c r="K1141" s="1"/>
  <c r="L1141" s="1"/>
  <c r="M1141" s="1"/>
  <c r="J1140"/>
  <c r="K1140" s="1"/>
  <c r="L1140" s="1"/>
  <c r="M1140" s="1"/>
  <c r="J1139"/>
  <c r="K1139" s="1"/>
  <c r="L1139" s="1"/>
  <c r="M1139" s="1"/>
  <c r="J1138"/>
  <c r="K1138" s="1"/>
  <c r="J1137"/>
  <c r="K1137" s="1"/>
  <c r="L1137" s="1"/>
  <c r="M1137" s="1"/>
  <c r="J1136"/>
  <c r="K1136" s="1"/>
  <c r="J1135"/>
  <c r="K1135" s="1"/>
  <c r="L1135" s="1"/>
  <c r="M1135" s="1"/>
  <c r="J1134"/>
  <c r="K1134" s="1"/>
  <c r="L1134" s="1"/>
  <c r="M1134" s="1"/>
  <c r="J1133"/>
  <c r="K1133" s="1"/>
  <c r="L1133" s="1"/>
  <c r="M1133" s="1"/>
  <c r="J1132"/>
  <c r="K1132" s="1"/>
  <c r="J1131"/>
  <c r="K1131" s="1"/>
  <c r="L1131" s="1"/>
  <c r="M1131" s="1"/>
  <c r="J1130"/>
  <c r="K1130" s="1"/>
  <c r="L1130" s="1"/>
  <c r="M1130" s="1"/>
  <c r="J1129"/>
  <c r="K1129" s="1"/>
  <c r="L1129" s="1"/>
  <c r="M1129" s="1"/>
  <c r="J1128"/>
  <c r="K1128" s="1"/>
  <c r="J1127"/>
  <c r="K1127" s="1"/>
  <c r="L1127" s="1"/>
  <c r="M1127" s="1"/>
  <c r="J1126"/>
  <c r="K1126" s="1"/>
  <c r="J1125"/>
  <c r="K1125" s="1"/>
  <c r="J1124"/>
  <c r="K1124" s="1"/>
  <c r="J1123"/>
  <c r="K1123" s="1"/>
  <c r="L1123" s="1"/>
  <c r="M1123" s="1"/>
  <c r="J1122"/>
  <c r="K1122" s="1"/>
  <c r="J1121"/>
  <c r="K1121" s="1"/>
  <c r="L1121" s="1"/>
  <c r="M1121" s="1"/>
  <c r="J1120"/>
  <c r="K1120" s="1"/>
  <c r="J1119"/>
  <c r="K1119" s="1"/>
  <c r="J1118"/>
  <c r="K1118" s="1"/>
  <c r="J1117"/>
  <c r="K1117" s="1"/>
  <c r="L1117" s="1"/>
  <c r="M1117" s="1"/>
  <c r="J1116"/>
  <c r="K1116" s="1"/>
  <c r="L1116" s="1"/>
  <c r="M1116" s="1"/>
  <c r="J1115"/>
  <c r="K1115" s="1"/>
  <c r="J1114"/>
  <c r="K1114" s="1"/>
  <c r="L1114" s="1"/>
  <c r="M1114" s="1"/>
  <c r="J1113"/>
  <c r="K1113" s="1"/>
  <c r="L1113" s="1"/>
  <c r="M1113" s="1"/>
  <c r="J1112"/>
  <c r="K1112" s="1"/>
  <c r="L1112" s="1"/>
  <c r="M1112" s="1"/>
  <c r="J1109"/>
  <c r="K1109" s="1"/>
  <c r="J1108"/>
  <c r="K1108" s="1"/>
  <c r="L1108" s="1"/>
  <c r="M1108" s="1"/>
  <c r="J1107"/>
  <c r="K1107" s="1"/>
  <c r="L1107" s="1"/>
  <c r="M1107" s="1"/>
  <c r="J1106"/>
  <c r="K1106" s="1"/>
  <c r="J1105"/>
  <c r="K1105" s="1"/>
  <c r="L1105" s="1"/>
  <c r="M1105" s="1"/>
  <c r="J1104"/>
  <c r="K1104" s="1"/>
  <c r="J1103"/>
  <c r="K1103" s="1"/>
  <c r="L1103" s="1"/>
  <c r="M1103" s="1"/>
  <c r="J1102"/>
  <c r="K1102" s="1"/>
  <c r="L1102" s="1"/>
  <c r="M1102" s="1"/>
  <c r="J1101"/>
  <c r="K1101" s="1"/>
  <c r="J1100"/>
  <c r="K1100" s="1"/>
  <c r="L1100" s="1"/>
  <c r="M1100" s="1"/>
  <c r="J1098"/>
  <c r="K1098" s="1"/>
  <c r="J1097"/>
  <c r="K1097" s="1"/>
  <c r="L1097" s="1"/>
  <c r="M1097" s="1"/>
  <c r="J1096"/>
  <c r="K1096" s="1"/>
  <c r="L1096" s="1"/>
  <c r="M1096" s="1"/>
  <c r="J1095"/>
  <c r="K1095" s="1"/>
  <c r="L1095" s="1"/>
  <c r="M1095" s="1"/>
  <c r="J1094"/>
  <c r="K1094" s="1"/>
  <c r="J1093"/>
  <c r="K1093" s="1"/>
  <c r="L1093" s="1"/>
  <c r="M1093" s="1"/>
  <c r="J1092"/>
  <c r="K1092" s="1"/>
  <c r="L1092" s="1"/>
  <c r="M1092" s="1"/>
  <c r="J1091"/>
  <c r="K1091" s="1"/>
  <c r="J1090"/>
  <c r="K1090" s="1"/>
  <c r="L1090" s="1"/>
  <c r="M1090" s="1"/>
  <c r="J1089"/>
  <c r="K1089" s="1"/>
  <c r="J1088"/>
  <c r="K1088" s="1"/>
  <c r="J1087"/>
  <c r="K1087" s="1"/>
  <c r="L1087" s="1"/>
  <c r="M1087" s="1"/>
  <c r="J1086"/>
  <c r="K1086" s="1"/>
  <c r="L1086" s="1"/>
  <c r="M1086" s="1"/>
  <c r="J1085"/>
  <c r="K1085" s="1"/>
  <c r="J1084"/>
  <c r="K1084" s="1"/>
  <c r="L1084" s="1"/>
  <c r="M1084" s="1"/>
  <c r="J1083"/>
  <c r="K1083" s="1"/>
  <c r="L1083" s="1"/>
  <c r="M1083" s="1"/>
  <c r="J1082"/>
  <c r="K1082" s="1"/>
  <c r="L1082" s="1"/>
  <c r="M1082" s="1"/>
  <c r="J1081"/>
  <c r="K1081" s="1"/>
  <c r="J1080"/>
  <c r="K1080" s="1"/>
  <c r="L1080" s="1"/>
  <c r="M1080" s="1"/>
  <c r="J1079"/>
  <c r="K1079" s="1"/>
  <c r="L1079" s="1"/>
  <c r="M1079" s="1"/>
  <c r="J1078"/>
  <c r="K1078" s="1"/>
  <c r="J1077"/>
  <c r="K1077" s="1"/>
  <c r="L1077" s="1"/>
  <c r="M1077" s="1"/>
  <c r="J1076"/>
  <c r="K1076" s="1"/>
  <c r="L1076" s="1"/>
  <c r="M1076" s="1"/>
  <c r="J1075"/>
  <c r="K1075" s="1"/>
  <c r="J1074"/>
  <c r="K1074" s="1"/>
  <c r="L1074" s="1"/>
  <c r="M1074" s="1"/>
  <c r="J1073"/>
  <c r="K1073" s="1"/>
  <c r="L1073" s="1"/>
  <c r="M1073" s="1"/>
  <c r="J1072"/>
  <c r="K1072" s="1"/>
  <c r="L1072" s="1"/>
  <c r="M1072" s="1"/>
  <c r="J1071"/>
  <c r="K1071" s="1"/>
  <c r="J1070"/>
  <c r="K1070" s="1"/>
  <c r="L1070" s="1"/>
  <c r="M1070" s="1"/>
  <c r="J1069"/>
  <c r="K1069" s="1"/>
  <c r="J1068"/>
  <c r="K1068" s="1"/>
  <c r="L1068" s="1"/>
  <c r="M1068" s="1"/>
  <c r="J1067"/>
  <c r="K1067" s="1"/>
  <c r="L1067" s="1"/>
  <c r="M1067" s="1"/>
  <c r="J1066"/>
  <c r="K1066" s="1"/>
  <c r="J1065"/>
  <c r="K1065" s="1"/>
  <c r="L1065" s="1"/>
  <c r="M1065" s="1"/>
  <c r="J1064"/>
  <c r="K1064" s="1"/>
  <c r="J1063"/>
  <c r="K1063" s="1"/>
  <c r="L1063" s="1"/>
  <c r="M1063" s="1"/>
  <c r="J1062"/>
  <c r="K1062" s="1"/>
  <c r="L1062" s="1"/>
  <c r="M1062" s="1"/>
  <c r="J1061"/>
  <c r="K1061" s="1"/>
  <c r="J1060"/>
  <c r="K1060" s="1"/>
  <c r="J1059"/>
  <c r="K1059" s="1"/>
  <c r="L1059" s="1"/>
  <c r="M1059" s="1"/>
  <c r="J1058"/>
  <c r="K1058" s="1"/>
  <c r="J1057"/>
  <c r="K1057" s="1"/>
  <c r="L1057" s="1"/>
  <c r="M1057" s="1"/>
  <c r="J1056"/>
  <c r="K1056" s="1"/>
  <c r="L1056" s="1"/>
  <c r="M1056" s="1"/>
  <c r="J1055"/>
  <c r="K1055" s="1"/>
  <c r="L1055" s="1"/>
  <c r="M1055" s="1"/>
  <c r="J1054"/>
  <c r="K1054" s="1"/>
  <c r="L1054" s="1"/>
  <c r="M1054" s="1"/>
  <c r="J1053"/>
  <c r="K1053" s="1"/>
  <c r="J1052"/>
  <c r="K1052" s="1"/>
  <c r="L1052" s="1"/>
  <c r="M1052" s="1"/>
  <c r="J1051"/>
  <c r="K1051" s="1"/>
  <c r="J1050"/>
  <c r="K1050" s="1"/>
  <c r="L1050" s="1"/>
  <c r="M1050" s="1"/>
  <c r="J1049"/>
  <c r="K1049" s="1"/>
  <c r="L1049" s="1"/>
  <c r="M1049" s="1"/>
  <c r="J1048"/>
  <c r="K1048" s="1"/>
  <c r="L1048" s="1"/>
  <c r="M1048" s="1"/>
  <c r="J1047"/>
  <c r="K1047" s="1"/>
  <c r="L1047" s="1"/>
  <c r="M1047" s="1"/>
  <c r="J1046"/>
  <c r="K1046" s="1"/>
  <c r="L1046" s="1"/>
  <c r="M1046" s="1"/>
  <c r="J1045"/>
  <c r="K1045" s="1"/>
  <c r="L1045" s="1"/>
  <c r="M1045" s="1"/>
  <c r="J1044"/>
  <c r="K1044" s="1"/>
  <c r="L1044" s="1"/>
  <c r="M1044" s="1"/>
  <c r="J1043"/>
  <c r="K1043" s="1"/>
  <c r="J1042"/>
  <c r="K1042" s="1"/>
  <c r="L1042" s="1"/>
  <c r="M1042" s="1"/>
  <c r="J1041"/>
  <c r="K1041" s="1"/>
  <c r="L1041" s="1"/>
  <c r="M1041" s="1"/>
  <c r="J1040"/>
  <c r="K1040" s="1"/>
  <c r="L1040" s="1"/>
  <c r="M1040" s="1"/>
  <c r="J1039"/>
  <c r="K1039" s="1"/>
  <c r="L1039" s="1"/>
  <c r="M1039" s="1"/>
  <c r="J1038"/>
  <c r="K1038" s="1"/>
  <c r="L1038" s="1"/>
  <c r="M1038" s="1"/>
  <c r="J1037"/>
  <c r="K1037" s="1"/>
  <c r="J1036"/>
  <c r="K1036" s="1"/>
  <c r="L1036" s="1"/>
  <c r="M1036" s="1"/>
  <c r="J1035"/>
  <c r="K1035" s="1"/>
  <c r="J1034"/>
  <c r="K1034" s="1"/>
  <c r="J1033"/>
  <c r="K1033" s="1"/>
  <c r="L1033" s="1"/>
  <c r="M1033" s="1"/>
  <c r="J1032"/>
  <c r="K1032" s="1"/>
  <c r="L1032" s="1"/>
  <c r="M1032" s="1"/>
  <c r="J1031"/>
  <c r="K1031" s="1"/>
  <c r="L1031" s="1"/>
  <c r="M1031" s="1"/>
  <c r="J1030"/>
  <c r="K1030" s="1"/>
  <c r="J1029"/>
  <c r="K1029" s="1"/>
  <c r="L1029" s="1"/>
  <c r="M1029" s="1"/>
  <c r="J1028"/>
  <c r="K1028" s="1"/>
  <c r="L1028" s="1"/>
  <c r="M1028" s="1"/>
  <c r="J1027"/>
  <c r="K1027" s="1"/>
  <c r="L1027" s="1"/>
  <c r="M1027" s="1"/>
  <c r="J1026"/>
  <c r="K1026" s="1"/>
  <c r="J1025"/>
  <c r="K1025" s="1"/>
  <c r="L1025" s="1"/>
  <c r="M1025" s="1"/>
  <c r="J1024"/>
  <c r="K1024" s="1"/>
  <c r="L1024" s="1"/>
  <c r="M1024" s="1"/>
  <c r="J1023"/>
  <c r="K1023" s="1"/>
  <c r="L1023" s="1"/>
  <c r="M1023" s="1"/>
  <c r="J1022"/>
  <c r="K1022" s="1"/>
  <c r="J1021"/>
  <c r="K1021" s="1"/>
  <c r="L1021" s="1"/>
  <c r="M1021" s="1"/>
  <c r="J1020"/>
  <c r="K1020" s="1"/>
  <c r="L1020" s="1"/>
  <c r="M1020" s="1"/>
  <c r="J1019"/>
  <c r="K1019" s="1"/>
  <c r="L1019" s="1"/>
  <c r="M1019" s="1"/>
  <c r="J1018"/>
  <c r="K1018" s="1"/>
  <c r="J1017"/>
  <c r="K1017" s="1"/>
  <c r="L1017" s="1"/>
  <c r="M1017" s="1"/>
  <c r="J1016"/>
  <c r="K1016" s="1"/>
  <c r="L1016" s="1"/>
  <c r="M1016" s="1"/>
  <c r="J1015"/>
  <c r="K1015" s="1"/>
  <c r="J1014"/>
  <c r="K1014" s="1"/>
  <c r="L1014" s="1"/>
  <c r="M1014" s="1"/>
  <c r="J1013"/>
  <c r="K1013" s="1"/>
  <c r="J1012"/>
  <c r="K1012" s="1"/>
  <c r="J1011"/>
  <c r="K1011" s="1"/>
  <c r="J1010"/>
  <c r="K1010" s="1"/>
  <c r="L1010" s="1"/>
  <c r="M1010" s="1"/>
  <c r="J1009"/>
  <c r="K1009" s="1"/>
  <c r="L1009" s="1"/>
  <c r="M1009" s="1"/>
  <c r="J1008"/>
  <c r="K1008" s="1"/>
  <c r="L1008" s="1"/>
  <c r="M1008" s="1"/>
  <c r="J1007"/>
  <c r="K1007" s="1"/>
  <c r="J1006"/>
  <c r="K1006" s="1"/>
  <c r="L1006" s="1"/>
  <c r="M1006" s="1"/>
  <c r="J1005"/>
  <c r="K1005" s="1"/>
  <c r="L1005" s="1"/>
  <c r="M1005" s="1"/>
  <c r="J1004"/>
  <c r="K1004" s="1"/>
  <c r="L1004" s="1"/>
  <c r="M1004" s="1"/>
  <c r="J1003"/>
  <c r="K1003" s="1"/>
  <c r="L1003" s="1"/>
  <c r="M1003" s="1"/>
  <c r="J1002"/>
  <c r="K1002" s="1"/>
  <c r="L1002" s="1"/>
  <c r="M1002" s="1"/>
  <c r="J1001"/>
  <c r="K1001" s="1"/>
  <c r="J1000"/>
  <c r="K1000" s="1"/>
  <c r="L1000" s="1"/>
  <c r="M1000" s="1"/>
  <c r="J999"/>
  <c r="K999" s="1"/>
  <c r="L999" s="1"/>
  <c r="M999" s="1"/>
  <c r="J998"/>
  <c r="K998" s="1"/>
  <c r="L998" s="1"/>
  <c r="M998" s="1"/>
  <c r="J997"/>
  <c r="K997" s="1"/>
  <c r="J996"/>
  <c r="K996" s="1"/>
  <c r="L996" s="1"/>
  <c r="M996" s="1"/>
  <c r="J995"/>
  <c r="K995" s="1"/>
  <c r="L995" s="1"/>
  <c r="M995" s="1"/>
  <c r="J994"/>
  <c r="K994" s="1"/>
  <c r="J993"/>
  <c r="K993" s="1"/>
  <c r="L993" s="1"/>
  <c r="M993" s="1"/>
  <c r="J992"/>
  <c r="K992" s="1"/>
  <c r="J991"/>
  <c r="K991" s="1"/>
  <c r="L991" s="1"/>
  <c r="M991" s="1"/>
  <c r="J990"/>
  <c r="K990" s="1"/>
  <c r="L990" s="1"/>
  <c r="M990" s="1"/>
  <c r="J989"/>
  <c r="K989" s="1"/>
  <c r="L989" s="1"/>
  <c r="M989" s="1"/>
  <c r="J988"/>
  <c r="K988" s="1"/>
  <c r="L988" s="1"/>
  <c r="M988" s="1"/>
  <c r="J987"/>
  <c r="K987" s="1"/>
  <c r="J986"/>
  <c r="K986" s="1"/>
  <c r="L986" s="1"/>
  <c r="M986" s="1"/>
  <c r="J985"/>
  <c r="K985" s="1"/>
  <c r="L985" s="1"/>
  <c r="M985" s="1"/>
  <c r="J984"/>
  <c r="K984" s="1"/>
  <c r="L984" s="1"/>
  <c r="M984" s="1"/>
  <c r="J983"/>
  <c r="K983" s="1"/>
  <c r="L983" s="1"/>
  <c r="M983" s="1"/>
  <c r="J982"/>
  <c r="K982" s="1"/>
  <c r="L982" s="1"/>
  <c r="M982" s="1"/>
  <c r="J981"/>
  <c r="K981" s="1"/>
  <c r="J980"/>
  <c r="K980" s="1"/>
  <c r="L980" s="1"/>
  <c r="M980" s="1"/>
  <c r="J979"/>
  <c r="K979" s="1"/>
  <c r="J978"/>
  <c r="K978" s="1"/>
  <c r="L978" s="1"/>
  <c r="M978" s="1"/>
  <c r="J977"/>
  <c r="K977" s="1"/>
  <c r="L977" s="1"/>
  <c r="M977" s="1"/>
  <c r="J976"/>
  <c r="K976" s="1"/>
  <c r="L976" s="1"/>
  <c r="M976" s="1"/>
  <c r="J975"/>
  <c r="K975" s="1"/>
  <c r="L975" s="1"/>
  <c r="M975" s="1"/>
  <c r="J974"/>
  <c r="K974" s="1"/>
  <c r="L974" s="1"/>
  <c r="M974" s="1"/>
  <c r="J973"/>
  <c r="K973" s="1"/>
  <c r="J972"/>
  <c r="K972" s="1"/>
  <c r="L972" s="1"/>
  <c r="M972" s="1"/>
  <c r="J971"/>
  <c r="K971" s="1"/>
  <c r="L971" s="1"/>
  <c r="M971" s="1"/>
  <c r="J970"/>
  <c r="K970" s="1"/>
  <c r="L970" s="1"/>
  <c r="M970" s="1"/>
  <c r="J969"/>
  <c r="K969" s="1"/>
  <c r="J968"/>
  <c r="K968" s="1"/>
  <c r="L968" s="1"/>
  <c r="M968" s="1"/>
  <c r="J967"/>
  <c r="K967" s="1"/>
  <c r="J966"/>
  <c r="K966" s="1"/>
  <c r="L966" s="1"/>
  <c r="M966" s="1"/>
  <c r="J965"/>
  <c r="K965" s="1"/>
  <c r="L965" s="1"/>
  <c r="M965" s="1"/>
  <c r="J964"/>
  <c r="K964" s="1"/>
  <c r="L964" s="1"/>
  <c r="M964" s="1"/>
  <c r="J963"/>
  <c r="K963" s="1"/>
  <c r="J962"/>
  <c r="K962" s="1"/>
  <c r="L962" s="1"/>
  <c r="M962" s="1"/>
  <c r="J961"/>
  <c r="K961" s="1"/>
  <c r="L961" s="1"/>
  <c r="M961" s="1"/>
  <c r="J960"/>
  <c r="K960" s="1"/>
  <c r="L960" s="1"/>
  <c r="M960" s="1"/>
  <c r="J959"/>
  <c r="K959" s="1"/>
  <c r="J958"/>
  <c r="K958" s="1"/>
  <c r="L958" s="1"/>
  <c r="M958" s="1"/>
  <c r="J957"/>
  <c r="K957" s="1"/>
  <c r="J956"/>
  <c r="K956" s="1"/>
  <c r="L956" s="1"/>
  <c r="M956" s="1"/>
  <c r="J955"/>
  <c r="K955" s="1"/>
  <c r="L955" s="1"/>
  <c r="M955" s="1"/>
  <c r="J954"/>
  <c r="K954" s="1"/>
  <c r="J953"/>
  <c r="K953" s="1"/>
  <c r="L953" s="1"/>
  <c r="M953" s="1"/>
  <c r="J952"/>
  <c r="K952" s="1"/>
  <c r="J951"/>
  <c r="K951" s="1"/>
  <c r="L951" s="1"/>
  <c r="M951" s="1"/>
  <c r="J950"/>
  <c r="K950" s="1"/>
  <c r="J939"/>
  <c r="K939" s="1"/>
  <c r="J938"/>
  <c r="K938" s="1"/>
  <c r="L938" s="1"/>
  <c r="M938" s="1"/>
  <c r="J937"/>
  <c r="K937" s="1"/>
  <c r="J936"/>
  <c r="K936" s="1"/>
  <c r="J935"/>
  <c r="K935" s="1"/>
  <c r="L935" s="1"/>
  <c r="M935" s="1"/>
  <c r="J934"/>
  <c r="K934" s="1"/>
  <c r="L934" s="1"/>
  <c r="M934" s="1"/>
  <c r="J933"/>
  <c r="K933" s="1"/>
  <c r="L933" s="1"/>
  <c r="M933" s="1"/>
  <c r="J932"/>
  <c r="K932" s="1"/>
  <c r="J931"/>
  <c r="K931" s="1"/>
  <c r="L931" s="1"/>
  <c r="M931" s="1"/>
  <c r="J930"/>
  <c r="K930" s="1"/>
  <c r="J929"/>
  <c r="K929" s="1"/>
  <c r="L929" s="1"/>
  <c r="M929" s="1"/>
  <c r="J928"/>
  <c r="K928" s="1"/>
  <c r="L928" s="1"/>
  <c r="M928" s="1"/>
  <c r="J927"/>
  <c r="K927" s="1"/>
  <c r="L927" s="1"/>
  <c r="M927" s="1"/>
  <c r="J926"/>
  <c r="K926" s="1"/>
  <c r="L926" s="1"/>
  <c r="M926" s="1"/>
  <c r="J925"/>
  <c r="K925" s="1"/>
  <c r="L925" s="1"/>
  <c r="M925" s="1"/>
  <c r="J924"/>
  <c r="K924" s="1"/>
  <c r="L924" s="1"/>
  <c r="M924" s="1"/>
  <c r="J923"/>
  <c r="K923" s="1"/>
  <c r="L923" s="1"/>
  <c r="M923" s="1"/>
  <c r="J922"/>
  <c r="K922" s="1"/>
  <c r="J921"/>
  <c r="K921" s="1"/>
  <c r="L921" s="1"/>
  <c r="M921" s="1"/>
  <c r="J920"/>
  <c r="K920" s="1"/>
  <c r="J919"/>
  <c r="K919" s="1"/>
  <c r="L919" s="1"/>
  <c r="M919" s="1"/>
  <c r="J918"/>
  <c r="K918" s="1"/>
  <c r="J917"/>
  <c r="K917" s="1"/>
  <c r="L917" s="1"/>
  <c r="M917" s="1"/>
  <c r="J916"/>
  <c r="K916" s="1"/>
  <c r="L916" s="1"/>
  <c r="M916" s="1"/>
  <c r="J915"/>
  <c r="K915" s="1"/>
  <c r="L915" s="1"/>
  <c r="M915" s="1"/>
  <c r="J914"/>
  <c r="K914" s="1"/>
  <c r="L914" s="1"/>
  <c r="M914" s="1"/>
  <c r="J913"/>
  <c r="K913" s="1"/>
  <c r="L913" s="1"/>
  <c r="M913" s="1"/>
  <c r="J912"/>
  <c r="K912" s="1"/>
  <c r="L912" s="1"/>
  <c r="M912" s="1"/>
  <c r="J911"/>
  <c r="K911" s="1"/>
  <c r="L911" s="1"/>
  <c r="M911" s="1"/>
  <c r="J910"/>
  <c r="K910" s="1"/>
  <c r="J909"/>
  <c r="K909" s="1"/>
  <c r="L909" s="1"/>
  <c r="M909" s="1"/>
  <c r="J908"/>
  <c r="K908" s="1"/>
  <c r="L908" s="1"/>
  <c r="M908" s="1"/>
  <c r="J907"/>
  <c r="K907" s="1"/>
  <c r="J906"/>
  <c r="K906" s="1"/>
  <c r="L906" s="1"/>
  <c r="M906" s="1"/>
  <c r="J905"/>
  <c r="K905" s="1"/>
  <c r="L905" s="1"/>
  <c r="M905" s="1"/>
  <c r="J904"/>
  <c r="K904" s="1"/>
  <c r="J903"/>
  <c r="K903" s="1"/>
  <c r="L903" s="1"/>
  <c r="M903" s="1"/>
  <c r="J902"/>
  <c r="K902" s="1"/>
  <c r="L902" s="1"/>
  <c r="M902" s="1"/>
  <c r="J901"/>
  <c r="K901" s="1"/>
  <c r="J900"/>
  <c r="K900" s="1"/>
  <c r="L900" s="1"/>
  <c r="M900" s="1"/>
  <c r="J899"/>
  <c r="K899" s="1"/>
  <c r="L899" s="1"/>
  <c r="M899" s="1"/>
  <c r="J898"/>
  <c r="K898" s="1"/>
  <c r="L898" s="1"/>
  <c r="M898" s="1"/>
  <c r="J897"/>
  <c r="K897" s="1"/>
  <c r="J896"/>
  <c r="K896" s="1"/>
  <c r="L896" s="1"/>
  <c r="M896" s="1"/>
  <c r="J895"/>
  <c r="K895" s="1"/>
  <c r="J894"/>
  <c r="K894" s="1"/>
  <c r="L894" s="1"/>
  <c r="M894" s="1"/>
  <c r="J893"/>
  <c r="K893" s="1"/>
  <c r="L893" s="1"/>
  <c r="M893" s="1"/>
  <c r="J892"/>
  <c r="K892" s="1"/>
  <c r="L892" s="1"/>
  <c r="M892" s="1"/>
  <c r="J891"/>
  <c r="K891" s="1"/>
  <c r="L891" s="1"/>
  <c r="M891" s="1"/>
  <c r="J890"/>
  <c r="K890" s="1"/>
  <c r="L890" s="1"/>
  <c r="M890" s="1"/>
  <c r="J889"/>
  <c r="K889" s="1"/>
  <c r="L889" s="1"/>
  <c r="M889" s="1"/>
  <c r="J888"/>
  <c r="K888" s="1"/>
  <c r="L888" s="1"/>
  <c r="M888" s="1"/>
  <c r="J887"/>
  <c r="K887" s="1"/>
  <c r="J886"/>
  <c r="K886" s="1"/>
  <c r="J885"/>
  <c r="K885" s="1"/>
  <c r="L885" s="1"/>
  <c r="M885" s="1"/>
  <c r="J884"/>
  <c r="K884" s="1"/>
  <c r="J883"/>
  <c r="K883" s="1"/>
  <c r="J882"/>
  <c r="K882" s="1"/>
  <c r="L882" s="1"/>
  <c r="M882" s="1"/>
  <c r="J881"/>
  <c r="K881" s="1"/>
  <c r="J880"/>
  <c r="K880" s="1"/>
  <c r="J879"/>
  <c r="K879" s="1"/>
  <c r="J878"/>
  <c r="K878" s="1"/>
  <c r="L878" s="1"/>
  <c r="M878" s="1"/>
  <c r="J877"/>
  <c r="K877" s="1"/>
  <c r="L877" s="1"/>
  <c r="M877" s="1"/>
  <c r="J876"/>
  <c r="K876" s="1"/>
  <c r="J875"/>
  <c r="K875" s="1"/>
  <c r="L875" s="1"/>
  <c r="M875" s="1"/>
  <c r="J874"/>
  <c r="K874" s="1"/>
  <c r="J873"/>
  <c r="K873" s="1"/>
  <c r="L873" s="1"/>
  <c r="M873" s="1"/>
  <c r="J872"/>
  <c r="K872" s="1"/>
  <c r="J871"/>
  <c r="K871" s="1"/>
  <c r="J870"/>
  <c r="K870" s="1"/>
  <c r="L870" s="1"/>
  <c r="M870" s="1"/>
  <c r="J869"/>
  <c r="K869" s="1"/>
  <c r="L869" s="1"/>
  <c r="M869" s="1"/>
  <c r="J868"/>
  <c r="K868" s="1"/>
  <c r="J867"/>
  <c r="K867" s="1"/>
  <c r="J866"/>
  <c r="K866" s="1"/>
  <c r="L866" s="1"/>
  <c r="M866" s="1"/>
  <c r="J865"/>
  <c r="K865" s="1"/>
  <c r="L865" s="1"/>
  <c r="M865" s="1"/>
  <c r="J864"/>
  <c r="K864" s="1"/>
  <c r="J863"/>
  <c r="K863" s="1"/>
  <c r="J862"/>
  <c r="K862" s="1"/>
  <c r="J861"/>
  <c r="K861" s="1"/>
  <c r="L861" s="1"/>
  <c r="M861" s="1"/>
  <c r="J860"/>
  <c r="K860" s="1"/>
  <c r="J859"/>
  <c r="K859" s="1"/>
  <c r="L859" s="1"/>
  <c r="M859" s="1"/>
  <c r="J858"/>
  <c r="K858" s="1"/>
  <c r="J857"/>
  <c r="K857" s="1"/>
  <c r="J856"/>
  <c r="K856" s="1"/>
  <c r="L856" s="1"/>
  <c r="M856" s="1"/>
  <c r="J855"/>
  <c r="K855" s="1"/>
  <c r="L855" s="1"/>
  <c r="M855" s="1"/>
  <c r="J854"/>
  <c r="K854" s="1"/>
  <c r="L854" s="1"/>
  <c r="M854" s="1"/>
  <c r="J853"/>
  <c r="K853" s="1"/>
  <c r="L853" s="1"/>
  <c r="M853" s="1"/>
  <c r="J852"/>
  <c r="K852" s="1"/>
  <c r="J851"/>
  <c r="K851" s="1"/>
  <c r="L851" s="1"/>
  <c r="M851" s="1"/>
  <c r="J850"/>
  <c r="K850" s="1"/>
  <c r="L850" s="1"/>
  <c r="M850" s="1"/>
  <c r="J849"/>
  <c r="K849" s="1"/>
  <c r="L849" s="1"/>
  <c r="M849" s="1"/>
  <c r="J848"/>
  <c r="K848" s="1"/>
  <c r="L848" s="1"/>
  <c r="M848" s="1"/>
  <c r="J847"/>
  <c r="K847" s="1"/>
  <c r="L847" s="1"/>
  <c r="M847" s="1"/>
  <c r="J846"/>
  <c r="K846" s="1"/>
  <c r="J845"/>
  <c r="K845" s="1"/>
  <c r="L845" s="1"/>
  <c r="M845" s="1"/>
  <c r="J844"/>
  <c r="K844" s="1"/>
  <c r="L844" s="1"/>
  <c r="M844" s="1"/>
  <c r="J843"/>
  <c r="K843" s="1"/>
  <c r="J842"/>
  <c r="K842" s="1"/>
  <c r="L842" s="1"/>
  <c r="M842" s="1"/>
  <c r="J841"/>
  <c r="K841" s="1"/>
  <c r="J840"/>
  <c r="K840" s="1"/>
  <c r="J839"/>
  <c r="K839" s="1"/>
  <c r="L839" s="1"/>
  <c r="M839" s="1"/>
  <c r="J838"/>
  <c r="K838" s="1"/>
  <c r="L838" s="1"/>
  <c r="M838" s="1"/>
  <c r="J837"/>
  <c r="K837" s="1"/>
  <c r="L837" s="1"/>
  <c r="M837" s="1"/>
  <c r="J836"/>
  <c r="K836" s="1"/>
  <c r="J835"/>
  <c r="K835" s="1"/>
  <c r="L835" s="1"/>
  <c r="M835" s="1"/>
  <c r="J834"/>
  <c r="K834" s="1"/>
  <c r="J833"/>
  <c r="K833" s="1"/>
  <c r="L833" s="1"/>
  <c r="M833" s="1"/>
  <c r="J832"/>
  <c r="K832" s="1"/>
  <c r="J831"/>
  <c r="K831" s="1"/>
  <c r="L831" s="1"/>
  <c r="M831" s="1"/>
  <c r="J826"/>
  <c r="K826" s="1"/>
  <c r="L826" s="1"/>
  <c r="M826" s="1"/>
  <c r="J825"/>
  <c r="K825" s="1"/>
  <c r="L825" s="1"/>
  <c r="M825" s="1"/>
  <c r="J824"/>
  <c r="K824" s="1"/>
  <c r="L824" s="1"/>
  <c r="M824" s="1"/>
  <c r="J823"/>
  <c r="K823" s="1"/>
  <c r="L823" s="1"/>
  <c r="M823" s="1"/>
  <c r="J822"/>
  <c r="K822" s="1"/>
  <c r="J821"/>
  <c r="K821" s="1"/>
  <c r="L821" s="1"/>
  <c r="M821" s="1"/>
  <c r="J820"/>
  <c r="K820" s="1"/>
  <c r="L820" s="1"/>
  <c r="M820" s="1"/>
  <c r="J819"/>
  <c r="K819" s="1"/>
  <c r="L819" s="1"/>
  <c r="M819" s="1"/>
  <c r="J818"/>
  <c r="K818" s="1"/>
  <c r="L818" s="1"/>
  <c r="M818" s="1"/>
  <c r="J817"/>
  <c r="K817" s="1"/>
  <c r="L817" s="1"/>
  <c r="M817" s="1"/>
  <c r="J816"/>
  <c r="K816" s="1"/>
  <c r="J815"/>
  <c r="K815" s="1"/>
  <c r="L815" s="1"/>
  <c r="M815" s="1"/>
  <c r="J814"/>
  <c r="K814" s="1"/>
  <c r="L814" s="1"/>
  <c r="M814" s="1"/>
  <c r="J813"/>
  <c r="K813" s="1"/>
  <c r="J812"/>
  <c r="K812" s="1"/>
  <c r="L812" s="1"/>
  <c r="M812" s="1"/>
  <c r="J811"/>
  <c r="K811" s="1"/>
  <c r="J810"/>
  <c r="K810" s="1"/>
  <c r="J809"/>
  <c r="K809" s="1"/>
  <c r="L809" s="1"/>
  <c r="M809" s="1"/>
  <c r="J808"/>
  <c r="K808" s="1"/>
  <c r="J807"/>
  <c r="K807" s="1"/>
  <c r="L807" s="1"/>
  <c r="M807" s="1"/>
  <c r="J806"/>
  <c r="K806" s="1"/>
  <c r="L806" s="1"/>
  <c r="M806" s="1"/>
  <c r="J805"/>
  <c r="K805" s="1"/>
  <c r="J804"/>
  <c r="K804" s="1"/>
  <c r="L804" s="1"/>
  <c r="M804" s="1"/>
  <c r="J803"/>
  <c r="K803" s="1"/>
  <c r="L803" s="1"/>
  <c r="M803" s="1"/>
  <c r="J802"/>
  <c r="K802" s="1"/>
  <c r="L802" s="1"/>
  <c r="M802" s="1"/>
  <c r="J801"/>
  <c r="K801" s="1"/>
  <c r="L801" s="1"/>
  <c r="M801" s="1"/>
  <c r="J800"/>
  <c r="K800" s="1"/>
  <c r="L800" s="1"/>
  <c r="M800" s="1"/>
  <c r="J799"/>
  <c r="K799" s="1"/>
  <c r="L799" s="1"/>
  <c r="M799" s="1"/>
  <c r="J798"/>
  <c r="K798" s="1"/>
  <c r="J797"/>
  <c r="K797" s="1"/>
  <c r="L797" s="1"/>
  <c r="M797" s="1"/>
  <c r="J796"/>
  <c r="K796" s="1"/>
  <c r="J795"/>
  <c r="K795" s="1"/>
  <c r="L795" s="1"/>
  <c r="M795" s="1"/>
  <c r="J794"/>
  <c r="K794" s="1"/>
  <c r="L794" s="1"/>
  <c r="M794" s="1"/>
  <c r="J793"/>
  <c r="K793" s="1"/>
  <c r="L793" s="1"/>
  <c r="M793" s="1"/>
  <c r="J792"/>
  <c r="K792" s="1"/>
  <c r="L792" s="1"/>
  <c r="M792" s="1"/>
  <c r="J791"/>
  <c r="K791" s="1"/>
  <c r="L791" s="1"/>
  <c r="M791" s="1"/>
  <c r="J790"/>
  <c r="K790" s="1"/>
  <c r="J789"/>
  <c r="K789" s="1"/>
  <c r="L789" s="1"/>
  <c r="M789" s="1"/>
  <c r="J788"/>
  <c r="K788" s="1"/>
  <c r="L788" s="1"/>
  <c r="M788" s="1"/>
  <c r="J787"/>
  <c r="K787" s="1"/>
  <c r="L787" s="1"/>
  <c r="M787" s="1"/>
  <c r="J786"/>
  <c r="K786" s="1"/>
  <c r="L786" s="1"/>
  <c r="M786" s="1"/>
  <c r="J785"/>
  <c r="K785" s="1"/>
  <c r="J784"/>
  <c r="K784" s="1"/>
  <c r="L784" s="1"/>
  <c r="M784" s="1"/>
  <c r="J783"/>
  <c r="K783" s="1"/>
  <c r="J782"/>
  <c r="K782" s="1"/>
  <c r="L782" s="1"/>
  <c r="M782" s="1"/>
  <c r="J781"/>
  <c r="K781" s="1"/>
  <c r="L781" s="1"/>
  <c r="M781" s="1"/>
  <c r="J780"/>
  <c r="K780" s="1"/>
  <c r="L780" s="1"/>
  <c r="M780" s="1"/>
  <c r="J779"/>
  <c r="K779" s="1"/>
  <c r="L779" s="1"/>
  <c r="M779" s="1"/>
  <c r="J778"/>
  <c r="K778" s="1"/>
  <c r="J777"/>
  <c r="K777" s="1"/>
  <c r="L777" s="1"/>
  <c r="M777" s="1"/>
  <c r="J776"/>
  <c r="K776" s="1"/>
  <c r="L776" s="1"/>
  <c r="M776" s="1"/>
  <c r="J775"/>
  <c r="K775" s="1"/>
  <c r="L775" s="1"/>
  <c r="M775" s="1"/>
  <c r="J774"/>
  <c r="K774" s="1"/>
  <c r="L774" s="1"/>
  <c r="M774" s="1"/>
  <c r="J773"/>
  <c r="K773" s="1"/>
  <c r="L773" s="1"/>
  <c r="M773" s="1"/>
  <c r="J772"/>
  <c r="K772" s="1"/>
  <c r="J771"/>
  <c r="K771" s="1"/>
  <c r="L771" s="1"/>
  <c r="M771" s="1"/>
  <c r="J770"/>
  <c r="K770" s="1"/>
  <c r="L770" s="1"/>
  <c r="M770" s="1"/>
  <c r="J769"/>
  <c r="K769" s="1"/>
  <c r="J768"/>
  <c r="K768" s="1"/>
  <c r="L768" s="1"/>
  <c r="M768" s="1"/>
  <c r="J767"/>
  <c r="K767" s="1"/>
  <c r="L767" s="1"/>
  <c r="M767" s="1"/>
  <c r="J766"/>
  <c r="K766" s="1"/>
  <c r="L766" s="1"/>
  <c r="M766" s="1"/>
  <c r="J765"/>
  <c r="K765" s="1"/>
  <c r="J764"/>
  <c r="K764" s="1"/>
  <c r="L764" s="1"/>
  <c r="M764" s="1"/>
  <c r="J763"/>
  <c r="K763" s="1"/>
  <c r="L763" s="1"/>
  <c r="M763" s="1"/>
  <c r="J762"/>
  <c r="K762" s="1"/>
  <c r="J761"/>
  <c r="K761" s="1"/>
  <c r="L761" s="1"/>
  <c r="M761" s="1"/>
  <c r="J760"/>
  <c r="K760" s="1"/>
  <c r="J759"/>
  <c r="K759" s="1"/>
  <c r="L759" s="1"/>
  <c r="M759" s="1"/>
  <c r="J758"/>
  <c r="K758" s="1"/>
  <c r="L758" s="1"/>
  <c r="M758" s="1"/>
  <c r="J757"/>
  <c r="K757" s="1"/>
  <c r="J756"/>
  <c r="K756" s="1"/>
  <c r="L756" s="1"/>
  <c r="M756" s="1"/>
  <c r="J755"/>
  <c r="K755" s="1"/>
  <c r="J754"/>
  <c r="K754" s="1"/>
  <c r="L754" s="1"/>
  <c r="M754" s="1"/>
  <c r="J753"/>
  <c r="K753" s="1"/>
  <c r="J742"/>
  <c r="K742" s="1"/>
  <c r="J741"/>
  <c r="K741" s="1"/>
  <c r="J740"/>
  <c r="K740" s="1"/>
  <c r="L740" s="1"/>
  <c r="M740" s="1"/>
  <c r="J739"/>
  <c r="K739" s="1"/>
  <c r="J738"/>
  <c r="K738" s="1"/>
  <c r="L738" s="1"/>
  <c r="M738" s="1"/>
  <c r="J737"/>
  <c r="K737" s="1"/>
  <c r="L737" s="1"/>
  <c r="M737" s="1"/>
  <c r="J736"/>
  <c r="K736" s="1"/>
  <c r="L736" s="1"/>
  <c r="M736" s="1"/>
  <c r="J735"/>
  <c r="K735" s="1"/>
  <c r="L735" s="1"/>
  <c r="M735" s="1"/>
  <c r="J734"/>
  <c r="K734" s="1"/>
  <c r="L734" s="1"/>
  <c r="M734" s="1"/>
  <c r="J733"/>
  <c r="K733" s="1"/>
  <c r="L733" s="1"/>
  <c r="M733" s="1"/>
  <c r="J725"/>
  <c r="K725" s="1"/>
  <c r="J724"/>
  <c r="K724" s="1"/>
  <c r="L724" s="1"/>
  <c r="M724" s="1"/>
  <c r="J723"/>
  <c r="K723" s="1"/>
  <c r="L723" s="1"/>
  <c r="M723" s="1"/>
  <c r="J722"/>
  <c r="K722" s="1"/>
  <c r="L722" s="1"/>
  <c r="M722" s="1"/>
  <c r="J721"/>
  <c r="K721" s="1"/>
  <c r="L721" s="1"/>
  <c r="M721" s="1"/>
  <c r="J720"/>
  <c r="K720" s="1"/>
  <c r="L720" s="1"/>
  <c r="M720" s="1"/>
  <c r="J719"/>
  <c r="K719" s="1"/>
  <c r="J718"/>
  <c r="K718" s="1"/>
  <c r="L718" s="1"/>
  <c r="M718" s="1"/>
  <c r="J717"/>
  <c r="K717" s="1"/>
  <c r="J716"/>
  <c r="K716" s="1"/>
  <c r="L716" s="1"/>
  <c r="M716" s="1"/>
  <c r="J715"/>
  <c r="K715" s="1"/>
  <c r="L715" s="1"/>
  <c r="M715" s="1"/>
  <c r="J714"/>
  <c r="K714" s="1"/>
  <c r="L714" s="1"/>
  <c r="M714" s="1"/>
  <c r="J713"/>
  <c r="K713" s="1"/>
  <c r="L713" s="1"/>
  <c r="M713" s="1"/>
  <c r="J712"/>
  <c r="K712" s="1"/>
  <c r="L712" s="1"/>
  <c r="M712" s="1"/>
  <c r="J711"/>
  <c r="K711" s="1"/>
  <c r="J710"/>
  <c r="K710" s="1"/>
  <c r="L710" s="1"/>
  <c r="M710" s="1"/>
  <c r="J709"/>
  <c r="K709" s="1"/>
  <c r="J708"/>
  <c r="K708" s="1"/>
  <c r="L708" s="1"/>
  <c r="M708" s="1"/>
  <c r="J707"/>
  <c r="K707" s="1"/>
  <c r="L707" s="1"/>
  <c r="M707" s="1"/>
  <c r="J706"/>
  <c r="K706" s="1"/>
  <c r="L706" s="1"/>
  <c r="M706" s="1"/>
  <c r="J705"/>
  <c r="K705" s="1"/>
  <c r="L705" s="1"/>
  <c r="M705" s="1"/>
  <c r="J704"/>
  <c r="K704" s="1"/>
  <c r="L704" s="1"/>
  <c r="M704" s="1"/>
  <c r="J703"/>
  <c r="K703" s="1"/>
  <c r="J702"/>
  <c r="K702" s="1"/>
  <c r="L702" s="1"/>
  <c r="M702" s="1"/>
  <c r="J701"/>
  <c r="K701" s="1"/>
  <c r="J700"/>
  <c r="K700" s="1"/>
  <c r="L700" s="1"/>
  <c r="M700" s="1"/>
  <c r="J699"/>
  <c r="K699" s="1"/>
  <c r="L699" s="1"/>
  <c r="M699" s="1"/>
  <c r="J698"/>
  <c r="K698" s="1"/>
  <c r="L698" s="1"/>
  <c r="M698" s="1"/>
  <c r="J697"/>
  <c r="K697" s="1"/>
  <c r="L697" s="1"/>
  <c r="M697" s="1"/>
  <c r="J696"/>
  <c r="K696" s="1"/>
  <c r="J695"/>
  <c r="K695" s="1"/>
  <c r="L695" s="1"/>
  <c r="M695" s="1"/>
  <c r="J694"/>
  <c r="K694" s="1"/>
  <c r="L694" s="1"/>
  <c r="M694" s="1"/>
  <c r="J693"/>
  <c r="K693" s="1"/>
  <c r="L693" s="1"/>
  <c r="M693" s="1"/>
  <c r="J692"/>
  <c r="K692" s="1"/>
  <c r="L692" s="1"/>
  <c r="M692" s="1"/>
  <c r="J691"/>
  <c r="K691" s="1"/>
  <c r="J690"/>
  <c r="K690" s="1"/>
  <c r="L690" s="1"/>
  <c r="M690" s="1"/>
  <c r="J689"/>
  <c r="K689" s="1"/>
  <c r="L689" s="1"/>
  <c r="M689" s="1"/>
  <c r="J688"/>
  <c r="K688" s="1"/>
  <c r="L688" s="1"/>
  <c r="M688" s="1"/>
  <c r="J687"/>
  <c r="K687" s="1"/>
  <c r="L687" s="1"/>
  <c r="M687" s="1"/>
  <c r="J686"/>
  <c r="K686" s="1"/>
  <c r="L686" s="1"/>
  <c r="M686" s="1"/>
  <c r="J685"/>
  <c r="K685" s="1"/>
  <c r="J684"/>
  <c r="K684" s="1"/>
  <c r="L684" s="1"/>
  <c r="M684" s="1"/>
  <c r="J683"/>
  <c r="K683" s="1"/>
  <c r="J682"/>
  <c r="K682" s="1"/>
  <c r="J681"/>
  <c r="K681" s="1"/>
  <c r="L681" s="1"/>
  <c r="M681" s="1"/>
  <c r="J680"/>
  <c r="K680" s="1"/>
  <c r="M680" s="1"/>
  <c r="J679"/>
  <c r="K679" s="1"/>
  <c r="M679" s="1"/>
  <c r="J678"/>
  <c r="K678" s="1"/>
  <c r="L678" s="1"/>
  <c r="M678" s="1"/>
  <c r="J677"/>
  <c r="K677" s="1"/>
  <c r="L677" s="1"/>
  <c r="M677" s="1"/>
  <c r="J676"/>
  <c r="K676" s="1"/>
  <c r="J675"/>
  <c r="K675" s="1"/>
  <c r="L675" s="1"/>
  <c r="M675" s="1"/>
  <c r="J674"/>
  <c r="K674" s="1"/>
  <c r="J673"/>
  <c r="K673" s="1"/>
  <c r="J672"/>
  <c r="K672" s="1"/>
  <c r="L672" s="1"/>
  <c r="M672" s="1"/>
  <c r="J671"/>
  <c r="K671" s="1"/>
  <c r="J670"/>
  <c r="K670" s="1"/>
  <c r="L670" s="1"/>
  <c r="M670" s="1"/>
  <c r="J669"/>
  <c r="K669" s="1"/>
  <c r="L669" s="1"/>
  <c r="M669" s="1"/>
  <c r="J668"/>
  <c r="K668" s="1"/>
  <c r="L668" s="1"/>
  <c r="M668" s="1"/>
  <c r="J667"/>
  <c r="K667" s="1"/>
  <c r="J666"/>
  <c r="K666" s="1"/>
  <c r="L666" s="1"/>
  <c r="M666" s="1"/>
  <c r="J665"/>
  <c r="K665" s="1"/>
  <c r="J664"/>
  <c r="K664" s="1"/>
  <c r="L664" s="1"/>
  <c r="M664" s="1"/>
  <c r="J663"/>
  <c r="K663" s="1"/>
  <c r="L663" s="1"/>
  <c r="M663" s="1"/>
  <c r="J662"/>
  <c r="K662" s="1"/>
  <c r="J661"/>
  <c r="K661" s="1"/>
  <c r="L661" s="1"/>
  <c r="M661" s="1"/>
  <c r="J660"/>
  <c r="K660" s="1"/>
  <c r="J659"/>
  <c r="K659" s="1"/>
  <c r="L659" s="1"/>
  <c r="M659" s="1"/>
  <c r="J658"/>
  <c r="K658" s="1"/>
  <c r="J657"/>
  <c r="K657" s="1"/>
  <c r="J656"/>
  <c r="K656" s="1"/>
  <c r="L656" s="1"/>
  <c r="M656" s="1"/>
  <c r="J655"/>
  <c r="K655" s="1"/>
  <c r="J654"/>
  <c r="K654" s="1"/>
  <c r="L654" s="1"/>
  <c r="M654" s="1"/>
  <c r="J653"/>
  <c r="K653" s="1"/>
  <c r="J652"/>
  <c r="K652" s="1"/>
  <c r="L652" s="1"/>
  <c r="M652" s="1"/>
  <c r="J651"/>
  <c r="K651" s="1"/>
  <c r="J650"/>
  <c r="K650" s="1"/>
  <c r="J649"/>
  <c r="K649" s="1"/>
  <c r="L649" s="1"/>
  <c r="M649" s="1"/>
  <c r="J648"/>
  <c r="K648" s="1"/>
  <c r="L648" s="1"/>
  <c r="M648" s="1"/>
  <c r="J647"/>
  <c r="K647" s="1"/>
  <c r="J646"/>
  <c r="K646" s="1"/>
  <c r="L646" s="1"/>
  <c r="M646" s="1"/>
  <c r="J645"/>
  <c r="K645" s="1"/>
  <c r="J644"/>
  <c r="K644" s="1"/>
  <c r="J643"/>
  <c r="K643" s="1"/>
  <c r="L643" s="1"/>
  <c r="M643" s="1"/>
  <c r="J642"/>
  <c r="K642" s="1"/>
  <c r="J641"/>
  <c r="K641" s="1"/>
  <c r="J640"/>
  <c r="K640" s="1"/>
  <c r="L640" s="1"/>
  <c r="M640" s="1"/>
  <c r="J639"/>
  <c r="K639" s="1"/>
  <c r="J638"/>
  <c r="K638" s="1"/>
  <c r="J637"/>
  <c r="K637" s="1"/>
  <c r="L637" s="1"/>
  <c r="M637" s="1"/>
  <c r="J636"/>
  <c r="K636" s="1"/>
  <c r="L636" s="1"/>
  <c r="M636" s="1"/>
  <c r="J635"/>
  <c r="K635" s="1"/>
  <c r="L635" s="1"/>
  <c r="M635" s="1"/>
  <c r="J634"/>
  <c r="K634" s="1"/>
  <c r="L634" s="1"/>
  <c r="M634" s="1"/>
  <c r="J633"/>
  <c r="K633" s="1"/>
  <c r="L633" s="1"/>
  <c r="M633" s="1"/>
  <c r="J632"/>
  <c r="K632" s="1"/>
  <c r="L632" s="1"/>
  <c r="M632" s="1"/>
  <c r="J631"/>
  <c r="K631" s="1"/>
  <c r="J630"/>
  <c r="K630" s="1"/>
  <c r="L630" s="1"/>
  <c r="M630" s="1"/>
  <c r="J629"/>
  <c r="K629" s="1"/>
  <c r="L629" s="1"/>
  <c r="M629" s="1"/>
  <c r="J628"/>
  <c r="K628" s="1"/>
  <c r="L628" s="1"/>
  <c r="M628" s="1"/>
  <c r="J627"/>
  <c r="K627" s="1"/>
  <c r="L627" s="1"/>
  <c r="M627" s="1"/>
  <c r="J626"/>
  <c r="K626" s="1"/>
  <c r="L626" s="1"/>
  <c r="M626" s="1"/>
  <c r="J625"/>
  <c r="K625" s="1"/>
  <c r="J624"/>
  <c r="K624" s="1"/>
  <c r="L624" s="1"/>
  <c r="M624" s="1"/>
  <c r="J623"/>
  <c r="K623" s="1"/>
  <c r="J622"/>
  <c r="K622" s="1"/>
  <c r="L622" s="1"/>
  <c r="M622" s="1"/>
  <c r="J621"/>
  <c r="K621" s="1"/>
  <c r="L621" s="1"/>
  <c r="M621" s="1"/>
  <c r="J620"/>
  <c r="K620" s="1"/>
  <c r="L620" s="1"/>
  <c r="M620" s="1"/>
  <c r="J619"/>
  <c r="K619" s="1"/>
  <c r="L619" s="1"/>
  <c r="M619" s="1"/>
  <c r="J618"/>
  <c r="K618" s="1"/>
  <c r="L618" s="1"/>
  <c r="M618" s="1"/>
  <c r="J617"/>
  <c r="K617" s="1"/>
  <c r="J616"/>
  <c r="K616" s="1"/>
  <c r="L616" s="1"/>
  <c r="M616" s="1"/>
  <c r="J615"/>
  <c r="K615" s="1"/>
  <c r="L615" s="1"/>
  <c r="M615" s="1"/>
  <c r="J614"/>
  <c r="K614" s="1"/>
  <c r="L614" s="1"/>
  <c r="M614" s="1"/>
  <c r="J613"/>
  <c r="K613" s="1"/>
  <c r="L613" s="1"/>
  <c r="M613" s="1"/>
  <c r="J612"/>
  <c r="K612" s="1"/>
  <c r="L612" s="1"/>
  <c r="M612" s="1"/>
  <c r="J611"/>
  <c r="K611" s="1"/>
  <c r="J610"/>
  <c r="K610" s="1"/>
  <c r="L610" s="1"/>
  <c r="M610" s="1"/>
  <c r="J609"/>
  <c r="K609" s="1"/>
  <c r="J608"/>
  <c r="K608" s="1"/>
  <c r="L608" s="1"/>
  <c r="M608" s="1"/>
  <c r="J607"/>
  <c r="K607" s="1"/>
  <c r="L607" s="1"/>
  <c r="M607" s="1"/>
  <c r="J606"/>
  <c r="K606" s="1"/>
  <c r="L606" s="1"/>
  <c r="M606" s="1"/>
  <c r="J605"/>
  <c r="K605" s="1"/>
  <c r="J604"/>
  <c r="K604" s="1"/>
  <c r="L604" s="1"/>
  <c r="M604" s="1"/>
  <c r="J603"/>
  <c r="K603" s="1"/>
  <c r="J602"/>
  <c r="K602" s="1"/>
  <c r="L602" s="1"/>
  <c r="M602" s="1"/>
  <c r="J601"/>
  <c r="K601" s="1"/>
  <c r="L601" s="1"/>
  <c r="M601" s="1"/>
  <c r="J600"/>
  <c r="K600" s="1"/>
  <c r="J599"/>
  <c r="K599" s="1"/>
  <c r="L599" s="1"/>
  <c r="M599" s="1"/>
  <c r="J598"/>
  <c r="K598" s="1"/>
  <c r="J597"/>
  <c r="K597" s="1"/>
  <c r="L597" s="1"/>
  <c r="M597" s="1"/>
  <c r="J596"/>
  <c r="K596" s="1"/>
  <c r="J595"/>
  <c r="K595" s="1"/>
  <c r="J594"/>
  <c r="K594" s="1"/>
  <c r="L594" s="1"/>
  <c r="M594" s="1"/>
  <c r="J593"/>
  <c r="K593" s="1"/>
  <c r="J592"/>
  <c r="K592" s="1"/>
  <c r="L592" s="1"/>
  <c r="M592" s="1"/>
  <c r="J591"/>
  <c r="K591" s="1"/>
  <c r="J590"/>
  <c r="K590" s="1"/>
  <c r="L590" s="1"/>
  <c r="M590" s="1"/>
  <c r="J587"/>
  <c r="K587" s="1"/>
  <c r="L587" s="1"/>
  <c r="M587" s="1"/>
  <c r="J586"/>
  <c r="K586" s="1"/>
  <c r="J585"/>
  <c r="K585" s="1"/>
  <c r="J584"/>
  <c r="K584" s="1"/>
  <c r="L584" s="1"/>
  <c r="M584" s="1"/>
  <c r="J583"/>
  <c r="K583" s="1"/>
  <c r="J582"/>
  <c r="K582" s="1"/>
  <c r="J581"/>
  <c r="K581" s="1"/>
  <c r="L581" s="1"/>
  <c r="M581" s="1"/>
  <c r="J580"/>
  <c r="K580" s="1"/>
  <c r="L580" s="1"/>
  <c r="M580" s="1"/>
  <c r="J579"/>
  <c r="K579" s="1"/>
  <c r="L579" s="1"/>
  <c r="M579" s="1"/>
  <c r="J578"/>
  <c r="K578" s="1"/>
  <c r="L578" s="1"/>
  <c r="M578" s="1"/>
  <c r="J577"/>
  <c r="K577" s="1"/>
  <c r="L577" s="1"/>
  <c r="M577" s="1"/>
  <c r="J576"/>
  <c r="K576" s="1"/>
  <c r="L576" s="1"/>
  <c r="M576" s="1"/>
  <c r="J575"/>
  <c r="K575" s="1"/>
  <c r="L575" s="1"/>
  <c r="M575" s="1"/>
  <c r="J574"/>
  <c r="K574" s="1"/>
  <c r="J573"/>
  <c r="K573" s="1"/>
  <c r="J572"/>
  <c r="K572" s="1"/>
  <c r="L572" s="1"/>
  <c r="M572" s="1"/>
  <c r="J571"/>
  <c r="K571" s="1"/>
  <c r="L571" s="1"/>
  <c r="M571" s="1"/>
  <c r="J570"/>
  <c r="K570" s="1"/>
  <c r="L570" s="1"/>
  <c r="M570" s="1"/>
  <c r="J569"/>
  <c r="K569" s="1"/>
  <c r="L569" s="1"/>
  <c r="M569" s="1"/>
  <c r="J568"/>
  <c r="K568" s="1"/>
  <c r="L568" s="1"/>
  <c r="M568" s="1"/>
  <c r="J567"/>
  <c r="K567" s="1"/>
  <c r="L567" s="1"/>
  <c r="M567" s="1"/>
  <c r="J566"/>
  <c r="K566" s="1"/>
  <c r="L566" s="1"/>
  <c r="M566" s="1"/>
  <c r="J565"/>
  <c r="K565" s="1"/>
  <c r="L565" s="1"/>
  <c r="M565" s="1"/>
  <c r="J564"/>
  <c r="K564" s="1"/>
  <c r="J563"/>
  <c r="K563" s="1"/>
  <c r="L563" s="1"/>
  <c r="M563" s="1"/>
  <c r="J562"/>
  <c r="K562" s="1"/>
  <c r="L562" s="1"/>
  <c r="M562" s="1"/>
  <c r="J561"/>
  <c r="K561" s="1"/>
  <c r="L561" s="1"/>
  <c r="M561" s="1"/>
  <c r="J560"/>
  <c r="K560" s="1"/>
  <c r="L560" s="1"/>
  <c r="M560" s="1"/>
  <c r="J559"/>
  <c r="K559" s="1"/>
  <c r="L559" s="1"/>
  <c r="M559" s="1"/>
  <c r="J558"/>
  <c r="K558" s="1"/>
  <c r="L558" s="1"/>
  <c r="M558" s="1"/>
  <c r="J557"/>
  <c r="K557" s="1"/>
  <c r="L557" s="1"/>
  <c r="M557" s="1"/>
  <c r="J556"/>
  <c r="K556" s="1"/>
  <c r="J555"/>
  <c r="K555" s="1"/>
  <c r="L555" s="1"/>
  <c r="M555" s="1"/>
  <c r="J554"/>
  <c r="K554" s="1"/>
  <c r="L554" s="1"/>
  <c r="M554" s="1"/>
  <c r="J553"/>
  <c r="K553" s="1"/>
  <c r="L553" s="1"/>
  <c r="M553" s="1"/>
  <c r="J552"/>
  <c r="K552" s="1"/>
  <c r="L552" s="1"/>
  <c r="M552" s="1"/>
  <c r="J551"/>
  <c r="K551" s="1"/>
  <c r="L551" s="1"/>
  <c r="M551" s="1"/>
  <c r="J550"/>
  <c r="K550" s="1"/>
  <c r="L550" s="1"/>
  <c r="M550" s="1"/>
  <c r="J549"/>
  <c r="K549" s="1"/>
  <c r="L549" s="1"/>
  <c r="M549" s="1"/>
  <c r="J548"/>
  <c r="K548" s="1"/>
  <c r="J547"/>
  <c r="K547" s="1"/>
  <c r="J546"/>
  <c r="K546" s="1"/>
  <c r="L546" s="1"/>
  <c r="M546" s="1"/>
  <c r="J545"/>
  <c r="K545" s="1"/>
  <c r="L545" s="1"/>
  <c r="M545" s="1"/>
  <c r="J544"/>
  <c r="K544" s="1"/>
  <c r="J543"/>
  <c r="K543" s="1"/>
  <c r="J542"/>
  <c r="K542" s="1"/>
  <c r="L542" s="1"/>
  <c r="M542" s="1"/>
  <c r="J541"/>
  <c r="K541" s="1"/>
  <c r="J540"/>
  <c r="K540" s="1"/>
  <c r="J539"/>
  <c r="K539" s="1"/>
  <c r="J538"/>
  <c r="K538" s="1"/>
  <c r="L538" s="1"/>
  <c r="M538" s="1"/>
  <c r="J537"/>
  <c r="K537" s="1"/>
  <c r="L537" s="1"/>
  <c r="M537" s="1"/>
  <c r="J536"/>
  <c r="K536" s="1"/>
  <c r="J535"/>
  <c r="K535" s="1"/>
  <c r="J534"/>
  <c r="K534" s="1"/>
  <c r="L534" s="1"/>
  <c r="M534" s="1"/>
  <c r="J533"/>
  <c r="K533" s="1"/>
  <c r="L533" s="1"/>
  <c r="M533" s="1"/>
  <c r="J532"/>
  <c r="K532" s="1"/>
  <c r="J531"/>
  <c r="K531" s="1"/>
  <c r="L531" s="1"/>
  <c r="M531" s="1"/>
  <c r="J530"/>
  <c r="K530" s="1"/>
  <c r="J529"/>
  <c r="K529" s="1"/>
  <c r="L529" s="1"/>
  <c r="M529" s="1"/>
  <c r="J528"/>
  <c r="K528" s="1"/>
  <c r="J527"/>
  <c r="K527" s="1"/>
  <c r="J526"/>
  <c r="K526" s="1"/>
  <c r="L526" s="1"/>
  <c r="M526" s="1"/>
  <c r="J525"/>
  <c r="K525" s="1"/>
  <c r="L525" s="1"/>
  <c r="M525" s="1"/>
  <c r="J524"/>
  <c r="K524" s="1"/>
  <c r="L524" s="1"/>
  <c r="M524" s="1"/>
  <c r="J523"/>
  <c r="K523" s="1"/>
  <c r="L523" s="1"/>
  <c r="M523" s="1"/>
  <c r="J522"/>
  <c r="K522" s="1"/>
  <c r="J521"/>
  <c r="K521" s="1"/>
  <c r="L521" s="1"/>
  <c r="M521" s="1"/>
  <c r="J520"/>
  <c r="K520" s="1"/>
  <c r="L520" s="1"/>
  <c r="M520" s="1"/>
  <c r="J519"/>
  <c r="K519" s="1"/>
  <c r="L519" s="1"/>
  <c r="M519" s="1"/>
  <c r="J518"/>
  <c r="K518" s="1"/>
  <c r="L518" s="1"/>
  <c r="M518" s="1"/>
  <c r="J517"/>
  <c r="K517" s="1"/>
  <c r="L517" s="1"/>
  <c r="M517" s="1"/>
  <c r="J516"/>
  <c r="K516" s="1"/>
  <c r="L516" s="1"/>
  <c r="M516" s="1"/>
  <c r="J515"/>
  <c r="K515" s="1"/>
  <c r="L515" s="1"/>
  <c r="M515" s="1"/>
  <c r="J514"/>
  <c r="K514" s="1"/>
  <c r="L514" s="1"/>
  <c r="M514" s="1"/>
  <c r="J513"/>
  <c r="K513" s="1"/>
  <c r="L513" s="1"/>
  <c r="M513" s="1"/>
  <c r="J512"/>
  <c r="K512" s="1"/>
  <c r="J511"/>
  <c r="K511" s="1"/>
  <c r="L511" s="1"/>
  <c r="M511" s="1"/>
  <c r="J510"/>
  <c r="K510" s="1"/>
  <c r="L510" s="1"/>
  <c r="M510" s="1"/>
  <c r="J509"/>
  <c r="K509" s="1"/>
  <c r="L509" s="1"/>
  <c r="M509" s="1"/>
  <c r="J508"/>
  <c r="K508" s="1"/>
  <c r="L508" s="1"/>
  <c r="M508" s="1"/>
  <c r="J507"/>
  <c r="K507" s="1"/>
  <c r="L507" s="1"/>
  <c r="M507" s="1"/>
  <c r="J506"/>
  <c r="K506" s="1"/>
  <c r="L506" s="1"/>
  <c r="M506" s="1"/>
  <c r="J505"/>
  <c r="K505" s="1"/>
  <c r="J504"/>
  <c r="K504" s="1"/>
  <c r="L504" s="1"/>
  <c r="M504" s="1"/>
  <c r="J503"/>
  <c r="K503" s="1"/>
  <c r="L503" s="1"/>
  <c r="M503" s="1"/>
  <c r="J502"/>
  <c r="K502" s="1"/>
  <c r="J501"/>
  <c r="K501" s="1"/>
  <c r="L501" s="1"/>
  <c r="M501" s="1"/>
  <c r="J500"/>
  <c r="K500" s="1"/>
  <c r="L500" s="1"/>
  <c r="M500" s="1"/>
  <c r="J499"/>
  <c r="K499" s="1"/>
  <c r="L499" s="1"/>
  <c r="M499" s="1"/>
  <c r="J498"/>
  <c r="K498" s="1"/>
  <c r="J497"/>
  <c r="K497" s="1"/>
  <c r="J496"/>
  <c r="K496" s="1"/>
  <c r="L496" s="1"/>
  <c r="M496" s="1"/>
  <c r="J495"/>
  <c r="K495" s="1"/>
  <c r="L495" s="1"/>
  <c r="M495" s="1"/>
  <c r="J494"/>
  <c r="K494" s="1"/>
  <c r="L494" s="1"/>
  <c r="M494" s="1"/>
  <c r="J493"/>
  <c r="K493" s="1"/>
  <c r="L493" s="1"/>
  <c r="M493" s="1"/>
  <c r="J492"/>
  <c r="K492" s="1"/>
  <c r="J491"/>
  <c r="K491" s="1"/>
  <c r="L491" s="1"/>
  <c r="M491" s="1"/>
  <c r="J490"/>
  <c r="K490" s="1"/>
  <c r="L490" s="1"/>
  <c r="M490" s="1"/>
  <c r="J489"/>
  <c r="K489" s="1"/>
  <c r="L489" s="1"/>
  <c r="M489" s="1"/>
  <c r="J488"/>
  <c r="K488" s="1"/>
  <c r="L488" s="1"/>
  <c r="M488" s="1"/>
  <c r="J487"/>
  <c r="K487" s="1"/>
  <c r="L487" s="1"/>
  <c r="M487" s="1"/>
  <c r="J486"/>
  <c r="K486" s="1"/>
  <c r="L486" s="1"/>
  <c r="M486" s="1"/>
  <c r="J485"/>
  <c r="K485" s="1"/>
  <c r="J484"/>
  <c r="K484" s="1"/>
  <c r="J483"/>
  <c r="K483" s="1"/>
  <c r="L483" s="1"/>
  <c r="M483" s="1"/>
  <c r="J482"/>
  <c r="K482" s="1"/>
  <c r="J481"/>
  <c r="K481" s="1"/>
  <c r="J480"/>
  <c r="K480" s="1"/>
  <c r="J479"/>
  <c r="K479" s="1"/>
  <c r="L479" s="1"/>
  <c r="M479" s="1"/>
  <c r="J478"/>
  <c r="K478" s="1"/>
  <c r="L478" s="1"/>
  <c r="M478" s="1"/>
  <c r="J477"/>
  <c r="K477" s="1"/>
  <c r="J476"/>
  <c r="K476" s="1"/>
  <c r="J475"/>
  <c r="K475" s="1"/>
  <c r="J474"/>
  <c r="K474" s="1"/>
  <c r="L474" s="1"/>
  <c r="M474" s="1"/>
  <c r="J473"/>
  <c r="K473" s="1"/>
  <c r="J472"/>
  <c r="K472" s="1"/>
  <c r="L472" s="1"/>
  <c r="M472" s="1"/>
  <c r="J471"/>
  <c r="K471" s="1"/>
  <c r="J470"/>
  <c r="K470" s="1"/>
  <c r="J469"/>
  <c r="K469" s="1"/>
  <c r="L469" s="1"/>
  <c r="M469" s="1"/>
  <c r="J468"/>
  <c r="K468" s="1"/>
  <c r="L468" s="1"/>
  <c r="M468" s="1"/>
  <c r="J467"/>
  <c r="K467" s="1"/>
  <c r="L467" s="1"/>
  <c r="M467" s="1"/>
  <c r="J466"/>
  <c r="K466" s="1"/>
  <c r="L466" s="1"/>
  <c r="M466" s="1"/>
  <c r="J465"/>
  <c r="K465" s="1"/>
  <c r="L465" s="1"/>
  <c r="M465" s="1"/>
  <c r="J464"/>
  <c r="K464" s="1"/>
  <c r="L464" s="1"/>
  <c r="M464" s="1"/>
  <c r="J463"/>
  <c r="K463" s="1"/>
  <c r="L463" s="1"/>
  <c r="M463" s="1"/>
  <c r="J462"/>
  <c r="K462" s="1"/>
  <c r="L462" s="1"/>
  <c r="M462" s="1"/>
  <c r="J461"/>
  <c r="K461" s="1"/>
  <c r="J460"/>
  <c r="K460" s="1"/>
  <c r="L460" s="1"/>
  <c r="M460" s="1"/>
  <c r="J459"/>
  <c r="K459" s="1"/>
  <c r="J458"/>
  <c r="K458" s="1"/>
  <c r="J457"/>
  <c r="K457" s="1"/>
  <c r="L457" s="1"/>
  <c r="M457" s="1"/>
  <c r="J456"/>
  <c r="K456" s="1"/>
  <c r="L456" s="1"/>
  <c r="M456" s="1"/>
  <c r="J455"/>
  <c r="K455" s="1"/>
  <c r="J454"/>
  <c r="K454" s="1"/>
  <c r="L454" s="1"/>
  <c r="M454" s="1"/>
  <c r="J453"/>
  <c r="K453" s="1"/>
  <c r="J452"/>
  <c r="K452" s="1"/>
  <c r="J451"/>
  <c r="K451" s="1"/>
  <c r="L451" s="1"/>
  <c r="M451" s="1"/>
  <c r="J450"/>
  <c r="K450" s="1"/>
  <c r="L450" s="1"/>
  <c r="M450" s="1"/>
  <c r="J449"/>
  <c r="K449" s="1"/>
  <c r="J448"/>
  <c r="K448" s="1"/>
  <c r="L448" s="1"/>
  <c r="M448" s="1"/>
  <c r="J447"/>
  <c r="K447" s="1"/>
  <c r="L447" s="1"/>
  <c r="M447" s="1"/>
  <c r="J446"/>
  <c r="K446" s="1"/>
  <c r="J445"/>
  <c r="K445" s="1"/>
  <c r="L445" s="1"/>
  <c r="M445" s="1"/>
  <c r="J444"/>
  <c r="K444" s="1"/>
  <c r="J443"/>
  <c r="K443" s="1"/>
  <c r="J442"/>
  <c r="K442" s="1"/>
  <c r="L442" s="1"/>
  <c r="M442" s="1"/>
  <c r="J441"/>
  <c r="K441" s="1"/>
  <c r="J440"/>
  <c r="K440" s="1"/>
  <c r="L440" s="1"/>
  <c r="M440" s="1"/>
  <c r="J439"/>
  <c r="K439" s="1"/>
  <c r="L439" s="1"/>
  <c r="M439" s="1"/>
  <c r="J438"/>
  <c r="K438" s="1"/>
  <c r="L438" s="1"/>
  <c r="M438" s="1"/>
  <c r="J437"/>
  <c r="K437" s="1"/>
  <c r="L437" s="1"/>
  <c r="M437" s="1"/>
  <c r="J436"/>
  <c r="K436" s="1"/>
  <c r="L436" s="1"/>
  <c r="M436" s="1"/>
  <c r="J435"/>
  <c r="K435" s="1"/>
  <c r="J434"/>
  <c r="K434" s="1"/>
  <c r="L434" s="1"/>
  <c r="M434" s="1"/>
  <c r="J433"/>
  <c r="K433" s="1"/>
  <c r="L433" s="1"/>
  <c r="M433" s="1"/>
  <c r="J432"/>
  <c r="K432" s="1"/>
  <c r="L432" s="1"/>
  <c r="M432" s="1"/>
  <c r="J431"/>
  <c r="K431" s="1"/>
  <c r="L431" s="1"/>
  <c r="M431" s="1"/>
  <c r="J430"/>
  <c r="K430" s="1"/>
  <c r="L430" s="1"/>
  <c r="M430" s="1"/>
  <c r="J429"/>
  <c r="K429" s="1"/>
  <c r="J428"/>
  <c r="K428" s="1"/>
  <c r="L428" s="1"/>
  <c r="M428" s="1"/>
  <c r="J427"/>
  <c r="K427" s="1"/>
  <c r="L427" s="1"/>
  <c r="M427" s="1"/>
  <c r="J426"/>
  <c r="K426" s="1"/>
  <c r="L426" s="1"/>
  <c r="M426" s="1"/>
  <c r="J425"/>
  <c r="K425" s="1"/>
  <c r="J424"/>
  <c r="K424" s="1"/>
  <c r="L424" s="1"/>
  <c r="M424" s="1"/>
  <c r="J423"/>
  <c r="K423" s="1"/>
  <c r="L423" s="1"/>
  <c r="M423" s="1"/>
  <c r="J422"/>
  <c r="K422" s="1"/>
  <c r="J421"/>
  <c r="K421" s="1"/>
  <c r="L421" s="1"/>
  <c r="M421" s="1"/>
  <c r="J420"/>
  <c r="K420" s="1"/>
  <c r="L420" s="1"/>
  <c r="M420" s="1"/>
  <c r="J419"/>
  <c r="K419" s="1"/>
  <c r="J418"/>
  <c r="K418" s="1"/>
  <c r="L418" s="1"/>
  <c r="M418" s="1"/>
  <c r="J417"/>
  <c r="K417" s="1"/>
  <c r="L417" s="1"/>
  <c r="M417" s="1"/>
  <c r="J416"/>
  <c r="K416" s="1"/>
  <c r="L416" s="1"/>
  <c r="M416" s="1"/>
  <c r="J415"/>
  <c r="K415" s="1"/>
  <c r="L415" s="1"/>
  <c r="M415" s="1"/>
  <c r="J414"/>
  <c r="K414" s="1"/>
  <c r="J413"/>
  <c r="K413" s="1"/>
  <c r="L413" s="1"/>
  <c r="M413" s="1"/>
  <c r="J412"/>
  <c r="K412" s="1"/>
  <c r="L412" s="1"/>
  <c r="M412" s="1"/>
  <c r="J411"/>
  <c r="K411" s="1"/>
  <c r="L411" s="1"/>
  <c r="M411" s="1"/>
  <c r="J410"/>
  <c r="K410" s="1"/>
  <c r="L410" s="1"/>
  <c r="M410" s="1"/>
  <c r="J409"/>
  <c r="K409" s="1"/>
  <c r="L409" s="1"/>
  <c r="M409" s="1"/>
  <c r="J408"/>
  <c r="K408" s="1"/>
  <c r="L408" s="1"/>
  <c r="M408" s="1"/>
  <c r="J407"/>
  <c r="K407" s="1"/>
  <c r="J406"/>
  <c r="K406" s="1"/>
  <c r="L406" s="1"/>
  <c r="M406" s="1"/>
  <c r="J405"/>
  <c r="K405" s="1"/>
  <c r="L405" s="1"/>
  <c r="M405" s="1"/>
  <c r="J404"/>
  <c r="K404" s="1"/>
  <c r="L404" s="1"/>
  <c r="M404" s="1"/>
  <c r="J403"/>
  <c r="K403" s="1"/>
  <c r="L403" s="1"/>
  <c r="M403" s="1"/>
  <c r="J402"/>
  <c r="K402" s="1"/>
  <c r="L402" s="1"/>
  <c r="M402" s="1"/>
  <c r="J401"/>
  <c r="K401" s="1"/>
  <c r="J400"/>
  <c r="K400" s="1"/>
  <c r="L400" s="1"/>
  <c r="M400" s="1"/>
  <c r="J399"/>
  <c r="K399" s="1"/>
  <c r="L399" s="1"/>
  <c r="M399" s="1"/>
  <c r="J398"/>
  <c r="K398" s="1"/>
  <c r="J397"/>
  <c r="K397" s="1"/>
  <c r="L397" s="1"/>
  <c r="M397" s="1"/>
  <c r="J396"/>
  <c r="K396" s="1"/>
  <c r="L396" s="1"/>
  <c r="M396" s="1"/>
  <c r="J395"/>
  <c r="K395" s="1"/>
  <c r="J394"/>
  <c r="K394" s="1"/>
  <c r="L394" s="1"/>
  <c r="M394" s="1"/>
  <c r="J393"/>
  <c r="K393" s="1"/>
  <c r="L393" s="1"/>
  <c r="M393" s="1"/>
  <c r="J392"/>
  <c r="K392" s="1"/>
  <c r="L392" s="1"/>
  <c r="M392" s="1"/>
  <c r="J391"/>
  <c r="K391" s="1"/>
  <c r="L391" s="1"/>
  <c r="M391" s="1"/>
  <c r="J390"/>
  <c r="K390" s="1"/>
  <c r="L390" s="1"/>
  <c r="M390" s="1"/>
  <c r="J389"/>
  <c r="K389" s="1"/>
  <c r="J388"/>
  <c r="K388" s="1"/>
  <c r="L388" s="1"/>
  <c r="M388" s="1"/>
  <c r="J387"/>
  <c r="K387" s="1"/>
  <c r="L387" s="1"/>
  <c r="M387" s="1"/>
  <c r="J386"/>
  <c r="K386" s="1"/>
  <c r="L386" s="1"/>
  <c r="M386" s="1"/>
  <c r="J385"/>
  <c r="K385" s="1"/>
  <c r="L385" s="1"/>
  <c r="M385" s="1"/>
  <c r="J384"/>
  <c r="K384" s="1"/>
  <c r="L384" s="1"/>
  <c r="M384" s="1"/>
  <c r="J383"/>
  <c r="K383" s="1"/>
  <c r="L383" s="1"/>
  <c r="M383" s="1"/>
  <c r="J382"/>
  <c r="K382" s="1"/>
  <c r="L382" s="1"/>
  <c r="M382" s="1"/>
  <c r="J381"/>
  <c r="K381" s="1"/>
  <c r="J380"/>
  <c r="K380" s="1"/>
  <c r="L380" s="1"/>
  <c r="M380" s="1"/>
  <c r="J379"/>
  <c r="K379" s="1"/>
  <c r="L379" s="1"/>
  <c r="M379" s="1"/>
  <c r="J378"/>
  <c r="K378" s="1"/>
  <c r="J377"/>
  <c r="K377" s="1"/>
  <c r="L377" s="1"/>
  <c r="M377" s="1"/>
  <c r="J376"/>
  <c r="K376" s="1"/>
  <c r="L376" s="1"/>
  <c r="M376" s="1"/>
  <c r="J375"/>
  <c r="K375" s="1"/>
  <c r="L375" s="1"/>
  <c r="M375" s="1"/>
  <c r="J374"/>
  <c r="K374" s="1"/>
  <c r="L374" s="1"/>
  <c r="M374" s="1"/>
  <c r="J373"/>
  <c r="K373" s="1"/>
  <c r="J372"/>
  <c r="K372" s="1"/>
  <c r="L372" s="1"/>
  <c r="M372" s="1"/>
  <c r="J371"/>
  <c r="K371" s="1"/>
  <c r="L371" s="1"/>
  <c r="M371" s="1"/>
  <c r="J370"/>
  <c r="K370" s="1"/>
  <c r="L370" s="1"/>
  <c r="M370" s="1"/>
  <c r="J369"/>
  <c r="K369" s="1"/>
  <c r="J368"/>
  <c r="K368" s="1"/>
  <c r="J367"/>
  <c r="K367" s="1"/>
  <c r="L367" s="1"/>
  <c r="M367" s="1"/>
  <c r="J366"/>
  <c r="K366" s="1"/>
  <c r="L366" s="1"/>
  <c r="M366" s="1"/>
  <c r="J365"/>
  <c r="K365" s="1"/>
  <c r="J364"/>
  <c r="K364" s="1"/>
  <c r="J363"/>
  <c r="K363" s="1"/>
  <c r="L363" s="1"/>
  <c r="M363" s="1"/>
  <c r="J362"/>
  <c r="K362" s="1"/>
  <c r="J361"/>
  <c r="K361" s="1"/>
  <c r="J360"/>
  <c r="K360" s="1"/>
  <c r="L360" s="1"/>
  <c r="M360" s="1"/>
  <c r="J359"/>
  <c r="K359" s="1"/>
  <c r="L359" s="1"/>
  <c r="M359" s="1"/>
  <c r="J358"/>
  <c r="K358" s="1"/>
  <c r="J357"/>
  <c r="K357" s="1"/>
  <c r="J356"/>
  <c r="K356" s="1"/>
  <c r="L356" s="1"/>
  <c r="M356" s="1"/>
  <c r="J355"/>
  <c r="K355" s="1"/>
  <c r="L355" s="1"/>
  <c r="M355" s="1"/>
  <c r="J354"/>
  <c r="K354" s="1"/>
  <c r="J353"/>
  <c r="K353" s="1"/>
  <c r="J352"/>
  <c r="K352" s="1"/>
  <c r="L352" s="1"/>
  <c r="M352" s="1"/>
  <c r="J351"/>
  <c r="K351" s="1"/>
  <c r="L351" s="1"/>
  <c r="M351" s="1"/>
  <c r="J350"/>
  <c r="K350" s="1"/>
  <c r="J349"/>
  <c r="K349" s="1"/>
  <c r="J348"/>
  <c r="K348" s="1"/>
  <c r="J347"/>
  <c r="K347" s="1"/>
  <c r="L347" s="1"/>
  <c r="M347" s="1"/>
  <c r="J344"/>
  <c r="K344" s="1"/>
  <c r="J343"/>
  <c r="K343" s="1"/>
  <c r="L343" s="1"/>
  <c r="M343" s="1"/>
  <c r="J342"/>
  <c r="K342" s="1"/>
  <c r="J341"/>
  <c r="K341" s="1"/>
  <c r="J340"/>
  <c r="K340" s="1"/>
  <c r="L340" s="1"/>
  <c r="M340" s="1"/>
  <c r="J339"/>
  <c r="K339" s="1"/>
  <c r="L339" s="1"/>
  <c r="M339" s="1"/>
  <c r="J338"/>
  <c r="K338" s="1"/>
  <c r="L338" s="1"/>
  <c r="M338" s="1"/>
  <c r="J337"/>
  <c r="K337" s="1"/>
  <c r="L337" s="1"/>
  <c r="M337" s="1"/>
  <c r="J336"/>
  <c r="K336" s="1"/>
  <c r="J335"/>
  <c r="K335" s="1"/>
  <c r="L335" s="1"/>
  <c r="M335" s="1"/>
  <c r="J334"/>
  <c r="K334" s="1"/>
  <c r="L334" s="1"/>
  <c r="M334" s="1"/>
  <c r="J333"/>
  <c r="K333" s="1"/>
  <c r="J332"/>
  <c r="K332" s="1"/>
  <c r="L332" s="1"/>
  <c r="M332" s="1"/>
  <c r="J331"/>
  <c r="K331" s="1"/>
  <c r="L331" s="1"/>
  <c r="M331" s="1"/>
  <c r="J330"/>
  <c r="K330" s="1"/>
  <c r="J329"/>
  <c r="K329" s="1"/>
  <c r="L329" s="1"/>
  <c r="M329" s="1"/>
  <c r="J328"/>
  <c r="K328" s="1"/>
  <c r="L328" s="1"/>
  <c r="M328" s="1"/>
  <c r="J327"/>
  <c r="K327" s="1"/>
  <c r="L327" s="1"/>
  <c r="M327" s="1"/>
  <c r="J326"/>
  <c r="K326" s="1"/>
  <c r="L326" s="1"/>
  <c r="M326" s="1"/>
  <c r="J325"/>
  <c r="K325" s="1"/>
  <c r="L325" s="1"/>
  <c r="M325" s="1"/>
  <c r="J324"/>
  <c r="K324" s="1"/>
  <c r="J323"/>
  <c r="K323" s="1"/>
  <c r="L323" s="1"/>
  <c r="M323" s="1"/>
  <c r="J322"/>
  <c r="K322" s="1"/>
  <c r="L322" s="1"/>
  <c r="M322" s="1"/>
  <c r="J321"/>
  <c r="K321" s="1"/>
  <c r="L321" s="1"/>
  <c r="M321" s="1"/>
  <c r="J320"/>
  <c r="K320" s="1"/>
  <c r="J319"/>
  <c r="K319" s="1"/>
  <c r="L319" s="1"/>
  <c r="M319" s="1"/>
  <c r="J318"/>
  <c r="K318" s="1"/>
  <c r="L318" s="1"/>
  <c r="M318" s="1"/>
  <c r="J317"/>
  <c r="K317" s="1"/>
  <c r="J316"/>
  <c r="K316" s="1"/>
  <c r="L316" s="1"/>
  <c r="M316" s="1"/>
  <c r="J315"/>
  <c r="K315" s="1"/>
  <c r="L315" s="1"/>
  <c r="M315" s="1"/>
  <c r="J314"/>
  <c r="K314" s="1"/>
  <c r="J313"/>
  <c r="K313" s="1"/>
  <c r="L313" s="1"/>
  <c r="M313" s="1"/>
  <c r="J312"/>
  <c r="K312" s="1"/>
  <c r="L312" s="1"/>
  <c r="M312" s="1"/>
  <c r="J311"/>
  <c r="K311" s="1"/>
  <c r="L311" s="1"/>
  <c r="M311" s="1"/>
  <c r="J310"/>
  <c r="K310" s="1"/>
  <c r="L310" s="1"/>
  <c r="M310" s="1"/>
  <c r="J309"/>
  <c r="K309" s="1"/>
  <c r="L309" s="1"/>
  <c r="M309" s="1"/>
  <c r="J308"/>
  <c r="K308" s="1"/>
  <c r="L308" s="1"/>
  <c r="M308" s="1"/>
  <c r="J307"/>
  <c r="K307" s="1"/>
  <c r="L307" s="1"/>
  <c r="M307" s="1"/>
  <c r="J306"/>
  <c r="K306" s="1"/>
  <c r="L306" s="1"/>
  <c r="M306" s="1"/>
  <c r="J305"/>
  <c r="K305" s="1"/>
  <c r="L305" s="1"/>
  <c r="M305" s="1"/>
  <c r="J304"/>
  <c r="K304" s="1"/>
  <c r="J303"/>
  <c r="K303" s="1"/>
  <c r="L303" s="1"/>
  <c r="M303" s="1"/>
  <c r="J302"/>
  <c r="K302" s="1"/>
  <c r="L302" s="1"/>
  <c r="M302" s="1"/>
  <c r="J301"/>
  <c r="K301" s="1"/>
  <c r="L301" s="1"/>
  <c r="M301" s="1"/>
  <c r="J300"/>
  <c r="K300" s="1"/>
  <c r="J299"/>
  <c r="K299" s="1"/>
  <c r="L299" s="1"/>
  <c r="M299" s="1"/>
  <c r="J298"/>
  <c r="K298" s="1"/>
  <c r="L298" s="1"/>
  <c r="M298" s="1"/>
  <c r="J297"/>
  <c r="K297" s="1"/>
  <c r="L297" s="1"/>
  <c r="M297" s="1"/>
  <c r="J296"/>
  <c r="K296" s="1"/>
  <c r="L296" s="1"/>
  <c r="M296" s="1"/>
  <c r="J295"/>
  <c r="K295" s="1"/>
  <c r="L295" s="1"/>
  <c r="M295" s="1"/>
  <c r="J294"/>
  <c r="K294" s="1"/>
  <c r="L294" s="1"/>
  <c r="M294" s="1"/>
  <c r="J293"/>
  <c r="K293" s="1"/>
  <c r="J292"/>
  <c r="K292" s="1"/>
  <c r="L292" s="1"/>
  <c r="M292" s="1"/>
  <c r="J291"/>
  <c r="K291" s="1"/>
  <c r="L291" s="1"/>
  <c r="M291" s="1"/>
  <c r="J290"/>
  <c r="K290" s="1"/>
  <c r="L290" s="1"/>
  <c r="M290" s="1"/>
  <c r="J289"/>
  <c r="K289" s="1"/>
  <c r="L289" s="1"/>
  <c r="M289" s="1"/>
  <c r="J288"/>
  <c r="K288" s="1"/>
  <c r="L288" s="1"/>
  <c r="M288" s="1"/>
  <c r="J287"/>
  <c r="K287" s="1"/>
  <c r="L287" s="1"/>
  <c r="M287" s="1"/>
  <c r="J286"/>
  <c r="K286" s="1"/>
  <c r="L286" s="1"/>
  <c r="M286" s="1"/>
  <c r="J285"/>
  <c r="K285" s="1"/>
  <c r="J284"/>
  <c r="K284" s="1"/>
  <c r="L284" s="1"/>
  <c r="M284" s="1"/>
  <c r="J283"/>
  <c r="K283" s="1"/>
  <c r="L283" s="1"/>
  <c r="M283" s="1"/>
  <c r="J282"/>
  <c r="K282" s="1"/>
  <c r="L282" s="1"/>
  <c r="M282" s="1"/>
  <c r="J281"/>
  <c r="K281" s="1"/>
  <c r="L281" s="1"/>
  <c r="M281" s="1"/>
  <c r="J280"/>
  <c r="K280" s="1"/>
  <c r="L280" s="1"/>
  <c r="M280" s="1"/>
  <c r="J279"/>
  <c r="K279" s="1"/>
  <c r="L279" s="1"/>
  <c r="M279" s="1"/>
  <c r="J278"/>
  <c r="K278" s="1"/>
  <c r="L278" s="1"/>
  <c r="M278" s="1"/>
  <c r="J277"/>
  <c r="K277" s="1"/>
  <c r="J276"/>
  <c r="K276" s="1"/>
  <c r="L276" s="1"/>
  <c r="M276" s="1"/>
  <c r="J275"/>
  <c r="K275" s="1"/>
  <c r="L275" s="1"/>
  <c r="M275" s="1"/>
  <c r="J274"/>
  <c r="K274" s="1"/>
  <c r="L274" s="1"/>
  <c r="M274" s="1"/>
  <c r="J273"/>
  <c r="K273" s="1"/>
  <c r="L273" s="1"/>
  <c r="M273" s="1"/>
  <c r="J272"/>
  <c r="K272" s="1"/>
  <c r="L272" s="1"/>
  <c r="M272" s="1"/>
  <c r="J271"/>
  <c r="K271" s="1"/>
  <c r="L271" s="1"/>
  <c r="M271" s="1"/>
  <c r="J270"/>
  <c r="K270" s="1"/>
  <c r="L270" s="1"/>
  <c r="M270" s="1"/>
  <c r="J268"/>
  <c r="K268" s="1"/>
  <c r="L268" s="1"/>
  <c r="M268" s="1"/>
  <c r="J267"/>
  <c r="K267" s="1"/>
  <c r="J266"/>
  <c r="K266" s="1"/>
  <c r="L266" s="1"/>
  <c r="M266" s="1"/>
  <c r="J265"/>
  <c r="K265" s="1"/>
  <c r="L265" s="1"/>
  <c r="M265" s="1"/>
  <c r="J264"/>
  <c r="K264" s="1"/>
  <c r="L264" s="1"/>
  <c r="M264" s="1"/>
  <c r="J263"/>
  <c r="K263" s="1"/>
  <c r="J262"/>
  <c r="K262" s="1"/>
  <c r="L262" s="1"/>
  <c r="M262" s="1"/>
  <c r="J261"/>
  <c r="K261" s="1"/>
  <c r="L261" s="1"/>
  <c r="M261" s="1"/>
  <c r="J260"/>
  <c r="K260" s="1"/>
  <c r="L260" s="1"/>
  <c r="M260" s="1"/>
  <c r="J259"/>
  <c r="K259" s="1"/>
  <c r="L259" s="1"/>
  <c r="M259" s="1"/>
  <c r="J258"/>
  <c r="K258" s="1"/>
  <c r="J257"/>
  <c r="K257" s="1"/>
  <c r="L257" s="1"/>
  <c r="M257" s="1"/>
  <c r="J256"/>
  <c r="K256" s="1"/>
  <c r="L256" s="1"/>
  <c r="M256" s="1"/>
  <c r="J255"/>
  <c r="K255" s="1"/>
  <c r="L255" s="1"/>
  <c r="M255" s="1"/>
  <c r="J254"/>
  <c r="K254" s="1"/>
  <c r="J253"/>
  <c r="K253" s="1"/>
  <c r="L253" s="1"/>
  <c r="M253" s="1"/>
  <c r="J252"/>
  <c r="K252" s="1"/>
  <c r="L252" s="1"/>
  <c r="M252" s="1"/>
  <c r="J251"/>
  <c r="K251" s="1"/>
  <c r="L251" s="1"/>
  <c r="M251" s="1"/>
  <c r="J250"/>
  <c r="K250" s="1"/>
  <c r="J249"/>
  <c r="K249" s="1"/>
  <c r="J248"/>
  <c r="K248" s="1"/>
  <c r="L248" s="1"/>
  <c r="M248" s="1"/>
  <c r="J247"/>
  <c r="K247" s="1"/>
  <c r="L247" s="1"/>
  <c r="M247" s="1"/>
  <c r="J246"/>
  <c r="K246" s="1"/>
  <c r="L246" s="1"/>
  <c r="M246" s="1"/>
  <c r="J245"/>
  <c r="K245" s="1"/>
  <c r="L245" s="1"/>
  <c r="M245" s="1"/>
  <c r="J244"/>
  <c r="K244" s="1"/>
  <c r="L244" s="1"/>
  <c r="M244" s="1"/>
  <c r="J243"/>
  <c r="K243" s="1"/>
  <c r="L243" s="1"/>
  <c r="M243" s="1"/>
  <c r="J242"/>
  <c r="K242" s="1"/>
  <c r="L242" s="1"/>
  <c r="M242" s="1"/>
  <c r="J241"/>
  <c r="K241" s="1"/>
  <c r="J240"/>
  <c r="K240" s="1"/>
  <c r="L240" s="1"/>
  <c r="M240" s="1"/>
  <c r="J239"/>
  <c r="K239" s="1"/>
  <c r="J238"/>
  <c r="K238" s="1"/>
  <c r="J237"/>
  <c r="K237" s="1"/>
  <c r="L237" s="1"/>
  <c r="M237" s="1"/>
  <c r="J236"/>
  <c r="K236" s="1"/>
  <c r="L236" s="1"/>
  <c r="M236" s="1"/>
  <c r="J235"/>
  <c r="K235" s="1"/>
  <c r="L235" s="1"/>
  <c r="M235" s="1"/>
  <c r="J234"/>
  <c r="K234" s="1"/>
  <c r="L234" s="1"/>
  <c r="M234" s="1"/>
  <c r="J233"/>
  <c r="K233" s="1"/>
  <c r="J232"/>
  <c r="K232" s="1"/>
  <c r="L232" s="1"/>
  <c r="M232" s="1"/>
  <c r="J231"/>
  <c r="K231" s="1"/>
  <c r="L231" s="1"/>
  <c r="M231" s="1"/>
  <c r="J230"/>
  <c r="K230" s="1"/>
  <c r="L230" s="1"/>
  <c r="M230" s="1"/>
  <c r="J229"/>
  <c r="K229" s="1"/>
  <c r="J228"/>
  <c r="K228" s="1"/>
  <c r="J227"/>
  <c r="K227" s="1"/>
  <c r="L227" s="1"/>
  <c r="M227" s="1"/>
  <c r="J226"/>
  <c r="K226" s="1"/>
  <c r="J225"/>
  <c r="K225" s="1"/>
  <c r="J224"/>
  <c r="K224" s="1"/>
  <c r="L224" s="1"/>
  <c r="M224" s="1"/>
  <c r="J223"/>
  <c r="K223" s="1"/>
  <c r="L223" s="1"/>
  <c r="M223" s="1"/>
  <c r="J222"/>
  <c r="K222" s="1"/>
  <c r="J221"/>
  <c r="K221" s="1"/>
  <c r="J220"/>
  <c r="K220" s="1"/>
  <c r="J219"/>
  <c r="K219" s="1"/>
  <c r="L219" s="1"/>
  <c r="M219" s="1"/>
  <c r="J218"/>
  <c r="K218" s="1"/>
  <c r="J217"/>
  <c r="K217" s="1"/>
  <c r="L217" s="1"/>
  <c r="M217" s="1"/>
  <c r="J216"/>
  <c r="K216" s="1"/>
  <c r="J215"/>
  <c r="K215" s="1"/>
  <c r="J214"/>
  <c r="K214" s="1"/>
  <c r="L214" s="1"/>
  <c r="M214" s="1"/>
  <c r="J213"/>
  <c r="K213" s="1"/>
  <c r="L213" s="1"/>
  <c r="M213" s="1"/>
  <c r="J212"/>
  <c r="K212" s="1"/>
  <c r="J211"/>
  <c r="K211" s="1"/>
  <c r="J210"/>
  <c r="K210" s="1"/>
  <c r="L210" s="1"/>
  <c r="M210" s="1"/>
  <c r="J209"/>
  <c r="K209" s="1"/>
  <c r="L209" s="1"/>
  <c r="M209" s="1"/>
  <c r="J208"/>
  <c r="K208" s="1"/>
  <c r="L208" s="1"/>
  <c r="M208" s="1"/>
  <c r="J207"/>
  <c r="K207" s="1"/>
  <c r="L207" s="1"/>
  <c r="M207" s="1"/>
  <c r="J206"/>
  <c r="K206" s="1"/>
  <c r="J205"/>
  <c r="K205" s="1"/>
  <c r="L205" s="1"/>
  <c r="M205" s="1"/>
  <c r="J204"/>
  <c r="K204" s="1"/>
  <c r="L204" s="1"/>
  <c r="M204" s="1"/>
  <c r="J203"/>
  <c r="K203" s="1"/>
  <c r="L203" s="1"/>
  <c r="M203" s="1"/>
  <c r="J202"/>
  <c r="K202" s="1"/>
  <c r="L202" s="1"/>
  <c r="M202" s="1"/>
  <c r="J201"/>
  <c r="K201" s="1"/>
  <c r="L201" s="1"/>
  <c r="M201" s="1"/>
  <c r="J200"/>
  <c r="K200" s="1"/>
  <c r="J199"/>
  <c r="K199" s="1"/>
  <c r="L199" s="1"/>
  <c r="M199" s="1"/>
  <c r="J198"/>
  <c r="K198" s="1"/>
  <c r="L198" s="1"/>
  <c r="M198" s="1"/>
  <c r="J197"/>
  <c r="K197" s="1"/>
  <c r="L197" s="1"/>
  <c r="M197" s="1"/>
  <c r="J196"/>
  <c r="K196" s="1"/>
  <c r="J195"/>
  <c r="K195" s="1"/>
  <c r="L195" s="1"/>
  <c r="M195" s="1"/>
  <c r="J194"/>
  <c r="K194" s="1"/>
  <c r="L194" s="1"/>
  <c r="M194" s="1"/>
  <c r="J193"/>
  <c r="K193" s="1"/>
  <c r="L193" s="1"/>
  <c r="M193" s="1"/>
  <c r="J192"/>
  <c r="K192" s="1"/>
  <c r="J191"/>
  <c r="K191" s="1"/>
  <c r="L191" s="1"/>
  <c r="M191" s="1"/>
  <c r="J190"/>
  <c r="K190" s="1"/>
  <c r="L190" s="1"/>
  <c r="M190" s="1"/>
  <c r="J189"/>
  <c r="K189" s="1"/>
  <c r="L189" s="1"/>
  <c r="M189" s="1"/>
  <c r="J188"/>
  <c r="K188" s="1"/>
  <c r="L188" s="1"/>
  <c r="M188" s="1"/>
  <c r="J187"/>
  <c r="K187" s="1"/>
  <c r="J186"/>
  <c r="K186" s="1"/>
  <c r="L186" s="1"/>
  <c r="M186" s="1"/>
  <c r="J185"/>
  <c r="K185" s="1"/>
  <c r="L185" s="1"/>
  <c r="M185" s="1"/>
  <c r="J184"/>
  <c r="K184" s="1"/>
  <c r="L184" s="1"/>
  <c r="M184" s="1"/>
  <c r="J183"/>
  <c r="K183" s="1"/>
  <c r="L183" s="1"/>
  <c r="M183" s="1"/>
  <c r="J182"/>
  <c r="K182" s="1"/>
  <c r="L182" s="1"/>
  <c r="M182" s="1"/>
  <c r="J181"/>
  <c r="K181" s="1"/>
  <c r="J180"/>
  <c r="K180" s="1"/>
  <c r="J179"/>
  <c r="K179" s="1"/>
  <c r="L179" s="1"/>
  <c r="M179" s="1"/>
  <c r="J178"/>
  <c r="K178" s="1"/>
  <c r="J177"/>
  <c r="K177" s="1"/>
  <c r="J176"/>
  <c r="K176" s="1"/>
  <c r="J175"/>
  <c r="K175" s="1"/>
  <c r="J174"/>
  <c r="K174" s="1"/>
  <c r="L174" s="1"/>
  <c r="M174" s="1"/>
  <c r="J173"/>
  <c r="K173" s="1"/>
  <c r="J172"/>
  <c r="K172" s="1"/>
  <c r="L172" s="1"/>
  <c r="M172" s="1"/>
  <c r="J171"/>
  <c r="K171" s="1"/>
  <c r="J170"/>
  <c r="K170" s="1"/>
  <c r="J169"/>
  <c r="K169" s="1"/>
  <c r="J168"/>
  <c r="K168" s="1"/>
  <c r="L168" s="1"/>
  <c r="M168" s="1"/>
  <c r="J167"/>
  <c r="K167" s="1"/>
  <c r="L167" s="1"/>
  <c r="M167" s="1"/>
  <c r="J166"/>
  <c r="K166" s="1"/>
  <c r="L166" s="1"/>
  <c r="M166" s="1"/>
  <c r="J165"/>
  <c r="K165" s="1"/>
  <c r="J164"/>
  <c r="K164" s="1"/>
  <c r="L164" s="1"/>
  <c r="M164" s="1"/>
  <c r="J163"/>
  <c r="K163" s="1"/>
  <c r="L163" s="1"/>
  <c r="M163" s="1"/>
  <c r="J162"/>
  <c r="K162" s="1"/>
  <c r="L162" s="1"/>
  <c r="M162" s="1"/>
  <c r="J161"/>
  <c r="K161" s="1"/>
  <c r="J160"/>
  <c r="K160" s="1"/>
  <c r="L160" s="1"/>
  <c r="M160" s="1"/>
  <c r="J159"/>
  <c r="K159" s="1"/>
  <c r="L159" s="1"/>
  <c r="M159" s="1"/>
  <c r="J158"/>
  <c r="K158" s="1"/>
  <c r="L158" s="1"/>
  <c r="M158" s="1"/>
  <c r="J157"/>
  <c r="K157" s="1"/>
  <c r="J156"/>
  <c r="K156" s="1"/>
  <c r="L156" s="1"/>
  <c r="M156" s="1"/>
  <c r="J155"/>
  <c r="K155" s="1"/>
  <c r="L155" s="1"/>
  <c r="M155" s="1"/>
  <c r="J154"/>
  <c r="K154" s="1"/>
  <c r="L154" s="1"/>
  <c r="M154" s="1"/>
  <c r="J153"/>
  <c r="K153" s="1"/>
  <c r="L153" s="1"/>
  <c r="M153" s="1"/>
  <c r="J152"/>
  <c r="K152" s="1"/>
  <c r="J151"/>
  <c r="K151" s="1"/>
  <c r="L151" s="1"/>
  <c r="M151" s="1"/>
  <c r="J150"/>
  <c r="K150" s="1"/>
  <c r="L150" s="1"/>
  <c r="M150" s="1"/>
  <c r="J149"/>
  <c r="K149" s="1"/>
  <c r="L149" s="1"/>
  <c r="M149" s="1"/>
  <c r="J148"/>
  <c r="K148" s="1"/>
  <c r="J147"/>
  <c r="K147" s="1"/>
  <c r="L147" s="1"/>
  <c r="M147" s="1"/>
  <c r="J146"/>
  <c r="K146" s="1"/>
  <c r="L146" s="1"/>
  <c r="M146" s="1"/>
  <c r="J145"/>
  <c r="K145" s="1"/>
  <c r="L145" s="1"/>
  <c r="M145" s="1"/>
  <c r="J144"/>
  <c r="K144" s="1"/>
  <c r="L144" s="1"/>
  <c r="M144" s="1"/>
  <c r="J143"/>
  <c r="K143" s="1"/>
  <c r="L143" s="1"/>
  <c r="M143" s="1"/>
  <c r="J142"/>
  <c r="K142" s="1"/>
  <c r="J141"/>
  <c r="K141" s="1"/>
  <c r="L141" s="1"/>
  <c r="M141" s="1"/>
  <c r="J140"/>
  <c r="K140" s="1"/>
  <c r="L140" s="1"/>
  <c r="M140" s="1"/>
  <c r="J139"/>
  <c r="K139" s="1"/>
  <c r="J138"/>
  <c r="K138" s="1"/>
  <c r="L138" s="1"/>
  <c r="M138" s="1"/>
  <c r="J137"/>
  <c r="K137" s="1"/>
  <c r="L137" s="1"/>
  <c r="M137" s="1"/>
  <c r="J136"/>
  <c r="K136" s="1"/>
  <c r="L136" s="1"/>
  <c r="M136" s="1"/>
  <c r="J135"/>
  <c r="K135" s="1"/>
  <c r="L135" s="1"/>
  <c r="M135" s="1"/>
  <c r="J134"/>
  <c r="K134" s="1"/>
  <c r="L134" s="1"/>
  <c r="M134" s="1"/>
  <c r="J133"/>
  <c r="K133" s="1"/>
  <c r="L133" s="1"/>
  <c r="M133" s="1"/>
  <c r="J132"/>
  <c r="K132" s="1"/>
  <c r="J131"/>
  <c r="K131" s="1"/>
  <c r="L131" s="1"/>
  <c r="M131" s="1"/>
  <c r="J130"/>
  <c r="K130" s="1"/>
  <c r="L130" s="1"/>
  <c r="M130" s="1"/>
  <c r="J129"/>
  <c r="K129" s="1"/>
  <c r="L129" s="1"/>
  <c r="M129" s="1"/>
  <c r="J128"/>
  <c r="K128" s="1"/>
  <c r="L128" s="1"/>
  <c r="M128" s="1"/>
  <c r="J127"/>
  <c r="K127" s="1"/>
  <c r="L127" s="1"/>
  <c r="M127" s="1"/>
  <c r="J126"/>
  <c r="K126" s="1"/>
  <c r="J125"/>
  <c r="K125" s="1"/>
  <c r="J124"/>
  <c r="K124" s="1"/>
  <c r="L124" s="1"/>
  <c r="M124" s="1"/>
  <c r="J123"/>
  <c r="K123" s="1"/>
  <c r="J122"/>
  <c r="K122" s="1"/>
  <c r="J121"/>
  <c r="K121" s="1"/>
  <c r="L121" s="1"/>
  <c r="M121" s="1"/>
  <c r="J120"/>
  <c r="K120" s="1"/>
  <c r="L120" s="1"/>
  <c r="M120" s="1"/>
  <c r="J119"/>
  <c r="K119" s="1"/>
  <c r="J118"/>
  <c r="K118" s="1"/>
  <c r="L118" s="1"/>
  <c r="M118" s="1"/>
  <c r="J117"/>
  <c r="K117" s="1"/>
  <c r="J116"/>
  <c r="K116" s="1"/>
  <c r="J115"/>
  <c r="K115" s="1"/>
  <c r="L115" s="1"/>
  <c r="M115" s="1"/>
  <c r="J114"/>
  <c r="K114" s="1"/>
  <c r="L114" s="1"/>
  <c r="M114" s="1"/>
  <c r="J111"/>
  <c r="K111" s="1"/>
  <c r="J110"/>
  <c r="K110" s="1"/>
  <c r="J109"/>
  <c r="K109" s="1"/>
  <c r="L109" s="1"/>
  <c r="M109" s="1"/>
  <c r="J108"/>
  <c r="K108" s="1"/>
  <c r="L108" s="1"/>
  <c r="M108" s="1"/>
  <c r="J107"/>
  <c r="K107" s="1"/>
  <c r="J106"/>
  <c r="K106" s="1"/>
  <c r="J105"/>
  <c r="K105" s="1"/>
  <c r="L105" s="1"/>
  <c r="M105" s="1"/>
  <c r="J104"/>
  <c r="K104" s="1"/>
  <c r="J103"/>
  <c r="K103" s="1"/>
  <c r="L103" s="1"/>
  <c r="M103" s="1"/>
  <c r="J102"/>
  <c r="K102" s="1"/>
  <c r="J101"/>
  <c r="K101" s="1"/>
  <c r="J100"/>
  <c r="K100" s="1"/>
  <c r="L100" s="1"/>
  <c r="M100" s="1"/>
  <c r="J99"/>
  <c r="K99" s="1"/>
  <c r="L99" s="1"/>
  <c r="M99" s="1"/>
  <c r="J98"/>
  <c r="K98" s="1"/>
  <c r="L98" s="1"/>
  <c r="M98" s="1"/>
  <c r="J97"/>
  <c r="K97" s="1"/>
  <c r="L97" s="1"/>
  <c r="M97" s="1"/>
  <c r="J96"/>
  <c r="K96" s="1"/>
  <c r="L96" s="1"/>
  <c r="M96" s="1"/>
  <c r="J95"/>
  <c r="K95" s="1"/>
  <c r="J94"/>
  <c r="K94" s="1"/>
  <c r="J93"/>
  <c r="K93" s="1"/>
  <c r="L93" s="1"/>
  <c r="M93" s="1"/>
  <c r="J92"/>
  <c r="K92" s="1"/>
  <c r="J91"/>
  <c r="K91" s="1"/>
  <c r="J90"/>
  <c r="K90" s="1"/>
  <c r="J89"/>
  <c r="K89" s="1"/>
  <c r="L89" s="1"/>
  <c r="M89" s="1"/>
  <c r="J88"/>
  <c r="K88" s="1"/>
  <c r="L88" s="1"/>
  <c r="M88" s="1"/>
  <c r="J87"/>
  <c r="K87" s="1"/>
  <c r="J86"/>
  <c r="K86" s="1"/>
  <c r="J85"/>
  <c r="K85" s="1"/>
  <c r="L85" s="1"/>
  <c r="M85" s="1"/>
  <c r="J84"/>
  <c r="K84" s="1"/>
  <c r="L84" s="1"/>
  <c r="M84" s="1"/>
  <c r="J83"/>
  <c r="K83" s="1"/>
  <c r="L83" s="1"/>
  <c r="M83" s="1"/>
  <c r="J82"/>
  <c r="K82" s="1"/>
  <c r="L82" s="1"/>
  <c r="M82" s="1"/>
  <c r="J81"/>
  <c r="K81" s="1"/>
  <c r="L81" s="1"/>
  <c r="M81" s="1"/>
  <c r="J80"/>
  <c r="K80" s="1"/>
  <c r="L80" s="1"/>
  <c r="M80" s="1"/>
  <c r="J79"/>
  <c r="K79" s="1"/>
  <c r="L79" s="1"/>
  <c r="M79" s="1"/>
  <c r="J78"/>
  <c r="K78" s="1"/>
  <c r="L78" s="1"/>
  <c r="M78" s="1"/>
  <c r="J77"/>
  <c r="K77" s="1"/>
  <c r="J76"/>
  <c r="K76" s="1"/>
  <c r="L76" s="1"/>
  <c r="M76" s="1"/>
  <c r="J75"/>
  <c r="K75" s="1"/>
  <c r="L75" s="1"/>
  <c r="M75" s="1"/>
  <c r="J74"/>
  <c r="K74" s="1"/>
  <c r="L74" s="1"/>
  <c r="M74" s="1"/>
  <c r="J73"/>
  <c r="K73" s="1"/>
  <c r="L73" s="1"/>
  <c r="M73" s="1"/>
  <c r="J72"/>
  <c r="K72" s="1"/>
  <c r="L72" s="1"/>
  <c r="M72" s="1"/>
  <c r="J71"/>
  <c r="K71" s="1"/>
  <c r="J70"/>
  <c r="K70" s="1"/>
  <c r="L70" s="1"/>
  <c r="M70" s="1"/>
  <c r="J69"/>
  <c r="K69" s="1"/>
  <c r="L69" s="1"/>
  <c r="M69" s="1"/>
  <c r="J68"/>
  <c r="K68" s="1"/>
  <c r="L68" s="1"/>
  <c r="M68" s="1"/>
  <c r="J67"/>
  <c r="K67" s="1"/>
  <c r="L67" s="1"/>
  <c r="M67" s="1"/>
  <c r="J66"/>
  <c r="K66" s="1"/>
  <c r="L66" s="1"/>
  <c r="M66" s="1"/>
  <c r="J65"/>
  <c r="K65" s="1"/>
  <c r="L65" s="1"/>
  <c r="M65" s="1"/>
  <c r="J64"/>
  <c r="K64" s="1"/>
  <c r="J63"/>
  <c r="K63" s="1"/>
  <c r="J62"/>
  <c r="K62" s="1"/>
  <c r="L62" s="1"/>
  <c r="M62" s="1"/>
  <c r="J61"/>
  <c r="K61" s="1"/>
  <c r="L61" s="1"/>
  <c r="M61" s="1"/>
  <c r="J60"/>
  <c r="K60" s="1"/>
  <c r="J59"/>
  <c r="K59" s="1"/>
  <c r="J58"/>
  <c r="K58" s="1"/>
  <c r="L58" s="1"/>
  <c r="M58" s="1"/>
  <c r="J57"/>
  <c r="K57" s="1"/>
  <c r="L57" s="1"/>
  <c r="M57" s="1"/>
  <c r="J56"/>
  <c r="K56" s="1"/>
  <c r="J55"/>
  <c r="K55" s="1"/>
  <c r="J54"/>
  <c r="K54" s="1"/>
  <c r="L54" s="1"/>
  <c r="M54" s="1"/>
  <c r="J53"/>
  <c r="K53" s="1"/>
  <c r="L53" s="1"/>
  <c r="M53" s="1"/>
  <c r="J52"/>
  <c r="K52" s="1"/>
  <c r="L52" s="1"/>
  <c r="M52" s="1"/>
  <c r="J51"/>
  <c r="K51" s="1"/>
  <c r="J50"/>
  <c r="K50" s="1"/>
  <c r="J49"/>
  <c r="K49" s="1"/>
  <c r="L49" s="1"/>
  <c r="M49" s="1"/>
  <c r="J48"/>
  <c r="K48" s="1"/>
  <c r="J47"/>
  <c r="K47" s="1"/>
  <c r="J46"/>
  <c r="K46" s="1"/>
  <c r="J45"/>
  <c r="K45" s="1"/>
  <c r="L45" s="1"/>
  <c r="M45" s="1"/>
  <c r="J44"/>
  <c r="K44" s="1"/>
  <c r="L44" s="1"/>
  <c r="M44" s="1"/>
  <c r="J43"/>
  <c r="K43" s="1"/>
  <c r="J42"/>
  <c r="K42" s="1"/>
  <c r="J41"/>
  <c r="K41" s="1"/>
  <c r="L41" s="1"/>
  <c r="M41" s="1"/>
  <c r="J40"/>
  <c r="K40" s="1"/>
  <c r="L40" s="1"/>
  <c r="M40" s="1"/>
  <c r="J39"/>
  <c r="K39" s="1"/>
  <c r="L39" s="1"/>
  <c r="M39" s="1"/>
  <c r="J38"/>
  <c r="K38" s="1"/>
  <c r="J37"/>
  <c r="K37" s="1"/>
  <c r="J36"/>
  <c r="K36" s="1"/>
  <c r="L36" s="1"/>
  <c r="M36" s="1"/>
  <c r="J35"/>
  <c r="K35" s="1"/>
  <c r="L35" s="1"/>
  <c r="M35" s="1"/>
  <c r="J34"/>
  <c r="K34" s="1"/>
  <c r="J33"/>
  <c r="K33" s="1"/>
  <c r="J32"/>
  <c r="K32" s="1"/>
  <c r="L32" s="1"/>
  <c r="M32" s="1"/>
  <c r="J31"/>
  <c r="K31" s="1"/>
  <c r="J30"/>
  <c r="K30" s="1"/>
  <c r="J29"/>
  <c r="K29" s="1"/>
  <c r="J28"/>
  <c r="K28" s="1"/>
  <c r="L28" s="1"/>
  <c r="M28" s="1"/>
  <c r="J27"/>
  <c r="K27" s="1"/>
  <c r="L27" s="1"/>
  <c r="M27" s="1"/>
  <c r="J26"/>
  <c r="K26" s="1"/>
  <c r="J25"/>
  <c r="K25" s="1"/>
  <c r="J24"/>
  <c r="K24" s="1"/>
  <c r="L24" s="1"/>
  <c r="M24" s="1"/>
  <c r="J23"/>
  <c r="K23" s="1"/>
  <c r="J22"/>
  <c r="K22" s="1"/>
  <c r="L22" s="1"/>
  <c r="M22" s="1"/>
  <c r="J21"/>
  <c r="K21" s="1"/>
  <c r="J20"/>
  <c r="K20" s="1"/>
  <c r="J19"/>
  <c r="K19" s="1"/>
  <c r="J18"/>
  <c r="K18" s="1"/>
  <c r="L18" s="1"/>
  <c r="M18" s="1"/>
  <c r="J17"/>
  <c r="K17" s="1"/>
  <c r="L17" s="1"/>
  <c r="M17" s="1"/>
  <c r="J16"/>
  <c r="K16" s="1"/>
  <c r="L16" s="1"/>
  <c r="M16" s="1"/>
  <c r="J15"/>
  <c r="K15" s="1"/>
  <c r="L15" s="1"/>
  <c r="M15" s="1"/>
  <c r="J14"/>
  <c r="K14" s="1"/>
  <c r="L14" s="1"/>
  <c r="M14" s="1"/>
  <c r="J13"/>
  <c r="K13" s="1"/>
  <c r="L13" s="1"/>
  <c r="M13" s="1"/>
  <c r="L936" l="1"/>
  <c r="M936" s="1"/>
  <c r="L92"/>
  <c r="L362"/>
  <c r="L482"/>
  <c r="L541"/>
  <c r="L753"/>
  <c r="L811"/>
  <c r="L1035"/>
  <c r="L1182"/>
  <c r="L1422"/>
  <c r="L48"/>
  <c r="L178"/>
  <c r="L425"/>
  <c r="L441"/>
  <c r="L453"/>
  <c r="L596"/>
  <c r="L841"/>
  <c r="L1437"/>
  <c r="L31"/>
  <c r="L123"/>
  <c r="L226"/>
  <c r="L444"/>
  <c r="L683"/>
  <c r="L884"/>
  <c r="L997"/>
  <c r="L1089"/>
  <c r="L2103"/>
  <c r="L459"/>
  <c r="L658"/>
  <c r="L674"/>
  <c r="L950"/>
  <c r="L1733"/>
  <c r="M1182" l="1"/>
  <c r="M950"/>
  <c r="M658"/>
  <c r="M1089"/>
  <c r="M884"/>
  <c r="M444"/>
  <c r="M123"/>
  <c r="M1437"/>
  <c r="M596"/>
  <c r="M441"/>
  <c r="M178"/>
  <c r="M1422"/>
  <c r="M1035"/>
  <c r="M753"/>
  <c r="M482"/>
  <c r="M92"/>
  <c r="M1733"/>
  <c r="M674"/>
  <c r="M459"/>
  <c r="M2103"/>
  <c r="M997"/>
  <c r="M683"/>
  <c r="M226"/>
  <c r="M31"/>
  <c r="M841"/>
  <c r="M453"/>
  <c r="M425"/>
  <c r="M48"/>
  <c r="M811"/>
  <c r="M541"/>
  <c r="M362"/>
  <c r="I754" i="12" l="1"/>
  <c r="J754"/>
  <c r="I755"/>
  <c r="J755"/>
  <c r="I756"/>
  <c r="J756"/>
  <c r="I757"/>
  <c r="J757"/>
  <c r="I758"/>
  <c r="J758"/>
  <c r="I759"/>
  <c r="J759"/>
  <c r="I760"/>
  <c r="J760"/>
  <c r="I761"/>
  <c r="J761"/>
  <c r="I762"/>
  <c r="J762"/>
  <c r="I763"/>
  <c r="J763"/>
  <c r="I764"/>
  <c r="J764"/>
  <c r="I765"/>
  <c r="J765"/>
  <c r="I766"/>
  <c r="J766"/>
  <c r="I767"/>
  <c r="J767"/>
  <c r="I768"/>
  <c r="J768"/>
  <c r="I769"/>
  <c r="J769"/>
  <c r="I770"/>
  <c r="J770"/>
  <c r="I771"/>
  <c r="J771"/>
  <c r="I772"/>
  <c r="J772"/>
  <c r="I773"/>
  <c r="J773"/>
  <c r="I774"/>
  <c r="J774"/>
  <c r="I775"/>
  <c r="J775"/>
  <c r="I776"/>
  <c r="J776"/>
  <c r="I777"/>
  <c r="J777"/>
  <c r="I9"/>
  <c r="J9"/>
  <c r="A771" l="1"/>
  <c r="A9"/>
  <c r="A776"/>
  <c r="A774"/>
  <c r="A772"/>
  <c r="A770"/>
  <c r="A768"/>
  <c r="A766"/>
  <c r="A764"/>
  <c r="A762"/>
  <c r="A760"/>
  <c r="A758"/>
  <c r="A756"/>
  <c r="A754"/>
  <c r="A777"/>
  <c r="A775"/>
  <c r="A773"/>
  <c r="A769"/>
  <c r="A767"/>
  <c r="A765"/>
  <c r="A763"/>
  <c r="A761"/>
  <c r="A759"/>
  <c r="A757"/>
  <c r="A755"/>
  <c r="I11" l="1"/>
  <c r="J11"/>
  <c r="I12"/>
  <c r="J12"/>
  <c r="I13"/>
  <c r="J13"/>
  <c r="I14"/>
  <c r="J14"/>
  <c r="I15"/>
  <c r="J15"/>
  <c r="I16"/>
  <c r="J16"/>
  <c r="I17"/>
  <c r="J17"/>
  <c r="I18"/>
  <c r="J18"/>
  <c r="I19"/>
  <c r="J19"/>
  <c r="I20"/>
  <c r="J20"/>
  <c r="I21"/>
  <c r="J21"/>
  <c r="I22"/>
  <c r="J22"/>
  <c r="I23"/>
  <c r="J23"/>
  <c r="I24"/>
  <c r="J24"/>
  <c r="I25"/>
  <c r="J25"/>
  <c r="I26"/>
  <c r="J26"/>
  <c r="I27"/>
  <c r="J27"/>
  <c r="I28"/>
  <c r="J28"/>
  <c r="I29"/>
  <c r="J29"/>
  <c r="I30"/>
  <c r="J30"/>
  <c r="I31"/>
  <c r="J31"/>
  <c r="I32"/>
  <c r="J32"/>
  <c r="I33"/>
  <c r="J33"/>
  <c r="I34"/>
  <c r="J34"/>
  <c r="I35"/>
  <c r="J35"/>
  <c r="I36"/>
  <c r="J36"/>
  <c r="I37"/>
  <c r="J37"/>
  <c r="I38"/>
  <c r="J38"/>
  <c r="I39"/>
  <c r="J39"/>
  <c r="I40"/>
  <c r="J40"/>
  <c r="I41"/>
  <c r="J41"/>
  <c r="I42"/>
  <c r="J42"/>
  <c r="I43"/>
  <c r="J43"/>
  <c r="I44"/>
  <c r="J44"/>
  <c r="I45"/>
  <c r="J45"/>
  <c r="I46"/>
  <c r="J46"/>
  <c r="I47"/>
  <c r="J47"/>
  <c r="I48"/>
  <c r="J48"/>
  <c r="I49"/>
  <c r="J49"/>
  <c r="I50"/>
  <c r="J50"/>
  <c r="I51"/>
  <c r="J51"/>
  <c r="I52"/>
  <c r="J52"/>
  <c r="I53"/>
  <c r="J53"/>
  <c r="I54"/>
  <c r="J54"/>
  <c r="I55"/>
  <c r="J55"/>
  <c r="I56"/>
  <c r="J56"/>
  <c r="I57"/>
  <c r="J57"/>
  <c r="I58"/>
  <c r="J58"/>
  <c r="I59"/>
  <c r="J59"/>
  <c r="I60"/>
  <c r="J60"/>
  <c r="I61"/>
  <c r="J61"/>
  <c r="I62"/>
  <c r="J62"/>
  <c r="I63"/>
  <c r="J63"/>
  <c r="I64"/>
  <c r="J64"/>
  <c r="I65"/>
  <c r="J65"/>
  <c r="I66"/>
  <c r="J66"/>
  <c r="I67"/>
  <c r="J67"/>
  <c r="I68"/>
  <c r="J68"/>
  <c r="I69"/>
  <c r="J69"/>
  <c r="I70"/>
  <c r="J70"/>
  <c r="I71"/>
  <c r="J71"/>
  <c r="I72"/>
  <c r="J72"/>
  <c r="I73"/>
  <c r="J73"/>
  <c r="I74"/>
  <c r="J74"/>
  <c r="I75"/>
  <c r="J75"/>
  <c r="I76"/>
  <c r="J76"/>
  <c r="I77"/>
  <c r="J77"/>
  <c r="I78"/>
  <c r="J78"/>
  <c r="I79"/>
  <c r="J79"/>
  <c r="I80"/>
  <c r="J80"/>
  <c r="I81"/>
  <c r="J81"/>
  <c r="I82"/>
  <c r="J82"/>
  <c r="I83"/>
  <c r="J83"/>
  <c r="I84"/>
  <c r="J84"/>
  <c r="I85"/>
  <c r="J85"/>
  <c r="I86"/>
  <c r="J86"/>
  <c r="I87"/>
  <c r="J87"/>
  <c r="I88"/>
  <c r="J88"/>
  <c r="I89"/>
  <c r="J89"/>
  <c r="I90"/>
  <c r="J90"/>
  <c r="I91"/>
  <c r="J91"/>
  <c r="I92"/>
  <c r="J92"/>
  <c r="I93"/>
  <c r="J93"/>
  <c r="I94"/>
  <c r="J94"/>
  <c r="I95"/>
  <c r="J95"/>
  <c r="I96"/>
  <c r="J96"/>
  <c r="I97"/>
  <c r="J97"/>
  <c r="I98"/>
  <c r="J98"/>
  <c r="I99"/>
  <c r="J99"/>
  <c r="I100"/>
  <c r="J100"/>
  <c r="I101"/>
  <c r="J101"/>
  <c r="I102"/>
  <c r="J102"/>
  <c r="I103"/>
  <c r="J103"/>
  <c r="I104"/>
  <c r="J104"/>
  <c r="I105"/>
  <c r="J105"/>
  <c r="I106"/>
  <c r="J106"/>
  <c r="I107"/>
  <c r="J107"/>
  <c r="I108"/>
  <c r="J108"/>
  <c r="I109"/>
  <c r="J109"/>
  <c r="I110"/>
  <c r="J110"/>
  <c r="I111"/>
  <c r="J111"/>
  <c r="I112"/>
  <c r="J112"/>
  <c r="I113"/>
  <c r="J113"/>
  <c r="I114"/>
  <c r="J114"/>
  <c r="I115"/>
  <c r="J115"/>
  <c r="I116"/>
  <c r="J116"/>
  <c r="I117"/>
  <c r="J117"/>
  <c r="I118"/>
  <c r="J118"/>
  <c r="I119"/>
  <c r="J119"/>
  <c r="I120"/>
  <c r="J120"/>
  <c r="I121"/>
  <c r="J121"/>
  <c r="I122"/>
  <c r="J122"/>
  <c r="I123"/>
  <c r="J123"/>
  <c r="I124"/>
  <c r="J124"/>
  <c r="I125"/>
  <c r="J125"/>
  <c r="I126"/>
  <c r="J126"/>
  <c r="I127"/>
  <c r="J127"/>
  <c r="I128"/>
  <c r="J128"/>
  <c r="I129"/>
  <c r="J129"/>
  <c r="I130"/>
  <c r="J130"/>
  <c r="I131"/>
  <c r="J131"/>
  <c r="I132"/>
  <c r="J132"/>
  <c r="I133"/>
  <c r="J133"/>
  <c r="I134"/>
  <c r="J134"/>
  <c r="I135"/>
  <c r="J135"/>
  <c r="I136"/>
  <c r="J136"/>
  <c r="I137"/>
  <c r="J137"/>
  <c r="I138"/>
  <c r="J138"/>
  <c r="I139"/>
  <c r="J139"/>
  <c r="I140"/>
  <c r="J140"/>
  <c r="I141"/>
  <c r="J141"/>
  <c r="I142"/>
  <c r="J142"/>
  <c r="I143"/>
  <c r="J143"/>
  <c r="I144"/>
  <c r="J144"/>
  <c r="I145"/>
  <c r="J145"/>
  <c r="I146"/>
  <c r="J146"/>
  <c r="I147"/>
  <c r="J147"/>
  <c r="I148"/>
  <c r="J148"/>
  <c r="I149"/>
  <c r="J149"/>
  <c r="I150"/>
  <c r="J150"/>
  <c r="I151"/>
  <c r="J151"/>
  <c r="I152"/>
  <c r="J152"/>
  <c r="I153"/>
  <c r="J153"/>
  <c r="I154"/>
  <c r="J154"/>
  <c r="I155"/>
  <c r="J155"/>
  <c r="I156"/>
  <c r="J156"/>
  <c r="I157"/>
  <c r="J157"/>
  <c r="I158"/>
  <c r="J158"/>
  <c r="I159"/>
  <c r="J159"/>
  <c r="I160"/>
  <c r="J160"/>
  <c r="I161"/>
  <c r="J161"/>
  <c r="I162"/>
  <c r="J162"/>
  <c r="I163"/>
  <c r="J163"/>
  <c r="I164"/>
  <c r="J164"/>
  <c r="I165"/>
  <c r="J165"/>
  <c r="I166"/>
  <c r="J166"/>
  <c r="I167"/>
  <c r="J167"/>
  <c r="I168"/>
  <c r="J168"/>
  <c r="I169"/>
  <c r="J169"/>
  <c r="I170"/>
  <c r="J170"/>
  <c r="I171"/>
  <c r="J171"/>
  <c r="I172"/>
  <c r="J172"/>
  <c r="I173"/>
  <c r="J173"/>
  <c r="I174"/>
  <c r="J174"/>
  <c r="I175"/>
  <c r="J175"/>
  <c r="I176"/>
  <c r="J176"/>
  <c r="I177"/>
  <c r="J177"/>
  <c r="I178"/>
  <c r="J178"/>
  <c r="I179"/>
  <c r="J179"/>
  <c r="I180"/>
  <c r="J180"/>
  <c r="I181"/>
  <c r="J181"/>
  <c r="I182"/>
  <c r="J182"/>
  <c r="I183"/>
  <c r="J183"/>
  <c r="I184"/>
  <c r="J184"/>
  <c r="I185"/>
  <c r="J185"/>
  <c r="I186"/>
  <c r="J186"/>
  <c r="I187"/>
  <c r="J187"/>
  <c r="I188"/>
  <c r="J188"/>
  <c r="I189"/>
  <c r="J189"/>
  <c r="I190"/>
  <c r="J190"/>
  <c r="I191"/>
  <c r="J191"/>
  <c r="I192"/>
  <c r="J192"/>
  <c r="I193"/>
  <c r="J193"/>
  <c r="I194"/>
  <c r="J194"/>
  <c r="I195"/>
  <c r="J195"/>
  <c r="I196"/>
  <c r="J196"/>
  <c r="I197"/>
  <c r="J197"/>
  <c r="I198"/>
  <c r="J198"/>
  <c r="I199"/>
  <c r="J199"/>
  <c r="I200"/>
  <c r="J200"/>
  <c r="I201"/>
  <c r="J201"/>
  <c r="I202"/>
  <c r="J202"/>
  <c r="I203"/>
  <c r="J203"/>
  <c r="I204"/>
  <c r="J204"/>
  <c r="I205"/>
  <c r="J205"/>
  <c r="I206"/>
  <c r="J206"/>
  <c r="I207"/>
  <c r="J207"/>
  <c r="I208"/>
  <c r="J208"/>
  <c r="I209"/>
  <c r="J209"/>
  <c r="I210"/>
  <c r="J210"/>
  <c r="I211"/>
  <c r="J211"/>
  <c r="I212"/>
  <c r="J212"/>
  <c r="I213"/>
  <c r="J213"/>
  <c r="I214"/>
  <c r="J214"/>
  <c r="I215"/>
  <c r="J215"/>
  <c r="I216"/>
  <c r="J216"/>
  <c r="I217"/>
  <c r="J217"/>
  <c r="I218"/>
  <c r="J218"/>
  <c r="I219"/>
  <c r="J219"/>
  <c r="I220"/>
  <c r="J220"/>
  <c r="I221"/>
  <c r="J221"/>
  <c r="I222"/>
  <c r="J222"/>
  <c r="I223"/>
  <c r="J223"/>
  <c r="I224"/>
  <c r="J224"/>
  <c r="I225"/>
  <c r="J225"/>
  <c r="I226"/>
  <c r="J226"/>
  <c r="I227"/>
  <c r="J227"/>
  <c r="I228"/>
  <c r="J228"/>
  <c r="I229"/>
  <c r="J229"/>
  <c r="I230"/>
  <c r="J230"/>
  <c r="I231"/>
  <c r="J231"/>
  <c r="I232"/>
  <c r="J232"/>
  <c r="I233"/>
  <c r="J233"/>
  <c r="I234"/>
  <c r="J234"/>
  <c r="I235"/>
  <c r="J235"/>
  <c r="I236"/>
  <c r="J236"/>
  <c r="I237"/>
  <c r="J237"/>
  <c r="I238"/>
  <c r="J238"/>
  <c r="I239"/>
  <c r="J239"/>
  <c r="I240"/>
  <c r="J240"/>
  <c r="I241"/>
  <c r="J241"/>
  <c r="I242"/>
  <c r="J242"/>
  <c r="I243"/>
  <c r="J243"/>
  <c r="I244"/>
  <c r="J244"/>
  <c r="I245"/>
  <c r="J245"/>
  <c r="I246"/>
  <c r="J246"/>
  <c r="I247"/>
  <c r="J247"/>
  <c r="I248"/>
  <c r="J248"/>
  <c r="I249"/>
  <c r="J249"/>
  <c r="I250"/>
  <c r="J250"/>
  <c r="I251"/>
  <c r="J251"/>
  <c r="I252"/>
  <c r="J252"/>
  <c r="I253"/>
  <c r="J253"/>
  <c r="I254"/>
  <c r="J254"/>
  <c r="I255"/>
  <c r="J255"/>
  <c r="I256"/>
  <c r="J256"/>
  <c r="I257"/>
  <c r="J257"/>
  <c r="I258"/>
  <c r="J258"/>
  <c r="I259"/>
  <c r="J259"/>
  <c r="I260"/>
  <c r="J260"/>
  <c r="I261"/>
  <c r="J261"/>
  <c r="I262"/>
  <c r="J262"/>
  <c r="I263"/>
  <c r="J263"/>
  <c r="I264"/>
  <c r="J264"/>
  <c r="I265"/>
  <c r="J265"/>
  <c r="I266"/>
  <c r="J266"/>
  <c r="I267"/>
  <c r="J267"/>
  <c r="I268"/>
  <c r="J268"/>
  <c r="I269"/>
  <c r="J269"/>
  <c r="I270"/>
  <c r="J270"/>
  <c r="I271"/>
  <c r="J271"/>
  <c r="I272"/>
  <c r="J272"/>
  <c r="I273"/>
  <c r="J273"/>
  <c r="I274"/>
  <c r="J274"/>
  <c r="I275"/>
  <c r="J275"/>
  <c r="I276"/>
  <c r="J276"/>
  <c r="I277"/>
  <c r="J277"/>
  <c r="I278"/>
  <c r="J278"/>
  <c r="I279"/>
  <c r="J279"/>
  <c r="I280"/>
  <c r="J280"/>
  <c r="I281"/>
  <c r="J281"/>
  <c r="I282"/>
  <c r="J282"/>
  <c r="I283"/>
  <c r="J283"/>
  <c r="I284"/>
  <c r="J284"/>
  <c r="I285"/>
  <c r="J285"/>
  <c r="I286"/>
  <c r="J286"/>
  <c r="I287"/>
  <c r="J287"/>
  <c r="I288"/>
  <c r="J288"/>
  <c r="I289"/>
  <c r="J289"/>
  <c r="I290"/>
  <c r="J290"/>
  <c r="I291"/>
  <c r="J291"/>
  <c r="I292"/>
  <c r="J292"/>
  <c r="I293"/>
  <c r="J293"/>
  <c r="I294"/>
  <c r="J294"/>
  <c r="I295"/>
  <c r="J295"/>
  <c r="I296"/>
  <c r="J296"/>
  <c r="I297"/>
  <c r="J297"/>
  <c r="I298"/>
  <c r="J298"/>
  <c r="I299"/>
  <c r="J299"/>
  <c r="I300"/>
  <c r="J300"/>
  <c r="I301"/>
  <c r="J301"/>
  <c r="I302"/>
  <c r="J302"/>
  <c r="I303"/>
  <c r="J303"/>
  <c r="I304"/>
  <c r="J304"/>
  <c r="I305"/>
  <c r="J305"/>
  <c r="I306"/>
  <c r="J306"/>
  <c r="I307"/>
  <c r="J307"/>
  <c r="I308"/>
  <c r="J308"/>
  <c r="I309"/>
  <c r="J309"/>
  <c r="I310"/>
  <c r="J310"/>
  <c r="I311"/>
  <c r="J311"/>
  <c r="I312"/>
  <c r="J312"/>
  <c r="I313"/>
  <c r="J313"/>
  <c r="I314"/>
  <c r="J314"/>
  <c r="I315"/>
  <c r="J315"/>
  <c r="I316"/>
  <c r="J316"/>
  <c r="I317"/>
  <c r="J317"/>
  <c r="I318"/>
  <c r="J318"/>
  <c r="I319"/>
  <c r="J319"/>
  <c r="I320"/>
  <c r="J320"/>
  <c r="I321"/>
  <c r="J321"/>
  <c r="I322"/>
  <c r="J322"/>
  <c r="I323"/>
  <c r="J323"/>
  <c r="I324"/>
  <c r="J324"/>
  <c r="I325"/>
  <c r="J325"/>
  <c r="I326"/>
  <c r="J326"/>
  <c r="I327"/>
  <c r="J327"/>
  <c r="I328"/>
  <c r="J328"/>
  <c r="I329"/>
  <c r="J329"/>
  <c r="I330"/>
  <c r="J330"/>
  <c r="I331"/>
  <c r="J331"/>
  <c r="I332"/>
  <c r="J332"/>
  <c r="I333"/>
  <c r="J333"/>
  <c r="I334"/>
  <c r="J334"/>
  <c r="I335"/>
  <c r="J335"/>
  <c r="I336"/>
  <c r="J336"/>
  <c r="I337"/>
  <c r="J337"/>
  <c r="I338"/>
  <c r="J338"/>
  <c r="I339"/>
  <c r="J339"/>
  <c r="I340"/>
  <c r="J340"/>
  <c r="I341"/>
  <c r="J341"/>
  <c r="I342"/>
  <c r="J342"/>
  <c r="I343"/>
  <c r="J343"/>
  <c r="I344"/>
  <c r="J344"/>
  <c r="I345"/>
  <c r="J345"/>
  <c r="I346"/>
  <c r="J346"/>
  <c r="I347"/>
  <c r="J347"/>
  <c r="I348"/>
  <c r="J348"/>
  <c r="I349"/>
  <c r="J349"/>
  <c r="I350"/>
  <c r="J350"/>
  <c r="I351"/>
  <c r="J351"/>
  <c r="I352"/>
  <c r="J352"/>
  <c r="I353"/>
  <c r="J353"/>
  <c r="I354"/>
  <c r="J354"/>
  <c r="I355"/>
  <c r="J355"/>
  <c r="I356"/>
  <c r="J356"/>
  <c r="I357"/>
  <c r="J357"/>
  <c r="I358"/>
  <c r="J358"/>
  <c r="I359"/>
  <c r="J359"/>
  <c r="I360"/>
  <c r="J360"/>
  <c r="I361"/>
  <c r="J361"/>
  <c r="I362"/>
  <c r="J362"/>
  <c r="I363"/>
  <c r="J363"/>
  <c r="I364"/>
  <c r="J364"/>
  <c r="I365"/>
  <c r="J365"/>
  <c r="I366"/>
  <c r="J366"/>
  <c r="I367"/>
  <c r="J367"/>
  <c r="I368"/>
  <c r="J368"/>
  <c r="I369"/>
  <c r="J369"/>
  <c r="I370"/>
  <c r="J370"/>
  <c r="I371"/>
  <c r="J371"/>
  <c r="I372"/>
  <c r="J372"/>
  <c r="I373"/>
  <c r="J373"/>
  <c r="I374"/>
  <c r="J374"/>
  <c r="I375"/>
  <c r="J375"/>
  <c r="I376"/>
  <c r="J376"/>
  <c r="I377"/>
  <c r="J377"/>
  <c r="I378"/>
  <c r="J378"/>
  <c r="I379"/>
  <c r="J379"/>
  <c r="I380"/>
  <c r="J380"/>
  <c r="I381"/>
  <c r="J381"/>
  <c r="I382"/>
  <c r="J382"/>
  <c r="I383"/>
  <c r="J383"/>
  <c r="I384"/>
  <c r="J384"/>
  <c r="I385"/>
  <c r="J385"/>
  <c r="I386"/>
  <c r="J386"/>
  <c r="I387"/>
  <c r="J387"/>
  <c r="I388"/>
  <c r="J388"/>
  <c r="I389"/>
  <c r="J389"/>
  <c r="I390"/>
  <c r="J390"/>
  <c r="I391"/>
  <c r="J391"/>
  <c r="I392"/>
  <c r="J392"/>
  <c r="I393"/>
  <c r="J393"/>
  <c r="I394"/>
  <c r="J394"/>
  <c r="I395"/>
  <c r="J395"/>
  <c r="I396"/>
  <c r="J396"/>
  <c r="I397"/>
  <c r="J397"/>
  <c r="I398"/>
  <c r="J398"/>
  <c r="I399"/>
  <c r="J399"/>
  <c r="I400"/>
  <c r="J400"/>
  <c r="I401"/>
  <c r="J401"/>
  <c r="I402"/>
  <c r="J402"/>
  <c r="I403"/>
  <c r="J403"/>
  <c r="I404"/>
  <c r="J404"/>
  <c r="I405"/>
  <c r="J405"/>
  <c r="I406"/>
  <c r="J406"/>
  <c r="I407"/>
  <c r="J407"/>
  <c r="I408"/>
  <c r="J408"/>
  <c r="I409"/>
  <c r="J409"/>
  <c r="I410"/>
  <c r="J410"/>
  <c r="I411"/>
  <c r="J411"/>
  <c r="I412"/>
  <c r="J412"/>
  <c r="I413"/>
  <c r="J413"/>
  <c r="I414"/>
  <c r="J414"/>
  <c r="I415"/>
  <c r="J415"/>
  <c r="I416"/>
  <c r="J416"/>
  <c r="I417"/>
  <c r="J417"/>
  <c r="I418"/>
  <c r="J418"/>
  <c r="I419"/>
  <c r="J419"/>
  <c r="I420"/>
  <c r="J420"/>
  <c r="I421"/>
  <c r="J421"/>
  <c r="I422"/>
  <c r="J422"/>
  <c r="I423"/>
  <c r="J423"/>
  <c r="I424"/>
  <c r="J424"/>
  <c r="I425"/>
  <c r="J425"/>
  <c r="I426"/>
  <c r="J426"/>
  <c r="I427"/>
  <c r="J427"/>
  <c r="I428"/>
  <c r="J428"/>
  <c r="I429"/>
  <c r="J429"/>
  <c r="I430"/>
  <c r="J430"/>
  <c r="I431"/>
  <c r="J431"/>
  <c r="I432"/>
  <c r="J432"/>
  <c r="I433"/>
  <c r="J433"/>
  <c r="I434"/>
  <c r="J434"/>
  <c r="I435"/>
  <c r="J435"/>
  <c r="I436"/>
  <c r="J436"/>
  <c r="I437"/>
  <c r="J437"/>
  <c r="I438"/>
  <c r="J438"/>
  <c r="I439"/>
  <c r="J439"/>
  <c r="I440"/>
  <c r="J440"/>
  <c r="I441"/>
  <c r="J441"/>
  <c r="I442"/>
  <c r="J442"/>
  <c r="I443"/>
  <c r="J443"/>
  <c r="I444"/>
  <c r="J444"/>
  <c r="I445"/>
  <c r="J445"/>
  <c r="I446"/>
  <c r="J446"/>
  <c r="I447"/>
  <c r="J447"/>
  <c r="I448"/>
  <c r="J448"/>
  <c r="I449"/>
  <c r="J449"/>
  <c r="I450"/>
  <c r="J450"/>
  <c r="I451"/>
  <c r="J451"/>
  <c r="I452"/>
  <c r="J452"/>
  <c r="I453"/>
  <c r="J453"/>
  <c r="I454"/>
  <c r="J454"/>
  <c r="I455"/>
  <c r="J455"/>
  <c r="I456"/>
  <c r="J456"/>
  <c r="I457"/>
  <c r="J457"/>
  <c r="I458"/>
  <c r="J458"/>
  <c r="I459"/>
  <c r="J459"/>
  <c r="I460"/>
  <c r="J460"/>
  <c r="I461"/>
  <c r="J461"/>
  <c r="I462"/>
  <c r="J462"/>
  <c r="I463"/>
  <c r="J463"/>
  <c r="I464"/>
  <c r="J464"/>
  <c r="I465"/>
  <c r="J465"/>
  <c r="I466"/>
  <c r="J466"/>
  <c r="I467"/>
  <c r="J467"/>
  <c r="I468"/>
  <c r="J468"/>
  <c r="I469"/>
  <c r="J469"/>
  <c r="I470"/>
  <c r="J470"/>
  <c r="I471"/>
  <c r="J471"/>
  <c r="I472"/>
  <c r="J472"/>
  <c r="I473"/>
  <c r="J473"/>
  <c r="I474"/>
  <c r="J474"/>
  <c r="I475"/>
  <c r="J475"/>
  <c r="I476"/>
  <c r="J476"/>
  <c r="I477"/>
  <c r="J477"/>
  <c r="I478"/>
  <c r="J478"/>
  <c r="I479"/>
  <c r="J479"/>
  <c r="I480"/>
  <c r="J480"/>
  <c r="I481"/>
  <c r="J481"/>
  <c r="I482"/>
  <c r="J482"/>
  <c r="I483"/>
  <c r="J483"/>
  <c r="I484"/>
  <c r="J484"/>
  <c r="I485"/>
  <c r="J485"/>
  <c r="I486"/>
  <c r="J486"/>
  <c r="I487"/>
  <c r="J487"/>
  <c r="I488"/>
  <c r="J488"/>
  <c r="I489"/>
  <c r="J489"/>
  <c r="I490"/>
  <c r="J490"/>
  <c r="I491"/>
  <c r="J491"/>
  <c r="I492"/>
  <c r="J492"/>
  <c r="I493"/>
  <c r="J493"/>
  <c r="I494"/>
  <c r="J494"/>
  <c r="I495"/>
  <c r="J495"/>
  <c r="I496"/>
  <c r="J496"/>
  <c r="I497"/>
  <c r="J497"/>
  <c r="I498"/>
  <c r="J498"/>
  <c r="I499"/>
  <c r="J499"/>
  <c r="I500"/>
  <c r="J500"/>
  <c r="I501"/>
  <c r="J501"/>
  <c r="I502"/>
  <c r="J502"/>
  <c r="I503"/>
  <c r="J503"/>
  <c r="I504"/>
  <c r="J504"/>
  <c r="I505"/>
  <c r="J505"/>
  <c r="I506"/>
  <c r="J506"/>
  <c r="I507"/>
  <c r="J507"/>
  <c r="I508"/>
  <c r="J508"/>
  <c r="I509"/>
  <c r="J509"/>
  <c r="I510"/>
  <c r="J510"/>
  <c r="I511"/>
  <c r="J511"/>
  <c r="I512"/>
  <c r="J512"/>
  <c r="I513"/>
  <c r="J513"/>
  <c r="I514"/>
  <c r="J514"/>
  <c r="I515"/>
  <c r="J515"/>
  <c r="I516"/>
  <c r="J516"/>
  <c r="I517"/>
  <c r="J517"/>
  <c r="I518"/>
  <c r="J518"/>
  <c r="I519"/>
  <c r="J519"/>
  <c r="I520"/>
  <c r="J520"/>
  <c r="I521"/>
  <c r="J521"/>
  <c r="I522"/>
  <c r="J522"/>
  <c r="I523"/>
  <c r="J523"/>
  <c r="I524"/>
  <c r="J524"/>
  <c r="I525"/>
  <c r="J525"/>
  <c r="I526"/>
  <c r="J526"/>
  <c r="I527"/>
  <c r="J527"/>
  <c r="I528"/>
  <c r="J528"/>
  <c r="I529"/>
  <c r="J529"/>
  <c r="I530"/>
  <c r="J530"/>
  <c r="I531"/>
  <c r="J531"/>
  <c r="I532"/>
  <c r="J532"/>
  <c r="I533"/>
  <c r="J533"/>
  <c r="I534"/>
  <c r="J534"/>
  <c r="I535"/>
  <c r="J535"/>
  <c r="I536"/>
  <c r="J536"/>
  <c r="I537"/>
  <c r="J537"/>
  <c r="I538"/>
  <c r="J538"/>
  <c r="I539"/>
  <c r="J539"/>
  <c r="I540"/>
  <c r="J540"/>
  <c r="I541"/>
  <c r="J541"/>
  <c r="I542"/>
  <c r="J542"/>
  <c r="I543"/>
  <c r="J543"/>
  <c r="I544"/>
  <c r="J544"/>
  <c r="I545"/>
  <c r="J545"/>
  <c r="I546"/>
  <c r="J546"/>
  <c r="I547"/>
  <c r="J547"/>
  <c r="I548"/>
  <c r="J548"/>
  <c r="I549"/>
  <c r="J549"/>
  <c r="I550"/>
  <c r="J550"/>
  <c r="I551"/>
  <c r="J551"/>
  <c r="I552"/>
  <c r="J552"/>
  <c r="I553"/>
  <c r="J553"/>
  <c r="I554"/>
  <c r="J554"/>
  <c r="I555"/>
  <c r="J555"/>
  <c r="I556"/>
  <c r="J556"/>
  <c r="I557"/>
  <c r="J557"/>
  <c r="I558"/>
  <c r="J558"/>
  <c r="I559"/>
  <c r="J559"/>
  <c r="I560"/>
  <c r="J560"/>
  <c r="I561"/>
  <c r="J561"/>
  <c r="I562"/>
  <c r="J562"/>
  <c r="I563"/>
  <c r="J563"/>
  <c r="I564"/>
  <c r="J564"/>
  <c r="I565"/>
  <c r="J565"/>
  <c r="I566"/>
  <c r="J566"/>
  <c r="I567"/>
  <c r="J567"/>
  <c r="I568"/>
  <c r="J568"/>
  <c r="I569"/>
  <c r="J569"/>
  <c r="I570"/>
  <c r="J570"/>
  <c r="I571"/>
  <c r="J571"/>
  <c r="I572"/>
  <c r="J572"/>
  <c r="I573"/>
  <c r="J573"/>
  <c r="I574"/>
  <c r="J574"/>
  <c r="I575"/>
  <c r="J575"/>
  <c r="I576"/>
  <c r="J576"/>
  <c r="I577"/>
  <c r="J577"/>
  <c r="I578"/>
  <c r="J578"/>
  <c r="I579"/>
  <c r="J579"/>
  <c r="I580"/>
  <c r="J580"/>
  <c r="I581"/>
  <c r="J581"/>
  <c r="I582"/>
  <c r="J582"/>
  <c r="I583"/>
  <c r="J583"/>
  <c r="I584"/>
  <c r="J584"/>
  <c r="I585"/>
  <c r="J585"/>
  <c r="I586"/>
  <c r="J586"/>
  <c r="I587"/>
  <c r="J587"/>
  <c r="I588"/>
  <c r="J588"/>
  <c r="I589"/>
  <c r="J589"/>
  <c r="I590"/>
  <c r="J590"/>
  <c r="I591"/>
  <c r="J591"/>
  <c r="I592"/>
  <c r="J592"/>
  <c r="I593"/>
  <c r="J593"/>
  <c r="I594"/>
  <c r="J594"/>
  <c r="I595"/>
  <c r="J595"/>
  <c r="I596"/>
  <c r="J596"/>
  <c r="I597"/>
  <c r="J597"/>
  <c r="I598"/>
  <c r="J598"/>
  <c r="I599"/>
  <c r="J599"/>
  <c r="I600"/>
  <c r="J600"/>
  <c r="I601"/>
  <c r="J601"/>
  <c r="I602"/>
  <c r="J602"/>
  <c r="I603"/>
  <c r="J603"/>
  <c r="I604"/>
  <c r="J604"/>
  <c r="I605"/>
  <c r="J605"/>
  <c r="I606"/>
  <c r="J606"/>
  <c r="I607"/>
  <c r="J607"/>
  <c r="I608"/>
  <c r="J608"/>
  <c r="I609"/>
  <c r="J609"/>
  <c r="I610"/>
  <c r="J610"/>
  <c r="I611"/>
  <c r="J611"/>
  <c r="I612"/>
  <c r="J612"/>
  <c r="I613"/>
  <c r="J613"/>
  <c r="I614"/>
  <c r="J614"/>
  <c r="I615"/>
  <c r="J615"/>
  <c r="I616"/>
  <c r="J616"/>
  <c r="I617"/>
  <c r="J617"/>
  <c r="I618"/>
  <c r="J618"/>
  <c r="I619"/>
  <c r="J619"/>
  <c r="I620"/>
  <c r="J620"/>
  <c r="I621"/>
  <c r="J621"/>
  <c r="I622"/>
  <c r="J622"/>
  <c r="I623"/>
  <c r="J623"/>
  <c r="I624"/>
  <c r="J624"/>
  <c r="I625"/>
  <c r="J625"/>
  <c r="I626"/>
  <c r="J626"/>
  <c r="I627"/>
  <c r="J627"/>
  <c r="I628"/>
  <c r="J628"/>
  <c r="I629"/>
  <c r="J629"/>
  <c r="I630"/>
  <c r="J630"/>
  <c r="I631"/>
  <c r="J631"/>
  <c r="I632"/>
  <c r="J632"/>
  <c r="I633"/>
  <c r="J633"/>
  <c r="I634"/>
  <c r="J634"/>
  <c r="I635"/>
  <c r="J635"/>
  <c r="I636"/>
  <c r="J636"/>
  <c r="I637"/>
  <c r="J637"/>
  <c r="I638"/>
  <c r="J638"/>
  <c r="I639"/>
  <c r="J639"/>
  <c r="I640"/>
  <c r="J640"/>
  <c r="I641"/>
  <c r="J641"/>
  <c r="I642"/>
  <c r="J642"/>
  <c r="I643"/>
  <c r="J643"/>
  <c r="I644"/>
  <c r="J644"/>
  <c r="I645"/>
  <c r="J645"/>
  <c r="I646"/>
  <c r="J646"/>
  <c r="I647"/>
  <c r="J647"/>
  <c r="I648"/>
  <c r="J648"/>
  <c r="I649"/>
  <c r="J649"/>
  <c r="I650"/>
  <c r="J650"/>
  <c r="I651"/>
  <c r="J651"/>
  <c r="I652"/>
  <c r="J652"/>
  <c r="I653"/>
  <c r="J653"/>
  <c r="I654"/>
  <c r="J654"/>
  <c r="I655"/>
  <c r="J655"/>
  <c r="I656"/>
  <c r="J656"/>
  <c r="I657"/>
  <c r="J657"/>
  <c r="I658"/>
  <c r="J658"/>
  <c r="I659"/>
  <c r="J659"/>
  <c r="I660"/>
  <c r="J660"/>
  <c r="I661"/>
  <c r="J661"/>
  <c r="I662"/>
  <c r="J662"/>
  <c r="I663"/>
  <c r="J663"/>
  <c r="I664"/>
  <c r="J664"/>
  <c r="I665"/>
  <c r="J665"/>
  <c r="I666"/>
  <c r="J666"/>
  <c r="I667"/>
  <c r="J667"/>
  <c r="I668"/>
  <c r="J668"/>
  <c r="I669"/>
  <c r="J669"/>
  <c r="I670"/>
  <c r="J670"/>
  <c r="I671"/>
  <c r="J671"/>
  <c r="I672"/>
  <c r="J672"/>
  <c r="I673"/>
  <c r="J673"/>
  <c r="I674"/>
  <c r="J674"/>
  <c r="I675"/>
  <c r="J675"/>
  <c r="I676"/>
  <c r="J676"/>
  <c r="I677"/>
  <c r="J677"/>
  <c r="I678"/>
  <c r="J678"/>
  <c r="I679"/>
  <c r="J679"/>
  <c r="I680"/>
  <c r="J680"/>
  <c r="I681"/>
  <c r="J681"/>
  <c r="I682"/>
  <c r="J682"/>
  <c r="I683"/>
  <c r="J683"/>
  <c r="I684"/>
  <c r="J684"/>
  <c r="I685"/>
  <c r="J685"/>
  <c r="I686"/>
  <c r="J686"/>
  <c r="I687"/>
  <c r="J687"/>
  <c r="I688"/>
  <c r="J688"/>
  <c r="I689"/>
  <c r="J689"/>
  <c r="I690"/>
  <c r="J690"/>
  <c r="I691"/>
  <c r="J691"/>
  <c r="I692"/>
  <c r="J692"/>
  <c r="I693"/>
  <c r="J693"/>
  <c r="I694"/>
  <c r="J694"/>
  <c r="I695"/>
  <c r="J695"/>
  <c r="I696"/>
  <c r="J696"/>
  <c r="I697"/>
  <c r="J697"/>
  <c r="I698"/>
  <c r="J698"/>
  <c r="I699"/>
  <c r="J699"/>
  <c r="I700"/>
  <c r="J700"/>
  <c r="I701"/>
  <c r="J701"/>
  <c r="I702"/>
  <c r="J702"/>
  <c r="I703"/>
  <c r="J703"/>
  <c r="I704"/>
  <c r="J704"/>
  <c r="I705"/>
  <c r="J705"/>
  <c r="I706"/>
  <c r="J706"/>
  <c r="I707"/>
  <c r="J707"/>
  <c r="I708"/>
  <c r="J708"/>
  <c r="I709"/>
  <c r="J709"/>
  <c r="I710"/>
  <c r="J710"/>
  <c r="I711"/>
  <c r="J711"/>
  <c r="I712"/>
  <c r="J712"/>
  <c r="I713"/>
  <c r="J713"/>
  <c r="I714"/>
  <c r="J714"/>
  <c r="I715"/>
  <c r="J715"/>
  <c r="I716"/>
  <c r="J716"/>
  <c r="I717"/>
  <c r="J717"/>
  <c r="I718"/>
  <c r="J718"/>
  <c r="I719"/>
  <c r="J719"/>
  <c r="I720"/>
  <c r="J720"/>
  <c r="I721"/>
  <c r="J721"/>
  <c r="I722"/>
  <c r="J722"/>
  <c r="I723"/>
  <c r="J723"/>
  <c r="I724"/>
  <c r="J724"/>
  <c r="I725"/>
  <c r="J725"/>
  <c r="I726"/>
  <c r="J726"/>
  <c r="I727"/>
  <c r="J727"/>
  <c r="I728"/>
  <c r="J728"/>
  <c r="I729"/>
  <c r="J729"/>
  <c r="I730"/>
  <c r="J730"/>
  <c r="I731"/>
  <c r="J731"/>
  <c r="I732"/>
  <c r="J732"/>
  <c r="I733"/>
  <c r="J733"/>
  <c r="I734"/>
  <c r="J734"/>
  <c r="I735"/>
  <c r="J735"/>
  <c r="I736"/>
  <c r="J736"/>
  <c r="I737"/>
  <c r="J737"/>
  <c r="I738"/>
  <c r="J738"/>
  <c r="I739"/>
  <c r="J739"/>
  <c r="I740"/>
  <c r="J740"/>
  <c r="I741"/>
  <c r="J741"/>
  <c r="I742"/>
  <c r="J742"/>
  <c r="I743"/>
  <c r="J743"/>
  <c r="I744"/>
  <c r="J744"/>
  <c r="I745"/>
  <c r="J745"/>
  <c r="I746"/>
  <c r="J746"/>
  <c r="I747"/>
  <c r="J747"/>
  <c r="I748"/>
  <c r="J748"/>
  <c r="I749"/>
  <c r="J749"/>
  <c r="I750"/>
  <c r="J750"/>
  <c r="I751"/>
  <c r="J751"/>
  <c r="I752"/>
  <c r="J752"/>
  <c r="I753"/>
  <c r="J753"/>
  <c r="J10"/>
  <c r="I10"/>
  <c r="A10" s="1"/>
  <c r="A753" l="1"/>
  <c r="A12"/>
  <c r="A11"/>
  <c r="A752"/>
  <c r="A750"/>
  <c r="A748"/>
  <c r="A746"/>
  <c r="A744"/>
  <c r="A742"/>
  <c r="A740"/>
  <c r="A738"/>
  <c r="A736"/>
  <c r="A734"/>
  <c r="A732"/>
  <c r="A730"/>
  <c r="A728"/>
  <c r="A726"/>
  <c r="A724"/>
  <c r="A722"/>
  <c r="A720"/>
  <c r="A718"/>
  <c r="A716"/>
  <c r="A714"/>
  <c r="A712"/>
  <c r="A710"/>
  <c r="A708"/>
  <c r="A706"/>
  <c r="A704"/>
  <c r="A702"/>
  <c r="A700"/>
  <c r="A698"/>
  <c r="A696"/>
  <c r="A694"/>
  <c r="A692"/>
  <c r="A690"/>
  <c r="A688"/>
  <c r="A686"/>
  <c r="A684"/>
  <c r="A682"/>
  <c r="A680"/>
  <c r="A678"/>
  <c r="A676"/>
  <c r="A674"/>
  <c r="A672"/>
  <c r="A670"/>
  <c r="A668"/>
  <c r="A666"/>
  <c r="A664"/>
  <c r="A662"/>
  <c r="A660"/>
  <c r="A658"/>
  <c r="A656"/>
  <c r="A654"/>
  <c r="A652"/>
  <c r="A650"/>
  <c r="A648"/>
  <c r="A646"/>
  <c r="A644"/>
  <c r="A642"/>
  <c r="A640"/>
  <c r="A638"/>
  <c r="A636"/>
  <c r="A634"/>
  <c r="A632"/>
  <c r="A630"/>
  <c r="A628"/>
  <c r="A626"/>
  <c r="A624"/>
  <c r="A622"/>
  <c r="A620"/>
  <c r="A618"/>
  <c r="A616"/>
  <c r="A614"/>
  <c r="A612"/>
  <c r="A610"/>
  <c r="A608"/>
  <c r="A606"/>
  <c r="A604"/>
  <c r="A602"/>
  <c r="A600"/>
  <c r="A598"/>
  <c r="A596"/>
  <c r="A594"/>
  <c r="A592"/>
  <c r="A590"/>
  <c r="A588"/>
  <c r="A586"/>
  <c r="A584"/>
  <c r="A582"/>
  <c r="A580"/>
  <c r="A578"/>
  <c r="A576"/>
  <c r="A574"/>
  <c r="A572"/>
  <c r="A570"/>
  <c r="A568"/>
  <c r="A566"/>
  <c r="A564"/>
  <c r="A562"/>
  <c r="A560"/>
  <c r="A558"/>
  <c r="A556"/>
  <c r="A554"/>
  <c r="A552"/>
  <c r="A550"/>
  <c r="A548"/>
  <c r="A546"/>
  <c r="A544"/>
  <c r="A542"/>
  <c r="A540"/>
  <c r="A538"/>
  <c r="A536"/>
  <c r="A534"/>
  <c r="A532"/>
  <c r="A530"/>
  <c r="A528"/>
  <c r="A526"/>
  <c r="A751"/>
  <c r="A749"/>
  <c r="A747"/>
  <c r="A745"/>
  <c r="A743"/>
  <c r="A741"/>
  <c r="A739"/>
  <c r="A737"/>
  <c r="A735"/>
  <c r="A733"/>
  <c r="A731"/>
  <c r="A729"/>
  <c r="A727"/>
  <c r="A725"/>
  <c r="A723"/>
  <c r="A721"/>
  <c r="A719"/>
  <c r="A717"/>
  <c r="A715"/>
  <c r="A713"/>
  <c r="A711"/>
  <c r="A709"/>
  <c r="A707"/>
  <c r="A705"/>
  <c r="A703"/>
  <c r="A701"/>
  <c r="A699"/>
  <c r="A697"/>
  <c r="A695"/>
  <c r="A693"/>
  <c r="A691"/>
  <c r="A689"/>
  <c r="A687"/>
  <c r="A685"/>
  <c r="A683"/>
  <c r="A681"/>
  <c r="A679"/>
  <c r="A677"/>
  <c r="A675"/>
  <c r="A673"/>
  <c r="A671"/>
  <c r="A669"/>
  <c r="A667"/>
  <c r="A665"/>
  <c r="A663"/>
  <c r="A661"/>
  <c r="A659"/>
  <c r="A657"/>
  <c r="A655"/>
  <c r="A653"/>
  <c r="A651"/>
  <c r="A649"/>
  <c r="A647"/>
  <c r="A645"/>
  <c r="A643"/>
  <c r="A641"/>
  <c r="A639"/>
  <c r="A637"/>
  <c r="A635"/>
  <c r="A633"/>
  <c r="A631"/>
  <c r="A629"/>
  <c r="A627"/>
  <c r="A625"/>
  <c r="A623"/>
  <c r="A621"/>
  <c r="A619"/>
  <c r="A617"/>
  <c r="A615"/>
  <c r="A613"/>
  <c r="A611"/>
  <c r="A609"/>
  <c r="A607"/>
  <c r="A605"/>
  <c r="A603"/>
  <c r="A601"/>
  <c r="A599"/>
  <c r="A597"/>
  <c r="A595"/>
  <c r="A593"/>
  <c r="A591"/>
  <c r="A589"/>
  <c r="A587"/>
  <c r="A585"/>
  <c r="A583"/>
  <c r="A581"/>
  <c r="A579"/>
  <c r="A577"/>
  <c r="A575"/>
  <c r="A573"/>
  <c r="A571"/>
  <c r="A569"/>
  <c r="A567"/>
  <c r="A565"/>
  <c r="A563"/>
  <c r="A561"/>
  <c r="A559"/>
  <c r="A557"/>
  <c r="A555"/>
  <c r="A553"/>
  <c r="A551"/>
  <c r="A549"/>
  <c r="A547"/>
  <c r="A545"/>
  <c r="A543"/>
  <c r="A541"/>
  <c r="A539"/>
  <c r="A537"/>
  <c r="A535"/>
  <c r="A533"/>
  <c r="A531"/>
  <c r="A529"/>
  <c r="A527"/>
  <c r="A525"/>
  <c r="A523"/>
  <c r="A524"/>
  <c r="A522"/>
  <c r="A520"/>
  <c r="A518"/>
  <c r="A516"/>
  <c r="A514"/>
  <c r="A512"/>
  <c r="A510"/>
  <c r="A508"/>
  <c r="A506"/>
  <c r="A504"/>
  <c r="A502"/>
  <c r="A500"/>
  <c r="A498"/>
  <c r="A496"/>
  <c r="A494"/>
  <c r="A492"/>
  <c r="A490"/>
  <c r="A488"/>
  <c r="A486"/>
  <c r="A484"/>
  <c r="A482"/>
  <c r="A480"/>
  <c r="A478"/>
  <c r="A476"/>
  <c r="A474"/>
  <c r="A472"/>
  <c r="A470"/>
  <c r="A468"/>
  <c r="A466"/>
  <c r="A464"/>
  <c r="A462"/>
  <c r="A460"/>
  <c r="A458"/>
  <c r="A456"/>
  <c r="A454"/>
  <c r="A452"/>
  <c r="A450"/>
  <c r="A448"/>
  <c r="A446"/>
  <c r="A444"/>
  <c r="A442"/>
  <c r="A440"/>
  <c r="A438"/>
  <c r="A436"/>
  <c r="A434"/>
  <c r="A432"/>
  <c r="A430"/>
  <c r="A428"/>
  <c r="A426"/>
  <c r="A424"/>
  <c r="A422"/>
  <c r="A420"/>
  <c r="A418"/>
  <c r="A416"/>
  <c r="A414"/>
  <c r="A412"/>
  <c r="A410"/>
  <c r="A408"/>
  <c r="A406"/>
  <c r="A404"/>
  <c r="A402"/>
  <c r="A400"/>
  <c r="A398"/>
  <c r="A396"/>
  <c r="A394"/>
  <c r="A392"/>
  <c r="A390"/>
  <c r="A388"/>
  <c r="A386"/>
  <c r="A384"/>
  <c r="A382"/>
  <c r="A380"/>
  <c r="A378"/>
  <c r="A376"/>
  <c r="A374"/>
  <c r="A372"/>
  <c r="A370"/>
  <c r="A368"/>
  <c r="A366"/>
  <c r="A364"/>
  <c r="A362"/>
  <c r="A360"/>
  <c r="A358"/>
  <c r="A356"/>
  <c r="A354"/>
  <c r="A352"/>
  <c r="A350"/>
  <c r="A348"/>
  <c r="A346"/>
  <c r="A344"/>
  <c r="A342"/>
  <c r="A340"/>
  <c r="A338"/>
  <c r="A336"/>
  <c r="A334"/>
  <c r="A332"/>
  <c r="A330"/>
  <c r="A328"/>
  <c r="A326"/>
  <c r="A324"/>
  <c r="A322"/>
  <c r="A320"/>
  <c r="A318"/>
  <c r="A316"/>
  <c r="A314"/>
  <c r="A312"/>
  <c r="A310"/>
  <c r="A308"/>
  <c r="A306"/>
  <c r="A304"/>
  <c r="A302"/>
  <c r="A300"/>
  <c r="A298"/>
  <c r="A296"/>
  <c r="A294"/>
  <c r="A292"/>
  <c r="A290"/>
  <c r="A288"/>
  <c r="A286"/>
  <c r="A284"/>
  <c r="A282"/>
  <c r="A280"/>
  <c r="A278"/>
  <c r="A276"/>
  <c r="A274"/>
  <c r="A272"/>
  <c r="A270"/>
  <c r="A268"/>
  <c r="A266"/>
  <c r="A264"/>
  <c r="A262"/>
  <c r="A260"/>
  <c r="A258"/>
  <c r="A256"/>
  <c r="A254"/>
  <c r="A252"/>
  <c r="A250"/>
  <c r="A248"/>
  <c r="A246"/>
  <c r="A244"/>
  <c r="A242"/>
  <c r="A240"/>
  <c r="A238"/>
  <c r="A236"/>
  <c r="A234"/>
  <c r="A232"/>
  <c r="A230"/>
  <c r="A228"/>
  <c r="A226"/>
  <c r="A224"/>
  <c r="A222"/>
  <c r="A220"/>
  <c r="A218"/>
  <c r="A216"/>
  <c r="A214"/>
  <c r="A212"/>
  <c r="A210"/>
  <c r="A208"/>
  <c r="A206"/>
  <c r="A204"/>
  <c r="A202"/>
  <c r="A200"/>
  <c r="A198"/>
  <c r="A196"/>
  <c r="A194"/>
  <c r="A192"/>
  <c r="A190"/>
  <c r="A188"/>
  <c r="A186"/>
  <c r="A184"/>
  <c r="A182"/>
  <c r="A180"/>
  <c r="A178"/>
  <c r="A176"/>
  <c r="A174"/>
  <c r="A172"/>
  <c r="A170"/>
  <c r="A168"/>
  <c r="A166"/>
  <c r="A164"/>
  <c r="A162"/>
  <c r="A160"/>
  <c r="A158"/>
  <c r="A156"/>
  <c r="A154"/>
  <c r="A152"/>
  <c r="A150"/>
  <c r="A148"/>
  <c r="A146"/>
  <c r="A144"/>
  <c r="A142"/>
  <c r="A140"/>
  <c r="A138"/>
  <c r="A136"/>
  <c r="A134"/>
  <c r="A132"/>
  <c r="A130"/>
  <c r="A128"/>
  <c r="A126"/>
  <c r="A124"/>
  <c r="A122"/>
  <c r="A120"/>
  <c r="A118"/>
  <c r="A116"/>
  <c r="A114"/>
  <c r="A112"/>
  <c r="A110"/>
  <c r="A108"/>
  <c r="A106"/>
  <c r="A104"/>
  <c r="A102"/>
  <c r="A100"/>
  <c r="A98"/>
  <c r="A96"/>
  <c r="A94"/>
  <c r="A92"/>
  <c r="A90"/>
  <c r="A88"/>
  <c r="A86"/>
  <c r="A84"/>
  <c r="A82"/>
  <c r="A80"/>
  <c r="A78"/>
  <c r="A76"/>
  <c r="A74"/>
  <c r="A72"/>
  <c r="A70"/>
  <c r="A68"/>
  <c r="A66"/>
  <c r="A64"/>
  <c r="A62"/>
  <c r="A60"/>
  <c r="A58"/>
  <c r="A56"/>
  <c r="A54"/>
  <c r="A52"/>
  <c r="A50"/>
  <c r="A48"/>
  <c r="A46"/>
  <c r="A44"/>
  <c r="A42"/>
  <c r="A40"/>
  <c r="A38"/>
  <c r="A36"/>
  <c r="A34"/>
  <c r="A32"/>
  <c r="A30"/>
  <c r="A28"/>
  <c r="A26"/>
  <c r="A24"/>
  <c r="A22"/>
  <c r="A20"/>
  <c r="A18"/>
  <c r="A16"/>
  <c r="A14"/>
  <c r="A521"/>
  <c r="A519"/>
  <c r="A517"/>
  <c r="A515"/>
  <c r="A513"/>
  <c r="A511"/>
  <c r="A509"/>
  <c r="A507"/>
  <c r="A505"/>
  <c r="A503"/>
  <c r="A501"/>
  <c r="A499"/>
  <c r="A497"/>
  <c r="A495"/>
  <c r="A493"/>
  <c r="A491"/>
  <c r="A489"/>
  <c r="A487"/>
  <c r="A485"/>
  <c r="A483"/>
  <c r="A481"/>
  <c r="A479"/>
  <c r="A477"/>
  <c r="A475"/>
  <c r="A473"/>
  <c r="A471"/>
  <c r="A469"/>
  <c r="A467"/>
  <c r="A465"/>
  <c r="A463"/>
  <c r="A461"/>
  <c r="A459"/>
  <c r="A457"/>
  <c r="A455"/>
  <c r="A453"/>
  <c r="A451"/>
  <c r="A449"/>
  <c r="A447"/>
  <c r="A445"/>
  <c r="A443"/>
  <c r="A441"/>
  <c r="A439"/>
  <c r="A437"/>
  <c r="A435"/>
  <c r="A433"/>
  <c r="A431"/>
  <c r="A429"/>
  <c r="A427"/>
  <c r="A425"/>
  <c r="A423"/>
  <c r="A421"/>
  <c r="A419"/>
  <c r="A417"/>
  <c r="A415"/>
  <c r="A413"/>
  <c r="A411"/>
  <c r="A409"/>
  <c r="A407"/>
  <c r="A405"/>
  <c r="A403"/>
  <c r="A401"/>
  <c r="A399"/>
  <c r="A397"/>
  <c r="A395"/>
  <c r="A393"/>
  <c r="A391"/>
  <c r="A389"/>
  <c r="A387"/>
  <c r="A385"/>
  <c r="A383"/>
  <c r="A381"/>
  <c r="A379"/>
  <c r="A377"/>
  <c r="A375"/>
  <c r="A373"/>
  <c r="A371"/>
  <c r="A369"/>
  <c r="A367"/>
  <c r="A365"/>
  <c r="A363"/>
  <c r="A361"/>
  <c r="A359"/>
  <c r="A357"/>
  <c r="A355"/>
  <c r="A353"/>
  <c r="A351"/>
  <c r="A349"/>
  <c r="A347"/>
  <c r="A345"/>
  <c r="A343"/>
  <c r="A341"/>
  <c r="A339"/>
  <c r="A337"/>
  <c r="A335"/>
  <c r="A333"/>
  <c r="A331"/>
  <c r="A329"/>
  <c r="A327"/>
  <c r="A325"/>
  <c r="A323"/>
  <c r="A321"/>
  <c r="A319"/>
  <c r="A317"/>
  <c r="A315"/>
  <c r="A313"/>
  <c r="A311"/>
  <c r="A309"/>
  <c r="A307"/>
  <c r="A305"/>
  <c r="A303"/>
  <c r="A301"/>
  <c r="A299"/>
  <c r="A297"/>
  <c r="A295"/>
  <c r="A293"/>
  <c r="A291"/>
  <c r="A289"/>
  <c r="A287"/>
  <c r="A285"/>
  <c r="A283"/>
  <c r="A281"/>
  <c r="A279"/>
  <c r="A277"/>
  <c r="A275"/>
  <c r="A273"/>
  <c r="A271"/>
  <c r="A269"/>
  <c r="A267"/>
  <c r="A265"/>
  <c r="A263"/>
  <c r="A261"/>
  <c r="A259"/>
  <c r="A257"/>
  <c r="A255"/>
  <c r="A253"/>
  <c r="A251"/>
  <c r="A249"/>
  <c r="A247"/>
  <c r="A245"/>
  <c r="A243"/>
  <c r="A241"/>
  <c r="A239"/>
  <c r="A237"/>
  <c r="A235"/>
  <c r="A233"/>
  <c r="A231"/>
  <c r="A229"/>
  <c r="A227"/>
  <c r="A225"/>
  <c r="A223"/>
  <c r="A221"/>
  <c r="A219"/>
  <c r="A217"/>
  <c r="A215"/>
  <c r="A213"/>
  <c r="A211"/>
  <c r="A209"/>
  <c r="A207"/>
  <c r="A205"/>
  <c r="A203"/>
  <c r="A201"/>
  <c r="A199"/>
  <c r="A197"/>
  <c r="A195"/>
  <c r="A193"/>
  <c r="A191"/>
  <c r="A189"/>
  <c r="A187"/>
  <c r="A185"/>
  <c r="A183"/>
  <c r="A181"/>
  <c r="A179"/>
  <c r="A177"/>
  <c r="A175"/>
  <c r="A173"/>
  <c r="A171"/>
  <c r="A169"/>
  <c r="A167"/>
  <c r="A165"/>
  <c r="A163"/>
  <c r="A161"/>
  <c r="A159"/>
  <c r="A157"/>
  <c r="A155"/>
  <c r="A153"/>
  <c r="A151"/>
  <c r="A149"/>
  <c r="A147"/>
  <c r="A145"/>
  <c r="A143"/>
  <c r="A141"/>
  <c r="A139"/>
  <c r="A137"/>
  <c r="A135"/>
  <c r="A133"/>
  <c r="A131"/>
  <c r="A129"/>
  <c r="A127"/>
  <c r="A125"/>
  <c r="A123"/>
  <c r="A121"/>
  <c r="A119"/>
  <c r="A117"/>
  <c r="A115"/>
  <c r="A113"/>
  <c r="A111"/>
  <c r="A109"/>
  <c r="A107"/>
  <c r="A105"/>
  <c r="A103"/>
  <c r="A101"/>
  <c r="A99"/>
  <c r="A97"/>
  <c r="A95"/>
  <c r="A93"/>
  <c r="A91"/>
  <c r="A89"/>
  <c r="A87"/>
  <c r="A85"/>
  <c r="A83"/>
  <c r="A81"/>
  <c r="A79"/>
  <c r="A77"/>
  <c r="A75"/>
  <c r="A73"/>
  <c r="A71"/>
  <c r="A69"/>
  <c r="A67"/>
  <c r="A65"/>
  <c r="A63"/>
  <c r="A61"/>
  <c r="A59"/>
  <c r="A57"/>
  <c r="A55"/>
  <c r="A53"/>
  <c r="A51"/>
  <c r="A49"/>
  <c r="A47"/>
  <c r="A45"/>
  <c r="A43"/>
  <c r="A41"/>
  <c r="A39"/>
  <c r="A37"/>
  <c r="A35"/>
  <c r="A33"/>
  <c r="A31"/>
  <c r="A29"/>
  <c r="A27"/>
  <c r="A25"/>
  <c r="A23"/>
  <c r="A21"/>
  <c r="A19"/>
  <c r="A17"/>
  <c r="A15"/>
  <c r="A13"/>
  <c r="A1819" i="8"/>
  <c r="A1818"/>
  <c r="A1817"/>
  <c r="A1816"/>
  <c r="A1815"/>
  <c r="A1814"/>
  <c r="A1813"/>
  <c r="A1812"/>
  <c r="A1811"/>
  <c r="A1810"/>
  <c r="A1809"/>
  <c r="A1808"/>
  <c r="A1807"/>
  <c r="A1806"/>
  <c r="A1805"/>
  <c r="A1804"/>
  <c r="A1803"/>
  <c r="A1802"/>
  <c r="A1801"/>
  <c r="A1800"/>
  <c r="A1799"/>
  <c r="A1798"/>
  <c r="A1797"/>
  <c r="A1796"/>
  <c r="A1795"/>
  <c r="A1794"/>
  <c r="A1793"/>
  <c r="A1792"/>
  <c r="A1791"/>
  <c r="A1790"/>
  <c r="A1789"/>
  <c r="A1788"/>
  <c r="A1787"/>
  <c r="A1786"/>
  <c r="A1785"/>
  <c r="A1784"/>
  <c r="A1783"/>
  <c r="A1782"/>
  <c r="A1781"/>
  <c r="A1780"/>
  <c r="A1779"/>
  <c r="A1778"/>
  <c r="A1777"/>
  <c r="A1776"/>
  <c r="A1775"/>
  <c r="A1774"/>
  <c r="A1773"/>
  <c r="A1772"/>
  <c r="A1771"/>
  <c r="A1770"/>
  <c r="A1769"/>
  <c r="A1768"/>
  <c r="A1767"/>
  <c r="A1766"/>
  <c r="A1765"/>
  <c r="A1764"/>
  <c r="A1763"/>
  <c r="A1762"/>
  <c r="A1761"/>
  <c r="A1760"/>
  <c r="A1759"/>
  <c r="A1758"/>
  <c r="A1757"/>
  <c r="A1756"/>
  <c r="A1755"/>
  <c r="A1754"/>
  <c r="A1753"/>
  <c r="A1752"/>
  <c r="A1751"/>
  <c r="A1750"/>
  <c r="A1749"/>
  <c r="A1748"/>
  <c r="A1747"/>
  <c r="A1746"/>
  <c r="A1745"/>
  <c r="A1744"/>
  <c r="A1743"/>
  <c r="A1742"/>
  <c r="A1741"/>
  <c r="A1740"/>
  <c r="A1739"/>
  <c r="A1738"/>
  <c r="A1737"/>
  <c r="A1736"/>
  <c r="A1735"/>
  <c r="A1734"/>
  <c r="A1733"/>
  <c r="A1732"/>
  <c r="A1731"/>
  <c r="A1730"/>
  <c r="A1729"/>
  <c r="A1728"/>
  <c r="A1727"/>
  <c r="A1726"/>
  <c r="A1725"/>
  <c r="A1724"/>
  <c r="A1723"/>
  <c r="A1722"/>
  <c r="A1721"/>
  <c r="A1720"/>
  <c r="A1719"/>
  <c r="A1718"/>
  <c r="A1717"/>
  <c r="A1716"/>
  <c r="A1715"/>
  <c r="A1714"/>
  <c r="A1713"/>
  <c r="A1712"/>
  <c r="A1711"/>
  <c r="A1710"/>
  <c r="A1709"/>
  <c r="A1708"/>
  <c r="A1707"/>
  <c r="A1706"/>
  <c r="A1705"/>
  <c r="A1704"/>
  <c r="A1703"/>
  <c r="A1702"/>
  <c r="A1701"/>
  <c r="A1700"/>
  <c r="A1699"/>
  <c r="A1698"/>
  <c r="A1697"/>
  <c r="A1696"/>
  <c r="A1695"/>
  <c r="A1694"/>
  <c r="A1693"/>
  <c r="A1692"/>
  <c r="A1691"/>
  <c r="A1690"/>
  <c r="A1689"/>
  <c r="A1688"/>
  <c r="A1687"/>
  <c r="A1686"/>
  <c r="A1685"/>
  <c r="A1684"/>
  <c r="A1683"/>
  <c r="A1682"/>
  <c r="A1681"/>
  <c r="A1680"/>
  <c r="A1679"/>
  <c r="A1678"/>
  <c r="A1677"/>
  <c r="A1676"/>
  <c r="A1675"/>
  <c r="A1674"/>
  <c r="A1673"/>
  <c r="A1672"/>
  <c r="A1671"/>
  <c r="A1670"/>
  <c r="A1669"/>
  <c r="A1668"/>
  <c r="A1667"/>
  <c r="A1666"/>
  <c r="A1665"/>
  <c r="A1664"/>
  <c r="A1663"/>
  <c r="A1662"/>
  <c r="A1661"/>
  <c r="A1660"/>
  <c r="A1659"/>
  <c r="A1658"/>
  <c r="A1657"/>
  <c r="A1656"/>
  <c r="A1655"/>
  <c r="A1654"/>
  <c r="A1653"/>
  <c r="A1652"/>
  <c r="A1651"/>
  <c r="A1650"/>
  <c r="A1649"/>
  <c r="A1648"/>
  <c r="A1647"/>
  <c r="A1646"/>
  <c r="A1645"/>
  <c r="A1644"/>
  <c r="A1643"/>
  <c r="A1642"/>
  <c r="A1641"/>
  <c r="A1640"/>
  <c r="A1639"/>
  <c r="A1638"/>
  <c r="A1637"/>
  <c r="A1636"/>
  <c r="A1635"/>
  <c r="A1634"/>
  <c r="A1633"/>
  <c r="A1632"/>
  <c r="A1631"/>
  <c r="A1630"/>
  <c r="A1629"/>
  <c r="A1628"/>
  <c r="A1627"/>
  <c r="A1626"/>
  <c r="A1625"/>
  <c r="A1624"/>
  <c r="A1623"/>
  <c r="A1622"/>
  <c r="A1621"/>
  <c r="A1620"/>
  <c r="A1619"/>
  <c r="A1618"/>
  <c r="A1617"/>
  <c r="A1616"/>
  <c r="A1615"/>
  <c r="A1614"/>
  <c r="A1613"/>
  <c r="A1612"/>
  <c r="A1611"/>
  <c r="A1610"/>
  <c r="A1609"/>
  <c r="A1608"/>
  <c r="A1607"/>
  <c r="A1606"/>
  <c r="A1605"/>
  <c r="A1604"/>
  <c r="A1603"/>
  <c r="A1602"/>
  <c r="A1601"/>
  <c r="A1600"/>
  <c r="A1599"/>
  <c r="A1598"/>
  <c r="A1597"/>
  <c r="A1596"/>
  <c r="A1595"/>
  <c r="A1594"/>
  <c r="A1593"/>
  <c r="A1592"/>
  <c r="A1591"/>
  <c r="A1590"/>
  <c r="A1589"/>
  <c r="A1588"/>
  <c r="A1587"/>
  <c r="A1586"/>
  <c r="A1585"/>
  <c r="A1584"/>
  <c r="A1583"/>
  <c r="A1582"/>
  <c r="A1581"/>
  <c r="A1580"/>
  <c r="A1579"/>
  <c r="A1578"/>
  <c r="A1577"/>
  <c r="A1576"/>
  <c r="A1575"/>
  <c r="A1574"/>
  <c r="A1573"/>
  <c r="A1572"/>
  <c r="A1571"/>
  <c r="A1570"/>
  <c r="A1569"/>
  <c r="A1568"/>
  <c r="A1567"/>
  <c r="A1566"/>
  <c r="A1565"/>
  <c r="A1564"/>
  <c r="A1563"/>
  <c r="A1562"/>
  <c r="A1561"/>
  <c r="A1560"/>
  <c r="A1559"/>
  <c r="A1558"/>
  <c r="A1557"/>
  <c r="A1556"/>
  <c r="A1555"/>
  <c r="A1554"/>
  <c r="A1553"/>
  <c r="A1552"/>
  <c r="A1551"/>
  <c r="A1550"/>
  <c r="A1549"/>
  <c r="A1548"/>
  <c r="A1547"/>
  <c r="A1546"/>
  <c r="A1545"/>
  <c r="A1544"/>
  <c r="A1543"/>
  <c r="A1542"/>
  <c r="A1541"/>
  <c r="A1540"/>
  <c r="A1539"/>
  <c r="A1538"/>
  <c r="A1537"/>
  <c r="A1536"/>
  <c r="A1535"/>
  <c r="A1534"/>
  <c r="A1533"/>
  <c r="A1532"/>
  <c r="A1531"/>
  <c r="A1530"/>
  <c r="A1529"/>
  <c r="A1528"/>
  <c r="A1527"/>
  <c r="A1526"/>
  <c r="A1525"/>
  <c r="A1524"/>
  <c r="A1523"/>
  <c r="A1522"/>
  <c r="A1521"/>
  <c r="A1520"/>
  <c r="A1519"/>
  <c r="A1518"/>
  <c r="A1517"/>
  <c r="A1516"/>
  <c r="A1515"/>
  <c r="A1514"/>
  <c r="A1513"/>
  <c r="A1512"/>
  <c r="A1511"/>
  <c r="A1510"/>
  <c r="A1509"/>
  <c r="A1508"/>
  <c r="A1507"/>
  <c r="A1506"/>
  <c r="A1505"/>
  <c r="A1504"/>
  <c r="A1503"/>
  <c r="A1502"/>
  <c r="A1501"/>
  <c r="A1500"/>
  <c r="A1499"/>
  <c r="A1498"/>
  <c r="A1497"/>
  <c r="A1496"/>
  <c r="A1495"/>
  <c r="A1494"/>
  <c r="A1493"/>
  <c r="A1492"/>
  <c r="A1491"/>
  <c r="A1490"/>
  <c r="A1489"/>
  <c r="A1488"/>
  <c r="A1487"/>
  <c r="A1486"/>
  <c r="A1485"/>
  <c r="A1484"/>
  <c r="A1483"/>
  <c r="A1482"/>
  <c r="A1481"/>
  <c r="A1480"/>
  <c r="A1479"/>
  <c r="A1478"/>
  <c r="A1477"/>
  <c r="A1476"/>
  <c r="A1475"/>
  <c r="A1474"/>
  <c r="A1473"/>
  <c r="A1472"/>
  <c r="A1471"/>
  <c r="A1470"/>
  <c r="A1469"/>
  <c r="A1468"/>
  <c r="A1467"/>
  <c r="A1466"/>
  <c r="A1465"/>
  <c r="A1464"/>
  <c r="A1463"/>
  <c r="A1462"/>
  <c r="A1461"/>
  <c r="A1460"/>
  <c r="A1459"/>
  <c r="A1458"/>
  <c r="A1457"/>
  <c r="A1456"/>
  <c r="A1455"/>
  <c r="A1454"/>
  <c r="A1453"/>
  <c r="A1452"/>
  <c r="A1451"/>
  <c r="A1450"/>
  <c r="A1449"/>
  <c r="A1448"/>
  <c r="A1447"/>
  <c r="A1446"/>
  <c r="A1445"/>
  <c r="A1444"/>
  <c r="A1443"/>
  <c r="A1442"/>
  <c r="A1441"/>
  <c r="A1440"/>
  <c r="A1439"/>
  <c r="A1438"/>
  <c r="A1437"/>
  <c r="A1436"/>
  <c r="A1435"/>
  <c r="A1434"/>
  <c r="A1433"/>
  <c r="A1432"/>
  <c r="A1431"/>
  <c r="A1430"/>
  <c r="A1429"/>
  <c r="A1428"/>
  <c r="A1427"/>
  <c r="A1426"/>
  <c r="A1425"/>
  <c r="A1424"/>
  <c r="A1423"/>
  <c r="A1422"/>
  <c r="A1421"/>
  <c r="A1420"/>
  <c r="A1419"/>
  <c r="A1418"/>
  <c r="A1417"/>
  <c r="A1416"/>
  <c r="A1415"/>
  <c r="A1414"/>
  <c r="A1413"/>
  <c r="A1412"/>
  <c r="A1411"/>
  <c r="A1410"/>
  <c r="A1409"/>
  <c r="A1408"/>
  <c r="A1407"/>
  <c r="A1406"/>
  <c r="A1405"/>
  <c r="A1404"/>
  <c r="A1403"/>
  <c r="A1402"/>
  <c r="A1401"/>
  <c r="A1400"/>
  <c r="A1399"/>
  <c r="A1398"/>
  <c r="A1397"/>
  <c r="A1396"/>
  <c r="A1395"/>
  <c r="A1394"/>
  <c r="A1393"/>
  <c r="A1392"/>
  <c r="A1391"/>
  <c r="A1390"/>
  <c r="A1389"/>
  <c r="A1388"/>
  <c r="A1387"/>
  <c r="A1386"/>
  <c r="A1385"/>
  <c r="A1384"/>
  <c r="A1383"/>
  <c r="A1382"/>
  <c r="A1381"/>
  <c r="A1380"/>
  <c r="A1379"/>
  <c r="A1378"/>
  <c r="A1377"/>
  <c r="A1376"/>
  <c r="A1375"/>
  <c r="A1374"/>
  <c r="A1373"/>
  <c r="A1372"/>
  <c r="A1371"/>
  <c r="A1370"/>
  <c r="A1369"/>
  <c r="A1368"/>
  <c r="A1367"/>
  <c r="A1366"/>
  <c r="A1365"/>
  <c r="A1364"/>
  <c r="A1363"/>
  <c r="A1362"/>
  <c r="A1361"/>
  <c r="A1360"/>
  <c r="A1359"/>
  <c r="A1358"/>
  <c r="A1357"/>
  <c r="A1356"/>
  <c r="A1355"/>
  <c r="A1354"/>
  <c r="A1353"/>
  <c r="A1352"/>
  <c r="A1351"/>
  <c r="A1350"/>
  <c r="A1349"/>
  <c r="A1348"/>
  <c r="A1347"/>
  <c r="A1346"/>
  <c r="A1345"/>
  <c r="A1344"/>
  <c r="A1343"/>
  <c r="A1342"/>
  <c r="A1341"/>
  <c r="A1340"/>
  <c r="A1339"/>
  <c r="A1338"/>
  <c r="A1337"/>
  <c r="A1336"/>
  <c r="A1335"/>
  <c r="A1334"/>
  <c r="A1333"/>
  <c r="A1332"/>
  <c r="A1331"/>
  <c r="A1330"/>
  <c r="A1329"/>
  <c r="A1328"/>
  <c r="A1327"/>
  <c r="A1326"/>
  <c r="A1325"/>
  <c r="A1324"/>
  <c r="A1323"/>
  <c r="A1322"/>
  <c r="A1321"/>
  <c r="A1320"/>
  <c r="A1319"/>
  <c r="A1318"/>
  <c r="A1317"/>
  <c r="A1316"/>
  <c r="A1315"/>
  <c r="A1314"/>
  <c r="A1313"/>
  <c r="A1312"/>
  <c r="A1311"/>
  <c r="A1310"/>
  <c r="A1309"/>
  <c r="A1308"/>
  <c r="A1307"/>
  <c r="A1306"/>
  <c r="A1305"/>
  <c r="A1304"/>
  <c r="A1303"/>
  <c r="A1302"/>
  <c r="A1301"/>
  <c r="A1300"/>
  <c r="A1299"/>
  <c r="A1298"/>
  <c r="A1297"/>
  <c r="A1296"/>
  <c r="A1295"/>
  <c r="A1294"/>
  <c r="A1293"/>
  <c r="A1292"/>
  <c r="A1291"/>
  <c r="A1290"/>
  <c r="A1289"/>
  <c r="A1288"/>
  <c r="A1287"/>
  <c r="A1286"/>
  <c r="A1285"/>
  <c r="A1284"/>
  <c r="A1283"/>
  <c r="A1282"/>
  <c r="A1281"/>
  <c r="A1280"/>
  <c r="A1279"/>
  <c r="A1278"/>
  <c r="A1277"/>
  <c r="A1276"/>
  <c r="A1275"/>
  <c r="A1274"/>
  <c r="A1273"/>
  <c r="A1272"/>
  <c r="A1271"/>
  <c r="A1270"/>
  <c r="A1269"/>
  <c r="A1268"/>
  <c r="A1267"/>
  <c r="A1266"/>
  <c r="A1265"/>
  <c r="A1264"/>
  <c r="A1263"/>
  <c r="A1262"/>
  <c r="A1261"/>
  <c r="A1260"/>
  <c r="A1259"/>
  <c r="A1258"/>
  <c r="A1257"/>
  <c r="A1256"/>
  <c r="A1255"/>
  <c r="A1254"/>
  <c r="A1253"/>
  <c r="A1252"/>
  <c r="A1251"/>
  <c r="A1250"/>
  <c r="A1249"/>
  <c r="A1248"/>
  <c r="A1247"/>
  <c r="A1246"/>
  <c r="A1245"/>
  <c r="A1244"/>
  <c r="A1243"/>
  <c r="A1242"/>
  <c r="A1241"/>
  <c r="A1240"/>
  <c r="A1239"/>
  <c r="A1238"/>
  <c r="A1237"/>
  <c r="A1236"/>
  <c r="A1235"/>
  <c r="A1234"/>
  <c r="A1233"/>
  <c r="A1232"/>
  <c r="A1231"/>
  <c r="A1230"/>
  <c r="A1229"/>
  <c r="A1228"/>
  <c r="A1227"/>
  <c r="A1226"/>
  <c r="A1225"/>
  <c r="A1224"/>
  <c r="A1223"/>
  <c r="A1222"/>
  <c r="A1221"/>
  <c r="A1220"/>
  <c r="A1219"/>
  <c r="A1218"/>
  <c r="A1217"/>
  <c r="A1216"/>
  <c r="A1215"/>
  <c r="A1214"/>
  <c r="A1213"/>
  <c r="A1212"/>
  <c r="A1211"/>
  <c r="A1210"/>
  <c r="A1209"/>
  <c r="A1208"/>
  <c r="A1207"/>
  <c r="A1206"/>
  <c r="A1205"/>
  <c r="A1204"/>
  <c r="A1203"/>
  <c r="A1202"/>
  <c r="A1201"/>
  <c r="A1200"/>
  <c r="A1199"/>
  <c r="A1198"/>
  <c r="A1197"/>
  <c r="A1196"/>
  <c r="A1195"/>
  <c r="A1194"/>
  <c r="A1193"/>
  <c r="A1192"/>
  <c r="A1191"/>
  <c r="A1190"/>
  <c r="A1189"/>
  <c r="A1188"/>
  <c r="A1187"/>
  <c r="A1186"/>
  <c r="A1185"/>
  <c r="A1184"/>
  <c r="A1183"/>
  <c r="A1182"/>
  <c r="A1181"/>
  <c r="A1180"/>
  <c r="A1179"/>
  <c r="A1178"/>
  <c r="A1177"/>
  <c r="A1176"/>
  <c r="A1175"/>
  <c r="A1174"/>
  <c r="A1173"/>
  <c r="A1172"/>
  <c r="A1171"/>
  <c r="A1170"/>
  <c r="A1169"/>
  <c r="A1168"/>
  <c r="A1167"/>
  <c r="A1166"/>
  <c r="A1165"/>
  <c r="A1164"/>
  <c r="A1163"/>
  <c r="A1162"/>
  <c r="A1161"/>
  <c r="A1160"/>
  <c r="A1159"/>
  <c r="A1158"/>
  <c r="A1157"/>
  <c r="A1156"/>
  <c r="A1155"/>
  <c r="A1154"/>
  <c r="A1153"/>
  <c r="A1152"/>
  <c r="A1151"/>
  <c r="A1150"/>
  <c r="A1149"/>
  <c r="A1148"/>
  <c r="A1147"/>
  <c r="A1146"/>
  <c r="A1145"/>
  <c r="A1144"/>
  <c r="A1143"/>
  <c r="A1142"/>
  <c r="A1141"/>
  <c r="A1140"/>
  <c r="A1139"/>
  <c r="A1138"/>
  <c r="A1137"/>
  <c r="A1136"/>
  <c r="A1135"/>
  <c r="A1134"/>
  <c r="A1133"/>
  <c r="A1132"/>
  <c r="A1131"/>
  <c r="A1130"/>
  <c r="A1129"/>
  <c r="A1128"/>
  <c r="A1127"/>
  <c r="A1126"/>
  <c r="A1125"/>
  <c r="A1124"/>
  <c r="A1123"/>
  <c r="A1122"/>
  <c r="A1121"/>
  <c r="A1120"/>
  <c r="A1119"/>
  <c r="A1118"/>
  <c r="A1117"/>
  <c r="A1116"/>
  <c r="A1115"/>
  <c r="A1114"/>
  <c r="A1113"/>
  <c r="A1112"/>
  <c r="A1111"/>
  <c r="A1110"/>
  <c r="A1109"/>
  <c r="A1108"/>
  <c r="A1107"/>
  <c r="A1106"/>
  <c r="A1105"/>
  <c r="A1104"/>
  <c r="A1103"/>
  <c r="A1102"/>
  <c r="A1101"/>
  <c r="A1100"/>
  <c r="A1099"/>
  <c r="A1098"/>
  <c r="A1097"/>
  <c r="A1096"/>
  <c r="A1095"/>
  <c r="A1094"/>
  <c r="A1093"/>
  <c r="A1092"/>
  <c r="A1091"/>
  <c r="A1090"/>
  <c r="A1089"/>
  <c r="A1088"/>
  <c r="A1087"/>
  <c r="A1086"/>
  <c r="A1085"/>
  <c r="A1084"/>
  <c r="A1083"/>
  <c r="A1082"/>
  <c r="A1081"/>
  <c r="A1080"/>
  <c r="A1079"/>
  <c r="A1078"/>
  <c r="A1077"/>
  <c r="A1076"/>
  <c r="A1075"/>
  <c r="A1074"/>
  <c r="A1073"/>
  <c r="A1072"/>
  <c r="A1071"/>
  <c r="A1070"/>
  <c r="A1069"/>
  <c r="A1068"/>
  <c r="A1067"/>
  <c r="A1066"/>
  <c r="A1065"/>
  <c r="A1064"/>
  <c r="A1063"/>
  <c r="A1062"/>
  <c r="A1061"/>
  <c r="A1060"/>
  <c r="A1059"/>
  <c r="A1058"/>
  <c r="A1057"/>
  <c r="A1056"/>
  <c r="A1055"/>
  <c r="A1054"/>
  <c r="A1053"/>
  <c r="A1052"/>
  <c r="A1051"/>
  <c r="A1050"/>
  <c r="A1049"/>
  <c r="A1048"/>
  <c r="A1047"/>
  <c r="A1046"/>
  <c r="A1045"/>
  <c r="A1044"/>
  <c r="A1043"/>
  <c r="A1042"/>
  <c r="A1041"/>
  <c r="A1040"/>
  <c r="A1039"/>
  <c r="A1038"/>
  <c r="A1037"/>
  <c r="A1036"/>
  <c r="A1035"/>
  <c r="A1034"/>
  <c r="A1033"/>
  <c r="A1032"/>
  <c r="A1031"/>
  <c r="A1030"/>
  <c r="A1029"/>
  <c r="A1028"/>
  <c r="A1027"/>
  <c r="A1026"/>
  <c r="A1025"/>
  <c r="A1024"/>
  <c r="A1023"/>
  <c r="A1022"/>
  <c r="A1021"/>
  <c r="A1020"/>
  <c r="A1019"/>
  <c r="A1018"/>
  <c r="A1017"/>
  <c r="A1016"/>
  <c r="A1015"/>
  <c r="A1014"/>
  <c r="A1013"/>
  <c r="A1012"/>
  <c r="A1011"/>
  <c r="A1010"/>
  <c r="A1009"/>
  <c r="A1008"/>
  <c r="A1007"/>
  <c r="A1006"/>
  <c r="A1005"/>
  <c r="A1004"/>
  <c r="A1003"/>
  <c r="A1002"/>
  <c r="A1001"/>
  <c r="A1000"/>
  <c r="A999"/>
  <c r="A998"/>
  <c r="A997"/>
  <c r="A996"/>
  <c r="A995"/>
  <c r="A994"/>
  <c r="A993"/>
  <c r="A992"/>
  <c r="A991"/>
  <c r="A990"/>
  <c r="A989"/>
  <c r="A988"/>
  <c r="A987"/>
  <c r="A986"/>
  <c r="A985"/>
  <c r="A984"/>
  <c r="A983"/>
  <c r="A982"/>
  <c r="A981"/>
  <c r="A980"/>
  <c r="A979"/>
  <c r="A978"/>
  <c r="A977"/>
  <c r="A976"/>
  <c r="A975"/>
  <c r="A974"/>
  <c r="A973"/>
  <c r="A972"/>
  <c r="A971"/>
  <c r="A970"/>
  <c r="A969"/>
  <c r="A968"/>
  <c r="A967"/>
  <c r="A966"/>
  <c r="A965"/>
  <c r="A964"/>
  <c r="A963"/>
  <c r="A962"/>
  <c r="A961"/>
  <c r="A960"/>
  <c r="A959"/>
  <c r="A958"/>
  <c r="A957"/>
  <c r="A956"/>
  <c r="A955"/>
  <c r="A954"/>
  <c r="A953"/>
  <c r="A952"/>
  <c r="A951"/>
  <c r="A950"/>
  <c r="A949"/>
  <c r="A948"/>
  <c r="A947"/>
  <c r="A946"/>
  <c r="A945"/>
  <c r="A944"/>
  <c r="A943"/>
  <c r="A942"/>
  <c r="A941"/>
  <c r="A940"/>
  <c r="A939"/>
  <c r="A938"/>
  <c r="A937"/>
  <c r="A936"/>
  <c r="A935"/>
  <c r="A934"/>
  <c r="A933"/>
  <c r="A932"/>
  <c r="A931"/>
  <c r="A930"/>
  <c r="A929"/>
  <c r="A928"/>
  <c r="A927"/>
  <c r="A926"/>
  <c r="A925"/>
  <c r="A924"/>
  <c r="A923"/>
  <c r="A922"/>
  <c r="A921"/>
  <c r="A920"/>
  <c r="A919"/>
  <c r="A918"/>
  <c r="A917"/>
  <c r="A916"/>
  <c r="A915"/>
  <c r="A914"/>
  <c r="A913"/>
  <c r="A912"/>
  <c r="A911"/>
  <c r="A910"/>
  <c r="A909"/>
  <c r="A908"/>
  <c r="A907"/>
  <c r="A906"/>
  <c r="A905"/>
  <c r="A904"/>
  <c r="A903"/>
  <c r="A902"/>
  <c r="A901"/>
  <c r="A900"/>
  <c r="A899"/>
  <c r="A898"/>
  <c r="A897"/>
  <c r="A896"/>
  <c r="A895"/>
  <c r="A894"/>
  <c r="A893"/>
  <c r="A892"/>
  <c r="A891"/>
  <c r="A890"/>
  <c r="A889"/>
  <c r="A888"/>
  <c r="A887"/>
  <c r="A886"/>
  <c r="A885"/>
  <c r="A884"/>
  <c r="A883"/>
  <c r="A882"/>
  <c r="A881"/>
  <c r="A880"/>
  <c r="A879"/>
  <c r="A878"/>
  <c r="A877"/>
  <c r="A876"/>
  <c r="A875"/>
  <c r="A874"/>
  <c r="A873"/>
  <c r="A872"/>
  <c r="A871"/>
  <c r="A870"/>
  <c r="A869"/>
  <c r="A868"/>
  <c r="A867"/>
  <c r="A866"/>
  <c r="A865"/>
  <c r="A864"/>
  <c r="A863"/>
  <c r="A862"/>
  <c r="A861"/>
  <c r="A860"/>
  <c r="A859"/>
  <c r="A858"/>
  <c r="A857"/>
  <c r="A856"/>
  <c r="A855"/>
  <c r="A854"/>
  <c r="A853"/>
  <c r="A852"/>
  <c r="A851"/>
  <c r="A850"/>
  <c r="A849"/>
  <c r="A848"/>
  <c r="A847"/>
  <c r="A846"/>
  <c r="A845"/>
  <c r="A844"/>
  <c r="A843"/>
  <c r="A842"/>
  <c r="A841"/>
  <c r="A840"/>
  <c r="A839"/>
  <c r="A838"/>
  <c r="A837"/>
  <c r="A836"/>
  <c r="A835"/>
  <c r="A834"/>
  <c r="A833"/>
  <c r="A832"/>
  <c r="A831"/>
  <c r="A830"/>
  <c r="A829"/>
  <c r="A828"/>
  <c r="A827"/>
  <c r="A826"/>
  <c r="A825"/>
  <c r="A824"/>
  <c r="A823"/>
  <c r="A822"/>
  <c r="A821"/>
  <c r="A820"/>
  <c r="A819"/>
  <c r="A818"/>
  <c r="A817"/>
  <c r="A816"/>
  <c r="A815"/>
  <c r="A814"/>
  <c r="A813"/>
  <c r="A812"/>
  <c r="A811"/>
  <c r="A810"/>
  <c r="A809"/>
  <c r="A808"/>
  <c r="A807"/>
  <c r="A806"/>
  <c r="A805"/>
  <c r="A804"/>
  <c r="A803"/>
  <c r="A802"/>
  <c r="A801"/>
  <c r="A800"/>
  <c r="A799"/>
  <c r="A798"/>
  <c r="A797"/>
  <c r="A796"/>
  <c r="A795"/>
  <c r="A794"/>
  <c r="A793"/>
  <c r="A792"/>
  <c r="A791"/>
  <c r="A790"/>
  <c r="A789"/>
  <c r="A788"/>
  <c r="A787"/>
  <c r="A786"/>
  <c r="A785"/>
  <c r="A784"/>
  <c r="A783"/>
  <c r="A782"/>
  <c r="A781"/>
  <c r="A780"/>
  <c r="A779"/>
  <c r="A778"/>
  <c r="A777"/>
  <c r="A776"/>
  <c r="A775"/>
  <c r="A774"/>
  <c r="A773"/>
  <c r="A772"/>
  <c r="A771"/>
  <c r="A770"/>
  <c r="A769"/>
  <c r="A768"/>
  <c r="A767"/>
  <c r="A766"/>
  <c r="A765"/>
  <c r="A764"/>
  <c r="A763"/>
  <c r="A762"/>
  <c r="A761"/>
  <c r="A760"/>
  <c r="A759"/>
  <c r="A758"/>
  <c r="A757"/>
  <c r="A756"/>
  <c r="A755"/>
  <c r="A754"/>
  <c r="A753"/>
  <c r="A752"/>
  <c r="A751"/>
  <c r="A750"/>
  <c r="A749"/>
  <c r="A748"/>
  <c r="A747"/>
  <c r="A746"/>
  <c r="A745"/>
  <c r="A744"/>
  <c r="A743"/>
  <c r="A742"/>
  <c r="A741"/>
  <c r="A740"/>
  <c r="A739"/>
  <c r="A738"/>
  <c r="A737"/>
  <c r="A736"/>
  <c r="A735"/>
  <c r="A734"/>
  <c r="A733"/>
  <c r="A732"/>
  <c r="A731"/>
  <c r="A730"/>
  <c r="A729"/>
  <c r="A728"/>
  <c r="A727"/>
  <c r="A726"/>
  <c r="A725"/>
  <c r="A724"/>
  <c r="A723"/>
  <c r="A722"/>
  <c r="A721"/>
  <c r="A720"/>
  <c r="A719"/>
  <c r="A718"/>
  <c r="A717"/>
  <c r="A716"/>
  <c r="A715"/>
  <c r="A714"/>
  <c r="A713"/>
  <c r="A712"/>
  <c r="A711"/>
  <c r="A710"/>
  <c r="A709"/>
  <c r="A708"/>
  <c r="A707"/>
  <c r="A706"/>
  <c r="A705"/>
  <c r="A704"/>
  <c r="A703"/>
  <c r="A702"/>
  <c r="A701"/>
  <c r="A700"/>
  <c r="A699"/>
  <c r="A698"/>
  <c r="A697"/>
  <c r="A696"/>
  <c r="A695"/>
  <c r="A694"/>
  <c r="A693"/>
  <c r="A692"/>
  <c r="A691"/>
  <c r="A690"/>
  <c r="A689"/>
  <c r="A688"/>
  <c r="A687"/>
  <c r="A686"/>
  <c r="A685"/>
  <c r="A684"/>
  <c r="A683"/>
  <c r="A682"/>
  <c r="A681"/>
  <c r="A680"/>
  <c r="A679"/>
  <c r="A678"/>
  <c r="A677"/>
  <c r="A676"/>
  <c r="A675"/>
  <c r="A674"/>
  <c r="A673"/>
  <c r="A672"/>
  <c r="A671"/>
  <c r="A670"/>
  <c r="A669"/>
  <c r="A668"/>
  <c r="A667"/>
  <c r="A666"/>
  <c r="A665"/>
  <c r="A664"/>
  <c r="A663"/>
  <c r="A662"/>
  <c r="A661"/>
  <c r="A660"/>
  <c r="A659"/>
  <c r="A658"/>
  <c r="A657"/>
  <c r="A656"/>
  <c r="A655"/>
  <c r="A654"/>
  <c r="A653"/>
  <c r="A652"/>
  <c r="A651"/>
  <c r="A650"/>
  <c r="A649"/>
  <c r="A648"/>
  <c r="A647"/>
  <c r="A646"/>
  <c r="A645"/>
  <c r="A644"/>
  <c r="A643"/>
  <c r="A642"/>
  <c r="A641"/>
  <c r="A640"/>
  <c r="A639"/>
  <c r="A638"/>
  <c r="A637"/>
  <c r="A636"/>
  <c r="A635"/>
  <c r="A634"/>
  <c r="A633"/>
  <c r="A632"/>
  <c r="A631"/>
  <c r="A630"/>
  <c r="A629"/>
  <c r="A628"/>
  <c r="A627"/>
  <c r="A626"/>
  <c r="A625"/>
  <c r="A624"/>
  <c r="A623"/>
  <c r="A622"/>
  <c r="A621"/>
  <c r="A620"/>
  <c r="A619"/>
  <c r="A618"/>
  <c r="A617"/>
  <c r="A616"/>
  <c r="A615"/>
  <c r="A614"/>
  <c r="A613"/>
  <c r="A612"/>
  <c r="A611"/>
  <c r="A610"/>
  <c r="A609"/>
  <c r="A608"/>
  <c r="A607"/>
  <c r="A606"/>
  <c r="A605"/>
  <c r="A604"/>
  <c r="A603"/>
  <c r="A602"/>
  <c r="A601"/>
  <c r="A600"/>
  <c r="A599"/>
  <c r="A598"/>
  <c r="A597"/>
  <c r="A596"/>
  <c r="A595"/>
  <c r="A594"/>
  <c r="A593"/>
  <c r="A592"/>
  <c r="A591"/>
  <c r="A590"/>
  <c r="A589"/>
  <c r="A588"/>
  <c r="A587"/>
  <c r="A586"/>
  <c r="A585"/>
  <c r="A584"/>
  <c r="A583"/>
  <c r="A582"/>
  <c r="A581"/>
  <c r="A580"/>
  <c r="A579"/>
  <c r="A578"/>
  <c r="A577"/>
  <c r="A576"/>
  <c r="A575"/>
  <c r="A574"/>
  <c r="A573"/>
  <c r="A572"/>
  <c r="A571"/>
  <c r="A570"/>
  <c r="A569"/>
  <c r="A568"/>
  <c r="A567"/>
  <c r="A566"/>
  <c r="A565"/>
  <c r="A564"/>
  <c r="A563"/>
  <c r="A562"/>
  <c r="A561"/>
  <c r="A560"/>
  <c r="A559"/>
  <c r="A558"/>
  <c r="A557"/>
  <c r="A556"/>
  <c r="A555"/>
  <c r="A554"/>
  <c r="A553"/>
  <c r="A552"/>
  <c r="A551"/>
  <c r="A550"/>
  <c r="A549"/>
  <c r="A548"/>
  <c r="A547"/>
  <c r="A546"/>
  <c r="A545"/>
  <c r="A544"/>
  <c r="A543"/>
  <c r="A542"/>
  <c r="A541"/>
  <c r="A540"/>
  <c r="A539"/>
  <c r="A538"/>
  <c r="A537"/>
  <c r="A536"/>
  <c r="A535"/>
  <c r="A534"/>
  <c r="A533"/>
  <c r="A532"/>
  <c r="A531"/>
  <c r="A530"/>
  <c r="A529"/>
  <c r="A528"/>
  <c r="A527"/>
  <c r="A526"/>
  <c r="A525"/>
  <c r="A524"/>
  <c r="A523"/>
  <c r="A522"/>
  <c r="A521"/>
  <c r="A520"/>
  <c r="A519"/>
  <c r="A518"/>
  <c r="A517"/>
  <c r="A516"/>
  <c r="A515"/>
  <c r="A514"/>
  <c r="A513"/>
  <c r="A512"/>
  <c r="A511"/>
  <c r="A510"/>
  <c r="A509"/>
  <c r="A508"/>
  <c r="A507"/>
  <c r="A506"/>
  <c r="A505"/>
  <c r="A504"/>
  <c r="A503"/>
  <c r="A502"/>
  <c r="A501"/>
  <c r="A500"/>
  <c r="A499"/>
  <c r="A498"/>
  <c r="A497"/>
  <c r="A496"/>
  <c r="A495"/>
  <c r="A494"/>
  <c r="A493"/>
  <c r="A492"/>
  <c r="A491"/>
  <c r="A490"/>
  <c r="A489"/>
  <c r="A488"/>
  <c r="A487"/>
  <c r="A486"/>
  <c r="A485"/>
  <c r="A484"/>
  <c r="A483"/>
  <c r="A482"/>
  <c r="A481"/>
  <c r="A480"/>
  <c r="A479"/>
  <c r="A478"/>
  <c r="A477"/>
  <c r="A476"/>
  <c r="A475"/>
  <c r="A474"/>
  <c r="A473"/>
  <c r="A472"/>
  <c r="A471"/>
  <c r="A470"/>
  <c r="A469"/>
  <c r="A468"/>
  <c r="A467"/>
  <c r="A466"/>
  <c r="A465"/>
  <c r="A464"/>
  <c r="A463"/>
  <c r="A462"/>
  <c r="A461"/>
  <c r="A460"/>
  <c r="A459"/>
  <c r="A458"/>
  <c r="A457"/>
  <c r="A456"/>
  <c r="A455"/>
  <c r="A454"/>
  <c r="A453"/>
  <c r="A452"/>
  <c r="A451"/>
  <c r="A450"/>
  <c r="A449"/>
  <c r="A448"/>
  <c r="A447"/>
  <c r="A446"/>
  <c r="A445"/>
  <c r="A444"/>
  <c r="A443"/>
  <c r="A442"/>
  <c r="A441"/>
  <c r="A440"/>
  <c r="A439"/>
  <c r="A438"/>
  <c r="A437"/>
  <c r="A436"/>
  <c r="A435"/>
  <c r="A434"/>
  <c r="A433"/>
  <c r="A432"/>
  <c r="A431"/>
  <c r="A430"/>
  <c r="A429"/>
  <c r="A428"/>
  <c r="A427"/>
  <c r="A426"/>
  <c r="A425"/>
  <c r="A424"/>
  <c r="A423"/>
  <c r="A422"/>
  <c r="A421"/>
  <c r="A420"/>
  <c r="A419"/>
  <c r="A418"/>
  <c r="A417"/>
  <c r="A416"/>
  <c r="A415"/>
  <c r="A414"/>
  <c r="A413"/>
  <c r="A412"/>
  <c r="A411"/>
  <c r="A410"/>
  <c r="A409"/>
  <c r="A408"/>
  <c r="A407"/>
  <c r="A406"/>
  <c r="A405"/>
  <c r="A404"/>
  <c r="A403"/>
  <c r="A402"/>
  <c r="A401"/>
  <c r="A400"/>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J12" i="10" l="1"/>
  <c r="K12" s="1"/>
  <c r="L12" s="1"/>
  <c r="M12" s="1"/>
  <c r="K1682" l="1"/>
  <c r="L1682" s="1"/>
  <c r="M1682" s="1"/>
  <c r="K1683"/>
  <c r="L1683" s="1"/>
  <c r="M1683" s="1"/>
  <c r="S2122" i="9"/>
  <c r="S2121"/>
  <c r="S2120"/>
  <c r="S2119"/>
  <c r="S2118"/>
  <c r="S2117"/>
  <c r="S2116"/>
  <c r="S2115"/>
  <c r="S2114"/>
  <c r="S2113"/>
  <c r="S2112"/>
  <c r="S2111"/>
  <c r="S2110"/>
  <c r="S2109"/>
  <c r="S2108"/>
  <c r="S2107"/>
  <c r="S2106"/>
  <c r="S2105"/>
  <c r="S2104"/>
  <c r="S2103"/>
  <c r="S2102"/>
  <c r="S2101"/>
  <c r="S2100"/>
  <c r="S2099"/>
  <c r="S2098"/>
  <c r="S2097"/>
  <c r="S2096"/>
  <c r="S2095"/>
  <c r="S2094"/>
  <c r="S2093"/>
  <c r="S2092"/>
  <c r="S2091"/>
  <c r="S2090"/>
  <c r="S2089"/>
  <c r="S2088"/>
  <c r="S2087"/>
  <c r="S2086"/>
  <c r="S2085"/>
  <c r="S2084"/>
  <c r="S2083"/>
  <c r="S2082"/>
  <c r="S2081"/>
  <c r="S2080"/>
  <c r="S2079"/>
  <c r="S2078"/>
  <c r="S2077"/>
  <c r="S2076"/>
  <c r="S2075"/>
  <c r="S2074"/>
  <c r="S2073"/>
  <c r="S2072"/>
  <c r="S2071"/>
  <c r="S2070"/>
  <c r="S2069"/>
  <c r="S2068"/>
  <c r="S2067"/>
  <c r="S2066"/>
  <c r="S2065"/>
  <c r="H2045"/>
  <c r="R2044"/>
  <c r="Q2044"/>
  <c r="S2043"/>
  <c r="R2043"/>
  <c r="Q2043"/>
  <c r="P2043"/>
  <c r="J2042"/>
  <c r="K2042" s="1"/>
  <c r="J2041"/>
  <c r="K2041" s="1"/>
  <c r="S2040"/>
  <c r="R2040"/>
  <c r="Q2040"/>
  <c r="J2040"/>
  <c r="S2039"/>
  <c r="R2039"/>
  <c r="Q2039"/>
  <c r="J2039"/>
  <c r="J2038"/>
  <c r="K2038" s="1"/>
  <c r="K2037"/>
  <c r="J2037"/>
  <c r="J2036"/>
  <c r="K2036" s="1"/>
  <c r="S2035"/>
  <c r="R2035"/>
  <c r="Q2035"/>
  <c r="J2035"/>
  <c r="J2034"/>
  <c r="K2034" s="1"/>
  <c r="H2033" s="1"/>
  <c r="P2033" s="1"/>
  <c r="S2033"/>
  <c r="R2033"/>
  <c r="Q2033"/>
  <c r="J2033"/>
  <c r="J2032"/>
  <c r="K2032" s="1"/>
  <c r="J2031"/>
  <c r="K2031" s="1"/>
  <c r="S2030"/>
  <c r="R2030"/>
  <c r="Q2030"/>
  <c r="J2030"/>
  <c r="S2029"/>
  <c r="R2029"/>
  <c r="Q2029"/>
  <c r="J2029"/>
  <c r="S2028"/>
  <c r="R2028"/>
  <c r="Q2028"/>
  <c r="J2028"/>
  <c r="S2027"/>
  <c r="R2027"/>
  <c r="Q2027"/>
  <c r="J2027"/>
  <c r="S2026"/>
  <c r="R2026"/>
  <c r="Q2026"/>
  <c r="J2026"/>
  <c r="S2025"/>
  <c r="R2025"/>
  <c r="Q2025"/>
  <c r="J2025"/>
  <c r="S2024"/>
  <c r="R2024"/>
  <c r="Q2024"/>
  <c r="J2024"/>
  <c r="S2023"/>
  <c r="R2023"/>
  <c r="Q2023"/>
  <c r="P2023"/>
  <c r="J2023"/>
  <c r="J2022"/>
  <c r="K2022" s="1"/>
  <c r="J2021"/>
  <c r="K2021" s="1"/>
  <c r="S2020"/>
  <c r="R2020"/>
  <c r="Q2020"/>
  <c r="J2020"/>
  <c r="S2019"/>
  <c r="R2019"/>
  <c r="Q2019"/>
  <c r="J2019"/>
  <c r="J2018"/>
  <c r="K2018" s="1"/>
  <c r="J2017"/>
  <c r="K2017" s="1"/>
  <c r="S2016"/>
  <c r="R2016"/>
  <c r="Q2016"/>
  <c r="J2016"/>
  <c r="J2015"/>
  <c r="K2015" s="1"/>
  <c r="H2014" s="1"/>
  <c r="P2014" s="1"/>
  <c r="S2014"/>
  <c r="R2014"/>
  <c r="Q2014"/>
  <c r="J2014"/>
  <c r="J2013"/>
  <c r="K2013" s="1"/>
  <c r="J2012"/>
  <c r="K2012" s="1"/>
  <c r="S2011"/>
  <c r="R2011"/>
  <c r="Q2011"/>
  <c r="J2011"/>
  <c r="S2010"/>
  <c r="R2010"/>
  <c r="Q2010"/>
  <c r="J2010"/>
  <c r="S2009"/>
  <c r="R2009"/>
  <c r="Q2009"/>
  <c r="J2009"/>
  <c r="S2008"/>
  <c r="R2008"/>
  <c r="Q2008"/>
  <c r="J2008"/>
  <c r="K2007"/>
  <c r="H2006" s="1"/>
  <c r="J2007"/>
  <c r="S2006"/>
  <c r="R2006"/>
  <c r="Q2006"/>
  <c r="J2006"/>
  <c r="S2005"/>
  <c r="R2005"/>
  <c r="Q2005"/>
  <c r="J2005"/>
  <c r="S2004"/>
  <c r="R2004"/>
  <c r="Q2004"/>
  <c r="J2004"/>
  <c r="J2003"/>
  <c r="K2003" s="1"/>
  <c r="H2002" s="1"/>
  <c r="S2002"/>
  <c r="R2002"/>
  <c r="Q2002"/>
  <c r="J2002"/>
  <c r="S2001"/>
  <c r="R2001"/>
  <c r="Q2001"/>
  <c r="J2001"/>
  <c r="S2000"/>
  <c r="R2000"/>
  <c r="Q2000"/>
  <c r="J2000"/>
  <c r="J1999"/>
  <c r="K1999" s="1"/>
  <c r="H1998" s="1"/>
  <c r="S1998"/>
  <c r="R1998"/>
  <c r="Q1998"/>
  <c r="J1998"/>
  <c r="S1997"/>
  <c r="R1997"/>
  <c r="Q1997"/>
  <c r="J1997"/>
  <c r="S1996"/>
  <c r="R1996"/>
  <c r="Q1996"/>
  <c r="J1996"/>
  <c r="J1995"/>
  <c r="K1995" s="1"/>
  <c r="J1994"/>
  <c r="K1994" s="1"/>
  <c r="J1993"/>
  <c r="K1993" s="1"/>
  <c r="S1992"/>
  <c r="R1992"/>
  <c r="Q1992"/>
  <c r="J1992"/>
  <c r="J1991"/>
  <c r="K1991" s="1"/>
  <c r="H1990" s="1"/>
  <c r="P1990" s="1"/>
  <c r="S1990"/>
  <c r="R1990"/>
  <c r="Q1990"/>
  <c r="J1990"/>
  <c r="J1989"/>
  <c r="K1989" s="1"/>
  <c r="J1988"/>
  <c r="K1988" s="1"/>
  <c r="S1987"/>
  <c r="R1987"/>
  <c r="Q1987"/>
  <c r="J1987"/>
  <c r="S1986"/>
  <c r="R1986"/>
  <c r="Q1986"/>
  <c r="J1986"/>
  <c r="S1985"/>
  <c r="R1985"/>
  <c r="Q1985"/>
  <c r="J1985"/>
  <c r="S1984"/>
  <c r="R1984"/>
  <c r="Q1984"/>
  <c r="J1984"/>
  <c r="J1983"/>
  <c r="K1983" s="1"/>
  <c r="H1982" s="1"/>
  <c r="S1982"/>
  <c r="R1982"/>
  <c r="Q1982"/>
  <c r="J1982"/>
  <c r="S1981"/>
  <c r="R1981"/>
  <c r="Q1981"/>
  <c r="J1981"/>
  <c r="S1980"/>
  <c r="R1980"/>
  <c r="Q1980"/>
  <c r="J1980"/>
  <c r="S1979"/>
  <c r="R1979"/>
  <c r="Q1979"/>
  <c r="J1979"/>
  <c r="J1978"/>
  <c r="K1978" s="1"/>
  <c r="H1977" s="1"/>
  <c r="S1977"/>
  <c r="R1977"/>
  <c r="Q1977"/>
  <c r="J1977"/>
  <c r="S1976"/>
  <c r="R1976"/>
  <c r="Q1976"/>
  <c r="J1976"/>
  <c r="S1975"/>
  <c r="R1975"/>
  <c r="Q1975"/>
  <c r="J1975"/>
  <c r="J1974"/>
  <c r="K1974" s="1"/>
  <c r="J1973"/>
  <c r="K1973" s="1"/>
  <c r="J1972"/>
  <c r="K1972" s="1"/>
  <c r="S1971"/>
  <c r="R1971"/>
  <c r="Q1971"/>
  <c r="J1971"/>
  <c r="J1970"/>
  <c r="K1970" s="1"/>
  <c r="H1969" s="1"/>
  <c r="P1969" s="1"/>
  <c r="S1969"/>
  <c r="R1969"/>
  <c r="Q1969"/>
  <c r="J1969"/>
  <c r="J1968"/>
  <c r="K1968" s="1"/>
  <c r="J1967"/>
  <c r="K1967" s="1"/>
  <c r="H1966" s="1"/>
  <c r="S1966"/>
  <c r="R1966"/>
  <c r="Q1966"/>
  <c r="J1966"/>
  <c r="S1965"/>
  <c r="R1965"/>
  <c r="Q1965"/>
  <c r="J1965"/>
  <c r="S1964"/>
  <c r="R1964"/>
  <c r="Q1964"/>
  <c r="J1964"/>
  <c r="J1963"/>
  <c r="K1963" s="1"/>
  <c r="H1962" s="1"/>
  <c r="S1962"/>
  <c r="R1962"/>
  <c r="Q1962"/>
  <c r="J1962"/>
  <c r="S1961"/>
  <c r="R1961"/>
  <c r="Q1961"/>
  <c r="J1961"/>
  <c r="S1960"/>
  <c r="R1960"/>
  <c r="Q1960"/>
  <c r="J1960"/>
  <c r="S1959"/>
  <c r="R1959"/>
  <c r="Q1959"/>
  <c r="J1959"/>
  <c r="S1958"/>
  <c r="R1958"/>
  <c r="Q1958"/>
  <c r="J1958"/>
  <c r="K1957"/>
  <c r="H1956" s="1"/>
  <c r="J1957"/>
  <c r="S1956"/>
  <c r="R1956"/>
  <c r="Q1956"/>
  <c r="J1956"/>
  <c r="S1955"/>
  <c r="R1955"/>
  <c r="Q1955"/>
  <c r="J1955"/>
  <c r="S1954"/>
  <c r="R1954"/>
  <c r="Q1954"/>
  <c r="J1954"/>
  <c r="S1953"/>
  <c r="R1953"/>
  <c r="Q1953"/>
  <c r="J1953"/>
  <c r="S1952"/>
  <c r="R1952"/>
  <c r="Q1952"/>
  <c r="J1952"/>
  <c r="S1951"/>
  <c r="R1951"/>
  <c r="Q1951"/>
  <c r="J1951"/>
  <c r="S1950"/>
  <c r="R1950"/>
  <c r="Q1950"/>
  <c r="J1950"/>
  <c r="S1949"/>
  <c r="R1949"/>
  <c r="Q1949"/>
  <c r="J1949"/>
  <c r="S1948"/>
  <c r="R1948"/>
  <c r="Q1948"/>
  <c r="P1948"/>
  <c r="J1948"/>
  <c r="J1947"/>
  <c r="K1947" s="1"/>
  <c r="H1946" s="1"/>
  <c r="H1945" s="1"/>
  <c r="H1944" s="1"/>
  <c r="H1943" s="1"/>
  <c r="H1942" s="1"/>
  <c r="H1941" s="1"/>
  <c r="H1940" s="1"/>
  <c r="J1946"/>
  <c r="J1945"/>
  <c r="J1944"/>
  <c r="J1943"/>
  <c r="J1942"/>
  <c r="J1941"/>
  <c r="J1940"/>
  <c r="H1938"/>
  <c r="H1937" s="1"/>
  <c r="H1936" s="1"/>
  <c r="J1935"/>
  <c r="K1935" s="1"/>
  <c r="H1934" s="1"/>
  <c r="S1934"/>
  <c r="R1934"/>
  <c r="Q1934"/>
  <c r="J1934"/>
  <c r="S1933"/>
  <c r="R1933"/>
  <c r="Q1933"/>
  <c r="J1933"/>
  <c r="S1932"/>
  <c r="R1932"/>
  <c r="Q1932"/>
  <c r="J1932"/>
  <c r="S1931"/>
  <c r="R1931"/>
  <c r="Q1931"/>
  <c r="J1931"/>
  <c r="S1930"/>
  <c r="R1930"/>
  <c r="Q1930"/>
  <c r="J1930"/>
  <c r="S1929"/>
  <c r="R1929"/>
  <c r="Q1929"/>
  <c r="J1929"/>
  <c r="S1928"/>
  <c r="R1928"/>
  <c r="Q1928"/>
  <c r="J1928"/>
  <c r="J1927"/>
  <c r="K1927" s="1"/>
  <c r="H1926" s="1"/>
  <c r="H1925" s="1"/>
  <c r="J1926"/>
  <c r="J1925"/>
  <c r="S1924"/>
  <c r="J1924"/>
  <c r="K1924" s="1"/>
  <c r="H1923" s="1"/>
  <c r="S1923"/>
  <c r="R1923"/>
  <c r="Q1923"/>
  <c r="J1923"/>
  <c r="S1922"/>
  <c r="R1922"/>
  <c r="Q1922"/>
  <c r="J1922"/>
  <c r="S1921"/>
  <c r="R1921"/>
  <c r="Q1921"/>
  <c r="J1921"/>
  <c r="S1920"/>
  <c r="R1920"/>
  <c r="Q1920"/>
  <c r="J1920"/>
  <c r="S1919"/>
  <c r="R1919"/>
  <c r="Q1919"/>
  <c r="J1919"/>
  <c r="S1918"/>
  <c r="R1918"/>
  <c r="Q1918"/>
  <c r="J1918"/>
  <c r="S1917"/>
  <c r="R1917"/>
  <c r="Q1917"/>
  <c r="J1917"/>
  <c r="H1915"/>
  <c r="H1914" s="1"/>
  <c r="H1913" s="1"/>
  <c r="H1912" s="1"/>
  <c r="J1911"/>
  <c r="K1911" s="1"/>
  <c r="H1910" s="1"/>
  <c r="H1909" s="1"/>
  <c r="J1910"/>
  <c r="J1909"/>
  <c r="J1908"/>
  <c r="K1908" s="1"/>
  <c r="H1907" s="1"/>
  <c r="H1903" s="1"/>
  <c r="J1907"/>
  <c r="J1906"/>
  <c r="J1905"/>
  <c r="J1904"/>
  <c r="J1903"/>
  <c r="J1902"/>
  <c r="K1902" s="1"/>
  <c r="H1901" s="1"/>
  <c r="H1897" s="1"/>
  <c r="J1901"/>
  <c r="J1900"/>
  <c r="J1899"/>
  <c r="J1898"/>
  <c r="J1897"/>
  <c r="K1896"/>
  <c r="H1895" s="1"/>
  <c r="H1894" s="1"/>
  <c r="J1896"/>
  <c r="J1895"/>
  <c r="J1894"/>
  <c r="J1893"/>
  <c r="K1893" s="1"/>
  <c r="H1892" s="1"/>
  <c r="H1891" s="1"/>
  <c r="J1892"/>
  <c r="J1891"/>
  <c r="J1890"/>
  <c r="K1890" s="1"/>
  <c r="H1889" s="1"/>
  <c r="J1889"/>
  <c r="J1888"/>
  <c r="K1888" s="1"/>
  <c r="H1887" s="1"/>
  <c r="S1887"/>
  <c r="R1887"/>
  <c r="Q1887"/>
  <c r="J1887"/>
  <c r="S1886"/>
  <c r="R1886"/>
  <c r="Q1886"/>
  <c r="J1886"/>
  <c r="S1885"/>
  <c r="R1885"/>
  <c r="Q1885"/>
  <c r="J1885"/>
  <c r="S1884"/>
  <c r="R1884"/>
  <c r="Q1884"/>
  <c r="J1884"/>
  <c r="S1883"/>
  <c r="R1883"/>
  <c r="Q1883"/>
  <c r="J1883"/>
  <c r="S1882"/>
  <c r="R1882"/>
  <c r="Q1882"/>
  <c r="J1882"/>
  <c r="J1881"/>
  <c r="K1881" s="1"/>
  <c r="H1880" s="1"/>
  <c r="H1879" s="1"/>
  <c r="H1878" s="1"/>
  <c r="H1877" s="1"/>
  <c r="H1876" s="1"/>
  <c r="J1880"/>
  <c r="J1879"/>
  <c r="J1878"/>
  <c r="J1877"/>
  <c r="J1876"/>
  <c r="S1875"/>
  <c r="R1875"/>
  <c r="Q1875"/>
  <c r="J1875"/>
  <c r="J1874"/>
  <c r="K1874" s="1"/>
  <c r="H1873" s="1"/>
  <c r="S1873"/>
  <c r="R1873"/>
  <c r="Q1873"/>
  <c r="J1873"/>
  <c r="S1872"/>
  <c r="R1872"/>
  <c r="Q1872"/>
  <c r="J1872"/>
  <c r="S1871"/>
  <c r="R1871"/>
  <c r="Q1871"/>
  <c r="J1871"/>
  <c r="S1870"/>
  <c r="R1870"/>
  <c r="Q1870"/>
  <c r="J1870"/>
  <c r="J1869"/>
  <c r="K1869" s="1"/>
  <c r="H1868" s="1"/>
  <c r="S1868"/>
  <c r="R1868"/>
  <c r="Q1868"/>
  <c r="J1868"/>
  <c r="S1867"/>
  <c r="R1867"/>
  <c r="Q1867"/>
  <c r="J1867"/>
  <c r="S1866"/>
  <c r="R1866"/>
  <c r="Q1866"/>
  <c r="J1866"/>
  <c r="J1865"/>
  <c r="K1865" s="1"/>
  <c r="H1864" s="1"/>
  <c r="S1864"/>
  <c r="R1864"/>
  <c r="Q1864"/>
  <c r="J1864"/>
  <c r="S1863"/>
  <c r="R1863"/>
  <c r="Q1863"/>
  <c r="J1863"/>
  <c r="S1862"/>
  <c r="R1862"/>
  <c r="Q1862"/>
  <c r="J1862"/>
  <c r="S1861"/>
  <c r="R1861"/>
  <c r="Q1861"/>
  <c r="J1861"/>
  <c r="S1860"/>
  <c r="R1860"/>
  <c r="Q1860"/>
  <c r="J1860"/>
  <c r="S1859"/>
  <c r="R1859"/>
  <c r="Q1859"/>
  <c r="J1859"/>
  <c r="S1858"/>
  <c r="R1858"/>
  <c r="Q1858"/>
  <c r="J1858"/>
  <c r="J1857"/>
  <c r="K1857" s="1"/>
  <c r="H1856" s="1"/>
  <c r="S1856"/>
  <c r="R1856"/>
  <c r="Q1856"/>
  <c r="J1856"/>
  <c r="S1855"/>
  <c r="R1855"/>
  <c r="Q1855"/>
  <c r="J1855"/>
  <c r="J1854"/>
  <c r="K1854" s="1"/>
  <c r="H1853" s="1"/>
  <c r="P1853" s="1"/>
  <c r="S1853"/>
  <c r="R1853"/>
  <c r="Q1853"/>
  <c r="J1853"/>
  <c r="J1852"/>
  <c r="K1852" s="1"/>
  <c r="H1851" s="1"/>
  <c r="S1851"/>
  <c r="R1851"/>
  <c r="Q1851"/>
  <c r="J1851"/>
  <c r="S1850"/>
  <c r="R1850"/>
  <c r="Q1850"/>
  <c r="J1850"/>
  <c r="S1849"/>
  <c r="R1849"/>
  <c r="Q1849"/>
  <c r="J1849"/>
  <c r="K1848"/>
  <c r="H1847" s="1"/>
  <c r="J1848"/>
  <c r="J1847"/>
  <c r="K1847" s="1"/>
  <c r="J1846"/>
  <c r="K1846" s="1"/>
  <c r="H1846"/>
  <c r="J1845"/>
  <c r="K1845" s="1"/>
  <c r="H1844" s="1"/>
  <c r="H1843" s="1"/>
  <c r="J1844"/>
  <c r="K1844" s="1"/>
  <c r="J1843"/>
  <c r="K1843" s="1"/>
  <c r="J1842"/>
  <c r="K1842" s="1"/>
  <c r="J1841"/>
  <c r="K1841" s="1"/>
  <c r="S1840"/>
  <c r="R1840"/>
  <c r="Q1840"/>
  <c r="J1840"/>
  <c r="S1839"/>
  <c r="R1839"/>
  <c r="Q1839"/>
  <c r="J1839"/>
  <c r="J1838"/>
  <c r="K1838" s="1"/>
  <c r="J1837"/>
  <c r="K1837" s="1"/>
  <c r="J1836"/>
  <c r="K1836" s="1"/>
  <c r="S1835"/>
  <c r="R1835"/>
  <c r="Q1835"/>
  <c r="J1835"/>
  <c r="J1834"/>
  <c r="K1834" s="1"/>
  <c r="H1833" s="1"/>
  <c r="P1833" s="1"/>
  <c r="S1833"/>
  <c r="R1833"/>
  <c r="Q1833"/>
  <c r="J1833"/>
  <c r="J1832"/>
  <c r="K1832" s="1"/>
  <c r="J1831"/>
  <c r="K1831" s="1"/>
  <c r="S1830"/>
  <c r="R1830"/>
  <c r="Q1830"/>
  <c r="J1830"/>
  <c r="S1829"/>
  <c r="R1829"/>
  <c r="Q1829"/>
  <c r="J1829"/>
  <c r="S1828"/>
  <c r="R1828"/>
  <c r="Q1828"/>
  <c r="J1828"/>
  <c r="S1827"/>
  <c r="R1827"/>
  <c r="Q1827"/>
  <c r="J1827"/>
  <c r="S1826"/>
  <c r="R1826"/>
  <c r="Q1826"/>
  <c r="J1826"/>
  <c r="S1825"/>
  <c r="R1825"/>
  <c r="Q1825"/>
  <c r="J1825"/>
  <c r="S1824"/>
  <c r="R1824"/>
  <c r="Q1824"/>
  <c r="J1824"/>
  <c r="S1823"/>
  <c r="R1823"/>
  <c r="Q1823"/>
  <c r="P1823"/>
  <c r="J1823"/>
  <c r="S1822"/>
  <c r="J1822"/>
  <c r="K1822" s="1"/>
  <c r="H1821"/>
  <c r="H1820" s="1"/>
  <c r="S1821"/>
  <c r="R1821"/>
  <c r="Q1821"/>
  <c r="P1821"/>
  <c r="J1821"/>
  <c r="S1820"/>
  <c r="R1820"/>
  <c r="Q1820"/>
  <c r="J1820"/>
  <c r="S1819"/>
  <c r="R1819"/>
  <c r="Q1819"/>
  <c r="J1819"/>
  <c r="S1818"/>
  <c r="J1818"/>
  <c r="K1818" s="1"/>
  <c r="H1817" s="1"/>
  <c r="S1817"/>
  <c r="R1817"/>
  <c r="Q1817"/>
  <c r="J1817"/>
  <c r="S1816"/>
  <c r="R1816"/>
  <c r="Q1816"/>
  <c r="J1816"/>
  <c r="S1815"/>
  <c r="R1815"/>
  <c r="Q1815"/>
  <c r="J1815"/>
  <c r="S1814"/>
  <c r="R1814"/>
  <c r="Q1814"/>
  <c r="J1814"/>
  <c r="S1813"/>
  <c r="R1813"/>
  <c r="Q1813"/>
  <c r="J1813"/>
  <c r="S1812"/>
  <c r="R1812"/>
  <c r="Q1812"/>
  <c r="J1812"/>
  <c r="S1811"/>
  <c r="R1811"/>
  <c r="Q1811"/>
  <c r="J1811"/>
  <c r="K1810"/>
  <c r="H1809" s="1"/>
  <c r="J1810"/>
  <c r="S1809"/>
  <c r="R1809"/>
  <c r="Q1809"/>
  <c r="J1809"/>
  <c r="S1808"/>
  <c r="R1808"/>
  <c r="Q1808"/>
  <c r="J1808"/>
  <c r="S1807"/>
  <c r="R1807"/>
  <c r="Q1807"/>
  <c r="J1807"/>
  <c r="S1806"/>
  <c r="R1806"/>
  <c r="Q1806"/>
  <c r="J1806"/>
  <c r="S1805"/>
  <c r="R1805"/>
  <c r="Q1805"/>
  <c r="J1805"/>
  <c r="S1804"/>
  <c r="R1804"/>
  <c r="Q1804"/>
  <c r="J1804"/>
  <c r="S1803"/>
  <c r="R1803"/>
  <c r="Q1803"/>
  <c r="J1803"/>
  <c r="J1802"/>
  <c r="K1802" s="1"/>
  <c r="J1801"/>
  <c r="K1801" s="1"/>
  <c r="S1800"/>
  <c r="R1800"/>
  <c r="Q1800"/>
  <c r="J1800"/>
  <c r="S1799"/>
  <c r="R1799"/>
  <c r="Q1799"/>
  <c r="J1799"/>
  <c r="J1798"/>
  <c r="K1798" s="1"/>
  <c r="J1797"/>
  <c r="K1797" s="1"/>
  <c r="S1796"/>
  <c r="R1796"/>
  <c r="Q1796"/>
  <c r="J1796"/>
  <c r="J1795"/>
  <c r="K1795" s="1"/>
  <c r="H1794" s="1"/>
  <c r="P1794" s="1"/>
  <c r="S1794"/>
  <c r="R1794"/>
  <c r="Q1794"/>
  <c r="J1794"/>
  <c r="J1793"/>
  <c r="K1793" s="1"/>
  <c r="J1792"/>
  <c r="K1792" s="1"/>
  <c r="S1791"/>
  <c r="R1791"/>
  <c r="Q1791"/>
  <c r="J1791"/>
  <c r="S1790"/>
  <c r="R1790"/>
  <c r="Q1790"/>
  <c r="J1790"/>
  <c r="S1789"/>
  <c r="R1789"/>
  <c r="Q1789"/>
  <c r="J1789"/>
  <c r="S1788"/>
  <c r="R1788"/>
  <c r="Q1788"/>
  <c r="J1788"/>
  <c r="S1787"/>
  <c r="R1787"/>
  <c r="Q1787"/>
  <c r="J1787"/>
  <c r="J1786"/>
  <c r="K1786" s="1"/>
  <c r="H1785" s="1"/>
  <c r="S1785"/>
  <c r="R1785"/>
  <c r="Q1785"/>
  <c r="J1785"/>
  <c r="S1784"/>
  <c r="R1784"/>
  <c r="Q1784"/>
  <c r="J1784"/>
  <c r="S1783"/>
  <c r="R1783"/>
  <c r="Q1783"/>
  <c r="J1783"/>
  <c r="J1782"/>
  <c r="K1782" s="1"/>
  <c r="H1781" s="1"/>
  <c r="S1781"/>
  <c r="R1781"/>
  <c r="Q1781"/>
  <c r="J1781"/>
  <c r="S1780"/>
  <c r="R1780"/>
  <c r="Q1780"/>
  <c r="J1780"/>
  <c r="S1779"/>
  <c r="R1779"/>
  <c r="Q1779"/>
  <c r="J1779"/>
  <c r="J1778"/>
  <c r="K1778" s="1"/>
  <c r="H1777" s="1"/>
  <c r="S1777"/>
  <c r="R1777"/>
  <c r="Q1777"/>
  <c r="J1777"/>
  <c r="S1776"/>
  <c r="R1776"/>
  <c r="Q1776"/>
  <c r="J1776"/>
  <c r="S1775"/>
  <c r="R1775"/>
  <c r="Q1775"/>
  <c r="J1775"/>
  <c r="S1774"/>
  <c r="R1774"/>
  <c r="Q1774"/>
  <c r="J1774"/>
  <c r="S1773"/>
  <c r="R1773"/>
  <c r="Q1773"/>
  <c r="J1773"/>
  <c r="J1772"/>
  <c r="K1772" s="1"/>
  <c r="H1771" s="1"/>
  <c r="H1770" s="1"/>
  <c r="H1769" s="1"/>
  <c r="H1768" s="1"/>
  <c r="H1767" s="1"/>
  <c r="S1771"/>
  <c r="R1771"/>
  <c r="Q1771"/>
  <c r="P1771"/>
  <c r="J1771"/>
  <c r="S1770"/>
  <c r="R1770"/>
  <c r="Q1770"/>
  <c r="P1770"/>
  <c r="J1770"/>
  <c r="S1769"/>
  <c r="R1769"/>
  <c r="Q1769"/>
  <c r="P1769"/>
  <c r="J1769"/>
  <c r="S1768"/>
  <c r="R1768"/>
  <c r="Q1768"/>
  <c r="P1768"/>
  <c r="J1768"/>
  <c r="S1767"/>
  <c r="R1767"/>
  <c r="Q1767"/>
  <c r="P1767"/>
  <c r="J1767"/>
  <c r="J1766"/>
  <c r="K1766" s="1"/>
  <c r="H1765" s="1"/>
  <c r="H1764" s="1"/>
  <c r="J1765"/>
  <c r="J1764"/>
  <c r="J1763"/>
  <c r="K1763" s="1"/>
  <c r="H1762" s="1"/>
  <c r="H1761" s="1"/>
  <c r="J1762"/>
  <c r="J1761"/>
  <c r="J1760"/>
  <c r="K1760" s="1"/>
  <c r="H1759" s="1"/>
  <c r="S1759"/>
  <c r="R1759"/>
  <c r="Q1759"/>
  <c r="J1759"/>
  <c r="S1758"/>
  <c r="R1758"/>
  <c r="Q1758"/>
  <c r="J1758"/>
  <c r="J1757"/>
  <c r="K1757" s="1"/>
  <c r="H1756" s="1"/>
  <c r="S1756"/>
  <c r="R1756"/>
  <c r="Q1756"/>
  <c r="J1756"/>
  <c r="S1755"/>
  <c r="R1755"/>
  <c r="Q1755"/>
  <c r="J1755"/>
  <c r="J1754"/>
  <c r="K1754" s="1"/>
  <c r="H1753" s="1"/>
  <c r="S1753"/>
  <c r="R1753"/>
  <c r="Q1753"/>
  <c r="J1753"/>
  <c r="S1752"/>
  <c r="R1752"/>
  <c r="Q1752"/>
  <c r="J1752"/>
  <c r="J1751"/>
  <c r="K1751" s="1"/>
  <c r="H1750" s="1"/>
  <c r="P1750" s="1"/>
  <c r="S1750"/>
  <c r="R1750"/>
  <c r="Q1750"/>
  <c r="J1750"/>
  <c r="J1749"/>
  <c r="K1749" s="1"/>
  <c r="H1748" s="1"/>
  <c r="P1748" s="1"/>
  <c r="S1748"/>
  <c r="R1748"/>
  <c r="Q1748"/>
  <c r="J1748"/>
  <c r="J1747"/>
  <c r="K1747" s="1"/>
  <c r="H1746" s="1"/>
  <c r="S1746"/>
  <c r="R1746"/>
  <c r="Q1746"/>
  <c r="J1746"/>
  <c r="S1745"/>
  <c r="R1745"/>
  <c r="Q1745"/>
  <c r="J1745"/>
  <c r="J1744"/>
  <c r="K1744" s="1"/>
  <c r="H1743" s="1"/>
  <c r="S1743"/>
  <c r="R1743"/>
  <c r="Q1743"/>
  <c r="J1743"/>
  <c r="S1742"/>
  <c r="R1742"/>
  <c r="Q1742"/>
  <c r="J1742"/>
  <c r="J1741"/>
  <c r="K1741" s="1"/>
  <c r="H1740" s="1"/>
  <c r="S1740"/>
  <c r="R1740"/>
  <c r="Q1740"/>
  <c r="J1740"/>
  <c r="S1739"/>
  <c r="R1739"/>
  <c r="Q1739"/>
  <c r="J1739"/>
  <c r="S1738"/>
  <c r="R1738"/>
  <c r="Q1738"/>
  <c r="J1738"/>
  <c r="J1737"/>
  <c r="K1737" s="1"/>
  <c r="H1736" s="1"/>
  <c r="S1736"/>
  <c r="R1736"/>
  <c r="Q1736"/>
  <c r="J1736"/>
  <c r="S1735"/>
  <c r="R1735"/>
  <c r="Q1735"/>
  <c r="J1735"/>
  <c r="S1734"/>
  <c r="R1734"/>
  <c r="Q1734"/>
  <c r="J1734"/>
  <c r="J1733"/>
  <c r="K1733" s="1"/>
  <c r="H1732" s="1"/>
  <c r="S1732"/>
  <c r="R1732"/>
  <c r="Q1732"/>
  <c r="J1732"/>
  <c r="S1731"/>
  <c r="R1731"/>
  <c r="Q1731"/>
  <c r="J1731"/>
  <c r="S1730"/>
  <c r="R1730"/>
  <c r="Q1730"/>
  <c r="J1730"/>
  <c r="S1729"/>
  <c r="R1729"/>
  <c r="Q1729"/>
  <c r="J1729"/>
  <c r="S1728"/>
  <c r="R1728"/>
  <c r="Q1728"/>
  <c r="J1728"/>
  <c r="S1727"/>
  <c r="R1727"/>
  <c r="Q1727"/>
  <c r="J1727"/>
  <c r="J1726"/>
  <c r="K1726" s="1"/>
  <c r="H1725" s="1"/>
  <c r="S1725"/>
  <c r="R1725"/>
  <c r="Q1725"/>
  <c r="J1725"/>
  <c r="S1724"/>
  <c r="R1724"/>
  <c r="Q1724"/>
  <c r="J1724"/>
  <c r="S1723"/>
  <c r="R1723"/>
  <c r="Q1723"/>
  <c r="J1723"/>
  <c r="J1722"/>
  <c r="K1722" s="1"/>
  <c r="H1721"/>
  <c r="H1720" s="1"/>
  <c r="S1721"/>
  <c r="R1721"/>
  <c r="Q1721"/>
  <c r="P1721"/>
  <c r="J1721"/>
  <c r="S1720"/>
  <c r="R1720"/>
  <c r="Q1720"/>
  <c r="J1720"/>
  <c r="S1719"/>
  <c r="R1719"/>
  <c r="Q1719"/>
  <c r="J1719"/>
  <c r="S1718"/>
  <c r="R1718"/>
  <c r="Q1718"/>
  <c r="J1718"/>
  <c r="S1717"/>
  <c r="R1717"/>
  <c r="Q1717"/>
  <c r="J1717"/>
  <c r="S1716"/>
  <c r="R1716"/>
  <c r="Q1716"/>
  <c r="J1716"/>
  <c r="J1715"/>
  <c r="K1715" s="1"/>
  <c r="H1714" s="1"/>
  <c r="S1714"/>
  <c r="R1714"/>
  <c r="Q1714"/>
  <c r="J1714"/>
  <c r="S1713"/>
  <c r="R1713"/>
  <c r="Q1713"/>
  <c r="J1713"/>
  <c r="S1712"/>
  <c r="R1712"/>
  <c r="Q1712"/>
  <c r="J1712"/>
  <c r="S1711"/>
  <c r="R1711"/>
  <c r="Q1711"/>
  <c r="J1711"/>
  <c r="S1710"/>
  <c r="R1710"/>
  <c r="Q1710"/>
  <c r="J1710"/>
  <c r="S1709"/>
  <c r="R1709"/>
  <c r="Q1709"/>
  <c r="J1709"/>
  <c r="S1708"/>
  <c r="R1708"/>
  <c r="Q1708"/>
  <c r="J1708"/>
  <c r="J1707"/>
  <c r="K1707" s="1"/>
  <c r="H1706" s="1"/>
  <c r="S1706"/>
  <c r="R1706"/>
  <c r="Q1706"/>
  <c r="J1706"/>
  <c r="S1705"/>
  <c r="R1705"/>
  <c r="Q1705"/>
  <c r="J1705"/>
  <c r="S1704"/>
  <c r="R1704"/>
  <c r="Q1704"/>
  <c r="J1704"/>
  <c r="S1703"/>
  <c r="R1703"/>
  <c r="Q1703"/>
  <c r="J1703"/>
  <c r="S1702"/>
  <c r="R1702"/>
  <c r="Q1702"/>
  <c r="J1702"/>
  <c r="J1701"/>
  <c r="K1701" s="1"/>
  <c r="H1700" s="1"/>
  <c r="S1700"/>
  <c r="R1700"/>
  <c r="Q1700"/>
  <c r="J1700"/>
  <c r="S1699"/>
  <c r="R1699"/>
  <c r="Q1699"/>
  <c r="J1699"/>
  <c r="J1698"/>
  <c r="K1698" s="1"/>
  <c r="J1697"/>
  <c r="K1697" s="1"/>
  <c r="S1696"/>
  <c r="R1696"/>
  <c r="Q1696"/>
  <c r="J1696"/>
  <c r="S1695"/>
  <c r="R1695"/>
  <c r="Q1695"/>
  <c r="J1695"/>
  <c r="S1694"/>
  <c r="R1694"/>
  <c r="Q1694"/>
  <c r="J1694"/>
  <c r="J1693"/>
  <c r="K1693" s="1"/>
  <c r="H1692"/>
  <c r="H1691" s="1"/>
  <c r="P1691" s="1"/>
  <c r="S1692"/>
  <c r="R1692"/>
  <c r="Q1692"/>
  <c r="J1692"/>
  <c r="S1691"/>
  <c r="R1691"/>
  <c r="Q1691"/>
  <c r="J1691"/>
  <c r="J1690"/>
  <c r="K1690" s="1"/>
  <c r="H1689" s="1"/>
  <c r="S1689"/>
  <c r="R1689"/>
  <c r="Q1689"/>
  <c r="J1689"/>
  <c r="S1688"/>
  <c r="R1688"/>
  <c r="Q1688"/>
  <c r="J1688"/>
  <c r="J1687"/>
  <c r="K1687" s="1"/>
  <c r="H1686" s="1"/>
  <c r="S1686"/>
  <c r="R1686"/>
  <c r="Q1686"/>
  <c r="J1686"/>
  <c r="S1685"/>
  <c r="R1685"/>
  <c r="Q1685"/>
  <c r="J1685"/>
  <c r="J1684"/>
  <c r="K1684" s="1"/>
  <c r="H1683" s="1"/>
  <c r="S1683"/>
  <c r="R1683"/>
  <c r="Q1683"/>
  <c r="J1683"/>
  <c r="S1682"/>
  <c r="R1682"/>
  <c r="Q1682"/>
  <c r="J1682"/>
  <c r="J1681"/>
  <c r="K1681" s="1"/>
  <c r="H1680" s="1"/>
  <c r="H1679" s="1"/>
  <c r="J1680"/>
  <c r="J1679"/>
  <c r="S1678"/>
  <c r="J1678"/>
  <c r="K1678" s="1"/>
  <c r="H1677"/>
  <c r="H1676" s="1"/>
  <c r="P1676" s="1"/>
  <c r="S1677"/>
  <c r="R1677"/>
  <c r="Q1677"/>
  <c r="P1677"/>
  <c r="J1677"/>
  <c r="S1676"/>
  <c r="R1676"/>
  <c r="Q1676"/>
  <c r="J1676"/>
  <c r="J1675"/>
  <c r="K1675" s="1"/>
  <c r="H1674" s="1"/>
  <c r="S1674"/>
  <c r="R1674"/>
  <c r="Q1674"/>
  <c r="J1674"/>
  <c r="S1673"/>
  <c r="R1673"/>
  <c r="Q1673"/>
  <c r="J1673"/>
  <c r="J1672"/>
  <c r="K1672" s="1"/>
  <c r="H1671" s="1"/>
  <c r="S1671"/>
  <c r="R1671"/>
  <c r="Q1671"/>
  <c r="J1671"/>
  <c r="S1670"/>
  <c r="R1670"/>
  <c r="Q1670"/>
  <c r="J1670"/>
  <c r="J1669"/>
  <c r="K1669" s="1"/>
  <c r="H1668" s="1"/>
  <c r="S1668"/>
  <c r="R1668"/>
  <c r="Q1668"/>
  <c r="J1668"/>
  <c r="S1667"/>
  <c r="R1667"/>
  <c r="Q1667"/>
  <c r="J1667"/>
  <c r="S1666"/>
  <c r="R1666"/>
  <c r="Q1666"/>
  <c r="J1666"/>
  <c r="S1665"/>
  <c r="R1665"/>
  <c r="Q1665"/>
  <c r="J1665"/>
  <c r="S1664"/>
  <c r="R1664"/>
  <c r="Q1664"/>
  <c r="J1664"/>
  <c r="J1663"/>
  <c r="K1663" s="1"/>
  <c r="H1662" s="1"/>
  <c r="S1662"/>
  <c r="R1662"/>
  <c r="Q1662"/>
  <c r="J1662"/>
  <c r="S1661"/>
  <c r="R1661"/>
  <c r="Q1661"/>
  <c r="J1661"/>
  <c r="S1660"/>
  <c r="R1660"/>
  <c r="Q1660"/>
  <c r="J1660"/>
  <c r="S1659"/>
  <c r="R1659"/>
  <c r="Q1659"/>
  <c r="J1659"/>
  <c r="S1658"/>
  <c r="R1658"/>
  <c r="Q1658"/>
  <c r="J1658"/>
  <c r="S1657"/>
  <c r="R1657"/>
  <c r="Q1657"/>
  <c r="J1657"/>
  <c r="J1656"/>
  <c r="K1656" s="1"/>
  <c r="H1655" s="1"/>
  <c r="S1655"/>
  <c r="R1655"/>
  <c r="Q1655"/>
  <c r="J1655"/>
  <c r="S1654"/>
  <c r="R1654"/>
  <c r="Q1654"/>
  <c r="J1654"/>
  <c r="S1653"/>
  <c r="R1653"/>
  <c r="Q1653"/>
  <c r="J1653"/>
  <c r="S1652"/>
  <c r="R1652"/>
  <c r="Q1652"/>
  <c r="J1652"/>
  <c r="J1651"/>
  <c r="K1651" s="1"/>
  <c r="H1650" s="1"/>
  <c r="S1650"/>
  <c r="R1650"/>
  <c r="Q1650"/>
  <c r="J1650"/>
  <c r="S1649"/>
  <c r="R1649"/>
  <c r="Q1649"/>
  <c r="J1649"/>
  <c r="J1648"/>
  <c r="K1648" s="1"/>
  <c r="H1647" s="1"/>
  <c r="S1647"/>
  <c r="R1647"/>
  <c r="Q1647"/>
  <c r="J1647"/>
  <c r="S1646"/>
  <c r="R1646"/>
  <c r="Q1646"/>
  <c r="J1646"/>
  <c r="J1645"/>
  <c r="K1645" s="1"/>
  <c r="H1644" s="1"/>
  <c r="S1644"/>
  <c r="R1644"/>
  <c r="Q1644"/>
  <c r="J1644"/>
  <c r="S1643"/>
  <c r="R1643"/>
  <c r="Q1643"/>
  <c r="J1643"/>
  <c r="S1642"/>
  <c r="R1642"/>
  <c r="Q1642"/>
  <c r="J1642"/>
  <c r="S1641"/>
  <c r="R1641"/>
  <c r="Q1641"/>
  <c r="J1641"/>
  <c r="S1640"/>
  <c r="R1640"/>
  <c r="Q1640"/>
  <c r="J1640"/>
  <c r="S1639"/>
  <c r="R1639"/>
  <c r="Q1639"/>
  <c r="J1639"/>
  <c r="J1638"/>
  <c r="K1638" s="1"/>
  <c r="J1637"/>
  <c r="K1637" s="1"/>
  <c r="S1636"/>
  <c r="R1636"/>
  <c r="Q1636"/>
  <c r="J1636"/>
  <c r="S1635"/>
  <c r="R1635"/>
  <c r="Q1635"/>
  <c r="J1635"/>
  <c r="S1634"/>
  <c r="R1634"/>
  <c r="Q1634"/>
  <c r="J1634"/>
  <c r="S1633"/>
  <c r="R1633"/>
  <c r="Q1633"/>
  <c r="J1633"/>
  <c r="S1632"/>
  <c r="R1632"/>
  <c r="Q1632"/>
  <c r="J1632"/>
  <c r="S1631"/>
  <c r="R1631"/>
  <c r="Q1631"/>
  <c r="J1631"/>
  <c r="S1630"/>
  <c r="R1630"/>
  <c r="Q1630"/>
  <c r="J1630"/>
  <c r="H1628"/>
  <c r="H1627" s="1"/>
  <c r="J1626"/>
  <c r="K1626" s="1"/>
  <c r="H1625" s="1"/>
  <c r="S1625"/>
  <c r="R1625"/>
  <c r="Q1625"/>
  <c r="J1625"/>
  <c r="S1624"/>
  <c r="R1624"/>
  <c r="Q1624"/>
  <c r="J1624"/>
  <c r="H1621"/>
  <c r="H1620" s="1"/>
  <c r="S1619"/>
  <c r="R1619"/>
  <c r="Q1619"/>
  <c r="J1619"/>
  <c r="S1618"/>
  <c r="R1618"/>
  <c r="Q1618"/>
  <c r="J1618"/>
  <c r="J1617"/>
  <c r="K1617" s="1"/>
  <c r="H1616" s="1"/>
  <c r="S1616"/>
  <c r="R1616"/>
  <c r="Q1616"/>
  <c r="J1616"/>
  <c r="S1615"/>
  <c r="R1615"/>
  <c r="Q1615"/>
  <c r="J1615"/>
  <c r="S1614"/>
  <c r="R1614"/>
  <c r="Q1614"/>
  <c r="J1614"/>
  <c r="S1613"/>
  <c r="R1613"/>
  <c r="Q1613"/>
  <c r="J1613"/>
  <c r="S1612"/>
  <c r="R1612"/>
  <c r="Q1612"/>
  <c r="J1612"/>
  <c r="S1611"/>
  <c r="R1611"/>
  <c r="Q1611"/>
  <c r="J1611"/>
  <c r="S1610"/>
  <c r="R1610"/>
  <c r="Q1610"/>
  <c r="J1610"/>
  <c r="S1609"/>
  <c r="R1609"/>
  <c r="Q1609"/>
  <c r="J1609"/>
  <c r="S1608"/>
  <c r="R1608"/>
  <c r="Q1608"/>
  <c r="P1608"/>
  <c r="J1608"/>
  <c r="J1607"/>
  <c r="K1607" s="1"/>
  <c r="H1606" s="1"/>
  <c r="S1606"/>
  <c r="R1606"/>
  <c r="Q1606"/>
  <c r="J1606"/>
  <c r="S1605"/>
  <c r="R1605"/>
  <c r="Q1605"/>
  <c r="J1605"/>
  <c r="J1604"/>
  <c r="K1604" s="1"/>
  <c r="H1603" s="1"/>
  <c r="S1603"/>
  <c r="R1603"/>
  <c r="Q1603"/>
  <c r="J1603"/>
  <c r="S1602"/>
  <c r="R1602"/>
  <c r="Q1602"/>
  <c r="J1602"/>
  <c r="S1601"/>
  <c r="R1601"/>
  <c r="Q1601"/>
  <c r="J1601"/>
  <c r="S1600"/>
  <c r="R1600"/>
  <c r="Q1600"/>
  <c r="J1600"/>
  <c r="S1599"/>
  <c r="R1599"/>
  <c r="Q1599"/>
  <c r="J1599"/>
  <c r="S1598"/>
  <c r="R1598"/>
  <c r="Q1598"/>
  <c r="J1598"/>
  <c r="S1597"/>
  <c r="R1597"/>
  <c r="Q1597"/>
  <c r="J1597"/>
  <c r="J1596"/>
  <c r="K1596" s="1"/>
  <c r="H1595" s="1"/>
  <c r="S1595"/>
  <c r="R1595"/>
  <c r="Q1595"/>
  <c r="J1595"/>
  <c r="S1594"/>
  <c r="R1594"/>
  <c r="Q1594"/>
  <c r="J1594"/>
  <c r="S1593"/>
  <c r="R1593"/>
  <c r="Q1593"/>
  <c r="J1593"/>
  <c r="S1592"/>
  <c r="R1592"/>
  <c r="Q1592"/>
  <c r="J1592"/>
  <c r="J1591"/>
  <c r="K1591" s="1"/>
  <c r="H1590" s="1"/>
  <c r="H1586" s="1"/>
  <c r="J1590"/>
  <c r="J1589"/>
  <c r="J1588"/>
  <c r="J1587"/>
  <c r="J1586"/>
  <c r="J1585"/>
  <c r="K1585" s="1"/>
  <c r="H1584"/>
  <c r="H1580" s="1"/>
  <c r="J1584"/>
  <c r="J1583"/>
  <c r="J1582"/>
  <c r="J1581"/>
  <c r="J1580"/>
  <c r="J1579"/>
  <c r="K1579" s="1"/>
  <c r="H1578" s="1"/>
  <c r="S1578"/>
  <c r="R1578"/>
  <c r="Q1578"/>
  <c r="J1578"/>
  <c r="S1577"/>
  <c r="R1577"/>
  <c r="Q1577"/>
  <c r="J1577"/>
  <c r="J1576"/>
  <c r="K1576" s="1"/>
  <c r="H1575" s="1"/>
  <c r="S1575"/>
  <c r="R1575"/>
  <c r="Q1575"/>
  <c r="J1575"/>
  <c r="S1574"/>
  <c r="R1574"/>
  <c r="Q1574"/>
  <c r="J1574"/>
  <c r="S1573"/>
  <c r="R1573"/>
  <c r="Q1573"/>
  <c r="J1573"/>
  <c r="S1572"/>
  <c r="R1572"/>
  <c r="Q1572"/>
  <c r="J1572"/>
  <c r="S1571"/>
  <c r="R1571"/>
  <c r="Q1571"/>
  <c r="J1571"/>
  <c r="S1570"/>
  <c r="R1570"/>
  <c r="Q1570"/>
  <c r="J1570"/>
  <c r="J1569"/>
  <c r="K1569" s="1"/>
  <c r="H1568"/>
  <c r="H1567" s="1"/>
  <c r="H1566" s="1"/>
  <c r="H1565" s="1"/>
  <c r="J1568"/>
  <c r="J1567"/>
  <c r="J1566"/>
  <c r="J1565"/>
  <c r="J1564"/>
  <c r="K1564" s="1"/>
  <c r="S1563"/>
  <c r="J1563"/>
  <c r="K1563" s="1"/>
  <c r="S1562"/>
  <c r="R1562"/>
  <c r="Q1562"/>
  <c r="J1562"/>
  <c r="S1561"/>
  <c r="R1561"/>
  <c r="Q1561"/>
  <c r="J1561"/>
  <c r="S1560"/>
  <c r="R1560"/>
  <c r="Q1560"/>
  <c r="J1560"/>
  <c r="S1559"/>
  <c r="R1559"/>
  <c r="Q1559"/>
  <c r="J1559"/>
  <c r="S1558"/>
  <c r="R1558"/>
  <c r="Q1558"/>
  <c r="J1558"/>
  <c r="S1557"/>
  <c r="R1557"/>
  <c r="Q1557"/>
  <c r="J1557"/>
  <c r="S1556"/>
  <c r="R1556"/>
  <c r="Q1556"/>
  <c r="J1556"/>
  <c r="J1555"/>
  <c r="K1555" s="1"/>
  <c r="H1554" s="1"/>
  <c r="H1553" s="1"/>
  <c r="H1552" s="1"/>
  <c r="H1551" s="1"/>
  <c r="J1554"/>
  <c r="J1553"/>
  <c r="J1552"/>
  <c r="J1551"/>
  <c r="J1550"/>
  <c r="K1550" s="1"/>
  <c r="H1549" s="1"/>
  <c r="S1549"/>
  <c r="R1549"/>
  <c r="Q1549"/>
  <c r="J1549"/>
  <c r="S1548"/>
  <c r="R1548"/>
  <c r="Q1548"/>
  <c r="J1548"/>
  <c r="J1547"/>
  <c r="K1547" s="1"/>
  <c r="H1546" s="1"/>
  <c r="H1545" s="1"/>
  <c r="J1546"/>
  <c r="J1545"/>
  <c r="J1544"/>
  <c r="K1544" s="1"/>
  <c r="H1543" s="1"/>
  <c r="S1543"/>
  <c r="R1543"/>
  <c r="Q1543"/>
  <c r="J1543"/>
  <c r="S1542"/>
  <c r="R1542"/>
  <c r="Q1542"/>
  <c r="J1542"/>
  <c r="S1541"/>
  <c r="R1541"/>
  <c r="Q1541"/>
  <c r="J1541"/>
  <c r="S1540"/>
  <c r="R1540"/>
  <c r="Q1540"/>
  <c r="J1540"/>
  <c r="S1539"/>
  <c r="R1539"/>
  <c r="Q1539"/>
  <c r="J1539"/>
  <c r="S1538"/>
  <c r="R1538"/>
  <c r="Q1538"/>
  <c r="J1538"/>
  <c r="S1537"/>
  <c r="R1537"/>
  <c r="Q1537"/>
  <c r="J1537"/>
  <c r="S1536"/>
  <c r="J1536"/>
  <c r="K1536" s="1"/>
  <c r="H1535" s="1"/>
  <c r="S1535"/>
  <c r="R1535"/>
  <c r="Q1535"/>
  <c r="J1535"/>
  <c r="S1534"/>
  <c r="R1534"/>
  <c r="Q1534"/>
  <c r="J1534"/>
  <c r="J1533"/>
  <c r="K1533" s="1"/>
  <c r="H1532" s="1"/>
  <c r="S1532"/>
  <c r="R1532"/>
  <c r="Q1532"/>
  <c r="J1532"/>
  <c r="S1531"/>
  <c r="R1531"/>
  <c r="Q1531"/>
  <c r="J1531"/>
  <c r="S1530"/>
  <c r="R1530"/>
  <c r="Q1530"/>
  <c r="J1530"/>
  <c r="S1529"/>
  <c r="R1529"/>
  <c r="Q1529"/>
  <c r="J1529"/>
  <c r="J1528"/>
  <c r="K1528" s="1"/>
  <c r="H1527" s="1"/>
  <c r="H1526" s="1"/>
  <c r="H1525" s="1"/>
  <c r="H1524" s="1"/>
  <c r="J1527"/>
  <c r="J1526"/>
  <c r="J1525"/>
  <c r="J1524"/>
  <c r="J1523"/>
  <c r="K1523" s="1"/>
  <c r="H1522" s="1"/>
  <c r="S1522"/>
  <c r="R1522"/>
  <c r="Q1522"/>
  <c r="J1522"/>
  <c r="S1521"/>
  <c r="R1521"/>
  <c r="Q1521"/>
  <c r="J1521"/>
  <c r="J1520"/>
  <c r="K1520" s="1"/>
  <c r="H1519" s="1"/>
  <c r="S1519"/>
  <c r="R1519"/>
  <c r="Q1519"/>
  <c r="J1519"/>
  <c r="S1518"/>
  <c r="R1518"/>
  <c r="Q1518"/>
  <c r="J1518"/>
  <c r="S1517"/>
  <c r="R1517"/>
  <c r="Q1517"/>
  <c r="J1517"/>
  <c r="S1516"/>
  <c r="R1516"/>
  <c r="Q1516"/>
  <c r="J1516"/>
  <c r="S1515"/>
  <c r="R1515"/>
  <c r="Q1515"/>
  <c r="J1515"/>
  <c r="S1514"/>
  <c r="R1514"/>
  <c r="Q1514"/>
  <c r="J1514"/>
  <c r="J1513"/>
  <c r="K1513" s="1"/>
  <c r="H1512" s="1"/>
  <c r="S1512"/>
  <c r="R1512"/>
  <c r="Q1512"/>
  <c r="J1512"/>
  <c r="S1511"/>
  <c r="R1511"/>
  <c r="Q1511"/>
  <c r="J1511"/>
  <c r="J1510"/>
  <c r="K1510" s="1"/>
  <c r="H1509" s="1"/>
  <c r="P1509" s="1"/>
  <c r="S1509"/>
  <c r="R1509"/>
  <c r="Q1509"/>
  <c r="J1509"/>
  <c r="J1508"/>
  <c r="K1508" s="1"/>
  <c r="J1507"/>
  <c r="K1507" s="1"/>
  <c r="J1506"/>
  <c r="K1506" s="1"/>
  <c r="S1505"/>
  <c r="R1505"/>
  <c r="Q1505"/>
  <c r="J1505"/>
  <c r="S1504"/>
  <c r="R1504"/>
  <c r="Q1504"/>
  <c r="J1504"/>
  <c r="J1503"/>
  <c r="K1503" s="1"/>
  <c r="J1502"/>
  <c r="K1502" s="1"/>
  <c r="S1501"/>
  <c r="R1501"/>
  <c r="Q1501"/>
  <c r="J1501"/>
  <c r="S1500"/>
  <c r="R1500"/>
  <c r="Q1500"/>
  <c r="J1500"/>
  <c r="J1499"/>
  <c r="K1499" s="1"/>
  <c r="J1498"/>
  <c r="K1498" s="1"/>
  <c r="J1497"/>
  <c r="K1497" s="1"/>
  <c r="S1496"/>
  <c r="R1496"/>
  <c r="Q1496"/>
  <c r="J1496"/>
  <c r="J1495"/>
  <c r="K1495" s="1"/>
  <c r="H1494" s="1"/>
  <c r="P1494" s="1"/>
  <c r="S1494"/>
  <c r="R1494"/>
  <c r="Q1494"/>
  <c r="J1494"/>
  <c r="J1493"/>
  <c r="K1493" s="1"/>
  <c r="J1492"/>
  <c r="K1492" s="1"/>
  <c r="H1491"/>
  <c r="P1491" s="1"/>
  <c r="S1491"/>
  <c r="R1491"/>
  <c r="Q1491"/>
  <c r="J1491"/>
  <c r="S1490"/>
  <c r="R1490"/>
  <c r="Q1490"/>
  <c r="J1490"/>
  <c r="S1489"/>
  <c r="R1489"/>
  <c r="Q1489"/>
  <c r="J1489"/>
  <c r="S1488"/>
  <c r="R1488"/>
  <c r="Q1488"/>
  <c r="J1488"/>
  <c r="S1487"/>
  <c r="R1487"/>
  <c r="Q1487"/>
  <c r="J1487"/>
  <c r="S1486"/>
  <c r="R1486"/>
  <c r="Q1486"/>
  <c r="J1486"/>
  <c r="S1485"/>
  <c r="R1485"/>
  <c r="Q1485"/>
  <c r="J1485"/>
  <c r="S1484"/>
  <c r="R1484"/>
  <c r="Q1484"/>
  <c r="P1484"/>
  <c r="J1484"/>
  <c r="J1483"/>
  <c r="K1483" s="1"/>
  <c r="H1482" s="1"/>
  <c r="S1482"/>
  <c r="R1482"/>
  <c r="Q1482"/>
  <c r="J1482"/>
  <c r="S1481"/>
  <c r="R1481"/>
  <c r="Q1481"/>
  <c r="J1481"/>
  <c r="J1480"/>
  <c r="K1480" s="1"/>
  <c r="H1479" s="1"/>
  <c r="S1479"/>
  <c r="R1479"/>
  <c r="Q1479"/>
  <c r="J1479"/>
  <c r="S1478"/>
  <c r="R1478"/>
  <c r="Q1478"/>
  <c r="J1478"/>
  <c r="S1477"/>
  <c r="R1477"/>
  <c r="Q1477"/>
  <c r="J1477"/>
  <c r="S1476"/>
  <c r="R1476"/>
  <c r="Q1476"/>
  <c r="J1476"/>
  <c r="S1475"/>
  <c r="R1475"/>
  <c r="Q1475"/>
  <c r="J1475"/>
  <c r="S1474"/>
  <c r="R1474"/>
  <c r="Q1474"/>
  <c r="J1474"/>
  <c r="S1473"/>
  <c r="R1473"/>
  <c r="Q1473"/>
  <c r="J1473"/>
  <c r="K1472"/>
  <c r="H1471" s="1"/>
  <c r="P1471" s="1"/>
  <c r="J1472"/>
  <c r="S1471"/>
  <c r="R1471"/>
  <c r="Q1471"/>
  <c r="J1471"/>
  <c r="S1470"/>
  <c r="R1470"/>
  <c r="Q1470"/>
  <c r="J1470"/>
  <c r="S1469"/>
  <c r="R1469"/>
  <c r="Q1469"/>
  <c r="J1469"/>
  <c r="S1468"/>
  <c r="R1468"/>
  <c r="Q1468"/>
  <c r="J1468"/>
  <c r="J1467"/>
  <c r="K1467" s="1"/>
  <c r="H1466" s="1"/>
  <c r="H1462" s="1"/>
  <c r="J1466"/>
  <c r="J1465"/>
  <c r="J1464"/>
  <c r="J1463"/>
  <c r="J1462"/>
  <c r="J1461"/>
  <c r="K1461" s="1"/>
  <c r="H1460" s="1"/>
  <c r="H1456" s="1"/>
  <c r="J1460"/>
  <c r="J1459"/>
  <c r="J1458"/>
  <c r="J1457"/>
  <c r="J1456"/>
  <c r="J1455"/>
  <c r="K1455" s="1"/>
  <c r="H1454" s="1"/>
  <c r="S1454"/>
  <c r="R1454"/>
  <c r="Q1454"/>
  <c r="J1454"/>
  <c r="S1453"/>
  <c r="R1453"/>
  <c r="Q1453"/>
  <c r="J1453"/>
  <c r="J1452"/>
  <c r="K1452" s="1"/>
  <c r="H1451" s="1"/>
  <c r="S1451"/>
  <c r="R1451"/>
  <c r="Q1451"/>
  <c r="J1451"/>
  <c r="S1450"/>
  <c r="R1450"/>
  <c r="Q1450"/>
  <c r="J1450"/>
  <c r="J1449"/>
  <c r="K1449" s="1"/>
  <c r="H1448" s="1"/>
  <c r="S1448"/>
  <c r="R1448"/>
  <c r="Q1448"/>
  <c r="J1448"/>
  <c r="S1447"/>
  <c r="R1447"/>
  <c r="Q1447"/>
  <c r="J1447"/>
  <c r="S1446"/>
  <c r="R1446"/>
  <c r="Q1446"/>
  <c r="J1446"/>
  <c r="S1445"/>
  <c r="R1445"/>
  <c r="Q1445"/>
  <c r="J1445"/>
  <c r="S1444"/>
  <c r="R1444"/>
  <c r="Q1444"/>
  <c r="J1444"/>
  <c r="S1443"/>
  <c r="R1443"/>
  <c r="Q1443"/>
  <c r="J1443"/>
  <c r="J1442"/>
  <c r="K1442" s="1"/>
  <c r="J1441"/>
  <c r="K1441" s="1"/>
  <c r="S1440"/>
  <c r="R1440"/>
  <c r="Q1440"/>
  <c r="J1440"/>
  <c r="S1439"/>
  <c r="R1439"/>
  <c r="Q1439"/>
  <c r="J1439"/>
  <c r="S1438"/>
  <c r="R1438"/>
  <c r="Q1438"/>
  <c r="J1438"/>
  <c r="S1437"/>
  <c r="R1437"/>
  <c r="Q1437"/>
  <c r="J1437"/>
  <c r="S1436"/>
  <c r="R1436"/>
  <c r="Q1436"/>
  <c r="J1436"/>
  <c r="S1435"/>
  <c r="R1435"/>
  <c r="Q1435"/>
  <c r="J1435"/>
  <c r="S1434"/>
  <c r="R1434"/>
  <c r="Q1434"/>
  <c r="J1434"/>
  <c r="J1433"/>
  <c r="K1433" s="1"/>
  <c r="H1432" s="1"/>
  <c r="S1432"/>
  <c r="R1432"/>
  <c r="Q1432"/>
  <c r="J1432"/>
  <c r="S1431"/>
  <c r="R1431"/>
  <c r="Q1431"/>
  <c r="J1431"/>
  <c r="J1430"/>
  <c r="K1430" s="1"/>
  <c r="H1429" s="1"/>
  <c r="S1429"/>
  <c r="R1429"/>
  <c r="Q1429"/>
  <c r="J1429"/>
  <c r="S1428"/>
  <c r="R1428"/>
  <c r="Q1428"/>
  <c r="J1428"/>
  <c r="S1427"/>
  <c r="R1427"/>
  <c r="Q1427"/>
  <c r="J1427"/>
  <c r="S1426"/>
  <c r="R1426"/>
  <c r="Q1426"/>
  <c r="J1426"/>
  <c r="S1425"/>
  <c r="R1425"/>
  <c r="Q1425"/>
  <c r="J1425"/>
  <c r="S1424"/>
  <c r="R1424"/>
  <c r="Q1424"/>
  <c r="J1424"/>
  <c r="S1423"/>
  <c r="R1423"/>
  <c r="Q1423"/>
  <c r="J1423"/>
  <c r="J1422"/>
  <c r="K1422" s="1"/>
  <c r="H1421" s="1"/>
  <c r="S1421"/>
  <c r="R1421"/>
  <c r="Q1421"/>
  <c r="J1421"/>
  <c r="S1420"/>
  <c r="R1420"/>
  <c r="Q1420"/>
  <c r="J1420"/>
  <c r="S1419"/>
  <c r="R1419"/>
  <c r="Q1419"/>
  <c r="J1419"/>
  <c r="S1418"/>
  <c r="R1418"/>
  <c r="Q1418"/>
  <c r="J1418"/>
  <c r="S1417"/>
  <c r="R1417"/>
  <c r="Q1417"/>
  <c r="J1417"/>
  <c r="S1416"/>
  <c r="R1416"/>
  <c r="Q1416"/>
  <c r="J1416"/>
  <c r="J1415"/>
  <c r="K1415" s="1"/>
  <c r="H1414" s="1"/>
  <c r="P1414" s="1"/>
  <c r="S1414"/>
  <c r="R1414"/>
  <c r="Q1414"/>
  <c r="J1414"/>
  <c r="E1414"/>
  <c r="D1414"/>
  <c r="C1414"/>
  <c r="S1413"/>
  <c r="R1413"/>
  <c r="Q1413"/>
  <c r="J1413"/>
  <c r="E1413"/>
  <c r="D1413"/>
  <c r="C1413"/>
  <c r="J1412"/>
  <c r="K1412" s="1"/>
  <c r="H1411" s="1"/>
  <c r="P1411" s="1"/>
  <c r="S1411"/>
  <c r="R1411"/>
  <c r="Q1411"/>
  <c r="J1411"/>
  <c r="J1410"/>
  <c r="K1410" s="1"/>
  <c r="J1409"/>
  <c r="K1409" s="1"/>
  <c r="J1408"/>
  <c r="K1408" s="1"/>
  <c r="S1407"/>
  <c r="R1407"/>
  <c r="Q1407"/>
  <c r="J1407"/>
  <c r="S1406"/>
  <c r="R1406"/>
  <c r="Q1406"/>
  <c r="J1406"/>
  <c r="J1405"/>
  <c r="K1405" s="1"/>
  <c r="J1404"/>
  <c r="K1404" s="1"/>
  <c r="S1403"/>
  <c r="R1403"/>
  <c r="Q1403"/>
  <c r="J1403"/>
  <c r="S1402"/>
  <c r="R1402"/>
  <c r="Q1402"/>
  <c r="J1402"/>
  <c r="J1401"/>
  <c r="K1401" s="1"/>
  <c r="J1400"/>
  <c r="K1400" s="1"/>
  <c r="S1399"/>
  <c r="R1399"/>
  <c r="Q1399"/>
  <c r="J1399"/>
  <c r="J1398"/>
  <c r="K1398" s="1"/>
  <c r="H1397" s="1"/>
  <c r="P1397" s="1"/>
  <c r="S1397"/>
  <c r="R1397"/>
  <c r="Q1397"/>
  <c r="J1397"/>
  <c r="J1396"/>
  <c r="K1396" s="1"/>
  <c r="J1395"/>
  <c r="K1395" s="1"/>
  <c r="H1394" s="1"/>
  <c r="S1394"/>
  <c r="R1394"/>
  <c r="Q1394"/>
  <c r="J1394"/>
  <c r="S1393"/>
  <c r="R1393"/>
  <c r="Q1393"/>
  <c r="J1393"/>
  <c r="S1392"/>
  <c r="R1392"/>
  <c r="Q1392"/>
  <c r="J1392"/>
  <c r="S1391"/>
  <c r="R1391"/>
  <c r="Q1391"/>
  <c r="J1391"/>
  <c r="S1390"/>
  <c r="R1390"/>
  <c r="Q1390"/>
  <c r="J1390"/>
  <c r="S1389"/>
  <c r="R1389"/>
  <c r="Q1389"/>
  <c r="J1389"/>
  <c r="S1388"/>
  <c r="R1388"/>
  <c r="Q1388"/>
  <c r="J1388"/>
  <c r="S1387"/>
  <c r="R1387"/>
  <c r="Q1387"/>
  <c r="P1387"/>
  <c r="J1387"/>
  <c r="J1386"/>
  <c r="K1386" s="1"/>
  <c r="H1385" s="1"/>
  <c r="S1385"/>
  <c r="R1385"/>
  <c r="Q1385"/>
  <c r="J1385"/>
  <c r="S1384"/>
  <c r="R1384"/>
  <c r="Q1384"/>
  <c r="J1384"/>
  <c r="J1383"/>
  <c r="K1383" s="1"/>
  <c r="H1382" s="1"/>
  <c r="S1382"/>
  <c r="R1382"/>
  <c r="Q1382"/>
  <c r="J1382"/>
  <c r="S1381"/>
  <c r="R1381"/>
  <c r="Q1381"/>
  <c r="J1381"/>
  <c r="S1380"/>
  <c r="R1380"/>
  <c r="Q1380"/>
  <c r="J1380"/>
  <c r="S1379"/>
  <c r="R1379"/>
  <c r="Q1379"/>
  <c r="J1379"/>
  <c r="S1378"/>
  <c r="R1378"/>
  <c r="Q1378"/>
  <c r="J1378"/>
  <c r="S1377"/>
  <c r="R1377"/>
  <c r="Q1377"/>
  <c r="J1377"/>
  <c r="S1376"/>
  <c r="R1376"/>
  <c r="Q1376"/>
  <c r="J1376"/>
  <c r="J1375"/>
  <c r="K1375" s="1"/>
  <c r="H1374" s="1"/>
  <c r="S1374"/>
  <c r="R1374"/>
  <c r="Q1374"/>
  <c r="J1374"/>
  <c r="S1373"/>
  <c r="R1373"/>
  <c r="Q1373"/>
  <c r="J1373"/>
  <c r="S1372"/>
  <c r="R1372"/>
  <c r="Q1372"/>
  <c r="J1372"/>
  <c r="S1371"/>
  <c r="R1371"/>
  <c r="Q1371"/>
  <c r="J1371"/>
  <c r="J1370"/>
  <c r="K1370" s="1"/>
  <c r="H1369" s="1"/>
  <c r="J1369"/>
  <c r="J1368"/>
  <c r="J1367"/>
  <c r="J1366"/>
  <c r="J1365"/>
  <c r="J1364"/>
  <c r="K1364" s="1"/>
  <c r="H1363" s="1"/>
  <c r="J1363"/>
  <c r="J1362"/>
  <c r="H1362"/>
  <c r="J1361"/>
  <c r="H1361"/>
  <c r="J1360"/>
  <c r="J1359"/>
  <c r="H1359"/>
  <c r="J1358"/>
  <c r="K1358" s="1"/>
  <c r="H1357" s="1"/>
  <c r="S1357"/>
  <c r="R1357"/>
  <c r="Q1357"/>
  <c r="J1357"/>
  <c r="S1356"/>
  <c r="R1356"/>
  <c r="Q1356"/>
  <c r="J1356"/>
  <c r="J1355"/>
  <c r="K1355" s="1"/>
  <c r="H1354" s="1"/>
  <c r="S1354"/>
  <c r="R1354"/>
  <c r="Q1354"/>
  <c r="J1354"/>
  <c r="S1353"/>
  <c r="R1353"/>
  <c r="Q1353"/>
  <c r="J1353"/>
  <c r="J1352"/>
  <c r="K1352" s="1"/>
  <c r="H1351" s="1"/>
  <c r="S1351"/>
  <c r="R1351"/>
  <c r="Q1351"/>
  <c r="J1351"/>
  <c r="S1350"/>
  <c r="R1350"/>
  <c r="Q1350"/>
  <c r="J1350"/>
  <c r="S1349"/>
  <c r="R1349"/>
  <c r="Q1349"/>
  <c r="J1349"/>
  <c r="S1348"/>
  <c r="R1348"/>
  <c r="Q1348"/>
  <c r="J1348"/>
  <c r="S1347"/>
  <c r="R1347"/>
  <c r="Q1347"/>
  <c r="J1347"/>
  <c r="S1346"/>
  <c r="R1346"/>
  <c r="Q1346"/>
  <c r="J1346"/>
  <c r="J1345"/>
  <c r="K1345" s="1"/>
  <c r="J1344"/>
  <c r="K1344" s="1"/>
  <c r="S1343"/>
  <c r="R1343"/>
  <c r="Q1343"/>
  <c r="J1343"/>
  <c r="S1342"/>
  <c r="R1342"/>
  <c r="Q1342"/>
  <c r="J1342"/>
  <c r="S1341"/>
  <c r="R1341"/>
  <c r="Q1341"/>
  <c r="J1341"/>
  <c r="S1340"/>
  <c r="R1340"/>
  <c r="Q1340"/>
  <c r="J1340"/>
  <c r="S1339"/>
  <c r="R1339"/>
  <c r="Q1339"/>
  <c r="J1339"/>
  <c r="S1338"/>
  <c r="R1338"/>
  <c r="Q1338"/>
  <c r="J1338"/>
  <c r="S1337"/>
  <c r="R1337"/>
  <c r="Q1337"/>
  <c r="J1337"/>
  <c r="J1336"/>
  <c r="K1336" s="1"/>
  <c r="H1335" s="1"/>
  <c r="H1334" s="1"/>
  <c r="J1335"/>
  <c r="J1334"/>
  <c r="J1333"/>
  <c r="K1333" s="1"/>
  <c r="H1332" s="1"/>
  <c r="S1332"/>
  <c r="R1332"/>
  <c r="Q1332"/>
  <c r="J1332"/>
  <c r="S1331"/>
  <c r="R1331"/>
  <c r="Q1331"/>
  <c r="J1331"/>
  <c r="J1330"/>
  <c r="K1330" s="1"/>
  <c r="H1329" s="1"/>
  <c r="S1329"/>
  <c r="R1329"/>
  <c r="Q1329"/>
  <c r="J1329"/>
  <c r="S1328"/>
  <c r="R1328"/>
  <c r="Q1328"/>
  <c r="J1328"/>
  <c r="S1327"/>
  <c r="R1327"/>
  <c r="Q1327"/>
  <c r="J1327"/>
  <c r="S1326"/>
  <c r="R1326"/>
  <c r="Q1326"/>
  <c r="J1326"/>
  <c r="S1325"/>
  <c r="R1325"/>
  <c r="Q1325"/>
  <c r="J1325"/>
  <c r="S1324"/>
  <c r="R1324"/>
  <c r="Q1324"/>
  <c r="J1324"/>
  <c r="S1323"/>
  <c r="R1323"/>
  <c r="Q1323"/>
  <c r="J1323"/>
  <c r="J1322"/>
  <c r="K1322" s="1"/>
  <c r="H1321" s="1"/>
  <c r="S1321"/>
  <c r="R1321"/>
  <c r="Q1321"/>
  <c r="J1321"/>
  <c r="S1320"/>
  <c r="R1320"/>
  <c r="Q1320"/>
  <c r="J1320"/>
  <c r="S1319"/>
  <c r="R1319"/>
  <c r="Q1319"/>
  <c r="J1319"/>
  <c r="S1318"/>
  <c r="R1318"/>
  <c r="Q1318"/>
  <c r="J1318"/>
  <c r="J1317"/>
  <c r="K1317" s="1"/>
  <c r="H1316" s="1"/>
  <c r="S1316"/>
  <c r="R1316"/>
  <c r="Q1316"/>
  <c r="J1316"/>
  <c r="S1315"/>
  <c r="R1315"/>
  <c r="Q1315"/>
  <c r="J1315"/>
  <c r="J1314"/>
  <c r="K1314" s="1"/>
  <c r="H1313" s="1"/>
  <c r="S1313"/>
  <c r="R1313"/>
  <c r="Q1313"/>
  <c r="J1313"/>
  <c r="S1312"/>
  <c r="R1312"/>
  <c r="Q1312"/>
  <c r="J1312"/>
  <c r="S1311"/>
  <c r="R1311"/>
  <c r="Q1311"/>
  <c r="J1311"/>
  <c r="S1310"/>
  <c r="R1310"/>
  <c r="Q1310"/>
  <c r="J1310"/>
  <c r="S1309"/>
  <c r="R1309"/>
  <c r="Q1309"/>
  <c r="J1309"/>
  <c r="S1308"/>
  <c r="R1308"/>
  <c r="Q1308"/>
  <c r="J1308"/>
  <c r="K1307"/>
  <c r="H1306" s="1"/>
  <c r="J1307"/>
  <c r="S1306"/>
  <c r="R1306"/>
  <c r="Q1306"/>
  <c r="J1306"/>
  <c r="S1305"/>
  <c r="R1305"/>
  <c r="Q1305"/>
  <c r="J1305"/>
  <c r="J1304"/>
  <c r="K1304" s="1"/>
  <c r="H1303" s="1"/>
  <c r="P1303" s="1"/>
  <c r="S1303"/>
  <c r="R1303"/>
  <c r="Q1303"/>
  <c r="J1303"/>
  <c r="K1302"/>
  <c r="J1302"/>
  <c r="J1301"/>
  <c r="K1301" s="1"/>
  <c r="J1300"/>
  <c r="K1300" s="1"/>
  <c r="H1299" s="1"/>
  <c r="S1299"/>
  <c r="R1299"/>
  <c r="Q1299"/>
  <c r="J1299"/>
  <c r="S1298"/>
  <c r="R1298"/>
  <c r="Q1298"/>
  <c r="J1298"/>
  <c r="J1297"/>
  <c r="K1297" s="1"/>
  <c r="J1296"/>
  <c r="K1296" s="1"/>
  <c r="H1295" s="1"/>
  <c r="S1295"/>
  <c r="R1295"/>
  <c r="Q1295"/>
  <c r="J1295"/>
  <c r="S1294"/>
  <c r="R1294"/>
  <c r="Q1294"/>
  <c r="J1294"/>
  <c r="J1293"/>
  <c r="K1293" s="1"/>
  <c r="J1292"/>
  <c r="K1292" s="1"/>
  <c r="J1291"/>
  <c r="K1291" s="1"/>
  <c r="S1290"/>
  <c r="R1290"/>
  <c r="Q1290"/>
  <c r="J1290"/>
  <c r="K1289"/>
  <c r="H1288" s="1"/>
  <c r="P1288" s="1"/>
  <c r="J1289"/>
  <c r="S1288"/>
  <c r="R1288"/>
  <c r="Q1288"/>
  <c r="J1288"/>
  <c r="J1287"/>
  <c r="K1287" s="1"/>
  <c r="J1286"/>
  <c r="K1286" s="1"/>
  <c r="H1285" s="1"/>
  <c r="S1285"/>
  <c r="R1285"/>
  <c r="Q1285"/>
  <c r="J1285"/>
  <c r="S1284"/>
  <c r="R1284"/>
  <c r="Q1284"/>
  <c r="J1284"/>
  <c r="S1283"/>
  <c r="R1283"/>
  <c r="Q1283"/>
  <c r="J1283"/>
  <c r="S1282"/>
  <c r="R1282"/>
  <c r="Q1282"/>
  <c r="J1282"/>
  <c r="S1281"/>
  <c r="R1281"/>
  <c r="Q1281"/>
  <c r="J1281"/>
  <c r="S1280"/>
  <c r="R1280"/>
  <c r="Q1280"/>
  <c r="J1280"/>
  <c r="S1279"/>
  <c r="R1279"/>
  <c r="Q1279"/>
  <c r="J1279"/>
  <c r="S1278"/>
  <c r="R1278"/>
  <c r="Q1278"/>
  <c r="P1278"/>
  <c r="J1278"/>
  <c r="J1277"/>
  <c r="K1277" s="1"/>
  <c r="H1276" s="1"/>
  <c r="P1276" s="1"/>
  <c r="S1276"/>
  <c r="R1276"/>
  <c r="Q1276"/>
  <c r="J1276"/>
  <c r="J1275"/>
  <c r="K1275" s="1"/>
  <c r="J1274"/>
  <c r="K1274" s="1"/>
  <c r="H1273" s="1"/>
  <c r="S1273"/>
  <c r="R1273"/>
  <c r="Q1273"/>
  <c r="J1273"/>
  <c r="S1272"/>
  <c r="R1272"/>
  <c r="Q1272"/>
  <c r="J1272"/>
  <c r="J1271"/>
  <c r="K1271" s="1"/>
  <c r="J1270"/>
  <c r="K1270" s="1"/>
  <c r="H1269" s="1"/>
  <c r="S1269"/>
  <c r="R1269"/>
  <c r="Q1269"/>
  <c r="J1269"/>
  <c r="S1268"/>
  <c r="R1268"/>
  <c r="Q1268"/>
  <c r="J1268"/>
  <c r="J1267"/>
  <c r="K1267" s="1"/>
  <c r="K1266"/>
  <c r="J1266"/>
  <c r="S1265"/>
  <c r="R1265"/>
  <c r="Q1265"/>
  <c r="J1265"/>
  <c r="J1264"/>
  <c r="K1264" s="1"/>
  <c r="H1263" s="1"/>
  <c r="P1263" s="1"/>
  <c r="S1263"/>
  <c r="R1263"/>
  <c r="Q1263"/>
  <c r="J1263"/>
  <c r="J1262"/>
  <c r="K1262" s="1"/>
  <c r="J1261"/>
  <c r="K1261" s="1"/>
  <c r="S1260"/>
  <c r="R1260"/>
  <c r="Q1260"/>
  <c r="J1260"/>
  <c r="S1259"/>
  <c r="R1259"/>
  <c r="Q1259"/>
  <c r="J1259"/>
  <c r="S1258"/>
  <c r="R1258"/>
  <c r="Q1258"/>
  <c r="J1258"/>
  <c r="S1257"/>
  <c r="R1257"/>
  <c r="Q1257"/>
  <c r="J1257"/>
  <c r="S1256"/>
  <c r="R1256"/>
  <c r="Q1256"/>
  <c r="J1256"/>
  <c r="J1255"/>
  <c r="K1255" s="1"/>
  <c r="H1254" s="1"/>
  <c r="H1253" s="1"/>
  <c r="J1254"/>
  <c r="J1253"/>
  <c r="J1252"/>
  <c r="K1252" s="1"/>
  <c r="H1251" s="1"/>
  <c r="S1251"/>
  <c r="R1251"/>
  <c r="Q1251"/>
  <c r="J1251"/>
  <c r="S1250"/>
  <c r="R1250"/>
  <c r="Q1250"/>
  <c r="J1250"/>
  <c r="S1249"/>
  <c r="R1249"/>
  <c r="Q1249"/>
  <c r="J1249"/>
  <c r="S1248"/>
  <c r="R1248"/>
  <c r="Q1248"/>
  <c r="J1248"/>
  <c r="S1247"/>
  <c r="R1247"/>
  <c r="Q1247"/>
  <c r="J1247"/>
  <c r="S1246"/>
  <c r="R1246"/>
  <c r="Q1246"/>
  <c r="J1246"/>
  <c r="J1245"/>
  <c r="K1245" s="1"/>
  <c r="H1244" s="1"/>
  <c r="S1244"/>
  <c r="R1244"/>
  <c r="Q1244"/>
  <c r="J1244"/>
  <c r="S1243"/>
  <c r="R1243"/>
  <c r="Q1243"/>
  <c r="J1243"/>
  <c r="S1242"/>
  <c r="R1242"/>
  <c r="Q1242"/>
  <c r="J1242"/>
  <c r="J1241"/>
  <c r="K1241" s="1"/>
  <c r="H1240" s="1"/>
  <c r="S1240"/>
  <c r="R1240"/>
  <c r="Q1240"/>
  <c r="J1240"/>
  <c r="S1239"/>
  <c r="R1239"/>
  <c r="Q1239"/>
  <c r="J1239"/>
  <c r="S1238"/>
  <c r="R1238"/>
  <c r="Q1238"/>
  <c r="J1238"/>
  <c r="J1237"/>
  <c r="K1237" s="1"/>
  <c r="H1236" s="1"/>
  <c r="S1236"/>
  <c r="R1236"/>
  <c r="Q1236"/>
  <c r="J1236"/>
  <c r="J1235"/>
  <c r="K1235" s="1"/>
  <c r="H1234" s="1"/>
  <c r="P1234" s="1"/>
  <c r="S1234"/>
  <c r="R1234"/>
  <c r="Q1234"/>
  <c r="J1234"/>
  <c r="S1233"/>
  <c r="R1233"/>
  <c r="Q1233"/>
  <c r="J1233"/>
  <c r="S1232"/>
  <c r="R1232"/>
  <c r="Q1232"/>
  <c r="J1232"/>
  <c r="S1231"/>
  <c r="R1231"/>
  <c r="Q1231"/>
  <c r="J1231"/>
  <c r="J1230"/>
  <c r="K1230" s="1"/>
  <c r="H1229" s="1"/>
  <c r="S1229"/>
  <c r="R1229"/>
  <c r="Q1229"/>
  <c r="J1229"/>
  <c r="S1228"/>
  <c r="R1228"/>
  <c r="Q1228"/>
  <c r="J1228"/>
  <c r="S1227"/>
  <c r="R1227"/>
  <c r="Q1227"/>
  <c r="J1227"/>
  <c r="S1226"/>
  <c r="R1226"/>
  <c r="Q1226"/>
  <c r="J1226"/>
  <c r="S1225"/>
  <c r="R1225"/>
  <c r="Q1225"/>
  <c r="J1225"/>
  <c r="S1224"/>
  <c r="R1224"/>
  <c r="Q1224"/>
  <c r="J1224"/>
  <c r="J1223"/>
  <c r="K1223" s="1"/>
  <c r="H1222" s="1"/>
  <c r="S1222"/>
  <c r="R1222"/>
  <c r="Q1222"/>
  <c r="J1222"/>
  <c r="S1221"/>
  <c r="R1221"/>
  <c r="Q1221"/>
  <c r="J1221"/>
  <c r="S1220"/>
  <c r="R1220"/>
  <c r="Q1220"/>
  <c r="J1220"/>
  <c r="S1219"/>
  <c r="R1219"/>
  <c r="Q1219"/>
  <c r="J1219"/>
  <c r="S1218"/>
  <c r="R1218"/>
  <c r="Q1218"/>
  <c r="J1218"/>
  <c r="S1217"/>
  <c r="R1217"/>
  <c r="Q1217"/>
  <c r="J1217"/>
  <c r="S1216"/>
  <c r="R1216"/>
  <c r="Q1216"/>
  <c r="J1216"/>
  <c r="J1215"/>
  <c r="K1215" s="1"/>
  <c r="H1214" s="1"/>
  <c r="S1214"/>
  <c r="R1214"/>
  <c r="Q1214"/>
  <c r="J1214"/>
  <c r="S1213"/>
  <c r="R1213"/>
  <c r="Q1213"/>
  <c r="J1213"/>
  <c r="S1212"/>
  <c r="R1212"/>
  <c r="Q1212"/>
  <c r="J1212"/>
  <c r="S1211"/>
  <c r="R1211"/>
  <c r="Q1211"/>
  <c r="J1211"/>
  <c r="S1210"/>
  <c r="R1210"/>
  <c r="Q1210"/>
  <c r="J1210"/>
  <c r="J1209"/>
  <c r="K1209" s="1"/>
  <c r="H1208" s="1"/>
  <c r="S1208"/>
  <c r="R1208"/>
  <c r="Q1208"/>
  <c r="J1208"/>
  <c r="S1207"/>
  <c r="R1207"/>
  <c r="Q1207"/>
  <c r="J1207"/>
  <c r="S1206"/>
  <c r="R1206"/>
  <c r="Q1206"/>
  <c r="J1206"/>
  <c r="S1205"/>
  <c r="R1205"/>
  <c r="Q1205"/>
  <c r="J1205"/>
  <c r="S1204"/>
  <c r="R1204"/>
  <c r="Q1204"/>
  <c r="J1204"/>
  <c r="S1203"/>
  <c r="R1203"/>
  <c r="Q1203"/>
  <c r="J1203"/>
  <c r="S1202"/>
  <c r="R1202"/>
  <c r="Q1202"/>
  <c r="J1202"/>
  <c r="S1201"/>
  <c r="R1201"/>
  <c r="Q1201"/>
  <c r="J1201"/>
  <c r="S1200"/>
  <c r="R1200"/>
  <c r="Q1200"/>
  <c r="P1200"/>
  <c r="J1200"/>
  <c r="J1199"/>
  <c r="K1199" s="1"/>
  <c r="J1198"/>
  <c r="K1198" s="1"/>
  <c r="S1197"/>
  <c r="R1197"/>
  <c r="Q1197"/>
  <c r="J1197"/>
  <c r="J1196"/>
  <c r="K1196" s="1"/>
  <c r="H1195" s="1"/>
  <c r="P1195" s="1"/>
  <c r="S1195"/>
  <c r="R1195"/>
  <c r="Q1195"/>
  <c r="J1195"/>
  <c r="J1194"/>
  <c r="K1194" s="1"/>
  <c r="J1193"/>
  <c r="K1193" s="1"/>
  <c r="J1192"/>
  <c r="K1192" s="1"/>
  <c r="S1191"/>
  <c r="R1191"/>
  <c r="Q1191"/>
  <c r="J1191"/>
  <c r="S1190"/>
  <c r="R1190"/>
  <c r="Q1190"/>
  <c r="J1190"/>
  <c r="J1189"/>
  <c r="K1189" s="1"/>
  <c r="H1188" s="1"/>
  <c r="P1188" s="1"/>
  <c r="S1188"/>
  <c r="R1188"/>
  <c r="Q1188"/>
  <c r="J1188"/>
  <c r="J1187"/>
  <c r="K1187" s="1"/>
  <c r="J1186"/>
  <c r="K1186" s="1"/>
  <c r="J1185"/>
  <c r="K1185" s="1"/>
  <c r="H1184" s="1"/>
  <c r="S1184"/>
  <c r="R1184"/>
  <c r="Q1184"/>
  <c r="J1184"/>
  <c r="S1183"/>
  <c r="R1183"/>
  <c r="Q1183"/>
  <c r="J1183"/>
  <c r="J1182"/>
  <c r="K1182" s="1"/>
  <c r="J1181"/>
  <c r="K1181" s="1"/>
  <c r="S1180"/>
  <c r="R1180"/>
  <c r="Q1180"/>
  <c r="J1180"/>
  <c r="S1179"/>
  <c r="R1179"/>
  <c r="Q1179"/>
  <c r="J1179"/>
  <c r="J1178"/>
  <c r="K1178" s="1"/>
  <c r="H1177" s="1"/>
  <c r="P1177" s="1"/>
  <c r="S1177"/>
  <c r="R1177"/>
  <c r="Q1177"/>
  <c r="J1177"/>
  <c r="J1176"/>
  <c r="K1176" s="1"/>
  <c r="H1175" s="1"/>
  <c r="P1175" s="1"/>
  <c r="S1175"/>
  <c r="R1175"/>
  <c r="Q1175"/>
  <c r="J1175"/>
  <c r="J1174"/>
  <c r="K1174" s="1"/>
  <c r="J1173"/>
  <c r="K1173" s="1"/>
  <c r="S1172"/>
  <c r="R1172"/>
  <c r="Q1172"/>
  <c r="J1172"/>
  <c r="S1171"/>
  <c r="R1171"/>
  <c r="Q1171"/>
  <c r="J1171"/>
  <c r="S1170"/>
  <c r="R1170"/>
  <c r="Q1170"/>
  <c r="J1170"/>
  <c r="S1169"/>
  <c r="R1169"/>
  <c r="Q1169"/>
  <c r="J1169"/>
  <c r="J1168"/>
  <c r="K1168" s="1"/>
  <c r="H1167" s="1"/>
  <c r="S1167"/>
  <c r="R1167"/>
  <c r="Q1167"/>
  <c r="J1167"/>
  <c r="S1166"/>
  <c r="R1166"/>
  <c r="Q1166"/>
  <c r="J1166"/>
  <c r="J1165"/>
  <c r="K1165" s="1"/>
  <c r="J1164"/>
  <c r="K1164" s="1"/>
  <c r="S1163"/>
  <c r="R1163"/>
  <c r="Q1163"/>
  <c r="J1163"/>
  <c r="J1162"/>
  <c r="K1162" s="1"/>
  <c r="H1161" s="1"/>
  <c r="S1161"/>
  <c r="R1161"/>
  <c r="Q1161"/>
  <c r="J1161"/>
  <c r="S1160"/>
  <c r="R1160"/>
  <c r="Q1160"/>
  <c r="J1160"/>
  <c r="S1159"/>
  <c r="R1159"/>
  <c r="Q1159"/>
  <c r="J1159"/>
  <c r="S1158"/>
  <c r="R1158"/>
  <c r="Q1158"/>
  <c r="J1158"/>
  <c r="J1157"/>
  <c r="K1157" s="1"/>
  <c r="H1156" s="1"/>
  <c r="S1156"/>
  <c r="R1156"/>
  <c r="Q1156"/>
  <c r="J1156"/>
  <c r="S1155"/>
  <c r="R1155"/>
  <c r="Q1155"/>
  <c r="J1155"/>
  <c r="S1154"/>
  <c r="R1154"/>
  <c r="Q1154"/>
  <c r="J1154"/>
  <c r="S1153"/>
  <c r="R1153"/>
  <c r="Q1153"/>
  <c r="J1153"/>
  <c r="J1152"/>
  <c r="K1152" s="1"/>
  <c r="J1151"/>
  <c r="K1151" s="1"/>
  <c r="S1150"/>
  <c r="R1150"/>
  <c r="Q1150"/>
  <c r="J1150"/>
  <c r="S1149"/>
  <c r="R1149"/>
  <c r="Q1149"/>
  <c r="J1149"/>
  <c r="S1148"/>
  <c r="R1148"/>
  <c r="Q1148"/>
  <c r="J1148"/>
  <c r="S1147"/>
  <c r="R1147"/>
  <c r="Q1147"/>
  <c r="J1147"/>
  <c r="S1146"/>
  <c r="R1146"/>
  <c r="Q1146"/>
  <c r="J1146"/>
  <c r="S1145"/>
  <c r="R1145"/>
  <c r="Q1145"/>
  <c r="J1145"/>
  <c r="J1144"/>
  <c r="K1144" s="1"/>
  <c r="H1143" s="1"/>
  <c r="S1143"/>
  <c r="R1143"/>
  <c r="Q1143"/>
  <c r="J1143"/>
  <c r="S1142"/>
  <c r="R1142"/>
  <c r="Q1142"/>
  <c r="J1142"/>
  <c r="J1141"/>
  <c r="K1141" s="1"/>
  <c r="H1140" s="1"/>
  <c r="P1140" s="1"/>
  <c r="S1140"/>
  <c r="R1140"/>
  <c r="Q1140"/>
  <c r="J1140"/>
  <c r="S1139"/>
  <c r="R1139"/>
  <c r="Q1139"/>
  <c r="J1139"/>
  <c r="S1138"/>
  <c r="R1138"/>
  <c r="Q1138"/>
  <c r="J1138"/>
  <c r="S1137"/>
  <c r="R1137"/>
  <c r="Q1137"/>
  <c r="J1137"/>
  <c r="S1136"/>
  <c r="R1136"/>
  <c r="Q1136"/>
  <c r="J1136"/>
  <c r="S1135"/>
  <c r="R1135"/>
  <c r="Q1135"/>
  <c r="J1135"/>
  <c r="J1134"/>
  <c r="K1134" s="1"/>
  <c r="H1133" s="1"/>
  <c r="S1133"/>
  <c r="R1133"/>
  <c r="Q1133"/>
  <c r="J1133"/>
  <c r="S1132"/>
  <c r="R1132"/>
  <c r="Q1132"/>
  <c r="J1132"/>
  <c r="S1131"/>
  <c r="R1131"/>
  <c r="Q1131"/>
  <c r="J1131"/>
  <c r="S1130"/>
  <c r="R1130"/>
  <c r="Q1130"/>
  <c r="J1130"/>
  <c r="J1129"/>
  <c r="K1129" s="1"/>
  <c r="H1128" s="1"/>
  <c r="S1128"/>
  <c r="R1128"/>
  <c r="Q1128"/>
  <c r="J1128"/>
  <c r="S1127"/>
  <c r="R1127"/>
  <c r="Q1127"/>
  <c r="J1127"/>
  <c r="S1126"/>
  <c r="R1126"/>
  <c r="Q1126"/>
  <c r="J1126"/>
  <c r="J1125"/>
  <c r="K1125" s="1"/>
  <c r="H1124" s="1"/>
  <c r="S1124"/>
  <c r="R1124"/>
  <c r="Q1124"/>
  <c r="J1124"/>
  <c r="S1123"/>
  <c r="R1123"/>
  <c r="Q1123"/>
  <c r="J1123"/>
  <c r="S1122"/>
  <c r="R1122"/>
  <c r="Q1122"/>
  <c r="J1122"/>
  <c r="J1121"/>
  <c r="K1121" s="1"/>
  <c r="H1120"/>
  <c r="H1119" s="1"/>
  <c r="S1120"/>
  <c r="R1120"/>
  <c r="Q1120"/>
  <c r="J1120"/>
  <c r="S1119"/>
  <c r="R1119"/>
  <c r="Q1119"/>
  <c r="J1119"/>
  <c r="S1118"/>
  <c r="R1118"/>
  <c r="Q1118"/>
  <c r="J1118"/>
  <c r="J1117"/>
  <c r="K1117" s="1"/>
  <c r="H1116" s="1"/>
  <c r="S1116"/>
  <c r="R1116"/>
  <c r="Q1116"/>
  <c r="J1116"/>
  <c r="S1115"/>
  <c r="R1115"/>
  <c r="Q1115"/>
  <c r="J1115"/>
  <c r="J1114"/>
  <c r="K1114" s="1"/>
  <c r="H1113" s="1"/>
  <c r="S1113"/>
  <c r="R1113"/>
  <c r="Q1113"/>
  <c r="J1113"/>
  <c r="S1112"/>
  <c r="R1112"/>
  <c r="Q1112"/>
  <c r="J1112"/>
  <c r="J1111"/>
  <c r="K1111" s="1"/>
  <c r="H1110" s="1"/>
  <c r="S1110"/>
  <c r="R1110"/>
  <c r="Q1110"/>
  <c r="J1110"/>
  <c r="S1109"/>
  <c r="R1109"/>
  <c r="Q1109"/>
  <c r="J1109"/>
  <c r="K1108"/>
  <c r="H1107" s="1"/>
  <c r="J1108"/>
  <c r="S1107"/>
  <c r="R1107"/>
  <c r="Q1107"/>
  <c r="J1107"/>
  <c r="S1106"/>
  <c r="R1106"/>
  <c r="Q1106"/>
  <c r="J1106"/>
  <c r="J1105"/>
  <c r="K1105" s="1"/>
  <c r="H1104" s="1"/>
  <c r="S1104"/>
  <c r="R1104"/>
  <c r="Q1104"/>
  <c r="J1104"/>
  <c r="S1103"/>
  <c r="R1103"/>
  <c r="Q1103"/>
  <c r="J1103"/>
  <c r="J1102"/>
  <c r="K1102" s="1"/>
  <c r="H1101"/>
  <c r="H1100" s="1"/>
  <c r="P1100" s="1"/>
  <c r="S1101"/>
  <c r="R1101"/>
  <c r="Q1101"/>
  <c r="J1101"/>
  <c r="S1100"/>
  <c r="R1100"/>
  <c r="Q1100"/>
  <c r="J1100"/>
  <c r="S1099"/>
  <c r="J1099"/>
  <c r="K1099" s="1"/>
  <c r="H1098" s="1"/>
  <c r="P1098" s="1"/>
  <c r="S1098"/>
  <c r="R1098"/>
  <c r="Q1098"/>
  <c r="J1098"/>
  <c r="S1097"/>
  <c r="R1097"/>
  <c r="Q1097"/>
  <c r="J1097"/>
  <c r="S1096"/>
  <c r="J1096"/>
  <c r="K1096" s="1"/>
  <c r="H1095"/>
  <c r="H1094" s="1"/>
  <c r="P1094" s="1"/>
  <c r="S1095"/>
  <c r="R1095"/>
  <c r="Q1095"/>
  <c r="P1095"/>
  <c r="J1095"/>
  <c r="S1094"/>
  <c r="R1094"/>
  <c r="Q1094"/>
  <c r="J1094"/>
  <c r="S1093"/>
  <c r="J1093"/>
  <c r="K1093" s="1"/>
  <c r="H1092" s="1"/>
  <c r="S1092"/>
  <c r="R1092"/>
  <c r="Q1092"/>
  <c r="J1092"/>
  <c r="S1091"/>
  <c r="R1091"/>
  <c r="Q1091"/>
  <c r="J1091"/>
  <c r="J1090"/>
  <c r="K1090" s="1"/>
  <c r="H1089" s="1"/>
  <c r="S1089"/>
  <c r="R1089"/>
  <c r="Q1089"/>
  <c r="J1089"/>
  <c r="S1088"/>
  <c r="R1088"/>
  <c r="Q1088"/>
  <c r="J1088"/>
  <c r="S1087"/>
  <c r="J1087"/>
  <c r="K1087" s="1"/>
  <c r="H1086" s="1"/>
  <c r="S1086"/>
  <c r="R1086"/>
  <c r="Q1086"/>
  <c r="J1086"/>
  <c r="S1085"/>
  <c r="R1085"/>
  <c r="Q1085"/>
  <c r="J1085"/>
  <c r="J1084"/>
  <c r="K1084" s="1"/>
  <c r="H1083" s="1"/>
  <c r="S1083"/>
  <c r="R1083"/>
  <c r="Q1083"/>
  <c r="J1083"/>
  <c r="S1082"/>
  <c r="R1082"/>
  <c r="Q1082"/>
  <c r="J1082"/>
  <c r="S1081"/>
  <c r="R1081"/>
  <c r="Q1081"/>
  <c r="J1081"/>
  <c r="S1080"/>
  <c r="R1080"/>
  <c r="Q1080"/>
  <c r="J1080"/>
  <c r="S1079"/>
  <c r="J1079"/>
  <c r="K1079" s="1"/>
  <c r="H1078" s="1"/>
  <c r="P1078" s="1"/>
  <c r="S1078"/>
  <c r="R1078"/>
  <c r="Q1078"/>
  <c r="J1078"/>
  <c r="S1077"/>
  <c r="J1077"/>
  <c r="K1077" s="1"/>
  <c r="H1076" s="1"/>
  <c r="S1076"/>
  <c r="R1076"/>
  <c r="Q1076"/>
  <c r="J1076"/>
  <c r="S1075"/>
  <c r="R1075"/>
  <c r="Q1075"/>
  <c r="J1075"/>
  <c r="S1074"/>
  <c r="J1074"/>
  <c r="K1074" s="1"/>
  <c r="H1073" s="1"/>
  <c r="S1073"/>
  <c r="R1073"/>
  <c r="Q1073"/>
  <c r="J1073"/>
  <c r="S1072"/>
  <c r="J1072"/>
  <c r="K1072" s="1"/>
  <c r="H1071" s="1"/>
  <c r="P1071" s="1"/>
  <c r="S1071"/>
  <c r="R1071"/>
  <c r="Q1071"/>
  <c r="J1071"/>
  <c r="S1070"/>
  <c r="R1070"/>
  <c r="Q1070"/>
  <c r="J1070"/>
  <c r="S1069"/>
  <c r="J1069"/>
  <c r="K1069" s="1"/>
  <c r="H1068" s="1"/>
  <c r="P1068" s="1"/>
  <c r="S1068"/>
  <c r="R1068"/>
  <c r="Q1068"/>
  <c r="J1068"/>
  <c r="S1067"/>
  <c r="J1067"/>
  <c r="K1067" s="1"/>
  <c r="H1066" s="1"/>
  <c r="S1066"/>
  <c r="R1066"/>
  <c r="Q1066"/>
  <c r="J1066"/>
  <c r="S1065"/>
  <c r="R1065"/>
  <c r="Q1065"/>
  <c r="J1065"/>
  <c r="S1064"/>
  <c r="J1064"/>
  <c r="K1064" s="1"/>
  <c r="H1063" s="1"/>
  <c r="S1063"/>
  <c r="R1063"/>
  <c r="Q1063"/>
  <c r="J1063"/>
  <c r="S1062"/>
  <c r="J1062"/>
  <c r="K1062" s="1"/>
  <c r="H1061" s="1"/>
  <c r="P1061" s="1"/>
  <c r="S1061"/>
  <c r="R1061"/>
  <c r="Q1061"/>
  <c r="J1061"/>
  <c r="S1060"/>
  <c r="R1060"/>
  <c r="Q1060"/>
  <c r="J1060"/>
  <c r="S1059"/>
  <c r="R1059"/>
  <c r="Q1059"/>
  <c r="J1059"/>
  <c r="J1058"/>
  <c r="K1058" s="1"/>
  <c r="H1057" s="1"/>
  <c r="J1057"/>
  <c r="J1056"/>
  <c r="K1056" s="1"/>
  <c r="H1055" s="1"/>
  <c r="J1055"/>
  <c r="J1054"/>
  <c r="S1053"/>
  <c r="J1053"/>
  <c r="K1053" s="1"/>
  <c r="H1052" s="1"/>
  <c r="P1052" s="1"/>
  <c r="S1052"/>
  <c r="R1052"/>
  <c r="Q1052"/>
  <c r="J1052"/>
  <c r="S1051"/>
  <c r="J1051"/>
  <c r="K1051" s="1"/>
  <c r="H1050" s="1"/>
  <c r="P1050" s="1"/>
  <c r="S1050"/>
  <c r="R1050"/>
  <c r="Q1050"/>
  <c r="J1050"/>
  <c r="S1049"/>
  <c r="R1049"/>
  <c r="Q1049"/>
  <c r="J1049"/>
  <c r="S1048"/>
  <c r="J1048"/>
  <c r="K1048" s="1"/>
  <c r="H1047" s="1"/>
  <c r="P1047" s="1"/>
  <c r="S1047"/>
  <c r="R1047"/>
  <c r="Q1047"/>
  <c r="J1047"/>
  <c r="S1046"/>
  <c r="J1046"/>
  <c r="K1046" s="1"/>
  <c r="H1045" s="1"/>
  <c r="S1045"/>
  <c r="R1045"/>
  <c r="Q1045"/>
  <c r="J1045"/>
  <c r="S1044"/>
  <c r="R1044"/>
  <c r="Q1044"/>
  <c r="J1044"/>
  <c r="S1043"/>
  <c r="J1043"/>
  <c r="K1043" s="1"/>
  <c r="H1042" s="1"/>
  <c r="S1042"/>
  <c r="R1042"/>
  <c r="Q1042"/>
  <c r="J1042"/>
  <c r="S1041"/>
  <c r="J1041"/>
  <c r="K1041" s="1"/>
  <c r="H1040"/>
  <c r="P1040" s="1"/>
  <c r="S1040"/>
  <c r="R1040"/>
  <c r="Q1040"/>
  <c r="J1040"/>
  <c r="S1039"/>
  <c r="R1039"/>
  <c r="Q1039"/>
  <c r="J1039"/>
  <c r="S1038"/>
  <c r="J1038"/>
  <c r="K1038" s="1"/>
  <c r="H1037" s="1"/>
  <c r="P1037" s="1"/>
  <c r="S1037"/>
  <c r="R1037"/>
  <c r="Q1037"/>
  <c r="J1037"/>
  <c r="S1036"/>
  <c r="K1036"/>
  <c r="H1035" s="1"/>
  <c r="J1036"/>
  <c r="S1035"/>
  <c r="R1035"/>
  <c r="Q1035"/>
  <c r="J1035"/>
  <c r="S1034"/>
  <c r="R1034"/>
  <c r="Q1034"/>
  <c r="J1034"/>
  <c r="S1033"/>
  <c r="J1033"/>
  <c r="K1033" s="1"/>
  <c r="H1032" s="1"/>
  <c r="P1032" s="1"/>
  <c r="S1032"/>
  <c r="R1032"/>
  <c r="Q1032"/>
  <c r="J1032"/>
  <c r="S1031"/>
  <c r="J1031"/>
  <c r="K1031" s="1"/>
  <c r="H1030"/>
  <c r="P1030" s="1"/>
  <c r="S1030"/>
  <c r="R1030"/>
  <c r="Q1030"/>
  <c r="J1030"/>
  <c r="S1029"/>
  <c r="R1029"/>
  <c r="Q1029"/>
  <c r="J1029"/>
  <c r="S1028"/>
  <c r="J1028"/>
  <c r="K1028" s="1"/>
  <c r="H1027" s="1"/>
  <c r="P1027" s="1"/>
  <c r="S1027"/>
  <c r="R1027"/>
  <c r="Q1027"/>
  <c r="J1027"/>
  <c r="S1026"/>
  <c r="J1026"/>
  <c r="K1026" s="1"/>
  <c r="H1025" s="1"/>
  <c r="S1025"/>
  <c r="R1025"/>
  <c r="Q1025"/>
  <c r="J1025"/>
  <c r="S1024"/>
  <c r="R1024"/>
  <c r="Q1024"/>
  <c r="J1024"/>
  <c r="S1023"/>
  <c r="J1023"/>
  <c r="K1023" s="1"/>
  <c r="H1022" s="1"/>
  <c r="S1022"/>
  <c r="R1022"/>
  <c r="Q1022"/>
  <c r="J1022"/>
  <c r="S1021"/>
  <c r="J1021"/>
  <c r="K1021" s="1"/>
  <c r="H1020"/>
  <c r="S1020"/>
  <c r="R1020"/>
  <c r="Q1020"/>
  <c r="P1020"/>
  <c r="J1020"/>
  <c r="S1019"/>
  <c r="R1019"/>
  <c r="Q1019"/>
  <c r="J1019"/>
  <c r="J1018"/>
  <c r="K1018" s="1"/>
  <c r="H1017" s="1"/>
  <c r="H1016" s="1"/>
  <c r="K1017"/>
  <c r="J1017"/>
  <c r="J1016"/>
  <c r="K1016" s="1"/>
  <c r="S1015"/>
  <c r="J1015"/>
  <c r="K1015" s="1"/>
  <c r="H1014" s="1"/>
  <c r="S1014"/>
  <c r="R1014"/>
  <c r="Q1014"/>
  <c r="J1014"/>
  <c r="S1013"/>
  <c r="R1013"/>
  <c r="Q1013"/>
  <c r="J1013"/>
  <c r="J1012"/>
  <c r="K1012" s="1"/>
  <c r="H1011" s="1"/>
  <c r="P1011" s="1"/>
  <c r="S1011"/>
  <c r="R1011"/>
  <c r="Q1011"/>
  <c r="J1011"/>
  <c r="S1010"/>
  <c r="J1010"/>
  <c r="K1010" s="1"/>
  <c r="H1009" s="1"/>
  <c r="S1009"/>
  <c r="R1009"/>
  <c r="Q1009"/>
  <c r="J1009"/>
  <c r="S1008"/>
  <c r="R1008"/>
  <c r="Q1008"/>
  <c r="J1008"/>
  <c r="S1007"/>
  <c r="J1007"/>
  <c r="K1007" s="1"/>
  <c r="H1006" s="1"/>
  <c r="P1006" s="1"/>
  <c r="S1006"/>
  <c r="R1006"/>
  <c r="Q1006"/>
  <c r="J1006"/>
  <c r="S1005"/>
  <c r="J1005"/>
  <c r="K1005" s="1"/>
  <c r="H1004" s="1"/>
  <c r="S1004"/>
  <c r="R1004"/>
  <c r="Q1004"/>
  <c r="J1004"/>
  <c r="S1003"/>
  <c r="R1003"/>
  <c r="Q1003"/>
  <c r="J1003"/>
  <c r="S1002"/>
  <c r="J1002"/>
  <c r="K1002" s="1"/>
  <c r="H1001" s="1"/>
  <c r="P1001" s="1"/>
  <c r="S1001"/>
  <c r="R1001"/>
  <c r="Q1001"/>
  <c r="J1001"/>
  <c r="S1000"/>
  <c r="J1000"/>
  <c r="K1000" s="1"/>
  <c r="H999" s="1"/>
  <c r="S999"/>
  <c r="R999"/>
  <c r="Q999"/>
  <c r="J999"/>
  <c r="S998"/>
  <c r="R998"/>
  <c r="Q998"/>
  <c r="J998"/>
  <c r="S997"/>
  <c r="R997"/>
  <c r="Q997"/>
  <c r="J997"/>
  <c r="S996"/>
  <c r="R996"/>
  <c r="Q996"/>
  <c r="J996"/>
  <c r="S995"/>
  <c r="R995"/>
  <c r="Q995"/>
  <c r="J995"/>
  <c r="S994"/>
  <c r="R994"/>
  <c r="Q994"/>
  <c r="J994"/>
  <c r="S993"/>
  <c r="R993"/>
  <c r="Q993"/>
  <c r="J993"/>
  <c r="S992"/>
  <c r="J992"/>
  <c r="K992" s="1"/>
  <c r="H991"/>
  <c r="H990" s="1"/>
  <c r="S991"/>
  <c r="R991"/>
  <c r="Q991"/>
  <c r="J991"/>
  <c r="S990"/>
  <c r="R990"/>
  <c r="Q990"/>
  <c r="J990"/>
  <c r="S989"/>
  <c r="R989"/>
  <c r="Q989"/>
  <c r="J989"/>
  <c r="S988"/>
  <c r="R988"/>
  <c r="Q988"/>
  <c r="J988"/>
  <c r="S987"/>
  <c r="R987"/>
  <c r="Q987"/>
  <c r="J987"/>
  <c r="S986"/>
  <c r="R986"/>
  <c r="Q986"/>
  <c r="J986"/>
  <c r="S985"/>
  <c r="R985"/>
  <c r="Q985"/>
  <c r="J985"/>
  <c r="J984"/>
  <c r="K984" s="1"/>
  <c r="J983"/>
  <c r="K983" s="1"/>
  <c r="J982"/>
  <c r="K982" s="1"/>
  <c r="J981"/>
  <c r="K981" s="1"/>
  <c r="J980"/>
  <c r="K980" s="1"/>
  <c r="J979"/>
  <c r="K979" s="1"/>
  <c r="S978"/>
  <c r="J978"/>
  <c r="K978" s="1"/>
  <c r="H977" s="1"/>
  <c r="S977"/>
  <c r="R977"/>
  <c r="Q977"/>
  <c r="J977"/>
  <c r="S976"/>
  <c r="R976"/>
  <c r="Q976"/>
  <c r="J976"/>
  <c r="S975"/>
  <c r="R975"/>
  <c r="Q975"/>
  <c r="J975"/>
  <c r="S974"/>
  <c r="R974"/>
  <c r="Q974"/>
  <c r="J974"/>
  <c r="S973"/>
  <c r="R973"/>
  <c r="Q973"/>
  <c r="J973"/>
  <c r="S972"/>
  <c r="R972"/>
  <c r="Q972"/>
  <c r="J972"/>
  <c r="S971"/>
  <c r="R971"/>
  <c r="Q971"/>
  <c r="J971"/>
  <c r="S970"/>
  <c r="R970"/>
  <c r="Q970"/>
  <c r="J970"/>
  <c r="S969"/>
  <c r="R969"/>
  <c r="Q969"/>
  <c r="P969"/>
  <c r="J969"/>
  <c r="J968"/>
  <c r="K968" s="1"/>
  <c r="H967"/>
  <c r="H966" s="1"/>
  <c r="S967"/>
  <c r="R967"/>
  <c r="Q967"/>
  <c r="P967"/>
  <c r="J967"/>
  <c r="S966"/>
  <c r="R966"/>
  <c r="Q966"/>
  <c r="J966"/>
  <c r="S965"/>
  <c r="R965"/>
  <c r="Q965"/>
  <c r="J965"/>
  <c r="J964"/>
  <c r="K964" s="1"/>
  <c r="J963"/>
  <c r="K963" s="1"/>
  <c r="S962"/>
  <c r="R962"/>
  <c r="Q962"/>
  <c r="J962"/>
  <c r="S961"/>
  <c r="R961"/>
  <c r="Q961"/>
  <c r="J961"/>
  <c r="J960"/>
  <c r="K960" s="1"/>
  <c r="J959"/>
  <c r="K959" s="1"/>
  <c r="J958"/>
  <c r="K958" s="1"/>
  <c r="H957" s="1"/>
  <c r="P957" s="1"/>
  <c r="S957"/>
  <c r="R957"/>
  <c r="Q957"/>
  <c r="J957"/>
  <c r="J956"/>
  <c r="K956" s="1"/>
  <c r="H955" s="1"/>
  <c r="P955" s="1"/>
  <c r="S955"/>
  <c r="R955"/>
  <c r="Q955"/>
  <c r="J955"/>
  <c r="J954"/>
  <c r="K954" s="1"/>
  <c r="J953"/>
  <c r="K953" s="1"/>
  <c r="S952"/>
  <c r="R952"/>
  <c r="Q952"/>
  <c r="J952"/>
  <c r="S951"/>
  <c r="R951"/>
  <c r="Q951"/>
  <c r="J951"/>
  <c r="S950"/>
  <c r="R950"/>
  <c r="Q950"/>
  <c r="J950"/>
  <c r="S949"/>
  <c r="R949"/>
  <c r="Q949"/>
  <c r="J949"/>
  <c r="S948"/>
  <c r="R948"/>
  <c r="Q948"/>
  <c r="J948"/>
  <c r="K947"/>
  <c r="H946" s="1"/>
  <c r="H945" s="1"/>
  <c r="H944" s="1"/>
  <c r="H943" s="1"/>
  <c r="J947"/>
  <c r="J946"/>
  <c r="J945"/>
  <c r="J944"/>
  <c r="J943"/>
  <c r="J942"/>
  <c r="K942" s="1"/>
  <c r="H941" s="1"/>
  <c r="S941"/>
  <c r="R941"/>
  <c r="Q941"/>
  <c r="J941"/>
  <c r="S940"/>
  <c r="R940"/>
  <c r="Q940"/>
  <c r="J940"/>
  <c r="S939"/>
  <c r="R939"/>
  <c r="Q939"/>
  <c r="J939"/>
  <c r="S938"/>
  <c r="R938"/>
  <c r="Q938"/>
  <c r="J938"/>
  <c r="S937"/>
  <c r="R937"/>
  <c r="Q937"/>
  <c r="J937"/>
  <c r="J936"/>
  <c r="K936" s="1"/>
  <c r="H935" s="1"/>
  <c r="S935"/>
  <c r="R935"/>
  <c r="Q935"/>
  <c r="J935"/>
  <c r="S934"/>
  <c r="R934"/>
  <c r="Q934"/>
  <c r="J934"/>
  <c r="S933"/>
  <c r="R933"/>
  <c r="Q933"/>
  <c r="J933"/>
  <c r="S932"/>
  <c r="R932"/>
  <c r="Q932"/>
  <c r="J932"/>
  <c r="S931"/>
  <c r="R931"/>
  <c r="Q931"/>
  <c r="J931"/>
  <c r="J930"/>
  <c r="K930" s="1"/>
  <c r="H929"/>
  <c r="H928" s="1"/>
  <c r="S929"/>
  <c r="R929"/>
  <c r="Q929"/>
  <c r="J929"/>
  <c r="S928"/>
  <c r="R928"/>
  <c r="Q928"/>
  <c r="J928"/>
  <c r="S927"/>
  <c r="R927"/>
  <c r="Q927"/>
  <c r="J927"/>
  <c r="S926"/>
  <c r="R926"/>
  <c r="Q926"/>
  <c r="J926"/>
  <c r="S925"/>
  <c r="R925"/>
  <c r="Q925"/>
  <c r="J925"/>
  <c r="K924"/>
  <c r="H923" s="1"/>
  <c r="J924"/>
  <c r="J923"/>
  <c r="J922"/>
  <c r="K922" s="1"/>
  <c r="H921" s="1"/>
  <c r="S921"/>
  <c r="R921"/>
  <c r="Q921"/>
  <c r="J921"/>
  <c r="S920"/>
  <c r="R920"/>
  <c r="Q920"/>
  <c r="J920"/>
  <c r="S919"/>
  <c r="R919"/>
  <c r="Q919"/>
  <c r="J919"/>
  <c r="J918"/>
  <c r="K918" s="1"/>
  <c r="H917" s="1"/>
  <c r="S917"/>
  <c r="R917"/>
  <c r="Q917"/>
  <c r="J917"/>
  <c r="S916"/>
  <c r="R916"/>
  <c r="Q916"/>
  <c r="J916"/>
  <c r="S915"/>
  <c r="R915"/>
  <c r="Q915"/>
  <c r="J915"/>
  <c r="J914"/>
  <c r="K914" s="1"/>
  <c r="H913" s="1"/>
  <c r="H909" s="1"/>
  <c r="J913"/>
  <c r="J912"/>
  <c r="J911"/>
  <c r="J910"/>
  <c r="J909"/>
  <c r="J908"/>
  <c r="K908" s="1"/>
  <c r="H907" s="1"/>
  <c r="H903" s="1"/>
  <c r="J907"/>
  <c r="J906"/>
  <c r="J905"/>
  <c r="J904"/>
  <c r="J903"/>
  <c r="J902"/>
  <c r="J901"/>
  <c r="K901" s="1"/>
  <c r="H900" s="1"/>
  <c r="S900"/>
  <c r="R900"/>
  <c r="Q900"/>
  <c r="J900"/>
  <c r="S899"/>
  <c r="R899"/>
  <c r="Q899"/>
  <c r="J899"/>
  <c r="S898"/>
  <c r="R898"/>
  <c r="Q898"/>
  <c r="J898"/>
  <c r="J897"/>
  <c r="K897" s="1"/>
  <c r="H896" s="1"/>
  <c r="P896" s="1"/>
  <c r="S896"/>
  <c r="R896"/>
  <c r="Q896"/>
  <c r="J896"/>
  <c r="J895"/>
  <c r="K895" s="1"/>
  <c r="H894" s="1"/>
  <c r="S894"/>
  <c r="R894"/>
  <c r="Q894"/>
  <c r="J894"/>
  <c r="S893"/>
  <c r="R893"/>
  <c r="Q893"/>
  <c r="J893"/>
  <c r="S892"/>
  <c r="R892"/>
  <c r="Q892"/>
  <c r="J892"/>
  <c r="J891"/>
  <c r="K891" s="1"/>
  <c r="H890" s="1"/>
  <c r="S890"/>
  <c r="R890"/>
  <c r="Q890"/>
  <c r="J890"/>
  <c r="S889"/>
  <c r="R889"/>
  <c r="Q889"/>
  <c r="J889"/>
  <c r="J888"/>
  <c r="K888" s="1"/>
  <c r="H887" s="1"/>
  <c r="S887"/>
  <c r="R887"/>
  <c r="Q887"/>
  <c r="J887"/>
  <c r="S886"/>
  <c r="R886"/>
  <c r="Q886"/>
  <c r="J886"/>
  <c r="S885"/>
  <c r="R885"/>
  <c r="Q885"/>
  <c r="J885"/>
  <c r="J884"/>
  <c r="K884" s="1"/>
  <c r="H883" s="1"/>
  <c r="S883"/>
  <c r="R883"/>
  <c r="Q883"/>
  <c r="J883"/>
  <c r="S882"/>
  <c r="R882"/>
  <c r="Q882"/>
  <c r="J882"/>
  <c r="S881"/>
  <c r="R881"/>
  <c r="Q881"/>
  <c r="J881"/>
  <c r="K880"/>
  <c r="J880"/>
  <c r="J879"/>
  <c r="K879" s="1"/>
  <c r="H878" s="1"/>
  <c r="P878" s="1"/>
  <c r="S878"/>
  <c r="R878"/>
  <c r="Q878"/>
  <c r="J878"/>
  <c r="J877"/>
  <c r="K877" s="1"/>
  <c r="H876" s="1"/>
  <c r="S876"/>
  <c r="R876"/>
  <c r="Q876"/>
  <c r="J876"/>
  <c r="S875"/>
  <c r="R875"/>
  <c r="Q875"/>
  <c r="J875"/>
  <c r="S874"/>
  <c r="R874"/>
  <c r="Q874"/>
  <c r="J874"/>
  <c r="S873"/>
  <c r="R873"/>
  <c r="Q873"/>
  <c r="J873"/>
  <c r="J872"/>
  <c r="K872" s="1"/>
  <c r="H871" s="1"/>
  <c r="P871" s="1"/>
  <c r="S871"/>
  <c r="R871"/>
  <c r="Q871"/>
  <c r="J871"/>
  <c r="J870"/>
  <c r="K870" s="1"/>
  <c r="H869" s="1"/>
  <c r="S869"/>
  <c r="R869"/>
  <c r="Q869"/>
  <c r="J869"/>
  <c r="S868"/>
  <c r="R868"/>
  <c r="Q868"/>
  <c r="J868"/>
  <c r="S867"/>
  <c r="R867"/>
  <c r="Q867"/>
  <c r="J867"/>
  <c r="S866"/>
  <c r="R866"/>
  <c r="Q866"/>
  <c r="J866"/>
  <c r="S865"/>
  <c r="R865"/>
  <c r="Q865"/>
  <c r="J865"/>
  <c r="S864"/>
  <c r="R864"/>
  <c r="Q864"/>
  <c r="J864"/>
  <c r="S863"/>
  <c r="R863"/>
  <c r="Q863"/>
  <c r="J863"/>
  <c r="J862"/>
  <c r="K862" s="1"/>
  <c r="H861" s="1"/>
  <c r="S861"/>
  <c r="R861"/>
  <c r="Q861"/>
  <c r="J861"/>
  <c r="S860"/>
  <c r="R860"/>
  <c r="Q860"/>
  <c r="J860"/>
  <c r="S859"/>
  <c r="R859"/>
  <c r="Q859"/>
  <c r="J859"/>
  <c r="S858"/>
  <c r="R858"/>
  <c r="Q858"/>
  <c r="J858"/>
  <c r="S857"/>
  <c r="R857"/>
  <c r="Q857"/>
  <c r="J857"/>
  <c r="J856"/>
  <c r="K856" s="1"/>
  <c r="H855" s="1"/>
  <c r="S855"/>
  <c r="R855"/>
  <c r="Q855"/>
  <c r="J855"/>
  <c r="S854"/>
  <c r="R854"/>
  <c r="Q854"/>
  <c r="J854"/>
  <c r="S853"/>
  <c r="R853"/>
  <c r="Q853"/>
  <c r="J853"/>
  <c r="J852"/>
  <c r="K852" s="1"/>
  <c r="H851" s="1"/>
  <c r="S851"/>
  <c r="R851"/>
  <c r="Q851"/>
  <c r="J851"/>
  <c r="S850"/>
  <c r="R850"/>
  <c r="Q850"/>
  <c r="J850"/>
  <c r="S849"/>
  <c r="R849"/>
  <c r="Q849"/>
  <c r="J849"/>
  <c r="J848"/>
  <c r="K848" s="1"/>
  <c r="H847" s="1"/>
  <c r="S847"/>
  <c r="R847"/>
  <c r="Q847"/>
  <c r="J847"/>
  <c r="S846"/>
  <c r="R846"/>
  <c r="Q846"/>
  <c r="J846"/>
  <c r="S845"/>
  <c r="R845"/>
  <c r="Q845"/>
  <c r="J845"/>
  <c r="J844"/>
  <c r="K844" s="1"/>
  <c r="H843" s="1"/>
  <c r="S843"/>
  <c r="R843"/>
  <c r="Q843"/>
  <c r="J843"/>
  <c r="S842"/>
  <c r="R842"/>
  <c r="Q842"/>
  <c r="J842"/>
  <c r="S841"/>
  <c r="R841"/>
  <c r="Q841"/>
  <c r="J841"/>
  <c r="J840"/>
  <c r="K840" s="1"/>
  <c r="H839" s="1"/>
  <c r="H838" s="1"/>
  <c r="J839"/>
  <c r="J838"/>
  <c r="J837"/>
  <c r="K837" s="1"/>
  <c r="H836" s="1"/>
  <c r="P836" s="1"/>
  <c r="S836"/>
  <c r="R836"/>
  <c r="Q836"/>
  <c r="J836"/>
  <c r="S835"/>
  <c r="R835"/>
  <c r="Q835"/>
  <c r="J835"/>
  <c r="K835" s="1"/>
  <c r="P835" s="1"/>
  <c r="S834"/>
  <c r="R834"/>
  <c r="Q834"/>
  <c r="J834"/>
  <c r="K834" s="1"/>
  <c r="P834" s="1"/>
  <c r="S833"/>
  <c r="J833"/>
  <c r="K833" s="1"/>
  <c r="H832" s="1"/>
  <c r="S832"/>
  <c r="R832"/>
  <c r="Q832"/>
  <c r="J832"/>
  <c r="S831"/>
  <c r="R831"/>
  <c r="Q831"/>
  <c r="J831"/>
  <c r="S830"/>
  <c r="R830"/>
  <c r="Q830"/>
  <c r="J830"/>
  <c r="J829"/>
  <c r="K829" s="1"/>
  <c r="H828" s="1"/>
  <c r="S828"/>
  <c r="R828"/>
  <c r="Q828"/>
  <c r="J828"/>
  <c r="S827"/>
  <c r="R827"/>
  <c r="Q827"/>
  <c r="J827"/>
  <c r="S826"/>
  <c r="R826"/>
  <c r="Q826"/>
  <c r="J826"/>
  <c r="S825"/>
  <c r="R825"/>
  <c r="Q825"/>
  <c r="J825"/>
  <c r="S824"/>
  <c r="R824"/>
  <c r="Q824"/>
  <c r="J824"/>
  <c r="S823"/>
  <c r="J823"/>
  <c r="K823" s="1"/>
  <c r="H822" s="1"/>
  <c r="S822"/>
  <c r="R822"/>
  <c r="Q822"/>
  <c r="J822"/>
  <c r="S821"/>
  <c r="R821"/>
  <c r="Q821"/>
  <c r="J821"/>
  <c r="S820"/>
  <c r="R820"/>
  <c r="Q820"/>
  <c r="J820"/>
  <c r="S819"/>
  <c r="R819"/>
  <c r="Q819"/>
  <c r="J819"/>
  <c r="S818"/>
  <c r="R818"/>
  <c r="Q818"/>
  <c r="J818"/>
  <c r="S817"/>
  <c r="R817"/>
  <c r="Q817"/>
  <c r="J817"/>
  <c r="J816"/>
  <c r="K816" s="1"/>
  <c r="H815" s="1"/>
  <c r="P815" s="1"/>
  <c r="S815"/>
  <c r="R815"/>
  <c r="Q815"/>
  <c r="J815"/>
  <c r="J814"/>
  <c r="K814" s="1"/>
  <c r="H813" s="1"/>
  <c r="S813"/>
  <c r="R813"/>
  <c r="Q813"/>
  <c r="J813"/>
  <c r="S812"/>
  <c r="R812"/>
  <c r="Q812"/>
  <c r="J812"/>
  <c r="S811"/>
  <c r="R811"/>
  <c r="Q811"/>
  <c r="J811"/>
  <c r="S810"/>
  <c r="R810"/>
  <c r="Q810"/>
  <c r="J810"/>
  <c r="J809"/>
  <c r="K809" s="1"/>
  <c r="H808" s="1"/>
  <c r="S808"/>
  <c r="R808"/>
  <c r="Q808"/>
  <c r="J808"/>
  <c r="S807"/>
  <c r="R807"/>
  <c r="Q807"/>
  <c r="J807"/>
  <c r="S806"/>
  <c r="R806"/>
  <c r="Q806"/>
  <c r="J806"/>
  <c r="S805"/>
  <c r="R805"/>
  <c r="Q805"/>
  <c r="J805"/>
  <c r="S804"/>
  <c r="R804"/>
  <c r="Q804"/>
  <c r="J804"/>
  <c r="J803"/>
  <c r="K803" s="1"/>
  <c r="H802" s="1"/>
  <c r="P802" s="1"/>
  <c r="S802"/>
  <c r="R802"/>
  <c r="Q802"/>
  <c r="J802"/>
  <c r="J801"/>
  <c r="K801" s="1"/>
  <c r="H800" s="1"/>
  <c r="S800"/>
  <c r="R800"/>
  <c r="Q800"/>
  <c r="J800"/>
  <c r="S799"/>
  <c r="R799"/>
  <c r="Q799"/>
  <c r="J799"/>
  <c r="S798"/>
  <c r="R798"/>
  <c r="Q798"/>
  <c r="J798"/>
  <c r="S797"/>
  <c r="R797"/>
  <c r="Q797"/>
  <c r="J797"/>
  <c r="S796"/>
  <c r="R796"/>
  <c r="Q796"/>
  <c r="J796"/>
  <c r="J795"/>
  <c r="K795" s="1"/>
  <c r="H794" s="1"/>
  <c r="S794"/>
  <c r="R794"/>
  <c r="Q794"/>
  <c r="J794"/>
  <c r="S793"/>
  <c r="R793"/>
  <c r="Q793"/>
  <c r="J793"/>
  <c r="S792"/>
  <c r="R792"/>
  <c r="Q792"/>
  <c r="J792"/>
  <c r="K791"/>
  <c r="H790" s="1"/>
  <c r="P790" s="1"/>
  <c r="J791"/>
  <c r="S790"/>
  <c r="R790"/>
  <c r="Q790"/>
  <c r="J790"/>
  <c r="J789"/>
  <c r="K789" s="1"/>
  <c r="H788" s="1"/>
  <c r="S788"/>
  <c r="R788"/>
  <c r="Q788"/>
  <c r="J788"/>
  <c r="S787"/>
  <c r="R787"/>
  <c r="Q787"/>
  <c r="J787"/>
  <c r="S786"/>
  <c r="R786"/>
  <c r="Q786"/>
  <c r="J786"/>
  <c r="J785"/>
  <c r="K785" s="1"/>
  <c r="H784" s="1"/>
  <c r="S784"/>
  <c r="R784"/>
  <c r="Q784"/>
  <c r="J784"/>
  <c r="S783"/>
  <c r="R783"/>
  <c r="Q783"/>
  <c r="J783"/>
  <c r="S782"/>
  <c r="R782"/>
  <c r="Q782"/>
  <c r="J782"/>
  <c r="J781"/>
  <c r="K781" s="1"/>
  <c r="H780"/>
  <c r="P780" s="1"/>
  <c r="S780"/>
  <c r="R780"/>
  <c r="Q780"/>
  <c r="J780"/>
  <c r="J779"/>
  <c r="K779" s="1"/>
  <c r="H778" s="1"/>
  <c r="S778"/>
  <c r="R778"/>
  <c r="Q778"/>
  <c r="J778"/>
  <c r="S777"/>
  <c r="R777"/>
  <c r="Q777"/>
  <c r="J777"/>
  <c r="S776"/>
  <c r="R776"/>
  <c r="Q776"/>
  <c r="J776"/>
  <c r="S775"/>
  <c r="R775"/>
  <c r="Q775"/>
  <c r="J775"/>
  <c r="J774"/>
  <c r="K774" s="1"/>
  <c r="H773"/>
  <c r="P773" s="1"/>
  <c r="S773"/>
  <c r="R773"/>
  <c r="Q773"/>
  <c r="J773"/>
  <c r="J772"/>
  <c r="K772" s="1"/>
  <c r="H771" s="1"/>
  <c r="S771"/>
  <c r="R771"/>
  <c r="Q771"/>
  <c r="J771"/>
  <c r="S770"/>
  <c r="R770"/>
  <c r="Q770"/>
  <c r="J770"/>
  <c r="S769"/>
  <c r="R769"/>
  <c r="Q769"/>
  <c r="J769"/>
  <c r="S768"/>
  <c r="R768"/>
  <c r="Q768"/>
  <c r="J768"/>
  <c r="S767"/>
  <c r="R767"/>
  <c r="Q767"/>
  <c r="J767"/>
  <c r="S766"/>
  <c r="R766"/>
  <c r="Q766"/>
  <c r="J766"/>
  <c r="S765"/>
  <c r="R765"/>
  <c r="Q765"/>
  <c r="J765"/>
  <c r="J764"/>
  <c r="K764" s="1"/>
  <c r="H763" s="1"/>
  <c r="P763" s="1"/>
  <c r="S763"/>
  <c r="R763"/>
  <c r="Q763"/>
  <c r="J763"/>
  <c r="J762"/>
  <c r="K762" s="1"/>
  <c r="H761" s="1"/>
  <c r="P761" s="1"/>
  <c r="S761"/>
  <c r="R761"/>
  <c r="Q761"/>
  <c r="J761"/>
  <c r="S760"/>
  <c r="R760"/>
  <c r="Q760"/>
  <c r="J760"/>
  <c r="K760" s="1"/>
  <c r="P760" s="1"/>
  <c r="S759"/>
  <c r="J759"/>
  <c r="K759" s="1"/>
  <c r="H758" s="1"/>
  <c r="S758"/>
  <c r="R758"/>
  <c r="Q758"/>
  <c r="J758"/>
  <c r="S757"/>
  <c r="R757"/>
  <c r="Q757"/>
  <c r="J757"/>
  <c r="S756"/>
  <c r="R756"/>
  <c r="Q756"/>
  <c r="J756"/>
  <c r="S755"/>
  <c r="R755"/>
  <c r="Q755"/>
  <c r="J755"/>
  <c r="S754"/>
  <c r="R754"/>
  <c r="Q754"/>
  <c r="J754"/>
  <c r="S753"/>
  <c r="R753"/>
  <c r="Q753"/>
  <c r="J753"/>
  <c r="S752"/>
  <c r="R752"/>
  <c r="Q752"/>
  <c r="J752"/>
  <c r="S751"/>
  <c r="R751"/>
  <c r="Q751"/>
  <c r="P751"/>
  <c r="J751"/>
  <c r="J750"/>
  <c r="K750" s="1"/>
  <c r="H749" s="1"/>
  <c r="S749"/>
  <c r="R749"/>
  <c r="Q749"/>
  <c r="J749"/>
  <c r="S748"/>
  <c r="R748"/>
  <c r="Q748"/>
  <c r="J748"/>
  <c r="J747"/>
  <c r="K747" s="1"/>
  <c r="H746" s="1"/>
  <c r="S746"/>
  <c r="R746"/>
  <c r="Q746"/>
  <c r="J746"/>
  <c r="S745"/>
  <c r="R745"/>
  <c r="Q745"/>
  <c r="J745"/>
  <c r="J744"/>
  <c r="K744" s="1"/>
  <c r="H743" s="1"/>
  <c r="P743" s="1"/>
  <c r="S743"/>
  <c r="R743"/>
  <c r="Q743"/>
  <c r="J743"/>
  <c r="S742"/>
  <c r="R742"/>
  <c r="Q742"/>
  <c r="J742"/>
  <c r="J741"/>
  <c r="K741" s="1"/>
  <c r="H740" s="1"/>
  <c r="S740"/>
  <c r="R740"/>
  <c r="Q740"/>
  <c r="J740"/>
  <c r="S739"/>
  <c r="R739"/>
  <c r="Q739"/>
  <c r="J739"/>
  <c r="S738"/>
  <c r="R738"/>
  <c r="Q738"/>
  <c r="J738"/>
  <c r="J737"/>
  <c r="K737" s="1"/>
  <c r="H736" s="1"/>
  <c r="P736" s="1"/>
  <c r="S736"/>
  <c r="R736"/>
  <c r="Q736"/>
  <c r="J736"/>
  <c r="S735"/>
  <c r="J735"/>
  <c r="K735" s="1"/>
  <c r="H734" s="1"/>
  <c r="S734"/>
  <c r="R734"/>
  <c r="Q734"/>
  <c r="J734"/>
  <c r="S733"/>
  <c r="R733"/>
  <c r="Q733"/>
  <c r="J733"/>
  <c r="S732"/>
  <c r="R732"/>
  <c r="Q732"/>
  <c r="J732"/>
  <c r="S731"/>
  <c r="R731"/>
  <c r="Q731"/>
  <c r="J731"/>
  <c r="S730"/>
  <c r="R730"/>
  <c r="Q730"/>
  <c r="J730"/>
  <c r="S729"/>
  <c r="R729"/>
  <c r="Q729"/>
  <c r="J729"/>
  <c r="S728"/>
  <c r="R728"/>
  <c r="Q728"/>
  <c r="J728"/>
  <c r="J727"/>
  <c r="K727" s="1"/>
  <c r="H726" s="1"/>
  <c r="P726" s="1"/>
  <c r="S726"/>
  <c r="R726"/>
  <c r="Q726"/>
  <c r="J726"/>
  <c r="J725"/>
  <c r="K725" s="1"/>
  <c r="J724"/>
  <c r="K724" s="1"/>
  <c r="J723"/>
  <c r="K723" s="1"/>
  <c r="S722"/>
  <c r="R722"/>
  <c r="Q722"/>
  <c r="J722"/>
  <c r="S721"/>
  <c r="R721"/>
  <c r="Q721"/>
  <c r="J721"/>
  <c r="J720"/>
  <c r="K720" s="1"/>
  <c r="H719" s="1"/>
  <c r="P719" s="1"/>
  <c r="S719"/>
  <c r="R719"/>
  <c r="Q719"/>
  <c r="J719"/>
  <c r="J718"/>
  <c r="K718" s="1"/>
  <c r="J717"/>
  <c r="K717" s="1"/>
  <c r="H716" s="1"/>
  <c r="S716"/>
  <c r="R716"/>
  <c r="Q716"/>
  <c r="J716"/>
  <c r="S715"/>
  <c r="R715"/>
  <c r="Q715"/>
  <c r="J715"/>
  <c r="J714"/>
  <c r="K714" s="1"/>
  <c r="K713"/>
  <c r="H712" s="1"/>
  <c r="J713"/>
  <c r="S712"/>
  <c r="R712"/>
  <c r="Q712"/>
  <c r="J712"/>
  <c r="S711"/>
  <c r="R711"/>
  <c r="Q711"/>
  <c r="J711"/>
  <c r="J710"/>
  <c r="K710" s="1"/>
  <c r="J709"/>
  <c r="K709" s="1"/>
  <c r="J708"/>
  <c r="K708" s="1"/>
  <c r="S707"/>
  <c r="R707"/>
  <c r="Q707"/>
  <c r="J707"/>
  <c r="J706"/>
  <c r="K706" s="1"/>
  <c r="H705" s="1"/>
  <c r="P705" s="1"/>
  <c r="S705"/>
  <c r="R705"/>
  <c r="Q705"/>
  <c r="J705"/>
  <c r="J704"/>
  <c r="K704" s="1"/>
  <c r="J703"/>
  <c r="K703" s="1"/>
  <c r="S702"/>
  <c r="R702"/>
  <c r="Q702"/>
  <c r="J702"/>
  <c r="S701"/>
  <c r="R701"/>
  <c r="Q701"/>
  <c r="J701"/>
  <c r="S700"/>
  <c r="R700"/>
  <c r="Q700"/>
  <c r="J700"/>
  <c r="S699"/>
  <c r="R699"/>
  <c r="Q699"/>
  <c r="J699"/>
  <c r="J698"/>
  <c r="K698" s="1"/>
  <c r="H697" s="1"/>
  <c r="S697"/>
  <c r="R697"/>
  <c r="Q697"/>
  <c r="J697"/>
  <c r="S696"/>
  <c r="R696"/>
  <c r="Q696"/>
  <c r="J696"/>
  <c r="S695"/>
  <c r="R695"/>
  <c r="Q695"/>
  <c r="J695"/>
  <c r="S694"/>
  <c r="R694"/>
  <c r="Q694"/>
  <c r="J694"/>
  <c r="S693"/>
  <c r="R693"/>
  <c r="Q693"/>
  <c r="J693"/>
  <c r="J692"/>
  <c r="K692" s="1"/>
  <c r="H691" s="1"/>
  <c r="S691"/>
  <c r="R691"/>
  <c r="Q691"/>
  <c r="J691"/>
  <c r="S690"/>
  <c r="R690"/>
  <c r="Q690"/>
  <c r="J690"/>
  <c r="S689"/>
  <c r="R689"/>
  <c r="Q689"/>
  <c r="J689"/>
  <c r="J688"/>
  <c r="K688" s="1"/>
  <c r="H687" s="1"/>
  <c r="P687" s="1"/>
  <c r="S687"/>
  <c r="R687"/>
  <c r="Q687"/>
  <c r="J687"/>
  <c r="J686"/>
  <c r="K686" s="1"/>
  <c r="H685" s="1"/>
  <c r="P685" s="1"/>
  <c r="S685"/>
  <c r="R685"/>
  <c r="Q685"/>
  <c r="J685"/>
  <c r="S684"/>
  <c r="J684"/>
  <c r="K684" s="1"/>
  <c r="H683" s="1"/>
  <c r="S683"/>
  <c r="R683"/>
  <c r="Q683"/>
  <c r="J683"/>
  <c r="S682"/>
  <c r="R682"/>
  <c r="Q682"/>
  <c r="J682"/>
  <c r="S681"/>
  <c r="R681"/>
  <c r="Q681"/>
  <c r="J681"/>
  <c r="S680"/>
  <c r="R680"/>
  <c r="Q680"/>
  <c r="J680"/>
  <c r="S679"/>
  <c r="R679"/>
  <c r="Q679"/>
  <c r="J679"/>
  <c r="S678"/>
  <c r="R678"/>
  <c r="Q678"/>
  <c r="J678"/>
  <c r="J677"/>
  <c r="K677" s="1"/>
  <c r="H676" s="1"/>
  <c r="S676"/>
  <c r="R676"/>
  <c r="Q676"/>
  <c r="J676"/>
  <c r="S675"/>
  <c r="R675"/>
  <c r="Q675"/>
  <c r="J675"/>
  <c r="S674"/>
  <c r="R674"/>
  <c r="Q674"/>
  <c r="J674"/>
  <c r="S673"/>
  <c r="R673"/>
  <c r="Q673"/>
  <c r="J673"/>
  <c r="S672"/>
  <c r="R672"/>
  <c r="Q672"/>
  <c r="J672"/>
  <c r="J671"/>
  <c r="K671" s="1"/>
  <c r="H670" s="1"/>
  <c r="J670"/>
  <c r="K670" s="1"/>
  <c r="K669"/>
  <c r="H668" s="1"/>
  <c r="J669"/>
  <c r="S668"/>
  <c r="R668"/>
  <c r="Q668"/>
  <c r="J668"/>
  <c r="S667"/>
  <c r="R667"/>
  <c r="Q667"/>
  <c r="J667"/>
  <c r="J666"/>
  <c r="K666" s="1"/>
  <c r="H665" s="1"/>
  <c r="S665"/>
  <c r="R665"/>
  <c r="Q665"/>
  <c r="J665"/>
  <c r="S664"/>
  <c r="R664"/>
  <c r="Q664"/>
  <c r="J664"/>
  <c r="S663"/>
  <c r="R663"/>
  <c r="Q663"/>
  <c r="J663"/>
  <c r="S662"/>
  <c r="R662"/>
  <c r="Q662"/>
  <c r="J662"/>
  <c r="S661"/>
  <c r="R661"/>
  <c r="Q661"/>
  <c r="J661"/>
  <c r="S660"/>
  <c r="R660"/>
  <c r="Q660"/>
  <c r="J660"/>
  <c r="J659"/>
  <c r="K659" s="1"/>
  <c r="H658" s="1"/>
  <c r="P658" s="1"/>
  <c r="S658"/>
  <c r="R658"/>
  <c r="Q658"/>
  <c r="J658"/>
  <c r="K657"/>
  <c r="H656" s="1"/>
  <c r="J657"/>
  <c r="S656"/>
  <c r="R656"/>
  <c r="Q656"/>
  <c r="J656"/>
  <c r="S655"/>
  <c r="R655"/>
  <c r="Q655"/>
  <c r="J655"/>
  <c r="S654"/>
  <c r="R654"/>
  <c r="Q654"/>
  <c r="J654"/>
  <c r="S653"/>
  <c r="R653"/>
  <c r="Q653"/>
  <c r="J653"/>
  <c r="S652"/>
  <c r="R652"/>
  <c r="Q652"/>
  <c r="J652"/>
  <c r="J651"/>
  <c r="K651" s="1"/>
  <c r="H650" s="1"/>
  <c r="S650"/>
  <c r="R650"/>
  <c r="Q650"/>
  <c r="J650"/>
  <c r="S649"/>
  <c r="R649"/>
  <c r="Q649"/>
  <c r="J649"/>
  <c r="S648"/>
  <c r="R648"/>
  <c r="Q648"/>
  <c r="J648"/>
  <c r="S647"/>
  <c r="R647"/>
  <c r="Q647"/>
  <c r="J647"/>
  <c r="J646"/>
  <c r="K646" s="1"/>
  <c r="H645" s="1"/>
  <c r="S645"/>
  <c r="R645"/>
  <c r="Q645"/>
  <c r="J645"/>
  <c r="S644"/>
  <c r="R644"/>
  <c r="Q644"/>
  <c r="J644"/>
  <c r="S643"/>
  <c r="R643"/>
  <c r="Q643"/>
  <c r="J643"/>
  <c r="S642"/>
  <c r="R642"/>
  <c r="Q642"/>
  <c r="J642"/>
  <c r="J641"/>
  <c r="K641" s="1"/>
  <c r="H640" s="1"/>
  <c r="S640"/>
  <c r="R640"/>
  <c r="Q640"/>
  <c r="J640"/>
  <c r="S639"/>
  <c r="R639"/>
  <c r="Q639"/>
  <c r="J639"/>
  <c r="S638"/>
  <c r="R638"/>
  <c r="Q638"/>
  <c r="J638"/>
  <c r="S637"/>
  <c r="R637"/>
  <c r="Q637"/>
  <c r="J637"/>
  <c r="S636"/>
  <c r="R636"/>
  <c r="Q636"/>
  <c r="J636"/>
  <c r="J635"/>
  <c r="K635" s="1"/>
  <c r="H634" s="1"/>
  <c r="S634"/>
  <c r="R634"/>
  <c r="Q634"/>
  <c r="J634"/>
  <c r="S633"/>
  <c r="R633"/>
  <c r="Q633"/>
  <c r="J633"/>
  <c r="S632"/>
  <c r="R632"/>
  <c r="Q632"/>
  <c r="J632"/>
  <c r="J631"/>
  <c r="K631" s="1"/>
  <c r="H630" s="1"/>
  <c r="P630" s="1"/>
  <c r="S630"/>
  <c r="R630"/>
  <c r="Q630"/>
  <c r="J630"/>
  <c r="J629"/>
  <c r="K629" s="1"/>
  <c r="H628" s="1"/>
  <c r="P628" s="1"/>
  <c r="S628"/>
  <c r="R628"/>
  <c r="Q628"/>
  <c r="J628"/>
  <c r="S627"/>
  <c r="R627"/>
  <c r="Q627"/>
  <c r="J627"/>
  <c r="S626"/>
  <c r="R626"/>
  <c r="Q626"/>
  <c r="J626"/>
  <c r="S625"/>
  <c r="R625"/>
  <c r="Q625"/>
  <c r="J625"/>
  <c r="S624"/>
  <c r="R624"/>
  <c r="Q624"/>
  <c r="J624"/>
  <c r="S623"/>
  <c r="R623"/>
  <c r="Q623"/>
  <c r="J623"/>
  <c r="J622"/>
  <c r="K622" s="1"/>
  <c r="H621" s="1"/>
  <c r="S621"/>
  <c r="R621"/>
  <c r="Q621"/>
  <c r="J621"/>
  <c r="S620"/>
  <c r="R620"/>
  <c r="Q620"/>
  <c r="J620"/>
  <c r="S619"/>
  <c r="R619"/>
  <c r="Q619"/>
  <c r="J619"/>
  <c r="S618"/>
  <c r="R618"/>
  <c r="Q618"/>
  <c r="J618"/>
  <c r="S617"/>
  <c r="R617"/>
  <c r="Q617"/>
  <c r="J617"/>
  <c r="J616"/>
  <c r="K616" s="1"/>
  <c r="H615" s="1"/>
  <c r="S615"/>
  <c r="R615"/>
  <c r="Q615"/>
  <c r="J615"/>
  <c r="S614"/>
  <c r="R614"/>
  <c r="Q614"/>
  <c r="J614"/>
  <c r="S613"/>
  <c r="R613"/>
  <c r="Q613"/>
  <c r="J613"/>
  <c r="S612"/>
  <c r="R612"/>
  <c r="Q612"/>
  <c r="J612"/>
  <c r="S611"/>
  <c r="R611"/>
  <c r="Q611"/>
  <c r="J611"/>
  <c r="J610"/>
  <c r="K610" s="1"/>
  <c r="H609" s="1"/>
  <c r="P609" s="1"/>
  <c r="S609"/>
  <c r="R609"/>
  <c r="Q609"/>
  <c r="J609"/>
  <c r="J608"/>
  <c r="K608" s="1"/>
  <c r="H607" s="1"/>
  <c r="S607"/>
  <c r="R607"/>
  <c r="Q607"/>
  <c r="J607"/>
  <c r="S606"/>
  <c r="R606"/>
  <c r="Q606"/>
  <c r="J606"/>
  <c r="S605"/>
  <c r="R605"/>
  <c r="Q605"/>
  <c r="J605"/>
  <c r="S604"/>
  <c r="R604"/>
  <c r="Q604"/>
  <c r="J604"/>
  <c r="S603"/>
  <c r="R603"/>
  <c r="Q603"/>
  <c r="J603"/>
  <c r="J602"/>
  <c r="K602" s="1"/>
  <c r="H601" s="1"/>
  <c r="J601"/>
  <c r="K601" s="1"/>
  <c r="J600"/>
  <c r="K600" s="1"/>
  <c r="H599" s="1"/>
  <c r="S599"/>
  <c r="R599"/>
  <c r="Q599"/>
  <c r="J599"/>
  <c r="S598"/>
  <c r="R598"/>
  <c r="Q598"/>
  <c r="J598"/>
  <c r="S597"/>
  <c r="R597"/>
  <c r="Q597"/>
  <c r="J597"/>
  <c r="S596"/>
  <c r="R596"/>
  <c r="Q596"/>
  <c r="J596"/>
  <c r="J595"/>
  <c r="K595" s="1"/>
  <c r="H594"/>
  <c r="P594" s="1"/>
  <c r="S594"/>
  <c r="R594"/>
  <c r="Q594"/>
  <c r="J594"/>
  <c r="S593"/>
  <c r="R593"/>
  <c r="Q593"/>
  <c r="J593"/>
  <c r="S592"/>
  <c r="R592"/>
  <c r="Q592"/>
  <c r="J592"/>
  <c r="S591"/>
  <c r="R591"/>
  <c r="Q591"/>
  <c r="J591"/>
  <c r="J590"/>
  <c r="K590" s="1"/>
  <c r="H589" s="1"/>
  <c r="S589"/>
  <c r="R589"/>
  <c r="Q589"/>
  <c r="J589"/>
  <c r="S588"/>
  <c r="R588"/>
  <c r="Q588"/>
  <c r="J588"/>
  <c r="S587"/>
  <c r="R587"/>
  <c r="Q587"/>
  <c r="J587"/>
  <c r="S586"/>
  <c r="R586"/>
  <c r="Q586"/>
  <c r="J586"/>
  <c r="S585"/>
  <c r="R585"/>
  <c r="Q585"/>
  <c r="J585"/>
  <c r="S584"/>
  <c r="J584"/>
  <c r="K584" s="1"/>
  <c r="H583" s="1"/>
  <c r="S583"/>
  <c r="R583"/>
  <c r="Q583"/>
  <c r="J583"/>
  <c r="S582"/>
  <c r="R582"/>
  <c r="Q582"/>
  <c r="J582"/>
  <c r="S581"/>
  <c r="R581"/>
  <c r="Q581"/>
  <c r="J581"/>
  <c r="S580"/>
  <c r="R580"/>
  <c r="Q580"/>
  <c r="J580"/>
  <c r="J579"/>
  <c r="K579" s="1"/>
  <c r="H578" s="1"/>
  <c r="H577" s="1"/>
  <c r="J578"/>
  <c r="J577"/>
  <c r="H575"/>
  <c r="H574" s="1"/>
  <c r="J573"/>
  <c r="K573" s="1"/>
  <c r="H572" s="1"/>
  <c r="P572" s="1"/>
  <c r="S572"/>
  <c r="R572"/>
  <c r="Q572"/>
  <c r="J572"/>
  <c r="J571"/>
  <c r="K571" s="1"/>
  <c r="H570" s="1"/>
  <c r="S570"/>
  <c r="R570"/>
  <c r="Q570"/>
  <c r="J570"/>
  <c r="S569"/>
  <c r="R569"/>
  <c r="Q569"/>
  <c r="J569"/>
  <c r="S568"/>
  <c r="R568"/>
  <c r="Q568"/>
  <c r="J568"/>
  <c r="J567"/>
  <c r="K567" s="1"/>
  <c r="H566"/>
  <c r="P566" s="1"/>
  <c r="S566"/>
  <c r="R566"/>
  <c r="Q566"/>
  <c r="J566"/>
  <c r="J565"/>
  <c r="K565" s="1"/>
  <c r="H564" s="1"/>
  <c r="P564" s="1"/>
  <c r="S564"/>
  <c r="R564"/>
  <c r="Q564"/>
  <c r="J564"/>
  <c r="J563"/>
  <c r="K563" s="1"/>
  <c r="H562" s="1"/>
  <c r="S562"/>
  <c r="R562"/>
  <c r="Q562"/>
  <c r="J562"/>
  <c r="J561"/>
  <c r="K561" s="1"/>
  <c r="J560"/>
  <c r="K560" s="1"/>
  <c r="J559"/>
  <c r="S558"/>
  <c r="R558"/>
  <c r="Q558"/>
  <c r="J558"/>
  <c r="J557"/>
  <c r="K557" s="1"/>
  <c r="H556" s="1"/>
  <c r="P556" s="1"/>
  <c r="S556"/>
  <c r="R556"/>
  <c r="Q556"/>
  <c r="J556"/>
  <c r="J555"/>
  <c r="K555" s="1"/>
  <c r="J554"/>
  <c r="K554" s="1"/>
  <c r="H553" s="1"/>
  <c r="P553" s="1"/>
  <c r="S553"/>
  <c r="R553"/>
  <c r="Q553"/>
  <c r="J553"/>
  <c r="J552"/>
  <c r="K552" s="1"/>
  <c r="J551"/>
  <c r="K551" s="1"/>
  <c r="H550" s="1"/>
  <c r="S550"/>
  <c r="R550"/>
  <c r="Q550"/>
  <c r="J550"/>
  <c r="J549"/>
  <c r="K549" s="1"/>
  <c r="J548"/>
  <c r="K548" s="1"/>
  <c r="J547"/>
  <c r="S546"/>
  <c r="R546"/>
  <c r="Q546"/>
  <c r="J546"/>
  <c r="S545"/>
  <c r="R545"/>
  <c r="Q545"/>
  <c r="J545"/>
  <c r="S544"/>
  <c r="R544"/>
  <c r="Q544"/>
  <c r="J544"/>
  <c r="S543"/>
  <c r="R543"/>
  <c r="Q543"/>
  <c r="J543"/>
  <c r="S542"/>
  <c r="R542"/>
  <c r="Q542"/>
  <c r="J542"/>
  <c r="J541"/>
  <c r="K541" s="1"/>
  <c r="H540" s="1"/>
  <c r="S540"/>
  <c r="R540"/>
  <c r="Q540"/>
  <c r="J540"/>
  <c r="S539"/>
  <c r="R539"/>
  <c r="Q539"/>
  <c r="J539"/>
  <c r="S538"/>
  <c r="R538"/>
  <c r="Q538"/>
  <c r="J538"/>
  <c r="S537"/>
  <c r="R537"/>
  <c r="Q537"/>
  <c r="J537"/>
  <c r="S536"/>
  <c r="R536"/>
  <c r="Q536"/>
  <c r="J536"/>
  <c r="J535"/>
  <c r="K535" s="1"/>
  <c r="H534" s="1"/>
  <c r="P534" s="1"/>
  <c r="S534"/>
  <c r="R534"/>
  <c r="Q534"/>
  <c r="J534"/>
  <c r="J533"/>
  <c r="K533" s="1"/>
  <c r="H532" s="1"/>
  <c r="S532"/>
  <c r="R532"/>
  <c r="Q532"/>
  <c r="J532"/>
  <c r="S531"/>
  <c r="R531"/>
  <c r="Q531"/>
  <c r="J531"/>
  <c r="S530"/>
  <c r="R530"/>
  <c r="Q530"/>
  <c r="J530"/>
  <c r="S529"/>
  <c r="R529"/>
  <c r="Q529"/>
  <c r="J529"/>
  <c r="S528"/>
  <c r="R528"/>
  <c r="Q528"/>
  <c r="J528"/>
  <c r="K527"/>
  <c r="H526" s="1"/>
  <c r="J527"/>
  <c r="S526"/>
  <c r="R526"/>
  <c r="Q526"/>
  <c r="J526"/>
  <c r="S525"/>
  <c r="R525"/>
  <c r="Q525"/>
  <c r="J525"/>
  <c r="S524"/>
  <c r="R524"/>
  <c r="Q524"/>
  <c r="J524"/>
  <c r="S523"/>
  <c r="R523"/>
  <c r="Q523"/>
  <c r="J523"/>
  <c r="S522"/>
  <c r="R522"/>
  <c r="Q522"/>
  <c r="J522"/>
  <c r="J521"/>
  <c r="K521" s="1"/>
  <c r="H520" s="1"/>
  <c r="S520"/>
  <c r="R520"/>
  <c r="Q520"/>
  <c r="J520"/>
  <c r="S519"/>
  <c r="R519"/>
  <c r="Q519"/>
  <c r="J519"/>
  <c r="S518"/>
  <c r="R518"/>
  <c r="Q518"/>
  <c r="J518"/>
  <c r="J517"/>
  <c r="K517" s="1"/>
  <c r="H516" s="1"/>
  <c r="P516" s="1"/>
  <c r="S516"/>
  <c r="R516"/>
  <c r="Q516"/>
  <c r="J516"/>
  <c r="J515"/>
  <c r="K515" s="1"/>
  <c r="H514" s="1"/>
  <c r="P514" s="1"/>
  <c r="S514"/>
  <c r="R514"/>
  <c r="Q514"/>
  <c r="J514"/>
  <c r="J513"/>
  <c r="K513" s="1"/>
  <c r="H512" s="1"/>
  <c r="S512"/>
  <c r="R512"/>
  <c r="Q512"/>
  <c r="J512"/>
  <c r="S511"/>
  <c r="R511"/>
  <c r="Q511"/>
  <c r="J511"/>
  <c r="J510"/>
  <c r="K510" s="1"/>
  <c r="J509"/>
  <c r="K509" s="1"/>
  <c r="S508"/>
  <c r="R508"/>
  <c r="Q508"/>
  <c r="J508"/>
  <c r="J507"/>
  <c r="K507" s="1"/>
  <c r="J506"/>
  <c r="K506" s="1"/>
  <c r="S505"/>
  <c r="R505"/>
  <c r="Q505"/>
  <c r="J505"/>
  <c r="S504"/>
  <c r="R504"/>
  <c r="Q504"/>
  <c r="J504"/>
  <c r="S503"/>
  <c r="R503"/>
  <c r="Q503"/>
  <c r="J503"/>
  <c r="S502"/>
  <c r="R502"/>
  <c r="Q502"/>
  <c r="J502"/>
  <c r="S501"/>
  <c r="R501"/>
  <c r="Q501"/>
  <c r="J501"/>
  <c r="S500"/>
  <c r="R500"/>
  <c r="Q500"/>
  <c r="J500"/>
  <c r="S499"/>
  <c r="R499"/>
  <c r="Q499"/>
  <c r="J499"/>
  <c r="S498"/>
  <c r="R498"/>
  <c r="Q498"/>
  <c r="J498"/>
  <c r="S497"/>
  <c r="R497"/>
  <c r="Q497"/>
  <c r="P497"/>
  <c r="J497"/>
  <c r="S496"/>
  <c r="J496"/>
  <c r="K496" s="1"/>
  <c r="H495" s="1"/>
  <c r="S495"/>
  <c r="R495"/>
  <c r="Q495"/>
  <c r="J495"/>
  <c r="S494"/>
  <c r="R494"/>
  <c r="Q494"/>
  <c r="J494"/>
  <c r="S493"/>
  <c r="R493"/>
  <c r="Q493"/>
  <c r="J493"/>
  <c r="S492"/>
  <c r="R492"/>
  <c r="Q492"/>
  <c r="J492"/>
  <c r="S491"/>
  <c r="R491"/>
  <c r="Q491"/>
  <c r="J491"/>
  <c r="S490"/>
  <c r="R490"/>
  <c r="Q490"/>
  <c r="J490"/>
  <c r="S489"/>
  <c r="R489"/>
  <c r="Q489"/>
  <c r="J489"/>
  <c r="S488"/>
  <c r="J488"/>
  <c r="K488" s="1"/>
  <c r="H487" s="1"/>
  <c r="S487"/>
  <c r="R487"/>
  <c r="Q487"/>
  <c r="J487"/>
  <c r="S486"/>
  <c r="R486"/>
  <c r="Q486"/>
  <c r="J486"/>
  <c r="S485"/>
  <c r="R485"/>
  <c r="Q485"/>
  <c r="J485"/>
  <c r="S484"/>
  <c r="R484"/>
  <c r="Q484"/>
  <c r="J484"/>
  <c r="S483"/>
  <c r="R483"/>
  <c r="Q483"/>
  <c r="J483"/>
  <c r="S482"/>
  <c r="R482"/>
  <c r="Q482"/>
  <c r="J482"/>
  <c r="S481"/>
  <c r="R481"/>
  <c r="Q481"/>
  <c r="J481"/>
  <c r="J480"/>
  <c r="K480" s="1"/>
  <c r="J479"/>
  <c r="K479" s="1"/>
  <c r="S478"/>
  <c r="R478"/>
  <c r="Q478"/>
  <c r="J478"/>
  <c r="S477"/>
  <c r="R477"/>
  <c r="Q477"/>
  <c r="J477"/>
  <c r="J476"/>
  <c r="K476" s="1"/>
  <c r="J475"/>
  <c r="K475" s="1"/>
  <c r="J474"/>
  <c r="K474" s="1"/>
  <c r="S473"/>
  <c r="R473"/>
  <c r="Q473"/>
  <c r="J473"/>
  <c r="J472"/>
  <c r="K472" s="1"/>
  <c r="H471" s="1"/>
  <c r="P471" s="1"/>
  <c r="S471"/>
  <c r="R471"/>
  <c r="Q471"/>
  <c r="J471"/>
  <c r="J470"/>
  <c r="K470" s="1"/>
  <c r="J469"/>
  <c r="K469" s="1"/>
  <c r="S468"/>
  <c r="R468"/>
  <c r="Q468"/>
  <c r="J468"/>
  <c r="S467"/>
  <c r="R467"/>
  <c r="Q467"/>
  <c r="J467"/>
  <c r="S466"/>
  <c r="R466"/>
  <c r="Q466"/>
  <c r="J466"/>
  <c r="S465"/>
  <c r="R465"/>
  <c r="Q465"/>
  <c r="J465"/>
  <c r="S464"/>
  <c r="J464"/>
  <c r="K464" s="1"/>
  <c r="H463" s="1"/>
  <c r="S463"/>
  <c r="R463"/>
  <c r="Q463"/>
  <c r="J463"/>
  <c r="S462"/>
  <c r="R462"/>
  <c r="Q462"/>
  <c r="J462"/>
  <c r="S461"/>
  <c r="R461"/>
  <c r="Q461"/>
  <c r="J461"/>
  <c r="S460"/>
  <c r="R460"/>
  <c r="Q460"/>
  <c r="J460"/>
  <c r="S459"/>
  <c r="R459"/>
  <c r="Q459"/>
  <c r="J459"/>
  <c r="S458"/>
  <c r="R458"/>
  <c r="Q458"/>
  <c r="J458"/>
  <c r="S457"/>
  <c r="R457"/>
  <c r="Q457"/>
  <c r="J457"/>
  <c r="S456"/>
  <c r="R456"/>
  <c r="Q456"/>
  <c r="J456"/>
  <c r="S455"/>
  <c r="R455"/>
  <c r="Q455"/>
  <c r="P455"/>
  <c r="J455"/>
  <c r="S454"/>
  <c r="R454"/>
  <c r="Q454"/>
  <c r="J454"/>
  <c r="K454" s="1"/>
  <c r="P454" s="1"/>
  <c r="S453"/>
  <c r="R453"/>
  <c r="Q453"/>
  <c r="J453"/>
  <c r="S452"/>
  <c r="R452"/>
  <c r="Q452"/>
  <c r="J452"/>
  <c r="S451"/>
  <c r="R451"/>
  <c r="Q451"/>
  <c r="J451"/>
  <c r="S450"/>
  <c r="R450"/>
  <c r="Q450"/>
  <c r="J450"/>
  <c r="S449"/>
  <c r="R449"/>
  <c r="Q449"/>
  <c r="J449"/>
  <c r="S448"/>
  <c r="R448"/>
  <c r="Q448"/>
  <c r="J448"/>
  <c r="S447"/>
  <c r="R447"/>
  <c r="Q447"/>
  <c r="J447"/>
  <c r="K447" s="1"/>
  <c r="S446"/>
  <c r="R446"/>
  <c r="Q446"/>
  <c r="J446"/>
  <c r="S445"/>
  <c r="R445"/>
  <c r="Q445"/>
  <c r="J445"/>
  <c r="K445" s="1"/>
  <c r="S444"/>
  <c r="R444"/>
  <c r="Q444"/>
  <c r="J444"/>
  <c r="S443"/>
  <c r="R443"/>
  <c r="Q443"/>
  <c r="J443"/>
  <c r="S442"/>
  <c r="R442"/>
  <c r="Q442"/>
  <c r="J442"/>
  <c r="S441"/>
  <c r="J441"/>
  <c r="K441" s="1"/>
  <c r="H440" s="1"/>
  <c r="S440"/>
  <c r="R440"/>
  <c r="Q440"/>
  <c r="J440"/>
  <c r="S439"/>
  <c r="R439"/>
  <c r="Q439"/>
  <c r="J439"/>
  <c r="S438"/>
  <c r="R438"/>
  <c r="Q438"/>
  <c r="J438"/>
  <c r="S437"/>
  <c r="R437"/>
  <c r="Q437"/>
  <c r="J437"/>
  <c r="S436"/>
  <c r="R436"/>
  <c r="Q436"/>
  <c r="J436"/>
  <c r="S435"/>
  <c r="R435"/>
  <c r="Q435"/>
  <c r="J435"/>
  <c r="S434"/>
  <c r="R434"/>
  <c r="Q434"/>
  <c r="J434"/>
  <c r="K434" s="1"/>
  <c r="S433"/>
  <c r="R433"/>
  <c r="Q433"/>
  <c r="J433"/>
  <c r="S432"/>
  <c r="R432"/>
  <c r="Q432"/>
  <c r="J432"/>
  <c r="S431"/>
  <c r="R431"/>
  <c r="Q431"/>
  <c r="J431"/>
  <c r="S430"/>
  <c r="R430"/>
  <c r="Q430"/>
  <c r="J430"/>
  <c r="J429"/>
  <c r="K429" s="1"/>
  <c r="J428"/>
  <c r="K428" s="1"/>
  <c r="S427"/>
  <c r="R427"/>
  <c r="Q427"/>
  <c r="J427"/>
  <c r="S426"/>
  <c r="R426"/>
  <c r="Q426"/>
  <c r="J426"/>
  <c r="J425"/>
  <c r="K425" s="1"/>
  <c r="J424"/>
  <c r="K424" s="1"/>
  <c r="J423"/>
  <c r="K423" s="1"/>
  <c r="S422"/>
  <c r="R422"/>
  <c r="Q422"/>
  <c r="J422"/>
  <c r="J421"/>
  <c r="K421" s="1"/>
  <c r="H420" s="1"/>
  <c r="P420" s="1"/>
  <c r="S420"/>
  <c r="R420"/>
  <c r="Q420"/>
  <c r="J420"/>
  <c r="J419"/>
  <c r="K419" s="1"/>
  <c r="J418"/>
  <c r="K418" s="1"/>
  <c r="S417"/>
  <c r="R417"/>
  <c r="Q417"/>
  <c r="J417"/>
  <c r="S416"/>
  <c r="R416"/>
  <c r="Q416"/>
  <c r="J416"/>
  <c r="S415"/>
  <c r="R415"/>
  <c r="Q415"/>
  <c r="J415"/>
  <c r="S414"/>
  <c r="R414"/>
  <c r="Q414"/>
  <c r="J414"/>
  <c r="S413"/>
  <c r="R413"/>
  <c r="Q413"/>
  <c r="J413"/>
  <c r="S412"/>
  <c r="R412"/>
  <c r="Q412"/>
  <c r="J412"/>
  <c r="S411"/>
  <c r="R411"/>
  <c r="Q411"/>
  <c r="J411"/>
  <c r="S410"/>
  <c r="R410"/>
  <c r="Q410"/>
  <c r="P410"/>
  <c r="J410"/>
  <c r="J409"/>
  <c r="K409" s="1"/>
  <c r="H408"/>
  <c r="H407" s="1"/>
  <c r="J408"/>
  <c r="J407"/>
  <c r="S406"/>
  <c r="J406"/>
  <c r="K406" s="1"/>
  <c r="H405" s="1"/>
  <c r="S405"/>
  <c r="R405"/>
  <c r="Q405"/>
  <c r="J405"/>
  <c r="S404"/>
  <c r="R404"/>
  <c r="Q404"/>
  <c r="J404"/>
  <c r="J403"/>
  <c r="K403" s="1"/>
  <c r="H402" s="1"/>
  <c r="H401" s="1"/>
  <c r="J402"/>
  <c r="J401"/>
  <c r="S400"/>
  <c r="R400"/>
  <c r="Q400"/>
  <c r="J400"/>
  <c r="S399"/>
  <c r="R399"/>
  <c r="Q399"/>
  <c r="J399"/>
  <c r="S398"/>
  <c r="R398"/>
  <c r="Q398"/>
  <c r="J398"/>
  <c r="S397"/>
  <c r="R397"/>
  <c r="Q397"/>
  <c r="J397"/>
  <c r="S396"/>
  <c r="R396"/>
  <c r="Q396"/>
  <c r="J396"/>
  <c r="S395"/>
  <c r="J395"/>
  <c r="K395" s="1"/>
  <c r="H394" s="1"/>
  <c r="S394"/>
  <c r="R394"/>
  <c r="Q394"/>
  <c r="J394"/>
  <c r="S393"/>
  <c r="R393"/>
  <c r="Q393"/>
  <c r="J393"/>
  <c r="S392"/>
  <c r="R392"/>
  <c r="Q392"/>
  <c r="J392"/>
  <c r="S391"/>
  <c r="R391"/>
  <c r="Q391"/>
  <c r="J391"/>
  <c r="S390"/>
  <c r="R390"/>
  <c r="Q390"/>
  <c r="J390"/>
  <c r="S389"/>
  <c r="J389"/>
  <c r="K389" s="1"/>
  <c r="H388" s="1"/>
  <c r="S388"/>
  <c r="R388"/>
  <c r="Q388"/>
  <c r="J388"/>
  <c r="S387"/>
  <c r="R387"/>
  <c r="Q387"/>
  <c r="J387"/>
  <c r="S386"/>
  <c r="R386"/>
  <c r="Q386"/>
  <c r="J386"/>
  <c r="S385"/>
  <c r="R385"/>
  <c r="Q385"/>
  <c r="J385"/>
  <c r="S384"/>
  <c r="R384"/>
  <c r="Q384"/>
  <c r="J384"/>
  <c r="S383"/>
  <c r="R383"/>
  <c r="Q383"/>
  <c r="J383"/>
  <c r="J382"/>
  <c r="K382" s="1"/>
  <c r="H381" s="1"/>
  <c r="H380" s="1"/>
  <c r="H379" s="1"/>
  <c r="H378" s="1"/>
  <c r="H377" s="1"/>
  <c r="J381"/>
  <c r="J380"/>
  <c r="J379"/>
  <c r="J378"/>
  <c r="J377"/>
  <c r="S376"/>
  <c r="R376"/>
  <c r="Q376"/>
  <c r="J376"/>
  <c r="S375"/>
  <c r="J375"/>
  <c r="K375" s="1"/>
  <c r="H374" s="1"/>
  <c r="S374"/>
  <c r="R374"/>
  <c r="Q374"/>
  <c r="J374"/>
  <c r="S373"/>
  <c r="R373"/>
  <c r="Q373"/>
  <c r="J373"/>
  <c r="S372"/>
  <c r="R372"/>
  <c r="Q372"/>
  <c r="J372"/>
  <c r="S371"/>
  <c r="R371"/>
  <c r="Q371"/>
  <c r="J371"/>
  <c r="S370"/>
  <c r="R370"/>
  <c r="Q370"/>
  <c r="J370"/>
  <c r="S369"/>
  <c r="K369"/>
  <c r="H368" s="1"/>
  <c r="J369"/>
  <c r="S368"/>
  <c r="R368"/>
  <c r="Q368"/>
  <c r="J368"/>
  <c r="S367"/>
  <c r="R367"/>
  <c r="Q367"/>
  <c r="J367"/>
  <c r="S366"/>
  <c r="R366"/>
  <c r="Q366"/>
  <c r="J366"/>
  <c r="S365"/>
  <c r="R365"/>
  <c r="Q365"/>
  <c r="J365"/>
  <c r="S364"/>
  <c r="R364"/>
  <c r="Q364"/>
  <c r="J364"/>
  <c r="S363"/>
  <c r="J363"/>
  <c r="K363" s="1"/>
  <c r="H362" s="1"/>
  <c r="S362"/>
  <c r="R362"/>
  <c r="Q362"/>
  <c r="J362"/>
  <c r="S361"/>
  <c r="R361"/>
  <c r="Q361"/>
  <c r="J361"/>
  <c r="S360"/>
  <c r="R360"/>
  <c r="Q360"/>
  <c r="J360"/>
  <c r="S359"/>
  <c r="R359"/>
  <c r="Q359"/>
  <c r="J359"/>
  <c r="S358"/>
  <c r="R358"/>
  <c r="Q358"/>
  <c r="J358"/>
  <c r="S357"/>
  <c r="R357"/>
  <c r="Q357"/>
  <c r="J357"/>
  <c r="S356"/>
  <c r="R356"/>
  <c r="Q356"/>
  <c r="J356"/>
  <c r="J355"/>
  <c r="K355" s="1"/>
  <c r="H354" s="1"/>
  <c r="S354"/>
  <c r="R354"/>
  <c r="Q354"/>
  <c r="J354"/>
  <c r="S353"/>
  <c r="R353"/>
  <c r="Q353"/>
  <c r="J353"/>
  <c r="S352"/>
  <c r="R352"/>
  <c r="Q352"/>
  <c r="J352"/>
  <c r="S351"/>
  <c r="R351"/>
  <c r="Q351"/>
  <c r="J351"/>
  <c r="J350"/>
  <c r="K350" s="1"/>
  <c r="H349" s="1"/>
  <c r="H348" s="1"/>
  <c r="H347" s="1"/>
  <c r="J349"/>
  <c r="J348"/>
  <c r="J347"/>
  <c r="J346"/>
  <c r="K346" s="1"/>
  <c r="H345" s="1"/>
  <c r="H344" s="1"/>
  <c r="J345"/>
  <c r="K345" s="1"/>
  <c r="J344"/>
  <c r="K344" s="1"/>
  <c r="K343"/>
  <c r="J343"/>
  <c r="J342"/>
  <c r="K342" s="1"/>
  <c r="S341"/>
  <c r="R341"/>
  <c r="Q341"/>
  <c r="J341"/>
  <c r="S340"/>
  <c r="R340"/>
  <c r="Q340"/>
  <c r="J340"/>
  <c r="J339"/>
  <c r="K339" s="1"/>
  <c r="J338"/>
  <c r="K338" s="1"/>
  <c r="J337"/>
  <c r="K337" s="1"/>
  <c r="S336"/>
  <c r="R336"/>
  <c r="Q336"/>
  <c r="J336"/>
  <c r="J335"/>
  <c r="K335" s="1"/>
  <c r="H334" s="1"/>
  <c r="P334" s="1"/>
  <c r="S334"/>
  <c r="R334"/>
  <c r="Q334"/>
  <c r="J334"/>
  <c r="J333"/>
  <c r="K333" s="1"/>
  <c r="J332"/>
  <c r="K332" s="1"/>
  <c r="S331"/>
  <c r="R331"/>
  <c r="Q331"/>
  <c r="J331"/>
  <c r="S330"/>
  <c r="R330"/>
  <c r="Q330"/>
  <c r="J330"/>
  <c r="S329"/>
  <c r="R329"/>
  <c r="Q329"/>
  <c r="J329"/>
  <c r="S328"/>
  <c r="R328"/>
  <c r="Q328"/>
  <c r="J328"/>
  <c r="J327"/>
  <c r="K327" s="1"/>
  <c r="H326" s="1"/>
  <c r="H325" s="1"/>
  <c r="J326"/>
  <c r="J325"/>
  <c r="H323"/>
  <c r="H322" s="1"/>
  <c r="S321"/>
  <c r="J321"/>
  <c r="K321" s="1"/>
  <c r="H320" s="1"/>
  <c r="S320"/>
  <c r="R320"/>
  <c r="Q320"/>
  <c r="J320"/>
  <c r="S319"/>
  <c r="R319"/>
  <c r="Q319"/>
  <c r="J319"/>
  <c r="S318"/>
  <c r="R318"/>
  <c r="Q318"/>
  <c r="J318"/>
  <c r="S317"/>
  <c r="R317"/>
  <c r="Q317"/>
  <c r="J317"/>
  <c r="S316"/>
  <c r="R316"/>
  <c r="Q316"/>
  <c r="J316"/>
  <c r="S315"/>
  <c r="J315"/>
  <c r="K315" s="1"/>
  <c r="H314" s="1"/>
  <c r="S314"/>
  <c r="R314"/>
  <c r="Q314"/>
  <c r="J314"/>
  <c r="S313"/>
  <c r="R313"/>
  <c r="Q313"/>
  <c r="J313"/>
  <c r="S312"/>
  <c r="R312"/>
  <c r="Q312"/>
  <c r="J312"/>
  <c r="S311"/>
  <c r="J311"/>
  <c r="K311" s="1"/>
  <c r="H310" s="1"/>
  <c r="S310"/>
  <c r="R310"/>
  <c r="Q310"/>
  <c r="J310"/>
  <c r="S309"/>
  <c r="R309"/>
  <c r="Q309"/>
  <c r="J309"/>
  <c r="J308"/>
  <c r="K308" s="1"/>
  <c r="H307" s="1"/>
  <c r="S307"/>
  <c r="R307"/>
  <c r="Q307"/>
  <c r="J307"/>
  <c r="S306"/>
  <c r="R306"/>
  <c r="Q306"/>
  <c r="J306"/>
  <c r="J305"/>
  <c r="K305" s="1"/>
  <c r="H304" s="1"/>
  <c r="P304" s="1"/>
  <c r="S304"/>
  <c r="R304"/>
  <c r="Q304"/>
  <c r="J304"/>
  <c r="S303"/>
  <c r="J303"/>
  <c r="K303" s="1"/>
  <c r="H302" s="1"/>
  <c r="S302"/>
  <c r="R302"/>
  <c r="Q302"/>
  <c r="J302"/>
  <c r="S301"/>
  <c r="R301"/>
  <c r="Q301"/>
  <c r="J301"/>
  <c r="S300"/>
  <c r="R300"/>
  <c r="Q300"/>
  <c r="J300"/>
  <c r="S299"/>
  <c r="R299"/>
  <c r="Q299"/>
  <c r="J299"/>
  <c r="S298"/>
  <c r="R298"/>
  <c r="Q298"/>
  <c r="J298"/>
  <c r="S297"/>
  <c r="R297"/>
  <c r="Q297"/>
  <c r="J297"/>
  <c r="S296"/>
  <c r="R296"/>
  <c r="Q296"/>
  <c r="J296"/>
  <c r="S295"/>
  <c r="R295"/>
  <c r="Q295"/>
  <c r="J295"/>
  <c r="S294"/>
  <c r="R294"/>
  <c r="Q294"/>
  <c r="P294"/>
  <c r="J294"/>
  <c r="S293"/>
  <c r="J293"/>
  <c r="K293" s="1"/>
  <c r="H292" s="1"/>
  <c r="S292"/>
  <c r="R292"/>
  <c r="Q292"/>
  <c r="J292"/>
  <c r="S291"/>
  <c r="R291"/>
  <c r="Q291"/>
  <c r="J291"/>
  <c r="S290"/>
  <c r="R290"/>
  <c r="Q290"/>
  <c r="J290"/>
  <c r="S289"/>
  <c r="J289"/>
  <c r="K289" s="1"/>
  <c r="H288" s="1"/>
  <c r="S288"/>
  <c r="R288"/>
  <c r="Q288"/>
  <c r="J288"/>
  <c r="S287"/>
  <c r="R287"/>
  <c r="Q287"/>
  <c r="J287"/>
  <c r="S286"/>
  <c r="R286"/>
  <c r="Q286"/>
  <c r="J286"/>
  <c r="S285"/>
  <c r="R285"/>
  <c r="Q285"/>
  <c r="J285"/>
  <c r="S284"/>
  <c r="R284"/>
  <c r="Q284"/>
  <c r="J284"/>
  <c r="S283"/>
  <c r="R283"/>
  <c r="Q283"/>
  <c r="J283"/>
  <c r="S282"/>
  <c r="J282"/>
  <c r="K282" s="1"/>
  <c r="H281" s="1"/>
  <c r="S281"/>
  <c r="R281"/>
  <c r="Q281"/>
  <c r="J281"/>
  <c r="S280"/>
  <c r="R280"/>
  <c r="Q280"/>
  <c r="J280"/>
  <c r="S279"/>
  <c r="R279"/>
  <c r="Q279"/>
  <c r="J279"/>
  <c r="S278"/>
  <c r="R278"/>
  <c r="Q278"/>
  <c r="J278"/>
  <c r="S277"/>
  <c r="R277"/>
  <c r="Q277"/>
  <c r="J277"/>
  <c r="S276"/>
  <c r="R276"/>
  <c r="Q276"/>
  <c r="J276"/>
  <c r="S275"/>
  <c r="R275"/>
  <c r="Q275"/>
  <c r="J275"/>
  <c r="S274"/>
  <c r="J274"/>
  <c r="K274" s="1"/>
  <c r="H273" s="1"/>
  <c r="S273"/>
  <c r="R273"/>
  <c r="Q273"/>
  <c r="J273"/>
  <c r="S272"/>
  <c r="R272"/>
  <c r="Q272"/>
  <c r="J272"/>
  <c r="S271"/>
  <c r="R271"/>
  <c r="Q271"/>
  <c r="J271"/>
  <c r="S270"/>
  <c r="R270"/>
  <c r="Q270"/>
  <c r="J270"/>
  <c r="S269"/>
  <c r="R269"/>
  <c r="Q269"/>
  <c r="J269"/>
  <c r="S268"/>
  <c r="R268"/>
  <c r="Q268"/>
  <c r="J268"/>
  <c r="S267"/>
  <c r="R267"/>
  <c r="Q267"/>
  <c r="J267"/>
  <c r="S266"/>
  <c r="K266"/>
  <c r="H265" s="1"/>
  <c r="J266"/>
  <c r="S265"/>
  <c r="R265"/>
  <c r="Q265"/>
  <c r="J265"/>
  <c r="S264"/>
  <c r="R264"/>
  <c r="Q264"/>
  <c r="J264"/>
  <c r="S263"/>
  <c r="R263"/>
  <c r="Q263"/>
  <c r="J263"/>
  <c r="S262"/>
  <c r="R262"/>
  <c r="Q262"/>
  <c r="J262"/>
  <c r="S261"/>
  <c r="R261"/>
  <c r="Q261"/>
  <c r="J261"/>
  <c r="S260"/>
  <c r="R260"/>
  <c r="Q260"/>
  <c r="J260"/>
  <c r="S259"/>
  <c r="R259"/>
  <c r="Q259"/>
  <c r="J259"/>
  <c r="S258"/>
  <c r="J258"/>
  <c r="K258" s="1"/>
  <c r="H257" s="1"/>
  <c r="P257" s="1"/>
  <c r="S257"/>
  <c r="R257"/>
  <c r="Q257"/>
  <c r="J257"/>
  <c r="S256"/>
  <c r="J256"/>
  <c r="K256" s="1"/>
  <c r="H255" s="1"/>
  <c r="S255"/>
  <c r="R255"/>
  <c r="Q255"/>
  <c r="J255"/>
  <c r="S254"/>
  <c r="R254"/>
  <c r="Q254"/>
  <c r="J254"/>
  <c r="S253"/>
  <c r="R253"/>
  <c r="Q253"/>
  <c r="J253"/>
  <c r="S252"/>
  <c r="J252"/>
  <c r="K252" s="1"/>
  <c r="H251" s="1"/>
  <c r="S251"/>
  <c r="R251"/>
  <c r="Q251"/>
  <c r="J251"/>
  <c r="S250"/>
  <c r="R250"/>
  <c r="Q250"/>
  <c r="J250"/>
  <c r="S249"/>
  <c r="R249"/>
  <c r="Q249"/>
  <c r="J249"/>
  <c r="S248"/>
  <c r="R248"/>
  <c r="Q248"/>
  <c r="J248"/>
  <c r="S247"/>
  <c r="J247"/>
  <c r="K247" s="1"/>
  <c r="H246" s="1"/>
  <c r="S246"/>
  <c r="R246"/>
  <c r="Q246"/>
  <c r="J246"/>
  <c r="S245"/>
  <c r="R245"/>
  <c r="Q245"/>
  <c r="J245"/>
  <c r="S244"/>
  <c r="R244"/>
  <c r="Q244"/>
  <c r="J244"/>
  <c r="S243"/>
  <c r="J243"/>
  <c r="K243" s="1"/>
  <c r="H242" s="1"/>
  <c r="S242"/>
  <c r="R242"/>
  <c r="Q242"/>
  <c r="J242"/>
  <c r="S241"/>
  <c r="R241"/>
  <c r="Q241"/>
  <c r="J241"/>
  <c r="S240"/>
  <c r="R240"/>
  <c r="Q240"/>
  <c r="J240"/>
  <c r="J239"/>
  <c r="K239" s="1"/>
  <c r="J238"/>
  <c r="K238" s="1"/>
  <c r="S237"/>
  <c r="R237"/>
  <c r="Q237"/>
  <c r="J237"/>
  <c r="S236"/>
  <c r="R236"/>
  <c r="Q236"/>
  <c r="J236"/>
  <c r="S235"/>
  <c r="R235"/>
  <c r="Q235"/>
  <c r="J235"/>
  <c r="S234"/>
  <c r="R234"/>
  <c r="Q234"/>
  <c r="J234"/>
  <c r="S233"/>
  <c r="R233"/>
  <c r="Q233"/>
  <c r="J233"/>
  <c r="S232"/>
  <c r="R232"/>
  <c r="Q232"/>
  <c r="J232"/>
  <c r="S231"/>
  <c r="R231"/>
  <c r="Q231"/>
  <c r="J231"/>
  <c r="J230"/>
  <c r="K230" s="1"/>
  <c r="H229" s="1"/>
  <c r="J229"/>
  <c r="J228"/>
  <c r="K228" s="1"/>
  <c r="J227"/>
  <c r="K227" s="1"/>
  <c r="H226" s="1"/>
  <c r="S226"/>
  <c r="R226"/>
  <c r="Q226"/>
  <c r="J226"/>
  <c r="S225"/>
  <c r="R225"/>
  <c r="Q225"/>
  <c r="J225"/>
  <c r="S224"/>
  <c r="R224"/>
  <c r="Q224"/>
  <c r="J224"/>
  <c r="S223"/>
  <c r="R223"/>
  <c r="Q223"/>
  <c r="J223"/>
  <c r="K222"/>
  <c r="H221" s="1"/>
  <c r="J222"/>
  <c r="S221"/>
  <c r="R221"/>
  <c r="Q221"/>
  <c r="J221"/>
  <c r="S220"/>
  <c r="R220"/>
  <c r="Q220"/>
  <c r="J220"/>
  <c r="J219"/>
  <c r="K219" s="1"/>
  <c r="K218"/>
  <c r="J218"/>
  <c r="J217"/>
  <c r="K217" s="1"/>
  <c r="S216"/>
  <c r="R216"/>
  <c r="Q216"/>
  <c r="J216"/>
  <c r="J215"/>
  <c r="K215" s="1"/>
  <c r="H214" s="1"/>
  <c r="P214" s="1"/>
  <c r="S214"/>
  <c r="R214"/>
  <c r="Q214"/>
  <c r="J214"/>
  <c r="J213"/>
  <c r="K213" s="1"/>
  <c r="J212"/>
  <c r="K212" s="1"/>
  <c r="J211"/>
  <c r="K211" s="1"/>
  <c r="S210"/>
  <c r="R210"/>
  <c r="Q210"/>
  <c r="J210"/>
  <c r="S209"/>
  <c r="R209"/>
  <c r="Q209"/>
  <c r="J209"/>
  <c r="H206"/>
  <c r="H205" s="1"/>
  <c r="S204"/>
  <c r="R204"/>
  <c r="Q204"/>
  <c r="J204"/>
  <c r="S203"/>
  <c r="R203"/>
  <c r="Q203"/>
  <c r="J203"/>
  <c r="S202"/>
  <c r="J202"/>
  <c r="K202" s="1"/>
  <c r="H201" s="1"/>
  <c r="S201"/>
  <c r="R201"/>
  <c r="Q201"/>
  <c r="J201"/>
  <c r="S200"/>
  <c r="R200"/>
  <c r="Q200"/>
  <c r="J200"/>
  <c r="S199"/>
  <c r="R199"/>
  <c r="Q199"/>
  <c r="J199"/>
  <c r="S198"/>
  <c r="R198"/>
  <c r="Q198"/>
  <c r="J198"/>
  <c r="S197"/>
  <c r="R197"/>
  <c r="Q197"/>
  <c r="J197"/>
  <c r="S196"/>
  <c r="R196"/>
  <c r="Q196"/>
  <c r="J196"/>
  <c r="K196" s="1"/>
  <c r="P196" s="1"/>
  <c r="S195"/>
  <c r="R195"/>
  <c r="Q195"/>
  <c r="J195"/>
  <c r="S194"/>
  <c r="R194"/>
  <c r="Q194"/>
  <c r="J194"/>
  <c r="S193"/>
  <c r="R193"/>
  <c r="Q193"/>
  <c r="J193"/>
  <c r="S192"/>
  <c r="R192"/>
  <c r="Q192"/>
  <c r="J192"/>
  <c r="K192" s="1"/>
  <c r="P192" s="1"/>
  <c r="S191"/>
  <c r="J191"/>
  <c r="K191" s="1"/>
  <c r="H190" s="1"/>
  <c r="S190"/>
  <c r="R190"/>
  <c r="Q190"/>
  <c r="J190"/>
  <c r="S189"/>
  <c r="R189"/>
  <c r="Q189"/>
  <c r="J189"/>
  <c r="S188"/>
  <c r="R188"/>
  <c r="Q188"/>
  <c r="J188"/>
  <c r="S187"/>
  <c r="R187"/>
  <c r="Q187"/>
  <c r="J187"/>
  <c r="K187" s="1"/>
  <c r="P187" s="1"/>
  <c r="S186"/>
  <c r="J186"/>
  <c r="K186" s="1"/>
  <c r="H185" s="1"/>
  <c r="S185"/>
  <c r="R185"/>
  <c r="Q185"/>
  <c r="J185"/>
  <c r="S184"/>
  <c r="R184"/>
  <c r="Q184"/>
  <c r="J184"/>
  <c r="S183"/>
  <c r="R183"/>
  <c r="Q183"/>
  <c r="J183"/>
  <c r="S182"/>
  <c r="K182"/>
  <c r="J182"/>
  <c r="H181"/>
  <c r="S181"/>
  <c r="R181"/>
  <c r="Q181"/>
  <c r="J181"/>
  <c r="S180"/>
  <c r="R180"/>
  <c r="Q180"/>
  <c r="J180"/>
  <c r="S179"/>
  <c r="R179"/>
  <c r="Q179"/>
  <c r="J179"/>
  <c r="S178"/>
  <c r="R178"/>
  <c r="Q178"/>
  <c r="J178"/>
  <c r="J177"/>
  <c r="K177" s="1"/>
  <c r="H176" s="1"/>
  <c r="H175" s="1"/>
  <c r="H174" s="1"/>
  <c r="J176"/>
  <c r="J175"/>
  <c r="J174"/>
  <c r="K173"/>
  <c r="H172" s="1"/>
  <c r="H171" s="1"/>
  <c r="H170" s="1"/>
  <c r="J173"/>
  <c r="J172"/>
  <c r="J171"/>
  <c r="J170"/>
  <c r="S169"/>
  <c r="J169"/>
  <c r="K169" s="1"/>
  <c r="H168" s="1"/>
  <c r="S168"/>
  <c r="R168"/>
  <c r="Q168"/>
  <c r="J168"/>
  <c r="S167"/>
  <c r="R167"/>
  <c r="Q167"/>
  <c r="J167"/>
  <c r="S166"/>
  <c r="R166"/>
  <c r="Q166"/>
  <c r="J166"/>
  <c r="S165"/>
  <c r="R165"/>
  <c r="Q165"/>
  <c r="J165"/>
  <c r="S164"/>
  <c r="R164"/>
  <c r="Q164"/>
  <c r="J164"/>
  <c r="J163"/>
  <c r="K163" s="1"/>
  <c r="J162"/>
  <c r="K162" s="1"/>
  <c r="J161"/>
  <c r="K161" s="1"/>
  <c r="S160"/>
  <c r="R160"/>
  <c r="Q160"/>
  <c r="J160"/>
  <c r="J159"/>
  <c r="K159" s="1"/>
  <c r="H158" s="1"/>
  <c r="P158" s="1"/>
  <c r="S158"/>
  <c r="R158"/>
  <c r="Q158"/>
  <c r="J158"/>
  <c r="J157"/>
  <c r="K157" s="1"/>
  <c r="K156"/>
  <c r="J156"/>
  <c r="J155"/>
  <c r="K155" s="1"/>
  <c r="S154"/>
  <c r="R154"/>
  <c r="Q154"/>
  <c r="J154"/>
  <c r="S153"/>
  <c r="R153"/>
  <c r="Q153"/>
  <c r="J153"/>
  <c r="S152"/>
  <c r="R152"/>
  <c r="Q152"/>
  <c r="J152"/>
  <c r="S151"/>
  <c r="J151"/>
  <c r="K151" s="1"/>
  <c r="H150" s="1"/>
  <c r="S150"/>
  <c r="R150"/>
  <c r="Q150"/>
  <c r="J150"/>
  <c r="S149"/>
  <c r="R149"/>
  <c r="Q149"/>
  <c r="J149"/>
  <c r="S148"/>
  <c r="R148"/>
  <c r="Q148"/>
  <c r="J148"/>
  <c r="S147"/>
  <c r="J147"/>
  <c r="K147" s="1"/>
  <c r="H146" s="1"/>
  <c r="S146"/>
  <c r="R146"/>
  <c r="Q146"/>
  <c r="J146"/>
  <c r="S145"/>
  <c r="R145"/>
  <c r="Q145"/>
  <c r="J145"/>
  <c r="S144"/>
  <c r="R144"/>
  <c r="Q144"/>
  <c r="J144"/>
  <c r="S143"/>
  <c r="J143"/>
  <c r="K143" s="1"/>
  <c r="H142" s="1"/>
  <c r="S142"/>
  <c r="R142"/>
  <c r="Q142"/>
  <c r="J142"/>
  <c r="S141"/>
  <c r="R141"/>
  <c r="Q141"/>
  <c r="J141"/>
  <c r="S140"/>
  <c r="R140"/>
  <c r="Q140"/>
  <c r="J140"/>
  <c r="S139"/>
  <c r="R139"/>
  <c r="Q139"/>
  <c r="J139"/>
  <c r="J138"/>
  <c r="K138" s="1"/>
  <c r="H137" s="1"/>
  <c r="S137"/>
  <c r="R137"/>
  <c r="Q137"/>
  <c r="J137"/>
  <c r="S136"/>
  <c r="R136"/>
  <c r="Q136"/>
  <c r="J136"/>
  <c r="S135"/>
  <c r="R135"/>
  <c r="Q135"/>
  <c r="J135"/>
  <c r="S134"/>
  <c r="J134"/>
  <c r="K134" s="1"/>
  <c r="H133" s="1"/>
  <c r="S133"/>
  <c r="R133"/>
  <c r="Q133"/>
  <c r="J133"/>
  <c r="S132"/>
  <c r="R132"/>
  <c r="Q132"/>
  <c r="J132"/>
  <c r="S131"/>
  <c r="R131"/>
  <c r="Q131"/>
  <c r="J131"/>
  <c r="S130"/>
  <c r="R130"/>
  <c r="Q130"/>
  <c r="J130"/>
  <c r="S129"/>
  <c r="R129"/>
  <c r="Q129"/>
  <c r="J129"/>
  <c r="S128"/>
  <c r="J128"/>
  <c r="K128" s="1"/>
  <c r="H127" s="1"/>
  <c r="S127"/>
  <c r="R127"/>
  <c r="Q127"/>
  <c r="J127"/>
  <c r="S126"/>
  <c r="R126"/>
  <c r="Q126"/>
  <c r="J126"/>
  <c r="S125"/>
  <c r="R125"/>
  <c r="Q125"/>
  <c r="J125"/>
  <c r="S124"/>
  <c r="R124"/>
  <c r="Q124"/>
  <c r="J124"/>
  <c r="S123"/>
  <c r="R123"/>
  <c r="Q123"/>
  <c r="J123"/>
  <c r="S122"/>
  <c r="J122"/>
  <c r="K122" s="1"/>
  <c r="H121" s="1"/>
  <c r="S121"/>
  <c r="R121"/>
  <c r="Q121"/>
  <c r="J121"/>
  <c r="S120"/>
  <c r="R120"/>
  <c r="Q120"/>
  <c r="J120"/>
  <c r="J119"/>
  <c r="K119" s="1"/>
  <c r="H118" s="1"/>
  <c r="S118"/>
  <c r="R118"/>
  <c r="Q118"/>
  <c r="J118"/>
  <c r="S117"/>
  <c r="R117"/>
  <c r="Q117"/>
  <c r="J117"/>
  <c r="S116"/>
  <c r="R116"/>
  <c r="Q116"/>
  <c r="J116"/>
  <c r="S115"/>
  <c r="R115"/>
  <c r="Q115"/>
  <c r="J115"/>
  <c r="S114"/>
  <c r="R114"/>
  <c r="Q114"/>
  <c r="J114"/>
  <c r="S113"/>
  <c r="R113"/>
  <c r="Q113"/>
  <c r="J113"/>
  <c r="K112"/>
  <c r="J112"/>
  <c r="S111"/>
  <c r="R111"/>
  <c r="Q111"/>
  <c r="J111"/>
  <c r="H111"/>
  <c r="S110"/>
  <c r="R110"/>
  <c r="Q110"/>
  <c r="J110"/>
  <c r="S109"/>
  <c r="R109"/>
  <c r="Q109"/>
  <c r="J109"/>
  <c r="S108"/>
  <c r="R108"/>
  <c r="Q108"/>
  <c r="J108"/>
  <c r="S107"/>
  <c r="R107"/>
  <c r="Q107"/>
  <c r="J107"/>
  <c r="J106"/>
  <c r="K106" s="1"/>
  <c r="H105" s="1"/>
  <c r="S105"/>
  <c r="R105"/>
  <c r="Q105"/>
  <c r="J105"/>
  <c r="S104"/>
  <c r="R104"/>
  <c r="Q104"/>
  <c r="J104"/>
  <c r="K103"/>
  <c r="J103"/>
  <c r="S102"/>
  <c r="R102"/>
  <c r="Q102"/>
  <c r="J102"/>
  <c r="H102"/>
  <c r="P102" s="1"/>
  <c r="J101"/>
  <c r="K101" s="1"/>
  <c r="H99" s="1"/>
  <c r="K100"/>
  <c r="J100"/>
  <c r="S99"/>
  <c r="R99"/>
  <c r="Q99"/>
  <c r="J99"/>
  <c r="S98"/>
  <c r="R98"/>
  <c r="Q98"/>
  <c r="J98"/>
  <c r="J97"/>
  <c r="K97" s="1"/>
  <c r="J96"/>
  <c r="K96" s="1"/>
  <c r="S95"/>
  <c r="R95"/>
  <c r="Q95"/>
  <c r="J95"/>
  <c r="S94"/>
  <c r="R94"/>
  <c r="Q94"/>
  <c r="J94"/>
  <c r="J93"/>
  <c r="K93" s="1"/>
  <c r="J92"/>
  <c r="K92" s="1"/>
  <c r="H91" s="1"/>
  <c r="P91" s="1"/>
  <c r="S91"/>
  <c r="R91"/>
  <c r="Q91"/>
  <c r="J91"/>
  <c r="J90"/>
  <c r="K90" s="1"/>
  <c r="H89" s="1"/>
  <c r="P89" s="1"/>
  <c r="S89"/>
  <c r="R89"/>
  <c r="Q89"/>
  <c r="J89"/>
  <c r="J88"/>
  <c r="K88" s="1"/>
  <c r="J87"/>
  <c r="K87" s="1"/>
  <c r="S86"/>
  <c r="R86"/>
  <c r="Q86"/>
  <c r="J86"/>
  <c r="S85"/>
  <c r="R85"/>
  <c r="Q85"/>
  <c r="J85"/>
  <c r="S84"/>
  <c r="R84"/>
  <c r="Q84"/>
  <c r="J84"/>
  <c r="S83"/>
  <c r="R83"/>
  <c r="Q83"/>
  <c r="J83"/>
  <c r="S82"/>
  <c r="R82"/>
  <c r="Q82"/>
  <c r="J82"/>
  <c r="J81"/>
  <c r="K81" s="1"/>
  <c r="J80"/>
  <c r="K80" s="1"/>
  <c r="S79"/>
  <c r="R79"/>
  <c r="Q79"/>
  <c r="J79"/>
  <c r="S78"/>
  <c r="R78"/>
  <c r="Q78"/>
  <c r="J78"/>
  <c r="J77"/>
  <c r="K77" s="1"/>
  <c r="J76"/>
  <c r="K76" s="1"/>
  <c r="S75"/>
  <c r="R75"/>
  <c r="Q75"/>
  <c r="J75"/>
  <c r="S74"/>
  <c r="R74"/>
  <c r="Q74"/>
  <c r="J74"/>
  <c r="S73"/>
  <c r="R73"/>
  <c r="Q73"/>
  <c r="J73"/>
  <c r="S72"/>
  <c r="R72"/>
  <c r="Q72"/>
  <c r="J72"/>
  <c r="S71"/>
  <c r="R71"/>
  <c r="Q71"/>
  <c r="J71"/>
  <c r="S70"/>
  <c r="R70"/>
  <c r="Q70"/>
  <c r="J70"/>
  <c r="S69"/>
  <c r="R69"/>
  <c r="Q69"/>
  <c r="J69"/>
  <c r="S68"/>
  <c r="R68"/>
  <c r="Q68"/>
  <c r="P68"/>
  <c r="J68"/>
  <c r="S67"/>
  <c r="J67"/>
  <c r="K67" s="1"/>
  <c r="H66" s="1"/>
  <c r="H65" s="1"/>
  <c r="S66"/>
  <c r="R66"/>
  <c r="Q66"/>
  <c r="J66"/>
  <c r="S65"/>
  <c r="R65"/>
  <c r="Q65"/>
  <c r="J65"/>
  <c r="S64"/>
  <c r="R64"/>
  <c r="Q64"/>
  <c r="J64"/>
  <c r="S63"/>
  <c r="R63"/>
  <c r="Q63"/>
  <c r="J63"/>
  <c r="S62"/>
  <c r="R62"/>
  <c r="Q62"/>
  <c r="J62"/>
  <c r="S61"/>
  <c r="J61"/>
  <c r="K61" s="1"/>
  <c r="H60" s="1"/>
  <c r="S60"/>
  <c r="R60"/>
  <c r="Q60"/>
  <c r="J60"/>
  <c r="S59"/>
  <c r="R59"/>
  <c r="Q59"/>
  <c r="J59"/>
  <c r="S58"/>
  <c r="R58"/>
  <c r="Q58"/>
  <c r="J58"/>
  <c r="S57"/>
  <c r="R57"/>
  <c r="Q57"/>
  <c r="J57"/>
  <c r="S56"/>
  <c r="R56"/>
  <c r="Q56"/>
  <c r="J56"/>
  <c r="S55"/>
  <c r="R55"/>
  <c r="Q55"/>
  <c r="J55"/>
  <c r="S54"/>
  <c r="J54"/>
  <c r="K54" s="1"/>
  <c r="H53" s="1"/>
  <c r="S53"/>
  <c r="R53"/>
  <c r="Q53"/>
  <c r="J53"/>
  <c r="S52"/>
  <c r="R52"/>
  <c r="Q52"/>
  <c r="J52"/>
  <c r="S51"/>
  <c r="R51"/>
  <c r="Q51"/>
  <c r="J51"/>
  <c r="S50"/>
  <c r="R50"/>
  <c r="Q50"/>
  <c r="J50"/>
  <c r="S49"/>
  <c r="R49"/>
  <c r="Q49"/>
  <c r="J49"/>
  <c r="J48"/>
  <c r="K48" s="1"/>
  <c r="J47"/>
  <c r="K47" s="1"/>
  <c r="H46" s="1"/>
  <c r="S46"/>
  <c r="R46"/>
  <c r="Q46"/>
  <c r="J46"/>
  <c r="S45"/>
  <c r="R45"/>
  <c r="Q45"/>
  <c r="J45"/>
  <c r="J44"/>
  <c r="K44" s="1"/>
  <c r="K43"/>
  <c r="J43"/>
  <c r="S42"/>
  <c r="R42"/>
  <c r="Q42"/>
  <c r="J42"/>
  <c r="S41"/>
  <c r="R41"/>
  <c r="Q41"/>
  <c r="J41"/>
  <c r="S40"/>
  <c r="R40"/>
  <c r="Q40"/>
  <c r="J40"/>
  <c r="J39"/>
  <c r="K39" s="1"/>
  <c r="J38"/>
  <c r="K38" s="1"/>
  <c r="S37"/>
  <c r="R37"/>
  <c r="Q37"/>
  <c r="J37"/>
  <c r="S36"/>
  <c r="R36"/>
  <c r="Q36"/>
  <c r="J36"/>
  <c r="J35"/>
  <c r="K35" s="1"/>
  <c r="H33" s="1"/>
  <c r="J34"/>
  <c r="K34" s="1"/>
  <c r="S33"/>
  <c r="R33"/>
  <c r="Q33"/>
  <c r="J33"/>
  <c r="S32"/>
  <c r="R32"/>
  <c r="Q32"/>
  <c r="J32"/>
  <c r="S31"/>
  <c r="R31"/>
  <c r="Q31"/>
  <c r="J31"/>
  <c r="J30"/>
  <c r="K30" s="1"/>
  <c r="J29"/>
  <c r="K29" s="1"/>
  <c r="S28"/>
  <c r="R28"/>
  <c r="Q28"/>
  <c r="J28"/>
  <c r="S27"/>
  <c r="R27"/>
  <c r="Q27"/>
  <c r="J27"/>
  <c r="J26"/>
  <c r="K26" s="1"/>
  <c r="K25"/>
  <c r="H24" s="1"/>
  <c r="P24" s="1"/>
  <c r="J25"/>
  <c r="S24"/>
  <c r="R24"/>
  <c r="Q24"/>
  <c r="J24"/>
  <c r="J23"/>
  <c r="K23" s="1"/>
  <c r="H22" s="1"/>
  <c r="P22" s="1"/>
  <c r="S22"/>
  <c r="R22"/>
  <c r="Q22"/>
  <c r="J22"/>
  <c r="J21"/>
  <c r="K21" s="1"/>
  <c r="J20"/>
  <c r="K20" s="1"/>
  <c r="J19"/>
  <c r="K19" s="1"/>
  <c r="H18" s="1"/>
  <c r="S18"/>
  <c r="R18"/>
  <c r="Q18"/>
  <c r="J18"/>
  <c r="S17"/>
  <c r="R17"/>
  <c r="Q17"/>
  <c r="J17"/>
  <c r="S16"/>
  <c r="R16"/>
  <c r="Q16"/>
  <c r="J16"/>
  <c r="S15"/>
  <c r="R15"/>
  <c r="Q15"/>
  <c r="J15"/>
  <c r="S14"/>
  <c r="R14"/>
  <c r="Q14"/>
  <c r="J14"/>
  <c r="S13"/>
  <c r="R13"/>
  <c r="Q13"/>
  <c r="J13"/>
  <c r="S12"/>
  <c r="R12"/>
  <c r="Q12"/>
  <c r="J12"/>
  <c r="P1692" l="1"/>
  <c r="P929"/>
  <c r="P991"/>
  <c r="P1120"/>
  <c r="P1101"/>
  <c r="H1029"/>
  <c r="P1029" s="1"/>
  <c r="H17"/>
  <c r="H1139"/>
  <c r="P1139" s="1"/>
  <c r="H1082"/>
  <c r="P1083"/>
  <c r="H1142"/>
  <c r="P1143"/>
  <c r="P1535"/>
  <c r="H1534"/>
  <c r="P1534" s="1"/>
  <c r="H1615"/>
  <c r="P1616"/>
  <c r="H1780"/>
  <c r="P1781"/>
  <c r="H827"/>
  <c r="P828"/>
  <c r="H1112"/>
  <c r="P1112" s="1"/>
  <c r="P1113"/>
  <c r="H1594"/>
  <c r="P1595"/>
  <c r="H1646"/>
  <c r="P1646" s="1"/>
  <c r="P1647"/>
  <c r="H1191"/>
  <c r="H120"/>
  <c r="P120" s="1"/>
  <c r="P121"/>
  <c r="H793"/>
  <c r="P793" s="1"/>
  <c r="P794"/>
  <c r="H1109"/>
  <c r="P1109" s="1"/>
  <c r="P1110"/>
  <c r="H1518"/>
  <c r="P1519"/>
  <c r="P1549"/>
  <c r="H1548"/>
  <c r="P1548" s="1"/>
  <c r="H1731"/>
  <c r="P1731" s="1"/>
  <c r="P1732"/>
  <c r="H508"/>
  <c r="P508" s="1"/>
  <c r="P1161"/>
  <c r="P1606"/>
  <c r="H1605"/>
  <c r="P1605" s="1"/>
  <c r="H1755"/>
  <c r="P1755" s="1"/>
  <c r="P1756"/>
  <c r="H1562"/>
  <c r="H468"/>
  <c r="H28"/>
  <c r="H75"/>
  <c r="P75" s="1"/>
  <c r="H1150"/>
  <c r="H1265"/>
  <c r="P1265" s="1"/>
  <c r="H1501"/>
  <c r="H1791"/>
  <c r="P1791" s="1"/>
  <c r="H2011"/>
  <c r="H160"/>
  <c r="P160" s="1"/>
  <c r="H453"/>
  <c r="H42"/>
  <c r="H41" s="1"/>
  <c r="P41" s="1"/>
  <c r="H95"/>
  <c r="H210"/>
  <c r="H216"/>
  <c r="P216" s="1"/>
  <c r="H341"/>
  <c r="P341" s="1"/>
  <c r="H722"/>
  <c r="H952"/>
  <c r="P952" s="1"/>
  <c r="H982"/>
  <c r="H981" s="1"/>
  <c r="H980" s="1"/>
  <c r="H979" s="1"/>
  <c r="H1260"/>
  <c r="P1260" s="1"/>
  <c r="H1290"/>
  <c r="P1290" s="1"/>
  <c r="H1365"/>
  <c r="H1505"/>
  <c r="H1835"/>
  <c r="P1835" s="1"/>
  <c r="H2016"/>
  <c r="P2016" s="1"/>
  <c r="H2040"/>
  <c r="H2039" s="1"/>
  <c r="P2039" s="1"/>
  <c r="H902"/>
  <c r="H1163"/>
  <c r="P1163" s="1"/>
  <c r="H1830"/>
  <c r="H1992"/>
  <c r="P1992" s="1"/>
  <c r="H2030"/>
  <c r="P17"/>
  <c r="P28"/>
  <c r="H27"/>
  <c r="P27" s="1"/>
  <c r="P46"/>
  <c r="H45"/>
  <c r="P65"/>
  <c r="H64"/>
  <c r="P53"/>
  <c r="H52"/>
  <c r="P60"/>
  <c r="H59"/>
  <c r="P190"/>
  <c r="H189"/>
  <c r="P33"/>
  <c r="H32"/>
  <c r="P32" s="1"/>
  <c r="P99"/>
  <c r="H98"/>
  <c r="P98" s="1"/>
  <c r="P111"/>
  <c r="H110"/>
  <c r="P118"/>
  <c r="H117"/>
  <c r="P137"/>
  <c r="H136"/>
  <c r="P281"/>
  <c r="H280"/>
  <c r="P374"/>
  <c r="H373"/>
  <c r="H404"/>
  <c r="P405"/>
  <c r="H433"/>
  <c r="P434"/>
  <c r="P440"/>
  <c r="H439"/>
  <c r="P512"/>
  <c r="H511"/>
  <c r="P511" s="1"/>
  <c r="P583"/>
  <c r="H582"/>
  <c r="P599"/>
  <c r="H598"/>
  <c r="H613"/>
  <c r="H614"/>
  <c r="P614" s="1"/>
  <c r="P615"/>
  <c r="P634"/>
  <c r="H633"/>
  <c r="H675"/>
  <c r="P676"/>
  <c r="H696"/>
  <c r="P697"/>
  <c r="P716"/>
  <c r="H715"/>
  <c r="P715" s="1"/>
  <c r="P749"/>
  <c r="H748"/>
  <c r="P748" s="1"/>
  <c r="P778"/>
  <c r="H777"/>
  <c r="P843"/>
  <c r="H842"/>
  <c r="P851"/>
  <c r="H850"/>
  <c r="P876"/>
  <c r="H875"/>
  <c r="P890"/>
  <c r="H889"/>
  <c r="P889" s="1"/>
  <c r="P921"/>
  <c r="H920"/>
  <c r="P935"/>
  <c r="H934"/>
  <c r="P999"/>
  <c r="H998"/>
  <c r="P1009"/>
  <c r="H1008"/>
  <c r="P1008" s="1"/>
  <c r="P1025"/>
  <c r="H1024"/>
  <c r="P1024" s="1"/>
  <c r="P1042"/>
  <c r="H1039"/>
  <c r="P1039" s="1"/>
  <c r="P18"/>
  <c r="P66"/>
  <c r="H86"/>
  <c r="H237"/>
  <c r="H331"/>
  <c r="H336"/>
  <c r="P336" s="1"/>
  <c r="H473"/>
  <c r="P473" s="1"/>
  <c r="H478"/>
  <c r="H1049"/>
  <c r="P1049" s="1"/>
  <c r="P210"/>
  <c r="P142"/>
  <c r="H141"/>
  <c r="P105"/>
  <c r="H104"/>
  <c r="P104" s="1"/>
  <c r="P221"/>
  <c r="H220"/>
  <c r="P220" s="1"/>
  <c r="P133"/>
  <c r="H132"/>
  <c r="P146"/>
  <c r="H145"/>
  <c r="P185"/>
  <c r="H184"/>
  <c r="P242"/>
  <c r="H241"/>
  <c r="P273"/>
  <c r="H272"/>
  <c r="P288"/>
  <c r="H287"/>
  <c r="P310"/>
  <c r="H309"/>
  <c r="P309" s="1"/>
  <c r="P320"/>
  <c r="H319"/>
  <c r="P354"/>
  <c r="H353"/>
  <c r="P368"/>
  <c r="H367"/>
  <c r="P394"/>
  <c r="H393"/>
  <c r="H446"/>
  <c r="P446" s="1"/>
  <c r="P447"/>
  <c r="H519"/>
  <c r="P520"/>
  <c r="P532"/>
  <c r="H531"/>
  <c r="P650"/>
  <c r="H649"/>
  <c r="P665"/>
  <c r="H664"/>
  <c r="P691"/>
  <c r="H690"/>
  <c r="P800"/>
  <c r="H799"/>
  <c r="P822"/>
  <c r="H821"/>
  <c r="P861"/>
  <c r="H860"/>
  <c r="P887"/>
  <c r="H886"/>
  <c r="P917"/>
  <c r="H916"/>
  <c r="P941"/>
  <c r="H940"/>
  <c r="P1045"/>
  <c r="H1044"/>
  <c r="P1044" s="1"/>
  <c r="P1063"/>
  <c r="H1060"/>
  <c r="P1073"/>
  <c r="H1070"/>
  <c r="P1070" s="1"/>
  <c r="P1104"/>
  <c r="H1103"/>
  <c r="P1103" s="1"/>
  <c r="P1133"/>
  <c r="H1132"/>
  <c r="H79"/>
  <c r="H37"/>
  <c r="H154"/>
  <c r="H417"/>
  <c r="H422"/>
  <c r="P422" s="1"/>
  <c r="H427"/>
  <c r="H547"/>
  <c r="H546" s="1"/>
  <c r="H559"/>
  <c r="H1054"/>
  <c r="H254"/>
  <c r="P255"/>
  <c r="P302"/>
  <c r="H301"/>
  <c r="P307"/>
  <c r="H306"/>
  <c r="P306" s="1"/>
  <c r="H340"/>
  <c r="P445"/>
  <c r="H444"/>
  <c r="P463"/>
  <c r="H462"/>
  <c r="H486"/>
  <c r="P487"/>
  <c r="P562"/>
  <c r="H558"/>
  <c r="P558" s="1"/>
  <c r="P589"/>
  <c r="H588"/>
  <c r="P607"/>
  <c r="H606"/>
  <c r="P621"/>
  <c r="H620"/>
  <c r="P640"/>
  <c r="H639"/>
  <c r="P722"/>
  <c r="H721"/>
  <c r="P721" s="1"/>
  <c r="P734"/>
  <c r="H733"/>
  <c r="P740"/>
  <c r="H739"/>
  <c r="P746"/>
  <c r="H745"/>
  <c r="P745" s="1"/>
  <c r="P758"/>
  <c r="H757"/>
  <c r="P788"/>
  <c r="H787"/>
  <c r="P808"/>
  <c r="H807"/>
  <c r="P832"/>
  <c r="H831"/>
  <c r="P883"/>
  <c r="H882"/>
  <c r="P900"/>
  <c r="H899"/>
  <c r="P928"/>
  <c r="H927"/>
  <c r="H951"/>
  <c r="P1004"/>
  <c r="H1003"/>
  <c r="P1003" s="1"/>
  <c r="P1076"/>
  <c r="H1075"/>
  <c r="P1075" s="1"/>
  <c r="P1086"/>
  <c r="H1085"/>
  <c r="P1085" s="1"/>
  <c r="P1089"/>
  <c r="H1088"/>
  <c r="P1088" s="1"/>
  <c r="P1128"/>
  <c r="H1127"/>
  <c r="P168"/>
  <c r="H167"/>
  <c r="P181"/>
  <c r="H180"/>
  <c r="P201"/>
  <c r="H200"/>
  <c r="P127"/>
  <c r="H126"/>
  <c r="P150"/>
  <c r="H149"/>
  <c r="P226"/>
  <c r="H225"/>
  <c r="P246"/>
  <c r="H245"/>
  <c r="P251"/>
  <c r="H250"/>
  <c r="P265"/>
  <c r="H264"/>
  <c r="P292"/>
  <c r="H291"/>
  <c r="P314"/>
  <c r="H313"/>
  <c r="P362"/>
  <c r="H361"/>
  <c r="P388"/>
  <c r="H387"/>
  <c r="P468"/>
  <c r="P526"/>
  <c r="H525"/>
  <c r="H538"/>
  <c r="H539"/>
  <c r="P539" s="1"/>
  <c r="P540"/>
  <c r="P550"/>
  <c r="P570"/>
  <c r="H569"/>
  <c r="P656"/>
  <c r="H655"/>
  <c r="P668"/>
  <c r="H667"/>
  <c r="P667" s="1"/>
  <c r="P683"/>
  <c r="H682"/>
  <c r="P712"/>
  <c r="H711"/>
  <c r="P711" s="1"/>
  <c r="H770"/>
  <c r="P771"/>
  <c r="P784"/>
  <c r="H783"/>
  <c r="H854"/>
  <c r="P855"/>
  <c r="P894"/>
  <c r="H893"/>
  <c r="P977"/>
  <c r="H976"/>
  <c r="P1014"/>
  <c r="H1013"/>
  <c r="P1013" s="1"/>
  <c r="P1022"/>
  <c r="H1019"/>
  <c r="P1019" s="1"/>
  <c r="P1116"/>
  <c r="H1115"/>
  <c r="P1115" s="1"/>
  <c r="P1124"/>
  <c r="H1123"/>
  <c r="H1138"/>
  <c r="P1142"/>
  <c r="H505"/>
  <c r="H702"/>
  <c r="P1329"/>
  <c r="H1328"/>
  <c r="P1328" s="1"/>
  <c r="H195"/>
  <c r="H1197"/>
  <c r="P1197" s="1"/>
  <c r="P1191"/>
  <c r="H1190"/>
  <c r="P1190" s="1"/>
  <c r="H1233"/>
  <c r="P1236"/>
  <c r="P1269"/>
  <c r="H1268"/>
  <c r="P1268" s="1"/>
  <c r="P1295"/>
  <c r="H1294"/>
  <c r="P1294" s="1"/>
  <c r="P1299"/>
  <c r="H1298"/>
  <c r="P1298" s="1"/>
  <c r="P1306"/>
  <c r="H1305"/>
  <c r="P1305" s="1"/>
  <c r="P1316"/>
  <c r="H1315"/>
  <c r="P1315" s="1"/>
  <c r="P1354"/>
  <c r="H1353"/>
  <c r="P1353" s="1"/>
  <c r="P1394"/>
  <c r="H593"/>
  <c r="H627"/>
  <c r="H742"/>
  <c r="P742" s="1"/>
  <c r="H962"/>
  <c r="P1214"/>
  <c r="H1213"/>
  <c r="P1229"/>
  <c r="H1228"/>
  <c r="P1273"/>
  <c r="H1272"/>
  <c r="P1272" s="1"/>
  <c r="P1374"/>
  <c r="H1373"/>
  <c r="H1097"/>
  <c r="P1097" s="1"/>
  <c r="H1172"/>
  <c r="H1180"/>
  <c r="P453"/>
  <c r="H452"/>
  <c r="P495"/>
  <c r="H494"/>
  <c r="P645"/>
  <c r="H644"/>
  <c r="H792"/>
  <c r="P792" s="1"/>
  <c r="P813"/>
  <c r="H812"/>
  <c r="P827"/>
  <c r="H826"/>
  <c r="P847"/>
  <c r="H846"/>
  <c r="P869"/>
  <c r="H868"/>
  <c r="P966"/>
  <c r="H965"/>
  <c r="P965" s="1"/>
  <c r="P990"/>
  <c r="H989"/>
  <c r="P1035"/>
  <c r="H1034"/>
  <c r="P1034" s="1"/>
  <c r="P1066"/>
  <c r="H1065"/>
  <c r="P1065" s="1"/>
  <c r="P1082"/>
  <c r="P1092"/>
  <c r="H1091"/>
  <c r="P1091" s="1"/>
  <c r="P1107"/>
  <c r="H1106"/>
  <c r="P1106" s="1"/>
  <c r="P1119"/>
  <c r="H1118"/>
  <c r="P1118" s="1"/>
  <c r="P1150"/>
  <c r="H1149"/>
  <c r="P1156"/>
  <c r="H1155"/>
  <c r="P1167"/>
  <c r="H1166"/>
  <c r="P1166" s="1"/>
  <c r="P1184"/>
  <c r="H1183"/>
  <c r="P1183" s="1"/>
  <c r="P1244"/>
  <c r="H1243"/>
  <c r="P1285"/>
  <c r="H1284"/>
  <c r="P1385"/>
  <c r="H1384"/>
  <c r="P1384" s="1"/>
  <c r="P1421"/>
  <c r="H1420"/>
  <c r="P1432"/>
  <c r="H1431"/>
  <c r="P1451"/>
  <c r="H1450"/>
  <c r="P1450" s="1"/>
  <c r="H707"/>
  <c r="P707" s="1"/>
  <c r="P1482"/>
  <c r="H1481"/>
  <c r="P1481" s="1"/>
  <c r="P1501"/>
  <c r="H1500"/>
  <c r="P1500" s="1"/>
  <c r="P1522"/>
  <c r="H1521"/>
  <c r="P1521" s="1"/>
  <c r="P1575"/>
  <c r="H1574"/>
  <c r="H1705"/>
  <c r="P1706"/>
  <c r="P1740"/>
  <c r="H1739"/>
  <c r="P1222"/>
  <c r="H1221"/>
  <c r="P1251"/>
  <c r="H1250"/>
  <c r="H1259"/>
  <c r="P1313"/>
  <c r="H1312"/>
  <c r="P1321"/>
  <c r="H1320"/>
  <c r="P1429"/>
  <c r="H1428"/>
  <c r="P1428" s="1"/>
  <c r="P1448"/>
  <c r="H1447"/>
  <c r="P1454"/>
  <c r="H1453"/>
  <c r="P1453" s="1"/>
  <c r="P1479"/>
  <c r="H1478"/>
  <c r="P1532"/>
  <c r="H1531"/>
  <c r="P1686"/>
  <c r="H1685"/>
  <c r="P1685" s="1"/>
  <c r="H1730"/>
  <c r="P1746"/>
  <c r="H1745"/>
  <c r="P1745" s="1"/>
  <c r="H1440"/>
  <c r="P1505"/>
  <c r="H1504"/>
  <c r="P1504" s="1"/>
  <c r="P1543"/>
  <c r="H1542"/>
  <c r="P1542" s="1"/>
  <c r="H1649"/>
  <c r="P1649" s="1"/>
  <c r="P1650"/>
  <c r="P1817"/>
  <c r="H1816"/>
  <c r="H1413"/>
  <c r="P1413" s="1"/>
  <c r="H1470"/>
  <c r="P1208"/>
  <c r="H1207"/>
  <c r="P1240"/>
  <c r="H1239"/>
  <c r="P1332"/>
  <c r="H1331"/>
  <c r="P1351"/>
  <c r="H1350"/>
  <c r="P1357"/>
  <c r="H1356"/>
  <c r="P1356" s="1"/>
  <c r="P1382"/>
  <c r="H1381"/>
  <c r="P1512"/>
  <c r="H1511"/>
  <c r="P1518"/>
  <c r="P1594"/>
  <c r="H1593"/>
  <c r="P1625"/>
  <c r="H1624"/>
  <c r="P1662"/>
  <c r="H1661"/>
  <c r="P1820"/>
  <c r="H1819"/>
  <c r="P1819" s="1"/>
  <c r="H1343"/>
  <c r="H1399"/>
  <c r="P1399" s="1"/>
  <c r="H1403"/>
  <c r="H1407"/>
  <c r="P1674"/>
  <c r="H1673"/>
  <c r="P1673" s="1"/>
  <c r="P1736"/>
  <c r="H1735"/>
  <c r="P1864"/>
  <c r="H1863"/>
  <c r="P1923"/>
  <c r="H1922"/>
  <c r="P1977"/>
  <c r="H1976"/>
  <c r="P2011"/>
  <c r="H2010"/>
  <c r="H1541"/>
  <c r="H1840"/>
  <c r="H2020"/>
  <c r="H2035"/>
  <c r="P2035" s="1"/>
  <c r="P1668"/>
  <c r="H1667"/>
  <c r="P1743"/>
  <c r="H1742"/>
  <c r="P1742" s="1"/>
  <c r="P1759"/>
  <c r="H1758"/>
  <c r="P1758" s="1"/>
  <c r="P1777"/>
  <c r="H1776"/>
  <c r="P1809"/>
  <c r="H1808"/>
  <c r="P1856"/>
  <c r="H1855"/>
  <c r="P1873"/>
  <c r="H1872"/>
  <c r="P1887"/>
  <c r="H1886"/>
  <c r="P1966"/>
  <c r="P2006"/>
  <c r="H2005"/>
  <c r="H1496"/>
  <c r="P1496" s="1"/>
  <c r="H1796"/>
  <c r="P1796" s="1"/>
  <c r="H1800"/>
  <c r="H1971"/>
  <c r="P1971" s="1"/>
  <c r="P1578"/>
  <c r="H1577"/>
  <c r="P1577" s="1"/>
  <c r="P1603"/>
  <c r="H1602"/>
  <c r="P1644"/>
  <c r="H1643"/>
  <c r="P1655"/>
  <c r="H1654"/>
  <c r="P1689"/>
  <c r="H1688"/>
  <c r="P1688" s="1"/>
  <c r="P1700"/>
  <c r="H1699"/>
  <c r="P1714"/>
  <c r="H1713"/>
  <c r="P1725"/>
  <c r="H1724"/>
  <c r="P1753"/>
  <c r="H1752"/>
  <c r="P1752" s="1"/>
  <c r="P1785"/>
  <c r="H1784"/>
  <c r="P1868"/>
  <c r="H1867"/>
  <c r="P1934"/>
  <c r="H1933"/>
  <c r="P1956"/>
  <c r="H1955"/>
  <c r="P1998"/>
  <c r="H1997"/>
  <c r="P2040"/>
  <c r="H1987"/>
  <c r="P1615"/>
  <c r="H1614"/>
  <c r="P1671"/>
  <c r="H1670"/>
  <c r="P1670" s="1"/>
  <c r="P1683"/>
  <c r="H1682"/>
  <c r="P1682" s="1"/>
  <c r="P1720"/>
  <c r="H1719"/>
  <c r="P1780"/>
  <c r="H1779"/>
  <c r="P1779" s="1"/>
  <c r="P1830"/>
  <c r="H1829"/>
  <c r="P1851"/>
  <c r="H1850"/>
  <c r="P1850" s="1"/>
  <c r="P1962"/>
  <c r="H1961"/>
  <c r="P1982"/>
  <c r="H1981"/>
  <c r="P2002"/>
  <c r="H2001"/>
  <c r="P2030"/>
  <c r="H2029"/>
  <c r="H1636"/>
  <c r="H1696"/>
  <c r="H209" l="1"/>
  <c r="H74"/>
  <c r="H1790"/>
  <c r="P1790" s="1"/>
  <c r="H467"/>
  <c r="H1160"/>
  <c r="P1160" s="1"/>
  <c r="P95"/>
  <c r="H94"/>
  <c r="P94" s="1"/>
  <c r="H1561"/>
  <c r="P1562"/>
  <c r="P42"/>
  <c r="P2029"/>
  <c r="H2028"/>
  <c r="P1981"/>
  <c r="H1980"/>
  <c r="P1614"/>
  <c r="H1613"/>
  <c r="P1636"/>
  <c r="H1635"/>
  <c r="P1955"/>
  <c r="H1954"/>
  <c r="P1867"/>
  <c r="H1866"/>
  <c r="P1866" s="1"/>
  <c r="P1713"/>
  <c r="H1712"/>
  <c r="P1643"/>
  <c r="H1642"/>
  <c r="P1872"/>
  <c r="H1871"/>
  <c r="P1808"/>
  <c r="H1807"/>
  <c r="P1667"/>
  <c r="H1666"/>
  <c r="P1840"/>
  <c r="H1839"/>
  <c r="P1839" s="1"/>
  <c r="P1976"/>
  <c r="H1975"/>
  <c r="P1975" s="1"/>
  <c r="P1863"/>
  <c r="H1862"/>
  <c r="H1660"/>
  <c r="P1661"/>
  <c r="H1592"/>
  <c r="P1592" s="1"/>
  <c r="P1593"/>
  <c r="P1511"/>
  <c r="P1331"/>
  <c r="H1327"/>
  <c r="P1207"/>
  <c r="H1206"/>
  <c r="P1816"/>
  <c r="H1815"/>
  <c r="P1440"/>
  <c r="H1439"/>
  <c r="H1437"/>
  <c r="P1373"/>
  <c r="H1372"/>
  <c r="P1228"/>
  <c r="H1227"/>
  <c r="H961"/>
  <c r="P961" s="1"/>
  <c r="P962"/>
  <c r="P893"/>
  <c r="H892"/>
  <c r="P892" s="1"/>
  <c r="P783"/>
  <c r="H782"/>
  <c r="P782" s="1"/>
  <c r="P569"/>
  <c r="H568"/>
  <c r="P568" s="1"/>
  <c r="P486"/>
  <c r="H485"/>
  <c r="P254"/>
  <c r="H253"/>
  <c r="P427"/>
  <c r="H426"/>
  <c r="P426" s="1"/>
  <c r="P37"/>
  <c r="H36"/>
  <c r="P1060"/>
  <c r="H1059"/>
  <c r="P1059" s="1"/>
  <c r="H939"/>
  <c r="P940"/>
  <c r="P886"/>
  <c r="H885"/>
  <c r="P885" s="1"/>
  <c r="P821"/>
  <c r="H820"/>
  <c r="P690"/>
  <c r="H689"/>
  <c r="P689" s="1"/>
  <c r="P649"/>
  <c r="H648"/>
  <c r="P393"/>
  <c r="H392"/>
  <c r="P353"/>
  <c r="H352"/>
  <c r="P272"/>
  <c r="H271"/>
  <c r="P184"/>
  <c r="H183"/>
  <c r="P132"/>
  <c r="H131"/>
  <c r="P209"/>
  <c r="H204"/>
  <c r="P86"/>
  <c r="H85"/>
  <c r="P934"/>
  <c r="H933"/>
  <c r="P850"/>
  <c r="H849"/>
  <c r="P849" s="1"/>
  <c r="P777"/>
  <c r="H776"/>
  <c r="P433"/>
  <c r="H432"/>
  <c r="H1965"/>
  <c r="H1393"/>
  <c r="P1829"/>
  <c r="P2020"/>
  <c r="H2019"/>
  <c r="P2019" s="1"/>
  <c r="P1403"/>
  <c r="H1402"/>
  <c r="P1402" s="1"/>
  <c r="P1730"/>
  <c r="P1478"/>
  <c r="H1477"/>
  <c r="P1447"/>
  <c r="H1446"/>
  <c r="P1320"/>
  <c r="H1319"/>
  <c r="P1259"/>
  <c r="H1258"/>
  <c r="P1221"/>
  <c r="H1220"/>
  <c r="H1738"/>
  <c r="P1738" s="1"/>
  <c r="P1739"/>
  <c r="P1574"/>
  <c r="H1573"/>
  <c r="H1427"/>
  <c r="P1431"/>
  <c r="P1243"/>
  <c r="H1242"/>
  <c r="P1242" s="1"/>
  <c r="P1149"/>
  <c r="H1148"/>
  <c r="P846"/>
  <c r="H845"/>
  <c r="P845" s="1"/>
  <c r="P812"/>
  <c r="H811"/>
  <c r="P644"/>
  <c r="H643"/>
  <c r="P452"/>
  <c r="H451"/>
  <c r="P593"/>
  <c r="H592"/>
  <c r="P1233"/>
  <c r="H1232"/>
  <c r="P195"/>
  <c r="H194"/>
  <c r="P505"/>
  <c r="H504"/>
  <c r="P854"/>
  <c r="H853"/>
  <c r="P853" s="1"/>
  <c r="P770"/>
  <c r="H769"/>
  <c r="P546"/>
  <c r="H545"/>
  <c r="P525"/>
  <c r="H524"/>
  <c r="P387"/>
  <c r="H386"/>
  <c r="P313"/>
  <c r="H312"/>
  <c r="P312" s="1"/>
  <c r="P264"/>
  <c r="H263"/>
  <c r="H244"/>
  <c r="P244" s="1"/>
  <c r="P245"/>
  <c r="P149"/>
  <c r="H148"/>
  <c r="P148" s="1"/>
  <c r="P200"/>
  <c r="H199"/>
  <c r="P167"/>
  <c r="H166"/>
  <c r="P1127"/>
  <c r="H1126"/>
  <c r="P1126" s="1"/>
  <c r="H926"/>
  <c r="P927"/>
  <c r="P882"/>
  <c r="H881"/>
  <c r="P881" s="1"/>
  <c r="P807"/>
  <c r="H806"/>
  <c r="P757"/>
  <c r="H756"/>
  <c r="P739"/>
  <c r="H738"/>
  <c r="P738" s="1"/>
  <c r="P620"/>
  <c r="H619"/>
  <c r="P588"/>
  <c r="H587"/>
  <c r="P444"/>
  <c r="H443"/>
  <c r="P154"/>
  <c r="H153"/>
  <c r="H477"/>
  <c r="P477" s="1"/>
  <c r="P478"/>
  <c r="P237"/>
  <c r="H236"/>
  <c r="P696"/>
  <c r="H695"/>
  <c r="P598"/>
  <c r="H597"/>
  <c r="P373"/>
  <c r="H372"/>
  <c r="P136"/>
  <c r="H135"/>
  <c r="P135" s="1"/>
  <c r="H109"/>
  <c r="P110"/>
  <c r="P74"/>
  <c r="P52"/>
  <c r="H51"/>
  <c r="H40"/>
  <c r="P40" s="1"/>
  <c r="P45"/>
  <c r="H1490"/>
  <c r="P1490" s="1"/>
  <c r="H1081"/>
  <c r="H16"/>
  <c r="P1696"/>
  <c r="H1695"/>
  <c r="P1695" s="1"/>
  <c r="P2001"/>
  <c r="H2000"/>
  <c r="P2000" s="1"/>
  <c r="P1961"/>
  <c r="H1960"/>
  <c r="P1719"/>
  <c r="P1987"/>
  <c r="H1986"/>
  <c r="P1800"/>
  <c r="H1799"/>
  <c r="P1799" s="1"/>
  <c r="P1997"/>
  <c r="H1996"/>
  <c r="P1996" s="1"/>
  <c r="P1933"/>
  <c r="H1932"/>
  <c r="P1784"/>
  <c r="H1783"/>
  <c r="P1783" s="1"/>
  <c r="P1724"/>
  <c r="H1723"/>
  <c r="P1723" s="1"/>
  <c r="P1699"/>
  <c r="P1654"/>
  <c r="H1653"/>
  <c r="P1602"/>
  <c r="H1601"/>
  <c r="P2005"/>
  <c r="H2004"/>
  <c r="P2004" s="1"/>
  <c r="P1886"/>
  <c r="H1885"/>
  <c r="P1855"/>
  <c r="H1849"/>
  <c r="P1849" s="1"/>
  <c r="P1776"/>
  <c r="H1775"/>
  <c r="P2010"/>
  <c r="P1922"/>
  <c r="H1921"/>
  <c r="P1735"/>
  <c r="H1734"/>
  <c r="P1734" s="1"/>
  <c r="P1407"/>
  <c r="H1406"/>
  <c r="P1406" s="1"/>
  <c r="P1624"/>
  <c r="H1619"/>
  <c r="P1381"/>
  <c r="H1380"/>
  <c r="P1350"/>
  <c r="H1349"/>
  <c r="P1239"/>
  <c r="H1238"/>
  <c r="P1238" s="1"/>
  <c r="P1470"/>
  <c r="H1469"/>
  <c r="P1705"/>
  <c r="H1704"/>
  <c r="P1172"/>
  <c r="H1171"/>
  <c r="P1213"/>
  <c r="H1212"/>
  <c r="P627"/>
  <c r="H626"/>
  <c r="P702"/>
  <c r="H701"/>
  <c r="P1123"/>
  <c r="H1122"/>
  <c r="P1122" s="1"/>
  <c r="P976"/>
  <c r="H975"/>
  <c r="P682"/>
  <c r="H681"/>
  <c r="H654"/>
  <c r="P655"/>
  <c r="P538"/>
  <c r="H537"/>
  <c r="P417"/>
  <c r="H416"/>
  <c r="P1132"/>
  <c r="H1131"/>
  <c r="P916"/>
  <c r="H915"/>
  <c r="P915" s="1"/>
  <c r="P860"/>
  <c r="H859"/>
  <c r="P799"/>
  <c r="H798"/>
  <c r="H663"/>
  <c r="P664"/>
  <c r="H530"/>
  <c r="P531"/>
  <c r="P367"/>
  <c r="H366"/>
  <c r="P319"/>
  <c r="H318"/>
  <c r="P287"/>
  <c r="H286"/>
  <c r="P286" s="1"/>
  <c r="P241"/>
  <c r="H240"/>
  <c r="P240" s="1"/>
  <c r="P145"/>
  <c r="H144"/>
  <c r="P144" s="1"/>
  <c r="P141"/>
  <c r="H140"/>
  <c r="P331"/>
  <c r="H330"/>
  <c r="P330" s="1"/>
  <c r="H997"/>
  <c r="P998"/>
  <c r="H919"/>
  <c r="P919" s="1"/>
  <c r="P920"/>
  <c r="H874"/>
  <c r="P875"/>
  <c r="P842"/>
  <c r="H841"/>
  <c r="P841" s="1"/>
  <c r="P633"/>
  <c r="H632"/>
  <c r="P632" s="1"/>
  <c r="P613"/>
  <c r="H612"/>
  <c r="P404"/>
  <c r="H400"/>
  <c r="H1517"/>
  <c r="P1541"/>
  <c r="H1540"/>
  <c r="P1343"/>
  <c r="H1342"/>
  <c r="P1531"/>
  <c r="H1530"/>
  <c r="P1312"/>
  <c r="H1311"/>
  <c r="P1250"/>
  <c r="H1249"/>
  <c r="P1420"/>
  <c r="H1419"/>
  <c r="P1284"/>
  <c r="H1283"/>
  <c r="P1155"/>
  <c r="H1154"/>
  <c r="P989"/>
  <c r="H988"/>
  <c r="P868"/>
  <c r="H867"/>
  <c r="P826"/>
  <c r="P494"/>
  <c r="H493"/>
  <c r="P1180"/>
  <c r="H1179"/>
  <c r="P1179" s="1"/>
  <c r="H1137"/>
  <c r="P1138"/>
  <c r="P467"/>
  <c r="P361"/>
  <c r="H360"/>
  <c r="P291"/>
  <c r="H290"/>
  <c r="P250"/>
  <c r="H249"/>
  <c r="P249" s="1"/>
  <c r="P225"/>
  <c r="H224"/>
  <c r="P126"/>
  <c r="H125"/>
  <c r="P180"/>
  <c r="H179"/>
  <c r="P179" s="1"/>
  <c r="P951"/>
  <c r="H898"/>
  <c r="P898" s="1"/>
  <c r="P899"/>
  <c r="P831"/>
  <c r="H830"/>
  <c r="P830" s="1"/>
  <c r="H786"/>
  <c r="P786" s="1"/>
  <c r="P787"/>
  <c r="H732"/>
  <c r="P733"/>
  <c r="P639"/>
  <c r="H638"/>
  <c r="P606"/>
  <c r="H605"/>
  <c r="H461"/>
  <c r="P462"/>
  <c r="P340"/>
  <c r="P301"/>
  <c r="H300"/>
  <c r="P79"/>
  <c r="H78"/>
  <c r="P78" s="1"/>
  <c r="P519"/>
  <c r="H518"/>
  <c r="P518" s="1"/>
  <c r="P675"/>
  <c r="H674"/>
  <c r="P582"/>
  <c r="H581"/>
  <c r="P439"/>
  <c r="H438"/>
  <c r="P280"/>
  <c r="H279"/>
  <c r="P117"/>
  <c r="H116"/>
  <c r="P189"/>
  <c r="H188"/>
  <c r="P188" s="1"/>
  <c r="H58"/>
  <c r="P59"/>
  <c r="P64"/>
  <c r="H63"/>
  <c r="H1159"/>
  <c r="H2009" l="1"/>
  <c r="H1789"/>
  <c r="H1788" s="1"/>
  <c r="H1694"/>
  <c r="P1694" s="1"/>
  <c r="H1560"/>
  <c r="P1561"/>
  <c r="P461"/>
  <c r="H460"/>
  <c r="P1789"/>
  <c r="P400"/>
  <c r="H399"/>
  <c r="P140"/>
  <c r="P318"/>
  <c r="H317"/>
  <c r="P798"/>
  <c r="H797"/>
  <c r="P416"/>
  <c r="H415"/>
  <c r="H974"/>
  <c r="P975"/>
  <c r="P701"/>
  <c r="H700"/>
  <c r="P1212"/>
  <c r="H1211"/>
  <c r="P1704"/>
  <c r="H1703"/>
  <c r="P1380"/>
  <c r="H1379"/>
  <c r="P1921"/>
  <c r="H1920"/>
  <c r="P1775"/>
  <c r="H1774"/>
  <c r="P1885"/>
  <c r="H1884"/>
  <c r="P1601"/>
  <c r="H1600"/>
  <c r="P1986"/>
  <c r="H1985"/>
  <c r="P1960"/>
  <c r="P109"/>
  <c r="H108"/>
  <c r="P1427"/>
  <c r="H1426"/>
  <c r="P1815"/>
  <c r="H1814"/>
  <c r="P1327"/>
  <c r="H1326"/>
  <c r="P1862"/>
  <c r="H1861"/>
  <c r="P1807"/>
  <c r="H1806"/>
  <c r="P1642"/>
  <c r="H1641"/>
  <c r="P1635"/>
  <c r="H1634"/>
  <c r="P1980"/>
  <c r="H1979"/>
  <c r="P1979" s="1"/>
  <c r="P63"/>
  <c r="H62"/>
  <c r="P279"/>
  <c r="H278"/>
  <c r="P581"/>
  <c r="H580"/>
  <c r="P580" s="1"/>
  <c r="P300"/>
  <c r="H299"/>
  <c r="P638"/>
  <c r="H637"/>
  <c r="P637" s="1"/>
  <c r="P224"/>
  <c r="H223"/>
  <c r="P223" s="1"/>
  <c r="H285"/>
  <c r="P290"/>
  <c r="P988"/>
  <c r="H987"/>
  <c r="P1283"/>
  <c r="H1282"/>
  <c r="P1311"/>
  <c r="H1310"/>
  <c r="P1342"/>
  <c r="H1341"/>
  <c r="P1517"/>
  <c r="H1516"/>
  <c r="P663"/>
  <c r="H662"/>
  <c r="P1081"/>
  <c r="H1080"/>
  <c r="P1080" s="1"/>
  <c r="P51"/>
  <c r="H50"/>
  <c r="P372"/>
  <c r="H371"/>
  <c r="P695"/>
  <c r="H694"/>
  <c r="P443"/>
  <c r="H442"/>
  <c r="P619"/>
  <c r="H618"/>
  <c r="H755"/>
  <c r="P756"/>
  <c r="P199"/>
  <c r="H198"/>
  <c r="P524"/>
  <c r="H523"/>
  <c r="P769"/>
  <c r="H768"/>
  <c r="P504"/>
  <c r="H503"/>
  <c r="P1232"/>
  <c r="H1231"/>
  <c r="P1231" s="1"/>
  <c r="P451"/>
  <c r="H450"/>
  <c r="P811"/>
  <c r="H810"/>
  <c r="P810" s="1"/>
  <c r="P1148"/>
  <c r="H1147"/>
  <c r="P1147" s="1"/>
  <c r="P1258"/>
  <c r="H1257"/>
  <c r="P1446"/>
  <c r="H1445"/>
  <c r="H431"/>
  <c r="P432"/>
  <c r="P85"/>
  <c r="H84"/>
  <c r="P131"/>
  <c r="H130"/>
  <c r="P271"/>
  <c r="H270"/>
  <c r="P392"/>
  <c r="H391"/>
  <c r="P485"/>
  <c r="H484"/>
  <c r="P1372"/>
  <c r="H1371"/>
  <c r="P1371" s="1"/>
  <c r="P1660"/>
  <c r="H1659"/>
  <c r="H466"/>
  <c r="H825"/>
  <c r="H1828"/>
  <c r="H1489"/>
  <c r="H1158"/>
  <c r="P1158" s="1"/>
  <c r="P1159"/>
  <c r="P58"/>
  <c r="H57"/>
  <c r="P732"/>
  <c r="H731"/>
  <c r="P1137"/>
  <c r="H1136"/>
  <c r="P612"/>
  <c r="H611"/>
  <c r="P611" s="1"/>
  <c r="P366"/>
  <c r="H365"/>
  <c r="P859"/>
  <c r="H858"/>
  <c r="P1131"/>
  <c r="H1130"/>
  <c r="P1130" s="1"/>
  <c r="P537"/>
  <c r="H536"/>
  <c r="P536" s="1"/>
  <c r="P681"/>
  <c r="H680"/>
  <c r="H625"/>
  <c r="P626"/>
  <c r="P1171"/>
  <c r="H1170"/>
  <c r="P1469"/>
  <c r="H1468"/>
  <c r="P1468" s="1"/>
  <c r="P1349"/>
  <c r="H1348"/>
  <c r="H1618"/>
  <c r="P1619"/>
  <c r="P2009"/>
  <c r="H2008"/>
  <c r="P2008" s="1"/>
  <c r="P1653"/>
  <c r="H1652"/>
  <c r="P1652" s="1"/>
  <c r="P1932"/>
  <c r="H1931"/>
  <c r="P16"/>
  <c r="P926"/>
  <c r="H925"/>
  <c r="P925" s="1"/>
  <c r="P1965"/>
  <c r="H1964"/>
  <c r="P1964" s="1"/>
  <c r="P939"/>
  <c r="H938"/>
  <c r="P1439"/>
  <c r="H1438"/>
  <c r="P1438" s="1"/>
  <c r="P1206"/>
  <c r="H1205"/>
  <c r="P1666"/>
  <c r="P1871"/>
  <c r="H1870"/>
  <c r="P1870" s="1"/>
  <c r="P1712"/>
  <c r="H1711"/>
  <c r="P1954"/>
  <c r="H1953"/>
  <c r="P1613"/>
  <c r="H1612"/>
  <c r="P1612" s="1"/>
  <c r="P2028"/>
  <c r="H2027"/>
  <c r="P116"/>
  <c r="H115"/>
  <c r="P438"/>
  <c r="H437"/>
  <c r="P674"/>
  <c r="H673"/>
  <c r="P605"/>
  <c r="H604"/>
  <c r="P125"/>
  <c r="H124"/>
  <c r="P360"/>
  <c r="H359"/>
  <c r="P493"/>
  <c r="H492"/>
  <c r="P867"/>
  <c r="H866"/>
  <c r="P1154"/>
  <c r="H1153"/>
  <c r="P1419"/>
  <c r="H1418"/>
  <c r="P1249"/>
  <c r="H1248"/>
  <c r="P1530"/>
  <c r="H1529"/>
  <c r="P1529" s="1"/>
  <c r="H1539"/>
  <c r="P1540"/>
  <c r="P874"/>
  <c r="H873"/>
  <c r="P873" s="1"/>
  <c r="P997"/>
  <c r="H996"/>
  <c r="P530"/>
  <c r="H529"/>
  <c r="P654"/>
  <c r="H653"/>
  <c r="P597"/>
  <c r="H596"/>
  <c r="P596" s="1"/>
  <c r="P236"/>
  <c r="H235"/>
  <c r="P153"/>
  <c r="H152"/>
  <c r="P152" s="1"/>
  <c r="P587"/>
  <c r="H586"/>
  <c r="P586" s="1"/>
  <c r="P806"/>
  <c r="H805"/>
  <c r="P166"/>
  <c r="H165"/>
  <c r="P263"/>
  <c r="H262"/>
  <c r="P386"/>
  <c r="H385"/>
  <c r="P545"/>
  <c r="H544"/>
  <c r="P194"/>
  <c r="H193"/>
  <c r="P193" s="1"/>
  <c r="H591"/>
  <c r="P592"/>
  <c r="P643"/>
  <c r="H642"/>
  <c r="P642" s="1"/>
  <c r="P1573"/>
  <c r="H1572"/>
  <c r="P1220"/>
  <c r="H1219"/>
  <c r="P1319"/>
  <c r="H1318"/>
  <c r="P1318" s="1"/>
  <c r="P1477"/>
  <c r="H1476"/>
  <c r="P1393"/>
  <c r="H1392"/>
  <c r="P776"/>
  <c r="H775"/>
  <c r="P775" s="1"/>
  <c r="P933"/>
  <c r="H932"/>
  <c r="P204"/>
  <c r="H203"/>
  <c r="P203" s="1"/>
  <c r="P183"/>
  <c r="H178"/>
  <c r="P178" s="1"/>
  <c r="P352"/>
  <c r="H351"/>
  <c r="P351" s="1"/>
  <c r="P648"/>
  <c r="H647"/>
  <c r="P820"/>
  <c r="H819"/>
  <c r="P36"/>
  <c r="H31"/>
  <c r="P31" s="1"/>
  <c r="H248"/>
  <c r="P248" s="1"/>
  <c r="P253"/>
  <c r="P1227"/>
  <c r="H1226"/>
  <c r="P1437"/>
  <c r="H1436"/>
  <c r="H1718"/>
  <c r="H1729"/>
  <c r="H329"/>
  <c r="H950"/>
  <c r="H73"/>
  <c r="H1665" l="1"/>
  <c r="P1560"/>
  <c r="H1559"/>
  <c r="P1729"/>
  <c r="H1728"/>
  <c r="P1226"/>
  <c r="H1225"/>
  <c r="H636"/>
  <c r="P636" s="1"/>
  <c r="P647"/>
  <c r="P932"/>
  <c r="H931"/>
  <c r="P931" s="1"/>
  <c r="P1392"/>
  <c r="H1391"/>
  <c r="H1571"/>
  <c r="P1572"/>
  <c r="P544"/>
  <c r="H543"/>
  <c r="P262"/>
  <c r="H261"/>
  <c r="P805"/>
  <c r="H804"/>
  <c r="P804" s="1"/>
  <c r="P529"/>
  <c r="H528"/>
  <c r="P528" s="1"/>
  <c r="P1418"/>
  <c r="H1417"/>
  <c r="H865"/>
  <c r="P866"/>
  <c r="P359"/>
  <c r="H358"/>
  <c r="H603"/>
  <c r="P603" s="1"/>
  <c r="P604"/>
  <c r="P437"/>
  <c r="H436"/>
  <c r="P436" s="1"/>
  <c r="P2027"/>
  <c r="H2026"/>
  <c r="P1953"/>
  <c r="H1952"/>
  <c r="P1205"/>
  <c r="H1204"/>
  <c r="P938"/>
  <c r="H937"/>
  <c r="P937" s="1"/>
  <c r="P1931"/>
  <c r="H1930"/>
  <c r="P1348"/>
  <c r="H1347"/>
  <c r="P1170"/>
  <c r="H1169"/>
  <c r="P1169" s="1"/>
  <c r="P680"/>
  <c r="H679"/>
  <c r="P365"/>
  <c r="H364"/>
  <c r="P364" s="1"/>
  <c r="P1136"/>
  <c r="H1135"/>
  <c r="P1135" s="1"/>
  <c r="P57"/>
  <c r="H56"/>
  <c r="P56" s="1"/>
  <c r="H1488"/>
  <c r="P1489"/>
  <c r="P1659"/>
  <c r="H1658"/>
  <c r="P484"/>
  <c r="H483"/>
  <c r="P270"/>
  <c r="H269"/>
  <c r="P84"/>
  <c r="H83"/>
  <c r="P1445"/>
  <c r="H1444"/>
  <c r="P450"/>
  <c r="H449"/>
  <c r="P503"/>
  <c r="H502"/>
  <c r="P523"/>
  <c r="H522"/>
  <c r="P522" s="1"/>
  <c r="P442"/>
  <c r="H435"/>
  <c r="P435" s="1"/>
  <c r="P371"/>
  <c r="H370"/>
  <c r="P370" s="1"/>
  <c r="P1516"/>
  <c r="H1515"/>
  <c r="P1310"/>
  <c r="H1309"/>
  <c r="H986"/>
  <c r="P987"/>
  <c r="P299"/>
  <c r="H298"/>
  <c r="P278"/>
  <c r="H277"/>
  <c r="H1640"/>
  <c r="P1641"/>
  <c r="P1861"/>
  <c r="H1860"/>
  <c r="H1813"/>
  <c r="P1814"/>
  <c r="P1426"/>
  <c r="H1425"/>
  <c r="H1599"/>
  <c r="P1600"/>
  <c r="P1774"/>
  <c r="H1773"/>
  <c r="P1773" s="1"/>
  <c r="P1379"/>
  <c r="H1378"/>
  <c r="P1211"/>
  <c r="H1210"/>
  <c r="P1210" s="1"/>
  <c r="P797"/>
  <c r="H796"/>
  <c r="P796" s="1"/>
  <c r="P1788"/>
  <c r="H1787"/>
  <c r="P1787" s="1"/>
  <c r="P329"/>
  <c r="H328"/>
  <c r="P328" s="1"/>
  <c r="P1539"/>
  <c r="H1538"/>
  <c r="P1618"/>
  <c r="H1611"/>
  <c r="P625"/>
  <c r="H624"/>
  <c r="P466"/>
  <c r="H465"/>
  <c r="P431"/>
  <c r="H430"/>
  <c r="P430" s="1"/>
  <c r="P285"/>
  <c r="H284"/>
  <c r="H1959"/>
  <c r="H139"/>
  <c r="P139" s="1"/>
  <c r="P950"/>
  <c r="H949"/>
  <c r="P1436"/>
  <c r="H1435"/>
  <c r="H818"/>
  <c r="P818" s="1"/>
  <c r="P819"/>
  <c r="P1476"/>
  <c r="H1475"/>
  <c r="P1219"/>
  <c r="H1218"/>
  <c r="P385"/>
  <c r="H384"/>
  <c r="P165"/>
  <c r="H164"/>
  <c r="P164" s="1"/>
  <c r="P235"/>
  <c r="H234"/>
  <c r="P653"/>
  <c r="H652"/>
  <c r="P652" s="1"/>
  <c r="P996"/>
  <c r="H995"/>
  <c r="P1248"/>
  <c r="H1247"/>
  <c r="H1146"/>
  <c r="P1153"/>
  <c r="H491"/>
  <c r="P492"/>
  <c r="P124"/>
  <c r="H123"/>
  <c r="P123" s="1"/>
  <c r="P673"/>
  <c r="H672"/>
  <c r="P672" s="1"/>
  <c r="P115"/>
  <c r="H114"/>
  <c r="P1711"/>
  <c r="H1710"/>
  <c r="P1665"/>
  <c r="H1664"/>
  <c r="P1664" s="1"/>
  <c r="P858"/>
  <c r="H857"/>
  <c r="P857" s="1"/>
  <c r="P731"/>
  <c r="H730"/>
  <c r="P825"/>
  <c r="H824"/>
  <c r="P391"/>
  <c r="H390"/>
  <c r="P130"/>
  <c r="P1257"/>
  <c r="H1256"/>
  <c r="P1256" s="1"/>
  <c r="P768"/>
  <c r="H767"/>
  <c r="P198"/>
  <c r="H197"/>
  <c r="P197" s="1"/>
  <c r="P618"/>
  <c r="H617"/>
  <c r="P617" s="1"/>
  <c r="P694"/>
  <c r="H693"/>
  <c r="P693" s="1"/>
  <c r="H49"/>
  <c r="P49" s="1"/>
  <c r="P50"/>
  <c r="P662"/>
  <c r="H661"/>
  <c r="P1341"/>
  <c r="H1340"/>
  <c r="P1282"/>
  <c r="H1281"/>
  <c r="P62"/>
  <c r="H1633"/>
  <c r="P1634"/>
  <c r="P1806"/>
  <c r="H1805"/>
  <c r="P1326"/>
  <c r="H1325"/>
  <c r="P108"/>
  <c r="H107"/>
  <c r="P107" s="1"/>
  <c r="P1985"/>
  <c r="H1984"/>
  <c r="P1984" s="1"/>
  <c r="P1884"/>
  <c r="H1883"/>
  <c r="P1920"/>
  <c r="H1919"/>
  <c r="P1703"/>
  <c r="H1702"/>
  <c r="P1702" s="1"/>
  <c r="P700"/>
  <c r="H699"/>
  <c r="P699" s="1"/>
  <c r="P415"/>
  <c r="H414"/>
  <c r="P317"/>
  <c r="H316"/>
  <c r="P316" s="1"/>
  <c r="P399"/>
  <c r="H398"/>
  <c r="P460"/>
  <c r="H459"/>
  <c r="P459" s="1"/>
  <c r="P73"/>
  <c r="H72"/>
  <c r="P1718"/>
  <c r="H1717"/>
  <c r="P591"/>
  <c r="H585"/>
  <c r="P585" s="1"/>
  <c r="P1828"/>
  <c r="H1827"/>
  <c r="P755"/>
  <c r="H754"/>
  <c r="P974"/>
  <c r="H973"/>
  <c r="H15"/>
  <c r="H1558" l="1"/>
  <c r="P1559"/>
  <c r="P754"/>
  <c r="H753"/>
  <c r="P72"/>
  <c r="H71"/>
  <c r="P71" s="1"/>
  <c r="P398"/>
  <c r="H397"/>
  <c r="P414"/>
  <c r="H413"/>
  <c r="P1883"/>
  <c r="H1882"/>
  <c r="P1325"/>
  <c r="H1324"/>
  <c r="P1281"/>
  <c r="P661"/>
  <c r="H660"/>
  <c r="P660" s="1"/>
  <c r="P390"/>
  <c r="P730"/>
  <c r="H729"/>
  <c r="P114"/>
  <c r="P995"/>
  <c r="H994"/>
  <c r="P234"/>
  <c r="H233"/>
  <c r="P384"/>
  <c r="H383"/>
  <c r="P383" s="1"/>
  <c r="P1475"/>
  <c r="H1474"/>
  <c r="P1435"/>
  <c r="P624"/>
  <c r="H623"/>
  <c r="P623" s="1"/>
  <c r="P1538"/>
  <c r="H1537"/>
  <c r="P1537" s="1"/>
  <c r="P1425"/>
  <c r="H1424"/>
  <c r="P1860"/>
  <c r="H1859"/>
  <c r="P277"/>
  <c r="H276"/>
  <c r="P276" s="1"/>
  <c r="H1514"/>
  <c r="P1514" s="1"/>
  <c r="P1515"/>
  <c r="P502"/>
  <c r="H501"/>
  <c r="P1444"/>
  <c r="H1443"/>
  <c r="P1443" s="1"/>
  <c r="P269"/>
  <c r="H268"/>
  <c r="P1658"/>
  <c r="H1657"/>
  <c r="P1657" s="1"/>
  <c r="P1930"/>
  <c r="H1929"/>
  <c r="P1204"/>
  <c r="H1203"/>
  <c r="P2026"/>
  <c r="H2025"/>
  <c r="P261"/>
  <c r="H260"/>
  <c r="P1225"/>
  <c r="H1224"/>
  <c r="P1224" s="1"/>
  <c r="P491"/>
  <c r="H490"/>
  <c r="P1599"/>
  <c r="H1598"/>
  <c r="P1813"/>
  <c r="H1812"/>
  <c r="P1640"/>
  <c r="H1639"/>
  <c r="P1639" s="1"/>
  <c r="P1488"/>
  <c r="H1487"/>
  <c r="H55"/>
  <c r="P55" s="1"/>
  <c r="H129"/>
  <c r="P129" s="1"/>
  <c r="P1340"/>
  <c r="H1339"/>
  <c r="P973"/>
  <c r="H972"/>
  <c r="P1827"/>
  <c r="H1826"/>
  <c r="H1716"/>
  <c r="P1716" s="1"/>
  <c r="P1717"/>
  <c r="P1919"/>
  <c r="H1918"/>
  <c r="P1805"/>
  <c r="H1804"/>
  <c r="P767"/>
  <c r="H766"/>
  <c r="H817"/>
  <c r="P817" s="1"/>
  <c r="P824"/>
  <c r="P1710"/>
  <c r="H1709"/>
  <c r="P1247"/>
  <c r="H1246"/>
  <c r="P1246" s="1"/>
  <c r="P1218"/>
  <c r="H1217"/>
  <c r="H948"/>
  <c r="P948" s="1"/>
  <c r="P949"/>
  <c r="P284"/>
  <c r="H283"/>
  <c r="H458"/>
  <c r="P465"/>
  <c r="P1611"/>
  <c r="H1610"/>
  <c r="P1378"/>
  <c r="H1377"/>
  <c r="P298"/>
  <c r="H297"/>
  <c r="P1309"/>
  <c r="H1308"/>
  <c r="P1308" s="1"/>
  <c r="P449"/>
  <c r="H448"/>
  <c r="P448" s="1"/>
  <c r="P83"/>
  <c r="H82"/>
  <c r="H482"/>
  <c r="P483"/>
  <c r="P679"/>
  <c r="H678"/>
  <c r="P678" s="1"/>
  <c r="P1347"/>
  <c r="H1346"/>
  <c r="P1346" s="1"/>
  <c r="P1952"/>
  <c r="P358"/>
  <c r="H357"/>
  <c r="P1417"/>
  <c r="H1416"/>
  <c r="P1416" s="1"/>
  <c r="P543"/>
  <c r="H542"/>
  <c r="P542" s="1"/>
  <c r="P1391"/>
  <c r="H1390"/>
  <c r="P1728"/>
  <c r="H1727"/>
  <c r="P1727" s="1"/>
  <c r="P15"/>
  <c r="H14"/>
  <c r="P1633"/>
  <c r="H1632"/>
  <c r="P1146"/>
  <c r="H1145"/>
  <c r="P1145" s="1"/>
  <c r="P1959"/>
  <c r="H1958"/>
  <c r="P1958" s="1"/>
  <c r="P986"/>
  <c r="H985"/>
  <c r="P985" s="1"/>
  <c r="P865"/>
  <c r="H864"/>
  <c r="P1571"/>
  <c r="H1570"/>
  <c r="P1570" s="1"/>
  <c r="H1557" l="1"/>
  <c r="P1557" s="1"/>
  <c r="P1558"/>
  <c r="P864"/>
  <c r="H863"/>
  <c r="P863" s="1"/>
  <c r="P1632"/>
  <c r="H1631"/>
  <c r="H13"/>
  <c r="P14"/>
  <c r="P1390"/>
  <c r="H1389"/>
  <c r="P82"/>
  <c r="P1377"/>
  <c r="H1376"/>
  <c r="P1376" s="1"/>
  <c r="P1804"/>
  <c r="H1803"/>
  <c r="P1803" s="1"/>
  <c r="P1918"/>
  <c r="H1917"/>
  <c r="P1917" s="1"/>
  <c r="P1826"/>
  <c r="H1825"/>
  <c r="P1339"/>
  <c r="H1338"/>
  <c r="P1487"/>
  <c r="H1486"/>
  <c r="P1812"/>
  <c r="H1811"/>
  <c r="P1811" s="1"/>
  <c r="P490"/>
  <c r="H489"/>
  <c r="P489" s="1"/>
  <c r="P260"/>
  <c r="H259"/>
  <c r="P259" s="1"/>
  <c r="P1203"/>
  <c r="H1202"/>
  <c r="P1859"/>
  <c r="H1858"/>
  <c r="P1858" s="1"/>
  <c r="H993"/>
  <c r="P994"/>
  <c r="H728"/>
  <c r="P728" s="1"/>
  <c r="P729"/>
  <c r="P1324"/>
  <c r="H1323"/>
  <c r="P1323" s="1"/>
  <c r="P413"/>
  <c r="H412"/>
  <c r="P482"/>
  <c r="H481"/>
  <c r="P481" s="1"/>
  <c r="H1951"/>
  <c r="H1434"/>
  <c r="P1434" s="1"/>
  <c r="H376"/>
  <c r="P376" s="1"/>
  <c r="P357"/>
  <c r="H356"/>
  <c r="P356" s="1"/>
  <c r="P297"/>
  <c r="H296"/>
  <c r="P1610"/>
  <c r="P283"/>
  <c r="H275"/>
  <c r="P275" s="1"/>
  <c r="P1217"/>
  <c r="H1216"/>
  <c r="P1216" s="1"/>
  <c r="P1709"/>
  <c r="H1708"/>
  <c r="P1708" s="1"/>
  <c r="P766"/>
  <c r="H765"/>
  <c r="P765" s="1"/>
  <c r="P972"/>
  <c r="H971"/>
  <c r="P971" s="1"/>
  <c r="P1598"/>
  <c r="H1597"/>
  <c r="P1597" s="1"/>
  <c r="P2025"/>
  <c r="H2024"/>
  <c r="P2024" s="1"/>
  <c r="P1929"/>
  <c r="H1928"/>
  <c r="P1928" s="1"/>
  <c r="H267"/>
  <c r="P267" s="1"/>
  <c r="P268"/>
  <c r="P501"/>
  <c r="H500"/>
  <c r="P1424"/>
  <c r="H1423"/>
  <c r="P1423" s="1"/>
  <c r="P1474"/>
  <c r="H1473"/>
  <c r="P1473" s="1"/>
  <c r="P233"/>
  <c r="H232"/>
  <c r="H1875"/>
  <c r="P1875" s="1"/>
  <c r="P1882"/>
  <c r="P397"/>
  <c r="H396"/>
  <c r="P396" s="1"/>
  <c r="P753"/>
  <c r="H457"/>
  <c r="P458"/>
  <c r="H1556"/>
  <c r="P1556" s="1"/>
  <c r="H113"/>
  <c r="P113" s="1"/>
  <c r="H1280"/>
  <c r="P1280" l="1"/>
  <c r="P457"/>
  <c r="H456"/>
  <c r="P456" s="1"/>
  <c r="P412"/>
  <c r="H411"/>
  <c r="P411" s="1"/>
  <c r="P1338"/>
  <c r="H1337"/>
  <c r="P1337" s="1"/>
  <c r="P1389"/>
  <c r="H1388"/>
  <c r="P1388" s="1"/>
  <c r="P1631"/>
  <c r="H1630"/>
  <c r="P232"/>
  <c r="H231"/>
  <c r="P231" s="1"/>
  <c r="P296"/>
  <c r="H295"/>
  <c r="P295" s="1"/>
  <c r="P993"/>
  <c r="H970"/>
  <c r="P970" s="1"/>
  <c r="P13"/>
  <c r="H12"/>
  <c r="H70"/>
  <c r="P1202"/>
  <c r="H1201"/>
  <c r="P1201" s="1"/>
  <c r="P1486"/>
  <c r="H1485"/>
  <c r="P1485" s="1"/>
  <c r="P1825"/>
  <c r="H1824"/>
  <c r="P1824" s="1"/>
  <c r="P500"/>
  <c r="H499"/>
  <c r="P1951"/>
  <c r="H1950"/>
  <c r="H752"/>
  <c r="P752" s="1"/>
  <c r="P12" l="1"/>
  <c r="P1630"/>
  <c r="H1609"/>
  <c r="P1609" s="1"/>
  <c r="P499"/>
  <c r="H498"/>
  <c r="P498" s="1"/>
  <c r="P70"/>
  <c r="H69"/>
  <c r="P69" s="1"/>
  <c r="P1950"/>
  <c r="H1949"/>
  <c r="P1949" s="1"/>
  <c r="H1279"/>
  <c r="P1279" s="1"/>
  <c r="H2044" l="1"/>
  <c r="H2046" l="1"/>
  <c r="P2044"/>
  <c r="A3000" i="8" l="1"/>
  <c r="A2999"/>
  <c r="A2998"/>
  <c r="A2997"/>
  <c r="A2996"/>
  <c r="A2995"/>
  <c r="A2994"/>
  <c r="A2993"/>
  <c r="A2992"/>
  <c r="A2991"/>
  <c r="A2990"/>
  <c r="A2989"/>
  <c r="A2988"/>
  <c r="A2987"/>
  <c r="A2986"/>
  <c r="A2985"/>
  <c r="A2984"/>
  <c r="A2983"/>
  <c r="A2982"/>
  <c r="A2981"/>
  <c r="A2980"/>
  <c r="A2979"/>
  <c r="A2978"/>
  <c r="A2977"/>
  <c r="A2976"/>
  <c r="A2975"/>
  <c r="A2974"/>
  <c r="A2973"/>
  <c r="A2972"/>
  <c r="A2971"/>
  <c r="A2970"/>
  <c r="A2969"/>
  <c r="A2968"/>
  <c r="A2967"/>
  <c r="A2966"/>
  <c r="A2965"/>
  <c r="A2964"/>
  <c r="A2963"/>
  <c r="A2962"/>
  <c r="A2961"/>
  <c r="A2960"/>
  <c r="A2959"/>
  <c r="A2958"/>
  <c r="A2957"/>
  <c r="A2956"/>
  <c r="A2955"/>
  <c r="A2954"/>
  <c r="A2953"/>
  <c r="A2952"/>
  <c r="A2951"/>
  <c r="A2950"/>
  <c r="A2949"/>
  <c r="A2948"/>
  <c r="A2947"/>
  <c r="A2946"/>
  <c r="A2945"/>
  <c r="A2944"/>
  <c r="A2943"/>
  <c r="A2942"/>
  <c r="A2941"/>
  <c r="A2940"/>
  <c r="A2939"/>
  <c r="A2938"/>
  <c r="A2937"/>
  <c r="A2936"/>
  <c r="A2935"/>
  <c r="A2934"/>
  <c r="A2933"/>
  <c r="A2932"/>
  <c r="A2931"/>
  <c r="A2930"/>
  <c r="A2929"/>
  <c r="A2928"/>
  <c r="A2927"/>
  <c r="A2926"/>
  <c r="A2925"/>
  <c r="A2924"/>
  <c r="A2923"/>
  <c r="A2922"/>
  <c r="A2921"/>
  <c r="A2920"/>
  <c r="A2919"/>
  <c r="A2918"/>
  <c r="A2917"/>
  <c r="A2916"/>
  <c r="A2915"/>
  <c r="A2914"/>
  <c r="A2913"/>
  <c r="A2912"/>
  <c r="A2911"/>
  <c r="A2910"/>
  <c r="A2909"/>
  <c r="A2908"/>
  <c r="A2907"/>
  <c r="A2906"/>
  <c r="A2905"/>
  <c r="A2904"/>
  <c r="A2903"/>
  <c r="A2902"/>
  <c r="A2901"/>
  <c r="A2900"/>
  <c r="A2899"/>
  <c r="A2898"/>
  <c r="A2897"/>
  <c r="A2896"/>
  <c r="A2895"/>
  <c r="A2894"/>
  <c r="A2893"/>
  <c r="A2892"/>
  <c r="A2891"/>
  <c r="A2890"/>
  <c r="A2889"/>
  <c r="A2888"/>
  <c r="A2887"/>
  <c r="A2886"/>
  <c r="A2885"/>
  <c r="A2884"/>
  <c r="A2883"/>
  <c r="A2882"/>
  <c r="A2881"/>
  <c r="A2880"/>
  <c r="A2879"/>
  <c r="A2878"/>
  <c r="A2877"/>
  <c r="A2876"/>
  <c r="A2875"/>
  <c r="A2874"/>
  <c r="A2873"/>
  <c r="A2872"/>
  <c r="A2871"/>
  <c r="A2870"/>
  <c r="A2869"/>
  <c r="A2868"/>
  <c r="A2867"/>
  <c r="A2866"/>
  <c r="A2865"/>
  <c r="A2864"/>
  <c r="A2863"/>
  <c r="A2862"/>
  <c r="A2861"/>
  <c r="A2860"/>
  <c r="A2859"/>
  <c r="A2858"/>
  <c r="A2857"/>
  <c r="A2856"/>
  <c r="A2855"/>
  <c r="A2854"/>
  <c r="A2853"/>
  <c r="A2852"/>
  <c r="A2851"/>
  <c r="A2850"/>
  <c r="A2849"/>
  <c r="A2848"/>
  <c r="A2847"/>
  <c r="A2846"/>
  <c r="A2845"/>
  <c r="A2844"/>
  <c r="A2843"/>
  <c r="A2842"/>
  <c r="A2841"/>
  <c r="A2840"/>
  <c r="A2839"/>
  <c r="A2838"/>
  <c r="A2837"/>
  <c r="A2836"/>
  <c r="A2835"/>
  <c r="A2834"/>
  <c r="A2833"/>
  <c r="A2832"/>
  <c r="A2831"/>
  <c r="A2830"/>
  <c r="A2829"/>
  <c r="A2828"/>
  <c r="A2827"/>
  <c r="A2826"/>
  <c r="A2825"/>
  <c r="A2824"/>
  <c r="A2823"/>
  <c r="A2822"/>
  <c r="A2821"/>
  <c r="A2820"/>
  <c r="A2819"/>
  <c r="A2818"/>
  <c r="A2817"/>
  <c r="A2816"/>
  <c r="A2815"/>
  <c r="A2814"/>
  <c r="A2813"/>
  <c r="A2812"/>
  <c r="A2811"/>
  <c r="A2810"/>
  <c r="A2809"/>
  <c r="A2808"/>
  <c r="A2807"/>
  <c r="A2806"/>
  <c r="A2805"/>
  <c r="A2804"/>
  <c r="A2803"/>
  <c r="A2802"/>
  <c r="A2801"/>
  <c r="A2800"/>
  <c r="A2799"/>
  <c r="A2798"/>
  <c r="A2797"/>
  <c r="A2796"/>
  <c r="A2795"/>
  <c r="A2794"/>
  <c r="A2793"/>
  <c r="A2792"/>
  <c r="A2791"/>
  <c r="A2790"/>
  <c r="A2789"/>
  <c r="A2788"/>
  <c r="A2787"/>
  <c r="A2786"/>
  <c r="A2785"/>
  <c r="A2784"/>
  <c r="A2783"/>
  <c r="A2782"/>
  <c r="A2781"/>
  <c r="A2780"/>
  <c r="A2779"/>
  <c r="A2778"/>
  <c r="A2777"/>
  <c r="A2776"/>
  <c r="A2775"/>
  <c r="A2774"/>
  <c r="A2773"/>
  <c r="A2772"/>
  <c r="A2771"/>
  <c r="A2770"/>
  <c r="A2769"/>
  <c r="A2768"/>
  <c r="A2767"/>
  <c r="A2766"/>
  <c r="A2765"/>
  <c r="A2764"/>
  <c r="A2763"/>
  <c r="A2762"/>
  <c r="A2761"/>
  <c r="A2760"/>
  <c r="A2759"/>
  <c r="A2758"/>
  <c r="A2757"/>
  <c r="A2756"/>
  <c r="A2755"/>
  <c r="A2754"/>
  <c r="A2753"/>
  <c r="A2752"/>
  <c r="A2751"/>
  <c r="A2750"/>
  <c r="A2749"/>
  <c r="A2748"/>
  <c r="A2747"/>
  <c r="A2746"/>
  <c r="A2745"/>
  <c r="A2744"/>
  <c r="A2743"/>
  <c r="A2742"/>
  <c r="A2741"/>
  <c r="A2740"/>
  <c r="A2739"/>
  <c r="A2738"/>
  <c r="A2737"/>
  <c r="A2736"/>
  <c r="A2735"/>
  <c r="A2734"/>
  <c r="A2733"/>
  <c r="A2732"/>
  <c r="A2731"/>
  <c r="A2730"/>
  <c r="A2729"/>
  <c r="A2728"/>
  <c r="A2727"/>
  <c r="A2726"/>
  <c r="A2725"/>
  <c r="A2724"/>
  <c r="A2723"/>
  <c r="A2722"/>
  <c r="A2721"/>
  <c r="A2720"/>
  <c r="A2719"/>
  <c r="A2718"/>
  <c r="A2717"/>
  <c r="A2716"/>
  <c r="A2715"/>
  <c r="A2714"/>
  <c r="A2713"/>
  <c r="A2712"/>
  <c r="A2711"/>
  <c r="A2710"/>
  <c r="A2709"/>
  <c r="A2708"/>
  <c r="A2707"/>
  <c r="A2706"/>
  <c r="A2705"/>
  <c r="A2704"/>
  <c r="A2703"/>
  <c r="A2702"/>
  <c r="A2701"/>
  <c r="A2700"/>
  <c r="A2699"/>
  <c r="A2698"/>
  <c r="A2697"/>
  <c r="A2696"/>
  <c r="A2695"/>
  <c r="A2694"/>
  <c r="A2693"/>
  <c r="A2692"/>
  <c r="A2691"/>
  <c r="A2690"/>
  <c r="A2689"/>
  <c r="A2688"/>
  <c r="A2687"/>
  <c r="A2686"/>
  <c r="A2685"/>
  <c r="A2684"/>
  <c r="A2683"/>
  <c r="A2682"/>
  <c r="A2681"/>
  <c r="A2680"/>
  <c r="A2679"/>
  <c r="A2678"/>
  <c r="A2677"/>
  <c r="A2676"/>
  <c r="A2675"/>
  <c r="A2674"/>
  <c r="A2673"/>
  <c r="A2672"/>
  <c r="A2671"/>
  <c r="A2670"/>
  <c r="A2669"/>
  <c r="A2668"/>
  <c r="A2667"/>
  <c r="A2666"/>
  <c r="A2665"/>
  <c r="A2664"/>
  <c r="A2663"/>
  <c r="A2662"/>
  <c r="A2661"/>
  <c r="A2660"/>
  <c r="A2659"/>
  <c r="A2658"/>
  <c r="A2657"/>
  <c r="A2656"/>
  <c r="A2655"/>
  <c r="A2654"/>
  <c r="A2653"/>
  <c r="A2652"/>
  <c r="A2651"/>
  <c r="A2650"/>
  <c r="A2649"/>
  <c r="A2648"/>
  <c r="A2647"/>
  <c r="A2646"/>
  <c r="A2645"/>
  <c r="A2644"/>
  <c r="A2643"/>
  <c r="A2642"/>
  <c r="A2641"/>
  <c r="A2640"/>
  <c r="A2639"/>
  <c r="A2638"/>
  <c r="A2637"/>
  <c r="A2636"/>
  <c r="A2635"/>
  <c r="A2634"/>
  <c r="A2633"/>
  <c r="A2632"/>
  <c r="A2631"/>
  <c r="A2630"/>
  <c r="A2629"/>
  <c r="A2628"/>
  <c r="A2627"/>
  <c r="A2626"/>
  <c r="A2625"/>
  <c r="A2624"/>
  <c r="A2623"/>
  <c r="A2622"/>
  <c r="A2621"/>
  <c r="A2620"/>
  <c r="A2619"/>
  <c r="A2618"/>
  <c r="A2617"/>
  <c r="A2616"/>
  <c r="A2615"/>
  <c r="A2614"/>
  <c r="A2613"/>
  <c r="A2612"/>
  <c r="A2611"/>
  <c r="A2610"/>
  <c r="A2609"/>
  <c r="A2608"/>
  <c r="A2607"/>
  <c r="A2606"/>
  <c r="A2605"/>
  <c r="A2604"/>
  <c r="A2603"/>
  <c r="A2602"/>
  <c r="A2601"/>
  <c r="A2600"/>
  <c r="A2599"/>
  <c r="A2598"/>
  <c r="A2597"/>
  <c r="A2596"/>
  <c r="A2595"/>
  <c r="A2594"/>
  <c r="A2593"/>
  <c r="A2592"/>
  <c r="A2591"/>
  <c r="A2590"/>
  <c r="A2589"/>
  <c r="A2588"/>
  <c r="A2587"/>
  <c r="A2586"/>
  <c r="A2585"/>
  <c r="A2584"/>
  <c r="A2583"/>
  <c r="A2582"/>
  <c r="A2581"/>
  <c r="A2580"/>
  <c r="A2579"/>
  <c r="A2578"/>
  <c r="A2577"/>
  <c r="A2576"/>
  <c r="A2575"/>
  <c r="A2574"/>
  <c r="A2573"/>
  <c r="A2572"/>
  <c r="A2571"/>
  <c r="A2570"/>
  <c r="A2569"/>
  <c r="A2568"/>
  <c r="A2567"/>
  <c r="A2566"/>
  <c r="A2565"/>
  <c r="A2564"/>
  <c r="A2563"/>
  <c r="A2562"/>
  <c r="A2561"/>
  <c r="A2560"/>
  <c r="A2559"/>
  <c r="A2558"/>
  <c r="A2557"/>
  <c r="A2556"/>
  <c r="A2555"/>
  <c r="A2554"/>
  <c r="A2553"/>
  <c r="A2552"/>
  <c r="A2551"/>
  <c r="A2550"/>
  <c r="A2549"/>
  <c r="A2548"/>
  <c r="A2547"/>
  <c r="A2546"/>
  <c r="A2545"/>
  <c r="A2544"/>
  <c r="A2543"/>
  <c r="A2542"/>
  <c r="A2541"/>
  <c r="A2540"/>
  <c r="A2539"/>
  <c r="A2538"/>
  <c r="A2537"/>
  <c r="A2536"/>
  <c r="A2535"/>
  <c r="A2534"/>
  <c r="A2533"/>
  <c r="A2532"/>
  <c r="A2531"/>
  <c r="A2530"/>
  <c r="A2529"/>
  <c r="A2528"/>
  <c r="A2527"/>
  <c r="A2526"/>
  <c r="A2525"/>
  <c r="A2524"/>
  <c r="A2523"/>
  <c r="A2522"/>
  <c r="A2521"/>
  <c r="A2520"/>
  <c r="A2519"/>
  <c r="A2518"/>
  <c r="A2517"/>
  <c r="A2516"/>
  <c r="A2515"/>
  <c r="A2514"/>
  <c r="A2513"/>
  <c r="A2512"/>
  <c r="A2511"/>
  <c r="A2510"/>
  <c r="A2509"/>
  <c r="A2508"/>
  <c r="A2507"/>
  <c r="A2506"/>
  <c r="A2505"/>
  <c r="A2504"/>
  <c r="A2503"/>
  <c r="A2502"/>
  <c r="A2501"/>
  <c r="A2500"/>
  <c r="A2499"/>
  <c r="A2498"/>
  <c r="A2497"/>
  <c r="A2496"/>
  <c r="A2495"/>
  <c r="A2494"/>
  <c r="A2493"/>
  <c r="A2492"/>
  <c r="A2491"/>
  <c r="A2490"/>
  <c r="A2489"/>
  <c r="A2488"/>
  <c r="A2487"/>
  <c r="A2486"/>
  <c r="A2485"/>
  <c r="A2484"/>
  <c r="A2483"/>
  <c r="A2482"/>
  <c r="A2481"/>
  <c r="A2480"/>
  <c r="A2479"/>
  <c r="A2478"/>
  <c r="A2477"/>
  <c r="A2476"/>
  <c r="A2475"/>
  <c r="A2474"/>
  <c r="A2473"/>
  <c r="A2472"/>
  <c r="A2471"/>
  <c r="A2470"/>
  <c r="A2469"/>
  <c r="A2468"/>
  <c r="A2467"/>
  <c r="A2466"/>
  <c r="A2465"/>
  <c r="A2464"/>
  <c r="A2463"/>
  <c r="A2462"/>
  <c r="A2461"/>
  <c r="A2460"/>
  <c r="A2459"/>
  <c r="A2458"/>
  <c r="A2457"/>
  <c r="A2456"/>
  <c r="A2455"/>
  <c r="A2454"/>
  <c r="A2453"/>
  <c r="A2452"/>
  <c r="A2451"/>
  <c r="A2450"/>
  <c r="A2449"/>
  <c r="A2448"/>
  <c r="A2447"/>
  <c r="A2446"/>
  <c r="A2445"/>
  <c r="A2444"/>
  <c r="A2443"/>
  <c r="A2442"/>
  <c r="A2441"/>
  <c r="A2440"/>
  <c r="A2439"/>
  <c r="A2438"/>
  <c r="A2437"/>
  <c r="A2436"/>
  <c r="A2435"/>
  <c r="A2434"/>
  <c r="A2433"/>
  <c r="A2432"/>
  <c r="A2431"/>
  <c r="A2430"/>
  <c r="A2429"/>
  <c r="A2428"/>
  <c r="A2427"/>
  <c r="A2426"/>
  <c r="A2425"/>
  <c r="A2424"/>
  <c r="A2423"/>
  <c r="A2422"/>
  <c r="A2421"/>
  <c r="A2420"/>
  <c r="A2419"/>
  <c r="A2418"/>
  <c r="A2417"/>
  <c r="A2416"/>
  <c r="A2415"/>
  <c r="A2414"/>
  <c r="A2413"/>
  <c r="A2412"/>
  <c r="A2411"/>
  <c r="A2410"/>
  <c r="A2409"/>
  <c r="A2408"/>
  <c r="A2407"/>
  <c r="A2406"/>
  <c r="A2405"/>
  <c r="A2404"/>
  <c r="A2403"/>
  <c r="A2402"/>
  <c r="A2401"/>
  <c r="A2400"/>
  <c r="A2399"/>
  <c r="A2398"/>
  <c r="A2397"/>
  <c r="A2396"/>
  <c r="A2395"/>
  <c r="A2394"/>
  <c r="A2393"/>
  <c r="A2392"/>
  <c r="A2391"/>
  <c r="A2390"/>
  <c r="A2389"/>
  <c r="A2388"/>
  <c r="A2387"/>
  <c r="A2386"/>
  <c r="A2385"/>
  <c r="A2384"/>
  <c r="A2383"/>
  <c r="A2382"/>
  <c r="A2381"/>
  <c r="A2380"/>
  <c r="A2379"/>
  <c r="A2378"/>
  <c r="A2377"/>
  <c r="A2376"/>
  <c r="A2375"/>
  <c r="A2374"/>
  <c r="A2373"/>
  <c r="A2372"/>
  <c r="A2371"/>
  <c r="A2370"/>
  <c r="A2369"/>
  <c r="A2368"/>
  <c r="A2367"/>
  <c r="A2366"/>
  <c r="A2365"/>
  <c r="A2364"/>
  <c r="A2363"/>
  <c r="A2362"/>
  <c r="A2361"/>
  <c r="A2360"/>
  <c r="A2359"/>
  <c r="A2358"/>
  <c r="A2357"/>
  <c r="A2356"/>
  <c r="A2355"/>
  <c r="A2354"/>
  <c r="A2353"/>
  <c r="A2352"/>
  <c r="A2351"/>
  <c r="A2350"/>
  <c r="A2349"/>
  <c r="A2348"/>
  <c r="A2347"/>
  <c r="A2346"/>
  <c r="A2345"/>
  <c r="A2344"/>
  <c r="A2343"/>
  <c r="A2342"/>
  <c r="A2341"/>
  <c r="A2340"/>
  <c r="A2339"/>
  <c r="A2338"/>
  <c r="A2337"/>
  <c r="A2336"/>
  <c r="A2335"/>
  <c r="A2334"/>
  <c r="A2333"/>
  <c r="A2332"/>
  <c r="A2331"/>
  <c r="A2330"/>
  <c r="A2329"/>
  <c r="A2328"/>
  <c r="A2327"/>
  <c r="A2326"/>
  <c r="A2325"/>
  <c r="A2324"/>
  <c r="A2323"/>
  <c r="A2322"/>
  <c r="A2321"/>
  <c r="A2320"/>
  <c r="A2319"/>
  <c r="A2318"/>
  <c r="A2317"/>
  <c r="A2316"/>
  <c r="A2315"/>
  <c r="A2314"/>
  <c r="A2313"/>
  <c r="A2312"/>
  <c r="A2311"/>
  <c r="A2310"/>
  <c r="A2309"/>
  <c r="A2308"/>
  <c r="A2307"/>
  <c r="A2306"/>
  <c r="A2305"/>
  <c r="A2304"/>
  <c r="A2303"/>
  <c r="A2302"/>
  <c r="A2301"/>
  <c r="A2300"/>
  <c r="A2299"/>
  <c r="A2298"/>
  <c r="A2297"/>
  <c r="A2296"/>
  <c r="A2295"/>
  <c r="A2294"/>
  <c r="A2293"/>
  <c r="A2292"/>
  <c r="A2291"/>
  <c r="A2290"/>
  <c r="A2289"/>
  <c r="A2288"/>
  <c r="A2287"/>
  <c r="A2286"/>
  <c r="A2285"/>
  <c r="A2284"/>
  <c r="A2283"/>
  <c r="A2282"/>
  <c r="A2281"/>
  <c r="A2280"/>
  <c r="A2279"/>
  <c r="A2278"/>
  <c r="A2277"/>
  <c r="A2276"/>
  <c r="A2275"/>
  <c r="A2274"/>
  <c r="A2273"/>
  <c r="A2272"/>
  <c r="A2271"/>
  <c r="A2270"/>
  <c r="A2269"/>
  <c r="A2268"/>
  <c r="A2267"/>
  <c r="A2266"/>
  <c r="A2265"/>
  <c r="A2264"/>
  <c r="A2263"/>
  <c r="A2262"/>
  <c r="A2261"/>
  <c r="A2260"/>
  <c r="A2259"/>
  <c r="A2258"/>
  <c r="A2257"/>
  <c r="A2256"/>
  <c r="A2255"/>
  <c r="A2254"/>
  <c r="A2253"/>
  <c r="A2252"/>
  <c r="A2251"/>
  <c r="A2250"/>
  <c r="A2249"/>
  <c r="A2248"/>
  <c r="A2247"/>
  <c r="A2246"/>
  <c r="A2245"/>
  <c r="A2244"/>
  <c r="A2243"/>
  <c r="A2242"/>
  <c r="A2241"/>
  <c r="A2240"/>
  <c r="A2239"/>
  <c r="A2238"/>
  <c r="A2237"/>
  <c r="A2236"/>
  <c r="A2235"/>
  <c r="A2234"/>
  <c r="A2233"/>
  <c r="A2232"/>
  <c r="A2231"/>
  <c r="A2230"/>
  <c r="A2229"/>
  <c r="A2228"/>
  <c r="A2227"/>
  <c r="A2226"/>
  <c r="A2225"/>
  <c r="A2224"/>
  <c r="A2223"/>
  <c r="A2222"/>
  <c r="A2221"/>
  <c r="A2220"/>
  <c r="A2219"/>
  <c r="A2218"/>
  <c r="A2217"/>
  <c r="A2216"/>
  <c r="A2215"/>
  <c r="A2214"/>
  <c r="A2213"/>
  <c r="A2212"/>
  <c r="A2211"/>
  <c r="A2210"/>
  <c r="A2209"/>
  <c r="A2208"/>
  <c r="A2207"/>
  <c r="A2206"/>
  <c r="A2205"/>
  <c r="A2204"/>
  <c r="A2203"/>
  <c r="A2202"/>
  <c r="A2201"/>
  <c r="A2200"/>
  <c r="A2199"/>
  <c r="A2198"/>
  <c r="A2197"/>
  <c r="A2196"/>
  <c r="A2195"/>
  <c r="A2194"/>
  <c r="A2193"/>
  <c r="A2192"/>
  <c r="A2191"/>
  <c r="A2190"/>
  <c r="A2189"/>
  <c r="A2188"/>
  <c r="A2187"/>
  <c r="A2186"/>
  <c r="A2185"/>
  <c r="A2184"/>
  <c r="A2183"/>
  <c r="A2182"/>
  <c r="A2181"/>
  <c r="A2180"/>
  <c r="A2179"/>
  <c r="A2178"/>
  <c r="A2177"/>
  <c r="A2176"/>
  <c r="A2175"/>
  <c r="A2174"/>
  <c r="A2173"/>
  <c r="A2172"/>
  <c r="A2171"/>
  <c r="A2170"/>
  <c r="A2169"/>
  <c r="A2168"/>
  <c r="A2167"/>
  <c r="A2166"/>
  <c r="A2165"/>
  <c r="A2164"/>
  <c r="A2163"/>
  <c r="A2162"/>
  <c r="A2161"/>
  <c r="A2160"/>
  <c r="A2159"/>
  <c r="A2158"/>
  <c r="A2157"/>
  <c r="A2156"/>
  <c r="A2155"/>
  <c r="A2154"/>
  <c r="A2153"/>
  <c r="A2152"/>
  <c r="A2151"/>
  <c r="A2150"/>
  <c r="A2149"/>
  <c r="A2148"/>
  <c r="A2147"/>
  <c r="A2146"/>
  <c r="A2145"/>
  <c r="A2144"/>
  <c r="A2143"/>
  <c r="A2142"/>
  <c r="A2141"/>
  <c r="A2140"/>
  <c r="A2139"/>
  <c r="A2138"/>
  <c r="A2137"/>
  <c r="A2136"/>
  <c r="A2135"/>
  <c r="A2134"/>
  <c r="A2133"/>
  <c r="A2132"/>
  <c r="A2131"/>
  <c r="A2130"/>
  <c r="A2129"/>
  <c r="A2128"/>
  <c r="A2127"/>
  <c r="A2126"/>
  <c r="A2125"/>
  <c r="A2124"/>
  <c r="A2123"/>
  <c r="A2122"/>
  <c r="A2121"/>
  <c r="A2120"/>
  <c r="A2119"/>
  <c r="A2118"/>
  <c r="A2117"/>
  <c r="A2116"/>
  <c r="A2115"/>
  <c r="A2114"/>
  <c r="A2113"/>
  <c r="A2112"/>
  <c r="A2111"/>
  <c r="A2110"/>
  <c r="A2109"/>
  <c r="A2108"/>
  <c r="A2107"/>
  <c r="A2106"/>
  <c r="A2105"/>
  <c r="A2104"/>
  <c r="A2103"/>
  <c r="A2102"/>
  <c r="A2101"/>
  <c r="A2100"/>
  <c r="A2099"/>
  <c r="A2098"/>
  <c r="A2097"/>
  <c r="A2096"/>
  <c r="A2095"/>
  <c r="A2094"/>
  <c r="A2093"/>
  <c r="A2092"/>
  <c r="A2091"/>
  <c r="A2090"/>
  <c r="A2089"/>
  <c r="A2088"/>
  <c r="A2087"/>
  <c r="A2086"/>
  <c r="A2085"/>
  <c r="A2084"/>
  <c r="A2083"/>
  <c r="A2082"/>
  <c r="A2081"/>
  <c r="A2080"/>
  <c r="A2079"/>
  <c r="A2078"/>
  <c r="A2077"/>
  <c r="A2076"/>
  <c r="A2075"/>
  <c r="A2074"/>
  <c r="A2073"/>
  <c r="A2072"/>
  <c r="A2071"/>
  <c r="A2070"/>
  <c r="A2069"/>
  <c r="A2068"/>
  <c r="A2067"/>
  <c r="A2066"/>
  <c r="A2065"/>
  <c r="A2064"/>
  <c r="A2063"/>
  <c r="A2062"/>
  <c r="A2061"/>
  <c r="A2060"/>
  <c r="A2059"/>
  <c r="A2058"/>
  <c r="A2057"/>
  <c r="A2056"/>
  <c r="A2055"/>
  <c r="A2054"/>
  <c r="A2053"/>
  <c r="A2052"/>
  <c r="A2051"/>
  <c r="A2050"/>
  <c r="A2049"/>
  <c r="A2048"/>
  <c r="A2047"/>
  <c r="A2046"/>
  <c r="A2045"/>
  <c r="A2044"/>
  <c r="A2043"/>
  <c r="A2042"/>
  <c r="A2041"/>
  <c r="A2040"/>
  <c r="A2039"/>
  <c r="A2038"/>
  <c r="A2037"/>
  <c r="A2036"/>
  <c r="A2035"/>
  <c r="A2034"/>
  <c r="A2033"/>
  <c r="A2032"/>
  <c r="A2031"/>
  <c r="A2030"/>
  <c r="A2029"/>
  <c r="A2028"/>
  <c r="A2027"/>
  <c r="A2026"/>
  <c r="A2025"/>
  <c r="A2024"/>
  <c r="A2023"/>
  <c r="A2022"/>
  <c r="A2021"/>
  <c r="A2020"/>
  <c r="A2019"/>
  <c r="A2018"/>
  <c r="A2017"/>
  <c r="A2016"/>
  <c r="A2015"/>
  <c r="A2014"/>
  <c r="A2013"/>
  <c r="A2012"/>
  <c r="A2011"/>
  <c r="A2010"/>
  <c r="A2009"/>
  <c r="A2008"/>
  <c r="A2007"/>
  <c r="A2006"/>
  <c r="A2005"/>
  <c r="A2004"/>
  <c r="A2003"/>
  <c r="A2002"/>
  <c r="A2001"/>
  <c r="A2000"/>
  <c r="A1999"/>
  <c r="A1998"/>
  <c r="A1997"/>
  <c r="A1996"/>
  <c r="A1995"/>
  <c r="A1994"/>
  <c r="A1993"/>
  <c r="A1992"/>
  <c r="A1991"/>
  <c r="A1990"/>
  <c r="A1989"/>
  <c r="A1988"/>
  <c r="A1987"/>
  <c r="A1986"/>
  <c r="A1985"/>
  <c r="A1984"/>
  <c r="A1983"/>
  <c r="A1982"/>
  <c r="A1981"/>
  <c r="A1980"/>
  <c r="A1979"/>
  <c r="A1978"/>
  <c r="A1977"/>
  <c r="A1976"/>
  <c r="A1975"/>
  <c r="A1974"/>
  <c r="A1973"/>
  <c r="A1972"/>
  <c r="A1971"/>
  <c r="A1970"/>
  <c r="A1969"/>
  <c r="A1968"/>
  <c r="A1967"/>
  <c r="A1966"/>
  <c r="A1965"/>
  <c r="A1964"/>
  <c r="A1963"/>
  <c r="A1962"/>
  <c r="A1961"/>
  <c r="A1960"/>
  <c r="A1959"/>
  <c r="A1958"/>
  <c r="A1957"/>
  <c r="A1956"/>
  <c r="A1955"/>
  <c r="A1954"/>
  <c r="A1953"/>
  <c r="A1952"/>
  <c r="A1951"/>
  <c r="A1950"/>
  <c r="A1949"/>
  <c r="A1948"/>
  <c r="A1947"/>
  <c r="A1946"/>
  <c r="A1945"/>
  <c r="A1944"/>
  <c r="A1943"/>
  <c r="A1942"/>
  <c r="A1941"/>
  <c r="A1940"/>
  <c r="A1939"/>
  <c r="A1938"/>
  <c r="A1937"/>
  <c r="A1936"/>
  <c r="A1935"/>
  <c r="A1934"/>
  <c r="A1933"/>
  <c r="A1932"/>
  <c r="A1931"/>
  <c r="A1930"/>
  <c r="A1929"/>
  <c r="A1928"/>
  <c r="A1927"/>
  <c r="A1926"/>
  <c r="A1925"/>
  <c r="A1924"/>
  <c r="A1923"/>
  <c r="A1922"/>
  <c r="A1921"/>
  <c r="A1920"/>
  <c r="A1919"/>
  <c r="A1918"/>
  <c r="A1917"/>
  <c r="A1916"/>
  <c r="A1915"/>
  <c r="A1914"/>
  <c r="A1913"/>
  <c r="A1912"/>
  <c r="A1911"/>
  <c r="A1910"/>
  <c r="A1909"/>
  <c r="A1908"/>
  <c r="A1907"/>
  <c r="A1906"/>
  <c r="A1905"/>
  <c r="A1904"/>
  <c r="A1903"/>
  <c r="A1902"/>
  <c r="A1901"/>
  <c r="A1900"/>
  <c r="A1899"/>
  <c r="A1898"/>
  <c r="A1897"/>
  <c r="A1896"/>
  <c r="A1895"/>
  <c r="A1894"/>
  <c r="A1893"/>
  <c r="A1892"/>
  <c r="A1891"/>
  <c r="A1890"/>
  <c r="A1889"/>
  <c r="A1888"/>
  <c r="A1887"/>
  <c r="A1886"/>
  <c r="A1885"/>
  <c r="A1884"/>
  <c r="A1883"/>
  <c r="A1882"/>
  <c r="A1881"/>
  <c r="A1880"/>
  <c r="A1879"/>
  <c r="A1878"/>
  <c r="A1877"/>
  <c r="A1876"/>
  <c r="A1875"/>
  <c r="A1874"/>
  <c r="A1873"/>
  <c r="A1872"/>
  <c r="A1871"/>
  <c r="A1870"/>
  <c r="A1869"/>
  <c r="A1868"/>
  <c r="A1867"/>
  <c r="A1866"/>
  <c r="A1865"/>
  <c r="A1864"/>
  <c r="A1863"/>
  <c r="A1862"/>
  <c r="A1861"/>
  <c r="A1860"/>
  <c r="A1859"/>
  <c r="A1858"/>
  <c r="A1857"/>
  <c r="A1856"/>
  <c r="A1855"/>
  <c r="A1854"/>
  <c r="A1853"/>
  <c r="A1852"/>
  <c r="A1851"/>
  <c r="A1850"/>
  <c r="A1849"/>
  <c r="A1848"/>
  <c r="A1847"/>
  <c r="A1846"/>
  <c r="A1845"/>
  <c r="A1844"/>
  <c r="A1843"/>
  <c r="A1842"/>
  <c r="A1841"/>
  <c r="A1840"/>
  <c r="A1839"/>
  <c r="A1838"/>
  <c r="A1837"/>
  <c r="A1836"/>
  <c r="A1835"/>
  <c r="A1834"/>
  <c r="A1833"/>
  <c r="A1832"/>
  <c r="A1831"/>
  <c r="A1830"/>
  <c r="A1829"/>
  <c r="A1828"/>
  <c r="A1827"/>
  <c r="A1826"/>
  <c r="A1825"/>
  <c r="A1824"/>
  <c r="A1823"/>
  <c r="A1822"/>
  <c r="A1821"/>
  <c r="A1820"/>
  <c r="A5"/>
  <c r="Y1595"/>
  <c r="X1595"/>
  <c r="W1595"/>
  <c r="Y1594"/>
  <c r="W1594"/>
  <c r="X1594"/>
  <c r="Y1593"/>
  <c r="W1593"/>
  <c r="X1593"/>
  <c r="Y1592"/>
  <c r="W1592"/>
  <c r="X1592"/>
  <c r="Y1591"/>
  <c r="W1591"/>
  <c r="X1591"/>
  <c r="Y1590"/>
  <c r="W1590"/>
  <c r="X1590"/>
  <c r="Y1589"/>
  <c r="W1589"/>
  <c r="X1589"/>
  <c r="Y1588"/>
  <c r="W1588"/>
  <c r="X1588"/>
  <c r="Y1587"/>
  <c r="W1587"/>
  <c r="X1587"/>
  <c r="Y1586"/>
  <c r="W1586"/>
  <c r="X1586"/>
  <c r="Y1585"/>
  <c r="W1585"/>
  <c r="X1585"/>
  <c r="Y1584"/>
  <c r="W1584"/>
  <c r="X1584"/>
  <c r="Y1583"/>
  <c r="X1583"/>
  <c r="W1583"/>
  <c r="X1582"/>
  <c r="Y1582"/>
  <c r="W1582"/>
  <c r="Y1581"/>
  <c r="W1581"/>
  <c r="X1580"/>
  <c r="Y1580"/>
  <c r="W1580"/>
  <c r="X1579"/>
  <c r="Y1579"/>
  <c r="W1579"/>
  <c r="X1578"/>
  <c r="Y1578"/>
  <c r="W1578"/>
  <c r="X1577"/>
  <c r="Y1577"/>
  <c r="X1574"/>
  <c r="Y1574"/>
  <c r="W1574"/>
  <c r="X1573"/>
  <c r="Y1573"/>
  <c r="W1573"/>
  <c r="X1572"/>
  <c r="Y1572"/>
  <c r="W1572"/>
  <c r="X1571"/>
  <c r="Y1571"/>
  <c r="W1571"/>
  <c r="X1570"/>
  <c r="Y1570"/>
  <c r="W1570"/>
  <c r="X1569"/>
  <c r="W1569"/>
  <c r="Y1568"/>
  <c r="X1568"/>
  <c r="W1568"/>
  <c r="Y1567"/>
  <c r="W1567"/>
  <c r="X1567"/>
  <c r="Y1566"/>
  <c r="W1566"/>
  <c r="X1566"/>
  <c r="Y1565"/>
  <c r="W1565"/>
  <c r="X1565"/>
  <c r="Y1564"/>
  <c r="W1564"/>
  <c r="X1564"/>
  <c r="Y1563"/>
  <c r="W1563"/>
  <c r="X1563"/>
  <c r="Y1562"/>
  <c r="W1562"/>
  <c r="X1562"/>
  <c r="Y1561"/>
  <c r="W1561"/>
  <c r="X1561"/>
  <c r="X1560"/>
  <c r="Y1559"/>
  <c r="W1559"/>
  <c r="X1559"/>
  <c r="Y1558"/>
  <c r="W1558"/>
  <c r="X1558"/>
  <c r="Y1557"/>
  <c r="W1557"/>
  <c r="X1557"/>
  <c r="Y1556"/>
  <c r="W1556"/>
  <c r="X1556"/>
  <c r="Y1555"/>
  <c r="W1555"/>
  <c r="X1555"/>
  <c r="Y1554"/>
  <c r="W1554"/>
  <c r="X1554"/>
  <c r="Y1553"/>
  <c r="W1553"/>
  <c r="X1553"/>
  <c r="Y1552"/>
  <c r="W1552"/>
  <c r="X1552"/>
  <c r="Y1551"/>
  <c r="W1551"/>
  <c r="X1551"/>
  <c r="Y1550"/>
  <c r="W1550"/>
  <c r="X1550"/>
  <c r="Y1549"/>
  <c r="W1549"/>
  <c r="X1549"/>
  <c r="Y1548"/>
  <c r="W1548"/>
  <c r="X1548"/>
  <c r="Y1547"/>
  <c r="W1547"/>
  <c r="X1547"/>
  <c r="Y1546"/>
  <c r="W1546"/>
  <c r="X1546"/>
  <c r="Y1545"/>
  <c r="W1545"/>
  <c r="X1545"/>
  <c r="W1544"/>
  <c r="X1544"/>
  <c r="W1543"/>
  <c r="X1543"/>
  <c r="X1542"/>
  <c r="Y1541"/>
  <c r="W1541"/>
  <c r="X1541"/>
  <c r="Y1540"/>
  <c r="W1540"/>
  <c r="X1540"/>
  <c r="Y1539"/>
  <c r="W1539"/>
  <c r="X1539"/>
  <c r="Y1538"/>
  <c r="W1538"/>
  <c r="X1538"/>
  <c r="Y1537"/>
  <c r="W1537"/>
  <c r="X1537"/>
  <c r="Y1533"/>
  <c r="X1533"/>
  <c r="W1533"/>
  <c r="Y1532"/>
  <c r="X1532"/>
  <c r="W1532"/>
  <c r="Y1531"/>
  <c r="X1531"/>
  <c r="W1531"/>
  <c r="Y1530"/>
  <c r="X1530"/>
  <c r="W1530"/>
  <c r="X1529"/>
  <c r="Y1529"/>
  <c r="W1529"/>
  <c r="X1528"/>
  <c r="Y1528"/>
  <c r="W1528"/>
  <c r="X1527"/>
  <c r="Y1527"/>
  <c r="W1527"/>
  <c r="X1526"/>
  <c r="Y1526"/>
  <c r="W1526"/>
  <c r="X1525"/>
  <c r="Y1525"/>
  <c r="W1525"/>
  <c r="X1524"/>
  <c r="Y1524"/>
  <c r="W1524"/>
  <c r="X1523"/>
  <c r="Y1523"/>
  <c r="W1523"/>
  <c r="X1522"/>
  <c r="Y1522"/>
  <c r="W1522"/>
  <c r="X1521"/>
  <c r="Y1521"/>
  <c r="W1521"/>
  <c r="X1520"/>
  <c r="Y1520"/>
  <c r="W1520"/>
  <c r="X1519"/>
  <c r="Y1519"/>
  <c r="W1519"/>
  <c r="X1518"/>
  <c r="Y1518"/>
  <c r="W1518"/>
  <c r="X1517"/>
  <c r="Y1517"/>
  <c r="W1517"/>
  <c r="Y1515"/>
  <c r="X1515"/>
  <c r="W1515"/>
  <c r="X1514"/>
  <c r="W1514"/>
  <c r="Y1513"/>
  <c r="X1513"/>
  <c r="W1513"/>
  <c r="Y1512"/>
  <c r="X1512"/>
  <c r="W1512"/>
  <c r="X1506"/>
  <c r="Y1505"/>
  <c r="X1505"/>
  <c r="Y1504"/>
  <c r="X1504"/>
  <c r="W1504"/>
  <c r="Y1501"/>
  <c r="X1501"/>
  <c r="W1500"/>
  <c r="Y1500"/>
  <c r="Y1498"/>
  <c r="X1498"/>
  <c r="W1498"/>
  <c r="Y1491"/>
  <c r="X1491"/>
  <c r="X1490"/>
  <c r="Y1489"/>
  <c r="X1489"/>
  <c r="W1489"/>
  <c r="X1488"/>
  <c r="Y1488"/>
  <c r="X1487"/>
  <c r="W1487"/>
  <c r="Y1486"/>
  <c r="X1486"/>
  <c r="W1486"/>
  <c r="Y1485"/>
  <c r="X1485"/>
  <c r="W1485"/>
  <c r="Y1484"/>
  <c r="X1484"/>
  <c r="W1484"/>
  <c r="X1483"/>
  <c r="W1483"/>
  <c r="X1482"/>
  <c r="Y1482"/>
  <c r="Y1481"/>
  <c r="X1481"/>
  <c r="W1481"/>
  <c r="Y1480"/>
  <c r="X1480"/>
  <c r="W1480"/>
  <c r="Y1479"/>
  <c r="X1479"/>
  <c r="W1479"/>
  <c r="X1478"/>
  <c r="X1477"/>
  <c r="Y1477"/>
  <c r="Y1476"/>
  <c r="X1476"/>
  <c r="Y1475"/>
  <c r="X1475"/>
  <c r="W1475"/>
  <c r="Y1474"/>
  <c r="X1474"/>
  <c r="W1474"/>
  <c r="X1473"/>
  <c r="Y1473"/>
  <c r="X1472"/>
  <c r="Y1468"/>
  <c r="X1468"/>
  <c r="Y1467"/>
  <c r="X1467"/>
  <c r="W1467"/>
  <c r="Y1466"/>
  <c r="X1466"/>
  <c r="W1466"/>
  <c r="Y1465"/>
  <c r="X1465"/>
  <c r="Y1464"/>
  <c r="Y1460"/>
  <c r="W1460"/>
  <c r="Y1459"/>
  <c r="Y1458"/>
  <c r="Y1457"/>
  <c r="W1457"/>
  <c r="Y1456"/>
  <c r="X1456"/>
  <c r="W1456"/>
  <c r="Y1455"/>
  <c r="W1455"/>
  <c r="Y1454"/>
  <c r="W1454"/>
  <c r="Y1453"/>
  <c r="Y1452"/>
  <c r="X1452"/>
  <c r="W1452"/>
  <c r="Y1451"/>
  <c r="X1451"/>
  <c r="W1451"/>
  <c r="X1444"/>
  <c r="Y1443"/>
  <c r="X1443"/>
  <c r="W1443"/>
  <c r="Y1442"/>
  <c r="X1442"/>
  <c r="W1442"/>
  <c r="Y1440"/>
  <c r="W1440"/>
  <c r="Y1439"/>
  <c r="W1439"/>
  <c r="Y1438"/>
  <c r="W1438"/>
  <c r="Y1436"/>
  <c r="W1436"/>
  <c r="Y1435"/>
  <c r="W1435"/>
  <c r="Y1434"/>
  <c r="W1434"/>
  <c r="Y1433"/>
  <c r="X1433"/>
  <c r="Y1432"/>
  <c r="X1432"/>
  <c r="W1432"/>
  <c r="X1431"/>
  <c r="X1430"/>
  <c r="Y1423"/>
  <c r="X1423"/>
  <c r="W1423"/>
  <c r="Y1422"/>
  <c r="W1422"/>
  <c r="W1421"/>
  <c r="X1419"/>
  <c r="Y1419"/>
  <c r="W1419"/>
  <c r="Y1418"/>
  <c r="Y1412"/>
  <c r="W1412"/>
  <c r="W1411"/>
  <c r="X1405"/>
  <c r="Y1405"/>
  <c r="W1405"/>
  <c r="Y1404"/>
  <c r="X1404"/>
  <c r="X1403"/>
  <c r="Y1403"/>
  <c r="W1403"/>
  <c r="Y1402"/>
  <c r="X1402"/>
  <c r="W1402"/>
  <c r="X1401"/>
  <c r="Y1401"/>
  <c r="W1401"/>
  <c r="Y1400"/>
  <c r="Y1396"/>
  <c r="W1396"/>
  <c r="W1395"/>
  <c r="X1393"/>
  <c r="Y1393"/>
  <c r="W1393"/>
  <c r="Y1392"/>
  <c r="Y1390"/>
  <c r="W1390"/>
  <c r="W1389"/>
  <c r="X1385"/>
  <c r="Y1385"/>
  <c r="Y1384"/>
  <c r="X1384"/>
  <c r="W1384"/>
  <c r="Y1383"/>
  <c r="X1383"/>
  <c r="W1383"/>
  <c r="X1382"/>
  <c r="Y1378"/>
  <c r="X1378"/>
  <c r="W1378"/>
  <c r="W1377"/>
  <c r="Y1377"/>
  <c r="X1377"/>
  <c r="Y1376"/>
  <c r="Y1375"/>
  <c r="X1375"/>
  <c r="Y1374"/>
  <c r="X1374"/>
  <c r="W1374"/>
  <c r="Y1373"/>
  <c r="Y1372"/>
  <c r="X1372"/>
  <c r="W1372"/>
  <c r="W1371"/>
  <c r="X1371"/>
  <c r="Y1370"/>
  <c r="Y1369"/>
  <c r="X1369"/>
  <c r="W1369"/>
  <c r="Y1368"/>
  <c r="X1368"/>
  <c r="W1368"/>
  <c r="Y1367"/>
  <c r="Y1366"/>
  <c r="X1366"/>
  <c r="X1365"/>
  <c r="Y1364"/>
  <c r="Y1362"/>
  <c r="Y1361"/>
  <c r="X1361"/>
  <c r="W1361"/>
  <c r="Y1360"/>
  <c r="X1360"/>
  <c r="W1360"/>
  <c r="X1359"/>
  <c r="Y1359"/>
  <c r="W1359"/>
  <c r="W1358"/>
  <c r="X1357"/>
  <c r="Y1357"/>
  <c r="Y1356"/>
  <c r="X1356"/>
  <c r="W1356"/>
  <c r="Y1355"/>
  <c r="X1355"/>
  <c r="W1355"/>
  <c r="W1354"/>
  <c r="X1354"/>
  <c r="Y1353"/>
  <c r="X1353"/>
  <c r="W1353"/>
  <c r="Y1352"/>
  <c r="X1352"/>
  <c r="W1352"/>
  <c r="X1350"/>
  <c r="Y1350"/>
  <c r="Y1349"/>
  <c r="X1349"/>
  <c r="W1349"/>
  <c r="Y1348"/>
  <c r="X1348"/>
  <c r="W1348"/>
  <c r="W1347"/>
  <c r="X1347"/>
  <c r="Y1346"/>
  <c r="X1346"/>
  <c r="X1343"/>
  <c r="W1343"/>
  <c r="Y1340"/>
  <c r="X1340"/>
  <c r="Y1339"/>
  <c r="X1339"/>
  <c r="Y1338"/>
  <c r="X1338"/>
  <c r="W1338"/>
  <c r="X1337"/>
  <c r="Y1332"/>
  <c r="X1332"/>
  <c r="Y1329"/>
  <c r="W1329"/>
  <c r="Y1327"/>
  <c r="Y1323"/>
  <c r="W1323"/>
  <c r="Y1321"/>
  <c r="Y1316"/>
  <c r="X1316"/>
  <c r="W1316"/>
  <c r="X1315"/>
  <c r="W1315"/>
  <c r="Y1315"/>
  <c r="X1311"/>
  <c r="W1311"/>
  <c r="Y1311"/>
  <c r="W1308"/>
  <c r="Y1310"/>
  <c r="X1310"/>
  <c r="W1310"/>
  <c r="Y1309"/>
  <c r="X1309"/>
  <c r="W1309"/>
  <c r="X1308"/>
  <c r="Y1307"/>
  <c r="W1304"/>
  <c r="X1304"/>
  <c r="X1303"/>
  <c r="W1302"/>
  <c r="X1302"/>
  <c r="Y1301"/>
  <c r="X1301"/>
  <c r="Y1300"/>
  <c r="X1300"/>
  <c r="W1300"/>
  <c r="Y1298"/>
  <c r="X1298"/>
  <c r="W1298"/>
  <c r="X1297"/>
  <c r="W1297"/>
  <c r="Y1296"/>
  <c r="X1296"/>
  <c r="Y1295"/>
  <c r="X1295"/>
  <c r="Y1293"/>
  <c r="X1294"/>
  <c r="W1293"/>
  <c r="Y1292"/>
  <c r="X1292"/>
  <c r="W1292"/>
  <c r="W1291"/>
  <c r="X1290"/>
  <c r="Y1290"/>
  <c r="W1290"/>
  <c r="X1289"/>
  <c r="Y1289"/>
  <c r="W1289"/>
  <c r="X1288"/>
  <c r="Y1288"/>
  <c r="W1288"/>
  <c r="X1287"/>
  <c r="Y1287"/>
  <c r="W1287"/>
  <c r="X1286"/>
  <c r="W1286"/>
  <c r="Y1285"/>
  <c r="X1285"/>
  <c r="W1285"/>
  <c r="Y1284"/>
  <c r="X1284"/>
  <c r="W1284"/>
  <c r="Y1279"/>
  <c r="W1279"/>
  <c r="X1279"/>
  <c r="Y1278"/>
  <c r="W1278"/>
  <c r="X1278"/>
  <c r="Y1277"/>
  <c r="W1277"/>
  <c r="Y1276"/>
  <c r="W1276"/>
  <c r="Y1275"/>
  <c r="W1275"/>
  <c r="Y1273"/>
  <c r="Y1272"/>
  <c r="X1272"/>
  <c r="W1272"/>
  <c r="Y1271"/>
  <c r="X1271"/>
  <c r="W1271"/>
  <c r="Y1270"/>
  <c r="Y1269"/>
  <c r="Y1268"/>
  <c r="Y1267"/>
  <c r="Y1266"/>
  <c r="X1266"/>
  <c r="Y1265"/>
  <c r="X1265"/>
  <c r="W1265"/>
  <c r="Y1263"/>
  <c r="W1263"/>
  <c r="X1263"/>
  <c r="W1262"/>
  <c r="X1262"/>
  <c r="Y1261"/>
  <c r="W1261"/>
  <c r="X1261"/>
  <c r="W1260"/>
  <c r="X1260"/>
  <c r="Y1255"/>
  <c r="W1255"/>
  <c r="X1255"/>
  <c r="Y1254"/>
  <c r="W1254"/>
  <c r="X1254"/>
  <c r="Y1253"/>
  <c r="W1253"/>
  <c r="X1253"/>
  <c r="Y1252"/>
  <c r="W1252"/>
  <c r="X1252"/>
  <c r="Y1251"/>
  <c r="W1251"/>
  <c r="X1251"/>
  <c r="Y1250"/>
  <c r="W1250"/>
  <c r="X1250"/>
  <c r="Y1248"/>
  <c r="W1248"/>
  <c r="X1248"/>
  <c r="Y1247"/>
  <c r="W1247"/>
  <c r="X1247"/>
  <c r="Y1246"/>
  <c r="W1246"/>
  <c r="X1246"/>
  <c r="Y1245"/>
  <c r="W1245"/>
  <c r="X1245"/>
  <c r="Y1244"/>
  <c r="W1244"/>
  <c r="X1244"/>
  <c r="Y1243"/>
  <c r="W1243"/>
  <c r="X1243"/>
  <c r="Y1242"/>
  <c r="W1242"/>
  <c r="X1242"/>
  <c r="Y1241"/>
  <c r="W1241"/>
  <c r="X1241"/>
  <c r="Y1240"/>
  <c r="W1240"/>
  <c r="X1240"/>
  <c r="Y1239"/>
  <c r="W1239"/>
  <c r="X1239"/>
  <c r="Y1238"/>
  <c r="W1238"/>
  <c r="X1238"/>
  <c r="Y1236"/>
  <c r="X1236"/>
  <c r="W1236"/>
  <c r="X1235"/>
  <c r="Y1235"/>
  <c r="W1235"/>
  <c r="X1234"/>
  <c r="Y1234"/>
  <c r="W1234"/>
  <c r="X1233"/>
  <c r="Y1233"/>
  <c r="W1233"/>
  <c r="X1232"/>
  <c r="Y1232"/>
  <c r="W1232"/>
  <c r="X1231"/>
  <c r="Y1231"/>
  <c r="W1231"/>
  <c r="X1230"/>
  <c r="Y1230"/>
  <c r="W1230"/>
  <c r="X1229"/>
  <c r="Y1229"/>
  <c r="W1229"/>
  <c r="X1228"/>
  <c r="Y1228"/>
  <c r="W1228"/>
  <c r="X1227"/>
  <c r="Y1227"/>
  <c r="W1227"/>
  <c r="Y1226"/>
  <c r="X1226"/>
  <c r="W1226"/>
  <c r="X1225"/>
  <c r="Y1225"/>
  <c r="W1225"/>
  <c r="X1224"/>
  <c r="Y1224"/>
  <c r="W1224"/>
  <c r="X1223"/>
  <c r="Y1223"/>
  <c r="W1223"/>
  <c r="X1222"/>
  <c r="Y1222"/>
  <c r="Y1221"/>
  <c r="X1221"/>
  <c r="W1221"/>
  <c r="Y1220"/>
  <c r="X1220"/>
  <c r="Y1219"/>
  <c r="X1219"/>
  <c r="W1219"/>
  <c r="X1218"/>
  <c r="X1217"/>
  <c r="Y1216"/>
  <c r="X1216"/>
  <c r="W1216"/>
  <c r="Y1215"/>
  <c r="X1215"/>
  <c r="Y1214"/>
  <c r="X1214"/>
  <c r="W1214"/>
  <c r="X1213"/>
  <c r="X1212"/>
  <c r="X1211"/>
  <c r="X1210"/>
  <c r="X1209"/>
  <c r="X1208"/>
  <c r="X1207"/>
  <c r="X1206"/>
  <c r="X1205"/>
  <c r="X1204"/>
  <c r="Y1203"/>
  <c r="X1203"/>
  <c r="W1203"/>
  <c r="Y1202"/>
  <c r="X1202"/>
  <c r="W1202"/>
  <c r="Y1195"/>
  <c r="X1195"/>
  <c r="W1195"/>
  <c r="W1192"/>
  <c r="Y1194"/>
  <c r="Y1193"/>
  <c r="Y1192"/>
  <c r="Y1191"/>
  <c r="W1191"/>
  <c r="Y1190"/>
  <c r="Y1189"/>
  <c r="X1189"/>
  <c r="W1189"/>
  <c r="Y1188"/>
  <c r="W1188"/>
  <c r="Y1187"/>
  <c r="W1187"/>
  <c r="Y1186"/>
  <c r="W1186"/>
  <c r="Y1185"/>
  <c r="W1185"/>
  <c r="Y1184"/>
  <c r="W1184"/>
  <c r="Y1183"/>
  <c r="W1183"/>
  <c r="Y1182"/>
  <c r="Y1181"/>
  <c r="Y1180"/>
  <c r="X1180"/>
  <c r="W1180"/>
  <c r="Y1179"/>
  <c r="W1179"/>
  <c r="Y1178"/>
  <c r="X1178"/>
  <c r="W1178"/>
  <c r="Y1177"/>
  <c r="W1177"/>
  <c r="Y1176"/>
  <c r="W1176"/>
  <c r="Y1175"/>
  <c r="W1175"/>
  <c r="Y1174"/>
  <c r="X1174"/>
  <c r="W1174"/>
  <c r="Y1173"/>
  <c r="W1173"/>
  <c r="Y1172"/>
  <c r="W1172"/>
  <c r="Y1171"/>
  <c r="W1171"/>
  <c r="Y1170"/>
  <c r="W1170"/>
  <c r="Y1169"/>
  <c r="W1169"/>
  <c r="Y1168"/>
  <c r="W1168"/>
  <c r="Y1167"/>
  <c r="W1167"/>
  <c r="Y1166"/>
  <c r="W1166"/>
  <c r="Y1165"/>
  <c r="W1165"/>
  <c r="Y1164"/>
  <c r="W1164"/>
  <c r="Y1163"/>
  <c r="W1163"/>
  <c r="Y1162"/>
  <c r="W1162"/>
  <c r="Y1161"/>
  <c r="W1161"/>
  <c r="Y1160"/>
  <c r="W1160"/>
  <c r="Y1159"/>
  <c r="W1159"/>
  <c r="Y1158"/>
  <c r="W1158"/>
  <c r="Y1157"/>
  <c r="W1157"/>
  <c r="Y1156"/>
  <c r="W1156"/>
  <c r="Y1155"/>
  <c r="W1155"/>
  <c r="Y1154"/>
  <c r="W1154"/>
  <c r="Y1153"/>
  <c r="W1153"/>
  <c r="Y1152"/>
  <c r="W1152"/>
  <c r="Y1151"/>
  <c r="W1151"/>
  <c r="Y1150"/>
  <c r="W1150"/>
  <c r="Y1149"/>
  <c r="W1149"/>
  <c r="Y1148"/>
  <c r="W1148"/>
  <c r="Y1146"/>
  <c r="X1146"/>
  <c r="W1146"/>
  <c r="X1145"/>
  <c r="X1144"/>
  <c r="X1143"/>
  <c r="Y1136"/>
  <c r="X1136"/>
  <c r="W1136"/>
  <c r="Y1135"/>
  <c r="W1135"/>
  <c r="X1135"/>
  <c r="Y1134"/>
  <c r="W1134"/>
  <c r="Y1133"/>
  <c r="W1133"/>
  <c r="Y1132"/>
  <c r="Y1131"/>
  <c r="X1131"/>
  <c r="W1131"/>
  <c r="Y1130"/>
  <c r="X1130"/>
  <c r="Y1129"/>
  <c r="X1129"/>
  <c r="W1129"/>
  <c r="Y1128"/>
  <c r="Y1127"/>
  <c r="Y1126"/>
  <c r="X1126"/>
  <c r="W1126"/>
  <c r="Y1125"/>
  <c r="X1125"/>
  <c r="Y1124"/>
  <c r="X1124"/>
  <c r="W1124"/>
  <c r="Y1123"/>
  <c r="Y1122"/>
  <c r="W1122"/>
  <c r="Y1121"/>
  <c r="W1121"/>
  <c r="Y1120"/>
  <c r="W1120"/>
  <c r="Y1119"/>
  <c r="W1119"/>
  <c r="Y1118"/>
  <c r="W1118"/>
  <c r="Y1117"/>
  <c r="W1117"/>
  <c r="Y1116"/>
  <c r="Y1115"/>
  <c r="Y1114"/>
  <c r="Y1113"/>
  <c r="Y1112"/>
  <c r="X1112"/>
  <c r="Y1111"/>
  <c r="X1111"/>
  <c r="Y1110"/>
  <c r="X1110"/>
  <c r="W1110"/>
  <c r="Y1109"/>
  <c r="Y1108"/>
  <c r="Y1107"/>
  <c r="X1103"/>
  <c r="Y1103"/>
  <c r="X1102"/>
  <c r="Y1102"/>
  <c r="X1101"/>
  <c r="Y1101"/>
  <c r="Y1100"/>
  <c r="X1100"/>
  <c r="Y1099"/>
  <c r="X1099"/>
  <c r="W1099"/>
  <c r="Y1092"/>
  <c r="W1092"/>
  <c r="X1092"/>
  <c r="Y1091"/>
  <c r="W1091"/>
  <c r="X1091"/>
  <c r="Y1090"/>
  <c r="W1090"/>
  <c r="X1090"/>
  <c r="Y1089"/>
  <c r="W1089"/>
  <c r="X1089"/>
  <c r="Y1088"/>
  <c r="W1088"/>
  <c r="X1088"/>
  <c r="Y1087"/>
  <c r="W1087"/>
  <c r="X1087"/>
  <c r="Y1086"/>
  <c r="W1086"/>
  <c r="X1086"/>
  <c r="Y1085"/>
  <c r="Y1084"/>
  <c r="W1084"/>
  <c r="X1084"/>
  <c r="Y1083"/>
  <c r="W1083"/>
  <c r="X1083"/>
  <c r="Y1082"/>
  <c r="W1082"/>
  <c r="X1082"/>
  <c r="Y1081"/>
  <c r="W1081"/>
  <c r="X1081"/>
  <c r="Y1080"/>
  <c r="W1080"/>
  <c r="X1080"/>
  <c r="Y1079"/>
  <c r="W1079"/>
  <c r="X1079"/>
  <c r="Y1078"/>
  <c r="W1078"/>
  <c r="X1078"/>
  <c r="Y1077"/>
  <c r="W1077"/>
  <c r="X1077"/>
  <c r="Y1076"/>
  <c r="W1076"/>
  <c r="X1076"/>
  <c r="Y1070"/>
  <c r="X1070"/>
  <c r="W1070"/>
  <c r="X1069"/>
  <c r="Y1069"/>
  <c r="W1069"/>
  <c r="X1068"/>
  <c r="Y1068"/>
  <c r="W1068"/>
  <c r="X1067"/>
  <c r="W1067"/>
  <c r="X1066"/>
  <c r="W1066"/>
  <c r="X1065"/>
  <c r="W1065"/>
  <c r="X1064"/>
  <c r="W1064"/>
  <c r="X1063"/>
  <c r="W1063"/>
  <c r="X1062"/>
  <c r="W1062"/>
  <c r="X1061"/>
  <c r="W1061"/>
  <c r="Y1060"/>
  <c r="X1060"/>
  <c r="W1060"/>
  <c r="X1059"/>
  <c r="Y1059"/>
  <c r="W1059"/>
  <c r="X1058"/>
  <c r="Y1058"/>
  <c r="W1058"/>
  <c r="X1057"/>
  <c r="Y1057"/>
  <c r="W1057"/>
  <c r="X1056"/>
  <c r="Y1056"/>
  <c r="Y1055"/>
  <c r="X1055"/>
  <c r="W1055"/>
  <c r="Y1054"/>
  <c r="X1054"/>
  <c r="Y1053"/>
  <c r="X1053"/>
  <c r="W1053"/>
  <c r="X1052"/>
  <c r="Y1052"/>
  <c r="X1051"/>
  <c r="Y1051"/>
  <c r="Y1050"/>
  <c r="X1050"/>
  <c r="W1050"/>
  <c r="Y1049"/>
  <c r="X1049"/>
  <c r="Y1048"/>
  <c r="X1048"/>
  <c r="W1048"/>
  <c r="X1047"/>
  <c r="Y1047"/>
  <c r="X1046"/>
  <c r="Y1046"/>
  <c r="W1046"/>
  <c r="X1045"/>
  <c r="Y1045"/>
  <c r="W1045"/>
  <c r="X1044"/>
  <c r="Y1044"/>
  <c r="W1044"/>
  <c r="X1043"/>
  <c r="Y1043"/>
  <c r="W1043"/>
  <c r="X1042"/>
  <c r="Y1042"/>
  <c r="W1042"/>
  <c r="X1041"/>
  <c r="Y1041"/>
  <c r="W1041"/>
  <c r="X1040"/>
  <c r="Y1040"/>
  <c r="X1036"/>
  <c r="Y1036"/>
  <c r="W1036"/>
  <c r="X1035"/>
  <c r="Y1035"/>
  <c r="W1035"/>
  <c r="X1034"/>
  <c r="Y1034"/>
  <c r="W1034"/>
  <c r="X1033"/>
  <c r="Y1033"/>
  <c r="W1033"/>
  <c r="X1032"/>
  <c r="Y1032"/>
  <c r="W1032"/>
  <c r="X1031"/>
  <c r="Y1031"/>
  <c r="W1031"/>
  <c r="X1029"/>
  <c r="Y1029"/>
  <c r="W1029"/>
  <c r="X1028"/>
  <c r="Y1028"/>
  <c r="W1028"/>
  <c r="X1027"/>
  <c r="Y1027"/>
  <c r="W1027"/>
  <c r="Y1026"/>
  <c r="X1026"/>
  <c r="W1026"/>
  <c r="Y1025"/>
  <c r="X1025"/>
  <c r="W1025"/>
  <c r="X1024"/>
  <c r="Y1024"/>
  <c r="W1024"/>
  <c r="X1023"/>
  <c r="Y1023"/>
  <c r="W1023"/>
  <c r="X1022"/>
  <c r="Y1022"/>
  <c r="W1022"/>
  <c r="X1021"/>
  <c r="Y1021"/>
  <c r="W1021"/>
  <c r="X1020"/>
  <c r="Y1020"/>
  <c r="W1020"/>
  <c r="X1019"/>
  <c r="Y1019"/>
  <c r="W1019"/>
  <c r="Y1018"/>
  <c r="X1018"/>
  <c r="W1018"/>
  <c r="X1017"/>
  <c r="Y1017"/>
  <c r="W1017"/>
  <c r="X1016"/>
  <c r="Y1016"/>
  <c r="W1016"/>
  <c r="X1015"/>
  <c r="Y1015"/>
  <c r="W1015"/>
  <c r="X1014"/>
  <c r="Y1014"/>
  <c r="W1014"/>
  <c r="X1013"/>
  <c r="Y1013"/>
  <c r="W1013"/>
  <c r="X1012"/>
  <c r="Y1012"/>
  <c r="W1012"/>
  <c r="X1011"/>
  <c r="Y1011"/>
  <c r="W1011"/>
  <c r="X1010"/>
  <c r="Y1010"/>
  <c r="W1010"/>
  <c r="X1009"/>
  <c r="Y1009"/>
  <c r="W1009"/>
  <c r="X1008"/>
  <c r="Y1008"/>
  <c r="W1008"/>
  <c r="X1007"/>
  <c r="Y1007"/>
  <c r="W1007"/>
  <c r="X1006"/>
  <c r="Y1006"/>
  <c r="W1006"/>
  <c r="X1005"/>
  <c r="Y1005"/>
  <c r="W1005"/>
  <c r="X1004"/>
  <c r="Y1004"/>
  <c r="W1004"/>
  <c r="X1003"/>
  <c r="Y1003"/>
  <c r="W1003"/>
  <c r="X1002"/>
  <c r="Y1002"/>
  <c r="W1002"/>
  <c r="X1001"/>
  <c r="Y1001"/>
  <c r="W1001"/>
  <c r="X1000"/>
  <c r="Y1000"/>
  <c r="W1000"/>
  <c r="X999"/>
  <c r="Y999"/>
  <c r="W999"/>
  <c r="X998"/>
  <c r="Y998"/>
  <c r="W998"/>
  <c r="X997"/>
  <c r="Y997"/>
  <c r="W997"/>
  <c r="X996"/>
  <c r="Y996"/>
  <c r="W996"/>
  <c r="X995"/>
  <c r="Y995"/>
  <c r="W995"/>
  <c r="X994"/>
  <c r="Y994"/>
  <c r="W994"/>
  <c r="X993"/>
  <c r="Y993"/>
  <c r="W993"/>
  <c r="X992"/>
  <c r="Y992"/>
  <c r="W992"/>
  <c r="Y990"/>
  <c r="X990"/>
  <c r="W990"/>
  <c r="Y989"/>
  <c r="W989"/>
  <c r="X989"/>
  <c r="Y988"/>
  <c r="W988"/>
  <c r="X988"/>
  <c r="Y987"/>
  <c r="W987"/>
  <c r="X987"/>
  <c r="Y986"/>
  <c r="W986"/>
  <c r="X986"/>
  <c r="Y985"/>
  <c r="W985"/>
  <c r="X985"/>
  <c r="Y984"/>
  <c r="W984"/>
  <c r="X984"/>
  <c r="Y983"/>
  <c r="W983"/>
  <c r="X983"/>
  <c r="Y982"/>
  <c r="W982"/>
  <c r="X982"/>
  <c r="Y981"/>
  <c r="W981"/>
  <c r="X981"/>
  <c r="Y980"/>
  <c r="W980"/>
  <c r="X980"/>
  <c r="Y979"/>
  <c r="W979"/>
  <c r="X979"/>
  <c r="Y978"/>
  <c r="W978"/>
  <c r="X978"/>
  <c r="Y977"/>
  <c r="X977"/>
  <c r="W977"/>
  <c r="Y976"/>
  <c r="X976"/>
  <c r="Y975"/>
  <c r="X975"/>
  <c r="W975"/>
  <c r="Y974"/>
  <c r="W974"/>
  <c r="X974"/>
  <c r="Y973"/>
  <c r="X973"/>
  <c r="Y972"/>
  <c r="X972"/>
  <c r="Y971"/>
  <c r="X971"/>
  <c r="Y970"/>
  <c r="X970"/>
  <c r="Y969"/>
  <c r="W969"/>
  <c r="X969"/>
  <c r="Y968"/>
  <c r="W968"/>
  <c r="X968"/>
  <c r="Y967"/>
  <c r="W967"/>
  <c r="X967"/>
  <c r="Y966"/>
  <c r="W966"/>
  <c r="X966"/>
  <c r="Y965"/>
  <c r="W965"/>
  <c r="X965"/>
  <c r="Y964"/>
  <c r="W964"/>
  <c r="X964"/>
  <c r="Y963"/>
  <c r="W963"/>
  <c r="X963"/>
  <c r="Y962"/>
  <c r="W962"/>
  <c r="X962"/>
  <c r="Y961"/>
  <c r="W961"/>
  <c r="X961"/>
  <c r="Y960"/>
  <c r="W960"/>
  <c r="X960"/>
  <c r="Y959"/>
  <c r="W959"/>
  <c r="X959"/>
  <c r="Y958"/>
  <c r="W958"/>
  <c r="X958"/>
  <c r="Y957"/>
  <c r="W957"/>
  <c r="X957"/>
  <c r="Y956"/>
  <c r="W956"/>
  <c r="X956"/>
  <c r="Y955"/>
  <c r="W955"/>
  <c r="X955"/>
  <c r="Y954"/>
  <c r="W954"/>
  <c r="X954"/>
  <c r="Y953"/>
  <c r="W953"/>
  <c r="X953"/>
  <c r="Y952"/>
  <c r="W952"/>
  <c r="X952"/>
  <c r="Y951"/>
  <c r="W951"/>
  <c r="X951"/>
  <c r="Y950"/>
  <c r="W950"/>
  <c r="X950"/>
  <c r="Y949"/>
  <c r="W949"/>
  <c r="X949"/>
  <c r="Y948"/>
  <c r="W948"/>
  <c r="X948"/>
  <c r="W947"/>
  <c r="X947"/>
  <c r="X946"/>
  <c r="Y945"/>
  <c r="W945"/>
  <c r="X945"/>
  <c r="Y944"/>
  <c r="W944"/>
  <c r="X944"/>
  <c r="Y943"/>
  <c r="W943"/>
  <c r="X943"/>
  <c r="Y942"/>
  <c r="W942"/>
  <c r="X942"/>
  <c r="Y941"/>
  <c r="W941"/>
  <c r="X941"/>
  <c r="Y940"/>
  <c r="W940"/>
  <c r="X940"/>
  <c r="Y939"/>
  <c r="W939"/>
  <c r="X939"/>
  <c r="Y938"/>
  <c r="W938"/>
  <c r="X938"/>
  <c r="Y937"/>
  <c r="W937"/>
  <c r="X937"/>
  <c r="Y936"/>
  <c r="W936"/>
  <c r="X936"/>
  <c r="Y935"/>
  <c r="W935"/>
  <c r="X935"/>
  <c r="Y934"/>
  <c r="W934"/>
  <c r="X934"/>
  <c r="X933"/>
  <c r="Y932"/>
  <c r="X932"/>
  <c r="W932"/>
  <c r="X931"/>
  <c r="X930"/>
  <c r="X929"/>
  <c r="X928"/>
  <c r="X927"/>
  <c r="X926"/>
  <c r="X925"/>
  <c r="X924"/>
  <c r="X923"/>
  <c r="X922"/>
  <c r="X921"/>
  <c r="X920"/>
  <c r="X919"/>
  <c r="X918"/>
  <c r="X917"/>
  <c r="X916"/>
  <c r="X915"/>
  <c r="X914"/>
  <c r="X913"/>
  <c r="X912"/>
  <c r="X911"/>
  <c r="X910"/>
  <c r="X909"/>
  <c r="X908"/>
  <c r="X907"/>
  <c r="X906"/>
  <c r="X905"/>
  <c r="X904"/>
  <c r="X903"/>
  <c r="X902"/>
  <c r="X901"/>
  <c r="X900"/>
  <c r="X899"/>
  <c r="X898"/>
  <c r="X897"/>
  <c r="X896"/>
  <c r="X895"/>
  <c r="X894"/>
  <c r="X893"/>
  <c r="X892"/>
  <c r="X891"/>
  <c r="X890"/>
  <c r="X889"/>
  <c r="X888"/>
  <c r="X887"/>
  <c r="X886"/>
  <c r="X885"/>
  <c r="X884"/>
  <c r="X883"/>
  <c r="X882"/>
  <c r="X881"/>
  <c r="X880"/>
  <c r="X879"/>
  <c r="X878"/>
  <c r="X877"/>
  <c r="X876"/>
  <c r="W876"/>
  <c r="W875"/>
  <c r="Y874"/>
  <c r="W874"/>
  <c r="Y873"/>
  <c r="W873"/>
  <c r="Y872"/>
  <c r="W872"/>
  <c r="Y871"/>
  <c r="W871"/>
  <c r="Y870"/>
  <c r="X870"/>
  <c r="W870"/>
  <c r="Y869"/>
  <c r="W869"/>
  <c r="Y868"/>
  <c r="W868"/>
  <c r="Y867"/>
  <c r="W867"/>
  <c r="Y866"/>
  <c r="W866"/>
  <c r="Y865"/>
  <c r="W865"/>
  <c r="Y864"/>
  <c r="W864"/>
  <c r="Y863"/>
  <c r="W863"/>
  <c r="Y862"/>
  <c r="X862"/>
  <c r="W862"/>
  <c r="X861"/>
  <c r="X860"/>
  <c r="X859"/>
  <c r="X858"/>
  <c r="X857"/>
  <c r="X856"/>
  <c r="X855"/>
  <c r="X854"/>
  <c r="W854"/>
  <c r="X853"/>
  <c r="X852"/>
  <c r="X851"/>
  <c r="X850"/>
  <c r="X849"/>
  <c r="X848"/>
  <c r="W848"/>
  <c r="X847"/>
  <c r="X846"/>
  <c r="W846"/>
  <c r="X845"/>
  <c r="X844"/>
  <c r="X843"/>
  <c r="X842"/>
  <c r="X841"/>
  <c r="X838"/>
  <c r="X837"/>
  <c r="X836"/>
  <c r="X835"/>
  <c r="X834"/>
  <c r="X833"/>
  <c r="X832"/>
  <c r="X831"/>
  <c r="X830"/>
  <c r="X829"/>
  <c r="X828"/>
  <c r="Y828"/>
  <c r="Y827"/>
  <c r="W827"/>
  <c r="X825"/>
  <c r="Y825"/>
  <c r="W825"/>
  <c r="X824"/>
  <c r="Y824"/>
  <c r="X823"/>
  <c r="Y823"/>
  <c r="X822"/>
  <c r="Y822"/>
  <c r="W822"/>
  <c r="X821"/>
  <c r="W821"/>
  <c r="X820"/>
  <c r="W820"/>
  <c r="X819"/>
  <c r="Y819"/>
  <c r="W819"/>
  <c r="X818"/>
  <c r="Y818"/>
  <c r="W818"/>
  <c r="X817"/>
  <c r="Y817"/>
  <c r="W817"/>
  <c r="X816"/>
  <c r="Y816"/>
  <c r="W816"/>
  <c r="X815"/>
  <c r="Y815"/>
  <c r="W815"/>
  <c r="X814"/>
  <c r="Y814"/>
  <c r="W814"/>
  <c r="X813"/>
  <c r="Y813"/>
  <c r="W813"/>
  <c r="X812"/>
  <c r="Y812"/>
  <c r="W812"/>
  <c r="X811"/>
  <c r="Y811"/>
  <c r="W811"/>
  <c r="X810"/>
  <c r="Y810"/>
  <c r="W810"/>
  <c r="X809"/>
  <c r="Y809"/>
  <c r="W809"/>
  <c r="X808"/>
  <c r="Y808"/>
  <c r="W808"/>
  <c r="X807"/>
  <c r="Y807"/>
  <c r="W807"/>
  <c r="X806"/>
  <c r="Y806"/>
  <c r="W806"/>
  <c r="X805"/>
  <c r="Y805"/>
  <c r="W805"/>
  <c r="X804"/>
  <c r="Y804"/>
  <c r="W804"/>
  <c r="X803"/>
  <c r="Y803"/>
  <c r="W803"/>
  <c r="X802"/>
  <c r="Y802"/>
  <c r="W802"/>
  <c r="X801"/>
  <c r="Y801"/>
  <c r="W801"/>
  <c r="X800"/>
  <c r="Y800"/>
  <c r="W800"/>
  <c r="X799"/>
  <c r="Y799"/>
  <c r="W799"/>
  <c r="X798"/>
  <c r="Y798"/>
  <c r="W798"/>
  <c r="X797"/>
  <c r="Y797"/>
  <c r="W797"/>
  <c r="X796"/>
  <c r="Y796"/>
  <c r="W796"/>
  <c r="X795"/>
  <c r="Y795"/>
  <c r="W795"/>
  <c r="X794"/>
  <c r="Y794"/>
  <c r="W794"/>
  <c r="X793"/>
  <c r="Y793"/>
  <c r="W793"/>
  <c r="X792"/>
  <c r="Y792"/>
  <c r="W792"/>
  <c r="X791"/>
  <c r="Y791"/>
  <c r="W791"/>
  <c r="X790"/>
  <c r="X785"/>
  <c r="Y785"/>
  <c r="W785"/>
  <c r="X784"/>
  <c r="Y784"/>
  <c r="W784"/>
  <c r="X783"/>
  <c r="Y783"/>
  <c r="W783"/>
  <c r="X782"/>
  <c r="Y782"/>
  <c r="W782"/>
  <c r="X781"/>
  <c r="Y781"/>
  <c r="W781"/>
  <c r="X780"/>
  <c r="Y780"/>
  <c r="W780"/>
  <c r="X779"/>
  <c r="Y779"/>
  <c r="W779"/>
  <c r="X778"/>
  <c r="Y778"/>
  <c r="W778"/>
  <c r="X777"/>
  <c r="Y777"/>
  <c r="W777"/>
  <c r="X776"/>
  <c r="Y776"/>
  <c r="W776"/>
  <c r="X775"/>
  <c r="Y775"/>
  <c r="W775"/>
  <c r="X774"/>
  <c r="Y774"/>
  <c r="W774"/>
  <c r="X773"/>
  <c r="Y773"/>
  <c r="W773"/>
  <c r="X772"/>
  <c r="Y772"/>
  <c r="W772"/>
  <c r="Y770"/>
  <c r="X770"/>
  <c r="W770"/>
  <c r="Y769"/>
  <c r="W769"/>
  <c r="Y768"/>
  <c r="W768"/>
  <c r="Y767"/>
  <c r="W767"/>
  <c r="Y766"/>
  <c r="W766"/>
  <c r="X766"/>
  <c r="Y765"/>
  <c r="W765"/>
  <c r="X765"/>
  <c r="Y764"/>
  <c r="W764"/>
  <c r="X764"/>
  <c r="Y763"/>
  <c r="W763"/>
  <c r="X763"/>
  <c r="Y762"/>
  <c r="W762"/>
  <c r="X762"/>
  <c r="Y761"/>
  <c r="W761"/>
  <c r="Y760"/>
  <c r="W760"/>
  <c r="Y759"/>
  <c r="W759"/>
  <c r="Y758"/>
  <c r="W758"/>
  <c r="Y757"/>
  <c r="X757"/>
  <c r="W757"/>
  <c r="Y756"/>
  <c r="W756"/>
  <c r="X756"/>
  <c r="Y755"/>
  <c r="W755"/>
  <c r="X755"/>
  <c r="Y754"/>
  <c r="W754"/>
  <c r="X754"/>
  <c r="Y753"/>
  <c r="W753"/>
  <c r="X753"/>
  <c r="Y752"/>
  <c r="W752"/>
  <c r="X752"/>
  <c r="Y751"/>
  <c r="W751"/>
  <c r="X751"/>
  <c r="Y750"/>
  <c r="W750"/>
  <c r="X750"/>
  <c r="Y749"/>
  <c r="W749"/>
  <c r="X749"/>
  <c r="Y748"/>
  <c r="W748"/>
  <c r="X748"/>
  <c r="Y747"/>
  <c r="W747"/>
  <c r="X747"/>
  <c r="Y746"/>
  <c r="W746"/>
  <c r="X746"/>
  <c r="Y745"/>
  <c r="W745"/>
  <c r="X745"/>
  <c r="Y744"/>
  <c r="W744"/>
  <c r="X744"/>
  <c r="Y743"/>
  <c r="W743"/>
  <c r="X743"/>
  <c r="Y742"/>
  <c r="W742"/>
  <c r="X742"/>
  <c r="Y741"/>
  <c r="W741"/>
  <c r="X741"/>
  <c r="Y740"/>
  <c r="W740"/>
  <c r="X740"/>
  <c r="Y739"/>
  <c r="W739"/>
  <c r="X739"/>
  <c r="Y738"/>
  <c r="W738"/>
  <c r="X738"/>
  <c r="Y737"/>
  <c r="W737"/>
  <c r="X737"/>
  <c r="Y736"/>
  <c r="W736"/>
  <c r="X736"/>
  <c r="Y735"/>
  <c r="X735"/>
  <c r="W735"/>
  <c r="Y734"/>
  <c r="W734"/>
  <c r="X734"/>
  <c r="Y733"/>
  <c r="W733"/>
  <c r="X733"/>
  <c r="Y732"/>
  <c r="W732"/>
  <c r="X732"/>
  <c r="Y731"/>
  <c r="W731"/>
  <c r="X731"/>
  <c r="Y730"/>
  <c r="W730"/>
  <c r="X730"/>
  <c r="Y729"/>
  <c r="W729"/>
  <c r="X729"/>
  <c r="Y728"/>
  <c r="W728"/>
  <c r="X728"/>
  <c r="Y727"/>
  <c r="W727"/>
  <c r="X727"/>
  <c r="Y726"/>
  <c r="W726"/>
  <c r="X726"/>
  <c r="Y725"/>
  <c r="X725"/>
  <c r="Y724"/>
  <c r="X724"/>
  <c r="W724"/>
  <c r="Y723"/>
  <c r="X723"/>
  <c r="Y722"/>
  <c r="X722"/>
  <c r="W722"/>
  <c r="Y721"/>
  <c r="X721"/>
  <c r="Y720"/>
  <c r="X720"/>
  <c r="Y719"/>
  <c r="X719"/>
  <c r="W719"/>
  <c r="Y718"/>
  <c r="X718"/>
  <c r="Y717"/>
  <c r="X717"/>
  <c r="W717"/>
  <c r="Y716"/>
  <c r="X716"/>
  <c r="Y715"/>
  <c r="X715"/>
  <c r="Y714"/>
  <c r="W714"/>
  <c r="X714"/>
  <c r="Y713"/>
  <c r="W713"/>
  <c r="X713"/>
  <c r="Y712"/>
  <c r="W712"/>
  <c r="X712"/>
  <c r="Y711"/>
  <c r="W711"/>
  <c r="X711"/>
  <c r="Y710"/>
  <c r="W710"/>
  <c r="X710"/>
  <c r="Y709"/>
  <c r="W709"/>
  <c r="X709"/>
  <c r="Y708"/>
  <c r="W708"/>
  <c r="X708"/>
  <c r="Y707"/>
  <c r="W707"/>
  <c r="X707"/>
  <c r="Y706"/>
  <c r="W706"/>
  <c r="X706"/>
  <c r="Y705"/>
  <c r="W705"/>
  <c r="X705"/>
  <c r="Y704"/>
  <c r="W704"/>
  <c r="X704"/>
  <c r="Y703"/>
  <c r="W703"/>
  <c r="X703"/>
  <c r="Y702"/>
  <c r="W702"/>
  <c r="X702"/>
  <c r="Y701"/>
  <c r="W701"/>
  <c r="X701"/>
  <c r="Y700"/>
  <c r="W700"/>
  <c r="X700"/>
  <c r="Y699"/>
  <c r="W699"/>
  <c r="X699"/>
  <c r="Y698"/>
  <c r="W698"/>
  <c r="X698"/>
  <c r="Y697"/>
  <c r="W697"/>
  <c r="X697"/>
  <c r="Y696"/>
  <c r="W696"/>
  <c r="X696"/>
  <c r="Y695"/>
  <c r="X695"/>
  <c r="Y694"/>
  <c r="W694"/>
  <c r="X694"/>
  <c r="Y693"/>
  <c r="W693"/>
  <c r="X693"/>
  <c r="Y692"/>
  <c r="W692"/>
  <c r="X692"/>
  <c r="Y691"/>
  <c r="W691"/>
  <c r="X691"/>
  <c r="Y690"/>
  <c r="W690"/>
  <c r="X690"/>
  <c r="Y689"/>
  <c r="X689"/>
  <c r="Y688"/>
  <c r="X688"/>
  <c r="Y687"/>
  <c r="Y686"/>
  <c r="X686"/>
  <c r="W686"/>
  <c r="Y685"/>
  <c r="W685"/>
  <c r="X685"/>
  <c r="Y684"/>
  <c r="W684"/>
  <c r="X684"/>
  <c r="Y683"/>
  <c r="X683"/>
  <c r="W683"/>
  <c r="Y682"/>
  <c r="W682"/>
  <c r="X682"/>
  <c r="Y681"/>
  <c r="W681"/>
  <c r="X681"/>
  <c r="Y680"/>
  <c r="W680"/>
  <c r="X680"/>
  <c r="Y679"/>
  <c r="W679"/>
  <c r="X679"/>
  <c r="Y678"/>
  <c r="W678"/>
  <c r="X678"/>
  <c r="Y677"/>
  <c r="W677"/>
  <c r="X677"/>
  <c r="Y676"/>
  <c r="W676"/>
  <c r="X676"/>
  <c r="Y675"/>
  <c r="W675"/>
  <c r="X675"/>
  <c r="Y674"/>
  <c r="W674"/>
  <c r="X674"/>
  <c r="Y673"/>
  <c r="W673"/>
  <c r="X673"/>
  <c r="Y672"/>
  <c r="W672"/>
  <c r="X672"/>
  <c r="Y671"/>
  <c r="W671"/>
  <c r="X671"/>
  <c r="Y670"/>
  <c r="W670"/>
  <c r="X670"/>
  <c r="Y669"/>
  <c r="W669"/>
  <c r="X669"/>
  <c r="Y668"/>
  <c r="W668"/>
  <c r="X668"/>
  <c r="Y667"/>
  <c r="W667"/>
  <c r="X667"/>
  <c r="Y666"/>
  <c r="X666"/>
  <c r="W666"/>
  <c r="Y665"/>
  <c r="X665"/>
  <c r="Y664"/>
  <c r="W664"/>
  <c r="X664"/>
  <c r="Y663"/>
  <c r="W663"/>
  <c r="X663"/>
  <c r="Y662"/>
  <c r="W662"/>
  <c r="X662"/>
  <c r="Y661"/>
  <c r="W661"/>
  <c r="X661"/>
  <c r="W660"/>
  <c r="X660"/>
  <c r="X659"/>
  <c r="Y658"/>
  <c r="W658"/>
  <c r="X658"/>
  <c r="Y657"/>
  <c r="X657"/>
  <c r="Y656"/>
  <c r="X656"/>
  <c r="X655"/>
  <c r="X654"/>
  <c r="Y653"/>
  <c r="W653"/>
  <c r="X653"/>
  <c r="Y652"/>
  <c r="W652"/>
  <c r="X652"/>
  <c r="Y651"/>
  <c r="W651"/>
  <c r="X651"/>
  <c r="Y650"/>
  <c r="W650"/>
  <c r="X650"/>
  <c r="Y649"/>
  <c r="W649"/>
  <c r="X649"/>
  <c r="X648"/>
  <c r="Y647"/>
  <c r="X647"/>
  <c r="W647"/>
  <c r="Y646"/>
  <c r="X646"/>
  <c r="W646"/>
  <c r="Y645"/>
  <c r="X645"/>
  <c r="X644"/>
  <c r="X643"/>
  <c r="Y642"/>
  <c r="W642"/>
  <c r="X642"/>
  <c r="Y641"/>
  <c r="W641"/>
  <c r="X641"/>
  <c r="Y640"/>
  <c r="W640"/>
  <c r="X640"/>
  <c r="Y639"/>
  <c r="W639"/>
  <c r="X639"/>
  <c r="Y638"/>
  <c r="W638"/>
  <c r="X638"/>
  <c r="Y637"/>
  <c r="W637"/>
  <c r="X637"/>
  <c r="Y636"/>
  <c r="W636"/>
  <c r="X636"/>
  <c r="Y635"/>
  <c r="W635"/>
  <c r="X635"/>
  <c r="Y634"/>
  <c r="W634"/>
  <c r="X634"/>
  <c r="Y633"/>
  <c r="W633"/>
  <c r="X633"/>
  <c r="Y632"/>
  <c r="W632"/>
  <c r="X632"/>
  <c r="Y631"/>
  <c r="W631"/>
  <c r="X631"/>
  <c r="Y630"/>
  <c r="W630"/>
  <c r="X630"/>
  <c r="Y629"/>
  <c r="W629"/>
  <c r="X629"/>
  <c r="Y628"/>
  <c r="W628"/>
  <c r="X628"/>
  <c r="Y627"/>
  <c r="W627"/>
  <c r="X627"/>
  <c r="Y626"/>
  <c r="W626"/>
  <c r="X626"/>
  <c r="Y625"/>
  <c r="W625"/>
  <c r="X625"/>
  <c r="Y624"/>
  <c r="W624"/>
  <c r="X624"/>
  <c r="Y623"/>
  <c r="W623"/>
  <c r="X623"/>
  <c r="Y622"/>
  <c r="W622"/>
  <c r="X622"/>
  <c r="Y621"/>
  <c r="X621"/>
  <c r="W621"/>
  <c r="X620"/>
  <c r="Y620"/>
  <c r="W620"/>
  <c r="X619"/>
  <c r="Y619"/>
  <c r="W619"/>
  <c r="X618"/>
  <c r="Y618"/>
  <c r="W618"/>
  <c r="X617"/>
  <c r="Y617"/>
  <c r="W617"/>
  <c r="X616"/>
  <c r="W616"/>
  <c r="X615"/>
  <c r="X613"/>
  <c r="Y613"/>
  <c r="W613"/>
  <c r="X612"/>
  <c r="W612"/>
  <c r="X611"/>
  <c r="X610"/>
  <c r="X609"/>
  <c r="X605"/>
  <c r="Y605"/>
  <c r="W605"/>
  <c r="X604"/>
  <c r="Y604"/>
  <c r="W604"/>
  <c r="X603"/>
  <c r="Y603"/>
  <c r="W603"/>
  <c r="X602"/>
  <c r="Y602"/>
  <c r="W602"/>
  <c r="X601"/>
  <c r="Y601"/>
  <c r="W601"/>
  <c r="X600"/>
  <c r="Y600"/>
  <c r="W600"/>
  <c r="X599"/>
  <c r="Y599"/>
  <c r="W599"/>
  <c r="X598"/>
  <c r="Y598"/>
  <c r="W598"/>
  <c r="X597"/>
  <c r="Y597"/>
  <c r="W597"/>
  <c r="Y595"/>
  <c r="X595"/>
  <c r="W595"/>
  <c r="Y594"/>
  <c r="X594"/>
  <c r="W594"/>
  <c r="X593"/>
  <c r="Y593"/>
  <c r="W593"/>
  <c r="Y592"/>
  <c r="X592"/>
  <c r="W592"/>
  <c r="Y591"/>
  <c r="W591"/>
  <c r="X591"/>
  <c r="Y590"/>
  <c r="X590"/>
  <c r="W590"/>
  <c r="X589"/>
  <c r="Y589"/>
  <c r="Y588"/>
  <c r="X588"/>
  <c r="W588"/>
  <c r="Y587"/>
  <c r="W587"/>
  <c r="X587"/>
  <c r="X586"/>
  <c r="Y585"/>
  <c r="X585"/>
  <c r="W585"/>
  <c r="Y584"/>
  <c r="X584"/>
  <c r="W584"/>
  <c r="Y583"/>
  <c r="W583"/>
  <c r="Y582"/>
  <c r="W582"/>
  <c r="Y577"/>
  <c r="W577"/>
  <c r="X577"/>
  <c r="Y576"/>
  <c r="W576"/>
  <c r="X576"/>
  <c r="Y575"/>
  <c r="W575"/>
  <c r="X575"/>
  <c r="Y574"/>
  <c r="W574"/>
  <c r="X574"/>
  <c r="Y573"/>
  <c r="W573"/>
  <c r="X573"/>
  <c r="Y572"/>
  <c r="W572"/>
  <c r="X572"/>
  <c r="Y571"/>
  <c r="W571"/>
  <c r="X571"/>
  <c r="Y570"/>
  <c r="W570"/>
  <c r="X570"/>
  <c r="Y569"/>
  <c r="W569"/>
  <c r="X569"/>
  <c r="Y568"/>
  <c r="X568"/>
  <c r="W568"/>
  <c r="Y567"/>
  <c r="X567"/>
  <c r="W567"/>
  <c r="X566"/>
  <c r="Y566"/>
  <c r="W566"/>
  <c r="X565"/>
  <c r="Y565"/>
  <c r="W565"/>
  <c r="Y564"/>
  <c r="W564"/>
  <c r="Y563"/>
  <c r="W563"/>
  <c r="Y562"/>
  <c r="W562"/>
  <c r="X561"/>
  <c r="Y560"/>
  <c r="X560"/>
  <c r="W560"/>
  <c r="Y559"/>
  <c r="X559"/>
  <c r="W559"/>
  <c r="Y554"/>
  <c r="W554"/>
  <c r="Y553"/>
  <c r="W553"/>
  <c r="Y552"/>
  <c r="W552"/>
  <c r="Y551"/>
  <c r="X551"/>
  <c r="W551"/>
  <c r="Y550"/>
  <c r="X550"/>
  <c r="W550"/>
  <c r="X549"/>
  <c r="Y548"/>
  <c r="X548"/>
  <c r="W548"/>
  <c r="Y547"/>
  <c r="X547"/>
  <c r="W547"/>
  <c r="Y546"/>
  <c r="W546"/>
  <c r="Y545"/>
  <c r="W545"/>
  <c r="Y539"/>
  <c r="W539"/>
  <c r="Y538"/>
  <c r="W538"/>
  <c r="Y537"/>
  <c r="W537"/>
  <c r="Y536"/>
  <c r="W536"/>
  <c r="Y535"/>
  <c r="W535"/>
  <c r="Y534"/>
  <c r="W534"/>
  <c r="Y533"/>
  <c r="W533"/>
  <c r="Y532"/>
  <c r="Y531"/>
  <c r="X531"/>
  <c r="W531"/>
  <c r="Y530"/>
  <c r="X530"/>
  <c r="W530"/>
  <c r="X524"/>
  <c r="X523"/>
  <c r="X522"/>
  <c r="X521"/>
  <c r="X520"/>
  <c r="X519"/>
  <c r="X518"/>
  <c r="X517"/>
  <c r="X516"/>
  <c r="X515"/>
  <c r="X514"/>
  <c r="X513"/>
  <c r="X512"/>
  <c r="X511"/>
  <c r="Y510"/>
  <c r="X510"/>
  <c r="X509"/>
  <c r="X508"/>
  <c r="Y507"/>
  <c r="X507"/>
  <c r="X506"/>
  <c r="X505"/>
  <c r="X504"/>
  <c r="X503"/>
  <c r="Y502"/>
  <c r="X502"/>
  <c r="X501"/>
  <c r="X500"/>
  <c r="X499"/>
  <c r="Y498"/>
  <c r="X498"/>
  <c r="W498"/>
  <c r="Y497"/>
  <c r="X497"/>
  <c r="W497"/>
  <c r="Y496"/>
  <c r="W496"/>
  <c r="Y490"/>
  <c r="W490"/>
  <c r="Y489"/>
  <c r="W489"/>
  <c r="Y488"/>
  <c r="W488"/>
  <c r="Y487"/>
  <c r="W487"/>
  <c r="Y486"/>
  <c r="W486"/>
  <c r="Y485"/>
  <c r="W485"/>
  <c r="Y484"/>
  <c r="W484"/>
  <c r="Y483"/>
  <c r="W483"/>
  <c r="Y482"/>
  <c r="W482"/>
  <c r="Y481"/>
  <c r="W481"/>
  <c r="Y480"/>
  <c r="W480"/>
  <c r="Y479"/>
  <c r="W479"/>
  <c r="Y478"/>
  <c r="W478"/>
  <c r="Y477"/>
  <c r="W477"/>
  <c r="Y476"/>
  <c r="W476"/>
  <c r="Y475"/>
  <c r="W475"/>
  <c r="Y474"/>
  <c r="W474"/>
  <c r="Y473"/>
  <c r="W473"/>
  <c r="Y472"/>
  <c r="W472"/>
  <c r="Y471"/>
  <c r="W471"/>
  <c r="Y470"/>
  <c r="Y469"/>
  <c r="X469"/>
  <c r="W469"/>
  <c r="Y468"/>
  <c r="X468"/>
  <c r="W468"/>
  <c r="Y464"/>
  <c r="X464"/>
  <c r="W464"/>
  <c r="Y461"/>
  <c r="W461"/>
  <c r="X461"/>
  <c r="Y460"/>
  <c r="W460"/>
  <c r="Y459"/>
  <c r="Y456"/>
  <c r="Y455"/>
  <c r="W455"/>
  <c r="Y454"/>
  <c r="X454"/>
  <c r="W454"/>
  <c r="Y453"/>
  <c r="X450"/>
  <c r="Y450"/>
  <c r="W450"/>
  <c r="Y449"/>
  <c r="X449"/>
  <c r="W449"/>
  <c r="Y448"/>
  <c r="X448"/>
  <c r="W448"/>
  <c r="X447"/>
  <c r="Y447"/>
  <c r="W447"/>
  <c r="Y446"/>
  <c r="X446"/>
  <c r="W446"/>
  <c r="Y445"/>
  <c r="X445"/>
  <c r="W445"/>
  <c r="Y444"/>
  <c r="X444"/>
  <c r="W444"/>
  <c r="Y443"/>
  <c r="W443"/>
  <c r="Y442"/>
  <c r="Y440"/>
  <c r="X440"/>
  <c r="W440"/>
  <c r="Y439"/>
  <c r="X439"/>
  <c r="W439"/>
  <c r="Y438"/>
  <c r="X438"/>
  <c r="Y437"/>
  <c r="X437"/>
  <c r="W437"/>
  <c r="X436"/>
  <c r="Y436"/>
  <c r="Y435"/>
  <c r="X435"/>
  <c r="W435"/>
  <c r="Y434"/>
  <c r="X434"/>
  <c r="W434"/>
  <c r="Y433"/>
  <c r="W433"/>
  <c r="X433"/>
  <c r="Y432"/>
  <c r="X432"/>
  <c r="W432"/>
  <c r="Y431"/>
  <c r="X431"/>
  <c r="W431"/>
  <c r="X430"/>
  <c r="Y430"/>
  <c r="W430"/>
  <c r="Y429"/>
  <c r="X429"/>
  <c r="W429"/>
  <c r="Y428"/>
  <c r="X428"/>
  <c r="W428"/>
  <c r="Y427"/>
  <c r="W427"/>
  <c r="X427"/>
  <c r="Y426"/>
  <c r="X426"/>
  <c r="W426"/>
  <c r="Y420"/>
  <c r="W420"/>
  <c r="X420"/>
  <c r="Y419"/>
  <c r="W419"/>
  <c r="X419"/>
  <c r="Y418"/>
  <c r="W418"/>
  <c r="X418"/>
  <c r="Y417"/>
  <c r="W417"/>
  <c r="Y416"/>
  <c r="W416"/>
  <c r="Y415"/>
  <c r="W415"/>
  <c r="X415"/>
  <c r="Y414"/>
  <c r="X414"/>
  <c r="W414"/>
  <c r="Y413"/>
  <c r="X413"/>
  <c r="W413"/>
  <c r="X412"/>
  <c r="Y412"/>
  <c r="Y407"/>
  <c r="X407"/>
  <c r="W407"/>
  <c r="Y406"/>
  <c r="W406"/>
  <c r="Y405"/>
  <c r="W405"/>
  <c r="Y404"/>
  <c r="W404"/>
  <c r="X404"/>
  <c r="Y403"/>
  <c r="X399"/>
  <c r="W399"/>
  <c r="Y398"/>
  <c r="X398"/>
  <c r="W398"/>
  <c r="Y397"/>
  <c r="X397"/>
  <c r="W397"/>
  <c r="X396"/>
  <c r="X395"/>
  <c r="Y394"/>
  <c r="X394"/>
  <c r="W394"/>
  <c r="Y393"/>
  <c r="X393"/>
  <c r="W393"/>
  <c r="Y392"/>
  <c r="X392"/>
  <c r="W392"/>
  <c r="Y391"/>
  <c r="W391"/>
  <c r="X391"/>
  <c r="Y390"/>
  <c r="X390"/>
  <c r="W390"/>
  <c r="Y389"/>
  <c r="X389"/>
  <c r="W389"/>
  <c r="X388"/>
  <c r="Y388"/>
  <c r="W388"/>
  <c r="Y387"/>
  <c r="X387"/>
  <c r="W387"/>
  <c r="Y386"/>
  <c r="X386"/>
  <c r="W386"/>
  <c r="Y385"/>
  <c r="W385"/>
  <c r="X385"/>
  <c r="X384"/>
  <c r="X383"/>
  <c r="X382"/>
  <c r="X381"/>
  <c r="Y377"/>
  <c r="X377"/>
  <c r="W377"/>
  <c r="X376"/>
  <c r="Y376"/>
  <c r="W376"/>
  <c r="X375"/>
  <c r="Y375"/>
  <c r="W375"/>
  <c r="X374"/>
  <c r="Y374"/>
  <c r="W374"/>
  <c r="X373"/>
  <c r="Y373"/>
  <c r="W373"/>
  <c r="X372"/>
  <c r="Y372"/>
  <c r="W372"/>
  <c r="X371"/>
  <c r="Y371"/>
  <c r="W371"/>
  <c r="X370"/>
  <c r="Y370"/>
  <c r="W370"/>
  <c r="X369"/>
  <c r="Y369"/>
  <c r="W369"/>
  <c r="X368"/>
  <c r="Y368"/>
  <c r="W368"/>
  <c r="X367"/>
  <c r="Y367"/>
  <c r="W367"/>
  <c r="X366"/>
  <c r="Y366"/>
  <c r="W366"/>
  <c r="X365"/>
  <c r="Y365"/>
  <c r="W365"/>
  <c r="X364"/>
  <c r="Y364"/>
  <c r="W364"/>
  <c r="X363"/>
  <c r="Y363"/>
  <c r="W363"/>
  <c r="X362"/>
  <c r="Y362"/>
  <c r="W362"/>
  <c r="X361"/>
  <c r="Y361"/>
  <c r="W361"/>
  <c r="X360"/>
  <c r="Y360"/>
  <c r="W360"/>
  <c r="Y359"/>
  <c r="X359"/>
  <c r="W359"/>
  <c r="Y358"/>
  <c r="X358"/>
  <c r="W358"/>
  <c r="X357"/>
  <c r="Y357"/>
  <c r="W357"/>
  <c r="X356"/>
  <c r="Y356"/>
  <c r="X355"/>
  <c r="X354"/>
  <c r="X353"/>
  <c r="X352"/>
  <c r="Y352"/>
  <c r="X351"/>
  <c r="Y351"/>
  <c r="X350"/>
  <c r="Y350"/>
  <c r="X349"/>
  <c r="Y349"/>
  <c r="X348"/>
  <c r="Y348"/>
  <c r="X347"/>
  <c r="X346"/>
  <c r="X345"/>
  <c r="Y344"/>
  <c r="X344"/>
  <c r="W344"/>
  <c r="Y343"/>
  <c r="W343"/>
  <c r="X343"/>
  <c r="Y342"/>
  <c r="W342"/>
  <c r="X342"/>
  <c r="Y341"/>
  <c r="W341"/>
  <c r="X341"/>
  <c r="Y340"/>
  <c r="W340"/>
  <c r="X340"/>
  <c r="Y339"/>
  <c r="W339"/>
  <c r="X339"/>
  <c r="Y338"/>
  <c r="W338"/>
  <c r="X338"/>
  <c r="Y337"/>
  <c r="W337"/>
  <c r="X337"/>
  <c r="Y336"/>
  <c r="W336"/>
  <c r="X336"/>
  <c r="Y335"/>
  <c r="W335"/>
  <c r="X334"/>
  <c r="Y334"/>
  <c r="W334"/>
  <c r="X333"/>
  <c r="Y333"/>
  <c r="W333"/>
  <c r="X332"/>
  <c r="Y332"/>
  <c r="W332"/>
  <c r="X331"/>
  <c r="Y331"/>
  <c r="W331"/>
  <c r="Y330"/>
  <c r="W330"/>
  <c r="Y329"/>
  <c r="W329"/>
  <c r="X328"/>
  <c r="Y328"/>
  <c r="W328"/>
  <c r="X327"/>
  <c r="Y327"/>
  <c r="W327"/>
  <c r="X326"/>
  <c r="Y326"/>
  <c r="W326"/>
  <c r="X325"/>
  <c r="Y325"/>
  <c r="W325"/>
  <c r="X324"/>
  <c r="Y324"/>
  <c r="W324"/>
  <c r="Y323"/>
  <c r="W323"/>
  <c r="X322"/>
  <c r="Y322"/>
  <c r="W322"/>
  <c r="X321"/>
  <c r="Y321"/>
  <c r="W321"/>
  <c r="X320"/>
  <c r="Y320"/>
  <c r="W320"/>
  <c r="X319"/>
  <c r="Y319"/>
  <c r="W319"/>
  <c r="X318"/>
  <c r="Y318"/>
  <c r="W318"/>
  <c r="X317"/>
  <c r="Y317"/>
  <c r="X316"/>
  <c r="Y316"/>
  <c r="X315"/>
  <c r="Y315"/>
  <c r="W315"/>
  <c r="X314"/>
  <c r="Y314"/>
  <c r="W314"/>
  <c r="X313"/>
  <c r="Y313"/>
  <c r="W313"/>
  <c r="X312"/>
  <c r="Y312"/>
  <c r="W312"/>
  <c r="X311"/>
  <c r="Y311"/>
  <c r="X310"/>
  <c r="X309"/>
  <c r="Y306"/>
  <c r="X306"/>
  <c r="W306"/>
  <c r="Y305"/>
  <c r="X305"/>
  <c r="Y304"/>
  <c r="X304"/>
  <c r="W304"/>
  <c r="Y303"/>
  <c r="X303"/>
  <c r="W303"/>
  <c r="Y302"/>
  <c r="X302"/>
  <c r="Y301"/>
  <c r="W301"/>
  <c r="X301"/>
  <c r="Y300"/>
  <c r="W300"/>
  <c r="X300"/>
  <c r="Y299"/>
  <c r="W299"/>
  <c r="X299"/>
  <c r="Y298"/>
  <c r="W298"/>
  <c r="Y297"/>
  <c r="Y296"/>
  <c r="Y295"/>
  <c r="Y294"/>
  <c r="Y293"/>
  <c r="Y292"/>
  <c r="X292"/>
  <c r="W292"/>
  <c r="Y291"/>
  <c r="W291"/>
  <c r="Y290"/>
  <c r="W290"/>
  <c r="Y289"/>
  <c r="W289"/>
  <c r="Y288"/>
  <c r="W288"/>
  <c r="Y287"/>
  <c r="X287"/>
  <c r="W287"/>
  <c r="X286"/>
  <c r="X285"/>
  <c r="X284"/>
  <c r="X283"/>
  <c r="X282"/>
  <c r="X281"/>
  <c r="Y281"/>
  <c r="W281"/>
  <c r="Y280"/>
  <c r="X280"/>
  <c r="W280"/>
  <c r="Y279"/>
  <c r="X279"/>
  <c r="W279"/>
  <c r="X278"/>
  <c r="Y278"/>
  <c r="W278"/>
  <c r="X277"/>
  <c r="Y277"/>
  <c r="W277"/>
  <c r="X276"/>
  <c r="Y276"/>
  <c r="W276"/>
  <c r="X275"/>
  <c r="Y275"/>
  <c r="W275"/>
  <c r="Y273"/>
  <c r="W273"/>
  <c r="X273"/>
  <c r="Y272"/>
  <c r="W272"/>
  <c r="X271"/>
  <c r="Y271"/>
  <c r="Y270"/>
  <c r="X270"/>
  <c r="W270"/>
  <c r="Y269"/>
  <c r="X269"/>
  <c r="W269"/>
  <c r="X268"/>
  <c r="Y264"/>
  <c r="X264"/>
  <c r="W264"/>
  <c r="X263"/>
  <c r="Y263"/>
  <c r="W263"/>
  <c r="Y262"/>
  <c r="W262"/>
  <c r="Y261"/>
  <c r="W261"/>
  <c r="Y260"/>
  <c r="W260"/>
  <c r="X259"/>
  <c r="Y259"/>
  <c r="Y258"/>
  <c r="X258"/>
  <c r="Y257"/>
  <c r="X257"/>
  <c r="W257"/>
  <c r="X256"/>
  <c r="X255"/>
  <c r="X254"/>
  <c r="X253"/>
  <c r="Y250"/>
  <c r="X250"/>
  <c r="W250"/>
  <c r="Y249"/>
  <c r="X249"/>
  <c r="X248"/>
  <c r="X247"/>
  <c r="Y246"/>
  <c r="X246"/>
  <c r="W246"/>
  <c r="Y245"/>
  <c r="W245"/>
  <c r="X245"/>
  <c r="Y244"/>
  <c r="X244"/>
  <c r="Y243"/>
  <c r="W243"/>
  <c r="X243"/>
  <c r="Y242"/>
  <c r="W242"/>
  <c r="X242"/>
  <c r="Y241"/>
  <c r="W241"/>
  <c r="X241"/>
  <c r="Y240"/>
  <c r="W240"/>
  <c r="X240"/>
  <c r="Y239"/>
  <c r="W239"/>
  <c r="X239"/>
  <c r="Y238"/>
  <c r="W238"/>
  <c r="X238"/>
  <c r="Y237"/>
  <c r="W237"/>
  <c r="X237"/>
  <c r="Y236"/>
  <c r="X236"/>
  <c r="Y235"/>
  <c r="X235"/>
  <c r="W235"/>
  <c r="Y234"/>
  <c r="W234"/>
  <c r="X234"/>
  <c r="Y233"/>
  <c r="X233"/>
  <c r="W233"/>
  <c r="Y232"/>
  <c r="W232"/>
  <c r="X232"/>
  <c r="W231"/>
  <c r="X231"/>
  <c r="Y230"/>
  <c r="X230"/>
  <c r="W230"/>
  <c r="Y229"/>
  <c r="X229"/>
  <c r="Y228"/>
  <c r="X228"/>
  <c r="W228"/>
  <c r="Y227"/>
  <c r="W227"/>
  <c r="X227"/>
  <c r="Y226"/>
  <c r="X226"/>
  <c r="X225"/>
  <c r="X224"/>
  <c r="Y223"/>
  <c r="W223"/>
  <c r="X223"/>
  <c r="Y222"/>
  <c r="W222"/>
  <c r="X222"/>
  <c r="Y221"/>
  <c r="W221"/>
  <c r="X221"/>
  <c r="Y220"/>
  <c r="W220"/>
  <c r="X220"/>
  <c r="Y219"/>
  <c r="W219"/>
  <c r="X219"/>
  <c r="Y218"/>
  <c r="W218"/>
  <c r="X218"/>
  <c r="Y217"/>
  <c r="W217"/>
  <c r="X217"/>
  <c r="Y216"/>
  <c r="W216"/>
  <c r="X216"/>
  <c r="Y215"/>
  <c r="W215"/>
  <c r="X215"/>
  <c r="Y214"/>
  <c r="W214"/>
  <c r="X214"/>
  <c r="Y213"/>
  <c r="W213"/>
  <c r="X213"/>
  <c r="W212"/>
  <c r="X212"/>
  <c r="X211"/>
  <c r="X210"/>
  <c r="X209"/>
  <c r="Y207"/>
  <c r="X207"/>
  <c r="W207"/>
  <c r="X206"/>
  <c r="Y206"/>
  <c r="W206"/>
  <c r="X205"/>
  <c r="Y205"/>
  <c r="W205"/>
  <c r="X204"/>
  <c r="Y204"/>
  <c r="W204"/>
  <c r="X203"/>
  <c r="Y203"/>
  <c r="W203"/>
  <c r="X202"/>
  <c r="Y202"/>
  <c r="W202"/>
  <c r="X201"/>
  <c r="Y201"/>
  <c r="W201"/>
  <c r="X200"/>
  <c r="Y200"/>
  <c r="W200"/>
  <c r="X199"/>
  <c r="Y199"/>
  <c r="W199"/>
  <c r="X198"/>
  <c r="Y198"/>
  <c r="W198"/>
  <c r="X197"/>
  <c r="Y197"/>
  <c r="W197"/>
  <c r="X196"/>
  <c r="Y196"/>
  <c r="W196"/>
  <c r="X195"/>
  <c r="Y195"/>
  <c r="W195"/>
  <c r="X194"/>
  <c r="Y194"/>
  <c r="W194"/>
  <c r="X193"/>
  <c r="Y193"/>
  <c r="W193"/>
  <c r="X192"/>
  <c r="Y192"/>
  <c r="W192"/>
  <c r="X191"/>
  <c r="Y191"/>
  <c r="W191"/>
  <c r="X190"/>
  <c r="Y190"/>
  <c r="W190"/>
  <c r="X189"/>
  <c r="Y189"/>
  <c r="W189"/>
  <c r="X188"/>
  <c r="Y188"/>
  <c r="W188"/>
  <c r="X187"/>
  <c r="Y187"/>
  <c r="W187"/>
  <c r="X186"/>
  <c r="Y186"/>
  <c r="W186"/>
  <c r="X185"/>
  <c r="Y185"/>
  <c r="W185"/>
  <c r="Y184"/>
  <c r="W184"/>
  <c r="X183"/>
  <c r="W183"/>
  <c r="Y183"/>
  <c r="Y182"/>
  <c r="W182"/>
  <c r="W181"/>
  <c r="Y181"/>
  <c r="Y180"/>
  <c r="W180"/>
  <c r="W179"/>
  <c r="Y179"/>
  <c r="Y178"/>
  <c r="W178"/>
  <c r="W177"/>
  <c r="Y177"/>
  <c r="Y176"/>
  <c r="W176"/>
  <c r="X175"/>
  <c r="W175"/>
  <c r="Y175"/>
  <c r="Y174"/>
  <c r="W174"/>
  <c r="W173"/>
  <c r="Y173"/>
  <c r="Y172"/>
  <c r="W172"/>
  <c r="W171"/>
  <c r="Y171"/>
  <c r="Y170"/>
  <c r="W170"/>
  <c r="W169"/>
  <c r="Y169"/>
  <c r="Y168"/>
  <c r="W168"/>
  <c r="W167"/>
  <c r="Y167"/>
  <c r="Y166"/>
  <c r="W166"/>
  <c r="X165"/>
  <c r="W165"/>
  <c r="Y165"/>
  <c r="Y164"/>
  <c r="W164"/>
  <c r="W163"/>
  <c r="X161"/>
  <c r="W161"/>
  <c r="Y161"/>
  <c r="Y160"/>
  <c r="Y154"/>
  <c r="X154"/>
  <c r="W154"/>
  <c r="Y153"/>
  <c r="W153"/>
  <c r="W152"/>
  <c r="Y149"/>
  <c r="W149"/>
  <c r="W148"/>
  <c r="Y147"/>
  <c r="W147"/>
  <c r="X146"/>
  <c r="Y146"/>
  <c r="W146"/>
  <c r="W145"/>
  <c r="W142"/>
  <c r="W141"/>
  <c r="X136"/>
  <c r="W136"/>
  <c r="Y135"/>
  <c r="W134"/>
  <c r="X132"/>
  <c r="Y131"/>
  <c r="X130"/>
  <c r="Y129"/>
  <c r="X128"/>
  <c r="W128"/>
  <c r="Y127"/>
  <c r="X127"/>
  <c r="X126"/>
  <c r="W126"/>
  <c r="Y125"/>
  <c r="X125"/>
  <c r="X124"/>
  <c r="W124"/>
  <c r="Y123"/>
  <c r="X122"/>
  <c r="W122"/>
  <c r="X120"/>
  <c r="W120"/>
  <c r="Y119"/>
  <c r="X118"/>
  <c r="W118"/>
  <c r="Y117"/>
  <c r="X116"/>
  <c r="X115"/>
  <c r="Y115"/>
  <c r="X114"/>
  <c r="W114"/>
  <c r="X113"/>
  <c r="Y113"/>
  <c r="X112"/>
  <c r="W112"/>
  <c r="Y111"/>
  <c r="X110"/>
  <c r="W110"/>
  <c r="Y109"/>
  <c r="X109"/>
  <c r="X106"/>
  <c r="Y105"/>
  <c r="X105"/>
  <c r="X104"/>
  <c r="Y103"/>
  <c r="X102"/>
  <c r="X101"/>
  <c r="Y101"/>
  <c r="X100"/>
  <c r="Y99"/>
  <c r="X99"/>
  <c r="X98"/>
  <c r="W98"/>
  <c r="Y97"/>
  <c r="X96"/>
  <c r="W96"/>
  <c r="Y95"/>
  <c r="W94"/>
  <c r="X91"/>
  <c r="Y91"/>
  <c r="X90"/>
  <c r="X89"/>
  <c r="Y89"/>
  <c r="X88"/>
  <c r="W88"/>
  <c r="X87"/>
  <c r="Y87"/>
  <c r="X86"/>
  <c r="W86"/>
  <c r="X85"/>
  <c r="Y83"/>
  <c r="X82"/>
  <c r="Y81"/>
  <c r="Y79"/>
  <c r="X78"/>
  <c r="W78"/>
  <c r="X77"/>
  <c r="Y77"/>
  <c r="X76"/>
  <c r="W76"/>
  <c r="X75"/>
  <c r="Y75"/>
  <c r="X74"/>
  <c r="W74"/>
  <c r="W72"/>
  <c r="X70"/>
  <c r="W70"/>
  <c r="Y69"/>
  <c r="X68"/>
  <c r="Y67"/>
  <c r="X65"/>
  <c r="Y65"/>
  <c r="X64"/>
  <c r="W64"/>
  <c r="Y63"/>
  <c r="X63"/>
  <c r="X62"/>
  <c r="W62"/>
  <c r="Y61"/>
  <c r="X61"/>
  <c r="X60"/>
  <c r="W60"/>
  <c r="Y59"/>
  <c r="X59"/>
  <c r="X58"/>
  <c r="W58"/>
  <c r="Y57"/>
  <c r="X57"/>
  <c r="X56"/>
  <c r="W56"/>
  <c r="Y55"/>
  <c r="W54"/>
  <c r="Y51"/>
  <c r="X51"/>
  <c r="X50"/>
  <c r="X49"/>
  <c r="Y49"/>
  <c r="X48"/>
  <c r="W48"/>
  <c r="Y42"/>
  <c r="X42"/>
  <c r="W42"/>
  <c r="W41"/>
  <c r="Y40"/>
  <c r="W40"/>
  <c r="W39"/>
  <c r="W38"/>
  <c r="W37"/>
  <c r="Y36"/>
  <c r="X36"/>
  <c r="W36"/>
  <c r="X30"/>
  <c r="Y30"/>
  <c r="W30"/>
  <c r="Y29"/>
  <c r="W25"/>
  <c r="W24"/>
  <c r="W23"/>
  <c r="W22"/>
  <c r="X20"/>
  <c r="Y20"/>
  <c r="W20"/>
  <c r="X18"/>
  <c r="Y18"/>
  <c r="W18"/>
  <c r="X17"/>
  <c r="Y15"/>
  <c r="W15"/>
  <c r="Y13"/>
  <c r="X13"/>
  <c r="W13"/>
  <c r="X12"/>
  <c r="Y12"/>
  <c r="W12"/>
  <c r="Y11"/>
  <c r="W11"/>
  <c r="W10"/>
  <c r="X22" l="1"/>
  <c r="X16"/>
  <c r="X40"/>
  <c r="Y54"/>
  <c r="Y85"/>
  <c r="W90"/>
  <c r="W100"/>
  <c r="Y108"/>
  <c r="X129"/>
  <c r="W138"/>
  <c r="X14"/>
  <c r="X24"/>
  <c r="X53"/>
  <c r="W130"/>
  <c r="Y133"/>
  <c r="X10"/>
  <c r="X34"/>
  <c r="W50"/>
  <c r="X67"/>
  <c r="X81"/>
  <c r="Y93"/>
  <c r="X93"/>
  <c r="W102"/>
  <c r="Y137"/>
  <c r="X28"/>
  <c r="W68"/>
  <c r="Y73"/>
  <c r="W82"/>
  <c r="W116"/>
  <c r="W55"/>
  <c r="W59"/>
  <c r="W61"/>
  <c r="W63"/>
  <c r="W73"/>
  <c r="Y80"/>
  <c r="W49"/>
  <c r="W65"/>
  <c r="Y68"/>
  <c r="Y70"/>
  <c r="W75"/>
  <c r="W77"/>
  <c r="Y82"/>
  <c r="W87"/>
  <c r="W97"/>
  <c r="Y102"/>
  <c r="Y104"/>
  <c r="Y106"/>
  <c r="W111"/>
  <c r="Y116"/>
  <c r="W123"/>
  <c r="W125"/>
  <c r="Y130"/>
  <c r="Y132"/>
  <c r="X145"/>
  <c r="X149"/>
  <c r="W151"/>
  <c r="Y163"/>
  <c r="X168"/>
  <c r="X182"/>
  <c r="W211"/>
  <c r="Y309"/>
  <c r="X442"/>
  <c r="W14"/>
  <c r="Y17"/>
  <c r="Y23"/>
  <c r="Y25"/>
  <c r="Y35"/>
  <c r="X11"/>
  <c r="X15"/>
  <c r="X19"/>
  <c r="X23"/>
  <c r="X25"/>
  <c r="X29"/>
  <c r="X35"/>
  <c r="X46"/>
  <c r="X54"/>
  <c r="X69"/>
  <c r="X72"/>
  <c r="X83"/>
  <c r="X94"/>
  <c r="X103"/>
  <c r="W104"/>
  <c r="W106"/>
  <c r="X117"/>
  <c r="X131"/>
  <c r="W132"/>
  <c r="X134"/>
  <c r="Y143"/>
  <c r="Y145"/>
  <c r="W53"/>
  <c r="X41"/>
  <c r="W57"/>
  <c r="Y90"/>
  <c r="W95"/>
  <c r="W51"/>
  <c r="Y56"/>
  <c r="Y58"/>
  <c r="Y60"/>
  <c r="Y62"/>
  <c r="W91"/>
  <c r="Y94"/>
  <c r="W101"/>
  <c r="W113"/>
  <c r="Y118"/>
  <c r="Y120"/>
  <c r="W127"/>
  <c r="Y134"/>
  <c r="Y136"/>
  <c r="X164"/>
  <c r="X176"/>
  <c r="Y212"/>
  <c r="W229"/>
  <c r="Y248"/>
  <c r="W249"/>
  <c r="Y396"/>
  <c r="W402"/>
  <c r="Y410"/>
  <c r="W436"/>
  <c r="Y451"/>
  <c r="X456"/>
  <c r="W459"/>
  <c r="X495"/>
  <c r="Y19"/>
  <c r="Y41"/>
  <c r="X47"/>
  <c r="X55"/>
  <c r="X73"/>
  <c r="X95"/>
  <c r="X119"/>
  <c r="X135"/>
  <c r="Y48"/>
  <c r="Y64"/>
  <c r="W69"/>
  <c r="Y74"/>
  <c r="Y76"/>
  <c r="Y78"/>
  <c r="W83"/>
  <c r="Y86"/>
  <c r="Y88"/>
  <c r="W93"/>
  <c r="Y96"/>
  <c r="Y98"/>
  <c r="W103"/>
  <c r="W105"/>
  <c r="Y110"/>
  <c r="W117"/>
  <c r="Y122"/>
  <c r="Y124"/>
  <c r="W131"/>
  <c r="W133"/>
  <c r="Y138"/>
  <c r="W139"/>
  <c r="Y140"/>
  <c r="X147"/>
  <c r="Y152"/>
  <c r="Y159"/>
  <c r="W160"/>
  <c r="W162"/>
  <c r="X172"/>
  <c r="X184"/>
  <c r="Y225"/>
  <c r="W226"/>
  <c r="Y231"/>
  <c r="W244"/>
  <c r="W268"/>
  <c r="Y285"/>
  <c r="W316"/>
  <c r="W351"/>
  <c r="X416"/>
  <c r="W456"/>
  <c r="Y462"/>
  <c r="Y465"/>
  <c r="X471"/>
  <c r="X97"/>
  <c r="X111"/>
  <c r="X123"/>
  <c r="W140"/>
  <c r="Y66"/>
  <c r="Y100"/>
  <c r="W109"/>
  <c r="Y112"/>
  <c r="Y114"/>
  <c r="W119"/>
  <c r="Y126"/>
  <c r="Y128"/>
  <c r="W135"/>
  <c r="X141"/>
  <c r="Y142"/>
  <c r="W143"/>
  <c r="Y144"/>
  <c r="Y148"/>
  <c r="X153"/>
  <c r="X160"/>
  <c r="X174"/>
  <c r="W256"/>
  <c r="X262"/>
  <c r="X290"/>
  <c r="X297"/>
  <c r="Y354"/>
  <c r="W355"/>
  <c r="Y401"/>
  <c r="W411"/>
  <c r="X424"/>
  <c r="W500"/>
  <c r="X544"/>
  <c r="Y139"/>
  <c r="Y141"/>
  <c r="W144"/>
  <c r="Y499"/>
  <c r="Y501"/>
  <c r="W502"/>
  <c r="Y503"/>
  <c r="W504"/>
  <c r="Y505"/>
  <c r="W506"/>
  <c r="W508"/>
  <c r="Y509"/>
  <c r="W510"/>
  <c r="Y511"/>
  <c r="W512"/>
  <c r="Y513"/>
  <c r="W514"/>
  <c r="Y515"/>
  <c r="W516"/>
  <c r="Y517"/>
  <c r="W518"/>
  <c r="Y519"/>
  <c r="W520"/>
  <c r="Y521"/>
  <c r="W522"/>
  <c r="Y523"/>
  <c r="W524"/>
  <c r="W549"/>
  <c r="X556"/>
  <c r="X558"/>
  <c r="Y561"/>
  <c r="X582"/>
  <c r="W610"/>
  <c r="Y660"/>
  <c r="W823"/>
  <c r="Y836"/>
  <c r="Y841"/>
  <c r="W882"/>
  <c r="Y885"/>
  <c r="W886"/>
  <c r="W259"/>
  <c r="W271"/>
  <c r="Y286"/>
  <c r="X291"/>
  <c r="X298"/>
  <c r="Y310"/>
  <c r="W317"/>
  <c r="Y399"/>
  <c r="W438"/>
  <c r="X496"/>
  <c r="Y529"/>
  <c r="X532"/>
  <c r="X533"/>
  <c r="X534"/>
  <c r="X535"/>
  <c r="X536"/>
  <c r="X537"/>
  <c r="X538"/>
  <c r="X539"/>
  <c r="X552"/>
  <c r="X553"/>
  <c r="X554"/>
  <c r="Y611"/>
  <c r="Y644"/>
  <c r="W645"/>
  <c r="W657"/>
  <c r="W665"/>
  <c r="X760"/>
  <c r="Y843"/>
  <c r="Y883"/>
  <c r="Y895"/>
  <c r="W896"/>
  <c r="Y467"/>
  <c r="X470"/>
  <c r="W499"/>
  <c r="Y500"/>
  <c r="W501"/>
  <c r="W503"/>
  <c r="Y504"/>
  <c r="W505"/>
  <c r="Y506"/>
  <c r="W507"/>
  <c r="Y508"/>
  <c r="W509"/>
  <c r="W511"/>
  <c r="Y512"/>
  <c r="W513"/>
  <c r="Y514"/>
  <c r="W515"/>
  <c r="Y516"/>
  <c r="W517"/>
  <c r="Y518"/>
  <c r="W519"/>
  <c r="Y520"/>
  <c r="W521"/>
  <c r="Y522"/>
  <c r="W523"/>
  <c r="Y524"/>
  <c r="Y549"/>
  <c r="X555"/>
  <c r="X557"/>
  <c r="W561"/>
  <c r="W586"/>
  <c r="W614"/>
  <c r="W720"/>
  <c r="Y830"/>
  <c r="Y877"/>
  <c r="W898"/>
  <c r="W258"/>
  <c r="W352"/>
  <c r="Y355"/>
  <c r="W356"/>
  <c r="Y402"/>
  <c r="W403"/>
  <c r="Y411"/>
  <c r="W412"/>
  <c r="X417"/>
  <c r="X425"/>
  <c r="X443"/>
  <c r="Y452"/>
  <c r="X455"/>
  <c r="Y463"/>
  <c r="Y466"/>
  <c r="X472"/>
  <c r="X473"/>
  <c r="X474"/>
  <c r="X475"/>
  <c r="X476"/>
  <c r="X477"/>
  <c r="X478"/>
  <c r="X479"/>
  <c r="X480"/>
  <c r="X481"/>
  <c r="X482"/>
  <c r="X483"/>
  <c r="X484"/>
  <c r="X485"/>
  <c r="X486"/>
  <c r="X487"/>
  <c r="X488"/>
  <c r="X489"/>
  <c r="X490"/>
  <c r="X545"/>
  <c r="X546"/>
  <c r="Y615"/>
  <c r="W725"/>
  <c r="X768"/>
  <c r="Y820"/>
  <c r="W833"/>
  <c r="W904"/>
  <c r="W829"/>
  <c r="W831"/>
  <c r="Y832"/>
  <c r="Y834"/>
  <c r="W835"/>
  <c r="W837"/>
  <c r="Y838"/>
  <c r="W842"/>
  <c r="W844"/>
  <c r="Y845"/>
  <c r="Y846"/>
  <c r="Y847"/>
  <c r="Y848"/>
  <c r="Y849"/>
  <c r="W850"/>
  <c r="Y851"/>
  <c r="W852"/>
  <c r="Y853"/>
  <c r="Y854"/>
  <c r="Y855"/>
  <c r="W856"/>
  <c r="Y857"/>
  <c r="W858"/>
  <c r="Y859"/>
  <c r="W860"/>
  <c r="Y861"/>
  <c r="W976"/>
  <c r="Y1038"/>
  <c r="W1075"/>
  <c r="W1101"/>
  <c r="X1119"/>
  <c r="W1127"/>
  <c r="W589"/>
  <c r="W611"/>
  <c r="Y612"/>
  <c r="W615"/>
  <c r="Y616"/>
  <c r="W718"/>
  <c r="W723"/>
  <c r="Y821"/>
  <c r="W824"/>
  <c r="W878"/>
  <c r="Y879"/>
  <c r="W880"/>
  <c r="Y881"/>
  <c r="W884"/>
  <c r="Y887"/>
  <c r="W888"/>
  <c r="Y889"/>
  <c r="W890"/>
  <c r="Y891"/>
  <c r="Y897"/>
  <c r="Y899"/>
  <c r="Y901"/>
  <c r="Y903"/>
  <c r="Y905"/>
  <c r="W906"/>
  <c r="Y907"/>
  <c r="W908"/>
  <c r="Y909"/>
  <c r="W910"/>
  <c r="Y911"/>
  <c r="W912"/>
  <c r="Y913"/>
  <c r="W914"/>
  <c r="Y915"/>
  <c r="W916"/>
  <c r="Y917"/>
  <c r="W918"/>
  <c r="Y919"/>
  <c r="W920"/>
  <c r="Y921"/>
  <c r="W922"/>
  <c r="Y923"/>
  <c r="W924"/>
  <c r="Y925"/>
  <c r="W926"/>
  <c r="Y927"/>
  <c r="W928"/>
  <c r="Y929"/>
  <c r="W930"/>
  <c r="Y931"/>
  <c r="X1097"/>
  <c r="W1112"/>
  <c r="X1121"/>
  <c r="X1123"/>
  <c r="Y829"/>
  <c r="W830"/>
  <c r="Y831"/>
  <c r="W832"/>
  <c r="Y833"/>
  <c r="W834"/>
  <c r="Y835"/>
  <c r="W836"/>
  <c r="Y837"/>
  <c r="W838"/>
  <c r="W841"/>
  <c r="Y842"/>
  <c r="W843"/>
  <c r="Y844"/>
  <c r="W845"/>
  <c r="W847"/>
  <c r="W849"/>
  <c r="Y850"/>
  <c r="W851"/>
  <c r="Y852"/>
  <c r="W853"/>
  <c r="W855"/>
  <c r="Y856"/>
  <c r="W857"/>
  <c r="Y858"/>
  <c r="W859"/>
  <c r="Y860"/>
  <c r="W861"/>
  <c r="X863"/>
  <c r="X864"/>
  <c r="X865"/>
  <c r="X866"/>
  <c r="X867"/>
  <c r="X868"/>
  <c r="X869"/>
  <c r="X871"/>
  <c r="X872"/>
  <c r="X873"/>
  <c r="X874"/>
  <c r="X875"/>
  <c r="X1039"/>
  <c r="W1051"/>
  <c r="W1132"/>
  <c r="X1133"/>
  <c r="X583"/>
  <c r="X761"/>
  <c r="X769"/>
  <c r="W828"/>
  <c r="W840"/>
  <c r="Y876"/>
  <c r="W877"/>
  <c r="Y878"/>
  <c r="W879"/>
  <c r="Y880"/>
  <c r="W881"/>
  <c r="W883"/>
  <c r="Y884"/>
  <c r="Y886"/>
  <c r="W887"/>
  <c r="Y888"/>
  <c r="W889"/>
  <c r="Y890"/>
  <c r="W891"/>
  <c r="Y896"/>
  <c r="W897"/>
  <c r="Y898"/>
  <c r="W899"/>
  <c r="Y900"/>
  <c r="Y902"/>
  <c r="Y904"/>
  <c r="W905"/>
  <c r="Y906"/>
  <c r="W907"/>
  <c r="Y908"/>
  <c r="W909"/>
  <c r="Y910"/>
  <c r="W911"/>
  <c r="Y912"/>
  <c r="W913"/>
  <c r="Y914"/>
  <c r="W915"/>
  <c r="Y916"/>
  <c r="W917"/>
  <c r="Y918"/>
  <c r="W919"/>
  <c r="Y920"/>
  <c r="W921"/>
  <c r="Y922"/>
  <c r="W923"/>
  <c r="Y924"/>
  <c r="W925"/>
  <c r="Y926"/>
  <c r="W927"/>
  <c r="Y928"/>
  <c r="W929"/>
  <c r="Y930"/>
  <c r="W931"/>
  <c r="Y947"/>
  <c r="W1056"/>
  <c r="Y1066"/>
  <c r="W1102"/>
  <c r="Y1105"/>
  <c r="X1117"/>
  <c r="X1128"/>
  <c r="X1140"/>
  <c r="X1185"/>
  <c r="X1194"/>
  <c r="X1276"/>
  <c r="Y1312"/>
  <c r="Y1039"/>
  <c r="W1085"/>
  <c r="W1100"/>
  <c r="W1125"/>
  <c r="W1130"/>
  <c r="X1142"/>
  <c r="W1215"/>
  <c r="W1142"/>
  <c r="Y1143"/>
  <c r="W1144"/>
  <c r="Y1145"/>
  <c r="X1200"/>
  <c r="W1204"/>
  <c r="Y1207"/>
  <c r="Y1209"/>
  <c r="W1210"/>
  <c r="Y1211"/>
  <c r="W1212"/>
  <c r="Y1213"/>
  <c r="Y1217"/>
  <c r="Y1262"/>
  <c r="X1270"/>
  <c r="W1049"/>
  <c r="W1054"/>
  <c r="W1111"/>
  <c r="X1186"/>
  <c r="X1187"/>
  <c r="X1188"/>
  <c r="Y1260"/>
  <c r="X1267"/>
  <c r="Y1283"/>
  <c r="W1313"/>
  <c r="Y1067"/>
  <c r="X1098"/>
  <c r="W1103"/>
  <c r="Y1106"/>
  <c r="X1118"/>
  <c r="X1120"/>
  <c r="X1122"/>
  <c r="X1127"/>
  <c r="X1132"/>
  <c r="X1134"/>
  <c r="X1141"/>
  <c r="W1190"/>
  <c r="W1193"/>
  <c r="W1220"/>
  <c r="W1143"/>
  <c r="W1145"/>
  <c r="X1148"/>
  <c r="X1149"/>
  <c r="X1150"/>
  <c r="X1151"/>
  <c r="X1152"/>
  <c r="X1153"/>
  <c r="X1154"/>
  <c r="X1155"/>
  <c r="X1156"/>
  <c r="X1157"/>
  <c r="X1158"/>
  <c r="X1159"/>
  <c r="X1160"/>
  <c r="X1161"/>
  <c r="X1162"/>
  <c r="X1163"/>
  <c r="X1164"/>
  <c r="X1165"/>
  <c r="X1166"/>
  <c r="X1167"/>
  <c r="X1168"/>
  <c r="X1169"/>
  <c r="X1170"/>
  <c r="X1171"/>
  <c r="X1172"/>
  <c r="X1173"/>
  <c r="X1175"/>
  <c r="X1176"/>
  <c r="X1177"/>
  <c r="X1179"/>
  <c r="X1190"/>
  <c r="X1191"/>
  <c r="X1201"/>
  <c r="Y1204"/>
  <c r="Y1208"/>
  <c r="W1209"/>
  <c r="Y1210"/>
  <c r="W1211"/>
  <c r="Y1212"/>
  <c r="Y1218"/>
  <c r="W1267"/>
  <c r="X1305"/>
  <c r="W1318"/>
  <c r="W1194"/>
  <c r="X1299"/>
  <c r="W1327"/>
  <c r="Y1328"/>
  <c r="X1345"/>
  <c r="Y1347"/>
  <c r="X1351"/>
  <c r="X1358"/>
  <c r="W1362"/>
  <c r="Y1363"/>
  <c r="W1364"/>
  <c r="X1399"/>
  <c r="X1411"/>
  <c r="X1417"/>
  <c r="X1421"/>
  <c r="Y1429"/>
  <c r="W1429"/>
  <c r="W1266"/>
  <c r="X1273"/>
  <c r="X1277"/>
  <c r="X1283"/>
  <c r="Y1286"/>
  <c r="W1294"/>
  <c r="Y1299"/>
  <c r="X1307"/>
  <c r="W1328"/>
  <c r="Y1358"/>
  <c r="W1365"/>
  <c r="X1370"/>
  <c r="W1299"/>
  <c r="Y1304"/>
  <c r="X1306"/>
  <c r="Y1308"/>
  <c r="Y1313"/>
  <c r="W1314"/>
  <c r="Y1318"/>
  <c r="W1319"/>
  <c r="X1329"/>
  <c r="Y1330"/>
  <c r="W1332"/>
  <c r="W1336"/>
  <c r="Y1337"/>
  <c r="Y1345"/>
  <c r="W1346"/>
  <c r="Y1354"/>
  <c r="W1351"/>
  <c r="Y1371"/>
  <c r="X1373"/>
  <c r="Y1380"/>
  <c r="W1385"/>
  <c r="W1420"/>
  <c r="X1458"/>
  <c r="W1320"/>
  <c r="W1337"/>
  <c r="W1295"/>
  <c r="W1296"/>
  <c r="Y1297"/>
  <c r="Y1302"/>
  <c r="W1303"/>
  <c r="Y1306"/>
  <c r="W1307"/>
  <c r="X1314"/>
  <c r="Y1320"/>
  <c r="W1321"/>
  <c r="Y1322"/>
  <c r="X1331"/>
  <c r="X1336"/>
  <c r="X1341"/>
  <c r="Y1343"/>
  <c r="W1370"/>
  <c r="X1381"/>
  <c r="X1395"/>
  <c r="X1437"/>
  <c r="X1462"/>
  <c r="W1473"/>
  <c r="Y1314"/>
  <c r="Y1319"/>
  <c r="W1322"/>
  <c r="Y1331"/>
  <c r="Y1336"/>
  <c r="W1339"/>
  <c r="X1342"/>
  <c r="W1350"/>
  <c r="X1362"/>
  <c r="X1364"/>
  <c r="W1366"/>
  <c r="W1375"/>
  <c r="X1323"/>
  <c r="W1340"/>
  <c r="W1342"/>
  <c r="X1363"/>
  <c r="Y1365"/>
  <c r="W1367"/>
  <c r="X1376"/>
  <c r="X1389"/>
  <c r="X1391"/>
  <c r="Y1421"/>
  <c r="Y1447"/>
  <c r="X1293"/>
  <c r="W1357"/>
  <c r="Y1381"/>
  <c r="X1434"/>
  <c r="X1435"/>
  <c r="X1436"/>
  <c r="Y1490"/>
  <c r="W1491"/>
  <c r="X1499"/>
  <c r="X1500"/>
  <c r="W1505"/>
  <c r="Y1516"/>
  <c r="W1301"/>
  <c r="Y1382"/>
  <c r="X1390"/>
  <c r="X1392"/>
  <c r="X1396"/>
  <c r="X1400"/>
  <c r="X1412"/>
  <c r="X1418"/>
  <c r="X1422"/>
  <c r="W1433"/>
  <c r="W1458"/>
  <c r="X1471"/>
  <c r="W1430"/>
  <c r="Y1431"/>
  <c r="W1444"/>
  <c r="Y1450"/>
  <c r="X1453"/>
  <c r="X1454"/>
  <c r="X1455"/>
  <c r="Y1463"/>
  <c r="W1477"/>
  <c r="W1482"/>
  <c r="Y1483"/>
  <c r="Y1487"/>
  <c r="W1488"/>
  <c r="X1511"/>
  <c r="X1516"/>
  <c r="W1576"/>
  <c r="X1581"/>
  <c r="W1459"/>
  <c r="X1438"/>
  <c r="X1439"/>
  <c r="X1440"/>
  <c r="Y1449"/>
  <c r="X1459"/>
  <c r="X1460"/>
  <c r="X1464"/>
  <c r="Y1472"/>
  <c r="Y1478"/>
  <c r="Y1497"/>
  <c r="Y1560"/>
  <c r="Y1430"/>
  <c r="W1431"/>
  <c r="X1441"/>
  <c r="Y1444"/>
  <c r="Y1448"/>
  <c r="X1463"/>
  <c r="W1468"/>
  <c r="X1470"/>
  <c r="W1476"/>
  <c r="Y1502"/>
  <c r="W1501"/>
  <c r="X1503"/>
  <c r="Y1544"/>
  <c r="Y1575"/>
  <c r="Y1499"/>
  <c r="Y1569"/>
  <c r="Y1514"/>
  <c r="W1499"/>
  <c r="Y1576"/>
  <c r="W1577"/>
  <c r="Y840" l="1"/>
  <c r="W108"/>
  <c r="W1472"/>
  <c r="W839"/>
  <c r="Y1506"/>
  <c r="W1453"/>
  <c r="Y1441"/>
  <c r="Y1411"/>
  <c r="Y1399"/>
  <c r="W1394"/>
  <c r="W1388"/>
  <c r="W1382"/>
  <c r="X1410"/>
  <c r="X1269"/>
  <c r="W1465"/>
  <c r="Y1471"/>
  <c r="W1478"/>
  <c r="Y1462"/>
  <c r="W1441"/>
  <c r="W1404"/>
  <c r="W1400"/>
  <c r="Y1395"/>
  <c r="W1392"/>
  <c r="Y1389"/>
  <c r="Y1511"/>
  <c r="X1502"/>
  <c r="X1429"/>
  <c r="X1291"/>
  <c r="X1457"/>
  <c r="W1376"/>
  <c r="W1283"/>
  <c r="X1398"/>
  <c r="X1199"/>
  <c r="Y1142"/>
  <c r="X1109"/>
  <c r="X1139"/>
  <c r="Y1104"/>
  <c r="Y946"/>
  <c r="W1047"/>
  <c r="X840"/>
  <c r="X1096"/>
  <c r="W463"/>
  <c r="X406"/>
  <c r="Y790"/>
  <c r="W532"/>
  <c r="W384"/>
  <c r="W716"/>
  <c r="W495"/>
  <c r="Y643"/>
  <c r="Y441"/>
  <c r="Y425"/>
  <c r="X403"/>
  <c r="W396"/>
  <c r="Y384"/>
  <c r="Y268"/>
  <c r="Y826"/>
  <c r="Y659"/>
  <c r="Y400"/>
  <c r="X289"/>
  <c r="W255"/>
  <c r="X140"/>
  <c r="Y457"/>
  <c r="W311"/>
  <c r="W267"/>
  <c r="W225"/>
  <c r="X171"/>
  <c r="X133"/>
  <c r="Y121"/>
  <c r="X45"/>
  <c r="Y211"/>
  <c r="X108"/>
  <c r="Y16"/>
  <c r="W9"/>
  <c r="Y72"/>
  <c r="X27"/>
  <c r="Y92"/>
  <c r="X66"/>
  <c r="X9"/>
  <c r="X121"/>
  <c r="W1560"/>
  <c r="X1469"/>
  <c r="X1576"/>
  <c r="W1506"/>
  <c r="X1322"/>
  <c r="X1380"/>
  <c r="X1313"/>
  <c r="X1420"/>
  <c r="Y1201"/>
  <c r="W1141"/>
  <c r="X1085"/>
  <c r="X1275"/>
  <c r="X1184"/>
  <c r="Y875"/>
  <c r="W1128"/>
  <c r="X1038"/>
  <c r="W1109"/>
  <c r="W973"/>
  <c r="Y614"/>
  <c r="Y610"/>
  <c r="W442"/>
  <c r="Y256"/>
  <c r="W885"/>
  <c r="W609"/>
  <c r="Y558"/>
  <c r="Y495"/>
  <c r="X543"/>
  <c r="W354"/>
  <c r="X261"/>
  <c r="X173"/>
  <c r="Y284"/>
  <c r="W236"/>
  <c r="Y224"/>
  <c r="W159"/>
  <c r="X494"/>
  <c r="Y409"/>
  <c r="Y395"/>
  <c r="X163"/>
  <c r="Y34"/>
  <c r="Y28"/>
  <c r="W17"/>
  <c r="Y14"/>
  <c r="Y10"/>
  <c r="X441"/>
  <c r="W67"/>
  <c r="X92"/>
  <c r="Y47"/>
  <c r="W129"/>
  <c r="X52"/>
  <c r="W137"/>
  <c r="Y107"/>
  <c r="Y53"/>
  <c r="W1502"/>
  <c r="X1510"/>
  <c r="X1450"/>
  <c r="Y1351"/>
  <c r="X1388"/>
  <c r="W1345"/>
  <c r="W1331"/>
  <c r="W1428"/>
  <c r="W1363"/>
  <c r="Y1206"/>
  <c r="Y1144"/>
  <c r="W1516"/>
  <c r="Y1543"/>
  <c r="W1575"/>
  <c r="Y1417"/>
  <c r="W1410"/>
  <c r="Y1420"/>
  <c r="W1341"/>
  <c r="X1394"/>
  <c r="Y1342"/>
  <c r="X1330"/>
  <c r="W1306"/>
  <c r="Y1379"/>
  <c r="X1328"/>
  <c r="Y1303"/>
  <c r="Y1294"/>
  <c r="W1273"/>
  <c r="Y1264"/>
  <c r="Y1428"/>
  <c r="W1217"/>
  <c r="W1264"/>
  <c r="X1193"/>
  <c r="W1222"/>
  <c r="W1201"/>
  <c r="W1182"/>
  <c r="X1107"/>
  <c r="Y1098"/>
  <c r="Y1065"/>
  <c r="W1107"/>
  <c r="X614"/>
  <c r="X564"/>
  <c r="W1098"/>
  <c r="Y1037"/>
  <c r="W659"/>
  <c r="X460"/>
  <c r="W903"/>
  <c r="W721"/>
  <c r="Y528"/>
  <c r="X463"/>
  <c r="X411"/>
  <c r="W558"/>
  <c r="W286"/>
  <c r="Y894"/>
  <c r="W656"/>
  <c r="X529"/>
  <c r="X581"/>
  <c r="W544"/>
  <c r="W470"/>
  <c r="Y353"/>
  <c r="X159"/>
  <c r="Y158"/>
  <c r="Y458"/>
  <c r="Y50"/>
  <c r="W401"/>
  <c r="W248"/>
  <c r="W35"/>
  <c r="W29"/>
  <c r="Y24"/>
  <c r="W21"/>
  <c r="Y39"/>
  <c r="Y308"/>
  <c r="X181"/>
  <c r="Y162"/>
  <c r="X148"/>
  <c r="W47"/>
  <c r="W92"/>
  <c r="W99"/>
  <c r="X39"/>
  <c r="W1418"/>
  <c r="Y1391"/>
  <c r="W1490"/>
  <c r="Y1446"/>
  <c r="X1367"/>
  <c r="Y1305"/>
  <c r="Y1326"/>
  <c r="Y1097"/>
  <c r="W1312"/>
  <c r="X1264"/>
  <c r="Y1075"/>
  <c r="X1116"/>
  <c r="W1097"/>
  <c r="W1052"/>
  <c r="X827"/>
  <c r="Y586"/>
  <c r="W1123"/>
  <c r="W1074"/>
  <c r="W826"/>
  <c r="X767"/>
  <c r="W425"/>
  <c r="X335"/>
  <c r="W895"/>
  <c r="W581"/>
  <c r="Y544"/>
  <c r="X467"/>
  <c r="Y882"/>
  <c r="W644"/>
  <c r="W305"/>
  <c r="X272"/>
  <c r="W790"/>
  <c r="W410"/>
  <c r="X296"/>
  <c r="X152"/>
  <c r="X84"/>
  <c r="W453"/>
  <c r="W350"/>
  <c r="Y151"/>
  <c r="W52"/>
  <c r="X453"/>
  <c r="Y247"/>
  <c r="Y22"/>
  <c r="W19"/>
  <c r="X167"/>
  <c r="W150"/>
  <c r="X144"/>
  <c r="W115"/>
  <c r="W81"/>
  <c r="X80"/>
  <c r="X33"/>
  <c r="X21"/>
  <c r="W89"/>
  <c r="Y84"/>
  <c r="W1387" l="1"/>
  <c r="W80"/>
  <c r="Y150"/>
  <c r="W789"/>
  <c r="X330"/>
  <c r="W1073"/>
  <c r="Y581"/>
  <c r="X1259"/>
  <c r="X1416"/>
  <c r="Y38"/>
  <c r="Y157"/>
  <c r="W543"/>
  <c r="Y1030"/>
  <c r="W1259"/>
  <c r="W1305"/>
  <c r="W1409"/>
  <c r="Y1542"/>
  <c r="X1509"/>
  <c r="Y52"/>
  <c r="Y9"/>
  <c r="X169"/>
  <c r="X79"/>
  <c r="W349"/>
  <c r="X267"/>
  <c r="W643"/>
  <c r="W424"/>
  <c r="W1116"/>
  <c r="W1096"/>
  <c r="Y1096"/>
  <c r="W1417"/>
  <c r="X1282"/>
  <c r="Y21"/>
  <c r="X580"/>
  <c r="W655"/>
  <c r="W285"/>
  <c r="X410"/>
  <c r="X459"/>
  <c r="W1106"/>
  <c r="X1106"/>
  <c r="W1213"/>
  <c r="X1327"/>
  <c r="Y1341"/>
  <c r="Y1416"/>
  <c r="W1427"/>
  <c r="X1449"/>
  <c r="Y27"/>
  <c r="X162"/>
  <c r="X493"/>
  <c r="Y283"/>
  <c r="X260"/>
  <c r="Y609"/>
  <c r="W1108"/>
  <c r="X1183"/>
  <c r="X1379"/>
  <c r="W1503"/>
  <c r="X107"/>
  <c r="W224"/>
  <c r="Y655"/>
  <c r="X402"/>
  <c r="W462"/>
  <c r="X1138"/>
  <c r="Y1141"/>
  <c r="X1397"/>
  <c r="Y1394"/>
  <c r="W1437"/>
  <c r="X1409"/>
  <c r="Y839"/>
  <c r="W452"/>
  <c r="W580"/>
  <c r="X1115"/>
  <c r="X528"/>
  <c r="Y1291"/>
  <c r="Y408"/>
  <c r="Y494"/>
  <c r="W972"/>
  <c r="W1542"/>
  <c r="X8"/>
  <c r="W266"/>
  <c r="X139"/>
  <c r="Y267"/>
  <c r="Y424"/>
  <c r="X1095"/>
  <c r="X1108"/>
  <c r="X1198"/>
  <c r="W1282"/>
  <c r="Y1510"/>
  <c r="W1399"/>
  <c r="W1381"/>
  <c r="Y1398"/>
  <c r="W1450"/>
  <c r="Y1503"/>
  <c r="W107"/>
  <c r="X759"/>
  <c r="X166"/>
  <c r="X452"/>
  <c r="X295"/>
  <c r="X466"/>
  <c r="Y1325"/>
  <c r="Y1445"/>
  <c r="Y1282"/>
  <c r="X38"/>
  <c r="W247"/>
  <c r="Y893"/>
  <c r="W557"/>
  <c r="X462"/>
  <c r="W902"/>
  <c r="X608"/>
  <c r="Y1064"/>
  <c r="W1181"/>
  <c r="W1218"/>
  <c r="Y1427"/>
  <c r="Y1205"/>
  <c r="W1330"/>
  <c r="X1387"/>
  <c r="Y46"/>
  <c r="X170"/>
  <c r="W85"/>
  <c r="X143"/>
  <c r="W16"/>
  <c r="X151"/>
  <c r="W409"/>
  <c r="Y543"/>
  <c r="W894"/>
  <c r="X826"/>
  <c r="Y1074"/>
  <c r="X1344"/>
  <c r="Y1259"/>
  <c r="Y1344"/>
  <c r="W46"/>
  <c r="Y307"/>
  <c r="W34"/>
  <c r="W400"/>
  <c r="W467"/>
  <c r="Y527"/>
  <c r="X563"/>
  <c r="W1200"/>
  <c r="X1192"/>
  <c r="W1270"/>
  <c r="W1511"/>
  <c r="W1344"/>
  <c r="W1497"/>
  <c r="W121"/>
  <c r="W66"/>
  <c r="X542"/>
  <c r="Y557"/>
  <c r="Y255"/>
  <c r="X1075"/>
  <c r="Y1200"/>
  <c r="X1461"/>
  <c r="X26"/>
  <c r="Y210"/>
  <c r="W310"/>
  <c r="W254"/>
  <c r="Y383"/>
  <c r="W494"/>
  <c r="W383"/>
  <c r="W529"/>
  <c r="Y789"/>
  <c r="X839"/>
  <c r="W1373"/>
  <c r="X1497"/>
  <c r="Y1388"/>
  <c r="W1464"/>
  <c r="Y1410"/>
  <c r="W1471"/>
  <c r="X32"/>
  <c r="W302"/>
  <c r="W1040"/>
  <c r="X423"/>
  <c r="X180"/>
  <c r="W28"/>
  <c r="Y347"/>
  <c r="Y33"/>
  <c r="W158"/>
  <c r="W353"/>
  <c r="W608"/>
  <c r="W441"/>
  <c r="X1037"/>
  <c r="W1140"/>
  <c r="X1312"/>
  <c r="X1321"/>
  <c r="X1575"/>
  <c r="X288"/>
  <c r="W395"/>
  <c r="W715"/>
  <c r="X405"/>
  <c r="Y933"/>
  <c r="X1428"/>
  <c r="W1391"/>
  <c r="Y1470"/>
  <c r="X1268"/>
  <c r="Y1437"/>
  <c r="X274" l="1"/>
  <c r="X1030"/>
  <c r="W347"/>
  <c r="X158"/>
  <c r="W1470"/>
  <c r="X1496"/>
  <c r="W528"/>
  <c r="W493"/>
  <c r="Y209"/>
  <c r="Y1258"/>
  <c r="W893"/>
  <c r="W695"/>
  <c r="W157"/>
  <c r="W27"/>
  <c r="W8"/>
  <c r="Y1387"/>
  <c r="Y788"/>
  <c r="X541"/>
  <c r="X562"/>
  <c r="W33"/>
  <c r="X1335"/>
  <c r="W1326"/>
  <c r="Y1426"/>
  <c r="Y1281"/>
  <c r="X465"/>
  <c r="X451"/>
  <c r="Y71"/>
  <c r="Y1509"/>
  <c r="X1197"/>
  <c r="Y423"/>
  <c r="X7"/>
  <c r="W971"/>
  <c r="W579"/>
  <c r="X1408"/>
  <c r="Y1140"/>
  <c r="X1137"/>
  <c r="X401"/>
  <c r="Y1335"/>
  <c r="X409"/>
  <c r="Y1095"/>
  <c r="W1115"/>
  <c r="Y8"/>
  <c r="Y1536"/>
  <c r="W542"/>
  <c r="Y37"/>
  <c r="X1258"/>
  <c r="W1072"/>
  <c r="W788"/>
  <c r="W1463"/>
  <c r="Y556"/>
  <c r="W1510"/>
  <c r="Y45"/>
  <c r="X37"/>
  <c r="X758"/>
  <c r="Y1496"/>
  <c r="W1398"/>
  <c r="X1094"/>
  <c r="Y266"/>
  <c r="W1536"/>
  <c r="Y493"/>
  <c r="W451"/>
  <c r="Y654"/>
  <c r="X492"/>
  <c r="W284"/>
  <c r="W1416"/>
  <c r="X1508"/>
  <c r="W1408"/>
  <c r="Y156"/>
  <c r="Y580"/>
  <c r="W79"/>
  <c r="X1427"/>
  <c r="X422"/>
  <c r="W1496"/>
  <c r="W1199"/>
  <c r="Y526"/>
  <c r="Y1073"/>
  <c r="X142"/>
  <c r="X294"/>
  <c r="Y1469"/>
  <c r="X1536"/>
  <c r="W1139"/>
  <c r="W607"/>
  <c r="Y346"/>
  <c r="X179"/>
  <c r="W1039"/>
  <c r="W210"/>
  <c r="Y1409"/>
  <c r="W382"/>
  <c r="Y382"/>
  <c r="W309"/>
  <c r="Y1199"/>
  <c r="Y254"/>
  <c r="W1335"/>
  <c r="W1269"/>
  <c r="W466"/>
  <c r="W45"/>
  <c r="X789"/>
  <c r="Y542"/>
  <c r="X150"/>
  <c r="W84"/>
  <c r="X1386"/>
  <c r="Y1063"/>
  <c r="W901"/>
  <c r="Y892"/>
  <c r="W1449"/>
  <c r="W1380"/>
  <c r="X138"/>
  <c r="X527"/>
  <c r="X1182"/>
  <c r="Y282"/>
  <c r="W1426"/>
  <c r="W1208"/>
  <c r="W1105"/>
  <c r="W654"/>
  <c r="X1281"/>
  <c r="X266"/>
  <c r="W1258"/>
  <c r="W1386"/>
  <c r="X1320"/>
  <c r="Y32"/>
  <c r="W297"/>
  <c r="W253"/>
  <c r="X1074"/>
  <c r="W408"/>
  <c r="X607"/>
  <c r="W556"/>
  <c r="Y1324"/>
  <c r="Y1397"/>
  <c r="W1281"/>
  <c r="W265"/>
  <c r="X1114"/>
  <c r="W458"/>
  <c r="Y608"/>
  <c r="Y26"/>
  <c r="X1448"/>
  <c r="Y1415"/>
  <c r="X1326"/>
  <c r="X1105"/>
  <c r="X458"/>
  <c r="X579"/>
  <c r="W1095"/>
  <c r="W423"/>
  <c r="W348"/>
  <c r="X1415"/>
  <c r="X329"/>
  <c r="X1104" l="1"/>
  <c r="X1325"/>
  <c r="X1447"/>
  <c r="X606"/>
  <c r="W1425"/>
  <c r="Y1062"/>
  <c r="X788"/>
  <c r="W1268"/>
  <c r="W308"/>
  <c r="W381"/>
  <c r="W606"/>
  <c r="X293"/>
  <c r="X1426"/>
  <c r="Y579"/>
  <c r="W1407"/>
  <c r="Y492"/>
  <c r="W1397"/>
  <c r="W1462"/>
  <c r="Y1535"/>
  <c r="W1114"/>
  <c r="X408"/>
  <c r="X400"/>
  <c r="X1407"/>
  <c r="W970"/>
  <c r="Y422"/>
  <c r="W32"/>
  <c r="Y787"/>
  <c r="W156"/>
  <c r="W892"/>
  <c r="W527"/>
  <c r="X1414"/>
  <c r="W1094"/>
  <c r="W1280"/>
  <c r="W555"/>
  <c r="X1073"/>
  <c r="W296"/>
  <c r="Y44"/>
  <c r="X265"/>
  <c r="W648"/>
  <c r="X526"/>
  <c r="W900"/>
  <c r="W465"/>
  <c r="W1334"/>
  <c r="Y381"/>
  <c r="W1038"/>
  <c r="Y1461"/>
  <c r="W1198"/>
  <c r="W1535"/>
  <c r="X31"/>
  <c r="W787"/>
  <c r="W541"/>
  <c r="Y1334"/>
  <c r="Y1139"/>
  <c r="X457"/>
  <c r="X1334"/>
  <c r="X540"/>
  <c r="W492"/>
  <c r="X991"/>
  <c r="W1257"/>
  <c r="X323"/>
  <c r="W422"/>
  <c r="X578"/>
  <c r="X1113"/>
  <c r="W252"/>
  <c r="X1280"/>
  <c r="X1181"/>
  <c r="W1448"/>
  <c r="Y253"/>
  <c r="W209"/>
  <c r="X1535"/>
  <c r="Y525"/>
  <c r="W1495"/>
  <c r="W1415"/>
  <c r="X491"/>
  <c r="Y265"/>
  <c r="X687"/>
  <c r="W1509"/>
  <c r="Y31"/>
  <c r="Y1508"/>
  <c r="Y1280"/>
  <c r="W1325"/>
  <c r="W1469"/>
  <c r="W346"/>
  <c r="Y1414"/>
  <c r="Y607"/>
  <c r="X1319"/>
  <c r="W1207"/>
  <c r="Y274"/>
  <c r="X137"/>
  <c r="W1379"/>
  <c r="Y541"/>
  <c r="Y1198"/>
  <c r="Y1408"/>
  <c r="Y345"/>
  <c r="W1138"/>
  <c r="Y1072"/>
  <c r="X421"/>
  <c r="W71"/>
  <c r="Y155"/>
  <c r="X1507"/>
  <c r="W283"/>
  <c r="Y648"/>
  <c r="X1093"/>
  <c r="Y1495"/>
  <c r="Y555"/>
  <c r="X1257"/>
  <c r="Y7"/>
  <c r="Y1094"/>
  <c r="W578"/>
  <c r="X6"/>
  <c r="X1196"/>
  <c r="Y1425"/>
  <c r="Y1386"/>
  <c r="W7"/>
  <c r="W26"/>
  <c r="W689"/>
  <c r="Y1257"/>
  <c r="X1495"/>
  <c r="X157"/>
  <c r="X178"/>
  <c r="X177" l="1"/>
  <c r="X1494"/>
  <c r="W688"/>
  <c r="X5"/>
  <c r="Y6"/>
  <c r="X1256"/>
  <c r="W282"/>
  <c r="W345"/>
  <c r="W1324"/>
  <c r="Y1507"/>
  <c r="W1414"/>
  <c r="X1147"/>
  <c r="X308"/>
  <c r="Y1138"/>
  <c r="W1534"/>
  <c r="X525"/>
  <c r="W1093"/>
  <c r="Y786"/>
  <c r="Y421"/>
  <c r="X1406"/>
  <c r="Y578"/>
  <c r="X156"/>
  <c r="W6"/>
  <c r="W1137"/>
  <c r="Y1197"/>
  <c r="X1318"/>
  <c r="Y1413"/>
  <c r="W1461"/>
  <c r="Y1274"/>
  <c r="W1494"/>
  <c r="X1274"/>
  <c r="W421"/>
  <c r="X1333"/>
  <c r="Y1333"/>
  <c r="Y380"/>
  <c r="W295"/>
  <c r="W946"/>
  <c r="X380"/>
  <c r="Y1534"/>
  <c r="W1406"/>
  <c r="X1425"/>
  <c r="W380"/>
  <c r="X1446"/>
  <c r="Y1093"/>
  <c r="Y1407"/>
  <c r="Y540"/>
  <c r="W1206"/>
  <c r="Y606"/>
  <c r="X1534"/>
  <c r="Y252"/>
  <c r="W251"/>
  <c r="W491"/>
  <c r="W540"/>
  <c r="W1037"/>
  <c r="W1333"/>
  <c r="Y43"/>
  <c r="X1072"/>
  <c r="W526"/>
  <c r="W31"/>
  <c r="W1113"/>
  <c r="Y491"/>
  <c r="W307"/>
  <c r="Y1061"/>
  <c r="X596"/>
  <c r="X1324"/>
  <c r="Y1256"/>
  <c r="Y1494"/>
  <c r="W44"/>
  <c r="X71"/>
  <c r="W1508"/>
  <c r="W1447"/>
  <c r="W1256"/>
  <c r="W786"/>
  <c r="W1197"/>
  <c r="W457"/>
  <c r="X252"/>
  <c r="W1274"/>
  <c r="X1413"/>
  <c r="W155"/>
  <c r="X787"/>
  <c r="Y1071" l="1"/>
  <c r="Y991"/>
  <c r="W525"/>
  <c r="W1030"/>
  <c r="X379"/>
  <c r="W294"/>
  <c r="X1317"/>
  <c r="W5"/>
  <c r="X44"/>
  <c r="W43"/>
  <c r="W1104"/>
  <c r="W1205"/>
  <c r="X1445"/>
  <c r="W933"/>
  <c r="X155"/>
  <c r="X307"/>
  <c r="W1317"/>
  <c r="Y1249"/>
  <c r="Y771"/>
  <c r="Y5"/>
  <c r="W687"/>
  <c r="W1196"/>
  <c r="W1249"/>
  <c r="W1507"/>
  <c r="Y596"/>
  <c r="Y1406"/>
  <c r="Y1317"/>
  <c r="Y1137"/>
  <c r="W274"/>
  <c r="X251"/>
  <c r="W771"/>
  <c r="W1446"/>
  <c r="Y1493"/>
  <c r="X1071"/>
  <c r="Y251"/>
  <c r="Y379"/>
  <c r="W1493"/>
  <c r="Y1196"/>
  <c r="X1249"/>
  <c r="X1493"/>
  <c r="X786"/>
  <c r="W1413"/>
  <c r="X1424" l="1"/>
  <c r="X1237"/>
  <c r="W1492"/>
  <c r="W1071"/>
  <c r="X43"/>
  <c r="W293"/>
  <c r="X771"/>
  <c r="Y378"/>
  <c r="W1237"/>
  <c r="X378"/>
  <c r="Y208"/>
  <c r="W1445"/>
  <c r="W208"/>
  <c r="W1147"/>
  <c r="W991"/>
  <c r="X1492"/>
  <c r="Y1147"/>
  <c r="Y1492"/>
  <c r="X208"/>
  <c r="W596"/>
  <c r="Y1237"/>
  <c r="W379"/>
  <c r="W1596" l="1"/>
  <c r="Y1424"/>
  <c r="Y1596"/>
  <c r="W1424"/>
  <c r="W378"/>
  <c r="X1596"/>
  <c r="I1954" i="6" l="1"/>
  <c r="I1953"/>
  <c r="I1952"/>
  <c r="I1951"/>
  <c r="I1950"/>
  <c r="I1949"/>
  <c r="I1948"/>
  <c r="I1947"/>
  <c r="I1946"/>
  <c r="I1945"/>
  <c r="I1944"/>
  <c r="I1943"/>
  <c r="I1942"/>
  <c r="I1941"/>
  <c r="I1940"/>
  <c r="I1939"/>
  <c r="I1938"/>
  <c r="I1937"/>
  <c r="I1936"/>
  <c r="I1935"/>
  <c r="I1934"/>
  <c r="I1933"/>
  <c r="I1932"/>
  <c r="I1931"/>
  <c r="I1930"/>
  <c r="I1929"/>
  <c r="I1928"/>
  <c r="I1927"/>
  <c r="I1926"/>
  <c r="I1925"/>
  <c r="I1924"/>
  <c r="I1923"/>
  <c r="I1922"/>
  <c r="I1921"/>
  <c r="I1920"/>
  <c r="I1919"/>
  <c r="I1918"/>
  <c r="I1917"/>
  <c r="I1916"/>
  <c r="I1915"/>
  <c r="I1914"/>
  <c r="I1913"/>
  <c r="I1912"/>
  <c r="I1911"/>
  <c r="I1910"/>
  <c r="I1909"/>
  <c r="I1908"/>
  <c r="I1907"/>
  <c r="I1906"/>
  <c r="I1905"/>
  <c r="I1904"/>
  <c r="I1903"/>
  <c r="I1902"/>
  <c r="I1901"/>
  <c r="I1900"/>
  <c r="I1899"/>
  <c r="I1898"/>
  <c r="I1897"/>
  <c r="I1896"/>
  <c r="I1895"/>
  <c r="I1894"/>
  <c r="I1893"/>
  <c r="I1892"/>
  <c r="I1891"/>
  <c r="I1890"/>
  <c r="I1889"/>
  <c r="I1888"/>
  <c r="I1887"/>
  <c r="I1886"/>
  <c r="I1885"/>
  <c r="I1884"/>
  <c r="I1883"/>
  <c r="I1882"/>
  <c r="I1881"/>
  <c r="I1880"/>
  <c r="I1879"/>
  <c r="I1878"/>
  <c r="I1877"/>
  <c r="I1876"/>
  <c r="I1875"/>
  <c r="I1874"/>
  <c r="I1873"/>
  <c r="I1872"/>
  <c r="I1871"/>
  <c r="I1870"/>
  <c r="I1869"/>
  <c r="I1868"/>
  <c r="I1867"/>
  <c r="I1866"/>
  <c r="I1865"/>
  <c r="I1864"/>
  <c r="I1863"/>
  <c r="I1862"/>
  <c r="I1861"/>
  <c r="I1860"/>
  <c r="I1859"/>
  <c r="I1858"/>
  <c r="I1857"/>
  <c r="I1856"/>
  <c r="I1855"/>
  <c r="I1854"/>
  <c r="I1853"/>
  <c r="I1852"/>
  <c r="I1851"/>
  <c r="I1850"/>
  <c r="I1849"/>
  <c r="I1848"/>
  <c r="I1847"/>
  <c r="I1846"/>
  <c r="I1845"/>
  <c r="I1844"/>
  <c r="I1843"/>
  <c r="I1842"/>
  <c r="I1841"/>
  <c r="I1840"/>
  <c r="I1839"/>
  <c r="I1838"/>
  <c r="I1837"/>
  <c r="I1836"/>
  <c r="I1835"/>
  <c r="I1834"/>
  <c r="I1833"/>
  <c r="I1832"/>
  <c r="I1831"/>
  <c r="I1830"/>
  <c r="I1829"/>
  <c r="I1828"/>
  <c r="I1827"/>
  <c r="I1826"/>
  <c r="I1825"/>
  <c r="I1824"/>
  <c r="I1823"/>
  <c r="I1822"/>
  <c r="I1821"/>
  <c r="I1820"/>
  <c r="I1819"/>
  <c r="I1818"/>
  <c r="I1817"/>
  <c r="I1816"/>
  <c r="I1815"/>
  <c r="I1814"/>
  <c r="I1813"/>
  <c r="I1812"/>
  <c r="I1811"/>
  <c r="I1810"/>
  <c r="I1809"/>
  <c r="I1808"/>
  <c r="I1807"/>
  <c r="I1806"/>
  <c r="I1805"/>
  <c r="I1804"/>
  <c r="I1803"/>
  <c r="I1802"/>
  <c r="I1801"/>
  <c r="I1800"/>
  <c r="I1799"/>
  <c r="I1798"/>
  <c r="I1797"/>
  <c r="I1796"/>
  <c r="I1795"/>
  <c r="I1794"/>
  <c r="I1793"/>
  <c r="I1792"/>
  <c r="I1791"/>
  <c r="I1790"/>
  <c r="I1789"/>
  <c r="I1788"/>
  <c r="I1787"/>
  <c r="I1786"/>
  <c r="I1785"/>
  <c r="I1784"/>
  <c r="I1783"/>
  <c r="I1782"/>
  <c r="I1781"/>
  <c r="I1780"/>
  <c r="I1779"/>
  <c r="I1778"/>
  <c r="I1777"/>
  <c r="I1776"/>
  <c r="I1775"/>
  <c r="I1774"/>
  <c r="I1773"/>
  <c r="I1772"/>
  <c r="I1771"/>
  <c r="I1770"/>
  <c r="I1769"/>
  <c r="I1768"/>
  <c r="I1767"/>
  <c r="I1766"/>
  <c r="I1765"/>
  <c r="I1764"/>
  <c r="I1763"/>
  <c r="I1762"/>
  <c r="I1761"/>
  <c r="I1760"/>
  <c r="I1759"/>
  <c r="I1758"/>
  <c r="I1757"/>
  <c r="I1756"/>
  <c r="I1755"/>
  <c r="I1754"/>
  <c r="I1753"/>
  <c r="I1752"/>
  <c r="I1751"/>
  <c r="I1750"/>
  <c r="I1749"/>
  <c r="I1748"/>
  <c r="I1747"/>
  <c r="I1746"/>
  <c r="I1745"/>
  <c r="I1744"/>
  <c r="I1743"/>
  <c r="I1742"/>
  <c r="I1741"/>
  <c r="I1740"/>
  <c r="I1739"/>
  <c r="I1738"/>
  <c r="I1737"/>
  <c r="I1736"/>
  <c r="I1735"/>
  <c r="I1734"/>
  <c r="I1733"/>
  <c r="I1732"/>
  <c r="I1731"/>
  <c r="I1730"/>
  <c r="I1729"/>
  <c r="I1728"/>
  <c r="I1727"/>
  <c r="I1726"/>
  <c r="I1725"/>
  <c r="I1724"/>
  <c r="I1723"/>
  <c r="I1722"/>
  <c r="I1721"/>
  <c r="I1720"/>
  <c r="I1719"/>
  <c r="I1718"/>
  <c r="I1717"/>
  <c r="I1716"/>
  <c r="I1715"/>
  <c r="I1714"/>
  <c r="I1713"/>
  <c r="I1712"/>
  <c r="I1711"/>
  <c r="I1710"/>
  <c r="I1709"/>
  <c r="I1708"/>
  <c r="I1707"/>
  <c r="I1706"/>
  <c r="I1705"/>
  <c r="I1704"/>
  <c r="I1703"/>
  <c r="I1702"/>
  <c r="I1701"/>
  <c r="I1700"/>
  <c r="I1699"/>
  <c r="I1698"/>
  <c r="I1697"/>
  <c r="I1696"/>
  <c r="I1695"/>
  <c r="I1694"/>
  <c r="I1693"/>
  <c r="I1692"/>
  <c r="I1691"/>
  <c r="I1690"/>
  <c r="I1689"/>
  <c r="I1688"/>
  <c r="I1687"/>
  <c r="I1686"/>
  <c r="I1685"/>
  <c r="I1684"/>
  <c r="I1683"/>
  <c r="I1682"/>
  <c r="I1681"/>
  <c r="I1680"/>
  <c r="I1679"/>
  <c r="I1678"/>
  <c r="I1677"/>
  <c r="I1676"/>
  <c r="I1675"/>
  <c r="I1674"/>
  <c r="I1673"/>
  <c r="I1672"/>
  <c r="I1671"/>
  <c r="I1670"/>
  <c r="I1669"/>
  <c r="I1668"/>
  <c r="I1667"/>
  <c r="I1666"/>
  <c r="I1665"/>
  <c r="I1664"/>
  <c r="I1663"/>
  <c r="I1662"/>
  <c r="I1661"/>
  <c r="I1660"/>
  <c r="I1659"/>
  <c r="I1658"/>
  <c r="I1657"/>
  <c r="I1656"/>
  <c r="I1655"/>
  <c r="I1654"/>
  <c r="I1653"/>
  <c r="I1652"/>
  <c r="I1651"/>
  <c r="I1650"/>
  <c r="I1649"/>
  <c r="I1648"/>
  <c r="I1647"/>
  <c r="I1646"/>
  <c r="I1645"/>
  <c r="I1644"/>
  <c r="I1643"/>
  <c r="I1642"/>
  <c r="I1641"/>
  <c r="I1640"/>
  <c r="I1639"/>
  <c r="I1638"/>
  <c r="I1637"/>
  <c r="I1636"/>
  <c r="I1635"/>
  <c r="I1634"/>
  <c r="I1633"/>
  <c r="I1632"/>
  <c r="I1631"/>
  <c r="I1630"/>
  <c r="I1629"/>
  <c r="I1628"/>
  <c r="I1627"/>
  <c r="I1626"/>
  <c r="I1625"/>
  <c r="I1624"/>
  <c r="I1623"/>
  <c r="I1622"/>
  <c r="I1621"/>
  <c r="I1620"/>
  <c r="I1619"/>
  <c r="I1618"/>
  <c r="I1617"/>
  <c r="I1616"/>
  <c r="I1615"/>
  <c r="I1614"/>
  <c r="I1613"/>
  <c r="I1612"/>
  <c r="I1611"/>
  <c r="I1610"/>
  <c r="I1609"/>
  <c r="I1608"/>
  <c r="I1607"/>
  <c r="I1606"/>
  <c r="I1605"/>
  <c r="I1604"/>
  <c r="I1603"/>
  <c r="I1602"/>
  <c r="I1601"/>
  <c r="I1600"/>
  <c r="I1599"/>
  <c r="I1598"/>
  <c r="I1597"/>
  <c r="I1596"/>
  <c r="I1595"/>
  <c r="I1594"/>
  <c r="I1593"/>
  <c r="I1592"/>
  <c r="I1591"/>
  <c r="I1590"/>
  <c r="I1589"/>
  <c r="I1588"/>
  <c r="I1587"/>
  <c r="I1586"/>
  <c r="I1585"/>
  <c r="I1584"/>
  <c r="I1583"/>
  <c r="I1582"/>
  <c r="I1581"/>
  <c r="I1580"/>
  <c r="I1579"/>
  <c r="I1578"/>
  <c r="I1577"/>
  <c r="I1576"/>
  <c r="I1575"/>
  <c r="I1574"/>
  <c r="I1573"/>
  <c r="I1572"/>
  <c r="I1571"/>
  <c r="I1570"/>
  <c r="I1569"/>
  <c r="I1568"/>
  <c r="I1567"/>
  <c r="I1566"/>
  <c r="I1565"/>
  <c r="I1564"/>
  <c r="I1563"/>
  <c r="I1562"/>
  <c r="I1561"/>
  <c r="I1560"/>
  <c r="I1559"/>
  <c r="I1558"/>
  <c r="I1557"/>
  <c r="I1556"/>
  <c r="I1555"/>
  <c r="I1554"/>
  <c r="I1553"/>
  <c r="I1552"/>
  <c r="I1551"/>
  <c r="I1550"/>
  <c r="I1549"/>
  <c r="I1548"/>
  <c r="I1547"/>
  <c r="I1546"/>
  <c r="I1545"/>
  <c r="I1544"/>
  <c r="I1543"/>
  <c r="I1542"/>
  <c r="I1541"/>
  <c r="I1540"/>
  <c r="I1539"/>
  <c r="I1538"/>
  <c r="I1537"/>
  <c r="I1536"/>
  <c r="I1535"/>
  <c r="I1534"/>
  <c r="I1533"/>
  <c r="I1532"/>
  <c r="I1531"/>
  <c r="I1530"/>
  <c r="I1529"/>
  <c r="I1528"/>
  <c r="I1527"/>
  <c r="I1526"/>
  <c r="I1525"/>
  <c r="I1524"/>
  <c r="I1523"/>
  <c r="I1522"/>
  <c r="I1521"/>
  <c r="I1520"/>
  <c r="I1519"/>
  <c r="I1518"/>
  <c r="I1517"/>
  <c r="I1516"/>
  <c r="I1515"/>
  <c r="I1514"/>
  <c r="I1513"/>
  <c r="I1512"/>
  <c r="I1511"/>
  <c r="I1510"/>
  <c r="I1509"/>
  <c r="I1508"/>
  <c r="I1507"/>
  <c r="I1506"/>
  <c r="I1505"/>
  <c r="I1504"/>
  <c r="I1503"/>
  <c r="I1502"/>
  <c r="I1501"/>
  <c r="I1500"/>
  <c r="I1499"/>
  <c r="I1498"/>
  <c r="I1497"/>
  <c r="I1496"/>
  <c r="I1495"/>
  <c r="I1494"/>
  <c r="I1493"/>
  <c r="I1492"/>
  <c r="I1491"/>
  <c r="I1490"/>
  <c r="I1489"/>
  <c r="I1488"/>
  <c r="I1487"/>
  <c r="I1486"/>
  <c r="I1485"/>
  <c r="I1484"/>
  <c r="I1483"/>
  <c r="I1482"/>
  <c r="I1481"/>
  <c r="I1480"/>
  <c r="I1479"/>
  <c r="I1478"/>
  <c r="I1477"/>
  <c r="I1476"/>
  <c r="I1475"/>
  <c r="I1474"/>
  <c r="I1473"/>
  <c r="I1472"/>
  <c r="I1471"/>
  <c r="I1470"/>
  <c r="I1469"/>
  <c r="I1468"/>
  <c r="I1467"/>
  <c r="I1466"/>
  <c r="I1465"/>
  <c r="I1464"/>
  <c r="I1463"/>
  <c r="I1462"/>
  <c r="I1461"/>
  <c r="I1460"/>
  <c r="I1459"/>
  <c r="I1458"/>
  <c r="I1457"/>
  <c r="I1456"/>
  <c r="I1455"/>
  <c r="I1454"/>
  <c r="I1453"/>
  <c r="I1452"/>
  <c r="I1451"/>
  <c r="I1450"/>
  <c r="I1449"/>
  <c r="I1448"/>
  <c r="I1447"/>
  <c r="I1446"/>
  <c r="I1445"/>
  <c r="I1444"/>
  <c r="I1443"/>
  <c r="I1442"/>
  <c r="I1441"/>
  <c r="I1440"/>
  <c r="I1439"/>
  <c r="I1438"/>
  <c r="I1437"/>
  <c r="I1436"/>
  <c r="I1435"/>
  <c r="I1434"/>
  <c r="I1433"/>
  <c r="I1432"/>
  <c r="I1431"/>
  <c r="I1430"/>
  <c r="I1429"/>
  <c r="I1428"/>
  <c r="I1427"/>
  <c r="I1426"/>
  <c r="I1425"/>
  <c r="I1424"/>
  <c r="I1423"/>
  <c r="I1422"/>
  <c r="I1421"/>
  <c r="I1420"/>
  <c r="I1419"/>
  <c r="I1418"/>
  <c r="I1417"/>
  <c r="I1416"/>
  <c r="I1415"/>
  <c r="I1414"/>
  <c r="I1413"/>
  <c r="I1412"/>
  <c r="I1411"/>
  <c r="I1410"/>
  <c r="I1409"/>
  <c r="I1408"/>
  <c r="I1407"/>
  <c r="I1406"/>
  <c r="I1405"/>
  <c r="I1404"/>
  <c r="I1403"/>
  <c r="I1402"/>
  <c r="I1401"/>
  <c r="I1400"/>
  <c r="I1399"/>
  <c r="I1398"/>
  <c r="I1397"/>
  <c r="I1396"/>
  <c r="I1395"/>
  <c r="I1394"/>
  <c r="I1393"/>
  <c r="I1392"/>
  <c r="I1391"/>
  <c r="I1390"/>
  <c r="I1389"/>
  <c r="I1388"/>
  <c r="I1387"/>
  <c r="I1386"/>
  <c r="I1385"/>
  <c r="I1384"/>
  <c r="I1383"/>
  <c r="I1382"/>
  <c r="I1381"/>
  <c r="I1380"/>
  <c r="I1379"/>
  <c r="I1378"/>
  <c r="I1377"/>
  <c r="I1376"/>
  <c r="I1375"/>
  <c r="I1374"/>
  <c r="I1373"/>
  <c r="I1372"/>
  <c r="I1371"/>
  <c r="I1370"/>
  <c r="I1369"/>
  <c r="I1368"/>
  <c r="I1367"/>
  <c r="I1366"/>
  <c r="I1365"/>
  <c r="I1364"/>
  <c r="I1363"/>
  <c r="I1360"/>
  <c r="I1359"/>
  <c r="I1358"/>
  <c r="I1357"/>
  <c r="I1356"/>
  <c r="I1355"/>
  <c r="I1354"/>
  <c r="I1353"/>
  <c r="I1352"/>
  <c r="I1351"/>
  <c r="I1350"/>
  <c r="I1349"/>
  <c r="I1348"/>
  <c r="I1347"/>
  <c r="I1346"/>
  <c r="I1345"/>
  <c r="I1344"/>
  <c r="I1343"/>
  <c r="I1342"/>
  <c r="I1341"/>
  <c r="I1340"/>
  <c r="I1339"/>
  <c r="I1338"/>
  <c r="I1337"/>
  <c r="I1336"/>
  <c r="I1335"/>
  <c r="I1334"/>
  <c r="I1333"/>
  <c r="I1332"/>
  <c r="I1331"/>
  <c r="I1330"/>
  <c r="I1329"/>
  <c r="I1328"/>
  <c r="I1327"/>
  <c r="I1326"/>
  <c r="I1325"/>
  <c r="I1324"/>
  <c r="I1323"/>
  <c r="I1322"/>
  <c r="I1321"/>
  <c r="I1320"/>
  <c r="I1319"/>
  <c r="I1318"/>
  <c r="I1317"/>
  <c r="I1316"/>
  <c r="I1315"/>
  <c r="I1314"/>
  <c r="I1313"/>
  <c r="I1312"/>
  <c r="I1311"/>
  <c r="I1310"/>
  <c r="I1309"/>
  <c r="I1308"/>
  <c r="I1307"/>
  <c r="I1306"/>
  <c r="I1305"/>
  <c r="I1304"/>
  <c r="I1303"/>
  <c r="I1302"/>
  <c r="I1301"/>
  <c r="I1300"/>
  <c r="I1299"/>
  <c r="I1298"/>
  <c r="I1297"/>
  <c r="I1296"/>
  <c r="I1295"/>
  <c r="I1294"/>
  <c r="I1293"/>
  <c r="I1292"/>
  <c r="I1291"/>
  <c r="I1290"/>
  <c r="I1289"/>
  <c r="I1288"/>
  <c r="I1287"/>
  <c r="I1286"/>
  <c r="I1285"/>
  <c r="I1284"/>
  <c r="I1283"/>
  <c r="I1282"/>
  <c r="I1281"/>
  <c r="I1280"/>
  <c r="I1279"/>
  <c r="I1278"/>
  <c r="I1277"/>
  <c r="I1276"/>
  <c r="I1275"/>
  <c r="I1274"/>
  <c r="I1273"/>
  <c r="I1272"/>
  <c r="I1271"/>
  <c r="I1270"/>
  <c r="I1269"/>
  <c r="I1268"/>
  <c r="I1267"/>
  <c r="I1266"/>
  <c r="I1265"/>
  <c r="I1264"/>
  <c r="I1263"/>
  <c r="I1262"/>
  <c r="I1261"/>
  <c r="I1260"/>
  <c r="I1259"/>
  <c r="I1258"/>
  <c r="I1257"/>
  <c r="I1256"/>
  <c r="I1255"/>
  <c r="I1254"/>
  <c r="I1253"/>
  <c r="I1252"/>
  <c r="I1251"/>
  <c r="I1250"/>
  <c r="I1249"/>
  <c r="I1248"/>
  <c r="I1247"/>
  <c r="I1246"/>
  <c r="I1245"/>
  <c r="I1244"/>
  <c r="I1243"/>
  <c r="I1242"/>
  <c r="I1241"/>
  <c r="I1240"/>
  <c r="I1239"/>
  <c r="I1238"/>
  <c r="I1237"/>
  <c r="I1236"/>
  <c r="I1235"/>
  <c r="I1234"/>
  <c r="I1233"/>
  <c r="I1232"/>
  <c r="I1231"/>
  <c r="I1230"/>
  <c r="I1229"/>
  <c r="I1228"/>
  <c r="I1227"/>
  <c r="I1226"/>
  <c r="I1225"/>
  <c r="I1224"/>
  <c r="I1223"/>
  <c r="I1222"/>
  <c r="I1221"/>
  <c r="I1220"/>
  <c r="I1219"/>
  <c r="I1218"/>
  <c r="I1217"/>
  <c r="I1216"/>
  <c r="I1215"/>
  <c r="I1214"/>
  <c r="I1213"/>
  <c r="I1212"/>
  <c r="I1211"/>
  <c r="I1210"/>
  <c r="I1209"/>
  <c r="I1208"/>
  <c r="I1207"/>
  <c r="I1206"/>
  <c r="I1205"/>
  <c r="I1204"/>
  <c r="I1203"/>
  <c r="I1202"/>
  <c r="I1201"/>
  <c r="I1200"/>
  <c r="I1199"/>
  <c r="I1198"/>
  <c r="I1197"/>
  <c r="I1196"/>
  <c r="I1195"/>
  <c r="I1194"/>
  <c r="I1193"/>
  <c r="I1192"/>
  <c r="I1191"/>
  <c r="I1190"/>
  <c r="I1189"/>
  <c r="I1188"/>
  <c r="I1187"/>
  <c r="I1186"/>
  <c r="I1185"/>
  <c r="I1184"/>
  <c r="I1183"/>
  <c r="I1182"/>
  <c r="I1181"/>
  <c r="I1180"/>
  <c r="I1179"/>
  <c r="I1178"/>
  <c r="I1177"/>
  <c r="I1176"/>
  <c r="I1175"/>
  <c r="I1174"/>
  <c r="I1173"/>
  <c r="I1172"/>
  <c r="I1171"/>
  <c r="I1170"/>
  <c r="I1169"/>
  <c r="I1168"/>
  <c r="I1167"/>
  <c r="I1166"/>
  <c r="I1165"/>
  <c r="I1164"/>
  <c r="I1163"/>
  <c r="I1162"/>
  <c r="I1161"/>
  <c r="I1160"/>
  <c r="I1159"/>
  <c r="I1158"/>
  <c r="I1157"/>
  <c r="I1156"/>
  <c r="I1155"/>
  <c r="I1154"/>
  <c r="I1153"/>
  <c r="I1152"/>
  <c r="I1151"/>
  <c r="I1150"/>
  <c r="I1149"/>
  <c r="I1148"/>
  <c r="I1147"/>
  <c r="I1146"/>
  <c r="I1145"/>
  <c r="I1144"/>
  <c r="I1143"/>
  <c r="I1142"/>
  <c r="I1141"/>
  <c r="I1140"/>
  <c r="I1139"/>
  <c r="I1138"/>
  <c r="I1137"/>
  <c r="I1136"/>
  <c r="I1135"/>
  <c r="I1134"/>
  <c r="I1133"/>
  <c r="I1132"/>
  <c r="I1131"/>
  <c r="I1130"/>
  <c r="I1129"/>
  <c r="I1128"/>
  <c r="I1127"/>
  <c r="I1126"/>
  <c r="I1125"/>
  <c r="I1124"/>
  <c r="I1123"/>
  <c r="I1122"/>
  <c r="I1121"/>
  <c r="I1120"/>
  <c r="I1119"/>
  <c r="I1118"/>
  <c r="I1117"/>
  <c r="I1116"/>
  <c r="I1115"/>
  <c r="I1114"/>
  <c r="I1113"/>
  <c r="I1112"/>
  <c r="I1111"/>
  <c r="I1110"/>
  <c r="I1109"/>
  <c r="I1108"/>
  <c r="I1107"/>
  <c r="I1106"/>
  <c r="I1105"/>
  <c r="I1104"/>
  <c r="I1103"/>
  <c r="I1102"/>
  <c r="I1101"/>
  <c r="I1100"/>
  <c r="I1099"/>
  <c r="I1098"/>
  <c r="I1097"/>
  <c r="I1096"/>
  <c r="I1095"/>
  <c r="I1094"/>
  <c r="I1093"/>
  <c r="I1092"/>
  <c r="I1091"/>
  <c r="I1090"/>
  <c r="I1089"/>
  <c r="I1088"/>
  <c r="I1087"/>
  <c r="I1086"/>
  <c r="I1085"/>
  <c r="I1084"/>
  <c r="I1083"/>
  <c r="I1082"/>
  <c r="I1081"/>
  <c r="I1080"/>
  <c r="I1079"/>
  <c r="I1078"/>
  <c r="I1077"/>
  <c r="I1076"/>
  <c r="I1075"/>
  <c r="I1074"/>
  <c r="I1073"/>
  <c r="I1072"/>
  <c r="I1071"/>
  <c r="I1070"/>
  <c r="I1069"/>
  <c r="I1068"/>
  <c r="I1067"/>
  <c r="I1066"/>
  <c r="I1065"/>
  <c r="I1064"/>
  <c r="I1063"/>
  <c r="I1062"/>
  <c r="I1061"/>
  <c r="I1060"/>
  <c r="I1059"/>
  <c r="I1058"/>
  <c r="I1057"/>
  <c r="I1056"/>
  <c r="I1055"/>
  <c r="I1054"/>
  <c r="I1053"/>
  <c r="I1052"/>
  <c r="I1051"/>
  <c r="I1050"/>
  <c r="I1049"/>
  <c r="I1048"/>
  <c r="I1047"/>
  <c r="I1046"/>
  <c r="I1045"/>
  <c r="I1044"/>
  <c r="I1043"/>
  <c r="I1042"/>
  <c r="I1041"/>
  <c r="I1040"/>
  <c r="I1039"/>
  <c r="I1038"/>
  <c r="I1037"/>
  <c r="I1036"/>
  <c r="I1035"/>
  <c r="I1034"/>
  <c r="I1033"/>
  <c r="I1032"/>
  <c r="I1031"/>
  <c r="I1030"/>
  <c r="I1029"/>
  <c r="I1028"/>
  <c r="I1027"/>
  <c r="I1026"/>
  <c r="I1025"/>
  <c r="I1024"/>
  <c r="I1023"/>
  <c r="I1022"/>
  <c r="I1021"/>
  <c r="I1020"/>
  <c r="I1019"/>
  <c r="I1018"/>
  <c r="I1017"/>
  <c r="I1016"/>
  <c r="I1015"/>
  <c r="I1014"/>
  <c r="I1013"/>
  <c r="I1012"/>
  <c r="I1011"/>
  <c r="I1010"/>
  <c r="I1009"/>
  <c r="I1008"/>
  <c r="I1007"/>
  <c r="I1006"/>
  <c r="I1005"/>
  <c r="I1004"/>
  <c r="I1003"/>
  <c r="I1002"/>
  <c r="I1001"/>
  <c r="I1000"/>
  <c r="I999"/>
  <c r="I998"/>
  <c r="I997"/>
  <c r="I996"/>
  <c r="I995"/>
  <c r="I994"/>
  <c r="I993"/>
  <c r="I992"/>
  <c r="I991"/>
  <c r="I990"/>
  <c r="I989"/>
  <c r="I988"/>
  <c r="I987"/>
  <c r="I986"/>
  <c r="I985"/>
  <c r="I984"/>
  <c r="I983"/>
  <c r="I982"/>
  <c r="I981"/>
  <c r="I980"/>
  <c r="I979"/>
  <c r="I978"/>
  <c r="I977"/>
  <c r="I976"/>
  <c r="I975"/>
  <c r="I974"/>
  <c r="I973"/>
  <c r="I972"/>
  <c r="I971"/>
  <c r="I970"/>
  <c r="I969"/>
  <c r="I968"/>
  <c r="I967"/>
  <c r="I966"/>
  <c r="I965"/>
  <c r="I964"/>
  <c r="I963"/>
  <c r="I962"/>
  <c r="I961"/>
  <c r="I960"/>
  <c r="I959"/>
  <c r="I958"/>
  <c r="I957"/>
  <c r="I956"/>
  <c r="I955"/>
  <c r="I954"/>
  <c r="I953"/>
  <c r="I952"/>
  <c r="I951"/>
  <c r="I950"/>
  <c r="I949"/>
  <c r="I948"/>
  <c r="I947"/>
  <c r="I946"/>
  <c r="I945"/>
  <c r="I944"/>
  <c r="I943"/>
  <c r="I942"/>
  <c r="I941"/>
  <c r="I940"/>
  <c r="I939"/>
  <c r="I938"/>
  <c r="I937"/>
  <c r="I936"/>
  <c r="I935"/>
  <c r="I934"/>
  <c r="I933"/>
  <c r="I932"/>
  <c r="I931"/>
  <c r="I930"/>
  <c r="I929"/>
  <c r="I928"/>
  <c r="I927"/>
  <c r="I926"/>
  <c r="I925"/>
  <c r="I924"/>
  <c r="I923"/>
  <c r="I922"/>
  <c r="I921"/>
  <c r="I920"/>
  <c r="I919"/>
  <c r="I918"/>
  <c r="I917"/>
  <c r="I916"/>
  <c r="I915"/>
  <c r="I914"/>
  <c r="I913"/>
  <c r="I912"/>
  <c r="I911"/>
  <c r="I910"/>
  <c r="I909"/>
  <c r="I908"/>
  <c r="I907"/>
  <c r="I906"/>
  <c r="I905"/>
  <c r="I904"/>
  <c r="I903"/>
  <c r="I902"/>
  <c r="I901"/>
  <c r="I900"/>
  <c r="I899"/>
  <c r="I898"/>
  <c r="I897"/>
  <c r="I896"/>
  <c r="I895"/>
  <c r="I894"/>
  <c r="I893"/>
  <c r="I892"/>
  <c r="I891"/>
  <c r="I890"/>
  <c r="I889"/>
  <c r="I888"/>
  <c r="I887"/>
  <c r="I886"/>
  <c r="I885"/>
  <c r="I884"/>
  <c r="I883"/>
  <c r="I882"/>
  <c r="I881"/>
  <c r="I880"/>
  <c r="I879"/>
  <c r="I878"/>
  <c r="I877"/>
  <c r="I876"/>
  <c r="I875"/>
  <c r="I874"/>
  <c r="I873"/>
  <c r="I872"/>
  <c r="I871"/>
  <c r="I870"/>
  <c r="I869"/>
  <c r="I868"/>
  <c r="I867"/>
  <c r="I866"/>
  <c r="I865"/>
  <c r="I864"/>
  <c r="I863"/>
  <c r="I862"/>
  <c r="I861"/>
  <c r="I860"/>
  <c r="I859"/>
  <c r="I858"/>
  <c r="I857"/>
  <c r="I856"/>
  <c r="I855"/>
  <c r="I854"/>
  <c r="I853"/>
  <c r="I852"/>
  <c r="I851"/>
  <c r="I850"/>
  <c r="I849"/>
  <c r="I848"/>
  <c r="I847"/>
  <c r="I846"/>
  <c r="I845"/>
  <c r="I844"/>
  <c r="I843"/>
  <c r="I842"/>
  <c r="I841"/>
  <c r="I840"/>
  <c r="I839"/>
  <c r="I838"/>
  <c r="I837"/>
  <c r="I836"/>
  <c r="I835"/>
  <c r="I834"/>
  <c r="I833"/>
  <c r="I832"/>
  <c r="I831"/>
  <c r="I830"/>
  <c r="I829"/>
  <c r="I828"/>
  <c r="I827"/>
  <c r="I826"/>
  <c r="I825"/>
  <c r="I824"/>
  <c r="I823"/>
  <c r="I822"/>
  <c r="I821"/>
  <c r="I820"/>
  <c r="I819"/>
  <c r="I818"/>
  <c r="I817"/>
  <c r="I816"/>
  <c r="I815"/>
  <c r="I814"/>
  <c r="I813"/>
  <c r="I812"/>
  <c r="I811"/>
  <c r="I810"/>
  <c r="I809"/>
  <c r="I808"/>
  <c r="I807"/>
  <c r="I806"/>
  <c r="I805"/>
  <c r="I804"/>
  <c r="I803"/>
  <c r="I802"/>
  <c r="I801"/>
  <c r="I800"/>
  <c r="I799"/>
  <c r="I798"/>
  <c r="I797"/>
  <c r="I796"/>
  <c r="I795"/>
  <c r="I794"/>
  <c r="I793"/>
  <c r="I792"/>
  <c r="I791"/>
  <c r="I790"/>
  <c r="I789"/>
  <c r="I788"/>
  <c r="I787"/>
  <c r="I786"/>
  <c r="I785"/>
  <c r="I784"/>
  <c r="I783"/>
  <c r="I782"/>
  <c r="I781"/>
  <c r="I780"/>
  <c r="I779"/>
  <c r="I778"/>
  <c r="I777"/>
  <c r="I776"/>
  <c r="I775"/>
  <c r="I774"/>
  <c r="I773"/>
  <c r="I772"/>
  <c r="I771"/>
  <c r="I770"/>
  <c r="I769"/>
  <c r="I768"/>
  <c r="I767"/>
  <c r="I766"/>
  <c r="I765"/>
  <c r="I764"/>
  <c r="I763"/>
  <c r="I762"/>
  <c r="I761"/>
  <c r="I760"/>
  <c r="I759"/>
  <c r="I758"/>
  <c r="I757"/>
  <c r="I756"/>
  <c r="I755"/>
  <c r="I754"/>
  <c r="I753"/>
  <c r="I752"/>
  <c r="I751"/>
  <c r="I750"/>
  <c r="I749"/>
  <c r="I748"/>
  <c r="I747"/>
  <c r="I746"/>
  <c r="I745"/>
  <c r="I744"/>
  <c r="I743"/>
  <c r="I742"/>
  <c r="I741"/>
  <c r="I740"/>
  <c r="I739"/>
  <c r="I738"/>
  <c r="I737"/>
  <c r="I736"/>
  <c r="I735"/>
  <c r="I734"/>
  <c r="I733"/>
  <c r="I732"/>
  <c r="I731"/>
  <c r="I730"/>
  <c r="I729"/>
  <c r="I728"/>
  <c r="I727"/>
  <c r="I726"/>
  <c r="I725"/>
  <c r="I724"/>
  <c r="I723"/>
  <c r="I722"/>
  <c r="I721"/>
  <c r="I720"/>
  <c r="I719"/>
  <c r="I718"/>
  <c r="I717"/>
  <c r="I716"/>
  <c r="I715"/>
  <c r="I714"/>
  <c r="I713"/>
  <c r="I712"/>
  <c r="I711"/>
  <c r="I710"/>
  <c r="I709"/>
  <c r="I708"/>
  <c r="I707"/>
  <c r="I706"/>
  <c r="I705"/>
  <c r="I704"/>
  <c r="I703"/>
  <c r="I702"/>
  <c r="I701"/>
  <c r="I700"/>
  <c r="I699"/>
  <c r="I698"/>
  <c r="I697"/>
  <c r="I696"/>
  <c r="I695"/>
  <c r="I694"/>
  <c r="I693"/>
  <c r="I692"/>
  <c r="I691"/>
  <c r="I690"/>
  <c r="I689"/>
  <c r="I688"/>
  <c r="I687"/>
  <c r="I686"/>
  <c r="I685"/>
  <c r="I684"/>
  <c r="I683"/>
  <c r="I682"/>
  <c r="I681"/>
  <c r="I680"/>
  <c r="I679"/>
  <c r="I678"/>
  <c r="I677"/>
  <c r="I676"/>
  <c r="I675"/>
  <c r="I674"/>
  <c r="I673"/>
  <c r="I672"/>
  <c r="I671"/>
  <c r="I670"/>
  <c r="I669"/>
  <c r="I668"/>
  <c r="I667"/>
  <c r="I666"/>
  <c r="I665"/>
  <c r="I664"/>
  <c r="I663"/>
  <c r="I662"/>
  <c r="I661"/>
  <c r="I660"/>
  <c r="I659"/>
  <c r="I658"/>
  <c r="I657"/>
  <c r="I656"/>
  <c r="I655"/>
  <c r="I654"/>
  <c r="I653"/>
  <c r="I652"/>
  <c r="I651"/>
  <c r="I650"/>
  <c r="I649"/>
  <c r="I648"/>
  <c r="I647"/>
  <c r="I646"/>
  <c r="I645"/>
  <c r="I644"/>
  <c r="I643"/>
  <c r="I642"/>
  <c r="I641"/>
  <c r="I640"/>
  <c r="I639"/>
  <c r="I638"/>
  <c r="I637"/>
  <c r="I636"/>
  <c r="I635"/>
  <c r="I634"/>
  <c r="I633"/>
  <c r="I632"/>
  <c r="I631"/>
  <c r="I630"/>
  <c r="I629"/>
  <c r="I628"/>
  <c r="I627"/>
  <c r="I626"/>
  <c r="I625"/>
  <c r="I624"/>
  <c r="I623"/>
  <c r="I622"/>
  <c r="I621"/>
  <c r="I620"/>
  <c r="I619"/>
  <c r="I618"/>
  <c r="I617"/>
  <c r="I616"/>
  <c r="I615"/>
  <c r="I614"/>
  <c r="I613"/>
  <c r="I612"/>
  <c r="I611"/>
  <c r="I610"/>
  <c r="I609"/>
  <c r="I608"/>
  <c r="I607"/>
  <c r="I606"/>
  <c r="I605"/>
  <c r="I604"/>
  <c r="I603"/>
  <c r="I602"/>
  <c r="I601"/>
  <c r="I600"/>
  <c r="I599"/>
  <c r="I598"/>
  <c r="I597"/>
  <c r="I596"/>
  <c r="I595"/>
  <c r="I594"/>
  <c r="I593"/>
  <c r="I592"/>
  <c r="I591"/>
  <c r="I590"/>
  <c r="I589"/>
  <c r="I588"/>
  <c r="I587"/>
  <c r="I586"/>
  <c r="I585"/>
  <c r="I584"/>
  <c r="I583"/>
  <c r="I582"/>
  <c r="I581"/>
  <c r="I580"/>
  <c r="I579"/>
  <c r="I578"/>
  <c r="I577"/>
  <c r="I576"/>
  <c r="I575"/>
  <c r="I574"/>
  <c r="I573"/>
  <c r="I572"/>
  <c r="I571"/>
  <c r="I570"/>
  <c r="I569"/>
  <c r="I568"/>
  <c r="I567"/>
  <c r="I566"/>
  <c r="I565"/>
  <c r="I564"/>
  <c r="I563"/>
  <c r="I562"/>
  <c r="I561"/>
  <c r="I560"/>
  <c r="I559"/>
  <c r="I558"/>
  <c r="I557"/>
  <c r="I556"/>
  <c r="I555"/>
  <c r="I554"/>
  <c r="I553"/>
  <c r="I552"/>
  <c r="I551"/>
  <c r="I550"/>
  <c r="I549"/>
  <c r="I548"/>
  <c r="I547"/>
  <c r="I546"/>
  <c r="I545"/>
  <c r="I544"/>
  <c r="I543"/>
  <c r="I542"/>
  <c r="I541"/>
  <c r="I540"/>
  <c r="I539"/>
  <c r="I538"/>
  <c r="I537"/>
  <c r="I536"/>
  <c r="I535"/>
  <c r="I534"/>
  <c r="I533"/>
  <c r="I532"/>
  <c r="I531"/>
  <c r="I530"/>
  <c r="I529"/>
  <c r="I528"/>
  <c r="I527"/>
  <c r="I526"/>
  <c r="I525"/>
  <c r="I524"/>
  <c r="I523"/>
  <c r="I522"/>
  <c r="I521"/>
  <c r="I520"/>
  <c r="I519"/>
  <c r="I518"/>
  <c r="I517"/>
  <c r="I516"/>
  <c r="I515"/>
  <c r="I514"/>
  <c r="I513"/>
  <c r="I512"/>
  <c r="I511"/>
  <c r="I510"/>
  <c r="I509"/>
  <c r="I508"/>
  <c r="I507"/>
  <c r="I506"/>
  <c r="I505"/>
  <c r="I504"/>
  <c r="I503"/>
  <c r="I502"/>
  <c r="I501"/>
  <c r="I500"/>
  <c r="I499"/>
  <c r="I498"/>
  <c r="I497"/>
  <c r="I496"/>
  <c r="I495"/>
  <c r="I494"/>
  <c r="I493"/>
  <c r="I492"/>
  <c r="I491"/>
  <c r="I490"/>
  <c r="I489"/>
  <c r="I488"/>
  <c r="I487"/>
  <c r="I486"/>
  <c r="I485"/>
  <c r="I484"/>
  <c r="I483"/>
  <c r="I482"/>
  <c r="I481"/>
  <c r="I480"/>
  <c r="I479"/>
  <c r="I478"/>
  <c r="I477"/>
  <c r="I476"/>
  <c r="I475"/>
  <c r="I474"/>
  <c r="I473"/>
  <c r="I472"/>
  <c r="I471"/>
  <c r="I470"/>
  <c r="I469"/>
  <c r="I468"/>
  <c r="I467"/>
  <c r="I466"/>
  <c r="I465"/>
  <c r="I464"/>
  <c r="I463"/>
  <c r="I462"/>
  <c r="I461"/>
  <c r="I460"/>
  <c r="I459"/>
  <c r="I458"/>
  <c r="I457"/>
  <c r="I456"/>
  <c r="I455"/>
  <c r="I454"/>
  <c r="I453"/>
  <c r="I452"/>
  <c r="I451"/>
  <c r="I450"/>
  <c r="I449"/>
  <c r="I448"/>
  <c r="I447"/>
  <c r="I446"/>
  <c r="I445"/>
  <c r="I444"/>
  <c r="I443"/>
  <c r="I442"/>
  <c r="I441"/>
  <c r="I440"/>
  <c r="I439"/>
  <c r="I438"/>
  <c r="I437"/>
  <c r="I436"/>
  <c r="I435"/>
  <c r="I434"/>
  <c r="I433"/>
  <c r="I432"/>
  <c r="I431"/>
  <c r="I430"/>
  <c r="I429"/>
  <c r="I428"/>
  <c r="I427"/>
  <c r="I426"/>
  <c r="I425"/>
  <c r="I424"/>
  <c r="I423"/>
  <c r="I422"/>
  <c r="I421"/>
  <c r="I420"/>
  <c r="I419"/>
  <c r="I418"/>
  <c r="I417"/>
  <c r="I416"/>
  <c r="I415"/>
  <c r="I414"/>
  <c r="I413"/>
  <c r="I412"/>
  <c r="I411"/>
  <c r="I410"/>
  <c r="I409"/>
  <c r="I408"/>
  <c r="I407"/>
  <c r="I406"/>
  <c r="I405"/>
  <c r="I404"/>
  <c r="I403"/>
  <c r="I402"/>
  <c r="I401"/>
  <c r="I400"/>
  <c r="I399"/>
  <c r="I398"/>
  <c r="I397"/>
  <c r="I396"/>
  <c r="I395"/>
  <c r="I394"/>
  <c r="I393"/>
  <c r="I392"/>
  <c r="I391"/>
  <c r="I390"/>
  <c r="I389"/>
  <c r="I388"/>
  <c r="I387"/>
  <c r="I386"/>
  <c r="I385"/>
  <c r="I384"/>
  <c r="I383"/>
  <c r="I382"/>
  <c r="I381"/>
  <c r="I380"/>
  <c r="I379"/>
  <c r="I378"/>
  <c r="I377"/>
  <c r="I376"/>
  <c r="I375"/>
  <c r="I374"/>
  <c r="I373"/>
  <c r="I372"/>
  <c r="I371"/>
  <c r="I370"/>
  <c r="I369"/>
  <c r="I368"/>
  <c r="I367"/>
  <c r="I366"/>
  <c r="I365"/>
  <c r="I364"/>
  <c r="I363"/>
  <c r="I362"/>
  <c r="I361"/>
  <c r="I360"/>
  <c r="I359"/>
  <c r="I358"/>
  <c r="I357"/>
  <c r="I356"/>
  <c r="I355"/>
  <c r="I354"/>
  <c r="I353"/>
  <c r="I352"/>
  <c r="I351"/>
  <c r="I350"/>
  <c r="I349"/>
  <c r="I348"/>
  <c r="I347"/>
  <c r="I346"/>
  <c r="I345"/>
  <c r="I344"/>
  <c r="I343"/>
  <c r="I342"/>
  <c r="I341"/>
  <c r="I340"/>
  <c r="I339"/>
  <c r="I338"/>
  <c r="I337"/>
  <c r="I336"/>
  <c r="I335"/>
  <c r="I334"/>
  <c r="I333"/>
  <c r="I332"/>
  <c r="I331"/>
  <c r="I330"/>
  <c r="I329"/>
  <c r="I328"/>
  <c r="I327"/>
  <c r="I326"/>
  <c r="I325"/>
  <c r="I324"/>
  <c r="I323"/>
  <c r="I322"/>
  <c r="I321"/>
  <c r="I320"/>
  <c r="I319"/>
  <c r="I318"/>
  <c r="I317"/>
  <c r="I316"/>
  <c r="I315"/>
  <c r="I314"/>
  <c r="I313"/>
  <c r="I312"/>
  <c r="I311"/>
  <c r="I310"/>
  <c r="I309"/>
  <c r="I308"/>
  <c r="I307"/>
  <c r="I306"/>
  <c r="I305"/>
  <c r="I304"/>
  <c r="I303"/>
  <c r="I302"/>
  <c r="I301"/>
  <c r="I300"/>
  <c r="I299"/>
  <c r="I298"/>
  <c r="I297"/>
  <c r="I296"/>
  <c r="I295"/>
  <c r="I294"/>
  <c r="I293"/>
  <c r="I292"/>
  <c r="I291"/>
  <c r="I290"/>
  <c r="I289"/>
  <c r="I288"/>
  <c r="I287"/>
  <c r="I286"/>
  <c r="I285"/>
  <c r="I284"/>
  <c r="I283"/>
  <c r="I282"/>
  <c r="I281"/>
  <c r="I280"/>
  <c r="I279"/>
  <c r="I278"/>
  <c r="I277"/>
  <c r="I276"/>
  <c r="I275"/>
  <c r="I274"/>
  <c r="I273"/>
  <c r="I272"/>
  <c r="I271"/>
  <c r="I270"/>
  <c r="I269"/>
  <c r="I268"/>
  <c r="I267"/>
  <c r="I266"/>
  <c r="I265"/>
  <c r="I264"/>
  <c r="I263"/>
  <c r="I262"/>
  <c r="I261"/>
  <c r="I260"/>
  <c r="I259"/>
  <c r="I258"/>
  <c r="I257"/>
  <c r="I256"/>
  <c r="I255"/>
  <c r="I254"/>
  <c r="I253"/>
  <c r="I252"/>
  <c r="I251"/>
  <c r="I250"/>
  <c r="I249"/>
  <c r="I248"/>
  <c r="I247"/>
  <c r="I246"/>
  <c r="I245"/>
  <c r="I244"/>
  <c r="I243"/>
  <c r="I242"/>
  <c r="I241"/>
  <c r="I240"/>
  <c r="I239"/>
  <c r="I238"/>
  <c r="I237"/>
  <c r="I236"/>
  <c r="I235"/>
  <c r="I234"/>
  <c r="I233"/>
  <c r="I232"/>
  <c r="I231"/>
  <c r="I230"/>
  <c r="I229"/>
  <c r="I228"/>
  <c r="I227"/>
  <c r="I226"/>
  <c r="I225"/>
  <c r="I224"/>
  <c r="I223"/>
  <c r="I222"/>
  <c r="I221"/>
  <c r="I220"/>
  <c r="I219"/>
  <c r="I218"/>
  <c r="I217"/>
  <c r="I216"/>
  <c r="I215"/>
  <c r="I214"/>
  <c r="I213"/>
  <c r="I212"/>
  <c r="I211"/>
  <c r="I210"/>
  <c r="I209"/>
  <c r="I208"/>
  <c r="I207"/>
  <c r="I206"/>
  <c r="I205"/>
  <c r="I204"/>
  <c r="I203"/>
  <c r="I202"/>
  <c r="I201"/>
  <c r="I200"/>
  <c r="I199"/>
  <c r="I198"/>
  <c r="I197"/>
  <c r="I196"/>
  <c r="I195"/>
  <c r="I194"/>
  <c r="I193"/>
  <c r="I192"/>
  <c r="I191"/>
  <c r="I190"/>
  <c r="I189"/>
  <c r="I188"/>
  <c r="I187"/>
  <c r="I186"/>
  <c r="I185"/>
  <c r="I184"/>
  <c r="I183"/>
  <c r="I182"/>
  <c r="I181"/>
  <c r="I180"/>
  <c r="I179"/>
  <c r="I178"/>
  <c r="I177"/>
  <c r="I176"/>
  <c r="I175"/>
  <c r="I174"/>
  <c r="I173"/>
  <c r="I172"/>
  <c r="I171"/>
  <c r="I170"/>
  <c r="I169"/>
  <c r="I168"/>
  <c r="I167"/>
  <c r="I166"/>
  <c r="I165"/>
  <c r="I164"/>
  <c r="I163"/>
  <c r="I162"/>
  <c r="I161"/>
  <c r="I160"/>
  <c r="I159"/>
  <c r="I158"/>
  <c r="I157"/>
  <c r="I156"/>
  <c r="I155"/>
  <c r="I154"/>
  <c r="I153"/>
  <c r="I152"/>
  <c r="I151"/>
  <c r="I150"/>
  <c r="I149"/>
  <c r="I148"/>
  <c r="I147"/>
  <c r="I146"/>
  <c r="I145"/>
  <c r="I144"/>
  <c r="I143"/>
  <c r="I142"/>
  <c r="I141"/>
  <c r="I140"/>
  <c r="I139"/>
  <c r="I138"/>
  <c r="I137"/>
  <c r="I136"/>
  <c r="I135"/>
  <c r="I134"/>
  <c r="I133"/>
  <c r="I132"/>
  <c r="I131"/>
  <c r="I130"/>
  <c r="I129"/>
  <c r="I128"/>
  <c r="I127"/>
  <c r="I126"/>
  <c r="I125"/>
  <c r="I124"/>
  <c r="I123"/>
  <c r="I122"/>
  <c r="I121"/>
  <c r="I120"/>
  <c r="I119"/>
  <c r="I118"/>
  <c r="I117"/>
  <c r="I116"/>
  <c r="I115"/>
  <c r="I114"/>
  <c r="I113"/>
  <c r="I112"/>
  <c r="I111"/>
  <c r="I110"/>
  <c r="I109"/>
  <c r="I108"/>
  <c r="I107"/>
  <c r="I106"/>
  <c r="I105"/>
  <c r="I104"/>
  <c r="I103"/>
  <c r="I102"/>
  <c r="I101"/>
  <c r="I100"/>
  <c r="I99"/>
  <c r="I98"/>
  <c r="I97"/>
  <c r="I96"/>
  <c r="I95"/>
  <c r="I94"/>
  <c r="I93"/>
  <c r="I92"/>
  <c r="I91"/>
  <c r="I90"/>
  <c r="I89"/>
  <c r="I88"/>
  <c r="I87"/>
  <c r="I86"/>
  <c r="I85"/>
  <c r="I84"/>
  <c r="I83"/>
  <c r="I82"/>
  <c r="I81"/>
  <c r="I80"/>
  <c r="I79"/>
  <c r="I78"/>
  <c r="I77"/>
  <c r="I76"/>
  <c r="I75"/>
  <c r="I74"/>
  <c r="I73"/>
  <c r="I72"/>
  <c r="I71"/>
  <c r="I70"/>
  <c r="I69"/>
  <c r="I68"/>
  <c r="I67"/>
  <c r="I66"/>
  <c r="I65"/>
  <c r="I64"/>
  <c r="I63"/>
  <c r="I62"/>
  <c r="I61"/>
  <c r="I60"/>
  <c r="I59"/>
  <c r="I58"/>
  <c r="I57"/>
  <c r="I56"/>
  <c r="I55"/>
  <c r="I54"/>
  <c r="I53"/>
  <c r="I52"/>
  <c r="I51"/>
  <c r="I50"/>
  <c r="I49"/>
  <c r="I48"/>
  <c r="I47"/>
  <c r="I46"/>
  <c r="I45"/>
  <c r="I44"/>
  <c r="I43"/>
  <c r="I42"/>
  <c r="I41"/>
  <c r="I40"/>
  <c r="I39"/>
  <c r="I38"/>
  <c r="I37"/>
  <c r="I36"/>
  <c r="I35"/>
  <c r="I34"/>
  <c r="I33"/>
  <c r="I32"/>
  <c r="I31"/>
  <c r="I30"/>
  <c r="I29"/>
  <c r="I28"/>
  <c r="I27"/>
  <c r="I26"/>
  <c r="I25"/>
  <c r="I24"/>
  <c r="I23"/>
  <c r="I22"/>
  <c r="I21"/>
  <c r="I20"/>
  <c r="H1477"/>
  <c r="R1478"/>
  <c r="H1511" l="1"/>
  <c r="H1510" s="1"/>
  <c r="H1509" s="1"/>
  <c r="H1508" s="1"/>
  <c r="H386" l="1"/>
  <c r="H385" s="1"/>
  <c r="H1817" l="1"/>
  <c r="H1816" s="1"/>
  <c r="H1856" l="1"/>
  <c r="H1855" s="1"/>
  <c r="H1854" s="1"/>
  <c r="H1853" s="1"/>
  <c r="H1852" s="1"/>
  <c r="H1851" s="1"/>
  <c r="H1850" s="1"/>
  <c r="H1807" l="1"/>
  <c r="H1806" s="1"/>
  <c r="H1805" s="1"/>
  <c r="H1804" s="1"/>
  <c r="H1803" s="1"/>
  <c r="H1840"/>
  <c r="H1839" s="1"/>
  <c r="P1842"/>
  <c r="Q1842"/>
  <c r="R1842"/>
  <c r="P1843"/>
  <c r="Q1843"/>
  <c r="R1843"/>
  <c r="P1844"/>
  <c r="Q1844"/>
  <c r="R1844"/>
  <c r="P1845"/>
  <c r="Q1845"/>
  <c r="R1845"/>
  <c r="H1616" l="1"/>
  <c r="H1615" s="1"/>
  <c r="H1283" l="1"/>
  <c r="H1282" s="1"/>
  <c r="H827" l="1"/>
  <c r="H826" s="1"/>
  <c r="H825" s="1"/>
  <c r="H824" s="1"/>
  <c r="H823" s="1"/>
  <c r="H889"/>
  <c r="H844"/>
  <c r="H1704" l="1"/>
  <c r="H1703" s="1"/>
  <c r="H1702" s="1"/>
  <c r="H1701" s="1"/>
  <c r="H1700" s="1"/>
  <c r="H1698"/>
  <c r="H1697" s="1"/>
  <c r="H1497"/>
  <c r="H1496" s="1"/>
  <c r="H1495" s="1"/>
  <c r="H1494" s="1"/>
  <c r="H1489"/>
  <c r="H1488" s="1"/>
  <c r="H339" l="1"/>
  <c r="H338" s="1"/>
  <c r="H337" s="1"/>
  <c r="R2043" l="1"/>
  <c r="R2042"/>
  <c r="R2041"/>
  <c r="R2040"/>
  <c r="R2039"/>
  <c r="R2038"/>
  <c r="R2037"/>
  <c r="R2036"/>
  <c r="R2035"/>
  <c r="R2034"/>
  <c r="R2033"/>
  <c r="R2032"/>
  <c r="R2031"/>
  <c r="R2030"/>
  <c r="R2029"/>
  <c r="R2028"/>
  <c r="R2027"/>
  <c r="R2026"/>
  <c r="R2025"/>
  <c r="R2024"/>
  <c r="R2023"/>
  <c r="R2022"/>
  <c r="R2021"/>
  <c r="R2020"/>
  <c r="R2019"/>
  <c r="R2018"/>
  <c r="R2017"/>
  <c r="R2016"/>
  <c r="R2015"/>
  <c r="R2014"/>
  <c r="R2013"/>
  <c r="R2012"/>
  <c r="R2011"/>
  <c r="R2010"/>
  <c r="R2009"/>
  <c r="R2008"/>
  <c r="R2007"/>
  <c r="R2006"/>
  <c r="R2005"/>
  <c r="R2004"/>
  <c r="R2003"/>
  <c r="R2002"/>
  <c r="R2001"/>
  <c r="R2000"/>
  <c r="R1999"/>
  <c r="R1998"/>
  <c r="R1997"/>
  <c r="R1996"/>
  <c r="R1995"/>
  <c r="R1994"/>
  <c r="R1993"/>
  <c r="R1992"/>
  <c r="R1991"/>
  <c r="R1990"/>
  <c r="R1989"/>
  <c r="R1988"/>
  <c r="R1987"/>
  <c r="R1986"/>
  <c r="Q1956"/>
  <c r="P1956"/>
  <c r="R1955"/>
  <c r="Q1955"/>
  <c r="P1955"/>
  <c r="O1955"/>
  <c r="R1952"/>
  <c r="Q1952"/>
  <c r="P1952"/>
  <c r="H1952"/>
  <c r="H1951" s="1"/>
  <c r="O1951" s="1"/>
  <c r="R1951"/>
  <c r="Q1951"/>
  <c r="P1951"/>
  <c r="R1947"/>
  <c r="Q1947"/>
  <c r="P1947"/>
  <c r="H1947"/>
  <c r="O1947" s="1"/>
  <c r="R1945"/>
  <c r="Q1945"/>
  <c r="P1945"/>
  <c r="H1945"/>
  <c r="O1945" s="1"/>
  <c r="R1942"/>
  <c r="Q1942"/>
  <c r="P1942"/>
  <c r="H1942"/>
  <c r="R1941"/>
  <c r="Q1941"/>
  <c r="P1941"/>
  <c r="R1940"/>
  <c r="Q1940"/>
  <c r="P1940"/>
  <c r="R1939"/>
  <c r="Q1939"/>
  <c r="P1939"/>
  <c r="R1938"/>
  <c r="Q1938"/>
  <c r="P1938"/>
  <c r="R1937"/>
  <c r="Q1937"/>
  <c r="P1937"/>
  <c r="R1936"/>
  <c r="Q1936"/>
  <c r="P1936"/>
  <c r="R1935"/>
  <c r="Q1935"/>
  <c r="P1935"/>
  <c r="O1935"/>
  <c r="R1932"/>
  <c r="Q1932"/>
  <c r="P1932"/>
  <c r="H1932"/>
  <c r="H1931" s="1"/>
  <c r="O1931" s="1"/>
  <c r="R1931"/>
  <c r="Q1931"/>
  <c r="P1931"/>
  <c r="R1928"/>
  <c r="Q1928"/>
  <c r="P1928"/>
  <c r="H1928"/>
  <c r="O1928" s="1"/>
  <c r="R1926"/>
  <c r="Q1926"/>
  <c r="P1926"/>
  <c r="H1926"/>
  <c r="O1926" s="1"/>
  <c r="R1923"/>
  <c r="Q1923"/>
  <c r="P1923"/>
  <c r="H1923"/>
  <c r="R1922"/>
  <c r="Q1922"/>
  <c r="P1922"/>
  <c r="R1921"/>
  <c r="Q1921"/>
  <c r="P1921"/>
  <c r="R1920"/>
  <c r="Q1920"/>
  <c r="P1920"/>
  <c r="R1918"/>
  <c r="Q1918"/>
  <c r="P1918"/>
  <c r="H1918"/>
  <c r="H1917" s="1"/>
  <c r="H1916" s="1"/>
  <c r="O1916" s="1"/>
  <c r="R1917"/>
  <c r="Q1917"/>
  <c r="P1917"/>
  <c r="R1916"/>
  <c r="Q1916"/>
  <c r="P1916"/>
  <c r="R1914"/>
  <c r="Q1914"/>
  <c r="P1914"/>
  <c r="H1914"/>
  <c r="O1914" s="1"/>
  <c r="R1913"/>
  <c r="Q1913"/>
  <c r="P1913"/>
  <c r="R1912"/>
  <c r="Q1912"/>
  <c r="P1912"/>
  <c r="R1910"/>
  <c r="Q1910"/>
  <c r="P1910"/>
  <c r="H1910"/>
  <c r="O1910" s="1"/>
  <c r="R1909"/>
  <c r="Q1909"/>
  <c r="P1909"/>
  <c r="R1908"/>
  <c r="Q1908"/>
  <c r="P1908"/>
  <c r="R1904"/>
  <c r="Q1904"/>
  <c r="P1904"/>
  <c r="H1904"/>
  <c r="O1904" s="1"/>
  <c r="R1902"/>
  <c r="Q1902"/>
  <c r="P1902"/>
  <c r="H1902"/>
  <c r="O1902" s="1"/>
  <c r="R1899"/>
  <c r="Q1899"/>
  <c r="P1899"/>
  <c r="H1899"/>
  <c r="O1899" s="1"/>
  <c r="R1898"/>
  <c r="Q1898"/>
  <c r="P1898"/>
  <c r="R1897"/>
  <c r="Q1897"/>
  <c r="P1897"/>
  <c r="R1896"/>
  <c r="Q1896"/>
  <c r="P1896"/>
  <c r="R1894"/>
  <c r="Q1894"/>
  <c r="P1894"/>
  <c r="H1894"/>
  <c r="O1894" s="1"/>
  <c r="R1892"/>
  <c r="Q1892"/>
  <c r="P1892"/>
  <c r="H1892"/>
  <c r="R1891"/>
  <c r="Q1891"/>
  <c r="P1891"/>
  <c r="R1890"/>
  <c r="Q1890"/>
  <c r="P1890"/>
  <c r="R1889"/>
  <c r="Q1889"/>
  <c r="P1889"/>
  <c r="R1887"/>
  <c r="Q1887"/>
  <c r="P1887"/>
  <c r="H1887"/>
  <c r="R1886"/>
  <c r="Q1886"/>
  <c r="P1886"/>
  <c r="R1885"/>
  <c r="Q1885"/>
  <c r="P1885"/>
  <c r="R1881"/>
  <c r="Q1881"/>
  <c r="P1881"/>
  <c r="H1881"/>
  <c r="O1881" s="1"/>
  <c r="R1879"/>
  <c r="Q1879"/>
  <c r="P1879"/>
  <c r="H1879"/>
  <c r="R1876"/>
  <c r="Q1876"/>
  <c r="P1876"/>
  <c r="H1876"/>
  <c r="O1876" s="1"/>
  <c r="R1875"/>
  <c r="Q1875"/>
  <c r="P1875"/>
  <c r="R1874"/>
  <c r="Q1874"/>
  <c r="P1874"/>
  <c r="R1872"/>
  <c r="Q1872"/>
  <c r="P1872"/>
  <c r="H1872"/>
  <c r="R1871"/>
  <c r="Q1871"/>
  <c r="P1871"/>
  <c r="R1870"/>
  <c r="Q1870"/>
  <c r="P1870"/>
  <c r="R1869"/>
  <c r="Q1869"/>
  <c r="P1869"/>
  <c r="R1868"/>
  <c r="Q1868"/>
  <c r="P1868"/>
  <c r="R1866"/>
  <c r="Q1866"/>
  <c r="P1866"/>
  <c r="H1866"/>
  <c r="H1865" s="1"/>
  <c r="R1865"/>
  <c r="Q1865"/>
  <c r="P1865"/>
  <c r="R1864"/>
  <c r="Q1864"/>
  <c r="P1864"/>
  <c r="R1863"/>
  <c r="Q1863"/>
  <c r="P1863"/>
  <c r="R1862"/>
  <c r="Q1862"/>
  <c r="P1862"/>
  <c r="R1861"/>
  <c r="Q1861"/>
  <c r="P1861"/>
  <c r="R1860"/>
  <c r="Q1860"/>
  <c r="P1860"/>
  <c r="R1859"/>
  <c r="Q1859"/>
  <c r="P1859"/>
  <c r="R1858"/>
  <c r="Q1858"/>
  <c r="P1858"/>
  <c r="O1858"/>
  <c r="R1848"/>
  <c r="Q1848"/>
  <c r="P1848"/>
  <c r="H1848"/>
  <c r="H1847" s="1"/>
  <c r="R1847"/>
  <c r="Q1847"/>
  <c r="P1847"/>
  <c r="R1846"/>
  <c r="Q1846"/>
  <c r="P1846"/>
  <c r="R1838"/>
  <c r="R1837"/>
  <c r="Q1837"/>
  <c r="P1837"/>
  <c r="H1837"/>
  <c r="H1836" s="1"/>
  <c r="H1835" s="1"/>
  <c r="R1836"/>
  <c r="Q1836"/>
  <c r="P1836"/>
  <c r="R1835"/>
  <c r="Q1835"/>
  <c r="P1835"/>
  <c r="R1834"/>
  <c r="Q1834"/>
  <c r="P1834"/>
  <c r="R1833"/>
  <c r="Q1833"/>
  <c r="P1833"/>
  <c r="R1832"/>
  <c r="Q1832"/>
  <c r="P1832"/>
  <c r="R1831"/>
  <c r="Q1831"/>
  <c r="P1831"/>
  <c r="H1830"/>
  <c r="H1829" s="1"/>
  <c r="H1825" s="1"/>
  <c r="H1824"/>
  <c r="H1823" s="1"/>
  <c r="H1819" s="1"/>
  <c r="R1814"/>
  <c r="Q1814"/>
  <c r="P1814"/>
  <c r="H1814"/>
  <c r="O1814" s="1"/>
  <c r="R1813"/>
  <c r="Q1813"/>
  <c r="P1813"/>
  <c r="H1813"/>
  <c r="R1812"/>
  <c r="Q1812"/>
  <c r="P1812"/>
  <c r="R1811"/>
  <c r="Q1811"/>
  <c r="P1811"/>
  <c r="R1810"/>
  <c r="Q1810"/>
  <c r="P1810"/>
  <c r="R1809"/>
  <c r="Q1809"/>
  <c r="P1809"/>
  <c r="R1802"/>
  <c r="Q1802"/>
  <c r="P1802"/>
  <c r="R1800"/>
  <c r="Q1800"/>
  <c r="P1800"/>
  <c r="H1800"/>
  <c r="H1799" s="1"/>
  <c r="R1799"/>
  <c r="Q1799"/>
  <c r="P1799"/>
  <c r="R1798"/>
  <c r="Q1798"/>
  <c r="P1798"/>
  <c r="R1797"/>
  <c r="Q1797"/>
  <c r="P1797"/>
  <c r="R1795"/>
  <c r="Q1795"/>
  <c r="P1795"/>
  <c r="H1795"/>
  <c r="O1795" s="1"/>
  <c r="R1794"/>
  <c r="Q1794"/>
  <c r="P1794"/>
  <c r="R1793"/>
  <c r="Q1793"/>
  <c r="P1793"/>
  <c r="R1791"/>
  <c r="Q1791"/>
  <c r="P1791"/>
  <c r="H1791"/>
  <c r="R1790"/>
  <c r="Q1790"/>
  <c r="P1790"/>
  <c r="R1789"/>
  <c r="Q1789"/>
  <c r="P1789"/>
  <c r="R1788"/>
  <c r="Q1788"/>
  <c r="P1788"/>
  <c r="R1787"/>
  <c r="Q1787"/>
  <c r="P1787"/>
  <c r="R1786"/>
  <c r="Q1786"/>
  <c r="P1786"/>
  <c r="R1785"/>
  <c r="Q1785"/>
  <c r="P1785"/>
  <c r="R1783"/>
  <c r="Q1783"/>
  <c r="P1783"/>
  <c r="H1783"/>
  <c r="O1783" s="1"/>
  <c r="R1782"/>
  <c r="Q1782"/>
  <c r="P1782"/>
  <c r="H1782"/>
  <c r="R1780"/>
  <c r="Q1780"/>
  <c r="P1780"/>
  <c r="H1780"/>
  <c r="O1780" s="1"/>
  <c r="R1778"/>
  <c r="Q1778"/>
  <c r="P1778"/>
  <c r="H1778"/>
  <c r="H1777" s="1"/>
  <c r="O1777" s="1"/>
  <c r="R1777"/>
  <c r="Q1777"/>
  <c r="P1777"/>
  <c r="R1776"/>
  <c r="Q1776"/>
  <c r="P1776"/>
  <c r="R1773"/>
  <c r="Q1773"/>
  <c r="P1773"/>
  <c r="H1773"/>
  <c r="O1773" s="1"/>
  <c r="R1772"/>
  <c r="Q1772"/>
  <c r="P1772"/>
  <c r="H1772"/>
  <c r="O1772" s="1"/>
  <c r="R1768"/>
  <c r="Q1768"/>
  <c r="P1768"/>
  <c r="H1768"/>
  <c r="O1768" s="1"/>
  <c r="R1766"/>
  <c r="Q1766"/>
  <c r="P1766"/>
  <c r="H1766"/>
  <c r="O1766" s="1"/>
  <c r="R1763"/>
  <c r="Q1763"/>
  <c r="P1763"/>
  <c r="H1763"/>
  <c r="O1763" s="1"/>
  <c r="R1762"/>
  <c r="Q1762"/>
  <c r="P1762"/>
  <c r="R1761"/>
  <c r="Q1761"/>
  <c r="P1761"/>
  <c r="R1760"/>
  <c r="Q1760"/>
  <c r="P1760"/>
  <c r="R1759"/>
  <c r="Q1759"/>
  <c r="P1759"/>
  <c r="R1758"/>
  <c r="Q1758"/>
  <c r="P1758"/>
  <c r="R1757"/>
  <c r="Q1757"/>
  <c r="P1757"/>
  <c r="R1756"/>
  <c r="Q1756"/>
  <c r="P1756"/>
  <c r="O1756"/>
  <c r="R1755"/>
  <c r="R1754"/>
  <c r="Q1754"/>
  <c r="P1754"/>
  <c r="H1754"/>
  <c r="O1754" s="1"/>
  <c r="R1753"/>
  <c r="Q1753"/>
  <c r="P1753"/>
  <c r="R1752"/>
  <c r="Q1752"/>
  <c r="P1752"/>
  <c r="R1751"/>
  <c r="R1750"/>
  <c r="Q1750"/>
  <c r="P1750"/>
  <c r="H1750"/>
  <c r="H1749" s="1"/>
  <c r="R1749"/>
  <c r="Q1749"/>
  <c r="P1749"/>
  <c r="R1748"/>
  <c r="Q1748"/>
  <c r="P1748"/>
  <c r="R1747"/>
  <c r="Q1747"/>
  <c r="P1747"/>
  <c r="R1746"/>
  <c r="Q1746"/>
  <c r="P1746"/>
  <c r="R1745"/>
  <c r="Q1745"/>
  <c r="P1745"/>
  <c r="R1744"/>
  <c r="Q1744"/>
  <c r="P1744"/>
  <c r="R1742"/>
  <c r="Q1742"/>
  <c r="P1742"/>
  <c r="H1742"/>
  <c r="R1741"/>
  <c r="Q1741"/>
  <c r="P1741"/>
  <c r="R1740"/>
  <c r="Q1740"/>
  <c r="P1740"/>
  <c r="R1739"/>
  <c r="Q1739"/>
  <c r="P1739"/>
  <c r="R1738"/>
  <c r="Q1738"/>
  <c r="P1738"/>
  <c r="R1737"/>
  <c r="Q1737"/>
  <c r="P1737"/>
  <c r="R1736"/>
  <c r="Q1736"/>
  <c r="P1736"/>
  <c r="R1733"/>
  <c r="Q1733"/>
  <c r="P1733"/>
  <c r="H1733"/>
  <c r="O1733" s="1"/>
  <c r="R1732"/>
  <c r="Q1732"/>
  <c r="P1732"/>
  <c r="R1729"/>
  <c r="Q1729"/>
  <c r="P1729"/>
  <c r="H1729"/>
  <c r="O1729" s="1"/>
  <c r="R1727"/>
  <c r="Q1727"/>
  <c r="P1727"/>
  <c r="H1727"/>
  <c r="O1727" s="1"/>
  <c r="R1724"/>
  <c r="Q1724"/>
  <c r="P1724"/>
  <c r="H1724"/>
  <c r="R1723"/>
  <c r="Q1723"/>
  <c r="P1723"/>
  <c r="R1722"/>
  <c r="Q1722"/>
  <c r="P1722"/>
  <c r="R1721"/>
  <c r="Q1721"/>
  <c r="P1721"/>
  <c r="R1720"/>
  <c r="Q1720"/>
  <c r="P1720"/>
  <c r="R1718"/>
  <c r="Q1718"/>
  <c r="P1718"/>
  <c r="H1718"/>
  <c r="R1717"/>
  <c r="Q1717"/>
  <c r="P1717"/>
  <c r="R1716"/>
  <c r="Q1716"/>
  <c r="P1716"/>
  <c r="R1714"/>
  <c r="Q1714"/>
  <c r="P1714"/>
  <c r="H1714"/>
  <c r="H1713" s="1"/>
  <c r="R1713"/>
  <c r="Q1713"/>
  <c r="P1713"/>
  <c r="R1712"/>
  <c r="Q1712"/>
  <c r="P1712"/>
  <c r="R1710"/>
  <c r="Q1710"/>
  <c r="P1710"/>
  <c r="H1710"/>
  <c r="H1709" s="1"/>
  <c r="R1709"/>
  <c r="Q1709"/>
  <c r="P1709"/>
  <c r="R1708"/>
  <c r="Q1708"/>
  <c r="P1708"/>
  <c r="R1707"/>
  <c r="Q1707"/>
  <c r="P1707"/>
  <c r="R1706"/>
  <c r="Q1706"/>
  <c r="P1706"/>
  <c r="R1704"/>
  <c r="Q1704"/>
  <c r="P1704"/>
  <c r="R1703"/>
  <c r="Q1703"/>
  <c r="P1703"/>
  <c r="R1702"/>
  <c r="Q1702"/>
  <c r="P1702"/>
  <c r="R1701"/>
  <c r="Q1701"/>
  <c r="P1701"/>
  <c r="R1700"/>
  <c r="Q1700"/>
  <c r="P1700"/>
  <c r="R1695"/>
  <c r="Q1695"/>
  <c r="P1695"/>
  <c r="H1695"/>
  <c r="R1694"/>
  <c r="Q1694"/>
  <c r="P1694"/>
  <c r="R1692"/>
  <c r="Q1692"/>
  <c r="P1692"/>
  <c r="H1692"/>
  <c r="O1692" s="1"/>
  <c r="R1691"/>
  <c r="Q1691"/>
  <c r="P1691"/>
  <c r="R1689"/>
  <c r="Q1689"/>
  <c r="P1689"/>
  <c r="H1689"/>
  <c r="O1689" s="1"/>
  <c r="R1688"/>
  <c r="Q1688"/>
  <c r="P1688"/>
  <c r="H1688"/>
  <c r="O1688" s="1"/>
  <c r="R1686"/>
  <c r="Q1686"/>
  <c r="P1686"/>
  <c r="H1686"/>
  <c r="O1686" s="1"/>
  <c r="R1684"/>
  <c r="Q1684"/>
  <c r="P1684"/>
  <c r="H1684"/>
  <c r="O1684" s="1"/>
  <c r="R1682"/>
  <c r="Q1682"/>
  <c r="P1682"/>
  <c r="H1682"/>
  <c r="R1681"/>
  <c r="Q1681"/>
  <c r="P1681"/>
  <c r="R1679"/>
  <c r="Q1679"/>
  <c r="P1679"/>
  <c r="H1679"/>
  <c r="O1679" s="1"/>
  <c r="R1678"/>
  <c r="Q1678"/>
  <c r="P1678"/>
  <c r="R1676"/>
  <c r="Q1676"/>
  <c r="P1676"/>
  <c r="H1676"/>
  <c r="H1675" s="1"/>
  <c r="R1675"/>
  <c r="Q1675"/>
  <c r="P1675"/>
  <c r="R1674"/>
  <c r="Q1674"/>
  <c r="P1674"/>
  <c r="R1672"/>
  <c r="Q1672"/>
  <c r="P1672"/>
  <c r="H1672"/>
  <c r="O1672" s="1"/>
  <c r="R1671"/>
  <c r="Q1671"/>
  <c r="P1671"/>
  <c r="R1670"/>
  <c r="Q1670"/>
  <c r="P1670"/>
  <c r="R1668"/>
  <c r="Q1668"/>
  <c r="P1668"/>
  <c r="H1668"/>
  <c r="O1668" s="1"/>
  <c r="R1667"/>
  <c r="Q1667"/>
  <c r="P1667"/>
  <c r="H1667"/>
  <c r="H1666" s="1"/>
  <c r="R1666"/>
  <c r="Q1666"/>
  <c r="P1666"/>
  <c r="R1665"/>
  <c r="Q1665"/>
  <c r="P1665"/>
  <c r="R1664"/>
  <c r="Q1664"/>
  <c r="P1664"/>
  <c r="R1663"/>
  <c r="Q1663"/>
  <c r="P1663"/>
  <c r="R1661"/>
  <c r="Q1661"/>
  <c r="P1661"/>
  <c r="H1661"/>
  <c r="R1660"/>
  <c r="Q1660"/>
  <c r="P1660"/>
  <c r="R1659"/>
  <c r="Q1659"/>
  <c r="P1659"/>
  <c r="R1657"/>
  <c r="Q1657"/>
  <c r="P1657"/>
  <c r="H1657"/>
  <c r="H1656" s="1"/>
  <c r="R1656"/>
  <c r="Q1656"/>
  <c r="P1656"/>
  <c r="R1655"/>
  <c r="Q1655"/>
  <c r="P1655"/>
  <c r="R1654"/>
  <c r="Q1654"/>
  <c r="P1654"/>
  <c r="R1653"/>
  <c r="Q1653"/>
  <c r="P1653"/>
  <c r="R1652"/>
  <c r="Q1652"/>
  <c r="P1652"/>
  <c r="R1650"/>
  <c r="Q1650"/>
  <c r="P1650"/>
  <c r="H1650"/>
  <c r="H1649" s="1"/>
  <c r="R1649"/>
  <c r="Q1649"/>
  <c r="P1649"/>
  <c r="R1648"/>
  <c r="Q1648"/>
  <c r="P1648"/>
  <c r="R1647"/>
  <c r="Q1647"/>
  <c r="P1647"/>
  <c r="R1646"/>
  <c r="Q1646"/>
  <c r="P1646"/>
  <c r="R1645"/>
  <c r="Q1645"/>
  <c r="P1645"/>
  <c r="R1644"/>
  <c r="Q1644"/>
  <c r="P1644"/>
  <c r="R1642"/>
  <c r="Q1642"/>
  <c r="P1642"/>
  <c r="H1642"/>
  <c r="R1641"/>
  <c r="Q1641"/>
  <c r="P1641"/>
  <c r="R1640"/>
  <c r="Q1640"/>
  <c r="P1640"/>
  <c r="R1639"/>
  <c r="Q1639"/>
  <c r="P1639"/>
  <c r="R1638"/>
  <c r="Q1638"/>
  <c r="P1638"/>
  <c r="R1636"/>
  <c r="Q1636"/>
  <c r="P1636"/>
  <c r="H1636"/>
  <c r="H1635" s="1"/>
  <c r="R1635"/>
  <c r="Q1635"/>
  <c r="P1635"/>
  <c r="R1632"/>
  <c r="Q1632"/>
  <c r="P1632"/>
  <c r="H1632"/>
  <c r="O1632" s="1"/>
  <c r="R1631"/>
  <c r="Q1631"/>
  <c r="P1631"/>
  <c r="R1630"/>
  <c r="Q1630"/>
  <c r="P1630"/>
  <c r="R1628"/>
  <c r="Q1628"/>
  <c r="P1628"/>
  <c r="H1628"/>
  <c r="O1628" s="1"/>
  <c r="R1627"/>
  <c r="Q1627"/>
  <c r="P1627"/>
  <c r="R1625"/>
  <c r="Q1625"/>
  <c r="P1625"/>
  <c r="H1625"/>
  <c r="H1624" s="1"/>
  <c r="O1624" s="1"/>
  <c r="R1624"/>
  <c r="Q1624"/>
  <c r="P1624"/>
  <c r="R1622"/>
  <c r="Q1622"/>
  <c r="P1622"/>
  <c r="H1622"/>
  <c r="H1621" s="1"/>
  <c r="O1621" s="1"/>
  <c r="R1621"/>
  <c r="Q1621"/>
  <c r="P1621"/>
  <c r="R1619"/>
  <c r="Q1619"/>
  <c r="P1619"/>
  <c r="H1619"/>
  <c r="R1618"/>
  <c r="Q1618"/>
  <c r="P1618"/>
  <c r="R1614"/>
  <c r="R1613"/>
  <c r="Q1613"/>
  <c r="P1613"/>
  <c r="H1613"/>
  <c r="O1613" s="1"/>
  <c r="R1612"/>
  <c r="Q1612"/>
  <c r="P1612"/>
  <c r="R1610"/>
  <c r="Q1610"/>
  <c r="P1610"/>
  <c r="H1610"/>
  <c r="H1609" s="1"/>
  <c r="O1609" s="1"/>
  <c r="R1609"/>
  <c r="Q1609"/>
  <c r="P1609"/>
  <c r="R1607"/>
  <c r="Q1607"/>
  <c r="P1607"/>
  <c r="H1607"/>
  <c r="H1606" s="1"/>
  <c r="O1606" s="1"/>
  <c r="R1606"/>
  <c r="Q1606"/>
  <c r="P1606"/>
  <c r="R1604"/>
  <c r="Q1604"/>
  <c r="P1604"/>
  <c r="H1604"/>
  <c r="H1603" s="1"/>
  <c r="R1603"/>
  <c r="Q1603"/>
  <c r="P1603"/>
  <c r="R1602"/>
  <c r="Q1602"/>
  <c r="P1602"/>
  <c r="R1601"/>
  <c r="Q1601"/>
  <c r="P1601"/>
  <c r="R1600"/>
  <c r="Q1600"/>
  <c r="P1600"/>
  <c r="R1598"/>
  <c r="Q1598"/>
  <c r="P1598"/>
  <c r="H1598"/>
  <c r="O1598" s="1"/>
  <c r="R1597"/>
  <c r="Q1597"/>
  <c r="P1597"/>
  <c r="H1597"/>
  <c r="H1596" s="1"/>
  <c r="R1596"/>
  <c r="Q1596"/>
  <c r="P1596"/>
  <c r="R1595"/>
  <c r="Q1595"/>
  <c r="P1595"/>
  <c r="R1594"/>
  <c r="Q1594"/>
  <c r="P1594"/>
  <c r="R1593"/>
  <c r="Q1593"/>
  <c r="P1593"/>
  <c r="R1591"/>
  <c r="Q1591"/>
  <c r="P1591"/>
  <c r="H1591"/>
  <c r="R1590"/>
  <c r="Q1590"/>
  <c r="P1590"/>
  <c r="R1589"/>
  <c r="Q1589"/>
  <c r="P1589"/>
  <c r="R1588"/>
  <c r="Q1588"/>
  <c r="P1588"/>
  <c r="R1586"/>
  <c r="Q1586"/>
  <c r="P1586"/>
  <c r="H1586"/>
  <c r="O1586" s="1"/>
  <c r="R1585"/>
  <c r="Q1585"/>
  <c r="P1585"/>
  <c r="H1585"/>
  <c r="O1585" s="1"/>
  <c r="R1583"/>
  <c r="Q1583"/>
  <c r="P1583"/>
  <c r="H1583"/>
  <c r="H1582" s="1"/>
  <c r="O1582" s="1"/>
  <c r="R1582"/>
  <c r="Q1582"/>
  <c r="P1582"/>
  <c r="R1580"/>
  <c r="Q1580"/>
  <c r="P1580"/>
  <c r="H1580"/>
  <c r="R1579"/>
  <c r="Q1579"/>
  <c r="P1579"/>
  <c r="R1578"/>
  <c r="Q1578"/>
  <c r="P1578"/>
  <c r="R1577"/>
  <c r="Q1577"/>
  <c r="P1577"/>
  <c r="R1576"/>
  <c r="Q1576"/>
  <c r="P1576"/>
  <c r="R1575"/>
  <c r="Q1575"/>
  <c r="P1575"/>
  <c r="R1572"/>
  <c r="Q1572"/>
  <c r="P1572"/>
  <c r="H1572"/>
  <c r="O1572" s="1"/>
  <c r="R1571"/>
  <c r="Q1571"/>
  <c r="P1571"/>
  <c r="R1570"/>
  <c r="Q1570"/>
  <c r="P1570"/>
  <c r="R1569"/>
  <c r="Q1569"/>
  <c r="P1569"/>
  <c r="R1568"/>
  <c r="Q1568"/>
  <c r="P1568"/>
  <c r="R1567"/>
  <c r="Q1567"/>
  <c r="P1567"/>
  <c r="R1566"/>
  <c r="Q1566"/>
  <c r="P1566"/>
  <c r="R1564"/>
  <c r="Q1564"/>
  <c r="P1564"/>
  <c r="H1564"/>
  <c r="H1563" s="1"/>
  <c r="R1563"/>
  <c r="Q1563"/>
  <c r="P1563"/>
  <c r="R1562"/>
  <c r="Q1562"/>
  <c r="P1562"/>
  <c r="R1561"/>
  <c r="Q1561"/>
  <c r="P1561"/>
  <c r="R1559"/>
  <c r="Q1559"/>
  <c r="P1559"/>
  <c r="H1559"/>
  <c r="O1559" s="1"/>
  <c r="R1558"/>
  <c r="Q1558"/>
  <c r="P1558"/>
  <c r="H1558"/>
  <c r="O1558" s="1"/>
  <c r="R1557"/>
  <c r="Q1557"/>
  <c r="P1557"/>
  <c r="R1556"/>
  <c r="Q1556"/>
  <c r="P1556"/>
  <c r="R1555"/>
  <c r="Q1555"/>
  <c r="P1555"/>
  <c r="R1554"/>
  <c r="Q1554"/>
  <c r="P1554"/>
  <c r="R1553"/>
  <c r="Q1553"/>
  <c r="P1553"/>
  <c r="R1552"/>
  <c r="Q1552"/>
  <c r="P1552"/>
  <c r="R1551"/>
  <c r="Q1551"/>
  <c r="P1551"/>
  <c r="O1551"/>
  <c r="R1549"/>
  <c r="Q1549"/>
  <c r="P1549"/>
  <c r="H1549"/>
  <c r="H1548" s="1"/>
  <c r="O1548" s="1"/>
  <c r="R1548"/>
  <c r="Q1548"/>
  <c r="P1548"/>
  <c r="R1546"/>
  <c r="Q1546"/>
  <c r="P1546"/>
  <c r="H1546"/>
  <c r="O1546" s="1"/>
  <c r="R1545"/>
  <c r="Q1545"/>
  <c r="P1545"/>
  <c r="R1544"/>
  <c r="Q1544"/>
  <c r="P1544"/>
  <c r="R1543"/>
  <c r="Q1543"/>
  <c r="P1543"/>
  <c r="R1542"/>
  <c r="Q1542"/>
  <c r="P1542"/>
  <c r="R1541"/>
  <c r="Q1541"/>
  <c r="P1541"/>
  <c r="R1540"/>
  <c r="Q1540"/>
  <c r="P1540"/>
  <c r="R1538"/>
  <c r="Q1538"/>
  <c r="P1538"/>
  <c r="H1538"/>
  <c r="H1537" s="1"/>
  <c r="R1537"/>
  <c r="Q1537"/>
  <c r="P1537"/>
  <c r="R1536"/>
  <c r="Q1536"/>
  <c r="P1536"/>
  <c r="R1535"/>
  <c r="Q1535"/>
  <c r="P1535"/>
  <c r="H1534"/>
  <c r="H1533" s="1"/>
  <c r="H1529" s="1"/>
  <c r="H1528"/>
  <c r="H1527" s="1"/>
  <c r="H1523" s="1"/>
  <c r="R1521"/>
  <c r="Q1521"/>
  <c r="P1521"/>
  <c r="H1521"/>
  <c r="R1520"/>
  <c r="Q1520"/>
  <c r="P1520"/>
  <c r="R1518"/>
  <c r="Q1518"/>
  <c r="P1518"/>
  <c r="H1518"/>
  <c r="O1518" s="1"/>
  <c r="R1517"/>
  <c r="Q1517"/>
  <c r="P1517"/>
  <c r="H1517"/>
  <c r="R1516"/>
  <c r="Q1516"/>
  <c r="P1516"/>
  <c r="R1515"/>
  <c r="Q1515"/>
  <c r="P1515"/>
  <c r="R1514"/>
  <c r="Q1514"/>
  <c r="P1514"/>
  <c r="R1513"/>
  <c r="Q1513"/>
  <c r="P1513"/>
  <c r="R1506"/>
  <c r="R1505"/>
  <c r="Q1505"/>
  <c r="P1505"/>
  <c r="H1505"/>
  <c r="H1504" s="1"/>
  <c r="R1504"/>
  <c r="Q1504"/>
  <c r="P1504"/>
  <c r="R1503"/>
  <c r="Q1503"/>
  <c r="P1503"/>
  <c r="R1502"/>
  <c r="Q1502"/>
  <c r="P1502"/>
  <c r="R1501"/>
  <c r="Q1501"/>
  <c r="P1501"/>
  <c r="R1500"/>
  <c r="Q1500"/>
  <c r="P1500"/>
  <c r="R1499"/>
  <c r="Q1499"/>
  <c r="P1499"/>
  <c r="R1492"/>
  <c r="Q1492"/>
  <c r="P1492"/>
  <c r="H1492"/>
  <c r="H1491" s="1"/>
  <c r="R1491"/>
  <c r="Q1491"/>
  <c r="P1491"/>
  <c r="R1486"/>
  <c r="Q1486"/>
  <c r="P1486"/>
  <c r="H1486"/>
  <c r="O1486" s="1"/>
  <c r="R1485"/>
  <c r="Q1485"/>
  <c r="P1485"/>
  <c r="R1484"/>
  <c r="Q1484"/>
  <c r="P1484"/>
  <c r="R1483"/>
  <c r="Q1483"/>
  <c r="P1483"/>
  <c r="R1482"/>
  <c r="Q1482"/>
  <c r="P1482"/>
  <c r="R1481"/>
  <c r="Q1481"/>
  <c r="P1481"/>
  <c r="R1480"/>
  <c r="Q1480"/>
  <c r="P1480"/>
  <c r="R1477"/>
  <c r="Q1477"/>
  <c r="P1477"/>
  <c r="H1476"/>
  <c r="O1476" s="1"/>
  <c r="R1476"/>
  <c r="Q1476"/>
  <c r="P1476"/>
  <c r="R1474"/>
  <c r="Q1474"/>
  <c r="P1474"/>
  <c r="H1474"/>
  <c r="O1474" s="1"/>
  <c r="R1473"/>
  <c r="Q1473"/>
  <c r="P1473"/>
  <c r="H1473"/>
  <c r="R1472"/>
  <c r="Q1472"/>
  <c r="P1472"/>
  <c r="R1471"/>
  <c r="Q1471"/>
  <c r="P1471"/>
  <c r="R1469"/>
  <c r="Q1469"/>
  <c r="P1469"/>
  <c r="H1469"/>
  <c r="O1469" s="1"/>
  <c r="R1468"/>
  <c r="Q1468"/>
  <c r="P1468"/>
  <c r="R1466"/>
  <c r="Q1466"/>
  <c r="P1466"/>
  <c r="H1466"/>
  <c r="H1465" s="1"/>
  <c r="R1465"/>
  <c r="Q1465"/>
  <c r="P1465"/>
  <c r="R1464"/>
  <c r="Q1464"/>
  <c r="P1464"/>
  <c r="R1463"/>
  <c r="Q1463"/>
  <c r="P1463"/>
  <c r="R1462"/>
  <c r="Q1462"/>
  <c r="P1462"/>
  <c r="R1461"/>
  <c r="Q1461"/>
  <c r="P1461"/>
  <c r="R1459"/>
  <c r="Q1459"/>
  <c r="P1459"/>
  <c r="H1459"/>
  <c r="O1459" s="1"/>
  <c r="R1458"/>
  <c r="Q1458"/>
  <c r="P1458"/>
  <c r="H1458"/>
  <c r="O1458" s="1"/>
  <c r="R1456"/>
  <c r="Q1456"/>
  <c r="P1456"/>
  <c r="H1456"/>
  <c r="O1456" s="1"/>
  <c r="R1452"/>
  <c r="Q1452"/>
  <c r="P1452"/>
  <c r="H1452"/>
  <c r="H1451" s="1"/>
  <c r="O1451" s="1"/>
  <c r="R1451"/>
  <c r="Q1451"/>
  <c r="P1451"/>
  <c r="R1448"/>
  <c r="Q1448"/>
  <c r="P1448"/>
  <c r="H1448"/>
  <c r="R1447"/>
  <c r="Q1447"/>
  <c r="P1447"/>
  <c r="R1444"/>
  <c r="Q1444"/>
  <c r="P1444"/>
  <c r="H1444"/>
  <c r="O1444" s="1"/>
  <c r="R1442"/>
  <c r="Q1442"/>
  <c r="P1442"/>
  <c r="H1442"/>
  <c r="O1442" s="1"/>
  <c r="R1439"/>
  <c r="Q1439"/>
  <c r="P1439"/>
  <c r="H1439"/>
  <c r="O1439" s="1"/>
  <c r="R1438"/>
  <c r="Q1438"/>
  <c r="P1438"/>
  <c r="R1437"/>
  <c r="Q1437"/>
  <c r="P1437"/>
  <c r="R1436"/>
  <c r="Q1436"/>
  <c r="P1436"/>
  <c r="R1435"/>
  <c r="Q1435"/>
  <c r="P1435"/>
  <c r="R1434"/>
  <c r="Q1434"/>
  <c r="P1434"/>
  <c r="R1433"/>
  <c r="Q1433"/>
  <c r="P1433"/>
  <c r="R1432"/>
  <c r="Q1432"/>
  <c r="P1432"/>
  <c r="O1432"/>
  <c r="R1430"/>
  <c r="Q1430"/>
  <c r="P1430"/>
  <c r="H1430"/>
  <c r="O1430" s="1"/>
  <c r="R1429"/>
  <c r="Q1429"/>
  <c r="P1429"/>
  <c r="R1427"/>
  <c r="Q1427"/>
  <c r="P1427"/>
  <c r="H1427"/>
  <c r="H1426" s="1"/>
  <c r="O1426" s="1"/>
  <c r="R1426"/>
  <c r="Q1426"/>
  <c r="P1426"/>
  <c r="R1425"/>
  <c r="Q1425"/>
  <c r="P1425"/>
  <c r="R1424"/>
  <c r="Q1424"/>
  <c r="P1424"/>
  <c r="R1423"/>
  <c r="Q1423"/>
  <c r="P1423"/>
  <c r="R1422"/>
  <c r="Q1422"/>
  <c r="P1422"/>
  <c r="R1421"/>
  <c r="Q1421"/>
  <c r="P1421"/>
  <c r="R1419"/>
  <c r="Q1419"/>
  <c r="P1419"/>
  <c r="H1419"/>
  <c r="R1418"/>
  <c r="Q1418"/>
  <c r="P1418"/>
  <c r="R1417"/>
  <c r="Q1417"/>
  <c r="P1417"/>
  <c r="R1416"/>
  <c r="Q1416"/>
  <c r="P1416"/>
  <c r="H1415"/>
  <c r="H1414" s="1"/>
  <c r="H1410" s="1"/>
  <c r="H1409"/>
  <c r="H1408" s="1"/>
  <c r="H1404" s="1"/>
  <c r="R1402"/>
  <c r="Q1402"/>
  <c r="P1402"/>
  <c r="H1402"/>
  <c r="H1401" s="1"/>
  <c r="O1401" s="1"/>
  <c r="R1401"/>
  <c r="Q1401"/>
  <c r="P1401"/>
  <c r="R1399"/>
  <c r="Q1399"/>
  <c r="P1399"/>
  <c r="H1399"/>
  <c r="O1399" s="1"/>
  <c r="R1398"/>
  <c r="Q1398"/>
  <c r="P1398"/>
  <c r="R1396"/>
  <c r="Q1396"/>
  <c r="P1396"/>
  <c r="H1396"/>
  <c r="O1396" s="1"/>
  <c r="R1395"/>
  <c r="Q1395"/>
  <c r="P1395"/>
  <c r="H1395"/>
  <c r="O1395" s="1"/>
  <c r="R1394"/>
  <c r="Q1394"/>
  <c r="P1394"/>
  <c r="R1393"/>
  <c r="Q1393"/>
  <c r="P1393"/>
  <c r="R1392"/>
  <c r="Q1392"/>
  <c r="P1392"/>
  <c r="R1391"/>
  <c r="Q1391"/>
  <c r="P1391"/>
  <c r="R1388"/>
  <c r="Q1388"/>
  <c r="P1388"/>
  <c r="H1388"/>
  <c r="O1388" s="1"/>
  <c r="R1387"/>
  <c r="Q1387"/>
  <c r="P1387"/>
  <c r="R1386"/>
  <c r="Q1386"/>
  <c r="P1386"/>
  <c r="R1385"/>
  <c r="Q1385"/>
  <c r="P1385"/>
  <c r="R1384"/>
  <c r="Q1384"/>
  <c r="P1384"/>
  <c r="R1383"/>
  <c r="Q1383"/>
  <c r="P1383"/>
  <c r="R1382"/>
  <c r="Q1382"/>
  <c r="P1382"/>
  <c r="R1380"/>
  <c r="Q1380"/>
  <c r="P1380"/>
  <c r="H1380"/>
  <c r="O1380" s="1"/>
  <c r="R1379"/>
  <c r="Q1379"/>
  <c r="P1379"/>
  <c r="R1377"/>
  <c r="Q1377"/>
  <c r="P1377"/>
  <c r="H1377"/>
  <c r="H1376" s="1"/>
  <c r="O1376" s="1"/>
  <c r="R1376"/>
  <c r="Q1376"/>
  <c r="P1376"/>
  <c r="R1375"/>
  <c r="Q1375"/>
  <c r="P1375"/>
  <c r="R1374"/>
  <c r="Q1374"/>
  <c r="P1374"/>
  <c r="R1373"/>
  <c r="Q1373"/>
  <c r="P1373"/>
  <c r="R1372"/>
  <c r="Q1372"/>
  <c r="P1372"/>
  <c r="R1371"/>
  <c r="Q1371"/>
  <c r="P1371"/>
  <c r="R1369"/>
  <c r="Q1369"/>
  <c r="P1369"/>
  <c r="H1369"/>
  <c r="O1369" s="1"/>
  <c r="R1368"/>
  <c r="Q1368"/>
  <c r="P1368"/>
  <c r="R1367"/>
  <c r="Q1367"/>
  <c r="P1367"/>
  <c r="R1366"/>
  <c r="Q1366"/>
  <c r="P1366"/>
  <c r="R1365"/>
  <c r="Q1365"/>
  <c r="P1365"/>
  <c r="R1364"/>
  <c r="Q1364"/>
  <c r="P1364"/>
  <c r="R1362"/>
  <c r="Q1362"/>
  <c r="P1362"/>
  <c r="H1362"/>
  <c r="O1362" s="1"/>
  <c r="E1362"/>
  <c r="D1362"/>
  <c r="C1362"/>
  <c r="R1361"/>
  <c r="Q1361"/>
  <c r="P1361"/>
  <c r="E1361"/>
  <c r="D1361"/>
  <c r="C1361"/>
  <c r="R1359"/>
  <c r="Q1359"/>
  <c r="P1359"/>
  <c r="H1359"/>
  <c r="O1359" s="1"/>
  <c r="R1355"/>
  <c r="Q1355"/>
  <c r="P1355"/>
  <c r="H1355"/>
  <c r="O1355" s="1"/>
  <c r="R1354"/>
  <c r="Q1354"/>
  <c r="P1354"/>
  <c r="R1351"/>
  <c r="Q1351"/>
  <c r="P1351"/>
  <c r="H1351"/>
  <c r="O1351" s="1"/>
  <c r="R1350"/>
  <c r="Q1350"/>
  <c r="P1350"/>
  <c r="H1350"/>
  <c r="O1350" s="1"/>
  <c r="R1347"/>
  <c r="Q1347"/>
  <c r="P1347"/>
  <c r="H1347"/>
  <c r="O1347" s="1"/>
  <c r="R1345"/>
  <c r="Q1345"/>
  <c r="P1345"/>
  <c r="H1345"/>
  <c r="O1345" s="1"/>
  <c r="R1342"/>
  <c r="Q1342"/>
  <c r="P1342"/>
  <c r="H1342"/>
  <c r="R1341"/>
  <c r="Q1341"/>
  <c r="P1341"/>
  <c r="R1340"/>
  <c r="Q1340"/>
  <c r="P1340"/>
  <c r="R1339"/>
  <c r="Q1339"/>
  <c r="P1339"/>
  <c r="R1338"/>
  <c r="Q1338"/>
  <c r="P1338"/>
  <c r="R1337"/>
  <c r="Q1337"/>
  <c r="P1337"/>
  <c r="R1336"/>
  <c r="Q1336"/>
  <c r="P1336"/>
  <c r="R1335"/>
  <c r="Q1335"/>
  <c r="P1335"/>
  <c r="O1335"/>
  <c r="R1333"/>
  <c r="Q1333"/>
  <c r="P1333"/>
  <c r="H1333"/>
  <c r="H1332" s="1"/>
  <c r="O1332" s="1"/>
  <c r="R1332"/>
  <c r="Q1332"/>
  <c r="P1332"/>
  <c r="R1330"/>
  <c r="Q1330"/>
  <c r="P1330"/>
  <c r="H1330"/>
  <c r="H1329" s="1"/>
  <c r="O1329" s="1"/>
  <c r="R1329"/>
  <c r="Q1329"/>
  <c r="P1329"/>
  <c r="R1328"/>
  <c r="Q1328"/>
  <c r="P1328"/>
  <c r="R1327"/>
  <c r="Q1327"/>
  <c r="P1327"/>
  <c r="R1326"/>
  <c r="Q1326"/>
  <c r="P1326"/>
  <c r="R1325"/>
  <c r="Q1325"/>
  <c r="P1325"/>
  <c r="R1324"/>
  <c r="Q1324"/>
  <c r="P1324"/>
  <c r="R1322"/>
  <c r="Q1322"/>
  <c r="P1322"/>
  <c r="H1322"/>
  <c r="R1321"/>
  <c r="Q1321"/>
  <c r="P1321"/>
  <c r="R1320"/>
  <c r="Q1320"/>
  <c r="P1320"/>
  <c r="R1319"/>
  <c r="Q1319"/>
  <c r="P1319"/>
  <c r="H1317"/>
  <c r="H1313"/>
  <c r="H1311"/>
  <c r="H1307"/>
  <c r="R1305"/>
  <c r="Q1305"/>
  <c r="P1305"/>
  <c r="H1305"/>
  <c r="R1304"/>
  <c r="Q1304"/>
  <c r="P1304"/>
  <c r="R1302"/>
  <c r="Q1302"/>
  <c r="P1302"/>
  <c r="H1302"/>
  <c r="H1301" s="1"/>
  <c r="O1301" s="1"/>
  <c r="R1301"/>
  <c r="Q1301"/>
  <c r="P1301"/>
  <c r="R1299"/>
  <c r="Q1299"/>
  <c r="P1299"/>
  <c r="H1299"/>
  <c r="O1299" s="1"/>
  <c r="R1298"/>
  <c r="Q1298"/>
  <c r="P1298"/>
  <c r="R1297"/>
  <c r="Q1297"/>
  <c r="P1297"/>
  <c r="R1296"/>
  <c r="Q1296"/>
  <c r="P1296"/>
  <c r="R1295"/>
  <c r="Q1295"/>
  <c r="P1295"/>
  <c r="R1294"/>
  <c r="Q1294"/>
  <c r="P1294"/>
  <c r="R1291"/>
  <c r="Q1291"/>
  <c r="P1291"/>
  <c r="H1291"/>
  <c r="O1291" s="1"/>
  <c r="R1290"/>
  <c r="Q1290"/>
  <c r="P1290"/>
  <c r="R1289"/>
  <c r="Q1289"/>
  <c r="P1289"/>
  <c r="R1288"/>
  <c r="Q1288"/>
  <c r="P1288"/>
  <c r="R1287"/>
  <c r="Q1287"/>
  <c r="P1287"/>
  <c r="R1286"/>
  <c r="Q1286"/>
  <c r="P1286"/>
  <c r="R1285"/>
  <c r="Q1285"/>
  <c r="P1285"/>
  <c r="R1280"/>
  <c r="Q1280"/>
  <c r="P1280"/>
  <c r="H1280"/>
  <c r="H1279" s="1"/>
  <c r="R1279"/>
  <c r="Q1279"/>
  <c r="P1279"/>
  <c r="R1277"/>
  <c r="Q1277"/>
  <c r="P1277"/>
  <c r="H1277"/>
  <c r="O1277" s="1"/>
  <c r="R1276"/>
  <c r="Q1276"/>
  <c r="P1276"/>
  <c r="R1275"/>
  <c r="Q1275"/>
  <c r="P1275"/>
  <c r="R1274"/>
  <c r="Q1274"/>
  <c r="P1274"/>
  <c r="R1273"/>
  <c r="Q1273"/>
  <c r="P1273"/>
  <c r="R1272"/>
  <c r="Q1272"/>
  <c r="P1272"/>
  <c r="R1271"/>
  <c r="Q1271"/>
  <c r="P1271"/>
  <c r="R1269"/>
  <c r="Q1269"/>
  <c r="P1269"/>
  <c r="H1269"/>
  <c r="H1268" s="1"/>
  <c r="R1268"/>
  <c r="Q1268"/>
  <c r="P1268"/>
  <c r="R1267"/>
  <c r="Q1267"/>
  <c r="P1267"/>
  <c r="R1266"/>
  <c r="Q1266"/>
  <c r="P1266"/>
  <c r="R1264"/>
  <c r="Q1264"/>
  <c r="P1264"/>
  <c r="H1264"/>
  <c r="H1263" s="1"/>
  <c r="O1263" s="1"/>
  <c r="R1263"/>
  <c r="Q1263"/>
  <c r="P1263"/>
  <c r="R1261"/>
  <c r="Q1261"/>
  <c r="P1261"/>
  <c r="H1261"/>
  <c r="R1260"/>
  <c r="Q1260"/>
  <c r="P1260"/>
  <c r="R1259"/>
  <c r="Q1259"/>
  <c r="P1259"/>
  <c r="R1258"/>
  <c r="Q1258"/>
  <c r="P1258"/>
  <c r="R1257"/>
  <c r="Q1257"/>
  <c r="P1257"/>
  <c r="R1256"/>
  <c r="Q1256"/>
  <c r="P1256"/>
  <c r="R1254"/>
  <c r="Q1254"/>
  <c r="P1254"/>
  <c r="H1254"/>
  <c r="H1253" s="1"/>
  <c r="O1253" s="1"/>
  <c r="R1253"/>
  <c r="Q1253"/>
  <c r="P1253"/>
  <c r="R1251"/>
  <c r="Q1251"/>
  <c r="P1251"/>
  <c r="H1251"/>
  <c r="O1251" s="1"/>
  <c r="R1247"/>
  <c r="Q1247"/>
  <c r="P1247"/>
  <c r="H1247"/>
  <c r="O1247" s="1"/>
  <c r="R1246"/>
  <c r="Q1246"/>
  <c r="P1246"/>
  <c r="R1243"/>
  <c r="Q1243"/>
  <c r="P1243"/>
  <c r="H1243"/>
  <c r="O1243" s="1"/>
  <c r="R1242"/>
  <c r="Q1242"/>
  <c r="P1242"/>
  <c r="R1239"/>
  <c r="Q1239"/>
  <c r="P1239"/>
  <c r="H1239"/>
  <c r="R1237"/>
  <c r="Q1237"/>
  <c r="P1237"/>
  <c r="H1237"/>
  <c r="O1237" s="1"/>
  <c r="R1234"/>
  <c r="Q1234"/>
  <c r="P1234"/>
  <c r="H1234"/>
  <c r="O1234" s="1"/>
  <c r="R1233"/>
  <c r="Q1233"/>
  <c r="P1233"/>
  <c r="R1232"/>
  <c r="Q1232"/>
  <c r="P1232"/>
  <c r="R1231"/>
  <c r="Q1231"/>
  <c r="P1231"/>
  <c r="R1230"/>
  <c r="Q1230"/>
  <c r="P1230"/>
  <c r="R1229"/>
  <c r="Q1229"/>
  <c r="P1229"/>
  <c r="R1228"/>
  <c r="Q1228"/>
  <c r="P1228"/>
  <c r="R1227"/>
  <c r="Q1227"/>
  <c r="P1227"/>
  <c r="O1227"/>
  <c r="R1225"/>
  <c r="Q1225"/>
  <c r="P1225"/>
  <c r="H1225"/>
  <c r="O1225" s="1"/>
  <c r="R1222"/>
  <c r="Q1222"/>
  <c r="P1222"/>
  <c r="H1222"/>
  <c r="O1222" s="1"/>
  <c r="R1221"/>
  <c r="Q1221"/>
  <c r="P1221"/>
  <c r="R1218"/>
  <c r="Q1218"/>
  <c r="P1218"/>
  <c r="H1218"/>
  <c r="H1217" s="1"/>
  <c r="O1217" s="1"/>
  <c r="R1217"/>
  <c r="Q1217"/>
  <c r="P1217"/>
  <c r="R1214"/>
  <c r="Q1214"/>
  <c r="P1214"/>
  <c r="H1214"/>
  <c r="O1214" s="1"/>
  <c r="R1212"/>
  <c r="Q1212"/>
  <c r="P1212"/>
  <c r="H1212"/>
  <c r="O1212" s="1"/>
  <c r="R1209"/>
  <c r="Q1209"/>
  <c r="P1209"/>
  <c r="H1209"/>
  <c r="R1208"/>
  <c r="Q1208"/>
  <c r="P1208"/>
  <c r="R1207"/>
  <c r="Q1207"/>
  <c r="P1207"/>
  <c r="R1206"/>
  <c r="Q1206"/>
  <c r="P1206"/>
  <c r="R1205"/>
  <c r="Q1205"/>
  <c r="P1205"/>
  <c r="R1203"/>
  <c r="Q1203"/>
  <c r="P1203"/>
  <c r="H1203"/>
  <c r="H1202" s="1"/>
  <c r="R1202"/>
  <c r="Q1202"/>
  <c r="P1202"/>
  <c r="R1201"/>
  <c r="Q1201"/>
  <c r="P1201"/>
  <c r="R1200"/>
  <c r="Q1200"/>
  <c r="P1200"/>
  <c r="R1199"/>
  <c r="Q1199"/>
  <c r="P1199"/>
  <c r="R1198"/>
  <c r="Q1198"/>
  <c r="P1198"/>
  <c r="R1196"/>
  <c r="Q1196"/>
  <c r="P1196"/>
  <c r="H1196"/>
  <c r="O1196" s="1"/>
  <c r="R1195"/>
  <c r="Q1195"/>
  <c r="P1195"/>
  <c r="R1194"/>
  <c r="Q1194"/>
  <c r="P1194"/>
  <c r="R1192"/>
  <c r="Q1192"/>
  <c r="P1192"/>
  <c r="H1192"/>
  <c r="H1191" s="1"/>
  <c r="R1191"/>
  <c r="Q1191"/>
  <c r="P1191"/>
  <c r="R1190"/>
  <c r="Q1190"/>
  <c r="P1190"/>
  <c r="R1188"/>
  <c r="Q1188"/>
  <c r="P1188"/>
  <c r="H1188"/>
  <c r="O1188" s="1"/>
  <c r="R1186"/>
  <c r="Q1186"/>
  <c r="P1186"/>
  <c r="H1186"/>
  <c r="O1186" s="1"/>
  <c r="R1185"/>
  <c r="Q1185"/>
  <c r="P1185"/>
  <c r="R1184"/>
  <c r="Q1184"/>
  <c r="P1184"/>
  <c r="R1183"/>
  <c r="Q1183"/>
  <c r="P1183"/>
  <c r="R1181"/>
  <c r="Q1181"/>
  <c r="P1181"/>
  <c r="H1181"/>
  <c r="O1181" s="1"/>
  <c r="R1180"/>
  <c r="Q1180"/>
  <c r="P1180"/>
  <c r="R1179"/>
  <c r="Q1179"/>
  <c r="P1179"/>
  <c r="R1178"/>
  <c r="Q1178"/>
  <c r="P1178"/>
  <c r="R1177"/>
  <c r="Q1177"/>
  <c r="P1177"/>
  <c r="R1176"/>
  <c r="Q1176"/>
  <c r="P1176"/>
  <c r="R1174"/>
  <c r="Q1174"/>
  <c r="P1174"/>
  <c r="H1174"/>
  <c r="H1173" s="1"/>
  <c r="R1173"/>
  <c r="Q1173"/>
  <c r="P1173"/>
  <c r="R1172"/>
  <c r="Q1172"/>
  <c r="P1172"/>
  <c r="R1171"/>
  <c r="Q1171"/>
  <c r="P1171"/>
  <c r="R1170"/>
  <c r="Q1170"/>
  <c r="P1170"/>
  <c r="R1169"/>
  <c r="Q1169"/>
  <c r="P1169"/>
  <c r="R1168"/>
  <c r="Q1168"/>
  <c r="P1168"/>
  <c r="R1166"/>
  <c r="Q1166"/>
  <c r="P1166"/>
  <c r="H1166"/>
  <c r="O1166" s="1"/>
  <c r="R1165"/>
  <c r="Q1165"/>
  <c r="P1165"/>
  <c r="R1164"/>
  <c r="Q1164"/>
  <c r="P1164"/>
  <c r="R1163"/>
  <c r="Q1163"/>
  <c r="P1163"/>
  <c r="R1162"/>
  <c r="Q1162"/>
  <c r="P1162"/>
  <c r="R1160"/>
  <c r="Q1160"/>
  <c r="P1160"/>
  <c r="H1160"/>
  <c r="H1159" s="1"/>
  <c r="H1158" s="1"/>
  <c r="R1159"/>
  <c r="Q1159"/>
  <c r="P1159"/>
  <c r="R1158"/>
  <c r="Q1158"/>
  <c r="P1158"/>
  <c r="R1157"/>
  <c r="Q1157"/>
  <c r="P1157"/>
  <c r="R1156"/>
  <c r="Q1156"/>
  <c r="P1156"/>
  <c r="R1155"/>
  <c r="Q1155"/>
  <c r="P1155"/>
  <c r="R1154"/>
  <c r="Q1154"/>
  <c r="P1154"/>
  <c r="R1153"/>
  <c r="Q1153"/>
  <c r="P1153"/>
  <c r="R1152"/>
  <c r="Q1152"/>
  <c r="P1152"/>
  <c r="O1152"/>
  <c r="R1149"/>
  <c r="Q1149"/>
  <c r="P1149"/>
  <c r="H1149"/>
  <c r="O1149" s="1"/>
  <c r="R1147"/>
  <c r="Q1147"/>
  <c r="P1147"/>
  <c r="H1147"/>
  <c r="O1147" s="1"/>
  <c r="R1143"/>
  <c r="Q1143"/>
  <c r="P1143"/>
  <c r="H1143"/>
  <c r="H1142" s="1"/>
  <c r="O1142" s="1"/>
  <c r="R1142"/>
  <c r="Q1142"/>
  <c r="P1142"/>
  <c r="R1140"/>
  <c r="Q1140"/>
  <c r="P1140"/>
  <c r="H1140"/>
  <c r="O1140" s="1"/>
  <c r="R1136"/>
  <c r="Q1136"/>
  <c r="P1136"/>
  <c r="H1136"/>
  <c r="H1135" s="1"/>
  <c r="O1135" s="1"/>
  <c r="R1135"/>
  <c r="Q1135"/>
  <c r="P1135"/>
  <c r="R1132"/>
  <c r="Q1132"/>
  <c r="P1132"/>
  <c r="H1132"/>
  <c r="O1132" s="1"/>
  <c r="R1131"/>
  <c r="Q1131"/>
  <c r="P1131"/>
  <c r="R1129"/>
  <c r="Q1129"/>
  <c r="P1129"/>
  <c r="H1129"/>
  <c r="O1129" s="1"/>
  <c r="R1127"/>
  <c r="Q1127"/>
  <c r="P1127"/>
  <c r="H1127"/>
  <c r="O1127" s="1"/>
  <c r="R1124"/>
  <c r="Q1124"/>
  <c r="P1124"/>
  <c r="H1124"/>
  <c r="R1123"/>
  <c r="Q1123"/>
  <c r="P1123"/>
  <c r="R1122"/>
  <c r="Q1122"/>
  <c r="P1122"/>
  <c r="R1121"/>
  <c r="Q1121"/>
  <c r="P1121"/>
  <c r="R1119"/>
  <c r="Q1119"/>
  <c r="P1119"/>
  <c r="H1119"/>
  <c r="O1119" s="1"/>
  <c r="R1118"/>
  <c r="Q1118"/>
  <c r="P1118"/>
  <c r="R1115"/>
  <c r="Q1115"/>
  <c r="P1115"/>
  <c r="H1115"/>
  <c r="O1115" s="1"/>
  <c r="R1113"/>
  <c r="Q1113"/>
  <c r="P1113"/>
  <c r="H1113"/>
  <c r="R1112"/>
  <c r="Q1112"/>
  <c r="P1112"/>
  <c r="R1111"/>
  <c r="Q1111"/>
  <c r="P1111"/>
  <c r="R1110"/>
  <c r="Q1110"/>
  <c r="P1110"/>
  <c r="R1108"/>
  <c r="Q1108"/>
  <c r="P1108"/>
  <c r="H1108"/>
  <c r="O1108" s="1"/>
  <c r="R1107"/>
  <c r="Q1107"/>
  <c r="P1107"/>
  <c r="R1106"/>
  <c r="Q1106"/>
  <c r="P1106"/>
  <c r="R1105"/>
  <c r="Q1105"/>
  <c r="P1105"/>
  <c r="R1102"/>
  <c r="Q1102"/>
  <c r="P1102"/>
  <c r="H1102"/>
  <c r="O1102" s="1"/>
  <c r="R1101"/>
  <c r="Q1101"/>
  <c r="P1101"/>
  <c r="R1100"/>
  <c r="Q1100"/>
  <c r="P1100"/>
  <c r="R1099"/>
  <c r="Q1099"/>
  <c r="P1099"/>
  <c r="R1098"/>
  <c r="Q1098"/>
  <c r="P1098"/>
  <c r="R1097"/>
  <c r="Q1097"/>
  <c r="P1097"/>
  <c r="R1095"/>
  <c r="Q1095"/>
  <c r="P1095"/>
  <c r="H1095"/>
  <c r="H1094" s="1"/>
  <c r="R1094"/>
  <c r="Q1094"/>
  <c r="P1094"/>
  <c r="R1092"/>
  <c r="Q1092"/>
  <c r="P1092"/>
  <c r="H1092"/>
  <c r="H1091" s="1"/>
  <c r="O1091" s="1"/>
  <c r="R1091"/>
  <c r="Q1091"/>
  <c r="P1091"/>
  <c r="R1090"/>
  <c r="Q1090"/>
  <c r="P1090"/>
  <c r="R1089"/>
  <c r="Q1089"/>
  <c r="P1089"/>
  <c r="R1088"/>
  <c r="Q1088"/>
  <c r="P1088"/>
  <c r="R1087"/>
  <c r="Q1087"/>
  <c r="P1087"/>
  <c r="R1085"/>
  <c r="Q1085"/>
  <c r="P1085"/>
  <c r="H1085"/>
  <c r="R1084"/>
  <c r="Q1084"/>
  <c r="P1084"/>
  <c r="R1083"/>
  <c r="Q1083"/>
  <c r="P1083"/>
  <c r="R1082"/>
  <c r="Q1082"/>
  <c r="P1082"/>
  <c r="R1080"/>
  <c r="Q1080"/>
  <c r="P1080"/>
  <c r="H1080"/>
  <c r="H1079" s="1"/>
  <c r="H1078" s="1"/>
  <c r="O1078" s="1"/>
  <c r="R1079"/>
  <c r="Q1079"/>
  <c r="P1079"/>
  <c r="R1078"/>
  <c r="Q1078"/>
  <c r="P1078"/>
  <c r="R1076"/>
  <c r="Q1076"/>
  <c r="P1076"/>
  <c r="H1076"/>
  <c r="O1076" s="1"/>
  <c r="R1075"/>
  <c r="Q1075"/>
  <c r="P1075"/>
  <c r="R1074"/>
  <c r="Q1074"/>
  <c r="P1074"/>
  <c r="R1072"/>
  <c r="Q1072"/>
  <c r="P1072"/>
  <c r="H1072"/>
  <c r="H1071" s="1"/>
  <c r="R1071"/>
  <c r="Q1071"/>
  <c r="P1071"/>
  <c r="R1070"/>
  <c r="Q1070"/>
  <c r="P1070"/>
  <c r="R1068"/>
  <c r="Q1068"/>
  <c r="P1068"/>
  <c r="H1068"/>
  <c r="H1067" s="1"/>
  <c r="O1067" s="1"/>
  <c r="R1067"/>
  <c r="Q1067"/>
  <c r="P1067"/>
  <c r="R1065"/>
  <c r="Q1065"/>
  <c r="P1065"/>
  <c r="H1065"/>
  <c r="O1065" s="1"/>
  <c r="R1064"/>
  <c r="Q1064"/>
  <c r="P1064"/>
  <c r="R1062"/>
  <c r="Q1062"/>
  <c r="P1062"/>
  <c r="H1062"/>
  <c r="H1061" s="1"/>
  <c r="O1061" s="1"/>
  <c r="R1061"/>
  <c r="Q1061"/>
  <c r="P1061"/>
  <c r="R1059"/>
  <c r="Q1059"/>
  <c r="P1059"/>
  <c r="H1059"/>
  <c r="R1058"/>
  <c r="Q1058"/>
  <c r="P1058"/>
  <c r="R1056"/>
  <c r="Q1056"/>
  <c r="P1056"/>
  <c r="H1056"/>
  <c r="H1055" s="1"/>
  <c r="O1055" s="1"/>
  <c r="R1055"/>
  <c r="Q1055"/>
  <c r="P1055"/>
  <c r="R1053"/>
  <c r="Q1053"/>
  <c r="P1053"/>
  <c r="H1053"/>
  <c r="O1053" s="1"/>
  <c r="R1052"/>
  <c r="Q1052"/>
  <c r="P1052"/>
  <c r="R1051"/>
  <c r="R1050"/>
  <c r="Q1050"/>
  <c r="P1050"/>
  <c r="H1050"/>
  <c r="O1050" s="1"/>
  <c r="R1049"/>
  <c r="Q1049"/>
  <c r="P1049"/>
  <c r="R1048"/>
  <c r="R1047"/>
  <c r="Q1047"/>
  <c r="P1047"/>
  <c r="H1047"/>
  <c r="H1046" s="1"/>
  <c r="O1046" s="1"/>
  <c r="R1046"/>
  <c r="Q1046"/>
  <c r="P1046"/>
  <c r="R1045"/>
  <c r="R1044"/>
  <c r="Q1044"/>
  <c r="P1044"/>
  <c r="H1044"/>
  <c r="H1043" s="1"/>
  <c r="O1043" s="1"/>
  <c r="R1043"/>
  <c r="Q1043"/>
  <c r="P1043"/>
  <c r="R1041"/>
  <c r="Q1041"/>
  <c r="P1041"/>
  <c r="H1041"/>
  <c r="O1041" s="1"/>
  <c r="R1040"/>
  <c r="Q1040"/>
  <c r="P1040"/>
  <c r="R1039"/>
  <c r="R1038"/>
  <c r="Q1038"/>
  <c r="P1038"/>
  <c r="H1038"/>
  <c r="H1037" s="1"/>
  <c r="O1037" s="1"/>
  <c r="R1037"/>
  <c r="Q1037"/>
  <c r="P1037"/>
  <c r="R1035"/>
  <c r="Q1035"/>
  <c r="P1035"/>
  <c r="H1035"/>
  <c r="O1035" s="1"/>
  <c r="R1034"/>
  <c r="Q1034"/>
  <c r="P1034"/>
  <c r="R1033"/>
  <c r="Q1033"/>
  <c r="P1033"/>
  <c r="R1032"/>
  <c r="Q1032"/>
  <c r="P1032"/>
  <c r="R1031"/>
  <c r="R1030"/>
  <c r="Q1030"/>
  <c r="P1030"/>
  <c r="H1030"/>
  <c r="R1029"/>
  <c r="R1028"/>
  <c r="Q1028"/>
  <c r="P1028"/>
  <c r="H1028"/>
  <c r="O1028" s="1"/>
  <c r="R1027"/>
  <c r="Q1027"/>
  <c r="P1027"/>
  <c r="R1026"/>
  <c r="R1025"/>
  <c r="Q1025"/>
  <c r="P1025"/>
  <c r="H1025"/>
  <c r="O1025" s="1"/>
  <c r="R1024"/>
  <c r="R1023"/>
  <c r="Q1023"/>
  <c r="P1023"/>
  <c r="H1023"/>
  <c r="R1022"/>
  <c r="Q1022"/>
  <c r="P1022"/>
  <c r="R1021"/>
  <c r="R1020"/>
  <c r="Q1020"/>
  <c r="P1020"/>
  <c r="H1020"/>
  <c r="O1020" s="1"/>
  <c r="R1019"/>
  <c r="R1018"/>
  <c r="Q1018"/>
  <c r="P1018"/>
  <c r="O1018"/>
  <c r="H1018"/>
  <c r="R1017"/>
  <c r="Q1017"/>
  <c r="P1017"/>
  <c r="R1016"/>
  <c r="R1015"/>
  <c r="Q1015"/>
  <c r="P1015"/>
  <c r="H1015"/>
  <c r="R1014"/>
  <c r="R1013"/>
  <c r="Q1013"/>
  <c r="P1013"/>
  <c r="H1013"/>
  <c r="O1013" s="1"/>
  <c r="R1012"/>
  <c r="Q1012"/>
  <c r="P1012"/>
  <c r="R1011"/>
  <c r="Q1011"/>
  <c r="P1011"/>
  <c r="R1010"/>
  <c r="R1009"/>
  <c r="Q1009"/>
  <c r="P1009"/>
  <c r="H1009"/>
  <c r="O1009" s="1"/>
  <c r="R1008"/>
  <c r="R1007"/>
  <c r="Q1007"/>
  <c r="P1007"/>
  <c r="H1007"/>
  <c r="R1006"/>
  <c r="Q1006"/>
  <c r="P1006"/>
  <c r="R1005"/>
  <c r="R1004"/>
  <c r="Q1004"/>
  <c r="P1004"/>
  <c r="H1004"/>
  <c r="O1004" s="1"/>
  <c r="R1003"/>
  <c r="R1002"/>
  <c r="Q1002"/>
  <c r="P1002"/>
  <c r="H1002"/>
  <c r="R1001"/>
  <c r="Q1001"/>
  <c r="P1001"/>
  <c r="R1000"/>
  <c r="R999"/>
  <c r="Q999"/>
  <c r="P999"/>
  <c r="H999"/>
  <c r="R998"/>
  <c r="R997"/>
  <c r="Q997"/>
  <c r="P997"/>
  <c r="O997"/>
  <c r="H997"/>
  <c r="R996"/>
  <c r="Q996"/>
  <c r="P996"/>
  <c r="R995"/>
  <c r="R994"/>
  <c r="Q994"/>
  <c r="P994"/>
  <c r="H994"/>
  <c r="O994" s="1"/>
  <c r="R993"/>
  <c r="R992"/>
  <c r="Q992"/>
  <c r="P992"/>
  <c r="H992"/>
  <c r="O992" s="1"/>
  <c r="R991"/>
  <c r="Q991"/>
  <c r="P991"/>
  <c r="R990"/>
  <c r="R989"/>
  <c r="Q989"/>
  <c r="P989"/>
  <c r="H989"/>
  <c r="O989" s="1"/>
  <c r="R988"/>
  <c r="R987"/>
  <c r="Q987"/>
  <c r="P987"/>
  <c r="H987"/>
  <c r="R986"/>
  <c r="Q986"/>
  <c r="P986"/>
  <c r="R985"/>
  <c r="R984"/>
  <c r="Q984"/>
  <c r="P984"/>
  <c r="H984"/>
  <c r="O984" s="1"/>
  <c r="R983"/>
  <c r="R982"/>
  <c r="Q982"/>
  <c r="P982"/>
  <c r="H982"/>
  <c r="O982" s="1"/>
  <c r="R981"/>
  <c r="Q981"/>
  <c r="P981"/>
  <c r="R980"/>
  <c r="R979"/>
  <c r="Q979"/>
  <c r="P979"/>
  <c r="H979"/>
  <c r="R978"/>
  <c r="R977"/>
  <c r="Q977"/>
  <c r="P977"/>
  <c r="H977"/>
  <c r="O977" s="1"/>
  <c r="R976"/>
  <c r="Q976"/>
  <c r="P976"/>
  <c r="R975"/>
  <c r="R974"/>
  <c r="Q974"/>
  <c r="P974"/>
  <c r="H974"/>
  <c r="R973"/>
  <c r="Q973"/>
  <c r="P973"/>
  <c r="R971"/>
  <c r="Q971"/>
  <c r="P971"/>
  <c r="H971"/>
  <c r="O971" s="1"/>
  <c r="R970"/>
  <c r="R969"/>
  <c r="Q969"/>
  <c r="P969"/>
  <c r="H969"/>
  <c r="R968"/>
  <c r="Q968"/>
  <c r="P968"/>
  <c r="R967"/>
  <c r="R966"/>
  <c r="Q966"/>
  <c r="P966"/>
  <c r="H966"/>
  <c r="O966" s="1"/>
  <c r="R965"/>
  <c r="R964"/>
  <c r="Q964"/>
  <c r="P964"/>
  <c r="O964"/>
  <c r="H964"/>
  <c r="R963"/>
  <c r="Q963"/>
  <c r="P963"/>
  <c r="R962"/>
  <c r="R961"/>
  <c r="Q961"/>
  <c r="P961"/>
  <c r="H961"/>
  <c r="O961" s="1"/>
  <c r="R960"/>
  <c r="R959"/>
  <c r="Q959"/>
  <c r="P959"/>
  <c r="H959"/>
  <c r="H958" s="1"/>
  <c r="R958"/>
  <c r="Q958"/>
  <c r="P958"/>
  <c r="R957"/>
  <c r="Q957"/>
  <c r="P957"/>
  <c r="R956"/>
  <c r="Q956"/>
  <c r="P956"/>
  <c r="R955"/>
  <c r="Q955"/>
  <c r="P955"/>
  <c r="R954"/>
  <c r="Q954"/>
  <c r="P954"/>
  <c r="R953"/>
  <c r="Q953"/>
  <c r="P953"/>
  <c r="R952"/>
  <c r="R951"/>
  <c r="Q951"/>
  <c r="P951"/>
  <c r="H951"/>
  <c r="O951" s="1"/>
  <c r="R950"/>
  <c r="Q950"/>
  <c r="P950"/>
  <c r="R949"/>
  <c r="Q949"/>
  <c r="P949"/>
  <c r="R948"/>
  <c r="Q948"/>
  <c r="P948"/>
  <c r="R947"/>
  <c r="Q947"/>
  <c r="P947"/>
  <c r="R946"/>
  <c r="Q946"/>
  <c r="P946"/>
  <c r="R945"/>
  <c r="Q945"/>
  <c r="P945"/>
  <c r="R944"/>
  <c r="R943"/>
  <c r="Q943"/>
  <c r="P943"/>
  <c r="H943"/>
  <c r="H942" s="1"/>
  <c r="R942"/>
  <c r="Q942"/>
  <c r="P942"/>
  <c r="R941"/>
  <c r="Q941"/>
  <c r="P941"/>
  <c r="R940"/>
  <c r="Q940"/>
  <c r="P940"/>
  <c r="R939"/>
  <c r="Q939"/>
  <c r="P939"/>
  <c r="R938"/>
  <c r="Q938"/>
  <c r="P938"/>
  <c r="R937"/>
  <c r="Q937"/>
  <c r="P937"/>
  <c r="R936"/>
  <c r="Q936"/>
  <c r="P936"/>
  <c r="R935"/>
  <c r="Q935"/>
  <c r="P935"/>
  <c r="O935"/>
  <c r="R933"/>
  <c r="Q933"/>
  <c r="P933"/>
  <c r="H933"/>
  <c r="O933" s="1"/>
  <c r="R932"/>
  <c r="Q932"/>
  <c r="P932"/>
  <c r="R931"/>
  <c r="Q931"/>
  <c r="P931"/>
  <c r="R928"/>
  <c r="Q928"/>
  <c r="P928"/>
  <c r="H928"/>
  <c r="H927" s="1"/>
  <c r="O927" s="1"/>
  <c r="R927"/>
  <c r="Q927"/>
  <c r="P927"/>
  <c r="R923"/>
  <c r="Q923"/>
  <c r="P923"/>
  <c r="H923"/>
  <c r="O923" s="1"/>
  <c r="R921"/>
  <c r="Q921"/>
  <c r="P921"/>
  <c r="H921"/>
  <c r="O921" s="1"/>
  <c r="R918"/>
  <c r="Q918"/>
  <c r="P918"/>
  <c r="H918"/>
  <c r="O918" s="1"/>
  <c r="R917"/>
  <c r="Q917"/>
  <c r="P917"/>
  <c r="R916"/>
  <c r="Q916"/>
  <c r="P916"/>
  <c r="R915"/>
  <c r="Q915"/>
  <c r="P915"/>
  <c r="R914"/>
  <c r="Q914"/>
  <c r="P914"/>
  <c r="H912"/>
  <c r="H911" s="1"/>
  <c r="H910" s="1"/>
  <c r="H909" s="1"/>
  <c r="R907"/>
  <c r="Q907"/>
  <c r="P907"/>
  <c r="H907"/>
  <c r="O907" s="1"/>
  <c r="R906"/>
  <c r="Q906"/>
  <c r="P906"/>
  <c r="R905"/>
  <c r="Q905"/>
  <c r="P905"/>
  <c r="R904"/>
  <c r="Q904"/>
  <c r="P904"/>
  <c r="R903"/>
  <c r="Q903"/>
  <c r="P903"/>
  <c r="R901"/>
  <c r="Q901"/>
  <c r="P901"/>
  <c r="H901"/>
  <c r="R900"/>
  <c r="Q900"/>
  <c r="P900"/>
  <c r="R899"/>
  <c r="Q899"/>
  <c r="P899"/>
  <c r="R898"/>
  <c r="Q898"/>
  <c r="P898"/>
  <c r="R897"/>
  <c r="Q897"/>
  <c r="P897"/>
  <c r="R895"/>
  <c r="Q895"/>
  <c r="P895"/>
  <c r="H895"/>
  <c r="O895" s="1"/>
  <c r="R894"/>
  <c r="Q894"/>
  <c r="P894"/>
  <c r="H894"/>
  <c r="R893"/>
  <c r="Q893"/>
  <c r="P893"/>
  <c r="R892"/>
  <c r="Q892"/>
  <c r="P892"/>
  <c r="R891"/>
  <c r="Q891"/>
  <c r="P891"/>
  <c r="R887"/>
  <c r="Q887"/>
  <c r="P887"/>
  <c r="H887"/>
  <c r="R886"/>
  <c r="Q886"/>
  <c r="P886"/>
  <c r="R885"/>
  <c r="Q885"/>
  <c r="P885"/>
  <c r="R883"/>
  <c r="Q883"/>
  <c r="P883"/>
  <c r="H883"/>
  <c r="H882" s="1"/>
  <c r="R882"/>
  <c r="Q882"/>
  <c r="P882"/>
  <c r="R881"/>
  <c r="Q881"/>
  <c r="P881"/>
  <c r="H880"/>
  <c r="H879" s="1"/>
  <c r="H875" s="1"/>
  <c r="H873"/>
  <c r="H869" s="1"/>
  <c r="R866"/>
  <c r="Q866"/>
  <c r="P866"/>
  <c r="H866"/>
  <c r="R865"/>
  <c r="Q865"/>
  <c r="P865"/>
  <c r="R864"/>
  <c r="Q864"/>
  <c r="P864"/>
  <c r="R862"/>
  <c r="Q862"/>
  <c r="P862"/>
  <c r="H862"/>
  <c r="O862" s="1"/>
  <c r="R860"/>
  <c r="Q860"/>
  <c r="P860"/>
  <c r="H860"/>
  <c r="O860" s="1"/>
  <c r="R859"/>
  <c r="Q859"/>
  <c r="P859"/>
  <c r="R858"/>
  <c r="Q858"/>
  <c r="P858"/>
  <c r="R856"/>
  <c r="Q856"/>
  <c r="P856"/>
  <c r="H856"/>
  <c r="O856" s="1"/>
  <c r="R855"/>
  <c r="Q855"/>
  <c r="P855"/>
  <c r="R853"/>
  <c r="Q853"/>
  <c r="P853"/>
  <c r="H853"/>
  <c r="H852" s="1"/>
  <c r="R852"/>
  <c r="Q852"/>
  <c r="P852"/>
  <c r="R851"/>
  <c r="Q851"/>
  <c r="P851"/>
  <c r="R849"/>
  <c r="Q849"/>
  <c r="P849"/>
  <c r="H849"/>
  <c r="H848" s="1"/>
  <c r="O848" s="1"/>
  <c r="R848"/>
  <c r="Q848"/>
  <c r="P848"/>
  <c r="R847"/>
  <c r="Q847"/>
  <c r="P847"/>
  <c r="R844"/>
  <c r="Q844"/>
  <c r="P844"/>
  <c r="O844"/>
  <c r="R842"/>
  <c r="Q842"/>
  <c r="P842"/>
  <c r="H842"/>
  <c r="R841"/>
  <c r="Q841"/>
  <c r="P841"/>
  <c r="R840"/>
  <c r="Q840"/>
  <c r="P840"/>
  <c r="R839"/>
  <c r="Q839"/>
  <c r="P839"/>
  <c r="R837"/>
  <c r="Q837"/>
  <c r="P837"/>
  <c r="H837"/>
  <c r="O837" s="1"/>
  <c r="R835"/>
  <c r="Q835"/>
  <c r="P835"/>
  <c r="H835"/>
  <c r="H834" s="1"/>
  <c r="R834"/>
  <c r="Q834"/>
  <c r="P834"/>
  <c r="R833"/>
  <c r="Q833"/>
  <c r="P833"/>
  <c r="R832"/>
  <c r="Q832"/>
  <c r="P832"/>
  <c r="R831"/>
  <c r="Q831"/>
  <c r="P831"/>
  <c r="R830"/>
  <c r="Q830"/>
  <c r="P830"/>
  <c r="R829"/>
  <c r="Q829"/>
  <c r="P829"/>
  <c r="R827"/>
  <c r="Q827"/>
  <c r="P827"/>
  <c r="O826"/>
  <c r="R826"/>
  <c r="Q826"/>
  <c r="P826"/>
  <c r="R825"/>
  <c r="Q825"/>
  <c r="P825"/>
  <c r="R824"/>
  <c r="Q824"/>
  <c r="P824"/>
  <c r="R823"/>
  <c r="Q823"/>
  <c r="P823"/>
  <c r="R821"/>
  <c r="Q821"/>
  <c r="P821"/>
  <c r="H821"/>
  <c r="H820" s="1"/>
  <c r="R820"/>
  <c r="Q820"/>
  <c r="P820"/>
  <c r="R819"/>
  <c r="Q819"/>
  <c r="P819"/>
  <c r="R817"/>
  <c r="Q817"/>
  <c r="P817"/>
  <c r="H817"/>
  <c r="H816" s="1"/>
  <c r="O816" s="1"/>
  <c r="R816"/>
  <c r="Q816"/>
  <c r="P816"/>
  <c r="R815"/>
  <c r="Q815"/>
  <c r="P815"/>
  <c r="H815"/>
  <c r="O815" s="1"/>
  <c r="R813"/>
  <c r="Q813"/>
  <c r="P813"/>
  <c r="H813"/>
  <c r="H812" s="1"/>
  <c r="R812"/>
  <c r="Q812"/>
  <c r="P812"/>
  <c r="R811"/>
  <c r="Q811"/>
  <c r="P811"/>
  <c r="R809"/>
  <c r="Q809"/>
  <c r="P809"/>
  <c r="H809"/>
  <c r="R808"/>
  <c r="Q808"/>
  <c r="P808"/>
  <c r="R807"/>
  <c r="Q807"/>
  <c r="P807"/>
  <c r="H805"/>
  <c r="H804" s="1"/>
  <c r="R802"/>
  <c r="Q802"/>
  <c r="P802"/>
  <c r="H802"/>
  <c r="R801"/>
  <c r="Q801"/>
  <c r="P801"/>
  <c r="O801"/>
  <c r="R800"/>
  <c r="Q800"/>
  <c r="P800"/>
  <c r="O800"/>
  <c r="R799"/>
  <c r="R798"/>
  <c r="Q798"/>
  <c r="P798"/>
  <c r="H798"/>
  <c r="O798" s="1"/>
  <c r="R797"/>
  <c r="Q797"/>
  <c r="P797"/>
  <c r="R796"/>
  <c r="Q796"/>
  <c r="P796"/>
  <c r="R794"/>
  <c r="Q794"/>
  <c r="P794"/>
  <c r="H794"/>
  <c r="R793"/>
  <c r="Q793"/>
  <c r="P793"/>
  <c r="R792"/>
  <c r="Q792"/>
  <c r="P792"/>
  <c r="R791"/>
  <c r="Q791"/>
  <c r="P791"/>
  <c r="R790"/>
  <c r="Q790"/>
  <c r="P790"/>
  <c r="R789"/>
  <c r="R788"/>
  <c r="Q788"/>
  <c r="P788"/>
  <c r="H788"/>
  <c r="R787"/>
  <c r="Q787"/>
  <c r="P787"/>
  <c r="R786"/>
  <c r="Q786"/>
  <c r="P786"/>
  <c r="R785"/>
  <c r="Q785"/>
  <c r="P785"/>
  <c r="R784"/>
  <c r="Q784"/>
  <c r="P784"/>
  <c r="R783"/>
  <c r="Q783"/>
  <c r="P783"/>
  <c r="R781"/>
  <c r="Q781"/>
  <c r="P781"/>
  <c r="H781"/>
  <c r="R779"/>
  <c r="Q779"/>
  <c r="P779"/>
  <c r="H779"/>
  <c r="O779" s="1"/>
  <c r="R778"/>
  <c r="Q778"/>
  <c r="P778"/>
  <c r="R777"/>
  <c r="Q777"/>
  <c r="P777"/>
  <c r="R776"/>
  <c r="Q776"/>
  <c r="P776"/>
  <c r="R774"/>
  <c r="Q774"/>
  <c r="P774"/>
  <c r="H774"/>
  <c r="H773" s="1"/>
  <c r="R773"/>
  <c r="Q773"/>
  <c r="P773"/>
  <c r="R772"/>
  <c r="Q772"/>
  <c r="P772"/>
  <c r="R771"/>
  <c r="Q771"/>
  <c r="P771"/>
  <c r="R770"/>
  <c r="Q770"/>
  <c r="P770"/>
  <c r="R768"/>
  <c r="Q768"/>
  <c r="P768"/>
  <c r="H768"/>
  <c r="O768" s="1"/>
  <c r="R766"/>
  <c r="Q766"/>
  <c r="P766"/>
  <c r="H766"/>
  <c r="R765"/>
  <c r="Q765"/>
  <c r="P765"/>
  <c r="R764"/>
  <c r="Q764"/>
  <c r="P764"/>
  <c r="R763"/>
  <c r="Q763"/>
  <c r="P763"/>
  <c r="R762"/>
  <c r="Q762"/>
  <c r="P762"/>
  <c r="R760"/>
  <c r="Q760"/>
  <c r="P760"/>
  <c r="H760"/>
  <c r="R759"/>
  <c r="Q759"/>
  <c r="P759"/>
  <c r="R758"/>
  <c r="Q758"/>
  <c r="P758"/>
  <c r="R756"/>
  <c r="Q756"/>
  <c r="P756"/>
  <c r="H756"/>
  <c r="O756" s="1"/>
  <c r="R754"/>
  <c r="Q754"/>
  <c r="P754"/>
  <c r="H754"/>
  <c r="O754" s="1"/>
  <c r="R753"/>
  <c r="Q753"/>
  <c r="P753"/>
  <c r="R752"/>
  <c r="Q752"/>
  <c r="P752"/>
  <c r="R750"/>
  <c r="Q750"/>
  <c r="P750"/>
  <c r="H750"/>
  <c r="O750" s="1"/>
  <c r="R749"/>
  <c r="Q749"/>
  <c r="P749"/>
  <c r="H749"/>
  <c r="R748"/>
  <c r="Q748"/>
  <c r="P748"/>
  <c r="R746"/>
  <c r="Q746"/>
  <c r="P746"/>
  <c r="H746"/>
  <c r="O746" s="1"/>
  <c r="R744"/>
  <c r="Q744"/>
  <c r="P744"/>
  <c r="H744"/>
  <c r="R743"/>
  <c r="Q743"/>
  <c r="P743"/>
  <c r="R742"/>
  <c r="Q742"/>
  <c r="P742"/>
  <c r="R741"/>
  <c r="Q741"/>
  <c r="P741"/>
  <c r="R739"/>
  <c r="Q739"/>
  <c r="P739"/>
  <c r="H739"/>
  <c r="O739" s="1"/>
  <c r="R737"/>
  <c r="Q737"/>
  <c r="P737"/>
  <c r="H737"/>
  <c r="R736"/>
  <c r="Q736"/>
  <c r="P736"/>
  <c r="R735"/>
  <c r="Q735"/>
  <c r="P735"/>
  <c r="R734"/>
  <c r="Q734"/>
  <c r="P734"/>
  <c r="R733"/>
  <c r="Q733"/>
  <c r="P733"/>
  <c r="R732"/>
  <c r="Q732"/>
  <c r="P732"/>
  <c r="R731"/>
  <c r="Q731"/>
  <c r="P731"/>
  <c r="R729"/>
  <c r="Q729"/>
  <c r="P729"/>
  <c r="H729"/>
  <c r="O729" s="1"/>
  <c r="R727"/>
  <c r="Q727"/>
  <c r="P727"/>
  <c r="H727"/>
  <c r="R726"/>
  <c r="Q726"/>
  <c r="P726"/>
  <c r="O726"/>
  <c r="R725"/>
  <c r="R724"/>
  <c r="Q724"/>
  <c r="P724"/>
  <c r="H724"/>
  <c r="O724" s="1"/>
  <c r="R723"/>
  <c r="Q723"/>
  <c r="P723"/>
  <c r="R722"/>
  <c r="Q722"/>
  <c r="P722"/>
  <c r="R721"/>
  <c r="Q721"/>
  <c r="P721"/>
  <c r="R720"/>
  <c r="Q720"/>
  <c r="P720"/>
  <c r="R719"/>
  <c r="Q719"/>
  <c r="P719"/>
  <c r="R718"/>
  <c r="Q718"/>
  <c r="P718"/>
  <c r="R717"/>
  <c r="Q717"/>
  <c r="P717"/>
  <c r="O717"/>
  <c r="R715"/>
  <c r="Q715"/>
  <c r="P715"/>
  <c r="H715"/>
  <c r="O715" s="1"/>
  <c r="R714"/>
  <c r="Q714"/>
  <c r="P714"/>
  <c r="H714"/>
  <c r="O714" s="1"/>
  <c r="R712"/>
  <c r="Q712"/>
  <c r="P712"/>
  <c r="H712"/>
  <c r="H711" s="1"/>
  <c r="O711" s="1"/>
  <c r="R711"/>
  <c r="Q711"/>
  <c r="P711"/>
  <c r="R709"/>
  <c r="Q709"/>
  <c r="P709"/>
  <c r="H709"/>
  <c r="H708" s="1"/>
  <c r="O708" s="1"/>
  <c r="R708"/>
  <c r="Q708"/>
  <c r="P708"/>
  <c r="R706"/>
  <c r="Q706"/>
  <c r="P706"/>
  <c r="H706"/>
  <c r="H705" s="1"/>
  <c r="R705"/>
  <c r="Q705"/>
  <c r="P705"/>
  <c r="R704"/>
  <c r="Q704"/>
  <c r="P704"/>
  <c r="R702"/>
  <c r="Q702"/>
  <c r="P702"/>
  <c r="H702"/>
  <c r="O702" s="1"/>
  <c r="R701"/>
  <c r="R700"/>
  <c r="Q700"/>
  <c r="P700"/>
  <c r="H700"/>
  <c r="R699"/>
  <c r="Q699"/>
  <c r="P699"/>
  <c r="R698"/>
  <c r="Q698"/>
  <c r="P698"/>
  <c r="R697"/>
  <c r="Q697"/>
  <c r="P697"/>
  <c r="R696"/>
  <c r="Q696"/>
  <c r="P696"/>
  <c r="R695"/>
  <c r="Q695"/>
  <c r="P695"/>
  <c r="R694"/>
  <c r="Q694"/>
  <c r="P694"/>
  <c r="R692"/>
  <c r="Q692"/>
  <c r="P692"/>
  <c r="H692"/>
  <c r="O692" s="1"/>
  <c r="R688"/>
  <c r="Q688"/>
  <c r="P688"/>
  <c r="H688"/>
  <c r="R687"/>
  <c r="Q687"/>
  <c r="P687"/>
  <c r="R685"/>
  <c r="Q685"/>
  <c r="P685"/>
  <c r="H685"/>
  <c r="O685" s="1"/>
  <c r="R682"/>
  <c r="Q682"/>
  <c r="P682"/>
  <c r="H682"/>
  <c r="O682" s="1"/>
  <c r="R681"/>
  <c r="Q681"/>
  <c r="P681"/>
  <c r="R678"/>
  <c r="Q678"/>
  <c r="P678"/>
  <c r="H678"/>
  <c r="O678" s="1"/>
  <c r="R677"/>
  <c r="Q677"/>
  <c r="P677"/>
  <c r="R673"/>
  <c r="Q673"/>
  <c r="P673"/>
  <c r="H673"/>
  <c r="O673" s="1"/>
  <c r="R671"/>
  <c r="Q671"/>
  <c r="P671"/>
  <c r="H671"/>
  <c r="O671" s="1"/>
  <c r="R668"/>
  <c r="Q668"/>
  <c r="P668"/>
  <c r="H668"/>
  <c r="O668" s="1"/>
  <c r="R667"/>
  <c r="Q667"/>
  <c r="P667"/>
  <c r="R666"/>
  <c r="Q666"/>
  <c r="P666"/>
  <c r="R665"/>
  <c r="Q665"/>
  <c r="P665"/>
  <c r="R663"/>
  <c r="Q663"/>
  <c r="P663"/>
  <c r="H663"/>
  <c r="O663" s="1"/>
  <c r="R662"/>
  <c r="Q662"/>
  <c r="P662"/>
  <c r="R661"/>
  <c r="Q661"/>
  <c r="P661"/>
  <c r="R660"/>
  <c r="Q660"/>
  <c r="P660"/>
  <c r="R659"/>
  <c r="Q659"/>
  <c r="P659"/>
  <c r="R657"/>
  <c r="Q657"/>
  <c r="P657"/>
  <c r="H657"/>
  <c r="O657" s="1"/>
  <c r="R656"/>
  <c r="Q656"/>
  <c r="P656"/>
  <c r="R655"/>
  <c r="Q655"/>
  <c r="P655"/>
  <c r="R653"/>
  <c r="Q653"/>
  <c r="P653"/>
  <c r="H653"/>
  <c r="O653" s="1"/>
  <c r="R651"/>
  <c r="Q651"/>
  <c r="P651"/>
  <c r="H651"/>
  <c r="O651" s="1"/>
  <c r="R650"/>
  <c r="R649"/>
  <c r="Q649"/>
  <c r="P649"/>
  <c r="H649"/>
  <c r="R648"/>
  <c r="Q648"/>
  <c r="P648"/>
  <c r="R647"/>
  <c r="Q647"/>
  <c r="P647"/>
  <c r="R646"/>
  <c r="Q646"/>
  <c r="P646"/>
  <c r="R645"/>
  <c r="Q645"/>
  <c r="P645"/>
  <c r="R644"/>
  <c r="Q644"/>
  <c r="P644"/>
  <c r="R642"/>
  <c r="Q642"/>
  <c r="P642"/>
  <c r="H642"/>
  <c r="O642" s="1"/>
  <c r="R641"/>
  <c r="Q641"/>
  <c r="P641"/>
  <c r="R640"/>
  <c r="Q640"/>
  <c r="P640"/>
  <c r="R639"/>
  <c r="Q639"/>
  <c r="P639"/>
  <c r="R638"/>
  <c r="Q638"/>
  <c r="P638"/>
  <c r="R636"/>
  <c r="Q636"/>
  <c r="P636"/>
  <c r="H636"/>
  <c r="H635" s="1"/>
  <c r="O635" s="1"/>
  <c r="R635"/>
  <c r="Q635"/>
  <c r="P635"/>
  <c r="R633"/>
  <c r="Q633"/>
  <c r="P633"/>
  <c r="H633"/>
  <c r="H632" s="1"/>
  <c r="O632" s="1"/>
  <c r="R632"/>
  <c r="Q632"/>
  <c r="P632"/>
  <c r="R631"/>
  <c r="Q631"/>
  <c r="P631"/>
  <c r="R630"/>
  <c r="Q630"/>
  <c r="P630"/>
  <c r="R629"/>
  <c r="Q629"/>
  <c r="P629"/>
  <c r="R628"/>
  <c r="Q628"/>
  <c r="P628"/>
  <c r="R626"/>
  <c r="Q626"/>
  <c r="P626"/>
  <c r="H626"/>
  <c r="O626" s="1"/>
  <c r="R624"/>
  <c r="Q624"/>
  <c r="P624"/>
  <c r="H624"/>
  <c r="H623" s="1"/>
  <c r="H622" s="1"/>
  <c r="O622" s="1"/>
  <c r="R623"/>
  <c r="Q623"/>
  <c r="P623"/>
  <c r="R622"/>
  <c r="Q622"/>
  <c r="P622"/>
  <c r="R621"/>
  <c r="Q621"/>
  <c r="P621"/>
  <c r="R620"/>
  <c r="Q620"/>
  <c r="P620"/>
  <c r="R618"/>
  <c r="Q618"/>
  <c r="P618"/>
  <c r="H618"/>
  <c r="O618" s="1"/>
  <c r="R617"/>
  <c r="Q617"/>
  <c r="P617"/>
  <c r="R616"/>
  <c r="Q616"/>
  <c r="P616"/>
  <c r="R615"/>
  <c r="Q615"/>
  <c r="P615"/>
  <c r="R613"/>
  <c r="Q613"/>
  <c r="P613"/>
  <c r="H613"/>
  <c r="H612" s="1"/>
  <c r="R612"/>
  <c r="Q612"/>
  <c r="P612"/>
  <c r="R611"/>
  <c r="Q611"/>
  <c r="P611"/>
  <c r="R610"/>
  <c r="Q610"/>
  <c r="P610"/>
  <c r="R608"/>
  <c r="Q608"/>
  <c r="P608"/>
  <c r="H608"/>
  <c r="O608" s="1"/>
  <c r="R607"/>
  <c r="Q607"/>
  <c r="P607"/>
  <c r="R606"/>
  <c r="Q606"/>
  <c r="P606"/>
  <c r="R605"/>
  <c r="Q605"/>
  <c r="P605"/>
  <c r="R604"/>
  <c r="Q604"/>
  <c r="P604"/>
  <c r="R602"/>
  <c r="Q602"/>
  <c r="P602"/>
  <c r="H602"/>
  <c r="H601" s="1"/>
  <c r="O601" s="1"/>
  <c r="R601"/>
  <c r="Q601"/>
  <c r="P601"/>
  <c r="R600"/>
  <c r="Q600"/>
  <c r="P600"/>
  <c r="R598"/>
  <c r="Q598"/>
  <c r="P598"/>
  <c r="H598"/>
  <c r="O598" s="1"/>
  <c r="R596"/>
  <c r="Q596"/>
  <c r="P596"/>
  <c r="H596"/>
  <c r="O596" s="1"/>
  <c r="R595"/>
  <c r="Q595"/>
  <c r="P595"/>
  <c r="R594"/>
  <c r="Q594"/>
  <c r="P594"/>
  <c r="R593"/>
  <c r="Q593"/>
  <c r="P593"/>
  <c r="R592"/>
  <c r="Q592"/>
  <c r="P592"/>
  <c r="R591"/>
  <c r="Q591"/>
  <c r="P591"/>
  <c r="R589"/>
  <c r="Q589"/>
  <c r="P589"/>
  <c r="H589"/>
  <c r="R588"/>
  <c r="Q588"/>
  <c r="P588"/>
  <c r="R587"/>
  <c r="Q587"/>
  <c r="P587"/>
  <c r="R586"/>
  <c r="Q586"/>
  <c r="P586"/>
  <c r="R585"/>
  <c r="Q585"/>
  <c r="P585"/>
  <c r="R583"/>
  <c r="Q583"/>
  <c r="P583"/>
  <c r="H583"/>
  <c r="H581" s="1"/>
  <c r="O581" s="1"/>
  <c r="R582"/>
  <c r="Q582"/>
  <c r="P582"/>
  <c r="R581"/>
  <c r="Q581"/>
  <c r="P581"/>
  <c r="R580"/>
  <c r="Q580"/>
  <c r="P580"/>
  <c r="R579"/>
  <c r="Q579"/>
  <c r="P579"/>
  <c r="R577"/>
  <c r="Q577"/>
  <c r="P577"/>
  <c r="H577"/>
  <c r="O577" s="1"/>
  <c r="R575"/>
  <c r="Q575"/>
  <c r="P575"/>
  <c r="H575"/>
  <c r="R574"/>
  <c r="Q574"/>
  <c r="P574"/>
  <c r="R573"/>
  <c r="Q573"/>
  <c r="P573"/>
  <c r="R572"/>
  <c r="Q572"/>
  <c r="P572"/>
  <c r="R571"/>
  <c r="Q571"/>
  <c r="P571"/>
  <c r="R569"/>
  <c r="Q569"/>
  <c r="P569"/>
  <c r="H569"/>
  <c r="R568"/>
  <c r="Q568"/>
  <c r="P568"/>
  <c r="R567"/>
  <c r="Q567"/>
  <c r="P567"/>
  <c r="R566"/>
  <c r="Q566"/>
  <c r="P566"/>
  <c r="R564"/>
  <c r="Q564"/>
  <c r="P564"/>
  <c r="H564"/>
  <c r="H563" s="1"/>
  <c r="H562" s="1"/>
  <c r="O562" s="1"/>
  <c r="R563"/>
  <c r="Q563"/>
  <c r="P563"/>
  <c r="R562"/>
  <c r="Q562"/>
  <c r="P562"/>
  <c r="R561"/>
  <c r="Q561"/>
  <c r="P561"/>
  <c r="R559"/>
  <c r="Q559"/>
  <c r="P559"/>
  <c r="H559"/>
  <c r="R558"/>
  <c r="Q558"/>
  <c r="P558"/>
  <c r="R557"/>
  <c r="Q557"/>
  <c r="P557"/>
  <c r="R556"/>
  <c r="Q556"/>
  <c r="P556"/>
  <c r="R555"/>
  <c r="Q555"/>
  <c r="P555"/>
  <c r="R554"/>
  <c r="R553"/>
  <c r="Q553"/>
  <c r="P553"/>
  <c r="H553"/>
  <c r="O553" s="1"/>
  <c r="R552"/>
  <c r="Q552"/>
  <c r="P552"/>
  <c r="R551"/>
  <c r="Q551"/>
  <c r="P551"/>
  <c r="R550"/>
  <c r="Q550"/>
  <c r="P550"/>
  <c r="R548"/>
  <c r="Q548"/>
  <c r="P548"/>
  <c r="H548"/>
  <c r="O548" s="1"/>
  <c r="R546"/>
  <c r="Q546"/>
  <c r="P546"/>
  <c r="H546"/>
  <c r="O546" s="1"/>
  <c r="R545"/>
  <c r="Q545"/>
  <c r="P545"/>
  <c r="R544"/>
  <c r="Q544"/>
  <c r="P544"/>
  <c r="R542"/>
  <c r="Q542"/>
  <c r="P542"/>
  <c r="H542"/>
  <c r="O542" s="1"/>
  <c r="R540"/>
  <c r="Q540"/>
  <c r="P540"/>
  <c r="H540"/>
  <c r="O540" s="1"/>
  <c r="R538"/>
  <c r="Q538"/>
  <c r="P538"/>
  <c r="H538"/>
  <c r="R537"/>
  <c r="Q537"/>
  <c r="P537"/>
  <c r="R535"/>
  <c r="Q535"/>
  <c r="P535"/>
  <c r="H535"/>
  <c r="O535" s="1"/>
  <c r="R532"/>
  <c r="Q532"/>
  <c r="P532"/>
  <c r="H532"/>
  <c r="O532" s="1"/>
  <c r="R529"/>
  <c r="Q529"/>
  <c r="P529"/>
  <c r="H529"/>
  <c r="R528"/>
  <c r="Q528"/>
  <c r="P528"/>
  <c r="R527"/>
  <c r="Q527"/>
  <c r="P527"/>
  <c r="R526"/>
  <c r="Q526"/>
  <c r="P526"/>
  <c r="R525"/>
  <c r="Q525"/>
  <c r="P525"/>
  <c r="R524"/>
  <c r="Q524"/>
  <c r="P524"/>
  <c r="R522"/>
  <c r="Q522"/>
  <c r="P522"/>
  <c r="H522"/>
  <c r="O522" s="1"/>
  <c r="R521"/>
  <c r="Q521"/>
  <c r="P521"/>
  <c r="R520"/>
  <c r="Q520"/>
  <c r="P520"/>
  <c r="H520"/>
  <c r="R519"/>
  <c r="Q519"/>
  <c r="P519"/>
  <c r="R518"/>
  <c r="Q518"/>
  <c r="P518"/>
  <c r="R516"/>
  <c r="Q516"/>
  <c r="P516"/>
  <c r="H516"/>
  <c r="O516" s="1"/>
  <c r="R514"/>
  <c r="Q514"/>
  <c r="P514"/>
  <c r="H514"/>
  <c r="R513"/>
  <c r="Q513"/>
  <c r="P513"/>
  <c r="R512"/>
  <c r="Q512"/>
  <c r="P512"/>
  <c r="R511"/>
  <c r="Q511"/>
  <c r="P511"/>
  <c r="R510"/>
  <c r="Q510"/>
  <c r="P510"/>
  <c r="R508"/>
  <c r="Q508"/>
  <c r="P508"/>
  <c r="H508"/>
  <c r="O508" s="1"/>
  <c r="R507"/>
  <c r="Q507"/>
  <c r="P507"/>
  <c r="R506"/>
  <c r="Q506"/>
  <c r="P506"/>
  <c r="R505"/>
  <c r="Q505"/>
  <c r="P505"/>
  <c r="R504"/>
  <c r="Q504"/>
  <c r="P504"/>
  <c r="R502"/>
  <c r="Q502"/>
  <c r="P502"/>
  <c r="H502"/>
  <c r="H501" s="1"/>
  <c r="R501"/>
  <c r="Q501"/>
  <c r="P501"/>
  <c r="R500"/>
  <c r="Q500"/>
  <c r="P500"/>
  <c r="R498"/>
  <c r="Q498"/>
  <c r="P498"/>
  <c r="H498"/>
  <c r="O498" s="1"/>
  <c r="R496"/>
  <c r="Q496"/>
  <c r="P496"/>
  <c r="H496"/>
  <c r="O496" s="1"/>
  <c r="R494"/>
  <c r="Q494"/>
  <c r="P494"/>
  <c r="H494"/>
  <c r="R493"/>
  <c r="Q493"/>
  <c r="P493"/>
  <c r="R491"/>
  <c r="Q491"/>
  <c r="P491"/>
  <c r="H491"/>
  <c r="O491" s="1"/>
  <c r="R488"/>
  <c r="Q488"/>
  <c r="P488"/>
  <c r="H488"/>
  <c r="R487"/>
  <c r="Q487"/>
  <c r="P487"/>
  <c r="R486"/>
  <c r="Q486"/>
  <c r="P486"/>
  <c r="R485"/>
  <c r="Q485"/>
  <c r="P485"/>
  <c r="R484"/>
  <c r="Q484"/>
  <c r="P484"/>
  <c r="R483"/>
  <c r="Q483"/>
  <c r="P483"/>
  <c r="R482"/>
  <c r="Q482"/>
  <c r="P482"/>
  <c r="R481"/>
  <c r="Q481"/>
  <c r="P481"/>
  <c r="R480"/>
  <c r="Q480"/>
  <c r="P480"/>
  <c r="O480"/>
  <c r="R479"/>
  <c r="R478"/>
  <c r="Q478"/>
  <c r="P478"/>
  <c r="H478"/>
  <c r="O478" s="1"/>
  <c r="R477"/>
  <c r="Q477"/>
  <c r="P477"/>
  <c r="R476"/>
  <c r="Q476"/>
  <c r="P476"/>
  <c r="R475"/>
  <c r="Q475"/>
  <c r="P475"/>
  <c r="R474"/>
  <c r="Q474"/>
  <c r="P474"/>
  <c r="R473"/>
  <c r="Q473"/>
  <c r="P473"/>
  <c r="R472"/>
  <c r="Q472"/>
  <c r="P472"/>
  <c r="R471"/>
  <c r="R470"/>
  <c r="Q470"/>
  <c r="P470"/>
  <c r="H470"/>
  <c r="H469" s="1"/>
  <c r="H468" s="1"/>
  <c r="H467" s="1"/>
  <c r="O467" s="1"/>
  <c r="R469"/>
  <c r="Q469"/>
  <c r="P469"/>
  <c r="R468"/>
  <c r="Q468"/>
  <c r="P468"/>
  <c r="R467"/>
  <c r="Q467"/>
  <c r="P467"/>
  <c r="R466"/>
  <c r="Q466"/>
  <c r="P466"/>
  <c r="R465"/>
  <c r="Q465"/>
  <c r="P465"/>
  <c r="R464"/>
  <c r="Q464"/>
  <c r="P464"/>
  <c r="R461"/>
  <c r="Q461"/>
  <c r="P461"/>
  <c r="H461"/>
  <c r="R460"/>
  <c r="Q460"/>
  <c r="P460"/>
  <c r="R456"/>
  <c r="Q456"/>
  <c r="P456"/>
  <c r="H456"/>
  <c r="O456" s="1"/>
  <c r="R454"/>
  <c r="Q454"/>
  <c r="P454"/>
  <c r="H454"/>
  <c r="O454" s="1"/>
  <c r="R451"/>
  <c r="Q451"/>
  <c r="P451"/>
  <c r="H451"/>
  <c r="R450"/>
  <c r="Q450"/>
  <c r="P450"/>
  <c r="R449"/>
  <c r="Q449"/>
  <c r="P449"/>
  <c r="R448"/>
  <c r="Q448"/>
  <c r="P448"/>
  <c r="R447"/>
  <c r="R446"/>
  <c r="Q446"/>
  <c r="P446"/>
  <c r="H446"/>
  <c r="H445" s="1"/>
  <c r="R445"/>
  <c r="Q445"/>
  <c r="P445"/>
  <c r="R444"/>
  <c r="Q444"/>
  <c r="P444"/>
  <c r="R443"/>
  <c r="Q443"/>
  <c r="P443"/>
  <c r="R442"/>
  <c r="Q442"/>
  <c r="P442"/>
  <c r="R441"/>
  <c r="Q441"/>
  <c r="P441"/>
  <c r="R440"/>
  <c r="Q440"/>
  <c r="P440"/>
  <c r="R439"/>
  <c r="Q439"/>
  <c r="P439"/>
  <c r="R438"/>
  <c r="Q438"/>
  <c r="P438"/>
  <c r="O438"/>
  <c r="R437"/>
  <c r="Q437"/>
  <c r="P437"/>
  <c r="O437"/>
  <c r="R436"/>
  <c r="Q436"/>
  <c r="P436"/>
  <c r="H436"/>
  <c r="O436" s="1"/>
  <c r="R435"/>
  <c r="Q435"/>
  <c r="P435"/>
  <c r="R434"/>
  <c r="Q434"/>
  <c r="P434"/>
  <c r="R433"/>
  <c r="Q433"/>
  <c r="P433"/>
  <c r="R432"/>
  <c r="Q432"/>
  <c r="P432"/>
  <c r="R431"/>
  <c r="Q431"/>
  <c r="P431"/>
  <c r="R430"/>
  <c r="Q430"/>
  <c r="P430"/>
  <c r="O430"/>
  <c r="R429"/>
  <c r="Q429"/>
  <c r="P429"/>
  <c r="H429"/>
  <c r="O429" s="1"/>
  <c r="R428"/>
  <c r="Q428"/>
  <c r="P428"/>
  <c r="O428"/>
  <c r="R427"/>
  <c r="Q427"/>
  <c r="P427"/>
  <c r="H427"/>
  <c r="O427" s="1"/>
  <c r="R426"/>
  <c r="Q426"/>
  <c r="P426"/>
  <c r="O426"/>
  <c r="R425"/>
  <c r="Q425"/>
  <c r="P425"/>
  <c r="H425"/>
  <c r="H424" s="1"/>
  <c r="H423" s="1"/>
  <c r="O423" s="1"/>
  <c r="R424"/>
  <c r="Q424"/>
  <c r="P424"/>
  <c r="R423"/>
  <c r="Q423"/>
  <c r="P423"/>
  <c r="R422"/>
  <c r="R421"/>
  <c r="Q421"/>
  <c r="P421"/>
  <c r="H421"/>
  <c r="H420" s="1"/>
  <c r="H419" s="1"/>
  <c r="H418" s="1"/>
  <c r="O418" s="1"/>
  <c r="R420"/>
  <c r="Q420"/>
  <c r="P420"/>
  <c r="R419"/>
  <c r="Q419"/>
  <c r="P419"/>
  <c r="R418"/>
  <c r="Q418"/>
  <c r="P418"/>
  <c r="R417"/>
  <c r="Q417"/>
  <c r="P417"/>
  <c r="R416"/>
  <c r="Q416"/>
  <c r="P416"/>
  <c r="R415"/>
  <c r="Q415"/>
  <c r="P415"/>
  <c r="O415"/>
  <c r="R414"/>
  <c r="Q414"/>
  <c r="P414"/>
  <c r="H414"/>
  <c r="H413" s="1"/>
  <c r="O413" s="1"/>
  <c r="R413"/>
  <c r="Q413"/>
  <c r="P413"/>
  <c r="R412"/>
  <c r="Q412"/>
  <c r="P412"/>
  <c r="R411"/>
  <c r="Q411"/>
  <c r="P411"/>
  <c r="R408"/>
  <c r="Q408"/>
  <c r="P408"/>
  <c r="H408"/>
  <c r="O408" s="1"/>
  <c r="R407"/>
  <c r="Q407"/>
  <c r="P407"/>
  <c r="R403"/>
  <c r="Q403"/>
  <c r="P403"/>
  <c r="H403"/>
  <c r="O403" s="1"/>
  <c r="R401"/>
  <c r="Q401"/>
  <c r="P401"/>
  <c r="H401"/>
  <c r="O401" s="1"/>
  <c r="R398"/>
  <c r="Q398"/>
  <c r="P398"/>
  <c r="H398"/>
  <c r="O398" s="1"/>
  <c r="R397"/>
  <c r="Q397"/>
  <c r="P397"/>
  <c r="R396"/>
  <c r="Q396"/>
  <c r="P396"/>
  <c r="R395"/>
  <c r="Q395"/>
  <c r="P395"/>
  <c r="R394"/>
  <c r="Q394"/>
  <c r="P394"/>
  <c r="R393"/>
  <c r="Q393"/>
  <c r="P393"/>
  <c r="R392"/>
  <c r="Q392"/>
  <c r="P392"/>
  <c r="R391"/>
  <c r="Q391"/>
  <c r="P391"/>
  <c r="O391"/>
  <c r="R390"/>
  <c r="R389"/>
  <c r="Q389"/>
  <c r="P389"/>
  <c r="H389"/>
  <c r="H388" s="1"/>
  <c r="H384" s="1"/>
  <c r="R388"/>
  <c r="Q388"/>
  <c r="P388"/>
  <c r="R384"/>
  <c r="Q384"/>
  <c r="P384"/>
  <c r="R383"/>
  <c r="Q383"/>
  <c r="P383"/>
  <c r="R382"/>
  <c r="Q382"/>
  <c r="P382"/>
  <c r="R381"/>
  <c r="Q381"/>
  <c r="P381"/>
  <c r="R380"/>
  <c r="Q380"/>
  <c r="P380"/>
  <c r="R379"/>
  <c r="R378"/>
  <c r="Q378"/>
  <c r="P378"/>
  <c r="H378"/>
  <c r="O378" s="1"/>
  <c r="R377"/>
  <c r="Q377"/>
  <c r="P377"/>
  <c r="R376"/>
  <c r="Q376"/>
  <c r="P376"/>
  <c r="R375"/>
  <c r="Q375"/>
  <c r="P375"/>
  <c r="R374"/>
  <c r="Q374"/>
  <c r="P374"/>
  <c r="R373"/>
  <c r="R372"/>
  <c r="Q372"/>
  <c r="P372"/>
  <c r="H372"/>
  <c r="R371"/>
  <c r="Q371"/>
  <c r="P371"/>
  <c r="R370"/>
  <c r="Q370"/>
  <c r="P370"/>
  <c r="R369"/>
  <c r="Q369"/>
  <c r="P369"/>
  <c r="R368"/>
  <c r="Q368"/>
  <c r="P368"/>
  <c r="R367"/>
  <c r="Q367"/>
  <c r="P367"/>
  <c r="R366"/>
  <c r="Q366"/>
  <c r="P366"/>
  <c r="R365"/>
  <c r="R364"/>
  <c r="Q364"/>
  <c r="P364"/>
  <c r="H364"/>
  <c r="H363" s="1"/>
  <c r="R363"/>
  <c r="Q363"/>
  <c r="P363"/>
  <c r="R362"/>
  <c r="Q362"/>
  <c r="P362"/>
  <c r="R361"/>
  <c r="Q361"/>
  <c r="P361"/>
  <c r="R360"/>
  <c r="Q360"/>
  <c r="P360"/>
  <c r="R359"/>
  <c r="R358"/>
  <c r="Q358"/>
  <c r="P358"/>
  <c r="H358"/>
  <c r="H357" s="1"/>
  <c r="R357"/>
  <c r="Q357"/>
  <c r="P357"/>
  <c r="R356"/>
  <c r="Q356"/>
  <c r="P356"/>
  <c r="R355"/>
  <c r="Q355"/>
  <c r="P355"/>
  <c r="R354"/>
  <c r="Q354"/>
  <c r="P354"/>
  <c r="R353"/>
  <c r="R352"/>
  <c r="Q352"/>
  <c r="P352"/>
  <c r="H352"/>
  <c r="O352" s="1"/>
  <c r="R351"/>
  <c r="Q351"/>
  <c r="P351"/>
  <c r="R350"/>
  <c r="Q350"/>
  <c r="P350"/>
  <c r="R349"/>
  <c r="Q349"/>
  <c r="P349"/>
  <c r="R348"/>
  <c r="Q348"/>
  <c r="P348"/>
  <c r="R347"/>
  <c r="Q347"/>
  <c r="P347"/>
  <c r="R346"/>
  <c r="Q346"/>
  <c r="P346"/>
  <c r="R344"/>
  <c r="Q344"/>
  <c r="P344"/>
  <c r="H344"/>
  <c r="O344" s="1"/>
  <c r="R343"/>
  <c r="Q343"/>
  <c r="P343"/>
  <c r="R342"/>
  <c r="Q342"/>
  <c r="P342"/>
  <c r="R341"/>
  <c r="Q341"/>
  <c r="P341"/>
  <c r="R334"/>
  <c r="Q334"/>
  <c r="P334"/>
  <c r="H334"/>
  <c r="H333" s="1"/>
  <c r="O333" s="1"/>
  <c r="R333"/>
  <c r="Q333"/>
  <c r="P333"/>
  <c r="R329"/>
  <c r="Q329"/>
  <c r="P329"/>
  <c r="H329"/>
  <c r="O329" s="1"/>
  <c r="R327"/>
  <c r="Q327"/>
  <c r="P327"/>
  <c r="H327"/>
  <c r="O327" s="1"/>
  <c r="R324"/>
  <c r="Q324"/>
  <c r="P324"/>
  <c r="H324"/>
  <c r="O324" s="1"/>
  <c r="R323"/>
  <c r="Q323"/>
  <c r="P323"/>
  <c r="R322"/>
  <c r="Q322"/>
  <c r="P322"/>
  <c r="R321"/>
  <c r="Q321"/>
  <c r="P321"/>
  <c r="H319"/>
  <c r="H318" s="1"/>
  <c r="R317"/>
  <c r="R316"/>
  <c r="Q316"/>
  <c r="P316"/>
  <c r="H316"/>
  <c r="H315" s="1"/>
  <c r="R315"/>
  <c r="Q315"/>
  <c r="P315"/>
  <c r="R314"/>
  <c r="Q314"/>
  <c r="P314"/>
  <c r="R313"/>
  <c r="Q313"/>
  <c r="P313"/>
  <c r="R312"/>
  <c r="Q312"/>
  <c r="P312"/>
  <c r="R311"/>
  <c r="R310"/>
  <c r="Q310"/>
  <c r="P310"/>
  <c r="H310"/>
  <c r="O310" s="1"/>
  <c r="R309"/>
  <c r="Q309"/>
  <c r="P309"/>
  <c r="H309"/>
  <c r="H308" s="1"/>
  <c r="O308" s="1"/>
  <c r="R308"/>
  <c r="Q308"/>
  <c r="P308"/>
  <c r="R307"/>
  <c r="R306"/>
  <c r="Q306"/>
  <c r="P306"/>
  <c r="H306"/>
  <c r="O306" s="1"/>
  <c r="R305"/>
  <c r="Q305"/>
  <c r="P305"/>
  <c r="R303"/>
  <c r="Q303"/>
  <c r="P303"/>
  <c r="H303"/>
  <c r="H302" s="1"/>
  <c r="O302" s="1"/>
  <c r="R302"/>
  <c r="Q302"/>
  <c r="P302"/>
  <c r="R300"/>
  <c r="Q300"/>
  <c r="P300"/>
  <c r="H300"/>
  <c r="O300" s="1"/>
  <c r="R299"/>
  <c r="R298"/>
  <c r="Q298"/>
  <c r="P298"/>
  <c r="H298"/>
  <c r="R297"/>
  <c r="Q297"/>
  <c r="P297"/>
  <c r="R296"/>
  <c r="Q296"/>
  <c r="P296"/>
  <c r="R295"/>
  <c r="Q295"/>
  <c r="P295"/>
  <c r="R294"/>
  <c r="Q294"/>
  <c r="P294"/>
  <c r="R293"/>
  <c r="Q293"/>
  <c r="P293"/>
  <c r="R292"/>
  <c r="Q292"/>
  <c r="P292"/>
  <c r="R291"/>
  <c r="Q291"/>
  <c r="P291"/>
  <c r="R290"/>
  <c r="Q290"/>
  <c r="P290"/>
  <c r="O290"/>
  <c r="R289"/>
  <c r="R288"/>
  <c r="Q288"/>
  <c r="P288"/>
  <c r="H288"/>
  <c r="O288" s="1"/>
  <c r="R287"/>
  <c r="Q287"/>
  <c r="P287"/>
  <c r="H287"/>
  <c r="H286" s="1"/>
  <c r="R286"/>
  <c r="Q286"/>
  <c r="P286"/>
  <c r="R285"/>
  <c r="R284"/>
  <c r="Q284"/>
  <c r="P284"/>
  <c r="H284"/>
  <c r="O284" s="1"/>
  <c r="R283"/>
  <c r="Q283"/>
  <c r="P283"/>
  <c r="R282"/>
  <c r="Q282"/>
  <c r="P282"/>
  <c r="R281"/>
  <c r="Q281"/>
  <c r="P281"/>
  <c r="R280"/>
  <c r="Q280"/>
  <c r="P280"/>
  <c r="R279"/>
  <c r="Q279"/>
  <c r="P279"/>
  <c r="R278"/>
  <c r="R277"/>
  <c r="Q277"/>
  <c r="P277"/>
  <c r="H277"/>
  <c r="O277" s="1"/>
  <c r="R276"/>
  <c r="Q276"/>
  <c r="P276"/>
  <c r="R275"/>
  <c r="Q275"/>
  <c r="P275"/>
  <c r="R274"/>
  <c r="Q274"/>
  <c r="P274"/>
  <c r="R273"/>
  <c r="Q273"/>
  <c r="P273"/>
  <c r="R272"/>
  <c r="Q272"/>
  <c r="P272"/>
  <c r="R271"/>
  <c r="Q271"/>
  <c r="P271"/>
  <c r="R270"/>
  <c r="R269"/>
  <c r="Q269"/>
  <c r="P269"/>
  <c r="H269"/>
  <c r="H268" s="1"/>
  <c r="R268"/>
  <c r="Q268"/>
  <c r="P268"/>
  <c r="R267"/>
  <c r="Q267"/>
  <c r="P267"/>
  <c r="R266"/>
  <c r="Q266"/>
  <c r="P266"/>
  <c r="R265"/>
  <c r="Q265"/>
  <c r="P265"/>
  <c r="R264"/>
  <c r="Q264"/>
  <c r="P264"/>
  <c r="R263"/>
  <c r="Q263"/>
  <c r="P263"/>
  <c r="R262"/>
  <c r="R261"/>
  <c r="Q261"/>
  <c r="P261"/>
  <c r="H261"/>
  <c r="H260" s="1"/>
  <c r="R260"/>
  <c r="Q260"/>
  <c r="P260"/>
  <c r="R259"/>
  <c r="Q259"/>
  <c r="P259"/>
  <c r="R258"/>
  <c r="Q258"/>
  <c r="P258"/>
  <c r="R257"/>
  <c r="Q257"/>
  <c r="P257"/>
  <c r="R256"/>
  <c r="Q256"/>
  <c r="P256"/>
  <c r="R255"/>
  <c r="Q255"/>
  <c r="P255"/>
  <c r="R254"/>
  <c r="R253"/>
  <c r="Q253"/>
  <c r="P253"/>
  <c r="H253"/>
  <c r="O253" s="1"/>
  <c r="R252"/>
  <c r="R251"/>
  <c r="Q251"/>
  <c r="P251"/>
  <c r="H251"/>
  <c r="O251" s="1"/>
  <c r="R250"/>
  <c r="Q250"/>
  <c r="P250"/>
  <c r="R249"/>
  <c r="Q249"/>
  <c r="P249"/>
  <c r="R248"/>
  <c r="R247"/>
  <c r="Q247"/>
  <c r="P247"/>
  <c r="H247"/>
  <c r="O247" s="1"/>
  <c r="R246"/>
  <c r="Q246"/>
  <c r="P246"/>
  <c r="R245"/>
  <c r="Q245"/>
  <c r="P245"/>
  <c r="R244"/>
  <c r="Q244"/>
  <c r="P244"/>
  <c r="R243"/>
  <c r="R242"/>
  <c r="Q242"/>
  <c r="P242"/>
  <c r="H242"/>
  <c r="H241" s="1"/>
  <c r="R241"/>
  <c r="Q241"/>
  <c r="P241"/>
  <c r="R240"/>
  <c r="Q240"/>
  <c r="P240"/>
  <c r="R239"/>
  <c r="R238"/>
  <c r="Q238"/>
  <c r="P238"/>
  <c r="H238"/>
  <c r="O238" s="1"/>
  <c r="R236"/>
  <c r="Q236"/>
  <c r="P236"/>
  <c r="H236"/>
  <c r="R235"/>
  <c r="Q235"/>
  <c r="P235"/>
  <c r="R234"/>
  <c r="Q234"/>
  <c r="P234"/>
  <c r="R231"/>
  <c r="Q231"/>
  <c r="P231"/>
  <c r="H231"/>
  <c r="H230" s="1"/>
  <c r="R230"/>
  <c r="Q230"/>
  <c r="P230"/>
  <c r="R229"/>
  <c r="Q229"/>
  <c r="P229"/>
  <c r="R228"/>
  <c r="Q228"/>
  <c r="P228"/>
  <c r="R227"/>
  <c r="Q227"/>
  <c r="P227"/>
  <c r="R226"/>
  <c r="Q226"/>
  <c r="P226"/>
  <c r="R225"/>
  <c r="Q225"/>
  <c r="P225"/>
  <c r="R222"/>
  <c r="Q222"/>
  <c r="P222"/>
  <c r="H222"/>
  <c r="H221" s="1"/>
  <c r="R221"/>
  <c r="Q221"/>
  <c r="P221"/>
  <c r="R220"/>
  <c r="Q220"/>
  <c r="P220"/>
  <c r="R219"/>
  <c r="Q219"/>
  <c r="P219"/>
  <c r="R217"/>
  <c r="Q217"/>
  <c r="P217"/>
  <c r="H217"/>
  <c r="O217" s="1"/>
  <c r="R216"/>
  <c r="Q216"/>
  <c r="P216"/>
  <c r="H216"/>
  <c r="O216" s="1"/>
  <c r="R212"/>
  <c r="Q212"/>
  <c r="P212"/>
  <c r="H212"/>
  <c r="O212" s="1"/>
  <c r="R210"/>
  <c r="Q210"/>
  <c r="P210"/>
  <c r="H210"/>
  <c r="O210" s="1"/>
  <c r="R206"/>
  <c r="Q206"/>
  <c r="P206"/>
  <c r="H206"/>
  <c r="R205"/>
  <c r="Q205"/>
  <c r="P205"/>
  <c r="R204"/>
  <c r="Q204"/>
  <c r="P204"/>
  <c r="R203"/>
  <c r="Q203"/>
  <c r="P203"/>
  <c r="R202"/>
  <c r="R201"/>
  <c r="Q201"/>
  <c r="P201"/>
  <c r="H201"/>
  <c r="H200" s="1"/>
  <c r="R200"/>
  <c r="Q200"/>
  <c r="P200"/>
  <c r="R199"/>
  <c r="Q199"/>
  <c r="P199"/>
  <c r="R198"/>
  <c r="Q198"/>
  <c r="P198"/>
  <c r="R197"/>
  <c r="Q197"/>
  <c r="P197"/>
  <c r="R196"/>
  <c r="Q196"/>
  <c r="P196"/>
  <c r="O196"/>
  <c r="R195"/>
  <c r="Q195"/>
  <c r="P195"/>
  <c r="H195"/>
  <c r="H194" s="1"/>
  <c r="R194"/>
  <c r="Q194"/>
  <c r="P194"/>
  <c r="R193"/>
  <c r="Q193"/>
  <c r="P193"/>
  <c r="R192"/>
  <c r="Q192"/>
  <c r="P192"/>
  <c r="O192"/>
  <c r="R191"/>
  <c r="R190"/>
  <c r="Q190"/>
  <c r="P190"/>
  <c r="H190"/>
  <c r="H189" s="1"/>
  <c r="R189"/>
  <c r="Q189"/>
  <c r="P189"/>
  <c r="R188"/>
  <c r="Q188"/>
  <c r="P188"/>
  <c r="R187"/>
  <c r="Q187"/>
  <c r="P187"/>
  <c r="O187"/>
  <c r="R186"/>
  <c r="R185"/>
  <c r="Q185"/>
  <c r="P185"/>
  <c r="H185"/>
  <c r="H184" s="1"/>
  <c r="R184"/>
  <c r="Q184"/>
  <c r="P184"/>
  <c r="R183"/>
  <c r="Q183"/>
  <c r="P183"/>
  <c r="R182"/>
  <c r="R181"/>
  <c r="Q181"/>
  <c r="P181"/>
  <c r="H181"/>
  <c r="H180" s="1"/>
  <c r="R180"/>
  <c r="Q180"/>
  <c r="P180"/>
  <c r="R179"/>
  <c r="Q179"/>
  <c r="P179"/>
  <c r="R178"/>
  <c r="Q178"/>
  <c r="P178"/>
  <c r="R177"/>
  <c r="R176"/>
  <c r="Q176"/>
  <c r="P176"/>
  <c r="H176"/>
  <c r="H175" s="1"/>
  <c r="O175" s="1"/>
  <c r="R175"/>
  <c r="Q175"/>
  <c r="P175"/>
  <c r="R174"/>
  <c r="Q174"/>
  <c r="P174"/>
  <c r="R173"/>
  <c r="Q173"/>
  <c r="P173"/>
  <c r="R172"/>
  <c r="Q172"/>
  <c r="P172"/>
  <c r="R168"/>
  <c r="Q168"/>
  <c r="P168"/>
  <c r="H168"/>
  <c r="O168" s="1"/>
  <c r="R166"/>
  <c r="Q166"/>
  <c r="P166"/>
  <c r="H166"/>
  <c r="O166" s="1"/>
  <c r="R162"/>
  <c r="Q162"/>
  <c r="P162"/>
  <c r="H162"/>
  <c r="R161"/>
  <c r="Q161"/>
  <c r="P161"/>
  <c r="R160"/>
  <c r="Q160"/>
  <c r="P160"/>
  <c r="R159"/>
  <c r="R158"/>
  <c r="Q158"/>
  <c r="P158"/>
  <c r="H158"/>
  <c r="H157" s="1"/>
  <c r="R157"/>
  <c r="Q157"/>
  <c r="P157"/>
  <c r="R156"/>
  <c r="Q156"/>
  <c r="P156"/>
  <c r="R155"/>
  <c r="R154"/>
  <c r="Q154"/>
  <c r="P154"/>
  <c r="H154"/>
  <c r="H153" s="1"/>
  <c r="R153"/>
  <c r="Q153"/>
  <c r="P153"/>
  <c r="R152"/>
  <c r="Q152"/>
  <c r="P152"/>
  <c r="R151"/>
  <c r="R150"/>
  <c r="Q150"/>
  <c r="P150"/>
  <c r="H150"/>
  <c r="H149" s="1"/>
  <c r="R149"/>
  <c r="Q149"/>
  <c r="P149"/>
  <c r="R148"/>
  <c r="Q148"/>
  <c r="P148"/>
  <c r="R147"/>
  <c r="Q147"/>
  <c r="P147"/>
  <c r="R145"/>
  <c r="Q145"/>
  <c r="P145"/>
  <c r="H145"/>
  <c r="H144" s="1"/>
  <c r="R144"/>
  <c r="Q144"/>
  <c r="P144"/>
  <c r="R143"/>
  <c r="Q143"/>
  <c r="P143"/>
  <c r="R142"/>
  <c r="R141"/>
  <c r="Q141"/>
  <c r="P141"/>
  <c r="H141"/>
  <c r="O141" s="1"/>
  <c r="R140"/>
  <c r="Q140"/>
  <c r="P140"/>
  <c r="R139"/>
  <c r="Q139"/>
  <c r="P139"/>
  <c r="R138"/>
  <c r="Q138"/>
  <c r="P138"/>
  <c r="R137"/>
  <c r="Q137"/>
  <c r="P137"/>
  <c r="R136"/>
  <c r="R135"/>
  <c r="Q135"/>
  <c r="P135"/>
  <c r="H135"/>
  <c r="H134" s="1"/>
  <c r="R134"/>
  <c r="Q134"/>
  <c r="P134"/>
  <c r="R133"/>
  <c r="Q133"/>
  <c r="P133"/>
  <c r="R132"/>
  <c r="Q132"/>
  <c r="P132"/>
  <c r="R131"/>
  <c r="Q131"/>
  <c r="P131"/>
  <c r="R130"/>
  <c r="R129"/>
  <c r="Q129"/>
  <c r="P129"/>
  <c r="H129"/>
  <c r="H128" s="1"/>
  <c r="O128" s="1"/>
  <c r="R128"/>
  <c r="Q128"/>
  <c r="P128"/>
  <c r="R126"/>
  <c r="Q126"/>
  <c r="P126"/>
  <c r="H126"/>
  <c r="O126" s="1"/>
  <c r="R125"/>
  <c r="Q125"/>
  <c r="P125"/>
  <c r="R124"/>
  <c r="Q124"/>
  <c r="P124"/>
  <c r="R123"/>
  <c r="Q123"/>
  <c r="P123"/>
  <c r="R122"/>
  <c r="Q122"/>
  <c r="P122"/>
  <c r="R121"/>
  <c r="Q121"/>
  <c r="P121"/>
  <c r="R119"/>
  <c r="Q119"/>
  <c r="P119"/>
  <c r="H119"/>
  <c r="H118" s="1"/>
  <c r="R118"/>
  <c r="Q118"/>
  <c r="P118"/>
  <c r="R117"/>
  <c r="Q117"/>
  <c r="P117"/>
  <c r="R116"/>
  <c r="Q116"/>
  <c r="P116"/>
  <c r="R115"/>
  <c r="Q115"/>
  <c r="P115"/>
  <c r="R113"/>
  <c r="Q113"/>
  <c r="P113"/>
  <c r="H113"/>
  <c r="O113" s="1"/>
  <c r="R112"/>
  <c r="Q112"/>
  <c r="P112"/>
  <c r="R110"/>
  <c r="Q110"/>
  <c r="P110"/>
  <c r="H110"/>
  <c r="O110" s="1"/>
  <c r="R107"/>
  <c r="Q107"/>
  <c r="P107"/>
  <c r="H107"/>
  <c r="R106"/>
  <c r="Q106"/>
  <c r="P106"/>
  <c r="R103"/>
  <c r="Q103"/>
  <c r="P103"/>
  <c r="H103"/>
  <c r="O103" s="1"/>
  <c r="R102"/>
  <c r="Q102"/>
  <c r="P102"/>
  <c r="R99"/>
  <c r="Q99"/>
  <c r="P99"/>
  <c r="H99"/>
  <c r="O99" s="1"/>
  <c r="R97"/>
  <c r="Q97"/>
  <c r="P97"/>
  <c r="H97"/>
  <c r="O97" s="1"/>
  <c r="R94"/>
  <c r="Q94"/>
  <c r="P94"/>
  <c r="H94"/>
  <c r="R93"/>
  <c r="Q93"/>
  <c r="P93"/>
  <c r="R92"/>
  <c r="Q92"/>
  <c r="P92"/>
  <c r="R91"/>
  <c r="Q91"/>
  <c r="P91"/>
  <c r="R90"/>
  <c r="Q90"/>
  <c r="P90"/>
  <c r="R87"/>
  <c r="Q87"/>
  <c r="P87"/>
  <c r="H87"/>
  <c r="H86" s="1"/>
  <c r="O86" s="1"/>
  <c r="R86"/>
  <c r="Q86"/>
  <c r="P86"/>
  <c r="R83"/>
  <c r="Q83"/>
  <c r="P83"/>
  <c r="H83"/>
  <c r="O83" s="1"/>
  <c r="R82"/>
  <c r="Q82"/>
  <c r="P82"/>
  <c r="R81"/>
  <c r="Q81"/>
  <c r="P81"/>
  <c r="R80"/>
  <c r="Q80"/>
  <c r="P80"/>
  <c r="R79"/>
  <c r="Q79"/>
  <c r="P79"/>
  <c r="R78"/>
  <c r="Q78"/>
  <c r="P78"/>
  <c r="R77"/>
  <c r="Q77"/>
  <c r="P77"/>
  <c r="R76"/>
  <c r="Q76"/>
  <c r="P76"/>
  <c r="O76"/>
  <c r="R75"/>
  <c r="R74"/>
  <c r="Q74"/>
  <c r="P74"/>
  <c r="H74"/>
  <c r="O74" s="1"/>
  <c r="R73"/>
  <c r="Q73"/>
  <c r="P73"/>
  <c r="R72"/>
  <c r="Q72"/>
  <c r="P72"/>
  <c r="R71"/>
  <c r="Q71"/>
  <c r="P71"/>
  <c r="R70"/>
  <c r="Q70"/>
  <c r="P70"/>
  <c r="R69"/>
  <c r="R68"/>
  <c r="Q68"/>
  <c r="P68"/>
  <c r="H68"/>
  <c r="H67" s="1"/>
  <c r="R67"/>
  <c r="Q67"/>
  <c r="P67"/>
  <c r="R66"/>
  <c r="Q66"/>
  <c r="P66"/>
  <c r="R65"/>
  <c r="Q65"/>
  <c r="P65"/>
  <c r="R64"/>
  <c r="Q64"/>
  <c r="P64"/>
  <c r="R63"/>
  <c r="Q63"/>
  <c r="P63"/>
  <c r="R62"/>
  <c r="R61"/>
  <c r="Q61"/>
  <c r="P61"/>
  <c r="H61"/>
  <c r="O61" s="1"/>
  <c r="R60"/>
  <c r="Q60"/>
  <c r="P60"/>
  <c r="R59"/>
  <c r="Q59"/>
  <c r="P59"/>
  <c r="R58"/>
  <c r="Q58"/>
  <c r="P58"/>
  <c r="R57"/>
  <c r="Q57"/>
  <c r="P57"/>
  <c r="R54"/>
  <c r="Q54"/>
  <c r="P54"/>
  <c r="H54"/>
  <c r="H53" s="1"/>
  <c r="R53"/>
  <c r="Q53"/>
  <c r="P53"/>
  <c r="R50"/>
  <c r="Q50"/>
  <c r="P50"/>
  <c r="H50"/>
  <c r="H49" s="1"/>
  <c r="O49" s="1"/>
  <c r="R49"/>
  <c r="Q49"/>
  <c r="P49"/>
  <c r="R48"/>
  <c r="Q48"/>
  <c r="P48"/>
  <c r="R45"/>
  <c r="Q45"/>
  <c r="P45"/>
  <c r="H45"/>
  <c r="H44" s="1"/>
  <c r="R44"/>
  <c r="Q44"/>
  <c r="P44"/>
  <c r="R41"/>
  <c r="Q41"/>
  <c r="P41"/>
  <c r="H41"/>
  <c r="H40" s="1"/>
  <c r="O40" s="1"/>
  <c r="R40"/>
  <c r="Q40"/>
  <c r="P40"/>
  <c r="R39"/>
  <c r="Q39"/>
  <c r="P39"/>
  <c r="R36"/>
  <c r="Q36"/>
  <c r="P36"/>
  <c r="H36"/>
  <c r="H35" s="1"/>
  <c r="O35" s="1"/>
  <c r="R35"/>
  <c r="Q35"/>
  <c r="P35"/>
  <c r="R32"/>
  <c r="Q32"/>
  <c r="P32"/>
  <c r="H32"/>
  <c r="O32" s="1"/>
  <c r="R30"/>
  <c r="Q30"/>
  <c r="P30"/>
  <c r="H30"/>
  <c r="O30" s="1"/>
  <c r="R26"/>
  <c r="Q26"/>
  <c r="P26"/>
  <c r="H26"/>
  <c r="O26" s="1"/>
  <c r="R25"/>
  <c r="Q25"/>
  <c r="P25"/>
  <c r="R24"/>
  <c r="Q24"/>
  <c r="P24"/>
  <c r="R23"/>
  <c r="Q23"/>
  <c r="P23"/>
  <c r="R22"/>
  <c r="Q22"/>
  <c r="P22"/>
  <c r="R21"/>
  <c r="Q21"/>
  <c r="P21"/>
  <c r="R20"/>
  <c r="Q20"/>
  <c r="P20"/>
  <c r="H1105" i="5"/>
  <c r="H1788"/>
  <c r="H1787" s="1"/>
  <c r="H1783" s="1"/>
  <c r="H1782"/>
  <c r="H1781" s="1"/>
  <c r="H1777" s="1"/>
  <c r="H521" i="6" l="1"/>
  <c r="O521" s="1"/>
  <c r="I1362"/>
  <c r="H677"/>
  <c r="O677" s="1"/>
  <c r="H681"/>
  <c r="O681" s="1"/>
  <c r="H1112"/>
  <c r="I1361"/>
  <c r="H1627"/>
  <c r="O1627" s="1"/>
  <c r="H235"/>
  <c r="H234" s="1"/>
  <c r="O234" s="1"/>
  <c r="H305"/>
  <c r="O305" s="1"/>
  <c r="H1101"/>
  <c r="H1545"/>
  <c r="H377"/>
  <c r="H545"/>
  <c r="H1221"/>
  <c r="O1221" s="1"/>
  <c r="H106"/>
  <c r="O106" s="1"/>
  <c r="H1180"/>
  <c r="O1180" s="1"/>
  <c r="H1557"/>
  <c r="H1556" s="1"/>
  <c r="H205"/>
  <c r="H450"/>
  <c r="O450" s="1"/>
  <c r="H641"/>
  <c r="O641" s="1"/>
  <c r="H1040"/>
  <c r="O1040" s="1"/>
  <c r="H1052"/>
  <c r="O1052" s="1"/>
  <c r="H1075"/>
  <c r="H1074" s="1"/>
  <c r="O1074" s="1"/>
  <c r="H1290"/>
  <c r="O1290" s="1"/>
  <c r="H1678"/>
  <c r="O1678" s="1"/>
  <c r="H1794"/>
  <c r="H1793" s="1"/>
  <c r="O1793" s="1"/>
  <c r="H1812"/>
  <c r="O1812" s="1"/>
  <c r="O176"/>
  <c r="O68"/>
  <c r="H847"/>
  <c r="O847" s="1"/>
  <c r="O1377"/>
  <c r="O853"/>
  <c r="O943"/>
  <c r="O1636"/>
  <c r="O1918"/>
  <c r="O1047"/>
  <c r="O928"/>
  <c r="O1264"/>
  <c r="O1538"/>
  <c r="H1361"/>
  <c r="O1361" s="1"/>
  <c r="H1875"/>
  <c r="O1875" s="1"/>
  <c r="H607"/>
  <c r="O607" s="1"/>
  <c r="H699"/>
  <c r="H698" s="1"/>
  <c r="O261"/>
  <c r="O583"/>
  <c r="O817"/>
  <c r="H1027"/>
  <c r="O1027" s="1"/>
  <c r="O1280"/>
  <c r="O1330"/>
  <c r="O1866"/>
  <c r="O1675"/>
  <c r="H886"/>
  <c r="O886" s="1"/>
  <c r="H125"/>
  <c r="H124" s="1"/>
  <c r="H1354"/>
  <c r="O1354" s="1"/>
  <c r="H1017"/>
  <c r="O1017" s="1"/>
  <c r="O1452"/>
  <c r="O1610"/>
  <c r="O1837"/>
  <c r="O1879"/>
  <c r="O195"/>
  <c r="O388"/>
  <c r="H383"/>
  <c r="H382" s="1"/>
  <c r="H82"/>
  <c r="O82" s="1"/>
  <c r="H246"/>
  <c r="H245" s="1"/>
  <c r="O245" s="1"/>
  <c r="O451"/>
  <c r="O613"/>
  <c r="H656"/>
  <c r="O656" s="1"/>
  <c r="H885"/>
  <c r="O885" s="1"/>
  <c r="O887"/>
  <c r="H1049"/>
  <c r="O1049" s="1"/>
  <c r="O1080"/>
  <c r="O1113"/>
  <c r="O1136"/>
  <c r="O1203"/>
  <c r="O1254"/>
  <c r="O1302"/>
  <c r="H1485"/>
  <c r="O1485" s="1"/>
  <c r="O1583"/>
  <c r="H1631"/>
  <c r="O1631" s="1"/>
  <c r="H1732"/>
  <c r="O1732" s="1"/>
  <c r="H1753"/>
  <c r="O1753" s="1"/>
  <c r="O1794"/>
  <c r="H513"/>
  <c r="H512" s="1"/>
  <c r="O512" s="1"/>
  <c r="O700"/>
  <c r="O821"/>
  <c r="O1466"/>
  <c r="O50"/>
  <c r="O54"/>
  <c r="O158"/>
  <c r="O514"/>
  <c r="H537"/>
  <c r="O537" s="1"/>
  <c r="H574"/>
  <c r="H573" s="1"/>
  <c r="H572" s="1"/>
  <c r="O572" s="1"/>
  <c r="O709"/>
  <c r="O712"/>
  <c r="H743"/>
  <c r="O743" s="1"/>
  <c r="O1038"/>
  <c r="O1192"/>
  <c r="H1233"/>
  <c r="O1233" s="1"/>
  <c r="H1671"/>
  <c r="H1670" s="1"/>
  <c r="O1670" s="1"/>
  <c r="O1800"/>
  <c r="H595"/>
  <c r="H594" s="1"/>
  <c r="O594" s="1"/>
  <c r="H93"/>
  <c r="O93" s="1"/>
  <c r="O150"/>
  <c r="H283"/>
  <c r="H282" s="1"/>
  <c r="O282" s="1"/>
  <c r="H343"/>
  <c r="H342" s="1"/>
  <c r="O342" s="1"/>
  <c r="O389"/>
  <c r="H435"/>
  <c r="H434" s="1"/>
  <c r="H487"/>
  <c r="O487" s="1"/>
  <c r="H552"/>
  <c r="H551" s="1"/>
  <c r="H550" s="1"/>
  <c r="O550" s="1"/>
  <c r="O825"/>
  <c r="O827"/>
  <c r="O1160"/>
  <c r="O1239"/>
  <c r="H1723"/>
  <c r="O1723" s="1"/>
  <c r="H1941"/>
  <c r="O1941" s="1"/>
  <c r="O1491"/>
  <c r="H1484"/>
  <c r="O1484" s="1"/>
  <c r="H412"/>
  <c r="H411" s="1"/>
  <c r="O411" s="1"/>
  <c r="H1107"/>
  <c r="O1107" s="1"/>
  <c r="O1143"/>
  <c r="O1427"/>
  <c r="O1492"/>
  <c r="O1604"/>
  <c r="H466"/>
  <c r="O468"/>
  <c r="O419"/>
  <c r="H276"/>
  <c r="O276" s="1"/>
  <c r="H417"/>
  <c r="O417" s="1"/>
  <c r="O357"/>
  <c r="H356"/>
  <c r="H355" s="1"/>
  <c r="O501"/>
  <c r="H500"/>
  <c r="O500" s="1"/>
  <c r="O1268"/>
  <c r="H1267"/>
  <c r="H611"/>
  <c r="O612"/>
  <c r="O773"/>
  <c r="H772"/>
  <c r="H771" s="1"/>
  <c r="H770" s="1"/>
  <c r="O770" s="1"/>
  <c r="O834"/>
  <c r="H833"/>
  <c r="H832" s="1"/>
  <c r="O832" s="1"/>
  <c r="O1537"/>
  <c r="H1536"/>
  <c r="H1535" s="1"/>
  <c r="O1535" s="1"/>
  <c r="H1648"/>
  <c r="H1647" s="1"/>
  <c r="O1649"/>
  <c r="O1202"/>
  <c r="H1201"/>
  <c r="H1200" s="1"/>
  <c r="O1709"/>
  <c r="H1708"/>
  <c r="O1708" s="1"/>
  <c r="O119"/>
  <c r="O231"/>
  <c r="H250"/>
  <c r="H249" s="1"/>
  <c r="H297"/>
  <c r="H296" s="1"/>
  <c r="O414"/>
  <c r="O420"/>
  <c r="O488"/>
  <c r="O564"/>
  <c r="H582"/>
  <c r="O582" s="1"/>
  <c r="O624"/>
  <c r="O633"/>
  <c r="O813"/>
  <c r="O835"/>
  <c r="O959"/>
  <c r="H981"/>
  <c r="O981" s="1"/>
  <c r="O1030"/>
  <c r="H1064"/>
  <c r="O1064" s="1"/>
  <c r="O1072"/>
  <c r="O1092"/>
  <c r="O1174"/>
  <c r="H1185"/>
  <c r="O1402"/>
  <c r="H1571"/>
  <c r="O1622"/>
  <c r="O1650"/>
  <c r="O1710"/>
  <c r="O1932"/>
  <c r="H687"/>
  <c r="O687" s="1"/>
  <c r="H859"/>
  <c r="H991"/>
  <c r="O991" s="1"/>
  <c r="H1001"/>
  <c r="O1001" s="1"/>
  <c r="O1044"/>
  <c r="H1691"/>
  <c r="O1691" s="1"/>
  <c r="H1898"/>
  <c r="O1898" s="1"/>
  <c r="H1913"/>
  <c r="O1913" s="1"/>
  <c r="O36"/>
  <c r="O107"/>
  <c r="H161"/>
  <c r="H160" s="1"/>
  <c r="O160" s="1"/>
  <c r="O185"/>
  <c r="O316"/>
  <c r="O502"/>
  <c r="H507"/>
  <c r="O538"/>
  <c r="O602"/>
  <c r="H617"/>
  <c r="H640"/>
  <c r="O640" s="1"/>
  <c r="H662"/>
  <c r="O688"/>
  <c r="O774"/>
  <c r="H1208"/>
  <c r="O1208" s="1"/>
  <c r="H1242"/>
  <c r="O1242" s="1"/>
  <c r="O1269"/>
  <c r="O1333"/>
  <c r="H1379"/>
  <c r="O1379" s="1"/>
  <c r="H1468"/>
  <c r="O1468" s="1"/>
  <c r="O1625"/>
  <c r="O1676"/>
  <c r="H1891"/>
  <c r="H1890" s="1"/>
  <c r="H1889" s="1"/>
  <c r="O1889" s="1"/>
  <c r="O1952"/>
  <c r="H73"/>
  <c r="H72" s="1"/>
  <c r="H71" s="1"/>
  <c r="H112"/>
  <c r="O112" s="1"/>
  <c r="O154"/>
  <c r="O162"/>
  <c r="O334"/>
  <c r="O358"/>
  <c r="H407"/>
  <c r="O407" s="1"/>
  <c r="O563"/>
  <c r="O623"/>
  <c r="H667"/>
  <c r="O667" s="1"/>
  <c r="O849"/>
  <c r="H906"/>
  <c r="H950"/>
  <c r="O950" s="1"/>
  <c r="H1034"/>
  <c r="O1034" s="1"/>
  <c r="O1209"/>
  <c r="H1612"/>
  <c r="O1612" s="1"/>
  <c r="O1750"/>
  <c r="O1778"/>
  <c r="O1892"/>
  <c r="H60"/>
  <c r="H59" s="1"/>
  <c r="O59" s="1"/>
  <c r="O129"/>
  <c r="O469"/>
  <c r="H753"/>
  <c r="H932"/>
  <c r="O932" s="1"/>
  <c r="H968"/>
  <c r="O968" s="1"/>
  <c r="O1062"/>
  <c r="O1068"/>
  <c r="H1165"/>
  <c r="H1298"/>
  <c r="H1341"/>
  <c r="O1341" s="1"/>
  <c r="O1564"/>
  <c r="O1917"/>
  <c r="H397"/>
  <c r="O424"/>
  <c r="H493"/>
  <c r="O493" s="1"/>
  <c r="O969"/>
  <c r="O1056"/>
  <c r="H1118"/>
  <c r="O1118" s="1"/>
  <c r="H1131"/>
  <c r="O1131" s="1"/>
  <c r="H1195"/>
  <c r="H1276"/>
  <c r="O1276" s="1"/>
  <c r="O1342"/>
  <c r="H1429"/>
  <c r="O1429" s="1"/>
  <c r="O1477"/>
  <c r="O1505"/>
  <c r="O1549"/>
  <c r="H102"/>
  <c r="O102" s="1"/>
  <c r="H174"/>
  <c r="H173" s="1"/>
  <c r="O173" s="1"/>
  <c r="O181"/>
  <c r="O201"/>
  <c r="H1909"/>
  <c r="H1908" s="1"/>
  <c r="O1908" s="1"/>
  <c r="H275"/>
  <c r="H81"/>
  <c r="O118"/>
  <c r="H117"/>
  <c r="O230"/>
  <c r="H229"/>
  <c r="H362"/>
  <c r="O363"/>
  <c r="H444"/>
  <c r="O445"/>
  <c r="O194"/>
  <c r="H193"/>
  <c r="O193" s="1"/>
  <c r="H244"/>
  <c r="O244" s="1"/>
  <c r="O249"/>
  <c r="O260"/>
  <c r="H259"/>
  <c r="H267"/>
  <c r="O268"/>
  <c r="H143"/>
  <c r="O143" s="1"/>
  <c r="O144"/>
  <c r="O184"/>
  <c r="H183"/>
  <c r="H188"/>
  <c r="O188" s="1"/>
  <c r="O189"/>
  <c r="H220"/>
  <c r="O221"/>
  <c r="H240"/>
  <c r="O240" s="1"/>
  <c r="O241"/>
  <c r="O286"/>
  <c r="O44"/>
  <c r="H39"/>
  <c r="O39" s="1"/>
  <c r="O67"/>
  <c r="H66"/>
  <c r="H204"/>
  <c r="O205"/>
  <c r="H314"/>
  <c r="O315"/>
  <c r="H133"/>
  <c r="O134"/>
  <c r="O153"/>
  <c r="H152"/>
  <c r="O152" s="1"/>
  <c r="O383"/>
  <c r="O180"/>
  <c r="H179"/>
  <c r="O179" s="1"/>
  <c r="H199"/>
  <c r="O200"/>
  <c r="O53"/>
  <c r="H48"/>
  <c r="O48" s="1"/>
  <c r="O149"/>
  <c r="H148"/>
  <c r="O157"/>
  <c r="H156"/>
  <c r="O156" s="1"/>
  <c r="H341"/>
  <c r="O341" s="1"/>
  <c r="H140"/>
  <c r="H600"/>
  <c r="O600" s="1"/>
  <c r="H736"/>
  <c r="O737"/>
  <c r="H973"/>
  <c r="O973" s="1"/>
  <c r="O974"/>
  <c r="H1084"/>
  <c r="O1085"/>
  <c r="H25"/>
  <c r="O60"/>
  <c r="O87"/>
  <c r="O125"/>
  <c r="O242"/>
  <c r="O250"/>
  <c r="O309"/>
  <c r="H323"/>
  <c r="O323" s="1"/>
  <c r="H371"/>
  <c r="O372"/>
  <c r="H376"/>
  <c r="O377"/>
  <c r="O446"/>
  <c r="O513"/>
  <c r="H580"/>
  <c r="H655"/>
  <c r="O655" s="1"/>
  <c r="H797"/>
  <c r="O802"/>
  <c r="O41"/>
  <c r="O94"/>
  <c r="O135"/>
  <c r="O206"/>
  <c r="O222"/>
  <c r="O287"/>
  <c r="O343"/>
  <c r="O384"/>
  <c r="H528"/>
  <c r="O529"/>
  <c r="H561"/>
  <c r="O705"/>
  <c r="H704"/>
  <c r="O704" s="1"/>
  <c r="H742"/>
  <c r="H1520"/>
  <c r="O1520" s="1"/>
  <c r="O1521"/>
  <c r="H1544"/>
  <c r="O1545"/>
  <c r="H351"/>
  <c r="H544"/>
  <c r="O544" s="1"/>
  <c r="O545"/>
  <c r="H568"/>
  <c r="O569"/>
  <c r="O727"/>
  <c r="H723"/>
  <c r="O987"/>
  <c r="H986"/>
  <c r="O986" s="1"/>
  <c r="H588"/>
  <c r="O589"/>
  <c r="O698"/>
  <c r="H881"/>
  <c r="O881" s="1"/>
  <c r="O882"/>
  <c r="O45"/>
  <c r="O145"/>
  <c r="O190"/>
  <c r="O236"/>
  <c r="O269"/>
  <c r="O298"/>
  <c r="O303"/>
  <c r="O364"/>
  <c r="H460"/>
  <c r="O460" s="1"/>
  <c r="O461"/>
  <c r="H519"/>
  <c r="O520"/>
  <c r="O551"/>
  <c r="H631"/>
  <c r="H648"/>
  <c r="O649"/>
  <c r="H759"/>
  <c r="O760"/>
  <c r="H765"/>
  <c r="O766"/>
  <c r="H1100"/>
  <c r="O1101"/>
  <c r="H477"/>
  <c r="H748"/>
  <c r="O748" s="1"/>
  <c r="O749"/>
  <c r="O781"/>
  <c r="H778"/>
  <c r="H819"/>
  <c r="O819" s="1"/>
  <c r="O820"/>
  <c r="H558"/>
  <c r="O559"/>
  <c r="H621"/>
  <c r="H639"/>
  <c r="H868"/>
  <c r="H1260"/>
  <c r="O1261"/>
  <c r="H808"/>
  <c r="O809"/>
  <c r="O833"/>
  <c r="H855"/>
  <c r="O855" s="1"/>
  <c r="H917"/>
  <c r="H941"/>
  <c r="O942"/>
  <c r="H949"/>
  <c r="H976"/>
  <c r="O976" s="1"/>
  <c r="O979"/>
  <c r="O1095"/>
  <c r="H787"/>
  <c r="O788"/>
  <c r="H865"/>
  <c r="O866"/>
  <c r="O958"/>
  <c r="H1022"/>
  <c r="O1022" s="1"/>
  <c r="O1023"/>
  <c r="H1111"/>
  <c r="O1112"/>
  <c r="H1304"/>
  <c r="O1304" s="1"/>
  <c r="O1305"/>
  <c r="O421"/>
  <c r="O425"/>
  <c r="O470"/>
  <c r="O494"/>
  <c r="O575"/>
  <c r="O636"/>
  <c r="O706"/>
  <c r="O744"/>
  <c r="O883"/>
  <c r="H1006"/>
  <c r="O1006" s="1"/>
  <c r="O1007"/>
  <c r="O1015"/>
  <c r="H1012"/>
  <c r="O1075"/>
  <c r="H1123"/>
  <c r="O1124"/>
  <c r="O1159"/>
  <c r="H1172"/>
  <c r="O1173"/>
  <c r="O1279"/>
  <c r="H1464"/>
  <c r="O1465"/>
  <c r="H1483"/>
  <c r="H1897"/>
  <c r="H1912"/>
  <c r="O1912" s="1"/>
  <c r="O999"/>
  <c r="H996"/>
  <c r="O996" s="1"/>
  <c r="H1246"/>
  <c r="O1246" s="1"/>
  <c r="H1321"/>
  <c r="O1322"/>
  <c r="H841"/>
  <c r="O842"/>
  <c r="H963"/>
  <c r="O963" s="1"/>
  <c r="O1002"/>
  <c r="H1179"/>
  <c r="O1218"/>
  <c r="H1328"/>
  <c r="H1418"/>
  <c r="O1419"/>
  <c r="H793"/>
  <c r="O794"/>
  <c r="H1058"/>
  <c r="O1058" s="1"/>
  <c r="O1059"/>
  <c r="H1070"/>
  <c r="O1070" s="1"/>
  <c r="O1071"/>
  <c r="O1079"/>
  <c r="O1298"/>
  <c r="H1717"/>
  <c r="O1718"/>
  <c r="H811"/>
  <c r="O811" s="1"/>
  <c r="O812"/>
  <c r="O852"/>
  <c r="H893"/>
  <c r="O894"/>
  <c r="H900"/>
  <c r="O901"/>
  <c r="O1094"/>
  <c r="H1090"/>
  <c r="H1157"/>
  <c r="O1158"/>
  <c r="H1190"/>
  <c r="O1190" s="1"/>
  <c r="O1191"/>
  <c r="O1666"/>
  <c r="H1694"/>
  <c r="O1694" s="1"/>
  <c r="O1695"/>
  <c r="H1790"/>
  <c r="O1791"/>
  <c r="H1748"/>
  <c r="O1749"/>
  <c r="O1890"/>
  <c r="H1503"/>
  <c r="O1504"/>
  <c r="H1741"/>
  <c r="O1742"/>
  <c r="H1798"/>
  <c r="O1799"/>
  <c r="H1940"/>
  <c r="O1603"/>
  <c r="O1635"/>
  <c r="H1630"/>
  <c r="O1630" s="1"/>
  <c r="H1886"/>
  <c r="O1887"/>
  <c r="H1579"/>
  <c r="O1580"/>
  <c r="H1590"/>
  <c r="O1591"/>
  <c r="H1641"/>
  <c r="O1642"/>
  <c r="O1656"/>
  <c r="H1655"/>
  <c r="H1681"/>
  <c r="O1681" s="1"/>
  <c r="O1682"/>
  <c r="H1762"/>
  <c r="H1776"/>
  <c r="O1776" s="1"/>
  <c r="O1782"/>
  <c r="H1864"/>
  <c r="O1865"/>
  <c r="H1874"/>
  <c r="O1874" s="1"/>
  <c r="H1472"/>
  <c r="O1473"/>
  <c r="O1596"/>
  <c r="H1595"/>
  <c r="H1618"/>
  <c r="O1618" s="1"/>
  <c r="O1619"/>
  <c r="O1647"/>
  <c r="H1646"/>
  <c r="O1836"/>
  <c r="H1871"/>
  <c r="O1872"/>
  <c r="H1922"/>
  <c r="O1923"/>
  <c r="H1425"/>
  <c r="H1447"/>
  <c r="O1447" s="1"/>
  <c r="O1448"/>
  <c r="O1556"/>
  <c r="H1555"/>
  <c r="O1555" s="1"/>
  <c r="H1562"/>
  <c r="O1563"/>
  <c r="H1660"/>
  <c r="O1661"/>
  <c r="O1713"/>
  <c r="H1712"/>
  <c r="O1712" s="1"/>
  <c r="H1846"/>
  <c r="H1845" s="1"/>
  <c r="O1847"/>
  <c r="H1368"/>
  <c r="H1387"/>
  <c r="H1398"/>
  <c r="H1438"/>
  <c r="O1438" s="1"/>
  <c r="O1517"/>
  <c r="O1557"/>
  <c r="O1597"/>
  <c r="O1607"/>
  <c r="O1648"/>
  <c r="O1657"/>
  <c r="O1667"/>
  <c r="O1714"/>
  <c r="O1724"/>
  <c r="O1813"/>
  <c r="O1848"/>
  <c r="O1942"/>
  <c r="H1385"/>
  <c r="H1595" i="5"/>
  <c r="H1402"/>
  <c r="H1401" s="1"/>
  <c r="H1397" s="1"/>
  <c r="H1396"/>
  <c r="H1395" s="1"/>
  <c r="H1391" s="1"/>
  <c r="H1507"/>
  <c r="H1506" s="1"/>
  <c r="H1502" s="1"/>
  <c r="H1501"/>
  <c r="H1500" s="1"/>
  <c r="H1496" s="1"/>
  <c r="H1304"/>
  <c r="H902"/>
  <c r="H901" s="1"/>
  <c r="H900" s="1"/>
  <c r="H899" s="1"/>
  <c r="H872"/>
  <c r="H871" s="1"/>
  <c r="H867" s="1"/>
  <c r="H865"/>
  <c r="H861" s="1"/>
  <c r="O283" i="6" l="1"/>
  <c r="H1289"/>
  <c r="O72"/>
  <c r="O235"/>
  <c r="H666"/>
  <c r="O246"/>
  <c r="H1722"/>
  <c r="O73"/>
  <c r="O174"/>
  <c r="H281"/>
  <c r="H1516"/>
  <c r="O1536"/>
  <c r="O161"/>
  <c r="H1340"/>
  <c r="H851"/>
  <c r="O851" s="1"/>
  <c r="H606"/>
  <c r="H1375"/>
  <c r="O1891"/>
  <c r="H1207"/>
  <c r="H58"/>
  <c r="H1106"/>
  <c r="O1106" s="1"/>
  <c r="H123"/>
  <c r="O124"/>
  <c r="O1909"/>
  <c r="O595"/>
  <c r="H931"/>
  <c r="O931" s="1"/>
  <c r="O699"/>
  <c r="H1811"/>
  <c r="O552"/>
  <c r="O412"/>
  <c r="H92"/>
  <c r="O92" s="1"/>
  <c r="H1844"/>
  <c r="O1845"/>
  <c r="H1437"/>
  <c r="H1674"/>
  <c r="O1674" s="1"/>
  <c r="H1602"/>
  <c r="H1601" s="1"/>
  <c r="H1275"/>
  <c r="O1201"/>
  <c r="O435"/>
  <c r="O1671"/>
  <c r="H511"/>
  <c r="O511" s="1"/>
  <c r="O574"/>
  <c r="O356"/>
  <c r="H486"/>
  <c r="O573"/>
  <c r="O771"/>
  <c r="O297"/>
  <c r="O772"/>
  <c r="H322"/>
  <c r="H321" s="1"/>
  <c r="H571"/>
  <c r="O571" s="1"/>
  <c r="H1752"/>
  <c r="O1752" s="1"/>
  <c r="H416"/>
  <c r="O416" s="1"/>
  <c r="H465"/>
  <c r="O466"/>
  <c r="O617"/>
  <c r="H616"/>
  <c r="O859"/>
  <c r="H858"/>
  <c r="O858" s="1"/>
  <c r="O1571"/>
  <c r="H1570"/>
  <c r="H752"/>
  <c r="O752" s="1"/>
  <c r="O753"/>
  <c r="O1289"/>
  <c r="H1288"/>
  <c r="O823"/>
  <c r="O824"/>
  <c r="O611"/>
  <c r="H610"/>
  <c r="O610" s="1"/>
  <c r="O1267"/>
  <c r="H1266"/>
  <c r="O1266" s="1"/>
  <c r="H1105"/>
  <c r="O1105" s="1"/>
  <c r="O507"/>
  <c r="H506"/>
  <c r="O1185"/>
  <c r="H1184"/>
  <c r="O1184" s="1"/>
  <c r="H1164"/>
  <c r="O1165"/>
  <c r="H593"/>
  <c r="O593" s="1"/>
  <c r="O906"/>
  <c r="H905"/>
  <c r="O662"/>
  <c r="H661"/>
  <c r="H1232"/>
  <c r="O1232" s="1"/>
  <c r="H1194"/>
  <c r="O1194" s="1"/>
  <c r="O1195"/>
  <c r="O397"/>
  <c r="H396"/>
  <c r="O275"/>
  <c r="H274"/>
  <c r="O1516"/>
  <c r="H1515"/>
  <c r="O1179"/>
  <c r="H1178"/>
  <c r="O797"/>
  <c r="H796"/>
  <c r="O796" s="1"/>
  <c r="H1386"/>
  <c r="O1386" s="1"/>
  <c r="O1387"/>
  <c r="H1659"/>
  <c r="O1659" s="1"/>
  <c r="O1660"/>
  <c r="H1645"/>
  <c r="O1646"/>
  <c r="H1471"/>
  <c r="O1471" s="1"/>
  <c r="O1472"/>
  <c r="O1123"/>
  <c r="H1122"/>
  <c r="H557"/>
  <c r="O558"/>
  <c r="H647"/>
  <c r="O648"/>
  <c r="O321"/>
  <c r="H567"/>
  <c r="O568"/>
  <c r="O742"/>
  <c r="H527"/>
  <c r="O528"/>
  <c r="H579"/>
  <c r="O579" s="1"/>
  <c r="O580"/>
  <c r="O382"/>
  <c r="H381"/>
  <c r="O314"/>
  <c r="H313"/>
  <c r="H295"/>
  <c r="O296"/>
  <c r="O444"/>
  <c r="H443"/>
  <c r="H1921"/>
  <c r="O1922"/>
  <c r="O1385"/>
  <c r="H1384"/>
  <c r="O1090"/>
  <c r="H1089"/>
  <c r="O666"/>
  <c r="H665"/>
  <c r="O665" s="1"/>
  <c r="H1367"/>
  <c r="O1368"/>
  <c r="H1761"/>
  <c r="O1762"/>
  <c r="H1589"/>
  <c r="O1590"/>
  <c r="H1797"/>
  <c r="O1797" s="1"/>
  <c r="O1798"/>
  <c r="H899"/>
  <c r="O900"/>
  <c r="H1716"/>
  <c r="O1716" s="1"/>
  <c r="O1717"/>
  <c r="H1417"/>
  <c r="O1418"/>
  <c r="O1464"/>
  <c r="H1463"/>
  <c r="O865"/>
  <c r="H864"/>
  <c r="O864" s="1"/>
  <c r="H940"/>
  <c r="O941"/>
  <c r="O1260"/>
  <c r="H1259"/>
  <c r="H476"/>
  <c r="O477"/>
  <c r="H764"/>
  <c r="O765"/>
  <c r="O631"/>
  <c r="H630"/>
  <c r="H1183"/>
  <c r="O1183" s="1"/>
  <c r="H510"/>
  <c r="O510" s="1"/>
  <c r="H70"/>
  <c r="O71"/>
  <c r="O281"/>
  <c r="H280"/>
  <c r="O183"/>
  <c r="H178"/>
  <c r="H1327"/>
  <c r="O1328"/>
  <c r="O1111"/>
  <c r="H1110"/>
  <c r="O434"/>
  <c r="H433"/>
  <c r="H449"/>
  <c r="H24"/>
  <c r="O25"/>
  <c r="H735"/>
  <c r="O736"/>
  <c r="O204"/>
  <c r="H203"/>
  <c r="O203" s="1"/>
  <c r="O362"/>
  <c r="H361"/>
  <c r="O1846"/>
  <c r="H1578"/>
  <c r="O1579"/>
  <c r="H1740"/>
  <c r="O1741"/>
  <c r="O1748"/>
  <c r="O893"/>
  <c r="H892"/>
  <c r="H1297"/>
  <c r="H1206"/>
  <c r="O1207"/>
  <c r="O1012"/>
  <c r="H1011"/>
  <c r="O1011" s="1"/>
  <c r="H1033"/>
  <c r="H786"/>
  <c r="O787"/>
  <c r="O917"/>
  <c r="H916"/>
  <c r="H354"/>
  <c r="O354" s="1"/>
  <c r="O355"/>
  <c r="H758"/>
  <c r="O758" s="1"/>
  <c r="O759"/>
  <c r="H1543"/>
  <c r="O1544"/>
  <c r="H65"/>
  <c r="O66"/>
  <c r="H228"/>
  <c r="O229"/>
  <c r="H1594"/>
  <c r="O1595"/>
  <c r="H1654"/>
  <c r="O1655"/>
  <c r="H1721"/>
  <c r="O1722"/>
  <c r="O841"/>
  <c r="H840"/>
  <c r="H638"/>
  <c r="O638" s="1"/>
  <c r="O639"/>
  <c r="H518"/>
  <c r="O518" s="1"/>
  <c r="O519"/>
  <c r="H722"/>
  <c r="O723"/>
  <c r="H1083"/>
  <c r="O1084"/>
  <c r="H198"/>
  <c r="O199"/>
  <c r="O133"/>
  <c r="H132"/>
  <c r="O1562"/>
  <c r="H1561"/>
  <c r="H1870"/>
  <c r="O1871"/>
  <c r="O1602"/>
  <c r="O1157"/>
  <c r="H1156"/>
  <c r="H1896"/>
  <c r="O1896" s="1"/>
  <c r="O1897"/>
  <c r="O1172"/>
  <c r="H1171"/>
  <c r="O621"/>
  <c r="H620"/>
  <c r="O620" s="1"/>
  <c r="H777"/>
  <c r="O778"/>
  <c r="H1231"/>
  <c r="H697"/>
  <c r="H375"/>
  <c r="O376"/>
  <c r="H57"/>
  <c r="O57" s="1"/>
  <c r="O58"/>
  <c r="H116"/>
  <c r="O117"/>
  <c r="O1340"/>
  <c r="H1339"/>
  <c r="H1436"/>
  <c r="O1437"/>
  <c r="O1375"/>
  <c r="H1374"/>
  <c r="O1864"/>
  <c r="H1863"/>
  <c r="H1810"/>
  <c r="O1811"/>
  <c r="O1200"/>
  <c r="H1199"/>
  <c r="O1321"/>
  <c r="H1320"/>
  <c r="O561"/>
  <c r="H139"/>
  <c r="O140"/>
  <c r="H91"/>
  <c r="O220"/>
  <c r="H219"/>
  <c r="O219" s="1"/>
  <c r="H266"/>
  <c r="O267"/>
  <c r="H122"/>
  <c r="O123"/>
  <c r="O1398"/>
  <c r="H1394"/>
  <c r="H1424"/>
  <c r="O1425"/>
  <c r="O1835"/>
  <c r="H1834"/>
  <c r="H1640"/>
  <c r="O1641"/>
  <c r="H1885"/>
  <c r="O1885" s="1"/>
  <c r="O1886"/>
  <c r="H1939"/>
  <c r="O1940"/>
  <c r="O1503"/>
  <c r="H1502"/>
  <c r="H1789"/>
  <c r="O1790"/>
  <c r="O793"/>
  <c r="H792"/>
  <c r="H1482"/>
  <c r="H1481" s="1"/>
  <c r="O1483"/>
  <c r="H957"/>
  <c r="H948"/>
  <c r="O949"/>
  <c r="H807"/>
  <c r="O807" s="1"/>
  <c r="O808"/>
  <c r="O1100"/>
  <c r="H1099"/>
  <c r="O1099" s="1"/>
  <c r="H587"/>
  <c r="O588"/>
  <c r="H350"/>
  <c r="O351"/>
  <c r="H370"/>
  <c r="O371"/>
  <c r="H147"/>
  <c r="O147" s="1"/>
  <c r="O148"/>
  <c r="O259"/>
  <c r="H258"/>
  <c r="O81"/>
  <c r="H80"/>
  <c r="H860" i="5"/>
  <c r="H1294"/>
  <c r="H1298"/>
  <c r="H1300"/>
  <c r="H1707" i="6" l="1"/>
  <c r="H605"/>
  <c r="O605" s="1"/>
  <c r="O606"/>
  <c r="O322"/>
  <c r="H1747"/>
  <c r="H1746" s="1"/>
  <c r="O1844"/>
  <c r="H1843"/>
  <c r="O1275"/>
  <c r="H1274"/>
  <c r="H592"/>
  <c r="H485"/>
  <c r="O486"/>
  <c r="H464"/>
  <c r="O464" s="1"/>
  <c r="O465"/>
  <c r="H660"/>
  <c r="O661"/>
  <c r="H1665"/>
  <c r="H1569"/>
  <c r="O1570"/>
  <c r="O396"/>
  <c r="H395"/>
  <c r="O905"/>
  <c r="H904"/>
  <c r="H505"/>
  <c r="O506"/>
  <c r="H1287"/>
  <c r="O1288"/>
  <c r="H615"/>
  <c r="O616"/>
  <c r="H1163"/>
  <c r="O1164"/>
  <c r="H273"/>
  <c r="O274"/>
  <c r="H1788"/>
  <c r="O1789"/>
  <c r="O122"/>
  <c r="H64"/>
  <c r="O64" s="1"/>
  <c r="O65"/>
  <c r="H1577"/>
  <c r="O1578"/>
  <c r="H1920"/>
  <c r="O1920" s="1"/>
  <c r="O1921"/>
  <c r="O1645"/>
  <c r="H947"/>
  <c r="O948"/>
  <c r="H1833"/>
  <c r="O1834"/>
  <c r="H1198"/>
  <c r="O1198" s="1"/>
  <c r="O1199"/>
  <c r="O1327"/>
  <c r="H1326"/>
  <c r="H586"/>
  <c r="O587"/>
  <c r="H776"/>
  <c r="O776" s="1"/>
  <c r="O777"/>
  <c r="H1554"/>
  <c r="O1561"/>
  <c r="H839"/>
  <c r="O840"/>
  <c r="H1032"/>
  <c r="O1032" s="1"/>
  <c r="O1033"/>
  <c r="O361"/>
  <c r="H360"/>
  <c r="O360" s="1"/>
  <c r="H448"/>
  <c r="O449"/>
  <c r="H1258"/>
  <c r="O1259"/>
  <c r="H1088"/>
  <c r="O1089"/>
  <c r="O1939"/>
  <c r="H1938"/>
  <c r="O1424"/>
  <c r="H1423"/>
  <c r="O1594"/>
  <c r="O1747"/>
  <c r="H432"/>
  <c r="O433"/>
  <c r="H279"/>
  <c r="O280"/>
  <c r="H1588"/>
  <c r="O1588" s="1"/>
  <c r="O1589"/>
  <c r="H294"/>
  <c r="O295"/>
  <c r="H526"/>
  <c r="O527"/>
  <c r="H646"/>
  <c r="O647"/>
  <c r="H791"/>
  <c r="O792"/>
  <c r="O91"/>
  <c r="H90"/>
  <c r="H1862"/>
  <c r="O1863"/>
  <c r="H629"/>
  <c r="O630"/>
  <c r="H1383"/>
  <c r="O1384"/>
  <c r="H312"/>
  <c r="O312" s="1"/>
  <c r="O313"/>
  <c r="O592"/>
  <c r="H374"/>
  <c r="O375"/>
  <c r="H1170"/>
  <c r="O1171"/>
  <c r="H1706"/>
  <c r="O1706" s="1"/>
  <c r="O1707"/>
  <c r="O722"/>
  <c r="H721"/>
  <c r="O228"/>
  <c r="H227"/>
  <c r="H1739"/>
  <c r="O1740"/>
  <c r="O1110"/>
  <c r="H1098"/>
  <c r="H939"/>
  <c r="O940"/>
  <c r="H1760"/>
  <c r="O1761"/>
  <c r="H741"/>
  <c r="O741" s="1"/>
  <c r="H556"/>
  <c r="O556" s="1"/>
  <c r="O557"/>
  <c r="O1482"/>
  <c r="H1809"/>
  <c r="H1802" s="1"/>
  <c r="O1810"/>
  <c r="H1416"/>
  <c r="O1416" s="1"/>
  <c r="O1417"/>
  <c r="H1393"/>
  <c r="O1394"/>
  <c r="H1338"/>
  <c r="O1339"/>
  <c r="O132"/>
  <c r="H131"/>
  <c r="O131" s="1"/>
  <c r="H369"/>
  <c r="O370"/>
  <c r="H1319"/>
  <c r="O1319" s="1"/>
  <c r="O1320"/>
  <c r="H1373"/>
  <c r="O1374"/>
  <c r="O697"/>
  <c r="H696"/>
  <c r="H1600"/>
  <c r="O1600" s="1"/>
  <c r="O1601"/>
  <c r="O916"/>
  <c r="H915"/>
  <c r="O1206"/>
  <c r="H1205"/>
  <c r="O1205" s="1"/>
  <c r="O70"/>
  <c r="H380"/>
  <c r="O380" s="1"/>
  <c r="O381"/>
  <c r="H1121"/>
  <c r="O1121" s="1"/>
  <c r="O1122"/>
  <c r="H1177"/>
  <c r="O1178"/>
  <c r="O80"/>
  <c r="H79"/>
  <c r="O79" s="1"/>
  <c r="H1639"/>
  <c r="O1640"/>
  <c r="H138"/>
  <c r="O139"/>
  <c r="H115"/>
  <c r="O115" s="1"/>
  <c r="O116"/>
  <c r="H1230"/>
  <c r="O1231"/>
  <c r="O198"/>
  <c r="H197"/>
  <c r="O197" s="1"/>
  <c r="H1720"/>
  <c r="O1720" s="1"/>
  <c r="O1721"/>
  <c r="H1296"/>
  <c r="O1297"/>
  <c r="H734"/>
  <c r="O735"/>
  <c r="H763"/>
  <c r="O764"/>
  <c r="H898"/>
  <c r="O899"/>
  <c r="H1366"/>
  <c r="O1367"/>
  <c r="H566"/>
  <c r="O567"/>
  <c r="H349"/>
  <c r="O350"/>
  <c r="H1501"/>
  <c r="H1500" s="1"/>
  <c r="O1502"/>
  <c r="H891"/>
  <c r="O891" s="1"/>
  <c r="O892"/>
  <c r="H1462"/>
  <c r="O1463"/>
  <c r="H442"/>
  <c r="O442" s="1"/>
  <c r="O443"/>
  <c r="H1514"/>
  <c r="O1515"/>
  <c r="H257"/>
  <c r="O258"/>
  <c r="H956"/>
  <c r="O957"/>
  <c r="O266"/>
  <c r="H265"/>
  <c r="O1436"/>
  <c r="H1435"/>
  <c r="O1156"/>
  <c r="H1869"/>
  <c r="O1870"/>
  <c r="O1083"/>
  <c r="H1082"/>
  <c r="O1082" s="1"/>
  <c r="H1653"/>
  <c r="O1654"/>
  <c r="H1542"/>
  <c r="O1543"/>
  <c r="H785"/>
  <c r="O786"/>
  <c r="O24"/>
  <c r="H23"/>
  <c r="O178"/>
  <c r="H172"/>
  <c r="O172" s="1"/>
  <c r="H475"/>
  <c r="O476"/>
  <c r="H798" i="5"/>
  <c r="H797" s="1"/>
  <c r="H319"/>
  <c r="H318" s="1"/>
  <c r="R1990"/>
  <c r="R1989"/>
  <c r="R1988"/>
  <c r="R1987"/>
  <c r="R1986"/>
  <c r="R1985"/>
  <c r="R1984"/>
  <c r="R1983"/>
  <c r="R1982"/>
  <c r="R1981"/>
  <c r="R1980"/>
  <c r="R1979"/>
  <c r="R1978"/>
  <c r="R1977"/>
  <c r="R1976"/>
  <c r="R1975"/>
  <c r="R1974"/>
  <c r="R1973"/>
  <c r="R1972"/>
  <c r="R1971"/>
  <c r="R1970"/>
  <c r="R1969"/>
  <c r="R1968"/>
  <c r="R1967"/>
  <c r="R1966"/>
  <c r="R1965"/>
  <c r="R1964"/>
  <c r="R1963"/>
  <c r="R1962"/>
  <c r="R1961"/>
  <c r="R1960"/>
  <c r="R1959"/>
  <c r="R1958"/>
  <c r="R1957"/>
  <c r="R1956"/>
  <c r="R1955"/>
  <c r="R1954"/>
  <c r="R1953"/>
  <c r="R1952"/>
  <c r="R1951"/>
  <c r="R1950"/>
  <c r="R1949"/>
  <c r="R1948"/>
  <c r="R1947"/>
  <c r="R1946"/>
  <c r="R1945"/>
  <c r="R1944"/>
  <c r="R1943"/>
  <c r="R1942"/>
  <c r="R1941"/>
  <c r="R1940"/>
  <c r="R1939"/>
  <c r="R1938"/>
  <c r="R1937"/>
  <c r="R1936"/>
  <c r="R1935"/>
  <c r="R1934"/>
  <c r="R1933"/>
  <c r="Q1903"/>
  <c r="P1903"/>
  <c r="R1902"/>
  <c r="Q1902"/>
  <c r="P1902"/>
  <c r="O1902"/>
  <c r="R1899"/>
  <c r="Q1899"/>
  <c r="P1899"/>
  <c r="H1899"/>
  <c r="H1898" s="1"/>
  <c r="O1898" s="1"/>
  <c r="R1898"/>
  <c r="Q1898"/>
  <c r="P1898"/>
  <c r="R1894"/>
  <c r="Q1894"/>
  <c r="P1894"/>
  <c r="H1894"/>
  <c r="O1894" s="1"/>
  <c r="R1892"/>
  <c r="Q1892"/>
  <c r="P1892"/>
  <c r="H1892"/>
  <c r="R1889"/>
  <c r="Q1889"/>
  <c r="P1889"/>
  <c r="H1889"/>
  <c r="O1889" s="1"/>
  <c r="R1888"/>
  <c r="Q1888"/>
  <c r="P1888"/>
  <c r="R1887"/>
  <c r="Q1887"/>
  <c r="P1887"/>
  <c r="R1886"/>
  <c r="Q1886"/>
  <c r="P1886"/>
  <c r="R1885"/>
  <c r="Q1885"/>
  <c r="P1885"/>
  <c r="R1884"/>
  <c r="Q1884"/>
  <c r="P1884"/>
  <c r="R1883"/>
  <c r="Q1883"/>
  <c r="P1883"/>
  <c r="R1882"/>
  <c r="Q1882"/>
  <c r="P1882"/>
  <c r="O1882"/>
  <c r="R1879"/>
  <c r="Q1879"/>
  <c r="P1879"/>
  <c r="H1879"/>
  <c r="O1879" s="1"/>
  <c r="R1878"/>
  <c r="Q1878"/>
  <c r="P1878"/>
  <c r="R1875"/>
  <c r="Q1875"/>
  <c r="P1875"/>
  <c r="H1875"/>
  <c r="O1875" s="1"/>
  <c r="R1873"/>
  <c r="Q1873"/>
  <c r="P1873"/>
  <c r="H1873"/>
  <c r="O1873" s="1"/>
  <c r="R1870"/>
  <c r="Q1870"/>
  <c r="P1870"/>
  <c r="H1870"/>
  <c r="R1869"/>
  <c r="Q1869"/>
  <c r="P1869"/>
  <c r="R1868"/>
  <c r="Q1868"/>
  <c r="P1868"/>
  <c r="R1867"/>
  <c r="Q1867"/>
  <c r="P1867"/>
  <c r="R1865"/>
  <c r="Q1865"/>
  <c r="P1865"/>
  <c r="H1865"/>
  <c r="O1865" s="1"/>
  <c r="R1864"/>
  <c r="Q1864"/>
  <c r="P1864"/>
  <c r="R1863"/>
  <c r="Q1863"/>
  <c r="P1863"/>
  <c r="R1861"/>
  <c r="Q1861"/>
  <c r="P1861"/>
  <c r="H1861"/>
  <c r="H1860" s="1"/>
  <c r="R1860"/>
  <c r="Q1860"/>
  <c r="P1860"/>
  <c r="R1859"/>
  <c r="Q1859"/>
  <c r="P1859"/>
  <c r="R1857"/>
  <c r="Q1857"/>
  <c r="P1857"/>
  <c r="H1857"/>
  <c r="H1856" s="1"/>
  <c r="R1856"/>
  <c r="Q1856"/>
  <c r="P1856"/>
  <c r="R1855"/>
  <c r="Q1855"/>
  <c r="P1855"/>
  <c r="R1851"/>
  <c r="Q1851"/>
  <c r="P1851"/>
  <c r="H1851"/>
  <c r="R1849"/>
  <c r="Q1849"/>
  <c r="P1849"/>
  <c r="H1849"/>
  <c r="O1849" s="1"/>
  <c r="R1846"/>
  <c r="Q1846"/>
  <c r="P1846"/>
  <c r="H1846"/>
  <c r="O1846" s="1"/>
  <c r="R1845"/>
  <c r="Q1845"/>
  <c r="P1845"/>
  <c r="R1844"/>
  <c r="Q1844"/>
  <c r="P1844"/>
  <c r="R1843"/>
  <c r="Q1843"/>
  <c r="P1843"/>
  <c r="R1841"/>
  <c r="Q1841"/>
  <c r="P1841"/>
  <c r="H1841"/>
  <c r="O1841" s="1"/>
  <c r="R1839"/>
  <c r="Q1839"/>
  <c r="P1839"/>
  <c r="H1839"/>
  <c r="R1838"/>
  <c r="Q1838"/>
  <c r="P1838"/>
  <c r="R1837"/>
  <c r="Q1837"/>
  <c r="P1837"/>
  <c r="R1836"/>
  <c r="Q1836"/>
  <c r="P1836"/>
  <c r="R1834"/>
  <c r="Q1834"/>
  <c r="P1834"/>
  <c r="H1834"/>
  <c r="R1833"/>
  <c r="Q1833"/>
  <c r="P1833"/>
  <c r="R1832"/>
  <c r="Q1832"/>
  <c r="P1832"/>
  <c r="R1828"/>
  <c r="Q1828"/>
  <c r="P1828"/>
  <c r="H1828"/>
  <c r="O1828" s="1"/>
  <c r="R1826"/>
  <c r="Q1826"/>
  <c r="P1826"/>
  <c r="H1826"/>
  <c r="O1826" s="1"/>
  <c r="R1823"/>
  <c r="Q1823"/>
  <c r="P1823"/>
  <c r="H1823"/>
  <c r="R1822"/>
  <c r="Q1822"/>
  <c r="P1822"/>
  <c r="R1821"/>
  <c r="Q1821"/>
  <c r="P1821"/>
  <c r="R1819"/>
  <c r="Q1819"/>
  <c r="P1819"/>
  <c r="H1819"/>
  <c r="R1818"/>
  <c r="Q1818"/>
  <c r="P1818"/>
  <c r="R1817"/>
  <c r="Q1817"/>
  <c r="P1817"/>
  <c r="R1816"/>
  <c r="Q1816"/>
  <c r="P1816"/>
  <c r="R1815"/>
  <c r="Q1815"/>
  <c r="P1815"/>
  <c r="R1813"/>
  <c r="Q1813"/>
  <c r="P1813"/>
  <c r="H1813"/>
  <c r="H1812" s="1"/>
  <c r="R1812"/>
  <c r="Q1812"/>
  <c r="P1812"/>
  <c r="R1811"/>
  <c r="Q1811"/>
  <c r="P1811"/>
  <c r="R1810"/>
  <c r="Q1810"/>
  <c r="P1810"/>
  <c r="R1809"/>
  <c r="Q1809"/>
  <c r="P1809"/>
  <c r="R1808"/>
  <c r="Q1808"/>
  <c r="P1808"/>
  <c r="R1807"/>
  <c r="Q1807"/>
  <c r="P1807"/>
  <c r="R1806"/>
  <c r="Q1806"/>
  <c r="P1806"/>
  <c r="R1805"/>
  <c r="Q1805"/>
  <c r="P1805"/>
  <c r="O1805"/>
  <c r="R1803"/>
  <c r="Q1803"/>
  <c r="P1803"/>
  <c r="H1803"/>
  <c r="O1803" s="1"/>
  <c r="R1802"/>
  <c r="Q1802"/>
  <c r="P1802"/>
  <c r="R1801"/>
  <c r="Q1801"/>
  <c r="P1801"/>
  <c r="R1800"/>
  <c r="Q1800"/>
  <c r="P1800"/>
  <c r="R1799"/>
  <c r="Q1799"/>
  <c r="P1799"/>
  <c r="R1798"/>
  <c r="Q1798"/>
  <c r="P1798"/>
  <c r="R1797"/>
  <c r="Q1797"/>
  <c r="P1797"/>
  <c r="R1796"/>
  <c r="R1795"/>
  <c r="Q1795"/>
  <c r="P1795"/>
  <c r="H1795"/>
  <c r="H1794" s="1"/>
  <c r="R1794"/>
  <c r="Q1794"/>
  <c r="P1794"/>
  <c r="R1793"/>
  <c r="Q1793"/>
  <c r="P1793"/>
  <c r="R1792"/>
  <c r="Q1792"/>
  <c r="P1792"/>
  <c r="R1791"/>
  <c r="Q1791"/>
  <c r="P1791"/>
  <c r="R1790"/>
  <c r="Q1790"/>
  <c r="P1790"/>
  <c r="R1789"/>
  <c r="Q1789"/>
  <c r="P1789"/>
  <c r="R1775"/>
  <c r="Q1775"/>
  <c r="P1775"/>
  <c r="H1775"/>
  <c r="O1775" s="1"/>
  <c r="R1774"/>
  <c r="Q1774"/>
  <c r="P1774"/>
  <c r="R1773"/>
  <c r="Q1773"/>
  <c r="P1773"/>
  <c r="R1772"/>
  <c r="Q1772"/>
  <c r="P1772"/>
  <c r="R1771"/>
  <c r="Q1771"/>
  <c r="P1771"/>
  <c r="R1770"/>
  <c r="Q1770"/>
  <c r="P1770"/>
  <c r="R1769"/>
  <c r="Q1769"/>
  <c r="P1769"/>
  <c r="R1767"/>
  <c r="Q1767"/>
  <c r="P1767"/>
  <c r="H1767"/>
  <c r="O1767" s="1"/>
  <c r="R1766"/>
  <c r="Q1766"/>
  <c r="P1766"/>
  <c r="R1765"/>
  <c r="Q1765"/>
  <c r="P1765"/>
  <c r="R1764"/>
  <c r="Q1764"/>
  <c r="P1764"/>
  <c r="R1762"/>
  <c r="Q1762"/>
  <c r="P1762"/>
  <c r="H1762"/>
  <c r="O1762" s="1"/>
  <c r="R1761"/>
  <c r="Q1761"/>
  <c r="P1761"/>
  <c r="R1760"/>
  <c r="Q1760"/>
  <c r="P1760"/>
  <c r="R1758"/>
  <c r="Q1758"/>
  <c r="P1758"/>
  <c r="H1758"/>
  <c r="H1757" s="1"/>
  <c r="R1757"/>
  <c r="Q1757"/>
  <c r="P1757"/>
  <c r="R1756"/>
  <c r="Q1756"/>
  <c r="P1756"/>
  <c r="R1755"/>
  <c r="Q1755"/>
  <c r="P1755"/>
  <c r="R1754"/>
  <c r="Q1754"/>
  <c r="P1754"/>
  <c r="R1753"/>
  <c r="Q1753"/>
  <c r="P1753"/>
  <c r="R1752"/>
  <c r="Q1752"/>
  <c r="P1752"/>
  <c r="R1750"/>
  <c r="Q1750"/>
  <c r="P1750"/>
  <c r="H1750"/>
  <c r="O1750" s="1"/>
  <c r="R1749"/>
  <c r="Q1749"/>
  <c r="P1749"/>
  <c r="R1747"/>
  <c r="Q1747"/>
  <c r="P1747"/>
  <c r="H1747"/>
  <c r="O1747" s="1"/>
  <c r="R1745"/>
  <c r="Q1745"/>
  <c r="P1745"/>
  <c r="H1745"/>
  <c r="O1745" s="1"/>
  <c r="R1744"/>
  <c r="Q1744"/>
  <c r="P1744"/>
  <c r="R1743"/>
  <c r="Q1743"/>
  <c r="P1743"/>
  <c r="R1740"/>
  <c r="Q1740"/>
  <c r="P1740"/>
  <c r="H1740"/>
  <c r="H1739" s="1"/>
  <c r="O1739" s="1"/>
  <c r="R1739"/>
  <c r="Q1739"/>
  <c r="P1739"/>
  <c r="R1735"/>
  <c r="Q1735"/>
  <c r="P1735"/>
  <c r="H1735"/>
  <c r="O1735" s="1"/>
  <c r="R1733"/>
  <c r="Q1733"/>
  <c r="P1733"/>
  <c r="H1733"/>
  <c r="R1730"/>
  <c r="Q1730"/>
  <c r="P1730"/>
  <c r="H1730"/>
  <c r="O1730" s="1"/>
  <c r="R1729"/>
  <c r="Q1729"/>
  <c r="P1729"/>
  <c r="R1728"/>
  <c r="Q1728"/>
  <c r="P1728"/>
  <c r="R1727"/>
  <c r="Q1727"/>
  <c r="P1727"/>
  <c r="R1726"/>
  <c r="Q1726"/>
  <c r="P1726"/>
  <c r="R1725"/>
  <c r="Q1725"/>
  <c r="P1725"/>
  <c r="R1724"/>
  <c r="Q1724"/>
  <c r="P1724"/>
  <c r="R1723"/>
  <c r="Q1723"/>
  <c r="P1723"/>
  <c r="O1723"/>
  <c r="R1722"/>
  <c r="R1721"/>
  <c r="Q1721"/>
  <c r="P1721"/>
  <c r="H1721"/>
  <c r="H1720" s="1"/>
  <c r="R1720"/>
  <c r="Q1720"/>
  <c r="P1720"/>
  <c r="R1719"/>
  <c r="Q1719"/>
  <c r="P1719"/>
  <c r="R1718"/>
  <c r="R1717"/>
  <c r="Q1717"/>
  <c r="P1717"/>
  <c r="H1717"/>
  <c r="H1716" s="1"/>
  <c r="R1716"/>
  <c r="Q1716"/>
  <c r="P1716"/>
  <c r="R1715"/>
  <c r="Q1715"/>
  <c r="P1715"/>
  <c r="R1714"/>
  <c r="Q1714"/>
  <c r="P1714"/>
  <c r="R1713"/>
  <c r="Q1713"/>
  <c r="P1713"/>
  <c r="R1712"/>
  <c r="Q1712"/>
  <c r="P1712"/>
  <c r="R1711"/>
  <c r="Q1711"/>
  <c r="P1711"/>
  <c r="R1709"/>
  <c r="Q1709"/>
  <c r="P1709"/>
  <c r="H1709"/>
  <c r="H1708" s="1"/>
  <c r="R1708"/>
  <c r="Q1708"/>
  <c r="P1708"/>
  <c r="R1707"/>
  <c r="Q1707"/>
  <c r="P1707"/>
  <c r="R1706"/>
  <c r="Q1706"/>
  <c r="P1706"/>
  <c r="R1705"/>
  <c r="Q1705"/>
  <c r="P1705"/>
  <c r="R1704"/>
  <c r="Q1704"/>
  <c r="P1704"/>
  <c r="R1703"/>
  <c r="Q1703"/>
  <c r="P1703"/>
  <c r="R1700"/>
  <c r="Q1700"/>
  <c r="P1700"/>
  <c r="H1700"/>
  <c r="H1699" s="1"/>
  <c r="O1699" s="1"/>
  <c r="R1699"/>
  <c r="Q1699"/>
  <c r="P1699"/>
  <c r="R1696"/>
  <c r="Q1696"/>
  <c r="P1696"/>
  <c r="H1696"/>
  <c r="O1696" s="1"/>
  <c r="R1694"/>
  <c r="Q1694"/>
  <c r="P1694"/>
  <c r="H1694"/>
  <c r="O1694" s="1"/>
  <c r="R1691"/>
  <c r="Q1691"/>
  <c r="P1691"/>
  <c r="H1691"/>
  <c r="R1690"/>
  <c r="Q1690"/>
  <c r="P1690"/>
  <c r="R1689"/>
  <c r="Q1689"/>
  <c r="P1689"/>
  <c r="R1688"/>
  <c r="Q1688"/>
  <c r="P1688"/>
  <c r="R1687"/>
  <c r="Q1687"/>
  <c r="P1687"/>
  <c r="R1685"/>
  <c r="Q1685"/>
  <c r="P1685"/>
  <c r="H1685"/>
  <c r="H1684" s="1"/>
  <c r="R1684"/>
  <c r="Q1684"/>
  <c r="P1684"/>
  <c r="R1683"/>
  <c r="Q1683"/>
  <c r="P1683"/>
  <c r="R1681"/>
  <c r="Q1681"/>
  <c r="P1681"/>
  <c r="H1681"/>
  <c r="H1680" s="1"/>
  <c r="R1680"/>
  <c r="Q1680"/>
  <c r="P1680"/>
  <c r="R1679"/>
  <c r="Q1679"/>
  <c r="P1679"/>
  <c r="R1677"/>
  <c r="Q1677"/>
  <c r="P1677"/>
  <c r="H1677"/>
  <c r="R1676"/>
  <c r="Q1676"/>
  <c r="P1676"/>
  <c r="R1675"/>
  <c r="Q1675"/>
  <c r="P1675"/>
  <c r="R1674"/>
  <c r="Q1674"/>
  <c r="P1674"/>
  <c r="R1673"/>
  <c r="Q1673"/>
  <c r="P1673"/>
  <c r="R1671"/>
  <c r="Q1671"/>
  <c r="P1671"/>
  <c r="H1671"/>
  <c r="H1670" s="1"/>
  <c r="R1670"/>
  <c r="Q1670"/>
  <c r="P1670"/>
  <c r="R1669"/>
  <c r="Q1669"/>
  <c r="P1669"/>
  <c r="R1668"/>
  <c r="Q1668"/>
  <c r="P1668"/>
  <c r="R1667"/>
  <c r="Q1667"/>
  <c r="P1667"/>
  <c r="R1665"/>
  <c r="Q1665"/>
  <c r="P1665"/>
  <c r="H1665"/>
  <c r="H1664" s="1"/>
  <c r="O1664" s="1"/>
  <c r="R1664"/>
  <c r="Q1664"/>
  <c r="P1664"/>
  <c r="R1662"/>
  <c r="Q1662"/>
  <c r="P1662"/>
  <c r="H1662"/>
  <c r="O1662" s="1"/>
  <c r="R1661"/>
  <c r="Q1661"/>
  <c r="P1661"/>
  <c r="R1659"/>
  <c r="Q1659"/>
  <c r="P1659"/>
  <c r="H1659"/>
  <c r="H1658" s="1"/>
  <c r="O1658" s="1"/>
  <c r="R1658"/>
  <c r="Q1658"/>
  <c r="P1658"/>
  <c r="R1656"/>
  <c r="Q1656"/>
  <c r="P1656"/>
  <c r="H1656"/>
  <c r="O1656" s="1"/>
  <c r="R1654"/>
  <c r="Q1654"/>
  <c r="P1654"/>
  <c r="H1654"/>
  <c r="O1654" s="1"/>
  <c r="R1652"/>
  <c r="Q1652"/>
  <c r="P1652"/>
  <c r="H1652"/>
  <c r="O1652" s="1"/>
  <c r="R1651"/>
  <c r="Q1651"/>
  <c r="P1651"/>
  <c r="R1649"/>
  <c r="Q1649"/>
  <c r="P1649"/>
  <c r="H1649"/>
  <c r="O1649" s="1"/>
  <c r="R1648"/>
  <c r="Q1648"/>
  <c r="P1648"/>
  <c r="R1646"/>
  <c r="Q1646"/>
  <c r="P1646"/>
  <c r="H1646"/>
  <c r="H1645" s="1"/>
  <c r="O1645" s="1"/>
  <c r="R1645"/>
  <c r="Q1645"/>
  <c r="P1645"/>
  <c r="R1644"/>
  <c r="Q1644"/>
  <c r="P1644"/>
  <c r="R1642"/>
  <c r="Q1642"/>
  <c r="P1642"/>
  <c r="H1642"/>
  <c r="O1642" s="1"/>
  <c r="R1641"/>
  <c r="Q1641"/>
  <c r="P1641"/>
  <c r="R1640"/>
  <c r="Q1640"/>
  <c r="P1640"/>
  <c r="R1638"/>
  <c r="Q1638"/>
  <c r="P1638"/>
  <c r="H1638"/>
  <c r="O1638" s="1"/>
  <c r="R1637"/>
  <c r="Q1637"/>
  <c r="P1637"/>
  <c r="R1636"/>
  <c r="Q1636"/>
  <c r="P1636"/>
  <c r="R1635"/>
  <c r="Q1635"/>
  <c r="P1635"/>
  <c r="R1634"/>
  <c r="Q1634"/>
  <c r="P1634"/>
  <c r="R1633"/>
  <c r="Q1633"/>
  <c r="P1633"/>
  <c r="R1631"/>
  <c r="Q1631"/>
  <c r="P1631"/>
  <c r="H1631"/>
  <c r="H1630" s="1"/>
  <c r="R1630"/>
  <c r="Q1630"/>
  <c r="P1630"/>
  <c r="R1629"/>
  <c r="Q1629"/>
  <c r="P1629"/>
  <c r="R1627"/>
  <c r="Q1627"/>
  <c r="P1627"/>
  <c r="H1627"/>
  <c r="H1626" s="1"/>
  <c r="R1626"/>
  <c r="Q1626"/>
  <c r="P1626"/>
  <c r="R1625"/>
  <c r="Q1625"/>
  <c r="P1625"/>
  <c r="R1624"/>
  <c r="Q1624"/>
  <c r="P1624"/>
  <c r="R1623"/>
  <c r="Q1623"/>
  <c r="P1623"/>
  <c r="R1622"/>
  <c r="Q1622"/>
  <c r="P1622"/>
  <c r="R1620"/>
  <c r="Q1620"/>
  <c r="P1620"/>
  <c r="H1620"/>
  <c r="H1619" s="1"/>
  <c r="O1619" s="1"/>
  <c r="R1619"/>
  <c r="Q1619"/>
  <c r="P1619"/>
  <c r="R1618"/>
  <c r="Q1618"/>
  <c r="P1618"/>
  <c r="R1617"/>
  <c r="Q1617"/>
  <c r="P1617"/>
  <c r="R1616"/>
  <c r="Q1616"/>
  <c r="P1616"/>
  <c r="R1615"/>
  <c r="Q1615"/>
  <c r="P1615"/>
  <c r="R1614"/>
  <c r="Q1614"/>
  <c r="P1614"/>
  <c r="R1612"/>
  <c r="Q1612"/>
  <c r="P1612"/>
  <c r="H1612"/>
  <c r="H1611" s="1"/>
  <c r="R1611"/>
  <c r="Q1611"/>
  <c r="P1611"/>
  <c r="R1610"/>
  <c r="Q1610"/>
  <c r="P1610"/>
  <c r="R1609"/>
  <c r="Q1609"/>
  <c r="P1609"/>
  <c r="R1608"/>
  <c r="Q1608"/>
  <c r="P1608"/>
  <c r="R1606"/>
  <c r="Q1606"/>
  <c r="P1606"/>
  <c r="H1606"/>
  <c r="O1606" s="1"/>
  <c r="R1605"/>
  <c r="Q1605"/>
  <c r="P1605"/>
  <c r="R1602"/>
  <c r="Q1602"/>
  <c r="P1602"/>
  <c r="H1602"/>
  <c r="H1601" s="1"/>
  <c r="O1601" s="1"/>
  <c r="R1601"/>
  <c r="Q1601"/>
  <c r="P1601"/>
  <c r="R1600"/>
  <c r="Q1600"/>
  <c r="P1600"/>
  <c r="R1598"/>
  <c r="Q1598"/>
  <c r="P1598"/>
  <c r="H1598"/>
  <c r="O1598" s="1"/>
  <c r="R1597"/>
  <c r="Q1597"/>
  <c r="P1597"/>
  <c r="R1595"/>
  <c r="Q1595"/>
  <c r="P1595"/>
  <c r="H1594"/>
  <c r="R1594"/>
  <c r="Q1594"/>
  <c r="P1594"/>
  <c r="R1592"/>
  <c r="Q1592"/>
  <c r="P1592"/>
  <c r="H1592"/>
  <c r="R1591"/>
  <c r="Q1591"/>
  <c r="P1591"/>
  <c r="R1589"/>
  <c r="Q1589"/>
  <c r="P1589"/>
  <c r="H1589"/>
  <c r="H1588" s="1"/>
  <c r="O1588" s="1"/>
  <c r="R1588"/>
  <c r="Q1588"/>
  <c r="P1588"/>
  <c r="R1587"/>
  <c r="R1586"/>
  <c r="Q1586"/>
  <c r="P1586"/>
  <c r="H1586"/>
  <c r="H1585" s="1"/>
  <c r="O1585" s="1"/>
  <c r="R1585"/>
  <c r="Q1585"/>
  <c r="P1585"/>
  <c r="R1583"/>
  <c r="Q1583"/>
  <c r="P1583"/>
  <c r="H1583"/>
  <c r="H1582" s="1"/>
  <c r="O1582" s="1"/>
  <c r="R1582"/>
  <c r="Q1582"/>
  <c r="P1582"/>
  <c r="R1580"/>
  <c r="Q1580"/>
  <c r="P1580"/>
  <c r="H1580"/>
  <c r="R1579"/>
  <c r="Q1579"/>
  <c r="P1579"/>
  <c r="R1577"/>
  <c r="Q1577"/>
  <c r="P1577"/>
  <c r="H1577"/>
  <c r="H1576" s="1"/>
  <c r="R1576"/>
  <c r="Q1576"/>
  <c r="P1576"/>
  <c r="R1575"/>
  <c r="Q1575"/>
  <c r="P1575"/>
  <c r="R1574"/>
  <c r="Q1574"/>
  <c r="P1574"/>
  <c r="R1573"/>
  <c r="Q1573"/>
  <c r="P1573"/>
  <c r="R1571"/>
  <c r="Q1571"/>
  <c r="P1571"/>
  <c r="H1571"/>
  <c r="O1571" s="1"/>
  <c r="R1570"/>
  <c r="Q1570"/>
  <c r="P1570"/>
  <c r="R1569"/>
  <c r="Q1569"/>
  <c r="P1569"/>
  <c r="R1568"/>
  <c r="Q1568"/>
  <c r="P1568"/>
  <c r="R1567"/>
  <c r="Q1567"/>
  <c r="P1567"/>
  <c r="R1566"/>
  <c r="Q1566"/>
  <c r="P1566"/>
  <c r="R1564"/>
  <c r="Q1564"/>
  <c r="P1564"/>
  <c r="H1564"/>
  <c r="H1563" s="1"/>
  <c r="R1563"/>
  <c r="Q1563"/>
  <c r="P1563"/>
  <c r="R1562"/>
  <c r="Q1562"/>
  <c r="P1562"/>
  <c r="R1561"/>
  <c r="Q1561"/>
  <c r="P1561"/>
  <c r="R1559"/>
  <c r="Q1559"/>
  <c r="P1559"/>
  <c r="H1559"/>
  <c r="H1558" s="1"/>
  <c r="O1558" s="1"/>
  <c r="R1558"/>
  <c r="Q1558"/>
  <c r="P1558"/>
  <c r="R1556"/>
  <c r="Q1556"/>
  <c r="P1556"/>
  <c r="H1556"/>
  <c r="R1555"/>
  <c r="Q1555"/>
  <c r="P1555"/>
  <c r="R1553"/>
  <c r="Q1553"/>
  <c r="P1553"/>
  <c r="H1553"/>
  <c r="H1552" s="1"/>
  <c r="R1552"/>
  <c r="Q1552"/>
  <c r="P1552"/>
  <c r="R1551"/>
  <c r="Q1551"/>
  <c r="P1551"/>
  <c r="R1550"/>
  <c r="Q1550"/>
  <c r="P1550"/>
  <c r="R1549"/>
  <c r="Q1549"/>
  <c r="P1549"/>
  <c r="R1548"/>
  <c r="Q1548"/>
  <c r="P1548"/>
  <c r="R1545"/>
  <c r="Q1545"/>
  <c r="P1545"/>
  <c r="H1545"/>
  <c r="R1544"/>
  <c r="Q1544"/>
  <c r="P1544"/>
  <c r="R1543"/>
  <c r="Q1543"/>
  <c r="P1543"/>
  <c r="R1542"/>
  <c r="Q1542"/>
  <c r="P1542"/>
  <c r="R1541"/>
  <c r="Q1541"/>
  <c r="P1541"/>
  <c r="R1540"/>
  <c r="Q1540"/>
  <c r="P1540"/>
  <c r="R1539"/>
  <c r="Q1539"/>
  <c r="P1539"/>
  <c r="R1537"/>
  <c r="Q1537"/>
  <c r="P1537"/>
  <c r="H1537"/>
  <c r="H1536" s="1"/>
  <c r="R1536"/>
  <c r="Q1536"/>
  <c r="P1536"/>
  <c r="R1535"/>
  <c r="Q1535"/>
  <c r="P1535"/>
  <c r="R1534"/>
  <c r="Q1534"/>
  <c r="P1534"/>
  <c r="R1532"/>
  <c r="Q1532"/>
  <c r="P1532"/>
  <c r="H1532"/>
  <c r="O1532" s="1"/>
  <c r="R1531"/>
  <c r="Q1531"/>
  <c r="P1531"/>
  <c r="R1530"/>
  <c r="Q1530"/>
  <c r="P1530"/>
  <c r="R1529"/>
  <c r="Q1529"/>
  <c r="P1529"/>
  <c r="R1528"/>
  <c r="Q1528"/>
  <c r="P1528"/>
  <c r="R1527"/>
  <c r="Q1527"/>
  <c r="P1527"/>
  <c r="R1526"/>
  <c r="Q1526"/>
  <c r="P1526"/>
  <c r="R1525"/>
  <c r="Q1525"/>
  <c r="P1525"/>
  <c r="R1524"/>
  <c r="Q1524"/>
  <c r="P1524"/>
  <c r="O1524"/>
  <c r="R1522"/>
  <c r="Q1522"/>
  <c r="P1522"/>
  <c r="H1522"/>
  <c r="H1521" s="1"/>
  <c r="R1521"/>
  <c r="Q1521"/>
  <c r="P1521"/>
  <c r="R1519"/>
  <c r="Q1519"/>
  <c r="P1519"/>
  <c r="H1519"/>
  <c r="H1518" s="1"/>
  <c r="O1518" s="1"/>
  <c r="R1518"/>
  <c r="Q1518"/>
  <c r="P1518"/>
  <c r="R1517"/>
  <c r="Q1517"/>
  <c r="P1517"/>
  <c r="R1516"/>
  <c r="Q1516"/>
  <c r="P1516"/>
  <c r="R1515"/>
  <c r="Q1515"/>
  <c r="P1515"/>
  <c r="R1514"/>
  <c r="Q1514"/>
  <c r="P1514"/>
  <c r="R1513"/>
  <c r="Q1513"/>
  <c r="P1513"/>
  <c r="R1511"/>
  <c r="Q1511"/>
  <c r="P1511"/>
  <c r="H1511"/>
  <c r="R1510"/>
  <c r="Q1510"/>
  <c r="P1510"/>
  <c r="R1509"/>
  <c r="Q1509"/>
  <c r="P1509"/>
  <c r="R1508"/>
  <c r="Q1508"/>
  <c r="P1508"/>
  <c r="R1494"/>
  <c r="Q1494"/>
  <c r="P1494"/>
  <c r="H1494"/>
  <c r="O1494" s="1"/>
  <c r="R1493"/>
  <c r="Q1493"/>
  <c r="P1493"/>
  <c r="R1491"/>
  <c r="Q1491"/>
  <c r="P1491"/>
  <c r="H1491"/>
  <c r="O1491" s="1"/>
  <c r="R1490"/>
  <c r="Q1490"/>
  <c r="P1490"/>
  <c r="R1489"/>
  <c r="Q1489"/>
  <c r="P1489"/>
  <c r="R1488"/>
  <c r="Q1488"/>
  <c r="P1488"/>
  <c r="R1487"/>
  <c r="Q1487"/>
  <c r="P1487"/>
  <c r="R1486"/>
  <c r="Q1486"/>
  <c r="P1486"/>
  <c r="R1484"/>
  <c r="R1483"/>
  <c r="Q1483"/>
  <c r="P1483"/>
  <c r="H1483"/>
  <c r="H1482" s="1"/>
  <c r="R1482"/>
  <c r="Q1482"/>
  <c r="P1482"/>
  <c r="R1481"/>
  <c r="Q1481"/>
  <c r="P1481"/>
  <c r="R1480"/>
  <c r="Q1480"/>
  <c r="P1480"/>
  <c r="R1479"/>
  <c r="Q1479"/>
  <c r="P1479"/>
  <c r="R1478"/>
  <c r="Q1478"/>
  <c r="P1478"/>
  <c r="R1477"/>
  <c r="Q1477"/>
  <c r="P1477"/>
  <c r="R1475"/>
  <c r="Q1475"/>
  <c r="P1475"/>
  <c r="H1475"/>
  <c r="R1474"/>
  <c r="Q1474"/>
  <c r="P1474"/>
  <c r="R1472"/>
  <c r="Q1472"/>
  <c r="P1472"/>
  <c r="H1472"/>
  <c r="H1471" s="1"/>
  <c r="O1471" s="1"/>
  <c r="R1471"/>
  <c r="Q1471"/>
  <c r="P1471"/>
  <c r="R1470"/>
  <c r="Q1470"/>
  <c r="P1470"/>
  <c r="R1469"/>
  <c r="Q1469"/>
  <c r="P1469"/>
  <c r="R1468"/>
  <c r="Q1468"/>
  <c r="P1468"/>
  <c r="R1467"/>
  <c r="Q1467"/>
  <c r="P1467"/>
  <c r="R1466"/>
  <c r="Q1466"/>
  <c r="P1466"/>
  <c r="R1464"/>
  <c r="Q1464"/>
  <c r="P1464"/>
  <c r="H1464"/>
  <c r="H1463" s="1"/>
  <c r="O1463" s="1"/>
  <c r="R1463"/>
  <c r="Q1463"/>
  <c r="P1463"/>
  <c r="R1461"/>
  <c r="Q1461"/>
  <c r="P1461"/>
  <c r="H1461"/>
  <c r="H1460" s="1"/>
  <c r="R1460"/>
  <c r="Q1460"/>
  <c r="P1460"/>
  <c r="R1459"/>
  <c r="Q1459"/>
  <c r="P1459"/>
  <c r="R1458"/>
  <c r="Q1458"/>
  <c r="P1458"/>
  <c r="R1456"/>
  <c r="Q1456"/>
  <c r="P1456"/>
  <c r="H1456"/>
  <c r="O1456" s="1"/>
  <c r="R1455"/>
  <c r="Q1455"/>
  <c r="P1455"/>
  <c r="R1453"/>
  <c r="Q1453"/>
  <c r="P1453"/>
  <c r="H1453"/>
  <c r="H1452" s="1"/>
  <c r="O1452" s="1"/>
  <c r="R1452"/>
  <c r="Q1452"/>
  <c r="P1452"/>
  <c r="R1451"/>
  <c r="Q1451"/>
  <c r="P1451"/>
  <c r="R1450"/>
  <c r="Q1450"/>
  <c r="P1450"/>
  <c r="R1449"/>
  <c r="Q1449"/>
  <c r="P1449"/>
  <c r="R1448"/>
  <c r="Q1448"/>
  <c r="P1448"/>
  <c r="R1446"/>
  <c r="Q1446"/>
  <c r="P1446"/>
  <c r="H1446"/>
  <c r="O1446" s="1"/>
  <c r="R1445"/>
  <c r="Q1445"/>
  <c r="P1445"/>
  <c r="R1443"/>
  <c r="Q1443"/>
  <c r="P1443"/>
  <c r="H1443"/>
  <c r="O1443" s="1"/>
  <c r="R1439"/>
  <c r="Q1439"/>
  <c r="P1439"/>
  <c r="H1439"/>
  <c r="O1439" s="1"/>
  <c r="R1438"/>
  <c r="Q1438"/>
  <c r="P1438"/>
  <c r="R1435"/>
  <c r="Q1435"/>
  <c r="P1435"/>
  <c r="H1435"/>
  <c r="O1435" s="1"/>
  <c r="R1434"/>
  <c r="Q1434"/>
  <c r="P1434"/>
  <c r="R1431"/>
  <c r="Q1431"/>
  <c r="P1431"/>
  <c r="H1431"/>
  <c r="O1431" s="1"/>
  <c r="R1429"/>
  <c r="Q1429"/>
  <c r="P1429"/>
  <c r="H1429"/>
  <c r="O1429" s="1"/>
  <c r="R1426"/>
  <c r="Q1426"/>
  <c r="P1426"/>
  <c r="H1426"/>
  <c r="R1425"/>
  <c r="Q1425"/>
  <c r="P1425"/>
  <c r="R1424"/>
  <c r="Q1424"/>
  <c r="P1424"/>
  <c r="R1423"/>
  <c r="Q1423"/>
  <c r="P1423"/>
  <c r="R1422"/>
  <c r="Q1422"/>
  <c r="P1422"/>
  <c r="R1421"/>
  <c r="Q1421"/>
  <c r="P1421"/>
  <c r="R1420"/>
  <c r="Q1420"/>
  <c r="P1420"/>
  <c r="R1419"/>
  <c r="Q1419"/>
  <c r="P1419"/>
  <c r="O1419"/>
  <c r="R1417"/>
  <c r="Q1417"/>
  <c r="P1417"/>
  <c r="H1417"/>
  <c r="O1417" s="1"/>
  <c r="R1416"/>
  <c r="Q1416"/>
  <c r="P1416"/>
  <c r="R1414"/>
  <c r="Q1414"/>
  <c r="P1414"/>
  <c r="H1414"/>
  <c r="H1413" s="1"/>
  <c r="R1413"/>
  <c r="Q1413"/>
  <c r="P1413"/>
  <c r="R1412"/>
  <c r="Q1412"/>
  <c r="P1412"/>
  <c r="R1411"/>
  <c r="Q1411"/>
  <c r="P1411"/>
  <c r="R1410"/>
  <c r="Q1410"/>
  <c r="P1410"/>
  <c r="R1409"/>
  <c r="Q1409"/>
  <c r="P1409"/>
  <c r="R1408"/>
  <c r="Q1408"/>
  <c r="P1408"/>
  <c r="R1406"/>
  <c r="Q1406"/>
  <c r="P1406"/>
  <c r="H1406"/>
  <c r="R1405"/>
  <c r="Q1405"/>
  <c r="P1405"/>
  <c r="R1404"/>
  <c r="Q1404"/>
  <c r="P1404"/>
  <c r="R1403"/>
  <c r="Q1403"/>
  <c r="P1403"/>
  <c r="R1389"/>
  <c r="Q1389"/>
  <c r="P1389"/>
  <c r="H1389"/>
  <c r="R1388"/>
  <c r="Q1388"/>
  <c r="P1388"/>
  <c r="R1386"/>
  <c r="Q1386"/>
  <c r="P1386"/>
  <c r="H1386"/>
  <c r="O1386" s="1"/>
  <c r="R1385"/>
  <c r="Q1385"/>
  <c r="P1385"/>
  <c r="R1383"/>
  <c r="Q1383"/>
  <c r="P1383"/>
  <c r="H1383"/>
  <c r="O1383" s="1"/>
  <c r="R1382"/>
  <c r="Q1382"/>
  <c r="P1382"/>
  <c r="R1381"/>
  <c r="Q1381"/>
  <c r="P1381"/>
  <c r="R1380"/>
  <c r="Q1380"/>
  <c r="P1380"/>
  <c r="R1379"/>
  <c r="Q1379"/>
  <c r="P1379"/>
  <c r="R1378"/>
  <c r="Q1378"/>
  <c r="P1378"/>
  <c r="R1375"/>
  <c r="Q1375"/>
  <c r="P1375"/>
  <c r="H1375"/>
  <c r="O1375" s="1"/>
  <c r="R1374"/>
  <c r="Q1374"/>
  <c r="P1374"/>
  <c r="R1373"/>
  <c r="Q1373"/>
  <c r="P1373"/>
  <c r="R1372"/>
  <c r="Q1372"/>
  <c r="P1372"/>
  <c r="R1371"/>
  <c r="Q1371"/>
  <c r="P1371"/>
  <c r="R1370"/>
  <c r="Q1370"/>
  <c r="P1370"/>
  <c r="R1369"/>
  <c r="Q1369"/>
  <c r="P1369"/>
  <c r="R1367"/>
  <c r="Q1367"/>
  <c r="P1367"/>
  <c r="H1367"/>
  <c r="H1366" s="1"/>
  <c r="O1366" s="1"/>
  <c r="R1366"/>
  <c r="Q1366"/>
  <c r="P1366"/>
  <c r="R1364"/>
  <c r="Q1364"/>
  <c r="P1364"/>
  <c r="H1364"/>
  <c r="H1363" s="1"/>
  <c r="R1363"/>
  <c r="Q1363"/>
  <c r="P1363"/>
  <c r="R1362"/>
  <c r="Q1362"/>
  <c r="P1362"/>
  <c r="R1361"/>
  <c r="Q1361"/>
  <c r="P1361"/>
  <c r="R1360"/>
  <c r="Q1360"/>
  <c r="P1360"/>
  <c r="R1359"/>
  <c r="Q1359"/>
  <c r="P1359"/>
  <c r="R1358"/>
  <c r="Q1358"/>
  <c r="P1358"/>
  <c r="R1356"/>
  <c r="Q1356"/>
  <c r="P1356"/>
  <c r="H1356"/>
  <c r="H1355" s="1"/>
  <c r="R1355"/>
  <c r="Q1355"/>
  <c r="P1355"/>
  <c r="R1354"/>
  <c r="Q1354"/>
  <c r="P1354"/>
  <c r="R1353"/>
  <c r="Q1353"/>
  <c r="P1353"/>
  <c r="R1352"/>
  <c r="Q1352"/>
  <c r="P1352"/>
  <c r="R1351"/>
  <c r="Q1351"/>
  <c r="P1351"/>
  <c r="R1349"/>
  <c r="Q1349"/>
  <c r="P1349"/>
  <c r="H1349"/>
  <c r="O1349" s="1"/>
  <c r="E1349"/>
  <c r="D1349"/>
  <c r="C1349"/>
  <c r="R1348"/>
  <c r="Q1348"/>
  <c r="P1348"/>
  <c r="E1348"/>
  <c r="D1348"/>
  <c r="C1348"/>
  <c r="R1346"/>
  <c r="Q1346"/>
  <c r="P1346"/>
  <c r="H1346"/>
  <c r="R1342"/>
  <c r="Q1342"/>
  <c r="P1342"/>
  <c r="H1342"/>
  <c r="O1342" s="1"/>
  <c r="R1341"/>
  <c r="Q1341"/>
  <c r="P1341"/>
  <c r="R1338"/>
  <c r="Q1338"/>
  <c r="P1338"/>
  <c r="H1338"/>
  <c r="O1338" s="1"/>
  <c r="R1337"/>
  <c r="Q1337"/>
  <c r="P1337"/>
  <c r="R1334"/>
  <c r="Q1334"/>
  <c r="P1334"/>
  <c r="H1334"/>
  <c r="O1334" s="1"/>
  <c r="R1332"/>
  <c r="Q1332"/>
  <c r="P1332"/>
  <c r="H1332"/>
  <c r="O1332" s="1"/>
  <c r="R1329"/>
  <c r="Q1329"/>
  <c r="P1329"/>
  <c r="H1329"/>
  <c r="O1329" s="1"/>
  <c r="R1328"/>
  <c r="Q1328"/>
  <c r="P1328"/>
  <c r="R1327"/>
  <c r="Q1327"/>
  <c r="P1327"/>
  <c r="R1326"/>
  <c r="Q1326"/>
  <c r="P1326"/>
  <c r="R1325"/>
  <c r="Q1325"/>
  <c r="P1325"/>
  <c r="R1324"/>
  <c r="Q1324"/>
  <c r="P1324"/>
  <c r="R1323"/>
  <c r="Q1323"/>
  <c r="P1323"/>
  <c r="R1322"/>
  <c r="Q1322"/>
  <c r="P1322"/>
  <c r="O1322"/>
  <c r="R1320"/>
  <c r="Q1320"/>
  <c r="P1320"/>
  <c r="H1320"/>
  <c r="H1319" s="1"/>
  <c r="O1319" s="1"/>
  <c r="R1319"/>
  <c r="Q1319"/>
  <c r="P1319"/>
  <c r="R1317"/>
  <c r="Q1317"/>
  <c r="P1317"/>
  <c r="H1317"/>
  <c r="O1317" s="1"/>
  <c r="R1316"/>
  <c r="Q1316"/>
  <c r="P1316"/>
  <c r="R1315"/>
  <c r="Q1315"/>
  <c r="P1315"/>
  <c r="R1314"/>
  <c r="Q1314"/>
  <c r="P1314"/>
  <c r="R1313"/>
  <c r="Q1313"/>
  <c r="P1313"/>
  <c r="R1312"/>
  <c r="Q1312"/>
  <c r="P1312"/>
  <c r="R1311"/>
  <c r="Q1311"/>
  <c r="P1311"/>
  <c r="R1309"/>
  <c r="Q1309"/>
  <c r="P1309"/>
  <c r="H1309"/>
  <c r="H1308" s="1"/>
  <c r="R1308"/>
  <c r="Q1308"/>
  <c r="P1308"/>
  <c r="R1307"/>
  <c r="Q1307"/>
  <c r="P1307"/>
  <c r="R1306"/>
  <c r="Q1306"/>
  <c r="P1306"/>
  <c r="R1292"/>
  <c r="Q1292"/>
  <c r="P1292"/>
  <c r="H1292"/>
  <c r="O1292" s="1"/>
  <c r="R1291"/>
  <c r="Q1291"/>
  <c r="P1291"/>
  <c r="R1289"/>
  <c r="Q1289"/>
  <c r="P1289"/>
  <c r="H1289"/>
  <c r="H1288" s="1"/>
  <c r="R1288"/>
  <c r="Q1288"/>
  <c r="P1288"/>
  <c r="R1286"/>
  <c r="Q1286"/>
  <c r="P1286"/>
  <c r="H1286"/>
  <c r="H1285" s="1"/>
  <c r="R1285"/>
  <c r="Q1285"/>
  <c r="P1285"/>
  <c r="R1284"/>
  <c r="Q1284"/>
  <c r="P1284"/>
  <c r="R1283"/>
  <c r="Q1283"/>
  <c r="P1283"/>
  <c r="R1282"/>
  <c r="Q1282"/>
  <c r="P1282"/>
  <c r="R1281"/>
  <c r="Q1281"/>
  <c r="P1281"/>
  <c r="R1278"/>
  <c r="Q1278"/>
  <c r="P1278"/>
  <c r="H1278"/>
  <c r="H1277" s="1"/>
  <c r="H1276" s="1"/>
  <c r="O1276" s="1"/>
  <c r="R1277"/>
  <c r="Q1277"/>
  <c r="P1277"/>
  <c r="R1276"/>
  <c r="Q1276"/>
  <c r="P1276"/>
  <c r="R1275"/>
  <c r="Q1275"/>
  <c r="P1275"/>
  <c r="R1274"/>
  <c r="Q1274"/>
  <c r="P1274"/>
  <c r="R1273"/>
  <c r="Q1273"/>
  <c r="P1273"/>
  <c r="R1272"/>
  <c r="Q1272"/>
  <c r="P1272"/>
  <c r="R1270"/>
  <c r="Q1270"/>
  <c r="P1270"/>
  <c r="H1270"/>
  <c r="O1270" s="1"/>
  <c r="R1269"/>
  <c r="Q1269"/>
  <c r="P1269"/>
  <c r="R1267"/>
  <c r="Q1267"/>
  <c r="P1267"/>
  <c r="H1267"/>
  <c r="H1266" s="1"/>
  <c r="O1266" s="1"/>
  <c r="R1266"/>
  <c r="Q1266"/>
  <c r="P1266"/>
  <c r="R1265"/>
  <c r="Q1265"/>
  <c r="P1265"/>
  <c r="R1264"/>
  <c r="Q1264"/>
  <c r="P1264"/>
  <c r="R1263"/>
  <c r="Q1263"/>
  <c r="P1263"/>
  <c r="R1262"/>
  <c r="Q1262"/>
  <c r="P1262"/>
  <c r="R1261"/>
  <c r="Q1261"/>
  <c r="P1261"/>
  <c r="R1259"/>
  <c r="Q1259"/>
  <c r="P1259"/>
  <c r="H1259"/>
  <c r="H1258" s="1"/>
  <c r="R1258"/>
  <c r="Q1258"/>
  <c r="P1258"/>
  <c r="R1257"/>
  <c r="Q1257"/>
  <c r="P1257"/>
  <c r="R1256"/>
  <c r="Q1256"/>
  <c r="P1256"/>
  <c r="R1254"/>
  <c r="Q1254"/>
  <c r="P1254"/>
  <c r="H1254"/>
  <c r="H1253" s="1"/>
  <c r="O1253" s="1"/>
  <c r="R1253"/>
  <c r="Q1253"/>
  <c r="P1253"/>
  <c r="R1251"/>
  <c r="Q1251"/>
  <c r="P1251"/>
  <c r="H1251"/>
  <c r="R1250"/>
  <c r="Q1250"/>
  <c r="P1250"/>
  <c r="R1249"/>
  <c r="Q1249"/>
  <c r="P1249"/>
  <c r="R1248"/>
  <c r="Q1248"/>
  <c r="P1248"/>
  <c r="R1247"/>
  <c r="Q1247"/>
  <c r="P1247"/>
  <c r="R1246"/>
  <c r="Q1246"/>
  <c r="P1246"/>
  <c r="R1244"/>
  <c r="Q1244"/>
  <c r="P1244"/>
  <c r="H1244"/>
  <c r="H1243" s="1"/>
  <c r="O1243" s="1"/>
  <c r="R1243"/>
  <c r="Q1243"/>
  <c r="P1243"/>
  <c r="R1241"/>
  <c r="Q1241"/>
  <c r="P1241"/>
  <c r="H1241"/>
  <c r="R1237"/>
  <c r="Q1237"/>
  <c r="P1237"/>
  <c r="H1237"/>
  <c r="O1237" s="1"/>
  <c r="R1236"/>
  <c r="Q1236"/>
  <c r="P1236"/>
  <c r="R1233"/>
  <c r="Q1233"/>
  <c r="P1233"/>
  <c r="H1233"/>
  <c r="H1232" s="1"/>
  <c r="O1232" s="1"/>
  <c r="R1232"/>
  <c r="Q1232"/>
  <c r="P1232"/>
  <c r="R1229"/>
  <c r="Q1229"/>
  <c r="P1229"/>
  <c r="H1229"/>
  <c r="O1229" s="1"/>
  <c r="R1227"/>
  <c r="Q1227"/>
  <c r="P1227"/>
  <c r="H1227"/>
  <c r="O1227" s="1"/>
  <c r="R1224"/>
  <c r="Q1224"/>
  <c r="P1224"/>
  <c r="H1224"/>
  <c r="O1224" s="1"/>
  <c r="R1223"/>
  <c r="Q1223"/>
  <c r="P1223"/>
  <c r="R1222"/>
  <c r="Q1222"/>
  <c r="P1222"/>
  <c r="R1221"/>
  <c r="Q1221"/>
  <c r="P1221"/>
  <c r="R1220"/>
  <c r="Q1220"/>
  <c r="P1220"/>
  <c r="R1219"/>
  <c r="Q1219"/>
  <c r="P1219"/>
  <c r="R1218"/>
  <c r="Q1218"/>
  <c r="P1218"/>
  <c r="R1217"/>
  <c r="Q1217"/>
  <c r="P1217"/>
  <c r="O1217"/>
  <c r="R1215"/>
  <c r="Q1215"/>
  <c r="P1215"/>
  <c r="H1215"/>
  <c r="O1215" s="1"/>
  <c r="R1212"/>
  <c r="Q1212"/>
  <c r="P1212"/>
  <c r="H1212"/>
  <c r="O1212" s="1"/>
  <c r="R1211"/>
  <c r="Q1211"/>
  <c r="P1211"/>
  <c r="R1208"/>
  <c r="Q1208"/>
  <c r="P1208"/>
  <c r="H1208"/>
  <c r="H1207" s="1"/>
  <c r="O1207" s="1"/>
  <c r="R1207"/>
  <c r="Q1207"/>
  <c r="P1207"/>
  <c r="R1204"/>
  <c r="Q1204"/>
  <c r="P1204"/>
  <c r="H1204"/>
  <c r="O1204" s="1"/>
  <c r="R1202"/>
  <c r="Q1202"/>
  <c r="P1202"/>
  <c r="H1202"/>
  <c r="R1199"/>
  <c r="Q1199"/>
  <c r="P1199"/>
  <c r="H1199"/>
  <c r="O1199" s="1"/>
  <c r="R1198"/>
  <c r="Q1198"/>
  <c r="P1198"/>
  <c r="R1197"/>
  <c r="Q1197"/>
  <c r="P1197"/>
  <c r="R1196"/>
  <c r="Q1196"/>
  <c r="P1196"/>
  <c r="R1195"/>
  <c r="Q1195"/>
  <c r="P1195"/>
  <c r="R1193"/>
  <c r="Q1193"/>
  <c r="P1193"/>
  <c r="H1193"/>
  <c r="H1192" s="1"/>
  <c r="O1192" s="1"/>
  <c r="R1192"/>
  <c r="Q1192"/>
  <c r="P1192"/>
  <c r="R1191"/>
  <c r="Q1191"/>
  <c r="P1191"/>
  <c r="R1190"/>
  <c r="Q1190"/>
  <c r="P1190"/>
  <c r="R1189"/>
  <c r="Q1189"/>
  <c r="P1189"/>
  <c r="R1188"/>
  <c r="Q1188"/>
  <c r="P1188"/>
  <c r="R1186"/>
  <c r="Q1186"/>
  <c r="P1186"/>
  <c r="H1186"/>
  <c r="H1185" s="1"/>
  <c r="R1185"/>
  <c r="Q1185"/>
  <c r="P1185"/>
  <c r="R1184"/>
  <c r="Q1184"/>
  <c r="P1184"/>
  <c r="R1182"/>
  <c r="Q1182"/>
  <c r="P1182"/>
  <c r="H1182"/>
  <c r="H1181" s="1"/>
  <c r="R1181"/>
  <c r="Q1181"/>
  <c r="P1181"/>
  <c r="R1180"/>
  <c r="Q1180"/>
  <c r="P1180"/>
  <c r="R1178"/>
  <c r="Q1178"/>
  <c r="P1178"/>
  <c r="H1178"/>
  <c r="O1178" s="1"/>
  <c r="R1176"/>
  <c r="Q1176"/>
  <c r="P1176"/>
  <c r="H1176"/>
  <c r="O1176" s="1"/>
  <c r="R1175"/>
  <c r="Q1175"/>
  <c r="P1175"/>
  <c r="R1174"/>
  <c r="Q1174"/>
  <c r="P1174"/>
  <c r="R1173"/>
  <c r="Q1173"/>
  <c r="P1173"/>
  <c r="R1171"/>
  <c r="Q1171"/>
  <c r="P1171"/>
  <c r="H1171"/>
  <c r="H1170" s="1"/>
  <c r="R1170"/>
  <c r="Q1170"/>
  <c r="P1170"/>
  <c r="R1169"/>
  <c r="Q1169"/>
  <c r="P1169"/>
  <c r="R1168"/>
  <c r="Q1168"/>
  <c r="P1168"/>
  <c r="R1167"/>
  <c r="Q1167"/>
  <c r="P1167"/>
  <c r="R1166"/>
  <c r="Q1166"/>
  <c r="P1166"/>
  <c r="R1164"/>
  <c r="Q1164"/>
  <c r="P1164"/>
  <c r="H1164"/>
  <c r="H1163" s="1"/>
  <c r="R1163"/>
  <c r="Q1163"/>
  <c r="P1163"/>
  <c r="R1162"/>
  <c r="Q1162"/>
  <c r="P1162"/>
  <c r="R1161"/>
  <c r="Q1161"/>
  <c r="P1161"/>
  <c r="R1160"/>
  <c r="Q1160"/>
  <c r="P1160"/>
  <c r="R1159"/>
  <c r="Q1159"/>
  <c r="P1159"/>
  <c r="R1158"/>
  <c r="Q1158"/>
  <c r="P1158"/>
  <c r="R1156"/>
  <c r="Q1156"/>
  <c r="P1156"/>
  <c r="H1156"/>
  <c r="O1156" s="1"/>
  <c r="R1155"/>
  <c r="Q1155"/>
  <c r="P1155"/>
  <c r="R1154"/>
  <c r="Q1154"/>
  <c r="P1154"/>
  <c r="R1153"/>
  <c r="Q1153"/>
  <c r="P1153"/>
  <c r="R1152"/>
  <c r="Q1152"/>
  <c r="P1152"/>
  <c r="R1150"/>
  <c r="Q1150"/>
  <c r="P1150"/>
  <c r="H1150"/>
  <c r="H1149" s="1"/>
  <c r="R1149"/>
  <c r="Q1149"/>
  <c r="P1149"/>
  <c r="R1148"/>
  <c r="Q1148"/>
  <c r="P1148"/>
  <c r="R1147"/>
  <c r="Q1147"/>
  <c r="P1147"/>
  <c r="R1146"/>
  <c r="Q1146"/>
  <c r="P1146"/>
  <c r="R1145"/>
  <c r="Q1145"/>
  <c r="P1145"/>
  <c r="R1144"/>
  <c r="Q1144"/>
  <c r="P1144"/>
  <c r="R1143"/>
  <c r="Q1143"/>
  <c r="P1143"/>
  <c r="R1142"/>
  <c r="Q1142"/>
  <c r="P1142"/>
  <c r="O1142"/>
  <c r="R1139"/>
  <c r="Q1139"/>
  <c r="P1139"/>
  <c r="H1139"/>
  <c r="O1139" s="1"/>
  <c r="R1137"/>
  <c r="Q1137"/>
  <c r="P1137"/>
  <c r="H1137"/>
  <c r="O1137" s="1"/>
  <c r="R1133"/>
  <c r="Q1133"/>
  <c r="P1133"/>
  <c r="H1133"/>
  <c r="O1133" s="1"/>
  <c r="R1132"/>
  <c r="Q1132"/>
  <c r="P1132"/>
  <c r="R1130"/>
  <c r="Q1130"/>
  <c r="P1130"/>
  <c r="H1130"/>
  <c r="O1130" s="1"/>
  <c r="R1126"/>
  <c r="Q1126"/>
  <c r="P1126"/>
  <c r="H1126"/>
  <c r="R1125"/>
  <c r="Q1125"/>
  <c r="P1125"/>
  <c r="R1122"/>
  <c r="Q1122"/>
  <c r="P1122"/>
  <c r="H1122"/>
  <c r="O1122" s="1"/>
  <c r="R1121"/>
  <c r="Q1121"/>
  <c r="P1121"/>
  <c r="R1119"/>
  <c r="Q1119"/>
  <c r="P1119"/>
  <c r="H1119"/>
  <c r="O1119" s="1"/>
  <c r="R1117"/>
  <c r="Q1117"/>
  <c r="P1117"/>
  <c r="H1117"/>
  <c r="O1117" s="1"/>
  <c r="R1114"/>
  <c r="Q1114"/>
  <c r="P1114"/>
  <c r="H1114"/>
  <c r="R1113"/>
  <c r="Q1113"/>
  <c r="P1113"/>
  <c r="R1112"/>
  <c r="Q1112"/>
  <c r="P1112"/>
  <c r="R1111"/>
  <c r="Q1111"/>
  <c r="P1111"/>
  <c r="R1109"/>
  <c r="Q1109"/>
  <c r="P1109"/>
  <c r="H1109"/>
  <c r="O1109" s="1"/>
  <c r="R1108"/>
  <c r="Q1108"/>
  <c r="P1108"/>
  <c r="R1105"/>
  <c r="Q1105"/>
  <c r="P1105"/>
  <c r="O1105"/>
  <c r="R1103"/>
  <c r="Q1103"/>
  <c r="P1103"/>
  <c r="H1103"/>
  <c r="O1103" s="1"/>
  <c r="R1102"/>
  <c r="Q1102"/>
  <c r="P1102"/>
  <c r="R1101"/>
  <c r="Q1101"/>
  <c r="P1101"/>
  <c r="R1100"/>
  <c r="Q1100"/>
  <c r="P1100"/>
  <c r="R1098"/>
  <c r="Q1098"/>
  <c r="P1098"/>
  <c r="H1098"/>
  <c r="O1098" s="1"/>
  <c r="R1097"/>
  <c r="Q1097"/>
  <c r="P1097"/>
  <c r="R1096"/>
  <c r="Q1096"/>
  <c r="P1096"/>
  <c r="R1095"/>
  <c r="Q1095"/>
  <c r="P1095"/>
  <c r="R1092"/>
  <c r="Q1092"/>
  <c r="P1092"/>
  <c r="H1092"/>
  <c r="H1091" s="1"/>
  <c r="R1091"/>
  <c r="Q1091"/>
  <c r="P1091"/>
  <c r="R1090"/>
  <c r="Q1090"/>
  <c r="P1090"/>
  <c r="R1089"/>
  <c r="Q1089"/>
  <c r="P1089"/>
  <c r="R1088"/>
  <c r="Q1088"/>
  <c r="P1088"/>
  <c r="R1087"/>
  <c r="Q1087"/>
  <c r="P1087"/>
  <c r="R1085"/>
  <c r="Q1085"/>
  <c r="P1085"/>
  <c r="H1085"/>
  <c r="H1084" s="1"/>
  <c r="R1084"/>
  <c r="Q1084"/>
  <c r="P1084"/>
  <c r="R1082"/>
  <c r="Q1082"/>
  <c r="P1082"/>
  <c r="H1082"/>
  <c r="O1082" s="1"/>
  <c r="R1081"/>
  <c r="Q1081"/>
  <c r="P1081"/>
  <c r="R1080"/>
  <c r="Q1080"/>
  <c r="P1080"/>
  <c r="R1079"/>
  <c r="Q1079"/>
  <c r="P1079"/>
  <c r="R1078"/>
  <c r="Q1078"/>
  <c r="P1078"/>
  <c r="R1077"/>
  <c r="Q1077"/>
  <c r="P1077"/>
  <c r="R1075"/>
  <c r="Q1075"/>
  <c r="P1075"/>
  <c r="H1075"/>
  <c r="H1074" s="1"/>
  <c r="R1074"/>
  <c r="Q1074"/>
  <c r="P1074"/>
  <c r="R1073"/>
  <c r="Q1073"/>
  <c r="P1073"/>
  <c r="R1072"/>
  <c r="Q1072"/>
  <c r="P1072"/>
  <c r="R1070"/>
  <c r="Q1070"/>
  <c r="P1070"/>
  <c r="H1070"/>
  <c r="O1070" s="1"/>
  <c r="R1069"/>
  <c r="Q1069"/>
  <c r="P1069"/>
  <c r="R1068"/>
  <c r="Q1068"/>
  <c r="P1068"/>
  <c r="R1066"/>
  <c r="Q1066"/>
  <c r="P1066"/>
  <c r="H1066"/>
  <c r="O1066" s="1"/>
  <c r="R1065"/>
  <c r="Q1065"/>
  <c r="P1065"/>
  <c r="R1064"/>
  <c r="Q1064"/>
  <c r="P1064"/>
  <c r="R1062"/>
  <c r="Q1062"/>
  <c r="P1062"/>
  <c r="H1062"/>
  <c r="H1061" s="1"/>
  <c r="R1061"/>
  <c r="Q1061"/>
  <c r="P1061"/>
  <c r="R1060"/>
  <c r="Q1060"/>
  <c r="P1060"/>
  <c r="R1058"/>
  <c r="Q1058"/>
  <c r="P1058"/>
  <c r="H1058"/>
  <c r="H1057" s="1"/>
  <c r="O1057" s="1"/>
  <c r="R1057"/>
  <c r="Q1057"/>
  <c r="P1057"/>
  <c r="R1055"/>
  <c r="Q1055"/>
  <c r="P1055"/>
  <c r="H1055"/>
  <c r="O1055" s="1"/>
  <c r="R1054"/>
  <c r="Q1054"/>
  <c r="P1054"/>
  <c r="R1052"/>
  <c r="Q1052"/>
  <c r="P1052"/>
  <c r="H1052"/>
  <c r="H1051" s="1"/>
  <c r="O1051" s="1"/>
  <c r="R1051"/>
  <c r="Q1051"/>
  <c r="P1051"/>
  <c r="R1049"/>
  <c r="Q1049"/>
  <c r="P1049"/>
  <c r="H1049"/>
  <c r="R1048"/>
  <c r="Q1048"/>
  <c r="P1048"/>
  <c r="R1046"/>
  <c r="Q1046"/>
  <c r="P1046"/>
  <c r="H1046"/>
  <c r="H1045" s="1"/>
  <c r="O1045" s="1"/>
  <c r="R1045"/>
  <c r="Q1045"/>
  <c r="P1045"/>
  <c r="R1043"/>
  <c r="Q1043"/>
  <c r="P1043"/>
  <c r="H1043"/>
  <c r="O1043" s="1"/>
  <c r="R1042"/>
  <c r="Q1042"/>
  <c r="P1042"/>
  <c r="R1041"/>
  <c r="R1040"/>
  <c r="Q1040"/>
  <c r="P1040"/>
  <c r="H1040"/>
  <c r="O1040" s="1"/>
  <c r="R1039"/>
  <c r="Q1039"/>
  <c r="P1039"/>
  <c r="H1039"/>
  <c r="O1039" s="1"/>
  <c r="R1038"/>
  <c r="R1037"/>
  <c r="Q1037"/>
  <c r="P1037"/>
  <c r="H1037"/>
  <c r="H1036" s="1"/>
  <c r="O1036" s="1"/>
  <c r="R1036"/>
  <c r="Q1036"/>
  <c r="P1036"/>
  <c r="R1035"/>
  <c r="R1034"/>
  <c r="Q1034"/>
  <c r="P1034"/>
  <c r="H1034"/>
  <c r="O1034" s="1"/>
  <c r="R1033"/>
  <c r="Q1033"/>
  <c r="P1033"/>
  <c r="R1031"/>
  <c r="Q1031"/>
  <c r="P1031"/>
  <c r="H1031"/>
  <c r="H1030" s="1"/>
  <c r="O1030" s="1"/>
  <c r="R1030"/>
  <c r="Q1030"/>
  <c r="P1030"/>
  <c r="R1029"/>
  <c r="R1028"/>
  <c r="Q1028"/>
  <c r="P1028"/>
  <c r="H1028"/>
  <c r="H1027" s="1"/>
  <c r="O1027" s="1"/>
  <c r="R1027"/>
  <c r="Q1027"/>
  <c r="P1027"/>
  <c r="R1025"/>
  <c r="Q1025"/>
  <c r="P1025"/>
  <c r="H1025"/>
  <c r="O1025" s="1"/>
  <c r="R1024"/>
  <c r="Q1024"/>
  <c r="P1024"/>
  <c r="R1023"/>
  <c r="Q1023"/>
  <c r="P1023"/>
  <c r="R1022"/>
  <c r="Q1022"/>
  <c r="P1022"/>
  <c r="R1021"/>
  <c r="R1020"/>
  <c r="Q1020"/>
  <c r="P1020"/>
  <c r="H1020"/>
  <c r="R1019"/>
  <c r="R1018"/>
  <c r="Q1018"/>
  <c r="P1018"/>
  <c r="H1018"/>
  <c r="O1018" s="1"/>
  <c r="R1017"/>
  <c r="Q1017"/>
  <c r="P1017"/>
  <c r="R1016"/>
  <c r="R1015"/>
  <c r="Q1015"/>
  <c r="P1015"/>
  <c r="H1015"/>
  <c r="O1015" s="1"/>
  <c r="R1014"/>
  <c r="R1013"/>
  <c r="Q1013"/>
  <c r="P1013"/>
  <c r="H1013"/>
  <c r="O1013" s="1"/>
  <c r="R1012"/>
  <c r="Q1012"/>
  <c r="P1012"/>
  <c r="R1011"/>
  <c r="R1010"/>
  <c r="Q1010"/>
  <c r="P1010"/>
  <c r="H1010"/>
  <c r="O1010" s="1"/>
  <c r="R1009"/>
  <c r="R1008"/>
  <c r="Q1008"/>
  <c r="P1008"/>
  <c r="H1008"/>
  <c r="R1007"/>
  <c r="Q1007"/>
  <c r="P1007"/>
  <c r="R1006"/>
  <c r="R1005"/>
  <c r="Q1005"/>
  <c r="P1005"/>
  <c r="H1005"/>
  <c r="R1004"/>
  <c r="R1003"/>
  <c r="Q1003"/>
  <c r="P1003"/>
  <c r="H1003"/>
  <c r="O1003" s="1"/>
  <c r="R1002"/>
  <c r="Q1002"/>
  <c r="P1002"/>
  <c r="R1001"/>
  <c r="Q1001"/>
  <c r="P1001"/>
  <c r="R1000"/>
  <c r="R999"/>
  <c r="Q999"/>
  <c r="P999"/>
  <c r="H999"/>
  <c r="O999" s="1"/>
  <c r="R998"/>
  <c r="R997"/>
  <c r="Q997"/>
  <c r="P997"/>
  <c r="H997"/>
  <c r="R996"/>
  <c r="Q996"/>
  <c r="P996"/>
  <c r="R995"/>
  <c r="R994"/>
  <c r="Q994"/>
  <c r="P994"/>
  <c r="H994"/>
  <c r="O994" s="1"/>
  <c r="R993"/>
  <c r="R992"/>
  <c r="Q992"/>
  <c r="P992"/>
  <c r="H992"/>
  <c r="O992" s="1"/>
  <c r="R991"/>
  <c r="Q991"/>
  <c r="P991"/>
  <c r="R990"/>
  <c r="R989"/>
  <c r="Q989"/>
  <c r="P989"/>
  <c r="H989"/>
  <c r="O989" s="1"/>
  <c r="R988"/>
  <c r="R987"/>
  <c r="Q987"/>
  <c r="P987"/>
  <c r="H987"/>
  <c r="R986"/>
  <c r="Q986"/>
  <c r="P986"/>
  <c r="R985"/>
  <c r="R984"/>
  <c r="Q984"/>
  <c r="P984"/>
  <c r="H984"/>
  <c r="O984" s="1"/>
  <c r="R983"/>
  <c r="R982"/>
  <c r="Q982"/>
  <c r="P982"/>
  <c r="H982"/>
  <c r="O982" s="1"/>
  <c r="R981"/>
  <c r="Q981"/>
  <c r="P981"/>
  <c r="R980"/>
  <c r="R979"/>
  <c r="Q979"/>
  <c r="P979"/>
  <c r="H979"/>
  <c r="O979" s="1"/>
  <c r="R978"/>
  <c r="R977"/>
  <c r="Q977"/>
  <c r="P977"/>
  <c r="H977"/>
  <c r="R976"/>
  <c r="Q976"/>
  <c r="P976"/>
  <c r="R975"/>
  <c r="R974"/>
  <c r="Q974"/>
  <c r="P974"/>
  <c r="H974"/>
  <c r="O974" s="1"/>
  <c r="R973"/>
  <c r="R972"/>
  <c r="Q972"/>
  <c r="P972"/>
  <c r="H972"/>
  <c r="O972" s="1"/>
  <c r="R971"/>
  <c r="Q971"/>
  <c r="P971"/>
  <c r="R970"/>
  <c r="R969"/>
  <c r="Q969"/>
  <c r="P969"/>
  <c r="H969"/>
  <c r="O969" s="1"/>
  <c r="R968"/>
  <c r="R967"/>
  <c r="Q967"/>
  <c r="P967"/>
  <c r="H967"/>
  <c r="R966"/>
  <c r="Q966"/>
  <c r="P966"/>
  <c r="R965"/>
  <c r="R964"/>
  <c r="Q964"/>
  <c r="P964"/>
  <c r="H964"/>
  <c r="H963" s="1"/>
  <c r="O963" s="1"/>
  <c r="R963"/>
  <c r="Q963"/>
  <c r="P963"/>
  <c r="R961"/>
  <c r="Q961"/>
  <c r="P961"/>
  <c r="H961"/>
  <c r="O961" s="1"/>
  <c r="R960"/>
  <c r="R959"/>
  <c r="Q959"/>
  <c r="P959"/>
  <c r="H959"/>
  <c r="R958"/>
  <c r="Q958"/>
  <c r="P958"/>
  <c r="R957"/>
  <c r="R956"/>
  <c r="Q956"/>
  <c r="P956"/>
  <c r="H956"/>
  <c r="O956" s="1"/>
  <c r="R955"/>
  <c r="R954"/>
  <c r="Q954"/>
  <c r="P954"/>
  <c r="H954"/>
  <c r="R953"/>
  <c r="Q953"/>
  <c r="P953"/>
  <c r="R952"/>
  <c r="R951"/>
  <c r="Q951"/>
  <c r="P951"/>
  <c r="H951"/>
  <c r="O951" s="1"/>
  <c r="R950"/>
  <c r="R949"/>
  <c r="Q949"/>
  <c r="P949"/>
  <c r="H949"/>
  <c r="R948"/>
  <c r="Q948"/>
  <c r="P948"/>
  <c r="R947"/>
  <c r="Q947"/>
  <c r="P947"/>
  <c r="R946"/>
  <c r="Q946"/>
  <c r="P946"/>
  <c r="R945"/>
  <c r="Q945"/>
  <c r="P945"/>
  <c r="R944"/>
  <c r="Q944"/>
  <c r="P944"/>
  <c r="R943"/>
  <c r="Q943"/>
  <c r="P943"/>
  <c r="R942"/>
  <c r="R941"/>
  <c r="Q941"/>
  <c r="P941"/>
  <c r="H941"/>
  <c r="H940" s="1"/>
  <c r="O940" s="1"/>
  <c r="R940"/>
  <c r="Q940"/>
  <c r="P940"/>
  <c r="R939"/>
  <c r="Q939"/>
  <c r="P939"/>
  <c r="R938"/>
  <c r="Q938"/>
  <c r="P938"/>
  <c r="R937"/>
  <c r="Q937"/>
  <c r="P937"/>
  <c r="R936"/>
  <c r="Q936"/>
  <c r="P936"/>
  <c r="R935"/>
  <c r="Q935"/>
  <c r="P935"/>
  <c r="R934"/>
  <c r="R933"/>
  <c r="Q933"/>
  <c r="P933"/>
  <c r="H933"/>
  <c r="O933" s="1"/>
  <c r="R932"/>
  <c r="Q932"/>
  <c r="P932"/>
  <c r="R931"/>
  <c r="Q931"/>
  <c r="P931"/>
  <c r="R930"/>
  <c r="Q930"/>
  <c r="P930"/>
  <c r="R929"/>
  <c r="Q929"/>
  <c r="P929"/>
  <c r="R928"/>
  <c r="Q928"/>
  <c r="P928"/>
  <c r="R927"/>
  <c r="Q927"/>
  <c r="P927"/>
  <c r="R926"/>
  <c r="Q926"/>
  <c r="P926"/>
  <c r="R925"/>
  <c r="Q925"/>
  <c r="P925"/>
  <c r="O925"/>
  <c r="R923"/>
  <c r="Q923"/>
  <c r="P923"/>
  <c r="H923"/>
  <c r="H922" s="1"/>
  <c r="O922" s="1"/>
  <c r="R922"/>
  <c r="Q922"/>
  <c r="P922"/>
  <c r="R921"/>
  <c r="Q921"/>
  <c r="P921"/>
  <c r="R918"/>
  <c r="Q918"/>
  <c r="P918"/>
  <c r="H918"/>
  <c r="H917" s="1"/>
  <c r="O917" s="1"/>
  <c r="R917"/>
  <c r="Q917"/>
  <c r="P917"/>
  <c r="R913"/>
  <c r="Q913"/>
  <c r="P913"/>
  <c r="H913"/>
  <c r="O913" s="1"/>
  <c r="R911"/>
  <c r="Q911"/>
  <c r="P911"/>
  <c r="H911"/>
  <c r="O911" s="1"/>
  <c r="R908"/>
  <c r="Q908"/>
  <c r="P908"/>
  <c r="H908"/>
  <c r="O908" s="1"/>
  <c r="R907"/>
  <c r="Q907"/>
  <c r="P907"/>
  <c r="R906"/>
  <c r="Q906"/>
  <c r="P906"/>
  <c r="R905"/>
  <c r="Q905"/>
  <c r="P905"/>
  <c r="R904"/>
  <c r="Q904"/>
  <c r="P904"/>
  <c r="R897"/>
  <c r="Q897"/>
  <c r="P897"/>
  <c r="H897"/>
  <c r="H896" s="1"/>
  <c r="R896"/>
  <c r="Q896"/>
  <c r="P896"/>
  <c r="R895"/>
  <c r="Q895"/>
  <c r="P895"/>
  <c r="R894"/>
  <c r="Q894"/>
  <c r="P894"/>
  <c r="R893"/>
  <c r="Q893"/>
  <c r="P893"/>
  <c r="R891"/>
  <c r="Q891"/>
  <c r="P891"/>
  <c r="H891"/>
  <c r="H890" s="1"/>
  <c r="R890"/>
  <c r="Q890"/>
  <c r="P890"/>
  <c r="R889"/>
  <c r="Q889"/>
  <c r="P889"/>
  <c r="R888"/>
  <c r="Q888"/>
  <c r="P888"/>
  <c r="R887"/>
  <c r="Q887"/>
  <c r="P887"/>
  <c r="R885"/>
  <c r="Q885"/>
  <c r="P885"/>
  <c r="H885"/>
  <c r="O885" s="1"/>
  <c r="R884"/>
  <c r="Q884"/>
  <c r="P884"/>
  <c r="R883"/>
  <c r="Q883"/>
  <c r="P883"/>
  <c r="R882"/>
  <c r="Q882"/>
  <c r="P882"/>
  <c r="R881"/>
  <c r="Q881"/>
  <c r="P881"/>
  <c r="R879"/>
  <c r="Q879"/>
  <c r="P879"/>
  <c r="H879"/>
  <c r="H878" s="1"/>
  <c r="O878" s="1"/>
  <c r="R878"/>
  <c r="Q878"/>
  <c r="P878"/>
  <c r="R877"/>
  <c r="Q877"/>
  <c r="P877"/>
  <c r="R875"/>
  <c r="Q875"/>
  <c r="P875"/>
  <c r="H875"/>
  <c r="O875" s="1"/>
  <c r="R874"/>
  <c r="Q874"/>
  <c r="P874"/>
  <c r="R873"/>
  <c r="Q873"/>
  <c r="P873"/>
  <c r="R858"/>
  <c r="Q858"/>
  <c r="P858"/>
  <c r="H858"/>
  <c r="O858" s="1"/>
  <c r="R857"/>
  <c r="Q857"/>
  <c r="P857"/>
  <c r="R856"/>
  <c r="Q856"/>
  <c r="P856"/>
  <c r="R854"/>
  <c r="Q854"/>
  <c r="P854"/>
  <c r="H854"/>
  <c r="O854" s="1"/>
  <c r="R852"/>
  <c r="Q852"/>
  <c r="P852"/>
  <c r="H852"/>
  <c r="R851"/>
  <c r="Q851"/>
  <c r="P851"/>
  <c r="R850"/>
  <c r="Q850"/>
  <c r="P850"/>
  <c r="R848"/>
  <c r="Q848"/>
  <c r="P848"/>
  <c r="H848"/>
  <c r="O848" s="1"/>
  <c r="R847"/>
  <c r="Q847"/>
  <c r="P847"/>
  <c r="R845"/>
  <c r="Q845"/>
  <c r="P845"/>
  <c r="H845"/>
  <c r="R844"/>
  <c r="Q844"/>
  <c r="P844"/>
  <c r="R843"/>
  <c r="Q843"/>
  <c r="P843"/>
  <c r="R841"/>
  <c r="Q841"/>
  <c r="P841"/>
  <c r="H841"/>
  <c r="R840"/>
  <c r="Q840"/>
  <c r="P840"/>
  <c r="R839"/>
  <c r="Q839"/>
  <c r="P839"/>
  <c r="R837"/>
  <c r="Q837"/>
  <c r="P837"/>
  <c r="H837"/>
  <c r="O837" s="1"/>
  <c r="R835"/>
  <c r="Q835"/>
  <c r="P835"/>
  <c r="H835"/>
  <c r="O835" s="1"/>
  <c r="R834"/>
  <c r="Q834"/>
  <c r="P834"/>
  <c r="R833"/>
  <c r="Q833"/>
  <c r="P833"/>
  <c r="R832"/>
  <c r="Q832"/>
  <c r="P832"/>
  <c r="R830"/>
  <c r="Q830"/>
  <c r="P830"/>
  <c r="H830"/>
  <c r="R828"/>
  <c r="Q828"/>
  <c r="P828"/>
  <c r="H828"/>
  <c r="O828" s="1"/>
  <c r="R827"/>
  <c r="Q827"/>
  <c r="P827"/>
  <c r="R826"/>
  <c r="Q826"/>
  <c r="P826"/>
  <c r="R825"/>
  <c r="Q825"/>
  <c r="P825"/>
  <c r="R824"/>
  <c r="Q824"/>
  <c r="P824"/>
  <c r="R823"/>
  <c r="Q823"/>
  <c r="P823"/>
  <c r="R822"/>
  <c r="Q822"/>
  <c r="P822"/>
  <c r="R820"/>
  <c r="Q820"/>
  <c r="P820"/>
  <c r="H820"/>
  <c r="R819"/>
  <c r="Q819"/>
  <c r="P819"/>
  <c r="R818"/>
  <c r="Q818"/>
  <c r="P818"/>
  <c r="R817"/>
  <c r="Q817"/>
  <c r="P817"/>
  <c r="R816"/>
  <c r="Q816"/>
  <c r="P816"/>
  <c r="R814"/>
  <c r="Q814"/>
  <c r="P814"/>
  <c r="H814"/>
  <c r="H813" s="1"/>
  <c r="R813"/>
  <c r="Q813"/>
  <c r="P813"/>
  <c r="R812"/>
  <c r="Q812"/>
  <c r="P812"/>
  <c r="R810"/>
  <c r="Q810"/>
  <c r="P810"/>
  <c r="H810"/>
  <c r="R809"/>
  <c r="Q809"/>
  <c r="P809"/>
  <c r="R808"/>
  <c r="Q808"/>
  <c r="P808"/>
  <c r="R806"/>
  <c r="Q806"/>
  <c r="P806"/>
  <c r="H806"/>
  <c r="O806" s="1"/>
  <c r="R805"/>
  <c r="Q805"/>
  <c r="P805"/>
  <c r="R804"/>
  <c r="Q804"/>
  <c r="P804"/>
  <c r="R802"/>
  <c r="Q802"/>
  <c r="P802"/>
  <c r="H802"/>
  <c r="R801"/>
  <c r="Q801"/>
  <c r="P801"/>
  <c r="R800"/>
  <c r="Q800"/>
  <c r="P800"/>
  <c r="R795"/>
  <c r="Q795"/>
  <c r="P795"/>
  <c r="H795"/>
  <c r="O795" s="1"/>
  <c r="R794"/>
  <c r="Q794"/>
  <c r="P794"/>
  <c r="O794"/>
  <c r="R793"/>
  <c r="Q793"/>
  <c r="P793"/>
  <c r="O793"/>
  <c r="R792"/>
  <c r="R791"/>
  <c r="Q791"/>
  <c r="P791"/>
  <c r="H791"/>
  <c r="R790"/>
  <c r="Q790"/>
  <c r="P790"/>
  <c r="R789"/>
  <c r="Q789"/>
  <c r="P789"/>
  <c r="R787"/>
  <c r="Q787"/>
  <c r="P787"/>
  <c r="H787"/>
  <c r="H786" s="1"/>
  <c r="O786" s="1"/>
  <c r="R786"/>
  <c r="Q786"/>
  <c r="P786"/>
  <c r="R785"/>
  <c r="Q785"/>
  <c r="P785"/>
  <c r="R784"/>
  <c r="Q784"/>
  <c r="P784"/>
  <c r="R783"/>
  <c r="Q783"/>
  <c r="P783"/>
  <c r="R782"/>
  <c r="R781"/>
  <c r="Q781"/>
  <c r="P781"/>
  <c r="H781"/>
  <c r="O781" s="1"/>
  <c r="R780"/>
  <c r="Q780"/>
  <c r="P780"/>
  <c r="R779"/>
  <c r="Q779"/>
  <c r="P779"/>
  <c r="R778"/>
  <c r="Q778"/>
  <c r="P778"/>
  <c r="R777"/>
  <c r="Q777"/>
  <c r="P777"/>
  <c r="R776"/>
  <c r="Q776"/>
  <c r="P776"/>
  <c r="R774"/>
  <c r="Q774"/>
  <c r="P774"/>
  <c r="H774"/>
  <c r="R772"/>
  <c r="Q772"/>
  <c r="P772"/>
  <c r="H772"/>
  <c r="O772" s="1"/>
  <c r="R771"/>
  <c r="Q771"/>
  <c r="P771"/>
  <c r="R770"/>
  <c r="Q770"/>
  <c r="P770"/>
  <c r="R769"/>
  <c r="Q769"/>
  <c r="P769"/>
  <c r="R767"/>
  <c r="Q767"/>
  <c r="P767"/>
  <c r="H767"/>
  <c r="H766" s="1"/>
  <c r="R766"/>
  <c r="Q766"/>
  <c r="P766"/>
  <c r="R765"/>
  <c r="Q765"/>
  <c r="P765"/>
  <c r="R764"/>
  <c r="Q764"/>
  <c r="P764"/>
  <c r="R763"/>
  <c r="Q763"/>
  <c r="P763"/>
  <c r="R761"/>
  <c r="Q761"/>
  <c r="P761"/>
  <c r="H761"/>
  <c r="O761" s="1"/>
  <c r="R759"/>
  <c r="Q759"/>
  <c r="P759"/>
  <c r="H759"/>
  <c r="O759" s="1"/>
  <c r="R758"/>
  <c r="Q758"/>
  <c r="P758"/>
  <c r="R757"/>
  <c r="Q757"/>
  <c r="P757"/>
  <c r="R756"/>
  <c r="Q756"/>
  <c r="P756"/>
  <c r="R755"/>
  <c r="Q755"/>
  <c r="P755"/>
  <c r="R753"/>
  <c r="Q753"/>
  <c r="P753"/>
  <c r="H753"/>
  <c r="R752"/>
  <c r="Q752"/>
  <c r="P752"/>
  <c r="R751"/>
  <c r="Q751"/>
  <c r="P751"/>
  <c r="R749"/>
  <c r="Q749"/>
  <c r="P749"/>
  <c r="H749"/>
  <c r="O749" s="1"/>
  <c r="R747"/>
  <c r="Q747"/>
  <c r="P747"/>
  <c r="H747"/>
  <c r="R746"/>
  <c r="Q746"/>
  <c r="P746"/>
  <c r="R745"/>
  <c r="Q745"/>
  <c r="P745"/>
  <c r="R743"/>
  <c r="Q743"/>
  <c r="P743"/>
  <c r="H743"/>
  <c r="O743" s="1"/>
  <c r="R742"/>
  <c r="Q742"/>
  <c r="P742"/>
  <c r="R741"/>
  <c r="Q741"/>
  <c r="P741"/>
  <c r="R739"/>
  <c r="Q739"/>
  <c r="P739"/>
  <c r="H739"/>
  <c r="R737"/>
  <c r="Q737"/>
  <c r="P737"/>
  <c r="H737"/>
  <c r="O737" s="1"/>
  <c r="R736"/>
  <c r="Q736"/>
  <c r="P736"/>
  <c r="R735"/>
  <c r="Q735"/>
  <c r="P735"/>
  <c r="R734"/>
  <c r="Q734"/>
  <c r="P734"/>
  <c r="R732"/>
  <c r="Q732"/>
  <c r="P732"/>
  <c r="H732"/>
  <c r="O732" s="1"/>
  <c r="R730"/>
  <c r="Q730"/>
  <c r="P730"/>
  <c r="H730"/>
  <c r="R729"/>
  <c r="Q729"/>
  <c r="P729"/>
  <c r="R728"/>
  <c r="Q728"/>
  <c r="P728"/>
  <c r="R727"/>
  <c r="Q727"/>
  <c r="P727"/>
  <c r="R726"/>
  <c r="Q726"/>
  <c r="P726"/>
  <c r="R725"/>
  <c r="Q725"/>
  <c r="P725"/>
  <c r="R724"/>
  <c r="Q724"/>
  <c r="P724"/>
  <c r="R722"/>
  <c r="Q722"/>
  <c r="P722"/>
  <c r="H722"/>
  <c r="O722" s="1"/>
  <c r="R720"/>
  <c r="Q720"/>
  <c r="P720"/>
  <c r="H720"/>
  <c r="O720" s="1"/>
  <c r="R719"/>
  <c r="Q719"/>
  <c r="P719"/>
  <c r="O719"/>
  <c r="R718"/>
  <c r="R717"/>
  <c r="Q717"/>
  <c r="P717"/>
  <c r="H717"/>
  <c r="R716"/>
  <c r="Q716"/>
  <c r="P716"/>
  <c r="R715"/>
  <c r="Q715"/>
  <c r="P715"/>
  <c r="R714"/>
  <c r="Q714"/>
  <c r="P714"/>
  <c r="R713"/>
  <c r="Q713"/>
  <c r="P713"/>
  <c r="R712"/>
  <c r="Q712"/>
  <c r="P712"/>
  <c r="R711"/>
  <c r="Q711"/>
  <c r="P711"/>
  <c r="R710"/>
  <c r="Q710"/>
  <c r="P710"/>
  <c r="O710"/>
  <c r="R708"/>
  <c r="Q708"/>
  <c r="P708"/>
  <c r="H708"/>
  <c r="H707" s="1"/>
  <c r="O707" s="1"/>
  <c r="R707"/>
  <c r="Q707"/>
  <c r="P707"/>
  <c r="R705"/>
  <c r="Q705"/>
  <c r="P705"/>
  <c r="H705"/>
  <c r="O705" s="1"/>
  <c r="R704"/>
  <c r="Q704"/>
  <c r="P704"/>
  <c r="R702"/>
  <c r="Q702"/>
  <c r="P702"/>
  <c r="H702"/>
  <c r="O702" s="1"/>
  <c r="R701"/>
  <c r="Q701"/>
  <c r="P701"/>
  <c r="R699"/>
  <c r="Q699"/>
  <c r="P699"/>
  <c r="H699"/>
  <c r="O699" s="1"/>
  <c r="R698"/>
  <c r="Q698"/>
  <c r="P698"/>
  <c r="R697"/>
  <c r="Q697"/>
  <c r="P697"/>
  <c r="R695"/>
  <c r="Q695"/>
  <c r="P695"/>
  <c r="H695"/>
  <c r="O695" s="1"/>
  <c r="R694"/>
  <c r="R693"/>
  <c r="Q693"/>
  <c r="P693"/>
  <c r="H693"/>
  <c r="R692"/>
  <c r="Q692"/>
  <c r="P692"/>
  <c r="R691"/>
  <c r="Q691"/>
  <c r="P691"/>
  <c r="R690"/>
  <c r="Q690"/>
  <c r="P690"/>
  <c r="R689"/>
  <c r="Q689"/>
  <c r="P689"/>
  <c r="R688"/>
  <c r="Q688"/>
  <c r="P688"/>
  <c r="R687"/>
  <c r="Q687"/>
  <c r="P687"/>
  <c r="R685"/>
  <c r="Q685"/>
  <c r="P685"/>
  <c r="H685"/>
  <c r="O685" s="1"/>
  <c r="R681"/>
  <c r="Q681"/>
  <c r="P681"/>
  <c r="H681"/>
  <c r="R680"/>
  <c r="Q680"/>
  <c r="P680"/>
  <c r="R678"/>
  <c r="Q678"/>
  <c r="P678"/>
  <c r="H678"/>
  <c r="O678" s="1"/>
  <c r="R675"/>
  <c r="Q675"/>
  <c r="P675"/>
  <c r="H675"/>
  <c r="O675" s="1"/>
  <c r="R674"/>
  <c r="Q674"/>
  <c r="P674"/>
  <c r="R671"/>
  <c r="Q671"/>
  <c r="P671"/>
  <c r="H671"/>
  <c r="H670" s="1"/>
  <c r="O670" s="1"/>
  <c r="R670"/>
  <c r="Q670"/>
  <c r="P670"/>
  <c r="R666"/>
  <c r="Q666"/>
  <c r="P666"/>
  <c r="H666"/>
  <c r="O666" s="1"/>
  <c r="R664"/>
  <c r="Q664"/>
  <c r="P664"/>
  <c r="H664"/>
  <c r="O664" s="1"/>
  <c r="R661"/>
  <c r="Q661"/>
  <c r="P661"/>
  <c r="H661"/>
  <c r="R660"/>
  <c r="Q660"/>
  <c r="P660"/>
  <c r="R659"/>
  <c r="Q659"/>
  <c r="P659"/>
  <c r="R658"/>
  <c r="Q658"/>
  <c r="P658"/>
  <c r="R656"/>
  <c r="Q656"/>
  <c r="P656"/>
  <c r="H656"/>
  <c r="H655" s="1"/>
  <c r="H654" s="1"/>
  <c r="R655"/>
  <c r="Q655"/>
  <c r="P655"/>
  <c r="R654"/>
  <c r="Q654"/>
  <c r="P654"/>
  <c r="R653"/>
  <c r="Q653"/>
  <c r="P653"/>
  <c r="R652"/>
  <c r="Q652"/>
  <c r="P652"/>
  <c r="R650"/>
  <c r="Q650"/>
  <c r="P650"/>
  <c r="H650"/>
  <c r="O650" s="1"/>
  <c r="R649"/>
  <c r="Q649"/>
  <c r="P649"/>
  <c r="R648"/>
  <c r="Q648"/>
  <c r="P648"/>
  <c r="R646"/>
  <c r="Q646"/>
  <c r="P646"/>
  <c r="H646"/>
  <c r="O646" s="1"/>
  <c r="R644"/>
  <c r="Q644"/>
  <c r="P644"/>
  <c r="H644"/>
  <c r="O644" s="1"/>
  <c r="R643"/>
  <c r="R642"/>
  <c r="Q642"/>
  <c r="P642"/>
  <c r="H642"/>
  <c r="R641"/>
  <c r="Q641"/>
  <c r="P641"/>
  <c r="R640"/>
  <c r="Q640"/>
  <c r="P640"/>
  <c r="R639"/>
  <c r="Q639"/>
  <c r="P639"/>
  <c r="R638"/>
  <c r="Q638"/>
  <c r="P638"/>
  <c r="R637"/>
  <c r="Q637"/>
  <c r="P637"/>
  <c r="R635"/>
  <c r="Q635"/>
  <c r="P635"/>
  <c r="H635"/>
  <c r="O635" s="1"/>
  <c r="R634"/>
  <c r="Q634"/>
  <c r="P634"/>
  <c r="R633"/>
  <c r="Q633"/>
  <c r="P633"/>
  <c r="R632"/>
  <c r="Q632"/>
  <c r="P632"/>
  <c r="R631"/>
  <c r="Q631"/>
  <c r="P631"/>
  <c r="R629"/>
  <c r="Q629"/>
  <c r="P629"/>
  <c r="H629"/>
  <c r="H628" s="1"/>
  <c r="O628" s="1"/>
  <c r="R628"/>
  <c r="Q628"/>
  <c r="P628"/>
  <c r="R626"/>
  <c r="Q626"/>
  <c r="P626"/>
  <c r="H626"/>
  <c r="H625" s="1"/>
  <c r="R625"/>
  <c r="Q625"/>
  <c r="P625"/>
  <c r="R624"/>
  <c r="Q624"/>
  <c r="P624"/>
  <c r="R623"/>
  <c r="Q623"/>
  <c r="P623"/>
  <c r="R622"/>
  <c r="Q622"/>
  <c r="P622"/>
  <c r="R621"/>
  <c r="Q621"/>
  <c r="P621"/>
  <c r="R619"/>
  <c r="Q619"/>
  <c r="P619"/>
  <c r="H619"/>
  <c r="O619" s="1"/>
  <c r="R617"/>
  <c r="Q617"/>
  <c r="P617"/>
  <c r="H617"/>
  <c r="O617" s="1"/>
  <c r="R616"/>
  <c r="Q616"/>
  <c r="P616"/>
  <c r="R615"/>
  <c r="Q615"/>
  <c r="P615"/>
  <c r="R614"/>
  <c r="Q614"/>
  <c r="P614"/>
  <c r="R613"/>
  <c r="Q613"/>
  <c r="P613"/>
  <c r="R611"/>
  <c r="Q611"/>
  <c r="P611"/>
  <c r="H611"/>
  <c r="H610" s="1"/>
  <c r="H609" s="1"/>
  <c r="R610"/>
  <c r="Q610"/>
  <c r="P610"/>
  <c r="R609"/>
  <c r="Q609"/>
  <c r="P609"/>
  <c r="R608"/>
  <c r="Q608"/>
  <c r="P608"/>
  <c r="R606"/>
  <c r="Q606"/>
  <c r="P606"/>
  <c r="H606"/>
  <c r="H605" s="1"/>
  <c r="R605"/>
  <c r="Q605"/>
  <c r="P605"/>
  <c r="R604"/>
  <c r="Q604"/>
  <c r="P604"/>
  <c r="R603"/>
  <c r="Q603"/>
  <c r="P603"/>
  <c r="R601"/>
  <c r="Q601"/>
  <c r="P601"/>
  <c r="H601"/>
  <c r="H600" s="1"/>
  <c r="H599" s="1"/>
  <c r="R600"/>
  <c r="Q600"/>
  <c r="P600"/>
  <c r="R599"/>
  <c r="Q599"/>
  <c r="P599"/>
  <c r="R598"/>
  <c r="Q598"/>
  <c r="P598"/>
  <c r="R597"/>
  <c r="Q597"/>
  <c r="P597"/>
  <c r="R595"/>
  <c r="Q595"/>
  <c r="P595"/>
  <c r="H595"/>
  <c r="H594" s="1"/>
  <c r="R594"/>
  <c r="Q594"/>
  <c r="P594"/>
  <c r="R593"/>
  <c r="Q593"/>
  <c r="P593"/>
  <c r="R591"/>
  <c r="Q591"/>
  <c r="P591"/>
  <c r="H591"/>
  <c r="O591" s="1"/>
  <c r="R589"/>
  <c r="Q589"/>
  <c r="P589"/>
  <c r="H589"/>
  <c r="R588"/>
  <c r="Q588"/>
  <c r="P588"/>
  <c r="R587"/>
  <c r="Q587"/>
  <c r="P587"/>
  <c r="R586"/>
  <c r="Q586"/>
  <c r="P586"/>
  <c r="R585"/>
  <c r="Q585"/>
  <c r="P585"/>
  <c r="R584"/>
  <c r="Q584"/>
  <c r="P584"/>
  <c r="R582"/>
  <c r="Q582"/>
  <c r="P582"/>
  <c r="H582"/>
  <c r="R581"/>
  <c r="Q581"/>
  <c r="P581"/>
  <c r="R580"/>
  <c r="Q580"/>
  <c r="P580"/>
  <c r="R579"/>
  <c r="Q579"/>
  <c r="P579"/>
  <c r="R578"/>
  <c r="Q578"/>
  <c r="P578"/>
  <c r="R576"/>
  <c r="Q576"/>
  <c r="P576"/>
  <c r="H576"/>
  <c r="O576" s="1"/>
  <c r="R575"/>
  <c r="Q575"/>
  <c r="P575"/>
  <c r="R574"/>
  <c r="Q574"/>
  <c r="P574"/>
  <c r="R573"/>
  <c r="Q573"/>
  <c r="P573"/>
  <c r="R572"/>
  <c r="Q572"/>
  <c r="P572"/>
  <c r="R570"/>
  <c r="Q570"/>
  <c r="P570"/>
  <c r="H570"/>
  <c r="O570" s="1"/>
  <c r="R568"/>
  <c r="Q568"/>
  <c r="P568"/>
  <c r="H568"/>
  <c r="O568" s="1"/>
  <c r="R567"/>
  <c r="Q567"/>
  <c r="P567"/>
  <c r="R566"/>
  <c r="Q566"/>
  <c r="P566"/>
  <c r="R565"/>
  <c r="Q565"/>
  <c r="P565"/>
  <c r="R564"/>
  <c r="Q564"/>
  <c r="P564"/>
  <c r="R562"/>
  <c r="Q562"/>
  <c r="P562"/>
  <c r="H562"/>
  <c r="R561"/>
  <c r="Q561"/>
  <c r="P561"/>
  <c r="R560"/>
  <c r="Q560"/>
  <c r="P560"/>
  <c r="R559"/>
  <c r="Q559"/>
  <c r="P559"/>
  <c r="R557"/>
  <c r="Q557"/>
  <c r="P557"/>
  <c r="H557"/>
  <c r="O557" s="1"/>
  <c r="R556"/>
  <c r="Q556"/>
  <c r="P556"/>
  <c r="R555"/>
  <c r="Q555"/>
  <c r="P555"/>
  <c r="R554"/>
  <c r="Q554"/>
  <c r="P554"/>
  <c r="R552"/>
  <c r="Q552"/>
  <c r="P552"/>
  <c r="H552"/>
  <c r="R551"/>
  <c r="Q551"/>
  <c r="P551"/>
  <c r="R550"/>
  <c r="Q550"/>
  <c r="P550"/>
  <c r="R549"/>
  <c r="Q549"/>
  <c r="P549"/>
  <c r="R548"/>
  <c r="Q548"/>
  <c r="P548"/>
  <c r="R547"/>
  <c r="R546"/>
  <c r="Q546"/>
  <c r="P546"/>
  <c r="H546"/>
  <c r="O546" s="1"/>
  <c r="R545"/>
  <c r="Q545"/>
  <c r="P545"/>
  <c r="R544"/>
  <c r="Q544"/>
  <c r="P544"/>
  <c r="R543"/>
  <c r="Q543"/>
  <c r="P543"/>
  <c r="R541"/>
  <c r="Q541"/>
  <c r="P541"/>
  <c r="H541"/>
  <c r="O541" s="1"/>
  <c r="R539"/>
  <c r="Q539"/>
  <c r="P539"/>
  <c r="H539"/>
  <c r="O539" s="1"/>
  <c r="R538"/>
  <c r="Q538"/>
  <c r="P538"/>
  <c r="R537"/>
  <c r="Q537"/>
  <c r="P537"/>
  <c r="R535"/>
  <c r="Q535"/>
  <c r="P535"/>
  <c r="H535"/>
  <c r="O535" s="1"/>
  <c r="R533"/>
  <c r="Q533"/>
  <c r="P533"/>
  <c r="H533"/>
  <c r="O533" s="1"/>
  <c r="R531"/>
  <c r="Q531"/>
  <c r="P531"/>
  <c r="H531"/>
  <c r="R530"/>
  <c r="Q530"/>
  <c r="P530"/>
  <c r="R528"/>
  <c r="Q528"/>
  <c r="P528"/>
  <c r="H528"/>
  <c r="O528" s="1"/>
  <c r="R525"/>
  <c r="Q525"/>
  <c r="P525"/>
  <c r="H525"/>
  <c r="O525" s="1"/>
  <c r="R522"/>
  <c r="Q522"/>
  <c r="P522"/>
  <c r="H522"/>
  <c r="R521"/>
  <c r="Q521"/>
  <c r="P521"/>
  <c r="R520"/>
  <c r="Q520"/>
  <c r="P520"/>
  <c r="R519"/>
  <c r="Q519"/>
  <c r="P519"/>
  <c r="R518"/>
  <c r="Q518"/>
  <c r="P518"/>
  <c r="R517"/>
  <c r="Q517"/>
  <c r="P517"/>
  <c r="R515"/>
  <c r="Q515"/>
  <c r="P515"/>
  <c r="H515"/>
  <c r="O515" s="1"/>
  <c r="R514"/>
  <c r="Q514"/>
  <c r="P514"/>
  <c r="R513"/>
  <c r="Q513"/>
  <c r="P513"/>
  <c r="R512"/>
  <c r="Q512"/>
  <c r="P512"/>
  <c r="R511"/>
  <c r="Q511"/>
  <c r="P511"/>
  <c r="R509"/>
  <c r="Q509"/>
  <c r="P509"/>
  <c r="H509"/>
  <c r="O509" s="1"/>
  <c r="R507"/>
  <c r="Q507"/>
  <c r="P507"/>
  <c r="H507"/>
  <c r="O507" s="1"/>
  <c r="R506"/>
  <c r="Q506"/>
  <c r="P506"/>
  <c r="R505"/>
  <c r="Q505"/>
  <c r="P505"/>
  <c r="R504"/>
  <c r="Q504"/>
  <c r="P504"/>
  <c r="R503"/>
  <c r="Q503"/>
  <c r="P503"/>
  <c r="R501"/>
  <c r="Q501"/>
  <c r="P501"/>
  <c r="H501"/>
  <c r="H500" s="1"/>
  <c r="H499" s="1"/>
  <c r="R500"/>
  <c r="Q500"/>
  <c r="P500"/>
  <c r="R499"/>
  <c r="Q499"/>
  <c r="P499"/>
  <c r="R498"/>
  <c r="Q498"/>
  <c r="P498"/>
  <c r="R497"/>
  <c r="Q497"/>
  <c r="P497"/>
  <c r="R495"/>
  <c r="Q495"/>
  <c r="P495"/>
  <c r="H495"/>
  <c r="O495" s="1"/>
  <c r="R494"/>
  <c r="Q494"/>
  <c r="P494"/>
  <c r="R493"/>
  <c r="Q493"/>
  <c r="P493"/>
  <c r="R491"/>
  <c r="Q491"/>
  <c r="P491"/>
  <c r="H491"/>
  <c r="O491" s="1"/>
  <c r="R489"/>
  <c r="Q489"/>
  <c r="P489"/>
  <c r="H489"/>
  <c r="O489" s="1"/>
  <c r="R487"/>
  <c r="Q487"/>
  <c r="P487"/>
  <c r="H487"/>
  <c r="O487" s="1"/>
  <c r="R486"/>
  <c r="Q486"/>
  <c r="P486"/>
  <c r="R484"/>
  <c r="Q484"/>
  <c r="P484"/>
  <c r="H484"/>
  <c r="R481"/>
  <c r="Q481"/>
  <c r="P481"/>
  <c r="H481"/>
  <c r="O481" s="1"/>
  <c r="R480"/>
  <c r="Q480"/>
  <c r="P480"/>
  <c r="R479"/>
  <c r="Q479"/>
  <c r="P479"/>
  <c r="R478"/>
  <c r="Q478"/>
  <c r="P478"/>
  <c r="R477"/>
  <c r="Q477"/>
  <c r="P477"/>
  <c r="R476"/>
  <c r="Q476"/>
  <c r="P476"/>
  <c r="R475"/>
  <c r="Q475"/>
  <c r="P475"/>
  <c r="R474"/>
  <c r="Q474"/>
  <c r="P474"/>
  <c r="R473"/>
  <c r="Q473"/>
  <c r="P473"/>
  <c r="O473"/>
  <c r="R472"/>
  <c r="R471"/>
  <c r="Q471"/>
  <c r="P471"/>
  <c r="H471"/>
  <c r="O471" s="1"/>
  <c r="R470"/>
  <c r="Q470"/>
  <c r="P470"/>
  <c r="R469"/>
  <c r="Q469"/>
  <c r="P469"/>
  <c r="R468"/>
  <c r="Q468"/>
  <c r="P468"/>
  <c r="R467"/>
  <c r="Q467"/>
  <c r="P467"/>
  <c r="R466"/>
  <c r="Q466"/>
  <c r="P466"/>
  <c r="R465"/>
  <c r="Q465"/>
  <c r="P465"/>
  <c r="R464"/>
  <c r="R463"/>
  <c r="Q463"/>
  <c r="P463"/>
  <c r="H463"/>
  <c r="H462" s="1"/>
  <c r="R462"/>
  <c r="Q462"/>
  <c r="P462"/>
  <c r="R461"/>
  <c r="Q461"/>
  <c r="P461"/>
  <c r="R460"/>
  <c r="Q460"/>
  <c r="P460"/>
  <c r="R459"/>
  <c r="Q459"/>
  <c r="P459"/>
  <c r="R458"/>
  <c r="Q458"/>
  <c r="P458"/>
  <c r="R457"/>
  <c r="Q457"/>
  <c r="P457"/>
  <c r="R454"/>
  <c r="Q454"/>
  <c r="P454"/>
  <c r="H454"/>
  <c r="H453" s="1"/>
  <c r="O453" s="1"/>
  <c r="R453"/>
  <c r="Q453"/>
  <c r="P453"/>
  <c r="R449"/>
  <c r="Q449"/>
  <c r="P449"/>
  <c r="H449"/>
  <c r="O449" s="1"/>
  <c r="R447"/>
  <c r="Q447"/>
  <c r="P447"/>
  <c r="H447"/>
  <c r="R444"/>
  <c r="Q444"/>
  <c r="P444"/>
  <c r="H444"/>
  <c r="O444" s="1"/>
  <c r="R443"/>
  <c r="Q443"/>
  <c r="P443"/>
  <c r="R442"/>
  <c r="Q442"/>
  <c r="P442"/>
  <c r="R441"/>
  <c r="Q441"/>
  <c r="P441"/>
  <c r="R440"/>
  <c r="R439"/>
  <c r="Q439"/>
  <c r="P439"/>
  <c r="H439"/>
  <c r="O439" s="1"/>
  <c r="R438"/>
  <c r="Q438"/>
  <c r="P438"/>
  <c r="R437"/>
  <c r="Q437"/>
  <c r="P437"/>
  <c r="R436"/>
  <c r="Q436"/>
  <c r="P436"/>
  <c r="R435"/>
  <c r="Q435"/>
  <c r="P435"/>
  <c r="R434"/>
  <c r="Q434"/>
  <c r="P434"/>
  <c r="R433"/>
  <c r="Q433"/>
  <c r="P433"/>
  <c r="R432"/>
  <c r="Q432"/>
  <c r="P432"/>
  <c r="R431"/>
  <c r="Q431"/>
  <c r="P431"/>
  <c r="O431"/>
  <c r="R430"/>
  <c r="Q430"/>
  <c r="P430"/>
  <c r="O430"/>
  <c r="R429"/>
  <c r="Q429"/>
  <c r="P429"/>
  <c r="H429"/>
  <c r="O429" s="1"/>
  <c r="R428"/>
  <c r="Q428"/>
  <c r="P428"/>
  <c r="R427"/>
  <c r="Q427"/>
  <c r="P427"/>
  <c r="R426"/>
  <c r="Q426"/>
  <c r="P426"/>
  <c r="R425"/>
  <c r="Q425"/>
  <c r="P425"/>
  <c r="R424"/>
  <c r="Q424"/>
  <c r="P424"/>
  <c r="R423"/>
  <c r="Q423"/>
  <c r="P423"/>
  <c r="O423"/>
  <c r="R422"/>
  <c r="Q422"/>
  <c r="P422"/>
  <c r="H422"/>
  <c r="O422" s="1"/>
  <c r="R421"/>
  <c r="Q421"/>
  <c r="P421"/>
  <c r="O421"/>
  <c r="R420"/>
  <c r="Q420"/>
  <c r="P420"/>
  <c r="H420"/>
  <c r="O420" s="1"/>
  <c r="R419"/>
  <c r="Q419"/>
  <c r="P419"/>
  <c r="O419"/>
  <c r="R418"/>
  <c r="Q418"/>
  <c r="P418"/>
  <c r="H418"/>
  <c r="H417" s="1"/>
  <c r="R417"/>
  <c r="Q417"/>
  <c r="P417"/>
  <c r="R416"/>
  <c r="Q416"/>
  <c r="P416"/>
  <c r="R415"/>
  <c r="R414"/>
  <c r="Q414"/>
  <c r="P414"/>
  <c r="H414"/>
  <c r="O414" s="1"/>
  <c r="R413"/>
  <c r="Q413"/>
  <c r="P413"/>
  <c r="R412"/>
  <c r="Q412"/>
  <c r="P412"/>
  <c r="R411"/>
  <c r="Q411"/>
  <c r="P411"/>
  <c r="R410"/>
  <c r="Q410"/>
  <c r="P410"/>
  <c r="R409"/>
  <c r="Q409"/>
  <c r="P409"/>
  <c r="R408"/>
  <c r="Q408"/>
  <c r="P408"/>
  <c r="O408"/>
  <c r="R407"/>
  <c r="Q407"/>
  <c r="P407"/>
  <c r="H407"/>
  <c r="H406" s="1"/>
  <c r="R406"/>
  <c r="Q406"/>
  <c r="P406"/>
  <c r="R405"/>
  <c r="Q405"/>
  <c r="P405"/>
  <c r="R404"/>
  <c r="Q404"/>
  <c r="P404"/>
  <c r="R401"/>
  <c r="Q401"/>
  <c r="P401"/>
  <c r="H401"/>
  <c r="H400" s="1"/>
  <c r="O400" s="1"/>
  <c r="R400"/>
  <c r="Q400"/>
  <c r="P400"/>
  <c r="R396"/>
  <c r="Q396"/>
  <c r="P396"/>
  <c r="H396"/>
  <c r="O396" s="1"/>
  <c r="R394"/>
  <c r="Q394"/>
  <c r="P394"/>
  <c r="H394"/>
  <c r="O394" s="1"/>
  <c r="R391"/>
  <c r="Q391"/>
  <c r="P391"/>
  <c r="H391"/>
  <c r="R390"/>
  <c r="Q390"/>
  <c r="P390"/>
  <c r="R389"/>
  <c r="Q389"/>
  <c r="P389"/>
  <c r="R388"/>
  <c r="Q388"/>
  <c r="P388"/>
  <c r="R387"/>
  <c r="Q387"/>
  <c r="P387"/>
  <c r="R386"/>
  <c r="Q386"/>
  <c r="P386"/>
  <c r="R385"/>
  <c r="Q385"/>
  <c r="P385"/>
  <c r="R384"/>
  <c r="Q384"/>
  <c r="P384"/>
  <c r="O384"/>
  <c r="R383"/>
  <c r="R382"/>
  <c r="Q382"/>
  <c r="P382"/>
  <c r="H382"/>
  <c r="H381" s="1"/>
  <c r="R381"/>
  <c r="Q381"/>
  <c r="P381"/>
  <c r="R380"/>
  <c r="Q380"/>
  <c r="P380"/>
  <c r="R379"/>
  <c r="Q379"/>
  <c r="P379"/>
  <c r="R378"/>
  <c r="Q378"/>
  <c r="P378"/>
  <c r="R377"/>
  <c r="Q377"/>
  <c r="P377"/>
  <c r="R376"/>
  <c r="Q376"/>
  <c r="P376"/>
  <c r="R375"/>
  <c r="R374"/>
  <c r="Q374"/>
  <c r="P374"/>
  <c r="H374"/>
  <c r="H373" s="1"/>
  <c r="H372" s="1"/>
  <c r="R373"/>
  <c r="Q373"/>
  <c r="P373"/>
  <c r="R372"/>
  <c r="Q372"/>
  <c r="P372"/>
  <c r="R371"/>
  <c r="Q371"/>
  <c r="P371"/>
  <c r="R370"/>
  <c r="Q370"/>
  <c r="P370"/>
  <c r="R369"/>
  <c r="R368"/>
  <c r="Q368"/>
  <c r="P368"/>
  <c r="H368"/>
  <c r="H367" s="1"/>
  <c r="O367" s="1"/>
  <c r="R367"/>
  <c r="Q367"/>
  <c r="P367"/>
  <c r="R366"/>
  <c r="Q366"/>
  <c r="P366"/>
  <c r="R365"/>
  <c r="Q365"/>
  <c r="P365"/>
  <c r="R364"/>
  <c r="Q364"/>
  <c r="P364"/>
  <c r="R363"/>
  <c r="Q363"/>
  <c r="P363"/>
  <c r="R362"/>
  <c r="Q362"/>
  <c r="P362"/>
  <c r="R361"/>
  <c r="R360"/>
  <c r="Q360"/>
  <c r="P360"/>
  <c r="H360"/>
  <c r="O360" s="1"/>
  <c r="R359"/>
  <c r="Q359"/>
  <c r="P359"/>
  <c r="R358"/>
  <c r="Q358"/>
  <c r="P358"/>
  <c r="R357"/>
  <c r="Q357"/>
  <c r="P357"/>
  <c r="R356"/>
  <c r="Q356"/>
  <c r="P356"/>
  <c r="R355"/>
  <c r="R354"/>
  <c r="Q354"/>
  <c r="P354"/>
  <c r="H354"/>
  <c r="H353" s="1"/>
  <c r="H352" s="1"/>
  <c r="R353"/>
  <c r="Q353"/>
  <c r="P353"/>
  <c r="R352"/>
  <c r="Q352"/>
  <c r="P352"/>
  <c r="R351"/>
  <c r="Q351"/>
  <c r="P351"/>
  <c r="R350"/>
  <c r="Q350"/>
  <c r="P350"/>
  <c r="R349"/>
  <c r="R348"/>
  <c r="Q348"/>
  <c r="P348"/>
  <c r="H348"/>
  <c r="O348" s="1"/>
  <c r="R347"/>
  <c r="Q347"/>
  <c r="P347"/>
  <c r="R346"/>
  <c r="Q346"/>
  <c r="P346"/>
  <c r="R345"/>
  <c r="Q345"/>
  <c r="P345"/>
  <c r="R344"/>
  <c r="Q344"/>
  <c r="P344"/>
  <c r="R343"/>
  <c r="Q343"/>
  <c r="P343"/>
  <c r="R342"/>
  <c r="Q342"/>
  <c r="P342"/>
  <c r="R340"/>
  <c r="Q340"/>
  <c r="P340"/>
  <c r="H340"/>
  <c r="H339" s="1"/>
  <c r="R339"/>
  <c r="Q339"/>
  <c r="P339"/>
  <c r="R338"/>
  <c r="Q338"/>
  <c r="P338"/>
  <c r="R337"/>
  <c r="Q337"/>
  <c r="P337"/>
  <c r="R334"/>
  <c r="Q334"/>
  <c r="P334"/>
  <c r="H334"/>
  <c r="O334" s="1"/>
  <c r="R333"/>
  <c r="Q333"/>
  <c r="P333"/>
  <c r="R329"/>
  <c r="Q329"/>
  <c r="P329"/>
  <c r="H329"/>
  <c r="O329" s="1"/>
  <c r="R327"/>
  <c r="Q327"/>
  <c r="P327"/>
  <c r="H327"/>
  <c r="O327" s="1"/>
  <c r="R324"/>
  <c r="Q324"/>
  <c r="P324"/>
  <c r="H324"/>
  <c r="O324" s="1"/>
  <c r="R323"/>
  <c r="Q323"/>
  <c r="P323"/>
  <c r="R322"/>
  <c r="Q322"/>
  <c r="P322"/>
  <c r="R321"/>
  <c r="Q321"/>
  <c r="P321"/>
  <c r="R317"/>
  <c r="R316"/>
  <c r="Q316"/>
  <c r="P316"/>
  <c r="H316"/>
  <c r="O316" s="1"/>
  <c r="R315"/>
  <c r="Q315"/>
  <c r="P315"/>
  <c r="R314"/>
  <c r="Q314"/>
  <c r="P314"/>
  <c r="R313"/>
  <c r="Q313"/>
  <c r="P313"/>
  <c r="R312"/>
  <c r="Q312"/>
  <c r="P312"/>
  <c r="R311"/>
  <c r="R310"/>
  <c r="Q310"/>
  <c r="P310"/>
  <c r="H310"/>
  <c r="H309" s="1"/>
  <c r="R309"/>
  <c r="Q309"/>
  <c r="P309"/>
  <c r="R308"/>
  <c r="Q308"/>
  <c r="P308"/>
  <c r="R307"/>
  <c r="R306"/>
  <c r="Q306"/>
  <c r="P306"/>
  <c r="H306"/>
  <c r="O306" s="1"/>
  <c r="R305"/>
  <c r="Q305"/>
  <c r="P305"/>
  <c r="R303"/>
  <c r="Q303"/>
  <c r="P303"/>
  <c r="H303"/>
  <c r="O303" s="1"/>
  <c r="R302"/>
  <c r="Q302"/>
  <c r="P302"/>
  <c r="R300"/>
  <c r="Q300"/>
  <c r="P300"/>
  <c r="H300"/>
  <c r="O300" s="1"/>
  <c r="R299"/>
  <c r="R298"/>
  <c r="Q298"/>
  <c r="P298"/>
  <c r="H298"/>
  <c r="R297"/>
  <c r="Q297"/>
  <c r="P297"/>
  <c r="R296"/>
  <c r="Q296"/>
  <c r="P296"/>
  <c r="R295"/>
  <c r="Q295"/>
  <c r="P295"/>
  <c r="R294"/>
  <c r="Q294"/>
  <c r="P294"/>
  <c r="R293"/>
  <c r="Q293"/>
  <c r="P293"/>
  <c r="R292"/>
  <c r="Q292"/>
  <c r="P292"/>
  <c r="R291"/>
  <c r="Q291"/>
  <c r="P291"/>
  <c r="R290"/>
  <c r="Q290"/>
  <c r="P290"/>
  <c r="O290"/>
  <c r="R289"/>
  <c r="R288"/>
  <c r="Q288"/>
  <c r="P288"/>
  <c r="O288"/>
  <c r="H288"/>
  <c r="H287" s="1"/>
  <c r="R287"/>
  <c r="Q287"/>
  <c r="P287"/>
  <c r="R286"/>
  <c r="Q286"/>
  <c r="P286"/>
  <c r="R285"/>
  <c r="R284"/>
  <c r="Q284"/>
  <c r="P284"/>
  <c r="H284"/>
  <c r="H283" s="1"/>
  <c r="R283"/>
  <c r="Q283"/>
  <c r="P283"/>
  <c r="R282"/>
  <c r="Q282"/>
  <c r="P282"/>
  <c r="R281"/>
  <c r="Q281"/>
  <c r="P281"/>
  <c r="R280"/>
  <c r="Q280"/>
  <c r="P280"/>
  <c r="R279"/>
  <c r="Q279"/>
  <c r="P279"/>
  <c r="R278"/>
  <c r="R277"/>
  <c r="Q277"/>
  <c r="P277"/>
  <c r="H277"/>
  <c r="H276" s="1"/>
  <c r="H275" s="1"/>
  <c r="R276"/>
  <c r="Q276"/>
  <c r="P276"/>
  <c r="R275"/>
  <c r="Q275"/>
  <c r="P275"/>
  <c r="R274"/>
  <c r="Q274"/>
  <c r="P274"/>
  <c r="R273"/>
  <c r="Q273"/>
  <c r="P273"/>
  <c r="R272"/>
  <c r="Q272"/>
  <c r="P272"/>
  <c r="R271"/>
  <c r="Q271"/>
  <c r="P271"/>
  <c r="R270"/>
  <c r="R269"/>
  <c r="Q269"/>
  <c r="P269"/>
  <c r="H269"/>
  <c r="H268" s="1"/>
  <c r="R268"/>
  <c r="Q268"/>
  <c r="P268"/>
  <c r="R267"/>
  <c r="Q267"/>
  <c r="P267"/>
  <c r="R266"/>
  <c r="Q266"/>
  <c r="P266"/>
  <c r="R265"/>
  <c r="Q265"/>
  <c r="P265"/>
  <c r="R264"/>
  <c r="Q264"/>
  <c r="P264"/>
  <c r="R263"/>
  <c r="Q263"/>
  <c r="P263"/>
  <c r="R262"/>
  <c r="R261"/>
  <c r="Q261"/>
  <c r="P261"/>
  <c r="H261"/>
  <c r="O261" s="1"/>
  <c r="R260"/>
  <c r="Q260"/>
  <c r="P260"/>
  <c r="R259"/>
  <c r="Q259"/>
  <c r="P259"/>
  <c r="R258"/>
  <c r="Q258"/>
  <c r="P258"/>
  <c r="R257"/>
  <c r="Q257"/>
  <c r="P257"/>
  <c r="R256"/>
  <c r="Q256"/>
  <c r="P256"/>
  <c r="R255"/>
  <c r="Q255"/>
  <c r="P255"/>
  <c r="R254"/>
  <c r="R253"/>
  <c r="Q253"/>
  <c r="P253"/>
  <c r="H253"/>
  <c r="R252"/>
  <c r="R251"/>
  <c r="Q251"/>
  <c r="P251"/>
  <c r="H251"/>
  <c r="O251" s="1"/>
  <c r="R250"/>
  <c r="Q250"/>
  <c r="P250"/>
  <c r="R249"/>
  <c r="Q249"/>
  <c r="P249"/>
  <c r="R248"/>
  <c r="R247"/>
  <c r="Q247"/>
  <c r="P247"/>
  <c r="H247"/>
  <c r="O247" s="1"/>
  <c r="R246"/>
  <c r="Q246"/>
  <c r="P246"/>
  <c r="R245"/>
  <c r="Q245"/>
  <c r="P245"/>
  <c r="R244"/>
  <c r="Q244"/>
  <c r="P244"/>
  <c r="R243"/>
  <c r="R242"/>
  <c r="Q242"/>
  <c r="P242"/>
  <c r="H242"/>
  <c r="O242" s="1"/>
  <c r="R241"/>
  <c r="Q241"/>
  <c r="P241"/>
  <c r="R240"/>
  <c r="Q240"/>
  <c r="P240"/>
  <c r="R239"/>
  <c r="R238"/>
  <c r="Q238"/>
  <c r="P238"/>
  <c r="H238"/>
  <c r="O238" s="1"/>
  <c r="R236"/>
  <c r="Q236"/>
  <c r="P236"/>
  <c r="H236"/>
  <c r="R235"/>
  <c r="Q235"/>
  <c r="P235"/>
  <c r="R234"/>
  <c r="Q234"/>
  <c r="P234"/>
  <c r="R231"/>
  <c r="Q231"/>
  <c r="P231"/>
  <c r="H231"/>
  <c r="O231" s="1"/>
  <c r="R230"/>
  <c r="Q230"/>
  <c r="P230"/>
  <c r="R229"/>
  <c r="Q229"/>
  <c r="P229"/>
  <c r="R228"/>
  <c r="Q228"/>
  <c r="P228"/>
  <c r="R227"/>
  <c r="Q227"/>
  <c r="P227"/>
  <c r="R226"/>
  <c r="Q226"/>
  <c r="P226"/>
  <c r="R225"/>
  <c r="Q225"/>
  <c r="P225"/>
  <c r="R222"/>
  <c r="Q222"/>
  <c r="P222"/>
  <c r="H222"/>
  <c r="H221" s="1"/>
  <c r="R221"/>
  <c r="Q221"/>
  <c r="P221"/>
  <c r="R220"/>
  <c r="Q220"/>
  <c r="P220"/>
  <c r="R219"/>
  <c r="Q219"/>
  <c r="P219"/>
  <c r="R217"/>
  <c r="Q217"/>
  <c r="P217"/>
  <c r="H217"/>
  <c r="O217" s="1"/>
  <c r="R216"/>
  <c r="Q216"/>
  <c r="P216"/>
  <c r="R212"/>
  <c r="Q212"/>
  <c r="P212"/>
  <c r="H212"/>
  <c r="O212" s="1"/>
  <c r="R210"/>
  <c r="Q210"/>
  <c r="P210"/>
  <c r="H210"/>
  <c r="R206"/>
  <c r="Q206"/>
  <c r="P206"/>
  <c r="H206"/>
  <c r="O206" s="1"/>
  <c r="R205"/>
  <c r="Q205"/>
  <c r="P205"/>
  <c r="R204"/>
  <c r="Q204"/>
  <c r="P204"/>
  <c r="R203"/>
  <c r="Q203"/>
  <c r="P203"/>
  <c r="R202"/>
  <c r="R201"/>
  <c r="Q201"/>
  <c r="P201"/>
  <c r="H201"/>
  <c r="H200" s="1"/>
  <c r="R200"/>
  <c r="Q200"/>
  <c r="P200"/>
  <c r="R199"/>
  <c r="Q199"/>
  <c r="P199"/>
  <c r="R198"/>
  <c r="Q198"/>
  <c r="P198"/>
  <c r="R197"/>
  <c r="Q197"/>
  <c r="P197"/>
  <c r="R196"/>
  <c r="Q196"/>
  <c r="P196"/>
  <c r="O196"/>
  <c r="R195"/>
  <c r="Q195"/>
  <c r="P195"/>
  <c r="H195"/>
  <c r="O195" s="1"/>
  <c r="R194"/>
  <c r="Q194"/>
  <c r="P194"/>
  <c r="R193"/>
  <c r="Q193"/>
  <c r="P193"/>
  <c r="R192"/>
  <c r="Q192"/>
  <c r="P192"/>
  <c r="O192"/>
  <c r="R191"/>
  <c r="R190"/>
  <c r="Q190"/>
  <c r="P190"/>
  <c r="H190"/>
  <c r="H189" s="1"/>
  <c r="R189"/>
  <c r="Q189"/>
  <c r="P189"/>
  <c r="R188"/>
  <c r="Q188"/>
  <c r="P188"/>
  <c r="R187"/>
  <c r="Q187"/>
  <c r="P187"/>
  <c r="O187"/>
  <c r="R186"/>
  <c r="R185"/>
  <c r="Q185"/>
  <c r="P185"/>
  <c r="H185"/>
  <c r="H184" s="1"/>
  <c r="H183" s="1"/>
  <c r="R184"/>
  <c r="Q184"/>
  <c r="P184"/>
  <c r="R183"/>
  <c r="Q183"/>
  <c r="P183"/>
  <c r="R182"/>
  <c r="R181"/>
  <c r="Q181"/>
  <c r="P181"/>
  <c r="H181"/>
  <c r="O181" s="1"/>
  <c r="R180"/>
  <c r="Q180"/>
  <c r="P180"/>
  <c r="R179"/>
  <c r="Q179"/>
  <c r="P179"/>
  <c r="R178"/>
  <c r="Q178"/>
  <c r="P178"/>
  <c r="R177"/>
  <c r="R176"/>
  <c r="Q176"/>
  <c r="P176"/>
  <c r="H176"/>
  <c r="O176" s="1"/>
  <c r="R175"/>
  <c r="Q175"/>
  <c r="P175"/>
  <c r="R174"/>
  <c r="Q174"/>
  <c r="P174"/>
  <c r="R173"/>
  <c r="Q173"/>
  <c r="P173"/>
  <c r="R172"/>
  <c r="Q172"/>
  <c r="P172"/>
  <c r="R168"/>
  <c r="Q168"/>
  <c r="P168"/>
  <c r="H168"/>
  <c r="O168" s="1"/>
  <c r="R166"/>
  <c r="Q166"/>
  <c r="P166"/>
  <c r="H166"/>
  <c r="O166" s="1"/>
  <c r="R162"/>
  <c r="Q162"/>
  <c r="P162"/>
  <c r="H162"/>
  <c r="O162" s="1"/>
  <c r="R161"/>
  <c r="Q161"/>
  <c r="P161"/>
  <c r="R160"/>
  <c r="Q160"/>
  <c r="P160"/>
  <c r="R159"/>
  <c r="R158"/>
  <c r="Q158"/>
  <c r="P158"/>
  <c r="H158"/>
  <c r="H157" s="1"/>
  <c r="H156" s="1"/>
  <c r="O156" s="1"/>
  <c r="R157"/>
  <c r="Q157"/>
  <c r="P157"/>
  <c r="R156"/>
  <c r="Q156"/>
  <c r="P156"/>
  <c r="R155"/>
  <c r="R154"/>
  <c r="Q154"/>
  <c r="P154"/>
  <c r="H154"/>
  <c r="O154" s="1"/>
  <c r="R153"/>
  <c r="Q153"/>
  <c r="P153"/>
  <c r="R152"/>
  <c r="Q152"/>
  <c r="P152"/>
  <c r="R151"/>
  <c r="R150"/>
  <c r="Q150"/>
  <c r="P150"/>
  <c r="H150"/>
  <c r="O150" s="1"/>
  <c r="R149"/>
  <c r="Q149"/>
  <c r="P149"/>
  <c r="R148"/>
  <c r="Q148"/>
  <c r="P148"/>
  <c r="R147"/>
  <c r="Q147"/>
  <c r="P147"/>
  <c r="R145"/>
  <c r="Q145"/>
  <c r="P145"/>
  <c r="H145"/>
  <c r="H144" s="1"/>
  <c r="R144"/>
  <c r="Q144"/>
  <c r="P144"/>
  <c r="R143"/>
  <c r="Q143"/>
  <c r="P143"/>
  <c r="R142"/>
  <c r="R141"/>
  <c r="Q141"/>
  <c r="P141"/>
  <c r="H141"/>
  <c r="H140" s="1"/>
  <c r="R140"/>
  <c r="Q140"/>
  <c r="P140"/>
  <c r="R139"/>
  <c r="Q139"/>
  <c r="P139"/>
  <c r="R138"/>
  <c r="Q138"/>
  <c r="P138"/>
  <c r="R137"/>
  <c r="Q137"/>
  <c r="P137"/>
  <c r="R136"/>
  <c r="R135"/>
  <c r="Q135"/>
  <c r="P135"/>
  <c r="H135"/>
  <c r="H134" s="1"/>
  <c r="R134"/>
  <c r="Q134"/>
  <c r="P134"/>
  <c r="R133"/>
  <c r="Q133"/>
  <c r="P133"/>
  <c r="R132"/>
  <c r="Q132"/>
  <c r="P132"/>
  <c r="R131"/>
  <c r="Q131"/>
  <c r="P131"/>
  <c r="R130"/>
  <c r="R129"/>
  <c r="Q129"/>
  <c r="P129"/>
  <c r="H129"/>
  <c r="H128" s="1"/>
  <c r="O128" s="1"/>
  <c r="R128"/>
  <c r="Q128"/>
  <c r="P128"/>
  <c r="R126"/>
  <c r="Q126"/>
  <c r="P126"/>
  <c r="H126"/>
  <c r="O126" s="1"/>
  <c r="R125"/>
  <c r="Q125"/>
  <c r="P125"/>
  <c r="R124"/>
  <c r="Q124"/>
  <c r="P124"/>
  <c r="R123"/>
  <c r="Q123"/>
  <c r="P123"/>
  <c r="R122"/>
  <c r="Q122"/>
  <c r="P122"/>
  <c r="R121"/>
  <c r="Q121"/>
  <c r="P121"/>
  <c r="R119"/>
  <c r="Q119"/>
  <c r="P119"/>
  <c r="H119"/>
  <c r="O119" s="1"/>
  <c r="R118"/>
  <c r="Q118"/>
  <c r="P118"/>
  <c r="R117"/>
  <c r="Q117"/>
  <c r="P117"/>
  <c r="R116"/>
  <c r="Q116"/>
  <c r="P116"/>
  <c r="R115"/>
  <c r="Q115"/>
  <c r="P115"/>
  <c r="R113"/>
  <c r="Q113"/>
  <c r="P113"/>
  <c r="H113"/>
  <c r="H112" s="1"/>
  <c r="O112" s="1"/>
  <c r="R112"/>
  <c r="Q112"/>
  <c r="P112"/>
  <c r="R110"/>
  <c r="Q110"/>
  <c r="P110"/>
  <c r="H110"/>
  <c r="O110" s="1"/>
  <c r="R107"/>
  <c r="Q107"/>
  <c r="P107"/>
  <c r="H107"/>
  <c r="O107" s="1"/>
  <c r="R106"/>
  <c r="Q106"/>
  <c r="P106"/>
  <c r="R103"/>
  <c r="Q103"/>
  <c r="P103"/>
  <c r="H103"/>
  <c r="O103" s="1"/>
  <c r="R102"/>
  <c r="Q102"/>
  <c r="P102"/>
  <c r="R99"/>
  <c r="Q99"/>
  <c r="P99"/>
  <c r="H99"/>
  <c r="O99" s="1"/>
  <c r="R97"/>
  <c r="Q97"/>
  <c r="P97"/>
  <c r="H97"/>
  <c r="O97" s="1"/>
  <c r="R94"/>
  <c r="Q94"/>
  <c r="P94"/>
  <c r="H94"/>
  <c r="O94" s="1"/>
  <c r="R93"/>
  <c r="Q93"/>
  <c r="P93"/>
  <c r="R92"/>
  <c r="Q92"/>
  <c r="P92"/>
  <c r="R91"/>
  <c r="Q91"/>
  <c r="P91"/>
  <c r="R90"/>
  <c r="Q90"/>
  <c r="P90"/>
  <c r="R87"/>
  <c r="Q87"/>
  <c r="P87"/>
  <c r="H87"/>
  <c r="O87" s="1"/>
  <c r="R86"/>
  <c r="Q86"/>
  <c r="P86"/>
  <c r="R83"/>
  <c r="Q83"/>
  <c r="P83"/>
  <c r="H83"/>
  <c r="H82" s="1"/>
  <c r="R82"/>
  <c r="Q82"/>
  <c r="P82"/>
  <c r="R81"/>
  <c r="Q81"/>
  <c r="P81"/>
  <c r="R80"/>
  <c r="Q80"/>
  <c r="P80"/>
  <c r="R79"/>
  <c r="Q79"/>
  <c r="P79"/>
  <c r="R78"/>
  <c r="Q78"/>
  <c r="P78"/>
  <c r="R77"/>
  <c r="Q77"/>
  <c r="P77"/>
  <c r="R76"/>
  <c r="Q76"/>
  <c r="P76"/>
  <c r="O76"/>
  <c r="R75"/>
  <c r="R74"/>
  <c r="Q74"/>
  <c r="P74"/>
  <c r="H74"/>
  <c r="H73" s="1"/>
  <c r="R73"/>
  <c r="Q73"/>
  <c r="P73"/>
  <c r="R72"/>
  <c r="Q72"/>
  <c r="P72"/>
  <c r="R71"/>
  <c r="Q71"/>
  <c r="P71"/>
  <c r="R70"/>
  <c r="Q70"/>
  <c r="P70"/>
  <c r="R69"/>
  <c r="R68"/>
  <c r="Q68"/>
  <c r="P68"/>
  <c r="H68"/>
  <c r="O68" s="1"/>
  <c r="R67"/>
  <c r="Q67"/>
  <c r="P67"/>
  <c r="R66"/>
  <c r="Q66"/>
  <c r="P66"/>
  <c r="R65"/>
  <c r="Q65"/>
  <c r="P65"/>
  <c r="R64"/>
  <c r="Q64"/>
  <c r="P64"/>
  <c r="R63"/>
  <c r="Q63"/>
  <c r="P63"/>
  <c r="R62"/>
  <c r="R61"/>
  <c r="Q61"/>
  <c r="P61"/>
  <c r="H61"/>
  <c r="O61" s="1"/>
  <c r="R60"/>
  <c r="Q60"/>
  <c r="P60"/>
  <c r="R59"/>
  <c r="Q59"/>
  <c r="P59"/>
  <c r="R58"/>
  <c r="Q58"/>
  <c r="P58"/>
  <c r="R57"/>
  <c r="Q57"/>
  <c r="P57"/>
  <c r="R54"/>
  <c r="Q54"/>
  <c r="P54"/>
  <c r="H54"/>
  <c r="O54" s="1"/>
  <c r="R53"/>
  <c r="Q53"/>
  <c r="P53"/>
  <c r="R50"/>
  <c r="Q50"/>
  <c r="P50"/>
  <c r="H50"/>
  <c r="O50" s="1"/>
  <c r="R49"/>
  <c r="Q49"/>
  <c r="P49"/>
  <c r="R48"/>
  <c r="Q48"/>
  <c r="P48"/>
  <c r="R45"/>
  <c r="Q45"/>
  <c r="P45"/>
  <c r="H45"/>
  <c r="H44" s="1"/>
  <c r="R44"/>
  <c r="Q44"/>
  <c r="P44"/>
  <c r="R41"/>
  <c r="Q41"/>
  <c r="P41"/>
  <c r="H41"/>
  <c r="H40" s="1"/>
  <c r="O40" s="1"/>
  <c r="R40"/>
  <c r="Q40"/>
  <c r="P40"/>
  <c r="R39"/>
  <c r="Q39"/>
  <c r="P39"/>
  <c r="R36"/>
  <c r="Q36"/>
  <c r="P36"/>
  <c r="H36"/>
  <c r="O36" s="1"/>
  <c r="R35"/>
  <c r="Q35"/>
  <c r="P35"/>
  <c r="R32"/>
  <c r="Q32"/>
  <c r="P32"/>
  <c r="H32"/>
  <c r="O32" s="1"/>
  <c r="R30"/>
  <c r="Q30"/>
  <c r="P30"/>
  <c r="H30"/>
  <c r="O30" s="1"/>
  <c r="R26"/>
  <c r="Q26"/>
  <c r="P26"/>
  <c r="H26"/>
  <c r="R25"/>
  <c r="Q25"/>
  <c r="P25"/>
  <c r="R24"/>
  <c r="Q24"/>
  <c r="P24"/>
  <c r="R23"/>
  <c r="Q23"/>
  <c r="P23"/>
  <c r="R22"/>
  <c r="Q22"/>
  <c r="P22"/>
  <c r="R21"/>
  <c r="Q21"/>
  <c r="P21"/>
  <c r="R20"/>
  <c r="Q20"/>
  <c r="P20"/>
  <c r="R1918" i="4"/>
  <c r="R1917"/>
  <c r="R1916"/>
  <c r="R1915"/>
  <c r="R1914"/>
  <c r="R1913"/>
  <c r="R1912"/>
  <c r="R1911"/>
  <c r="R1910"/>
  <c r="R1909"/>
  <c r="R1908"/>
  <c r="R1907"/>
  <c r="R1906"/>
  <c r="R1905"/>
  <c r="R1904"/>
  <c r="R1903"/>
  <c r="R1902"/>
  <c r="R1901"/>
  <c r="R1900"/>
  <c r="R1899"/>
  <c r="R1898"/>
  <c r="R1897"/>
  <c r="R1896"/>
  <c r="R1895"/>
  <c r="R1894"/>
  <c r="R1893"/>
  <c r="R1892"/>
  <c r="R1891"/>
  <c r="R1890"/>
  <c r="R1889"/>
  <c r="R1888"/>
  <c r="R1887"/>
  <c r="R1886"/>
  <c r="R1885"/>
  <c r="R1884"/>
  <c r="R1883"/>
  <c r="R1882"/>
  <c r="R1881"/>
  <c r="R1880"/>
  <c r="R1879"/>
  <c r="R1878"/>
  <c r="R1877"/>
  <c r="R1876"/>
  <c r="R1875"/>
  <c r="R1874"/>
  <c r="R1873"/>
  <c r="R1872"/>
  <c r="R1871"/>
  <c r="R1870"/>
  <c r="R1869"/>
  <c r="R1868"/>
  <c r="R1867"/>
  <c r="R1866"/>
  <c r="R1865"/>
  <c r="R1864"/>
  <c r="R1863"/>
  <c r="R1862"/>
  <c r="R1861"/>
  <c r="Q1831"/>
  <c r="P1831"/>
  <c r="R1830"/>
  <c r="Q1830"/>
  <c r="P1830"/>
  <c r="O1830"/>
  <c r="R1827"/>
  <c r="Q1827"/>
  <c r="P1827"/>
  <c r="H1827"/>
  <c r="O1827" s="1"/>
  <c r="R1826"/>
  <c r="Q1826"/>
  <c r="P1826"/>
  <c r="R1822"/>
  <c r="Q1822"/>
  <c r="P1822"/>
  <c r="H1822"/>
  <c r="O1822" s="1"/>
  <c r="R1820"/>
  <c r="Q1820"/>
  <c r="P1820"/>
  <c r="H1820"/>
  <c r="O1820" s="1"/>
  <c r="R1817"/>
  <c r="Q1817"/>
  <c r="P1817"/>
  <c r="H1817"/>
  <c r="O1817" s="1"/>
  <c r="R1816"/>
  <c r="Q1816"/>
  <c r="P1816"/>
  <c r="R1815"/>
  <c r="Q1815"/>
  <c r="P1815"/>
  <c r="R1814"/>
  <c r="Q1814"/>
  <c r="P1814"/>
  <c r="R1813"/>
  <c r="Q1813"/>
  <c r="P1813"/>
  <c r="R1812"/>
  <c r="Q1812"/>
  <c r="P1812"/>
  <c r="R1811"/>
  <c r="Q1811"/>
  <c r="P1811"/>
  <c r="R1810"/>
  <c r="Q1810"/>
  <c r="P1810"/>
  <c r="O1810"/>
  <c r="R1807"/>
  <c r="Q1807"/>
  <c r="P1807"/>
  <c r="H1807"/>
  <c r="O1807" s="1"/>
  <c r="R1806"/>
  <c r="Q1806"/>
  <c r="P1806"/>
  <c r="R1803"/>
  <c r="Q1803"/>
  <c r="P1803"/>
  <c r="H1803"/>
  <c r="O1803" s="1"/>
  <c r="R1801"/>
  <c r="Q1801"/>
  <c r="P1801"/>
  <c r="H1801"/>
  <c r="O1801" s="1"/>
  <c r="R1798"/>
  <c r="Q1798"/>
  <c r="P1798"/>
  <c r="H1798"/>
  <c r="O1798" s="1"/>
  <c r="R1797"/>
  <c r="Q1797"/>
  <c r="P1797"/>
  <c r="R1796"/>
  <c r="Q1796"/>
  <c r="P1796"/>
  <c r="R1795"/>
  <c r="Q1795"/>
  <c r="P1795"/>
  <c r="R1793"/>
  <c r="Q1793"/>
  <c r="P1793"/>
  <c r="H1793"/>
  <c r="O1793" s="1"/>
  <c r="R1792"/>
  <c r="Q1792"/>
  <c r="P1792"/>
  <c r="R1791"/>
  <c r="Q1791"/>
  <c r="P1791"/>
  <c r="R1789"/>
  <c r="Q1789"/>
  <c r="P1789"/>
  <c r="H1789"/>
  <c r="H1788" s="1"/>
  <c r="R1788"/>
  <c r="Q1788"/>
  <c r="P1788"/>
  <c r="R1787"/>
  <c r="Q1787"/>
  <c r="P1787"/>
  <c r="R1785"/>
  <c r="Q1785"/>
  <c r="P1785"/>
  <c r="H1785"/>
  <c r="O1785" s="1"/>
  <c r="R1784"/>
  <c r="Q1784"/>
  <c r="P1784"/>
  <c r="R1783"/>
  <c r="Q1783"/>
  <c r="P1783"/>
  <c r="R1779"/>
  <c r="Q1779"/>
  <c r="P1779"/>
  <c r="H1779"/>
  <c r="O1779" s="1"/>
  <c r="R1777"/>
  <c r="Q1777"/>
  <c r="P1777"/>
  <c r="H1777"/>
  <c r="O1777" s="1"/>
  <c r="R1774"/>
  <c r="Q1774"/>
  <c r="P1774"/>
  <c r="H1774"/>
  <c r="H1773" s="1"/>
  <c r="R1773"/>
  <c r="Q1773"/>
  <c r="P1773"/>
  <c r="R1772"/>
  <c r="Q1772"/>
  <c r="P1772"/>
  <c r="R1771"/>
  <c r="Q1771"/>
  <c r="P1771"/>
  <c r="R1769"/>
  <c r="Q1769"/>
  <c r="P1769"/>
  <c r="H1769"/>
  <c r="O1769" s="1"/>
  <c r="R1767"/>
  <c r="Q1767"/>
  <c r="P1767"/>
  <c r="H1767"/>
  <c r="O1767" s="1"/>
  <c r="R1766"/>
  <c r="Q1766"/>
  <c r="P1766"/>
  <c r="R1765"/>
  <c r="Q1765"/>
  <c r="P1765"/>
  <c r="R1764"/>
  <c r="Q1764"/>
  <c r="P1764"/>
  <c r="R1762"/>
  <c r="Q1762"/>
  <c r="P1762"/>
  <c r="H1762"/>
  <c r="O1762" s="1"/>
  <c r="R1761"/>
  <c r="Q1761"/>
  <c r="P1761"/>
  <c r="R1760"/>
  <c r="Q1760"/>
  <c r="P1760"/>
  <c r="R1756"/>
  <c r="Q1756"/>
  <c r="P1756"/>
  <c r="H1756"/>
  <c r="O1756" s="1"/>
  <c r="R1754"/>
  <c r="Q1754"/>
  <c r="P1754"/>
  <c r="H1754"/>
  <c r="O1754" s="1"/>
  <c r="R1751"/>
  <c r="Q1751"/>
  <c r="P1751"/>
  <c r="H1751"/>
  <c r="O1751" s="1"/>
  <c r="R1750"/>
  <c r="Q1750"/>
  <c r="P1750"/>
  <c r="R1749"/>
  <c r="Q1749"/>
  <c r="P1749"/>
  <c r="R1747"/>
  <c r="Q1747"/>
  <c r="P1747"/>
  <c r="H1747"/>
  <c r="O1747" s="1"/>
  <c r="R1746"/>
  <c r="Q1746"/>
  <c r="P1746"/>
  <c r="R1745"/>
  <c r="Q1745"/>
  <c r="P1745"/>
  <c r="R1744"/>
  <c r="Q1744"/>
  <c r="P1744"/>
  <c r="R1743"/>
  <c r="Q1743"/>
  <c r="P1743"/>
  <c r="R1741"/>
  <c r="Q1741"/>
  <c r="P1741"/>
  <c r="H1741"/>
  <c r="O1741" s="1"/>
  <c r="R1740"/>
  <c r="Q1740"/>
  <c r="P1740"/>
  <c r="R1739"/>
  <c r="Q1739"/>
  <c r="P1739"/>
  <c r="R1738"/>
  <c r="Q1738"/>
  <c r="P1738"/>
  <c r="R1737"/>
  <c r="Q1737"/>
  <c r="P1737"/>
  <c r="R1736"/>
  <c r="Q1736"/>
  <c r="P1736"/>
  <c r="R1735"/>
  <c r="Q1735"/>
  <c r="P1735"/>
  <c r="R1734"/>
  <c r="Q1734"/>
  <c r="P1734"/>
  <c r="R1733"/>
  <c r="Q1733"/>
  <c r="P1733"/>
  <c r="O1733"/>
  <c r="R1731"/>
  <c r="Q1731"/>
  <c r="P1731"/>
  <c r="H1731"/>
  <c r="O1731" s="1"/>
  <c r="R1730"/>
  <c r="Q1730"/>
  <c r="P1730"/>
  <c r="R1729"/>
  <c r="Q1729"/>
  <c r="P1729"/>
  <c r="R1728"/>
  <c r="Q1728"/>
  <c r="P1728"/>
  <c r="R1727"/>
  <c r="Q1727"/>
  <c r="P1727"/>
  <c r="R1726"/>
  <c r="Q1726"/>
  <c r="P1726"/>
  <c r="R1725"/>
  <c r="Q1725"/>
  <c r="P1725"/>
  <c r="R1724"/>
  <c r="R1723"/>
  <c r="Q1723"/>
  <c r="P1723"/>
  <c r="H1723"/>
  <c r="O1723" s="1"/>
  <c r="R1722"/>
  <c r="Q1722"/>
  <c r="P1722"/>
  <c r="R1721"/>
  <c r="Q1721"/>
  <c r="P1721"/>
  <c r="R1720"/>
  <c r="Q1720"/>
  <c r="P1720"/>
  <c r="R1719"/>
  <c r="Q1719"/>
  <c r="P1719"/>
  <c r="R1718"/>
  <c r="Q1718"/>
  <c r="P1718"/>
  <c r="R1717"/>
  <c r="Q1717"/>
  <c r="P1717"/>
  <c r="R1715"/>
  <c r="Q1715"/>
  <c r="P1715"/>
  <c r="H1715"/>
  <c r="O1715" s="1"/>
  <c r="R1714"/>
  <c r="Q1714"/>
  <c r="P1714"/>
  <c r="R1713"/>
  <c r="Q1713"/>
  <c r="P1713"/>
  <c r="R1712"/>
  <c r="Q1712"/>
  <c r="P1712"/>
  <c r="R1711"/>
  <c r="Q1711"/>
  <c r="P1711"/>
  <c r="R1710"/>
  <c r="Q1710"/>
  <c r="P1710"/>
  <c r="R1709"/>
  <c r="Q1709"/>
  <c r="P1709"/>
  <c r="R1707"/>
  <c r="Q1707"/>
  <c r="P1707"/>
  <c r="H1707"/>
  <c r="H1706" s="1"/>
  <c r="R1706"/>
  <c r="Q1706"/>
  <c r="P1706"/>
  <c r="R1705"/>
  <c r="Q1705"/>
  <c r="P1705"/>
  <c r="R1704"/>
  <c r="Q1704"/>
  <c r="P1704"/>
  <c r="R1702"/>
  <c r="Q1702"/>
  <c r="P1702"/>
  <c r="H1702"/>
  <c r="H1701" s="1"/>
  <c r="R1701"/>
  <c r="Q1701"/>
  <c r="P1701"/>
  <c r="R1700"/>
  <c r="Q1700"/>
  <c r="P1700"/>
  <c r="R1698"/>
  <c r="Q1698"/>
  <c r="P1698"/>
  <c r="H1698"/>
  <c r="O1698" s="1"/>
  <c r="R1697"/>
  <c r="Q1697"/>
  <c r="P1697"/>
  <c r="R1696"/>
  <c r="Q1696"/>
  <c r="P1696"/>
  <c r="R1695"/>
  <c r="Q1695"/>
  <c r="P1695"/>
  <c r="R1694"/>
  <c r="Q1694"/>
  <c r="P1694"/>
  <c r="R1693"/>
  <c r="Q1693"/>
  <c r="P1693"/>
  <c r="R1692"/>
  <c r="Q1692"/>
  <c r="P1692"/>
  <c r="R1690"/>
  <c r="Q1690"/>
  <c r="P1690"/>
  <c r="H1690"/>
  <c r="O1690" s="1"/>
  <c r="R1689"/>
  <c r="Q1689"/>
  <c r="P1689"/>
  <c r="R1687"/>
  <c r="Q1687"/>
  <c r="P1687"/>
  <c r="H1687"/>
  <c r="O1687" s="1"/>
  <c r="R1685"/>
  <c r="Q1685"/>
  <c r="P1685"/>
  <c r="H1685"/>
  <c r="O1685" s="1"/>
  <c r="R1684"/>
  <c r="Q1684"/>
  <c r="P1684"/>
  <c r="R1683"/>
  <c r="Q1683"/>
  <c r="P1683"/>
  <c r="R1680"/>
  <c r="Q1680"/>
  <c r="P1680"/>
  <c r="H1680"/>
  <c r="H1679" s="1"/>
  <c r="O1679" s="1"/>
  <c r="R1679"/>
  <c r="Q1679"/>
  <c r="P1679"/>
  <c r="R1675"/>
  <c r="Q1675"/>
  <c r="P1675"/>
  <c r="H1675"/>
  <c r="O1675" s="1"/>
  <c r="R1673"/>
  <c r="Q1673"/>
  <c r="P1673"/>
  <c r="H1673"/>
  <c r="O1673" s="1"/>
  <c r="R1670"/>
  <c r="Q1670"/>
  <c r="P1670"/>
  <c r="H1670"/>
  <c r="R1669"/>
  <c r="Q1669"/>
  <c r="P1669"/>
  <c r="R1668"/>
  <c r="Q1668"/>
  <c r="P1668"/>
  <c r="R1667"/>
  <c r="Q1667"/>
  <c r="P1667"/>
  <c r="R1666"/>
  <c r="Q1666"/>
  <c r="P1666"/>
  <c r="R1665"/>
  <c r="Q1665"/>
  <c r="P1665"/>
  <c r="R1664"/>
  <c r="Q1664"/>
  <c r="P1664"/>
  <c r="R1663"/>
  <c r="Q1663"/>
  <c r="P1663"/>
  <c r="O1663"/>
  <c r="R1662"/>
  <c r="R1661"/>
  <c r="Q1661"/>
  <c r="P1661"/>
  <c r="H1661"/>
  <c r="H1660" s="1"/>
  <c r="R1660"/>
  <c r="Q1660"/>
  <c r="P1660"/>
  <c r="R1659"/>
  <c r="Q1659"/>
  <c r="P1659"/>
  <c r="R1658"/>
  <c r="R1657"/>
  <c r="Q1657"/>
  <c r="P1657"/>
  <c r="H1657"/>
  <c r="H1656" s="1"/>
  <c r="R1656"/>
  <c r="Q1656"/>
  <c r="P1656"/>
  <c r="R1655"/>
  <c r="Q1655"/>
  <c r="P1655"/>
  <c r="R1654"/>
  <c r="Q1654"/>
  <c r="P1654"/>
  <c r="R1653"/>
  <c r="Q1653"/>
  <c r="P1653"/>
  <c r="R1652"/>
  <c r="Q1652"/>
  <c r="P1652"/>
  <c r="R1651"/>
  <c r="Q1651"/>
  <c r="P1651"/>
  <c r="R1649"/>
  <c r="Q1649"/>
  <c r="P1649"/>
  <c r="H1649"/>
  <c r="O1649" s="1"/>
  <c r="R1648"/>
  <c r="Q1648"/>
  <c r="P1648"/>
  <c r="R1647"/>
  <c r="Q1647"/>
  <c r="P1647"/>
  <c r="R1646"/>
  <c r="Q1646"/>
  <c r="P1646"/>
  <c r="R1645"/>
  <c r="Q1645"/>
  <c r="P1645"/>
  <c r="R1644"/>
  <c r="Q1644"/>
  <c r="P1644"/>
  <c r="R1643"/>
  <c r="Q1643"/>
  <c r="P1643"/>
  <c r="R1640"/>
  <c r="Q1640"/>
  <c r="P1640"/>
  <c r="H1640"/>
  <c r="O1640" s="1"/>
  <c r="R1639"/>
  <c r="Q1639"/>
  <c r="P1639"/>
  <c r="R1636"/>
  <c r="Q1636"/>
  <c r="P1636"/>
  <c r="H1636"/>
  <c r="O1636" s="1"/>
  <c r="R1634"/>
  <c r="Q1634"/>
  <c r="P1634"/>
  <c r="H1634"/>
  <c r="O1634" s="1"/>
  <c r="R1631"/>
  <c r="Q1631"/>
  <c r="P1631"/>
  <c r="H1631"/>
  <c r="O1631" s="1"/>
  <c r="R1630"/>
  <c r="Q1630"/>
  <c r="P1630"/>
  <c r="R1629"/>
  <c r="Q1629"/>
  <c r="P1629"/>
  <c r="R1628"/>
  <c r="Q1628"/>
  <c r="P1628"/>
  <c r="R1627"/>
  <c r="Q1627"/>
  <c r="P1627"/>
  <c r="R1625"/>
  <c r="Q1625"/>
  <c r="P1625"/>
  <c r="H1625"/>
  <c r="O1625" s="1"/>
  <c r="R1624"/>
  <c r="Q1624"/>
  <c r="P1624"/>
  <c r="R1623"/>
  <c r="Q1623"/>
  <c r="P1623"/>
  <c r="R1621"/>
  <c r="Q1621"/>
  <c r="P1621"/>
  <c r="H1621"/>
  <c r="O1621" s="1"/>
  <c r="R1620"/>
  <c r="Q1620"/>
  <c r="P1620"/>
  <c r="R1619"/>
  <c r="Q1619"/>
  <c r="P1619"/>
  <c r="R1617"/>
  <c r="Q1617"/>
  <c r="P1617"/>
  <c r="H1617"/>
  <c r="O1617" s="1"/>
  <c r="R1616"/>
  <c r="Q1616"/>
  <c r="P1616"/>
  <c r="R1615"/>
  <c r="Q1615"/>
  <c r="P1615"/>
  <c r="R1614"/>
  <c r="Q1614"/>
  <c r="P1614"/>
  <c r="R1613"/>
  <c r="Q1613"/>
  <c r="P1613"/>
  <c r="R1611"/>
  <c r="Q1611"/>
  <c r="P1611"/>
  <c r="H1611"/>
  <c r="O1611" s="1"/>
  <c r="R1610"/>
  <c r="Q1610"/>
  <c r="P1610"/>
  <c r="R1609"/>
  <c r="Q1609"/>
  <c r="P1609"/>
  <c r="R1608"/>
  <c r="Q1608"/>
  <c r="P1608"/>
  <c r="R1607"/>
  <c r="Q1607"/>
  <c r="P1607"/>
  <c r="R1605"/>
  <c r="Q1605"/>
  <c r="P1605"/>
  <c r="H1605"/>
  <c r="O1605" s="1"/>
  <c r="R1604"/>
  <c r="Q1604"/>
  <c r="P1604"/>
  <c r="R1602"/>
  <c r="Q1602"/>
  <c r="P1602"/>
  <c r="H1602"/>
  <c r="O1602" s="1"/>
  <c r="R1601"/>
  <c r="Q1601"/>
  <c r="P1601"/>
  <c r="R1599"/>
  <c r="Q1599"/>
  <c r="P1599"/>
  <c r="H1599"/>
  <c r="O1599" s="1"/>
  <c r="R1598"/>
  <c r="Q1598"/>
  <c r="P1598"/>
  <c r="R1596"/>
  <c r="Q1596"/>
  <c r="P1596"/>
  <c r="H1596"/>
  <c r="O1596" s="1"/>
  <c r="R1594"/>
  <c r="Q1594"/>
  <c r="P1594"/>
  <c r="H1594"/>
  <c r="O1594" s="1"/>
  <c r="R1592"/>
  <c r="Q1592"/>
  <c r="P1592"/>
  <c r="H1592"/>
  <c r="O1592" s="1"/>
  <c r="R1591"/>
  <c r="Q1591"/>
  <c r="P1591"/>
  <c r="R1589"/>
  <c r="Q1589"/>
  <c r="P1589"/>
  <c r="H1589"/>
  <c r="O1589" s="1"/>
  <c r="R1588"/>
  <c r="Q1588"/>
  <c r="P1588"/>
  <c r="R1586"/>
  <c r="Q1586"/>
  <c r="P1586"/>
  <c r="H1586"/>
  <c r="O1586" s="1"/>
  <c r="R1585"/>
  <c r="Q1585"/>
  <c r="P1585"/>
  <c r="R1584"/>
  <c r="Q1584"/>
  <c r="P1584"/>
  <c r="R1582"/>
  <c r="Q1582"/>
  <c r="P1582"/>
  <c r="H1582"/>
  <c r="O1582" s="1"/>
  <c r="R1581"/>
  <c r="Q1581"/>
  <c r="P1581"/>
  <c r="R1580"/>
  <c r="Q1580"/>
  <c r="P1580"/>
  <c r="R1578"/>
  <c r="Q1578"/>
  <c r="P1578"/>
  <c r="H1578"/>
  <c r="O1578" s="1"/>
  <c r="R1577"/>
  <c r="Q1577"/>
  <c r="P1577"/>
  <c r="R1576"/>
  <c r="Q1576"/>
  <c r="P1576"/>
  <c r="R1575"/>
  <c r="Q1575"/>
  <c r="P1575"/>
  <c r="R1574"/>
  <c r="Q1574"/>
  <c r="P1574"/>
  <c r="R1573"/>
  <c r="Q1573"/>
  <c r="P1573"/>
  <c r="R1571"/>
  <c r="Q1571"/>
  <c r="P1571"/>
  <c r="H1571"/>
  <c r="O1571" s="1"/>
  <c r="R1570"/>
  <c r="Q1570"/>
  <c r="P1570"/>
  <c r="H1570"/>
  <c r="H1569" s="1"/>
  <c r="O1569" s="1"/>
  <c r="R1569"/>
  <c r="Q1569"/>
  <c r="P1569"/>
  <c r="R1567"/>
  <c r="Q1567"/>
  <c r="P1567"/>
  <c r="H1567"/>
  <c r="O1567" s="1"/>
  <c r="R1566"/>
  <c r="Q1566"/>
  <c r="P1566"/>
  <c r="R1565"/>
  <c r="Q1565"/>
  <c r="P1565"/>
  <c r="R1564"/>
  <c r="Q1564"/>
  <c r="P1564"/>
  <c r="R1563"/>
  <c r="Q1563"/>
  <c r="P1563"/>
  <c r="R1562"/>
  <c r="Q1562"/>
  <c r="P1562"/>
  <c r="R1560"/>
  <c r="Q1560"/>
  <c r="P1560"/>
  <c r="H1560"/>
  <c r="H1559" s="1"/>
  <c r="R1559"/>
  <c r="Q1559"/>
  <c r="P1559"/>
  <c r="R1558"/>
  <c r="Q1558"/>
  <c r="P1558"/>
  <c r="R1557"/>
  <c r="Q1557"/>
  <c r="P1557"/>
  <c r="R1556"/>
  <c r="Q1556"/>
  <c r="P1556"/>
  <c r="R1555"/>
  <c r="Q1555"/>
  <c r="P1555"/>
  <c r="R1554"/>
  <c r="Q1554"/>
  <c r="P1554"/>
  <c r="R1552"/>
  <c r="Q1552"/>
  <c r="P1552"/>
  <c r="H1552"/>
  <c r="O1552" s="1"/>
  <c r="R1551"/>
  <c r="Q1551"/>
  <c r="P1551"/>
  <c r="R1550"/>
  <c r="Q1550"/>
  <c r="P1550"/>
  <c r="R1549"/>
  <c r="Q1549"/>
  <c r="P1549"/>
  <c r="R1548"/>
  <c r="Q1548"/>
  <c r="P1548"/>
  <c r="R1546"/>
  <c r="Q1546"/>
  <c r="P1546"/>
  <c r="H1546"/>
  <c r="H1545" s="1"/>
  <c r="R1545"/>
  <c r="Q1545"/>
  <c r="P1545"/>
  <c r="R1542"/>
  <c r="Q1542"/>
  <c r="P1542"/>
  <c r="H1542"/>
  <c r="O1542" s="1"/>
  <c r="R1541"/>
  <c r="Q1541"/>
  <c r="P1541"/>
  <c r="R1540"/>
  <c r="Q1540"/>
  <c r="P1540"/>
  <c r="R1538"/>
  <c r="Q1538"/>
  <c r="P1538"/>
  <c r="H1538"/>
  <c r="O1538" s="1"/>
  <c r="R1537"/>
  <c r="Q1537"/>
  <c r="P1537"/>
  <c r="R1535"/>
  <c r="Q1535"/>
  <c r="P1535"/>
  <c r="H1535"/>
  <c r="H1534" s="1"/>
  <c r="O1534" s="1"/>
  <c r="R1534"/>
  <c r="Q1534"/>
  <c r="P1534"/>
  <c r="R1532"/>
  <c r="Q1532"/>
  <c r="P1532"/>
  <c r="H1532"/>
  <c r="O1532" s="1"/>
  <c r="R1531"/>
  <c r="Q1531"/>
  <c r="P1531"/>
  <c r="R1529"/>
  <c r="Q1529"/>
  <c r="P1529"/>
  <c r="H1529"/>
  <c r="O1529" s="1"/>
  <c r="R1528"/>
  <c r="Q1528"/>
  <c r="P1528"/>
  <c r="R1527"/>
  <c r="R1526"/>
  <c r="Q1526"/>
  <c r="P1526"/>
  <c r="H1526"/>
  <c r="O1526" s="1"/>
  <c r="R1525"/>
  <c r="Q1525"/>
  <c r="P1525"/>
  <c r="R1523"/>
  <c r="Q1523"/>
  <c r="P1523"/>
  <c r="H1523"/>
  <c r="H1522" s="1"/>
  <c r="O1522" s="1"/>
  <c r="R1522"/>
  <c r="Q1522"/>
  <c r="P1522"/>
  <c r="R1520"/>
  <c r="Q1520"/>
  <c r="P1520"/>
  <c r="H1520"/>
  <c r="O1520" s="1"/>
  <c r="R1519"/>
  <c r="Q1519"/>
  <c r="P1519"/>
  <c r="R1517"/>
  <c r="Q1517"/>
  <c r="P1517"/>
  <c r="H1517"/>
  <c r="H1516" s="1"/>
  <c r="R1516"/>
  <c r="Q1516"/>
  <c r="P1516"/>
  <c r="R1515"/>
  <c r="Q1515"/>
  <c r="P1515"/>
  <c r="R1514"/>
  <c r="Q1514"/>
  <c r="P1514"/>
  <c r="R1513"/>
  <c r="Q1513"/>
  <c r="P1513"/>
  <c r="R1511"/>
  <c r="Q1511"/>
  <c r="P1511"/>
  <c r="H1511"/>
  <c r="O1511" s="1"/>
  <c r="R1510"/>
  <c r="Q1510"/>
  <c r="P1510"/>
  <c r="R1509"/>
  <c r="Q1509"/>
  <c r="P1509"/>
  <c r="R1508"/>
  <c r="Q1508"/>
  <c r="P1508"/>
  <c r="R1507"/>
  <c r="Q1507"/>
  <c r="P1507"/>
  <c r="R1506"/>
  <c r="Q1506"/>
  <c r="P1506"/>
  <c r="R1504"/>
  <c r="Q1504"/>
  <c r="P1504"/>
  <c r="H1504"/>
  <c r="O1504" s="1"/>
  <c r="R1503"/>
  <c r="Q1503"/>
  <c r="P1503"/>
  <c r="R1502"/>
  <c r="Q1502"/>
  <c r="P1502"/>
  <c r="R1501"/>
  <c r="Q1501"/>
  <c r="P1501"/>
  <c r="R1499"/>
  <c r="Q1499"/>
  <c r="P1499"/>
  <c r="H1499"/>
  <c r="O1499" s="1"/>
  <c r="R1498"/>
  <c r="Q1498"/>
  <c r="P1498"/>
  <c r="R1496"/>
  <c r="Q1496"/>
  <c r="P1496"/>
  <c r="H1496"/>
  <c r="O1496" s="1"/>
  <c r="R1495"/>
  <c r="Q1495"/>
  <c r="P1495"/>
  <c r="R1493"/>
  <c r="Q1493"/>
  <c r="P1493"/>
  <c r="H1493"/>
  <c r="O1493" s="1"/>
  <c r="R1492"/>
  <c r="Q1492"/>
  <c r="P1492"/>
  <c r="R1491"/>
  <c r="Q1491"/>
  <c r="P1491"/>
  <c r="R1490"/>
  <c r="Q1490"/>
  <c r="P1490"/>
  <c r="R1489"/>
  <c r="Q1489"/>
  <c r="P1489"/>
  <c r="R1488"/>
  <c r="Q1488"/>
  <c r="P1488"/>
  <c r="R1485"/>
  <c r="Q1485"/>
  <c r="P1485"/>
  <c r="H1485"/>
  <c r="O1485" s="1"/>
  <c r="R1484"/>
  <c r="Q1484"/>
  <c r="P1484"/>
  <c r="R1483"/>
  <c r="Q1483"/>
  <c r="P1483"/>
  <c r="R1482"/>
  <c r="Q1482"/>
  <c r="P1482"/>
  <c r="R1481"/>
  <c r="Q1481"/>
  <c r="P1481"/>
  <c r="R1480"/>
  <c r="Q1480"/>
  <c r="P1480"/>
  <c r="R1479"/>
  <c r="Q1479"/>
  <c r="P1479"/>
  <c r="R1477"/>
  <c r="Q1477"/>
  <c r="P1477"/>
  <c r="H1477"/>
  <c r="H1476" s="1"/>
  <c r="R1476"/>
  <c r="Q1476"/>
  <c r="P1476"/>
  <c r="R1475"/>
  <c r="Q1475"/>
  <c r="P1475"/>
  <c r="R1474"/>
  <c r="Q1474"/>
  <c r="P1474"/>
  <c r="R1472"/>
  <c r="Q1472"/>
  <c r="P1472"/>
  <c r="H1472"/>
  <c r="H1471" s="1"/>
  <c r="R1471"/>
  <c r="Q1471"/>
  <c r="P1471"/>
  <c r="R1470"/>
  <c r="Q1470"/>
  <c r="P1470"/>
  <c r="R1469"/>
  <c r="Q1469"/>
  <c r="P1469"/>
  <c r="R1468"/>
  <c r="Q1468"/>
  <c r="P1468"/>
  <c r="R1467"/>
  <c r="Q1467"/>
  <c r="P1467"/>
  <c r="R1466"/>
  <c r="Q1466"/>
  <c r="P1466"/>
  <c r="R1465"/>
  <c r="Q1465"/>
  <c r="P1465"/>
  <c r="R1464"/>
  <c r="Q1464"/>
  <c r="P1464"/>
  <c r="O1464"/>
  <c r="R1462"/>
  <c r="Q1462"/>
  <c r="P1462"/>
  <c r="H1462"/>
  <c r="H1461" s="1"/>
  <c r="O1461" s="1"/>
  <c r="R1461"/>
  <c r="Q1461"/>
  <c r="P1461"/>
  <c r="R1459"/>
  <c r="Q1459"/>
  <c r="P1459"/>
  <c r="H1459"/>
  <c r="O1459" s="1"/>
  <c r="R1458"/>
  <c r="Q1458"/>
  <c r="P1458"/>
  <c r="R1457"/>
  <c r="Q1457"/>
  <c r="P1457"/>
  <c r="R1456"/>
  <c r="Q1456"/>
  <c r="P1456"/>
  <c r="R1455"/>
  <c r="Q1455"/>
  <c r="P1455"/>
  <c r="R1454"/>
  <c r="Q1454"/>
  <c r="P1454"/>
  <c r="R1453"/>
  <c r="Q1453"/>
  <c r="P1453"/>
  <c r="R1451"/>
  <c r="Q1451"/>
  <c r="P1451"/>
  <c r="H1451"/>
  <c r="O1451" s="1"/>
  <c r="R1450"/>
  <c r="Q1450"/>
  <c r="P1450"/>
  <c r="R1449"/>
  <c r="Q1449"/>
  <c r="P1449"/>
  <c r="R1448"/>
  <c r="Q1448"/>
  <c r="P1448"/>
  <c r="R1446"/>
  <c r="Q1446"/>
  <c r="P1446"/>
  <c r="H1446"/>
  <c r="O1446" s="1"/>
  <c r="R1445"/>
  <c r="Q1445"/>
  <c r="P1445"/>
  <c r="R1443"/>
  <c r="Q1443"/>
  <c r="P1443"/>
  <c r="H1443"/>
  <c r="O1443" s="1"/>
  <c r="R1442"/>
  <c r="Q1442"/>
  <c r="P1442"/>
  <c r="R1441"/>
  <c r="Q1441"/>
  <c r="P1441"/>
  <c r="R1440"/>
  <c r="Q1440"/>
  <c r="P1440"/>
  <c r="R1439"/>
  <c r="Q1439"/>
  <c r="P1439"/>
  <c r="R1438"/>
  <c r="Q1438"/>
  <c r="P1438"/>
  <c r="R1436"/>
  <c r="R1435"/>
  <c r="Q1435"/>
  <c r="P1435"/>
  <c r="H1435"/>
  <c r="O1435" s="1"/>
  <c r="R1434"/>
  <c r="Q1434"/>
  <c r="P1434"/>
  <c r="R1433"/>
  <c r="Q1433"/>
  <c r="P1433"/>
  <c r="R1432"/>
  <c r="Q1432"/>
  <c r="P1432"/>
  <c r="R1431"/>
  <c r="Q1431"/>
  <c r="P1431"/>
  <c r="R1430"/>
  <c r="Q1430"/>
  <c r="P1430"/>
  <c r="R1429"/>
  <c r="Q1429"/>
  <c r="P1429"/>
  <c r="R1427"/>
  <c r="Q1427"/>
  <c r="P1427"/>
  <c r="H1427"/>
  <c r="O1427" s="1"/>
  <c r="R1426"/>
  <c r="Q1426"/>
  <c r="P1426"/>
  <c r="R1424"/>
  <c r="Q1424"/>
  <c r="P1424"/>
  <c r="H1424"/>
  <c r="O1424" s="1"/>
  <c r="R1423"/>
  <c r="Q1423"/>
  <c r="P1423"/>
  <c r="R1422"/>
  <c r="Q1422"/>
  <c r="P1422"/>
  <c r="R1421"/>
  <c r="Q1421"/>
  <c r="P1421"/>
  <c r="R1420"/>
  <c r="Q1420"/>
  <c r="P1420"/>
  <c r="R1419"/>
  <c r="Q1419"/>
  <c r="P1419"/>
  <c r="R1418"/>
  <c r="Q1418"/>
  <c r="P1418"/>
  <c r="R1416"/>
  <c r="Q1416"/>
  <c r="P1416"/>
  <c r="H1416"/>
  <c r="O1416" s="1"/>
  <c r="R1415"/>
  <c r="Q1415"/>
  <c r="P1415"/>
  <c r="R1413"/>
  <c r="Q1413"/>
  <c r="P1413"/>
  <c r="H1413"/>
  <c r="H1412" s="1"/>
  <c r="R1412"/>
  <c r="Q1412"/>
  <c r="P1412"/>
  <c r="R1411"/>
  <c r="Q1411"/>
  <c r="P1411"/>
  <c r="R1410"/>
  <c r="Q1410"/>
  <c r="P1410"/>
  <c r="R1408"/>
  <c r="Q1408"/>
  <c r="P1408"/>
  <c r="H1408"/>
  <c r="H1407" s="1"/>
  <c r="O1407" s="1"/>
  <c r="R1407"/>
  <c r="Q1407"/>
  <c r="P1407"/>
  <c r="R1405"/>
  <c r="Q1405"/>
  <c r="P1405"/>
  <c r="H1405"/>
  <c r="O1405" s="1"/>
  <c r="R1404"/>
  <c r="Q1404"/>
  <c r="P1404"/>
  <c r="R1403"/>
  <c r="Q1403"/>
  <c r="P1403"/>
  <c r="R1402"/>
  <c r="Q1402"/>
  <c r="P1402"/>
  <c r="R1401"/>
  <c r="Q1401"/>
  <c r="P1401"/>
  <c r="R1400"/>
  <c r="Q1400"/>
  <c r="P1400"/>
  <c r="R1398"/>
  <c r="Q1398"/>
  <c r="P1398"/>
  <c r="H1398"/>
  <c r="H1397" s="1"/>
  <c r="R1397"/>
  <c r="Q1397"/>
  <c r="P1397"/>
  <c r="R1395"/>
  <c r="Q1395"/>
  <c r="P1395"/>
  <c r="H1395"/>
  <c r="O1395" s="1"/>
  <c r="R1391"/>
  <c r="Q1391"/>
  <c r="P1391"/>
  <c r="H1391"/>
  <c r="O1391" s="1"/>
  <c r="R1390"/>
  <c r="Q1390"/>
  <c r="P1390"/>
  <c r="R1387"/>
  <c r="Q1387"/>
  <c r="P1387"/>
  <c r="H1387"/>
  <c r="O1387" s="1"/>
  <c r="R1386"/>
  <c r="Q1386"/>
  <c r="P1386"/>
  <c r="R1383"/>
  <c r="Q1383"/>
  <c r="P1383"/>
  <c r="H1383"/>
  <c r="O1383" s="1"/>
  <c r="R1381"/>
  <c r="Q1381"/>
  <c r="P1381"/>
  <c r="H1381"/>
  <c r="O1381" s="1"/>
  <c r="R1378"/>
  <c r="Q1378"/>
  <c r="P1378"/>
  <c r="H1378"/>
  <c r="O1378" s="1"/>
  <c r="R1377"/>
  <c r="Q1377"/>
  <c r="P1377"/>
  <c r="R1376"/>
  <c r="Q1376"/>
  <c r="P1376"/>
  <c r="R1375"/>
  <c r="Q1375"/>
  <c r="P1375"/>
  <c r="R1374"/>
  <c r="Q1374"/>
  <c r="P1374"/>
  <c r="R1373"/>
  <c r="Q1373"/>
  <c r="P1373"/>
  <c r="R1372"/>
  <c r="Q1372"/>
  <c r="P1372"/>
  <c r="R1371"/>
  <c r="Q1371"/>
  <c r="P1371"/>
  <c r="O1371"/>
  <c r="R1369"/>
  <c r="Q1369"/>
  <c r="P1369"/>
  <c r="H1369"/>
  <c r="H1368" s="1"/>
  <c r="O1368" s="1"/>
  <c r="R1368"/>
  <c r="Q1368"/>
  <c r="P1368"/>
  <c r="R1366"/>
  <c r="Q1366"/>
  <c r="P1366"/>
  <c r="H1366"/>
  <c r="O1366" s="1"/>
  <c r="R1365"/>
  <c r="Q1365"/>
  <c r="P1365"/>
  <c r="R1364"/>
  <c r="Q1364"/>
  <c r="P1364"/>
  <c r="R1363"/>
  <c r="Q1363"/>
  <c r="P1363"/>
  <c r="R1362"/>
  <c r="Q1362"/>
  <c r="P1362"/>
  <c r="R1361"/>
  <c r="Q1361"/>
  <c r="P1361"/>
  <c r="R1360"/>
  <c r="Q1360"/>
  <c r="P1360"/>
  <c r="R1358"/>
  <c r="Q1358"/>
  <c r="P1358"/>
  <c r="H1358"/>
  <c r="O1358" s="1"/>
  <c r="R1357"/>
  <c r="Q1357"/>
  <c r="P1357"/>
  <c r="R1356"/>
  <c r="Q1356"/>
  <c r="P1356"/>
  <c r="R1355"/>
  <c r="Q1355"/>
  <c r="P1355"/>
  <c r="R1353"/>
  <c r="Q1353"/>
  <c r="P1353"/>
  <c r="H1353"/>
  <c r="O1353" s="1"/>
  <c r="R1352"/>
  <c r="Q1352"/>
  <c r="P1352"/>
  <c r="R1350"/>
  <c r="Q1350"/>
  <c r="P1350"/>
  <c r="H1350"/>
  <c r="O1350" s="1"/>
  <c r="R1349"/>
  <c r="Q1349"/>
  <c r="P1349"/>
  <c r="R1347"/>
  <c r="Q1347"/>
  <c r="P1347"/>
  <c r="H1347"/>
  <c r="O1347" s="1"/>
  <c r="R1346"/>
  <c r="Q1346"/>
  <c r="P1346"/>
  <c r="R1345"/>
  <c r="Q1345"/>
  <c r="P1345"/>
  <c r="R1344"/>
  <c r="Q1344"/>
  <c r="P1344"/>
  <c r="R1343"/>
  <c r="Q1343"/>
  <c r="P1343"/>
  <c r="R1342"/>
  <c r="Q1342"/>
  <c r="P1342"/>
  <c r="R1339"/>
  <c r="Q1339"/>
  <c r="P1339"/>
  <c r="H1339"/>
  <c r="O1339" s="1"/>
  <c r="R1338"/>
  <c r="Q1338"/>
  <c r="P1338"/>
  <c r="R1337"/>
  <c r="Q1337"/>
  <c r="P1337"/>
  <c r="R1336"/>
  <c r="Q1336"/>
  <c r="P1336"/>
  <c r="R1335"/>
  <c r="Q1335"/>
  <c r="P1335"/>
  <c r="R1334"/>
  <c r="Q1334"/>
  <c r="P1334"/>
  <c r="R1333"/>
  <c r="Q1333"/>
  <c r="P1333"/>
  <c r="R1331"/>
  <c r="Q1331"/>
  <c r="P1331"/>
  <c r="H1331"/>
  <c r="O1331" s="1"/>
  <c r="R1330"/>
  <c r="Q1330"/>
  <c r="P1330"/>
  <c r="R1328"/>
  <c r="Q1328"/>
  <c r="P1328"/>
  <c r="H1328"/>
  <c r="H1327" s="1"/>
  <c r="O1327" s="1"/>
  <c r="R1327"/>
  <c r="Q1327"/>
  <c r="P1327"/>
  <c r="R1326"/>
  <c r="Q1326"/>
  <c r="P1326"/>
  <c r="R1325"/>
  <c r="Q1325"/>
  <c r="P1325"/>
  <c r="R1324"/>
  <c r="Q1324"/>
  <c r="P1324"/>
  <c r="R1323"/>
  <c r="Q1323"/>
  <c r="P1323"/>
  <c r="R1322"/>
  <c r="Q1322"/>
  <c r="P1322"/>
  <c r="R1320"/>
  <c r="Q1320"/>
  <c r="P1320"/>
  <c r="H1320"/>
  <c r="H1319" s="1"/>
  <c r="H1318" s="1"/>
  <c r="R1319"/>
  <c r="Q1319"/>
  <c r="P1319"/>
  <c r="R1318"/>
  <c r="Q1318"/>
  <c r="P1318"/>
  <c r="R1317"/>
  <c r="Q1317"/>
  <c r="P1317"/>
  <c r="R1316"/>
  <c r="Q1316"/>
  <c r="P1316"/>
  <c r="R1315"/>
  <c r="Q1315"/>
  <c r="P1315"/>
  <c r="R1313"/>
  <c r="Q1313"/>
  <c r="P1313"/>
  <c r="H1313"/>
  <c r="O1313" s="1"/>
  <c r="E1313"/>
  <c r="D1313"/>
  <c r="C1313"/>
  <c r="R1312"/>
  <c r="Q1312"/>
  <c r="P1312"/>
  <c r="E1312"/>
  <c r="D1312"/>
  <c r="C1312"/>
  <c r="R1310"/>
  <c r="Q1310"/>
  <c r="P1310"/>
  <c r="H1310"/>
  <c r="O1310" s="1"/>
  <c r="R1306"/>
  <c r="Q1306"/>
  <c r="P1306"/>
  <c r="H1306"/>
  <c r="O1306" s="1"/>
  <c r="R1305"/>
  <c r="Q1305"/>
  <c r="P1305"/>
  <c r="R1302"/>
  <c r="Q1302"/>
  <c r="P1302"/>
  <c r="H1302"/>
  <c r="H1301" s="1"/>
  <c r="O1301" s="1"/>
  <c r="R1301"/>
  <c r="Q1301"/>
  <c r="P1301"/>
  <c r="R1298"/>
  <c r="Q1298"/>
  <c r="P1298"/>
  <c r="H1298"/>
  <c r="O1298" s="1"/>
  <c r="R1296"/>
  <c r="Q1296"/>
  <c r="P1296"/>
  <c r="H1296"/>
  <c r="O1296" s="1"/>
  <c r="R1293"/>
  <c r="Q1293"/>
  <c r="P1293"/>
  <c r="H1293"/>
  <c r="R1292"/>
  <c r="Q1292"/>
  <c r="P1292"/>
  <c r="R1291"/>
  <c r="Q1291"/>
  <c r="P1291"/>
  <c r="R1290"/>
  <c r="Q1290"/>
  <c r="P1290"/>
  <c r="R1289"/>
  <c r="Q1289"/>
  <c r="P1289"/>
  <c r="R1288"/>
  <c r="Q1288"/>
  <c r="P1288"/>
  <c r="R1287"/>
  <c r="Q1287"/>
  <c r="P1287"/>
  <c r="R1286"/>
  <c r="Q1286"/>
  <c r="P1286"/>
  <c r="O1286"/>
  <c r="R1284"/>
  <c r="Q1284"/>
  <c r="P1284"/>
  <c r="H1284"/>
  <c r="O1284" s="1"/>
  <c r="R1283"/>
  <c r="Q1283"/>
  <c r="P1283"/>
  <c r="R1281"/>
  <c r="Q1281"/>
  <c r="P1281"/>
  <c r="H1281"/>
  <c r="O1281" s="1"/>
  <c r="R1280"/>
  <c r="Q1280"/>
  <c r="P1280"/>
  <c r="R1279"/>
  <c r="Q1279"/>
  <c r="P1279"/>
  <c r="R1278"/>
  <c r="Q1278"/>
  <c r="P1278"/>
  <c r="R1277"/>
  <c r="Q1277"/>
  <c r="P1277"/>
  <c r="R1276"/>
  <c r="Q1276"/>
  <c r="P1276"/>
  <c r="R1275"/>
  <c r="Q1275"/>
  <c r="P1275"/>
  <c r="R1273"/>
  <c r="Q1273"/>
  <c r="P1273"/>
  <c r="H1273"/>
  <c r="H1272" s="1"/>
  <c r="R1272"/>
  <c r="Q1272"/>
  <c r="P1272"/>
  <c r="R1271"/>
  <c r="Q1271"/>
  <c r="P1271"/>
  <c r="R1270"/>
  <c r="Q1270"/>
  <c r="P1270"/>
  <c r="R1268"/>
  <c r="Q1268"/>
  <c r="P1268"/>
  <c r="H1268"/>
  <c r="H1267" s="1"/>
  <c r="O1267" s="1"/>
  <c r="R1267"/>
  <c r="Q1267"/>
  <c r="P1267"/>
  <c r="R1265"/>
  <c r="Q1265"/>
  <c r="P1265"/>
  <c r="H1265"/>
  <c r="O1265" s="1"/>
  <c r="R1264"/>
  <c r="Q1264"/>
  <c r="P1264"/>
  <c r="R1262"/>
  <c r="Q1262"/>
  <c r="P1262"/>
  <c r="H1262"/>
  <c r="H1261" s="1"/>
  <c r="R1261"/>
  <c r="Q1261"/>
  <c r="P1261"/>
  <c r="R1260"/>
  <c r="Q1260"/>
  <c r="P1260"/>
  <c r="R1259"/>
  <c r="Q1259"/>
  <c r="P1259"/>
  <c r="R1258"/>
  <c r="Q1258"/>
  <c r="P1258"/>
  <c r="R1257"/>
  <c r="Q1257"/>
  <c r="P1257"/>
  <c r="R1254"/>
  <c r="Q1254"/>
  <c r="P1254"/>
  <c r="H1254"/>
  <c r="O1254" s="1"/>
  <c r="R1253"/>
  <c r="Q1253"/>
  <c r="P1253"/>
  <c r="R1252"/>
  <c r="Q1252"/>
  <c r="P1252"/>
  <c r="R1251"/>
  <c r="Q1251"/>
  <c r="P1251"/>
  <c r="R1250"/>
  <c r="Q1250"/>
  <c r="P1250"/>
  <c r="R1249"/>
  <c r="Q1249"/>
  <c r="P1249"/>
  <c r="R1248"/>
  <c r="Q1248"/>
  <c r="P1248"/>
  <c r="R1246"/>
  <c r="Q1246"/>
  <c r="P1246"/>
  <c r="H1246"/>
  <c r="O1246" s="1"/>
  <c r="R1245"/>
  <c r="Q1245"/>
  <c r="P1245"/>
  <c r="R1243"/>
  <c r="Q1243"/>
  <c r="P1243"/>
  <c r="H1243"/>
  <c r="O1243" s="1"/>
  <c r="R1242"/>
  <c r="Q1242"/>
  <c r="P1242"/>
  <c r="R1241"/>
  <c r="Q1241"/>
  <c r="P1241"/>
  <c r="R1240"/>
  <c r="Q1240"/>
  <c r="P1240"/>
  <c r="R1239"/>
  <c r="Q1239"/>
  <c r="P1239"/>
  <c r="R1238"/>
  <c r="Q1238"/>
  <c r="P1238"/>
  <c r="R1237"/>
  <c r="Q1237"/>
  <c r="P1237"/>
  <c r="R1235"/>
  <c r="Q1235"/>
  <c r="P1235"/>
  <c r="H1235"/>
  <c r="O1235" s="1"/>
  <c r="R1234"/>
  <c r="Q1234"/>
  <c r="P1234"/>
  <c r="R1233"/>
  <c r="Q1233"/>
  <c r="P1233"/>
  <c r="R1232"/>
  <c r="Q1232"/>
  <c r="P1232"/>
  <c r="R1230"/>
  <c r="Q1230"/>
  <c r="P1230"/>
  <c r="H1230"/>
  <c r="O1230" s="1"/>
  <c r="R1229"/>
  <c r="Q1229"/>
  <c r="P1229"/>
  <c r="R1227"/>
  <c r="Q1227"/>
  <c r="P1227"/>
  <c r="H1227"/>
  <c r="H1226" s="1"/>
  <c r="R1226"/>
  <c r="Q1226"/>
  <c r="P1226"/>
  <c r="R1225"/>
  <c r="Q1225"/>
  <c r="P1225"/>
  <c r="R1224"/>
  <c r="Q1224"/>
  <c r="P1224"/>
  <c r="R1223"/>
  <c r="Q1223"/>
  <c r="P1223"/>
  <c r="R1222"/>
  <c r="Q1222"/>
  <c r="P1222"/>
  <c r="R1220"/>
  <c r="Q1220"/>
  <c r="P1220"/>
  <c r="H1220"/>
  <c r="O1220" s="1"/>
  <c r="R1219"/>
  <c r="Q1219"/>
  <c r="P1219"/>
  <c r="R1217"/>
  <c r="Q1217"/>
  <c r="P1217"/>
  <c r="H1217"/>
  <c r="O1217" s="1"/>
  <c r="R1213"/>
  <c r="Q1213"/>
  <c r="P1213"/>
  <c r="H1213"/>
  <c r="O1213" s="1"/>
  <c r="R1212"/>
  <c r="Q1212"/>
  <c r="P1212"/>
  <c r="R1209"/>
  <c r="Q1209"/>
  <c r="P1209"/>
  <c r="H1209"/>
  <c r="O1209" s="1"/>
  <c r="R1208"/>
  <c r="Q1208"/>
  <c r="P1208"/>
  <c r="R1205"/>
  <c r="Q1205"/>
  <c r="P1205"/>
  <c r="H1205"/>
  <c r="O1205" s="1"/>
  <c r="R1203"/>
  <c r="Q1203"/>
  <c r="P1203"/>
  <c r="H1203"/>
  <c r="O1203" s="1"/>
  <c r="R1200"/>
  <c r="Q1200"/>
  <c r="P1200"/>
  <c r="H1200"/>
  <c r="O1200" s="1"/>
  <c r="R1199"/>
  <c r="Q1199"/>
  <c r="P1199"/>
  <c r="R1198"/>
  <c r="Q1198"/>
  <c r="P1198"/>
  <c r="R1197"/>
  <c r="Q1197"/>
  <c r="P1197"/>
  <c r="R1196"/>
  <c r="Q1196"/>
  <c r="P1196"/>
  <c r="R1195"/>
  <c r="Q1195"/>
  <c r="P1195"/>
  <c r="R1194"/>
  <c r="Q1194"/>
  <c r="P1194"/>
  <c r="R1193"/>
  <c r="Q1193"/>
  <c r="P1193"/>
  <c r="O1193"/>
  <c r="R1191"/>
  <c r="Q1191"/>
  <c r="P1191"/>
  <c r="H1191"/>
  <c r="O1191" s="1"/>
  <c r="R1188"/>
  <c r="Q1188"/>
  <c r="P1188"/>
  <c r="H1188"/>
  <c r="O1188" s="1"/>
  <c r="R1187"/>
  <c r="Q1187"/>
  <c r="P1187"/>
  <c r="R1184"/>
  <c r="Q1184"/>
  <c r="P1184"/>
  <c r="H1184"/>
  <c r="O1184" s="1"/>
  <c r="R1183"/>
  <c r="Q1183"/>
  <c r="P1183"/>
  <c r="H1183"/>
  <c r="O1183" s="1"/>
  <c r="R1180"/>
  <c r="Q1180"/>
  <c r="P1180"/>
  <c r="H1180"/>
  <c r="O1180" s="1"/>
  <c r="R1178"/>
  <c r="Q1178"/>
  <c r="P1178"/>
  <c r="H1178"/>
  <c r="O1178" s="1"/>
  <c r="R1175"/>
  <c r="Q1175"/>
  <c r="P1175"/>
  <c r="H1175"/>
  <c r="O1175" s="1"/>
  <c r="R1174"/>
  <c r="Q1174"/>
  <c r="P1174"/>
  <c r="R1173"/>
  <c r="Q1173"/>
  <c r="P1173"/>
  <c r="R1172"/>
  <c r="Q1172"/>
  <c r="P1172"/>
  <c r="R1171"/>
  <c r="Q1171"/>
  <c r="P1171"/>
  <c r="R1169"/>
  <c r="Q1169"/>
  <c r="P1169"/>
  <c r="H1169"/>
  <c r="O1169" s="1"/>
  <c r="R1168"/>
  <c r="Q1168"/>
  <c r="P1168"/>
  <c r="R1167"/>
  <c r="Q1167"/>
  <c r="P1167"/>
  <c r="R1166"/>
  <c r="Q1166"/>
  <c r="P1166"/>
  <c r="R1165"/>
  <c r="Q1165"/>
  <c r="P1165"/>
  <c r="R1164"/>
  <c r="Q1164"/>
  <c r="P1164"/>
  <c r="R1162"/>
  <c r="Q1162"/>
  <c r="P1162"/>
  <c r="H1162"/>
  <c r="H1161" s="1"/>
  <c r="R1161"/>
  <c r="Q1161"/>
  <c r="P1161"/>
  <c r="R1160"/>
  <c r="Q1160"/>
  <c r="P1160"/>
  <c r="R1158"/>
  <c r="Q1158"/>
  <c r="P1158"/>
  <c r="H1158"/>
  <c r="O1158" s="1"/>
  <c r="R1157"/>
  <c r="Q1157"/>
  <c r="P1157"/>
  <c r="R1156"/>
  <c r="Q1156"/>
  <c r="P1156"/>
  <c r="R1154"/>
  <c r="Q1154"/>
  <c r="P1154"/>
  <c r="H1154"/>
  <c r="O1154" s="1"/>
  <c r="R1152"/>
  <c r="Q1152"/>
  <c r="P1152"/>
  <c r="H1152"/>
  <c r="O1152" s="1"/>
  <c r="R1151"/>
  <c r="Q1151"/>
  <c r="P1151"/>
  <c r="R1150"/>
  <c r="Q1150"/>
  <c r="P1150"/>
  <c r="R1149"/>
  <c r="Q1149"/>
  <c r="P1149"/>
  <c r="R1147"/>
  <c r="Q1147"/>
  <c r="P1147"/>
  <c r="H1147"/>
  <c r="O1147" s="1"/>
  <c r="R1146"/>
  <c r="Q1146"/>
  <c r="P1146"/>
  <c r="H1146"/>
  <c r="H1145" s="1"/>
  <c r="R1145"/>
  <c r="Q1145"/>
  <c r="P1145"/>
  <c r="R1144"/>
  <c r="Q1144"/>
  <c r="P1144"/>
  <c r="R1143"/>
  <c r="Q1143"/>
  <c r="P1143"/>
  <c r="R1142"/>
  <c r="Q1142"/>
  <c r="P1142"/>
  <c r="R1140"/>
  <c r="Q1140"/>
  <c r="P1140"/>
  <c r="H1140"/>
  <c r="O1140" s="1"/>
  <c r="R1139"/>
  <c r="Q1139"/>
  <c r="P1139"/>
  <c r="R1138"/>
  <c r="Q1138"/>
  <c r="P1138"/>
  <c r="R1137"/>
  <c r="Q1137"/>
  <c r="P1137"/>
  <c r="R1136"/>
  <c r="Q1136"/>
  <c r="P1136"/>
  <c r="R1135"/>
  <c r="Q1135"/>
  <c r="P1135"/>
  <c r="R1134"/>
  <c r="Q1134"/>
  <c r="P1134"/>
  <c r="R1132"/>
  <c r="Q1132"/>
  <c r="P1132"/>
  <c r="H1132"/>
  <c r="H1131" s="1"/>
  <c r="R1131"/>
  <c r="Q1131"/>
  <c r="P1131"/>
  <c r="R1130"/>
  <c r="Q1130"/>
  <c r="P1130"/>
  <c r="R1129"/>
  <c r="Q1129"/>
  <c r="P1129"/>
  <c r="R1128"/>
  <c r="Q1128"/>
  <c r="P1128"/>
  <c r="R1126"/>
  <c r="Q1126"/>
  <c r="P1126"/>
  <c r="H1126"/>
  <c r="O1126" s="1"/>
  <c r="R1125"/>
  <c r="Q1125"/>
  <c r="P1125"/>
  <c r="R1124"/>
  <c r="Q1124"/>
  <c r="P1124"/>
  <c r="R1123"/>
  <c r="Q1123"/>
  <c r="P1123"/>
  <c r="R1122"/>
  <c r="Q1122"/>
  <c r="P1122"/>
  <c r="R1121"/>
  <c r="Q1121"/>
  <c r="P1121"/>
  <c r="R1120"/>
  <c r="Q1120"/>
  <c r="P1120"/>
  <c r="R1119"/>
  <c r="Q1119"/>
  <c r="P1119"/>
  <c r="R1118"/>
  <c r="Q1118"/>
  <c r="P1118"/>
  <c r="O1118"/>
  <c r="R1115"/>
  <c r="Q1115"/>
  <c r="P1115"/>
  <c r="H1115"/>
  <c r="O1115" s="1"/>
  <c r="R1113"/>
  <c r="Q1113"/>
  <c r="P1113"/>
  <c r="H1113"/>
  <c r="O1113" s="1"/>
  <c r="R1109"/>
  <c r="Q1109"/>
  <c r="P1109"/>
  <c r="H1109"/>
  <c r="O1109" s="1"/>
  <c r="R1108"/>
  <c r="Q1108"/>
  <c r="P1108"/>
  <c r="R1106"/>
  <c r="Q1106"/>
  <c r="P1106"/>
  <c r="H1106"/>
  <c r="O1106" s="1"/>
  <c r="R1102"/>
  <c r="Q1102"/>
  <c r="P1102"/>
  <c r="H1102"/>
  <c r="O1102" s="1"/>
  <c r="R1101"/>
  <c r="Q1101"/>
  <c r="P1101"/>
  <c r="R1098"/>
  <c r="Q1098"/>
  <c r="P1098"/>
  <c r="H1098"/>
  <c r="O1098" s="1"/>
  <c r="R1097"/>
  <c r="Q1097"/>
  <c r="P1097"/>
  <c r="R1095"/>
  <c r="Q1095"/>
  <c r="P1095"/>
  <c r="H1095"/>
  <c r="O1095" s="1"/>
  <c r="R1093"/>
  <c r="Q1093"/>
  <c r="P1093"/>
  <c r="H1093"/>
  <c r="O1093" s="1"/>
  <c r="R1090"/>
  <c r="Q1090"/>
  <c r="P1090"/>
  <c r="H1090"/>
  <c r="O1090" s="1"/>
  <c r="R1089"/>
  <c r="Q1089"/>
  <c r="P1089"/>
  <c r="R1088"/>
  <c r="Q1088"/>
  <c r="P1088"/>
  <c r="R1087"/>
  <c r="Q1087"/>
  <c r="P1087"/>
  <c r="R1085"/>
  <c r="Q1085"/>
  <c r="P1085"/>
  <c r="H1085"/>
  <c r="O1085" s="1"/>
  <c r="R1084"/>
  <c r="Q1084"/>
  <c r="P1084"/>
  <c r="H1084"/>
  <c r="O1084" s="1"/>
  <c r="R1081"/>
  <c r="Q1081"/>
  <c r="P1081"/>
  <c r="H1081"/>
  <c r="O1081" s="1"/>
  <c r="R1079"/>
  <c r="Q1079"/>
  <c r="P1079"/>
  <c r="H1079"/>
  <c r="O1079" s="1"/>
  <c r="R1078"/>
  <c r="Q1078"/>
  <c r="P1078"/>
  <c r="R1077"/>
  <c r="Q1077"/>
  <c r="P1077"/>
  <c r="R1076"/>
  <c r="Q1076"/>
  <c r="P1076"/>
  <c r="R1074"/>
  <c r="Q1074"/>
  <c r="P1074"/>
  <c r="H1074"/>
  <c r="O1074" s="1"/>
  <c r="R1073"/>
  <c r="Q1073"/>
  <c r="P1073"/>
  <c r="R1072"/>
  <c r="Q1072"/>
  <c r="P1072"/>
  <c r="R1071"/>
  <c r="Q1071"/>
  <c r="P1071"/>
  <c r="R1068"/>
  <c r="Q1068"/>
  <c r="P1068"/>
  <c r="H1068"/>
  <c r="O1068" s="1"/>
  <c r="R1067"/>
  <c r="Q1067"/>
  <c r="P1067"/>
  <c r="H1067"/>
  <c r="O1067" s="1"/>
  <c r="R1066"/>
  <c r="Q1066"/>
  <c r="P1066"/>
  <c r="R1065"/>
  <c r="Q1065"/>
  <c r="P1065"/>
  <c r="R1064"/>
  <c r="Q1064"/>
  <c r="P1064"/>
  <c r="R1063"/>
  <c r="Q1063"/>
  <c r="P1063"/>
  <c r="R1061"/>
  <c r="Q1061"/>
  <c r="P1061"/>
  <c r="H1061"/>
  <c r="H1060" s="1"/>
  <c r="R1060"/>
  <c r="Q1060"/>
  <c r="P1060"/>
  <c r="R1058"/>
  <c r="Q1058"/>
  <c r="P1058"/>
  <c r="H1058"/>
  <c r="O1058" s="1"/>
  <c r="R1057"/>
  <c r="Q1057"/>
  <c r="P1057"/>
  <c r="R1056"/>
  <c r="Q1056"/>
  <c r="P1056"/>
  <c r="R1055"/>
  <c r="Q1055"/>
  <c r="P1055"/>
  <c r="R1054"/>
  <c r="Q1054"/>
  <c r="P1054"/>
  <c r="R1053"/>
  <c r="Q1053"/>
  <c r="P1053"/>
  <c r="R1051"/>
  <c r="Q1051"/>
  <c r="P1051"/>
  <c r="H1051"/>
  <c r="H1050" s="1"/>
  <c r="R1050"/>
  <c r="Q1050"/>
  <c r="P1050"/>
  <c r="R1049"/>
  <c r="Q1049"/>
  <c r="P1049"/>
  <c r="R1048"/>
  <c r="Q1048"/>
  <c r="P1048"/>
  <c r="R1046"/>
  <c r="Q1046"/>
  <c r="P1046"/>
  <c r="H1046"/>
  <c r="H1045" s="1"/>
  <c r="R1045"/>
  <c r="Q1045"/>
  <c r="P1045"/>
  <c r="R1044"/>
  <c r="Q1044"/>
  <c r="P1044"/>
  <c r="R1042"/>
  <c r="Q1042"/>
  <c r="P1042"/>
  <c r="H1042"/>
  <c r="O1042" s="1"/>
  <c r="R1041"/>
  <c r="Q1041"/>
  <c r="P1041"/>
  <c r="R1040"/>
  <c r="Q1040"/>
  <c r="P1040"/>
  <c r="R1038"/>
  <c r="Q1038"/>
  <c r="P1038"/>
  <c r="H1038"/>
  <c r="O1038" s="1"/>
  <c r="R1037"/>
  <c r="Q1037"/>
  <c r="P1037"/>
  <c r="R1036"/>
  <c r="Q1036"/>
  <c r="P1036"/>
  <c r="R1034"/>
  <c r="Q1034"/>
  <c r="P1034"/>
  <c r="H1034"/>
  <c r="O1034" s="1"/>
  <c r="R1033"/>
  <c r="Q1033"/>
  <c r="P1033"/>
  <c r="R1031"/>
  <c r="Q1031"/>
  <c r="P1031"/>
  <c r="H1031"/>
  <c r="O1031" s="1"/>
  <c r="R1030"/>
  <c r="Q1030"/>
  <c r="P1030"/>
  <c r="H1030"/>
  <c r="O1030" s="1"/>
  <c r="R1028"/>
  <c r="Q1028"/>
  <c r="P1028"/>
  <c r="H1028"/>
  <c r="O1028" s="1"/>
  <c r="R1027"/>
  <c r="Q1027"/>
  <c r="P1027"/>
  <c r="R1025"/>
  <c r="Q1025"/>
  <c r="P1025"/>
  <c r="H1025"/>
  <c r="O1025" s="1"/>
  <c r="R1024"/>
  <c r="Q1024"/>
  <c r="P1024"/>
  <c r="R1022"/>
  <c r="Q1022"/>
  <c r="P1022"/>
  <c r="H1022"/>
  <c r="O1022" s="1"/>
  <c r="R1021"/>
  <c r="Q1021"/>
  <c r="P1021"/>
  <c r="R1019"/>
  <c r="Q1019"/>
  <c r="P1019"/>
  <c r="H1019"/>
  <c r="O1019" s="1"/>
  <c r="R1018"/>
  <c r="Q1018"/>
  <c r="P1018"/>
  <c r="R1017"/>
  <c r="R1016"/>
  <c r="Q1016"/>
  <c r="P1016"/>
  <c r="H1016"/>
  <c r="O1016" s="1"/>
  <c r="R1015"/>
  <c r="Q1015"/>
  <c r="P1015"/>
  <c r="R1014"/>
  <c r="R1013"/>
  <c r="Q1013"/>
  <c r="P1013"/>
  <c r="H1013"/>
  <c r="O1013" s="1"/>
  <c r="R1012"/>
  <c r="Q1012"/>
  <c r="P1012"/>
  <c r="R1011"/>
  <c r="R1010"/>
  <c r="Q1010"/>
  <c r="P1010"/>
  <c r="H1010"/>
  <c r="O1010" s="1"/>
  <c r="R1009"/>
  <c r="Q1009"/>
  <c r="P1009"/>
  <c r="H1009"/>
  <c r="O1009" s="1"/>
  <c r="R1007"/>
  <c r="Q1007"/>
  <c r="P1007"/>
  <c r="H1007"/>
  <c r="O1007" s="1"/>
  <c r="R1006"/>
  <c r="Q1006"/>
  <c r="P1006"/>
  <c r="H1006"/>
  <c r="O1006" s="1"/>
  <c r="R1005"/>
  <c r="R1004"/>
  <c r="Q1004"/>
  <c r="P1004"/>
  <c r="H1004"/>
  <c r="O1004" s="1"/>
  <c r="R1003"/>
  <c r="Q1003"/>
  <c r="P1003"/>
  <c r="R1001"/>
  <c r="Q1001"/>
  <c r="P1001"/>
  <c r="H1001"/>
  <c r="O1001" s="1"/>
  <c r="R1000"/>
  <c r="Q1000"/>
  <c r="P1000"/>
  <c r="H1000"/>
  <c r="O1000" s="1"/>
  <c r="R999"/>
  <c r="Q999"/>
  <c r="P999"/>
  <c r="R998"/>
  <c r="Q998"/>
  <c r="P998"/>
  <c r="R997"/>
  <c r="R996"/>
  <c r="Q996"/>
  <c r="P996"/>
  <c r="H996"/>
  <c r="O996" s="1"/>
  <c r="R995"/>
  <c r="R994"/>
  <c r="Q994"/>
  <c r="P994"/>
  <c r="H994"/>
  <c r="O994" s="1"/>
  <c r="R993"/>
  <c r="Q993"/>
  <c r="P993"/>
  <c r="R992"/>
  <c r="R991"/>
  <c r="Q991"/>
  <c r="P991"/>
  <c r="H991"/>
  <c r="O991" s="1"/>
  <c r="R990"/>
  <c r="R989"/>
  <c r="Q989"/>
  <c r="P989"/>
  <c r="H989"/>
  <c r="O989" s="1"/>
  <c r="R988"/>
  <c r="Q988"/>
  <c r="P988"/>
  <c r="R987"/>
  <c r="R986"/>
  <c r="Q986"/>
  <c r="P986"/>
  <c r="H986"/>
  <c r="R985"/>
  <c r="R984"/>
  <c r="Q984"/>
  <c r="P984"/>
  <c r="H984"/>
  <c r="O984" s="1"/>
  <c r="R983"/>
  <c r="Q983"/>
  <c r="P983"/>
  <c r="R982"/>
  <c r="R981"/>
  <c r="Q981"/>
  <c r="P981"/>
  <c r="H981"/>
  <c r="O981" s="1"/>
  <c r="R980"/>
  <c r="R979"/>
  <c r="Q979"/>
  <c r="P979"/>
  <c r="H979"/>
  <c r="O979" s="1"/>
  <c r="R978"/>
  <c r="Q978"/>
  <c r="P978"/>
  <c r="R977"/>
  <c r="Q977"/>
  <c r="P977"/>
  <c r="R976"/>
  <c r="R975"/>
  <c r="Q975"/>
  <c r="P975"/>
  <c r="H975"/>
  <c r="O975" s="1"/>
  <c r="R974"/>
  <c r="R973"/>
  <c r="Q973"/>
  <c r="P973"/>
  <c r="H973"/>
  <c r="O973" s="1"/>
  <c r="R972"/>
  <c r="Q972"/>
  <c r="P972"/>
  <c r="R971"/>
  <c r="R970"/>
  <c r="Q970"/>
  <c r="P970"/>
  <c r="H970"/>
  <c r="O970" s="1"/>
  <c r="R969"/>
  <c r="R968"/>
  <c r="Q968"/>
  <c r="P968"/>
  <c r="H968"/>
  <c r="O968" s="1"/>
  <c r="R967"/>
  <c r="Q967"/>
  <c r="P967"/>
  <c r="R966"/>
  <c r="R965"/>
  <c r="Q965"/>
  <c r="P965"/>
  <c r="H965"/>
  <c r="R964"/>
  <c r="R963"/>
  <c r="Q963"/>
  <c r="P963"/>
  <c r="H963"/>
  <c r="O963" s="1"/>
  <c r="R962"/>
  <c r="Q962"/>
  <c r="P962"/>
  <c r="R961"/>
  <c r="R960"/>
  <c r="Q960"/>
  <c r="P960"/>
  <c r="H960"/>
  <c r="O960" s="1"/>
  <c r="R959"/>
  <c r="R958"/>
  <c r="Q958"/>
  <c r="P958"/>
  <c r="H958"/>
  <c r="O958" s="1"/>
  <c r="R957"/>
  <c r="Q957"/>
  <c r="P957"/>
  <c r="R956"/>
  <c r="R955"/>
  <c r="Q955"/>
  <c r="P955"/>
  <c r="H955"/>
  <c r="R954"/>
  <c r="R953"/>
  <c r="Q953"/>
  <c r="P953"/>
  <c r="H953"/>
  <c r="O953" s="1"/>
  <c r="R952"/>
  <c r="Q952"/>
  <c r="P952"/>
  <c r="R951"/>
  <c r="R950"/>
  <c r="Q950"/>
  <c r="P950"/>
  <c r="H950"/>
  <c r="O950" s="1"/>
  <c r="R949"/>
  <c r="R948"/>
  <c r="Q948"/>
  <c r="P948"/>
  <c r="H948"/>
  <c r="R947"/>
  <c r="Q947"/>
  <c r="P947"/>
  <c r="R946"/>
  <c r="R945"/>
  <c r="Q945"/>
  <c r="P945"/>
  <c r="H945"/>
  <c r="O945" s="1"/>
  <c r="R944"/>
  <c r="R943"/>
  <c r="Q943"/>
  <c r="P943"/>
  <c r="H943"/>
  <c r="O943" s="1"/>
  <c r="R942"/>
  <c r="Q942"/>
  <c r="P942"/>
  <c r="R941"/>
  <c r="R940"/>
  <c r="Q940"/>
  <c r="P940"/>
  <c r="H940"/>
  <c r="H939" s="1"/>
  <c r="R939"/>
  <c r="Q939"/>
  <c r="P939"/>
  <c r="R937"/>
  <c r="Q937"/>
  <c r="P937"/>
  <c r="H937"/>
  <c r="O937" s="1"/>
  <c r="R936"/>
  <c r="R935"/>
  <c r="Q935"/>
  <c r="P935"/>
  <c r="H935"/>
  <c r="O935" s="1"/>
  <c r="R934"/>
  <c r="Q934"/>
  <c r="P934"/>
  <c r="R933"/>
  <c r="R932"/>
  <c r="Q932"/>
  <c r="P932"/>
  <c r="H932"/>
  <c r="R931"/>
  <c r="R930"/>
  <c r="Q930"/>
  <c r="P930"/>
  <c r="H930"/>
  <c r="O930" s="1"/>
  <c r="R929"/>
  <c r="Q929"/>
  <c r="P929"/>
  <c r="R928"/>
  <c r="R927"/>
  <c r="Q927"/>
  <c r="P927"/>
  <c r="H927"/>
  <c r="O927" s="1"/>
  <c r="R926"/>
  <c r="R925"/>
  <c r="Q925"/>
  <c r="P925"/>
  <c r="H925"/>
  <c r="O925" s="1"/>
  <c r="R924"/>
  <c r="Q924"/>
  <c r="P924"/>
  <c r="R923"/>
  <c r="Q923"/>
  <c r="P923"/>
  <c r="R922"/>
  <c r="Q922"/>
  <c r="P922"/>
  <c r="R921"/>
  <c r="Q921"/>
  <c r="P921"/>
  <c r="R920"/>
  <c r="Q920"/>
  <c r="P920"/>
  <c r="R919"/>
  <c r="Q919"/>
  <c r="P919"/>
  <c r="R918"/>
  <c r="R917"/>
  <c r="Q917"/>
  <c r="P917"/>
  <c r="H917"/>
  <c r="O917" s="1"/>
  <c r="R916"/>
  <c r="Q916"/>
  <c r="P916"/>
  <c r="R915"/>
  <c r="Q915"/>
  <c r="P915"/>
  <c r="R914"/>
  <c r="Q914"/>
  <c r="P914"/>
  <c r="R913"/>
  <c r="Q913"/>
  <c r="P913"/>
  <c r="R912"/>
  <c r="Q912"/>
  <c r="P912"/>
  <c r="R911"/>
  <c r="Q911"/>
  <c r="P911"/>
  <c r="R910"/>
  <c r="R909"/>
  <c r="Q909"/>
  <c r="P909"/>
  <c r="H909"/>
  <c r="O909" s="1"/>
  <c r="R908"/>
  <c r="Q908"/>
  <c r="P908"/>
  <c r="R907"/>
  <c r="Q907"/>
  <c r="P907"/>
  <c r="R906"/>
  <c r="Q906"/>
  <c r="P906"/>
  <c r="R905"/>
  <c r="Q905"/>
  <c r="P905"/>
  <c r="R904"/>
  <c r="Q904"/>
  <c r="P904"/>
  <c r="R903"/>
  <c r="Q903"/>
  <c r="P903"/>
  <c r="R902"/>
  <c r="Q902"/>
  <c r="P902"/>
  <c r="R901"/>
  <c r="Q901"/>
  <c r="P901"/>
  <c r="O901"/>
  <c r="R899"/>
  <c r="Q899"/>
  <c r="P899"/>
  <c r="H899"/>
  <c r="H898" s="1"/>
  <c r="R898"/>
  <c r="Q898"/>
  <c r="P898"/>
  <c r="R897"/>
  <c r="Q897"/>
  <c r="P897"/>
  <c r="R894"/>
  <c r="Q894"/>
  <c r="P894"/>
  <c r="H894"/>
  <c r="O894" s="1"/>
  <c r="R893"/>
  <c r="Q893"/>
  <c r="P893"/>
  <c r="R889"/>
  <c r="Q889"/>
  <c r="P889"/>
  <c r="H889"/>
  <c r="O889" s="1"/>
  <c r="R887"/>
  <c r="Q887"/>
  <c r="P887"/>
  <c r="H887"/>
  <c r="O887" s="1"/>
  <c r="R884"/>
  <c r="Q884"/>
  <c r="P884"/>
  <c r="O884"/>
  <c r="H884"/>
  <c r="R883"/>
  <c r="Q883"/>
  <c r="P883"/>
  <c r="R882"/>
  <c r="Q882"/>
  <c r="P882"/>
  <c r="R881"/>
  <c r="Q881"/>
  <c r="P881"/>
  <c r="R880"/>
  <c r="Q880"/>
  <c r="P880"/>
  <c r="R878"/>
  <c r="Q878"/>
  <c r="P878"/>
  <c r="H878"/>
  <c r="H877" s="1"/>
  <c r="R877"/>
  <c r="Q877"/>
  <c r="P877"/>
  <c r="R876"/>
  <c r="Q876"/>
  <c r="P876"/>
  <c r="R875"/>
  <c r="Q875"/>
  <c r="P875"/>
  <c r="R874"/>
  <c r="Q874"/>
  <c r="P874"/>
  <c r="R872"/>
  <c r="Q872"/>
  <c r="P872"/>
  <c r="H872"/>
  <c r="O872" s="1"/>
  <c r="R871"/>
  <c r="Q871"/>
  <c r="P871"/>
  <c r="H871"/>
  <c r="O871" s="1"/>
  <c r="R870"/>
  <c r="Q870"/>
  <c r="P870"/>
  <c r="R869"/>
  <c r="Q869"/>
  <c r="P869"/>
  <c r="R868"/>
  <c r="Q868"/>
  <c r="P868"/>
  <c r="R866"/>
  <c r="Q866"/>
  <c r="P866"/>
  <c r="H866"/>
  <c r="O866" s="1"/>
  <c r="R865"/>
  <c r="Q865"/>
  <c r="P865"/>
  <c r="R864"/>
  <c r="Q864"/>
  <c r="P864"/>
  <c r="R863"/>
  <c r="Q863"/>
  <c r="P863"/>
  <c r="R862"/>
  <c r="Q862"/>
  <c r="P862"/>
  <c r="R860"/>
  <c r="Q860"/>
  <c r="P860"/>
  <c r="H860"/>
  <c r="O860" s="1"/>
  <c r="R859"/>
  <c r="Q859"/>
  <c r="P859"/>
  <c r="R858"/>
  <c r="Q858"/>
  <c r="P858"/>
  <c r="R856"/>
  <c r="Q856"/>
  <c r="P856"/>
  <c r="H856"/>
  <c r="O856" s="1"/>
  <c r="R855"/>
  <c r="Q855"/>
  <c r="P855"/>
  <c r="R854"/>
  <c r="Q854"/>
  <c r="P854"/>
  <c r="R852"/>
  <c r="Q852"/>
  <c r="P852"/>
  <c r="H852"/>
  <c r="O852" s="1"/>
  <c r="R851"/>
  <c r="Q851"/>
  <c r="P851"/>
  <c r="R850"/>
  <c r="Q850"/>
  <c r="P850"/>
  <c r="R848"/>
  <c r="Q848"/>
  <c r="P848"/>
  <c r="H848"/>
  <c r="R846"/>
  <c r="Q846"/>
  <c r="P846"/>
  <c r="H846"/>
  <c r="O846" s="1"/>
  <c r="R845"/>
  <c r="Q845"/>
  <c r="P845"/>
  <c r="R844"/>
  <c r="Q844"/>
  <c r="P844"/>
  <c r="R842"/>
  <c r="Q842"/>
  <c r="P842"/>
  <c r="H842"/>
  <c r="H841" s="1"/>
  <c r="O841" s="1"/>
  <c r="R841"/>
  <c r="Q841"/>
  <c r="P841"/>
  <c r="R839"/>
  <c r="Q839"/>
  <c r="P839"/>
  <c r="H839"/>
  <c r="O839" s="1"/>
  <c r="R838"/>
  <c r="Q838"/>
  <c r="P838"/>
  <c r="R837"/>
  <c r="Q837"/>
  <c r="P837"/>
  <c r="R835"/>
  <c r="Q835"/>
  <c r="P835"/>
  <c r="H835"/>
  <c r="O835" s="1"/>
  <c r="R834"/>
  <c r="Q834"/>
  <c r="P834"/>
  <c r="R833"/>
  <c r="Q833"/>
  <c r="P833"/>
  <c r="R831"/>
  <c r="Q831"/>
  <c r="P831"/>
  <c r="H831"/>
  <c r="R829"/>
  <c r="Q829"/>
  <c r="P829"/>
  <c r="H829"/>
  <c r="O829" s="1"/>
  <c r="R828"/>
  <c r="Q828"/>
  <c r="P828"/>
  <c r="R827"/>
  <c r="Q827"/>
  <c r="P827"/>
  <c r="R826"/>
  <c r="Q826"/>
  <c r="P826"/>
  <c r="R824"/>
  <c r="Q824"/>
  <c r="P824"/>
  <c r="H824"/>
  <c r="O824" s="1"/>
  <c r="R822"/>
  <c r="Q822"/>
  <c r="P822"/>
  <c r="H822"/>
  <c r="O822" s="1"/>
  <c r="R821"/>
  <c r="Q821"/>
  <c r="P821"/>
  <c r="R820"/>
  <c r="Q820"/>
  <c r="P820"/>
  <c r="R819"/>
  <c r="Q819"/>
  <c r="P819"/>
  <c r="R818"/>
  <c r="Q818"/>
  <c r="P818"/>
  <c r="R817"/>
  <c r="Q817"/>
  <c r="P817"/>
  <c r="R816"/>
  <c r="Q816"/>
  <c r="P816"/>
  <c r="R814"/>
  <c r="Q814"/>
  <c r="P814"/>
  <c r="H814"/>
  <c r="O814" s="1"/>
  <c r="R813"/>
  <c r="Q813"/>
  <c r="P813"/>
  <c r="R812"/>
  <c r="Q812"/>
  <c r="P812"/>
  <c r="R811"/>
  <c r="Q811"/>
  <c r="P811"/>
  <c r="R810"/>
  <c r="Q810"/>
  <c r="P810"/>
  <c r="R808"/>
  <c r="Q808"/>
  <c r="P808"/>
  <c r="H808"/>
  <c r="O808" s="1"/>
  <c r="R807"/>
  <c r="Q807"/>
  <c r="P807"/>
  <c r="R806"/>
  <c r="Q806"/>
  <c r="P806"/>
  <c r="R804"/>
  <c r="Q804"/>
  <c r="P804"/>
  <c r="H804"/>
  <c r="O804" s="1"/>
  <c r="R803"/>
  <c r="Q803"/>
  <c r="P803"/>
  <c r="R802"/>
  <c r="Q802"/>
  <c r="P802"/>
  <c r="R800"/>
  <c r="Q800"/>
  <c r="P800"/>
  <c r="H800"/>
  <c r="H799" s="1"/>
  <c r="R799"/>
  <c r="Q799"/>
  <c r="P799"/>
  <c r="R798"/>
  <c r="Q798"/>
  <c r="P798"/>
  <c r="R796"/>
  <c r="Q796"/>
  <c r="P796"/>
  <c r="H796"/>
  <c r="O796" s="1"/>
  <c r="R795"/>
  <c r="Q795"/>
  <c r="P795"/>
  <c r="R794"/>
  <c r="Q794"/>
  <c r="P794"/>
  <c r="R792"/>
  <c r="Q792"/>
  <c r="P792"/>
  <c r="H792"/>
  <c r="O792" s="1"/>
  <c r="R791"/>
  <c r="Q791"/>
  <c r="P791"/>
  <c r="O791"/>
  <c r="R790"/>
  <c r="Q790"/>
  <c r="P790"/>
  <c r="O790"/>
  <c r="R789"/>
  <c r="R788"/>
  <c r="Q788"/>
  <c r="P788"/>
  <c r="H788"/>
  <c r="R787"/>
  <c r="Q787"/>
  <c r="P787"/>
  <c r="R786"/>
  <c r="Q786"/>
  <c r="P786"/>
  <c r="R784"/>
  <c r="Q784"/>
  <c r="P784"/>
  <c r="H784"/>
  <c r="O784" s="1"/>
  <c r="R783"/>
  <c r="Q783"/>
  <c r="P783"/>
  <c r="R782"/>
  <c r="Q782"/>
  <c r="P782"/>
  <c r="R781"/>
  <c r="Q781"/>
  <c r="P781"/>
  <c r="R780"/>
  <c r="Q780"/>
  <c r="P780"/>
  <c r="R779"/>
  <c r="R778"/>
  <c r="Q778"/>
  <c r="P778"/>
  <c r="H778"/>
  <c r="O778" s="1"/>
  <c r="R777"/>
  <c r="Q777"/>
  <c r="P777"/>
  <c r="H777"/>
  <c r="O777" s="1"/>
  <c r="R776"/>
  <c r="Q776"/>
  <c r="P776"/>
  <c r="R775"/>
  <c r="Q775"/>
  <c r="P775"/>
  <c r="R774"/>
  <c r="Q774"/>
  <c r="P774"/>
  <c r="R773"/>
  <c r="Q773"/>
  <c r="P773"/>
  <c r="R771"/>
  <c r="Q771"/>
  <c r="P771"/>
  <c r="H771"/>
  <c r="O771" s="1"/>
  <c r="R769"/>
  <c r="Q769"/>
  <c r="P769"/>
  <c r="H769"/>
  <c r="R768"/>
  <c r="Q768"/>
  <c r="P768"/>
  <c r="R767"/>
  <c r="Q767"/>
  <c r="P767"/>
  <c r="R766"/>
  <c r="Q766"/>
  <c r="P766"/>
  <c r="R764"/>
  <c r="Q764"/>
  <c r="P764"/>
  <c r="H764"/>
  <c r="H763" s="1"/>
  <c r="R763"/>
  <c r="Q763"/>
  <c r="P763"/>
  <c r="R762"/>
  <c r="Q762"/>
  <c r="P762"/>
  <c r="R761"/>
  <c r="Q761"/>
  <c r="P761"/>
  <c r="R760"/>
  <c r="Q760"/>
  <c r="P760"/>
  <c r="R758"/>
  <c r="Q758"/>
  <c r="P758"/>
  <c r="H758"/>
  <c r="O758" s="1"/>
  <c r="R756"/>
  <c r="Q756"/>
  <c r="P756"/>
  <c r="H756"/>
  <c r="O756" s="1"/>
  <c r="R755"/>
  <c r="Q755"/>
  <c r="P755"/>
  <c r="R754"/>
  <c r="Q754"/>
  <c r="P754"/>
  <c r="R753"/>
  <c r="Q753"/>
  <c r="P753"/>
  <c r="R752"/>
  <c r="Q752"/>
  <c r="P752"/>
  <c r="R750"/>
  <c r="Q750"/>
  <c r="P750"/>
  <c r="H750"/>
  <c r="O750" s="1"/>
  <c r="R749"/>
  <c r="Q749"/>
  <c r="P749"/>
  <c r="R748"/>
  <c r="Q748"/>
  <c r="P748"/>
  <c r="R746"/>
  <c r="Q746"/>
  <c r="P746"/>
  <c r="H746"/>
  <c r="O746" s="1"/>
  <c r="R744"/>
  <c r="Q744"/>
  <c r="P744"/>
  <c r="H744"/>
  <c r="O744" s="1"/>
  <c r="R743"/>
  <c r="Q743"/>
  <c r="P743"/>
  <c r="R742"/>
  <c r="Q742"/>
  <c r="P742"/>
  <c r="R740"/>
  <c r="Q740"/>
  <c r="P740"/>
  <c r="H740"/>
  <c r="O740" s="1"/>
  <c r="R739"/>
  <c r="Q739"/>
  <c r="P739"/>
  <c r="R738"/>
  <c r="Q738"/>
  <c r="P738"/>
  <c r="R736"/>
  <c r="Q736"/>
  <c r="P736"/>
  <c r="H736"/>
  <c r="O736" s="1"/>
  <c r="R734"/>
  <c r="Q734"/>
  <c r="P734"/>
  <c r="H734"/>
  <c r="O734" s="1"/>
  <c r="R733"/>
  <c r="Q733"/>
  <c r="P733"/>
  <c r="R732"/>
  <c r="Q732"/>
  <c r="P732"/>
  <c r="R731"/>
  <c r="Q731"/>
  <c r="P731"/>
  <c r="R729"/>
  <c r="Q729"/>
  <c r="P729"/>
  <c r="H729"/>
  <c r="O729" s="1"/>
  <c r="R727"/>
  <c r="Q727"/>
  <c r="P727"/>
  <c r="H727"/>
  <c r="O727" s="1"/>
  <c r="R726"/>
  <c r="Q726"/>
  <c r="P726"/>
  <c r="R725"/>
  <c r="Q725"/>
  <c r="P725"/>
  <c r="R724"/>
  <c r="Q724"/>
  <c r="P724"/>
  <c r="R723"/>
  <c r="Q723"/>
  <c r="P723"/>
  <c r="R722"/>
  <c r="Q722"/>
  <c r="P722"/>
  <c r="R721"/>
  <c r="Q721"/>
  <c r="P721"/>
  <c r="R719"/>
  <c r="Q719"/>
  <c r="P719"/>
  <c r="H719"/>
  <c r="O719" s="1"/>
  <c r="R717"/>
  <c r="Q717"/>
  <c r="P717"/>
  <c r="H717"/>
  <c r="R716"/>
  <c r="Q716"/>
  <c r="P716"/>
  <c r="O716"/>
  <c r="R715"/>
  <c r="R714"/>
  <c r="Q714"/>
  <c r="P714"/>
  <c r="H714"/>
  <c r="O714" s="1"/>
  <c r="R713"/>
  <c r="Q713"/>
  <c r="P713"/>
  <c r="R712"/>
  <c r="Q712"/>
  <c r="P712"/>
  <c r="R711"/>
  <c r="Q711"/>
  <c r="P711"/>
  <c r="R710"/>
  <c r="Q710"/>
  <c r="P710"/>
  <c r="R709"/>
  <c r="Q709"/>
  <c r="P709"/>
  <c r="R708"/>
  <c r="Q708"/>
  <c r="P708"/>
  <c r="R707"/>
  <c r="Q707"/>
  <c r="P707"/>
  <c r="O707"/>
  <c r="R705"/>
  <c r="Q705"/>
  <c r="P705"/>
  <c r="H705"/>
  <c r="H704" s="1"/>
  <c r="O704" s="1"/>
  <c r="R704"/>
  <c r="Q704"/>
  <c r="P704"/>
  <c r="R702"/>
  <c r="Q702"/>
  <c r="P702"/>
  <c r="H702"/>
  <c r="O702" s="1"/>
  <c r="R701"/>
  <c r="Q701"/>
  <c r="P701"/>
  <c r="R699"/>
  <c r="Q699"/>
  <c r="P699"/>
  <c r="H699"/>
  <c r="H698" s="1"/>
  <c r="O698" s="1"/>
  <c r="R698"/>
  <c r="Q698"/>
  <c r="P698"/>
  <c r="R696"/>
  <c r="Q696"/>
  <c r="P696"/>
  <c r="H696"/>
  <c r="O696" s="1"/>
  <c r="R695"/>
  <c r="Q695"/>
  <c r="P695"/>
  <c r="R694"/>
  <c r="Q694"/>
  <c r="P694"/>
  <c r="R692"/>
  <c r="Q692"/>
  <c r="P692"/>
  <c r="H692"/>
  <c r="O692" s="1"/>
  <c r="R691"/>
  <c r="R690"/>
  <c r="Q690"/>
  <c r="P690"/>
  <c r="H690"/>
  <c r="O690" s="1"/>
  <c r="R689"/>
  <c r="Q689"/>
  <c r="P689"/>
  <c r="R688"/>
  <c r="Q688"/>
  <c r="P688"/>
  <c r="R687"/>
  <c r="Q687"/>
  <c r="P687"/>
  <c r="R686"/>
  <c r="Q686"/>
  <c r="P686"/>
  <c r="R685"/>
  <c r="Q685"/>
  <c r="P685"/>
  <c r="R684"/>
  <c r="Q684"/>
  <c r="P684"/>
  <c r="R682"/>
  <c r="Q682"/>
  <c r="P682"/>
  <c r="H682"/>
  <c r="O682" s="1"/>
  <c r="R678"/>
  <c r="Q678"/>
  <c r="P678"/>
  <c r="H678"/>
  <c r="O678" s="1"/>
  <c r="R677"/>
  <c r="Q677"/>
  <c r="P677"/>
  <c r="R675"/>
  <c r="Q675"/>
  <c r="P675"/>
  <c r="H675"/>
  <c r="O675" s="1"/>
  <c r="R672"/>
  <c r="Q672"/>
  <c r="P672"/>
  <c r="H672"/>
  <c r="O672" s="1"/>
  <c r="R671"/>
  <c r="Q671"/>
  <c r="P671"/>
  <c r="R668"/>
  <c r="Q668"/>
  <c r="P668"/>
  <c r="H668"/>
  <c r="H667" s="1"/>
  <c r="O667" s="1"/>
  <c r="R667"/>
  <c r="Q667"/>
  <c r="P667"/>
  <c r="R663"/>
  <c r="Q663"/>
  <c r="P663"/>
  <c r="H663"/>
  <c r="O663" s="1"/>
  <c r="R661"/>
  <c r="Q661"/>
  <c r="P661"/>
  <c r="H661"/>
  <c r="O661" s="1"/>
  <c r="R658"/>
  <c r="Q658"/>
  <c r="P658"/>
  <c r="H658"/>
  <c r="R657"/>
  <c r="Q657"/>
  <c r="P657"/>
  <c r="R656"/>
  <c r="Q656"/>
  <c r="P656"/>
  <c r="R655"/>
  <c r="Q655"/>
  <c r="P655"/>
  <c r="R653"/>
  <c r="Q653"/>
  <c r="P653"/>
  <c r="H653"/>
  <c r="H652" s="1"/>
  <c r="R652"/>
  <c r="Q652"/>
  <c r="P652"/>
  <c r="R651"/>
  <c r="Q651"/>
  <c r="P651"/>
  <c r="R650"/>
  <c r="Q650"/>
  <c r="P650"/>
  <c r="R649"/>
  <c r="Q649"/>
  <c r="P649"/>
  <c r="R647"/>
  <c r="Q647"/>
  <c r="P647"/>
  <c r="H647"/>
  <c r="O647" s="1"/>
  <c r="R646"/>
  <c r="Q646"/>
  <c r="P646"/>
  <c r="H646"/>
  <c r="O646" s="1"/>
  <c r="R645"/>
  <c r="Q645"/>
  <c r="P645"/>
  <c r="R643"/>
  <c r="Q643"/>
  <c r="P643"/>
  <c r="H643"/>
  <c r="O643" s="1"/>
  <c r="R641"/>
  <c r="Q641"/>
  <c r="P641"/>
  <c r="H641"/>
  <c r="O641" s="1"/>
  <c r="R640"/>
  <c r="R639"/>
  <c r="Q639"/>
  <c r="P639"/>
  <c r="H639"/>
  <c r="O639" s="1"/>
  <c r="R638"/>
  <c r="Q638"/>
  <c r="P638"/>
  <c r="R637"/>
  <c r="Q637"/>
  <c r="P637"/>
  <c r="R636"/>
  <c r="Q636"/>
  <c r="P636"/>
  <c r="R635"/>
  <c r="Q635"/>
  <c r="P635"/>
  <c r="R634"/>
  <c r="Q634"/>
  <c r="P634"/>
  <c r="R632"/>
  <c r="Q632"/>
  <c r="P632"/>
  <c r="H632"/>
  <c r="O632" s="1"/>
  <c r="R631"/>
  <c r="Q631"/>
  <c r="P631"/>
  <c r="R630"/>
  <c r="Q630"/>
  <c r="P630"/>
  <c r="R629"/>
  <c r="Q629"/>
  <c r="P629"/>
  <c r="R628"/>
  <c r="Q628"/>
  <c r="P628"/>
  <c r="R626"/>
  <c r="Q626"/>
  <c r="P626"/>
  <c r="H626"/>
  <c r="O626" s="1"/>
  <c r="R625"/>
  <c r="Q625"/>
  <c r="P625"/>
  <c r="R623"/>
  <c r="Q623"/>
  <c r="P623"/>
  <c r="H623"/>
  <c r="H622" s="1"/>
  <c r="R622"/>
  <c r="Q622"/>
  <c r="P622"/>
  <c r="R621"/>
  <c r="Q621"/>
  <c r="P621"/>
  <c r="R620"/>
  <c r="Q620"/>
  <c r="P620"/>
  <c r="R619"/>
  <c r="Q619"/>
  <c r="P619"/>
  <c r="R618"/>
  <c r="Q618"/>
  <c r="P618"/>
  <c r="R616"/>
  <c r="Q616"/>
  <c r="P616"/>
  <c r="H616"/>
  <c r="O616" s="1"/>
  <c r="R614"/>
  <c r="Q614"/>
  <c r="P614"/>
  <c r="H614"/>
  <c r="O614" s="1"/>
  <c r="R613"/>
  <c r="Q613"/>
  <c r="P613"/>
  <c r="R612"/>
  <c r="Q612"/>
  <c r="P612"/>
  <c r="R611"/>
  <c r="Q611"/>
  <c r="P611"/>
  <c r="R610"/>
  <c r="Q610"/>
  <c r="P610"/>
  <c r="R608"/>
  <c r="Q608"/>
  <c r="P608"/>
  <c r="H608"/>
  <c r="H607" s="1"/>
  <c r="R607"/>
  <c r="Q607"/>
  <c r="P607"/>
  <c r="R606"/>
  <c r="Q606"/>
  <c r="P606"/>
  <c r="R605"/>
  <c r="Q605"/>
  <c r="P605"/>
  <c r="R603"/>
  <c r="Q603"/>
  <c r="P603"/>
  <c r="H603"/>
  <c r="H602" s="1"/>
  <c r="R602"/>
  <c r="Q602"/>
  <c r="P602"/>
  <c r="R601"/>
  <c r="Q601"/>
  <c r="P601"/>
  <c r="R600"/>
  <c r="Q600"/>
  <c r="P600"/>
  <c r="R598"/>
  <c r="Q598"/>
  <c r="P598"/>
  <c r="H598"/>
  <c r="H597" s="1"/>
  <c r="R597"/>
  <c r="Q597"/>
  <c r="P597"/>
  <c r="R596"/>
  <c r="Q596"/>
  <c r="P596"/>
  <c r="R595"/>
  <c r="Q595"/>
  <c r="P595"/>
  <c r="R594"/>
  <c r="Q594"/>
  <c r="P594"/>
  <c r="R592"/>
  <c r="Q592"/>
  <c r="P592"/>
  <c r="H592"/>
  <c r="O592" s="1"/>
  <c r="R591"/>
  <c r="Q591"/>
  <c r="P591"/>
  <c r="R590"/>
  <c r="Q590"/>
  <c r="P590"/>
  <c r="R588"/>
  <c r="Q588"/>
  <c r="P588"/>
  <c r="H588"/>
  <c r="O588" s="1"/>
  <c r="R586"/>
  <c r="Q586"/>
  <c r="P586"/>
  <c r="H586"/>
  <c r="O586" s="1"/>
  <c r="R585"/>
  <c r="Q585"/>
  <c r="P585"/>
  <c r="R584"/>
  <c r="Q584"/>
  <c r="P584"/>
  <c r="R583"/>
  <c r="Q583"/>
  <c r="P583"/>
  <c r="R582"/>
  <c r="Q582"/>
  <c r="P582"/>
  <c r="R581"/>
  <c r="Q581"/>
  <c r="P581"/>
  <c r="R579"/>
  <c r="Q579"/>
  <c r="P579"/>
  <c r="H579"/>
  <c r="O579" s="1"/>
  <c r="R578"/>
  <c r="Q578"/>
  <c r="P578"/>
  <c r="R577"/>
  <c r="Q577"/>
  <c r="P577"/>
  <c r="R576"/>
  <c r="Q576"/>
  <c r="P576"/>
  <c r="R575"/>
  <c r="Q575"/>
  <c r="P575"/>
  <c r="R573"/>
  <c r="Q573"/>
  <c r="P573"/>
  <c r="H573"/>
  <c r="H572" s="1"/>
  <c r="O572" s="1"/>
  <c r="R572"/>
  <c r="Q572"/>
  <c r="P572"/>
  <c r="R571"/>
  <c r="Q571"/>
  <c r="P571"/>
  <c r="R570"/>
  <c r="Q570"/>
  <c r="P570"/>
  <c r="R569"/>
  <c r="Q569"/>
  <c r="P569"/>
  <c r="R567"/>
  <c r="Q567"/>
  <c r="P567"/>
  <c r="H567"/>
  <c r="O567" s="1"/>
  <c r="R565"/>
  <c r="Q565"/>
  <c r="P565"/>
  <c r="H565"/>
  <c r="O565" s="1"/>
  <c r="R564"/>
  <c r="Q564"/>
  <c r="P564"/>
  <c r="R563"/>
  <c r="Q563"/>
  <c r="P563"/>
  <c r="R562"/>
  <c r="Q562"/>
  <c r="P562"/>
  <c r="R561"/>
  <c r="Q561"/>
  <c r="P561"/>
  <c r="R559"/>
  <c r="Q559"/>
  <c r="P559"/>
  <c r="H559"/>
  <c r="O559" s="1"/>
  <c r="R558"/>
  <c r="Q558"/>
  <c r="P558"/>
  <c r="R557"/>
  <c r="Q557"/>
  <c r="P557"/>
  <c r="R556"/>
  <c r="Q556"/>
  <c r="P556"/>
  <c r="R554"/>
  <c r="Q554"/>
  <c r="P554"/>
  <c r="H554"/>
  <c r="O554" s="1"/>
  <c r="R553"/>
  <c r="Q553"/>
  <c r="P553"/>
  <c r="R552"/>
  <c r="Q552"/>
  <c r="P552"/>
  <c r="R551"/>
  <c r="Q551"/>
  <c r="P551"/>
  <c r="R549"/>
  <c r="Q549"/>
  <c r="P549"/>
  <c r="H549"/>
  <c r="O549" s="1"/>
  <c r="R548"/>
  <c r="Q548"/>
  <c r="P548"/>
  <c r="R547"/>
  <c r="Q547"/>
  <c r="P547"/>
  <c r="R546"/>
  <c r="Q546"/>
  <c r="P546"/>
  <c r="R545"/>
  <c r="Q545"/>
  <c r="P545"/>
  <c r="R544"/>
  <c r="R543"/>
  <c r="Q543"/>
  <c r="P543"/>
  <c r="H543"/>
  <c r="O543" s="1"/>
  <c r="R542"/>
  <c r="Q542"/>
  <c r="P542"/>
  <c r="R541"/>
  <c r="Q541"/>
  <c r="P541"/>
  <c r="R540"/>
  <c r="Q540"/>
  <c r="P540"/>
  <c r="R538"/>
  <c r="Q538"/>
  <c r="P538"/>
  <c r="H538"/>
  <c r="O538" s="1"/>
  <c r="R536"/>
  <c r="Q536"/>
  <c r="P536"/>
  <c r="H536"/>
  <c r="O536" s="1"/>
  <c r="R535"/>
  <c r="Q535"/>
  <c r="P535"/>
  <c r="R534"/>
  <c r="Q534"/>
  <c r="P534"/>
  <c r="R532"/>
  <c r="Q532"/>
  <c r="P532"/>
  <c r="H532"/>
  <c r="O532" s="1"/>
  <c r="R530"/>
  <c r="Q530"/>
  <c r="P530"/>
  <c r="H530"/>
  <c r="O530" s="1"/>
  <c r="R528"/>
  <c r="Q528"/>
  <c r="P528"/>
  <c r="H528"/>
  <c r="O528" s="1"/>
  <c r="R527"/>
  <c r="Q527"/>
  <c r="P527"/>
  <c r="R525"/>
  <c r="Q525"/>
  <c r="P525"/>
  <c r="H525"/>
  <c r="O525" s="1"/>
  <c r="R522"/>
  <c r="Q522"/>
  <c r="P522"/>
  <c r="H522"/>
  <c r="O522" s="1"/>
  <c r="R519"/>
  <c r="Q519"/>
  <c r="P519"/>
  <c r="H519"/>
  <c r="O519" s="1"/>
  <c r="R518"/>
  <c r="Q518"/>
  <c r="P518"/>
  <c r="R517"/>
  <c r="Q517"/>
  <c r="P517"/>
  <c r="R516"/>
  <c r="Q516"/>
  <c r="P516"/>
  <c r="R515"/>
  <c r="Q515"/>
  <c r="P515"/>
  <c r="R514"/>
  <c r="Q514"/>
  <c r="P514"/>
  <c r="R512"/>
  <c r="Q512"/>
  <c r="P512"/>
  <c r="H512"/>
  <c r="O512" s="1"/>
  <c r="R511"/>
  <c r="Q511"/>
  <c r="P511"/>
  <c r="R510"/>
  <c r="Q510"/>
  <c r="P510"/>
  <c r="H510"/>
  <c r="O510" s="1"/>
  <c r="R509"/>
  <c r="Q509"/>
  <c r="P509"/>
  <c r="R508"/>
  <c r="Q508"/>
  <c r="P508"/>
  <c r="R506"/>
  <c r="Q506"/>
  <c r="P506"/>
  <c r="H506"/>
  <c r="O506" s="1"/>
  <c r="R504"/>
  <c r="Q504"/>
  <c r="P504"/>
  <c r="H504"/>
  <c r="O504" s="1"/>
  <c r="R503"/>
  <c r="Q503"/>
  <c r="P503"/>
  <c r="R502"/>
  <c r="Q502"/>
  <c r="P502"/>
  <c r="R501"/>
  <c r="Q501"/>
  <c r="P501"/>
  <c r="R500"/>
  <c r="Q500"/>
  <c r="P500"/>
  <c r="R498"/>
  <c r="Q498"/>
  <c r="P498"/>
  <c r="H498"/>
  <c r="H497" s="1"/>
  <c r="R497"/>
  <c r="Q497"/>
  <c r="P497"/>
  <c r="R496"/>
  <c r="Q496"/>
  <c r="P496"/>
  <c r="R495"/>
  <c r="Q495"/>
  <c r="P495"/>
  <c r="R494"/>
  <c r="Q494"/>
  <c r="P494"/>
  <c r="R492"/>
  <c r="Q492"/>
  <c r="P492"/>
  <c r="H492"/>
  <c r="O492" s="1"/>
  <c r="R491"/>
  <c r="Q491"/>
  <c r="P491"/>
  <c r="R490"/>
  <c r="Q490"/>
  <c r="P490"/>
  <c r="R488"/>
  <c r="Q488"/>
  <c r="P488"/>
  <c r="H488"/>
  <c r="O488" s="1"/>
  <c r="R486"/>
  <c r="Q486"/>
  <c r="P486"/>
  <c r="H486"/>
  <c r="O486" s="1"/>
  <c r="R484"/>
  <c r="Q484"/>
  <c r="P484"/>
  <c r="H484"/>
  <c r="O484" s="1"/>
  <c r="R483"/>
  <c r="Q483"/>
  <c r="P483"/>
  <c r="R481"/>
  <c r="Q481"/>
  <c r="P481"/>
  <c r="H481"/>
  <c r="O481" s="1"/>
  <c r="R478"/>
  <c r="Q478"/>
  <c r="P478"/>
  <c r="H478"/>
  <c r="O478" s="1"/>
  <c r="R477"/>
  <c r="Q477"/>
  <c r="P477"/>
  <c r="R476"/>
  <c r="Q476"/>
  <c r="P476"/>
  <c r="R475"/>
  <c r="Q475"/>
  <c r="P475"/>
  <c r="R474"/>
  <c r="Q474"/>
  <c r="P474"/>
  <c r="R473"/>
  <c r="Q473"/>
  <c r="P473"/>
  <c r="R472"/>
  <c r="Q472"/>
  <c r="P472"/>
  <c r="R471"/>
  <c r="Q471"/>
  <c r="P471"/>
  <c r="R470"/>
  <c r="Q470"/>
  <c r="P470"/>
  <c r="O470"/>
  <c r="R469"/>
  <c r="R468"/>
  <c r="Q468"/>
  <c r="P468"/>
  <c r="H468"/>
  <c r="O468" s="1"/>
  <c r="R467"/>
  <c r="Q467"/>
  <c r="P467"/>
  <c r="R466"/>
  <c r="Q466"/>
  <c r="P466"/>
  <c r="R465"/>
  <c r="Q465"/>
  <c r="P465"/>
  <c r="R464"/>
  <c r="Q464"/>
  <c r="P464"/>
  <c r="R463"/>
  <c r="Q463"/>
  <c r="P463"/>
  <c r="R462"/>
  <c r="Q462"/>
  <c r="P462"/>
  <c r="R461"/>
  <c r="R460"/>
  <c r="Q460"/>
  <c r="P460"/>
  <c r="H460"/>
  <c r="O460" s="1"/>
  <c r="R459"/>
  <c r="Q459"/>
  <c r="P459"/>
  <c r="R458"/>
  <c r="Q458"/>
  <c r="P458"/>
  <c r="R457"/>
  <c r="Q457"/>
  <c r="P457"/>
  <c r="R456"/>
  <c r="Q456"/>
  <c r="P456"/>
  <c r="R455"/>
  <c r="Q455"/>
  <c r="P455"/>
  <c r="R454"/>
  <c r="Q454"/>
  <c r="P454"/>
  <c r="R451"/>
  <c r="Q451"/>
  <c r="P451"/>
  <c r="H451"/>
  <c r="H450" s="1"/>
  <c r="O450" s="1"/>
  <c r="R450"/>
  <c r="Q450"/>
  <c r="P450"/>
  <c r="R446"/>
  <c r="Q446"/>
  <c r="P446"/>
  <c r="H446"/>
  <c r="O446" s="1"/>
  <c r="R444"/>
  <c r="Q444"/>
  <c r="P444"/>
  <c r="H444"/>
  <c r="O444" s="1"/>
  <c r="R441"/>
  <c r="Q441"/>
  <c r="P441"/>
  <c r="H441"/>
  <c r="O441" s="1"/>
  <c r="R440"/>
  <c r="Q440"/>
  <c r="P440"/>
  <c r="R439"/>
  <c r="Q439"/>
  <c r="P439"/>
  <c r="R438"/>
  <c r="Q438"/>
  <c r="P438"/>
  <c r="R437"/>
  <c r="R436"/>
  <c r="Q436"/>
  <c r="P436"/>
  <c r="H436"/>
  <c r="O436" s="1"/>
  <c r="R435"/>
  <c r="Q435"/>
  <c r="P435"/>
  <c r="R434"/>
  <c r="Q434"/>
  <c r="P434"/>
  <c r="R433"/>
  <c r="Q433"/>
  <c r="P433"/>
  <c r="R432"/>
  <c r="Q432"/>
  <c r="P432"/>
  <c r="R431"/>
  <c r="Q431"/>
  <c r="P431"/>
  <c r="R430"/>
  <c r="Q430"/>
  <c r="P430"/>
  <c r="R429"/>
  <c r="Q429"/>
  <c r="P429"/>
  <c r="R428"/>
  <c r="Q428"/>
  <c r="P428"/>
  <c r="O428"/>
  <c r="R427"/>
  <c r="Q427"/>
  <c r="P427"/>
  <c r="O427"/>
  <c r="R426"/>
  <c r="Q426"/>
  <c r="P426"/>
  <c r="H426"/>
  <c r="O426" s="1"/>
  <c r="R425"/>
  <c r="Q425"/>
  <c r="P425"/>
  <c r="R424"/>
  <c r="Q424"/>
  <c r="P424"/>
  <c r="R423"/>
  <c r="Q423"/>
  <c r="P423"/>
  <c r="R422"/>
  <c r="Q422"/>
  <c r="P422"/>
  <c r="R421"/>
  <c r="Q421"/>
  <c r="P421"/>
  <c r="R420"/>
  <c r="Q420"/>
  <c r="P420"/>
  <c r="O420"/>
  <c r="R419"/>
  <c r="Q419"/>
  <c r="P419"/>
  <c r="H419"/>
  <c r="O419" s="1"/>
  <c r="R418"/>
  <c r="Q418"/>
  <c r="P418"/>
  <c r="O418"/>
  <c r="R417"/>
  <c r="Q417"/>
  <c r="P417"/>
  <c r="H417"/>
  <c r="O417" s="1"/>
  <c r="R416"/>
  <c r="Q416"/>
  <c r="P416"/>
  <c r="O416"/>
  <c r="R415"/>
  <c r="Q415"/>
  <c r="P415"/>
  <c r="H415"/>
  <c r="O415" s="1"/>
  <c r="R414"/>
  <c r="Q414"/>
  <c r="P414"/>
  <c r="R413"/>
  <c r="Q413"/>
  <c r="P413"/>
  <c r="R412"/>
  <c r="R411"/>
  <c r="Q411"/>
  <c r="P411"/>
  <c r="H411"/>
  <c r="O411" s="1"/>
  <c r="R410"/>
  <c r="Q410"/>
  <c r="P410"/>
  <c r="R409"/>
  <c r="Q409"/>
  <c r="P409"/>
  <c r="R408"/>
  <c r="Q408"/>
  <c r="P408"/>
  <c r="R407"/>
  <c r="Q407"/>
  <c r="P407"/>
  <c r="R406"/>
  <c r="Q406"/>
  <c r="P406"/>
  <c r="R405"/>
  <c r="Q405"/>
  <c r="P405"/>
  <c r="O405"/>
  <c r="R404"/>
  <c r="Q404"/>
  <c r="P404"/>
  <c r="H404"/>
  <c r="H403" s="1"/>
  <c r="R403"/>
  <c r="Q403"/>
  <c r="P403"/>
  <c r="R402"/>
  <c r="Q402"/>
  <c r="P402"/>
  <c r="R401"/>
  <c r="Q401"/>
  <c r="P401"/>
  <c r="R398"/>
  <c r="Q398"/>
  <c r="P398"/>
  <c r="H398"/>
  <c r="H397" s="1"/>
  <c r="O397" s="1"/>
  <c r="R397"/>
  <c r="Q397"/>
  <c r="P397"/>
  <c r="R393"/>
  <c r="Q393"/>
  <c r="P393"/>
  <c r="H393"/>
  <c r="O393" s="1"/>
  <c r="R391"/>
  <c r="Q391"/>
  <c r="P391"/>
  <c r="H391"/>
  <c r="O391" s="1"/>
  <c r="R388"/>
  <c r="Q388"/>
  <c r="P388"/>
  <c r="H388"/>
  <c r="R387"/>
  <c r="Q387"/>
  <c r="P387"/>
  <c r="R386"/>
  <c r="Q386"/>
  <c r="P386"/>
  <c r="R385"/>
  <c r="Q385"/>
  <c r="P385"/>
  <c r="R384"/>
  <c r="Q384"/>
  <c r="P384"/>
  <c r="R383"/>
  <c r="Q383"/>
  <c r="P383"/>
  <c r="R382"/>
  <c r="Q382"/>
  <c r="P382"/>
  <c r="R381"/>
  <c r="Q381"/>
  <c r="P381"/>
  <c r="O381"/>
  <c r="R380"/>
  <c r="R379"/>
  <c r="Q379"/>
  <c r="P379"/>
  <c r="H379"/>
  <c r="H378" s="1"/>
  <c r="R378"/>
  <c r="Q378"/>
  <c r="P378"/>
  <c r="R377"/>
  <c r="Q377"/>
  <c r="P377"/>
  <c r="R376"/>
  <c r="Q376"/>
  <c r="P376"/>
  <c r="R375"/>
  <c r="Q375"/>
  <c r="P375"/>
  <c r="R374"/>
  <c r="Q374"/>
  <c r="P374"/>
  <c r="R373"/>
  <c r="Q373"/>
  <c r="P373"/>
  <c r="R372"/>
  <c r="R371"/>
  <c r="Q371"/>
  <c r="P371"/>
  <c r="H371"/>
  <c r="H370" s="1"/>
  <c r="R370"/>
  <c r="Q370"/>
  <c r="P370"/>
  <c r="R369"/>
  <c r="Q369"/>
  <c r="P369"/>
  <c r="R368"/>
  <c r="Q368"/>
  <c r="P368"/>
  <c r="R367"/>
  <c r="Q367"/>
  <c r="P367"/>
  <c r="R366"/>
  <c r="R365"/>
  <c r="Q365"/>
  <c r="P365"/>
  <c r="H365"/>
  <c r="O365" s="1"/>
  <c r="R364"/>
  <c r="Q364"/>
  <c r="P364"/>
  <c r="R363"/>
  <c r="Q363"/>
  <c r="P363"/>
  <c r="R362"/>
  <c r="Q362"/>
  <c r="P362"/>
  <c r="R361"/>
  <c r="Q361"/>
  <c r="P361"/>
  <c r="R360"/>
  <c r="Q360"/>
  <c r="P360"/>
  <c r="R359"/>
  <c r="Q359"/>
  <c r="P359"/>
  <c r="R358"/>
  <c r="R357"/>
  <c r="Q357"/>
  <c r="P357"/>
  <c r="H357"/>
  <c r="O357" s="1"/>
  <c r="R356"/>
  <c r="Q356"/>
  <c r="P356"/>
  <c r="R355"/>
  <c r="Q355"/>
  <c r="P355"/>
  <c r="R354"/>
  <c r="Q354"/>
  <c r="P354"/>
  <c r="R353"/>
  <c r="Q353"/>
  <c r="P353"/>
  <c r="R352"/>
  <c r="R351"/>
  <c r="Q351"/>
  <c r="P351"/>
  <c r="H351"/>
  <c r="H350" s="1"/>
  <c r="R350"/>
  <c r="Q350"/>
  <c r="P350"/>
  <c r="R349"/>
  <c r="Q349"/>
  <c r="P349"/>
  <c r="R348"/>
  <c r="Q348"/>
  <c r="P348"/>
  <c r="R347"/>
  <c r="Q347"/>
  <c r="P347"/>
  <c r="R346"/>
  <c r="R345"/>
  <c r="Q345"/>
  <c r="P345"/>
  <c r="H345"/>
  <c r="O345" s="1"/>
  <c r="R344"/>
  <c r="Q344"/>
  <c r="P344"/>
  <c r="R343"/>
  <c r="Q343"/>
  <c r="P343"/>
  <c r="R342"/>
  <c r="Q342"/>
  <c r="P342"/>
  <c r="R341"/>
  <c r="Q341"/>
  <c r="P341"/>
  <c r="R340"/>
  <c r="Q340"/>
  <c r="P340"/>
  <c r="R339"/>
  <c r="Q339"/>
  <c r="P339"/>
  <c r="R337"/>
  <c r="Q337"/>
  <c r="P337"/>
  <c r="H337"/>
  <c r="O337" s="1"/>
  <c r="R336"/>
  <c r="Q336"/>
  <c r="P336"/>
  <c r="H336"/>
  <c r="O336" s="1"/>
  <c r="R335"/>
  <c r="Q335"/>
  <c r="P335"/>
  <c r="R334"/>
  <c r="Q334"/>
  <c r="P334"/>
  <c r="R331"/>
  <c r="Q331"/>
  <c r="P331"/>
  <c r="H331"/>
  <c r="O331" s="1"/>
  <c r="R330"/>
  <c r="Q330"/>
  <c r="P330"/>
  <c r="R326"/>
  <c r="Q326"/>
  <c r="P326"/>
  <c r="H326"/>
  <c r="O326" s="1"/>
  <c r="R324"/>
  <c r="Q324"/>
  <c r="P324"/>
  <c r="H324"/>
  <c r="O324" s="1"/>
  <c r="R321"/>
  <c r="Q321"/>
  <c r="P321"/>
  <c r="H321"/>
  <c r="O321" s="1"/>
  <c r="R320"/>
  <c r="Q320"/>
  <c r="P320"/>
  <c r="R319"/>
  <c r="Q319"/>
  <c r="P319"/>
  <c r="R318"/>
  <c r="Q318"/>
  <c r="P318"/>
  <c r="R317"/>
  <c r="R316"/>
  <c r="Q316"/>
  <c r="P316"/>
  <c r="H316"/>
  <c r="O316" s="1"/>
  <c r="R315"/>
  <c r="Q315"/>
  <c r="P315"/>
  <c r="R314"/>
  <c r="Q314"/>
  <c r="P314"/>
  <c r="R313"/>
  <c r="Q313"/>
  <c r="P313"/>
  <c r="R312"/>
  <c r="Q312"/>
  <c r="P312"/>
  <c r="R311"/>
  <c r="R310"/>
  <c r="Q310"/>
  <c r="P310"/>
  <c r="H310"/>
  <c r="H309" s="1"/>
  <c r="R309"/>
  <c r="Q309"/>
  <c r="P309"/>
  <c r="R308"/>
  <c r="Q308"/>
  <c r="P308"/>
  <c r="R307"/>
  <c r="R306"/>
  <c r="Q306"/>
  <c r="P306"/>
  <c r="H306"/>
  <c r="H305" s="1"/>
  <c r="O305" s="1"/>
  <c r="R305"/>
  <c r="Q305"/>
  <c r="P305"/>
  <c r="R303"/>
  <c r="Q303"/>
  <c r="P303"/>
  <c r="H303"/>
  <c r="O303" s="1"/>
  <c r="R302"/>
  <c r="Q302"/>
  <c r="P302"/>
  <c r="R300"/>
  <c r="Q300"/>
  <c r="P300"/>
  <c r="H300"/>
  <c r="O300" s="1"/>
  <c r="R299"/>
  <c r="R298"/>
  <c r="Q298"/>
  <c r="P298"/>
  <c r="H298"/>
  <c r="O298" s="1"/>
  <c r="R297"/>
  <c r="Q297"/>
  <c r="P297"/>
  <c r="R296"/>
  <c r="Q296"/>
  <c r="P296"/>
  <c r="R295"/>
  <c r="Q295"/>
  <c r="P295"/>
  <c r="R294"/>
  <c r="Q294"/>
  <c r="P294"/>
  <c r="R293"/>
  <c r="Q293"/>
  <c r="P293"/>
  <c r="R292"/>
  <c r="Q292"/>
  <c r="P292"/>
  <c r="R291"/>
  <c r="Q291"/>
  <c r="P291"/>
  <c r="R290"/>
  <c r="Q290"/>
  <c r="P290"/>
  <c r="O290"/>
  <c r="R289"/>
  <c r="R288"/>
  <c r="Q288"/>
  <c r="P288"/>
  <c r="H288"/>
  <c r="O288" s="1"/>
  <c r="R287"/>
  <c r="Q287"/>
  <c r="P287"/>
  <c r="H287"/>
  <c r="H286" s="1"/>
  <c r="R286"/>
  <c r="Q286"/>
  <c r="P286"/>
  <c r="R285"/>
  <c r="R284"/>
  <c r="Q284"/>
  <c r="P284"/>
  <c r="H284"/>
  <c r="O284" s="1"/>
  <c r="R283"/>
  <c r="Q283"/>
  <c r="P283"/>
  <c r="R282"/>
  <c r="Q282"/>
  <c r="P282"/>
  <c r="R281"/>
  <c r="Q281"/>
  <c r="P281"/>
  <c r="R280"/>
  <c r="Q280"/>
  <c r="P280"/>
  <c r="R279"/>
  <c r="Q279"/>
  <c r="P279"/>
  <c r="R278"/>
  <c r="R277"/>
  <c r="Q277"/>
  <c r="P277"/>
  <c r="H277"/>
  <c r="O277" s="1"/>
  <c r="R276"/>
  <c r="Q276"/>
  <c r="P276"/>
  <c r="R275"/>
  <c r="Q275"/>
  <c r="P275"/>
  <c r="R274"/>
  <c r="Q274"/>
  <c r="P274"/>
  <c r="R273"/>
  <c r="Q273"/>
  <c r="P273"/>
  <c r="R272"/>
  <c r="Q272"/>
  <c r="P272"/>
  <c r="R271"/>
  <c r="Q271"/>
  <c r="P271"/>
  <c r="R270"/>
  <c r="R269"/>
  <c r="Q269"/>
  <c r="P269"/>
  <c r="H269"/>
  <c r="O269" s="1"/>
  <c r="R268"/>
  <c r="Q268"/>
  <c r="P268"/>
  <c r="R267"/>
  <c r="Q267"/>
  <c r="P267"/>
  <c r="R266"/>
  <c r="Q266"/>
  <c r="P266"/>
  <c r="R265"/>
  <c r="Q265"/>
  <c r="P265"/>
  <c r="R264"/>
  <c r="Q264"/>
  <c r="P264"/>
  <c r="R263"/>
  <c r="Q263"/>
  <c r="P263"/>
  <c r="R262"/>
  <c r="R261"/>
  <c r="Q261"/>
  <c r="P261"/>
  <c r="H261"/>
  <c r="O261" s="1"/>
  <c r="R260"/>
  <c r="Q260"/>
  <c r="P260"/>
  <c r="R259"/>
  <c r="Q259"/>
  <c r="P259"/>
  <c r="R258"/>
  <c r="Q258"/>
  <c r="P258"/>
  <c r="R257"/>
  <c r="Q257"/>
  <c r="P257"/>
  <c r="R256"/>
  <c r="Q256"/>
  <c r="P256"/>
  <c r="R255"/>
  <c r="Q255"/>
  <c r="P255"/>
  <c r="R254"/>
  <c r="R253"/>
  <c r="Q253"/>
  <c r="P253"/>
  <c r="H253"/>
  <c r="O253" s="1"/>
  <c r="R252"/>
  <c r="R251"/>
  <c r="Q251"/>
  <c r="P251"/>
  <c r="H251"/>
  <c r="R250"/>
  <c r="Q250"/>
  <c r="P250"/>
  <c r="R249"/>
  <c r="Q249"/>
  <c r="P249"/>
  <c r="R248"/>
  <c r="R247"/>
  <c r="Q247"/>
  <c r="P247"/>
  <c r="H247"/>
  <c r="H246" s="1"/>
  <c r="R246"/>
  <c r="Q246"/>
  <c r="P246"/>
  <c r="R245"/>
  <c r="Q245"/>
  <c r="P245"/>
  <c r="R244"/>
  <c r="Q244"/>
  <c r="P244"/>
  <c r="R243"/>
  <c r="R242"/>
  <c r="Q242"/>
  <c r="P242"/>
  <c r="O242"/>
  <c r="H242"/>
  <c r="R241"/>
  <c r="Q241"/>
  <c r="P241"/>
  <c r="H241"/>
  <c r="O241" s="1"/>
  <c r="R240"/>
  <c r="Q240"/>
  <c r="P240"/>
  <c r="R239"/>
  <c r="R238"/>
  <c r="Q238"/>
  <c r="P238"/>
  <c r="H238"/>
  <c r="O238" s="1"/>
  <c r="R236"/>
  <c r="Q236"/>
  <c r="P236"/>
  <c r="H236"/>
  <c r="O236" s="1"/>
  <c r="R235"/>
  <c r="Q235"/>
  <c r="P235"/>
  <c r="R234"/>
  <c r="Q234"/>
  <c r="P234"/>
  <c r="R231"/>
  <c r="Q231"/>
  <c r="P231"/>
  <c r="H231"/>
  <c r="O231" s="1"/>
  <c r="R230"/>
  <c r="Q230"/>
  <c r="P230"/>
  <c r="R229"/>
  <c r="Q229"/>
  <c r="P229"/>
  <c r="R228"/>
  <c r="Q228"/>
  <c r="P228"/>
  <c r="R227"/>
  <c r="Q227"/>
  <c r="P227"/>
  <c r="R226"/>
  <c r="Q226"/>
  <c r="P226"/>
  <c r="R225"/>
  <c r="Q225"/>
  <c r="P225"/>
  <c r="R222"/>
  <c r="Q222"/>
  <c r="P222"/>
  <c r="H222"/>
  <c r="H221" s="1"/>
  <c r="R221"/>
  <c r="Q221"/>
  <c r="P221"/>
  <c r="R220"/>
  <c r="Q220"/>
  <c r="P220"/>
  <c r="R219"/>
  <c r="Q219"/>
  <c r="P219"/>
  <c r="R217"/>
  <c r="Q217"/>
  <c r="P217"/>
  <c r="H217"/>
  <c r="H216" s="1"/>
  <c r="O216" s="1"/>
  <c r="R216"/>
  <c r="Q216"/>
  <c r="P216"/>
  <c r="R212"/>
  <c r="Q212"/>
  <c r="P212"/>
  <c r="H212"/>
  <c r="O212" s="1"/>
  <c r="R210"/>
  <c r="Q210"/>
  <c r="P210"/>
  <c r="H210"/>
  <c r="O210" s="1"/>
  <c r="R206"/>
  <c r="Q206"/>
  <c r="P206"/>
  <c r="H206"/>
  <c r="H205" s="1"/>
  <c r="R205"/>
  <c r="Q205"/>
  <c r="P205"/>
  <c r="R204"/>
  <c r="Q204"/>
  <c r="P204"/>
  <c r="R203"/>
  <c r="Q203"/>
  <c r="P203"/>
  <c r="R202"/>
  <c r="R201"/>
  <c r="Q201"/>
  <c r="P201"/>
  <c r="H201"/>
  <c r="O201" s="1"/>
  <c r="R200"/>
  <c r="Q200"/>
  <c r="P200"/>
  <c r="H200"/>
  <c r="O200" s="1"/>
  <c r="R199"/>
  <c r="Q199"/>
  <c r="P199"/>
  <c r="R198"/>
  <c r="Q198"/>
  <c r="P198"/>
  <c r="R197"/>
  <c r="Q197"/>
  <c r="P197"/>
  <c r="R196"/>
  <c r="Q196"/>
  <c r="P196"/>
  <c r="O196"/>
  <c r="R195"/>
  <c r="Q195"/>
  <c r="P195"/>
  <c r="H195"/>
  <c r="O195" s="1"/>
  <c r="R194"/>
  <c r="Q194"/>
  <c r="P194"/>
  <c r="R193"/>
  <c r="Q193"/>
  <c r="P193"/>
  <c r="R192"/>
  <c r="Q192"/>
  <c r="P192"/>
  <c r="O192"/>
  <c r="R191"/>
  <c r="R190"/>
  <c r="Q190"/>
  <c r="P190"/>
  <c r="H190"/>
  <c r="O190" s="1"/>
  <c r="R189"/>
  <c r="Q189"/>
  <c r="P189"/>
  <c r="R188"/>
  <c r="Q188"/>
  <c r="P188"/>
  <c r="R187"/>
  <c r="Q187"/>
  <c r="P187"/>
  <c r="O187"/>
  <c r="R186"/>
  <c r="R185"/>
  <c r="Q185"/>
  <c r="P185"/>
  <c r="H185"/>
  <c r="O185" s="1"/>
  <c r="R184"/>
  <c r="Q184"/>
  <c r="P184"/>
  <c r="R183"/>
  <c r="Q183"/>
  <c r="P183"/>
  <c r="R182"/>
  <c r="R181"/>
  <c r="Q181"/>
  <c r="P181"/>
  <c r="H181"/>
  <c r="O181" s="1"/>
  <c r="R180"/>
  <c r="Q180"/>
  <c r="P180"/>
  <c r="R179"/>
  <c r="Q179"/>
  <c r="P179"/>
  <c r="R178"/>
  <c r="Q178"/>
  <c r="P178"/>
  <c r="R177"/>
  <c r="R176"/>
  <c r="Q176"/>
  <c r="P176"/>
  <c r="H176"/>
  <c r="O176" s="1"/>
  <c r="R175"/>
  <c r="Q175"/>
  <c r="P175"/>
  <c r="R174"/>
  <c r="Q174"/>
  <c r="P174"/>
  <c r="R173"/>
  <c r="Q173"/>
  <c r="P173"/>
  <c r="R172"/>
  <c r="Q172"/>
  <c r="P172"/>
  <c r="R168"/>
  <c r="Q168"/>
  <c r="P168"/>
  <c r="H168"/>
  <c r="O168" s="1"/>
  <c r="R166"/>
  <c r="Q166"/>
  <c r="P166"/>
  <c r="H166"/>
  <c r="O166" s="1"/>
  <c r="R162"/>
  <c r="Q162"/>
  <c r="P162"/>
  <c r="H162"/>
  <c r="O162" s="1"/>
  <c r="R161"/>
  <c r="Q161"/>
  <c r="P161"/>
  <c r="R160"/>
  <c r="Q160"/>
  <c r="P160"/>
  <c r="R159"/>
  <c r="R158"/>
  <c r="Q158"/>
  <c r="P158"/>
  <c r="H158"/>
  <c r="O158" s="1"/>
  <c r="R157"/>
  <c r="Q157"/>
  <c r="P157"/>
  <c r="R156"/>
  <c r="Q156"/>
  <c r="P156"/>
  <c r="R155"/>
  <c r="R154"/>
  <c r="Q154"/>
  <c r="P154"/>
  <c r="H154"/>
  <c r="O154" s="1"/>
  <c r="R153"/>
  <c r="Q153"/>
  <c r="P153"/>
  <c r="R152"/>
  <c r="Q152"/>
  <c r="P152"/>
  <c r="R151"/>
  <c r="R150"/>
  <c r="Q150"/>
  <c r="P150"/>
  <c r="H150"/>
  <c r="O150" s="1"/>
  <c r="R149"/>
  <c r="Q149"/>
  <c r="P149"/>
  <c r="R148"/>
  <c r="Q148"/>
  <c r="P148"/>
  <c r="R147"/>
  <c r="Q147"/>
  <c r="P147"/>
  <c r="R145"/>
  <c r="Q145"/>
  <c r="P145"/>
  <c r="H145"/>
  <c r="O145" s="1"/>
  <c r="R144"/>
  <c r="Q144"/>
  <c r="P144"/>
  <c r="R143"/>
  <c r="Q143"/>
  <c r="P143"/>
  <c r="R142"/>
  <c r="R141"/>
  <c r="Q141"/>
  <c r="P141"/>
  <c r="H141"/>
  <c r="O141" s="1"/>
  <c r="R140"/>
  <c r="Q140"/>
  <c r="P140"/>
  <c r="R139"/>
  <c r="Q139"/>
  <c r="P139"/>
  <c r="R138"/>
  <c r="Q138"/>
  <c r="P138"/>
  <c r="R137"/>
  <c r="Q137"/>
  <c r="P137"/>
  <c r="R136"/>
  <c r="R135"/>
  <c r="Q135"/>
  <c r="P135"/>
  <c r="H135"/>
  <c r="H134" s="1"/>
  <c r="R134"/>
  <c r="Q134"/>
  <c r="P134"/>
  <c r="R133"/>
  <c r="Q133"/>
  <c r="P133"/>
  <c r="R132"/>
  <c r="Q132"/>
  <c r="P132"/>
  <c r="R131"/>
  <c r="Q131"/>
  <c r="P131"/>
  <c r="R130"/>
  <c r="R129"/>
  <c r="Q129"/>
  <c r="P129"/>
  <c r="H129"/>
  <c r="O129" s="1"/>
  <c r="R128"/>
  <c r="Q128"/>
  <c r="P128"/>
  <c r="R126"/>
  <c r="Q126"/>
  <c r="P126"/>
  <c r="H126"/>
  <c r="R125"/>
  <c r="Q125"/>
  <c r="P125"/>
  <c r="R124"/>
  <c r="Q124"/>
  <c r="P124"/>
  <c r="R123"/>
  <c r="Q123"/>
  <c r="P123"/>
  <c r="R122"/>
  <c r="Q122"/>
  <c r="P122"/>
  <c r="R121"/>
  <c r="Q121"/>
  <c r="P121"/>
  <c r="R119"/>
  <c r="Q119"/>
  <c r="P119"/>
  <c r="H119"/>
  <c r="O119" s="1"/>
  <c r="R118"/>
  <c r="Q118"/>
  <c r="P118"/>
  <c r="R117"/>
  <c r="Q117"/>
  <c r="P117"/>
  <c r="R116"/>
  <c r="Q116"/>
  <c r="P116"/>
  <c r="R115"/>
  <c r="Q115"/>
  <c r="P115"/>
  <c r="R113"/>
  <c r="Q113"/>
  <c r="P113"/>
  <c r="H113"/>
  <c r="O113" s="1"/>
  <c r="R112"/>
  <c r="Q112"/>
  <c r="P112"/>
  <c r="R110"/>
  <c r="Q110"/>
  <c r="P110"/>
  <c r="H110"/>
  <c r="O110" s="1"/>
  <c r="R107"/>
  <c r="Q107"/>
  <c r="P107"/>
  <c r="H107"/>
  <c r="R106"/>
  <c r="Q106"/>
  <c r="P106"/>
  <c r="R103"/>
  <c r="Q103"/>
  <c r="P103"/>
  <c r="H103"/>
  <c r="R102"/>
  <c r="Q102"/>
  <c r="P102"/>
  <c r="R99"/>
  <c r="Q99"/>
  <c r="P99"/>
  <c r="H99"/>
  <c r="O99" s="1"/>
  <c r="R97"/>
  <c r="Q97"/>
  <c r="P97"/>
  <c r="H97"/>
  <c r="O97" s="1"/>
  <c r="R94"/>
  <c r="Q94"/>
  <c r="P94"/>
  <c r="H94"/>
  <c r="R93"/>
  <c r="Q93"/>
  <c r="P93"/>
  <c r="R92"/>
  <c r="Q92"/>
  <c r="P92"/>
  <c r="R91"/>
  <c r="Q91"/>
  <c r="P91"/>
  <c r="R90"/>
  <c r="Q90"/>
  <c r="P90"/>
  <c r="R87"/>
  <c r="Q87"/>
  <c r="P87"/>
  <c r="H87"/>
  <c r="H86" s="1"/>
  <c r="O86" s="1"/>
  <c r="R86"/>
  <c r="Q86"/>
  <c r="P86"/>
  <c r="R83"/>
  <c r="Q83"/>
  <c r="P83"/>
  <c r="H83"/>
  <c r="O83" s="1"/>
  <c r="R82"/>
  <c r="Q82"/>
  <c r="P82"/>
  <c r="R81"/>
  <c r="Q81"/>
  <c r="P81"/>
  <c r="R80"/>
  <c r="Q80"/>
  <c r="P80"/>
  <c r="R79"/>
  <c r="Q79"/>
  <c r="P79"/>
  <c r="R78"/>
  <c r="Q78"/>
  <c r="P78"/>
  <c r="R77"/>
  <c r="Q77"/>
  <c r="P77"/>
  <c r="R76"/>
  <c r="Q76"/>
  <c r="P76"/>
  <c r="O76"/>
  <c r="R75"/>
  <c r="R74"/>
  <c r="Q74"/>
  <c r="P74"/>
  <c r="H74"/>
  <c r="O74" s="1"/>
  <c r="R73"/>
  <c r="Q73"/>
  <c r="P73"/>
  <c r="R72"/>
  <c r="Q72"/>
  <c r="P72"/>
  <c r="R71"/>
  <c r="Q71"/>
  <c r="P71"/>
  <c r="R70"/>
  <c r="Q70"/>
  <c r="P70"/>
  <c r="R69"/>
  <c r="R68"/>
  <c r="Q68"/>
  <c r="P68"/>
  <c r="H68"/>
  <c r="O68" s="1"/>
  <c r="R67"/>
  <c r="Q67"/>
  <c r="P67"/>
  <c r="H67"/>
  <c r="R66"/>
  <c r="Q66"/>
  <c r="P66"/>
  <c r="R65"/>
  <c r="Q65"/>
  <c r="P65"/>
  <c r="R64"/>
  <c r="Q64"/>
  <c r="P64"/>
  <c r="R63"/>
  <c r="Q63"/>
  <c r="P63"/>
  <c r="R62"/>
  <c r="R61"/>
  <c r="Q61"/>
  <c r="P61"/>
  <c r="H61"/>
  <c r="O61" s="1"/>
  <c r="R60"/>
  <c r="Q60"/>
  <c r="P60"/>
  <c r="H60"/>
  <c r="O60" s="1"/>
  <c r="R59"/>
  <c r="Q59"/>
  <c r="P59"/>
  <c r="R58"/>
  <c r="Q58"/>
  <c r="P58"/>
  <c r="R57"/>
  <c r="Q57"/>
  <c r="P57"/>
  <c r="R54"/>
  <c r="Q54"/>
  <c r="P54"/>
  <c r="H54"/>
  <c r="O54" s="1"/>
  <c r="R53"/>
  <c r="Q53"/>
  <c r="P53"/>
  <c r="R50"/>
  <c r="Q50"/>
  <c r="P50"/>
  <c r="H50"/>
  <c r="H49" s="1"/>
  <c r="O49" s="1"/>
  <c r="R49"/>
  <c r="Q49"/>
  <c r="P49"/>
  <c r="R48"/>
  <c r="Q48"/>
  <c r="P48"/>
  <c r="R45"/>
  <c r="Q45"/>
  <c r="P45"/>
  <c r="H45"/>
  <c r="O45" s="1"/>
  <c r="R44"/>
  <c r="Q44"/>
  <c r="P44"/>
  <c r="R41"/>
  <c r="Q41"/>
  <c r="P41"/>
  <c r="H41"/>
  <c r="O41" s="1"/>
  <c r="R40"/>
  <c r="Q40"/>
  <c r="P40"/>
  <c r="R39"/>
  <c r="Q39"/>
  <c r="P39"/>
  <c r="R36"/>
  <c r="Q36"/>
  <c r="P36"/>
  <c r="H36"/>
  <c r="H35" s="1"/>
  <c r="O35" s="1"/>
  <c r="R35"/>
  <c r="Q35"/>
  <c r="P35"/>
  <c r="R32"/>
  <c r="Q32"/>
  <c r="P32"/>
  <c r="H32"/>
  <c r="O32" s="1"/>
  <c r="R30"/>
  <c r="Q30"/>
  <c r="P30"/>
  <c r="H30"/>
  <c r="O30" s="1"/>
  <c r="R26"/>
  <c r="Q26"/>
  <c r="P26"/>
  <c r="H26"/>
  <c r="H25" s="1"/>
  <c r="R25"/>
  <c r="Q25"/>
  <c r="P25"/>
  <c r="R24"/>
  <c r="Q24"/>
  <c r="P24"/>
  <c r="R23"/>
  <c r="Q23"/>
  <c r="P23"/>
  <c r="R22"/>
  <c r="Q22"/>
  <c r="P22"/>
  <c r="R21"/>
  <c r="Q21"/>
  <c r="P21"/>
  <c r="R20"/>
  <c r="Q20"/>
  <c r="P20"/>
  <c r="H1746" l="1"/>
  <c r="O1746" s="1"/>
  <c r="H40"/>
  <c r="O40" s="1"/>
  <c r="H44"/>
  <c r="O44" s="1"/>
  <c r="H929"/>
  <c r="O929" s="1"/>
  <c r="H1024"/>
  <c r="O1024" s="1"/>
  <c r="H746" i="5"/>
  <c r="H745" s="1"/>
  <c r="O745" s="1"/>
  <c r="H1208" i="4"/>
  <c r="O1208" s="1"/>
  <c r="H1212"/>
  <c r="O1212" s="1"/>
  <c r="H548"/>
  <c r="H547" s="1"/>
  <c r="H1089"/>
  <c r="O1089" s="1"/>
  <c r="H1097"/>
  <c r="O1097" s="1"/>
  <c r="H1503"/>
  <c r="H1502" s="1"/>
  <c r="H1761"/>
  <c r="O1761" s="1"/>
  <c r="O1843" i="6"/>
  <c r="H1842"/>
  <c r="O1842" s="1"/>
  <c r="O485"/>
  <c r="H484"/>
  <c r="O484" s="1"/>
  <c r="O1274"/>
  <c r="H1273"/>
  <c r="H1162"/>
  <c r="O1163"/>
  <c r="H394"/>
  <c r="O395"/>
  <c r="O615"/>
  <c r="H604"/>
  <c r="H1286"/>
  <c r="O1286" s="1"/>
  <c r="O1287"/>
  <c r="H1568"/>
  <c r="O1569"/>
  <c r="H1664"/>
  <c r="O1665"/>
  <c r="H504"/>
  <c r="O505"/>
  <c r="H903"/>
  <c r="O903" s="1"/>
  <c r="O904"/>
  <c r="H659"/>
  <c r="O659" s="1"/>
  <c r="O660"/>
  <c r="H63"/>
  <c r="O63" s="1"/>
  <c r="H272"/>
  <c r="O272" s="1"/>
  <c r="O273"/>
  <c r="O1653"/>
  <c r="H1652"/>
  <c r="H256"/>
  <c r="O257"/>
  <c r="O1366"/>
  <c r="H1365"/>
  <c r="O1296"/>
  <c r="H1295"/>
  <c r="H1176"/>
  <c r="O1176" s="1"/>
  <c r="O1177"/>
  <c r="H1372"/>
  <c r="O1373"/>
  <c r="O1338"/>
  <c r="H1480"/>
  <c r="O1480" s="1"/>
  <c r="O1481"/>
  <c r="H1097"/>
  <c r="O1097" s="1"/>
  <c r="O1098"/>
  <c r="H1937"/>
  <c r="O1938"/>
  <c r="H914"/>
  <c r="O914" s="1"/>
  <c r="O915"/>
  <c r="O1862"/>
  <c r="H645"/>
  <c r="O646"/>
  <c r="O279"/>
  <c r="H1832"/>
  <c r="O1833"/>
  <c r="H1576"/>
  <c r="O1577"/>
  <c r="H1513"/>
  <c r="O1513" s="1"/>
  <c r="O1514"/>
  <c r="O1501"/>
  <c r="O898"/>
  <c r="H897"/>
  <c r="O897" s="1"/>
  <c r="H137"/>
  <c r="O137" s="1"/>
  <c r="O138"/>
  <c r="H1392"/>
  <c r="O1393"/>
  <c r="O90"/>
  <c r="H264"/>
  <c r="O265"/>
  <c r="H1738"/>
  <c r="O1739"/>
  <c r="O1170"/>
  <c r="H1169"/>
  <c r="O1383"/>
  <c r="H525"/>
  <c r="O526"/>
  <c r="H431"/>
  <c r="O431" s="1"/>
  <c r="O432"/>
  <c r="H1087"/>
  <c r="O1087" s="1"/>
  <c r="O1088"/>
  <c r="H585"/>
  <c r="O585" s="1"/>
  <c r="O586"/>
  <c r="O947"/>
  <c r="H946"/>
  <c r="H474"/>
  <c r="O475"/>
  <c r="O785"/>
  <c r="H784"/>
  <c r="O784" s="1"/>
  <c r="H1868"/>
  <c r="O1868" s="1"/>
  <c r="O1869"/>
  <c r="H348"/>
  <c r="O349"/>
  <c r="H762"/>
  <c r="O762" s="1"/>
  <c r="O763"/>
  <c r="H1638"/>
  <c r="O1638" s="1"/>
  <c r="O1639"/>
  <c r="O369"/>
  <c r="H368"/>
  <c r="H226"/>
  <c r="O227"/>
  <c r="H1745"/>
  <c r="O1746"/>
  <c r="H1325"/>
  <c r="O1326"/>
  <c r="H695"/>
  <c r="O696"/>
  <c r="O1760"/>
  <c r="H1759"/>
  <c r="O374"/>
  <c r="H628"/>
  <c r="O628" s="1"/>
  <c r="O629"/>
  <c r="H790"/>
  <c r="O791"/>
  <c r="O294"/>
  <c r="H293"/>
  <c r="H1257"/>
  <c r="O1258"/>
  <c r="O839"/>
  <c r="H831"/>
  <c r="H1541"/>
  <c r="O1542"/>
  <c r="H955"/>
  <c r="O956"/>
  <c r="H1461"/>
  <c r="O1461" s="1"/>
  <c r="O1462"/>
  <c r="O566"/>
  <c r="H555"/>
  <c r="O555" s="1"/>
  <c r="H733"/>
  <c r="O734"/>
  <c r="O1230"/>
  <c r="O1809"/>
  <c r="O1802"/>
  <c r="H720"/>
  <c r="O721"/>
  <c r="H1422"/>
  <c r="O1423"/>
  <c r="H22"/>
  <c r="O23"/>
  <c r="O1435"/>
  <c r="O939"/>
  <c r="H938"/>
  <c r="H1593"/>
  <c r="O1593" s="1"/>
  <c r="O448"/>
  <c r="H441"/>
  <c r="H1553"/>
  <c r="O1554"/>
  <c r="H1787"/>
  <c r="O1788"/>
  <c r="O451" i="4"/>
  <c r="H477"/>
  <c r="O477" s="1"/>
  <c r="H768"/>
  <c r="H1015"/>
  <c r="O1015" s="1"/>
  <c r="H1037"/>
  <c r="O1037" s="1"/>
  <c r="O1320"/>
  <c r="H1450"/>
  <c r="O1450" s="1"/>
  <c r="H1624"/>
  <c r="H1623" s="1"/>
  <c r="O1623" s="1"/>
  <c r="H1357"/>
  <c r="O1357" s="1"/>
  <c r="H1377"/>
  <c r="O1377" s="1"/>
  <c r="H1386"/>
  <c r="O1386" s="1"/>
  <c r="H1390"/>
  <c r="O1390" s="1"/>
  <c r="H1423"/>
  <c r="O1423" s="1"/>
  <c r="H1426"/>
  <c r="O1426" s="1"/>
  <c r="H1510"/>
  <c r="O1510" s="1"/>
  <c r="O1535"/>
  <c r="H1864" i="5"/>
  <c r="H1863" s="1"/>
  <c r="O1863" s="1"/>
  <c r="H1101" i="4"/>
  <c r="O1101" s="1"/>
  <c r="H175"/>
  <c r="H174" s="1"/>
  <c r="H387"/>
  <c r="O387" s="1"/>
  <c r="H834"/>
  <c r="O834" s="1"/>
  <c r="H893"/>
  <c r="O893" s="1"/>
  <c r="H1346"/>
  <c r="O1346" s="1"/>
  <c r="H1349"/>
  <c r="O1349" s="1"/>
  <c r="H1352"/>
  <c r="O1352" s="1"/>
  <c r="H1784"/>
  <c r="H1783" s="1"/>
  <c r="O1783" s="1"/>
  <c r="H246" i="5"/>
  <c r="O246" s="1"/>
  <c r="H953"/>
  <c r="O953" s="1"/>
  <c r="H1749"/>
  <c r="O1749" s="1"/>
  <c r="H509" i="4"/>
  <c r="H508" s="1"/>
  <c r="O508" s="1"/>
  <c r="H511"/>
  <c r="O511" s="1"/>
  <c r="H743"/>
  <c r="H742" s="1"/>
  <c r="O742" s="1"/>
  <c r="H851"/>
  <c r="O851" s="1"/>
  <c r="H1073"/>
  <c r="O1073" s="1"/>
  <c r="H1242"/>
  <c r="O1242" s="1"/>
  <c r="H1245"/>
  <c r="O1245" s="1"/>
  <c r="H1312"/>
  <c r="O1312" s="1"/>
  <c r="H1697"/>
  <c r="H1696" s="1"/>
  <c r="H491"/>
  <c r="O491" s="1"/>
  <c r="H783"/>
  <c r="H782" s="1"/>
  <c r="O782" s="1"/>
  <c r="H1484"/>
  <c r="O1484" s="1"/>
  <c r="H1648"/>
  <c r="H1647" s="1"/>
  <c r="H1669"/>
  <c r="H315" i="5"/>
  <c r="H314" s="1"/>
  <c r="H313" s="1"/>
  <c r="H1641"/>
  <c r="H1640" s="1"/>
  <c r="O1640" s="1"/>
  <c r="H530"/>
  <c r="O530" s="1"/>
  <c r="H545"/>
  <c r="H544" s="1"/>
  <c r="H680"/>
  <c r="O680" s="1"/>
  <c r="H230"/>
  <c r="O230" s="1"/>
  <c r="H260"/>
  <c r="H259" s="1"/>
  <c r="H305"/>
  <c r="O305" s="1"/>
  <c r="H438"/>
  <c r="H153"/>
  <c r="O153" s="1"/>
  <c r="H649"/>
  <c r="O649" s="1"/>
  <c r="H847"/>
  <c r="O847" s="1"/>
  <c r="H1434"/>
  <c r="O1434" s="1"/>
  <c r="H1438"/>
  <c r="O1438" s="1"/>
  <c r="H1618"/>
  <c r="H1617" s="1"/>
  <c r="H1774"/>
  <c r="O1594"/>
  <c r="H359"/>
  <c r="H358" s="1"/>
  <c r="H513"/>
  <c r="H1374"/>
  <c r="H1373" s="1"/>
  <c r="O1373" s="1"/>
  <c r="O1406"/>
  <c r="H1405"/>
  <c r="H1404" s="1"/>
  <c r="H1403" s="1"/>
  <c r="H1605"/>
  <c r="O1605" s="1"/>
  <c r="H1766"/>
  <c r="O1766" s="1"/>
  <c r="H692"/>
  <c r="H691" s="1"/>
  <c r="O691" s="1"/>
  <c r="H149"/>
  <c r="O149" s="1"/>
  <c r="H538"/>
  <c r="H1097"/>
  <c r="O1097" s="1"/>
  <c r="H1337"/>
  <c r="O1337" s="1"/>
  <c r="O1586"/>
  <c r="O1285"/>
  <c r="O368"/>
  <c r="H674"/>
  <c r="O674" s="1"/>
  <c r="H1125"/>
  <c r="O1125" s="1"/>
  <c r="H102"/>
  <c r="O102" s="1"/>
  <c r="H106"/>
  <c r="O106" s="1"/>
  <c r="O454"/>
  <c r="O891"/>
  <c r="O1186"/>
  <c r="O1233"/>
  <c r="O1583"/>
  <c r="O113"/>
  <c r="O1171"/>
  <c r="O1277"/>
  <c r="H413"/>
  <c r="O413" s="1"/>
  <c r="H805"/>
  <c r="O805" s="1"/>
  <c r="H634"/>
  <c r="O634" s="1"/>
  <c r="H790"/>
  <c r="H789" s="1"/>
  <c r="H884"/>
  <c r="H883" s="1"/>
  <c r="H882" s="1"/>
  <c r="H567"/>
  <c r="O567" s="1"/>
  <c r="H616"/>
  <c r="H615" s="1"/>
  <c r="H1223"/>
  <c r="O83"/>
  <c r="O1453"/>
  <c r="O74"/>
  <c r="H857"/>
  <c r="H856" s="1"/>
  <c r="O856" s="1"/>
  <c r="H976"/>
  <c r="O976" s="1"/>
  <c r="H1069"/>
  <c r="H25"/>
  <c r="H428"/>
  <c r="H443"/>
  <c r="O443" s="1"/>
  <c r="O1046"/>
  <c r="H347"/>
  <c r="O347" s="1"/>
  <c r="H736"/>
  <c r="O736" s="1"/>
  <c r="O767"/>
  <c r="H877"/>
  <c r="O877" s="1"/>
  <c r="H1316"/>
  <c r="O1316" s="1"/>
  <c r="O1577"/>
  <c r="O791"/>
  <c r="O1075"/>
  <c r="H1081"/>
  <c r="O1081" s="1"/>
  <c r="O1126"/>
  <c r="O1286"/>
  <c r="O1289"/>
  <c r="H701"/>
  <c r="O701" s="1"/>
  <c r="H704"/>
  <c r="O704" s="1"/>
  <c r="H1269"/>
  <c r="O1269" s="1"/>
  <c r="O1721"/>
  <c r="H1838"/>
  <c r="O1150"/>
  <c r="H1382"/>
  <c r="O1382" s="1"/>
  <c r="H1385"/>
  <c r="O1385" s="1"/>
  <c r="O681"/>
  <c r="H971"/>
  <c r="O971" s="1"/>
  <c r="O277"/>
  <c r="H921"/>
  <c r="O921" s="1"/>
  <c r="H939"/>
  <c r="H938" s="1"/>
  <c r="H937" s="1"/>
  <c r="H735"/>
  <c r="O735" s="1"/>
  <c r="H1481"/>
  <c r="H1480" s="1"/>
  <c r="O1482"/>
  <c r="H1148"/>
  <c r="O1149"/>
  <c r="H514"/>
  <c r="O514" s="1"/>
  <c r="O595"/>
  <c r="O739"/>
  <c r="H758"/>
  <c r="H757" s="1"/>
  <c r="H756" s="1"/>
  <c r="O954"/>
  <c r="O1058"/>
  <c r="O1092"/>
  <c r="O1182"/>
  <c r="H1275"/>
  <c r="H1274" s="1"/>
  <c r="H1273" s="1"/>
  <c r="O1367"/>
  <c r="O1564"/>
  <c r="H1570"/>
  <c r="O1589"/>
  <c r="O1602"/>
  <c r="H1761"/>
  <c r="O1839"/>
  <c r="O500"/>
  <c r="H1191"/>
  <c r="O1208"/>
  <c r="O1356"/>
  <c r="O1899"/>
  <c r="O463"/>
  <c r="H948"/>
  <c r="H966"/>
  <c r="O966" s="1"/>
  <c r="H986"/>
  <c r="O986" s="1"/>
  <c r="O1414"/>
  <c r="O1461"/>
  <c r="O1472"/>
  <c r="O1483"/>
  <c r="H1878"/>
  <c r="O1878" s="1"/>
  <c r="H53"/>
  <c r="O53" s="1"/>
  <c r="O158"/>
  <c r="O201"/>
  <c r="H241"/>
  <c r="H240" s="1"/>
  <c r="O240" s="1"/>
  <c r="H480"/>
  <c r="O480" s="1"/>
  <c r="O941"/>
  <c r="O1028"/>
  <c r="O1085"/>
  <c r="O1259"/>
  <c r="O1267"/>
  <c r="H1490"/>
  <c r="H1493"/>
  <c r="H1744"/>
  <c r="H1765"/>
  <c r="H1764" s="1"/>
  <c r="O1764" s="1"/>
  <c r="O315"/>
  <c r="O611"/>
  <c r="O693"/>
  <c r="H716"/>
  <c r="H715" s="1"/>
  <c r="O814"/>
  <c r="O923"/>
  <c r="H981"/>
  <c r="O981" s="1"/>
  <c r="H1002"/>
  <c r="O1002" s="1"/>
  <c r="O1665"/>
  <c r="H1802"/>
  <c r="H1801" s="1"/>
  <c r="H1800" s="1"/>
  <c r="H86"/>
  <c r="O86" s="1"/>
  <c r="H874"/>
  <c r="H873" s="1"/>
  <c r="O873" s="1"/>
  <c r="H1372"/>
  <c r="H1371" s="1"/>
  <c r="H1370" s="1"/>
  <c r="H1445"/>
  <c r="O1445" s="1"/>
  <c r="H93"/>
  <c r="H118"/>
  <c r="O118" s="1"/>
  <c r="O135"/>
  <c r="O606"/>
  <c r="H785"/>
  <c r="O785" s="1"/>
  <c r="O1363"/>
  <c r="H1362"/>
  <c r="H1361" s="1"/>
  <c r="H1837"/>
  <c r="O1838"/>
  <c r="H461"/>
  <c r="H460" s="1"/>
  <c r="O460" s="1"/>
  <c r="O462"/>
  <c r="H1354"/>
  <c r="O1355"/>
  <c r="O1720"/>
  <c r="H1719"/>
  <c r="O1719" s="1"/>
  <c r="O544"/>
  <c r="H543"/>
  <c r="O543" s="1"/>
  <c r="H199"/>
  <c r="H198" s="1"/>
  <c r="H197" s="1"/>
  <c r="O197" s="1"/>
  <c r="O200"/>
  <c r="O1460"/>
  <c r="H1459"/>
  <c r="H1458" s="1"/>
  <c r="O1458" s="1"/>
  <c r="O417"/>
  <c r="H416"/>
  <c r="O416" s="1"/>
  <c r="O1308"/>
  <c r="H1307"/>
  <c r="O134"/>
  <c r="H133"/>
  <c r="O339"/>
  <c r="H338"/>
  <c r="O338" s="1"/>
  <c r="O1481"/>
  <c r="O221"/>
  <c r="H220"/>
  <c r="O1716"/>
  <c r="H1715"/>
  <c r="O1715" s="1"/>
  <c r="O594"/>
  <c r="H593"/>
  <c r="O593" s="1"/>
  <c r="H889"/>
  <c r="H888" s="1"/>
  <c r="O890"/>
  <c r="H161"/>
  <c r="O161" s="1"/>
  <c r="H486"/>
  <c r="H1132"/>
  <c r="O1132" s="1"/>
  <c r="O26"/>
  <c r="H67"/>
  <c r="H66" s="1"/>
  <c r="H65" s="1"/>
  <c r="H64" s="1"/>
  <c r="O64" s="1"/>
  <c r="H180"/>
  <c r="O180" s="1"/>
  <c r="O340"/>
  <c r="H346"/>
  <c r="H345" s="1"/>
  <c r="O345" s="1"/>
  <c r="O374"/>
  <c r="O382"/>
  <c r="O447"/>
  <c r="H506"/>
  <c r="H505" s="1"/>
  <c r="O505" s="1"/>
  <c r="O531"/>
  <c r="O545"/>
  <c r="H556"/>
  <c r="H555" s="1"/>
  <c r="O601"/>
  <c r="O629"/>
  <c r="O656"/>
  <c r="O671"/>
  <c r="O758"/>
  <c r="H834"/>
  <c r="H833" s="1"/>
  <c r="O833" s="1"/>
  <c r="O897"/>
  <c r="H907"/>
  <c r="H906" s="1"/>
  <c r="H932"/>
  <c r="H931" s="1"/>
  <c r="O949"/>
  <c r="O977"/>
  <c r="H1024"/>
  <c r="O1031"/>
  <c r="O1309"/>
  <c r="O1320"/>
  <c r="H1348"/>
  <c r="O1348" s="1"/>
  <c r="O1364"/>
  <c r="O1374"/>
  <c r="O1464"/>
  <c r="O1537"/>
  <c r="O1709"/>
  <c r="O1740"/>
  <c r="H1054"/>
  <c r="O1054" s="1"/>
  <c r="H1065"/>
  <c r="H1121"/>
  <c r="O1121" s="1"/>
  <c r="H1155"/>
  <c r="O1278"/>
  <c r="O1519"/>
  <c r="H1597"/>
  <c r="O1597" s="1"/>
  <c r="O1700"/>
  <c r="O1717"/>
  <c r="H1729"/>
  <c r="O1758"/>
  <c r="O1861"/>
  <c r="O1864"/>
  <c r="O41"/>
  <c r="O129"/>
  <c r="O185"/>
  <c r="H205"/>
  <c r="O205" s="1"/>
  <c r="O222"/>
  <c r="H229"/>
  <c r="O229" s="1"/>
  <c r="H323"/>
  <c r="O323" s="1"/>
  <c r="O418"/>
  <c r="H470"/>
  <c r="H469" s="1"/>
  <c r="O484"/>
  <c r="O708"/>
  <c r="H742"/>
  <c r="H741" s="1"/>
  <c r="O741" s="1"/>
  <c r="O747"/>
  <c r="O1005"/>
  <c r="O1037"/>
  <c r="H1042"/>
  <c r="O1042" s="1"/>
  <c r="O1062"/>
  <c r="H1096"/>
  <c r="H1095" s="1"/>
  <c r="O1095" s="1"/>
  <c r="H1108"/>
  <c r="O1108" s="1"/>
  <c r="H1211"/>
  <c r="O1211" s="1"/>
  <c r="O1288"/>
  <c r="O1522"/>
  <c r="O1553"/>
  <c r="H1648"/>
  <c r="O1648" s="1"/>
  <c r="H1661"/>
  <c r="O1661" s="1"/>
  <c r="O1681"/>
  <c r="O1733"/>
  <c r="H60"/>
  <c r="O210"/>
  <c r="H216"/>
  <c r="O216" s="1"/>
  <c r="O284"/>
  <c r="H333"/>
  <c r="O354"/>
  <c r="H390"/>
  <c r="H389" s="1"/>
  <c r="O501"/>
  <c r="H698"/>
  <c r="H991"/>
  <c r="O991" s="1"/>
  <c r="H1291"/>
  <c r="O1291" s="1"/>
  <c r="H1328"/>
  <c r="O1328" s="1"/>
  <c r="H1416"/>
  <c r="O1416" s="1"/>
  <c r="H1455"/>
  <c r="O1455" s="1"/>
  <c r="O1631"/>
  <c r="H1637"/>
  <c r="H1636" s="1"/>
  <c r="H1822"/>
  <c r="O1822" s="1"/>
  <c r="H588"/>
  <c r="H587" s="1"/>
  <c r="H958"/>
  <c r="O958" s="1"/>
  <c r="H1017"/>
  <c r="O1017" s="1"/>
  <c r="H1033"/>
  <c r="O1033" s="1"/>
  <c r="O1823"/>
  <c r="H125"/>
  <c r="O125" s="1"/>
  <c r="H235"/>
  <c r="H234" s="1"/>
  <c r="O234" s="1"/>
  <c r="H245"/>
  <c r="O245" s="1"/>
  <c r="H250"/>
  <c r="H249" s="1"/>
  <c r="H297"/>
  <c r="O297" s="1"/>
  <c r="O401"/>
  <c r="H494"/>
  <c r="O589"/>
  <c r="H648"/>
  <c r="O648" s="1"/>
  <c r="H660"/>
  <c r="O717"/>
  <c r="H780"/>
  <c r="H779" s="1"/>
  <c r="O787"/>
  <c r="O987"/>
  <c r="O1020"/>
  <c r="H1102"/>
  <c r="O1102" s="1"/>
  <c r="O1164"/>
  <c r="H1175"/>
  <c r="H1531"/>
  <c r="O1612"/>
  <c r="O1685"/>
  <c r="O1857"/>
  <c r="H366"/>
  <c r="H365" s="1"/>
  <c r="H364" s="1"/>
  <c r="O857"/>
  <c r="O655"/>
  <c r="H194"/>
  <c r="H193" s="1"/>
  <c r="O193" s="1"/>
  <c r="O44"/>
  <c r="H39"/>
  <c r="O39" s="1"/>
  <c r="H92"/>
  <c r="O93"/>
  <c r="O198"/>
  <c r="O189"/>
  <c r="H188"/>
  <c r="O188" s="1"/>
  <c r="O268"/>
  <c r="H267"/>
  <c r="O73"/>
  <c r="H72"/>
  <c r="O313"/>
  <c r="H312"/>
  <c r="O312" s="1"/>
  <c r="O82"/>
  <c r="H81"/>
  <c r="O140"/>
  <c r="H139"/>
  <c r="O287"/>
  <c r="H286"/>
  <c r="O309"/>
  <c r="H308"/>
  <c r="O308" s="1"/>
  <c r="H282"/>
  <c r="O282" s="1"/>
  <c r="O283"/>
  <c r="O25"/>
  <c r="O144"/>
  <c r="H143"/>
  <c r="O143" s="1"/>
  <c r="O183"/>
  <c r="H258"/>
  <c r="O259"/>
  <c r="H274"/>
  <c r="O275"/>
  <c r="H581"/>
  <c r="O582"/>
  <c r="H624"/>
  <c r="O625"/>
  <c r="O314"/>
  <c r="H504"/>
  <c r="O616"/>
  <c r="O373"/>
  <c r="H551"/>
  <c r="O552"/>
  <c r="O600"/>
  <c r="H752"/>
  <c r="O753"/>
  <c r="H812"/>
  <c r="O812" s="1"/>
  <c r="O813"/>
  <c r="O959"/>
  <c r="H614"/>
  <c r="O615"/>
  <c r="H1579"/>
  <c r="O1579" s="1"/>
  <c r="O1580"/>
  <c r="O184"/>
  <c r="O260"/>
  <c r="H427"/>
  <c r="O428"/>
  <c r="O626"/>
  <c r="O45"/>
  <c r="O141"/>
  <c r="O145"/>
  <c r="O190"/>
  <c r="O236"/>
  <c r="O241"/>
  <c r="O253"/>
  <c r="O269"/>
  <c r="O298"/>
  <c r="O310"/>
  <c r="O353"/>
  <c r="H498"/>
  <c r="O499"/>
  <c r="O556"/>
  <c r="H604"/>
  <c r="O605"/>
  <c r="O746"/>
  <c r="O757"/>
  <c r="H765"/>
  <c r="O766"/>
  <c r="O1084"/>
  <c r="H1080"/>
  <c r="H1184"/>
  <c r="O1184" s="1"/>
  <c r="O1185"/>
  <c r="H537"/>
  <c r="O537" s="1"/>
  <c r="O538"/>
  <c r="O157"/>
  <c r="O276"/>
  <c r="H35"/>
  <c r="O35" s="1"/>
  <c r="H49"/>
  <c r="H175"/>
  <c r="H371"/>
  <c r="O372"/>
  <c r="H598"/>
  <c r="O598" s="1"/>
  <c r="O599"/>
  <c r="H827"/>
  <c r="O830"/>
  <c r="H844"/>
  <c r="O845"/>
  <c r="O661"/>
  <c r="H755"/>
  <c r="O755" s="1"/>
  <c r="O756"/>
  <c r="H302"/>
  <c r="O302" s="1"/>
  <c r="O391"/>
  <c r="H521"/>
  <c r="O522"/>
  <c r="H561"/>
  <c r="O562"/>
  <c r="H653"/>
  <c r="O654"/>
  <c r="H729"/>
  <c r="O730"/>
  <c r="O1024"/>
  <c r="H1147"/>
  <c r="O1148"/>
  <c r="H1756"/>
  <c r="O1757"/>
  <c r="H1760"/>
  <c r="O1760" s="1"/>
  <c r="O1761"/>
  <c r="H554"/>
  <c r="O555"/>
  <c r="H380"/>
  <c r="O381"/>
  <c r="H405"/>
  <c r="O406"/>
  <c r="O610"/>
  <c r="H641"/>
  <c r="O642"/>
  <c r="H996"/>
  <c r="O996" s="1"/>
  <c r="O997"/>
  <c r="H1007"/>
  <c r="O1007" s="1"/>
  <c r="O1008"/>
  <c r="H1236"/>
  <c r="O1236" s="1"/>
  <c r="O1241"/>
  <c r="H1562"/>
  <c r="O1563"/>
  <c r="H608"/>
  <c r="O609"/>
  <c r="H351"/>
  <c r="O352"/>
  <c r="O407"/>
  <c r="H437"/>
  <c r="O438"/>
  <c r="H512"/>
  <c r="O513"/>
  <c r="H574"/>
  <c r="H575"/>
  <c r="O575" s="1"/>
  <c r="O774"/>
  <c r="H771"/>
  <c r="H840"/>
  <c r="O841"/>
  <c r="O948"/>
  <c r="O964"/>
  <c r="H1048"/>
  <c r="O1048" s="1"/>
  <c r="O1049"/>
  <c r="O1223"/>
  <c r="O1671"/>
  <c r="H819"/>
  <c r="O820"/>
  <c r="H1073"/>
  <c r="O1074"/>
  <c r="H1090"/>
  <c r="O1091"/>
  <c r="H1162"/>
  <c r="O1163"/>
  <c r="H801"/>
  <c r="O802"/>
  <c r="H1113"/>
  <c r="O1114"/>
  <c r="H1198"/>
  <c r="O1202"/>
  <c r="O790"/>
  <c r="H1169"/>
  <c r="O1170"/>
  <c r="H1257"/>
  <c r="O1258"/>
  <c r="H1341"/>
  <c r="O1341" s="1"/>
  <c r="O1346"/>
  <c r="H809"/>
  <c r="O810"/>
  <c r="H1012"/>
  <c r="O1012" s="1"/>
  <c r="H1180"/>
  <c r="O1180" s="1"/>
  <c r="O1181"/>
  <c r="H1190"/>
  <c r="O1191"/>
  <c r="H1690"/>
  <c r="O1691"/>
  <c r="H1793"/>
  <c r="O1794"/>
  <c r="H851"/>
  <c r="O852"/>
  <c r="O883"/>
  <c r="H895"/>
  <c r="O896"/>
  <c r="H1060"/>
  <c r="O1060" s="1"/>
  <c r="O1061"/>
  <c r="H1250"/>
  <c r="O1251"/>
  <c r="H1388"/>
  <c r="O1388" s="1"/>
  <c r="O1389"/>
  <c r="H1669"/>
  <c r="O1670"/>
  <c r="O1795"/>
  <c r="H1845"/>
  <c r="O1851"/>
  <c r="H1474"/>
  <c r="O1475"/>
  <c r="O1552"/>
  <c r="H1555"/>
  <c r="O1555" s="1"/>
  <c r="O1556"/>
  <c r="H1676"/>
  <c r="O1677"/>
  <c r="H1625"/>
  <c r="O1626"/>
  <c r="H1811"/>
  <c r="O1812"/>
  <c r="H1869"/>
  <c r="O1870"/>
  <c r="O879"/>
  <c r="O918"/>
  <c r="O967"/>
  <c r="O1052"/>
  <c r="O1193"/>
  <c r="O1244"/>
  <c r="O1254"/>
  <c r="H1591"/>
  <c r="O1591" s="1"/>
  <c r="O1592"/>
  <c r="H1610"/>
  <c r="O1611"/>
  <c r="O1627"/>
  <c r="H1679"/>
  <c r="O1679" s="1"/>
  <c r="O1680"/>
  <c r="O1744"/>
  <c r="O1774"/>
  <c r="O1813"/>
  <c r="H1833"/>
  <c r="O1834"/>
  <c r="H1855"/>
  <c r="O1855" s="1"/>
  <c r="O1856"/>
  <c r="H1859"/>
  <c r="O1859" s="1"/>
  <c r="O1860"/>
  <c r="H1425"/>
  <c r="O1425" s="1"/>
  <c r="O1426"/>
  <c r="O1521"/>
  <c r="H1517"/>
  <c r="H1544"/>
  <c r="O1545"/>
  <c r="O1576"/>
  <c r="H1600"/>
  <c r="O1600" s="1"/>
  <c r="H1651"/>
  <c r="O1651" s="1"/>
  <c r="H1818"/>
  <c r="O1819"/>
  <c r="H1315"/>
  <c r="H1510"/>
  <c r="O1511"/>
  <c r="H1616"/>
  <c r="O1617"/>
  <c r="H1629"/>
  <c r="O1629" s="1"/>
  <c r="O1630"/>
  <c r="H1836"/>
  <c r="O1836" s="1"/>
  <c r="O1837"/>
  <c r="H1888"/>
  <c r="O1892"/>
  <c r="H1412"/>
  <c r="O1413"/>
  <c r="H1535"/>
  <c r="O1536"/>
  <c r="H1683"/>
  <c r="O1683" s="1"/>
  <c r="O1684"/>
  <c r="H1707"/>
  <c r="O1708"/>
  <c r="H1821"/>
  <c r="O1821" s="1"/>
  <c r="O1620"/>
  <c r="O1559"/>
  <c r="O1595"/>
  <c r="O1646"/>
  <c r="O1659"/>
  <c r="H283" i="4"/>
  <c r="H282" s="1"/>
  <c r="O282" s="1"/>
  <c r="H320"/>
  <c r="O320" s="1"/>
  <c r="H330"/>
  <c r="O330" s="1"/>
  <c r="H503"/>
  <c r="H502" s="1"/>
  <c r="H501" s="1"/>
  <c r="H542"/>
  <c r="O542" s="1"/>
  <c r="H553"/>
  <c r="H552" s="1"/>
  <c r="H726"/>
  <c r="H725" s="1"/>
  <c r="H1018"/>
  <c r="O1018" s="1"/>
  <c r="H1057"/>
  <c r="O1057" s="1"/>
  <c r="H1139"/>
  <c r="O1139" s="1"/>
  <c r="H1280"/>
  <c r="O1280" s="1"/>
  <c r="H1283"/>
  <c r="O1283" s="1"/>
  <c r="H1442"/>
  <c r="O1442" s="1"/>
  <c r="H1445"/>
  <c r="O1445" s="1"/>
  <c r="H1492"/>
  <c r="H1495"/>
  <c r="O1495" s="1"/>
  <c r="H1498"/>
  <c r="O1498" s="1"/>
  <c r="H1528"/>
  <c r="O1528" s="1"/>
  <c r="H1531"/>
  <c r="O1531" s="1"/>
  <c r="H1585"/>
  <c r="H1588"/>
  <c r="O1588" s="1"/>
  <c r="H1591"/>
  <c r="O1591" s="1"/>
  <c r="H1598"/>
  <c r="O1598" s="1"/>
  <c r="H1601"/>
  <c r="O1601" s="1"/>
  <c r="H1604"/>
  <c r="O1604" s="1"/>
  <c r="H1766"/>
  <c r="O1766" s="1"/>
  <c r="H749"/>
  <c r="H748" s="1"/>
  <c r="O748" s="1"/>
  <c r="H1066"/>
  <c r="H1072"/>
  <c r="H1125"/>
  <c r="H1537"/>
  <c r="O1537" s="1"/>
  <c r="H1616"/>
  <c r="O1616" s="1"/>
  <c r="H1792"/>
  <c r="O1792" s="1"/>
  <c r="H82"/>
  <c r="H81" s="1"/>
  <c r="H993"/>
  <c r="O993" s="1"/>
  <c r="H1157"/>
  <c r="H1156" s="1"/>
  <c r="O1156" s="1"/>
  <c r="H1684"/>
  <c r="O1684" s="1"/>
  <c r="H1714"/>
  <c r="O1714" s="1"/>
  <c r="H112"/>
  <c r="O112" s="1"/>
  <c r="H518"/>
  <c r="H527"/>
  <c r="O527" s="1"/>
  <c r="H578"/>
  <c r="H577" s="1"/>
  <c r="H576" s="1"/>
  <c r="H803"/>
  <c r="O803" s="1"/>
  <c r="H859"/>
  <c r="H858" s="1"/>
  <c r="O858" s="1"/>
  <c r="H1078"/>
  <c r="O1078" s="1"/>
  <c r="H1151"/>
  <c r="H1150" s="1"/>
  <c r="H1338"/>
  <c r="H1337" s="1"/>
  <c r="O1337" s="1"/>
  <c r="H1551"/>
  <c r="H1550" s="1"/>
  <c r="O1550" s="1"/>
  <c r="H1577"/>
  <c r="O1577" s="1"/>
  <c r="H591"/>
  <c r="O591" s="1"/>
  <c r="H1041"/>
  <c r="H558"/>
  <c r="H557" s="1"/>
  <c r="H556" s="1"/>
  <c r="O556" s="1"/>
  <c r="H631"/>
  <c r="O631" s="1"/>
  <c r="H689"/>
  <c r="H688" s="1"/>
  <c r="H795"/>
  <c r="H794" s="1"/>
  <c r="O794" s="1"/>
  <c r="H813"/>
  <c r="O813" s="1"/>
  <c r="H908"/>
  <c r="H916"/>
  <c r="O916" s="1"/>
  <c r="H1806"/>
  <c r="O1806" s="1"/>
  <c r="H787"/>
  <c r="H786" s="1"/>
  <c r="O786" s="1"/>
  <c r="H952"/>
  <c r="O952" s="1"/>
  <c r="H713"/>
  <c r="O713" s="1"/>
  <c r="H962"/>
  <c r="O962" s="1"/>
  <c r="H983"/>
  <c r="O983" s="1"/>
  <c r="H1336"/>
  <c r="O1336" s="1"/>
  <c r="H230"/>
  <c r="O230" s="1"/>
  <c r="H934"/>
  <c r="O934" s="1"/>
  <c r="O955"/>
  <c r="O965"/>
  <c r="H978"/>
  <c r="O978" s="1"/>
  <c r="O986"/>
  <c r="H571"/>
  <c r="O571" s="1"/>
  <c r="H828"/>
  <c r="H827" s="1"/>
  <c r="H845"/>
  <c r="H942"/>
  <c r="O942" s="1"/>
  <c r="H972"/>
  <c r="O972" s="1"/>
  <c r="H73"/>
  <c r="H72" s="1"/>
  <c r="O87"/>
  <c r="H585"/>
  <c r="O585" s="1"/>
  <c r="H638"/>
  <c r="H637" s="1"/>
  <c r="O637" s="1"/>
  <c r="H657"/>
  <c r="O657" s="1"/>
  <c r="H677"/>
  <c r="O677" s="1"/>
  <c r="O717"/>
  <c r="O932"/>
  <c r="H967"/>
  <c r="O967" s="1"/>
  <c r="H1199"/>
  <c r="O1199" s="1"/>
  <c r="H1797"/>
  <c r="O1797" s="1"/>
  <c r="H924"/>
  <c r="O924" s="1"/>
  <c r="H250"/>
  <c r="H249" s="1"/>
  <c r="H440"/>
  <c r="O440" s="1"/>
  <c r="H883"/>
  <c r="H882" s="1"/>
  <c r="O882" s="1"/>
  <c r="H947"/>
  <c r="O947" s="1"/>
  <c r="H988"/>
  <c r="H1108"/>
  <c r="H1174"/>
  <c r="O1174" s="1"/>
  <c r="H1292"/>
  <c r="O1292" s="1"/>
  <c r="H24"/>
  <c r="O25"/>
  <c r="H102"/>
  <c r="O102" s="1"/>
  <c r="O103"/>
  <c r="O107"/>
  <c r="H106"/>
  <c r="O106" s="1"/>
  <c r="H125"/>
  <c r="O126"/>
  <c r="H133"/>
  <c r="O134"/>
  <c r="H173"/>
  <c r="O174"/>
  <c r="H204"/>
  <c r="O205"/>
  <c r="H349"/>
  <c r="O350"/>
  <c r="H377"/>
  <c r="O378"/>
  <c r="H402"/>
  <c r="O403"/>
  <c r="H551"/>
  <c r="O552"/>
  <c r="O688"/>
  <c r="H798"/>
  <c r="O798" s="1"/>
  <c r="O799"/>
  <c r="O26"/>
  <c r="O36"/>
  <c r="H39"/>
  <c r="O39" s="1"/>
  <c r="O50"/>
  <c r="H53"/>
  <c r="H59"/>
  <c r="O73"/>
  <c r="H93"/>
  <c r="O94"/>
  <c r="H245"/>
  <c r="O245" s="1"/>
  <c r="O246"/>
  <c r="H308"/>
  <c r="O308" s="1"/>
  <c r="O309"/>
  <c r="H386"/>
  <c r="O557"/>
  <c r="H606"/>
  <c r="O607"/>
  <c r="O622"/>
  <c r="H651"/>
  <c r="O652"/>
  <c r="H724"/>
  <c r="O725"/>
  <c r="H897"/>
  <c r="O897" s="1"/>
  <c r="O898"/>
  <c r="O286"/>
  <c r="H496"/>
  <c r="O497"/>
  <c r="H601"/>
  <c r="O602"/>
  <c r="H767"/>
  <c r="O768"/>
  <c r="O67"/>
  <c r="H66"/>
  <c r="H220"/>
  <c r="O221"/>
  <c r="H369"/>
  <c r="O370"/>
  <c r="H546"/>
  <c r="O546" s="1"/>
  <c r="O547"/>
  <c r="H596"/>
  <c r="O597"/>
  <c r="H762"/>
  <c r="O763"/>
  <c r="O845"/>
  <c r="H844"/>
  <c r="O844" s="1"/>
  <c r="H876"/>
  <c r="O877"/>
  <c r="H1130"/>
  <c r="O1131"/>
  <c r="H1144"/>
  <c r="O1145"/>
  <c r="O1261"/>
  <c r="H1475"/>
  <c r="O1476"/>
  <c r="H1655"/>
  <c r="O1656"/>
  <c r="O1696"/>
  <c r="H1705"/>
  <c r="O1706"/>
  <c r="H118"/>
  <c r="H128"/>
  <c r="O128" s="1"/>
  <c r="O135"/>
  <c r="H140"/>
  <c r="H144"/>
  <c r="H149"/>
  <c r="H153"/>
  <c r="H157"/>
  <c r="H161"/>
  <c r="O175"/>
  <c r="H180"/>
  <c r="H184"/>
  <c r="H189"/>
  <c r="H194"/>
  <c r="H199"/>
  <c r="O206"/>
  <c r="O217"/>
  <c r="O222"/>
  <c r="H229"/>
  <c r="H235"/>
  <c r="H240"/>
  <c r="O240" s="1"/>
  <c r="O247"/>
  <c r="O251"/>
  <c r="H260"/>
  <c r="H268"/>
  <c r="H276"/>
  <c r="O287"/>
  <c r="H297"/>
  <c r="H302"/>
  <c r="O302" s="1"/>
  <c r="O306"/>
  <c r="O310"/>
  <c r="H315"/>
  <c r="H335"/>
  <c r="H344"/>
  <c r="O351"/>
  <c r="H356"/>
  <c r="H364"/>
  <c r="O371"/>
  <c r="O379"/>
  <c r="O388"/>
  <c r="O398"/>
  <c r="O404"/>
  <c r="H410"/>
  <c r="H414"/>
  <c r="H425"/>
  <c r="H435"/>
  <c r="H459"/>
  <c r="H467"/>
  <c r="H483"/>
  <c r="O483" s="1"/>
  <c r="H490"/>
  <c r="O490" s="1"/>
  <c r="O498"/>
  <c r="O503"/>
  <c r="O509"/>
  <c r="O518"/>
  <c r="H535"/>
  <c r="H541"/>
  <c r="O548"/>
  <c r="O553"/>
  <c r="O558"/>
  <c r="H564"/>
  <c r="O573"/>
  <c r="O598"/>
  <c r="O603"/>
  <c r="O608"/>
  <c r="O623"/>
  <c r="H625"/>
  <c r="O625" s="1"/>
  <c r="H630"/>
  <c r="H645"/>
  <c r="O645" s="1"/>
  <c r="O653"/>
  <c r="O658"/>
  <c r="O668"/>
  <c r="H671"/>
  <c r="O671" s="1"/>
  <c r="O689"/>
  <c r="H695"/>
  <c r="O699"/>
  <c r="H701"/>
  <c r="O701" s="1"/>
  <c r="O705"/>
  <c r="H712"/>
  <c r="O726"/>
  <c r="H733"/>
  <c r="H739"/>
  <c r="O749"/>
  <c r="H755"/>
  <c r="O764"/>
  <c r="O769"/>
  <c r="H776"/>
  <c r="O788"/>
  <c r="O795"/>
  <c r="O800"/>
  <c r="H802"/>
  <c r="O802" s="1"/>
  <c r="H807"/>
  <c r="H821"/>
  <c r="O831"/>
  <c r="H833"/>
  <c r="O833" s="1"/>
  <c r="H838"/>
  <c r="O842"/>
  <c r="O848"/>
  <c r="H850"/>
  <c r="O850" s="1"/>
  <c r="H855"/>
  <c r="H865"/>
  <c r="H870"/>
  <c r="O878"/>
  <c r="O899"/>
  <c r="O1050"/>
  <c r="H1049"/>
  <c r="O1060"/>
  <c r="O1150"/>
  <c r="H1271"/>
  <c r="O1272"/>
  <c r="H1470"/>
  <c r="O1471"/>
  <c r="O1516"/>
  <c r="H1549"/>
  <c r="H1659"/>
  <c r="O1659" s="1"/>
  <c r="O1660"/>
  <c r="H1700"/>
  <c r="O1700" s="1"/>
  <c r="O1701"/>
  <c r="H1772"/>
  <c r="O1773"/>
  <c r="H613"/>
  <c r="O939"/>
  <c r="O1045"/>
  <c r="H1044"/>
  <c r="O1044" s="1"/>
  <c r="H1160"/>
  <c r="O1160" s="1"/>
  <c r="O1161"/>
  <c r="O1226"/>
  <c r="H1317"/>
  <c r="O1318"/>
  <c r="O1397"/>
  <c r="O1545"/>
  <c r="H1558"/>
  <c r="O1559"/>
  <c r="H1668"/>
  <c r="O1669"/>
  <c r="H1787"/>
  <c r="O1787" s="1"/>
  <c r="O1788"/>
  <c r="O1412"/>
  <c r="H1501"/>
  <c r="O1501" s="1"/>
  <c r="O1502"/>
  <c r="H1646"/>
  <c r="O1647"/>
  <c r="H1003"/>
  <c r="H1012"/>
  <c r="O1012" s="1"/>
  <c r="H1021"/>
  <c r="O1021" s="1"/>
  <c r="H1027"/>
  <c r="O1027" s="1"/>
  <c r="H1033"/>
  <c r="O1033" s="1"/>
  <c r="O1132"/>
  <c r="O1146"/>
  <c r="O1151"/>
  <c r="O1162"/>
  <c r="H1168"/>
  <c r="H1219"/>
  <c r="O1219" s="1"/>
  <c r="O1227"/>
  <c r="H1229"/>
  <c r="O1229" s="1"/>
  <c r="H1234"/>
  <c r="H1253"/>
  <c r="O1262"/>
  <c r="H1264"/>
  <c r="O1264" s="1"/>
  <c r="O1268"/>
  <c r="O1273"/>
  <c r="H1279"/>
  <c r="O1293"/>
  <c r="O1302"/>
  <c r="H1305"/>
  <c r="O1305" s="1"/>
  <c r="O1319"/>
  <c r="O1328"/>
  <c r="H1330"/>
  <c r="O1338"/>
  <c r="H1345"/>
  <c r="H1356"/>
  <c r="H1365"/>
  <c r="O1369"/>
  <c r="O1398"/>
  <c r="H1404"/>
  <c r="O1408"/>
  <c r="O1413"/>
  <c r="H1415"/>
  <c r="O1415" s="1"/>
  <c r="H1434"/>
  <c r="H1449"/>
  <c r="H1458"/>
  <c r="O1462"/>
  <c r="O1472"/>
  <c r="O1477"/>
  <c r="H1483"/>
  <c r="O1492"/>
  <c r="O1503"/>
  <c r="H1509"/>
  <c r="O1517"/>
  <c r="H1519"/>
  <c r="O1519" s="1"/>
  <c r="O1523"/>
  <c r="H1525"/>
  <c r="O1525" s="1"/>
  <c r="H1541"/>
  <c r="O1541" s="1"/>
  <c r="O1546"/>
  <c r="O1560"/>
  <c r="H1566"/>
  <c r="O1570"/>
  <c r="H1581"/>
  <c r="H1610"/>
  <c r="H1620"/>
  <c r="H1630"/>
  <c r="H1639"/>
  <c r="O1639" s="1"/>
  <c r="O1648"/>
  <c r="O1657"/>
  <c r="O1661"/>
  <c r="O1670"/>
  <c r="O1680"/>
  <c r="H1689"/>
  <c r="O1697"/>
  <c r="O1702"/>
  <c r="O1707"/>
  <c r="H1713"/>
  <c r="H1722"/>
  <c r="H1730"/>
  <c r="H1740"/>
  <c r="H1745"/>
  <c r="H1750"/>
  <c r="H1760"/>
  <c r="O1760" s="1"/>
  <c r="O1774"/>
  <c r="O1784"/>
  <c r="O1789"/>
  <c r="H1816"/>
  <c r="H1826"/>
  <c r="O1826" s="1"/>
  <c r="O940"/>
  <c r="O948"/>
  <c r="H957"/>
  <c r="O957" s="1"/>
  <c r="O1046"/>
  <c r="O1051"/>
  <c r="O1061"/>
  <c r="H1187"/>
  <c r="O1187" s="1"/>
  <c r="H1791" l="1"/>
  <c r="O1791" s="1"/>
  <c r="H1576"/>
  <c r="H160" i="5"/>
  <c r="O160" s="1"/>
  <c r="H812" i="4"/>
  <c r="H281"/>
  <c r="H412" i="5"/>
  <c r="H411" s="1"/>
  <c r="O411" s="1"/>
  <c r="O1664" i="6"/>
  <c r="H1663"/>
  <c r="O1663" s="1"/>
  <c r="O1273"/>
  <c r="H1272"/>
  <c r="H1434"/>
  <c r="O1434" s="1"/>
  <c r="O604"/>
  <c r="H591"/>
  <c r="O591" s="1"/>
  <c r="O504"/>
  <c r="H483"/>
  <c r="O483" s="1"/>
  <c r="O394"/>
  <c r="H393"/>
  <c r="O393" s="1"/>
  <c r="O1568"/>
  <c r="H1567"/>
  <c r="O1567" s="1"/>
  <c r="O1162"/>
  <c r="H1155"/>
  <c r="H121"/>
  <c r="H271"/>
  <c r="O271" s="1"/>
  <c r="O1257"/>
  <c r="H1256"/>
  <c r="H1294"/>
  <c r="O1295"/>
  <c r="H1421"/>
  <c r="O1421" s="1"/>
  <c r="O1422"/>
  <c r="O733"/>
  <c r="H732"/>
  <c r="H1744"/>
  <c r="O1744" s="1"/>
  <c r="O1745"/>
  <c r="H473"/>
  <c r="O474"/>
  <c r="O1738"/>
  <c r="H1737"/>
  <c r="H1391"/>
  <c r="O1392"/>
  <c r="O1787"/>
  <c r="H1786"/>
  <c r="O938"/>
  <c r="H937"/>
  <c r="O937" s="1"/>
  <c r="H292"/>
  <c r="O293"/>
  <c r="H1758"/>
  <c r="O1759"/>
  <c r="H1364"/>
  <c r="O1365"/>
  <c r="H719"/>
  <c r="O720"/>
  <c r="O1541"/>
  <c r="H1540"/>
  <c r="O1540" s="1"/>
  <c r="H225"/>
  <c r="O225" s="1"/>
  <c r="O226"/>
  <c r="O348"/>
  <c r="H347"/>
  <c r="H524"/>
  <c r="O525"/>
  <c r="O264"/>
  <c r="H263"/>
  <c r="O263" s="1"/>
  <c r="O1576"/>
  <c r="H1575"/>
  <c r="H644"/>
  <c r="O644" s="1"/>
  <c r="O645"/>
  <c r="H945"/>
  <c r="O945" s="1"/>
  <c r="O946"/>
  <c r="O1553"/>
  <c r="H367"/>
  <c r="O368"/>
  <c r="H440"/>
  <c r="O441"/>
  <c r="O831"/>
  <c r="H830"/>
  <c r="O790"/>
  <c r="H783"/>
  <c r="O783" s="1"/>
  <c r="H694"/>
  <c r="O694" s="1"/>
  <c r="O695"/>
  <c r="H1831"/>
  <c r="O1831" s="1"/>
  <c r="O1832"/>
  <c r="H1861"/>
  <c r="H1936"/>
  <c r="O1936" s="1"/>
  <c r="O1937"/>
  <c r="H1371"/>
  <c r="O1371" s="1"/>
  <c r="O1372"/>
  <c r="H255"/>
  <c r="O255" s="1"/>
  <c r="O256"/>
  <c r="H1168"/>
  <c r="O1168" s="1"/>
  <c r="O1169"/>
  <c r="O1652"/>
  <c r="H21"/>
  <c r="O22"/>
  <c r="O955"/>
  <c r="H954"/>
  <c r="H1324"/>
  <c r="O1324" s="1"/>
  <c r="O1325"/>
  <c r="H1499"/>
  <c r="O1499" s="1"/>
  <c r="O1500"/>
  <c r="O783" i="4"/>
  <c r="O82"/>
  <c r="O907" i="5"/>
  <c r="O889"/>
  <c r="H459"/>
  <c r="H458" s="1"/>
  <c r="O506"/>
  <c r="H566"/>
  <c r="H565" s="1"/>
  <c r="H564" s="1"/>
  <c r="O564" s="1"/>
  <c r="H1376" i="4"/>
  <c r="O1376" s="1"/>
  <c r="H1056"/>
  <c r="O283"/>
  <c r="H1036"/>
  <c r="O1036" s="1"/>
  <c r="O1641" i="5"/>
  <c r="H1422" i="4"/>
  <c r="H1421" s="1"/>
  <c r="H439"/>
  <c r="O787"/>
  <c r="O250"/>
  <c r="H517"/>
  <c r="O517" s="1"/>
  <c r="O461" i="5"/>
  <c r="H1743"/>
  <c r="O1743" s="1"/>
  <c r="H1773"/>
  <c r="O1773" s="1"/>
  <c r="H1138" i="4"/>
  <c r="O638"/>
  <c r="H570"/>
  <c r="H569" s="1"/>
  <c r="O569" s="1"/>
  <c r="H1077"/>
  <c r="O359" i="5"/>
  <c r="H152"/>
  <c r="O152" s="1"/>
  <c r="H1765" i="4"/>
  <c r="H1241"/>
  <c r="H1240" s="1"/>
  <c r="O1624"/>
  <c r="O883"/>
  <c r="O743"/>
  <c r="O577"/>
  <c r="H915"/>
  <c r="H148" i="5"/>
  <c r="O1362"/>
  <c r="O932"/>
  <c r="O1372"/>
  <c r="O1371"/>
  <c r="O588"/>
  <c r="H204"/>
  <c r="O204" s="1"/>
  <c r="H1381"/>
  <c r="O1618"/>
  <c r="H1575"/>
  <c r="H1574" s="1"/>
  <c r="O1274"/>
  <c r="O692"/>
  <c r="O1275"/>
  <c r="O716"/>
  <c r="H1101"/>
  <c r="H1100" s="1"/>
  <c r="H659"/>
  <c r="H1284"/>
  <c r="O1801"/>
  <c r="O1802"/>
  <c r="O1490"/>
  <c r="H1489"/>
  <c r="H1488" s="1"/>
  <c r="O939"/>
  <c r="O938"/>
  <c r="H633"/>
  <c r="H632" s="1"/>
  <c r="O632" s="1"/>
  <c r="H344"/>
  <c r="O344" s="1"/>
  <c r="O235"/>
  <c r="O884"/>
  <c r="O742"/>
  <c r="H117"/>
  <c r="H116" s="1"/>
  <c r="O1637"/>
  <c r="O1765"/>
  <c r="O660"/>
  <c r="H804"/>
  <c r="O804" s="1"/>
  <c r="O565"/>
  <c r="H1714"/>
  <c r="O1714" s="1"/>
  <c r="O365"/>
  <c r="H124"/>
  <c r="O124" s="1"/>
  <c r="O346"/>
  <c r="H179"/>
  <c r="O179" s="1"/>
  <c r="H442"/>
  <c r="H1265"/>
  <c r="H1068"/>
  <c r="O1068" s="1"/>
  <c r="O1069"/>
  <c r="O1493"/>
  <c r="O390"/>
  <c r="H1451"/>
  <c r="O1096"/>
  <c r="O874"/>
  <c r="O566"/>
  <c r="O250"/>
  <c r="H1569"/>
  <c r="O1570"/>
  <c r="O1405"/>
  <c r="O366"/>
  <c r="O199"/>
  <c r="O780"/>
  <c r="H410"/>
  <c r="O410" s="1"/>
  <c r="O1354"/>
  <c r="H1353"/>
  <c r="H337"/>
  <c r="O337" s="1"/>
  <c r="O67"/>
  <c r="O1531"/>
  <c r="H1530"/>
  <c r="H1154"/>
  <c r="O1155"/>
  <c r="O133"/>
  <c r="H132"/>
  <c r="O333"/>
  <c r="H322"/>
  <c r="O470"/>
  <c r="O1175"/>
  <c r="H1174"/>
  <c r="O698"/>
  <c r="H697"/>
  <c r="O1459"/>
  <c r="O65"/>
  <c r="O60"/>
  <c r="H59"/>
  <c r="O1729"/>
  <c r="H1728"/>
  <c r="H1064"/>
  <c r="O1064" s="1"/>
  <c r="O1065"/>
  <c r="O486"/>
  <c r="H479"/>
  <c r="H219"/>
  <c r="O219" s="1"/>
  <c r="O220"/>
  <c r="H1306"/>
  <c r="O1306" s="1"/>
  <c r="O1307"/>
  <c r="H1023"/>
  <c r="H1022" s="1"/>
  <c r="O1022" s="1"/>
  <c r="H1380"/>
  <c r="O834"/>
  <c r="O66"/>
  <c r="O1480"/>
  <c r="H1479"/>
  <c r="H947"/>
  <c r="O947" s="1"/>
  <c r="O412"/>
  <c r="O494"/>
  <c r="H493"/>
  <c r="O493" s="1"/>
  <c r="O194"/>
  <c r="H1314"/>
  <c r="O1315"/>
  <c r="O1811"/>
  <c r="H1810"/>
  <c r="O1273"/>
  <c r="O1793"/>
  <c r="H1792"/>
  <c r="H1327"/>
  <c r="H1360"/>
  <c r="O1361"/>
  <c r="O888"/>
  <c r="H887"/>
  <c r="O887" s="1"/>
  <c r="H350"/>
  <c r="O350" s="1"/>
  <c r="O351"/>
  <c r="O641"/>
  <c r="H640"/>
  <c r="O1756"/>
  <c r="H1755"/>
  <c r="O581"/>
  <c r="H580"/>
  <c r="H1543"/>
  <c r="O1544"/>
  <c r="O1370"/>
  <c r="H1551"/>
  <c r="H1844"/>
  <c r="O1845"/>
  <c r="O906"/>
  <c r="H905"/>
  <c r="O1257"/>
  <c r="H1256"/>
  <c r="O1256" s="1"/>
  <c r="H1112"/>
  <c r="O1113"/>
  <c r="H1222"/>
  <c r="O937"/>
  <c r="H936"/>
  <c r="O512"/>
  <c r="H511"/>
  <c r="O511" s="1"/>
  <c r="O380"/>
  <c r="H379"/>
  <c r="H1001"/>
  <c r="O1001" s="1"/>
  <c r="O561"/>
  <c r="H560"/>
  <c r="O364"/>
  <c r="H363"/>
  <c r="O363" s="1"/>
  <c r="H843"/>
  <c r="O843" s="1"/>
  <c r="O844"/>
  <c r="O389"/>
  <c r="H388"/>
  <c r="O765"/>
  <c r="H764"/>
  <c r="O498"/>
  <c r="H497"/>
  <c r="O497" s="1"/>
  <c r="O427"/>
  <c r="H426"/>
  <c r="O614"/>
  <c r="H613"/>
  <c r="O613" s="1"/>
  <c r="O551"/>
  <c r="H550"/>
  <c r="H80"/>
  <c r="O81"/>
  <c r="H1516"/>
  <c r="O1517"/>
  <c r="H930"/>
  <c r="O931"/>
  <c r="H147"/>
  <c r="O147" s="1"/>
  <c r="O148"/>
  <c r="H441"/>
  <c r="O442"/>
  <c r="H778"/>
  <c r="O779"/>
  <c r="H273"/>
  <c r="O274"/>
  <c r="H296"/>
  <c r="H1509"/>
  <c r="O1510"/>
  <c r="O587"/>
  <c r="H586"/>
  <c r="O1707"/>
  <c r="H1706"/>
  <c r="H1887"/>
  <c r="O1888"/>
  <c r="H894"/>
  <c r="O895"/>
  <c r="H1189"/>
  <c r="O1190"/>
  <c r="O1162"/>
  <c r="H1161"/>
  <c r="H1534"/>
  <c r="O1535"/>
  <c r="O1474"/>
  <c r="H1470"/>
  <c r="O809"/>
  <c r="H808"/>
  <c r="O808" s="1"/>
  <c r="H1168"/>
  <c r="O1169"/>
  <c r="H839"/>
  <c r="O840"/>
  <c r="O437"/>
  <c r="H436"/>
  <c r="O521"/>
  <c r="H520"/>
  <c r="H826"/>
  <c r="O827"/>
  <c r="O371"/>
  <c r="H370"/>
  <c r="H1832"/>
  <c r="O1832" s="1"/>
  <c r="O1833"/>
  <c r="O1610"/>
  <c r="H1609"/>
  <c r="O1625"/>
  <c r="H1624"/>
  <c r="O1669"/>
  <c r="H1668"/>
  <c r="H1249"/>
  <c r="O1250"/>
  <c r="O882"/>
  <c r="H881"/>
  <c r="O881" s="1"/>
  <c r="H1689"/>
  <c r="O1690"/>
  <c r="H1089"/>
  <c r="O1089" s="1"/>
  <c r="O1090"/>
  <c r="H818"/>
  <c r="O819"/>
  <c r="O608"/>
  <c r="O554"/>
  <c r="O752"/>
  <c r="H751"/>
  <c r="O751" s="1"/>
  <c r="O659"/>
  <c r="H658"/>
  <c r="O658" s="1"/>
  <c r="H257"/>
  <c r="O258"/>
  <c r="H266"/>
  <c r="O267"/>
  <c r="H1817"/>
  <c r="O1818"/>
  <c r="H1450"/>
  <c r="O1451"/>
  <c r="H1675"/>
  <c r="O1676"/>
  <c r="H631"/>
  <c r="O631" s="1"/>
  <c r="O729"/>
  <c r="H728"/>
  <c r="O1800"/>
  <c r="H1799"/>
  <c r="O1412"/>
  <c r="H1411"/>
  <c r="O1616"/>
  <c r="H1615"/>
  <c r="H1424"/>
  <c r="O789"/>
  <c r="H1644"/>
  <c r="O1644" s="1"/>
  <c r="O574"/>
  <c r="H573"/>
  <c r="O469"/>
  <c r="H468"/>
  <c r="H228"/>
  <c r="H48"/>
  <c r="O48" s="1"/>
  <c r="O49"/>
  <c r="O604"/>
  <c r="H603"/>
  <c r="O603" s="1"/>
  <c r="H123"/>
  <c r="O1636"/>
  <c r="H24"/>
  <c r="H281"/>
  <c r="O286"/>
  <c r="O92"/>
  <c r="H91"/>
  <c r="H1868"/>
  <c r="O1869"/>
  <c r="H850"/>
  <c r="O850" s="1"/>
  <c r="O851"/>
  <c r="H800"/>
  <c r="O800" s="1"/>
  <c r="O801"/>
  <c r="O1073"/>
  <c r="H1072"/>
  <c r="O1072" s="1"/>
  <c r="H770"/>
  <c r="O771"/>
  <c r="O358"/>
  <c r="H357"/>
  <c r="O1562"/>
  <c r="H1561"/>
  <c r="O1561" s="1"/>
  <c r="O715"/>
  <c r="H714"/>
  <c r="O1147"/>
  <c r="H1146"/>
  <c r="H1079"/>
  <c r="O1080"/>
  <c r="O624"/>
  <c r="H623"/>
  <c r="H1197"/>
  <c r="O1198"/>
  <c r="O405"/>
  <c r="H404"/>
  <c r="O404" s="1"/>
  <c r="O653"/>
  <c r="H652"/>
  <c r="O652" s="1"/>
  <c r="O1023"/>
  <c r="O459"/>
  <c r="H174"/>
  <c r="O175"/>
  <c r="O504"/>
  <c r="H503"/>
  <c r="O503" s="1"/>
  <c r="O139"/>
  <c r="H138"/>
  <c r="H71"/>
  <c r="O72"/>
  <c r="H244"/>
  <c r="O244" s="1"/>
  <c r="O249"/>
  <c r="H1335" i="4"/>
  <c r="O828"/>
  <c r="H1491"/>
  <c r="H590"/>
  <c r="O590" s="1"/>
  <c r="H881"/>
  <c r="O881" s="1"/>
  <c r="O502"/>
  <c r="O1125"/>
  <c r="H1124"/>
  <c r="O578"/>
  <c r="H319"/>
  <c r="O319" s="1"/>
  <c r="O1072"/>
  <c r="H1071"/>
  <c r="O1071" s="1"/>
  <c r="H1441"/>
  <c r="O1041"/>
  <c r="H1040"/>
  <c r="O1040" s="1"/>
  <c r="O1066"/>
  <c r="H1065"/>
  <c r="O1065" s="1"/>
  <c r="H1584"/>
  <c r="O1584" s="1"/>
  <c r="H1615"/>
  <c r="O1551"/>
  <c r="O1157"/>
  <c r="O908"/>
  <c r="H907"/>
  <c r="O1585"/>
  <c r="O859"/>
  <c r="H584"/>
  <c r="O584" s="1"/>
  <c r="H476"/>
  <c r="O476" s="1"/>
  <c r="O1108"/>
  <c r="H1088"/>
  <c r="H914"/>
  <c r="O915"/>
  <c r="H1149"/>
  <c r="O1149" s="1"/>
  <c r="O1077"/>
  <c r="H1076"/>
  <c r="O988"/>
  <c r="H977"/>
  <c r="O977" s="1"/>
  <c r="H1796"/>
  <c r="H1795" s="1"/>
  <c r="O1795" s="1"/>
  <c r="O1730"/>
  <c r="H1729"/>
  <c r="O1615"/>
  <c r="O1576"/>
  <c r="O1365"/>
  <c r="H1364"/>
  <c r="O1335"/>
  <c r="H1334"/>
  <c r="O1253"/>
  <c r="H1252"/>
  <c r="O1138"/>
  <c r="H1137"/>
  <c r="O1646"/>
  <c r="H1645"/>
  <c r="O1668"/>
  <c r="O1317"/>
  <c r="H1316"/>
  <c r="H1055"/>
  <c r="O1056"/>
  <c r="O855"/>
  <c r="H854"/>
  <c r="O854" s="1"/>
  <c r="O838"/>
  <c r="H837"/>
  <c r="O837" s="1"/>
  <c r="O812"/>
  <c r="H811"/>
  <c r="O712"/>
  <c r="H711"/>
  <c r="O695"/>
  <c r="H694"/>
  <c r="O630"/>
  <c r="H629"/>
  <c r="O535"/>
  <c r="H534"/>
  <c r="O467"/>
  <c r="H466"/>
  <c r="O425"/>
  <c r="H424"/>
  <c r="O364"/>
  <c r="H363"/>
  <c r="O335"/>
  <c r="H334"/>
  <c r="O334" s="1"/>
  <c r="O229"/>
  <c r="O199"/>
  <c r="H198"/>
  <c r="O180"/>
  <c r="H179"/>
  <c r="O179" s="1"/>
  <c r="O153"/>
  <c r="H152"/>
  <c r="O152" s="1"/>
  <c r="O1705"/>
  <c r="H1704"/>
  <c r="O1704" s="1"/>
  <c r="O1655"/>
  <c r="H1654"/>
  <c r="O1475"/>
  <c r="H1474"/>
  <c r="O1130"/>
  <c r="H1129"/>
  <c r="O596"/>
  <c r="H595"/>
  <c r="O595" s="1"/>
  <c r="O220"/>
  <c r="H219"/>
  <c r="O219" s="1"/>
  <c r="O601"/>
  <c r="H600"/>
  <c r="O600" s="1"/>
  <c r="O281"/>
  <c r="H280"/>
  <c r="O651"/>
  <c r="H650"/>
  <c r="O606"/>
  <c r="H605"/>
  <c r="O386"/>
  <c r="H385"/>
  <c r="O72"/>
  <c r="H71"/>
  <c r="O551"/>
  <c r="H545"/>
  <c r="O545" s="1"/>
  <c r="O377"/>
  <c r="H376"/>
  <c r="O204"/>
  <c r="H203"/>
  <c r="O203" s="1"/>
  <c r="O133"/>
  <c r="H132"/>
  <c r="O24"/>
  <c r="H1411"/>
  <c r="H1225"/>
  <c r="H1198"/>
  <c r="H1260"/>
  <c r="H656"/>
  <c r="O1765"/>
  <c r="H1764"/>
  <c r="O1764" s="1"/>
  <c r="O1740"/>
  <c r="H1739"/>
  <c r="O1620"/>
  <c r="H1619"/>
  <c r="O1619" s="1"/>
  <c r="O1581"/>
  <c r="H1580"/>
  <c r="O1580" s="1"/>
  <c r="O1509"/>
  <c r="H1508"/>
  <c r="O1449"/>
  <c r="H1448"/>
  <c r="O1448" s="1"/>
  <c r="O1279"/>
  <c r="H1278"/>
  <c r="O1168"/>
  <c r="H1167"/>
  <c r="H612"/>
  <c r="O613"/>
  <c r="O1549"/>
  <c r="H1548"/>
  <c r="O1548" s="1"/>
  <c r="O1470"/>
  <c r="H1469"/>
  <c r="O821"/>
  <c r="H820"/>
  <c r="O776"/>
  <c r="H775"/>
  <c r="O564"/>
  <c r="H563"/>
  <c r="O541"/>
  <c r="H540"/>
  <c r="O540" s="1"/>
  <c r="H475"/>
  <c r="O435"/>
  <c r="H434"/>
  <c r="O344"/>
  <c r="H343"/>
  <c r="O260"/>
  <c r="H259"/>
  <c r="O235"/>
  <c r="H234"/>
  <c r="O234" s="1"/>
  <c r="O184"/>
  <c r="H183"/>
  <c r="O157"/>
  <c r="H156"/>
  <c r="O156" s="1"/>
  <c r="O140"/>
  <c r="H139"/>
  <c r="O66"/>
  <c r="H65"/>
  <c r="H1540"/>
  <c r="O1540" s="1"/>
  <c r="O1745"/>
  <c r="O1713"/>
  <c r="H1712"/>
  <c r="O1689"/>
  <c r="H1683"/>
  <c r="O1683" s="1"/>
  <c r="O1566"/>
  <c r="H1565"/>
  <c r="O1483"/>
  <c r="H1482"/>
  <c r="O1458"/>
  <c r="H1457"/>
  <c r="O1345"/>
  <c r="H1344"/>
  <c r="O1003"/>
  <c r="H999"/>
  <c r="O1558"/>
  <c r="H1557"/>
  <c r="O1049"/>
  <c r="H1048"/>
  <c r="O1048" s="1"/>
  <c r="O865"/>
  <c r="H864"/>
  <c r="O755"/>
  <c r="H754"/>
  <c r="O733"/>
  <c r="H732"/>
  <c r="O570"/>
  <c r="O439"/>
  <c r="H438"/>
  <c r="O410"/>
  <c r="H409"/>
  <c r="O315"/>
  <c r="H314"/>
  <c r="O297"/>
  <c r="H296"/>
  <c r="O268"/>
  <c r="H267"/>
  <c r="O189"/>
  <c r="H188"/>
  <c r="O188" s="1"/>
  <c r="O161"/>
  <c r="H160"/>
  <c r="O160" s="1"/>
  <c r="O144"/>
  <c r="H143"/>
  <c r="O143" s="1"/>
  <c r="O118"/>
  <c r="H117"/>
  <c r="O1144"/>
  <c r="O876"/>
  <c r="H875"/>
  <c r="O762"/>
  <c r="H761"/>
  <c r="O369"/>
  <c r="H368"/>
  <c r="O81"/>
  <c r="H80"/>
  <c r="O767"/>
  <c r="H766"/>
  <c r="O766" s="1"/>
  <c r="O496"/>
  <c r="H495"/>
  <c r="O249"/>
  <c r="H244"/>
  <c r="O244" s="1"/>
  <c r="O724"/>
  <c r="O576"/>
  <c r="H575"/>
  <c r="O575" s="1"/>
  <c r="O501"/>
  <c r="H500"/>
  <c r="O500" s="1"/>
  <c r="O93"/>
  <c r="H92"/>
  <c r="O53"/>
  <c r="H48"/>
  <c r="O48" s="1"/>
  <c r="O402"/>
  <c r="H401"/>
  <c r="O401" s="1"/>
  <c r="O349"/>
  <c r="H348"/>
  <c r="O173"/>
  <c r="H124"/>
  <c r="O125"/>
  <c r="H1173"/>
  <c r="H1291"/>
  <c r="H1695"/>
  <c r="H621"/>
  <c r="H636"/>
  <c r="O1422"/>
  <c r="O1816"/>
  <c r="H1815"/>
  <c r="O1750"/>
  <c r="H1749"/>
  <c r="O1749" s="1"/>
  <c r="O1722"/>
  <c r="H1721"/>
  <c r="O1630"/>
  <c r="H1629"/>
  <c r="O1610"/>
  <c r="H1609"/>
  <c r="O1434"/>
  <c r="H1433"/>
  <c r="O1404"/>
  <c r="H1403"/>
  <c r="O1356"/>
  <c r="H1355"/>
  <c r="O1355" s="1"/>
  <c r="O1330"/>
  <c r="H1326"/>
  <c r="O1234"/>
  <c r="H1233"/>
  <c r="O1772"/>
  <c r="H1771"/>
  <c r="O1771" s="1"/>
  <c r="O1271"/>
  <c r="H1270"/>
  <c r="O1270" s="1"/>
  <c r="O870"/>
  <c r="H869"/>
  <c r="O807"/>
  <c r="H806"/>
  <c r="O806" s="1"/>
  <c r="O739"/>
  <c r="H738"/>
  <c r="O738" s="1"/>
  <c r="O459"/>
  <c r="H458"/>
  <c r="O414"/>
  <c r="H413"/>
  <c r="O356"/>
  <c r="H355"/>
  <c r="H318"/>
  <c r="O318" s="1"/>
  <c r="O276"/>
  <c r="H275"/>
  <c r="O194"/>
  <c r="H193"/>
  <c r="O193" s="1"/>
  <c r="O149"/>
  <c r="H148"/>
  <c r="O827"/>
  <c r="O59"/>
  <c r="H58"/>
  <c r="H923"/>
  <c r="H1515"/>
  <c r="H1713" i="5" l="1"/>
  <c r="O1241" i="4"/>
  <c r="H1644" i="6"/>
  <c r="O1644" s="1"/>
  <c r="O1272"/>
  <c r="H1271"/>
  <c r="O1271" s="1"/>
  <c r="H392"/>
  <c r="O392" s="1"/>
  <c r="H1433"/>
  <c r="O1433" s="1"/>
  <c r="O1155"/>
  <c r="H1154"/>
  <c r="O121"/>
  <c r="H78"/>
  <c r="O1294"/>
  <c r="H1285"/>
  <c r="O1285" s="1"/>
  <c r="H1736"/>
  <c r="O1736" s="1"/>
  <c r="O1737"/>
  <c r="H731"/>
  <c r="O731" s="1"/>
  <c r="O732"/>
  <c r="O292"/>
  <c r="H20"/>
  <c r="O21"/>
  <c r="O440"/>
  <c r="O524"/>
  <c r="H482"/>
  <c r="O719"/>
  <c r="H472"/>
  <c r="O472" s="1"/>
  <c r="O473"/>
  <c r="H346"/>
  <c r="O346" s="1"/>
  <c r="O347"/>
  <c r="H1785"/>
  <c r="O1785" s="1"/>
  <c r="O1786"/>
  <c r="O954"/>
  <c r="H953"/>
  <c r="H1860"/>
  <c r="O1861"/>
  <c r="H829"/>
  <c r="O829" s="1"/>
  <c r="O830"/>
  <c r="O1575"/>
  <c r="H1566"/>
  <c r="O1256"/>
  <c r="H1229"/>
  <c r="O367"/>
  <c r="H366"/>
  <c r="O366" s="1"/>
  <c r="O1364"/>
  <c r="H1337"/>
  <c r="O1758"/>
  <c r="O1391"/>
  <c r="H1382"/>
  <c r="O1382" s="1"/>
  <c r="H880" i="4"/>
  <c r="O880" s="1"/>
  <c r="O1796"/>
  <c r="H1143"/>
  <c r="H1772" i="5"/>
  <c r="O1575"/>
  <c r="H826" i="4"/>
  <c r="O826" s="1"/>
  <c r="H409" i="5"/>
  <c r="O409" s="1"/>
  <c r="H1375" i="4"/>
  <c r="O1375" s="1"/>
  <c r="O117" i="5"/>
  <c r="H946"/>
  <c r="O1101"/>
  <c r="H203"/>
  <c r="O203" s="1"/>
  <c r="H1487"/>
  <c r="O1487" s="1"/>
  <c r="O1488"/>
  <c r="O1489"/>
  <c r="O1381"/>
  <c r="H178"/>
  <c r="O178" s="1"/>
  <c r="O633"/>
  <c r="H1264"/>
  <c r="O1265"/>
  <c r="H832"/>
  <c r="O832" s="1"/>
  <c r="O1403"/>
  <c r="O1404"/>
  <c r="H1568"/>
  <c r="O1569"/>
  <c r="H1635"/>
  <c r="H1634" s="1"/>
  <c r="O1174"/>
  <c r="H1173"/>
  <c r="O1173" s="1"/>
  <c r="O1154"/>
  <c r="H1153"/>
  <c r="H1478"/>
  <c r="O1478" s="1"/>
  <c r="O1479"/>
  <c r="H58"/>
  <c r="O59"/>
  <c r="H1529"/>
  <c r="O1530"/>
  <c r="H321"/>
  <c r="O321" s="1"/>
  <c r="O322"/>
  <c r="H478"/>
  <c r="O479"/>
  <c r="O132"/>
  <c r="H131"/>
  <c r="O131" s="1"/>
  <c r="H1727"/>
  <c r="O1728"/>
  <c r="H597"/>
  <c r="O597" s="1"/>
  <c r="O697"/>
  <c r="H690"/>
  <c r="O1353"/>
  <c r="H1352"/>
  <c r="H1283"/>
  <c r="O1284"/>
  <c r="H784"/>
  <c r="H783" s="1"/>
  <c r="H356"/>
  <c r="O357"/>
  <c r="H1705"/>
  <c r="O1706"/>
  <c r="H639"/>
  <c r="O640"/>
  <c r="O1146"/>
  <c r="O1100"/>
  <c r="H1088"/>
  <c r="H265"/>
  <c r="O266"/>
  <c r="H1188"/>
  <c r="O1188" s="1"/>
  <c r="O1189"/>
  <c r="H1791"/>
  <c r="O1792"/>
  <c r="H173"/>
  <c r="O174"/>
  <c r="H1573"/>
  <c r="O1573" s="1"/>
  <c r="O1574"/>
  <c r="H769"/>
  <c r="O769" s="1"/>
  <c r="O770"/>
  <c r="O281"/>
  <c r="H280"/>
  <c r="H467"/>
  <c r="O468"/>
  <c r="H1798"/>
  <c r="O1799"/>
  <c r="H435"/>
  <c r="O435" s="1"/>
  <c r="O436"/>
  <c r="O1470"/>
  <c r="H1469"/>
  <c r="H585"/>
  <c r="O586"/>
  <c r="H777"/>
  <c r="O777" s="1"/>
  <c r="O778"/>
  <c r="H929"/>
  <c r="O930"/>
  <c r="H904"/>
  <c r="O904" s="1"/>
  <c r="O905"/>
  <c r="H1542"/>
  <c r="O1543"/>
  <c r="H457"/>
  <c r="O457" s="1"/>
  <c r="O458"/>
  <c r="H256"/>
  <c r="O257"/>
  <c r="O1380"/>
  <c r="H1379"/>
  <c r="H1078"/>
  <c r="O1079"/>
  <c r="H1410"/>
  <c r="O1411"/>
  <c r="H519"/>
  <c r="O520"/>
  <c r="H425"/>
  <c r="O426"/>
  <c r="H23"/>
  <c r="O24"/>
  <c r="H1423"/>
  <c r="O1424"/>
  <c r="H1674"/>
  <c r="O1675"/>
  <c r="H115"/>
  <c r="O115" s="1"/>
  <c r="O116"/>
  <c r="H817"/>
  <c r="O818"/>
  <c r="H1248"/>
  <c r="O1249"/>
  <c r="O80"/>
  <c r="H79"/>
  <c r="O79" s="1"/>
  <c r="H935"/>
  <c r="O935" s="1"/>
  <c r="O936"/>
  <c r="O71"/>
  <c r="H70"/>
  <c r="H945"/>
  <c r="O946"/>
  <c r="H727"/>
  <c r="O728"/>
  <c r="H362"/>
  <c r="O362" s="1"/>
  <c r="O370"/>
  <c r="O441"/>
  <c r="H549"/>
  <c r="O549" s="1"/>
  <c r="O550"/>
  <c r="H763"/>
  <c r="O763" s="1"/>
  <c r="O764"/>
  <c r="H559"/>
  <c r="O560"/>
  <c r="H579"/>
  <c r="O580"/>
  <c r="H137"/>
  <c r="O137" s="1"/>
  <c r="O138"/>
  <c r="H622"/>
  <c r="O623"/>
  <c r="H227"/>
  <c r="O228"/>
  <c r="O1450"/>
  <c r="H1449"/>
  <c r="O839"/>
  <c r="O1534"/>
  <c r="H1508"/>
  <c r="O1508" s="1"/>
  <c r="O1509"/>
  <c r="H1221"/>
  <c r="O1222"/>
  <c r="H1843"/>
  <c r="O1843" s="1"/>
  <c r="O1844"/>
  <c r="H1809"/>
  <c r="O1810"/>
  <c r="O1516"/>
  <c r="H1515"/>
  <c r="H713"/>
  <c r="O714"/>
  <c r="H893"/>
  <c r="O893" s="1"/>
  <c r="O894"/>
  <c r="H734"/>
  <c r="O734" s="1"/>
  <c r="H572"/>
  <c r="O572" s="1"/>
  <c r="O573"/>
  <c r="H1667"/>
  <c r="O1667" s="1"/>
  <c r="O1668"/>
  <c r="H1196"/>
  <c r="O1197"/>
  <c r="H1867"/>
  <c r="O1867" s="1"/>
  <c r="O1868"/>
  <c r="O1635"/>
  <c r="O1615"/>
  <c r="H1623"/>
  <c r="O1624"/>
  <c r="H1160"/>
  <c r="O1161"/>
  <c r="H295"/>
  <c r="O296"/>
  <c r="H387"/>
  <c r="O388"/>
  <c r="O1551"/>
  <c r="H1550"/>
  <c r="H1754"/>
  <c r="O1755"/>
  <c r="H90"/>
  <c r="O91"/>
  <c r="O784"/>
  <c r="H1816"/>
  <c r="O1817"/>
  <c r="O1689"/>
  <c r="H1688"/>
  <c r="H825"/>
  <c r="O826"/>
  <c r="O1168"/>
  <c r="H1886"/>
  <c r="O1887"/>
  <c r="H378"/>
  <c r="O379"/>
  <c r="H1111"/>
  <c r="O1111" s="1"/>
  <c r="O1112"/>
  <c r="O1360"/>
  <c r="H1359"/>
  <c r="O123"/>
  <c r="H122"/>
  <c r="H1608"/>
  <c r="O1608" s="1"/>
  <c r="O1609"/>
  <c r="H272"/>
  <c r="O272" s="1"/>
  <c r="O273"/>
  <c r="O1713"/>
  <c r="H1712"/>
  <c r="H1326"/>
  <c r="O1327"/>
  <c r="O1314"/>
  <c r="H1313"/>
  <c r="O1124" i="4"/>
  <c r="H1123"/>
  <c r="H583"/>
  <c r="O907"/>
  <c r="H906"/>
  <c r="H1440"/>
  <c r="O1441"/>
  <c r="H1490"/>
  <c r="O1491"/>
  <c r="H1744"/>
  <c r="H1743" s="1"/>
  <c r="O1743" s="1"/>
  <c r="O1088"/>
  <c r="H1087"/>
  <c r="O1087" s="1"/>
  <c r="O1076"/>
  <c r="H1064"/>
  <c r="O914"/>
  <c r="H913"/>
  <c r="H781"/>
  <c r="O1421"/>
  <c r="H1420"/>
  <c r="O1291"/>
  <c r="H1290"/>
  <c r="O92"/>
  <c r="H91"/>
  <c r="O80"/>
  <c r="H79"/>
  <c r="O79" s="1"/>
  <c r="O761"/>
  <c r="H760"/>
  <c r="O760" s="1"/>
  <c r="O1143"/>
  <c r="H1142"/>
  <c r="O1142" s="1"/>
  <c r="H295"/>
  <c r="O296"/>
  <c r="H408"/>
  <c r="O409"/>
  <c r="H753"/>
  <c r="O754"/>
  <c r="O999"/>
  <c r="H998"/>
  <c r="O998" s="1"/>
  <c r="H1456"/>
  <c r="O1457"/>
  <c r="H1564"/>
  <c r="O1565"/>
  <c r="H1711"/>
  <c r="O1712"/>
  <c r="H1197"/>
  <c r="O1198"/>
  <c r="O1055"/>
  <c r="H1054"/>
  <c r="H57"/>
  <c r="O57" s="1"/>
  <c r="O58"/>
  <c r="H147"/>
  <c r="O147" s="1"/>
  <c r="O148"/>
  <c r="H274"/>
  <c r="O275"/>
  <c r="H354"/>
  <c r="O355"/>
  <c r="H457"/>
  <c r="O458"/>
  <c r="H1232"/>
  <c r="O1232" s="1"/>
  <c r="O1233"/>
  <c r="H1432"/>
  <c r="O1433"/>
  <c r="H1628"/>
  <c r="O1629"/>
  <c r="O1695"/>
  <c r="H1694"/>
  <c r="O124"/>
  <c r="H123"/>
  <c r="O1240"/>
  <c r="H1239"/>
  <c r="H138"/>
  <c r="O139"/>
  <c r="H178"/>
  <c r="O183"/>
  <c r="H258"/>
  <c r="O259"/>
  <c r="H433"/>
  <c r="O434"/>
  <c r="H582"/>
  <c r="O583"/>
  <c r="H819"/>
  <c r="O820"/>
  <c r="H1166"/>
  <c r="O1167"/>
  <c r="H1738"/>
  <c r="O1739"/>
  <c r="O1260"/>
  <c r="H1259"/>
  <c r="O385"/>
  <c r="H384"/>
  <c r="O650"/>
  <c r="H649"/>
  <c r="O649" s="1"/>
  <c r="O1474"/>
  <c r="H362"/>
  <c r="O363"/>
  <c r="H465"/>
  <c r="O466"/>
  <c r="H628"/>
  <c r="O628" s="1"/>
  <c r="O629"/>
  <c r="H710"/>
  <c r="O711"/>
  <c r="H1136"/>
  <c r="O1137"/>
  <c r="O1334"/>
  <c r="H1728"/>
  <c r="O1729"/>
  <c r="H23"/>
  <c r="H228"/>
  <c r="H1667"/>
  <c r="H1575"/>
  <c r="H922"/>
  <c r="O923"/>
  <c r="O621"/>
  <c r="H620"/>
  <c r="O348"/>
  <c r="H347"/>
  <c r="O347" s="1"/>
  <c r="O495"/>
  <c r="H494"/>
  <c r="O494" s="1"/>
  <c r="O368"/>
  <c r="H367"/>
  <c r="O875"/>
  <c r="H874"/>
  <c r="O874" s="1"/>
  <c r="H116"/>
  <c r="O117"/>
  <c r="H266"/>
  <c r="O267"/>
  <c r="H313"/>
  <c r="O314"/>
  <c r="O438"/>
  <c r="H731"/>
  <c r="O732"/>
  <c r="H863"/>
  <c r="O864"/>
  <c r="O1557"/>
  <c r="H1556"/>
  <c r="H1343"/>
  <c r="O1344"/>
  <c r="H1481"/>
  <c r="O1482"/>
  <c r="H611"/>
  <c r="O612"/>
  <c r="O781"/>
  <c r="H780"/>
  <c r="O1411"/>
  <c r="H1410"/>
  <c r="O1410" s="1"/>
  <c r="O1515"/>
  <c r="H1514"/>
  <c r="O413"/>
  <c r="H868"/>
  <c r="O868" s="1"/>
  <c r="O869"/>
  <c r="O1326"/>
  <c r="H1325"/>
  <c r="H1402"/>
  <c r="O1403"/>
  <c r="H1608"/>
  <c r="O1609"/>
  <c r="H1720"/>
  <c r="O1721"/>
  <c r="H1814"/>
  <c r="O1815"/>
  <c r="O636"/>
  <c r="H635"/>
  <c r="O1173"/>
  <c r="H1172"/>
  <c r="H64"/>
  <c r="O64" s="1"/>
  <c r="O65"/>
  <c r="H342"/>
  <c r="O343"/>
  <c r="H474"/>
  <c r="O475"/>
  <c r="H562"/>
  <c r="O563"/>
  <c r="H774"/>
  <c r="O774" s="1"/>
  <c r="O775"/>
  <c r="O1469"/>
  <c r="H1468"/>
  <c r="O1468" s="1"/>
  <c r="H1277"/>
  <c r="O1278"/>
  <c r="H1507"/>
  <c r="O1508"/>
  <c r="O656"/>
  <c r="H655"/>
  <c r="O655" s="1"/>
  <c r="O1225"/>
  <c r="H1224"/>
  <c r="O132"/>
  <c r="H131"/>
  <c r="O131" s="1"/>
  <c r="O376"/>
  <c r="H375"/>
  <c r="O71"/>
  <c r="H70"/>
  <c r="O605"/>
  <c r="H594"/>
  <c r="O594" s="1"/>
  <c r="O280"/>
  <c r="H279"/>
  <c r="O1129"/>
  <c r="H1128"/>
  <c r="O1654"/>
  <c r="H1653"/>
  <c r="H197"/>
  <c r="O197" s="1"/>
  <c r="O198"/>
  <c r="H423"/>
  <c r="O424"/>
  <c r="O534"/>
  <c r="H516"/>
  <c r="O694"/>
  <c r="H687"/>
  <c r="H810"/>
  <c r="O810" s="1"/>
  <c r="O811"/>
  <c r="O1316"/>
  <c r="H1315"/>
  <c r="O1315" s="1"/>
  <c r="O1645"/>
  <c r="H1644"/>
  <c r="H1251"/>
  <c r="O1252"/>
  <c r="H1363"/>
  <c r="O1364"/>
  <c r="H1614"/>
  <c r="H1757" i="6" l="1"/>
  <c r="O1757" s="1"/>
  <c r="H439"/>
  <c r="O439" s="1"/>
  <c r="H1153"/>
  <c r="O1153" s="1"/>
  <c r="O1154"/>
  <c r="H77"/>
  <c r="O77" s="1"/>
  <c r="O78"/>
  <c r="O1229"/>
  <c r="H1228"/>
  <c r="O1228" s="1"/>
  <c r="H936"/>
  <c r="O936" s="1"/>
  <c r="O953"/>
  <c r="H718"/>
  <c r="O718" s="1"/>
  <c r="H291"/>
  <c r="O291" s="1"/>
  <c r="O1566"/>
  <c r="H1552"/>
  <c r="O1552" s="1"/>
  <c r="H481"/>
  <c r="O481" s="1"/>
  <c r="O482"/>
  <c r="O1337"/>
  <c r="H1336"/>
  <c r="O1336" s="1"/>
  <c r="H1859"/>
  <c r="O1859" s="1"/>
  <c r="O1860"/>
  <c r="O20"/>
  <c r="O1744" i="4"/>
  <c r="O1772" i="5"/>
  <c r="H1771"/>
  <c r="H1374" i="4"/>
  <c r="H1167" i="5"/>
  <c r="O1167" s="1"/>
  <c r="H1263"/>
  <c r="O1264"/>
  <c r="O1568"/>
  <c r="H1567"/>
  <c r="O1567" s="1"/>
  <c r="H434"/>
  <c r="O434" s="1"/>
  <c r="H1351"/>
  <c r="O1351" s="1"/>
  <c r="O1352"/>
  <c r="O58"/>
  <c r="H57"/>
  <c r="O57" s="1"/>
  <c r="O690"/>
  <c r="H689"/>
  <c r="H477"/>
  <c r="O478"/>
  <c r="H1282"/>
  <c r="O1283"/>
  <c r="O1153"/>
  <c r="H1152"/>
  <c r="H1726"/>
  <c r="O1727"/>
  <c r="H1528"/>
  <c r="O1529"/>
  <c r="H1711"/>
  <c r="O1711" s="1"/>
  <c r="O1712"/>
  <c r="H1673"/>
  <c r="O1673" s="1"/>
  <c r="O1674"/>
  <c r="H1166"/>
  <c r="O1166" s="1"/>
  <c r="O783"/>
  <c r="O387"/>
  <c r="H386"/>
  <c r="O1196"/>
  <c r="H1195"/>
  <c r="O1195" s="1"/>
  <c r="O70"/>
  <c r="H63"/>
  <c r="O63" s="1"/>
  <c r="H226"/>
  <c r="O227"/>
  <c r="O559"/>
  <c r="H548"/>
  <c r="O548" s="1"/>
  <c r="H1247"/>
  <c r="O1248"/>
  <c r="H1422"/>
  <c r="O1423"/>
  <c r="H1409"/>
  <c r="O1410"/>
  <c r="H1797"/>
  <c r="O1797" s="1"/>
  <c r="O1798"/>
  <c r="H638"/>
  <c r="O639"/>
  <c r="H1815"/>
  <c r="O1815" s="1"/>
  <c r="O1816"/>
  <c r="H1325"/>
  <c r="O1326"/>
  <c r="H944"/>
  <c r="O945"/>
  <c r="H928"/>
  <c r="O929"/>
  <c r="O90"/>
  <c r="H294"/>
  <c r="O295"/>
  <c r="H1312"/>
  <c r="O1313"/>
  <c r="H1687"/>
  <c r="O1687" s="1"/>
  <c r="O1688"/>
  <c r="O1634"/>
  <c r="H712"/>
  <c r="O713"/>
  <c r="H1220"/>
  <c r="O1221"/>
  <c r="O622"/>
  <c r="H621"/>
  <c r="O621" s="1"/>
  <c r="H726"/>
  <c r="O727"/>
  <c r="H816"/>
  <c r="O816" s="1"/>
  <c r="O817"/>
  <c r="O23"/>
  <c r="H22"/>
  <c r="H1077"/>
  <c r="O1077" s="1"/>
  <c r="O1078"/>
  <c r="H1541"/>
  <c r="O1542"/>
  <c r="H584"/>
  <c r="O584" s="1"/>
  <c r="O585"/>
  <c r="H466"/>
  <c r="O467"/>
  <c r="O265"/>
  <c r="H264"/>
  <c r="H1704"/>
  <c r="O1705"/>
  <c r="O378"/>
  <c r="H377"/>
  <c r="H1753"/>
  <c r="O1754"/>
  <c r="H1159"/>
  <c r="O1160"/>
  <c r="H1514"/>
  <c r="O1515"/>
  <c r="H1378"/>
  <c r="O1379"/>
  <c r="H1468"/>
  <c r="O1469"/>
  <c r="H279"/>
  <c r="O280"/>
  <c r="H1087"/>
  <c r="O1087" s="1"/>
  <c r="O1088"/>
  <c r="H1622"/>
  <c r="O1623"/>
  <c r="H1358"/>
  <c r="O1358" s="1"/>
  <c r="O1359"/>
  <c r="H1808"/>
  <c r="O1809"/>
  <c r="O256"/>
  <c r="H255"/>
  <c r="O255" s="1"/>
  <c r="O825"/>
  <c r="H824"/>
  <c r="H823" s="1"/>
  <c r="O122"/>
  <c r="H1549"/>
  <c r="O1550"/>
  <c r="H424"/>
  <c r="O424" s="1"/>
  <c r="O425"/>
  <c r="H172"/>
  <c r="O172" s="1"/>
  <c r="O173"/>
  <c r="O1886"/>
  <c r="H1885"/>
  <c r="H1448"/>
  <c r="O1448" s="1"/>
  <c r="O1449"/>
  <c r="H578"/>
  <c r="O578" s="1"/>
  <c r="O579"/>
  <c r="H518"/>
  <c r="O519"/>
  <c r="H1486"/>
  <c r="H1790"/>
  <c r="O1791"/>
  <c r="O356"/>
  <c r="H343"/>
  <c r="O1490" i="4"/>
  <c r="H1489"/>
  <c r="H1439"/>
  <c r="O1440"/>
  <c r="O906"/>
  <c r="H905"/>
  <c r="O1123"/>
  <c r="H1122"/>
  <c r="O1122" s="1"/>
  <c r="O913"/>
  <c r="H912"/>
  <c r="O1064"/>
  <c r="H1063"/>
  <c r="O1063" s="1"/>
  <c r="H1613"/>
  <c r="O1613" s="1"/>
  <c r="O1614"/>
  <c r="H1250"/>
  <c r="O1251"/>
  <c r="H422"/>
  <c r="O423"/>
  <c r="H1276"/>
  <c r="O1277"/>
  <c r="H473"/>
  <c r="O474"/>
  <c r="H1719"/>
  <c r="O1720"/>
  <c r="H1401"/>
  <c r="O1402"/>
  <c r="O1374"/>
  <c r="O611"/>
  <c r="H610"/>
  <c r="O610" s="1"/>
  <c r="H1480"/>
  <c r="O1481"/>
  <c r="O731"/>
  <c r="H723"/>
  <c r="H312"/>
  <c r="O312" s="1"/>
  <c r="O313"/>
  <c r="O116"/>
  <c r="H115"/>
  <c r="O115" s="1"/>
  <c r="O1667"/>
  <c r="H1666"/>
  <c r="H1727"/>
  <c r="O1728"/>
  <c r="H1135"/>
  <c r="O1136"/>
  <c r="H361"/>
  <c r="O362"/>
  <c r="H1165"/>
  <c r="O1166"/>
  <c r="O582"/>
  <c r="H257"/>
  <c r="O258"/>
  <c r="H137"/>
  <c r="O137" s="1"/>
  <c r="O138"/>
  <c r="H1627"/>
  <c r="O1627" s="1"/>
  <c r="O1628"/>
  <c r="H456"/>
  <c r="O457"/>
  <c r="H273"/>
  <c r="O274"/>
  <c r="O1197"/>
  <c r="H1196"/>
  <c r="H1563"/>
  <c r="O1564"/>
  <c r="H407"/>
  <c r="O408"/>
  <c r="O687"/>
  <c r="H686"/>
  <c r="H1652"/>
  <c r="O1653"/>
  <c r="O279"/>
  <c r="O70"/>
  <c r="H63"/>
  <c r="O63" s="1"/>
  <c r="O635"/>
  <c r="H634"/>
  <c r="O634" s="1"/>
  <c r="H1555"/>
  <c r="O1556"/>
  <c r="O620"/>
  <c r="H619"/>
  <c r="H1574"/>
  <c r="O1575"/>
  <c r="O1259"/>
  <c r="H1258"/>
  <c r="O123"/>
  <c r="H122"/>
  <c r="O91"/>
  <c r="H90"/>
  <c r="O1420"/>
  <c r="H1419"/>
  <c r="H1362"/>
  <c r="O1363"/>
  <c r="O1507"/>
  <c r="H561"/>
  <c r="O561" s="1"/>
  <c r="O562"/>
  <c r="H341"/>
  <c r="O342"/>
  <c r="H1813"/>
  <c r="O1814"/>
  <c r="H1607"/>
  <c r="O1607" s="1"/>
  <c r="O1608"/>
  <c r="H1342"/>
  <c r="O1343"/>
  <c r="H862"/>
  <c r="O862" s="1"/>
  <c r="O863"/>
  <c r="H265"/>
  <c r="O266"/>
  <c r="O922"/>
  <c r="H921"/>
  <c r="O23"/>
  <c r="H22"/>
  <c r="H709"/>
  <c r="O710"/>
  <c r="H464"/>
  <c r="O465"/>
  <c r="H1737"/>
  <c r="O1738"/>
  <c r="H818"/>
  <c r="O819"/>
  <c r="H432"/>
  <c r="O433"/>
  <c r="O178"/>
  <c r="H172"/>
  <c r="O172" s="1"/>
  <c r="H1431"/>
  <c r="O1432"/>
  <c r="H353"/>
  <c r="O353" s="1"/>
  <c r="O354"/>
  <c r="H1710"/>
  <c r="O1711"/>
  <c r="H1455"/>
  <c r="O1456"/>
  <c r="H752"/>
  <c r="O752" s="1"/>
  <c r="O753"/>
  <c r="H294"/>
  <c r="O295"/>
  <c r="H1643"/>
  <c r="O1643" s="1"/>
  <c r="O1644"/>
  <c r="O516"/>
  <c r="H515"/>
  <c r="H1121"/>
  <c r="O1128"/>
  <c r="H374"/>
  <c r="O375"/>
  <c r="O1224"/>
  <c r="H1223"/>
  <c r="H1171"/>
  <c r="O1171" s="1"/>
  <c r="O1172"/>
  <c r="O1325"/>
  <c r="H1324"/>
  <c r="O1514"/>
  <c r="H1513"/>
  <c r="O1513" s="1"/>
  <c r="O780"/>
  <c r="H773"/>
  <c r="O773" s="1"/>
  <c r="O367"/>
  <c r="H227"/>
  <c r="O228"/>
  <c r="O384"/>
  <c r="O1239"/>
  <c r="H1238"/>
  <c r="O1694"/>
  <c r="H1693"/>
  <c r="O1054"/>
  <c r="H1053"/>
  <c r="O1053" s="1"/>
  <c r="O1290"/>
  <c r="H1289"/>
  <c r="H1467"/>
  <c r="H1956" i="6" l="1"/>
  <c r="H1971" s="1"/>
  <c r="H581" i="4"/>
  <c r="O581" s="1"/>
  <c r="H433" i="5"/>
  <c r="H1770"/>
  <c r="O1771"/>
  <c r="H1566"/>
  <c r="O1566" s="1"/>
  <c r="H1633"/>
  <c r="O1633" s="1"/>
  <c r="O1263"/>
  <c r="H1262"/>
  <c r="O1528"/>
  <c r="H1527"/>
  <c r="H476"/>
  <c r="O476" s="1"/>
  <c r="O477"/>
  <c r="H688"/>
  <c r="O689"/>
  <c r="O1726"/>
  <c r="H1725"/>
  <c r="O1725" s="1"/>
  <c r="O1152"/>
  <c r="H1145"/>
  <c r="H776"/>
  <c r="O776" s="1"/>
  <c r="O1282"/>
  <c r="H1281"/>
  <c r="H1807"/>
  <c r="O1808"/>
  <c r="O1704"/>
  <c r="H1703"/>
  <c r="O1703" s="1"/>
  <c r="O726"/>
  <c r="H725"/>
  <c r="O1486"/>
  <c r="H1477"/>
  <c r="O1477" s="1"/>
  <c r="O264"/>
  <c r="H263"/>
  <c r="O263" s="1"/>
  <c r="H1884"/>
  <c r="O1885"/>
  <c r="H1467"/>
  <c r="O1468"/>
  <c r="H1158"/>
  <c r="O1158" s="1"/>
  <c r="O1159"/>
  <c r="O928"/>
  <c r="H927"/>
  <c r="O927" s="1"/>
  <c r="O638"/>
  <c r="H637"/>
  <c r="O637" s="1"/>
  <c r="O1247"/>
  <c r="H1246"/>
  <c r="O1246" s="1"/>
  <c r="H1789"/>
  <c r="O1789" s="1"/>
  <c r="O1790"/>
  <c r="H121"/>
  <c r="O279"/>
  <c r="H271"/>
  <c r="O271" s="1"/>
  <c r="O1541"/>
  <c r="H1540"/>
  <c r="O824"/>
  <c r="H21"/>
  <c r="O22"/>
  <c r="O1378"/>
  <c r="H1369"/>
  <c r="O1369" s="1"/>
  <c r="O1753"/>
  <c r="H1752"/>
  <c r="O1220"/>
  <c r="H1311"/>
  <c r="O1311" s="1"/>
  <c r="O1312"/>
  <c r="O944"/>
  <c r="H943"/>
  <c r="H342"/>
  <c r="O342" s="1"/>
  <c r="O343"/>
  <c r="H376"/>
  <c r="O376" s="1"/>
  <c r="O377"/>
  <c r="H385"/>
  <c r="O385" s="1"/>
  <c r="O386"/>
  <c r="H1513"/>
  <c r="O1513" s="1"/>
  <c r="O1514"/>
  <c r="O1422"/>
  <c r="H1421"/>
  <c r="O518"/>
  <c r="H517"/>
  <c r="O1622"/>
  <c r="O466"/>
  <c r="H465"/>
  <c r="O465" s="1"/>
  <c r="O433"/>
  <c r="H1548"/>
  <c r="O1548" s="1"/>
  <c r="O1549"/>
  <c r="O712"/>
  <c r="O294"/>
  <c r="H293"/>
  <c r="H1324"/>
  <c r="O1325"/>
  <c r="H1408"/>
  <c r="O1408" s="1"/>
  <c r="O1409"/>
  <c r="H225"/>
  <c r="O225" s="1"/>
  <c r="O226"/>
  <c r="H904" i="4"/>
  <c r="O905"/>
  <c r="O1439"/>
  <c r="H1438"/>
  <c r="O1438" s="1"/>
  <c r="O1489"/>
  <c r="H1488"/>
  <c r="O1488" s="1"/>
  <c r="O912"/>
  <c r="H911"/>
  <c r="O911" s="1"/>
  <c r="H373"/>
  <c r="O373" s="1"/>
  <c r="O374"/>
  <c r="O294"/>
  <c r="H293"/>
  <c r="O1455"/>
  <c r="H1454"/>
  <c r="O1431"/>
  <c r="H1430"/>
  <c r="O432"/>
  <c r="H431"/>
  <c r="O1737"/>
  <c r="H1736"/>
  <c r="O709"/>
  <c r="O341"/>
  <c r="H340"/>
  <c r="H1573"/>
  <c r="O1573" s="1"/>
  <c r="O1574"/>
  <c r="O1555"/>
  <c r="H1651"/>
  <c r="O1651" s="1"/>
  <c r="O1652"/>
  <c r="O407"/>
  <c r="H406"/>
  <c r="O456"/>
  <c r="H455"/>
  <c r="O361"/>
  <c r="H360"/>
  <c r="O1727"/>
  <c r="H1726"/>
  <c r="O1401"/>
  <c r="H1400"/>
  <c r="O473"/>
  <c r="O422"/>
  <c r="H421"/>
  <c r="O421" s="1"/>
  <c r="H1506"/>
  <c r="O1506" s="1"/>
  <c r="H1288"/>
  <c r="O1289"/>
  <c r="H1692"/>
  <c r="O1692" s="1"/>
  <c r="O1693"/>
  <c r="O515"/>
  <c r="H514"/>
  <c r="O514" s="1"/>
  <c r="O921"/>
  <c r="H920"/>
  <c r="H1418"/>
  <c r="O1418" s="1"/>
  <c r="O1419"/>
  <c r="H121"/>
  <c r="O121" s="1"/>
  <c r="O122"/>
  <c r="O1196"/>
  <c r="O723"/>
  <c r="H722"/>
  <c r="H1466"/>
  <c r="O1467"/>
  <c r="H226"/>
  <c r="O227"/>
  <c r="O1121"/>
  <c r="H1120"/>
  <c r="O1710"/>
  <c r="H1709"/>
  <c r="O1709" s="1"/>
  <c r="O818"/>
  <c r="H817"/>
  <c r="O464"/>
  <c r="H463"/>
  <c r="O265"/>
  <c r="H264"/>
  <c r="O1342"/>
  <c r="H1333"/>
  <c r="O1333" s="1"/>
  <c r="O1813"/>
  <c r="H1812"/>
  <c r="O1362"/>
  <c r="H1361"/>
  <c r="O1563"/>
  <c r="H1562"/>
  <c r="O1562" s="1"/>
  <c r="O273"/>
  <c r="H272"/>
  <c r="O257"/>
  <c r="H256"/>
  <c r="O1165"/>
  <c r="H1164"/>
  <c r="O1164" s="1"/>
  <c r="O1135"/>
  <c r="O1480"/>
  <c r="O1719"/>
  <c r="H1718"/>
  <c r="O1276"/>
  <c r="H1275"/>
  <c r="O1275" s="1"/>
  <c r="O1250"/>
  <c r="H1249"/>
  <c r="H1237"/>
  <c r="O1237" s="1"/>
  <c r="O1238"/>
  <c r="H1323"/>
  <c r="O1324"/>
  <c r="H1222"/>
  <c r="O1222" s="1"/>
  <c r="O1223"/>
  <c r="H21"/>
  <c r="O22"/>
  <c r="O90"/>
  <c r="H1257"/>
  <c r="O1257" s="1"/>
  <c r="O1258"/>
  <c r="H618"/>
  <c r="O618" s="1"/>
  <c r="O619"/>
  <c r="O686"/>
  <c r="H685"/>
  <c r="H1665"/>
  <c r="O1666"/>
  <c r="O1956" i="6" l="1"/>
  <c r="H1769" i="5"/>
  <c r="O1769" s="1"/>
  <c r="O1770"/>
  <c r="H1614"/>
  <c r="O1614" s="1"/>
  <c r="H1261"/>
  <c r="O1261" s="1"/>
  <c r="O1262"/>
  <c r="H432"/>
  <c r="O432" s="1"/>
  <c r="O1281"/>
  <c r="H1272"/>
  <c r="O1272" s="1"/>
  <c r="O688"/>
  <c r="H687"/>
  <c r="O687" s="1"/>
  <c r="H1144"/>
  <c r="O1145"/>
  <c r="O1527"/>
  <c r="H1526"/>
  <c r="O1526" s="1"/>
  <c r="H20"/>
  <c r="O21"/>
  <c r="H1806"/>
  <c r="O1806" s="1"/>
  <c r="O1807"/>
  <c r="O1324"/>
  <c r="H1323"/>
  <c r="O1323" s="1"/>
  <c r="H1219"/>
  <c r="H822"/>
  <c r="O822" s="1"/>
  <c r="O823"/>
  <c r="O293"/>
  <c r="H292"/>
  <c r="O1752"/>
  <c r="H1724"/>
  <c r="O1724" s="1"/>
  <c r="H1539"/>
  <c r="O1540"/>
  <c r="H724"/>
  <c r="O725"/>
  <c r="H926"/>
  <c r="O926" s="1"/>
  <c r="O943"/>
  <c r="O1421"/>
  <c r="O1467"/>
  <c r="H1466"/>
  <c r="O1466" s="1"/>
  <c r="O517"/>
  <c r="H475"/>
  <c r="O121"/>
  <c r="H78"/>
  <c r="H1883"/>
  <c r="O1883" s="1"/>
  <c r="O1884"/>
  <c r="O904" i="4"/>
  <c r="H903"/>
  <c r="O903" s="1"/>
  <c r="H1134"/>
  <c r="O1134" s="1"/>
  <c r="H1479"/>
  <c r="O1479" s="1"/>
  <c r="O226"/>
  <c r="H225"/>
  <c r="O225" s="1"/>
  <c r="O1430"/>
  <c r="H1429"/>
  <c r="O1429" s="1"/>
  <c r="O272"/>
  <c r="H271"/>
  <c r="O271" s="1"/>
  <c r="O1361"/>
  <c r="H1360"/>
  <c r="O1360" s="1"/>
  <c r="O463"/>
  <c r="H462"/>
  <c r="O462" s="1"/>
  <c r="H721"/>
  <c r="O722"/>
  <c r="H919"/>
  <c r="O920"/>
  <c r="H78"/>
  <c r="O1665"/>
  <c r="O1736"/>
  <c r="H1735"/>
  <c r="H20"/>
  <c r="O21"/>
  <c r="H1322"/>
  <c r="O1322" s="1"/>
  <c r="O1323"/>
  <c r="O1466"/>
  <c r="O1288"/>
  <c r="O1726"/>
  <c r="H1725"/>
  <c r="O1725" s="1"/>
  <c r="O455"/>
  <c r="H454"/>
  <c r="O454" s="1"/>
  <c r="O431"/>
  <c r="H430"/>
  <c r="O1454"/>
  <c r="H1453"/>
  <c r="O1453" s="1"/>
  <c r="H472"/>
  <c r="H684"/>
  <c r="O684" s="1"/>
  <c r="O685"/>
  <c r="O1249"/>
  <c r="H1248"/>
  <c r="O1248" s="1"/>
  <c r="O1718"/>
  <c r="H1717"/>
  <c r="O1717" s="1"/>
  <c r="O256"/>
  <c r="H255"/>
  <c r="O255" s="1"/>
  <c r="O1812"/>
  <c r="H1811"/>
  <c r="O1811" s="1"/>
  <c r="O264"/>
  <c r="H263"/>
  <c r="O263" s="1"/>
  <c r="O817"/>
  <c r="H816"/>
  <c r="O816" s="1"/>
  <c r="O1120"/>
  <c r="H1195"/>
  <c r="H1554"/>
  <c r="O1554" s="1"/>
  <c r="O1400"/>
  <c r="H1373"/>
  <c r="O360"/>
  <c r="H359"/>
  <c r="O359" s="1"/>
  <c r="O406"/>
  <c r="H383"/>
  <c r="O340"/>
  <c r="H339"/>
  <c r="O339" s="1"/>
  <c r="O293"/>
  <c r="H292"/>
  <c r="H1119" l="1"/>
  <c r="O1119" s="1"/>
  <c r="O1144" i="5"/>
  <c r="H1143"/>
  <c r="O1143" s="1"/>
  <c r="O475"/>
  <c r="H474"/>
  <c r="O474" s="1"/>
  <c r="O20"/>
  <c r="O724"/>
  <c r="H711"/>
  <c r="O711" s="1"/>
  <c r="O1219"/>
  <c r="H1218"/>
  <c r="O1218" s="1"/>
  <c r="H1420"/>
  <c r="O1420" s="1"/>
  <c r="O1539"/>
  <c r="H1525"/>
  <c r="O1525" s="1"/>
  <c r="H77"/>
  <c r="O77" s="1"/>
  <c r="O78"/>
  <c r="H291"/>
  <c r="O291" s="1"/>
  <c r="O292"/>
  <c r="H1664" i="4"/>
  <c r="O1664" s="1"/>
  <c r="H291"/>
  <c r="O291" s="1"/>
  <c r="O292"/>
  <c r="H1194"/>
  <c r="O1194" s="1"/>
  <c r="O1195"/>
  <c r="H429"/>
  <c r="O429" s="1"/>
  <c r="O430"/>
  <c r="O919"/>
  <c r="H902"/>
  <c r="O902" s="1"/>
  <c r="H1465"/>
  <c r="O1465" s="1"/>
  <c r="H1287"/>
  <c r="O1287" s="1"/>
  <c r="H1734"/>
  <c r="O1734" s="1"/>
  <c r="O1735"/>
  <c r="H77"/>
  <c r="O77" s="1"/>
  <c r="O78"/>
  <c r="O721"/>
  <c r="H708"/>
  <c r="O708" s="1"/>
  <c r="H382"/>
  <c r="O382" s="1"/>
  <c r="O383"/>
  <c r="O1373"/>
  <c r="H1372"/>
  <c r="O1372" s="1"/>
  <c r="O472"/>
  <c r="H471"/>
  <c r="O471" s="1"/>
  <c r="O20"/>
  <c r="H1903" i="5" l="1"/>
  <c r="H1831" i="4"/>
  <c r="O1831" s="1"/>
  <c r="H1918" i="5" l="1"/>
  <c r="O1903"/>
  <c r="H1846" i="4"/>
  <c r="H1477" i="1"/>
  <c r="H702"/>
  <c r="H696"/>
  <c r="H446"/>
  <c r="P20" l="1"/>
  <c r="Q20"/>
  <c r="R20"/>
  <c r="P21"/>
  <c r="Q21"/>
  <c r="R21"/>
  <c r="P22"/>
  <c r="Q22"/>
  <c r="R22"/>
  <c r="P23"/>
  <c r="Q23"/>
  <c r="R23"/>
  <c r="R1918"/>
  <c r="R1917"/>
  <c r="R1916"/>
  <c r="R1915"/>
  <c r="R1914"/>
  <c r="R1913"/>
  <c r="R1912"/>
  <c r="R1911"/>
  <c r="R1910"/>
  <c r="R1909"/>
  <c r="R1908"/>
  <c r="R1907"/>
  <c r="R1906"/>
  <c r="R1905"/>
  <c r="R1904"/>
  <c r="R1903"/>
  <c r="R1902"/>
  <c r="R1901"/>
  <c r="R1900"/>
  <c r="R1899"/>
  <c r="R1898"/>
  <c r="R1897"/>
  <c r="R1896"/>
  <c r="R1895"/>
  <c r="R1894"/>
  <c r="R1893"/>
  <c r="R1892"/>
  <c r="R1891"/>
  <c r="R1890"/>
  <c r="R1889"/>
  <c r="R1888"/>
  <c r="R1887"/>
  <c r="R1886"/>
  <c r="R1885"/>
  <c r="R1884"/>
  <c r="R1883"/>
  <c r="R1882"/>
  <c r="R1881"/>
  <c r="R1880"/>
  <c r="R1879"/>
  <c r="R1878"/>
  <c r="R1877"/>
  <c r="R1876"/>
  <c r="R1875"/>
  <c r="R1874"/>
  <c r="R1873"/>
  <c r="R1872"/>
  <c r="R1871"/>
  <c r="R1870"/>
  <c r="R1869"/>
  <c r="R1868"/>
  <c r="R1867"/>
  <c r="R1866"/>
  <c r="R1865"/>
  <c r="R1864"/>
  <c r="R1863"/>
  <c r="R1862"/>
  <c r="R1861"/>
  <c r="R1830"/>
  <c r="Q1830"/>
  <c r="P1830"/>
  <c r="O1830"/>
  <c r="R1827"/>
  <c r="P1827"/>
  <c r="H1827"/>
  <c r="O1827" s="1"/>
  <c r="R1826"/>
  <c r="P1826"/>
  <c r="R1822"/>
  <c r="P1822"/>
  <c r="Q1822"/>
  <c r="H1822"/>
  <c r="R1820"/>
  <c r="Q1820"/>
  <c r="H1820"/>
  <c r="R1817"/>
  <c r="P1817"/>
  <c r="H1817"/>
  <c r="O1817" s="1"/>
  <c r="R1816"/>
  <c r="R1815"/>
  <c r="R1814"/>
  <c r="R1813"/>
  <c r="R1812"/>
  <c r="R1811"/>
  <c r="R1810"/>
  <c r="Q1810"/>
  <c r="P1810"/>
  <c r="O1810"/>
  <c r="R1807"/>
  <c r="Q1807"/>
  <c r="H1807"/>
  <c r="R1806"/>
  <c r="Q1806"/>
  <c r="R1803"/>
  <c r="Q1803"/>
  <c r="H1803"/>
  <c r="R1801"/>
  <c r="P1801"/>
  <c r="H1801"/>
  <c r="O1801" s="1"/>
  <c r="R1798"/>
  <c r="Q1798"/>
  <c r="H1798"/>
  <c r="R1797"/>
  <c r="R1796"/>
  <c r="R1795"/>
  <c r="R1793"/>
  <c r="Q1793"/>
  <c r="H1793"/>
  <c r="R1792"/>
  <c r="R1791"/>
  <c r="R1789"/>
  <c r="P1789"/>
  <c r="Q1789"/>
  <c r="H1789"/>
  <c r="R1788"/>
  <c r="R1787"/>
  <c r="R1785"/>
  <c r="Q1785"/>
  <c r="P1785"/>
  <c r="H1785"/>
  <c r="O1785" s="1"/>
  <c r="R1784"/>
  <c r="Q1784"/>
  <c r="R1783"/>
  <c r="R1779"/>
  <c r="P1779"/>
  <c r="H1779"/>
  <c r="R1777"/>
  <c r="Q1777"/>
  <c r="H1777"/>
  <c r="R1774"/>
  <c r="P1774"/>
  <c r="H1774"/>
  <c r="O1774" s="1"/>
  <c r="R1773"/>
  <c r="R1772"/>
  <c r="R1771"/>
  <c r="R1769"/>
  <c r="P1769"/>
  <c r="H1769"/>
  <c r="O1769" s="1"/>
  <c r="R1767"/>
  <c r="Q1767"/>
  <c r="P1767"/>
  <c r="H1767"/>
  <c r="O1767" s="1"/>
  <c r="R1766"/>
  <c r="Q1766"/>
  <c r="R1765"/>
  <c r="R1764"/>
  <c r="R1762"/>
  <c r="Q1762"/>
  <c r="P1762"/>
  <c r="H1762"/>
  <c r="H1761" s="1"/>
  <c r="R1761"/>
  <c r="Q1761"/>
  <c r="R1760"/>
  <c r="R1756"/>
  <c r="P1756"/>
  <c r="H1756"/>
  <c r="R1754"/>
  <c r="Q1754"/>
  <c r="H1754"/>
  <c r="R1751"/>
  <c r="P1751"/>
  <c r="H1751"/>
  <c r="O1751" s="1"/>
  <c r="R1750"/>
  <c r="P1750"/>
  <c r="R1749"/>
  <c r="R1747"/>
  <c r="Q1747"/>
  <c r="H1747"/>
  <c r="R1746"/>
  <c r="R1745"/>
  <c r="R1744"/>
  <c r="R1743"/>
  <c r="R1741"/>
  <c r="P1741"/>
  <c r="H1741"/>
  <c r="O1741" s="1"/>
  <c r="R1740"/>
  <c r="P1740"/>
  <c r="R1739"/>
  <c r="R1738"/>
  <c r="R1737"/>
  <c r="R1736"/>
  <c r="R1735"/>
  <c r="R1734"/>
  <c r="R1733"/>
  <c r="Q1733"/>
  <c r="P1733"/>
  <c r="O1733"/>
  <c r="R1731"/>
  <c r="P1731"/>
  <c r="Q1731"/>
  <c r="H1731"/>
  <c r="R1730"/>
  <c r="R1729"/>
  <c r="R1728"/>
  <c r="R1727"/>
  <c r="R1726"/>
  <c r="R1725"/>
  <c r="R1724"/>
  <c r="R1723"/>
  <c r="P1723"/>
  <c r="Q1723"/>
  <c r="H1723"/>
  <c r="R1722"/>
  <c r="R1721"/>
  <c r="R1720"/>
  <c r="R1719"/>
  <c r="R1718"/>
  <c r="R1717"/>
  <c r="R1715"/>
  <c r="P1715"/>
  <c r="Q1715"/>
  <c r="H1715"/>
  <c r="R1714"/>
  <c r="R1713"/>
  <c r="R1712"/>
  <c r="R1711"/>
  <c r="R1710"/>
  <c r="R1709"/>
  <c r="R1707"/>
  <c r="Q1707"/>
  <c r="P1707"/>
  <c r="H1707"/>
  <c r="H1706" s="1"/>
  <c r="R1706"/>
  <c r="Q1706"/>
  <c r="R1705"/>
  <c r="R1704"/>
  <c r="R1702"/>
  <c r="Q1702"/>
  <c r="P1702"/>
  <c r="H1702"/>
  <c r="R1701"/>
  <c r="Q1701"/>
  <c r="R1700"/>
  <c r="R1698"/>
  <c r="P1698"/>
  <c r="H1698"/>
  <c r="O1698" s="1"/>
  <c r="R1697"/>
  <c r="P1697"/>
  <c r="R1696"/>
  <c r="R1695"/>
  <c r="R1694"/>
  <c r="R1693"/>
  <c r="R1692"/>
  <c r="R1690"/>
  <c r="Q1690"/>
  <c r="H1690"/>
  <c r="H1689" s="1"/>
  <c r="O1689" s="1"/>
  <c r="R1689"/>
  <c r="Q1689"/>
  <c r="R1687"/>
  <c r="Q1687"/>
  <c r="P1687"/>
  <c r="H1687"/>
  <c r="O1687" s="1"/>
  <c r="R1685"/>
  <c r="P1685"/>
  <c r="Q1685"/>
  <c r="H1685"/>
  <c r="R1684"/>
  <c r="R1683"/>
  <c r="R1680"/>
  <c r="Q1680"/>
  <c r="P1680"/>
  <c r="H1680"/>
  <c r="O1680" s="1"/>
  <c r="R1679"/>
  <c r="Q1679"/>
  <c r="R1675"/>
  <c r="Q1675"/>
  <c r="H1675"/>
  <c r="R1673"/>
  <c r="P1673"/>
  <c r="H1673"/>
  <c r="O1673" s="1"/>
  <c r="R1670"/>
  <c r="Q1670"/>
  <c r="P1670"/>
  <c r="H1670"/>
  <c r="R1669"/>
  <c r="Q1669"/>
  <c r="R1668"/>
  <c r="R1667"/>
  <c r="R1666"/>
  <c r="R1665"/>
  <c r="R1664"/>
  <c r="R1663"/>
  <c r="Q1663"/>
  <c r="P1663"/>
  <c r="O1663"/>
  <c r="R1662"/>
  <c r="R1661"/>
  <c r="Q1661"/>
  <c r="H1661"/>
  <c r="O1661" s="1"/>
  <c r="R1660"/>
  <c r="R1659"/>
  <c r="R1658"/>
  <c r="R1657"/>
  <c r="Q1657"/>
  <c r="P1657"/>
  <c r="H1657"/>
  <c r="H1656" s="1"/>
  <c r="R1656"/>
  <c r="Q1656"/>
  <c r="R1655"/>
  <c r="R1654"/>
  <c r="R1653"/>
  <c r="R1652"/>
  <c r="R1651"/>
  <c r="R1649"/>
  <c r="P1649"/>
  <c r="H1649"/>
  <c r="O1649" s="1"/>
  <c r="R1648"/>
  <c r="P1648"/>
  <c r="R1647"/>
  <c r="R1646"/>
  <c r="R1645"/>
  <c r="R1644"/>
  <c r="R1643"/>
  <c r="H1640"/>
  <c r="R1640"/>
  <c r="Q1640"/>
  <c r="R1639"/>
  <c r="R1636"/>
  <c r="P1636"/>
  <c r="H1636"/>
  <c r="O1636" s="1"/>
  <c r="R1634"/>
  <c r="Q1634"/>
  <c r="P1634"/>
  <c r="H1634"/>
  <c r="O1634" s="1"/>
  <c r="R1631"/>
  <c r="P1631"/>
  <c r="Q1631"/>
  <c r="H1631"/>
  <c r="R1630"/>
  <c r="R1629"/>
  <c r="R1628"/>
  <c r="R1627"/>
  <c r="R1625"/>
  <c r="Q1625"/>
  <c r="H1625"/>
  <c r="H1624" s="1"/>
  <c r="O1624" s="1"/>
  <c r="R1624"/>
  <c r="R1623"/>
  <c r="R1621"/>
  <c r="P1621"/>
  <c r="Q1621"/>
  <c r="H1621"/>
  <c r="R1620"/>
  <c r="R1619"/>
  <c r="R1617"/>
  <c r="Q1617"/>
  <c r="P1617"/>
  <c r="H1617"/>
  <c r="H1616" s="1"/>
  <c r="H1615" s="1"/>
  <c r="R1616"/>
  <c r="Q1616"/>
  <c r="R1615"/>
  <c r="R1614"/>
  <c r="R1613"/>
  <c r="R1611"/>
  <c r="P1611"/>
  <c r="Q1611"/>
  <c r="H1611"/>
  <c r="H1610" s="1"/>
  <c r="R1610"/>
  <c r="R1609"/>
  <c r="R1608"/>
  <c r="R1607"/>
  <c r="R1605"/>
  <c r="Q1605"/>
  <c r="H1605"/>
  <c r="O1605" s="1"/>
  <c r="R1604"/>
  <c r="R1602"/>
  <c r="Q1602"/>
  <c r="P1602"/>
  <c r="H1602"/>
  <c r="R1601"/>
  <c r="Q1601"/>
  <c r="R1599"/>
  <c r="Q1599"/>
  <c r="H1599"/>
  <c r="R1598"/>
  <c r="R1596"/>
  <c r="Q1596"/>
  <c r="P1596"/>
  <c r="H1596"/>
  <c r="O1596" s="1"/>
  <c r="R1594"/>
  <c r="P1594"/>
  <c r="Q1594"/>
  <c r="H1594"/>
  <c r="R1592"/>
  <c r="Q1592"/>
  <c r="H1592"/>
  <c r="R1591"/>
  <c r="R1589"/>
  <c r="Q1589"/>
  <c r="P1589"/>
  <c r="H1589"/>
  <c r="O1589" s="1"/>
  <c r="R1588"/>
  <c r="Q1588"/>
  <c r="R1586"/>
  <c r="Q1586"/>
  <c r="H1586"/>
  <c r="O1586" s="1"/>
  <c r="R1585"/>
  <c r="R1584"/>
  <c r="R1582"/>
  <c r="P1582"/>
  <c r="Q1582"/>
  <c r="H1582"/>
  <c r="R1581"/>
  <c r="R1580"/>
  <c r="R1578"/>
  <c r="Q1578"/>
  <c r="P1578"/>
  <c r="H1578"/>
  <c r="H1577" s="1"/>
  <c r="R1577"/>
  <c r="Q1577"/>
  <c r="R1576"/>
  <c r="R1575"/>
  <c r="R1574"/>
  <c r="R1573"/>
  <c r="R1571"/>
  <c r="Q1571"/>
  <c r="H1571"/>
  <c r="H1570" s="1"/>
  <c r="O1570" s="1"/>
  <c r="R1570"/>
  <c r="R1569"/>
  <c r="R1567"/>
  <c r="P1567"/>
  <c r="Q1567"/>
  <c r="H1567"/>
  <c r="R1566"/>
  <c r="R1565"/>
  <c r="R1564"/>
  <c r="R1563"/>
  <c r="R1562"/>
  <c r="R1560"/>
  <c r="P1560"/>
  <c r="H1560"/>
  <c r="O1560" s="1"/>
  <c r="R1559"/>
  <c r="P1559"/>
  <c r="R1558"/>
  <c r="R1557"/>
  <c r="R1556"/>
  <c r="R1555"/>
  <c r="R1554"/>
  <c r="R1552"/>
  <c r="Q1552"/>
  <c r="H1552"/>
  <c r="R1551"/>
  <c r="R1550"/>
  <c r="R1549"/>
  <c r="R1548"/>
  <c r="R1546"/>
  <c r="P1546"/>
  <c r="H1546"/>
  <c r="O1546" s="1"/>
  <c r="R1545"/>
  <c r="P1545"/>
  <c r="R1542"/>
  <c r="P1542"/>
  <c r="Q1542"/>
  <c r="H1542"/>
  <c r="R1541"/>
  <c r="R1540"/>
  <c r="R1538"/>
  <c r="Q1538"/>
  <c r="P1538"/>
  <c r="H1538"/>
  <c r="H1537" s="1"/>
  <c r="R1537"/>
  <c r="Q1537"/>
  <c r="R1535"/>
  <c r="Q1535"/>
  <c r="H1535"/>
  <c r="R1534"/>
  <c r="R1532"/>
  <c r="Q1532"/>
  <c r="P1532"/>
  <c r="H1532"/>
  <c r="O1532" s="1"/>
  <c r="R1531"/>
  <c r="Q1531"/>
  <c r="R1529"/>
  <c r="Q1529"/>
  <c r="H1529"/>
  <c r="O1529" s="1"/>
  <c r="R1528"/>
  <c r="R1527"/>
  <c r="R1526"/>
  <c r="P1526"/>
  <c r="Q1526"/>
  <c r="H1526"/>
  <c r="R1525"/>
  <c r="R1523"/>
  <c r="P1523"/>
  <c r="H1523"/>
  <c r="O1523" s="1"/>
  <c r="R1522"/>
  <c r="P1522"/>
  <c r="R1520"/>
  <c r="P1520"/>
  <c r="Q1520"/>
  <c r="H1520"/>
  <c r="R1519"/>
  <c r="R1517"/>
  <c r="P1517"/>
  <c r="H1517"/>
  <c r="O1517" s="1"/>
  <c r="R1516"/>
  <c r="P1516"/>
  <c r="R1515"/>
  <c r="R1514"/>
  <c r="R1513"/>
  <c r="R1511"/>
  <c r="Q1511"/>
  <c r="P1511"/>
  <c r="H1511"/>
  <c r="R1510"/>
  <c r="Q1510"/>
  <c r="R1509"/>
  <c r="R1508"/>
  <c r="R1507"/>
  <c r="R1506"/>
  <c r="R1504"/>
  <c r="Q1504"/>
  <c r="H1504"/>
  <c r="H1503" s="1"/>
  <c r="O1503" s="1"/>
  <c r="R1503"/>
  <c r="R1502"/>
  <c r="R1501"/>
  <c r="R1499"/>
  <c r="Q1499"/>
  <c r="H1499"/>
  <c r="O1499" s="1"/>
  <c r="R1498"/>
  <c r="R1496"/>
  <c r="Q1496"/>
  <c r="H1496"/>
  <c r="R1495"/>
  <c r="Q1495"/>
  <c r="R1493"/>
  <c r="Q1493"/>
  <c r="H1493"/>
  <c r="R1492"/>
  <c r="Q1492"/>
  <c r="R1491"/>
  <c r="Q1491"/>
  <c r="R1490"/>
  <c r="R1489"/>
  <c r="R1488"/>
  <c r="R1485"/>
  <c r="P1485"/>
  <c r="Q1485"/>
  <c r="H1485"/>
  <c r="R1484"/>
  <c r="R1483"/>
  <c r="R1482"/>
  <c r="R1481"/>
  <c r="R1480"/>
  <c r="R1479"/>
  <c r="R1477"/>
  <c r="Q1477"/>
  <c r="P1477"/>
  <c r="R1476"/>
  <c r="Q1476"/>
  <c r="R1475"/>
  <c r="R1474"/>
  <c r="R1472"/>
  <c r="Q1472"/>
  <c r="P1472"/>
  <c r="H1472"/>
  <c r="O1472" s="1"/>
  <c r="R1471"/>
  <c r="Q1471"/>
  <c r="R1470"/>
  <c r="R1469"/>
  <c r="R1468"/>
  <c r="R1467"/>
  <c r="R1466"/>
  <c r="R1465"/>
  <c r="R1464"/>
  <c r="Q1464"/>
  <c r="P1464"/>
  <c r="O1464"/>
  <c r="R1462"/>
  <c r="Q1462"/>
  <c r="H1462"/>
  <c r="R1461"/>
  <c r="Q1461"/>
  <c r="R1459"/>
  <c r="Q1459"/>
  <c r="P1459"/>
  <c r="H1459"/>
  <c r="R1458"/>
  <c r="Q1458"/>
  <c r="R1457"/>
  <c r="R1456"/>
  <c r="R1455"/>
  <c r="R1454"/>
  <c r="R1453"/>
  <c r="R1451"/>
  <c r="P1451"/>
  <c r="H1451"/>
  <c r="O1451" s="1"/>
  <c r="R1450"/>
  <c r="P1450"/>
  <c r="R1449"/>
  <c r="R1448"/>
  <c r="R1446"/>
  <c r="P1446"/>
  <c r="H1446"/>
  <c r="O1446" s="1"/>
  <c r="R1445"/>
  <c r="P1445"/>
  <c r="R1443"/>
  <c r="P1443"/>
  <c r="Q1443"/>
  <c r="H1443"/>
  <c r="R1442"/>
  <c r="R1441"/>
  <c r="R1440"/>
  <c r="R1439"/>
  <c r="R1438"/>
  <c r="R1436"/>
  <c r="R1435"/>
  <c r="Q1435"/>
  <c r="P1435"/>
  <c r="H1435"/>
  <c r="O1435" s="1"/>
  <c r="R1434"/>
  <c r="Q1434"/>
  <c r="R1433"/>
  <c r="R1432"/>
  <c r="R1431"/>
  <c r="R1430"/>
  <c r="R1429"/>
  <c r="R1427"/>
  <c r="P1427"/>
  <c r="H1427"/>
  <c r="O1427" s="1"/>
  <c r="R1426"/>
  <c r="P1426"/>
  <c r="R1424"/>
  <c r="P1424"/>
  <c r="Q1424"/>
  <c r="H1424"/>
  <c r="R1423"/>
  <c r="R1422"/>
  <c r="R1421"/>
  <c r="R1420"/>
  <c r="R1419"/>
  <c r="R1418"/>
  <c r="R1416"/>
  <c r="Q1416"/>
  <c r="P1416"/>
  <c r="H1416"/>
  <c r="H1415" s="1"/>
  <c r="R1415"/>
  <c r="Q1415"/>
  <c r="R1413"/>
  <c r="Q1413"/>
  <c r="H1413"/>
  <c r="H1412" s="1"/>
  <c r="O1412" s="1"/>
  <c r="R1412"/>
  <c r="R1411"/>
  <c r="R1410"/>
  <c r="R1408"/>
  <c r="Q1408"/>
  <c r="H1408"/>
  <c r="H1407" s="1"/>
  <c r="O1407" s="1"/>
  <c r="R1407"/>
  <c r="Q1407"/>
  <c r="R1405"/>
  <c r="Q1405"/>
  <c r="P1405"/>
  <c r="H1405"/>
  <c r="H1404" s="1"/>
  <c r="R1404"/>
  <c r="Q1404"/>
  <c r="R1403"/>
  <c r="R1402"/>
  <c r="R1401"/>
  <c r="R1400"/>
  <c r="R1398"/>
  <c r="Q1398"/>
  <c r="H1398"/>
  <c r="H1397" s="1"/>
  <c r="O1397" s="1"/>
  <c r="R1397"/>
  <c r="Q1397"/>
  <c r="R1395"/>
  <c r="Q1395"/>
  <c r="P1395"/>
  <c r="H1395"/>
  <c r="R1391"/>
  <c r="P1391"/>
  <c r="Q1391"/>
  <c r="H1391"/>
  <c r="R1390"/>
  <c r="R1387"/>
  <c r="P1387"/>
  <c r="H1387"/>
  <c r="O1387" s="1"/>
  <c r="R1386"/>
  <c r="P1386"/>
  <c r="R1383"/>
  <c r="P1383"/>
  <c r="Q1383"/>
  <c r="H1383"/>
  <c r="R1381"/>
  <c r="Q1381"/>
  <c r="H1381"/>
  <c r="R1378"/>
  <c r="P1378"/>
  <c r="H1378"/>
  <c r="O1378" s="1"/>
  <c r="R1377"/>
  <c r="P1377"/>
  <c r="R1376"/>
  <c r="R1375"/>
  <c r="R1374"/>
  <c r="R1373"/>
  <c r="R1372"/>
  <c r="R1371"/>
  <c r="Q1371"/>
  <c r="P1371"/>
  <c r="O1371"/>
  <c r="R1369"/>
  <c r="Q1369"/>
  <c r="P1369"/>
  <c r="H1369"/>
  <c r="R1368"/>
  <c r="Q1368"/>
  <c r="R1366"/>
  <c r="Q1366"/>
  <c r="H1366"/>
  <c r="R1365"/>
  <c r="R1364"/>
  <c r="R1363"/>
  <c r="R1362"/>
  <c r="R1361"/>
  <c r="R1360"/>
  <c r="R1358"/>
  <c r="P1358"/>
  <c r="Q1358"/>
  <c r="H1358"/>
  <c r="R1357"/>
  <c r="R1356"/>
  <c r="R1355"/>
  <c r="R1353"/>
  <c r="P1353"/>
  <c r="Q1353"/>
  <c r="H1353"/>
  <c r="R1352"/>
  <c r="R1350"/>
  <c r="P1350"/>
  <c r="H1350"/>
  <c r="O1350" s="1"/>
  <c r="R1349"/>
  <c r="P1349"/>
  <c r="R1347"/>
  <c r="P1347"/>
  <c r="Q1347"/>
  <c r="H1347"/>
  <c r="R1346"/>
  <c r="R1345"/>
  <c r="R1344"/>
  <c r="R1343"/>
  <c r="R1342"/>
  <c r="R1339"/>
  <c r="P1339"/>
  <c r="H1339"/>
  <c r="O1339" s="1"/>
  <c r="R1338"/>
  <c r="P1338"/>
  <c r="R1337"/>
  <c r="R1336"/>
  <c r="R1335"/>
  <c r="R1334"/>
  <c r="R1333"/>
  <c r="R1331"/>
  <c r="Q1331"/>
  <c r="H1331"/>
  <c r="H1330" s="1"/>
  <c r="O1330" s="1"/>
  <c r="R1330"/>
  <c r="Q1330"/>
  <c r="R1328"/>
  <c r="Q1328"/>
  <c r="P1328"/>
  <c r="H1328"/>
  <c r="H1327" s="1"/>
  <c r="R1327"/>
  <c r="Q1327"/>
  <c r="R1326"/>
  <c r="R1325"/>
  <c r="R1324"/>
  <c r="R1323"/>
  <c r="R1322"/>
  <c r="R1320"/>
  <c r="P1320"/>
  <c r="H1320"/>
  <c r="O1320" s="1"/>
  <c r="R1319"/>
  <c r="P1319"/>
  <c r="R1318"/>
  <c r="R1317"/>
  <c r="R1316"/>
  <c r="R1315"/>
  <c r="R1313"/>
  <c r="P1313"/>
  <c r="Q1313"/>
  <c r="H1313"/>
  <c r="H1312" s="1"/>
  <c r="E1313"/>
  <c r="D1313"/>
  <c r="C1313"/>
  <c r="R1312"/>
  <c r="P1312"/>
  <c r="Q1312"/>
  <c r="E1312"/>
  <c r="D1312"/>
  <c r="C1312"/>
  <c r="R1310"/>
  <c r="P1310"/>
  <c r="Q1310"/>
  <c r="H1310"/>
  <c r="R1306"/>
  <c r="Q1306"/>
  <c r="H1306"/>
  <c r="R1305"/>
  <c r="R1302"/>
  <c r="Q1302"/>
  <c r="P1302"/>
  <c r="H1302"/>
  <c r="R1301"/>
  <c r="Q1301"/>
  <c r="R1298"/>
  <c r="Q1298"/>
  <c r="H1298"/>
  <c r="R1296"/>
  <c r="P1296"/>
  <c r="H1296"/>
  <c r="O1296" s="1"/>
  <c r="R1293"/>
  <c r="Q1293"/>
  <c r="P1293"/>
  <c r="H1293"/>
  <c r="R1292"/>
  <c r="Q1292"/>
  <c r="R1291"/>
  <c r="R1290"/>
  <c r="R1289"/>
  <c r="R1288"/>
  <c r="R1287"/>
  <c r="R1286"/>
  <c r="Q1286"/>
  <c r="P1286"/>
  <c r="O1286"/>
  <c r="R1284"/>
  <c r="P1284"/>
  <c r="Q1284"/>
  <c r="H1284"/>
  <c r="R1283"/>
  <c r="R1281"/>
  <c r="P1281"/>
  <c r="H1281"/>
  <c r="O1281" s="1"/>
  <c r="R1280"/>
  <c r="P1280"/>
  <c r="R1279"/>
  <c r="R1278"/>
  <c r="R1277"/>
  <c r="R1276"/>
  <c r="R1275"/>
  <c r="R1273"/>
  <c r="Q1273"/>
  <c r="H1273"/>
  <c r="O1273" s="1"/>
  <c r="R1272"/>
  <c r="R1271"/>
  <c r="R1270"/>
  <c r="R1268"/>
  <c r="Q1268"/>
  <c r="H1268"/>
  <c r="R1267"/>
  <c r="Q1267"/>
  <c r="R1265"/>
  <c r="Q1265"/>
  <c r="H1265"/>
  <c r="O1265" s="1"/>
  <c r="R1264"/>
  <c r="Q1264"/>
  <c r="R1262"/>
  <c r="Q1262"/>
  <c r="H1262"/>
  <c r="O1262" s="1"/>
  <c r="R1261"/>
  <c r="R1260"/>
  <c r="R1259"/>
  <c r="R1258"/>
  <c r="R1257"/>
  <c r="R1254"/>
  <c r="Q1254"/>
  <c r="H1254"/>
  <c r="O1254" s="1"/>
  <c r="R1253"/>
  <c r="R1252"/>
  <c r="R1251"/>
  <c r="R1250"/>
  <c r="R1249"/>
  <c r="R1248"/>
  <c r="R1246"/>
  <c r="P1246"/>
  <c r="H1246"/>
  <c r="R1245"/>
  <c r="R1243"/>
  <c r="P1243"/>
  <c r="H1243"/>
  <c r="R1242"/>
  <c r="P1242"/>
  <c r="R1241"/>
  <c r="R1240"/>
  <c r="R1239"/>
  <c r="R1238"/>
  <c r="R1237"/>
  <c r="R1235"/>
  <c r="Q1235"/>
  <c r="H1235"/>
  <c r="H1234" s="1"/>
  <c r="O1234" s="1"/>
  <c r="R1234"/>
  <c r="R1233"/>
  <c r="R1232"/>
  <c r="R1230"/>
  <c r="Q1230"/>
  <c r="H1230"/>
  <c r="H1229" s="1"/>
  <c r="O1229" s="1"/>
  <c r="R1229"/>
  <c r="R1227"/>
  <c r="Q1227"/>
  <c r="P1227"/>
  <c r="H1227"/>
  <c r="O1227" s="1"/>
  <c r="R1226"/>
  <c r="Q1226"/>
  <c r="R1225"/>
  <c r="R1224"/>
  <c r="R1223"/>
  <c r="R1222"/>
  <c r="R1220"/>
  <c r="Q1220"/>
  <c r="H1220"/>
  <c r="O1220" s="1"/>
  <c r="R1219"/>
  <c r="R1217"/>
  <c r="Q1217"/>
  <c r="P1217"/>
  <c r="H1217"/>
  <c r="O1217" s="1"/>
  <c r="R1213"/>
  <c r="P1213"/>
  <c r="Q1213"/>
  <c r="H1213"/>
  <c r="R1212"/>
  <c r="R1209"/>
  <c r="P1209"/>
  <c r="H1209"/>
  <c r="O1209" s="1"/>
  <c r="R1208"/>
  <c r="P1208"/>
  <c r="R1205"/>
  <c r="P1205"/>
  <c r="Q1205"/>
  <c r="H1205"/>
  <c r="R1203"/>
  <c r="Q1203"/>
  <c r="H1203"/>
  <c r="R1200"/>
  <c r="P1200"/>
  <c r="H1200"/>
  <c r="O1200" s="1"/>
  <c r="R1199"/>
  <c r="P1199"/>
  <c r="R1198"/>
  <c r="R1197"/>
  <c r="R1196"/>
  <c r="R1195"/>
  <c r="R1194"/>
  <c r="R1193"/>
  <c r="Q1193"/>
  <c r="P1193"/>
  <c r="O1193"/>
  <c r="R1191"/>
  <c r="Q1191"/>
  <c r="P1191"/>
  <c r="H1191"/>
  <c r="R1188"/>
  <c r="P1188"/>
  <c r="Q1188"/>
  <c r="H1188"/>
  <c r="R1187"/>
  <c r="R1184"/>
  <c r="P1184"/>
  <c r="H1184"/>
  <c r="O1184" s="1"/>
  <c r="R1183"/>
  <c r="P1183"/>
  <c r="R1180"/>
  <c r="P1180"/>
  <c r="Q1180"/>
  <c r="H1180"/>
  <c r="R1178"/>
  <c r="Q1178"/>
  <c r="H1178"/>
  <c r="O1178" s="1"/>
  <c r="R1175"/>
  <c r="P1175"/>
  <c r="H1175"/>
  <c r="O1175" s="1"/>
  <c r="R1174"/>
  <c r="P1174"/>
  <c r="R1173"/>
  <c r="R1172"/>
  <c r="R1171"/>
  <c r="R1169"/>
  <c r="Q1169"/>
  <c r="P1169"/>
  <c r="H1169"/>
  <c r="R1168"/>
  <c r="Q1168"/>
  <c r="R1167"/>
  <c r="R1166"/>
  <c r="R1165"/>
  <c r="R1164"/>
  <c r="R1162"/>
  <c r="Q1162"/>
  <c r="H1162"/>
  <c r="H1161" s="1"/>
  <c r="O1161" s="1"/>
  <c r="R1161"/>
  <c r="R1160"/>
  <c r="R1158"/>
  <c r="P1158"/>
  <c r="Q1158"/>
  <c r="H1158"/>
  <c r="R1157"/>
  <c r="R1156"/>
  <c r="R1154"/>
  <c r="Q1154"/>
  <c r="P1154"/>
  <c r="H1154"/>
  <c r="R1152"/>
  <c r="P1152"/>
  <c r="Q1152"/>
  <c r="H1152"/>
  <c r="R1151"/>
  <c r="R1150"/>
  <c r="R1149"/>
  <c r="R1147"/>
  <c r="P1147"/>
  <c r="Q1147"/>
  <c r="H1147"/>
  <c r="R1146"/>
  <c r="R1145"/>
  <c r="R1144"/>
  <c r="R1143"/>
  <c r="R1142"/>
  <c r="R1140"/>
  <c r="P1140"/>
  <c r="H1140"/>
  <c r="O1140" s="1"/>
  <c r="R1139"/>
  <c r="P1139"/>
  <c r="R1138"/>
  <c r="R1137"/>
  <c r="R1136"/>
  <c r="R1135"/>
  <c r="R1134"/>
  <c r="R1132"/>
  <c r="Q1132"/>
  <c r="H1132"/>
  <c r="R1131"/>
  <c r="R1130"/>
  <c r="R1129"/>
  <c r="R1128"/>
  <c r="R1126"/>
  <c r="P1126"/>
  <c r="H1126"/>
  <c r="O1126" s="1"/>
  <c r="R1125"/>
  <c r="P1125"/>
  <c r="R1124"/>
  <c r="R1123"/>
  <c r="R1122"/>
  <c r="R1121"/>
  <c r="R1120"/>
  <c r="R1119"/>
  <c r="R1118"/>
  <c r="Q1118"/>
  <c r="P1118"/>
  <c r="O1118"/>
  <c r="R1115"/>
  <c r="P1115"/>
  <c r="Q1115"/>
  <c r="H1115"/>
  <c r="R1113"/>
  <c r="Q1113"/>
  <c r="H1113"/>
  <c r="R1109"/>
  <c r="P1109"/>
  <c r="H1109"/>
  <c r="O1109" s="1"/>
  <c r="R1108"/>
  <c r="P1108"/>
  <c r="R1106"/>
  <c r="P1106"/>
  <c r="Q1106"/>
  <c r="H1106"/>
  <c r="R1102"/>
  <c r="Q1102"/>
  <c r="H1102"/>
  <c r="R1101"/>
  <c r="R1098"/>
  <c r="Q1098"/>
  <c r="P1098"/>
  <c r="H1098"/>
  <c r="R1097"/>
  <c r="Q1097"/>
  <c r="R1095"/>
  <c r="Q1095"/>
  <c r="H1095"/>
  <c r="R1093"/>
  <c r="P1093"/>
  <c r="H1093"/>
  <c r="O1093" s="1"/>
  <c r="R1090"/>
  <c r="Q1090"/>
  <c r="P1090"/>
  <c r="H1090"/>
  <c r="R1089"/>
  <c r="Q1089"/>
  <c r="R1088"/>
  <c r="R1087"/>
  <c r="R1085"/>
  <c r="Q1085"/>
  <c r="P1085"/>
  <c r="H1085"/>
  <c r="O1085" s="1"/>
  <c r="R1084"/>
  <c r="Q1084"/>
  <c r="R1081"/>
  <c r="Q1081"/>
  <c r="H1081"/>
  <c r="R1079"/>
  <c r="P1079"/>
  <c r="H1079"/>
  <c r="O1079" s="1"/>
  <c r="R1078"/>
  <c r="P1078"/>
  <c r="R1077"/>
  <c r="R1076"/>
  <c r="R1074"/>
  <c r="P1074"/>
  <c r="H1074"/>
  <c r="O1074" s="1"/>
  <c r="R1073"/>
  <c r="P1073"/>
  <c r="R1072"/>
  <c r="R1071"/>
  <c r="R1068"/>
  <c r="P1068"/>
  <c r="H1068"/>
  <c r="O1068" s="1"/>
  <c r="R1067"/>
  <c r="P1067"/>
  <c r="R1066"/>
  <c r="R1065"/>
  <c r="R1064"/>
  <c r="R1063"/>
  <c r="R1061"/>
  <c r="P1061"/>
  <c r="Q1061"/>
  <c r="H1061"/>
  <c r="R1060"/>
  <c r="R1058"/>
  <c r="P1058"/>
  <c r="H1058"/>
  <c r="O1058" s="1"/>
  <c r="R1057"/>
  <c r="P1057"/>
  <c r="R1056"/>
  <c r="R1055"/>
  <c r="R1054"/>
  <c r="R1053"/>
  <c r="R1051"/>
  <c r="P1051"/>
  <c r="Q1051"/>
  <c r="H1051"/>
  <c r="R1050"/>
  <c r="R1049"/>
  <c r="R1048"/>
  <c r="R1046"/>
  <c r="P1046"/>
  <c r="Q1046"/>
  <c r="H1046"/>
  <c r="R1045"/>
  <c r="R1044"/>
  <c r="R1042"/>
  <c r="Q1042"/>
  <c r="P1042"/>
  <c r="H1042"/>
  <c r="R1041"/>
  <c r="Q1041"/>
  <c r="R1040"/>
  <c r="R1038"/>
  <c r="P1038"/>
  <c r="H1038"/>
  <c r="O1038" s="1"/>
  <c r="R1037"/>
  <c r="P1037"/>
  <c r="R1036"/>
  <c r="R1034"/>
  <c r="Q1034"/>
  <c r="H1034"/>
  <c r="R1033"/>
  <c r="R1031"/>
  <c r="Q1031"/>
  <c r="H1031"/>
  <c r="H1030" s="1"/>
  <c r="O1030" s="1"/>
  <c r="R1030"/>
  <c r="Q1030"/>
  <c r="R1028"/>
  <c r="Q1028"/>
  <c r="P1028"/>
  <c r="H1028"/>
  <c r="H1027" s="1"/>
  <c r="R1027"/>
  <c r="Q1027"/>
  <c r="R1025"/>
  <c r="Q1025"/>
  <c r="P1025"/>
  <c r="H1025"/>
  <c r="H1024" s="1"/>
  <c r="R1024"/>
  <c r="Q1024"/>
  <c r="R1022"/>
  <c r="Q1022"/>
  <c r="H1022"/>
  <c r="R1021"/>
  <c r="R1019"/>
  <c r="Q1019"/>
  <c r="P1019"/>
  <c r="H1019"/>
  <c r="O1019" s="1"/>
  <c r="R1018"/>
  <c r="Q1018"/>
  <c r="R1017"/>
  <c r="R1016"/>
  <c r="Q1016"/>
  <c r="H1016"/>
  <c r="H1015" s="1"/>
  <c r="R1015"/>
  <c r="Q1015"/>
  <c r="R1014"/>
  <c r="R1013"/>
  <c r="P1013"/>
  <c r="H1013"/>
  <c r="R1012"/>
  <c r="P1012"/>
  <c r="R1011"/>
  <c r="R1010"/>
  <c r="Q1010"/>
  <c r="H1010"/>
  <c r="H1009" s="1"/>
  <c r="O1009" s="1"/>
  <c r="R1009"/>
  <c r="Q1009"/>
  <c r="R1007"/>
  <c r="P1007"/>
  <c r="H1007"/>
  <c r="R1006"/>
  <c r="P1006"/>
  <c r="R1005"/>
  <c r="R1004"/>
  <c r="Q1004"/>
  <c r="H1004"/>
  <c r="O1004" s="1"/>
  <c r="R1003"/>
  <c r="Q1003"/>
  <c r="R1001"/>
  <c r="P1001"/>
  <c r="H1001"/>
  <c r="R1000"/>
  <c r="P1000"/>
  <c r="R999"/>
  <c r="R998"/>
  <c r="R997"/>
  <c r="R996"/>
  <c r="P996"/>
  <c r="Q996"/>
  <c r="H996"/>
  <c r="O996" s="1"/>
  <c r="R995"/>
  <c r="R994"/>
  <c r="P994"/>
  <c r="H994"/>
  <c r="R993"/>
  <c r="P993"/>
  <c r="R992"/>
  <c r="R991"/>
  <c r="Q991"/>
  <c r="P991"/>
  <c r="H991"/>
  <c r="O991" s="1"/>
  <c r="R990"/>
  <c r="R989"/>
  <c r="Q989"/>
  <c r="P989"/>
  <c r="H989"/>
  <c r="R988"/>
  <c r="Q988"/>
  <c r="R987"/>
  <c r="R986"/>
  <c r="Q986"/>
  <c r="P986"/>
  <c r="H986"/>
  <c r="O986" s="1"/>
  <c r="R985"/>
  <c r="R984"/>
  <c r="P984"/>
  <c r="Q984"/>
  <c r="H984"/>
  <c r="O984" s="1"/>
  <c r="R983"/>
  <c r="P983"/>
  <c r="R982"/>
  <c r="R981"/>
  <c r="Q981"/>
  <c r="P981"/>
  <c r="H981"/>
  <c r="R980"/>
  <c r="R979"/>
  <c r="Q979"/>
  <c r="P979"/>
  <c r="H979"/>
  <c r="O979" s="1"/>
  <c r="R978"/>
  <c r="Q978"/>
  <c r="R977"/>
  <c r="R976"/>
  <c r="R975"/>
  <c r="Q975"/>
  <c r="P975"/>
  <c r="H975"/>
  <c r="O975" s="1"/>
  <c r="R974"/>
  <c r="R973"/>
  <c r="Q973"/>
  <c r="P973"/>
  <c r="H973"/>
  <c r="R972"/>
  <c r="Q972"/>
  <c r="R971"/>
  <c r="R970"/>
  <c r="Q970"/>
  <c r="P970"/>
  <c r="H970"/>
  <c r="O970" s="1"/>
  <c r="R969"/>
  <c r="R968"/>
  <c r="P968"/>
  <c r="Q968"/>
  <c r="H968"/>
  <c r="O968" s="1"/>
  <c r="R967"/>
  <c r="P967"/>
  <c r="R966"/>
  <c r="R965"/>
  <c r="Q965"/>
  <c r="P965"/>
  <c r="H965"/>
  <c r="R964"/>
  <c r="R963"/>
  <c r="Q963"/>
  <c r="P963"/>
  <c r="H963"/>
  <c r="O963" s="1"/>
  <c r="R962"/>
  <c r="Q962"/>
  <c r="R961"/>
  <c r="R960"/>
  <c r="P960"/>
  <c r="Q960"/>
  <c r="H960"/>
  <c r="O960" s="1"/>
  <c r="R959"/>
  <c r="R958"/>
  <c r="Q958"/>
  <c r="P958"/>
  <c r="H958"/>
  <c r="O958" s="1"/>
  <c r="R957"/>
  <c r="P957"/>
  <c r="R956"/>
  <c r="R955"/>
  <c r="Q955"/>
  <c r="P955"/>
  <c r="H955"/>
  <c r="O955" s="1"/>
  <c r="R954"/>
  <c r="R953"/>
  <c r="Q953"/>
  <c r="P953"/>
  <c r="H953"/>
  <c r="O953" s="1"/>
  <c r="R952"/>
  <c r="Q952"/>
  <c r="R951"/>
  <c r="R950"/>
  <c r="Q950"/>
  <c r="P950"/>
  <c r="H950"/>
  <c r="O950" s="1"/>
  <c r="R949"/>
  <c r="R948"/>
  <c r="P948"/>
  <c r="Q948"/>
  <c r="H948"/>
  <c r="O948" s="1"/>
  <c r="R947"/>
  <c r="P947"/>
  <c r="R946"/>
  <c r="R945"/>
  <c r="Q945"/>
  <c r="P945"/>
  <c r="H945"/>
  <c r="R944"/>
  <c r="R943"/>
  <c r="Q943"/>
  <c r="P943"/>
  <c r="H943"/>
  <c r="O943" s="1"/>
  <c r="R942"/>
  <c r="Q942"/>
  <c r="P942"/>
  <c r="R941"/>
  <c r="R940"/>
  <c r="P940"/>
  <c r="Q940"/>
  <c r="H940"/>
  <c r="O940" s="1"/>
  <c r="R939"/>
  <c r="P939"/>
  <c r="R937"/>
  <c r="Q937"/>
  <c r="P937"/>
  <c r="H937"/>
  <c r="O937" s="1"/>
  <c r="R936"/>
  <c r="R935"/>
  <c r="P935"/>
  <c r="Q935"/>
  <c r="H935"/>
  <c r="O935" s="1"/>
  <c r="R934"/>
  <c r="R933"/>
  <c r="R932"/>
  <c r="Q932"/>
  <c r="P932"/>
  <c r="H932"/>
  <c r="R931"/>
  <c r="R930"/>
  <c r="Q930"/>
  <c r="P930"/>
  <c r="H930"/>
  <c r="O930" s="1"/>
  <c r="R929"/>
  <c r="Q929"/>
  <c r="P929"/>
  <c r="R928"/>
  <c r="R927"/>
  <c r="P927"/>
  <c r="Q927"/>
  <c r="H927"/>
  <c r="O927" s="1"/>
  <c r="R926"/>
  <c r="R925"/>
  <c r="Q925"/>
  <c r="P925"/>
  <c r="H925"/>
  <c r="O925" s="1"/>
  <c r="R924"/>
  <c r="Q924"/>
  <c r="P924"/>
  <c r="R923"/>
  <c r="R922"/>
  <c r="R921"/>
  <c r="R920"/>
  <c r="R919"/>
  <c r="R918"/>
  <c r="R917"/>
  <c r="Q917"/>
  <c r="P917"/>
  <c r="H917"/>
  <c r="O917" s="1"/>
  <c r="R916"/>
  <c r="Q916"/>
  <c r="P916"/>
  <c r="R915"/>
  <c r="Q915"/>
  <c r="R914"/>
  <c r="R913"/>
  <c r="R912"/>
  <c r="R911"/>
  <c r="R910"/>
  <c r="R909"/>
  <c r="Q909"/>
  <c r="P909"/>
  <c r="H909"/>
  <c r="O909" s="1"/>
  <c r="R908"/>
  <c r="Q908"/>
  <c r="P908"/>
  <c r="R907"/>
  <c r="Q907"/>
  <c r="R906"/>
  <c r="Q906"/>
  <c r="R905"/>
  <c r="Q905"/>
  <c r="R904"/>
  <c r="Q904"/>
  <c r="R903"/>
  <c r="Q903"/>
  <c r="R902"/>
  <c r="R901"/>
  <c r="Q901"/>
  <c r="P901"/>
  <c r="O901"/>
  <c r="R899"/>
  <c r="P899"/>
  <c r="Q899"/>
  <c r="H899"/>
  <c r="H898" s="1"/>
  <c r="R898"/>
  <c r="Q898"/>
  <c r="R897"/>
  <c r="Q897"/>
  <c r="P897"/>
  <c r="R894"/>
  <c r="Q894"/>
  <c r="P894"/>
  <c r="H894"/>
  <c r="O894" s="1"/>
  <c r="R893"/>
  <c r="Q893"/>
  <c r="P893"/>
  <c r="R889"/>
  <c r="Q889"/>
  <c r="H889"/>
  <c r="O889" s="1"/>
  <c r="R887"/>
  <c r="Q887"/>
  <c r="P887"/>
  <c r="H887"/>
  <c r="O887" s="1"/>
  <c r="R884"/>
  <c r="Q884"/>
  <c r="P884"/>
  <c r="H884"/>
  <c r="O884" s="1"/>
  <c r="R883"/>
  <c r="Q883"/>
  <c r="P883"/>
  <c r="R882"/>
  <c r="Q882"/>
  <c r="R881"/>
  <c r="Q881"/>
  <c r="P881"/>
  <c r="R880"/>
  <c r="Q880"/>
  <c r="P880"/>
  <c r="R878"/>
  <c r="Q878"/>
  <c r="P878"/>
  <c r="H878"/>
  <c r="R877"/>
  <c r="Q877"/>
  <c r="R876"/>
  <c r="P876"/>
  <c r="R875"/>
  <c r="Q875"/>
  <c r="P875"/>
  <c r="R874"/>
  <c r="Q874"/>
  <c r="P874"/>
  <c r="R872"/>
  <c r="Q872"/>
  <c r="H872"/>
  <c r="O872" s="1"/>
  <c r="R871"/>
  <c r="P871"/>
  <c r="R870"/>
  <c r="Q870"/>
  <c r="P870"/>
  <c r="R869"/>
  <c r="Q869"/>
  <c r="P869"/>
  <c r="R868"/>
  <c r="Q868"/>
  <c r="R866"/>
  <c r="P866"/>
  <c r="H866"/>
  <c r="O866" s="1"/>
  <c r="R865"/>
  <c r="Q865"/>
  <c r="P865"/>
  <c r="R864"/>
  <c r="Q864"/>
  <c r="P864"/>
  <c r="R863"/>
  <c r="Q863"/>
  <c r="R862"/>
  <c r="Q862"/>
  <c r="P862"/>
  <c r="R860"/>
  <c r="Q860"/>
  <c r="P860"/>
  <c r="H860"/>
  <c r="O860" s="1"/>
  <c r="R859"/>
  <c r="Q859"/>
  <c r="P859"/>
  <c r="R858"/>
  <c r="Q858"/>
  <c r="R856"/>
  <c r="Q856"/>
  <c r="P856"/>
  <c r="H856"/>
  <c r="O856" s="1"/>
  <c r="R855"/>
  <c r="Q855"/>
  <c r="P855"/>
  <c r="R854"/>
  <c r="Q854"/>
  <c r="P854"/>
  <c r="R852"/>
  <c r="Q852"/>
  <c r="P852"/>
  <c r="H852"/>
  <c r="H851" s="1"/>
  <c r="O851" s="1"/>
  <c r="R851"/>
  <c r="Q851"/>
  <c r="R850"/>
  <c r="Q850"/>
  <c r="P850"/>
  <c r="R848"/>
  <c r="Q848"/>
  <c r="P848"/>
  <c r="H848"/>
  <c r="O848" s="1"/>
  <c r="R846"/>
  <c r="Q846"/>
  <c r="P846"/>
  <c r="H846"/>
  <c r="R845"/>
  <c r="Q845"/>
  <c r="R844"/>
  <c r="Q844"/>
  <c r="P844"/>
  <c r="R842"/>
  <c r="Q842"/>
  <c r="P842"/>
  <c r="H842"/>
  <c r="O842" s="1"/>
  <c r="R841"/>
  <c r="Q841"/>
  <c r="P841"/>
  <c r="R839"/>
  <c r="Q839"/>
  <c r="H839"/>
  <c r="O839" s="1"/>
  <c r="R838"/>
  <c r="P838"/>
  <c r="R837"/>
  <c r="Q837"/>
  <c r="P837"/>
  <c r="R835"/>
  <c r="Q835"/>
  <c r="P835"/>
  <c r="H835"/>
  <c r="H834" s="1"/>
  <c r="R834"/>
  <c r="Q834"/>
  <c r="R833"/>
  <c r="P833"/>
  <c r="R831"/>
  <c r="Q831"/>
  <c r="P831"/>
  <c r="H831"/>
  <c r="O831" s="1"/>
  <c r="R829"/>
  <c r="Q829"/>
  <c r="P829"/>
  <c r="H829"/>
  <c r="R828"/>
  <c r="Q828"/>
  <c r="R827"/>
  <c r="P827"/>
  <c r="R826"/>
  <c r="Q826"/>
  <c r="P826"/>
  <c r="R824"/>
  <c r="Q824"/>
  <c r="P824"/>
  <c r="H824"/>
  <c r="R822"/>
  <c r="Q822"/>
  <c r="H822"/>
  <c r="O822" s="1"/>
  <c r="R821"/>
  <c r="Q821"/>
  <c r="P821"/>
  <c r="R820"/>
  <c r="Q820"/>
  <c r="P820"/>
  <c r="R819"/>
  <c r="Q819"/>
  <c r="P819"/>
  <c r="R818"/>
  <c r="Q818"/>
  <c r="R817"/>
  <c r="Q817"/>
  <c r="P817"/>
  <c r="R816"/>
  <c r="Q816"/>
  <c r="P816"/>
  <c r="R814"/>
  <c r="Q814"/>
  <c r="P814"/>
  <c r="H814"/>
  <c r="R813"/>
  <c r="Q813"/>
  <c r="R812"/>
  <c r="Q812"/>
  <c r="P812"/>
  <c r="R811"/>
  <c r="Q811"/>
  <c r="P811"/>
  <c r="R810"/>
  <c r="Q810"/>
  <c r="P810"/>
  <c r="R808"/>
  <c r="Q808"/>
  <c r="H808"/>
  <c r="O808" s="1"/>
  <c r="R807"/>
  <c r="Q807"/>
  <c r="P807"/>
  <c r="R806"/>
  <c r="Q806"/>
  <c r="P806"/>
  <c r="R804"/>
  <c r="Q804"/>
  <c r="P804"/>
  <c r="H804"/>
  <c r="R803"/>
  <c r="Q803"/>
  <c r="R802"/>
  <c r="Q802"/>
  <c r="P802"/>
  <c r="R800"/>
  <c r="Q800"/>
  <c r="P800"/>
  <c r="H800"/>
  <c r="O800" s="1"/>
  <c r="R799"/>
  <c r="Q799"/>
  <c r="P799"/>
  <c r="R798"/>
  <c r="Q798"/>
  <c r="R796"/>
  <c r="Q796"/>
  <c r="P796"/>
  <c r="H796"/>
  <c r="O796" s="1"/>
  <c r="R795"/>
  <c r="Q795"/>
  <c r="P795"/>
  <c r="R794"/>
  <c r="Q794"/>
  <c r="P794"/>
  <c r="R792"/>
  <c r="Q792"/>
  <c r="H792"/>
  <c r="O792" s="1"/>
  <c r="R791"/>
  <c r="P791"/>
  <c r="O791"/>
  <c r="R790"/>
  <c r="Q790"/>
  <c r="P790"/>
  <c r="O790"/>
  <c r="R789"/>
  <c r="R788"/>
  <c r="Q788"/>
  <c r="P788"/>
  <c r="H788"/>
  <c r="O788" s="1"/>
  <c r="R787"/>
  <c r="Q787"/>
  <c r="P787"/>
  <c r="R786"/>
  <c r="Q786"/>
  <c r="P786"/>
  <c r="R784"/>
  <c r="Q784"/>
  <c r="P784"/>
  <c r="H784"/>
  <c r="O784" s="1"/>
  <c r="R783"/>
  <c r="Q783"/>
  <c r="P783"/>
  <c r="R782"/>
  <c r="Q782"/>
  <c r="P782"/>
  <c r="R781"/>
  <c r="Q781"/>
  <c r="P781"/>
  <c r="R780"/>
  <c r="Q780"/>
  <c r="P780"/>
  <c r="R779"/>
  <c r="R778"/>
  <c r="Q778"/>
  <c r="P778"/>
  <c r="H778"/>
  <c r="O778" s="1"/>
  <c r="R777"/>
  <c r="Q777"/>
  <c r="P777"/>
  <c r="R776"/>
  <c r="Q776"/>
  <c r="P776"/>
  <c r="R775"/>
  <c r="Q775"/>
  <c r="R774"/>
  <c r="Q774"/>
  <c r="P774"/>
  <c r="R773"/>
  <c r="Q773"/>
  <c r="P773"/>
  <c r="R771"/>
  <c r="Q771"/>
  <c r="P771"/>
  <c r="H771"/>
  <c r="R769"/>
  <c r="Q769"/>
  <c r="H769"/>
  <c r="O769" s="1"/>
  <c r="R768"/>
  <c r="Q768"/>
  <c r="P768"/>
  <c r="R767"/>
  <c r="Q767"/>
  <c r="P767"/>
  <c r="R766"/>
  <c r="Q766"/>
  <c r="P766"/>
  <c r="R764"/>
  <c r="Q764"/>
  <c r="H764"/>
  <c r="O764" s="1"/>
  <c r="R763"/>
  <c r="P763"/>
  <c r="R762"/>
  <c r="Q762"/>
  <c r="P762"/>
  <c r="R761"/>
  <c r="Q761"/>
  <c r="P761"/>
  <c r="R760"/>
  <c r="Q760"/>
  <c r="R758"/>
  <c r="P758"/>
  <c r="H758"/>
  <c r="O758" s="1"/>
  <c r="R756"/>
  <c r="Q756"/>
  <c r="P756"/>
  <c r="H756"/>
  <c r="O756" s="1"/>
  <c r="R755"/>
  <c r="Q755"/>
  <c r="P755"/>
  <c r="R754"/>
  <c r="Q754"/>
  <c r="R753"/>
  <c r="P753"/>
  <c r="R752"/>
  <c r="Q752"/>
  <c r="P752"/>
  <c r="R750"/>
  <c r="Q750"/>
  <c r="P750"/>
  <c r="H750"/>
  <c r="H749" s="1"/>
  <c r="O749" s="1"/>
  <c r="R749"/>
  <c r="P749"/>
  <c r="R748"/>
  <c r="P748"/>
  <c r="R746"/>
  <c r="Q746"/>
  <c r="P746"/>
  <c r="H746"/>
  <c r="R744"/>
  <c r="P744"/>
  <c r="Q744"/>
  <c r="H744"/>
  <c r="O744" s="1"/>
  <c r="R743"/>
  <c r="R742"/>
  <c r="R740"/>
  <c r="Q740"/>
  <c r="P740"/>
  <c r="H740"/>
  <c r="H739" s="1"/>
  <c r="O739" s="1"/>
  <c r="R739"/>
  <c r="Q739"/>
  <c r="R738"/>
  <c r="R736"/>
  <c r="Q736"/>
  <c r="P736"/>
  <c r="H736"/>
  <c r="O736" s="1"/>
  <c r="R734"/>
  <c r="P734"/>
  <c r="H734"/>
  <c r="O734" s="1"/>
  <c r="R733"/>
  <c r="P733"/>
  <c r="R732"/>
  <c r="R731"/>
  <c r="R729"/>
  <c r="P729"/>
  <c r="Q729"/>
  <c r="H729"/>
  <c r="O729" s="1"/>
  <c r="R727"/>
  <c r="Q727"/>
  <c r="P727"/>
  <c r="H727"/>
  <c r="O727" s="1"/>
  <c r="R726"/>
  <c r="Q726"/>
  <c r="R725"/>
  <c r="R724"/>
  <c r="R723"/>
  <c r="R722"/>
  <c r="R721"/>
  <c r="R719"/>
  <c r="P719"/>
  <c r="Q719"/>
  <c r="H719"/>
  <c r="O719" s="1"/>
  <c r="R717"/>
  <c r="Q717"/>
  <c r="P717"/>
  <c r="H717"/>
  <c r="R716"/>
  <c r="P716"/>
  <c r="Q716"/>
  <c r="O716"/>
  <c r="R715"/>
  <c r="R714"/>
  <c r="Q714"/>
  <c r="P714"/>
  <c r="H714"/>
  <c r="O714" s="1"/>
  <c r="R713"/>
  <c r="P713"/>
  <c r="R712"/>
  <c r="R711"/>
  <c r="R710"/>
  <c r="R709"/>
  <c r="R708"/>
  <c r="R707"/>
  <c r="Q707"/>
  <c r="P707"/>
  <c r="O707"/>
  <c r="R705"/>
  <c r="Q705"/>
  <c r="P705"/>
  <c r="H705"/>
  <c r="O705" s="1"/>
  <c r="R704"/>
  <c r="Q704"/>
  <c r="R702"/>
  <c r="Q702"/>
  <c r="P702"/>
  <c r="O702"/>
  <c r="R701"/>
  <c r="Q701"/>
  <c r="P701"/>
  <c r="R699"/>
  <c r="Q699"/>
  <c r="P699"/>
  <c r="H699"/>
  <c r="O699" s="1"/>
  <c r="R698"/>
  <c r="Q698"/>
  <c r="R696"/>
  <c r="Q696"/>
  <c r="P696"/>
  <c r="O696"/>
  <c r="R695"/>
  <c r="Q695"/>
  <c r="P695"/>
  <c r="R694"/>
  <c r="R692"/>
  <c r="P692"/>
  <c r="Q692"/>
  <c r="H692"/>
  <c r="O692" s="1"/>
  <c r="R691"/>
  <c r="R690"/>
  <c r="Q690"/>
  <c r="P690"/>
  <c r="H690"/>
  <c r="O690" s="1"/>
  <c r="R689"/>
  <c r="P689"/>
  <c r="R688"/>
  <c r="R687"/>
  <c r="R686"/>
  <c r="R685"/>
  <c r="R684"/>
  <c r="R682"/>
  <c r="Q682"/>
  <c r="P682"/>
  <c r="H682"/>
  <c r="O682" s="1"/>
  <c r="R678"/>
  <c r="Q678"/>
  <c r="P678"/>
  <c r="H678"/>
  <c r="R677"/>
  <c r="Q677"/>
  <c r="R675"/>
  <c r="P675"/>
  <c r="H675"/>
  <c r="O675" s="1"/>
  <c r="R672"/>
  <c r="Q672"/>
  <c r="P672"/>
  <c r="H672"/>
  <c r="O672" s="1"/>
  <c r="R671"/>
  <c r="P671"/>
  <c r="R668"/>
  <c r="Q668"/>
  <c r="H668"/>
  <c r="R667"/>
  <c r="R663"/>
  <c r="Q663"/>
  <c r="P663"/>
  <c r="H663"/>
  <c r="O663" s="1"/>
  <c r="R661"/>
  <c r="Q661"/>
  <c r="P661"/>
  <c r="H661"/>
  <c r="R658"/>
  <c r="Q658"/>
  <c r="H658"/>
  <c r="O658" s="1"/>
  <c r="R657"/>
  <c r="R656"/>
  <c r="R655"/>
  <c r="R653"/>
  <c r="Q653"/>
  <c r="H653"/>
  <c r="O653" s="1"/>
  <c r="R652"/>
  <c r="R651"/>
  <c r="R650"/>
  <c r="R649"/>
  <c r="R647"/>
  <c r="P647"/>
  <c r="H647"/>
  <c r="O647" s="1"/>
  <c r="R646"/>
  <c r="P646"/>
  <c r="R645"/>
  <c r="P645"/>
  <c r="R643"/>
  <c r="Q643"/>
  <c r="H643"/>
  <c r="O643" s="1"/>
  <c r="R641"/>
  <c r="P641"/>
  <c r="H641"/>
  <c r="O641" s="1"/>
  <c r="R640"/>
  <c r="R639"/>
  <c r="Q639"/>
  <c r="P639"/>
  <c r="H639"/>
  <c r="R638"/>
  <c r="R637"/>
  <c r="R636"/>
  <c r="R635"/>
  <c r="R634"/>
  <c r="R632"/>
  <c r="P632"/>
  <c r="H632"/>
  <c r="O632" s="1"/>
  <c r="R631"/>
  <c r="P631"/>
  <c r="R630"/>
  <c r="P630"/>
  <c r="R629"/>
  <c r="R628"/>
  <c r="R626"/>
  <c r="Q626"/>
  <c r="P626"/>
  <c r="H626"/>
  <c r="O626" s="1"/>
  <c r="R625"/>
  <c r="Q625"/>
  <c r="P625"/>
  <c r="R623"/>
  <c r="Q623"/>
  <c r="H623"/>
  <c r="R622"/>
  <c r="R621"/>
  <c r="R620"/>
  <c r="R619"/>
  <c r="R618"/>
  <c r="R616"/>
  <c r="Q616"/>
  <c r="P616"/>
  <c r="H616"/>
  <c r="O616" s="1"/>
  <c r="R614"/>
  <c r="Q614"/>
  <c r="P614"/>
  <c r="H614"/>
  <c r="R613"/>
  <c r="Q613"/>
  <c r="R612"/>
  <c r="R611"/>
  <c r="R610"/>
  <c r="R608"/>
  <c r="Q608"/>
  <c r="H608"/>
  <c r="O608" s="1"/>
  <c r="R607"/>
  <c r="R606"/>
  <c r="R605"/>
  <c r="R603"/>
  <c r="Q603"/>
  <c r="H603"/>
  <c r="H602" s="1"/>
  <c r="O602" s="1"/>
  <c r="R602"/>
  <c r="R601"/>
  <c r="R600"/>
  <c r="R598"/>
  <c r="P598"/>
  <c r="Q598"/>
  <c r="H598"/>
  <c r="R597"/>
  <c r="R596"/>
  <c r="R595"/>
  <c r="R594"/>
  <c r="R592"/>
  <c r="P592"/>
  <c r="H592"/>
  <c r="O592" s="1"/>
  <c r="R591"/>
  <c r="P591"/>
  <c r="R590"/>
  <c r="P590"/>
  <c r="R588"/>
  <c r="Q588"/>
  <c r="H588"/>
  <c r="O588" s="1"/>
  <c r="R586"/>
  <c r="P586"/>
  <c r="H586"/>
  <c r="O586" s="1"/>
  <c r="R585"/>
  <c r="R584"/>
  <c r="R583"/>
  <c r="R582"/>
  <c r="R581"/>
  <c r="R579"/>
  <c r="Q579"/>
  <c r="P579"/>
  <c r="H579"/>
  <c r="R578"/>
  <c r="Q578"/>
  <c r="R577"/>
  <c r="R576"/>
  <c r="R575"/>
  <c r="R573"/>
  <c r="Q573"/>
  <c r="H573"/>
  <c r="H571" s="1"/>
  <c r="O571" s="1"/>
  <c r="R572"/>
  <c r="R571"/>
  <c r="R570"/>
  <c r="R569"/>
  <c r="R567"/>
  <c r="P567"/>
  <c r="H567"/>
  <c r="O567" s="1"/>
  <c r="R565"/>
  <c r="Q565"/>
  <c r="P565"/>
  <c r="H565"/>
  <c r="O565" s="1"/>
  <c r="R564"/>
  <c r="P564"/>
  <c r="R563"/>
  <c r="R562"/>
  <c r="R561"/>
  <c r="R559"/>
  <c r="Q559"/>
  <c r="P559"/>
  <c r="H559"/>
  <c r="R558"/>
  <c r="Q558"/>
  <c r="R557"/>
  <c r="R556"/>
  <c r="R554"/>
  <c r="Q554"/>
  <c r="P554"/>
  <c r="H554"/>
  <c r="R553"/>
  <c r="Q553"/>
  <c r="R552"/>
  <c r="R551"/>
  <c r="R549"/>
  <c r="Q549"/>
  <c r="P549"/>
  <c r="H549"/>
  <c r="R548"/>
  <c r="Q548"/>
  <c r="R547"/>
  <c r="R546"/>
  <c r="R545"/>
  <c r="R544"/>
  <c r="R543"/>
  <c r="P543"/>
  <c r="H543"/>
  <c r="O543" s="1"/>
  <c r="R542"/>
  <c r="P542"/>
  <c r="R541"/>
  <c r="P541"/>
  <c r="R540"/>
  <c r="R538"/>
  <c r="P538"/>
  <c r="H538"/>
  <c r="O538" s="1"/>
  <c r="R536"/>
  <c r="Q536"/>
  <c r="P536"/>
  <c r="H536"/>
  <c r="O536" s="1"/>
  <c r="R535"/>
  <c r="P535"/>
  <c r="R534"/>
  <c r="R532"/>
  <c r="P532"/>
  <c r="H532"/>
  <c r="O532" s="1"/>
  <c r="R530"/>
  <c r="Q530"/>
  <c r="P530"/>
  <c r="H530"/>
  <c r="O530" s="1"/>
  <c r="R528"/>
  <c r="Q528"/>
  <c r="P528"/>
  <c r="H528"/>
  <c r="R527"/>
  <c r="Q527"/>
  <c r="R525"/>
  <c r="P525"/>
  <c r="H525"/>
  <c r="O525" s="1"/>
  <c r="R522"/>
  <c r="Q522"/>
  <c r="P522"/>
  <c r="H522"/>
  <c r="O522" s="1"/>
  <c r="R519"/>
  <c r="Q519"/>
  <c r="P519"/>
  <c r="H519"/>
  <c r="R518"/>
  <c r="Q518"/>
  <c r="R517"/>
  <c r="R516"/>
  <c r="R515"/>
  <c r="R514"/>
  <c r="R512"/>
  <c r="P512"/>
  <c r="H512"/>
  <c r="O512" s="1"/>
  <c r="R511"/>
  <c r="P511"/>
  <c r="R510"/>
  <c r="P510"/>
  <c r="R509"/>
  <c r="R508"/>
  <c r="R506"/>
  <c r="Q506"/>
  <c r="P506"/>
  <c r="H506"/>
  <c r="O506" s="1"/>
  <c r="R504"/>
  <c r="Q504"/>
  <c r="P504"/>
  <c r="H504"/>
  <c r="R503"/>
  <c r="Q503"/>
  <c r="R502"/>
  <c r="R501"/>
  <c r="R500"/>
  <c r="R498"/>
  <c r="Q498"/>
  <c r="H498"/>
  <c r="R497"/>
  <c r="R496"/>
  <c r="R495"/>
  <c r="R494"/>
  <c r="R492"/>
  <c r="P492"/>
  <c r="H492"/>
  <c r="O492" s="1"/>
  <c r="R491"/>
  <c r="P491"/>
  <c r="R490"/>
  <c r="P490"/>
  <c r="R488"/>
  <c r="Q488"/>
  <c r="H488"/>
  <c r="O488" s="1"/>
  <c r="R486"/>
  <c r="P486"/>
  <c r="H486"/>
  <c r="O486" s="1"/>
  <c r="R484"/>
  <c r="Q484"/>
  <c r="P484"/>
  <c r="H484"/>
  <c r="O484" s="1"/>
  <c r="R483"/>
  <c r="Q483"/>
  <c r="P483"/>
  <c r="R481"/>
  <c r="Q481"/>
  <c r="H481"/>
  <c r="O481" s="1"/>
  <c r="R478"/>
  <c r="P478"/>
  <c r="H478"/>
  <c r="O478" s="1"/>
  <c r="R477"/>
  <c r="Q477"/>
  <c r="P477"/>
  <c r="R476"/>
  <c r="Q476"/>
  <c r="P476"/>
  <c r="R475"/>
  <c r="R474"/>
  <c r="P474"/>
  <c r="R473"/>
  <c r="R472"/>
  <c r="R471"/>
  <c r="R470"/>
  <c r="Q470"/>
  <c r="P470"/>
  <c r="O470"/>
  <c r="R469"/>
  <c r="R468"/>
  <c r="Q468"/>
  <c r="H468"/>
  <c r="O468" s="1"/>
  <c r="R467"/>
  <c r="P467"/>
  <c r="R466"/>
  <c r="Q466"/>
  <c r="P466"/>
  <c r="R465"/>
  <c r="Q465"/>
  <c r="P465"/>
  <c r="R464"/>
  <c r="Q464"/>
  <c r="R463"/>
  <c r="P463"/>
  <c r="R462"/>
  <c r="Q462"/>
  <c r="P462"/>
  <c r="R461"/>
  <c r="R460"/>
  <c r="Q460"/>
  <c r="H460"/>
  <c r="O460" s="1"/>
  <c r="R459"/>
  <c r="Q459"/>
  <c r="P459"/>
  <c r="R458"/>
  <c r="Q458"/>
  <c r="P458"/>
  <c r="R457"/>
  <c r="Q457"/>
  <c r="P457"/>
  <c r="R456"/>
  <c r="Q456"/>
  <c r="R455"/>
  <c r="Q455"/>
  <c r="P455"/>
  <c r="R454"/>
  <c r="Q454"/>
  <c r="P454"/>
  <c r="R451"/>
  <c r="Q451"/>
  <c r="P451"/>
  <c r="H451"/>
  <c r="H450" s="1"/>
  <c r="O450" s="1"/>
  <c r="R450"/>
  <c r="Q450"/>
  <c r="R446"/>
  <c r="P446"/>
  <c r="O446"/>
  <c r="R444"/>
  <c r="Q444"/>
  <c r="P444"/>
  <c r="H444"/>
  <c r="O444" s="1"/>
  <c r="R441"/>
  <c r="Q441"/>
  <c r="P441"/>
  <c r="H441"/>
  <c r="R440"/>
  <c r="Q440"/>
  <c r="R439"/>
  <c r="P439"/>
  <c r="R438"/>
  <c r="Q438"/>
  <c r="P438"/>
  <c r="R437"/>
  <c r="R436"/>
  <c r="Q436"/>
  <c r="H436"/>
  <c r="O436" s="1"/>
  <c r="R435"/>
  <c r="Q435"/>
  <c r="P435"/>
  <c r="R434"/>
  <c r="Q434"/>
  <c r="P434"/>
  <c r="R433"/>
  <c r="Q433"/>
  <c r="P433"/>
  <c r="R432"/>
  <c r="Q432"/>
  <c r="R431"/>
  <c r="Q431"/>
  <c r="P431"/>
  <c r="R430"/>
  <c r="Q430"/>
  <c r="P430"/>
  <c r="R429"/>
  <c r="Q429"/>
  <c r="P429"/>
  <c r="R428"/>
  <c r="Q428"/>
  <c r="P428"/>
  <c r="O428"/>
  <c r="R427"/>
  <c r="Q427"/>
  <c r="P427"/>
  <c r="O427"/>
  <c r="R426"/>
  <c r="Q426"/>
  <c r="H426"/>
  <c r="O426" s="1"/>
  <c r="R425"/>
  <c r="Q425"/>
  <c r="P425"/>
  <c r="R424"/>
  <c r="Q424"/>
  <c r="P424"/>
  <c r="R423"/>
  <c r="Q423"/>
  <c r="P423"/>
  <c r="R422"/>
  <c r="Q422"/>
  <c r="R421"/>
  <c r="P421"/>
  <c r="R420"/>
  <c r="Q420"/>
  <c r="P420"/>
  <c r="O420"/>
  <c r="R419"/>
  <c r="P419"/>
  <c r="Q419"/>
  <c r="H419"/>
  <c r="O419" s="1"/>
  <c r="R418"/>
  <c r="Q418"/>
  <c r="P418"/>
  <c r="O418"/>
  <c r="R417"/>
  <c r="Q417"/>
  <c r="P417"/>
  <c r="H417"/>
  <c r="O417" s="1"/>
  <c r="R416"/>
  <c r="Q416"/>
  <c r="P416"/>
  <c r="O416"/>
  <c r="R415"/>
  <c r="P415"/>
  <c r="H415"/>
  <c r="R414"/>
  <c r="Q414"/>
  <c r="P414"/>
  <c r="R413"/>
  <c r="Q413"/>
  <c r="P413"/>
  <c r="R412"/>
  <c r="R411"/>
  <c r="P411"/>
  <c r="H411"/>
  <c r="O411" s="1"/>
  <c r="R410"/>
  <c r="Q410"/>
  <c r="P410"/>
  <c r="R409"/>
  <c r="Q409"/>
  <c r="P409"/>
  <c r="R408"/>
  <c r="Q408"/>
  <c r="R407"/>
  <c r="P407"/>
  <c r="R406"/>
  <c r="Q406"/>
  <c r="P406"/>
  <c r="R405"/>
  <c r="Q405"/>
  <c r="P405"/>
  <c r="H404"/>
  <c r="O404" s="1"/>
  <c r="R404"/>
  <c r="Q404"/>
  <c r="R403"/>
  <c r="P403"/>
  <c r="R402"/>
  <c r="Q402"/>
  <c r="P402"/>
  <c r="R401"/>
  <c r="Q401"/>
  <c r="P401"/>
  <c r="R398"/>
  <c r="H398"/>
  <c r="O398" s="1"/>
  <c r="R397"/>
  <c r="P397"/>
  <c r="R393"/>
  <c r="H393"/>
  <c r="O393" s="1"/>
  <c r="R391"/>
  <c r="P391"/>
  <c r="H391"/>
  <c r="O391" s="1"/>
  <c r="R388"/>
  <c r="Q388"/>
  <c r="P388"/>
  <c r="H388"/>
  <c r="O388" s="1"/>
  <c r="R387"/>
  <c r="P387"/>
  <c r="R386"/>
  <c r="R385"/>
  <c r="P385"/>
  <c r="R384"/>
  <c r="P384"/>
  <c r="R383"/>
  <c r="P383"/>
  <c r="R382"/>
  <c r="R381"/>
  <c r="Q381"/>
  <c r="P381"/>
  <c r="O381"/>
  <c r="R380"/>
  <c r="R379"/>
  <c r="Q379"/>
  <c r="H379"/>
  <c r="O379" s="1"/>
  <c r="R378"/>
  <c r="P378"/>
  <c r="R377"/>
  <c r="Q377"/>
  <c r="P377"/>
  <c r="R376"/>
  <c r="Q376"/>
  <c r="P376"/>
  <c r="R375"/>
  <c r="Q375"/>
  <c r="R374"/>
  <c r="P374"/>
  <c r="R373"/>
  <c r="Q373"/>
  <c r="P373"/>
  <c r="R372"/>
  <c r="R371"/>
  <c r="Q371"/>
  <c r="H371"/>
  <c r="O371" s="1"/>
  <c r="R370"/>
  <c r="P370"/>
  <c r="R369"/>
  <c r="Q369"/>
  <c r="P369"/>
  <c r="R368"/>
  <c r="Q368"/>
  <c r="P368"/>
  <c r="R367"/>
  <c r="Q367"/>
  <c r="R366"/>
  <c r="R365"/>
  <c r="Q365"/>
  <c r="P365"/>
  <c r="H365"/>
  <c r="O365" s="1"/>
  <c r="R364"/>
  <c r="Q364"/>
  <c r="P364"/>
  <c r="R363"/>
  <c r="Q363"/>
  <c r="R362"/>
  <c r="Q362"/>
  <c r="P362"/>
  <c r="R361"/>
  <c r="Q361"/>
  <c r="P361"/>
  <c r="R360"/>
  <c r="Q360"/>
  <c r="P360"/>
  <c r="R359"/>
  <c r="Q359"/>
  <c r="R358"/>
  <c r="R357"/>
  <c r="Q357"/>
  <c r="P357"/>
  <c r="H357"/>
  <c r="O357" s="1"/>
  <c r="R356"/>
  <c r="Q356"/>
  <c r="P356"/>
  <c r="R355"/>
  <c r="Q355"/>
  <c r="P355"/>
  <c r="R354"/>
  <c r="Q354"/>
  <c r="R353"/>
  <c r="Q353"/>
  <c r="P353"/>
  <c r="R352"/>
  <c r="R351"/>
  <c r="Q351"/>
  <c r="P351"/>
  <c r="H351"/>
  <c r="H350" s="1"/>
  <c r="R350"/>
  <c r="Q350"/>
  <c r="R349"/>
  <c r="Q349"/>
  <c r="P349"/>
  <c r="R348"/>
  <c r="Q348"/>
  <c r="P348"/>
  <c r="R347"/>
  <c r="Q347"/>
  <c r="P347"/>
  <c r="R346"/>
  <c r="R345"/>
  <c r="Q345"/>
  <c r="P345"/>
  <c r="H345"/>
  <c r="O345" s="1"/>
  <c r="R344"/>
  <c r="Q344"/>
  <c r="P344"/>
  <c r="R343"/>
  <c r="Q343"/>
  <c r="P343"/>
  <c r="R342"/>
  <c r="Q342"/>
  <c r="R341"/>
  <c r="Q341"/>
  <c r="P341"/>
  <c r="R340"/>
  <c r="Q340"/>
  <c r="P340"/>
  <c r="R339"/>
  <c r="Q339"/>
  <c r="P339"/>
  <c r="R337"/>
  <c r="P337"/>
  <c r="Q337"/>
  <c r="H337"/>
  <c r="O337" s="1"/>
  <c r="R336"/>
  <c r="P336"/>
  <c r="R335"/>
  <c r="P335"/>
  <c r="R334"/>
  <c r="P334"/>
  <c r="R331"/>
  <c r="Q331"/>
  <c r="H331"/>
  <c r="O331" s="1"/>
  <c r="R330"/>
  <c r="Q330"/>
  <c r="P330"/>
  <c r="R326"/>
  <c r="Q326"/>
  <c r="P326"/>
  <c r="H326"/>
  <c r="O326" s="1"/>
  <c r="R324"/>
  <c r="Q324"/>
  <c r="P324"/>
  <c r="H324"/>
  <c r="R321"/>
  <c r="Q321"/>
  <c r="H321"/>
  <c r="O321" s="1"/>
  <c r="R320"/>
  <c r="P320"/>
  <c r="R319"/>
  <c r="Q319"/>
  <c r="P319"/>
  <c r="R318"/>
  <c r="Q318"/>
  <c r="P318"/>
  <c r="R317"/>
  <c r="R316"/>
  <c r="P316"/>
  <c r="H316"/>
  <c r="O316" s="1"/>
  <c r="R315"/>
  <c r="P315"/>
  <c r="Q315"/>
  <c r="R314"/>
  <c r="Q314"/>
  <c r="P314"/>
  <c r="R313"/>
  <c r="Q313"/>
  <c r="R312"/>
  <c r="Q312"/>
  <c r="P312"/>
  <c r="R311"/>
  <c r="R310"/>
  <c r="Q310"/>
  <c r="P310"/>
  <c r="H310"/>
  <c r="H309" s="1"/>
  <c r="R309"/>
  <c r="Q309"/>
  <c r="R308"/>
  <c r="P308"/>
  <c r="R307"/>
  <c r="R306"/>
  <c r="Q306"/>
  <c r="P306"/>
  <c r="H306"/>
  <c r="H305" s="1"/>
  <c r="O305" s="1"/>
  <c r="R305"/>
  <c r="Q305"/>
  <c r="R303"/>
  <c r="Q303"/>
  <c r="P303"/>
  <c r="H303"/>
  <c r="O303" s="1"/>
  <c r="R302"/>
  <c r="Q302"/>
  <c r="P302"/>
  <c r="R300"/>
  <c r="Q300"/>
  <c r="P300"/>
  <c r="H300"/>
  <c r="R299"/>
  <c r="R298"/>
  <c r="Q298"/>
  <c r="P298"/>
  <c r="H298"/>
  <c r="O298" s="1"/>
  <c r="R297"/>
  <c r="Q297"/>
  <c r="P297"/>
  <c r="R296"/>
  <c r="Q296"/>
  <c r="P296"/>
  <c r="R295"/>
  <c r="Q295"/>
  <c r="R294"/>
  <c r="P294"/>
  <c r="R293"/>
  <c r="P293"/>
  <c r="R292"/>
  <c r="P292"/>
  <c r="R291"/>
  <c r="R290"/>
  <c r="Q290"/>
  <c r="P290"/>
  <c r="O290"/>
  <c r="R289"/>
  <c r="R288"/>
  <c r="Q288"/>
  <c r="H288"/>
  <c r="O288" s="1"/>
  <c r="R287"/>
  <c r="P287"/>
  <c r="R286"/>
  <c r="Q286"/>
  <c r="P286"/>
  <c r="R285"/>
  <c r="R284"/>
  <c r="Q284"/>
  <c r="H284"/>
  <c r="O284" s="1"/>
  <c r="R283"/>
  <c r="P283"/>
  <c r="R282"/>
  <c r="Q282"/>
  <c r="P282"/>
  <c r="R281"/>
  <c r="Q281"/>
  <c r="P281"/>
  <c r="R280"/>
  <c r="Q280"/>
  <c r="R279"/>
  <c r="P279"/>
  <c r="R278"/>
  <c r="R277"/>
  <c r="Q277"/>
  <c r="P277"/>
  <c r="H277"/>
  <c r="H276" s="1"/>
  <c r="O276" s="1"/>
  <c r="R276"/>
  <c r="Q276"/>
  <c r="R275"/>
  <c r="R274"/>
  <c r="Q274"/>
  <c r="R273"/>
  <c r="Q273"/>
  <c r="R272"/>
  <c r="Q272"/>
  <c r="R271"/>
  <c r="R270"/>
  <c r="R269"/>
  <c r="Q269"/>
  <c r="P269"/>
  <c r="H269"/>
  <c r="H268" s="1"/>
  <c r="H267" s="1"/>
  <c r="R268"/>
  <c r="Q268"/>
  <c r="R267"/>
  <c r="P267"/>
  <c r="R266"/>
  <c r="Q266"/>
  <c r="P266"/>
  <c r="R265"/>
  <c r="Q265"/>
  <c r="P265"/>
  <c r="R264"/>
  <c r="Q264"/>
  <c r="R263"/>
  <c r="P263"/>
  <c r="R262"/>
  <c r="R261"/>
  <c r="Q261"/>
  <c r="P261"/>
  <c r="H261"/>
  <c r="H260" s="1"/>
  <c r="H259" s="1"/>
  <c r="R260"/>
  <c r="Q260"/>
  <c r="R259"/>
  <c r="R258"/>
  <c r="R257"/>
  <c r="R256"/>
  <c r="R255"/>
  <c r="R254"/>
  <c r="R253"/>
  <c r="Q253"/>
  <c r="P253"/>
  <c r="H253"/>
  <c r="R252"/>
  <c r="R251"/>
  <c r="H251"/>
  <c r="O251" s="1"/>
  <c r="R250"/>
  <c r="Q250"/>
  <c r="R249"/>
  <c r="Q249"/>
  <c r="R248"/>
  <c r="R247"/>
  <c r="P247"/>
  <c r="H247"/>
  <c r="O247" s="1"/>
  <c r="R246"/>
  <c r="Q246"/>
  <c r="P246"/>
  <c r="R245"/>
  <c r="Q245"/>
  <c r="P245"/>
  <c r="R244"/>
  <c r="Q244"/>
  <c r="R243"/>
  <c r="R242"/>
  <c r="Q242"/>
  <c r="P242"/>
  <c r="H242"/>
  <c r="O242" s="1"/>
  <c r="R241"/>
  <c r="Q241"/>
  <c r="P241"/>
  <c r="R240"/>
  <c r="Q240"/>
  <c r="R239"/>
  <c r="R238"/>
  <c r="Q238"/>
  <c r="P238"/>
  <c r="H238"/>
  <c r="O238" s="1"/>
  <c r="R236"/>
  <c r="Q236"/>
  <c r="P236"/>
  <c r="H236"/>
  <c r="R235"/>
  <c r="Q235"/>
  <c r="R234"/>
  <c r="P234"/>
  <c r="R231"/>
  <c r="Q231"/>
  <c r="P231"/>
  <c r="H231"/>
  <c r="O231" s="1"/>
  <c r="R230"/>
  <c r="Q230"/>
  <c r="P230"/>
  <c r="R229"/>
  <c r="Q229"/>
  <c r="R228"/>
  <c r="P228"/>
  <c r="R227"/>
  <c r="Q227"/>
  <c r="R226"/>
  <c r="Q226"/>
  <c r="R225"/>
  <c r="Q225"/>
  <c r="R222"/>
  <c r="P222"/>
  <c r="H222"/>
  <c r="O222" s="1"/>
  <c r="R221"/>
  <c r="Q221"/>
  <c r="P221"/>
  <c r="R220"/>
  <c r="Q220"/>
  <c r="R219"/>
  <c r="Q219"/>
  <c r="P219"/>
  <c r="R217"/>
  <c r="P217"/>
  <c r="Q217"/>
  <c r="H217"/>
  <c r="R216"/>
  <c r="P216"/>
  <c r="R212"/>
  <c r="P212"/>
  <c r="Q212"/>
  <c r="H212"/>
  <c r="O212" s="1"/>
  <c r="R210"/>
  <c r="Q210"/>
  <c r="P210"/>
  <c r="H210"/>
  <c r="O210" s="1"/>
  <c r="R206"/>
  <c r="P206"/>
  <c r="Q206"/>
  <c r="H206"/>
  <c r="R205"/>
  <c r="R204"/>
  <c r="R203"/>
  <c r="R202"/>
  <c r="R201"/>
  <c r="Q201"/>
  <c r="H201"/>
  <c r="O201" s="1"/>
  <c r="R200"/>
  <c r="R199"/>
  <c r="R198"/>
  <c r="R197"/>
  <c r="R196"/>
  <c r="P196"/>
  <c r="O196"/>
  <c r="R195"/>
  <c r="P195"/>
  <c r="R194"/>
  <c r="R193"/>
  <c r="R192"/>
  <c r="P192"/>
  <c r="Q192"/>
  <c r="O192"/>
  <c r="R191"/>
  <c r="R190"/>
  <c r="P190"/>
  <c r="Q190"/>
  <c r="H190"/>
  <c r="R189"/>
  <c r="R188"/>
  <c r="R187"/>
  <c r="Q187"/>
  <c r="P187"/>
  <c r="R186"/>
  <c r="R185"/>
  <c r="Q185"/>
  <c r="H185"/>
  <c r="O185" s="1"/>
  <c r="R184"/>
  <c r="R183"/>
  <c r="R182"/>
  <c r="R181"/>
  <c r="Q181"/>
  <c r="H181"/>
  <c r="R180"/>
  <c r="R179"/>
  <c r="R178"/>
  <c r="R177"/>
  <c r="R176"/>
  <c r="P176"/>
  <c r="H176"/>
  <c r="O176" s="1"/>
  <c r="R175"/>
  <c r="P175"/>
  <c r="R174"/>
  <c r="R173"/>
  <c r="R172"/>
  <c r="R168"/>
  <c r="Q168"/>
  <c r="P168"/>
  <c r="H168"/>
  <c r="R166"/>
  <c r="P166"/>
  <c r="Q166"/>
  <c r="H166"/>
  <c r="O166" s="1"/>
  <c r="R162"/>
  <c r="Q162"/>
  <c r="H162"/>
  <c r="O162" s="1"/>
  <c r="R161"/>
  <c r="R160"/>
  <c r="R159"/>
  <c r="R158"/>
  <c r="Q158"/>
  <c r="H158"/>
  <c r="O158" s="1"/>
  <c r="R157"/>
  <c r="R156"/>
  <c r="R155"/>
  <c r="R154"/>
  <c r="Q154"/>
  <c r="H154"/>
  <c r="R153"/>
  <c r="R152"/>
  <c r="R151"/>
  <c r="R150"/>
  <c r="Q150"/>
  <c r="H150"/>
  <c r="R149"/>
  <c r="R148"/>
  <c r="R147"/>
  <c r="R145"/>
  <c r="Q145"/>
  <c r="H145"/>
  <c r="R144"/>
  <c r="R143"/>
  <c r="R142"/>
  <c r="R141"/>
  <c r="Q141"/>
  <c r="H141"/>
  <c r="R140"/>
  <c r="R139"/>
  <c r="R138"/>
  <c r="R137"/>
  <c r="R136"/>
  <c r="R135"/>
  <c r="Q135"/>
  <c r="P135"/>
  <c r="H135"/>
  <c r="R134"/>
  <c r="Q134"/>
  <c r="R133"/>
  <c r="R132"/>
  <c r="R131"/>
  <c r="R130"/>
  <c r="R129"/>
  <c r="Q129"/>
  <c r="H129"/>
  <c r="R128"/>
  <c r="Q128"/>
  <c r="R126"/>
  <c r="Q126"/>
  <c r="P126"/>
  <c r="H126"/>
  <c r="H125" s="1"/>
  <c r="R125"/>
  <c r="Q125"/>
  <c r="R124"/>
  <c r="R123"/>
  <c r="R122"/>
  <c r="R121"/>
  <c r="R119"/>
  <c r="Q119"/>
  <c r="H119"/>
  <c r="O119" s="1"/>
  <c r="R118"/>
  <c r="R117"/>
  <c r="R116"/>
  <c r="R115"/>
  <c r="R113"/>
  <c r="P113"/>
  <c r="H113"/>
  <c r="O113" s="1"/>
  <c r="R112"/>
  <c r="P112"/>
  <c r="R110"/>
  <c r="P110"/>
  <c r="Q110"/>
  <c r="H110"/>
  <c r="R107"/>
  <c r="Q107"/>
  <c r="H107"/>
  <c r="R106"/>
  <c r="R103"/>
  <c r="Q103"/>
  <c r="P103"/>
  <c r="H103"/>
  <c r="H102" s="1"/>
  <c r="R102"/>
  <c r="Q102"/>
  <c r="R99"/>
  <c r="Q99"/>
  <c r="H99"/>
  <c r="O99" s="1"/>
  <c r="R97"/>
  <c r="P97"/>
  <c r="H97"/>
  <c r="O97" s="1"/>
  <c r="R94"/>
  <c r="Q94"/>
  <c r="P94"/>
  <c r="H94"/>
  <c r="R93"/>
  <c r="Q93"/>
  <c r="R92"/>
  <c r="R91"/>
  <c r="R90"/>
  <c r="R87"/>
  <c r="P87"/>
  <c r="Q87"/>
  <c r="H87"/>
  <c r="R86"/>
  <c r="R83"/>
  <c r="P83"/>
  <c r="H83"/>
  <c r="O83" s="1"/>
  <c r="R82"/>
  <c r="P82"/>
  <c r="R81"/>
  <c r="R80"/>
  <c r="R79"/>
  <c r="R78"/>
  <c r="R77"/>
  <c r="R76"/>
  <c r="Q76"/>
  <c r="P76"/>
  <c r="O76"/>
  <c r="R75"/>
  <c r="R74"/>
  <c r="P74"/>
  <c r="Q74"/>
  <c r="H74"/>
  <c r="R73"/>
  <c r="R72"/>
  <c r="R71"/>
  <c r="R70"/>
  <c r="R69"/>
  <c r="R68"/>
  <c r="P68"/>
  <c r="H68"/>
  <c r="O68" s="1"/>
  <c r="R67"/>
  <c r="P67"/>
  <c r="R66"/>
  <c r="R65"/>
  <c r="R64"/>
  <c r="R63"/>
  <c r="R62"/>
  <c r="R61"/>
  <c r="Q61"/>
  <c r="H61"/>
  <c r="H60" s="1"/>
  <c r="O60" s="1"/>
  <c r="R60"/>
  <c r="R59"/>
  <c r="R58"/>
  <c r="R57"/>
  <c r="R54"/>
  <c r="P54"/>
  <c r="H54"/>
  <c r="O54" s="1"/>
  <c r="R53"/>
  <c r="P53"/>
  <c r="R50"/>
  <c r="P50"/>
  <c r="Q50"/>
  <c r="H50"/>
  <c r="R49"/>
  <c r="P49"/>
  <c r="R48"/>
  <c r="R45"/>
  <c r="Q45"/>
  <c r="P45"/>
  <c r="H45"/>
  <c r="R44"/>
  <c r="Q44"/>
  <c r="R41"/>
  <c r="Q41"/>
  <c r="H41"/>
  <c r="R40"/>
  <c r="Q40"/>
  <c r="R39"/>
  <c r="R36"/>
  <c r="P36"/>
  <c r="Q36"/>
  <c r="H36"/>
  <c r="H35" s="1"/>
  <c r="R35"/>
  <c r="P35"/>
  <c r="R32"/>
  <c r="P32"/>
  <c r="Q32"/>
  <c r="H32"/>
  <c r="O32" s="1"/>
  <c r="R30"/>
  <c r="Q30"/>
  <c r="P30"/>
  <c r="H30"/>
  <c r="R26"/>
  <c r="P26"/>
  <c r="Q26"/>
  <c r="H26"/>
  <c r="R25"/>
  <c r="R24"/>
  <c r="O1015" l="1"/>
  <c r="H1471"/>
  <c r="H704"/>
  <c r="O704" s="1"/>
  <c r="H1585"/>
  <c r="O1585" s="1"/>
  <c r="O415"/>
  <c r="H414"/>
  <c r="H1305"/>
  <c r="O1305" s="1"/>
  <c r="H978"/>
  <c r="O978" s="1"/>
  <c r="H972"/>
  <c r="O972" s="1"/>
  <c r="H510"/>
  <c r="H509" s="1"/>
  <c r="H467"/>
  <c r="O467" s="1"/>
  <c r="H1003"/>
  <c r="O1003" s="1"/>
  <c r="H652"/>
  <c r="O652" s="1"/>
  <c r="H755"/>
  <c r="H591"/>
  <c r="O591" s="1"/>
  <c r="H491"/>
  <c r="O491" s="1"/>
  <c r="H698"/>
  <c r="O698" s="1"/>
  <c r="H118"/>
  <c r="O118" s="1"/>
  <c r="H459"/>
  <c r="O459" s="1"/>
  <c r="H511"/>
  <c r="O511" s="1"/>
  <c r="H939"/>
  <c r="O939" s="1"/>
  <c r="H962"/>
  <c r="O962" s="1"/>
  <c r="H952"/>
  <c r="O952" s="1"/>
  <c r="H625"/>
  <c r="O625" s="1"/>
  <c r="H855"/>
  <c r="O855" s="1"/>
  <c r="H1784"/>
  <c r="H1797"/>
  <c r="O1797" s="1"/>
  <c r="H743"/>
  <c r="O743" s="1"/>
  <c r="H283"/>
  <c r="O283" s="1"/>
  <c r="H893"/>
  <c r="O893" s="1"/>
  <c r="H356"/>
  <c r="H1018"/>
  <c r="O1018" s="1"/>
  <c r="H1679"/>
  <c r="H246"/>
  <c r="O246" s="1"/>
  <c r="H821"/>
  <c r="O821" s="1"/>
  <c r="H221"/>
  <c r="O221" s="1"/>
  <c r="H838"/>
  <c r="O838" s="1"/>
  <c r="H1084"/>
  <c r="O1084" s="1"/>
  <c r="H1226"/>
  <c r="H1225" s="1"/>
  <c r="H1264"/>
  <c r="O1264" s="1"/>
  <c r="H542"/>
  <c r="H748"/>
  <c r="O748" s="1"/>
  <c r="H763"/>
  <c r="O763" s="1"/>
  <c r="H1219"/>
  <c r="O1219" s="1"/>
  <c r="H1261"/>
  <c r="H1292"/>
  <c r="O1292" s="1"/>
  <c r="H1434"/>
  <c r="H370"/>
  <c r="O370" s="1"/>
  <c r="H646"/>
  <c r="H871"/>
  <c r="O871" s="1"/>
  <c r="H1272"/>
  <c r="O1272" s="1"/>
  <c r="H1498"/>
  <c r="O1498" s="1"/>
  <c r="H435"/>
  <c r="O435" s="1"/>
  <c r="O834"/>
  <c r="H833"/>
  <c r="O833" s="1"/>
  <c r="H336"/>
  <c r="H297"/>
  <c r="O297" s="1"/>
  <c r="H330"/>
  <c r="O330" s="1"/>
  <c r="H440"/>
  <c r="O440" s="1"/>
  <c r="H535"/>
  <c r="H585"/>
  <c r="O585" s="1"/>
  <c r="H845"/>
  <c r="H929"/>
  <c r="O929" s="1"/>
  <c r="H942"/>
  <c r="O942" s="1"/>
  <c r="H988"/>
  <c r="O988" s="1"/>
  <c r="H161"/>
  <c r="O161" s="1"/>
  <c r="H230"/>
  <c r="H229" s="1"/>
  <c r="O229" s="1"/>
  <c r="H570"/>
  <c r="H601"/>
  <c r="O601" s="1"/>
  <c r="H768"/>
  <c r="O768" s="1"/>
  <c r="H807"/>
  <c r="O807" s="1"/>
  <c r="H850"/>
  <c r="O850" s="1"/>
  <c r="H865"/>
  <c r="H1101"/>
  <c r="O1101" s="1"/>
  <c r="H1253"/>
  <c r="H1528"/>
  <c r="O1528" s="1"/>
  <c r="H1604"/>
  <c r="O1604" s="1"/>
  <c r="H695"/>
  <c r="O695" s="1"/>
  <c r="H799"/>
  <c r="H798" s="1"/>
  <c r="O798" s="1"/>
  <c r="H787"/>
  <c r="H235"/>
  <c r="H701"/>
  <c r="O701" s="1"/>
  <c r="H200"/>
  <c r="O200" s="1"/>
  <c r="H344"/>
  <c r="H607"/>
  <c r="O607" s="1"/>
  <c r="H777"/>
  <c r="H738"/>
  <c r="O738" s="1"/>
  <c r="H934"/>
  <c r="O934" s="1"/>
  <c r="H157"/>
  <c r="O157" s="1"/>
  <c r="H275"/>
  <c r="H274" s="1"/>
  <c r="H497"/>
  <c r="H795"/>
  <c r="H828"/>
  <c r="H841"/>
  <c r="O841" s="1"/>
  <c r="H1660"/>
  <c r="O1762"/>
  <c r="O309"/>
  <c r="H308"/>
  <c r="O308" s="1"/>
  <c r="O350"/>
  <c r="H349"/>
  <c r="O898"/>
  <c r="H897"/>
  <c r="O897" s="1"/>
  <c r="H315"/>
  <c r="H1368"/>
  <c r="H1601"/>
  <c r="H1806"/>
  <c r="O1807"/>
  <c r="H93"/>
  <c r="H189"/>
  <c r="H320"/>
  <c r="H364"/>
  <c r="H363" s="1"/>
  <c r="O363" s="1"/>
  <c r="H410"/>
  <c r="O410" s="1"/>
  <c r="O414"/>
  <c r="H877"/>
  <c r="O1031"/>
  <c r="O1702"/>
  <c r="H205"/>
  <c r="H241"/>
  <c r="H302"/>
  <c r="H477"/>
  <c r="H483"/>
  <c r="O668"/>
  <c r="H859"/>
  <c r="O859" s="1"/>
  <c r="H1495"/>
  <c r="O1495" s="1"/>
  <c r="H1531"/>
  <c r="O1538"/>
  <c r="H1588"/>
  <c r="O1690"/>
  <c r="H1701"/>
  <c r="O1754"/>
  <c r="H250"/>
  <c r="H184"/>
  <c r="O184" s="1"/>
  <c r="H783"/>
  <c r="H803"/>
  <c r="H813"/>
  <c r="H883"/>
  <c r="O883" s="1"/>
  <c r="O1081"/>
  <c r="O1102"/>
  <c r="O30"/>
  <c r="H40"/>
  <c r="O40" s="1"/>
  <c r="O41"/>
  <c r="H106"/>
  <c r="O106" s="1"/>
  <c r="O107"/>
  <c r="H44"/>
  <c r="O44" s="1"/>
  <c r="O45"/>
  <c r="O126"/>
  <c r="O129"/>
  <c r="H128"/>
  <c r="O128" s="1"/>
  <c r="O61"/>
  <c r="O94"/>
  <c r="O103"/>
  <c r="H180"/>
  <c r="O180" s="1"/>
  <c r="O181"/>
  <c r="O573"/>
  <c r="H597"/>
  <c r="O598"/>
  <c r="O603"/>
  <c r="O932"/>
  <c r="O981"/>
  <c r="O1010"/>
  <c r="H1033"/>
  <c r="O1033" s="1"/>
  <c r="O1095"/>
  <c r="O1113"/>
  <c r="O1132"/>
  <c r="O1162"/>
  <c r="O1169"/>
  <c r="O1230"/>
  <c r="H1267"/>
  <c r="O1268"/>
  <c r="O1416"/>
  <c r="O1459"/>
  <c r="O1462"/>
  <c r="H1492"/>
  <c r="O1798"/>
  <c r="O135"/>
  <c r="H140"/>
  <c r="O140" s="1"/>
  <c r="O141"/>
  <c r="H144"/>
  <c r="O144" s="1"/>
  <c r="O145"/>
  <c r="O168"/>
  <c r="H245"/>
  <c r="O245" s="1"/>
  <c r="H378"/>
  <c r="H387"/>
  <c r="O387" s="1"/>
  <c r="H425"/>
  <c r="H564"/>
  <c r="H572"/>
  <c r="O572" s="1"/>
  <c r="H622"/>
  <c r="H631"/>
  <c r="H671"/>
  <c r="O945"/>
  <c r="O1034"/>
  <c r="H1041"/>
  <c r="O1042"/>
  <c r="H1089"/>
  <c r="O1090"/>
  <c r="H1097"/>
  <c r="O1098"/>
  <c r="H1168"/>
  <c r="O1203"/>
  <c r="O1298"/>
  <c r="O1302"/>
  <c r="O1306"/>
  <c r="O1381"/>
  <c r="O1405"/>
  <c r="O1408"/>
  <c r="H1458"/>
  <c r="H1461"/>
  <c r="O1461" s="1"/>
  <c r="O1496"/>
  <c r="O1504"/>
  <c r="O1511"/>
  <c r="H1534"/>
  <c r="O1534" s="1"/>
  <c r="O1535"/>
  <c r="O1571"/>
  <c r="H1746"/>
  <c r="H1745" s="1"/>
  <c r="O1747"/>
  <c r="H134"/>
  <c r="O134" s="1"/>
  <c r="H149"/>
  <c r="O149" s="1"/>
  <c r="O150"/>
  <c r="H153"/>
  <c r="O153" s="1"/>
  <c r="O154"/>
  <c r="H397"/>
  <c r="O397" s="1"/>
  <c r="O498"/>
  <c r="O623"/>
  <c r="H667"/>
  <c r="O717"/>
  <c r="O740"/>
  <c r="O746"/>
  <c r="O973"/>
  <c r="H1021"/>
  <c r="O1021" s="1"/>
  <c r="O1022"/>
  <c r="O1028"/>
  <c r="O1191"/>
  <c r="O1235"/>
  <c r="O1293"/>
  <c r="H1301"/>
  <c r="H1365"/>
  <c r="O1365" s="1"/>
  <c r="O1366"/>
  <c r="O1413"/>
  <c r="H1510"/>
  <c r="O1510" s="1"/>
  <c r="H1551"/>
  <c r="O1551" s="1"/>
  <c r="O1552"/>
  <c r="H1591"/>
  <c r="O1591" s="1"/>
  <c r="O1592"/>
  <c r="H1598"/>
  <c r="O1598" s="1"/>
  <c r="O1599"/>
  <c r="O1617"/>
  <c r="O1675"/>
  <c r="O1820"/>
  <c r="O187"/>
  <c r="H287"/>
  <c r="H403"/>
  <c r="O965"/>
  <c r="O989"/>
  <c r="O1016"/>
  <c r="O1025"/>
  <c r="H1131"/>
  <c r="O1131" s="1"/>
  <c r="O1154"/>
  <c r="O1328"/>
  <c r="O1331"/>
  <c r="O1369"/>
  <c r="O1395"/>
  <c r="O1398"/>
  <c r="H1476"/>
  <c r="O1477"/>
  <c r="O1493"/>
  <c r="O1578"/>
  <c r="O1602"/>
  <c r="O1625"/>
  <c r="H1669"/>
  <c r="O1670"/>
  <c r="O1707"/>
  <c r="H1766"/>
  <c r="O1777"/>
  <c r="H1792"/>
  <c r="H1791" s="1"/>
  <c r="O1793"/>
  <c r="O1803"/>
  <c r="P24"/>
  <c r="Q112"/>
  <c r="P144"/>
  <c r="Q175"/>
  <c r="P180"/>
  <c r="P200"/>
  <c r="O35"/>
  <c r="P128"/>
  <c r="Q139"/>
  <c r="P153"/>
  <c r="Q183"/>
  <c r="Q117"/>
  <c r="Q152"/>
  <c r="Q160"/>
  <c r="P140"/>
  <c r="Q148"/>
  <c r="P184"/>
  <c r="Q156"/>
  <c r="Q53"/>
  <c r="Q143"/>
  <c r="P149"/>
  <c r="P157"/>
  <c r="Q179"/>
  <c r="P188"/>
  <c r="Q195"/>
  <c r="Q199"/>
  <c r="P258"/>
  <c r="P25"/>
  <c r="O26"/>
  <c r="O36"/>
  <c r="P41"/>
  <c r="O50"/>
  <c r="H53"/>
  <c r="Q54"/>
  <c r="H59"/>
  <c r="Q60"/>
  <c r="P61"/>
  <c r="H67"/>
  <c r="Q68"/>
  <c r="P73"/>
  <c r="O74"/>
  <c r="H82"/>
  <c r="Q83"/>
  <c r="P86"/>
  <c r="O87"/>
  <c r="Q97"/>
  <c r="P99"/>
  <c r="O102"/>
  <c r="Q106"/>
  <c r="P107"/>
  <c r="O110"/>
  <c r="H112"/>
  <c r="Q113"/>
  <c r="Q118"/>
  <c r="P119"/>
  <c r="O125"/>
  <c r="P129"/>
  <c r="Q140"/>
  <c r="P141"/>
  <c r="Q144"/>
  <c r="P145"/>
  <c r="Q149"/>
  <c r="P150"/>
  <c r="Q153"/>
  <c r="P154"/>
  <c r="Q157"/>
  <c r="P158"/>
  <c r="Q161"/>
  <c r="P162"/>
  <c r="H175"/>
  <c r="Q176"/>
  <c r="Q180"/>
  <c r="P181"/>
  <c r="Q184"/>
  <c r="P185"/>
  <c r="P189"/>
  <c r="O190"/>
  <c r="H195"/>
  <c r="Q196"/>
  <c r="Q200"/>
  <c r="P201"/>
  <c r="O206"/>
  <c r="O217"/>
  <c r="Q257"/>
  <c r="P274"/>
  <c r="P250"/>
  <c r="O259"/>
  <c r="H258"/>
  <c r="H25"/>
  <c r="H49"/>
  <c r="H73"/>
  <c r="H86"/>
  <c r="H216"/>
  <c r="P220"/>
  <c r="O267"/>
  <c r="H266"/>
  <c r="Q398"/>
  <c r="Q607"/>
  <c r="P608"/>
  <c r="Q632"/>
  <c r="P638"/>
  <c r="Q652"/>
  <c r="P653"/>
  <c r="Q667"/>
  <c r="P668"/>
  <c r="P677"/>
  <c r="Q733"/>
  <c r="Q222"/>
  <c r="Q228"/>
  <c r="P229"/>
  <c r="Q234"/>
  <c r="P235"/>
  <c r="O236"/>
  <c r="P240"/>
  <c r="Q247"/>
  <c r="Q251"/>
  <c r="O253"/>
  <c r="Q259"/>
  <c r="P260"/>
  <c r="O261"/>
  <c r="Q263"/>
  <c r="P264"/>
  <c r="Q267"/>
  <c r="P268"/>
  <c r="O269"/>
  <c r="Q271"/>
  <c r="Q275"/>
  <c r="P276"/>
  <c r="O277"/>
  <c r="Q279"/>
  <c r="P280"/>
  <c r="Q283"/>
  <c r="P284"/>
  <c r="Q287"/>
  <c r="P288"/>
  <c r="P291"/>
  <c r="Q294"/>
  <c r="P295"/>
  <c r="O300"/>
  <c r="P305"/>
  <c r="O306"/>
  <c r="Q308"/>
  <c r="P309"/>
  <c r="O310"/>
  <c r="P313"/>
  <c r="Q316"/>
  <c r="Q320"/>
  <c r="P321"/>
  <c r="O324"/>
  <c r="P331"/>
  <c r="P342"/>
  <c r="P350"/>
  <c r="O351"/>
  <c r="P354"/>
  <c r="P359"/>
  <c r="P363"/>
  <c r="P367"/>
  <c r="Q370"/>
  <c r="P371"/>
  <c r="Q374"/>
  <c r="P375"/>
  <c r="Q378"/>
  <c r="P379"/>
  <c r="P382"/>
  <c r="P386"/>
  <c r="Q391"/>
  <c r="P393"/>
  <c r="P398"/>
  <c r="Q403"/>
  <c r="P404"/>
  <c r="O405"/>
  <c r="Q407"/>
  <c r="P408"/>
  <c r="Q411"/>
  <c r="Q415"/>
  <c r="Q421"/>
  <c r="P422"/>
  <c r="P426"/>
  <c r="P432"/>
  <c r="P436"/>
  <c r="Q439"/>
  <c r="P440"/>
  <c r="O441"/>
  <c r="Q446"/>
  <c r="P450"/>
  <c r="O451"/>
  <c r="P456"/>
  <c r="P460"/>
  <c r="Q463"/>
  <c r="P464"/>
  <c r="Q467"/>
  <c r="P468"/>
  <c r="P475"/>
  <c r="Q478"/>
  <c r="P481"/>
  <c r="Q486"/>
  <c r="P488"/>
  <c r="Q492"/>
  <c r="Q497"/>
  <c r="P498"/>
  <c r="Q502"/>
  <c r="P503"/>
  <c r="O504"/>
  <c r="P509"/>
  <c r="Q512"/>
  <c r="Q517"/>
  <c r="P518"/>
  <c r="O519"/>
  <c r="Q525"/>
  <c r="P527"/>
  <c r="O528"/>
  <c r="Q532"/>
  <c r="P534"/>
  <c r="Q538"/>
  <c r="P540"/>
  <c r="Q543"/>
  <c r="Q547"/>
  <c r="P548"/>
  <c r="O549"/>
  <c r="Q552"/>
  <c r="P553"/>
  <c r="O554"/>
  <c r="Q557"/>
  <c r="P558"/>
  <c r="O559"/>
  <c r="P563"/>
  <c r="Q567"/>
  <c r="Q572"/>
  <c r="P573"/>
  <c r="Q577"/>
  <c r="P578"/>
  <c r="O579"/>
  <c r="Q586"/>
  <c r="P588"/>
  <c r="Q592"/>
  <c r="Q612"/>
  <c r="Q657"/>
  <c r="P658"/>
  <c r="O678"/>
  <c r="H677"/>
  <c r="P251"/>
  <c r="Q258"/>
  <c r="P259"/>
  <c r="O260"/>
  <c r="O268"/>
  <c r="P275"/>
  <c r="Q602"/>
  <c r="P603"/>
  <c r="P613"/>
  <c r="O639"/>
  <c r="H638"/>
  <c r="O661"/>
  <c r="H657"/>
  <c r="H503"/>
  <c r="H518"/>
  <c r="H527"/>
  <c r="H548"/>
  <c r="H553"/>
  <c r="H558"/>
  <c r="H578"/>
  <c r="O614"/>
  <c r="H613"/>
  <c r="Q622"/>
  <c r="P623"/>
  <c r="P629"/>
  <c r="Q641"/>
  <c r="P643"/>
  <c r="Q647"/>
  <c r="Q675"/>
  <c r="O1001"/>
  <c r="H1000"/>
  <c r="H1006"/>
  <c r="O1007"/>
  <c r="H689"/>
  <c r="H713"/>
  <c r="H733"/>
  <c r="Q734"/>
  <c r="O750"/>
  <c r="Q753"/>
  <c r="P754"/>
  <c r="Q758"/>
  <c r="P760"/>
  <c r="Q763"/>
  <c r="P764"/>
  <c r="P769"/>
  <c r="O771"/>
  <c r="P775"/>
  <c r="Q791"/>
  <c r="P792"/>
  <c r="P798"/>
  <c r="P803"/>
  <c r="O804"/>
  <c r="P808"/>
  <c r="P813"/>
  <c r="O814"/>
  <c r="P818"/>
  <c r="P822"/>
  <c r="O824"/>
  <c r="Q827"/>
  <c r="P828"/>
  <c r="O829"/>
  <c r="Q833"/>
  <c r="P834"/>
  <c r="O835"/>
  <c r="Q838"/>
  <c r="P839"/>
  <c r="P845"/>
  <c r="O846"/>
  <c r="P851"/>
  <c r="O852"/>
  <c r="P858"/>
  <c r="P863"/>
  <c r="Q866"/>
  <c r="P868"/>
  <c r="Q871"/>
  <c r="P872"/>
  <c r="Q876"/>
  <c r="P877"/>
  <c r="O878"/>
  <c r="P882"/>
  <c r="P889"/>
  <c r="P898"/>
  <c r="O899"/>
  <c r="H908"/>
  <c r="H916"/>
  <c r="H924"/>
  <c r="H957"/>
  <c r="Q994"/>
  <c r="P1010"/>
  <c r="Q1013"/>
  <c r="Q1073"/>
  <c r="H726"/>
  <c r="Q1001"/>
  <c r="P1004"/>
  <c r="Q1007"/>
  <c r="P1016"/>
  <c r="H947"/>
  <c r="H967"/>
  <c r="H983"/>
  <c r="H993"/>
  <c r="O994"/>
  <c r="H1012"/>
  <c r="O1013"/>
  <c r="Q1078"/>
  <c r="Q1253"/>
  <c r="P1268"/>
  <c r="P1273"/>
  <c r="Q1445"/>
  <c r="Q1021"/>
  <c r="P1022"/>
  <c r="O1024"/>
  <c r="O1027"/>
  <c r="P1031"/>
  <c r="Q1033"/>
  <c r="P1034"/>
  <c r="H1037"/>
  <c r="Q1038"/>
  <c r="P1045"/>
  <c r="O1046"/>
  <c r="P1050"/>
  <c r="O1051"/>
  <c r="H1057"/>
  <c r="Q1058"/>
  <c r="P1060"/>
  <c r="O1061"/>
  <c r="H1067"/>
  <c r="Q1068"/>
  <c r="H1073"/>
  <c r="Q1074"/>
  <c r="H1078"/>
  <c r="Q1079"/>
  <c r="P1081"/>
  <c r="O1089"/>
  <c r="Q1093"/>
  <c r="P1095"/>
  <c r="Q1101"/>
  <c r="P1102"/>
  <c r="O1106"/>
  <c r="H1108"/>
  <c r="Q1109"/>
  <c r="P1113"/>
  <c r="O1115"/>
  <c r="H1125"/>
  <c r="Q1126"/>
  <c r="Q1131"/>
  <c r="P1132"/>
  <c r="H1139"/>
  <c r="Q1140"/>
  <c r="P1146"/>
  <c r="O1147"/>
  <c r="P1151"/>
  <c r="O1152"/>
  <c r="P1157"/>
  <c r="O1158"/>
  <c r="H1160"/>
  <c r="Q1161"/>
  <c r="P1162"/>
  <c r="H1174"/>
  <c r="Q1175"/>
  <c r="P1178"/>
  <c r="O1180"/>
  <c r="H1183"/>
  <c r="Q1184"/>
  <c r="P1187"/>
  <c r="O1188"/>
  <c r="H1199"/>
  <c r="Q1200"/>
  <c r="P1203"/>
  <c r="O1205"/>
  <c r="H1208"/>
  <c r="Q1209"/>
  <c r="P1212"/>
  <c r="O1213"/>
  <c r="Q1219"/>
  <c r="P1220"/>
  <c r="Q1229"/>
  <c r="P1230"/>
  <c r="H1233"/>
  <c r="Q1234"/>
  <c r="P1235"/>
  <c r="Q1243"/>
  <c r="P1245"/>
  <c r="O1246"/>
  <c r="H1245"/>
  <c r="Q1272"/>
  <c r="Q1411"/>
  <c r="P1262"/>
  <c r="Q1386"/>
  <c r="Q1450"/>
  <c r="H1045"/>
  <c r="H1050"/>
  <c r="H1060"/>
  <c r="H1146"/>
  <c r="H1151"/>
  <c r="H1157"/>
  <c r="H1187"/>
  <c r="H1212"/>
  <c r="H1242"/>
  <c r="O1243"/>
  <c r="Q1246"/>
  <c r="P1254"/>
  <c r="Q1261"/>
  <c r="P1265"/>
  <c r="Q1426"/>
  <c r="P1461"/>
  <c r="H1609"/>
  <c r="O1610"/>
  <c r="P1640"/>
  <c r="H1280"/>
  <c r="Q1281"/>
  <c r="P1283"/>
  <c r="O1284"/>
  <c r="Q1296"/>
  <c r="P1298"/>
  <c r="Q1305"/>
  <c r="P1306"/>
  <c r="O1310"/>
  <c r="O1312"/>
  <c r="O1313"/>
  <c r="H1319"/>
  <c r="Q1320"/>
  <c r="O1327"/>
  <c r="P1331"/>
  <c r="P1336"/>
  <c r="H1338"/>
  <c r="Q1339"/>
  <c r="P1346"/>
  <c r="O1347"/>
  <c r="H1349"/>
  <c r="Q1350"/>
  <c r="P1352"/>
  <c r="O1353"/>
  <c r="P1357"/>
  <c r="O1358"/>
  <c r="Q1365"/>
  <c r="P1366"/>
  <c r="H1377"/>
  <c r="Q1378"/>
  <c r="P1381"/>
  <c r="O1383"/>
  <c r="H1386"/>
  <c r="Q1387"/>
  <c r="P1390"/>
  <c r="O1391"/>
  <c r="P1398"/>
  <c r="O1404"/>
  <c r="P1408"/>
  <c r="H1411"/>
  <c r="Q1412"/>
  <c r="P1413"/>
  <c r="O1415"/>
  <c r="P1423"/>
  <c r="O1424"/>
  <c r="H1426"/>
  <c r="Q1427"/>
  <c r="P1442"/>
  <c r="O1443"/>
  <c r="H1445"/>
  <c r="Q1446"/>
  <c r="H1450"/>
  <c r="Q1451"/>
  <c r="O1458"/>
  <c r="P1462"/>
  <c r="O1471"/>
  <c r="P1484"/>
  <c r="O1485"/>
  <c r="Q1545"/>
  <c r="Q1623"/>
  <c r="P1493"/>
  <c r="P1609"/>
  <c r="P1624"/>
  <c r="H1283"/>
  <c r="H1326"/>
  <c r="H1336"/>
  <c r="H1346"/>
  <c r="H1352"/>
  <c r="H1357"/>
  <c r="H1390"/>
  <c r="H1403"/>
  <c r="H1423"/>
  <c r="H1442"/>
  <c r="H1470"/>
  <c r="H1484"/>
  <c r="P1496"/>
  <c r="Q1569"/>
  <c r="O1615"/>
  <c r="Q1648"/>
  <c r="Q1756"/>
  <c r="Q1498"/>
  <c r="P1499"/>
  <c r="H1502"/>
  <c r="Q1503"/>
  <c r="P1504"/>
  <c r="H1516"/>
  <c r="Q1517"/>
  <c r="P1519"/>
  <c r="O1520"/>
  <c r="H1522"/>
  <c r="Q1523"/>
  <c r="P1525"/>
  <c r="O1526"/>
  <c r="Q1528"/>
  <c r="P1529"/>
  <c r="Q1534"/>
  <c r="P1535"/>
  <c r="O1537"/>
  <c r="P1541"/>
  <c r="O1542"/>
  <c r="H1545"/>
  <c r="Q1546"/>
  <c r="Q1551"/>
  <c r="P1552"/>
  <c r="H1559"/>
  <c r="Q1560"/>
  <c r="P1566"/>
  <c r="O1567"/>
  <c r="H1569"/>
  <c r="Q1570"/>
  <c r="P1571"/>
  <c r="O1577"/>
  <c r="P1581"/>
  <c r="O1582"/>
  <c r="Q1585"/>
  <c r="P1586"/>
  <c r="Q1591"/>
  <c r="P1592"/>
  <c r="O1594"/>
  <c r="Q1598"/>
  <c r="P1599"/>
  <c r="O1601"/>
  <c r="Q1604"/>
  <c r="P1605"/>
  <c r="P1610"/>
  <c r="O1611"/>
  <c r="O1616"/>
  <c r="P1620"/>
  <c r="O1621"/>
  <c r="H1623"/>
  <c r="Q1624"/>
  <c r="P1625"/>
  <c r="P1630"/>
  <c r="O1631"/>
  <c r="Q1636"/>
  <c r="O1640"/>
  <c r="H1648"/>
  <c r="Q1649"/>
  <c r="O1656"/>
  <c r="O1657"/>
  <c r="P1661"/>
  <c r="Q1779"/>
  <c r="H1519"/>
  <c r="H1525"/>
  <c r="H1541"/>
  <c r="H1566"/>
  <c r="H1576"/>
  <c r="H1581"/>
  <c r="H1620"/>
  <c r="H1630"/>
  <c r="H1639"/>
  <c r="H1655"/>
  <c r="Q1660"/>
  <c r="P1807"/>
  <c r="Q1673"/>
  <c r="P1675"/>
  <c r="P1684"/>
  <c r="O1685"/>
  <c r="P1690"/>
  <c r="H1697"/>
  <c r="Q1698"/>
  <c r="O1701"/>
  <c r="O1706"/>
  <c r="P1714"/>
  <c r="O1715"/>
  <c r="P1722"/>
  <c r="O1723"/>
  <c r="P1730"/>
  <c r="O1731"/>
  <c r="H1740"/>
  <c r="Q1741"/>
  <c r="Q1746"/>
  <c r="P1747"/>
  <c r="H1750"/>
  <c r="Q1751"/>
  <c r="P1754"/>
  <c r="O1756"/>
  <c r="O1761"/>
  <c r="Q1769"/>
  <c r="H1773"/>
  <c r="Q1774"/>
  <c r="P1777"/>
  <c r="O1779"/>
  <c r="O1784"/>
  <c r="P1788"/>
  <c r="O1789"/>
  <c r="Q1792"/>
  <c r="P1793"/>
  <c r="Q1797"/>
  <c r="P1798"/>
  <c r="Q1801"/>
  <c r="P1803"/>
  <c r="H1816"/>
  <c r="Q1817"/>
  <c r="P1820"/>
  <c r="O1822"/>
  <c r="H1826"/>
  <c r="Q1827"/>
  <c r="H1684"/>
  <c r="H1705"/>
  <c r="H1714"/>
  <c r="H1722"/>
  <c r="H1730"/>
  <c r="H1760"/>
  <c r="H1783"/>
  <c r="H1788"/>
  <c r="H590" l="1"/>
  <c r="O590" s="1"/>
  <c r="H600"/>
  <c r="H1509"/>
  <c r="O1509" s="1"/>
  <c r="O510"/>
  <c r="O671"/>
  <c r="H999"/>
  <c r="H1475"/>
  <c r="O1475" s="1"/>
  <c r="O1476"/>
  <c r="H1765"/>
  <c r="H1764" s="1"/>
  <c r="O755"/>
  <c r="O1766"/>
  <c r="H220"/>
  <c r="H219" s="1"/>
  <c r="O219" s="1"/>
  <c r="O1368"/>
  <c r="H1088"/>
  <c r="O230"/>
  <c r="H762"/>
  <c r="H761" s="1"/>
  <c r="O564"/>
  <c r="H534"/>
  <c r="O534" s="1"/>
  <c r="H767"/>
  <c r="H188"/>
  <c r="O188" s="1"/>
  <c r="H490"/>
  <c r="O535"/>
  <c r="O1679"/>
  <c r="O1261"/>
  <c r="H563"/>
  <c r="H562" s="1"/>
  <c r="H160"/>
  <c r="O160" s="1"/>
  <c r="H117"/>
  <c r="O117" s="1"/>
  <c r="O275"/>
  <c r="H742"/>
  <c r="O742" s="1"/>
  <c r="H651"/>
  <c r="H1364"/>
  <c r="H1363" s="1"/>
  <c r="H1260"/>
  <c r="O1260" s="1"/>
  <c r="O1168"/>
  <c r="H369"/>
  <c r="H870"/>
  <c r="O870" s="1"/>
  <c r="O1806"/>
  <c r="O1588"/>
  <c r="H1433"/>
  <c r="O1433" s="1"/>
  <c r="O1301"/>
  <c r="H1291"/>
  <c r="O1291" s="1"/>
  <c r="O241"/>
  <c r="O356"/>
  <c r="H355"/>
  <c r="H354" s="1"/>
  <c r="O1531"/>
  <c r="O1669"/>
  <c r="H1040"/>
  <c r="O1040" s="1"/>
  <c r="O1041"/>
  <c r="H1167"/>
  <c r="H1166" s="1"/>
  <c r="H240"/>
  <c r="O240" s="1"/>
  <c r="H1668"/>
  <c r="H1584"/>
  <c r="H754"/>
  <c r="H466"/>
  <c r="H569"/>
  <c r="O569" s="1"/>
  <c r="H439"/>
  <c r="H584"/>
  <c r="O584" s="1"/>
  <c r="H362"/>
  <c r="H820"/>
  <c r="O570"/>
  <c r="H1796"/>
  <c r="H1795" s="1"/>
  <c r="H694"/>
  <c r="O694" s="1"/>
  <c r="H806"/>
  <c r="O1226"/>
  <c r="O483"/>
  <c r="H621"/>
  <c r="H620" s="1"/>
  <c r="H1550"/>
  <c r="O1550" s="1"/>
  <c r="O799"/>
  <c r="H1271"/>
  <c r="H1270" s="1"/>
  <c r="O1253"/>
  <c r="O1097"/>
  <c r="H458"/>
  <c r="H1659"/>
  <c r="H1654" s="1"/>
  <c r="O1434"/>
  <c r="H1252"/>
  <c r="O1252" s="1"/>
  <c r="H199"/>
  <c r="H198" s="1"/>
  <c r="H854"/>
  <c r="H282"/>
  <c r="H1700"/>
  <c r="O1700" s="1"/>
  <c r="O1660"/>
  <c r="O235"/>
  <c r="H234"/>
  <c r="O234" s="1"/>
  <c r="H434"/>
  <c r="H433" s="1"/>
  <c r="O433" s="1"/>
  <c r="O646"/>
  <c r="H645"/>
  <c r="O542"/>
  <c r="H541"/>
  <c r="O364"/>
  <c r="H204"/>
  <c r="H203" s="1"/>
  <c r="H183"/>
  <c r="O183" s="1"/>
  <c r="H148"/>
  <c r="O205"/>
  <c r="O189"/>
  <c r="H606"/>
  <c r="H179"/>
  <c r="O179" s="1"/>
  <c r="H156"/>
  <c r="O156" s="1"/>
  <c r="O93"/>
  <c r="H139"/>
  <c r="O139" s="1"/>
  <c r="H1130"/>
  <c r="H1129" s="1"/>
  <c r="O865"/>
  <c r="H864"/>
  <c r="O336"/>
  <c r="H335"/>
  <c r="O845"/>
  <c r="H844"/>
  <c r="O787"/>
  <c r="H786"/>
  <c r="H92"/>
  <c r="H409"/>
  <c r="O409" s="1"/>
  <c r="H413"/>
  <c r="O413" s="1"/>
  <c r="O795"/>
  <c r="H794"/>
  <c r="O274"/>
  <c r="H273"/>
  <c r="O777"/>
  <c r="H776"/>
  <c r="O828"/>
  <c r="H827"/>
  <c r="O497"/>
  <c r="H496"/>
  <c r="O344"/>
  <c r="H343"/>
  <c r="H837"/>
  <c r="O813"/>
  <c r="H812"/>
  <c r="O877"/>
  <c r="H876"/>
  <c r="H124"/>
  <c r="H882"/>
  <c r="O477"/>
  <c r="H476"/>
  <c r="O302"/>
  <c r="H296"/>
  <c r="O783"/>
  <c r="H782"/>
  <c r="O250"/>
  <c r="H249"/>
  <c r="H244" s="1"/>
  <c r="O320"/>
  <c r="H319"/>
  <c r="O315"/>
  <c r="H314"/>
  <c r="H977"/>
  <c r="O803"/>
  <c r="H802"/>
  <c r="H858"/>
  <c r="O349"/>
  <c r="H348"/>
  <c r="O667"/>
  <c r="H133"/>
  <c r="H386"/>
  <c r="H152"/>
  <c r="H39"/>
  <c r="O287"/>
  <c r="H286"/>
  <c r="O1746"/>
  <c r="H1457"/>
  <c r="O622"/>
  <c r="O1267"/>
  <c r="O1792"/>
  <c r="O631"/>
  <c r="H630"/>
  <c r="O425"/>
  <c r="H424"/>
  <c r="O1492"/>
  <c r="H1491"/>
  <c r="H143"/>
  <c r="O403"/>
  <c r="H402"/>
  <c r="O378"/>
  <c r="H377"/>
  <c r="O597"/>
  <c r="H596"/>
  <c r="P1515"/>
  <c r="P667"/>
  <c r="Q651"/>
  <c r="Q631"/>
  <c r="P161"/>
  <c r="O86"/>
  <c r="Q67"/>
  <c r="P48"/>
  <c r="Q133"/>
  <c r="Q124"/>
  <c r="O82"/>
  <c r="H81"/>
  <c r="Q73"/>
  <c r="O53"/>
  <c r="H48"/>
  <c r="P156"/>
  <c r="Q116"/>
  <c r="Q138"/>
  <c r="Q174"/>
  <c r="Q1773"/>
  <c r="P1729"/>
  <c r="P1784"/>
  <c r="Q1760"/>
  <c r="O1745"/>
  <c r="P1701"/>
  <c r="Q1684"/>
  <c r="P1806"/>
  <c r="Q1659"/>
  <c r="Q1584"/>
  <c r="P1551"/>
  <c r="Q1639"/>
  <c r="Q1630"/>
  <c r="P1616"/>
  <c r="Q1610"/>
  <c r="Q1576"/>
  <c r="O1559"/>
  <c r="H1558"/>
  <c r="Q1525"/>
  <c r="P1407"/>
  <c r="Q1377"/>
  <c r="P1356"/>
  <c r="P1345"/>
  <c r="P1330"/>
  <c r="P1608"/>
  <c r="Q1540"/>
  <c r="Q1490"/>
  <c r="P1471"/>
  <c r="P1458"/>
  <c r="Q1433"/>
  <c r="O1386"/>
  <c r="O1377"/>
  <c r="Q1357"/>
  <c r="Q1346"/>
  <c r="P1327"/>
  <c r="P1318"/>
  <c r="Q1291"/>
  <c r="O1609"/>
  <c r="H1608"/>
  <c r="O1242"/>
  <c r="P1234"/>
  <c r="P1219"/>
  <c r="O1187"/>
  <c r="P1161"/>
  <c r="H1150"/>
  <c r="O1151"/>
  <c r="Q1139"/>
  <c r="Q1108"/>
  <c r="O1060"/>
  <c r="H1056"/>
  <c r="H1044"/>
  <c r="O1045"/>
  <c r="P1033"/>
  <c r="P1261"/>
  <c r="Q1271"/>
  <c r="O1233"/>
  <c r="H1232"/>
  <c r="P1226"/>
  <c r="O1208"/>
  <c r="O1199"/>
  <c r="H1198"/>
  <c r="Q1187"/>
  <c r="Q1157"/>
  <c r="O1139"/>
  <c r="H1138"/>
  <c r="P1097"/>
  <c r="P1089"/>
  <c r="O1067"/>
  <c r="H1066"/>
  <c r="Q1060"/>
  <c r="Q1040"/>
  <c r="O967"/>
  <c r="Q689"/>
  <c r="P1015"/>
  <c r="Q1012"/>
  <c r="P952"/>
  <c r="O924"/>
  <c r="H923"/>
  <c r="O916"/>
  <c r="H915"/>
  <c r="P726"/>
  <c r="P712"/>
  <c r="P698"/>
  <c r="O1000"/>
  <c r="Q564"/>
  <c r="Q638"/>
  <c r="Q621"/>
  <c r="Q576"/>
  <c r="Q571"/>
  <c r="H557"/>
  <c r="O558"/>
  <c r="Q546"/>
  <c r="P517"/>
  <c r="Q501"/>
  <c r="Q496"/>
  <c r="H656"/>
  <c r="O657"/>
  <c r="O600"/>
  <c r="Q611"/>
  <c r="Q1826"/>
  <c r="P1792"/>
  <c r="O1783"/>
  <c r="Q1750"/>
  <c r="H1729"/>
  <c r="O1730"/>
  <c r="H1704"/>
  <c r="O1705"/>
  <c r="H1683"/>
  <c r="O1684"/>
  <c r="O1791"/>
  <c r="P1761"/>
  <c r="P1739"/>
  <c r="Q1714"/>
  <c r="O1697"/>
  <c r="H1696"/>
  <c r="Q1668"/>
  <c r="O1639"/>
  <c r="P1619"/>
  <c r="P1585"/>
  <c r="O1576"/>
  <c r="Q1559"/>
  <c r="P1540"/>
  <c r="Q1522"/>
  <c r="P1503"/>
  <c r="Q1655"/>
  <c r="O1623"/>
  <c r="P1588"/>
  <c r="P1577"/>
  <c r="O1569"/>
  <c r="P1537"/>
  <c r="P1531"/>
  <c r="O1516"/>
  <c r="H1515"/>
  <c r="Q1509"/>
  <c r="Q1647"/>
  <c r="P1483"/>
  <c r="P1441"/>
  <c r="P1412"/>
  <c r="O1390"/>
  <c r="H1376"/>
  <c r="H1356"/>
  <c r="O1357"/>
  <c r="H1345"/>
  <c r="O1346"/>
  <c r="P1335"/>
  <c r="P1305"/>
  <c r="Q1484"/>
  <c r="O1450"/>
  <c r="H1449"/>
  <c r="P1434"/>
  <c r="P1415"/>
  <c r="Q1352"/>
  <c r="P1337"/>
  <c r="O1319"/>
  <c r="H1318"/>
  <c r="P1301"/>
  <c r="P1292"/>
  <c r="Q1283"/>
  <c r="P1639"/>
  <c r="P1264"/>
  <c r="P1253"/>
  <c r="H1224"/>
  <c r="O1225"/>
  <c r="Q1199"/>
  <c r="P1156"/>
  <c r="P1145"/>
  <c r="Q1125"/>
  <c r="Q1067"/>
  <c r="P1049"/>
  <c r="Q1037"/>
  <c r="P1021"/>
  <c r="O1245"/>
  <c r="H1241"/>
  <c r="Q1242"/>
  <c r="P1173"/>
  <c r="Q1151"/>
  <c r="P1124"/>
  <c r="O1108"/>
  <c r="P1084"/>
  <c r="P1056"/>
  <c r="P1041"/>
  <c r="P1036"/>
  <c r="P1267"/>
  <c r="O1012"/>
  <c r="P978"/>
  <c r="O947"/>
  <c r="Q694"/>
  <c r="Q1006"/>
  <c r="P743"/>
  <c r="Q1072"/>
  <c r="P988"/>
  <c r="P972"/>
  <c r="Q939"/>
  <c r="P739"/>
  <c r="P732"/>
  <c r="O713"/>
  <c r="H712"/>
  <c r="P571"/>
  <c r="Q671"/>
  <c r="H612"/>
  <c r="O613"/>
  <c r="P597"/>
  <c r="P577"/>
  <c r="Q551"/>
  <c r="P547"/>
  <c r="O527"/>
  <c r="H517"/>
  <c r="O518"/>
  <c r="Q511"/>
  <c r="P502"/>
  <c r="Q491"/>
  <c r="P657"/>
  <c r="O216"/>
  <c r="P72"/>
  <c r="O49"/>
  <c r="H24"/>
  <c r="O25"/>
  <c r="O258"/>
  <c r="H257"/>
  <c r="P273"/>
  <c r="Q216"/>
  <c r="P194"/>
  <c r="P174"/>
  <c r="P134"/>
  <c r="P125"/>
  <c r="Q92"/>
  <c r="P66"/>
  <c r="P44"/>
  <c r="Q35"/>
  <c r="P257"/>
  <c r="P148"/>
  <c r="P183"/>
  <c r="P143"/>
  <c r="Q1000"/>
  <c r="H725"/>
  <c r="O726"/>
  <c r="P1009"/>
  <c r="Q993"/>
  <c r="Q947"/>
  <c r="Q934"/>
  <c r="Q914"/>
  <c r="P907"/>
  <c r="Q749"/>
  <c r="Q743"/>
  <c r="O733"/>
  <c r="H732"/>
  <c r="P688"/>
  <c r="P585"/>
  <c r="Q510"/>
  <c r="Q646"/>
  <c r="P628"/>
  <c r="Q591"/>
  <c r="Q585"/>
  <c r="H577"/>
  <c r="O578"/>
  <c r="P572"/>
  <c r="Q556"/>
  <c r="P552"/>
  <c r="H547"/>
  <c r="O548"/>
  <c r="Q542"/>
  <c r="P508"/>
  <c r="H502"/>
  <c r="O503"/>
  <c r="P497"/>
  <c r="H637"/>
  <c r="O638"/>
  <c r="P602"/>
  <c r="Q336"/>
  <c r="O677"/>
  <c r="P607"/>
  <c r="Q397"/>
  <c r="Q393"/>
  <c r="P106"/>
  <c r="H72"/>
  <c r="O73"/>
  <c r="Q59"/>
  <c r="Q39"/>
  <c r="P249"/>
  <c r="Q256"/>
  <c r="O195"/>
  <c r="H194"/>
  <c r="Q189"/>
  <c r="O175"/>
  <c r="H174"/>
  <c r="P102"/>
  <c r="P93"/>
  <c r="Q86"/>
  <c r="O67"/>
  <c r="H66"/>
  <c r="O59"/>
  <c r="H58"/>
  <c r="Q49"/>
  <c r="Q25"/>
  <c r="Q198"/>
  <c r="Q147"/>
  <c r="P199"/>
  <c r="Q1816"/>
  <c r="Q1791"/>
  <c r="P1746"/>
  <c r="O1796"/>
  <c r="P1766"/>
  <c r="O1750"/>
  <c r="H1749"/>
  <c r="P1696"/>
  <c r="H1629"/>
  <c r="O1630"/>
  <c r="P1604"/>
  <c r="P1570"/>
  <c r="P1534"/>
  <c r="O1519"/>
  <c r="Q1502"/>
  <c r="P1601"/>
  <c r="P1449"/>
  <c r="P1773"/>
  <c r="Q1796"/>
  <c r="P1787"/>
  <c r="O1760"/>
  <c r="Q1740"/>
  <c r="P1721"/>
  <c r="P1713"/>
  <c r="P1689"/>
  <c r="O1826"/>
  <c r="O1816"/>
  <c r="H1815"/>
  <c r="Q1788"/>
  <c r="O1740"/>
  <c r="H1739"/>
  <c r="Q1730"/>
  <c r="Q1705"/>
  <c r="P1679"/>
  <c r="P1669"/>
  <c r="O1655"/>
  <c r="H1619"/>
  <c r="O1620"/>
  <c r="P1591"/>
  <c r="P1580"/>
  <c r="P1565"/>
  <c r="O1541"/>
  <c r="O1525"/>
  <c r="H1508"/>
  <c r="P1656"/>
  <c r="P1647"/>
  <c r="Q1620"/>
  <c r="Q1566"/>
  <c r="O1545"/>
  <c r="H1540"/>
  <c r="O1522"/>
  <c r="P1510"/>
  <c r="O1502"/>
  <c r="H1501"/>
  <c r="H1483"/>
  <c r="O1484"/>
  <c r="H1441"/>
  <c r="O1442"/>
  <c r="P1422"/>
  <c r="P1397"/>
  <c r="Q1364"/>
  <c r="Q1349"/>
  <c r="H1335"/>
  <c r="O1336"/>
  <c r="Q1319"/>
  <c r="Q1280"/>
  <c r="P1492"/>
  <c r="Q1475"/>
  <c r="O1445"/>
  <c r="O1426"/>
  <c r="H1422"/>
  <c r="O1411"/>
  <c r="H1410"/>
  <c r="Q1403"/>
  <c r="Q1390"/>
  <c r="P1368"/>
  <c r="O1338"/>
  <c r="H1337"/>
  <c r="P1279"/>
  <c r="Q1260"/>
  <c r="Q1245"/>
  <c r="P1229"/>
  <c r="Q1208"/>
  <c r="Q1174"/>
  <c r="H1156"/>
  <c r="O1157"/>
  <c r="H1145"/>
  <c r="O1146"/>
  <c r="Q1130"/>
  <c r="H1087"/>
  <c r="O1088"/>
  <c r="H1049"/>
  <c r="O1050"/>
  <c r="Q1449"/>
  <c r="Q1410"/>
  <c r="Q1212"/>
  <c r="O1183"/>
  <c r="O1174"/>
  <c r="H1173"/>
  <c r="Q1167"/>
  <c r="Q1146"/>
  <c r="O1125"/>
  <c r="H1124"/>
  <c r="O1078"/>
  <c r="H1077"/>
  <c r="P1072"/>
  <c r="O1057"/>
  <c r="Q1050"/>
  <c r="O1037"/>
  <c r="H1036"/>
  <c r="P1027"/>
  <c r="P1024"/>
  <c r="Q1252"/>
  <c r="O983"/>
  <c r="Q957"/>
  <c r="Q713"/>
  <c r="P1816"/>
  <c r="P1797"/>
  <c r="H1787"/>
  <c r="O1788"/>
  <c r="Q1745"/>
  <c r="H1721"/>
  <c r="O1722"/>
  <c r="H1713"/>
  <c r="O1714"/>
  <c r="Q1697"/>
  <c r="Q1783"/>
  <c r="O1773"/>
  <c r="H1772"/>
  <c r="Q1765"/>
  <c r="P1749"/>
  <c r="Q1722"/>
  <c r="P1706"/>
  <c r="Q1700"/>
  <c r="P1629"/>
  <c r="P1598"/>
  <c r="H1580"/>
  <c r="O1581"/>
  <c r="H1565"/>
  <c r="O1566"/>
  <c r="Q1550"/>
  <c r="P1528"/>
  <c r="Q1516"/>
  <c r="P1498"/>
  <c r="P1660"/>
  <c r="O1648"/>
  <c r="H1647"/>
  <c r="Q1615"/>
  <c r="Q1581"/>
  <c r="P1558"/>
  <c r="Q1541"/>
  <c r="Q1519"/>
  <c r="P1495"/>
  <c r="H1469"/>
  <c r="O1470"/>
  <c r="O1423"/>
  <c r="H1402"/>
  <c r="O1403"/>
  <c r="P1365"/>
  <c r="O1352"/>
  <c r="Q1338"/>
  <c r="H1325"/>
  <c r="O1326"/>
  <c r="O1283"/>
  <c r="P1623"/>
  <c r="P1476"/>
  <c r="Q1470"/>
  <c r="Q1457"/>
  <c r="Q1442"/>
  <c r="Q1423"/>
  <c r="P1404"/>
  <c r="O1349"/>
  <c r="Q1336"/>
  <c r="Q1326"/>
  <c r="O1280"/>
  <c r="H1279"/>
  <c r="Q1233"/>
  <c r="O1212"/>
  <c r="Q1183"/>
  <c r="Q1160"/>
  <c r="P1150"/>
  <c r="P1131"/>
  <c r="P1101"/>
  <c r="Q1057"/>
  <c r="P1044"/>
  <c r="P1030"/>
  <c r="O1271"/>
  <c r="P1241"/>
  <c r="Q1225"/>
  <c r="P1168"/>
  <c r="O1160"/>
  <c r="P1138"/>
  <c r="O1073"/>
  <c r="H1072"/>
  <c r="P1066"/>
  <c r="Q1045"/>
  <c r="P1018"/>
  <c r="P1272"/>
  <c r="Q1077"/>
  <c r="O993"/>
  <c r="P962"/>
  <c r="P1003"/>
  <c r="P934"/>
  <c r="Q983"/>
  <c r="Q967"/>
  <c r="O957"/>
  <c r="P915"/>
  <c r="O908"/>
  <c r="H907"/>
  <c r="Q738"/>
  <c r="Q725"/>
  <c r="P704"/>
  <c r="O689"/>
  <c r="H688"/>
  <c r="O1006"/>
  <c r="Q535"/>
  <c r="P622"/>
  <c r="P562"/>
  <c r="P557"/>
  <c r="H552"/>
  <c r="O553"/>
  <c r="H508"/>
  <c r="O509"/>
  <c r="P612"/>
  <c r="Q601"/>
  <c r="Q597"/>
  <c r="Q732"/>
  <c r="P652"/>
  <c r="P637"/>
  <c r="Q606"/>
  <c r="O266"/>
  <c r="H265"/>
  <c r="P118"/>
  <c r="Q82"/>
  <c r="P60"/>
  <c r="P40"/>
  <c r="P205"/>
  <c r="Q205"/>
  <c r="O112"/>
  <c r="P81"/>
  <c r="Q194"/>
  <c r="P139"/>
  <c r="P152"/>
  <c r="P179"/>
  <c r="O1364" l="1"/>
  <c r="H1474"/>
  <c r="O1765"/>
  <c r="H116"/>
  <c r="O148"/>
  <c r="O220"/>
  <c r="O762"/>
  <c r="H766"/>
  <c r="O766" s="1"/>
  <c r="H1290"/>
  <c r="H731"/>
  <c r="O490"/>
  <c r="O1130"/>
  <c r="H605"/>
  <c r="H583"/>
  <c r="H582" s="1"/>
  <c r="O1668"/>
  <c r="H438"/>
  <c r="O438" s="1"/>
  <c r="O767"/>
  <c r="H1667"/>
  <c r="O1667" s="1"/>
  <c r="O439"/>
  <c r="H1432"/>
  <c r="H368"/>
  <c r="H367" s="1"/>
  <c r="O466"/>
  <c r="O563"/>
  <c r="H826"/>
  <c r="H465"/>
  <c r="H464" s="1"/>
  <c r="H650"/>
  <c r="H649" s="1"/>
  <c r="O651"/>
  <c r="H178"/>
  <c r="O143"/>
  <c r="O92"/>
  <c r="H91"/>
  <c r="O369"/>
  <c r="H147"/>
  <c r="O147" s="1"/>
  <c r="H1251"/>
  <c r="O1251" s="1"/>
  <c r="H1259"/>
  <c r="O1584"/>
  <c r="O1659"/>
  <c r="H869"/>
  <c r="H1549"/>
  <c r="H1548" s="1"/>
  <c r="H753"/>
  <c r="O753" s="1"/>
  <c r="O754"/>
  <c r="O1167"/>
  <c r="O621"/>
  <c r="H361"/>
  <c r="O361" s="1"/>
  <c r="O199"/>
  <c r="O362"/>
  <c r="O977"/>
  <c r="H228"/>
  <c r="H227" s="1"/>
  <c r="O204"/>
  <c r="O354"/>
  <c r="H353"/>
  <c r="O353" s="1"/>
  <c r="O606"/>
  <c r="O820"/>
  <c r="H819"/>
  <c r="H23"/>
  <c r="H22" s="1"/>
  <c r="O806"/>
  <c r="O282"/>
  <c r="O854"/>
  <c r="O458"/>
  <c r="H457"/>
  <c r="O355"/>
  <c r="H432"/>
  <c r="O432" s="1"/>
  <c r="O434"/>
  <c r="O541"/>
  <c r="H540"/>
  <c r="O152"/>
  <c r="O645"/>
  <c r="O844"/>
  <c r="H863"/>
  <c r="O864"/>
  <c r="O335"/>
  <c r="H334"/>
  <c r="O786"/>
  <c r="O39"/>
  <c r="H138"/>
  <c r="H408"/>
  <c r="O837"/>
  <c r="O496"/>
  <c r="H495"/>
  <c r="O776"/>
  <c r="H775"/>
  <c r="O794"/>
  <c r="H342"/>
  <c r="O343"/>
  <c r="O827"/>
  <c r="O273"/>
  <c r="H272"/>
  <c r="O802"/>
  <c r="O124"/>
  <c r="H123"/>
  <c r="H313"/>
  <c r="O314"/>
  <c r="O782"/>
  <c r="H781"/>
  <c r="H295"/>
  <c r="O296"/>
  <c r="O876"/>
  <c r="H875"/>
  <c r="O812"/>
  <c r="H811"/>
  <c r="O348"/>
  <c r="H347"/>
  <c r="O858"/>
  <c r="O319"/>
  <c r="H318"/>
  <c r="O249"/>
  <c r="H760"/>
  <c r="O761"/>
  <c r="H475"/>
  <c r="O476"/>
  <c r="O882"/>
  <c r="H881"/>
  <c r="O596"/>
  <c r="H595"/>
  <c r="O377"/>
  <c r="H376"/>
  <c r="O1457"/>
  <c r="H1456"/>
  <c r="O133"/>
  <c r="H132"/>
  <c r="H629"/>
  <c r="O630"/>
  <c r="O286"/>
  <c r="H281"/>
  <c r="O605"/>
  <c r="O244"/>
  <c r="O402"/>
  <c r="H401"/>
  <c r="O1491"/>
  <c r="H1490"/>
  <c r="O424"/>
  <c r="H423"/>
  <c r="O386"/>
  <c r="H385"/>
  <c r="Q1088"/>
  <c r="Q81"/>
  <c r="H264"/>
  <c r="O265"/>
  <c r="Q605"/>
  <c r="Q731"/>
  <c r="P561"/>
  <c r="P621"/>
  <c r="Q724"/>
  <c r="P914"/>
  <c r="H1071"/>
  <c r="O1072"/>
  <c r="P1167"/>
  <c r="Q1469"/>
  <c r="P1364"/>
  <c r="O1469"/>
  <c r="H1468"/>
  <c r="H1467" s="1"/>
  <c r="Q1614"/>
  <c r="O1580"/>
  <c r="P1705"/>
  <c r="Q1764"/>
  <c r="O1721"/>
  <c r="H1720"/>
  <c r="P1796"/>
  <c r="Q712"/>
  <c r="O1036"/>
  <c r="P1071"/>
  <c r="Q1166"/>
  <c r="O1049"/>
  <c r="H1048"/>
  <c r="O1156"/>
  <c r="Q1241"/>
  <c r="O1410"/>
  <c r="O1422"/>
  <c r="H1421"/>
  <c r="Q1474"/>
  <c r="Q1279"/>
  <c r="P1376"/>
  <c r="O1441"/>
  <c r="H1440"/>
  <c r="O1501"/>
  <c r="Q1619"/>
  <c r="H1738"/>
  <c r="O1739"/>
  <c r="P1712"/>
  <c r="Q1501"/>
  <c r="O1629"/>
  <c r="H1628"/>
  <c r="O1749"/>
  <c r="Q656"/>
  <c r="Q255"/>
  <c r="O502"/>
  <c r="H501"/>
  <c r="O547"/>
  <c r="H546"/>
  <c r="Q590"/>
  <c r="Q645"/>
  <c r="Q742"/>
  <c r="P1077"/>
  <c r="P147"/>
  <c r="P39"/>
  <c r="P124"/>
  <c r="P193"/>
  <c r="H256"/>
  <c r="O257"/>
  <c r="Q545"/>
  <c r="Q1071"/>
  <c r="P742"/>
  <c r="Q1150"/>
  <c r="O1241"/>
  <c r="H1240"/>
  <c r="Q1124"/>
  <c r="O1166"/>
  <c r="H1165"/>
  <c r="H1317"/>
  <c r="O1318"/>
  <c r="H1448"/>
  <c r="O1449"/>
  <c r="O1356"/>
  <c r="H1355"/>
  <c r="P1482"/>
  <c r="Q1667"/>
  <c r="P1760"/>
  <c r="O1729"/>
  <c r="H1728"/>
  <c r="P1791"/>
  <c r="Q610"/>
  <c r="P516"/>
  <c r="Q575"/>
  <c r="Q637"/>
  <c r="P694"/>
  <c r="P1088"/>
  <c r="H1137"/>
  <c r="O1138"/>
  <c r="H1197"/>
  <c r="O1198"/>
  <c r="O1232"/>
  <c r="Q1270"/>
  <c r="O1150"/>
  <c r="H1149"/>
  <c r="Q1290"/>
  <c r="Q1345"/>
  <c r="P1470"/>
  <c r="P1607"/>
  <c r="O1474"/>
  <c r="Q1609"/>
  <c r="Q1683"/>
  <c r="Q1772"/>
  <c r="Q115"/>
  <c r="Q123"/>
  <c r="H1575"/>
  <c r="O1325"/>
  <c r="H1324"/>
  <c r="P923"/>
  <c r="Q204"/>
  <c r="P204"/>
  <c r="P117"/>
  <c r="P636"/>
  <c r="Q596"/>
  <c r="Q600"/>
  <c r="O508"/>
  <c r="H687"/>
  <c r="O688"/>
  <c r="P1137"/>
  <c r="Q1224"/>
  <c r="H1278"/>
  <c r="O1279"/>
  <c r="P1475"/>
  <c r="Q1337"/>
  <c r="O1402"/>
  <c r="H1401"/>
  <c r="H1646"/>
  <c r="O1647"/>
  <c r="Q1721"/>
  <c r="H1771"/>
  <c r="O1772"/>
  <c r="Q1744"/>
  <c r="Q1049"/>
  <c r="H1076"/>
  <c r="O1077"/>
  <c r="H1172"/>
  <c r="O1173"/>
  <c r="Q1448"/>
  <c r="O1087"/>
  <c r="Q1173"/>
  <c r="Q1259"/>
  <c r="Q1376"/>
  <c r="P1491"/>
  <c r="Q1318"/>
  <c r="Q1363"/>
  <c r="O1483"/>
  <c r="H1482"/>
  <c r="P1509"/>
  <c r="Q1565"/>
  <c r="P1646"/>
  <c r="O1508"/>
  <c r="H1507"/>
  <c r="Q1787"/>
  <c r="P1720"/>
  <c r="P1569"/>
  <c r="P1765"/>
  <c r="Q48"/>
  <c r="H173"/>
  <c r="O174"/>
  <c r="P244"/>
  <c r="P551"/>
  <c r="Q748"/>
  <c r="H724"/>
  <c r="O725"/>
  <c r="Q999"/>
  <c r="P256"/>
  <c r="P65"/>
  <c r="P133"/>
  <c r="P576"/>
  <c r="H611"/>
  <c r="O612"/>
  <c r="P570"/>
  <c r="P738"/>
  <c r="P1040"/>
  <c r="P1172"/>
  <c r="Q1036"/>
  <c r="P1144"/>
  <c r="Q1198"/>
  <c r="P1252"/>
  <c r="P1291"/>
  <c r="Q1483"/>
  <c r="P1584"/>
  <c r="H1695"/>
  <c r="O1696"/>
  <c r="O1683"/>
  <c r="Q1749"/>
  <c r="O656"/>
  <c r="H655"/>
  <c r="O557"/>
  <c r="H556"/>
  <c r="Q563"/>
  <c r="O999"/>
  <c r="H998"/>
  <c r="Q1056"/>
  <c r="Q1156"/>
  <c r="H1055"/>
  <c r="O1056"/>
  <c r="P1160"/>
  <c r="P1317"/>
  <c r="Q1356"/>
  <c r="Q1489"/>
  <c r="P1326"/>
  <c r="P1344"/>
  <c r="P1615"/>
  <c r="P1700"/>
  <c r="O203"/>
  <c r="O48"/>
  <c r="Q132"/>
  <c r="O620"/>
  <c r="H619"/>
  <c r="Q630"/>
  <c r="O1654"/>
  <c r="H1653"/>
  <c r="Q1422"/>
  <c r="P138"/>
  <c r="P80"/>
  <c r="P651"/>
  <c r="O552"/>
  <c r="H551"/>
  <c r="Q534"/>
  <c r="Q1076"/>
  <c r="Q1044"/>
  <c r="P1240"/>
  <c r="O1270"/>
  <c r="P1130"/>
  <c r="Q1232"/>
  <c r="Q1325"/>
  <c r="H1362"/>
  <c r="O1363"/>
  <c r="Q1441"/>
  <c r="P1557"/>
  <c r="P1659"/>
  <c r="Q1549"/>
  <c r="Q1696"/>
  <c r="O1764"/>
  <c r="H1123"/>
  <c r="O1124"/>
  <c r="Q1129"/>
  <c r="P1278"/>
  <c r="O1335"/>
  <c r="H1334"/>
  <c r="P1655"/>
  <c r="P1564"/>
  <c r="Q1704"/>
  <c r="H1814"/>
  <c r="O1815"/>
  <c r="Q1739"/>
  <c r="P1772"/>
  <c r="O1795"/>
  <c r="Q1815"/>
  <c r="Q197"/>
  <c r="H57"/>
  <c r="O58"/>
  <c r="P92"/>
  <c r="Q188"/>
  <c r="Q58"/>
  <c r="P606"/>
  <c r="P601"/>
  <c r="O577"/>
  <c r="H576"/>
  <c r="Q509"/>
  <c r="P906"/>
  <c r="Q977"/>
  <c r="Q91"/>
  <c r="P71"/>
  <c r="Q490"/>
  <c r="O517"/>
  <c r="H516"/>
  <c r="H711"/>
  <c r="O712"/>
  <c r="P977"/>
  <c r="P1055"/>
  <c r="P1048"/>
  <c r="O1224"/>
  <c r="H1223"/>
  <c r="P1334"/>
  <c r="H1375"/>
  <c r="O1376"/>
  <c r="P1411"/>
  <c r="Q1508"/>
  <c r="P1576"/>
  <c r="P1502"/>
  <c r="Q1713"/>
  <c r="O1704"/>
  <c r="Q495"/>
  <c r="O562"/>
  <c r="H561"/>
  <c r="Q620"/>
  <c r="P711"/>
  <c r="H914"/>
  <c r="O915"/>
  <c r="Q688"/>
  <c r="P1260"/>
  <c r="P1233"/>
  <c r="Q1432"/>
  <c r="P1355"/>
  <c r="H1557"/>
  <c r="O1558"/>
  <c r="Q1629"/>
  <c r="P1783"/>
  <c r="Q173"/>
  <c r="Q72"/>
  <c r="H197"/>
  <c r="O198"/>
  <c r="P160"/>
  <c r="Q650"/>
  <c r="P1514"/>
  <c r="P1198"/>
  <c r="Q193"/>
  <c r="P59"/>
  <c r="P611"/>
  <c r="P556"/>
  <c r="H906"/>
  <c r="O907"/>
  <c r="P999"/>
  <c r="P1271"/>
  <c r="P1065"/>
  <c r="P1149"/>
  <c r="Q1335"/>
  <c r="P1403"/>
  <c r="Q1456"/>
  <c r="Q1580"/>
  <c r="Q1515"/>
  <c r="O1565"/>
  <c r="H1564"/>
  <c r="P1628"/>
  <c r="O1713"/>
  <c r="H1712"/>
  <c r="O1787"/>
  <c r="P1815"/>
  <c r="Q1251"/>
  <c r="Q1145"/>
  <c r="O1145"/>
  <c r="H1144"/>
  <c r="O1337"/>
  <c r="Q1402"/>
  <c r="P1421"/>
  <c r="O1540"/>
  <c r="O1619"/>
  <c r="H1614"/>
  <c r="P1668"/>
  <c r="Q1729"/>
  <c r="P1683"/>
  <c r="Q1795"/>
  <c r="P1448"/>
  <c r="P1695"/>
  <c r="P1745"/>
  <c r="P198"/>
  <c r="Q24"/>
  <c r="H65"/>
  <c r="O66"/>
  <c r="H193"/>
  <c r="O194"/>
  <c r="O72"/>
  <c r="H71"/>
  <c r="Q387"/>
  <c r="Q335"/>
  <c r="H636"/>
  <c r="O637"/>
  <c r="P496"/>
  <c r="Q541"/>
  <c r="Q584"/>
  <c r="P584"/>
  <c r="O732"/>
  <c r="Q913"/>
  <c r="Q923"/>
  <c r="P178"/>
  <c r="H115"/>
  <c r="O116"/>
  <c r="P173"/>
  <c r="P272"/>
  <c r="O24"/>
  <c r="P656"/>
  <c r="P501"/>
  <c r="P546"/>
  <c r="P596"/>
  <c r="P1123"/>
  <c r="Q1066"/>
  <c r="P1433"/>
  <c r="O1345"/>
  <c r="H1344"/>
  <c r="P1440"/>
  <c r="Q1646"/>
  <c r="H1514"/>
  <c r="O1515"/>
  <c r="Q1654"/>
  <c r="Q1558"/>
  <c r="P1738"/>
  <c r="Q500"/>
  <c r="Q570"/>
  <c r="P725"/>
  <c r="H922"/>
  <c r="O923"/>
  <c r="H1258"/>
  <c r="O1259"/>
  <c r="H1065"/>
  <c r="O1066"/>
  <c r="H1128"/>
  <c r="O1129"/>
  <c r="P1225"/>
  <c r="O1044"/>
  <c r="Q1138"/>
  <c r="O1608"/>
  <c r="H1607"/>
  <c r="P1457"/>
  <c r="O1290"/>
  <c r="H1289"/>
  <c r="O1432"/>
  <c r="H1431"/>
  <c r="P1550"/>
  <c r="P1728"/>
  <c r="Q137"/>
  <c r="H80"/>
  <c r="O81"/>
  <c r="Q66"/>
  <c r="H1744"/>
  <c r="O465" l="1"/>
  <c r="H1666"/>
  <c r="H1665" s="1"/>
  <c r="H1250"/>
  <c r="O178"/>
  <c r="H431"/>
  <c r="H430" s="1"/>
  <c r="O582"/>
  <c r="O1549"/>
  <c r="O583"/>
  <c r="O869"/>
  <c r="O650"/>
  <c r="O91"/>
  <c r="H90"/>
  <c r="O368"/>
  <c r="H137"/>
  <c r="O137" s="1"/>
  <c r="O228"/>
  <c r="H868"/>
  <c r="O868" s="1"/>
  <c r="H752"/>
  <c r="O752" s="1"/>
  <c r="H360"/>
  <c r="O23"/>
  <c r="O138"/>
  <c r="H407"/>
  <c r="O407" s="1"/>
  <c r="O819"/>
  <c r="O457"/>
  <c r="H456"/>
  <c r="O408"/>
  <c r="O540"/>
  <c r="O334"/>
  <c r="H21"/>
  <c r="O22"/>
  <c r="O863"/>
  <c r="H862"/>
  <c r="O272"/>
  <c r="O342"/>
  <c r="H341"/>
  <c r="H774"/>
  <c r="O775"/>
  <c r="H494"/>
  <c r="O495"/>
  <c r="O318"/>
  <c r="O811"/>
  <c r="H810"/>
  <c r="O295"/>
  <c r="H294"/>
  <c r="O313"/>
  <c r="H312"/>
  <c r="H880"/>
  <c r="O881"/>
  <c r="O875"/>
  <c r="H874"/>
  <c r="O781"/>
  <c r="H780"/>
  <c r="O475"/>
  <c r="H474"/>
  <c r="O760"/>
  <c r="O826"/>
  <c r="H818"/>
  <c r="O464"/>
  <c r="H463"/>
  <c r="O347"/>
  <c r="O123"/>
  <c r="H122"/>
  <c r="O367"/>
  <c r="O649"/>
  <c r="H375"/>
  <c r="O376"/>
  <c r="H422"/>
  <c r="O423"/>
  <c r="H594"/>
  <c r="O595"/>
  <c r="O385"/>
  <c r="H384"/>
  <c r="H280"/>
  <c r="O281"/>
  <c r="H131"/>
  <c r="O132"/>
  <c r="O1490"/>
  <c r="H1489"/>
  <c r="O401"/>
  <c r="O629"/>
  <c r="H628"/>
  <c r="H618" s="1"/>
  <c r="H1455"/>
  <c r="O1456"/>
  <c r="P731"/>
  <c r="P1549"/>
  <c r="O1607"/>
  <c r="O1128"/>
  <c r="P724"/>
  <c r="H1513"/>
  <c r="H1506" s="1"/>
  <c r="O1514"/>
  <c r="O1344"/>
  <c r="H1343"/>
  <c r="P1432"/>
  <c r="P595"/>
  <c r="O115"/>
  <c r="Q922"/>
  <c r="Q912"/>
  <c r="Q583"/>
  <c r="P1420"/>
  <c r="Q1401"/>
  <c r="O1144"/>
  <c r="H1143"/>
  <c r="Q1144"/>
  <c r="Q1250"/>
  <c r="O1564"/>
  <c r="H1563"/>
  <c r="P1402"/>
  <c r="H905"/>
  <c r="O906"/>
  <c r="P1513"/>
  <c r="Q649"/>
  <c r="O197"/>
  <c r="Q1628"/>
  <c r="Q1431"/>
  <c r="Q687"/>
  <c r="H913"/>
  <c r="O914"/>
  <c r="O561"/>
  <c r="P1410"/>
  <c r="H1374"/>
  <c r="O1375"/>
  <c r="H710"/>
  <c r="O711"/>
  <c r="Q475"/>
  <c r="Q508"/>
  <c r="Q57"/>
  <c r="Q1738"/>
  <c r="H1813"/>
  <c r="O1814"/>
  <c r="P1563"/>
  <c r="P1654"/>
  <c r="Q1128"/>
  <c r="H1122"/>
  <c r="O1123"/>
  <c r="Q1695"/>
  <c r="Q1440"/>
  <c r="P1239"/>
  <c r="P79"/>
  <c r="O1653"/>
  <c r="H1652"/>
  <c r="P1343"/>
  <c r="P1325"/>
  <c r="Q562"/>
  <c r="H1694"/>
  <c r="O1695"/>
  <c r="P1290"/>
  <c r="P1251"/>
  <c r="P1143"/>
  <c r="P569"/>
  <c r="P64"/>
  <c r="H172"/>
  <c r="O173"/>
  <c r="P1508"/>
  <c r="Q1317"/>
  <c r="Q1172"/>
  <c r="H1249"/>
  <c r="O1250"/>
  <c r="P1474"/>
  <c r="O687"/>
  <c r="H686"/>
  <c r="Q595"/>
  <c r="P116"/>
  <c r="P922"/>
  <c r="Q122"/>
  <c r="Q1771"/>
  <c r="H1466"/>
  <c r="O1467"/>
  <c r="Q1289"/>
  <c r="P1087"/>
  <c r="Q636"/>
  <c r="O1728"/>
  <c r="H1727"/>
  <c r="P1481"/>
  <c r="P1076"/>
  <c r="O501"/>
  <c r="H500"/>
  <c r="P1375"/>
  <c r="Q1240"/>
  <c r="O1720"/>
  <c r="H1719"/>
  <c r="P1363"/>
  <c r="Q1468"/>
  <c r="Q723"/>
  <c r="P620"/>
  <c r="Q1575"/>
  <c r="O1431"/>
  <c r="H1430"/>
  <c r="Q1137"/>
  <c r="O1065"/>
  <c r="H1257"/>
  <c r="O1258"/>
  <c r="P1737"/>
  <c r="O731"/>
  <c r="Q540"/>
  <c r="O636"/>
  <c r="H635"/>
  <c r="Q386"/>
  <c r="O1614"/>
  <c r="H1613"/>
  <c r="Q1514"/>
  <c r="Q1334"/>
  <c r="P58"/>
  <c r="P1197"/>
  <c r="Q71"/>
  <c r="Q172"/>
  <c r="H1556"/>
  <c r="O1557"/>
  <c r="P710"/>
  <c r="Q619"/>
  <c r="Q494"/>
  <c r="P1501"/>
  <c r="P1575"/>
  <c r="P1054"/>
  <c r="P70"/>
  <c r="O576"/>
  <c r="H575"/>
  <c r="P605"/>
  <c r="Q178"/>
  <c r="P91"/>
  <c r="Q1548"/>
  <c r="H1361"/>
  <c r="O1362"/>
  <c r="P1614"/>
  <c r="Q1488"/>
  <c r="O556"/>
  <c r="P255"/>
  <c r="P1490"/>
  <c r="H1171"/>
  <c r="O1172"/>
  <c r="Q1743"/>
  <c r="O1771"/>
  <c r="H1277"/>
  <c r="O1278"/>
  <c r="P635"/>
  <c r="Q203"/>
  <c r="O1324"/>
  <c r="H1323"/>
  <c r="Q1666"/>
  <c r="O1355"/>
  <c r="O1448"/>
  <c r="O1165"/>
  <c r="H1164"/>
  <c r="P1711"/>
  <c r="H1737"/>
  <c r="O1738"/>
  <c r="Q1278"/>
  <c r="Q1467"/>
  <c r="O1048"/>
  <c r="Q1165"/>
  <c r="Q1613"/>
  <c r="P1166"/>
  <c r="Q594"/>
  <c r="H263"/>
  <c r="O264"/>
  <c r="H1743"/>
  <c r="O1744"/>
  <c r="O1289"/>
  <c r="P1456"/>
  <c r="Q569"/>
  <c r="Q1645"/>
  <c r="Q1065"/>
  <c r="P1122"/>
  <c r="P655"/>
  <c r="P271"/>
  <c r="P495"/>
  <c r="Q334"/>
  <c r="O71"/>
  <c r="H70"/>
  <c r="O193"/>
  <c r="P197"/>
  <c r="Q1728"/>
  <c r="P1667"/>
  <c r="O1712"/>
  <c r="H1711"/>
  <c r="P1270"/>
  <c r="P610"/>
  <c r="P687"/>
  <c r="P1232"/>
  <c r="P1259"/>
  <c r="Q1507"/>
  <c r="P905"/>
  <c r="P600"/>
  <c r="O57"/>
  <c r="Q1814"/>
  <c r="O1334"/>
  <c r="P1277"/>
  <c r="Q1324"/>
  <c r="P1129"/>
  <c r="Q516"/>
  <c r="P650"/>
  <c r="P137"/>
  <c r="Q1421"/>
  <c r="O619"/>
  <c r="Q131"/>
  <c r="O1548"/>
  <c r="Q1355"/>
  <c r="H1054"/>
  <c r="O1055"/>
  <c r="Q1055"/>
  <c r="O655"/>
  <c r="P1171"/>
  <c r="P575"/>
  <c r="O724"/>
  <c r="H723"/>
  <c r="O1507"/>
  <c r="P1645"/>
  <c r="O1482"/>
  <c r="H1481"/>
  <c r="Q1375"/>
  <c r="Q1258"/>
  <c r="O1076"/>
  <c r="Q1720"/>
  <c r="O1401"/>
  <c r="H1400"/>
  <c r="Q1223"/>
  <c r="O1575"/>
  <c r="H1574"/>
  <c r="Q1608"/>
  <c r="P1469"/>
  <c r="O1149"/>
  <c r="H1196"/>
  <c r="O1197"/>
  <c r="H1316"/>
  <c r="O1317"/>
  <c r="Q1123"/>
  <c r="O1240"/>
  <c r="H1239"/>
  <c r="P123"/>
  <c r="Q655"/>
  <c r="O1628"/>
  <c r="H1627"/>
  <c r="Q711"/>
  <c r="P1704"/>
  <c r="H1064"/>
  <c r="O1071"/>
  <c r="Q1087"/>
  <c r="Q65"/>
  <c r="H79"/>
  <c r="O80"/>
  <c r="P1727"/>
  <c r="P1224"/>
  <c r="H921"/>
  <c r="O922"/>
  <c r="Q1557"/>
  <c r="Q1653"/>
  <c r="P1439"/>
  <c r="P500"/>
  <c r="P172"/>
  <c r="P583"/>
  <c r="H64"/>
  <c r="O65"/>
  <c r="P1744"/>
  <c r="P1694"/>
  <c r="P1814"/>
  <c r="P1627"/>
  <c r="Q1455"/>
  <c r="P998"/>
  <c r="Q1712"/>
  <c r="O1223"/>
  <c r="H1222"/>
  <c r="O516"/>
  <c r="H515"/>
  <c r="Q90"/>
  <c r="O1666"/>
  <c r="P1771"/>
  <c r="P1556"/>
  <c r="O551"/>
  <c r="H545"/>
  <c r="Q629"/>
  <c r="P1316"/>
  <c r="O998"/>
  <c r="Q1482"/>
  <c r="Q1197"/>
  <c r="O611"/>
  <c r="H610"/>
  <c r="O227"/>
  <c r="H226"/>
  <c r="P132"/>
  <c r="Q998"/>
  <c r="P545"/>
  <c r="P227"/>
  <c r="P1764"/>
  <c r="P1719"/>
  <c r="Q1564"/>
  <c r="Q1362"/>
  <c r="Q1048"/>
  <c r="H1645"/>
  <c r="O1646"/>
  <c r="P1136"/>
  <c r="P203"/>
  <c r="Q1344"/>
  <c r="H1136"/>
  <c r="O1137"/>
  <c r="P515"/>
  <c r="Q1149"/>
  <c r="H255"/>
  <c r="O256"/>
  <c r="O546"/>
  <c r="O1440"/>
  <c r="H1439"/>
  <c r="O1421"/>
  <c r="H1420"/>
  <c r="P1795"/>
  <c r="O1468"/>
  <c r="P913"/>
  <c r="Q80"/>
  <c r="O431" l="1"/>
  <c r="H359"/>
  <c r="O359" s="1"/>
  <c r="O90"/>
  <c r="O360"/>
  <c r="H406"/>
  <c r="O406" s="1"/>
  <c r="O456"/>
  <c r="H455"/>
  <c r="O21"/>
  <c r="O862"/>
  <c r="O341"/>
  <c r="H340"/>
  <c r="O494"/>
  <c r="O774"/>
  <c r="O818"/>
  <c r="H817"/>
  <c r="O780"/>
  <c r="H773"/>
  <c r="O294"/>
  <c r="H293"/>
  <c r="O874"/>
  <c r="O810"/>
  <c r="O463"/>
  <c r="H462"/>
  <c r="O474"/>
  <c r="O880"/>
  <c r="O122"/>
  <c r="O312"/>
  <c r="O628"/>
  <c r="O430"/>
  <c r="H1488"/>
  <c r="O1489"/>
  <c r="O131"/>
  <c r="O384"/>
  <c r="O1455"/>
  <c r="H1454"/>
  <c r="O594"/>
  <c r="O375"/>
  <c r="H374"/>
  <c r="O280"/>
  <c r="H279"/>
  <c r="O422"/>
  <c r="H421"/>
  <c r="P634"/>
  <c r="Q618"/>
  <c r="H1419"/>
  <c r="O1420"/>
  <c r="Q1361"/>
  <c r="P131"/>
  <c r="O610"/>
  <c r="H581"/>
  <c r="Q1481"/>
  <c r="P1438"/>
  <c r="O79"/>
  <c r="O1064"/>
  <c r="H1063"/>
  <c r="H1480"/>
  <c r="O1481"/>
  <c r="P1128"/>
  <c r="Q1813"/>
  <c r="Q1506"/>
  <c r="P1666"/>
  <c r="P494"/>
  <c r="Q1644"/>
  <c r="P1165"/>
  <c r="Q1466"/>
  <c r="O1737"/>
  <c r="H1736"/>
  <c r="O1164"/>
  <c r="Q1665"/>
  <c r="O1361"/>
  <c r="H1360"/>
  <c r="P594"/>
  <c r="P709"/>
  <c r="Q70"/>
  <c r="P57"/>
  <c r="Q385"/>
  <c r="O1257"/>
  <c r="Q1136"/>
  <c r="H1718"/>
  <c r="H1717" s="1"/>
  <c r="O1719"/>
  <c r="H1726"/>
  <c r="O1727"/>
  <c r="Q635"/>
  <c r="O1466"/>
  <c r="P921"/>
  <c r="Q1171"/>
  <c r="P1507"/>
  <c r="P1142"/>
  <c r="P1289"/>
  <c r="Q1694"/>
  <c r="O1813"/>
  <c r="H1812"/>
  <c r="Q474"/>
  <c r="O1374"/>
  <c r="H1373"/>
  <c r="Q686"/>
  <c r="Q1627"/>
  <c r="P1401"/>
  <c r="P1419"/>
  <c r="Q911"/>
  <c r="O1513"/>
  <c r="P1548"/>
  <c r="P912"/>
  <c r="H1438"/>
  <c r="H1429" s="1"/>
  <c r="O1439"/>
  <c r="P226"/>
  <c r="Q1196"/>
  <c r="P1743"/>
  <c r="O64"/>
  <c r="O921"/>
  <c r="H920"/>
  <c r="P1726"/>
  <c r="P1064"/>
  <c r="Q710"/>
  <c r="Q1719"/>
  <c r="O1054"/>
  <c r="H1053"/>
  <c r="O618"/>
  <c r="Q1420"/>
  <c r="Q515"/>
  <c r="P686"/>
  <c r="O1743"/>
  <c r="O263"/>
  <c r="Q1277"/>
  <c r="O1277"/>
  <c r="H1276"/>
  <c r="P1489"/>
  <c r="O575"/>
  <c r="P63"/>
  <c r="P1053"/>
  <c r="O1556"/>
  <c r="H1555"/>
  <c r="O635"/>
  <c r="H634"/>
  <c r="O1430"/>
  <c r="Q1574"/>
  <c r="Q1239"/>
  <c r="P1374"/>
  <c r="O686"/>
  <c r="H685"/>
  <c r="Q1316"/>
  <c r="O172"/>
  <c r="H121"/>
  <c r="P1250"/>
  <c r="O1694"/>
  <c r="H1693"/>
  <c r="P1238"/>
  <c r="Q1439"/>
  <c r="P1562"/>
  <c r="O913"/>
  <c r="H912"/>
  <c r="Q1400"/>
  <c r="Q582"/>
  <c r="H1342"/>
  <c r="O1343"/>
  <c r="P723"/>
  <c r="Q79"/>
  <c r="O255"/>
  <c r="O1136"/>
  <c r="H1135"/>
  <c r="P1135"/>
  <c r="P1718"/>
  <c r="Q628"/>
  <c r="P1555"/>
  <c r="O1665"/>
  <c r="H514"/>
  <c r="O515"/>
  <c r="Q1711"/>
  <c r="Q1454"/>
  <c r="P1813"/>
  <c r="P1693"/>
  <c r="P473"/>
  <c r="Q1556"/>
  <c r="P1223"/>
  <c r="O1627"/>
  <c r="O1239"/>
  <c r="H1238"/>
  <c r="O1316"/>
  <c r="H1315"/>
  <c r="P1468"/>
  <c r="O1574"/>
  <c r="H1573"/>
  <c r="O1400"/>
  <c r="Q1257"/>
  <c r="O1506"/>
  <c r="Q1054"/>
  <c r="P649"/>
  <c r="P1276"/>
  <c r="O70"/>
  <c r="H63"/>
  <c r="H20" s="1"/>
  <c r="Q293"/>
  <c r="P1455"/>
  <c r="H1322"/>
  <c r="O1323"/>
  <c r="P1574"/>
  <c r="P1196"/>
  <c r="Q1513"/>
  <c r="Q722"/>
  <c r="Q121"/>
  <c r="P115"/>
  <c r="H1248"/>
  <c r="O1249"/>
  <c r="P1342"/>
  <c r="P1653"/>
  <c r="H1142"/>
  <c r="O1143"/>
  <c r="P1431"/>
  <c r="Q1064"/>
  <c r="P514"/>
  <c r="Q1343"/>
  <c r="O1645"/>
  <c r="H1644"/>
  <c r="Q1563"/>
  <c r="H225"/>
  <c r="O226"/>
  <c r="P1315"/>
  <c r="O545"/>
  <c r="O1222"/>
  <c r="P582"/>
  <c r="Q1652"/>
  <c r="Q64"/>
  <c r="P122"/>
  <c r="Q1122"/>
  <c r="O1196"/>
  <c r="H1195"/>
  <c r="Q1607"/>
  <c r="Q1222"/>
  <c r="Q1374"/>
  <c r="P1644"/>
  <c r="O723"/>
  <c r="H722"/>
  <c r="Q1323"/>
  <c r="P904"/>
  <c r="P1258"/>
  <c r="H1710"/>
  <c r="O1711"/>
  <c r="Q1727"/>
  <c r="Q1164"/>
  <c r="P1710"/>
  <c r="O1171"/>
  <c r="P1613"/>
  <c r="P90"/>
  <c r="O1613"/>
  <c r="P619"/>
  <c r="P1362"/>
  <c r="O500"/>
  <c r="H473"/>
  <c r="P1480"/>
  <c r="Q561"/>
  <c r="P1324"/>
  <c r="H1651"/>
  <c r="O1652"/>
  <c r="O1122"/>
  <c r="H1121"/>
  <c r="Q1737"/>
  <c r="O710"/>
  <c r="H709"/>
  <c r="Q1430"/>
  <c r="O905"/>
  <c r="H904"/>
  <c r="H1562"/>
  <c r="O1563"/>
  <c r="Q1249"/>
  <c r="Q1143"/>
  <c r="Q921"/>
  <c r="H383" l="1"/>
  <c r="O455"/>
  <c r="H454"/>
  <c r="O20"/>
  <c r="H339"/>
  <c r="O340"/>
  <c r="O773"/>
  <c r="O817"/>
  <c r="H816"/>
  <c r="O462"/>
  <c r="O293"/>
  <c r="H292"/>
  <c r="O421"/>
  <c r="O279"/>
  <c r="H271"/>
  <c r="H1453"/>
  <c r="O1454"/>
  <c r="O1488"/>
  <c r="O374"/>
  <c r="H373"/>
  <c r="P472"/>
  <c r="Q78"/>
  <c r="Q1142"/>
  <c r="Q1248"/>
  <c r="Q1429"/>
  <c r="P78"/>
  <c r="H721"/>
  <c r="O722"/>
  <c r="Q1651"/>
  <c r="O225"/>
  <c r="Q1342"/>
  <c r="P1467"/>
  <c r="Q721"/>
  <c r="P1573"/>
  <c r="O1322"/>
  <c r="O63"/>
  <c r="P1275"/>
  <c r="Q1453"/>
  <c r="O1693"/>
  <c r="H1692"/>
  <c r="P1249"/>
  <c r="H684"/>
  <c r="O685"/>
  <c r="O1555"/>
  <c r="H1554"/>
  <c r="Q1419"/>
  <c r="Q1718"/>
  <c r="Q709"/>
  <c r="P1063"/>
  <c r="O920"/>
  <c r="H919"/>
  <c r="Q1195"/>
  <c r="P911"/>
  <c r="Q685"/>
  <c r="O1718"/>
  <c r="Q63"/>
  <c r="H1479"/>
  <c r="O1480"/>
  <c r="Q1360"/>
  <c r="O1562"/>
  <c r="O709"/>
  <c r="Q1736"/>
  <c r="P1323"/>
  <c r="O473"/>
  <c r="H472"/>
  <c r="P1361"/>
  <c r="P1643"/>
  <c r="Q1373"/>
  <c r="P121"/>
  <c r="P1652"/>
  <c r="O1248"/>
  <c r="P1195"/>
  <c r="Q292"/>
  <c r="P1812"/>
  <c r="Q1710"/>
  <c r="O514"/>
  <c r="P1134"/>
  <c r="P1373"/>
  <c r="O1429"/>
  <c r="P1488"/>
  <c r="P1121"/>
  <c r="P1418"/>
  <c r="O1812"/>
  <c r="H1811"/>
  <c r="Q1693"/>
  <c r="Q634"/>
  <c r="Q1135"/>
  <c r="Q384"/>
  <c r="O1360"/>
  <c r="O1736"/>
  <c r="H1735"/>
  <c r="Q1812"/>
  <c r="Q1480"/>
  <c r="H1418"/>
  <c r="O1419"/>
  <c r="Q920"/>
  <c r="P1709"/>
  <c r="P903"/>
  <c r="O1717"/>
  <c r="Q1562"/>
  <c r="Q1063"/>
  <c r="P1333"/>
  <c r="P1454"/>
  <c r="O1315"/>
  <c r="H1288"/>
  <c r="P1222"/>
  <c r="Q1555"/>
  <c r="P1692"/>
  <c r="O1135"/>
  <c r="H1134"/>
  <c r="P722"/>
  <c r="O1342"/>
  <c r="H1333"/>
  <c r="Q1438"/>
  <c r="O121"/>
  <c r="H78"/>
  <c r="Q1315"/>
  <c r="P685"/>
  <c r="P1725"/>
  <c r="P225"/>
  <c r="O1438"/>
  <c r="P1506"/>
  <c r="Q1643"/>
  <c r="P1665"/>
  <c r="O1063"/>
  <c r="O581"/>
  <c r="O904"/>
  <c r="H903"/>
  <c r="O1121"/>
  <c r="H1120"/>
  <c r="O1651"/>
  <c r="P1479"/>
  <c r="P618"/>
  <c r="Q1726"/>
  <c r="H1709"/>
  <c r="O1710"/>
  <c r="P1257"/>
  <c r="Q1322"/>
  <c r="O1195"/>
  <c r="Q1121"/>
  <c r="P581"/>
  <c r="O1644"/>
  <c r="H1643"/>
  <c r="P1430"/>
  <c r="O1142"/>
  <c r="Q1053"/>
  <c r="O1573"/>
  <c r="O1238"/>
  <c r="H1237"/>
  <c r="P1736"/>
  <c r="Q581"/>
  <c r="O912"/>
  <c r="H911"/>
  <c r="P1237"/>
  <c r="Q1238"/>
  <c r="Q1573"/>
  <c r="O634"/>
  <c r="H1275"/>
  <c r="O1276"/>
  <c r="Q1276"/>
  <c r="Q514"/>
  <c r="O1053"/>
  <c r="P1400"/>
  <c r="O1373"/>
  <c r="Q473"/>
  <c r="P1288"/>
  <c r="P920"/>
  <c r="H1725"/>
  <c r="O1726"/>
  <c r="P1164"/>
  <c r="H382" l="1"/>
  <c r="O383"/>
  <c r="O454"/>
  <c r="H429"/>
  <c r="H708"/>
  <c r="H1372"/>
  <c r="O339"/>
  <c r="O292"/>
  <c r="O816"/>
  <c r="O1453"/>
  <c r="O373"/>
  <c r="H291"/>
  <c r="O271"/>
  <c r="Q1194"/>
  <c r="Q1717"/>
  <c r="O1725"/>
  <c r="P1287"/>
  <c r="Q1275"/>
  <c r="Q1725"/>
  <c r="O903"/>
  <c r="P1664"/>
  <c r="P684"/>
  <c r="Q1554"/>
  <c r="Q1811"/>
  <c r="Q383"/>
  <c r="Q1692"/>
  <c r="Q1709"/>
  <c r="P1194"/>
  <c r="Q1372"/>
  <c r="P1554"/>
  <c r="Q708"/>
  <c r="O1275"/>
  <c r="Q1237"/>
  <c r="P1735"/>
  <c r="P1429"/>
  <c r="O1709"/>
  <c r="Q1288"/>
  <c r="O1333"/>
  <c r="H1287"/>
  <c r="O1288"/>
  <c r="Q919"/>
  <c r="Q1479"/>
  <c r="Q1134"/>
  <c r="P1811"/>
  <c r="Q1418"/>
  <c r="O1692"/>
  <c r="H1664"/>
  <c r="O911"/>
  <c r="O1237"/>
  <c r="O1643"/>
  <c r="O78"/>
  <c r="H77"/>
  <c r="P721"/>
  <c r="P1453"/>
  <c r="O1418"/>
  <c r="P1120"/>
  <c r="H471"/>
  <c r="O472"/>
  <c r="Q1735"/>
  <c r="P1717"/>
  <c r="O1554"/>
  <c r="O684"/>
  <c r="P1466"/>
  <c r="P77"/>
  <c r="P471"/>
  <c r="H1194"/>
  <c r="P919"/>
  <c r="Q472"/>
  <c r="Q1120"/>
  <c r="H1119"/>
  <c r="O1120"/>
  <c r="O1134"/>
  <c r="H1734"/>
  <c r="O1735"/>
  <c r="O1811"/>
  <c r="Q291"/>
  <c r="P1651"/>
  <c r="P1360"/>
  <c r="P1322"/>
  <c r="O1479"/>
  <c r="H1465"/>
  <c r="Q684"/>
  <c r="H902"/>
  <c r="O919"/>
  <c r="P1248"/>
  <c r="Q1333"/>
  <c r="O721"/>
  <c r="Q77"/>
  <c r="O382" l="1"/>
  <c r="O708"/>
  <c r="O429"/>
  <c r="O1372"/>
  <c r="H1831"/>
  <c r="H1846" s="1"/>
  <c r="O291"/>
  <c r="O1734"/>
  <c r="O1194"/>
  <c r="O1664"/>
  <c r="Q382"/>
  <c r="Q1119"/>
  <c r="P1119"/>
  <c r="Q1465"/>
  <c r="O902"/>
  <c r="O1465"/>
  <c r="Q471"/>
  <c r="P1465"/>
  <c r="Q1734"/>
  <c r="O471"/>
  <c r="P708"/>
  <c r="Q902"/>
  <c r="O1287"/>
  <c r="Q1287"/>
  <c r="P1372"/>
  <c r="O1119"/>
  <c r="P902"/>
  <c r="O77"/>
  <c r="P1734"/>
  <c r="Q1664"/>
  <c r="O1831" l="1"/>
  <c r="Q1831"/>
  <c r="P1831"/>
  <c r="O1704" i="6" l="1"/>
  <c r="O1703"/>
  <c r="O1702" l="1"/>
  <c r="O1701" l="1"/>
  <c r="O1700" l="1"/>
</calcChain>
</file>

<file path=xl/sharedStrings.xml><?xml version="1.0" encoding="utf-8"?>
<sst xmlns="http://schemas.openxmlformats.org/spreadsheetml/2006/main" count="107416" uniqueCount="2439">
  <si>
    <t>РЗ</t>
  </si>
  <si>
    <t>ПР</t>
  </si>
  <si>
    <t>ЦСР</t>
  </si>
  <si>
    <t>ВР</t>
  </si>
  <si>
    <t>4</t>
  </si>
  <si>
    <t xml:space="preserve">Ставропольская городская Дума </t>
  </si>
  <si>
    <t>600</t>
  </si>
  <si>
    <t>00</t>
  </si>
  <si>
    <t>00 0 00 00000</t>
  </si>
  <si>
    <t>000</t>
  </si>
  <si>
    <t>Общегосударственные вопросы</t>
  </si>
  <si>
    <t>01</t>
  </si>
  <si>
    <t>Функционирование законодательных (представительных) органов государственной власти и представительных органов муниципальных образований</t>
  </si>
  <si>
    <t>03</t>
  </si>
  <si>
    <t>Обеспечение деятельности Ставропольской городской Думы</t>
  </si>
  <si>
    <t>70 0 00 00000</t>
  </si>
  <si>
    <t>Непрограммные расходы в рамках обеспечения деятельности Ставропольской городской Думы</t>
  </si>
  <si>
    <t>70 1 00 00000</t>
  </si>
  <si>
    <t>Расходы на обеспечение функций органов местного самоуправления города Ставрополя</t>
  </si>
  <si>
    <t>70 1 00 10010</t>
  </si>
  <si>
    <t>Расходы на выплаты персоналу государственных (муниципальных) органов</t>
  </si>
  <si>
    <t>120</t>
  </si>
  <si>
    <t>Иные выплаты персоналу государственных (муниципальных) органов, за исключением фонда оплаты труда</t>
  </si>
  <si>
    <t>122</t>
  </si>
  <si>
    <t>Иные выплаты, за исключением фонда оплаты труда государственных (муниципальных) органов, лицам, привлекаемым согласно законодательству для выполнения отдельных полномочий</t>
  </si>
  <si>
    <t>123</t>
  </si>
  <si>
    <t>Взносы по обязательному социальному страхованию на выплаты денежного содержания и иные выплаты работникам государственных (муниципальных) органов</t>
  </si>
  <si>
    <t>129</t>
  </si>
  <si>
    <t>Иные закупки товаров, работ и услуг для обеспечения государственных (муниципальных) нужд</t>
  </si>
  <si>
    <t>240</t>
  </si>
  <si>
    <t>Прочая закупка товаров, работ и услуг</t>
  </si>
  <si>
    <t>244</t>
  </si>
  <si>
    <t>Уплата налогов, сборов и иных платежей</t>
  </si>
  <si>
    <t>850</t>
  </si>
  <si>
    <t>Уплата налога на имущество организаций и земельного налога</t>
  </si>
  <si>
    <t>851</t>
  </si>
  <si>
    <t>Уплата прочих налогов, сборов</t>
  </si>
  <si>
    <t>852</t>
  </si>
  <si>
    <t>Расходы на выплаты по оплате труда работников органов местного самоуправления города Ставрополя</t>
  </si>
  <si>
    <t>70 1 00 10020</t>
  </si>
  <si>
    <t>Фонд оплаты труда государственных (муниципальных) органов</t>
  </si>
  <si>
    <t>121</t>
  </si>
  <si>
    <t>Председатель представительного органа муниципального образования</t>
  </si>
  <si>
    <t>70 2 00 00000</t>
  </si>
  <si>
    <t>70 2 00 10010</t>
  </si>
  <si>
    <t>70 2 00 10020</t>
  </si>
  <si>
    <t>Депутаты представительного органа муниципального образования</t>
  </si>
  <si>
    <t>70 3 00 00000</t>
  </si>
  <si>
    <t>70 3 00 10010</t>
  </si>
  <si>
    <t>70 3 00 10020</t>
  </si>
  <si>
    <t>Другие общегосударственные вопросы</t>
  </si>
  <si>
    <t>13</t>
  </si>
  <si>
    <t>Расходы, предусмотренные на иные цели</t>
  </si>
  <si>
    <t>70 4 00 00000</t>
  </si>
  <si>
    <t>Организация приема и обслуживание официальных лиц и делегаций городов стран дальнего и ближнего зарубежья, регионов Российской Федерации, представителей иностранных посольств и консульств и проведение официальных мероприятий (представительские расходы)</t>
  </si>
  <si>
    <t>70 4 00 20090</t>
  </si>
  <si>
    <t>Средства массовой информации</t>
  </si>
  <si>
    <t>12</t>
  </si>
  <si>
    <t>Телевидение и радиовещание</t>
  </si>
  <si>
    <t>Расходы на оказание информационных услуг средствами массовой информации</t>
  </si>
  <si>
    <t>70 4 00 98710</t>
  </si>
  <si>
    <t>Периодическая печать и издательства</t>
  </si>
  <si>
    <t>02</t>
  </si>
  <si>
    <t>Администрация города Ставрополя</t>
  </si>
  <si>
    <t>601</t>
  </si>
  <si>
    <t>Функционирование высшего должностного лица субъекта Российской Федерации и муниципального образования</t>
  </si>
  <si>
    <t>Обеспечение деятельности администрации города Ставрополя</t>
  </si>
  <si>
    <t>71 0 00 00000</t>
  </si>
  <si>
    <t>Глава муниципального образования</t>
  </si>
  <si>
    <t>71 2 00 00000</t>
  </si>
  <si>
    <t>71 2 00 10010</t>
  </si>
  <si>
    <t>71 2 00 10020</t>
  </si>
  <si>
    <t>Функционирование Правительства Российской Федерации, высших исполнительных органов государственной власти субъектов Российской Федерации, местных администраций</t>
  </si>
  <si>
    <t>04</t>
  </si>
  <si>
    <t>Непрограммные расходы в рамках обеспечения деятельности администрации города Ставрополя</t>
  </si>
  <si>
    <t>71 1 00 00000</t>
  </si>
  <si>
    <t>71 1 00 10010</t>
  </si>
  <si>
    <t>Уплата иных платежей</t>
  </si>
  <si>
    <t>853</t>
  </si>
  <si>
    <t>71 1 00 10020</t>
  </si>
  <si>
    <t>СК</t>
  </si>
  <si>
    <t>Расходы на осуществление переданных государственных полномочий Ставропольского края по формированию, содержанию и использованию Архивного фонда Ставропольского края</t>
  </si>
  <si>
    <t>71 1 00 76630</t>
  </si>
  <si>
    <t>Расходы на осуществление переданных государственных полномочий Ставропольского края по созданию административных комиссий</t>
  </si>
  <si>
    <t>71 1 00 76930</t>
  </si>
  <si>
    <t>Судебная система</t>
  </si>
  <si>
    <t>05</t>
  </si>
  <si>
    <t>Реализация иных функций Ставропольской городской Думы, администрации города Ставрополя, ее отраслевых (функциональных) и территориальных органов</t>
  </si>
  <si>
    <t>98 0 00 00000</t>
  </si>
  <si>
    <t>Иные непрограммные мероприятия</t>
  </si>
  <si>
    <t>98 1 00 00000</t>
  </si>
  <si>
    <t>ФБ</t>
  </si>
  <si>
    <t>Расходы на 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t>
  </si>
  <si>
    <t>98 1 00 51200</t>
  </si>
  <si>
    <t>Муниципальная программа «Экономическое развитие города Ставрополя»</t>
  </si>
  <si>
    <t>12 0 00 00000</t>
  </si>
  <si>
    <t>Подпрограмма «Создание благоприятных условий для экономического развития города Ставрополя»</t>
  </si>
  <si>
    <t>12 2 00 00000</t>
  </si>
  <si>
    <t>Основное мероприятие «Развитие международного, межрегионального и межмуниципального сотрудничества города Ставрополя»</t>
  </si>
  <si>
    <t>12 2 03 00000</t>
  </si>
  <si>
    <t>Обеспечение членства в международных, общероссийских и региональных объединениях муниципальных образований (оплата членских взносов)</t>
  </si>
  <si>
    <t>12 2 03 20040</t>
  </si>
  <si>
    <t>12 2 03 20090</t>
  </si>
  <si>
    <t>Муниципальная программа «Развитие муниципальной службы и противодействие коррупции в городе Ставрополе»</t>
  </si>
  <si>
    <t>13 0 00 00000</t>
  </si>
  <si>
    <t>Подпрограмма «Противодействие коррупции в сфере деятельности администрации города Ставрополя и ее органах»</t>
  </si>
  <si>
    <t>13 2 00 00000</t>
  </si>
  <si>
    <t>Основное мероприятие «Профилактика коррупции, антикоррупционное просвещение и пропаганда»</t>
  </si>
  <si>
    <t>13 2 01 00000</t>
  </si>
  <si>
    <t>Расходы на реализацию мероприятий, направленных на противодействие коррупции в сфере деятельности администрации города Ставрополя и ее органов</t>
  </si>
  <si>
    <t>13 2 01 20620</t>
  </si>
  <si>
    <t>Муниципальная программа «Развитие информационного общества, оптимизация и повышение качества предоставления государственных и муниципальных услуг в городе Ставрополе»</t>
  </si>
  <si>
    <t>14 0 00 00000</t>
  </si>
  <si>
    <t>Подпрограмма «Развитие информационного общества в городе Ставрополе»</t>
  </si>
  <si>
    <t>14 1 00 00000</t>
  </si>
  <si>
    <t>Основное мероприятие «Развитие и обеспечение функционирования инфраструктуры информационного общества в городе Ставрополе»</t>
  </si>
  <si>
    <t>14 1 01 00000</t>
  </si>
  <si>
    <t>Расходы на развитие и обеспечение функционирования информационного общества в городе Ставрополе</t>
  </si>
  <si>
    <t>14 1 01 20630</t>
  </si>
  <si>
    <t>Основное мероприятие «Развитие и обеспечение функционирования межведомственного электронного взаимодействия и муниципальных информационных систем»</t>
  </si>
  <si>
    <t>14 1 02 00000</t>
  </si>
  <si>
    <t>14 1 02 20630</t>
  </si>
  <si>
    <t>Подпрограмма «Оптимизация и повышение качества предоставления государственных и муниципальных услуг в городе Ставрополе»</t>
  </si>
  <si>
    <t>14 2 00 00000</t>
  </si>
  <si>
    <t>Основное мероприятие «Организация и предоставление муниципальных услуг в городе Ставрополе в электронном виде»</t>
  </si>
  <si>
    <t>14 2 01 00000</t>
  </si>
  <si>
    <t>Расходы на реализацию мероприятий, направленных на оптимизацию и повышение качества предоставления государственных и муниципальных услуг в городе Ставрополе</t>
  </si>
  <si>
    <t>14 2 01 20710</t>
  </si>
  <si>
    <t>Основное мероприятие «Проведение мониторинга удовлетворенности населения качеством и доступностью государственных и муниципальных услуг, предоставляемых органами местного самоуправления города Ставрополя»</t>
  </si>
  <si>
    <t>14 2 02 00000</t>
  </si>
  <si>
    <t>14 2 02 20710</t>
  </si>
  <si>
    <t>Основное мероприятие «Организация, проведение и участие в семинарах, круглых столах и конференциях по вопросам оптимизации и повышения качества предоставления государственных и муниципальных услуг в городе Ставрополе»</t>
  </si>
  <si>
    <t>14 2 03 00000</t>
  </si>
  <si>
    <t>14 2 03 20710</t>
  </si>
  <si>
    <t>Основное мероприятие «Обеспечение деятельности многофункционального центра предоставления государственных и муниципальных услуг в городе Ставрополе»</t>
  </si>
  <si>
    <t>14 2 04 00000</t>
  </si>
  <si>
    <t>Расходы на обеспечение деятельности (оказание услуг) муниципальных учреждений</t>
  </si>
  <si>
    <t>14 2 04 11010</t>
  </si>
  <si>
    <t>Расходы на выплаты персоналу казенных учреждений</t>
  </si>
  <si>
    <t>110</t>
  </si>
  <si>
    <t>Фонд оплаты труда учреждений</t>
  </si>
  <si>
    <t>111</t>
  </si>
  <si>
    <t>Иные выплаты персоналу учреждений, за исключением фонда оплаты труда</t>
  </si>
  <si>
    <t>112</t>
  </si>
  <si>
    <t>Иные выплаты, за исключением фонда оплаты труда учреждений, лицам, привлекаемым согласно законодательству для выполнения отдельных полномочий</t>
  </si>
  <si>
    <t>119</t>
  </si>
  <si>
    <t>Муниципальная программа «Обеспечение безопасности, общественного порядка и профилактика правонарушений в городе Ставрополе»</t>
  </si>
  <si>
    <t>15 0 00 00000</t>
  </si>
  <si>
    <t>Подпрограмма «Безопасный Ставрополь»</t>
  </si>
  <si>
    <t>15 1 00 00000</t>
  </si>
  <si>
    <t>Основное мероприятие «Осуществление мер, направленных на профилактику терроризма и его идеологии, профилактику экстремизма, укрепление межнационального согласия, профилактику межнациональных (межэтнических) конфликтов»</t>
  </si>
  <si>
    <t>15 1 01 00000</t>
  </si>
  <si>
    <t>Расходы на реализацию мероприятий, направленных на повышение уровня безопасности жизнедеятельности города Ставрополя</t>
  </si>
  <si>
    <t>15 1 01 20350</t>
  </si>
  <si>
    <t xml:space="preserve">Подпрограмма «НЕзависимость» </t>
  </si>
  <si>
    <t>15 2 00 00000</t>
  </si>
  <si>
    <t>Основное мероприятие «Мониторинг наркоситуации в городе Ставрополе на основе социологических исследований и статистических данных»</t>
  </si>
  <si>
    <t>15 2 01 00000</t>
  </si>
  <si>
    <t>Расходы на реализацию мероприятий по профилактике незаконного потребления наркотических средств и психотропных веществ, наркомании и снижение их потребления среди подростков и молодежи города Ставрополя</t>
  </si>
  <si>
    <t>15 2 01 20370</t>
  </si>
  <si>
    <t>Основное мероприятие «Профилактика зависимости от наркотических и других психоактивных веществ среди детей и молодежи»</t>
  </si>
  <si>
    <t>15 2 02 00000</t>
  </si>
  <si>
    <t>15 2 02 20370</t>
  </si>
  <si>
    <t>Премии и гранты</t>
  </si>
  <si>
    <t>350</t>
  </si>
  <si>
    <t>Основное мероприятие «Профилактика зависимого (аддиктивного) поведения и пропаганда здорового образа жизни»</t>
  </si>
  <si>
    <t>15 2 03 00000</t>
  </si>
  <si>
    <t>15 2 03 20370</t>
  </si>
  <si>
    <t xml:space="preserve">Подпрограмма «Профилактика правонарушений в городе Ставрополе» </t>
  </si>
  <si>
    <t>15 3 00 00000</t>
  </si>
  <si>
    <t>Основное мероприятие «Организация материально-технического обеспечения деятельности народной дружины города Ставрополя»</t>
  </si>
  <si>
    <t>15 3 03 00000</t>
  </si>
  <si>
    <t>Расходы на организацию материально-технического обеспечения деятельности народной дружины города Ставрополя, в том числе материальное стимулирование ее членов</t>
  </si>
  <si>
    <t>15 3 03 20100</t>
  </si>
  <si>
    <t>Муниципальная программа «Развитие казачества в городе Ставрополе»</t>
  </si>
  <si>
    <t>18 0 00 00000</t>
  </si>
  <si>
    <t>Расходы в рамках реализации муниципальной программы «Развитие казачества в городе Ставрополе»</t>
  </si>
  <si>
    <t>18 Б 00 00000</t>
  </si>
  <si>
    <t>Основное мероприятие «Создание условий для развития казачества, привлечения членов казачьих обществ к несению службы по охране общественного порядка на территории города Ставрополя»</t>
  </si>
  <si>
    <t>18 Б 01 00000</t>
  </si>
  <si>
    <t>Предоставление субсидии казачьим обществам, внесенным в государственный реестр казачьих обществ в Российской Федерации и взявшим на себя обязательства по несению службы в целях обеспечения охраны общественного порядка на территории города Ставрополя, на финансирование расходов, связанных с организацией деятельности народных дружин из числа членов казачьих обществ</t>
  </si>
  <si>
    <t>18 Б 01 60080</t>
  </si>
  <si>
    <t>Субсидии некоммерческим организациям (за исключением государственных (муниципальных) учреждений)</t>
  </si>
  <si>
    <t>630</t>
  </si>
  <si>
    <t>Субсидии на возмещение недополученных доходов
и (или) возмещение фактически понесенных затрат
в связи с производством (реализацией) товаров,
выполнением работ, оказанием услуг</t>
  </si>
  <si>
    <t>631</t>
  </si>
  <si>
    <t>71 1 00 11010</t>
  </si>
  <si>
    <t>Расходы на выплаты на основании исполнительных листов судебных органов</t>
  </si>
  <si>
    <t>71 1 00 20050</t>
  </si>
  <si>
    <t>Исполнение судебных актов</t>
  </si>
  <si>
    <t>830</t>
  </si>
  <si>
    <t>Исполнение судебных актов Российской Федерации и мировых соглашений по возмещению причиненного вреда</t>
  </si>
  <si>
    <t>831</t>
  </si>
  <si>
    <t>Возмещение расходов, связанных с материальным обеспечением деятельности депутатов Думы Ставропольского края и их помощников в Ставропольском крае</t>
  </si>
  <si>
    <t>98 1 00 76610</t>
  </si>
  <si>
    <t>Национальная экономика</t>
  </si>
  <si>
    <t xml:space="preserve">Другие вопросы в области национальной экономики </t>
  </si>
  <si>
    <t>Подпрограмма «Развитие малого и среднего предпринимательства в городе Ставрополе»</t>
  </si>
  <si>
    <t>12 1 00 00000</t>
  </si>
  <si>
    <t>Основное мероприятие «Финансовая поддержка субъектов малого и среднего предпринимательства в городе Ставрополе»</t>
  </si>
  <si>
    <t>12 1 01 00000</t>
  </si>
  <si>
    <t>Предоставление субсидий субъектам малого и среднего предпринимательства, осуществляющим деятельность на территории города Ставрополя</t>
  </si>
  <si>
    <t>12 1 01 60130</t>
  </si>
  <si>
    <t>Субсидии юридическим лицам (кроме некоммерческих организаций), индивидуальным предпринимателям, физическим лицам - производителям товаров, работ, услуг</t>
  </si>
  <si>
    <t>810</t>
  </si>
  <si>
    <t>Субсидии на возмещение недополученных доходов и (или) возмещение фактически понесенных затрат в связи с производством (реализацией) товаров, выполнением работ, оказанием услуг</t>
  </si>
  <si>
    <t>811</t>
  </si>
  <si>
    <t>Субсидии (гранты в форме субсидий) на финансовое обеспечение затрат в связи с производством (реализацией товаров), выполнением работ, оказанием услуг, порядком (правилами) предоставления которых установлено требование о последующем подтверждении их использования в соответствии с условиями и (или) целями предоставления</t>
  </si>
  <si>
    <t>812</t>
  </si>
  <si>
    <t>Основное мероприятие «Развитие и обеспечение деятельности инфраструктуры поддержки субъектов малого и среднего предпринимательства в городе Ставрополе»</t>
  </si>
  <si>
    <t>12 1 02 00000</t>
  </si>
  <si>
    <t>Расходы на реализацию мероприятий, направленных на развитие малого и среднего предпринимательства на территории города Ставрополя</t>
  </si>
  <si>
    <t>12 1 02 20480</t>
  </si>
  <si>
    <t>Иные субсидии некоммерческим организациям
(за исключением государственных (муниципальных) учреждений)</t>
  </si>
  <si>
    <t>634</t>
  </si>
  <si>
    <t>Основное мероприятие «Обеспечение благоприятных условий для развития малого и среднего предпринимательства на территории города Ставрополя»</t>
  </si>
  <si>
    <t>12 1 03 00000</t>
  </si>
  <si>
    <t>12 1 03 20480</t>
  </si>
  <si>
    <t>Основное мероприятие «Создание благоприятных условий для развития инвестиционной деятельности»</t>
  </si>
  <si>
    <t>12 2 01 00000</t>
  </si>
  <si>
    <t>Расходы на информирование об инвестиционных возможностях города Ставрополя</t>
  </si>
  <si>
    <t>12 2 01 20650</t>
  </si>
  <si>
    <t>Основное мероприятие «Создание условий для развития туризма на территории города Ставрополя»</t>
  </si>
  <si>
    <t>12 2 02 00000</t>
  </si>
  <si>
    <t>Расходы на повышение туристической привлекательности города Ставрополя, развитие внутреннего и въездного туризма в городе Ставрополе</t>
  </si>
  <si>
    <t>12 2 02 20640</t>
  </si>
  <si>
    <t>Субсидии (гранты в форме субсидий) на финансовое обеспечение затрат в связи с производством (реализацией) товаров, выполнением работ, оказанием услуг, порядком (правилами) предоставления которых не установлены требования о последующем подтверждении их использования в соответствии с условиями и (или) целями предоставления</t>
  </si>
  <si>
    <t>813</t>
  </si>
  <si>
    <t>Образование</t>
  </si>
  <si>
    <t>07</t>
  </si>
  <si>
    <t>Профессиональная подготовка, переподготовка и повышение квалификации</t>
  </si>
  <si>
    <t xml:space="preserve">Подпрограмма «Развитие муниципальной службы в городе Ставрополе» </t>
  </si>
  <si>
    <t>13 1 00 00000</t>
  </si>
  <si>
    <t>Основное мероприятие «Создание условий для профессионального развития и подготовки кадров в органах местного самоуправления города Ставрополя»</t>
  </si>
  <si>
    <t>13 1 01 00000</t>
  </si>
  <si>
    <t>Расходы на реализацию мероприятий, направленных на повышение профессионального уровня муниципальных служащих</t>
  </si>
  <si>
    <t>13 1 01 20450</t>
  </si>
  <si>
    <t xml:space="preserve">Культура, кинематография </t>
  </si>
  <si>
    <t>08</t>
  </si>
  <si>
    <t>Культура</t>
  </si>
  <si>
    <t>Муниципальная программа «Культура города Ставрополя»</t>
  </si>
  <si>
    <t>07 0 00 00000</t>
  </si>
  <si>
    <t xml:space="preserve">Подпрограмма «Проведение городских и краевых культурно-массовых мероприятий, посвященных памятным, знаменательным и юбилейным датам в истории России, Ставропольского края, города Ставрополя» </t>
  </si>
  <si>
    <t>07 1 00 00000</t>
  </si>
  <si>
    <t>Основное мероприятие «Обеспечение доступности к культурным ценностям и права на участие в культурной жизни для всех групп населения города Ставрополя, популяризация объектов культурного наследия города Ставрополя, формирование имиджа города Ставрополя как культурного центра Ставропольского края»</t>
  </si>
  <si>
    <t>07 1 01 00000</t>
  </si>
  <si>
    <t>Расходы на проведение культурно-массовых мероприятий в городе Ставрополе</t>
  </si>
  <si>
    <t>07 1 01 20060</t>
  </si>
  <si>
    <t>Основное мероприятие «Информирование населения города Ставрополя о деятельности администрации города Ставрополя через средства массовой информации»</t>
  </si>
  <si>
    <t>14 1 03 00000</t>
  </si>
  <si>
    <t>14 1 03 98710</t>
  </si>
  <si>
    <t>Основное мероприятие «Официальное опубликование муниципальных правовых актов города Ставрополя в газете «Вечерний Ставрополь»</t>
  </si>
  <si>
    <t>14 1 04 00000</t>
  </si>
  <si>
    <t>Расходы на официальное опубликование муниципальных правовых актов города Ставрополя в газете «Вечерний Ставрополь»</t>
  </si>
  <si>
    <t>14 1 04 98720</t>
  </si>
  <si>
    <t>Комитет по управлению муниципальным имуществом города Ставрополя</t>
  </si>
  <si>
    <t>602</t>
  </si>
  <si>
    <t>Муниципальная программа  «Управление и распоряжение имуществом, находящимся в муниципальной собственности города Ставрополя, в том числе земельными ресурсами»</t>
  </si>
  <si>
    <t>11 0 00 00000</t>
  </si>
  <si>
    <t>Расходы в рамках реализации муниципальной программы «Управление и распоряжение  имуществом, находящимся в муниципальной собственности города Ставрополя, в том числе земельными ресурсами»</t>
  </si>
  <si>
    <t>11 Б 00 00000</t>
  </si>
  <si>
    <t>Основное мероприятие «Управление и распоряжение объектами недвижимого имущества, находящимися в муниципальной собственности города Ставрополя»</t>
  </si>
  <si>
    <t>11 Б 01 00000</t>
  </si>
  <si>
    <t>Расходы на получение рыночной оценки стоимости недвижимого имущества, находящегося в муниципальной собственности города Ставрополя, и подготовку технической документации на объекты недвижимого имущества</t>
  </si>
  <si>
    <t>11 Б 01 20030</t>
  </si>
  <si>
    <t xml:space="preserve">Расходы на содержание объектов муниципальной казны города Ставрополя в части нежилых помещений </t>
  </si>
  <si>
    <t>11 Б 01 20070</t>
  </si>
  <si>
    <t>Расходы на уплату взносов на капитальный ремонт общего имущества в многоквартирных домах</t>
  </si>
  <si>
    <t>11 Б 01 21120</t>
  </si>
  <si>
    <t>Основное мероприятие «Создание условий для эффективного выполнения полномочий по управлению и распоряжению имуществом, находящимся в муниципальной собственности города Ставрополя, в том числе земельными ресурсами»</t>
  </si>
  <si>
    <t>11 Б 03 00000</t>
  </si>
  <si>
    <t>Расходы на создание условий для эффективного выполнения полномочий по управлению и распоряжению муниципальной собственностью города Ставрополя в области имущественных и земельных отношений</t>
  </si>
  <si>
    <t>11 Б 03 20340</t>
  </si>
  <si>
    <t>Основное мероприятие «Создание условий для обеспечения безопасности граждан в местах массового пребывания людей на территории города Ставрополя»</t>
  </si>
  <si>
    <t>15 1 02 00000</t>
  </si>
  <si>
    <t>15 1 02 20350</t>
  </si>
  <si>
    <t>Обеспечения деятельности комитета по управлению муниципальным имуществом города Ставрополя</t>
  </si>
  <si>
    <t>72 0 00 00000</t>
  </si>
  <si>
    <t>Непрограммные расходы в рамках обеспечения деятельности комитета по управлению муниципальным имуществом города Ставрополя</t>
  </si>
  <si>
    <t>72 1 00 00000</t>
  </si>
  <si>
    <t>72 1 00 10010</t>
  </si>
  <si>
    <t>72 1 00 10020</t>
  </si>
  <si>
    <t>Иные вопросы, связанные с общегосударственным управлением</t>
  </si>
  <si>
    <t>98 1 00 21350</t>
  </si>
  <si>
    <t>Другие вопросы в области национальной экономики</t>
  </si>
  <si>
    <t>Муниципальная программа «Поддержка садоводческих, огороднических и дачных некоммерческих объединений граждан, расположенных на территории города Ставрополя»</t>
  </si>
  <si>
    <t>02 0 00 00000</t>
  </si>
  <si>
    <t>Расходы в рамках реализации муниципальной программы «Поддержка садоводческих, огороднических и дачных некоммерческих объединений граждан, расположенных на территории города Ставрополя»</t>
  </si>
  <si>
    <t>02 Б 00 00000</t>
  </si>
  <si>
    <t>Основное мероприятие «Благоустройство  и инженерное обеспечение территорий садоводческих, огороднических и дачных некоммерческих объединений граждан, расположенных на территории города Ставрополя»</t>
  </si>
  <si>
    <t>02 Б 01 00000</t>
  </si>
  <si>
    <t>Расходы на проведение землеустройства (кадастровых работ) по формированию территорий общего пользования садоводческих, огороднических и дачных некоммерческих объединений граждан, расположенных на территории города Ставрополя</t>
  </si>
  <si>
    <t>02 Б 01 20160</t>
  </si>
  <si>
    <t>Муниципальная программа «Развитие жилищно-коммунального хозяйства, транспортной системы на территории города Ставрополя, благоустройство территории города Ставрополя»</t>
  </si>
  <si>
    <t>04 0 00 00000</t>
  </si>
  <si>
    <t xml:space="preserve">Подпрограмма «Дорожная деятельность и обеспечение безопасности дорожного движения, организация транспортного обслуживания населения на территории города Ставрополя» </t>
  </si>
  <si>
    <t>04 2 00 00000</t>
  </si>
  <si>
    <t>Основное мероприятие «Организация дорожной деятельности в отношении автомобильных дорог общего пользования местного значения в границах города Ставрополя»</t>
  </si>
  <si>
    <t>04 2 02 00000</t>
  </si>
  <si>
    <t>Расходы на приобретение коммунальной техники</t>
  </si>
  <si>
    <t>04 2 02 21470</t>
  </si>
  <si>
    <t>Основное мероприятие «Управление и распоряжение земельными участками, расположенными на территории города Ставрополя»</t>
  </si>
  <si>
    <t>11 Б 02 00000</t>
  </si>
  <si>
    <t>Расходы на проведение кадастровых работ, необходимых для постановки на государственный кадастровый учет земельных участков, расположенных на территории города Ставрополя</t>
  </si>
  <si>
    <t>11 Б 02 20180</t>
  </si>
  <si>
    <t>Жилищно-коммунальное хозяйство</t>
  </si>
  <si>
    <t>Благоустройство</t>
  </si>
  <si>
    <t>Подпрограмма «Формирование современной городской среды на территории города Ставрополя»</t>
  </si>
  <si>
    <t>04 3 00 00000</t>
  </si>
  <si>
    <t>Основное мероприятие «Благоустройство территории города Ставрополя»</t>
  </si>
  <si>
    <t>04 3 04 00000</t>
  </si>
  <si>
    <t>Расходы на приобретение коммунальной техники, райдеров и прицепов тракторных</t>
  </si>
  <si>
    <t>04 3 04 21510</t>
  </si>
  <si>
    <t>Другие вопросы в области жилищно-коммунального хозяйства</t>
  </si>
  <si>
    <t>Снос многоквартирных домов в городе Ставрополе, признанных аварийными и подлежащими сносу (в том числе проектно-сметная документация)</t>
  </si>
  <si>
    <t>98 1 00 20950</t>
  </si>
  <si>
    <t>Социальная политика</t>
  </si>
  <si>
    <t>10</t>
  </si>
  <si>
    <t>Социальное обеспечение населения</t>
  </si>
  <si>
    <t>Муниципальная программа «Обеспечение жильем молодых семей в городе Ставрополе»</t>
  </si>
  <si>
    <t>06 0 00 00000</t>
  </si>
  <si>
    <t xml:space="preserve">Расходы в рамках реализации муниципальной программы «Обеспечение жильем молодых семей в городе Ставрополе»  </t>
  </si>
  <si>
    <t>06 Б 00 00000</t>
  </si>
  <si>
    <t>Основное мероприятие «Предоставление молодым семьям социальных выплат»</t>
  </si>
  <si>
    <t>06 Б 01 00000</t>
  </si>
  <si>
    <t>Предоставление молодым семьям социальных выплат на приобретение (строительство) жилья</t>
  </si>
  <si>
    <t>06 Б 01 L0200</t>
  </si>
  <si>
    <t>Социальные выплаты гражданам, кроме публичных нормативных социальных выплат</t>
  </si>
  <si>
    <t>320</t>
  </si>
  <si>
    <t>Субсидии гражданам на приобретение жилья</t>
  </si>
  <si>
    <t>322</t>
  </si>
  <si>
    <t>Комитет финансов и бюджета администрации города Ставрополя</t>
  </si>
  <si>
    <t>604</t>
  </si>
  <si>
    <t>Обеспечение деятельности финансовых, налоговых и таможенных органов и органов финансового (финансово-бюджетного) надзора</t>
  </si>
  <si>
    <t>06</t>
  </si>
  <si>
    <t>Обеспечение деятельности комитета финансов и бюджета администрации города Ставрополя</t>
  </si>
  <si>
    <t>73 0 00 00000</t>
  </si>
  <si>
    <t>Непрограммные расходы в рамках обеспечения деятельности комитета финансов и бюджета администрации города Ставрополя</t>
  </si>
  <si>
    <t>73 1 00 00000</t>
  </si>
  <si>
    <t>73 1 00 10010</t>
  </si>
  <si>
    <t>73 1 00 10020</t>
  </si>
  <si>
    <t>Резервный фонд</t>
  </si>
  <si>
    <t>11</t>
  </si>
  <si>
    <t xml:space="preserve">000 </t>
  </si>
  <si>
    <t>Резервный фонд администрации города Ставрополя</t>
  </si>
  <si>
    <t>98 1 00 20020</t>
  </si>
  <si>
    <t>Резервные средства</t>
  </si>
  <si>
    <t>870</t>
  </si>
  <si>
    <t>Муниципальная программа «Управление муниципальными финансами и муниципальным долгом города Ставрополя»</t>
  </si>
  <si>
    <t>10 0 00 00000</t>
  </si>
  <si>
    <t>Расходы в рамках реализации муниципальной программы «Управление муниципальными финансами и муниципальным долгом города Ставрополя»</t>
  </si>
  <si>
    <t>10 Б 00 00000</t>
  </si>
  <si>
    <t>Основное мероприятие «Резервирование средств на выплаты на основании исполнительных листов судебных органов по искам к муниципальному образованию городу Ставрополю Ставропольского края»</t>
  </si>
  <si>
    <t>10 Б 01 00000</t>
  </si>
  <si>
    <t>10 Б 01 20050</t>
  </si>
  <si>
    <t>Поощрение муниципального служащего в связи с выходом на страховую пенсию по старости (инвалидности)</t>
  </si>
  <si>
    <t>98 1 00 10050</t>
  </si>
  <si>
    <t>Специальные расходы</t>
  </si>
  <si>
    <t>880</t>
  </si>
  <si>
    <t>Расходы на обеспечение выплаты работникам организаций минимального размера оплаты труда, установленного законодательством Российской Федерации</t>
  </si>
  <si>
    <t>98 1 00 21440</t>
  </si>
  <si>
    <t>Реализация проектов развития территорий муниципальных образований, основанных на местных инициативах, за счет средств местного бюджета</t>
  </si>
  <si>
    <t>98 1 00 S6420</t>
  </si>
  <si>
    <t>Обслуживание государственного и муниципального долга</t>
  </si>
  <si>
    <t>Обслуживание государственного внутреннего и муниципального долга</t>
  </si>
  <si>
    <t>Основное мероприятие «Своевременное исполнение обязательств по обслуживанию и погашению муниципального долга города Ставрополя, принятие мер по его реструктуризации»</t>
  </si>
  <si>
    <t>10 Б 02 00000</t>
  </si>
  <si>
    <t>Обслуживание муниципального долга города Ставрополя</t>
  </si>
  <si>
    <t>10 Б 02 20010</t>
  </si>
  <si>
    <t>Обслуживание муниципального долга</t>
  </si>
  <si>
    <t>730</t>
  </si>
  <si>
    <t>Комитет муниципального заказа и торговли администрации города Ставрополя</t>
  </si>
  <si>
    <t>605</t>
  </si>
  <si>
    <t>Подпрограмма «Профилактика правонарушений в городе Ставрополе»</t>
  </si>
  <si>
    <t>Основное мероприятие «Профилактика правонарушений несовершеннолетних»</t>
  </si>
  <si>
    <t>15 3 01 00000</t>
  </si>
  <si>
    <t>Расходы на реализацию мероприятий, направленных на профилактику правонарушений в городе Ставрополе</t>
  </si>
  <si>
    <t>15 3 01 20660</t>
  </si>
  <si>
    <t>Обеспечение деятельности комитета муниципального заказа и торговли администрации города Ставрополя</t>
  </si>
  <si>
    <t>74 0 00 00000</t>
  </si>
  <si>
    <t>Непрограммные расходы в рамках обеспечения деятельности комитета муниципального заказа и торговли администрации города Ставрополя</t>
  </si>
  <si>
    <t>74 1 00 00000</t>
  </si>
  <si>
    <t>74 1 00 10010</t>
  </si>
  <si>
    <t>74 1 00 10020</t>
  </si>
  <si>
    <t>Подпрограмма «Проведение городских и краевых культурно-массовых мероприятий, посвященных памятным, знаменательным и юбилейным датам в истории России, Ставропольского края, города Ставрополя»</t>
  </si>
  <si>
    <t>Муниципальная программа «Социальная поддержка населения города Ставрополя»</t>
  </si>
  <si>
    <t>03 0 00 00000</t>
  </si>
  <si>
    <t>Подпрограмма «Дополнительные меры социальной поддержки для отдельных категорий граждан, поддержка социально ориентированных некоммерческих организаций»</t>
  </si>
  <si>
    <t>03 2 00 00000</t>
  </si>
  <si>
    <t>Основное мероприятие «Предоставление льгот на бытовые услуги по помывке в общем отделении бань отдельным категориям граждан»</t>
  </si>
  <si>
    <t>03 2 02 00000</t>
  </si>
  <si>
    <t>Предоставление льгот на бытовые услуги по помывке в общем отделении бань отдельным категориям граждан</t>
  </si>
  <si>
    <t>03 2 02 80240</t>
  </si>
  <si>
    <t>Комитет образования администрации города Ставрополя</t>
  </si>
  <si>
    <t>606</t>
  </si>
  <si>
    <t>Дошкольное образование</t>
  </si>
  <si>
    <t>Муниципальная программа «Развитие образования в городе Ставрополе»</t>
  </si>
  <si>
    <t>01 0 00 00000</t>
  </si>
  <si>
    <t>Подпрограмма «Организация дошкольного, общего и дополнительного образования»</t>
  </si>
  <si>
    <t>01 1 00 00000</t>
  </si>
  <si>
    <t>Основное мероприятие «Организация предоставления общедоступного и бесплатного дошкольного образования»</t>
  </si>
  <si>
    <t>01 1 01 00000</t>
  </si>
  <si>
    <t>01 1 01 11010</t>
  </si>
  <si>
    <t>Субсидии бюджетным учреждениям</t>
  </si>
  <si>
    <t>610</t>
  </si>
  <si>
    <t>Субсидии бюджетным учреждениям на финансовое обеспечение государственного (муниципального) задания на оказание государственных (муниципальных) услуг (выполнение работ)</t>
  </si>
  <si>
    <t>611</t>
  </si>
  <si>
    <t>Субсидии бюджетным учреждениям на иные цели</t>
  </si>
  <si>
    <t>612</t>
  </si>
  <si>
    <t>Субсидии автономным учреждениям</t>
  </si>
  <si>
    <t>620</t>
  </si>
  <si>
    <t>Субсидии автономным учреждениям на финансовое обеспечение государственного (муниципального) задания на оказание государственных (муниципальных) услуг (выполнение работ)</t>
  </si>
  <si>
    <t>621</t>
  </si>
  <si>
    <t>Расходы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и общеобразовательных организациях и на финансовое обеспечение получения дошкольного образования в частных дошкольных и частных общеобразовательных организациях</t>
  </si>
  <si>
    <t>01 1 01 77170</t>
  </si>
  <si>
    <t>Субсидии (гранты в форме субсидий) на финансовое обеспечение затрат в связи с производством (реализацией) товаров, выполнением работ, оказанием услуг, порядком (правилами) предоставления которых установлено требование о последующем подтверждении их использования в соответствии с условиями и (или) целями предоставления</t>
  </si>
  <si>
    <t>632</t>
  </si>
  <si>
    <t>Основное мероприятие «Модернизация образовательных организаций, совершенствование материально-технической базы, проведение ремонтных работ, создание условий для повышения качества образовательного процесса»</t>
  </si>
  <si>
    <t>01 1 06 00000</t>
  </si>
  <si>
    <t>01 1 06 11010</t>
  </si>
  <si>
    <t>Муниципальная программа «Обеспечение гражданской обороны, пожарной безопасности, безопасности людей на водных объектах, организация деятельности аварийно-спасательных служб, защита населения и территории города Ставрополя от чрезвычайных ситуаций»</t>
  </si>
  <si>
    <t>16 0 00 00000</t>
  </si>
  <si>
    <t>Подпрограмма «Обеспечение пожарной безопасности в границах города Ставрополя»</t>
  </si>
  <si>
    <t>16 2 00 00000</t>
  </si>
  <si>
    <t>Основное мероприятие «Выполнение противопожарных мероприятий в муниципальных учреждениях города Ставрополя»</t>
  </si>
  <si>
    <t>16 2 02 00000</t>
  </si>
  <si>
    <t>Обеспечение пожарной безопасности в муниципальных учреждениях образования, культуры, физической культуры и спорта города Ставрополя</t>
  </si>
  <si>
    <t>16 2 02 20550</t>
  </si>
  <si>
    <t>Субсидии автономным учреждениям на иные цели</t>
  </si>
  <si>
    <t>622</t>
  </si>
  <si>
    <t>Муниципальная программа «Энергосбережение и повышение энергетической эффективности в городе Ставрополе»</t>
  </si>
  <si>
    <t>17 0 00 00000</t>
  </si>
  <si>
    <t>Расходы в рамках реализации муниципальной программы «Энергосбережение и повышение энергетической эффективности в городе Ставрополе»</t>
  </si>
  <si>
    <t>17 Б 00 00000</t>
  </si>
  <si>
    <t>Основное мероприятие «Энергосбережение и энергоэффективность в бюджетном секторе»</t>
  </si>
  <si>
    <t>17 Б 01 00000</t>
  </si>
  <si>
    <t>Расходы на проведение мероприятий по энергосбережению и повышению энергетической эффективности</t>
  </si>
  <si>
    <t>17 Б 01 20490</t>
  </si>
  <si>
    <t>Общее образование</t>
  </si>
  <si>
    <t>Основное мероприятие «Организация предоставления общедоступного и бесплатного общего образования и организация предоставления дополнительного образования детей»</t>
  </si>
  <si>
    <t>01 1 02 00000</t>
  </si>
  <si>
    <t>01 1 02 11010</t>
  </si>
  <si>
    <t>Расходы на обеспечение государственных гарантий реализации прав на получение общедоступного и бесплатного начального общего, основного общего, среднего общего образования в муниципальных общеобразовательных организациях, а также обеспечение дополнительного образования детей в муниципальных общеобразовательных организациях и на финансовое обеспечение получения начального общего, основного общего, среднего общего образования в частных общеобразовательных организациях</t>
  </si>
  <si>
    <t>01 1 02 77160</t>
  </si>
  <si>
    <t>Подпрограмма «Расширение и усовершенствование сети муниципальных дошкольных и общеобразовательных учреждений»</t>
  </si>
  <si>
    <t>01 2 00 00000</t>
  </si>
  <si>
    <t>Основное мероприятие «Строительство и реконструкция зданий муниципальных дошкольных и общеобразовательных учреждений на территории города Ставрополя»</t>
  </si>
  <si>
    <t>01 2 01 00000</t>
  </si>
  <si>
    <t>Строительство (реконструкция, техническое перевооружение) объектов капитального строительства муниципальной собственности города Ставрополя</t>
  </si>
  <si>
    <t>01 2 01 40010</t>
  </si>
  <si>
    <t>Субсидии бюджетным и автономным учреждениям, государственным (муниципальным) унитарным предприятиям на осуществление капитальных вложений в объекты
капитального строительства государственной
(муниципальной) собственности или приобретение объектов недвижимого имущества в государственную (муниципальную) собственность</t>
  </si>
  <si>
    <t>460</t>
  </si>
  <si>
    <t>Субсидии на осуществление капитальных вложений в объекты капитального строительства государственной (муниципальной) собственности автономным учреждениям</t>
  </si>
  <si>
    <t>465</t>
  </si>
  <si>
    <t>Основное мероприятие «Развитие духовно-культурных основ казачества, использование в образовательном процессе культурно-исторических традиций казачества, военно-патриотического воспитания казачьей молодежи в городе Ставрополе»</t>
  </si>
  <si>
    <t>18 Б 02 00000</t>
  </si>
  <si>
    <t xml:space="preserve">Расходы на реализацию мероприятий, направленных на создание условий для развития казачества на территории города Ставрополя </t>
  </si>
  <si>
    <t>18 Б 02 20360</t>
  </si>
  <si>
    <t>Дополнительное образование детей</t>
  </si>
  <si>
    <t>Основное мероприятие «Организация предоставления дополнительного образования детей в муниципальных образовательных учреждениях»</t>
  </si>
  <si>
    <t>01 1 03 00000</t>
  </si>
  <si>
    <t>01 1 03 11010</t>
  </si>
  <si>
    <t>Проведение работ по замене оконных блоков в муниципальных образовательных организациях Ставропольского края за счет местного бюджета</t>
  </si>
  <si>
    <t>01 1 06 S6690</t>
  </si>
  <si>
    <t>Молодежная политика</t>
  </si>
  <si>
    <t>Основное мероприятие «Организация отдыха детей в каникулярное время»</t>
  </si>
  <si>
    <t>01 1 04 00000</t>
  </si>
  <si>
    <t>01 1 04 11010</t>
  </si>
  <si>
    <t>Расходы на проведение мероприятий по оздоровлению детей</t>
  </si>
  <si>
    <t>01 1 04 20330</t>
  </si>
  <si>
    <t>Другие вопросы в области образования</t>
  </si>
  <si>
    <t>09</t>
  </si>
  <si>
    <t>Основное мероприятие «Проведение мероприятий с обучающимися и воспитанниками муниципальных бюджетных и автономных образовательных учреждений города Ставрополя»</t>
  </si>
  <si>
    <t>01 1 05 00000</t>
  </si>
  <si>
    <t>Расходы на проведение мероприятий для детей и молодежи</t>
  </si>
  <si>
    <t>01 1 05 20240</t>
  </si>
  <si>
    <t>Основное мероприятие «Обеспечение образовательной деятельности, оценки качества образования»</t>
  </si>
  <si>
    <t>01 1 08 00000</t>
  </si>
  <si>
    <t>01 1 08 11010</t>
  </si>
  <si>
    <t>Обеспечение деятельности комитета образования администрации города Ставрополя</t>
  </si>
  <si>
    <t>75 0 00 00000</t>
  </si>
  <si>
    <t>Непрограммные расходы в рамках обеспечения деятельности комитета образования администрации города Ставрополя</t>
  </si>
  <si>
    <t>75 1 00 00000</t>
  </si>
  <si>
    <t>75 1 00 10010</t>
  </si>
  <si>
    <t>Расходы на выплаты персоналу  государственных (муниципальных) органов</t>
  </si>
  <si>
    <t>75 1 00 10020</t>
  </si>
  <si>
    <t>75 1 00 11010</t>
  </si>
  <si>
    <t>Взносы по обязательному социальному страхованию на выплаты по оплате труда работников и иные выплаты работникам учреждений</t>
  </si>
  <si>
    <t>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t>
  </si>
  <si>
    <t>75 1 00 76200</t>
  </si>
  <si>
    <t>Охрана семьи и детства</t>
  </si>
  <si>
    <t>Расходы на компенсацию части платы, взимаемой с родителей (законных представителей) за присмотр и уход за детьми, посещающими образовательные организации, реализующие образовательные программы дошкольного образования</t>
  </si>
  <si>
    <t>01 1 01 76140</t>
  </si>
  <si>
    <t>Публичные нормативные социальные выплаты гражданам</t>
  </si>
  <si>
    <t>310</t>
  </si>
  <si>
    <t>Пособия, компенсации, меры социальной поддержки по публичным нормативным обязательствам</t>
  </si>
  <si>
    <t>313</t>
  </si>
  <si>
    <t>Основное мероприятие «Защита прав и законных интересов детей-сирот и детей, оставшихся без попечения родителей»</t>
  </si>
  <si>
    <t>01 1 07 00000</t>
  </si>
  <si>
    <t>Расходы на выплату денежных средств на содержание ребенка опекуну (попечителю)</t>
  </si>
  <si>
    <t>01 1 07 78110</t>
  </si>
  <si>
    <t>Приобретение товаров, работ, услуг в пользу граждан в целях их социального обеспечения</t>
  </si>
  <si>
    <t>323</t>
  </si>
  <si>
    <t>Расходы на обеспечение бесплатного проезда детей-сирот и детей, оставшихся без попечения родителей, находящихся под опекой (попечительством), обучающихся в муниципальных образовательных учреждениях</t>
  </si>
  <si>
    <t>01 1 07 78120</t>
  </si>
  <si>
    <t>Расходы на выплату на содержание детей-сирот и детей, оставшихся без попечения родителей, в приемных семьях, а также на вознаграждение, причитающееся приемным родителям</t>
  </si>
  <si>
    <t>01 1 07 78130</t>
  </si>
  <si>
    <t>Расходы на выплату единовременного пособия усыновителям</t>
  </si>
  <si>
    <t>01 1 07 78140</t>
  </si>
  <si>
    <t>Комитет культуры и молодежной политики администрации города Ставрополя</t>
  </si>
  <si>
    <t>607</t>
  </si>
  <si>
    <t>Расходы на реализацию проекта «Здоровые города» в городе Ставрополе</t>
  </si>
  <si>
    <t>98 1 00 20110</t>
  </si>
  <si>
    <t>Иные выплаты населению</t>
  </si>
  <si>
    <t>360</t>
  </si>
  <si>
    <t>Предоставление платежей, взносов, безвозмездных перечислений субъектам международного права</t>
  </si>
  <si>
    <t>860</t>
  </si>
  <si>
    <t>Взносы в международные организации</t>
  </si>
  <si>
    <t>862</t>
  </si>
  <si>
    <t>Подпрограмма «Развитие культуры города Ставрополя»</t>
  </si>
  <si>
    <t>07 2 00 00000</t>
  </si>
  <si>
    <t xml:space="preserve">Основное мероприятие «Обеспечение деятельности муниципальных учреждений  дополнительного образования детей в отрасли «Культура» города Ставрополя» </t>
  </si>
  <si>
    <t>07 2 01 00000</t>
  </si>
  <si>
    <t>07 2 01 11010</t>
  </si>
  <si>
    <t>Основное мероприятие «Сохранение объектов культурного наследия (памятников истории и культуры), находящихся в муниципальной собственности города Ставрополя»</t>
  </si>
  <si>
    <t>07 2 06 00000</t>
  </si>
  <si>
    <t>Расходы на реализацию мероприятий, направленных на сохранение историко-культурного наследия города Ставрополя</t>
  </si>
  <si>
    <t>07 2 06 20400</t>
  </si>
  <si>
    <t>Основное мероприятие «Участие учащихся муниципальных учреждений дополнительного образования детей в отрасли «Культура» города Ставрополя и профессиональных творческих коллективов, концертных исполнителей муниципальных учреждений культуры в фестивалях и конкурсах исполнительского мастерства, проведение фестивалей и конкурсов исполнительского мастерства»</t>
  </si>
  <si>
    <t>07 2 08 00000</t>
  </si>
  <si>
    <t>Расходы на участие учащихся муниципальных учреждений дополнительного образования детей в отрасли «Культура» города Ставрополя и профессиональных творческих коллективов, концертных исполнителей муниципальных учреждений культуры в фестивалях и конкурсах исполнительского мастерства, проведение фестивалей и конкурсов исполнительского мастерства</t>
  </si>
  <si>
    <t>07 2 08 21230</t>
  </si>
  <si>
    <t>Основное мероприятие «Модернизация материально-технической базы муниципальных учреждений отрасли «Культура» города Ставрополя»</t>
  </si>
  <si>
    <t>07 2 09 00000</t>
  </si>
  <si>
    <t>Расходы на модернизацию материально-технической базы муниципальных учреждений отрасли «Культура» города Ставрополя</t>
  </si>
  <si>
    <t>07 2 09 21280</t>
  </si>
  <si>
    <t>Основное мероприятие «Проведение работ по капитальному ремонту зданий и сооружений, благоустройству территорий в муниципальных бюджетных (автономных) учреждениях отрасли «Культура» города Ставрополя»</t>
  </si>
  <si>
    <t>07 2 12 00000</t>
  </si>
  <si>
    <t>Расходы на проведение капитального ремонта зданий и сооружений муниципальных бюджетных (автономных) учреждений в сфере культуры</t>
  </si>
  <si>
    <t>07 2 12 21430</t>
  </si>
  <si>
    <t>Расходы на перерасчет заработной платы педагогическим работникам учреждений дополнительного образования  детей в сфере культуры в соответствии с приказом Министерства образования и науки Российской Федерации от 22 декабря 2014 г. № 1601 «О продолжительности рабочего времени (нормах часов педагогической работы за ставку заработной платы) педагогических работников и о Порядке определения учебной нагрузки педагогических работников, оговариваемой в трудовом договоре»</t>
  </si>
  <si>
    <t>98 1 00 21530</t>
  </si>
  <si>
    <t>Расходы на прочие мероприятия по благоустройству территории города Ставрополя</t>
  </si>
  <si>
    <t>04 3 04 20300</t>
  </si>
  <si>
    <t>Муниципальная программа «Молодежь города Ставрополя»</t>
  </si>
  <si>
    <t>09 0 00 00000</t>
  </si>
  <si>
    <t>Расходы в рамках реализации муниципальной программы «Молодежь города Ставрополя»</t>
  </si>
  <si>
    <t>09 Б 00 00000</t>
  </si>
  <si>
    <t>Основное мероприятие «Проведение мероприятий по гражданскому и патриотическому воспитанию молодежи»</t>
  </si>
  <si>
    <t>09 Б 01 00000</t>
  </si>
  <si>
    <t>Расходы на создание условий для интеграции молодежи в процессы социально-экономического, общественно-политического, культурного развития города Ставрополя</t>
  </si>
  <si>
    <t>09 Б 01 20460</t>
  </si>
  <si>
    <t>Основное мероприятие «Создание системы поддержки  и поощрения талантливой и успешной молодежи города Ставрополя»</t>
  </si>
  <si>
    <t>09 Б 02 00000</t>
  </si>
  <si>
    <t>09 Б 02 20460</t>
  </si>
  <si>
    <t>Стипендии</t>
  </si>
  <si>
    <t>340</t>
  </si>
  <si>
    <t>Основное мероприятие «Поддержка интеллектуальной и инновационной деятельности молодежи»</t>
  </si>
  <si>
    <t>09 Б 03 00000</t>
  </si>
  <si>
    <t>09 Б 03 20460</t>
  </si>
  <si>
    <t>Основное мероприятие «Формирование условий для реализации молодежных инициатив и развития деятельности молодежных объединений»</t>
  </si>
  <si>
    <t>09 Б 04 00000</t>
  </si>
  <si>
    <t>09 Б 04 20460</t>
  </si>
  <si>
    <t>Основное мероприятие «Методическое и информационное сопровождение реализации молодежной политики в городе Ставрополе»</t>
  </si>
  <si>
    <t>09 Б 05 00000</t>
  </si>
  <si>
    <t>09 Б 05 20460</t>
  </si>
  <si>
    <t>Основное мероприятие «Обеспечение деятельности муниципальных бюджетных учреждений города Ставрополя»</t>
  </si>
  <si>
    <t>09 Б 06 00000</t>
  </si>
  <si>
    <t>09 Б 06 11010</t>
  </si>
  <si>
    <t>Культура, кинематография</t>
  </si>
  <si>
    <t>Основное мероприятие «Обеспечение деятельности муниципальных учреждений  культурно-досугового типа»</t>
  </si>
  <si>
    <t>07 2 02 00000</t>
  </si>
  <si>
    <t>07 2 02 11010</t>
  </si>
  <si>
    <t>Основное мероприятие «Обеспечение деятельности муниципальных учреждений, осуществляющих музейное дело»</t>
  </si>
  <si>
    <t>07 2 03 00000</t>
  </si>
  <si>
    <t>07 2 03 11010</t>
  </si>
  <si>
    <t>Основное мероприятие «Обеспечение деятельности муниципальных учреждений, осуществляющих библиотечное обслуживание»</t>
  </si>
  <si>
    <t>07 2 04 00000</t>
  </si>
  <si>
    <t>07 2 04 11010</t>
  </si>
  <si>
    <t>Расходы на комплектование книжных фондов библиотек муниципальных образований за счет средств местного бюджета</t>
  </si>
  <si>
    <t>07 2 04 L5194</t>
  </si>
  <si>
    <t>Основное мероприятие «Обеспечение деятельности муниципальных учреждений, осуществляющих театрально-концертную деятельность»</t>
  </si>
  <si>
    <t>07 2 05 00000</t>
  </si>
  <si>
    <t>07 2 05 11010</t>
  </si>
  <si>
    <t>Другие вопросы в области культуры, кинематографии</t>
  </si>
  <si>
    <t>Обеспечение деятельности комитета культуры и молодежной политики администрации города Ставрополя</t>
  </si>
  <si>
    <t>76 0 00 00000</t>
  </si>
  <si>
    <t>Непрограммные расходы в рамках обеспечения деятельности комитета культуры и молодежной политики администрации города Ставрополя</t>
  </si>
  <si>
    <t>76 1 00 00000</t>
  </si>
  <si>
    <t>76 1 00 10010</t>
  </si>
  <si>
    <t>76 1 00 10020</t>
  </si>
  <si>
    <t>76 2 00 00000</t>
  </si>
  <si>
    <t>Расходы на выполнение мероприятий в сфере культуры и кинематографии комитета культуры и молодежной политики администрации города Ставрополя</t>
  </si>
  <si>
    <t>76 2 00 20250</t>
  </si>
  <si>
    <t>Комитет труда и социальной защиты населения администрации города Ставрополя</t>
  </si>
  <si>
    <t>609</t>
  </si>
  <si>
    <t>Подпрограмма «Осуществление отдельных государственных полномочий в области социальной поддержки отдельных категорий граждан»</t>
  </si>
  <si>
    <t xml:space="preserve">03 1 00 00000 </t>
  </si>
  <si>
    <t>СК+ФБ</t>
  </si>
  <si>
    <t>Основное мероприятие «Предоставление мер социальной поддержки отдельным категориям граждан»</t>
  </si>
  <si>
    <t xml:space="preserve">03 1 01 00000 </t>
  </si>
  <si>
    <t>Ежегодная денежная выплата лицам, награжденным нагрудным знаком «Почетный донор России»</t>
  </si>
  <si>
    <t>03 1 01 52200</t>
  </si>
  <si>
    <t xml:space="preserve">Выплата компенсации расходов на оплату жилых помещений и коммунальных услуг отдельным категориям граждан </t>
  </si>
  <si>
    <t>03 1 01 52500</t>
  </si>
  <si>
    <t>Выплата компенсации страховых премий по договору обязательного страхования гражданской ответственности владельцев транспортных средств в соответствии с Федеральным законом от 25 апреля 2002 года № 40-ФЗ «Об обязательном страховании гражданской ответственности владельцев транспортных средств» инвалидам (в том числе детям-инвалидам), имеющим транспортные средства в соответствии с медицинскими показаниями, или их законным представителям за счет средств федерального бюджета</t>
  </si>
  <si>
    <t>03 1 01 52800</t>
  </si>
  <si>
    <t>Оказание государственной социальной помощи малоимущим семьям и малоимущим одиноко проживающим гражданам</t>
  </si>
  <si>
    <t>03 1 01 76240</t>
  </si>
  <si>
    <t>Компенсация отдельным категориям граждан оплаты взноса на капитальный ремонт общего имущества в многоквартирном доме за счет средств краевого бюджета</t>
  </si>
  <si>
    <t xml:space="preserve">03 1 01 77220 </t>
  </si>
  <si>
    <t>Ежемесячные денежные выплаты ветеранам труда и лицам, проработавшим в тылу в период с 22 июня 1941 года по 9 мая 1945 года не менее шести месяцев, исключая период работы на временно оккупированных территориях СССР, либо награжденным орденами или медалями СССР за самоотверженный труд в период Великой Отечественной войны</t>
  </si>
  <si>
    <t>03 1 01 78210</t>
  </si>
  <si>
    <t>Предоставление мер социальной поддержки ветеранам труда Ставропольского края и лицам, награжденным медалью «Герой труда Ставрополья»</t>
  </si>
  <si>
    <t>03 1 01 78220</t>
  </si>
  <si>
    <t>Предоставление мер социальной поддержки  реабилитированным лицам и лицам, признанным пострадавшими от политических репрессий</t>
  </si>
  <si>
    <t>03 1 01 78230</t>
  </si>
  <si>
    <t xml:space="preserve">Ежемесячная доплата к пенсии гражданам, ставшим инвалидами при исполнении служебных обязанностей в районах боевых действий </t>
  </si>
  <si>
    <t>03 1 01 78240</t>
  </si>
  <si>
    <t>Ежемесячные денежные выплаты семьям погибших ветеранов боевых действий</t>
  </si>
  <si>
    <t>03 1 01 78250</t>
  </si>
  <si>
    <t>Предоставление субсидий на оплату жилого помещения и коммунальных услуг гражданам</t>
  </si>
  <si>
    <t>03 1 01 78260</t>
  </si>
  <si>
    <t>Основное мероприятие «Предоставление мер социальной поддержки семьям и детям»</t>
  </si>
  <si>
    <t>03 1 02 00000</t>
  </si>
  <si>
    <t>Выплата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t>
  </si>
  <si>
    <t>03 1 02 53800</t>
  </si>
  <si>
    <t>Выплата ежегодного социального пособия на проезд студентам</t>
  </si>
  <si>
    <t>03 1 02 76260</t>
  </si>
  <si>
    <t>Выплата ежегодной денежной компенсации многодетным семьям на каждого из детей не старше 18 лет, обучающихся в общеобразовательных организациях, на приобретение комплекта школьной одежды, спортивной одежды и обуви и школьных письменных принадлежностей</t>
  </si>
  <si>
    <t>03 1 02 77190</t>
  </si>
  <si>
    <t xml:space="preserve">Выплата ежемесячной денежной компенсации на каждого ребенка в возрасте до 18 лет многодетным семьям </t>
  </si>
  <si>
    <t>03 1 02 78280</t>
  </si>
  <si>
    <t>Основное мероприятие «Предоставление дополнительных мер социальной поддержки отдельным категориям граждан»</t>
  </si>
  <si>
    <t>03 2 01 00000</t>
  </si>
  <si>
    <t>Выплата ежемесячного пособия малообеспеченной многодетной семье, имеющей детей в возрасте до 3 лет, и малообеспеченной одинокой матери, имеющей детей в возрасте от 1,5 до 3 лет</t>
  </si>
  <si>
    <t>03 2 01 80030</t>
  </si>
  <si>
    <t>Осуществление ежемесячной денежной выплаты ветеранам боевых действий из числа лиц, принимавших участие в боевых действиях на территориях других государств</t>
  </si>
  <si>
    <t>03 2 01 80070</t>
  </si>
  <si>
    <t>Предоставление мер социальной поддержки Почетным гражданам города Ставрополя</t>
  </si>
  <si>
    <t>03 2 01 80080</t>
  </si>
  <si>
    <t>Осуществление ежемесячной дополнительной выплаты семьям, воспитывающим детей-инвалидов</t>
  </si>
  <si>
    <t>03 2 01 80100</t>
  </si>
  <si>
    <t>Выплата ежемесячного социального пособия на проезд в пассажирском транспорте общего пользования детям-инвалидам</t>
  </si>
  <si>
    <t>03 2 01 80110</t>
  </si>
  <si>
    <t>Выплата ежемесячного социального пособия на проезд в муниципальном транспорте общего пользования членам семей погибших военнослужащих, лиц рядового и начальствующего состава органов внутренних дел и сотрудников учреждений и органов уголовно-исполнительной системы, а также членам руководящих органов отдельных городских общественных организаций ветеранов, инвалидов и лиц, пострадавших от политических репрессий, чья деятельность связана с разъездами</t>
  </si>
  <si>
    <t>03 2 01 80120</t>
  </si>
  <si>
    <t>Выплата ежемесячного пособия семьям, воспитывающим детей в возрасте до 18 лет, больных целиакией или сахарным диабетом</t>
  </si>
  <si>
    <t>03 2 01 80140</t>
  </si>
  <si>
    <t>Выплата единовременного пособия на ремонт жилых помещений одиноким и одиноко проживающим участникам и инвалидам Великой Отечественной войны, труженикам тыла, вдовам погибших (умерших) участников Великой Отечественной войны</t>
  </si>
  <si>
    <t>03 2 01 80150</t>
  </si>
  <si>
    <t>Выплата единовременного пособия гражданам, оказавшимся в трудной жизненной ситуации</t>
  </si>
  <si>
    <t>03 2 01 80160</t>
  </si>
  <si>
    <t>Выплата семьям, воспитывающим детей-инвалидов в возрасте до 18 лет</t>
  </si>
  <si>
    <t>03 2 01 80180</t>
  </si>
  <si>
    <t>Выплата единовременного пособия инвалидам по зрению, имеющим I группу инвалидности</t>
  </si>
  <si>
    <t>03 2 01 80190</t>
  </si>
  <si>
    <t>Выплата единовременного пособия ветеранам боевых действий, направленным на реабилитацию в Центр восстановительной терапии для воинов-интернационалистов 
им. М.А. Лиходея</t>
  </si>
  <si>
    <t>03 2 01 80210</t>
  </si>
  <si>
    <t>Основное мероприятие «Совершенствование социальной поддержки семьи и детей»</t>
  </si>
  <si>
    <t>03 2 05 00000</t>
  </si>
  <si>
    <t>Расходы на реализацию мероприятий, направленных на социальную поддержку семьи и детей</t>
  </si>
  <si>
    <t>03 2 05 20500</t>
  </si>
  <si>
    <t>Основное мероприятие «Поддержка людей с ограниченными возможностями и пожилых людей»</t>
  </si>
  <si>
    <t>03 2 06 00000</t>
  </si>
  <si>
    <t>Расходы на реализацию мероприятий, направленных на сохранение устойчивого роста уровня и качества жизни людей с ограниченными возможностями здоровья и пожилых людей</t>
  </si>
  <si>
    <t>03 2 06 20520</t>
  </si>
  <si>
    <t>Основное мероприятие «Проведение мероприятий для отдельных категорий граждан»</t>
  </si>
  <si>
    <t>03 2 08 00000</t>
  </si>
  <si>
    <t>Расходы на повышение социальной активности жителей города Ставрополя</t>
  </si>
  <si>
    <t>03 2 08 20510</t>
  </si>
  <si>
    <t>Подпрограмма «Доступная среда»</t>
  </si>
  <si>
    <t>03 3 00 00000</t>
  </si>
  <si>
    <t>Основное мероприятие «Создание условий для беспрепятственного доступа маломобильных групп населения к объектам городской инфраструктуры»</t>
  </si>
  <si>
    <t>03 3 01 00000</t>
  </si>
  <si>
    <t>Расходы на создание условий для беспрепятственного доступа маломобильных групп населения к объектам городской инфраструктуры</t>
  </si>
  <si>
    <t>03 3 01 20530</t>
  </si>
  <si>
    <t>Выплата ежемесячного пособия на ребенка</t>
  </si>
  <si>
    <t>03 1 02 76270</t>
  </si>
  <si>
    <t>Ежемесячная денежная выплата нуждающимся в поддержке семьям, назначаемая в случае рождения в них после 31 декабря 2012 года третьего ребенка или последующих детей до достижения ребенком возраста трех лет</t>
  </si>
  <si>
    <t>03 1 02 R0840</t>
  </si>
  <si>
    <t>Другие вопросы в области социальной политики</t>
  </si>
  <si>
    <t>фБ</t>
  </si>
  <si>
    <t>Основное мероприятие «Поддержка социально ориентированных некоммерческих организаций»</t>
  </si>
  <si>
    <t>03 2 07 00000</t>
  </si>
  <si>
    <t>Субсидии на поддержку социально ориентированных некоммерческих организаций</t>
  </si>
  <si>
    <t>03 2 07 60040</t>
  </si>
  <si>
    <t>Реализация мероприятий государственной программы Российской Федерации «Доступная среда» на 2011 - 2020 годы за счет средств местного бюджета</t>
  </si>
  <si>
    <t>03 3 01 S0270</t>
  </si>
  <si>
    <t>Обеспечение деятельности комитета труда и социальной защиты населения администрации города Ставрополя</t>
  </si>
  <si>
    <t>77 0 00 00000</t>
  </si>
  <si>
    <t>Непрограммные расходы в рамках обеспечения деятельности комитета труда и социальной защиты населения администрации города Ставрополя</t>
  </si>
  <si>
    <t>77 1 00 00000</t>
  </si>
  <si>
    <t>77 1 00 10010</t>
  </si>
  <si>
    <t>77 1 00 10020</t>
  </si>
  <si>
    <t>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здравоохранения</t>
  </si>
  <si>
    <t>77 1 00 76100</t>
  </si>
  <si>
    <t>Расходы на осуществление переданных государственных полномочий Ставропольского края в области труда и социальной защиты отдельных категорий граждан</t>
  </si>
  <si>
    <t>77 1 00 76210</t>
  </si>
  <si>
    <t>Комитет физической культуры и спорта администрации города Ставрополя</t>
  </si>
  <si>
    <t>Муниципальная программа «Развитие физической культуры и спорта в городе Ставрополе»</t>
  </si>
  <si>
    <t>08 0 00 00000</t>
  </si>
  <si>
    <t>Подпрограмма «Развитие системы дополнительного образования детей и подростков в области физической культуры и спорта и центров спортивной подготовки»</t>
  </si>
  <si>
    <t>08 1 00 00000</t>
  </si>
  <si>
    <t>Основное мероприятие «Обеспечение деятельности муниципальных учреждений дополнительного образования детей физкультурно-спортивной направленности города Ставрополя»</t>
  </si>
  <si>
    <t>08 1 01 00000</t>
  </si>
  <si>
    <t>08 1 01 11010</t>
  </si>
  <si>
    <t>Физическая культура и спорт</t>
  </si>
  <si>
    <t xml:space="preserve">Физическая культура </t>
  </si>
  <si>
    <t>Основное мероприятие «Обеспечение деятельности центров спортивной подготовки»</t>
  </si>
  <si>
    <t>08 1 02 00000</t>
  </si>
  <si>
    <t>08 1 02 11010</t>
  </si>
  <si>
    <t>Массовый спорт</t>
  </si>
  <si>
    <t>Основное мероприятие «Обеспечение организации, проведения и участия в официальных физкультурных мероприятиях и спортивных мероприятиях муниципальных учреждений дополнительного образования детей физкультурно-спортивной направленности города Ставрополя»</t>
  </si>
  <si>
    <t>08 1 03 00000</t>
  </si>
  <si>
    <t>08 1 03 11010</t>
  </si>
  <si>
    <t>Подпрограмма «Организация и проведение физкультурных мероприятий и спортивных мероприятий»</t>
  </si>
  <si>
    <t>08 2 00 00000</t>
  </si>
  <si>
    <t>Основное мероприятие «Реализация мероприятий, направленных на развитие физической культуры и массового спорта»</t>
  </si>
  <si>
    <t>08 2 01 00000</t>
  </si>
  <si>
    <t>Расходы на реализацию мероприятий, направленных на развитие физической культуры и массового спорта</t>
  </si>
  <si>
    <t>08 2 01 20420</t>
  </si>
  <si>
    <t>113</t>
  </si>
  <si>
    <t>Основное мероприятие «Изготовление и размещение пропагандирующей социальной рекламы о здоровом и активном образе жизни»</t>
  </si>
  <si>
    <t>08 2 02 00000</t>
  </si>
  <si>
    <t xml:space="preserve">Расходы на пропаганду здорового образа жизни </t>
  </si>
  <si>
    <t>08 2 02 20440</t>
  </si>
  <si>
    <t>Основное мероприятие «Подготовка  и участие в семинарах, конференциях и курсах повышения квалификации работников отрасли «Физическая культура и спорт»</t>
  </si>
  <si>
    <t>08 2 03 00000</t>
  </si>
  <si>
    <t>Расходы на повышение квалификации работников отрасли  «Физическая культура и спорт»</t>
  </si>
  <si>
    <t>08 2 03 21060</t>
  </si>
  <si>
    <t>Спорт высших достижений</t>
  </si>
  <si>
    <t>Основное мероприятие «Предоставление финансовой поддержки некоммерческим организациям, осуществляющим деятельность в области физической культуры и спорта на территории города Ставрополя»</t>
  </si>
  <si>
    <t>08 2 04 00000</t>
  </si>
  <si>
    <t>Расходы на предоставление автономной некоммерческой организации «Ставропольский городской авиационный спортивный клуб» субсидии в виде имущественного взноса муниципального образования города Ставрополя  Ставропольского края</t>
  </si>
  <si>
    <t>08 2 04 60120</t>
  </si>
  <si>
    <t>Иные субсидии некоммерческим организациям (за исключением государственных (муниципальных) учреждений)</t>
  </si>
  <si>
    <t>Другие вопросы в области физической культуры и спорта</t>
  </si>
  <si>
    <t>Обеспечение деятельности комитета физической культуры и спорта администрации города Ставрополя</t>
  </si>
  <si>
    <t>78 0 00 00000</t>
  </si>
  <si>
    <t>Непрограммные расходы в рамках обеспечения деятельности комитета физической культуры и спорта администрации города Ставрополя</t>
  </si>
  <si>
    <t>78 1 00 00000</t>
  </si>
  <si>
    <t>78 1 00 10010</t>
  </si>
  <si>
    <t>78 1 00 10020</t>
  </si>
  <si>
    <t>78 1 00 11010</t>
  </si>
  <si>
    <t>Администрация Ленинского района города Ставрополя</t>
  </si>
  <si>
    <t>617</t>
  </si>
  <si>
    <t>Обеспечение деятельности администрации Ленинского района города Ставрополя</t>
  </si>
  <si>
    <t>80 0 00 00000</t>
  </si>
  <si>
    <t>Непрограммные расходы в рамках обеспечения деятельности администрации Ленинского района города Ставрополя</t>
  </si>
  <si>
    <t>80 1 00 00000</t>
  </si>
  <si>
    <t>80 1 00 10010</t>
  </si>
  <si>
    <t>80 1 00 10020</t>
  </si>
  <si>
    <t>80 1 00 76200</t>
  </si>
  <si>
    <t>Расходы на осуществление переданных государственных полномочий Ставропольского края по созданию и организации деятельности комиссий по делам несовершеннолетних и защите их прав</t>
  </si>
  <si>
    <t>80 1 00 76360</t>
  </si>
  <si>
    <t>Расходы на содержание объектов муниципальной казны города Ставрополя в части жилых помещений</t>
  </si>
  <si>
    <t>11 Б 01 20840</t>
  </si>
  <si>
    <t>Расходы на проведение ремонтных работ в помещениях для размещения участковых избирательных комиссий и для голосования, находящихся в муниципальной собственности города Ставрополя</t>
  </si>
  <si>
    <t>98 1 00 21020</t>
  </si>
  <si>
    <t>Дорожное хозяйство (дорожные фонды)</t>
  </si>
  <si>
    <t>Расходы на ремонт и содержание внутриквартальных автомобильных дорог общего пользования местного значения</t>
  </si>
  <si>
    <t>04 2 02 20820</t>
  </si>
  <si>
    <t>Расходы на содержание автомобильных дорог общего пользования местного значения</t>
  </si>
  <si>
    <t>04 2 02 21090</t>
  </si>
  <si>
    <t>Жилищное хозяйство</t>
  </si>
  <si>
    <t>Подпрограмма «Развитие жилищно-коммунального хозяйства на территории города Ставрополя»</t>
  </si>
  <si>
    <t>04 1 00 00000</t>
  </si>
  <si>
    <t>Основное мероприятие  «Повышение уровня технического состояния многоквартирных домов и продление сроков их эксплуатации»</t>
  </si>
  <si>
    <t>04 1 01 00000</t>
  </si>
  <si>
    <t>Расходы на проведение капитального ремонта муниципального жилищного фонда</t>
  </si>
  <si>
    <t>04 1 01 20190</t>
  </si>
  <si>
    <t>Закупка товаров, работ, услуг в целях капитального ремонта государственного (муниципального) имущества</t>
  </si>
  <si>
    <t>243</t>
  </si>
  <si>
    <t>Расходы на проведение работ по уходу за зелеными насаждениями</t>
  </si>
  <si>
    <t>04 3 04 21070</t>
  </si>
  <si>
    <t>Расходы за счет средств субсидии, выделяемой из бюджета Ставропольского края бюджету города Ставрополя  на осуществление функций административного центра Ставропольского края, на содержание центральной части города Ставрополя</t>
  </si>
  <si>
    <t>04 3 04 21080</t>
  </si>
  <si>
    <t>Благоустройство территорий в районах города Ставрополя</t>
  </si>
  <si>
    <t>98 1 00 21450</t>
  </si>
  <si>
    <t>Расходы на размещение информационных баннеров на лайтбоксах на остановочных пунктах в городе Ставрополе</t>
  </si>
  <si>
    <t>07 1 01 21130</t>
  </si>
  <si>
    <t>Администрация Октябрьского района города Ставрополя</t>
  </si>
  <si>
    <t>618</t>
  </si>
  <si>
    <t>Обеспечение деятельности администрации Октябрьского района города Ставрополя</t>
  </si>
  <si>
    <t>81 0 00 00000</t>
  </si>
  <si>
    <t>Непрограммные расходы в рамках обеспечения деятельности администрации Октябрьского района города Ставрополя</t>
  </si>
  <si>
    <t>81 1 00 00000</t>
  </si>
  <si>
    <t>81 1 00 10010</t>
  </si>
  <si>
    <t>Расходы на выплаты по оплате труда работников  органов местного самоуправления города Ставрополя</t>
  </si>
  <si>
    <t>81 1 00 10020</t>
  </si>
  <si>
    <t>81 1 00 76200</t>
  </si>
  <si>
    <t>81 1 00 76360</t>
  </si>
  <si>
    <t>Основное мероприятие «Повышение уровня технического состояния многоквартирных домов и продление сроков их эксплуатации»</t>
  </si>
  <si>
    <t>Администрация Промышленного района города Ставрополя</t>
  </si>
  <si>
    <t>619</t>
  </si>
  <si>
    <t>Обеспечение деятельности администрации Промышленного района города Ставрополя</t>
  </si>
  <si>
    <t>82 0 00 00000</t>
  </si>
  <si>
    <t>Непрограммные расходы в рамках обеспечения деятельности администрации Промышленного района города Ставрополя</t>
  </si>
  <si>
    <t>82 1 00 00000</t>
  </si>
  <si>
    <t>82 1 00 10010</t>
  </si>
  <si>
    <t>82 1 00 10020</t>
  </si>
  <si>
    <t>82 1 00 76200</t>
  </si>
  <si>
    <t>82 1 00 76360</t>
  </si>
  <si>
    <t xml:space="preserve">Подпрограмма «Проведение городских и краевых культурно-массовых мероприятий, посвященных памятным, знаменательным и юбилейным датам в истории России, Ставропольского края, города  Ставрополя» </t>
  </si>
  <si>
    <t>Комитет городского хозяйства администрации города Ставрополя</t>
  </si>
  <si>
    <t>Обеспечение деятельности комитета городского хозяйства администрации города Ставрополя</t>
  </si>
  <si>
    <t>83 0 00 00000</t>
  </si>
  <si>
    <t>Непрограммные расходы в рамках обеспечения деятельности комитета городского хозяйства администрации города Ставрополя</t>
  </si>
  <si>
    <t>83 1 00 00000</t>
  </si>
  <si>
    <t>83 1 00 20050</t>
  </si>
  <si>
    <t>Лесное хозяйство</t>
  </si>
  <si>
    <t>Основное мероприятие «Осуществление деятельности по использованию, охране, защите и воспроизводству городских лесов»</t>
  </si>
  <si>
    <t>04 3 01 00000</t>
  </si>
  <si>
    <t>04 3 01 11010</t>
  </si>
  <si>
    <t>Транспорт</t>
  </si>
  <si>
    <t>Основное мероприятие «Создание условий для предоставления транспортных услуг населению и организация транспортного обслуживания населения в границах города Ставрополя»</t>
  </si>
  <si>
    <t>04 2 01 00000</t>
  </si>
  <si>
    <t>04 2 01 11010</t>
  </si>
  <si>
    <t>Расходы на проведение отдельных мероприятий по электрическому транспорту</t>
  </si>
  <si>
    <t>04 2 01 60020</t>
  </si>
  <si>
    <t xml:space="preserve">Предоставление финансовой помощи Ставропольскому муниципальному унитарному троллейбусному предприятию в рамках мер по предупреждению банкротства на финансовое обеспечение затрат, направленных на погашение денежных обязательств, требований о выплате выходных пособий и (или) об оплате труда лиц, работающих или работавших по трудовому договору, и обязательных платежей, в целях восстановления платежеспособности должника (санации) </t>
  </si>
  <si>
    <t>04 2 01 60070</t>
  </si>
  <si>
    <t>Проведение отдельных мероприятий в области автомобильного транспорта</t>
  </si>
  <si>
    <t>98 1 00 21170</t>
  </si>
  <si>
    <t>Основное мероприятие «Ремонт подъездных автомобильных дорог общего пользования местного значения к садоводческим, огородническим и дачным некоммерческим объединениям граждан, расположенным на территории города Ставрополя»</t>
  </si>
  <si>
    <t>02 Б 02 00000</t>
  </si>
  <si>
    <t>Расходы на ремонт подъездных автомобильных дорог общего пользования местного значения  к садоводческим, огородническим и дачным некоммерческим объединениям граждан, расположенным на территории города Ставрополя</t>
  </si>
  <si>
    <t>02 Б 02 20560</t>
  </si>
  <si>
    <t>Расходы на ремонт автомобильных дорог общего пользования местного значения</t>
  </si>
  <si>
    <t>04 2 02 20130</t>
  </si>
  <si>
    <t>Расходы за счет средств субсидии, выделяемой из бюджета Ставропольского края бюджету города Ставрополя на осуществление функций административного центра Ставропольского края, на ремонт автомобильных дорог общего пользования местного значения с движением транспортных средств, осуществляющих регулярные перевозки пассажиров по муниципальным маршрутам  регулярных  перевозок</t>
  </si>
  <si>
    <t>04 2 02 20810</t>
  </si>
  <si>
    <t>Расходы на прочие мероприятия  в области дорожного хозяйства</t>
  </si>
  <si>
    <t>04 2 02 20830</t>
  </si>
  <si>
    <t>Проектирование, строительство и реконструкция автомобильных дорог общего пользования местного значения</t>
  </si>
  <si>
    <t>04 2 02 21180</t>
  </si>
  <si>
    <t xml:space="preserve">Бюджетные инвестиции </t>
  </si>
  <si>
    <t>410</t>
  </si>
  <si>
    <t>Бюджетные инвестиции в объекты капитального строительства государственной (муниципальной) собственности</t>
  </si>
  <si>
    <t>414</t>
  </si>
  <si>
    <t>Расходы за счет средств субсидии, выделяемой из бюджета Ставропольского края бюджету города Ставрополя  на осуществление функций административного центра Ставропольского края, на благоустройство территории, прилегающей к физкультурно-оздоровительному комплексу с крытым катком, расположенному по адресу: город Ставрополь, квартал 525, улица Тухачевского, 6/1 (ремонт автомобильной дороги общего пользования местного значения по улице Тухачевского на участке от многоквартирного дома № 7/2 до улицы 50 лет ВЛКСМ, с установкой остановочного пункта, созданием парковочных мест, велодорожки, ремонтом сети дождевой канализации, переносом опор троллейбусно-контактной сети)</t>
  </si>
  <si>
    <t>04 2 02 21460</t>
  </si>
  <si>
    <t>Расходы за счет средств субсидии, выделяемой из бюджета Ставропольского края бюджету города Ставрополя на осуществление функций административного центра Ставропольского края, на ремонт тротуаров на территории города Ставрополя</t>
  </si>
  <si>
    <t>04 2 02 21490</t>
  </si>
  <si>
    <t>Предоставление субсидии на возмещение затрат организаций по созданию, эксплуатации и обеспечению функционирования на платной основе парковок (парковочных мест), расположенных на автомобильных дорогах общего пользования местного значения города Ставрополя</t>
  </si>
  <si>
    <t>04 2 02 60090</t>
  </si>
  <si>
    <t>Капитальный ремонт и ремонт автомобильных дорог общего пользования местного значения в границах города Ставрополя за счет средств местного бюджета</t>
  </si>
  <si>
    <t>04 2 02 S6460</t>
  </si>
  <si>
    <t>Основное мероприятие «Повышение безопасности дорожного движения на территории города Ставрополя»</t>
  </si>
  <si>
    <t>04 2 03 00000</t>
  </si>
  <si>
    <t>04 2 03 11010</t>
  </si>
  <si>
    <t>Обеспечение элементами обустройства автомобильных дорог общего пользования местного значения и организация обеспечения безопасности дорожного движения</t>
  </si>
  <si>
    <t>04 2 03 20570</t>
  </si>
  <si>
    <t>Разработка Программы комплексного развития транспортной инфраструктуры города Ставрополя</t>
  </si>
  <si>
    <t>98 1 00 21540</t>
  </si>
  <si>
    <t>Расходы на мероприятия в области жилищного хозяйства</t>
  </si>
  <si>
    <t>04 1 01 20200</t>
  </si>
  <si>
    <t>Коммунальное хозяйство</t>
  </si>
  <si>
    <t>Основное мероприятие «Проектирование, строительство и содержание инженерных сетей, находящихся в муниципальной собственности города Ставрополя»</t>
  </si>
  <si>
    <t>04 1 02 00000</t>
  </si>
  <si>
    <t>Расходы на мероприятия в области коммунального хозяйства</t>
  </si>
  <si>
    <t>04 1 02 20220</t>
  </si>
  <si>
    <t>Основное мероприятие «Организация электроснабжения населения на территории 32 микрорайона Ленинского района города Ставрополя (поселок Демино)»</t>
  </si>
  <si>
    <t>04 1 03 00000</t>
  </si>
  <si>
    <t>04 1 03 20220</t>
  </si>
  <si>
    <t>Основное мероприятие «Создание и обеспечение надлежащего состояния мест захоронения на территории города Ставрополя»</t>
  </si>
  <si>
    <t>04 3 02 00000</t>
  </si>
  <si>
    <t>Расходы на проектирование, устройство, благоустройство и содержание муниципальных общественных кладбищ города Ставрополя</t>
  </si>
  <si>
    <t>04 3 02 20290</t>
  </si>
  <si>
    <t>Основное мероприятие «Организация отлова и содержания безнадзорных животных, сбор трупов и их захоронение в установленном порядке»</t>
  </si>
  <si>
    <t>04 3 03 00000</t>
  </si>
  <si>
    <t>Организация проведения на территории города Ставрополя мероприятий по отлову и содержанию безнадзорных животных</t>
  </si>
  <si>
    <t>04 3 03 77150</t>
  </si>
  <si>
    <t>04 3 04 11010</t>
  </si>
  <si>
    <t>Расходы на обеспечение уличного освещения территории города Ставрополя</t>
  </si>
  <si>
    <t>04 3 04 20280</t>
  </si>
  <si>
    <t>Расходы на проведение мероприятий по озеленению территории города Ставрополя</t>
  </si>
  <si>
    <t>04 3 04 20780</t>
  </si>
  <si>
    <t>Расходы за счет средств субсидии, выделяемой из бюджета Ставропольского края бюджету города Ставрополя  на осуществление функций административного центра Ставропольского края, на проведение мероприятий по озеленению территории города Ставрополя</t>
  </si>
  <si>
    <t>04 3 04 20790</t>
  </si>
  <si>
    <t>Расходы за счет средств субсидии, выделяемой из бюджета Ставропольского края бюджету города Ставрополя  на осуществление функций административного центра Ставропольского края, на благоустройство территории, прилегающей к физкультурно-оздоровительному комплексу с крытым катком, расположенному по адресу: город Ставрополь, квартал 525, улица Тухачевского, 6/1 (озеленение, уличное освещение, ремонт инженерных  сетей)</t>
  </si>
  <si>
    <t>04 3 04 21480</t>
  </si>
  <si>
    <t>Основное мероприятие «Энергосбережение и энергоэффективность систем коммунальной инфраструктуры»</t>
  </si>
  <si>
    <t>17 Б 02 00000</t>
  </si>
  <si>
    <t>17 Б 02 20490</t>
  </si>
  <si>
    <t>Муниципальная программа «Формирование современной городской среды на территории города Ставрополя»</t>
  </si>
  <si>
    <t>20 0 00 00000</t>
  </si>
  <si>
    <t>Расходы в рамках реализации муниципальной программы «Формирование современной городской среды на территории города Ставрополя»</t>
  </si>
  <si>
    <t>20 Б 00 00000</t>
  </si>
  <si>
    <t>Основное мероприятие «Благоустройство дворовых территорий в городе Ставрополе»</t>
  </si>
  <si>
    <t>20 Б 01 00000</t>
  </si>
  <si>
    <t>Расходы на формирование современной городской среды за счет средств местного бюджета</t>
  </si>
  <si>
    <t>20 Б 01 L5550</t>
  </si>
  <si>
    <t>Основное мероприятие «Благоустройство общественных территорий в городе Ставрополе»</t>
  </si>
  <si>
    <t>20 Б 02 00000</t>
  </si>
  <si>
    <t>20 Б 02 L5550</t>
  </si>
  <si>
    <t xml:space="preserve">Основное мероприятие «Разработка дизайн-проектов благоустройства дворовых территорий в городе Ставрополе» </t>
  </si>
  <si>
    <t>20 Б 03 00000</t>
  </si>
  <si>
    <t>20 Б 03 20300</t>
  </si>
  <si>
    <t>83 1 00 10010</t>
  </si>
  <si>
    <t>83 1 00 10020</t>
  </si>
  <si>
    <t>Основное мероприятие «Возмещение затрат по предоставлению услуг согласно гарантированному перечню услуг по погребению специализированной организации по вопросам похоронного дела»</t>
  </si>
  <si>
    <t>03 2 03 00000</t>
  </si>
  <si>
    <t>Возмещение затрат по предоставлению услуг согласно гарантированному перечню услуг по погребению специализированной организации по вопросам похоронного дела</t>
  </si>
  <si>
    <t>03 2 03 80020</t>
  </si>
  <si>
    <t>Основное мероприятие «Предоставление дополнительных мер социальной поддержки отдельным категориям граждан при проезде в городском общественном транспорте на территории города Ставрополя»</t>
  </si>
  <si>
    <t>03 2 04 00000</t>
  </si>
  <si>
    <t>Предоставление дополнительных мер социальной поддержки отдельным категориям граждан при проезде в городском общественном транспорте на территории города Ставрополя</t>
  </si>
  <si>
    <t>03 2 04 80220</t>
  </si>
  <si>
    <t>Комитет градостроительства администрации города Ставрополя</t>
  </si>
  <si>
    <t>Обеспечение деятельности комитета градостроительства администрации города Ставрополя</t>
  </si>
  <si>
    <t>84 0 00 00000</t>
  </si>
  <si>
    <t>Непрограммные расходы в рамках обеспечения деятельности комитета градостроительства администрации города Ставрополя</t>
  </si>
  <si>
    <t>84 1 00 00000</t>
  </si>
  <si>
    <t>84 1 00 10010</t>
  </si>
  <si>
    <t>84 1 00 10020</t>
  </si>
  <si>
    <t>84 2 00 00000</t>
  </si>
  <si>
    <t>Расходы на судебные издержки комитета градостроительства администрации города Ставрополя по искам о сносе самовольных построек</t>
  </si>
  <si>
    <t>84 2 00 20740</t>
  </si>
  <si>
    <t xml:space="preserve">Расходы на демонтаж, хранение или уничтожение рекламных конструкций за счет средств местного бюджета </t>
  </si>
  <si>
    <t>84 2 00 21100</t>
  </si>
  <si>
    <t>Муниципальная программа «Развитие градостроительства на территории города Ставрополя»</t>
  </si>
  <si>
    <t>05 0 00 00000</t>
  </si>
  <si>
    <t>Расходы в рамках реализации муниципальной программы «Развитие градостроительства на территории города Ставрополя»</t>
  </si>
  <si>
    <t>05 Б 00 00000</t>
  </si>
  <si>
    <t>Основное мероприятие «Подготовка документов территориального планирования города Ставрополя, в том числе разработка проектов планировки территорий города Ставрополя (проектов планировки, проектов межевания)»</t>
  </si>
  <si>
    <t>05 Б 01 00000</t>
  </si>
  <si>
    <t>Расходы на подготовку документов территориального планирования города Ставрополя</t>
  </si>
  <si>
    <t>05 Б 01 20390</t>
  </si>
  <si>
    <t>Основное мероприятие «Выполнение функций заказчика по разработке градостроительной документации о градостроительном планировании развития и застройки территории города Ставрополя и частей территории города Ставрополя»</t>
  </si>
  <si>
    <t>05 Б 02 00000</t>
  </si>
  <si>
    <t>Расходы на разработку градостроительной документации</t>
  </si>
  <si>
    <t>05 Б 02 21190</t>
  </si>
  <si>
    <t>Снос самовольных построек, хранение имущества, находившегося в самовольных постройках</t>
  </si>
  <si>
    <t>84 2 00 21210</t>
  </si>
  <si>
    <t>Основное мероприятие «Строительство и реконструкция зданий муниципальных  дошкольных и общеобразовательных учреждений на территории города Ставрополя»</t>
  </si>
  <si>
    <t>Бюджетные инвестиции</t>
  </si>
  <si>
    <t>Комитет по делам гражданской обороны и чрезвычайным ситуациям администрации города Ставрополя</t>
  </si>
  <si>
    <t>624</t>
  </si>
  <si>
    <t>Национальная безопасность и правоохранительная деятельность</t>
  </si>
  <si>
    <t>Предупреждение  и ликвидация  последствий чрезвычайных ситуаций природного и техногенного характера, гражданская оборона</t>
  </si>
  <si>
    <t>Основное мероприятие «Обеспечение безопасности людей на водных объектах города Ставрополя»</t>
  </si>
  <si>
    <t>15 3 02 00000</t>
  </si>
  <si>
    <t>Расходы на реализацию мероприятий, направленных на обеспечение безопасности на водных объектах города Ставрополя</t>
  </si>
  <si>
    <t>15 3 02 21290</t>
  </si>
  <si>
    <t>Подпрограмма «Осуществление мероприятий по гражданской обороне, защите населения и территорий от чрезвычайных ситуаций»</t>
  </si>
  <si>
    <t>16 1 00 00000</t>
  </si>
  <si>
    <t>Основное мероприятие «Осуществление подготовки и содержания в готовности необходимых сил и средств для защиты населения и территорий от чрезвычайных ситуаций»</t>
  </si>
  <si>
    <t>16 1 01 00000</t>
  </si>
  <si>
    <t>Расходы на реализацию мероприятий в области гражданской обороны, защиты населения и территории города Ставрополя от чрезвычайных ситуаций природного и техногенного характера, обеспечение безопасности людей на водных объектах</t>
  </si>
  <si>
    <t>16 1 01 20120</t>
  </si>
  <si>
    <t>Основное мероприятие «Проведение аварийно-спасательных работ и организация обучения населения города Ставрополя»</t>
  </si>
  <si>
    <t>16 1 02 00000</t>
  </si>
  <si>
    <t>16 1 02 11010</t>
  </si>
  <si>
    <t>16 1 03 00000</t>
  </si>
  <si>
    <t>16 1 03 20120</t>
  </si>
  <si>
    <t>Основное мероприятие «Обеспечение первичных мер пожарной безопасности»</t>
  </si>
  <si>
    <t>16 2 01 00000</t>
  </si>
  <si>
    <t>Обеспечение первичных мер пожарной безопасности в границах города Ставрополя</t>
  </si>
  <si>
    <t>16 2 01 20540</t>
  </si>
  <si>
    <t>Подпрограмма «Построение и развитие аппаратно-программного комплекса «Безопасный город» на территории города Ставрополя»</t>
  </si>
  <si>
    <t>16 3 00 00000</t>
  </si>
  <si>
    <t>Основное мероприятие  «Создание, эксплуатация и развитие системы обеспечения вызова экстренных оперативных служб по единому номеру «112» на территории города Ставрополя»</t>
  </si>
  <si>
    <t>16 3 01 00000</t>
  </si>
  <si>
    <t>16 3 01 11010</t>
  </si>
  <si>
    <t>Основное мероприятие «Выполнение работ по установке и поддержанию в постоянной готовности линейных комплектов муниципальной системы оповещения и информирования населения о возникновении чрезвычайных ситуаций на территории города Ставрополя»</t>
  </si>
  <si>
    <t>16 3 02 00000</t>
  </si>
  <si>
    <t>Расходы на реализацию мероприятий по обеспечению своевременного оповещения населения города Ставрополя об угрозе возникновения или о возникновении чрезвычайных ситуаций</t>
  </si>
  <si>
    <t>16 3 02 20690</t>
  </si>
  <si>
    <t>Основное мероприятие «Проектирование аппаратно-программного комплекса «Безопасный город» на территории города Ставрополя и построение сегмента обеспечения правопорядка и профилактики правонарушений, включая системы видеонаблюдения на территории города Ставрополя»</t>
  </si>
  <si>
    <t>16 3 03 00000</t>
  </si>
  <si>
    <t>16 3 03 20350</t>
  </si>
  <si>
    <t>Основное мероприятие «Развитие Центра технического обеспечения муниципального казенного учреждения «Единая дежурно-диспетчерская служба» города Ставрополя по ведению мониторинга состояния объектов с массовым пребыванием людей»</t>
  </si>
  <si>
    <t>16 3 04 00000</t>
  </si>
  <si>
    <t>16 3 04 20350</t>
  </si>
  <si>
    <t>Обеспечение деятельности комитета по делам гражданской обороны и чрезвычайным ситуациям администрации города Ставрополя</t>
  </si>
  <si>
    <t>85 0 00 00000</t>
  </si>
  <si>
    <t>Непрограммные расходы в рамках обеспечения деятельности комитета по делам гражданской обороны и чрезвычайным ситуациям администрации города Ставрополя</t>
  </si>
  <si>
    <t>85 1 00 00000</t>
  </si>
  <si>
    <t>85 1 00 10010</t>
  </si>
  <si>
    <t>85 1 00 10020</t>
  </si>
  <si>
    <t>Контрольно-счетная палата города Ставрополя</t>
  </si>
  <si>
    <t>643</t>
  </si>
  <si>
    <t>Обеспечение деятельности контрольно-счетной
палаты города Ставрополя</t>
  </si>
  <si>
    <t>86 0 00 00000</t>
  </si>
  <si>
    <t>Непрограммные расходы в рамках обеспечения деятельности контрольно-счетной палаты города Ставрополя</t>
  </si>
  <si>
    <t>86 1 00 00000</t>
  </si>
  <si>
    <t>86 1 00 10010</t>
  </si>
  <si>
    <t>86 1 00 10020</t>
  </si>
  <si>
    <t>ИТОГО:</t>
  </si>
  <si>
    <t>субвенции архивному отделу</t>
  </si>
  <si>
    <t>администрации города Ставрополя</t>
  </si>
  <si>
    <t>СВОДНАЯ БЮДЖЕТНАЯ РОСПИСЬ</t>
  </si>
  <si>
    <t>Раздел I. Бюджетные ассигнования</t>
  </si>
  <si>
    <t>по расходам бюджета города Ставрополя</t>
  </si>
  <si>
    <t>(в рублях)</t>
  </si>
  <si>
    <t xml:space="preserve">Наименование </t>
  </si>
  <si>
    <t>Коды по бюджетной классификации                     Российской Федерации</t>
  </si>
  <si>
    <t>Сумма</t>
  </si>
  <si>
    <t>ГРБС</t>
  </si>
  <si>
    <t>на 2018 год</t>
  </si>
  <si>
    <t>Приложение № 1 к приказу</t>
  </si>
  <si>
    <t>исполняющего обязанности заместителя</t>
  </si>
  <si>
    <t>главы администрации города Ставрополя,</t>
  </si>
  <si>
    <t>руководителя комитета финансов и бюджета</t>
  </si>
  <si>
    <t>заместителя руководителя комитета финансов</t>
  </si>
  <si>
    <t>и бюджета администрации города Ставрополя</t>
  </si>
  <si>
    <r>
      <t xml:space="preserve">от </t>
    </r>
    <r>
      <rPr>
        <sz val="12"/>
        <color theme="0"/>
        <rFont val="Times New Roman"/>
        <family val="1"/>
        <charset val="204"/>
      </rPr>
      <t xml:space="preserve">____ </t>
    </r>
    <r>
      <rPr>
        <sz val="12"/>
        <rFont val="Times New Roman"/>
        <family val="1"/>
        <charset val="204"/>
      </rPr>
      <t>ноября</t>
    </r>
    <r>
      <rPr>
        <sz val="12"/>
        <color theme="0"/>
        <rFont val="Times New Roman"/>
        <family val="1"/>
        <charset val="204"/>
      </rPr>
      <t xml:space="preserve"> </t>
    </r>
    <r>
      <rPr>
        <sz val="12"/>
        <rFont val="Times New Roman"/>
        <family val="1"/>
        <charset val="204"/>
      </rPr>
      <t>2017 года № ____</t>
    </r>
  </si>
  <si>
    <t>Исполняющий обязанности заместителя</t>
  </si>
  <si>
    <t>заместитель руководителя комитета финансов</t>
  </si>
  <si>
    <t>Т.Я. Гордиенко</t>
  </si>
  <si>
    <t>Раздел II. Бюджетные ассигнования</t>
  </si>
  <si>
    <t>по источникам финансирования дефицита бюджета города Ставрополя</t>
  </si>
  <si>
    <t>Код главного администратора источников финансирования дефицита бюджета города Ставрополя</t>
  </si>
  <si>
    <t>Код источника  финансирования дефицита бюджета города Ставрополя по бюджетной классификации</t>
  </si>
  <si>
    <t>Всего доходов бюджета города</t>
  </si>
  <si>
    <t>Всего расходов бюджета города</t>
  </si>
  <si>
    <t>Дефицит (-)/ профицит (+) бюджета горда</t>
  </si>
  <si>
    <t>Всего источников финансирования дефицита бюджета города</t>
  </si>
  <si>
    <t xml:space="preserve">Кредиты кредитных организаций в валюте Российской Федерации </t>
  </si>
  <si>
    <t>01 02 0000 00 0000 000</t>
  </si>
  <si>
    <t>Получение кредитов от кредитных организаций бюджетом городского округа в валюте Российской Федерации</t>
  </si>
  <si>
    <t>0102 0000 04 0000 710</t>
  </si>
  <si>
    <t>Погашение городским округом кредитов от кредитных организаций в валюте Российской Федерации</t>
  </si>
  <si>
    <t>0102 0000 04 0000 810</t>
  </si>
  <si>
    <t>Получение бюджетных кредитов от других бюджетов бюджетной системы Российской Федерации бюджетом городского округа в валюте Российской Федерации</t>
  </si>
  <si>
    <t>0103 0100 04 0000 710</t>
  </si>
  <si>
    <t>Погашение бюджетных кредитов, полученных  от других бюджетов бюджетной системы Российской Федерации  в валюте Российской Федерации</t>
  </si>
  <si>
    <t>0103 0100 04 0000 810</t>
  </si>
  <si>
    <t>Изменение остатков средств на счетах по учету средств бюджетов</t>
  </si>
  <si>
    <t>0105 0000 00 0000 000</t>
  </si>
  <si>
    <t>Увеличение прочих остатков денежных средств бюджета городского округа</t>
  </si>
  <si>
    <t>0105 0201 04 0000 510</t>
  </si>
  <si>
    <t>Уменьшение прочих остатков денежных средств бюджета городского округа</t>
  </si>
  <si>
    <t>0105 0201 04 0000 610</t>
  </si>
  <si>
    <t xml:space="preserve">Итого </t>
  </si>
  <si>
    <t>Субсидии на возмещение недополученных доходов
и (или) возмещение фактически понесенных затрат</t>
  </si>
  <si>
    <t>Субсидии (гранты в форме субсидий) на финансовое
обеспечение затрат, порядком (правилами) предоставления которых установлено требование о последующем подтверждении их использования в соответствии с условиями и (или) целями предоставления</t>
  </si>
  <si>
    <t>Cоздание условий для обеспечения безопасности граждан в местах массового пребывания людей на территории муниципальных образований за счет средств местного бюджета</t>
  </si>
  <si>
    <t>15 1 02 S7310</t>
  </si>
  <si>
    <t>Мероприятия по подготовке и проведению XXVI Всероссийского фестиваля «Российская студенческая весна»</t>
  </si>
  <si>
    <t>09 Б 02 77430</t>
  </si>
  <si>
    <t>Реализация проектов развития территорий муниципальных образований, основанных на местных инициативах, за счет внебюджетных источников</t>
  </si>
  <si>
    <t>07 2 07 G6420</t>
  </si>
  <si>
    <t>в том числе:</t>
  </si>
  <si>
    <t>средства физических лиц</t>
  </si>
  <si>
    <t>средства организаций</t>
  </si>
  <si>
    <t>Реализация проектов развития территорий муниципальных образований, основанных на местных инициативах</t>
  </si>
  <si>
    <t>07 2 07 S6420</t>
  </si>
  <si>
    <t>средства местного бюджета</t>
  </si>
  <si>
    <t xml:space="preserve">средства субсидии из бюджета Ставропольского края </t>
  </si>
  <si>
    <t>Основное мероприятие «Создание центра «Молодежное пространство «Лофт» на базе муниципального автономного учреждения культуры «Ставропольский Дворец культуры и спорта» города Ставрополя»</t>
  </si>
  <si>
    <t>07 2 07 00000</t>
  </si>
  <si>
    <t>Расходы на проведение мероприятий, связанных с ликвидацией муниципального бюджетного учреждения культуры «Музейно-выставочный комплекс «Моя страна. Моя история»</t>
  </si>
  <si>
    <t>98 1 00 21570</t>
  </si>
  <si>
    <t>04 3 04 G6420</t>
  </si>
  <si>
    <t>04 3 04 S6420</t>
  </si>
  <si>
    <t>72 2 00 00000</t>
  </si>
  <si>
    <t>Расходы на уплату налога на добавленную стоимость в связи с реализацией муниципального имущества физическим лицам</t>
  </si>
  <si>
    <t>72 2 00 20970</t>
  </si>
  <si>
    <t>Расходы за счет средств субсидии, выделяемой бюджету города Ставрополя из бюджета Ставропольского края на осуществление функций административного центра Ставропольского края, на содержание автомобильных дорог общего пользования местного значения с движением транспортных средств, осуществляющих регулярные перевозки по муниципальным маршрутам  регулярных  перевозок</t>
  </si>
  <si>
    <t>04 2 02 21030</t>
  </si>
  <si>
    <t>Cтроительство (реконструкция) объектов коммунальной инфраструктуры за счет средств местного бюджета</t>
  </si>
  <si>
    <t>04 3 04 S7241</t>
  </si>
  <si>
    <t>Подпрограмма «Профилактика терроризма, экстремизма, межнациональных (межэтнических) конфликтов в городе Ставрополе»</t>
  </si>
  <si>
    <t>Основное мероприятие «Сбор и анализ информации о состоянии  этноконфессиональных отношений и межнациональной напряженности, распространения идеологии терроризма в городе Ставрополе»</t>
  </si>
  <si>
    <t>Основное мероприятие «Разработка дизайн-проектов благоустройства дворовых и общественных территорий в городе Ставрополе и сметной документации на выполнение работ по благоустройству дворовых и общественных территорий в городе Ставрополе»</t>
  </si>
  <si>
    <t>Основное мероприятие «Повышение уровня антитеррористической защищенности мест массового пребывания людей на территории города Ставрополя и муниципальных учреждений города Ставрополя»</t>
  </si>
  <si>
    <t>15 1 04 00000</t>
  </si>
  <si>
    <t>15 1 04 20350</t>
  </si>
  <si>
    <t>Основное мероприятие «Организация и проведение информационно-пропагандистских мероприятий по разъяснению сущности терроризма и экстремизма, их общественной опасности»</t>
  </si>
  <si>
    <t>Основное мероприятие «Реализация профилактических мер, направленных на предупреждение экстремистской деятельности»</t>
  </si>
  <si>
    <t>15 1 03 00000</t>
  </si>
  <si>
    <t>15 1 03 20350</t>
  </si>
  <si>
    <t>Расходы за счет средств субсидии, выделяемой бюджету города Ставрополя из бюджета Ставропольского края на осуществление функций административного центра Ставропольского края, на ремонт автомобильных дорог общего пользования местного значения</t>
  </si>
  <si>
    <t>04 2 02 21410</t>
  </si>
  <si>
    <t xml:space="preserve">Расходы на реализацию мероприятий по содействию создания в субъектах Российской Федерации новых мест в общеобразовательных организациях </t>
  </si>
  <si>
    <t>01 2 01 R5200</t>
  </si>
  <si>
    <t>84 2 00 20200</t>
  </si>
  <si>
    <t>Основное мероприятие «Строительство, реконструкция и обустройство спортивных сооружений»</t>
  </si>
  <si>
    <t>08 1 04 00000</t>
  </si>
  <si>
    <t>Подготовка основания, приобретение, доставка, укладка, обустройство и сертификация футбольного поля с искусственным покрытием на территории города Ставрополя по адресу: проспект Юности, 5</t>
  </si>
  <si>
    <t>08 1 04 21380</t>
  </si>
  <si>
    <t>Расходы за счет средств субсидии, выделяемой бюджету города Ставрополя из бюджета Ставропольского края на осуществление функций административного центра Ставропольского края, на прочие мероприятия по благоустройству территории города Ставрополя</t>
  </si>
  <si>
    <t>04 3 04 20800</t>
  </si>
  <si>
    <t>15 1 04 S7310</t>
  </si>
  <si>
    <t>Предоставление молодым семьям, являющимися по состоянию на 01 января 2017 года  участниками подпрограммы «Обеспечение жильем молодых семей» федеральной целевой программы «Жилище» на 2015-2020 годы, нуждающимся в улучшении жилищных условий, имеющим трех и более детей, в которых один из супругов или родитель в неполной семье достигает в 2017 году возраста 36 лет, социальных выплат на приобретение (строительство) жилья в 2017 году, за счет средств краевого бюджета</t>
  </si>
  <si>
    <t>06 Б 01 77360</t>
  </si>
  <si>
    <t>82 2 00 00000</t>
  </si>
  <si>
    <t>82 2 00 20200</t>
  </si>
  <si>
    <t xml:space="preserve"> (тыс. руб.)</t>
  </si>
  <si>
    <t>Наименование показателя</t>
  </si>
  <si>
    <t>Мин.</t>
  </si>
  <si>
    <t>2018 год</t>
  </si>
  <si>
    <t>2019 год</t>
  </si>
  <si>
    <t>2020 год</t>
  </si>
  <si>
    <t>сдан в СГД 
2018 год</t>
  </si>
  <si>
    <t>сдан в СГД 
2019 год</t>
  </si>
  <si>
    <t>сдан в СГД 
2020 год</t>
  </si>
  <si>
    <t>отклонение 2018 от проекта, сданного в СГД</t>
  </si>
  <si>
    <t>отклонение 2019 от проекта, сданного в СГД</t>
  </si>
  <si>
    <t>отклонение 2020 от проекта, сданного в СГД</t>
  </si>
  <si>
    <t>Основное мероприятие «Сбор и анализ информации о состоянии  этноконфесси ональных отношений и межнациональной напряжен ности, распространения идеологии терроризма в городе Ставрополе»</t>
  </si>
  <si>
    <t>из них:</t>
  </si>
  <si>
    <t>остатки на 01.01.2018</t>
  </si>
  <si>
    <t>Проведение мероприятий по внесению сведений о границах муниципального образования города Ставрополя Ставропольского края в Единый государственный реестр недвижимости (в том числе проведение кадастровых работ, подготовка карты-плана территории)</t>
  </si>
  <si>
    <t>11 Б 02 21550</t>
  </si>
  <si>
    <t>Расходы на исполнение обязательств в рамках реализации муниципальных программ города Ставрополя, действовавших до 01.01.2017, за счет остатков на 01.01.2018</t>
  </si>
  <si>
    <t>98 2 00 00000</t>
  </si>
  <si>
    <t>Обеспечение мероприятий по переселению граждан из аварийного жилищного фонда в городе Ставрополе</t>
  </si>
  <si>
    <t>98 2 00 S6910</t>
  </si>
  <si>
    <t>выплата собственникам жилых помещений, находящихся в аварийных многоквартирных домах, включенных в программу переселения граждан из аварийного жилищного фонда в городе Ставрополе, возмещения за изымаемые для муниципальных нужд города Ставрополя жилые помещения</t>
  </si>
  <si>
    <t>06 Б 01 L4970</t>
  </si>
  <si>
    <t>Предоставление молодым семьям, являющимися по состоянию на 01 января 2017 года  участниками подпрограммы «Обеспечение жильем молодых семей» федеральной целевой программы «Жилище» на 2015 - 2020 годы, нуждающимся в улучшении жилищных условий, имеющим трех и более детей, в которых один из супругов или родитель в неполной семье достигает в 2017 году возраста 36 лет, социальных выплат на приобретение (строительство) жилья в 2017 году, за счет средств местного бюджета</t>
  </si>
  <si>
    <t>06 Б 01 S7360</t>
  </si>
  <si>
    <t>Расходы на повышение заработной платы работников муниципальных учреждений культуры города Ставрополя, педагогических работников муниципальных учреждений дополнительного образования детей города Ставрополя</t>
  </si>
  <si>
    <t>98 1 00 21520</t>
  </si>
  <si>
    <t>Проведение работ по капитальному ремонту кровель в муниципальных общеобразовательных организациях за счет средств местного бюджета</t>
  </si>
  <si>
    <t>01 1 06 S7300</t>
  </si>
  <si>
    <t>строительство и оборудование автогородка на базе муниципального автономного общеобразовательного учреждения гимназии № 24 города Ставрополя имени генерала-лейтенанта юстиции М.Г. Ядрова по улице 50 лет ВЛКСМ, 48 в городе Ставрополе</t>
  </si>
  <si>
    <t xml:space="preserve">Комитет культуры и молодежной политики администрации города Ставрополя
</t>
  </si>
  <si>
    <t xml:space="preserve">Предоставление компенсации расходов на уплату взноса на капитальный ремонт общего имущества в многоквартирном доме отдельным категориям граждан </t>
  </si>
  <si>
    <t>03 1 01 R4620</t>
  </si>
  <si>
    <t>Компенсация затрат по оплате проезда больным, направленным в федеральные учреждения здравоохранения</t>
  </si>
  <si>
    <t>03 2 01 80010</t>
  </si>
  <si>
    <t>Выплата ежемесячного пособия студенческим семьям, имеющим детей</t>
  </si>
  <si>
    <t>03 2 01 80040</t>
  </si>
  <si>
    <t>Выплата единовременного пособия семьям при рождении третьего по счету и последующих детей</t>
  </si>
  <si>
    <t>03 2 01 80050</t>
  </si>
  <si>
    <t>Выплата ежемесячного пособия лицам, осуществляющим уход за инвалидами I группы</t>
  </si>
  <si>
    <t>03 2 01 80090</t>
  </si>
  <si>
    <t>Ежегодная денежная выплата малообеспеченным многодетным семьям на каждого ребенка, учащегося в 1 - 4 классе образовательного учреждения</t>
  </si>
  <si>
    <t>03 2 01 80130</t>
  </si>
  <si>
    <t>Выплата единовременного пособия лицам, сопровождающим инвалидов или больных детей, направленных в федеральные учреждения здравоохранения, на питание и проживание</t>
  </si>
  <si>
    <t>03 2 01 80170</t>
  </si>
  <si>
    <t>Выплата единовременного пособия малоимущим семьям и малоимущим одиноко проживающим гражданам</t>
  </si>
  <si>
    <t>03 2 01 80200</t>
  </si>
  <si>
    <t xml:space="preserve">Расходы на предоставление субсидий социально ориентированным некоммерческим организациям, осуществляющим деятельность в области физической культуры и спорта на территории города Ставрополя  </t>
  </si>
  <si>
    <t>08 2 04 60150</t>
  </si>
  <si>
    <t>82 1 00 20050</t>
  </si>
  <si>
    <t>по мировому соглашению, заключенному между Межрайонной ИФНС России № 12 по Ставропольскому краю (кредитор) и Ставропольским муниципальным унитарным троллейбусным предприятием (должник), комитетом по управлению муниципальным имуществом города Ставрополя (третье лицо), комитетом городского хозяйства администрации города Ставрополя (третье лицо) на общую сумму 114 166,01 тыс. рублей</t>
  </si>
  <si>
    <t xml:space="preserve">реконструкция участка ул. Пирогова от разворотного круга по ул. Пирогова до ул. Доваторцев </t>
  </si>
  <si>
    <t>строительство участка сети дождевой канализации на территории «Русский лес» города Ставрополя (в том числе проектно-изыскательские работы)</t>
  </si>
  <si>
    <t>Cтроительство (реконструкция) объектов коммунальной инфраструктуры за счет средств краевого бюджета</t>
  </si>
  <si>
    <t>04 3 04 77241</t>
  </si>
  <si>
    <t>04 3 04 77330</t>
  </si>
  <si>
    <t>04 3 04 S7330</t>
  </si>
  <si>
    <t>строительство наземной стоянки автомобилей закрытого типа по адресу: г. Ставрополь, ул. Советская, 8 (в том числе проектно-изыскательские работы)</t>
  </si>
  <si>
    <t>Реализация мероприятий по благоустройству территорий в городе Ставрополе за счет средств краевого бюджета</t>
  </si>
  <si>
    <t>Реализация мероприятий по благоустройству территорий в городе Ставрополе за счет средств местного бюджета</t>
  </si>
  <si>
    <t>строительство дошкольного образовательного учреждения на 160 мест в 204 квартале г. Ставрополя, ул. Серова, 470/7 (в том числе проектно-изыскательские работы)</t>
  </si>
  <si>
    <t>строительство дошкольного образовательного учреждения на 280 мест в 530 квартале г. Ставрополя, ул. Тюльпановая, 2 (в том числе проектно-изыскательские работы)</t>
  </si>
  <si>
    <t>Приобретение объектов недвижимости в муниципальную собственность города Ставрополя</t>
  </si>
  <si>
    <t>01 2 01 40060</t>
  </si>
  <si>
    <t>строительство муниципального образовательного учреждения средней общеобразовательной школы на 1550 мест по ул. Пирогова в г. Ставрополе</t>
  </si>
  <si>
    <t>строительство муниципального образовательного учреждения средней общеобразовательной школы на 990 мест в 448 квартале г. Ставрополя, ул. Федеральная, 25  (в том числе проектно-изыскательские работы)</t>
  </si>
  <si>
    <t>строительство муниципального образовательного учреждения средней общеобразовательной школы на 1000 мест в 529 квартале г. Ставрополя, ул. Тухачевского, 30 а (в том числе проектно-изыскательские работы; строительно-монтажные работы) (остатки на 01.01.2018)</t>
  </si>
  <si>
    <t>остатки местные на 01.01.2018</t>
  </si>
  <si>
    <t>д.б.</t>
  </si>
  <si>
    <t>откл</t>
  </si>
  <si>
    <t>Бюджетные инвестиции на приобретение объектов недвижимого имущества в государственную (муниципальную) собственность</t>
  </si>
  <si>
    <t>412</t>
  </si>
  <si>
    <t>Субсидии бюджетным и автономным учреждениям, государственным (муниципальным) унитарным предприятиям на осуществление капитальных вложений в объекты капитального строительства государственной (муниципальной) собственности или приобретение объектов недвижимого имущества в государственную (муниципальную) собственность</t>
  </si>
  <si>
    <t>03 1 01 77220</t>
  </si>
  <si>
    <t>Субсидии (гранты в форме субсидий) на финансовое обеспечение затрат, порядком (правилами) предоставления которых установлено требование о последующем подтверждении их использования в соответствии с условиями и (или) целями предоставления</t>
  </si>
  <si>
    <t>(по состоянию на 31.03.2018)</t>
  </si>
  <si>
    <t>18Б0000000</t>
  </si>
  <si>
    <t>18Б0100000</t>
  </si>
  <si>
    <t>18Б0160080</t>
  </si>
  <si>
    <t>71 1 00 10050</t>
  </si>
  <si>
    <t>11Б0000000</t>
  </si>
  <si>
    <t>11Б0100000</t>
  </si>
  <si>
    <t>11Б0120030</t>
  </si>
  <si>
    <t>11Б0120070</t>
  </si>
  <si>
    <t>11Б0121120</t>
  </si>
  <si>
    <t>11Б0300000</t>
  </si>
  <si>
    <t>11Б0320340</t>
  </si>
  <si>
    <t>Cоздание условий для обеспечения безопасности граждан в местах массового пребывания людей на территории муниципальных образований за счет средств краевого бюджета</t>
  </si>
  <si>
    <t>15 1 04 77310</t>
  </si>
  <si>
    <t>15104S7310</t>
  </si>
  <si>
    <t>72 1 00 20050</t>
  </si>
  <si>
    <t>02Б0000000</t>
  </si>
  <si>
    <t>02Б0100000</t>
  </si>
  <si>
    <t>02Б0120160</t>
  </si>
  <si>
    <t>11Б0200000</t>
  </si>
  <si>
    <t>11Б0220180</t>
  </si>
  <si>
    <t>98200S6910</t>
  </si>
  <si>
    <t>06Б0000000</t>
  </si>
  <si>
    <t>06Б0100000</t>
  </si>
  <si>
    <t>06Б0177360</t>
  </si>
  <si>
    <t>06Б01L4970</t>
  </si>
  <si>
    <t>06Б01S7360</t>
  </si>
  <si>
    <t>10Б0000000</t>
  </si>
  <si>
    <t>10Б0100000</t>
  </si>
  <si>
    <t>10Б0120050</t>
  </si>
  <si>
    <t>10Б0200000</t>
  </si>
  <si>
    <t>10Б0220010</t>
  </si>
  <si>
    <t>17Б0000000</t>
  </si>
  <si>
    <t>17Б0100000</t>
  </si>
  <si>
    <t>17Б0120490</t>
  </si>
  <si>
    <t>Проведение работ по капитальному ремонту кровель в муниципальных общеобразовательных организациях за счет средств краевого бюджета</t>
  </si>
  <si>
    <t>01 1 06 77300</t>
  </si>
  <si>
    <t>01106S7300</t>
  </si>
  <si>
    <t>18Б0200000</t>
  </si>
  <si>
    <t>18Б0220360</t>
  </si>
  <si>
    <t>01106S6690</t>
  </si>
  <si>
    <t>09Б0000000</t>
  </si>
  <si>
    <t>09Б0100000</t>
  </si>
  <si>
    <t>09Б0120460</t>
  </si>
  <si>
    <t>09Б0200000</t>
  </si>
  <si>
    <t>09Б0220460</t>
  </si>
  <si>
    <t>09Б0277430</t>
  </si>
  <si>
    <t>09Б0300000</t>
  </si>
  <si>
    <t>09Б0320460</t>
  </si>
  <si>
    <t>09Б0400000</t>
  </si>
  <si>
    <t>09Б0420460</t>
  </si>
  <si>
    <t>09Б0500000</t>
  </si>
  <si>
    <t>09Б0520460</t>
  </si>
  <si>
    <t>09Б0600000</t>
  </si>
  <si>
    <t>09Б0611010</t>
  </si>
  <si>
    <t>07204L5194</t>
  </si>
  <si>
    <t>07207G6420</t>
  </si>
  <si>
    <t>07207S6420</t>
  </si>
  <si>
    <t>77 1 00 10050</t>
  </si>
  <si>
    <t>Выплата социального пособия на погребение</t>
  </si>
  <si>
    <t>03 1 01 76250</t>
  </si>
  <si>
    <t>03101R4620</t>
  </si>
  <si>
    <t>03102R0840</t>
  </si>
  <si>
    <t>03301S0270</t>
  </si>
  <si>
    <t>11Б0120840</t>
  </si>
  <si>
    <t>04304G6420</t>
  </si>
  <si>
    <t>04304S6420</t>
  </si>
  <si>
    <t>83 1 00 10050</t>
  </si>
  <si>
    <t>Расходы на уплату административного штрафа</t>
  </si>
  <si>
    <t>83 1 00 21040</t>
  </si>
  <si>
    <t>02Б0200000</t>
  </si>
  <si>
    <t>02Б0220560</t>
  </si>
  <si>
    <t>04202S6460</t>
  </si>
  <si>
    <t>04304S7241</t>
  </si>
  <si>
    <t>17Б0200000</t>
  </si>
  <si>
    <t>17Б0220490</t>
  </si>
  <si>
    <t>20Б0000000</t>
  </si>
  <si>
    <t>20Б0100000</t>
  </si>
  <si>
    <t>20Б01L5550</t>
  </si>
  <si>
    <t>20Б0200000</t>
  </si>
  <si>
    <t>20Б02L5550</t>
  </si>
  <si>
    <t>20Б0300000</t>
  </si>
  <si>
    <t>20Б0320300</t>
  </si>
  <si>
    <t>84 1 00 20050</t>
  </si>
  <si>
    <t>84 1 00 21040</t>
  </si>
  <si>
    <t>05Б0000000</t>
  </si>
  <si>
    <t>05Б0100000</t>
  </si>
  <si>
    <t>05Б0120390</t>
  </si>
  <si>
    <t>05Б0200000</t>
  </si>
  <si>
    <t>05Б0221190</t>
  </si>
  <si>
    <t>04304S7330</t>
  </si>
  <si>
    <t>98 2 00 20800</t>
  </si>
  <si>
    <t>01201R5200</t>
  </si>
  <si>
    <t>Основное мероприятие «Создание сценическо-концертной площадки с подземной автостоянкой в 52 квартале города Ставрополя»</t>
  </si>
  <si>
    <t>07 2 13 00000</t>
  </si>
  <si>
    <t>Расходы на строительство сценическо-концертной площадки с подземной автостоянкой в 52 квартале города Ставрополя за счет средств субсидии, выделяемой бюджету города Ставрополя из бюджета Ставропольского края на осуществление функций административного центра Ставропольского края</t>
  </si>
  <si>
    <t>07 2 13 40020</t>
  </si>
  <si>
    <t>Субсидии на компенсацию расходов по повышению заработной платы муниципальных служащих муниципальной службы и лиц, не замещающих должности муниципальной службы и исполняющих обязанности по техническому обеспечению деятельности органов местного самоуправления муниципальных образований, а также работников муниципальных учреждений, за исключением отдельных категорий работников муниципальных учреждений, которым повышение заработной платы осуществляется в соответствии с указами Президента Российской Федерации от 7 мая 2012 года № 597 «О мероприятиях по реализации государственной социальной политики», от 1 июня 2012 года № 761 «О Национальной стратегии действий в интересах детей на 2012-2017 годы» и от 28 декабря 2012 года № 1688 «О некоторых мерах по реализации государственной политики в сфере защиты детей-сирот и детей, оставшихся без попечения родителей»</t>
  </si>
  <si>
    <t>70 1 00 77460</t>
  </si>
  <si>
    <t>70 2 00 77460</t>
  </si>
  <si>
    <t>70 3 00 77460</t>
  </si>
  <si>
    <t>71 2 00 77460</t>
  </si>
  <si>
    <t>71 1 00 77460</t>
  </si>
  <si>
    <t>14 2 04 77460</t>
  </si>
  <si>
    <t>72 1 00 77460</t>
  </si>
  <si>
    <t>Приобретение коммунальной техники для муниципальных нужд за счет средств местного бюджета</t>
  </si>
  <si>
    <t>04 2 02 S7480</t>
  </si>
  <si>
    <t>Предоставление молодым семьям социальных выплат на приобретение (строительство) жилья, нуждающимся в улучшении жилищных условий, имеющим одного или двух детей, а также, не имеющим детей, социальных выплат на приобретение (строительство) жилья в 2018 году за счет средств местного бюджета</t>
  </si>
  <si>
    <t>06 Б 01 S4970</t>
  </si>
  <si>
    <t>73 1 00 77460</t>
  </si>
  <si>
    <t>74 1 00 77460</t>
  </si>
  <si>
    <t>01 1 01 77460</t>
  </si>
  <si>
    <t>01 1 02 77460</t>
  </si>
  <si>
    <t>Проведение работ по замене оконных блоков в муниципальных образовательных организациях Ставропольского края</t>
  </si>
  <si>
    <t xml:space="preserve">Проведение работ по капитальному ремонту кровель в муниципальных общеобразовательных организациях </t>
  </si>
  <si>
    <t>Проведение работ по капитальному ремонту кровель в муниципальных общеобразовательных организациях  за счет средств бюджета Старвопольского края</t>
  </si>
  <si>
    <t>01 1 03 77460</t>
  </si>
  <si>
    <t>01 1 04 77460</t>
  </si>
  <si>
    <t>01 1 08 77460</t>
  </si>
  <si>
    <t>75 1 00 77460</t>
  </si>
  <si>
    <t xml:space="preserve">Компенсация в денежном эквиваленте за питание обучающихся с ограниченными возможностями здоровья, получающих образование на дому </t>
  </si>
  <si>
    <t>01 1 02 80260</t>
  </si>
  <si>
    <t>07 2 01 77460</t>
  </si>
  <si>
    <t>09 Б 06 77460</t>
  </si>
  <si>
    <t>Повышение заработной платы работников муниципальных учреждений культуры за счет средств бюджета Ставропольского края</t>
  </si>
  <si>
    <t>07 2 02 77090</t>
  </si>
  <si>
    <t>Повышение заработной платы работников муниципальных учреждений культуры за счет средств местного бюджета</t>
  </si>
  <si>
    <t>07 2 02 S7090</t>
  </si>
  <si>
    <t>07 2 03 77090</t>
  </si>
  <si>
    <t>07 2 03 S7090</t>
  </si>
  <si>
    <t>07 2 04 77090</t>
  </si>
  <si>
    <t>Поддержка отрасли культура (комплектование книжных фондов библиотек муниципальных образований)</t>
  </si>
  <si>
    <t xml:space="preserve">средства бюджета Ставропольского края </t>
  </si>
  <si>
    <t>07 2 04 S7090</t>
  </si>
  <si>
    <t>07 2 05 77090</t>
  </si>
  <si>
    <t>07 2 05 S7090</t>
  </si>
  <si>
    <t>Субсидия муниципальному автономному учреждению культуры «Ставропольский Дворец культуры и спорта» города Ставрополя на приобретение комплектов оборудования для установки на многоуровневой парковке рядом с объектом здравоохранения «Ставропольский клинический перинатальный центр» (в том числе монтаж, пуско-наладочные работы)</t>
  </si>
  <si>
    <t>98 1 00 21590</t>
  </si>
  <si>
    <t>76 1 00 77460</t>
  </si>
  <si>
    <t>77 1 00 77460</t>
  </si>
  <si>
    <t>08 1 01 77460</t>
  </si>
  <si>
    <t>08 1 02 77460</t>
  </si>
  <si>
    <t>78 1 00 77460</t>
  </si>
  <si>
    <t>80 1 00 77460</t>
  </si>
  <si>
    <t>80 1 00 20050</t>
  </si>
  <si>
    <t>Расходы  на осуществление функций административного центра Ставропольского края за счет средств  краевого бюджета на содержание центральной части города Ставрополя</t>
  </si>
  <si>
    <t>04 3 04 76416</t>
  </si>
  <si>
    <t>81 1 00 77460</t>
  </si>
  <si>
    <t xml:space="preserve">10 </t>
  </si>
  <si>
    <t>Предоставление субсидии индивидуальному предпринимателю Мурга Е.В. на частичное возмещение затрат, связанных с временным размещением граждан, пострадавших в результате оползня на территории дачного некоммерческого товарищества «Ягодка» города Ставрополя, произошедшего по причине продолжительных дождей, в гостинице «Эльбрус»</t>
  </si>
  <si>
    <t>98 1 00 21560</t>
  </si>
  <si>
    <t>82 1 00 77460</t>
  </si>
  <si>
    <t>Расходы  на осуществление функций административного центра Ставропольского края за счет средств краевого бюджета на содержание автомобильных дорог общего пользования местного значения</t>
  </si>
  <si>
    <t>04 2 02 76417</t>
  </si>
  <si>
    <t>Расходы за счет средств резервного фонда Правительства Ставропольского края</t>
  </si>
  <si>
    <t>82 2 00 76900</t>
  </si>
  <si>
    <t>Предоставление дополнительных мер социальной поддержки гражданам, пострадавшим в результате внезапного частичного обрушения многоквартирного дома по адресу: город Ставрополь, улица Бруснева, дом 4</t>
  </si>
  <si>
    <t>03 2 01 80270</t>
  </si>
  <si>
    <t>Предоставление субсидии индивидуальному предпринимателю Мурга Е.В. на частичное возмещение затрат, связанных с временным размещением граждан, пострадавших в результате внезапного обрушения части торцевой стены многоквартирного дома, расположенного по адресу: город Ставрополь, улица Бруснева, дом 4, в гостинице «Эльбрус»</t>
  </si>
  <si>
    <t>98 1 00 21610</t>
  </si>
  <si>
    <t>04 3 01 77460</t>
  </si>
  <si>
    <t>04 2 01 77460</t>
  </si>
  <si>
    <t>строительство участка проспекта Российского от улицы Тухачевского до улицы Перспективной в городе Ставрополе (корректировка и экспертиза проектно-сметной документации)</t>
  </si>
  <si>
    <t xml:space="preserve">Расходы  на осуществление функций административного центра Ставропольского края за счет средств краевого бюджета на ремонт автомобильных дорог общего пользования местного значения </t>
  </si>
  <si>
    <t>04 2 02 76411</t>
  </si>
  <si>
    <t>Расходы  на осуществление функций административного центра Ставропольского края за счет средств краевого бюджета на ремонт тротуаров на территории города Ставрополя</t>
  </si>
  <si>
    <t>04 2 02 76412</t>
  </si>
  <si>
    <t>Расходы на осуществление функций административного центра Ставропольского края за счет средств краевого бюджета на благоустройство территории, прилегающей к физкультурно-оздоровительному комплексу с крытым катком, расположенному по адресу: город Ставрополь, квартал 525, улица Тухачевского, 6/1: устройство переходно-скоростной полосы с ул. Тухачевского на ул. 50 лет ВЛКСМ с установкой остановочного пункта, созданием парковочных мест, велодорожки, ремонтом сети дождевой канализации, переносом опор троллейбусно-контактной сети</t>
  </si>
  <si>
    <t>04 2 02 76414</t>
  </si>
  <si>
    <t xml:space="preserve">Капитальный ремонт и ремонт автомобильных дорог общего пользования местного значения за счет средств краевого бюджета </t>
  </si>
  <si>
    <t>04 2 02 76460</t>
  </si>
  <si>
    <t>Cтроительство и реконструкция автомобильных дорог общего пользования местного значения за счет средств краевого бюджета</t>
  </si>
  <si>
    <t>04 2 02 76490</t>
  </si>
  <si>
    <t>строительство участка проспекта Российского от улицы Тухачевского до улицы Перспективной в городе Ставрополе</t>
  </si>
  <si>
    <t xml:space="preserve">Расходы  на осуществление функций административного центра Ставропольского края за счет средств местного бюджета на ремонт автомобильных дорог общего пользования местного значения </t>
  </si>
  <si>
    <t>04 2 02 S6411</t>
  </si>
  <si>
    <t>Cтроительство и реконструкция автомобильных дорог общего пользования местного значения за счет средств местного бюджета</t>
  </si>
  <si>
    <t>04 2 02 S6490</t>
  </si>
  <si>
    <t>04 2 03 77460</t>
  </si>
  <si>
    <t>Основное мероприятие «Благоустройство и инженерное обеспечение территорий садоводческих, огороднических и дачных некоммерческих объединений граждан, расположенных на территории города Ставрополя»</t>
  </si>
  <si>
    <t>Инженерное обеспечение территорий садоводческих, огороднических и дачных некоммерческих объединений граждан, расположенных на территории города Ставрополя</t>
  </si>
  <si>
    <t>02 Б 01 60050</t>
  </si>
  <si>
    <t>04 3 04 40010</t>
  </si>
  <si>
    <t xml:space="preserve">разработка проектно-сметной документации на реконструкцию гидротехнического сооружения - плотины на водном объекте Комсомольский пруд </t>
  </si>
  <si>
    <t>Расходы  на осуществление функций административного центра Ставропольского края за счет средств краевого бюджета на проведение мероприятий по озеленению территории города Ставрополя</t>
  </si>
  <si>
    <t>04 3 04 76413</t>
  </si>
  <si>
    <t>Расходы на осуществление функций административного центра Ставропольского края за счет средств краевого бюджета на благоустройство территории, прилегающей к физкультурно-оздоровительному комплексу с крытым катком, расположенному по адресу: город Ставрополь, квартал 525, улица Тухачевского, 6/1: озеленение, уличное освещение, ремонт инженерных  сетей</t>
  </si>
  <si>
    <t>04 3 04 76415</t>
  </si>
  <si>
    <t>04 3 04 77460</t>
  </si>
  <si>
    <t>Расходы  на осуществление функций административного центра Ставропольского края за счет средств местного бюджета на проведение мероприятий по озеленению территории города Ставрополя</t>
  </si>
  <si>
    <t>04 3 04 S6413</t>
  </si>
  <si>
    <t>Реализация мероприятий по благоустройству территорий в городе Ставрополе  за счет средств местного бюджета</t>
  </si>
  <si>
    <t>Поддержка муниципальных программ формирования современной городской среды</t>
  </si>
  <si>
    <t>Основное мероприятие «Разработка дизайн-проектов благоустройства дворовых и общественных территорий в городе Ставрополе, разработка сметной документации на выполнение работ по благоустройству дворовых и общественных территорий в городе Ставрополе (в том числе проведение проверки правильности применения сметных нормативов, индексов и методологии выполнения сметной документации на благоустройство дворовых и общественных территорий в городе Ставрополе)»</t>
  </si>
  <si>
    <t>83 1 00 77460</t>
  </si>
  <si>
    <t>84 1 00 77460</t>
  </si>
  <si>
    <t>строительство объекта «Многоуровневая парковка рядом с  объектом здравоохранения «Ставропольский клинический перинатальный центр» (в том числе проектно-изыскательские работы)</t>
  </si>
  <si>
    <t>приобретение в муниципальную собственность дошкольного образовательного учреждения на 300 мест в Юго-Западном районе  г. Ставрополя</t>
  </si>
  <si>
    <t>Реализация мероприятий по содействию созданию новых мест в общеобразовательных организациях</t>
  </si>
  <si>
    <t>01 2 01 L5200</t>
  </si>
  <si>
    <t>средства субсидии из федерального бюджета</t>
  </si>
  <si>
    <t>строительство муниципального образовательного учреждения средней общеобразовательной школы на 1000 мест в 529 квартале г. Ставрополя, ул. Тухачевского, 30а (в том числе проектно-изыскательские работы; строительно-монтажные работы) за счет средств краевого бюджета (остатки на 01.01.2018)</t>
  </si>
  <si>
    <t>строительство сценическо-концертной площадки с подземной автостоянкой в 52 квартале города Ставрополя (остатки на 01.01.2018)</t>
  </si>
  <si>
    <t>16 1 02 77460</t>
  </si>
  <si>
    <t>16 3 01 77460</t>
  </si>
  <si>
    <t>85 1 00 77460</t>
  </si>
  <si>
    <t>86 1 00 77460</t>
  </si>
  <si>
    <t>остатки межбюдж на 01.01.2018</t>
  </si>
  <si>
    <t>60001037010010010122</t>
  </si>
  <si>
    <t>60001037010010010123</t>
  </si>
  <si>
    <t>60001037010010010129</t>
  </si>
  <si>
    <t>60001037010010010244</t>
  </si>
  <si>
    <t>60001037010010010851</t>
  </si>
  <si>
    <t>60001037010010010852</t>
  </si>
  <si>
    <t>60001037010010020121</t>
  </si>
  <si>
    <t>60001037010010020129</t>
  </si>
  <si>
    <t>60001037020010010122</t>
  </si>
  <si>
    <t>60001037020010010129</t>
  </si>
  <si>
    <t>60001037020010020121</t>
  </si>
  <si>
    <t>60001037020010020129</t>
  </si>
  <si>
    <t>60001037030010010122</t>
  </si>
  <si>
    <t>60001037030010010129</t>
  </si>
  <si>
    <t>60001037030010020121</t>
  </si>
  <si>
    <t>60001037030010020129</t>
  </si>
  <si>
    <t>60001137040020090244</t>
  </si>
  <si>
    <t>60012017040098710244</t>
  </si>
  <si>
    <t>60012027040098710244</t>
  </si>
  <si>
    <t>60101027120010010122</t>
  </si>
  <si>
    <t>60101027120010010129</t>
  </si>
  <si>
    <t>60101027120010020121</t>
  </si>
  <si>
    <t>60101027120010020129</t>
  </si>
  <si>
    <t>60101047110010010122</t>
  </si>
  <si>
    <t>60101047110010010129</t>
  </si>
  <si>
    <t>60101047110010010244</t>
  </si>
  <si>
    <t>60101047110010010852</t>
  </si>
  <si>
    <t>60101047110010010853</t>
  </si>
  <si>
    <t>60101047110010020121</t>
  </si>
  <si>
    <t>60101047110010020129</t>
  </si>
  <si>
    <t>60101047110076630121</t>
  </si>
  <si>
    <t>60101047110076630129</t>
  </si>
  <si>
    <t>60101047110076630244</t>
  </si>
  <si>
    <t>60101047110076930244</t>
  </si>
  <si>
    <t>60101059810051200244</t>
  </si>
  <si>
    <t>60101131220320040853</t>
  </si>
  <si>
    <t>60101131220320090244</t>
  </si>
  <si>
    <t>60101131320120620244</t>
  </si>
  <si>
    <t>60101131410120630244</t>
  </si>
  <si>
    <t>60101131410220630244</t>
  </si>
  <si>
    <t>60101131420120710244</t>
  </si>
  <si>
    <t>60101131420220710244</t>
  </si>
  <si>
    <t>60101131420320710244</t>
  </si>
  <si>
    <t>60101131420411010111</t>
  </si>
  <si>
    <t>60101131420411010112</t>
  </si>
  <si>
    <t>60101131420411010119</t>
  </si>
  <si>
    <t>60101131420411010244</t>
  </si>
  <si>
    <t>60101131420411010851</t>
  </si>
  <si>
    <t>60101131420411010852</t>
  </si>
  <si>
    <t>60101131420411010853</t>
  </si>
  <si>
    <t>60101131510120350244</t>
  </si>
  <si>
    <t>60101131510220350244</t>
  </si>
  <si>
    <t>60101131510320350244</t>
  </si>
  <si>
    <t>60101131520120370244</t>
  </si>
  <si>
    <t>60101131520220370244</t>
  </si>
  <si>
    <t>60101131520220370350</t>
  </si>
  <si>
    <t>60101131520320370244</t>
  </si>
  <si>
    <t>60101131520320370350</t>
  </si>
  <si>
    <t>60101131530320100350</t>
  </si>
  <si>
    <t>601011318Б0160080631</t>
  </si>
  <si>
    <t>60101137110011010111</t>
  </si>
  <si>
    <t>60101137110011010112</t>
  </si>
  <si>
    <t>60101137110011010119</t>
  </si>
  <si>
    <t>60101137110011010244</t>
  </si>
  <si>
    <t>60101137110011010851</t>
  </si>
  <si>
    <t>60101137110011010852</t>
  </si>
  <si>
    <t>60101137110011010853</t>
  </si>
  <si>
    <t>60101137110020050831</t>
  </si>
  <si>
    <t>60101139810076610121</t>
  </si>
  <si>
    <t>60101139810076610129</t>
  </si>
  <si>
    <t>60104121210160130811</t>
  </si>
  <si>
    <t>60104121210160130812</t>
  </si>
  <si>
    <t>60104121210220480634</t>
  </si>
  <si>
    <t>60104121210320480244</t>
  </si>
  <si>
    <t>60104121220120650244</t>
  </si>
  <si>
    <t>60104121220220640244</t>
  </si>
  <si>
    <t>60104121220220640813</t>
  </si>
  <si>
    <t>60107051310120450244</t>
  </si>
  <si>
    <t>60108010710120060244</t>
  </si>
  <si>
    <t>60112011410398710244</t>
  </si>
  <si>
    <t>60112021410398710244</t>
  </si>
  <si>
    <t>60112021410498720811</t>
  </si>
  <si>
    <t>602011311Б0120030244</t>
  </si>
  <si>
    <t>602011311Б0120030852</t>
  </si>
  <si>
    <t>602011311Б0120070244</t>
  </si>
  <si>
    <t>602011311Б0121120244</t>
  </si>
  <si>
    <t>602011311Б0320340244</t>
  </si>
  <si>
    <t>60201137210010010122</t>
  </si>
  <si>
    <t>60201137210010010129</t>
  </si>
  <si>
    <t>60201137210010010244</t>
  </si>
  <si>
    <t>60201137210010010851</t>
  </si>
  <si>
    <t>60201137210010010852</t>
  </si>
  <si>
    <t>60201137210010010853</t>
  </si>
  <si>
    <t>60201137210010020121</t>
  </si>
  <si>
    <t>60201137210010020129</t>
  </si>
  <si>
    <t>602041202Б0120160244</t>
  </si>
  <si>
    <t>602041211Б0220180244</t>
  </si>
  <si>
    <t>602100306Б01L4970322</t>
  </si>
  <si>
    <t>60401067310010010122</t>
  </si>
  <si>
    <t>60401067310010010129</t>
  </si>
  <si>
    <t>60401067310010010244</t>
  </si>
  <si>
    <t>60401067310010010851</t>
  </si>
  <si>
    <t>60401067310010010852</t>
  </si>
  <si>
    <t>60401067310010010853</t>
  </si>
  <si>
    <t>60401067310010020121</t>
  </si>
  <si>
    <t>60401067310010020129</t>
  </si>
  <si>
    <t>60401119810020020870</t>
  </si>
  <si>
    <t>604011310Б0120050831</t>
  </si>
  <si>
    <t>60401139810010050880</t>
  </si>
  <si>
    <t>60401139810021440880</t>
  </si>
  <si>
    <t>604130110Б0220010730</t>
  </si>
  <si>
    <t>60501131530120660244</t>
  </si>
  <si>
    <t>60501137410010010122</t>
  </si>
  <si>
    <t>60501137410010010129</t>
  </si>
  <si>
    <t>60501137410010010244</t>
  </si>
  <si>
    <t>60501137410010010851</t>
  </si>
  <si>
    <t>60501137410010010852</t>
  </si>
  <si>
    <t>60501137410010010853</t>
  </si>
  <si>
    <t>60501137410010020121</t>
  </si>
  <si>
    <t>60501137410010020129</t>
  </si>
  <si>
    <t>60508010710120060244</t>
  </si>
  <si>
    <t>60510030320280240811</t>
  </si>
  <si>
    <t>60607010110111010611</t>
  </si>
  <si>
    <t>60607010110111010612</t>
  </si>
  <si>
    <t>60607010110111010621</t>
  </si>
  <si>
    <t>60607010110177170611</t>
  </si>
  <si>
    <t>60607010110177170621</t>
  </si>
  <si>
    <t>60607010110177170632</t>
  </si>
  <si>
    <t>60607010110611010612</t>
  </si>
  <si>
    <t>60607011510420350612</t>
  </si>
  <si>
    <t>60607011620220550612</t>
  </si>
  <si>
    <t>60607011620220550622</t>
  </si>
  <si>
    <t>606070117Б0120490612</t>
  </si>
  <si>
    <t>60607020110211010611</t>
  </si>
  <si>
    <t>60607020110211010612</t>
  </si>
  <si>
    <t>60607020110211010621</t>
  </si>
  <si>
    <t>60607020110211010622</t>
  </si>
  <si>
    <t>60607020110211010632</t>
  </si>
  <si>
    <t>60607020110277160611</t>
  </si>
  <si>
    <t>60607020110277160621</t>
  </si>
  <si>
    <t>60607020110277160632</t>
  </si>
  <si>
    <t>60607020110611010612</t>
  </si>
  <si>
    <t>60607020120140010465</t>
  </si>
  <si>
    <t>60607021510420350612</t>
  </si>
  <si>
    <t>60607021520220370612</t>
  </si>
  <si>
    <t>60607021530120660612</t>
  </si>
  <si>
    <t>60607021620220550612</t>
  </si>
  <si>
    <t>60607021620220550622</t>
  </si>
  <si>
    <t>606070217Б0120490612</t>
  </si>
  <si>
    <t>606070218Б0220360612</t>
  </si>
  <si>
    <t>60607030110311010611</t>
  </si>
  <si>
    <t>60607030110311010621</t>
  </si>
  <si>
    <t>60607031520220370612</t>
  </si>
  <si>
    <t>60607031530120660612</t>
  </si>
  <si>
    <t>60607031620220550612</t>
  </si>
  <si>
    <t>60607031620220550622</t>
  </si>
  <si>
    <t>60607070110411010621</t>
  </si>
  <si>
    <t>60607070110420330612</t>
  </si>
  <si>
    <t>60607071620220550622</t>
  </si>
  <si>
    <t>60607090110520240244</t>
  </si>
  <si>
    <t>60607090110520240612</t>
  </si>
  <si>
    <t>60607090110520240622</t>
  </si>
  <si>
    <t>60607090110811010611</t>
  </si>
  <si>
    <t>60607091620220550612</t>
  </si>
  <si>
    <t>60607097510010010122</t>
  </si>
  <si>
    <t>60607097510010010129</t>
  </si>
  <si>
    <t>60607097510010010244</t>
  </si>
  <si>
    <t>60607097510010010851</t>
  </si>
  <si>
    <t>60607097510010010852</t>
  </si>
  <si>
    <t>60607097510010010853</t>
  </si>
  <si>
    <t>60607097510010020121</t>
  </si>
  <si>
    <t>60607097510010020129</t>
  </si>
  <si>
    <t>60607097510011010111</t>
  </si>
  <si>
    <t>60607097510011010119</t>
  </si>
  <si>
    <t>60607097510011010244</t>
  </si>
  <si>
    <t>60607097510076200121</t>
  </si>
  <si>
    <t>60607097510076200122</t>
  </si>
  <si>
    <t>60607097510076200129</t>
  </si>
  <si>
    <t>60607097510076200244</t>
  </si>
  <si>
    <t>60610040110176140244</t>
  </si>
  <si>
    <t>60610040110176140313</t>
  </si>
  <si>
    <t>60610040110778110323</t>
  </si>
  <si>
    <t>60610040110778120323</t>
  </si>
  <si>
    <t>60610040110778130323</t>
  </si>
  <si>
    <t>60610040110778140323</t>
  </si>
  <si>
    <t>60701139810020110244</t>
  </si>
  <si>
    <t>60701139810020110360</t>
  </si>
  <si>
    <t>60701139810020110853</t>
  </si>
  <si>
    <t>60701139810020110862</t>
  </si>
  <si>
    <t>60707030710120060611</t>
  </si>
  <si>
    <t>60707030710120060621</t>
  </si>
  <si>
    <t>60707030720111010611</t>
  </si>
  <si>
    <t>60707030720111010621</t>
  </si>
  <si>
    <t>60707030720821230612</t>
  </si>
  <si>
    <t>60707030720921280612</t>
  </si>
  <si>
    <t>60707030720921280622</t>
  </si>
  <si>
    <t>60707031620220550612</t>
  </si>
  <si>
    <t>60707031620220550622</t>
  </si>
  <si>
    <t>60707070430420300244</t>
  </si>
  <si>
    <t>607070709Б0120460611</t>
  </si>
  <si>
    <t>607070709Б0220460244</t>
  </si>
  <si>
    <t>607070709Б0220460340</t>
  </si>
  <si>
    <t>607070709Б0220460350</t>
  </si>
  <si>
    <t>607070709Б0220460611</t>
  </si>
  <si>
    <t>607070709Б0320460611</t>
  </si>
  <si>
    <t>607070709Б0420460611</t>
  </si>
  <si>
    <t>607070709Б0520460611</t>
  </si>
  <si>
    <t>607070709Б0611010611</t>
  </si>
  <si>
    <t>60708010710120060611</t>
  </si>
  <si>
    <t>60708010710120060621</t>
  </si>
  <si>
    <t>60708010720211010611</t>
  </si>
  <si>
    <t>60708010720211010621</t>
  </si>
  <si>
    <t>60708010720311010611</t>
  </si>
  <si>
    <t>60708010720411010611</t>
  </si>
  <si>
    <t>607080107204L5194611</t>
  </si>
  <si>
    <t>60708010720511010611</t>
  </si>
  <si>
    <t>60708010720511010621</t>
  </si>
  <si>
    <t>60708010720620400612</t>
  </si>
  <si>
    <t>60708010720921280612</t>
  </si>
  <si>
    <t>60708011510320350612</t>
  </si>
  <si>
    <t>60708011620220550612</t>
  </si>
  <si>
    <t>607080117Б0120490612</t>
  </si>
  <si>
    <t>60708047610010010122</t>
  </si>
  <si>
    <t>60708047610010010129</t>
  </si>
  <si>
    <t>60708047610010010244</t>
  </si>
  <si>
    <t>60708047610010010851</t>
  </si>
  <si>
    <t>60708047610010010852</t>
  </si>
  <si>
    <t>60708047610010010853</t>
  </si>
  <si>
    <t>60708047610010020121</t>
  </si>
  <si>
    <t>60708047610010020129</t>
  </si>
  <si>
    <t>60708047620020250244</t>
  </si>
  <si>
    <t>609011311Б0121120244</t>
  </si>
  <si>
    <t>60908010710120060244</t>
  </si>
  <si>
    <t>60910030310152200244</t>
  </si>
  <si>
    <t>60910030310152200313</t>
  </si>
  <si>
    <t>60910030310152500244</t>
  </si>
  <si>
    <t>60910030310152500313</t>
  </si>
  <si>
    <t>60910030310152800244</t>
  </si>
  <si>
    <t>60910030310152800313</t>
  </si>
  <si>
    <t>60910030310176240313</t>
  </si>
  <si>
    <t>60910030310177220244</t>
  </si>
  <si>
    <t>60910030310177220313</t>
  </si>
  <si>
    <t>60910030310178210244</t>
  </si>
  <si>
    <t>60910030310178210313</t>
  </si>
  <si>
    <t>60910030310178220244</t>
  </si>
  <si>
    <t>60910030310178220313</t>
  </si>
  <si>
    <t>60910030310178230244</t>
  </si>
  <si>
    <t>60910030310178230313</t>
  </si>
  <si>
    <t>60910030310178240244</t>
  </si>
  <si>
    <t>60910030310178240313</t>
  </si>
  <si>
    <t>60910030310178250244</t>
  </si>
  <si>
    <t>60910030310178250313</t>
  </si>
  <si>
    <t>60910030310178260244</t>
  </si>
  <si>
    <t>60910030310178260313</t>
  </si>
  <si>
    <t>609100303101R4620244</t>
  </si>
  <si>
    <t>609100303101R4620313</t>
  </si>
  <si>
    <t>60910030310253800244</t>
  </si>
  <si>
    <t>60910030310253800313</t>
  </si>
  <si>
    <t>60910030310276260244</t>
  </si>
  <si>
    <t>60910030310276260313</t>
  </si>
  <si>
    <t>60910030310277190244</t>
  </si>
  <si>
    <t>60910030310277190313</t>
  </si>
  <si>
    <t>60910030310278280244</t>
  </si>
  <si>
    <t>60910030310278280313</t>
  </si>
  <si>
    <t>60910030320180030313</t>
  </si>
  <si>
    <t>60910030320180070313</t>
  </si>
  <si>
    <t>60910030320180080313</t>
  </si>
  <si>
    <t>60910030320180100313</t>
  </si>
  <si>
    <t>60910030320180110313</t>
  </si>
  <si>
    <t>60910030320180120313</t>
  </si>
  <si>
    <t>60910030320180140313</t>
  </si>
  <si>
    <t>60910030320180150313</t>
  </si>
  <si>
    <t>60910030320180160313</t>
  </si>
  <si>
    <t>60910030320180180313</t>
  </si>
  <si>
    <t>60910030320180190313</t>
  </si>
  <si>
    <t>60910030320180210313</t>
  </si>
  <si>
    <t>60910030320520500323</t>
  </si>
  <si>
    <t>60910030320620520244</t>
  </si>
  <si>
    <t>60910030320820510244</t>
  </si>
  <si>
    <t>60910030330120530323</t>
  </si>
  <si>
    <t>60910040310276270313</t>
  </si>
  <si>
    <t>609100403102R0840313</t>
  </si>
  <si>
    <t>60910060310152500121</t>
  </si>
  <si>
    <t>60910060310152500129</t>
  </si>
  <si>
    <t>60910060320760040632</t>
  </si>
  <si>
    <t>60910060330120530244</t>
  </si>
  <si>
    <t>60910060330120530851</t>
  </si>
  <si>
    <t>60910060330120530852</t>
  </si>
  <si>
    <t>609100603301S0270244</t>
  </si>
  <si>
    <t>60910067710010010122</t>
  </si>
  <si>
    <t>60910067710010010129</t>
  </si>
  <si>
    <t>60910067710010010244</t>
  </si>
  <si>
    <t>60910067710010010852</t>
  </si>
  <si>
    <t>60910067710010020121</t>
  </si>
  <si>
    <t>60910067710010020129</t>
  </si>
  <si>
    <t>60910067710076100121</t>
  </si>
  <si>
    <t>60910067710076100122</t>
  </si>
  <si>
    <t>60910067710076100129</t>
  </si>
  <si>
    <t>60910067710076100244</t>
  </si>
  <si>
    <t>60910067710076210121</t>
  </si>
  <si>
    <t>60910067710076210122</t>
  </si>
  <si>
    <t>60910067710076210129</t>
  </si>
  <si>
    <t>60910067710076210244</t>
  </si>
  <si>
    <t>60910067710076210851</t>
  </si>
  <si>
    <t>60910067710076210852</t>
  </si>
  <si>
    <t>61107030810111010611</t>
  </si>
  <si>
    <t>61107031620220550612</t>
  </si>
  <si>
    <t>61111010810211010611</t>
  </si>
  <si>
    <t>61111020810311010611</t>
  </si>
  <si>
    <t>61111020820120420113</t>
  </si>
  <si>
    <t>61111020820120420244</t>
  </si>
  <si>
    <t>61111020820220440244</t>
  </si>
  <si>
    <t>61111020820321060244</t>
  </si>
  <si>
    <t>61111057810010010122</t>
  </si>
  <si>
    <t>61111057810010010129</t>
  </si>
  <si>
    <t>61111057810010010244</t>
  </si>
  <si>
    <t>61111057810010010851</t>
  </si>
  <si>
    <t>61111057810010010852</t>
  </si>
  <si>
    <t>61111057810010020121</t>
  </si>
  <si>
    <t>61111057810010020129</t>
  </si>
  <si>
    <t>61111057810011010111</t>
  </si>
  <si>
    <t>61111057810011010119</t>
  </si>
  <si>
    <t>61111057810011010244</t>
  </si>
  <si>
    <t>61701048010010010122</t>
  </si>
  <si>
    <t>61701048010010010129</t>
  </si>
  <si>
    <t>61701048010010010244</t>
  </si>
  <si>
    <t>61701048010010010851</t>
  </si>
  <si>
    <t>61701048010010010852</t>
  </si>
  <si>
    <t>61701048010010020121</t>
  </si>
  <si>
    <t>61701048010010020129</t>
  </si>
  <si>
    <t>61701048010076200121</t>
  </si>
  <si>
    <t>61701048010076200122</t>
  </si>
  <si>
    <t>61701048010076200129</t>
  </si>
  <si>
    <t>61701048010076200244</t>
  </si>
  <si>
    <t>61701048010076360244</t>
  </si>
  <si>
    <t>617011311Б0120840244</t>
  </si>
  <si>
    <t>617011311Б0121120244</t>
  </si>
  <si>
    <t>61704090420220820244</t>
  </si>
  <si>
    <t>61704090420221090244</t>
  </si>
  <si>
    <t>61705010410120190243</t>
  </si>
  <si>
    <t>61705010410120190244</t>
  </si>
  <si>
    <t>61705030430420300244</t>
  </si>
  <si>
    <t>61705030430421070244</t>
  </si>
  <si>
    <t>61705030430421080244</t>
  </si>
  <si>
    <t>61708010710120060244</t>
  </si>
  <si>
    <t>61708010710121130244</t>
  </si>
  <si>
    <t>61801048110010010122</t>
  </si>
  <si>
    <t>61801048110010010129</t>
  </si>
  <si>
    <t>61801048110010010244</t>
  </si>
  <si>
    <t>61801048110010010851</t>
  </si>
  <si>
    <t>61801048110010010852</t>
  </si>
  <si>
    <t>61801048110010020121</t>
  </si>
  <si>
    <t>61801048110010020129</t>
  </si>
  <si>
    <t>61801048110076200121</t>
  </si>
  <si>
    <t>61801048110076200122</t>
  </si>
  <si>
    <t>61801048110076200129</t>
  </si>
  <si>
    <t>61801048110076200244</t>
  </si>
  <si>
    <t>61801048110076360244</t>
  </si>
  <si>
    <t>618011311Б0120840244</t>
  </si>
  <si>
    <t>61804090420220820244</t>
  </si>
  <si>
    <t>61804090420221090244</t>
  </si>
  <si>
    <t>61805010410120190243</t>
  </si>
  <si>
    <t>61805010410120190244</t>
  </si>
  <si>
    <t>61805030430420300244</t>
  </si>
  <si>
    <t>61805030430421070244</t>
  </si>
  <si>
    <t>61805030430421080244</t>
  </si>
  <si>
    <t>61808010710120060244</t>
  </si>
  <si>
    <t>61808010710121130244</t>
  </si>
  <si>
    <t>61901048210010010122</t>
  </si>
  <si>
    <t>61901048210010010129</t>
  </si>
  <si>
    <t>61901048210010010244</t>
  </si>
  <si>
    <t>61901048210010010851</t>
  </si>
  <si>
    <t>61901048210010010852</t>
  </si>
  <si>
    <t>61901048210010020121</t>
  </si>
  <si>
    <t>61901048210010020129</t>
  </si>
  <si>
    <t>61901048210076200121</t>
  </si>
  <si>
    <t>61901048210076200122</t>
  </si>
  <si>
    <t>61901048210076200129</t>
  </si>
  <si>
    <t>61901048210076200244</t>
  </si>
  <si>
    <t>61901048210076360244</t>
  </si>
  <si>
    <t>619011311Б0120840244</t>
  </si>
  <si>
    <t>619011311Б0121120244</t>
  </si>
  <si>
    <t>61904090420220820244</t>
  </si>
  <si>
    <t>61904090420221090244</t>
  </si>
  <si>
    <t>61905010410120190243</t>
  </si>
  <si>
    <t>61905010410120190244</t>
  </si>
  <si>
    <t>61905030430420300244</t>
  </si>
  <si>
    <t>61905030430421070244</t>
  </si>
  <si>
    <t>61908010710120060244</t>
  </si>
  <si>
    <t>61908010710121130244</t>
  </si>
  <si>
    <t>620011311Б0121120244</t>
  </si>
  <si>
    <t>62001138310020050831</t>
  </si>
  <si>
    <t>62004070430111010611</t>
  </si>
  <si>
    <t>62004070430111010612</t>
  </si>
  <si>
    <t>62004080420111010611</t>
  </si>
  <si>
    <t>62004080420160020812</t>
  </si>
  <si>
    <t>62004080420160070812</t>
  </si>
  <si>
    <t>62004089810021170244</t>
  </si>
  <si>
    <t>620040902Б0220560244</t>
  </si>
  <si>
    <t>62004090420220130244</t>
  </si>
  <si>
    <t>62004090420220810244</t>
  </si>
  <si>
    <t>62004090420220830244</t>
  </si>
  <si>
    <t>62004090420221180414</t>
  </si>
  <si>
    <t>62004090420260090811</t>
  </si>
  <si>
    <t>620040904202S6460244</t>
  </si>
  <si>
    <t>62004090420311010611</t>
  </si>
  <si>
    <t>62004090420311010612</t>
  </si>
  <si>
    <t>62004090420320570244</t>
  </si>
  <si>
    <t>62005010410120200244</t>
  </si>
  <si>
    <t>62005020410220220244</t>
  </si>
  <si>
    <t>62005030430220290244</t>
  </si>
  <si>
    <t>62005030430377150244</t>
  </si>
  <si>
    <t>62005030430411010611</t>
  </si>
  <si>
    <t>62005030430420280244</t>
  </si>
  <si>
    <t>62005030430420300244</t>
  </si>
  <si>
    <t>62005030430420300813</t>
  </si>
  <si>
    <t>62005030430420780244</t>
  </si>
  <si>
    <t>62005030430420790244</t>
  </si>
  <si>
    <t>620050317Б0220490244</t>
  </si>
  <si>
    <t>620050320Б01L5550244</t>
  </si>
  <si>
    <t>620050320Б02L5550244</t>
  </si>
  <si>
    <t>620050320Б0320300244</t>
  </si>
  <si>
    <t>62005058310010010122</t>
  </si>
  <si>
    <t>62005058310010010129</t>
  </si>
  <si>
    <t>62005058310010010244</t>
  </si>
  <si>
    <t>62005058310010010851</t>
  </si>
  <si>
    <t>62005058310010010852</t>
  </si>
  <si>
    <t>62005058310010020121</t>
  </si>
  <si>
    <t>62005058310010020129</t>
  </si>
  <si>
    <t>62008010710120060244</t>
  </si>
  <si>
    <t>62010030320380020811</t>
  </si>
  <si>
    <t>62010030320480220812</t>
  </si>
  <si>
    <t>62101138410010010122</t>
  </si>
  <si>
    <t>62101138410010010129</t>
  </si>
  <si>
    <t>62101138410010010244</t>
  </si>
  <si>
    <t>62101138410010010851</t>
  </si>
  <si>
    <t>62101138410010010852</t>
  </si>
  <si>
    <t>62101138410010020121</t>
  </si>
  <si>
    <t>62101138410010020129</t>
  </si>
  <si>
    <t>62101138420020740244</t>
  </si>
  <si>
    <t>62101138420020740831</t>
  </si>
  <si>
    <t>62101138420021100244</t>
  </si>
  <si>
    <t>621041205Б0120390244</t>
  </si>
  <si>
    <t>62104128420021210244</t>
  </si>
  <si>
    <t>62107020120140010414</t>
  </si>
  <si>
    <t>62108010710120060244</t>
  </si>
  <si>
    <t>62403091530221290244</t>
  </si>
  <si>
    <t>62403091610120120244</t>
  </si>
  <si>
    <t>62403091610211010111</t>
  </si>
  <si>
    <t>62403091610211010119</t>
  </si>
  <si>
    <t>62403091610211010244</t>
  </si>
  <si>
    <t>62403091610211010851</t>
  </si>
  <si>
    <t>62403091610211010852</t>
  </si>
  <si>
    <t>62403091610211010853</t>
  </si>
  <si>
    <t>62403091610320120244</t>
  </si>
  <si>
    <t>62403091620120540244</t>
  </si>
  <si>
    <t>62403091630111010111</t>
  </si>
  <si>
    <t>62403091630111010119</t>
  </si>
  <si>
    <t>62403091630111010244</t>
  </si>
  <si>
    <t>62403091630111010851</t>
  </si>
  <si>
    <t>62403091630111010852</t>
  </si>
  <si>
    <t>62403091630111010853</t>
  </si>
  <si>
    <t>62403091630220690244</t>
  </si>
  <si>
    <t>62403091630320350244</t>
  </si>
  <si>
    <t>62403091630420350244</t>
  </si>
  <si>
    <t>62403098510010010122</t>
  </si>
  <si>
    <t>62403098510010010129</t>
  </si>
  <si>
    <t>62403098510010010244</t>
  </si>
  <si>
    <t>62403098510010010851</t>
  </si>
  <si>
    <t>62403098510010010853</t>
  </si>
  <si>
    <t>62403098510010020121</t>
  </si>
  <si>
    <t>62403098510010020129</t>
  </si>
  <si>
    <t>64301068610010010122</t>
  </si>
  <si>
    <t>64301068610010010129</t>
  </si>
  <si>
    <t>64301068610010010244</t>
  </si>
  <si>
    <t>64301068610010010851</t>
  </si>
  <si>
    <t>64301068610010010852</t>
  </si>
  <si>
    <t>64301068610010010853</t>
  </si>
  <si>
    <t>64301068610010020121</t>
  </si>
  <si>
    <t>64301068610010020129</t>
  </si>
  <si>
    <t>04202S7480</t>
  </si>
  <si>
    <t>06Б01S4970</t>
  </si>
  <si>
    <t>321</t>
  </si>
  <si>
    <t>60104121210220480244</t>
  </si>
  <si>
    <t>602041211Б0221550244</t>
  </si>
  <si>
    <t>602100306Б01S4970322</t>
  </si>
  <si>
    <t>60401139810021520880</t>
  </si>
  <si>
    <t>60707030720620400612</t>
  </si>
  <si>
    <t>607070317Б0120490622</t>
  </si>
  <si>
    <t>60708010720821230612</t>
  </si>
  <si>
    <t>60910030320180010313</t>
  </si>
  <si>
    <t>60910030320180040313</t>
  </si>
  <si>
    <t>60910030320180050313</t>
  </si>
  <si>
    <t>60910030320180090313</t>
  </si>
  <si>
    <t>60910030320180130313</t>
  </si>
  <si>
    <t>60910030320180170313</t>
  </si>
  <si>
    <t>60910030320180200313</t>
  </si>
  <si>
    <t>61705030430476416244</t>
  </si>
  <si>
    <t>61805030430476416244</t>
  </si>
  <si>
    <t>62004090420276411244</t>
  </si>
  <si>
    <t>620040904202S6411244</t>
  </si>
  <si>
    <t>62005030430476413244</t>
  </si>
  <si>
    <t>620050304304S6413244</t>
  </si>
  <si>
    <t>62107010120140010414</t>
  </si>
  <si>
    <t>62107010120140060412</t>
  </si>
  <si>
    <t>621070201201L5200414</t>
  </si>
  <si>
    <t>71 4 00 00000</t>
  </si>
  <si>
    <t>71 4 00 21040</t>
  </si>
  <si>
    <t>72 1 00 10050</t>
  </si>
  <si>
    <t>73 1 00 10050</t>
  </si>
  <si>
    <t>75 1 00 10050</t>
  </si>
  <si>
    <t>Приобретение коммунальной техники для муниципальных нужд за счет средств краевого бюджета</t>
  </si>
  <si>
    <t>04 2 02 77480</t>
  </si>
  <si>
    <t>Обеспечение мероприятий, реализуемых без участия средств государственной корпорации – Фонда содействия реформированию жилищно-коммунального хозяйства, по переселению граждан из аварийного жилищного фонда, в том числе переселению граждан из аварийного жилищного фонда с учетом необходимости развития малоэтажного жилищного строительства, за счет средств краевого бюджета</t>
  </si>
  <si>
    <t>98 2 00 76910</t>
  </si>
  <si>
    <t>82 1 00 10050</t>
  </si>
  <si>
    <t>ППП</t>
  </si>
  <si>
    <t>ФКР</t>
  </si>
  <si>
    <t>КЦСР</t>
  </si>
  <si>
    <t>КВР</t>
  </si>
  <si>
    <t>Роспись на первый год</t>
  </si>
  <si>
    <t>Роспись на второй год</t>
  </si>
  <si>
    <t>Роспись на третий год</t>
  </si>
  <si>
    <t>7010010010</t>
  </si>
  <si>
    <t>7010010020</t>
  </si>
  <si>
    <t>7010077460</t>
  </si>
  <si>
    <t>7010077580</t>
  </si>
  <si>
    <t>7020010010</t>
  </si>
  <si>
    <t>7020010020</t>
  </si>
  <si>
    <t>7020077460</t>
  </si>
  <si>
    <t>7030010010</t>
  </si>
  <si>
    <t>7030010020</t>
  </si>
  <si>
    <t>7030077460</t>
  </si>
  <si>
    <t>7040020090</t>
  </si>
  <si>
    <t>7040098710</t>
  </si>
  <si>
    <t>7120010010</t>
  </si>
  <si>
    <t>7120010020</t>
  </si>
  <si>
    <t>7120077460</t>
  </si>
  <si>
    <t>7110010010</t>
  </si>
  <si>
    <t>7110010020</t>
  </si>
  <si>
    <t>7110076630</t>
  </si>
  <si>
    <t>7110076930</t>
  </si>
  <si>
    <t>7110077460</t>
  </si>
  <si>
    <t>9810051200</t>
  </si>
  <si>
    <t>1220320040</t>
  </si>
  <si>
    <t>1220320090</t>
  </si>
  <si>
    <t>1320120620</t>
  </si>
  <si>
    <t>1410120630</t>
  </si>
  <si>
    <t>1410220630</t>
  </si>
  <si>
    <t>1420120710</t>
  </si>
  <si>
    <t>1420220710</t>
  </si>
  <si>
    <t>1420320710</t>
  </si>
  <si>
    <t>1420411010</t>
  </si>
  <si>
    <t>1420477460</t>
  </si>
  <si>
    <t>1510120350</t>
  </si>
  <si>
    <t>1510220350</t>
  </si>
  <si>
    <t>1510320350</t>
  </si>
  <si>
    <t>1520120370</t>
  </si>
  <si>
    <t>1520220370</t>
  </si>
  <si>
    <t>1520320370</t>
  </si>
  <si>
    <t>1530320100</t>
  </si>
  <si>
    <t>7110010050</t>
  </si>
  <si>
    <t>7110011010</t>
  </si>
  <si>
    <t>7110020050</t>
  </si>
  <si>
    <t>7140021040</t>
  </si>
  <si>
    <t>9810076610</t>
  </si>
  <si>
    <t>1210160130</t>
  </si>
  <si>
    <t>1210220480</t>
  </si>
  <si>
    <t>1210320480</t>
  </si>
  <si>
    <t>1220120650</t>
  </si>
  <si>
    <t>1220220640</t>
  </si>
  <si>
    <t>1310120450</t>
  </si>
  <si>
    <t>0710120060</t>
  </si>
  <si>
    <t>1410398710</t>
  </si>
  <si>
    <t>1410498720</t>
  </si>
  <si>
    <t>1510420350</t>
  </si>
  <si>
    <t>1510477310</t>
  </si>
  <si>
    <t>7210010010</t>
  </si>
  <si>
    <t>7210010020</t>
  </si>
  <si>
    <t>7210010050</t>
  </si>
  <si>
    <t>7210020050</t>
  </si>
  <si>
    <t>7210077460</t>
  </si>
  <si>
    <t>7210077580</t>
  </si>
  <si>
    <t>7220020970</t>
  </si>
  <si>
    <t>9810021350</t>
  </si>
  <si>
    <t>9810021580</t>
  </si>
  <si>
    <t>0420221470</t>
  </si>
  <si>
    <t>0420277480</t>
  </si>
  <si>
    <t>11Б0221550</t>
  </si>
  <si>
    <t>7220020200</t>
  </si>
  <si>
    <t>9820076910</t>
  </si>
  <si>
    <t>0430421510</t>
  </si>
  <si>
    <t>9810020950</t>
  </si>
  <si>
    <t>06Б0174970</t>
  </si>
  <si>
    <t>06Б0177520</t>
  </si>
  <si>
    <t>06Б01S7520</t>
  </si>
  <si>
    <t>7310010010</t>
  </si>
  <si>
    <t>7310010020</t>
  </si>
  <si>
    <t>7310077460</t>
  </si>
  <si>
    <t>9810020020</t>
  </si>
  <si>
    <t>7310010050</t>
  </si>
  <si>
    <t>9810010050</t>
  </si>
  <si>
    <t>9810021440</t>
  </si>
  <si>
    <t>9810021520</t>
  </si>
  <si>
    <t>1530120660</t>
  </si>
  <si>
    <t>7410010010</t>
  </si>
  <si>
    <t>7410010020</t>
  </si>
  <si>
    <t>7410010050</t>
  </si>
  <si>
    <t>7410077460</t>
  </si>
  <si>
    <t>7410077580</t>
  </si>
  <si>
    <t>0320280240</t>
  </si>
  <si>
    <t>7510010050</t>
  </si>
  <si>
    <t>0110111010</t>
  </si>
  <si>
    <t>0110177170</t>
  </si>
  <si>
    <t>0110177460</t>
  </si>
  <si>
    <t>0110177580</t>
  </si>
  <si>
    <t>0110611010</t>
  </si>
  <si>
    <t>1620220550</t>
  </si>
  <si>
    <t>0110211010</t>
  </si>
  <si>
    <t>0110277160</t>
  </si>
  <si>
    <t>0110277460</t>
  </si>
  <si>
    <t>0110277580</t>
  </si>
  <si>
    <t>0110677300</t>
  </si>
  <si>
    <t>0120140010</t>
  </si>
  <si>
    <t>0110311010</t>
  </si>
  <si>
    <t>0110377460</t>
  </si>
  <si>
    <t>0110377580</t>
  </si>
  <si>
    <t>0110377620</t>
  </si>
  <si>
    <t>0110411010</t>
  </si>
  <si>
    <t>0110420330</t>
  </si>
  <si>
    <t>0110477460</t>
  </si>
  <si>
    <t>0110477580</t>
  </si>
  <si>
    <t>0110520240</t>
  </si>
  <si>
    <t>0110811010</t>
  </si>
  <si>
    <t>0110877460</t>
  </si>
  <si>
    <t>0110877580</t>
  </si>
  <si>
    <t>7510010010</t>
  </si>
  <si>
    <t>7510010020</t>
  </si>
  <si>
    <t>7510011010</t>
  </si>
  <si>
    <t>7510076200</t>
  </si>
  <si>
    <t>7510077460</t>
  </si>
  <si>
    <t>0110176140</t>
  </si>
  <si>
    <t>0110280260</t>
  </si>
  <si>
    <t>0110778110</t>
  </si>
  <si>
    <t>0110778120</t>
  </si>
  <si>
    <t>0110778130</t>
  </si>
  <si>
    <t>0110778140</t>
  </si>
  <si>
    <t>9810020110</t>
  </si>
  <si>
    <t>0720111010</t>
  </si>
  <si>
    <t>0720177460</t>
  </si>
  <si>
    <t>0720177580</t>
  </si>
  <si>
    <t>0720620400</t>
  </si>
  <si>
    <t>0720821230</t>
  </si>
  <si>
    <t>0720921280</t>
  </si>
  <si>
    <t>0721221430</t>
  </si>
  <si>
    <t>9810021530</t>
  </si>
  <si>
    <t>0430420300</t>
  </si>
  <si>
    <t>09Б0677460</t>
  </si>
  <si>
    <t>0720211010</t>
  </si>
  <si>
    <t>0720277090</t>
  </si>
  <si>
    <t>07202S7090</t>
  </si>
  <si>
    <t>0720311010</t>
  </si>
  <si>
    <t>0720377090</t>
  </si>
  <si>
    <t>07203S7090</t>
  </si>
  <si>
    <t>0720411010</t>
  </si>
  <si>
    <t>0720477090</t>
  </si>
  <si>
    <t>07204S7090</t>
  </si>
  <si>
    <t>0720511010</t>
  </si>
  <si>
    <t>0720577090</t>
  </si>
  <si>
    <t>07205S7090</t>
  </si>
  <si>
    <t>9810021570</t>
  </si>
  <si>
    <t>9810021590</t>
  </si>
  <si>
    <t>7610010010</t>
  </si>
  <si>
    <t>7610010020</t>
  </si>
  <si>
    <t>7610077460</t>
  </si>
  <si>
    <t>7610077580</t>
  </si>
  <si>
    <t>7620020250</t>
  </si>
  <si>
    <t>7710010050</t>
  </si>
  <si>
    <t>0310152200</t>
  </si>
  <si>
    <t>0310152500</t>
  </si>
  <si>
    <t>0310152800</t>
  </si>
  <si>
    <t>0310176240</t>
  </si>
  <si>
    <t>0310176250</t>
  </si>
  <si>
    <t>0310177220</t>
  </si>
  <si>
    <t>0310178210</t>
  </si>
  <si>
    <t>0310178220</t>
  </si>
  <si>
    <t>0310178230</t>
  </si>
  <si>
    <t>0310178240</t>
  </si>
  <si>
    <t>0310178250</t>
  </si>
  <si>
    <t>0310178260</t>
  </si>
  <si>
    <t>0310253800</t>
  </si>
  <si>
    <t>0310276260</t>
  </si>
  <si>
    <t>0310277190</t>
  </si>
  <si>
    <t>0310278280</t>
  </si>
  <si>
    <t>0320180010</t>
  </si>
  <si>
    <t>0320180030</t>
  </si>
  <si>
    <t>0320180040</t>
  </si>
  <si>
    <t>0320180050</t>
  </si>
  <si>
    <t>0320180070</t>
  </si>
  <si>
    <t>0320180080</t>
  </si>
  <si>
    <t>0320180090</t>
  </si>
  <si>
    <t>0320180100</t>
  </si>
  <si>
    <t>0320180110</t>
  </si>
  <si>
    <t>0320180120</t>
  </si>
  <si>
    <t>0320180130</t>
  </si>
  <si>
    <t>0320180140</t>
  </si>
  <si>
    <t>0320180150</t>
  </si>
  <si>
    <t>0320180160</t>
  </si>
  <si>
    <t>0320180170</t>
  </si>
  <si>
    <t>0320180180</t>
  </si>
  <si>
    <t>0320180190</t>
  </si>
  <si>
    <t>0320180200</t>
  </si>
  <si>
    <t>0320180210</t>
  </si>
  <si>
    <t>0320520500</t>
  </si>
  <si>
    <t>0320620520</t>
  </si>
  <si>
    <t>0320820510</t>
  </si>
  <si>
    <t>0330120530</t>
  </si>
  <si>
    <t>0310276270</t>
  </si>
  <si>
    <t>0320760040</t>
  </si>
  <si>
    <t>7710010010</t>
  </si>
  <si>
    <t>7710010020</t>
  </si>
  <si>
    <t>7710076100</t>
  </si>
  <si>
    <t>7710076210</t>
  </si>
  <si>
    <t>7710077460</t>
  </si>
  <si>
    <t>0810111010</t>
  </si>
  <si>
    <t>0810177460</t>
  </si>
  <si>
    <t>0810177580</t>
  </si>
  <si>
    <t>0810211010</t>
  </si>
  <si>
    <t>0810277460</t>
  </si>
  <si>
    <t>0810277580</t>
  </si>
  <si>
    <t>0810311010</t>
  </si>
  <si>
    <t>0820120420</t>
  </si>
  <si>
    <t>0820220440</t>
  </si>
  <si>
    <t>0820321060</t>
  </si>
  <si>
    <t>0820460120</t>
  </si>
  <si>
    <t>0820460150</t>
  </si>
  <si>
    <t>7810010010</t>
  </si>
  <si>
    <t>7810010020</t>
  </si>
  <si>
    <t>7810011010</t>
  </si>
  <si>
    <t>7810077460</t>
  </si>
  <si>
    <t>7810077580</t>
  </si>
  <si>
    <t>8010010010</t>
  </si>
  <si>
    <t>8010010020</t>
  </si>
  <si>
    <t>8010076200</t>
  </si>
  <si>
    <t>8010076360</t>
  </si>
  <si>
    <t>8010077460</t>
  </si>
  <si>
    <t>8010077580</t>
  </si>
  <si>
    <t>8010020050</t>
  </si>
  <si>
    <t>9810021020</t>
  </si>
  <si>
    <t>0420220820</t>
  </si>
  <si>
    <t>0420221090</t>
  </si>
  <si>
    <t>0420221410</t>
  </si>
  <si>
    <t>9810021450</t>
  </si>
  <si>
    <t>0410120190</t>
  </si>
  <si>
    <t>0430421070</t>
  </si>
  <si>
    <t>0430476416</t>
  </si>
  <si>
    <t>0710121130</t>
  </si>
  <si>
    <t>8110010010</t>
  </si>
  <si>
    <t>8110010020</t>
  </si>
  <si>
    <t>8110076200</t>
  </si>
  <si>
    <t>8110076360</t>
  </si>
  <si>
    <t>8110077460</t>
  </si>
  <si>
    <t>8110077580</t>
  </si>
  <si>
    <t>8110020050</t>
  </si>
  <si>
    <t>8110021040</t>
  </si>
  <si>
    <t>9810021560</t>
  </si>
  <si>
    <t>8210010010</t>
  </si>
  <si>
    <t>8210010020</t>
  </si>
  <si>
    <t>8210076200</t>
  </si>
  <si>
    <t>8210076360</t>
  </si>
  <si>
    <t>8210077460</t>
  </si>
  <si>
    <t>8210077580</t>
  </si>
  <si>
    <t>8210010050</t>
  </si>
  <si>
    <t>8210020050</t>
  </si>
  <si>
    <t>0420276417</t>
  </si>
  <si>
    <t>8220020200</t>
  </si>
  <si>
    <t>8220076900</t>
  </si>
  <si>
    <t>0320180270</t>
  </si>
  <si>
    <t>9810021610</t>
  </si>
  <si>
    <t>8310010050</t>
  </si>
  <si>
    <t>8310020050</t>
  </si>
  <si>
    <t>8310021040</t>
  </si>
  <si>
    <t>0430111010</t>
  </si>
  <si>
    <t>0430177460</t>
  </si>
  <si>
    <t>0430177580</t>
  </si>
  <si>
    <t>0420111010</t>
  </si>
  <si>
    <t>0420160020</t>
  </si>
  <si>
    <t>0420160070</t>
  </si>
  <si>
    <t>0420177460</t>
  </si>
  <si>
    <t>9810021170</t>
  </si>
  <si>
    <t>0420220130</t>
  </si>
  <si>
    <t>0420220830</t>
  </si>
  <si>
    <t>0420221180</t>
  </si>
  <si>
    <t>0420260090</t>
  </si>
  <si>
    <t>0420276411</t>
  </si>
  <si>
    <t>0420276412</t>
  </si>
  <si>
    <t>0420276414</t>
  </si>
  <si>
    <t>0420276460</t>
  </si>
  <si>
    <t>0420276494</t>
  </si>
  <si>
    <t>04202S6411</t>
  </si>
  <si>
    <t>04202S6494</t>
  </si>
  <si>
    <t>0420311010</t>
  </si>
  <si>
    <t>0420320570</t>
  </si>
  <si>
    <t>0420377460</t>
  </si>
  <si>
    <t>9810021540</t>
  </si>
  <si>
    <t>0410120200</t>
  </si>
  <si>
    <t>0410220220</t>
  </si>
  <si>
    <t>0410320220</t>
  </si>
  <si>
    <t>02Б0160050</t>
  </si>
  <si>
    <t>0430220290</t>
  </si>
  <si>
    <t>0430377150</t>
  </si>
  <si>
    <t>0430411010</t>
  </si>
  <si>
    <t>0430420280</t>
  </si>
  <si>
    <t>0430420780</t>
  </si>
  <si>
    <t>0430476413</t>
  </si>
  <si>
    <t>0430476415</t>
  </si>
  <si>
    <t>0430477247</t>
  </si>
  <si>
    <t>0430477330</t>
  </si>
  <si>
    <t>0430477460</t>
  </si>
  <si>
    <t>04304S6413</t>
  </si>
  <si>
    <t>04304S7247</t>
  </si>
  <si>
    <t>8310010010</t>
  </si>
  <si>
    <t>8310010020</t>
  </si>
  <si>
    <t>8310077460</t>
  </si>
  <si>
    <t>0320380020</t>
  </si>
  <si>
    <t>0320480220</t>
  </si>
  <si>
    <t>8410010010</t>
  </si>
  <si>
    <t>8410010020</t>
  </si>
  <si>
    <t>8410010050</t>
  </si>
  <si>
    <t>8410020050</t>
  </si>
  <si>
    <t>8410021040</t>
  </si>
  <si>
    <t>8410077460</t>
  </si>
  <si>
    <t>8410077500</t>
  </si>
  <si>
    <t>8410077580</t>
  </si>
  <si>
    <t>84100S7500</t>
  </si>
  <si>
    <t>8420020740</t>
  </si>
  <si>
    <t>8420021100</t>
  </si>
  <si>
    <t>8420021210</t>
  </si>
  <si>
    <t>8420020200</t>
  </si>
  <si>
    <t>0430420800</t>
  </si>
  <si>
    <t>9820020800</t>
  </si>
  <si>
    <t>0120140060</t>
  </si>
  <si>
    <t>0120177471</t>
  </si>
  <si>
    <t>0120197471</t>
  </si>
  <si>
    <t>01201L1591</t>
  </si>
  <si>
    <t>01201L1592</t>
  </si>
  <si>
    <t>01201L5200</t>
  </si>
  <si>
    <t>0721340020</t>
  </si>
  <si>
    <t>0810421380</t>
  </si>
  <si>
    <t>1530221290</t>
  </si>
  <si>
    <t>1610120120</t>
  </si>
  <si>
    <t>1610211010</t>
  </si>
  <si>
    <t>1610277460</t>
  </si>
  <si>
    <t>1610320120</t>
  </si>
  <si>
    <t>1620120540</t>
  </si>
  <si>
    <t>1630111010</t>
  </si>
  <si>
    <t>1630177460</t>
  </si>
  <si>
    <t>1630220690</t>
  </si>
  <si>
    <t>1630320350</t>
  </si>
  <si>
    <t>1630420350</t>
  </si>
  <si>
    <t>8510010010</t>
  </si>
  <si>
    <t>8510010020</t>
  </si>
  <si>
    <t>8510077460</t>
  </si>
  <si>
    <t>8610010010</t>
  </si>
  <si>
    <t>8610010020</t>
  </si>
  <si>
    <t>8610077460</t>
  </si>
  <si>
    <t>8610077580</t>
  </si>
  <si>
    <t>60607097510011010851</t>
  </si>
  <si>
    <t>62107010120177471414</t>
  </si>
  <si>
    <t>62107010120197471414</t>
  </si>
  <si>
    <t>621070101201L1591414</t>
  </si>
  <si>
    <t>70 1 00 77580</t>
  </si>
  <si>
    <t>72 1 00 77580</t>
  </si>
  <si>
    <t>Субсидии на компенсацию расходов на обеспечение выплаты лицам, не замещающим муниципальные должности муниципальной службы и исполняющим обязанности по техническому обеспечению деятельности органов местного самоуправления муниципальных образований, работникам органов местного самоуправления муниципальных образований, осуществляющим профессиональную деятельность по профессиям рабочих, и работникам муниципальных учреждений заработной платы не ниже установленного с 01 мая 2018 года федеральным законом минимального размера оплаты труда, а также компенсацию расходов на обеспечение выплаты работникам муниципальных учреждений с 01 января 2018 года коэффициента к заработной плате за работу в пустынных и безводных местностях</t>
  </si>
  <si>
    <t>Пособия, компенсации и иные социальные выплаты гражданам, кроме публичных нормативных обязательств</t>
  </si>
  <si>
    <t>74 1 00 77580</t>
  </si>
  <si>
    <t>Создание экспозиции военной техники на территории площади имени Святого князя Владимира города Ставрополя</t>
  </si>
  <si>
    <t>98 1 00 21580</t>
  </si>
  <si>
    <t>72 2 00 20200</t>
  </si>
  <si>
    <t>06 Б 01 74970</t>
  </si>
  <si>
    <t>Предоставление молодым семьям, являющимся участниками основного мероприятия «Обеспечение жильем молодых семей» государственной программы Российской Федерации «Обеспечение доступным и комфортным жильем и коммунальными услугами граждан Российской Федерации», нуждающимся в улучшении жилищных условий, имеющим трех и более детей, в том числе молодым семьям, в которых один из супругов или оба супруга, или родитель в неполной семье достигает в 2018 году возраста 36 лет, социальных выплат на приобретение (строительство) жилья в 2018 году за счет средств краевого бюджета</t>
  </si>
  <si>
    <t>06 Б 01 77520</t>
  </si>
  <si>
    <t>06 Б 01 S7520</t>
  </si>
  <si>
    <t>74 1 00 10050</t>
  </si>
  <si>
    <t>76 1 00 77580</t>
  </si>
  <si>
    <t>01 1 01 77580</t>
  </si>
  <si>
    <t>01 1 02 77580</t>
  </si>
  <si>
    <t>01 1 03 77580</t>
  </si>
  <si>
    <t>Иные межбюджетные трансферты на укрепление материально-технической базы организаций дополнительного образования</t>
  </si>
  <si>
    <t>01 1 03 77620</t>
  </si>
  <si>
    <t>01 1 04 77580</t>
  </si>
  <si>
    <t>01 1 08 77580</t>
  </si>
  <si>
    <t>07 2 01 77580</t>
  </si>
  <si>
    <t>08 1 01 77580</t>
  </si>
  <si>
    <t>08 1 02 77580</t>
  </si>
  <si>
    <t>Субсидии на компенсацию расходов по повышению заработной платы муниципальных служащих муниципальной службы и лиц, не замещающих должности муниципальной службы и исполняющих обязанности по техническому обеспечению деятельности органов местного самоуправления муниципальных образований, а также работников муниципальных учреждений, за исключением отдельных категорий работников муниципальных учреждений, которым повышение заработной платы осуществляется в соответствии с указами Президента Российской Федерации от 7 мая 2012 года № 597 «О мероприятиях по реализации государственной социальной политики», от 1 июня 2012 года № 761 «О Национальной стратегии действий в интересах детей на 2012 - 2017 годы» и от 28 декабря 2012 года № 1688 «О некоторых мерах по реализации государственной политики в сфере защиты детей-сирот и детей, оставшихся без попечения родителей»</t>
  </si>
  <si>
    <t>04 3 04 S7247</t>
  </si>
  <si>
    <t>84 1 00 10050</t>
  </si>
  <si>
    <t>Реализация мероприятий в области градостроительной деятельности за счет средств краевого бюджета</t>
  </si>
  <si>
    <t>84 1 00 77500</t>
  </si>
  <si>
    <t>84 1 00 77580</t>
  </si>
  <si>
    <t>Реализация мероприятий в области градостроительной деятельности за счет средств местного бюджета</t>
  </si>
  <si>
    <t>84 1 00 S7500</t>
  </si>
  <si>
    <t xml:space="preserve">Cоздание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на 160 мест в 204 квартале г. Ставрополя, ул. Серова, 470/7 (в том числе проектно-изыскательские работы) </t>
  </si>
  <si>
    <t>01 2 01 L1591</t>
  </si>
  <si>
    <t xml:space="preserve">Cоздание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(приобретение в муниципальную собственность здания для размещения дошкольного образовательного учреждения на 300 мест в Юго-Западном районе  г. Ставрополя) </t>
  </si>
  <si>
    <t>01 2 01 L1592</t>
  </si>
  <si>
    <t>86 1 00 77580</t>
  </si>
  <si>
    <t>ск</t>
  </si>
  <si>
    <t>Подпрограмма «Благоустройство территории города Ставрополя»</t>
  </si>
  <si>
    <t>Предоставление молодым семьям социальных выплат на приобретение (строительство) жилья, нуждающимся в улучшении жилищных условий, имеющим одного или двух детей, а также, не имеющим детей, социальных выплат на приобретение (строительство) жилья, за счет средств краевого бюджета</t>
  </si>
  <si>
    <t>Предоставление молодым семьям, являющимися по состоянию на 01 января 2017 года  участниками подпрограммы «Обеспечение жильем молодых семей» федеральной целевой программы «Жилище» на 2015 - 2020 годы, нуждающимся в улучшении жилищных условий, имеющим трех и более детей, в которых один из супругов или родитель в неполной семье достигает в 2017 году возраста 36 лет, социальных выплат на приобретение (строительство) жилья в 2017 году, за счет средств краевого бюджета</t>
  </si>
  <si>
    <t>Предоставление молодым семьям социальных выплат на приобретение (строительство) жилья, нуждающимся в улучшении жилищных условий, имеющим одного или двух детей, а также не имеющим детей, социальных выплат на приобретение (строительство) жилья в 2018 году, за счет средств местного бюджета</t>
  </si>
  <si>
    <t>Предоставление молодым семьям, являющимся по состоянию участниками основного мероприятия «Обеспечение жильем молодых семей» государственной программы Российской Федерации «Обеспечение доступным и комфортным жильем и коммунальными услугами граждан Российской Федерации», нуждающимся в улучшении жилищных условий, имеющим трех и более детей, в том числе молодым семьям, в которых один из супругов или оба супруга, или родитель в неполной семье достигает в 2018 году возраста 36 лет, социальных выплат на приобретение (строительство) жилья в 2018 году, за счет средств местного бюджета</t>
  </si>
  <si>
    <t>78 1 00 77580</t>
  </si>
  <si>
    <t>80 1 00 77580</t>
  </si>
  <si>
    <t>81 1 00 77580</t>
  </si>
  <si>
    <t>82 1 00 77580</t>
  </si>
  <si>
    <t>04 3 01 77580</t>
  </si>
  <si>
    <t>строительство участка проспекта Российского от улицы Перспективной до улицы 45 Параллель и  участка улицы 45 Параллель от проспекта Российского до улицы Рогожникова в городе Ставрополе (в том числе изготовление проектно-сметной документации, экспертиза проектно-сметной документации)</t>
  </si>
  <si>
    <t>»;</t>
  </si>
  <si>
    <t>04 3 04 77247</t>
  </si>
  <si>
    <t>строительство участка сети дождевой канализации на территории «Русский лес» города Ставрополя</t>
  </si>
  <si>
    <t>приобретение в муниципальную собственность здания для размещения дошкольного образовательного учреждения на 300 мест в Юго-Западном районе  г. Ставрополя</t>
  </si>
  <si>
    <t>«по строке</t>
  </si>
  <si>
    <t xml:space="preserve">Финансовое обеспечение мероприятий по созданию дополнительных мест для детей в возрасте от 2 месяцев до 3 лет в образовательных организациях, реализующих программы дошкольного образования, за счет средств краевого бюджета (строительство дошкольного образовательного учреждения на 160 мест в 204 квартале г. Ставрополя, ул. Серова, 470/7 (в том числе проектно-изыскательские работы) </t>
  </si>
  <si>
    <t>01 2 01 77471</t>
  </si>
  <si>
    <t>01 2 01 97471</t>
  </si>
  <si>
    <t xml:space="preserve">Финансовое обеспечение мероприятий по созданию дополнительных мест для детей в возрасте от 2 месяцев до 3 лет в образовательных организациях, реализующих программы дошкольного образования, за счет средств местного бюджета (строительство дошкольного образовательного учреждения на 160 мест в 204 квартале г. Ставрополя, ул. Серова, 470/7 (в том числе проектно-изыскательские работы) </t>
  </si>
  <si>
    <t>Финансовое обеспечение мероприятий по созданию дополнительных мест для детей в возрасте от двух месяцев до трех лет в образовательных организациях, реализующих программы дошкольного образования, за счет средств местного бюджета</t>
  </si>
  <si>
    <t>01 2 01 97472</t>
  </si>
  <si>
    <t>по строке «Расходы на обеспечение уличного освещения территории города Ставрополя620050304 3 04 20280000128616,7» цифры «128616,7» заменить цифрами «122589,22»;по строке «Иные закупки товаров, работ и услуг для обеспечения государственных (муниципальных) нужд620050304 3 04 20280240128616,7» цифры «128616,7» заменить цифрами «122589,22»;по строке «Реализация мероприятий по благоустройству территорий в городе Ставрополе за счет средств краевого бюджета620050304 3 04 7733000035434,56» цифры «35434,56» заменить цифрами «40877,02»;по строке «Иные закупки товаров, работ и услуг для обеспечения государственных (муниципальных) нужд620050304 3 04 7733024035434,56» цифры «35434,56» заменить цифрами «40877,02»;по строке «Реализация мероприятий по благоустройству территорий в городе Ставрополе  за счет средств местного бюджета620050304 3 04 S73300001864,98» цифры «1864,98» заменить цифрами «2450»;по строке «Иные закупки товаров, работ и услуг для обеспечения государственных (муниципальных) нужд620050304 3 04 S73302401864,98» цифры «1864,98» заменить цифрами «2450»;</t>
  </si>
  <si>
    <t>по строке «Реализация мероприятий по благоустройству территорий в городе Ставрополе за счет средств краевого бюджета621050304 3 04 77330000337602,83» цифры «337602,83» заменить цифрами «332160,37»;по строке «Иные закупки товаров, работ и услуг для обеспечения государственных (муниципальных) нужд621050304 3 04 77330240337602,83» цифры «337602,83» заменить цифрами «332160,37»;по строке «Реализация мероприятий по благоустройству территорий в городе Ставрополе за счет средств местного бюджета621050304 3 04 S733000021665,3» цифры «21665,3» заменить цифрами «27107,76»;по строке «Иные закупки товаров, работ и услуг для обеспечения государственных (муниципальных) нужд621050304 3 04 S733024021665,3» цифры «21665,3» заменить цифрами «27107,76»;</t>
  </si>
  <si>
    <t>04202S6490</t>
  </si>
  <si>
    <t>81 1 00 20050</t>
  </si>
  <si>
    <t>81 1 00 21040</t>
  </si>
  <si>
    <t>04 2 02 76494</t>
  </si>
  <si>
    <t>04 2 02 S6494</t>
  </si>
  <si>
    <t>на плановый период 2018 и 2019 годов</t>
  </si>
  <si>
    <t>7</t>
  </si>
  <si>
    <t>8</t>
  </si>
  <si>
    <t>62107010120140010412</t>
  </si>
  <si>
    <t>430476416</t>
  </si>
  <si>
    <t xml:space="preserve">Финансовое обеспечение мероприятий по созданию дополнительных мест для детей в возрасте от 2 месяцев до 3 лет в образовательных организациях, реализующих программы дошкольного образования (строительство дошкольного образовательного учреждения на 160 мест в 204 квартале г. Ставрополя, ул. Серова, 470/7 (в том числе проектно-изыскательские работы), за счет средств краевого бюджета
</t>
  </si>
  <si>
    <t xml:space="preserve">Финансовое обеспечение мероприятий по созданию дополнительных мест для детей в возрасте от 2 месяцев до 3 лет в образовательных организациях, реализующих программы дошкольного образования (строительство дошкольного образовательного учреждения на 160 мест в 204 квартале г. Ставрополя, ул. Серова, 470/7 (в том числе проектно-изыскательские работы), за счет средств местного бюджета
</t>
  </si>
  <si>
    <t>Сумма 2018 год</t>
  </si>
  <si>
    <t>Средства от продажи акций  и иных форм участия в капитале, находящихся в собственности городских округов</t>
  </si>
  <si>
    <t>0106 0100 04 0000 630</t>
  </si>
  <si>
    <t>администрации города Ставрополя первый</t>
  </si>
  <si>
    <t>Т.Ю. Филькова</t>
  </si>
  <si>
    <t>604 0102 0000 00 0000 000</t>
  </si>
  <si>
    <t>604 0102 0000 04 0000 710</t>
  </si>
  <si>
    <t>604 0103 0100 04 0000 710</t>
  </si>
  <si>
    <t>604 0102 0000 04 0000 810</t>
  </si>
  <si>
    <t>604 0103 0100 04 0000 810</t>
  </si>
  <si>
    <t>604 0105 0000 00 0000 000</t>
  </si>
  <si>
    <t>604 0105 0201 04 0000 510</t>
  </si>
  <si>
    <t>604 0105 0201 04 0000 610</t>
  </si>
  <si>
    <t>1510277310</t>
  </si>
  <si>
    <t>15102S7310</t>
  </si>
  <si>
    <t>02Б0220160</t>
  </si>
  <si>
    <t>06Б01L0200</t>
  </si>
  <si>
    <t>9810077580</t>
  </si>
  <si>
    <t>98100S6420</t>
  </si>
  <si>
    <t>9810076900</t>
  </si>
  <si>
    <t>0110377080</t>
  </si>
  <si>
    <t>01103S7080</t>
  </si>
  <si>
    <t>0720177080</t>
  </si>
  <si>
    <t>07201S7080</t>
  </si>
  <si>
    <t>0420221030</t>
  </si>
  <si>
    <t>0420276416</t>
  </si>
  <si>
    <t>04202G6420</t>
  </si>
  <si>
    <t>04202S6420</t>
  </si>
  <si>
    <t>0430421080</t>
  </si>
  <si>
    <t>04202S6417</t>
  </si>
  <si>
    <t>0420220810</t>
  </si>
  <si>
    <t>0420221460</t>
  </si>
  <si>
    <t>0420221490</t>
  </si>
  <si>
    <t>0420276422</t>
  </si>
  <si>
    <t>0420276490</t>
  </si>
  <si>
    <t>04202S6422</t>
  </si>
  <si>
    <t>0420376418</t>
  </si>
  <si>
    <t>0420376419</t>
  </si>
  <si>
    <t>0420376421</t>
  </si>
  <si>
    <t>04203S6418</t>
  </si>
  <si>
    <t>04203S6419</t>
  </si>
  <si>
    <t>04203S6421</t>
  </si>
  <si>
    <t>0430420790</t>
  </si>
  <si>
    <t>0430421480</t>
  </si>
  <si>
    <t>0430440010</t>
  </si>
  <si>
    <t>464</t>
  </si>
  <si>
    <t>0430476423</t>
  </si>
  <si>
    <t>0430477241</t>
  </si>
  <si>
    <t>0430477580</t>
  </si>
  <si>
    <t>04304S6423</t>
  </si>
  <si>
    <t>0120177470</t>
  </si>
  <si>
    <t>01201S7470</t>
  </si>
  <si>
    <t>0120177203</t>
  </si>
  <si>
    <t>01201S7203</t>
  </si>
  <si>
    <t>07 2 01 77080</t>
  </si>
  <si>
    <t>720177080</t>
  </si>
  <si>
    <t>07 2 01 S7080</t>
  </si>
  <si>
    <t>720511010</t>
  </si>
  <si>
    <t>98 1 00 76900</t>
  </si>
  <si>
    <t>9800000000</t>
  </si>
  <si>
    <t>9810000000</t>
  </si>
  <si>
    <t>01 1 03 77080</t>
  </si>
  <si>
    <t>01 1 03 S7080</t>
  </si>
  <si>
    <t>110377080</t>
  </si>
  <si>
    <t>04 2 02 76416</t>
  </si>
  <si>
    <t>420276416</t>
  </si>
  <si>
    <t>420276417</t>
  </si>
  <si>
    <t xml:space="preserve">Расходы на осуществление функций административного центра Ставропольского края за счет средств краевого бюджета на содержание автомобильных дорог общего пользования местного значения
Расходы на осуществление функций административного центра Ставропольского края за счет средств краевого бюджета на содержание автомобильных дорог общего пользования местного значения
</t>
  </si>
  <si>
    <t>04 2 02 S6417</t>
  </si>
  <si>
    <t xml:space="preserve">Расходы на осуществление функций административного центра Ставропольского края за счет средств местного бюджета на содержание автомобильных дорог общего пользования местного значения
Расходы на осуществление функций административного центра Ставропольского края за счет средств местного бюджета на содержание автомобильных дорог общего пользования местного значения
</t>
  </si>
  <si>
    <t>04 2 02 76422</t>
  </si>
  <si>
    <t xml:space="preserve">Расходы на осуществление функций административного центра Ставропольского края за счет средств краевого бюджета на обустройство плиточным покрытием посадочных площадок остановочных пунктов
Расходы на осуществление функций административного центра Ставропольского края за счет средств краевого бюджета на обустройство плиточным покрытием посадочных площадок остановочных пунктов
</t>
  </si>
  <si>
    <t>04 2 02 S6422</t>
  </si>
  <si>
    <t xml:space="preserve">Расходы на осуществление функций административного центра Ставропольского края за счет средств местного бюджета на обустройство плиточным покрытием посадочных площадок остановочных пунктов
</t>
  </si>
  <si>
    <t>04 2 03 76418</t>
  </si>
  <si>
    <t>04 2 03 76419</t>
  </si>
  <si>
    <t>04 2 03 76421</t>
  </si>
  <si>
    <t>420376418</t>
  </si>
  <si>
    <t>420376419</t>
  </si>
  <si>
    <t>420376421</t>
  </si>
  <si>
    <t xml:space="preserve">Расходы на осуществление функций административного центра Ставропольского края за счет средств краевого бюджета на устройство остановочных пунктов и подходов к пешеходным переходам, включая установку технических средств организации дорожного движения
</t>
  </si>
  <si>
    <t xml:space="preserve">Расходы на осуществление функций административного центра Ставропольского края за счет средств краевого бюджета на установку светофоров
</t>
  </si>
  <si>
    <t xml:space="preserve">Расходы на осуществление функций административного центра Ставропольского края за счет средств краевого бюджета на обеспечение элементами обустройства автомобильных дорог общего пользования местного значения в границах города Ставрополя и безопасности дорожного движения на них
</t>
  </si>
  <si>
    <t>04 2 03 S6418</t>
  </si>
  <si>
    <t>04 2 03 S6419</t>
  </si>
  <si>
    <t>04 2 03 S6421</t>
  </si>
  <si>
    <t xml:space="preserve">Расходы на осуществление функций административного центра Ставропольского края за счет средств местного бюджета на устройство остановочных пунктов и подходов к пешеходным переходам, включая установку технических средств организации дорожного движения
</t>
  </si>
  <si>
    <t xml:space="preserve">Расходы на осуществление функций административного центра Ставропольского края за счет средств местного бюджета на установку светофоров
</t>
  </si>
  <si>
    <t xml:space="preserve">Расходы на осуществление функций административного центра Ставропольского края за счет средств местного бюджета на обеспечение элементами обустройства автомобильных дорог общего пользования местного значения в границах города Ставрополя и безопасности дорожного движения на них
</t>
  </si>
  <si>
    <t>04 3 04 76423</t>
  </si>
  <si>
    <t>430476423</t>
  </si>
  <si>
    <t xml:space="preserve">Расходы на осуществление функций административного центра Ставропольского края за счет средств краевого бюджета на установку торшерных стоек освещения
</t>
  </si>
  <si>
    <t>04 3 04 77580</t>
  </si>
  <si>
    <t>430477580</t>
  </si>
  <si>
    <t xml:space="preserve">Субсидии на компенсацию расходов на обеспечение выплаты лицам, не замещающим муниципальные должности муниципальной службы и исполняющим обязанности по техническому обеспечению деятельности органов местного самоуправления муниципальных образований, работникам органов местного самоуправления муниципальных образований, осуществляющим профессиональную деятельность по профессиям рабочих, и работникам муниципальных учреждений заработной платы не ниже установленного с 01 мая 2018 года федеральным законом минимального размера оплаты труда, а также компенсацию расходов на обеспечение выплаты работникам муниципальных учреждений с 01 января 2018 года коэффициента к заработной плате за работу в пустынных и безводных местностях
</t>
  </si>
  <si>
    <t>04 3 04 S6423</t>
  </si>
  <si>
    <t xml:space="preserve">Расходы на осуществление функций административного центра Ставропольского края за счет средств местного бюджета на установку торшерных стоек освещения
</t>
  </si>
  <si>
    <t xml:space="preserve">Муниципальная программа "Управление и распоряжение имуществом, находящимся в муниципальной собственности города Ставрополя, в том числе земельными ресурсами"
</t>
  </si>
  <si>
    <t xml:space="preserve">Расходы в рамках реализации муниципальной программы "Управление и распоряжение имуществом, находящимся в муниципальной собственности города Ставрополя, в том числе земельными ресурсами"
</t>
  </si>
  <si>
    <t xml:space="preserve">Основное мероприятие "Управление и распоряжение объектами недвижимого имущества, находящимися в муниципальной собственности города Ставрополя"
</t>
  </si>
  <si>
    <t xml:space="preserve">Расходы на уплату взносов на капитальный ремонт общего имущества в многоквартирных домах
</t>
  </si>
  <si>
    <t>01 2 01 77203</t>
  </si>
  <si>
    <t xml:space="preserve">Строительство (реконструкция) общеобразовательных организаций за счет средств краевого бюджета
</t>
  </si>
  <si>
    <t xml:space="preserve">строительство муниципального образовательного учреждения средней общеобразовательной школы на 1550 мест по ул. Пирогова в г. Ставрополе
</t>
  </si>
  <si>
    <t>01 2 01 S7203</t>
  </si>
  <si>
    <t xml:space="preserve">Строительство (реконструкция) общеобразовательных организаций за счет средств местного бюджета
</t>
  </si>
  <si>
    <t xml:space="preserve">Расходы за счет средств резервного фонда Правительства Ставропольского края
</t>
  </si>
  <si>
    <t xml:space="preserve">Реализация иных функций Ставропольской городской Думы, администрации города Ставрополя, ее отраслевых (функциональных) и территориальных органов
</t>
  </si>
  <si>
    <t xml:space="preserve">Иные непрограммные мероприятия
</t>
  </si>
  <si>
    <t xml:space="preserve">Повышение заработной платы педагогических работников муниципальных образовательных организаций дополнительного образования детей за счет средств краевого бюджета
</t>
  </si>
  <si>
    <t xml:space="preserve">Повышение заработной платы педагогических работников муниципальных образовательных учреждений дополнительного образования детей за счет средств местного бюджета
</t>
  </si>
  <si>
    <t xml:space="preserve">Расходы на осуществление функций административного центра Ставропольского края за счет средств краевого бюджета на содержание центральной части города Ставрополя
</t>
  </si>
  <si>
    <t xml:space="preserve">Расходы на осуществление функций административного центра Ставропольского края за счет средств краевого бюджета на содержание автомобильных дорог общего пользования местного значения
</t>
  </si>
  <si>
    <t xml:space="preserve">Иные вопросы, связанные с общегосударственным управлением
</t>
  </si>
  <si>
    <t>Бюджетные ассигнования</t>
  </si>
  <si>
    <t>в разрезе администраторов источников финансирования бюджета города за 2018 год</t>
  </si>
  <si>
    <t>Исполняющий обязанности заместителя главы администрации города Ставрополя, руководителя комитета финансов и бюджета администрации города Ставрополя первый заместитель руководителя комитета финансов и бюджета администрации города Ставрополя</t>
  </si>
  <si>
    <t>____________________________</t>
  </si>
  <si>
    <t>(подпись)</t>
  </si>
  <si>
    <t>(по состоянию на 31.12.2018)</t>
  </si>
</sst>
</file>

<file path=xl/styles.xml><?xml version="1.0" encoding="utf-8"?>
<styleSheet xmlns="http://schemas.openxmlformats.org/spreadsheetml/2006/main">
  <numFmts count="9">
    <numFmt numFmtId="43" formatCode="_-* #,##0.00_р_._-;\-* #,##0.00_р_._-;_-* &quot;-&quot;??_р_._-;_-@_-"/>
    <numFmt numFmtId="164" formatCode="#,##0.0"/>
    <numFmt numFmtId="165" formatCode="0000000"/>
    <numFmt numFmtId="166" formatCode="#,##0.00_ ;[Red]\-#,##0.00\ "/>
    <numFmt numFmtId="167" formatCode="000000"/>
    <numFmt numFmtId="168" formatCode="#,##0.00;[Red]\-#,##0.00;0.00"/>
    <numFmt numFmtId="169" formatCode="000"/>
    <numFmt numFmtId="170" formatCode="0000000000"/>
    <numFmt numFmtId="171" formatCode="0000"/>
  </numFmts>
  <fonts count="39">
    <font>
      <sz val="14"/>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4"/>
      <name val="Arial Cyr"/>
      <charset val="204"/>
    </font>
    <font>
      <sz val="12"/>
      <name val="Times New Roman"/>
      <family val="1"/>
      <charset val="204"/>
    </font>
    <font>
      <sz val="10"/>
      <name val="Times New Roman"/>
      <family val="1"/>
      <charset val="204"/>
    </font>
    <font>
      <sz val="11"/>
      <name val="Times New Roman"/>
      <family val="1"/>
      <charset val="204"/>
    </font>
    <font>
      <b/>
      <sz val="10"/>
      <name val="Times New Roman"/>
      <family val="1"/>
      <charset val="204"/>
    </font>
    <font>
      <sz val="10"/>
      <name val="Arial"/>
      <family val="2"/>
      <charset val="204"/>
    </font>
    <font>
      <b/>
      <sz val="12"/>
      <name val="Times New Roman"/>
      <family val="1"/>
      <charset val="204"/>
    </font>
    <font>
      <sz val="10"/>
      <name val="Arial Cyr"/>
      <charset val="204"/>
    </font>
    <font>
      <i/>
      <sz val="12"/>
      <name val="Times New Roman"/>
      <family val="1"/>
      <charset val="204"/>
    </font>
    <font>
      <sz val="8"/>
      <name val="Arial Cyr"/>
      <charset val="204"/>
    </font>
    <font>
      <sz val="12"/>
      <color theme="0"/>
      <name val="Times New Roman"/>
      <family val="1"/>
      <charset val="204"/>
    </font>
    <font>
      <b/>
      <sz val="12"/>
      <name val="Calibri"/>
      <family val="2"/>
      <charset val="204"/>
      <scheme val="minor"/>
    </font>
    <font>
      <sz val="12"/>
      <name val="Arial Cyr"/>
      <charset val="204"/>
    </font>
    <font>
      <sz val="10"/>
      <name val="Arial"/>
      <family val="2"/>
      <charset val="204"/>
    </font>
    <font>
      <sz val="12"/>
      <color theme="1"/>
      <name val="Times New Roman"/>
      <family val="1"/>
      <charset val="204"/>
    </font>
    <font>
      <sz val="10"/>
      <color rgb="FF0070C0"/>
      <name val="Times New Roman"/>
      <family val="1"/>
      <charset val="204"/>
    </font>
    <font>
      <sz val="12"/>
      <color rgb="FF7030A0"/>
      <name val="Times New Roman"/>
      <family val="1"/>
      <charset val="204"/>
    </font>
    <font>
      <sz val="10"/>
      <color rgb="FF7030A0"/>
      <name val="Times New Roman"/>
      <family val="1"/>
      <charset val="204"/>
    </font>
    <font>
      <sz val="10"/>
      <name val="Arial"/>
      <family val="2"/>
      <charset val="204"/>
    </font>
    <font>
      <b/>
      <sz val="8"/>
      <name val="Arial"/>
      <family val="2"/>
      <charset val="204"/>
    </font>
    <font>
      <sz val="8"/>
      <name val="Arial"/>
      <family val="2"/>
      <charset val="204"/>
    </font>
    <font>
      <b/>
      <sz val="8"/>
      <name val="Arial Cyr"/>
      <charset val="204"/>
    </font>
    <font>
      <b/>
      <sz val="11"/>
      <color theme="1"/>
      <name val="Calibri"/>
      <family val="2"/>
      <charset val="204"/>
      <scheme val="minor"/>
    </font>
    <font>
      <sz val="12"/>
      <color rgb="FF0070C0"/>
      <name val="Times New Roman"/>
      <family val="1"/>
      <charset val="204"/>
    </font>
    <font>
      <sz val="14"/>
      <name val="Times New Roman"/>
      <family val="1"/>
      <charset val="204"/>
    </font>
    <font>
      <sz val="12"/>
      <color theme="1"/>
      <name val="Calibri"/>
      <family val="2"/>
      <charset val="204"/>
      <scheme val="minor"/>
    </font>
    <font>
      <sz val="10"/>
      <name val="Arial"/>
      <family val="2"/>
      <charset val="204"/>
    </font>
    <font>
      <sz val="8"/>
      <name val="Arial"/>
      <family val="2"/>
      <charset val="204"/>
    </font>
    <font>
      <sz val="12"/>
      <name val="Arial"/>
      <family val="2"/>
      <charset val="204"/>
    </font>
    <font>
      <sz val="13"/>
      <name val="Times New Roman"/>
      <family val="1"/>
      <charset val="204"/>
    </font>
  </fonts>
  <fills count="18">
    <fill>
      <patternFill patternType="none"/>
    </fill>
    <fill>
      <patternFill patternType="gray125"/>
    </fill>
    <fill>
      <patternFill patternType="solid">
        <fgColor rgb="FFCCFFCC"/>
        <bgColor indexed="64"/>
      </patternFill>
    </fill>
    <fill>
      <patternFill patternType="solid">
        <fgColor rgb="FFFFFFCC"/>
        <bgColor indexed="64"/>
      </patternFill>
    </fill>
    <fill>
      <patternFill patternType="solid">
        <fgColor rgb="FFFFFF00"/>
        <bgColor indexed="64"/>
      </patternFill>
    </fill>
    <fill>
      <patternFill patternType="solid">
        <fgColor theme="0"/>
        <bgColor indexed="64"/>
      </patternFill>
    </fill>
    <fill>
      <patternFill patternType="solid">
        <fgColor rgb="FF92D050"/>
        <bgColor indexed="64"/>
      </patternFill>
    </fill>
    <fill>
      <patternFill patternType="solid">
        <fgColor rgb="FFFF0000"/>
        <bgColor indexed="64"/>
      </patternFill>
    </fill>
    <fill>
      <patternFill patternType="solid">
        <fgColor theme="9"/>
        <bgColor indexed="64"/>
      </patternFill>
    </fill>
    <fill>
      <patternFill patternType="solid">
        <fgColor rgb="FF00B0F0"/>
        <bgColor indexed="64"/>
      </patternFill>
    </fill>
    <fill>
      <patternFill patternType="solid">
        <fgColor rgb="FFAFEFEA"/>
        <bgColor indexed="64"/>
      </patternFill>
    </fill>
    <fill>
      <patternFill patternType="solid">
        <fgColor rgb="FF0070C0"/>
        <bgColor indexed="64"/>
      </patternFill>
    </fill>
    <fill>
      <patternFill patternType="solid">
        <fgColor theme="0" tint="-0.14999847407452621"/>
        <bgColor indexed="64"/>
      </patternFill>
    </fill>
    <fill>
      <patternFill patternType="solid">
        <fgColor rgb="FFFFCCFF"/>
        <bgColor indexed="64"/>
      </patternFill>
    </fill>
    <fill>
      <patternFill patternType="solid">
        <fgColor theme="7" tint="0.59999389629810485"/>
        <bgColor indexed="64"/>
      </patternFill>
    </fill>
    <fill>
      <patternFill patternType="solid">
        <fgColor rgb="FF000000"/>
        <bgColor indexed="64"/>
      </patternFill>
    </fill>
    <fill>
      <patternFill patternType="solid">
        <fgColor rgb="FFFFC000"/>
        <bgColor indexed="64"/>
      </patternFill>
    </fill>
    <fill>
      <patternFill patternType="solid">
        <fgColor indexed="22"/>
      </patternFill>
    </fill>
  </fills>
  <borders count="27">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337">
    <xf numFmtId="0" fontId="0" fillId="0" borderId="0"/>
    <xf numFmtId="43" fontId="16" fillId="0" borderId="0" applyFont="0" applyFill="0" applyBorder="0" applyAlignment="0" applyProtection="0"/>
    <xf numFmtId="0" fontId="8" fillId="0" borderId="0"/>
    <xf numFmtId="0" fontId="14" fillId="0" borderId="0"/>
    <xf numFmtId="0" fontId="8" fillId="0" borderId="0"/>
    <xf numFmtId="0" fontId="18"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1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6"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4" fillId="0" borderId="0"/>
    <xf numFmtId="0" fontId="27" fillId="0" borderId="0"/>
    <xf numFmtId="0" fontId="3" fillId="0" borderId="0"/>
    <xf numFmtId="0" fontId="14" fillId="0" borderId="0"/>
    <xf numFmtId="43" fontId="3" fillId="0" borderId="0" applyFont="0" applyFill="0" applyBorder="0" applyAlignment="0" applyProtection="0"/>
    <xf numFmtId="0" fontId="3" fillId="0" borderId="0"/>
    <xf numFmtId="0" fontId="3" fillId="0" borderId="0"/>
    <xf numFmtId="0" fontId="2" fillId="0" borderId="0"/>
    <xf numFmtId="0" fontId="35" fillId="0" borderId="0"/>
    <xf numFmtId="0" fontId="1" fillId="0" borderId="0"/>
  </cellStyleXfs>
  <cellXfs count="538">
    <xf numFmtId="0" fontId="0" fillId="0" borderId="0" xfId="0"/>
    <xf numFmtId="0" fontId="10" fillId="0" borderId="0" xfId="0" applyFont="1" applyFill="1" applyAlignment="1">
      <alignment horizontal="center" vertical="top"/>
    </xf>
    <xf numFmtId="0" fontId="10" fillId="0" borderId="0" xfId="0" applyFont="1" applyFill="1" applyAlignment="1">
      <alignment horizontal="left" vertical="top"/>
    </xf>
    <xf numFmtId="49" fontId="10" fillId="0" borderId="0" xfId="0" applyNumberFormat="1" applyFont="1" applyFill="1" applyAlignment="1">
      <alignment horizontal="right" vertical="top"/>
    </xf>
    <xf numFmtId="0" fontId="10" fillId="0" borderId="0" xfId="0" applyFont="1" applyFill="1" applyAlignment="1">
      <alignment vertical="top"/>
    </xf>
    <xf numFmtId="4" fontId="10" fillId="0" borderId="0" xfId="0" applyNumberFormat="1" applyFont="1" applyFill="1" applyAlignment="1">
      <alignment horizontal="right" vertical="top"/>
    </xf>
    <xf numFmtId="0" fontId="10" fillId="0" borderId="0" xfId="0" applyFont="1" applyFill="1"/>
    <xf numFmtId="49" fontId="11" fillId="0" borderId="0" xfId="0" applyNumberFormat="1" applyFont="1" applyFill="1" applyAlignment="1">
      <alignment horizontal="right" vertical="top"/>
    </xf>
    <xf numFmtId="49" fontId="11" fillId="0" borderId="0" xfId="0" applyNumberFormat="1" applyFont="1" applyFill="1" applyAlignment="1">
      <alignment horizontal="center" vertical="top"/>
    </xf>
    <xf numFmtId="1" fontId="11" fillId="0" borderId="1" xfId="0" applyNumberFormat="1" applyFont="1" applyFill="1" applyBorder="1" applyAlignment="1">
      <alignment horizontal="center" vertical="top"/>
    </xf>
    <xf numFmtId="0" fontId="12" fillId="0" borderId="0" xfId="0" applyFont="1" applyFill="1" applyAlignment="1">
      <alignment horizontal="center" vertical="top" wrapText="1"/>
    </xf>
    <xf numFmtId="1" fontId="11" fillId="0" borderId="1" xfId="0" applyNumberFormat="1" applyFont="1" applyFill="1" applyBorder="1" applyAlignment="1">
      <alignment horizontal="right"/>
    </xf>
    <xf numFmtId="49" fontId="11" fillId="0" borderId="2" xfId="0" applyNumberFormat="1" applyFont="1" applyFill="1" applyBorder="1" applyAlignment="1">
      <alignment horizontal="center" vertical="top"/>
    </xf>
    <xf numFmtId="0" fontId="10" fillId="0" borderId="0" xfId="0" applyFont="1" applyFill="1" applyAlignment="1">
      <alignment horizontal="center"/>
    </xf>
    <xf numFmtId="0" fontId="10" fillId="0" borderId="0" xfId="0" applyFont="1" applyFill="1" applyBorder="1" applyAlignment="1">
      <alignment horizontal="center" vertical="top"/>
    </xf>
    <xf numFmtId="4" fontId="13" fillId="0" borderId="4" xfId="0" applyNumberFormat="1" applyFont="1" applyFill="1" applyBorder="1" applyAlignment="1">
      <alignment horizontal="right" vertical="top"/>
    </xf>
    <xf numFmtId="0" fontId="10" fillId="0" borderId="0" xfId="0" applyFont="1" applyFill="1" applyBorder="1"/>
    <xf numFmtId="0" fontId="10" fillId="0" borderId="0" xfId="0" applyFont="1" applyFill="1" applyBorder="1" applyAlignment="1">
      <alignment vertical="top"/>
    </xf>
    <xf numFmtId="4" fontId="11" fillId="2" borderId="3" xfId="0" applyNumberFormat="1" applyFont="1" applyFill="1" applyBorder="1" applyAlignment="1">
      <alignment horizontal="right" vertical="top"/>
    </xf>
    <xf numFmtId="4" fontId="11" fillId="3" borderId="3" xfId="0" applyNumberFormat="1" applyFont="1" applyFill="1" applyBorder="1" applyAlignment="1">
      <alignment horizontal="right" vertical="top"/>
    </xf>
    <xf numFmtId="4" fontId="11" fillId="0" borderId="3" xfId="0" applyNumberFormat="1" applyFont="1" applyFill="1" applyBorder="1" applyAlignment="1">
      <alignment horizontal="right" vertical="top"/>
    </xf>
    <xf numFmtId="0" fontId="10" fillId="4" borderId="0" xfId="0" applyFont="1" applyFill="1" applyBorder="1" applyAlignment="1">
      <alignment horizontal="center" vertical="top"/>
    </xf>
    <xf numFmtId="4" fontId="11" fillId="4" borderId="3" xfId="0" applyNumberFormat="1" applyFont="1" applyFill="1" applyBorder="1" applyAlignment="1">
      <alignment horizontal="right" vertical="top"/>
    </xf>
    <xf numFmtId="0" fontId="10" fillId="4" borderId="0" xfId="0" applyFont="1" applyFill="1" applyBorder="1"/>
    <xf numFmtId="0" fontId="10" fillId="4" borderId="0" xfId="0" applyFont="1" applyFill="1" applyBorder="1" applyAlignment="1">
      <alignment vertical="top"/>
    </xf>
    <xf numFmtId="4" fontId="13" fillId="0" borderId="3" xfId="0" applyNumberFormat="1" applyFont="1" applyFill="1" applyBorder="1" applyAlignment="1">
      <alignment horizontal="right" vertical="top"/>
    </xf>
    <xf numFmtId="4" fontId="11" fillId="5" borderId="3" xfId="0" applyNumberFormat="1" applyFont="1" applyFill="1" applyBorder="1" applyAlignment="1">
      <alignment horizontal="right" vertical="top"/>
    </xf>
    <xf numFmtId="4" fontId="11" fillId="5" borderId="3" xfId="0" applyNumberFormat="1" applyFont="1" applyFill="1" applyBorder="1" applyAlignment="1">
      <alignment horizontal="right" vertical="top" wrapText="1"/>
    </xf>
    <xf numFmtId="0" fontId="11" fillId="0" borderId="0" xfId="0" applyFont="1" applyFill="1" applyBorder="1" applyAlignment="1">
      <alignment horizontal="center" vertical="top"/>
    </xf>
    <xf numFmtId="0" fontId="11" fillId="0" borderId="0" xfId="0" applyFont="1" applyFill="1" applyBorder="1"/>
    <xf numFmtId="0" fontId="11" fillId="4" borderId="0" xfId="0" applyFont="1" applyFill="1" applyBorder="1" applyAlignment="1">
      <alignment horizontal="center" vertical="top"/>
    </xf>
    <xf numFmtId="0" fontId="11" fillId="4" borderId="0" xfId="0" applyFont="1" applyFill="1" applyBorder="1"/>
    <xf numFmtId="4" fontId="11" fillId="0" borderId="3" xfId="0" applyNumberFormat="1" applyFont="1" applyFill="1" applyBorder="1" applyAlignment="1">
      <alignment horizontal="right" vertical="top" wrapText="1"/>
    </xf>
    <xf numFmtId="0" fontId="10" fillId="6" borderId="0" xfId="0" applyFont="1" applyFill="1" applyBorder="1" applyAlignment="1">
      <alignment horizontal="center" vertical="top"/>
    </xf>
    <xf numFmtId="0" fontId="10" fillId="6" borderId="0" xfId="0" applyFont="1" applyFill="1" applyBorder="1"/>
    <xf numFmtId="166" fontId="13" fillId="5" borderId="3" xfId="0" applyNumberFormat="1" applyFont="1" applyFill="1" applyBorder="1" applyAlignment="1">
      <alignment horizontal="right" vertical="top"/>
    </xf>
    <xf numFmtId="166" fontId="11" fillId="5" borderId="3" xfId="0" applyNumberFormat="1" applyFont="1" applyFill="1" applyBorder="1" applyAlignment="1">
      <alignment horizontal="right" vertical="top"/>
    </xf>
    <xf numFmtId="166" fontId="11" fillId="0" borderId="3" xfId="0" applyNumberFormat="1" applyFont="1" applyFill="1" applyBorder="1" applyAlignment="1">
      <alignment horizontal="right" vertical="top"/>
    </xf>
    <xf numFmtId="166" fontId="11" fillId="4" borderId="3" xfId="0" applyNumberFormat="1" applyFont="1" applyFill="1" applyBorder="1" applyAlignment="1">
      <alignment horizontal="right" vertical="top"/>
    </xf>
    <xf numFmtId="166" fontId="11" fillId="0" borderId="3" xfId="0" applyNumberFormat="1" applyFont="1" applyFill="1" applyBorder="1" applyAlignment="1">
      <alignment vertical="top"/>
    </xf>
    <xf numFmtId="0" fontId="10" fillId="4" borderId="0" xfId="0" applyFont="1" applyFill="1" applyAlignment="1">
      <alignment horizontal="center" vertical="top"/>
    </xf>
    <xf numFmtId="0" fontId="10" fillId="4" borderId="0" xfId="0" applyFont="1" applyFill="1" applyAlignment="1">
      <alignment vertical="top"/>
    </xf>
    <xf numFmtId="0" fontId="15" fillId="0" borderId="0" xfId="0" applyFont="1" applyFill="1" applyAlignment="1">
      <alignment horizontal="center" vertical="top"/>
    </xf>
    <xf numFmtId="0" fontId="15" fillId="0" borderId="0" xfId="0" applyFont="1" applyFill="1" applyAlignment="1">
      <alignment vertical="top"/>
    </xf>
    <xf numFmtId="0" fontId="13" fillId="0" borderId="0" xfId="0" applyFont="1" applyFill="1" applyAlignment="1">
      <alignment horizontal="center" vertical="top"/>
    </xf>
    <xf numFmtId="0" fontId="13" fillId="0" borderId="0" xfId="0" applyFont="1" applyFill="1" applyAlignment="1">
      <alignment vertical="top"/>
    </xf>
    <xf numFmtId="0" fontId="10" fillId="7" borderId="0" xfId="0" applyFont="1" applyFill="1" applyBorder="1" applyAlignment="1">
      <alignment horizontal="center" vertical="top"/>
    </xf>
    <xf numFmtId="0" fontId="10" fillId="7" borderId="0" xfId="0" applyFont="1" applyFill="1" applyBorder="1"/>
    <xf numFmtId="0" fontId="10" fillId="4" borderId="0" xfId="0" applyFont="1" applyFill="1"/>
    <xf numFmtId="0" fontId="10" fillId="8" borderId="0" xfId="0" applyFont="1" applyFill="1" applyBorder="1" applyAlignment="1">
      <alignment horizontal="center" vertical="top"/>
    </xf>
    <xf numFmtId="0" fontId="10" fillId="8" borderId="0" xfId="0" applyFont="1" applyFill="1" applyBorder="1"/>
    <xf numFmtId="4" fontId="11" fillId="5" borderId="6" xfId="0" applyNumberFormat="1" applyFont="1" applyFill="1" applyBorder="1" applyAlignment="1">
      <alignment horizontal="right" vertical="top"/>
    </xf>
    <xf numFmtId="4" fontId="11" fillId="3" borderId="5" xfId="0" applyNumberFormat="1" applyFont="1" applyFill="1" applyBorder="1" applyAlignment="1">
      <alignment horizontal="right" vertical="top"/>
    </xf>
    <xf numFmtId="4" fontId="11" fillId="5" borderId="3" xfId="1" applyNumberFormat="1" applyFont="1" applyFill="1" applyBorder="1" applyAlignment="1">
      <alignment horizontal="right" vertical="top"/>
    </xf>
    <xf numFmtId="4" fontId="11" fillId="5" borderId="7" xfId="0" applyNumberFormat="1" applyFont="1" applyFill="1" applyBorder="1" applyAlignment="1">
      <alignment horizontal="right" vertical="top"/>
    </xf>
    <xf numFmtId="4" fontId="11" fillId="0" borderId="3" xfId="0" applyNumberFormat="1" applyFont="1" applyFill="1" applyBorder="1" applyAlignment="1">
      <alignment vertical="top"/>
    </xf>
    <xf numFmtId="4" fontId="13" fillId="5" borderId="3" xfId="0" applyNumberFormat="1" applyFont="1" applyFill="1" applyBorder="1" applyAlignment="1">
      <alignment horizontal="right" vertical="top"/>
    </xf>
    <xf numFmtId="4" fontId="11" fillId="0" borderId="5" xfId="0" applyNumberFormat="1" applyFont="1" applyFill="1" applyBorder="1" applyAlignment="1">
      <alignment horizontal="right" vertical="top"/>
    </xf>
    <xf numFmtId="4" fontId="11" fillId="4" borderId="5" xfId="0" applyNumberFormat="1" applyFont="1" applyFill="1" applyBorder="1" applyAlignment="1">
      <alignment horizontal="right" vertical="top"/>
    </xf>
    <xf numFmtId="0" fontId="10" fillId="0" borderId="3" xfId="0" applyFont="1" applyFill="1" applyBorder="1"/>
    <xf numFmtId="4" fontId="11" fillId="0" borderId="7" xfId="0" applyNumberFormat="1" applyFont="1" applyFill="1" applyBorder="1" applyAlignment="1">
      <alignment horizontal="right" vertical="top"/>
    </xf>
    <xf numFmtId="4" fontId="11" fillId="3" borderId="7" xfId="0" applyNumberFormat="1" applyFont="1" applyFill="1" applyBorder="1" applyAlignment="1">
      <alignment horizontal="right" vertical="top"/>
    </xf>
    <xf numFmtId="0" fontId="10" fillId="9" borderId="0" xfId="0" applyFont="1" applyFill="1" applyBorder="1" applyAlignment="1">
      <alignment vertical="top"/>
    </xf>
    <xf numFmtId="4" fontId="11" fillId="4" borderId="3" xfId="0" applyNumberFormat="1" applyFont="1" applyFill="1" applyBorder="1" applyAlignment="1">
      <alignment horizontal="right" vertical="top" wrapText="1"/>
    </xf>
    <xf numFmtId="4" fontId="11" fillId="0" borderId="3" xfId="1" applyNumberFormat="1" applyFont="1" applyFill="1" applyBorder="1" applyAlignment="1">
      <alignment horizontal="right" vertical="top"/>
    </xf>
    <xf numFmtId="0" fontId="17" fillId="0" borderId="0" xfId="0" applyFont="1" applyFill="1" applyBorder="1" applyAlignment="1">
      <alignment horizontal="center" vertical="top"/>
    </xf>
    <xf numFmtId="0" fontId="17" fillId="0" borderId="0" xfId="0" applyFont="1" applyFill="1" applyBorder="1"/>
    <xf numFmtId="0" fontId="15" fillId="0" borderId="0" xfId="0" applyFont="1" applyFill="1" applyBorder="1" applyAlignment="1">
      <alignment horizontal="left" vertical="top" wrapText="1"/>
    </xf>
    <xf numFmtId="49" fontId="15" fillId="0" borderId="0" xfId="0" applyNumberFormat="1" applyFont="1" applyFill="1" applyBorder="1" applyAlignment="1">
      <alignment horizontal="right" vertical="top"/>
    </xf>
    <xf numFmtId="49" fontId="15" fillId="0" borderId="0" xfId="0" applyNumberFormat="1" applyFont="1" applyFill="1" applyBorder="1" applyAlignment="1">
      <alignment horizontal="center" vertical="top"/>
    </xf>
    <xf numFmtId="4" fontId="15" fillId="0" borderId="0" xfId="0" applyNumberFormat="1" applyFont="1" applyFill="1" applyBorder="1" applyAlignment="1">
      <alignment horizontal="right" vertical="top"/>
    </xf>
    <xf numFmtId="4" fontId="13" fillId="0" borderId="0" xfId="0" applyNumberFormat="1" applyFont="1" applyFill="1" applyBorder="1" applyAlignment="1">
      <alignment horizontal="right" vertical="top"/>
    </xf>
    <xf numFmtId="0" fontId="10" fillId="4" borderId="0" xfId="0" applyFont="1" applyFill="1" applyAlignment="1">
      <alignment horizontal="left" vertical="top"/>
    </xf>
    <xf numFmtId="49" fontId="10" fillId="4" borderId="0" xfId="0" applyNumberFormat="1" applyFont="1" applyFill="1" applyAlignment="1">
      <alignment horizontal="right" vertical="top"/>
    </xf>
    <xf numFmtId="49" fontId="10" fillId="4" borderId="0" xfId="0" applyNumberFormat="1" applyFont="1" applyFill="1" applyAlignment="1">
      <alignment horizontal="center" vertical="top"/>
    </xf>
    <xf numFmtId="164" fontId="10" fillId="4" borderId="0" xfId="0" applyNumberFormat="1" applyFont="1" applyFill="1" applyAlignment="1">
      <alignment vertical="top"/>
    </xf>
    <xf numFmtId="4" fontId="10" fillId="0" borderId="0" xfId="3" applyNumberFormat="1" applyFont="1" applyBorder="1" applyAlignment="1">
      <alignment horizontal="right" vertical="top"/>
    </xf>
    <xf numFmtId="164" fontId="10" fillId="4" borderId="0" xfId="0" applyNumberFormat="1" applyFont="1" applyFill="1" applyBorder="1" applyAlignment="1">
      <alignment vertical="top"/>
    </xf>
    <xf numFmtId="0" fontId="10" fillId="9" borderId="0" xfId="0" applyFont="1" applyFill="1" applyAlignment="1">
      <alignment horizontal="center" vertical="top"/>
    </xf>
    <xf numFmtId="49" fontId="10" fillId="9" borderId="0" xfId="0" applyNumberFormat="1" applyFont="1" applyFill="1" applyBorder="1" applyAlignment="1">
      <alignment horizontal="center" vertical="top"/>
    </xf>
    <xf numFmtId="4" fontId="10" fillId="9" borderId="0" xfId="3" applyNumberFormat="1" applyFont="1" applyFill="1" applyBorder="1" applyAlignment="1">
      <alignment horizontal="right" vertical="top"/>
    </xf>
    <xf numFmtId="0" fontId="10" fillId="9" borderId="0" xfId="0" applyFont="1" applyFill="1"/>
    <xf numFmtId="4" fontId="10" fillId="9" borderId="3" xfId="3" applyNumberFormat="1" applyFont="1" applyFill="1" applyBorder="1" applyAlignment="1">
      <alignment horizontal="right" vertical="top"/>
    </xf>
    <xf numFmtId="49" fontId="10" fillId="9" borderId="0" xfId="0" applyNumberFormat="1" applyFont="1" applyFill="1" applyBorder="1" applyAlignment="1">
      <alignment horizontal="right" vertical="top"/>
    </xf>
    <xf numFmtId="4" fontId="10" fillId="4" borderId="0" xfId="0" applyNumberFormat="1" applyFont="1" applyFill="1" applyAlignment="1">
      <alignment vertical="top"/>
    </xf>
    <xf numFmtId="0" fontId="10" fillId="10" borderId="0" xfId="0" applyFont="1" applyFill="1" applyAlignment="1">
      <alignment horizontal="center" vertical="top"/>
    </xf>
    <xf numFmtId="0" fontId="10" fillId="10" borderId="0" xfId="0" applyFont="1" applyFill="1"/>
    <xf numFmtId="0" fontId="10" fillId="10" borderId="0" xfId="0" applyFont="1" applyFill="1" applyBorder="1"/>
    <xf numFmtId="49" fontId="10" fillId="10" borderId="0" xfId="0" applyNumberFormat="1" applyFont="1" applyFill="1" applyBorder="1" applyAlignment="1">
      <alignment horizontal="center" vertical="top"/>
    </xf>
    <xf numFmtId="4" fontId="10" fillId="10" borderId="0" xfId="0" applyNumberFormat="1" applyFont="1" applyFill="1" applyBorder="1" applyAlignment="1">
      <alignment horizontal="right" vertical="top" wrapText="1"/>
    </xf>
    <xf numFmtId="49" fontId="10" fillId="4" borderId="0" xfId="0" applyNumberFormat="1" applyFont="1" applyFill="1" applyBorder="1" applyAlignment="1">
      <alignment horizontal="center" vertical="top"/>
    </xf>
    <xf numFmtId="4" fontId="10" fillId="4" borderId="0" xfId="0" applyNumberFormat="1" applyFont="1" applyFill="1" applyBorder="1" applyAlignment="1">
      <alignment vertical="top"/>
    </xf>
    <xf numFmtId="0" fontId="10" fillId="0" borderId="8" xfId="0" applyFont="1" applyFill="1" applyBorder="1" applyAlignment="1">
      <alignment horizontal="center" vertical="top"/>
    </xf>
    <xf numFmtId="0" fontId="10" fillId="4" borderId="0" xfId="0" applyFont="1" applyFill="1" applyBorder="1" applyAlignment="1">
      <alignment horizontal="left" vertical="top"/>
    </xf>
    <xf numFmtId="49" fontId="10" fillId="4" borderId="0" xfId="0" applyNumberFormat="1" applyFont="1" applyFill="1" applyBorder="1" applyAlignment="1">
      <alignment horizontal="right" vertical="top"/>
    </xf>
    <xf numFmtId="0" fontId="10" fillId="9" borderId="0" xfId="0" applyFont="1" applyFill="1" applyBorder="1" applyAlignment="1">
      <alignment horizontal="left" vertical="top"/>
    </xf>
    <xf numFmtId="0" fontId="10" fillId="10" borderId="0" xfId="0" applyFont="1" applyFill="1" applyBorder="1" applyAlignment="1">
      <alignment vertical="top"/>
    </xf>
    <xf numFmtId="49" fontId="10" fillId="0" borderId="0" xfId="0" applyNumberFormat="1" applyFont="1" applyFill="1" applyAlignment="1">
      <alignment horizontal="center" vertical="top"/>
    </xf>
    <xf numFmtId="164" fontId="10" fillId="0" borderId="0" xfId="0" applyNumberFormat="1" applyFont="1" applyFill="1" applyAlignment="1">
      <alignment vertical="top"/>
    </xf>
    <xf numFmtId="0" fontId="11" fillId="0" borderId="0" xfId="0" applyFont="1" applyFill="1" applyAlignment="1">
      <alignment horizontal="left"/>
    </xf>
    <xf numFmtId="4" fontId="10" fillId="0" borderId="0" xfId="0" applyNumberFormat="1" applyFont="1" applyFill="1" applyAlignment="1">
      <alignment vertical="top"/>
    </xf>
    <xf numFmtId="0" fontId="0" fillId="0" borderId="0" xfId="0" applyFill="1"/>
    <xf numFmtId="4" fontId="10" fillId="0" borderId="0" xfId="3" applyNumberFormat="1" applyFont="1" applyFill="1" applyAlignment="1" applyProtection="1">
      <alignment horizontal="right" vertical="top"/>
      <protection hidden="1"/>
    </xf>
    <xf numFmtId="4" fontId="10" fillId="0" borderId="0" xfId="0" applyNumberFormat="1" applyFont="1" applyFill="1" applyAlignment="1">
      <alignment horizontal="left" vertical="top"/>
    </xf>
    <xf numFmtId="0" fontId="20" fillId="0" borderId="0" xfId="0" applyFont="1" applyFill="1" applyBorder="1" applyAlignment="1">
      <alignment vertical="top"/>
    </xf>
    <xf numFmtId="4" fontId="10" fillId="5" borderId="0" xfId="0" applyNumberFormat="1" applyFont="1" applyFill="1" applyBorder="1" applyAlignment="1">
      <alignment horizontal="right" vertical="top"/>
    </xf>
    <xf numFmtId="4" fontId="15" fillId="0" borderId="0" xfId="3" applyNumberFormat="1" applyFont="1" applyFill="1" applyBorder="1" applyAlignment="1" applyProtection="1">
      <alignment horizontal="right" vertical="top"/>
      <protection hidden="1"/>
    </xf>
    <xf numFmtId="4" fontId="10" fillId="0" borderId="0" xfId="0" applyNumberFormat="1" applyFont="1" applyAlignment="1">
      <alignment horizontal="right" vertical="top"/>
    </xf>
    <xf numFmtId="49" fontId="10" fillId="0" borderId="0" xfId="0" applyNumberFormat="1" applyFont="1" applyFill="1" applyBorder="1" applyAlignment="1">
      <alignment horizontal="center" vertical="top"/>
    </xf>
    <xf numFmtId="49" fontId="10" fillId="0" borderId="0" xfId="0" applyNumberFormat="1" applyFont="1" applyFill="1" applyBorder="1" applyAlignment="1">
      <alignment horizontal="center" vertical="top" wrapText="1"/>
    </xf>
    <xf numFmtId="0" fontId="10" fillId="0" borderId="0" xfId="0" applyFont="1" applyAlignment="1">
      <alignment horizontal="center" vertical="center" wrapText="1"/>
    </xf>
    <xf numFmtId="0" fontId="21" fillId="0" borderId="0" xfId="0" applyFont="1"/>
    <xf numFmtId="0" fontId="10" fillId="0" borderId="9" xfId="0" applyFont="1" applyBorder="1" applyAlignment="1">
      <alignment horizontal="right" vertical="center" wrapText="1"/>
    </xf>
    <xf numFmtId="0" fontId="10" fillId="0" borderId="3" xfId="0" applyFont="1" applyBorder="1" applyAlignment="1">
      <alignment horizontal="center" vertical="top" wrapText="1"/>
    </xf>
    <xf numFmtId="0" fontId="10" fillId="0" borderId="3" xfId="0" applyFont="1" applyFill="1" applyBorder="1" applyAlignment="1">
      <alignment horizontal="center" vertical="top" wrapText="1"/>
    </xf>
    <xf numFmtId="49" fontId="10" fillId="0" borderId="3" xfId="0" applyNumberFormat="1" applyFont="1" applyFill="1" applyBorder="1" applyAlignment="1">
      <alignment horizontal="center" vertical="top"/>
    </xf>
    <xf numFmtId="49" fontId="15" fillId="0" borderId="0" xfId="0" applyNumberFormat="1" applyFont="1" applyFill="1" applyBorder="1" applyAlignment="1">
      <alignment horizontal="center" vertical="top" wrapText="1"/>
    </xf>
    <xf numFmtId="0" fontId="10" fillId="2" borderId="0" xfId="0" applyFont="1" applyFill="1" applyBorder="1" applyAlignment="1">
      <alignment horizontal="left" vertical="top" wrapText="1"/>
    </xf>
    <xf numFmtId="49" fontId="10" fillId="2" borderId="0" xfId="0" applyNumberFormat="1" applyFont="1" applyFill="1" applyBorder="1" applyAlignment="1">
      <alignment horizontal="center" vertical="top" wrapText="1"/>
    </xf>
    <xf numFmtId="49" fontId="10" fillId="2" borderId="0" xfId="0" applyNumberFormat="1" applyFont="1" applyFill="1" applyBorder="1" applyAlignment="1">
      <alignment horizontal="center" vertical="top"/>
    </xf>
    <xf numFmtId="4" fontId="10" fillId="2" borderId="0" xfId="0" applyNumberFormat="1" applyFont="1" applyFill="1" applyBorder="1" applyAlignment="1">
      <alignment horizontal="right" vertical="top"/>
    </xf>
    <xf numFmtId="0" fontId="10" fillId="3" borderId="0" xfId="0" applyFont="1" applyFill="1" applyBorder="1" applyAlignment="1">
      <alignment vertical="top" wrapText="1"/>
    </xf>
    <xf numFmtId="49" fontId="10" fillId="3" borderId="0" xfId="0" applyNumberFormat="1" applyFont="1" applyFill="1" applyBorder="1" applyAlignment="1">
      <alignment horizontal="center" vertical="top" wrapText="1"/>
    </xf>
    <xf numFmtId="49" fontId="10" fillId="3" borderId="0" xfId="0" applyNumberFormat="1" applyFont="1" applyFill="1" applyBorder="1" applyAlignment="1">
      <alignment horizontal="center" vertical="top"/>
    </xf>
    <xf numFmtId="4" fontId="10" fillId="3" borderId="0" xfId="0" applyNumberFormat="1" applyFont="1" applyFill="1" applyBorder="1" applyAlignment="1">
      <alignment horizontal="right" vertical="top"/>
    </xf>
    <xf numFmtId="0" fontId="10" fillId="0" borderId="0" xfId="0" applyFont="1" applyFill="1" applyBorder="1" applyAlignment="1">
      <alignment horizontal="left" vertical="top" wrapText="1"/>
    </xf>
    <xf numFmtId="4" fontId="10" fillId="0" borderId="0" xfId="0" applyNumberFormat="1" applyFont="1" applyFill="1" applyBorder="1" applyAlignment="1">
      <alignment horizontal="right" vertical="top"/>
    </xf>
    <xf numFmtId="0" fontId="10" fillId="0" borderId="0" xfId="0" applyFont="1" applyBorder="1" applyAlignment="1">
      <alignment horizontal="left" vertical="top" wrapText="1"/>
    </xf>
    <xf numFmtId="4" fontId="23" fillId="0" borderId="0" xfId="0" applyNumberFormat="1" applyFont="1" applyFill="1" applyBorder="1" applyAlignment="1">
      <alignment horizontal="right" vertical="top"/>
    </xf>
    <xf numFmtId="0" fontId="10" fillId="5" borderId="0" xfId="0" applyFont="1" applyFill="1" applyBorder="1" applyAlignment="1">
      <alignment horizontal="left" vertical="top" wrapText="1"/>
    </xf>
    <xf numFmtId="49" fontId="10" fillId="5" borderId="0" xfId="0" applyNumberFormat="1" applyFont="1" applyFill="1" applyBorder="1" applyAlignment="1">
      <alignment horizontal="center" vertical="top" wrapText="1"/>
    </xf>
    <xf numFmtId="49" fontId="10" fillId="5" borderId="0" xfId="0" applyNumberFormat="1" applyFont="1" applyFill="1" applyBorder="1" applyAlignment="1">
      <alignment horizontal="center" vertical="top"/>
    </xf>
    <xf numFmtId="0" fontId="10" fillId="0" borderId="0" xfId="0" applyFont="1" applyFill="1" applyBorder="1" applyAlignment="1">
      <alignment vertical="top" wrapText="1"/>
    </xf>
    <xf numFmtId="0" fontId="10" fillId="0" borderId="0" xfId="0" applyFont="1" applyFill="1" applyBorder="1" applyAlignment="1">
      <alignment horizontal="center" vertical="top" wrapText="1"/>
    </xf>
    <xf numFmtId="4" fontId="10" fillId="5" borderId="0" xfId="0" applyNumberFormat="1" applyFont="1" applyFill="1" applyBorder="1" applyAlignment="1">
      <alignment horizontal="right" vertical="top" wrapText="1"/>
    </xf>
    <xf numFmtId="49" fontId="10" fillId="0" borderId="0" xfId="0" applyNumberFormat="1" applyFont="1" applyFill="1" applyBorder="1" applyAlignment="1">
      <alignment horizontal="left" vertical="top" wrapText="1"/>
    </xf>
    <xf numFmtId="0" fontId="10" fillId="5" borderId="0" xfId="0" applyFont="1" applyFill="1" applyBorder="1" applyAlignment="1">
      <alignment horizontal="center" vertical="top" wrapText="1"/>
    </xf>
    <xf numFmtId="0" fontId="10" fillId="0" borderId="0" xfId="2" applyFont="1" applyBorder="1" applyAlignment="1">
      <alignment vertical="top" wrapText="1"/>
    </xf>
    <xf numFmtId="0" fontId="10" fillId="0" borderId="0" xfId="2" applyFont="1" applyFill="1" applyBorder="1" applyAlignment="1">
      <alignment vertical="top" wrapText="1"/>
    </xf>
    <xf numFmtId="0" fontId="10" fillId="3" borderId="0" xfId="0" applyFont="1" applyFill="1" applyBorder="1" applyAlignment="1">
      <alignment horizontal="center" vertical="top" wrapText="1"/>
    </xf>
    <xf numFmtId="0" fontId="10" fillId="5" borderId="0" xfId="0" applyFont="1" applyFill="1" applyBorder="1" applyAlignment="1">
      <alignment vertical="top" wrapText="1"/>
    </xf>
    <xf numFmtId="4" fontId="10" fillId="0" borderId="0" xfId="0" applyNumberFormat="1" applyFont="1" applyFill="1" applyBorder="1" applyAlignment="1">
      <alignment horizontal="right" vertical="top" wrapText="1"/>
    </xf>
    <xf numFmtId="49" fontId="10" fillId="0" borderId="0" xfId="2" applyNumberFormat="1" applyFont="1" applyFill="1" applyBorder="1" applyAlignment="1">
      <alignment horizontal="center" vertical="top"/>
    </xf>
    <xf numFmtId="165" fontId="10" fillId="5" borderId="0" xfId="0" applyNumberFormat="1" applyFont="1" applyFill="1" applyBorder="1" applyAlignment="1">
      <alignment horizontal="left" vertical="top" wrapText="1"/>
    </xf>
    <xf numFmtId="0" fontId="10" fillId="5" borderId="0" xfId="3" applyNumberFormat="1" applyFont="1" applyFill="1" applyBorder="1" applyAlignment="1" applyProtection="1">
      <alignment vertical="top" wrapText="1"/>
      <protection hidden="1"/>
    </xf>
    <xf numFmtId="0" fontId="10" fillId="0" borderId="0" xfId="3" applyNumberFormat="1" applyFont="1" applyFill="1" applyBorder="1" applyAlignment="1" applyProtection="1">
      <alignment vertical="top" wrapText="1"/>
      <protection hidden="1"/>
    </xf>
    <xf numFmtId="166" fontId="15" fillId="5" borderId="0" xfId="0" applyNumberFormat="1" applyFont="1" applyFill="1" applyBorder="1" applyAlignment="1">
      <alignment horizontal="right" vertical="top"/>
    </xf>
    <xf numFmtId="165" fontId="10" fillId="0" borderId="0" xfId="0" applyNumberFormat="1" applyFont="1" applyFill="1" applyBorder="1" applyAlignment="1">
      <alignment horizontal="left" vertical="top" wrapText="1"/>
    </xf>
    <xf numFmtId="167" fontId="10" fillId="0" borderId="0" xfId="0" applyNumberFormat="1" applyFont="1" applyFill="1" applyBorder="1" applyAlignment="1">
      <alignment vertical="top" wrapText="1" shrinkToFit="1"/>
    </xf>
    <xf numFmtId="0" fontId="10" fillId="0" borderId="0" xfId="0" applyNumberFormat="1" applyFont="1" applyFill="1" applyBorder="1" applyAlignment="1">
      <alignment horizontal="left" vertical="top" wrapText="1"/>
    </xf>
    <xf numFmtId="0" fontId="10" fillId="5" borderId="0" xfId="0" applyNumberFormat="1" applyFont="1" applyFill="1" applyBorder="1" applyAlignment="1">
      <alignment horizontal="left" vertical="top" wrapText="1"/>
    </xf>
    <xf numFmtId="166" fontId="10" fillId="0" borderId="0" xfId="0" applyNumberFormat="1" applyFont="1" applyFill="1" applyBorder="1" applyAlignment="1">
      <alignment vertical="top"/>
    </xf>
    <xf numFmtId="166" fontId="10" fillId="0" borderId="0" xfId="0" applyNumberFormat="1" applyFont="1" applyFill="1" applyBorder="1" applyAlignment="1">
      <alignment horizontal="right" vertical="top"/>
    </xf>
    <xf numFmtId="0" fontId="10" fillId="0" borderId="0" xfId="3" applyNumberFormat="1" applyFont="1" applyFill="1" applyBorder="1" applyAlignment="1" applyProtection="1">
      <alignment horizontal="left" vertical="top" wrapText="1"/>
      <protection hidden="1"/>
    </xf>
    <xf numFmtId="49" fontId="10" fillId="0" borderId="0" xfId="3" applyNumberFormat="1" applyFont="1" applyFill="1" applyBorder="1" applyAlignment="1" applyProtection="1">
      <alignment horizontal="center" vertical="top" wrapText="1"/>
      <protection hidden="1"/>
    </xf>
    <xf numFmtId="167" fontId="10" fillId="5" borderId="0" xfId="0" applyNumberFormat="1" applyFont="1" applyFill="1" applyBorder="1" applyAlignment="1">
      <alignment vertical="top" wrapText="1" shrinkToFit="1"/>
    </xf>
    <xf numFmtId="49" fontId="15" fillId="5" borderId="0" xfId="0" applyNumberFormat="1" applyFont="1" applyFill="1" applyBorder="1" applyAlignment="1">
      <alignment horizontal="center" vertical="top"/>
    </xf>
    <xf numFmtId="0" fontId="10" fillId="3" borderId="0" xfId="0" applyFont="1" applyFill="1" applyBorder="1" applyAlignment="1">
      <alignment horizontal="left" vertical="top" wrapText="1"/>
    </xf>
    <xf numFmtId="4" fontId="10" fillId="5" borderId="0" xfId="1" applyNumberFormat="1" applyFont="1" applyFill="1" applyBorder="1" applyAlignment="1">
      <alignment horizontal="right" vertical="top"/>
    </xf>
    <xf numFmtId="49" fontId="10" fillId="5" borderId="0" xfId="0" applyNumberFormat="1" applyFont="1" applyFill="1" applyBorder="1" applyAlignment="1">
      <alignment vertical="top" wrapText="1"/>
    </xf>
    <xf numFmtId="49" fontId="10" fillId="5" borderId="0" xfId="0" applyNumberFormat="1" applyFont="1" applyFill="1" applyBorder="1" applyAlignment="1">
      <alignment horizontal="left" vertical="top" wrapText="1"/>
    </xf>
    <xf numFmtId="4" fontId="10" fillId="0" borderId="0" xfId="0" applyNumberFormat="1" applyFont="1" applyFill="1" applyBorder="1" applyAlignment="1">
      <alignment vertical="top"/>
    </xf>
    <xf numFmtId="4" fontId="15" fillId="5" borderId="0" xfId="0" applyNumberFormat="1" applyFont="1" applyFill="1" applyBorder="1" applyAlignment="1">
      <alignment horizontal="right" vertical="top"/>
    </xf>
    <xf numFmtId="4" fontId="10" fillId="0" borderId="0" xfId="1" applyNumberFormat="1" applyFont="1" applyFill="1" applyBorder="1" applyAlignment="1">
      <alignment horizontal="right" vertical="top"/>
    </xf>
    <xf numFmtId="0" fontId="10" fillId="0" borderId="0" xfId="0" applyFont="1" applyBorder="1" applyAlignment="1">
      <alignment vertical="top" wrapText="1"/>
    </xf>
    <xf numFmtId="49" fontId="10" fillId="10" borderId="0" xfId="0" applyNumberFormat="1" applyFont="1" applyFill="1" applyBorder="1" applyAlignment="1">
      <alignment horizontal="right" vertical="top"/>
    </xf>
    <xf numFmtId="0" fontId="10" fillId="0" borderId="3" xfId="0" applyFont="1" applyBorder="1" applyAlignment="1">
      <alignment horizontal="center" vertical="top" wrapText="1"/>
    </xf>
    <xf numFmtId="0" fontId="10" fillId="0" borderId="0" xfId="0" applyFont="1" applyAlignment="1">
      <alignment horizontal="center" vertical="center" wrapText="1"/>
    </xf>
    <xf numFmtId="0" fontId="10" fillId="0" borderId="3" xfId="0" applyFont="1" applyBorder="1" applyAlignment="1">
      <alignment horizontal="center" vertical="top" wrapText="1"/>
    </xf>
    <xf numFmtId="0" fontId="10" fillId="0" borderId="0" xfId="0" applyFont="1" applyAlignment="1">
      <alignment horizontal="center" vertical="center" wrapText="1"/>
    </xf>
    <xf numFmtId="0" fontId="10" fillId="0" borderId="3" xfId="0" applyFont="1" applyBorder="1" applyAlignment="1">
      <alignment horizontal="center" vertical="top" wrapText="1"/>
    </xf>
    <xf numFmtId="0" fontId="10" fillId="0" borderId="0" xfId="0" applyFont="1" applyAlignment="1">
      <alignment horizontal="center" vertical="center" wrapText="1"/>
    </xf>
    <xf numFmtId="4" fontId="10" fillId="5" borderId="0" xfId="27" applyNumberFormat="1" applyFont="1" applyFill="1" applyBorder="1" applyAlignment="1">
      <alignment horizontal="right" vertical="top"/>
    </xf>
    <xf numFmtId="4" fontId="10" fillId="0" borderId="0" xfId="27" applyNumberFormat="1" applyFont="1" applyFill="1" applyBorder="1" applyAlignment="1">
      <alignment horizontal="right" vertical="top"/>
    </xf>
    <xf numFmtId="0" fontId="10" fillId="0" borderId="3" xfId="0" applyFont="1" applyBorder="1" applyAlignment="1">
      <alignment horizontal="center" vertical="top" wrapText="1"/>
    </xf>
    <xf numFmtId="0" fontId="10" fillId="0" borderId="0" xfId="0" applyFont="1" applyAlignment="1">
      <alignment horizontal="center" wrapText="1"/>
    </xf>
    <xf numFmtId="0" fontId="10" fillId="0" borderId="0" xfId="0" applyFont="1" applyAlignment="1">
      <alignment horizontal="center" vertical="center" wrapText="1"/>
    </xf>
    <xf numFmtId="0" fontId="10" fillId="0" borderId="0" xfId="0" applyFont="1" applyBorder="1" applyAlignment="1">
      <alignment horizontal="center" vertical="top" wrapText="1"/>
    </xf>
    <xf numFmtId="49" fontId="10" fillId="0" borderId="0" xfId="0" applyNumberFormat="1" applyFont="1" applyFill="1" applyBorder="1"/>
    <xf numFmtId="0" fontId="10" fillId="0" borderId="0" xfId="0" applyFont="1" applyFill="1" applyAlignment="1">
      <alignment horizontal="left"/>
    </xf>
    <xf numFmtId="49" fontId="10" fillId="0" borderId="0" xfId="0" applyNumberFormat="1" applyFont="1" applyFill="1" applyAlignment="1">
      <alignment vertical="top"/>
    </xf>
    <xf numFmtId="1" fontId="11" fillId="0" borderId="1" xfId="0" applyNumberFormat="1" applyFont="1" applyFill="1" applyBorder="1" applyAlignment="1">
      <alignment vertical="top"/>
    </xf>
    <xf numFmtId="164" fontId="11" fillId="0" borderId="2" xfId="0" applyNumberFormat="1" applyFont="1" applyFill="1" applyBorder="1" applyAlignment="1">
      <alignment horizontal="center" vertical="top" wrapText="1"/>
    </xf>
    <xf numFmtId="0" fontId="11" fillId="0" borderId="2" xfId="0" applyFont="1" applyFill="1" applyBorder="1" applyAlignment="1">
      <alignment horizontal="center" vertical="top" wrapText="1"/>
    </xf>
    <xf numFmtId="49" fontId="11" fillId="0" borderId="10" xfId="0" applyNumberFormat="1" applyFont="1" applyFill="1" applyBorder="1" applyAlignment="1">
      <alignment horizontal="center" vertical="top"/>
    </xf>
    <xf numFmtId="49" fontId="11" fillId="0" borderId="11" xfId="0" applyNumberFormat="1" applyFont="1" applyFill="1" applyBorder="1" applyAlignment="1">
      <alignment horizontal="center" vertical="top"/>
    </xf>
    <xf numFmtId="164" fontId="11" fillId="0" borderId="2" xfId="0" applyNumberFormat="1" applyFont="1" applyFill="1" applyBorder="1" applyAlignment="1">
      <alignment horizontal="center" vertical="top"/>
    </xf>
    <xf numFmtId="0" fontId="11" fillId="0" borderId="2" xfId="0" applyFont="1" applyFill="1" applyBorder="1" applyAlignment="1">
      <alignment horizontal="center" wrapText="1"/>
    </xf>
    <xf numFmtId="0" fontId="13" fillId="0" borderId="12" xfId="0" applyFont="1" applyFill="1" applyBorder="1" applyAlignment="1">
      <alignment horizontal="left" vertical="top" wrapText="1"/>
    </xf>
    <xf numFmtId="49" fontId="13" fillId="0" borderId="3" xfId="0" applyNumberFormat="1" applyFont="1" applyFill="1" applyBorder="1" applyAlignment="1">
      <alignment horizontal="center" vertical="top" wrapText="1"/>
    </xf>
    <xf numFmtId="49" fontId="13" fillId="0" borderId="3" xfId="0" applyNumberFormat="1" applyFont="1" applyFill="1" applyBorder="1" applyAlignment="1">
      <alignment horizontal="center" vertical="top"/>
    </xf>
    <xf numFmtId="0" fontId="11" fillId="2" borderId="3" xfId="0" applyFont="1" applyFill="1" applyBorder="1" applyAlignment="1">
      <alignment horizontal="left" vertical="top" wrapText="1"/>
    </xf>
    <xf numFmtId="49" fontId="11" fillId="2" borderId="3" xfId="0" applyNumberFormat="1" applyFont="1" applyFill="1" applyBorder="1" applyAlignment="1">
      <alignment horizontal="center" vertical="top" wrapText="1"/>
    </xf>
    <xf numFmtId="49" fontId="11" fillId="2" borderId="3" xfId="0" applyNumberFormat="1" applyFont="1" applyFill="1" applyBorder="1" applyAlignment="1">
      <alignment horizontal="center" vertical="top"/>
    </xf>
    <xf numFmtId="0" fontId="11" fillId="3" borderId="3" xfId="0" applyFont="1" applyFill="1" applyBorder="1" applyAlignment="1">
      <alignment vertical="top" wrapText="1"/>
    </xf>
    <xf numFmtId="49" fontId="11" fillId="3" borderId="3" xfId="0" applyNumberFormat="1" applyFont="1" applyFill="1" applyBorder="1" applyAlignment="1">
      <alignment horizontal="center" vertical="top" wrapText="1"/>
    </xf>
    <xf numFmtId="49" fontId="11" fillId="3" borderId="3" xfId="0" applyNumberFormat="1" applyFont="1" applyFill="1" applyBorder="1" applyAlignment="1">
      <alignment horizontal="center" vertical="top"/>
    </xf>
    <xf numFmtId="0" fontId="11" fillId="0" borderId="3" xfId="0" applyFont="1" applyFill="1" applyBorder="1" applyAlignment="1">
      <alignment horizontal="left" vertical="top" wrapText="1"/>
    </xf>
    <xf numFmtId="49" fontId="11" fillId="0" borderId="3" xfId="0" applyNumberFormat="1" applyFont="1" applyFill="1" applyBorder="1" applyAlignment="1">
      <alignment horizontal="center" vertical="top" wrapText="1"/>
    </xf>
    <xf numFmtId="49" fontId="11" fillId="0" borderId="3" xfId="0" applyNumberFormat="1" applyFont="1" applyFill="1" applyBorder="1" applyAlignment="1">
      <alignment horizontal="center" vertical="top"/>
    </xf>
    <xf numFmtId="0" fontId="11" fillId="0" borderId="3" xfId="0" applyFont="1" applyBorder="1" applyAlignment="1">
      <alignment horizontal="left" vertical="top" wrapText="1"/>
    </xf>
    <xf numFmtId="0" fontId="11" fillId="5" borderId="3" xfId="0" applyFont="1" applyFill="1" applyBorder="1" applyAlignment="1">
      <alignment horizontal="left" vertical="top" wrapText="1"/>
    </xf>
    <xf numFmtId="0" fontId="13" fillId="0" borderId="3" xfId="0" applyFont="1" applyFill="1" applyBorder="1" applyAlignment="1">
      <alignment horizontal="left" vertical="top" wrapText="1"/>
    </xf>
    <xf numFmtId="49" fontId="11" fillId="5" borderId="3" xfId="0" applyNumberFormat="1" applyFont="1" applyFill="1" applyBorder="1" applyAlignment="1">
      <alignment horizontal="center" vertical="top" wrapText="1"/>
    </xf>
    <xf numFmtId="49" fontId="11" fillId="5" borderId="3" xfId="0" applyNumberFormat="1" applyFont="1" applyFill="1" applyBorder="1" applyAlignment="1">
      <alignment horizontal="center" vertical="top"/>
    </xf>
    <xf numFmtId="0" fontId="11" fillId="0" borderId="3" xfId="0" applyFont="1" applyFill="1" applyBorder="1" applyAlignment="1">
      <alignment vertical="top" wrapText="1"/>
    </xf>
    <xf numFmtId="0" fontId="11" fillId="0" borderId="3" xfId="0" applyFont="1" applyFill="1" applyBorder="1" applyAlignment="1">
      <alignment horizontal="center" vertical="top" wrapText="1"/>
    </xf>
    <xf numFmtId="0" fontId="24" fillId="0" borderId="3" xfId="0" applyFont="1" applyFill="1" applyBorder="1" applyAlignment="1">
      <alignment horizontal="left" vertical="top" wrapText="1"/>
    </xf>
    <xf numFmtId="0" fontId="11" fillId="11" borderId="3" xfId="0" applyFont="1" applyFill="1" applyBorder="1" applyAlignment="1">
      <alignment horizontal="left" vertical="top" wrapText="1"/>
    </xf>
    <xf numFmtId="49" fontId="11" fillId="11" borderId="3" xfId="0" applyNumberFormat="1" applyFont="1" applyFill="1" applyBorder="1" applyAlignment="1">
      <alignment horizontal="center" vertical="top" wrapText="1"/>
    </xf>
    <xf numFmtId="4" fontId="11" fillId="11" borderId="3" xfId="0" applyNumberFormat="1" applyFont="1" applyFill="1" applyBorder="1" applyAlignment="1">
      <alignment horizontal="right" vertical="top" wrapText="1"/>
    </xf>
    <xf numFmtId="0" fontId="10" fillId="11" borderId="0" xfId="0" applyFont="1" applyFill="1" applyBorder="1" applyAlignment="1">
      <alignment vertical="top"/>
    </xf>
    <xf numFmtId="0" fontId="10" fillId="11" borderId="0" xfId="0" applyFont="1" applyFill="1" applyBorder="1"/>
    <xf numFmtId="49" fontId="11" fillId="11" borderId="3" xfId="0" applyNumberFormat="1" applyFont="1" applyFill="1" applyBorder="1" applyAlignment="1">
      <alignment horizontal="left" vertical="top" wrapText="1"/>
    </xf>
    <xf numFmtId="49" fontId="11" fillId="0" borderId="3" xfId="0" applyNumberFormat="1" applyFont="1" applyFill="1" applyBorder="1" applyAlignment="1">
      <alignment horizontal="left" vertical="top" wrapText="1"/>
    </xf>
    <xf numFmtId="0" fontId="11" fillId="5" borderId="3" xfId="0" applyFont="1" applyFill="1" applyBorder="1" applyAlignment="1">
      <alignment horizontal="center" vertical="top" wrapText="1"/>
    </xf>
    <xf numFmtId="0" fontId="11" fillId="0" borderId="0" xfId="0" applyFont="1" applyFill="1" applyBorder="1" applyAlignment="1">
      <alignment horizontal="left" vertical="top" wrapText="1"/>
    </xf>
    <xf numFmtId="0" fontId="11" fillId="5" borderId="0" xfId="0" applyFont="1" applyFill="1" applyAlignment="1">
      <alignment horizontal="left" vertical="top" wrapText="1"/>
    </xf>
    <xf numFmtId="4" fontId="11" fillId="11" borderId="3" xfId="0" applyNumberFormat="1" applyFont="1" applyFill="1" applyBorder="1" applyAlignment="1">
      <alignment horizontal="right" vertical="top"/>
    </xf>
    <xf numFmtId="0" fontId="11" fillId="3" borderId="3" xfId="0" applyFont="1" applyFill="1" applyBorder="1" applyAlignment="1">
      <alignment horizontal="center" vertical="top" wrapText="1"/>
    </xf>
    <xf numFmtId="0" fontId="11" fillId="0" borderId="3" xfId="0" applyFont="1" applyBorder="1" applyAlignment="1">
      <alignment vertical="top" wrapText="1"/>
    </xf>
    <xf numFmtId="0" fontId="11" fillId="10" borderId="3" xfId="0" applyFont="1" applyFill="1" applyBorder="1" applyAlignment="1">
      <alignment vertical="top" wrapText="1"/>
    </xf>
    <xf numFmtId="49" fontId="11" fillId="10" borderId="3" xfId="0" applyNumberFormat="1" applyFont="1" applyFill="1" applyBorder="1" applyAlignment="1">
      <alignment horizontal="center" vertical="top" wrapText="1"/>
    </xf>
    <xf numFmtId="49" fontId="11" fillId="10" borderId="3" xfId="0" applyNumberFormat="1" applyFont="1" applyFill="1" applyBorder="1" applyAlignment="1">
      <alignment horizontal="center" vertical="top"/>
    </xf>
    <xf numFmtId="4" fontId="11" fillId="10" borderId="3" xfId="0" applyNumberFormat="1" applyFont="1" applyFill="1" applyBorder="1" applyAlignment="1">
      <alignment horizontal="right" vertical="top"/>
    </xf>
    <xf numFmtId="0" fontId="11" fillId="10" borderId="0" xfId="0" applyFont="1" applyFill="1" applyBorder="1"/>
    <xf numFmtId="0" fontId="11" fillId="5" borderId="3" xfId="0" applyFont="1" applyFill="1" applyBorder="1" applyAlignment="1">
      <alignment vertical="top" wrapText="1"/>
    </xf>
    <xf numFmtId="0" fontId="11" fillId="5" borderId="3" xfId="3" applyNumberFormat="1" applyFont="1" applyFill="1" applyBorder="1" applyAlignment="1" applyProtection="1">
      <alignment horizontal="left" vertical="top" wrapText="1"/>
      <protection hidden="1"/>
    </xf>
    <xf numFmtId="0" fontId="11" fillId="10" borderId="3" xfId="0" applyFont="1" applyFill="1" applyBorder="1" applyAlignment="1">
      <alignment horizontal="left" vertical="top" wrapText="1"/>
    </xf>
    <xf numFmtId="4" fontId="11" fillId="10" borderId="3" xfId="0" applyNumberFormat="1" applyFont="1" applyFill="1" applyBorder="1" applyAlignment="1">
      <alignment horizontal="right" vertical="top" wrapText="1"/>
    </xf>
    <xf numFmtId="0" fontId="11" fillId="0" borderId="3" xfId="0" applyFont="1" applyFill="1" applyBorder="1" applyAlignment="1">
      <alignment horizontal="center" vertical="top"/>
    </xf>
    <xf numFmtId="0" fontId="11" fillId="9" borderId="3" xfId="0" applyFont="1" applyFill="1" applyBorder="1" applyAlignment="1">
      <alignment horizontal="left" vertical="top" wrapText="1"/>
    </xf>
    <xf numFmtId="49" fontId="11" fillId="9" borderId="3" xfId="0" applyNumberFormat="1" applyFont="1" applyFill="1" applyBorder="1" applyAlignment="1">
      <alignment horizontal="center" vertical="top" wrapText="1"/>
    </xf>
    <xf numFmtId="49" fontId="11" fillId="9" borderId="3" xfId="0" applyNumberFormat="1" applyFont="1" applyFill="1" applyBorder="1" applyAlignment="1">
      <alignment horizontal="center" vertical="top"/>
    </xf>
    <xf numFmtId="0" fontId="11" fillId="9" borderId="3" xfId="0" applyFont="1" applyFill="1" applyBorder="1" applyAlignment="1">
      <alignment horizontal="center" vertical="top"/>
    </xf>
    <xf numFmtId="4" fontId="11" fillId="9" borderId="3" xfId="0" applyNumberFormat="1" applyFont="1" applyFill="1" applyBorder="1" applyAlignment="1">
      <alignment horizontal="right" vertical="top"/>
    </xf>
    <xf numFmtId="49" fontId="11" fillId="11" borderId="3" xfId="0" applyNumberFormat="1" applyFont="1" applyFill="1" applyBorder="1" applyAlignment="1">
      <alignment horizontal="center" vertical="top"/>
    </xf>
    <xf numFmtId="0" fontId="11" fillId="11" borderId="0" xfId="0" applyFont="1" applyFill="1" applyBorder="1"/>
    <xf numFmtId="0" fontId="11" fillId="11" borderId="3" xfId="0" applyFont="1" applyFill="1" applyBorder="1" applyAlignment="1">
      <alignment vertical="top" wrapText="1"/>
    </xf>
    <xf numFmtId="165" fontId="11" fillId="5" borderId="3" xfId="0" applyNumberFormat="1" applyFont="1" applyFill="1" applyBorder="1" applyAlignment="1">
      <alignment horizontal="left" vertical="top" wrapText="1"/>
    </xf>
    <xf numFmtId="0" fontId="11" fillId="5" borderId="5" xfId="3" applyNumberFormat="1" applyFont="1" applyFill="1" applyBorder="1" applyAlignment="1" applyProtection="1">
      <alignment vertical="top" wrapText="1"/>
      <protection hidden="1"/>
    </xf>
    <xf numFmtId="0" fontId="11" fillId="5" borderId="3" xfId="3" applyNumberFormat="1" applyFont="1" applyFill="1" applyBorder="1" applyAlignment="1" applyProtection="1">
      <alignment vertical="top" wrapText="1"/>
      <protection hidden="1"/>
    </xf>
    <xf numFmtId="0" fontId="11" fillId="0" borderId="3" xfId="0" applyNumberFormat="1" applyFont="1" applyFill="1" applyBorder="1" applyAlignment="1">
      <alignment horizontal="left" vertical="top" wrapText="1"/>
    </xf>
    <xf numFmtId="0" fontId="11" fillId="9" borderId="3" xfId="0" applyFont="1" applyFill="1" applyBorder="1" applyAlignment="1">
      <alignment vertical="top" wrapText="1"/>
    </xf>
    <xf numFmtId="0" fontId="11" fillId="0" borderId="3" xfId="3" applyNumberFormat="1" applyFont="1" applyFill="1" applyBorder="1" applyAlignment="1" applyProtection="1">
      <alignment vertical="top" wrapText="1"/>
      <protection hidden="1"/>
    </xf>
    <xf numFmtId="49" fontId="26" fillId="0" borderId="3" xfId="0" applyNumberFormat="1" applyFont="1" applyFill="1" applyBorder="1" applyAlignment="1">
      <alignment horizontal="center" vertical="top" wrapText="1"/>
    </xf>
    <xf numFmtId="49" fontId="26" fillId="0" borderId="3" xfId="0" applyNumberFormat="1" applyFont="1" applyFill="1" applyBorder="1" applyAlignment="1">
      <alignment horizontal="center" vertical="top"/>
    </xf>
    <xf numFmtId="4" fontId="26" fillId="0" borderId="3" xfId="0" applyNumberFormat="1" applyFont="1" applyFill="1" applyBorder="1" applyAlignment="1">
      <alignment horizontal="right" vertical="top"/>
    </xf>
    <xf numFmtId="0" fontId="25" fillId="0" borderId="0" xfId="0" applyFont="1" applyFill="1" applyBorder="1" applyAlignment="1">
      <alignment vertical="top"/>
    </xf>
    <xf numFmtId="0" fontId="11" fillId="0" borderId="0" xfId="0" applyFont="1" applyAlignment="1">
      <alignment horizontal="left" vertical="top" wrapText="1"/>
    </xf>
    <xf numFmtId="165" fontId="11" fillId="0" borderId="3" xfId="0" applyNumberFormat="1" applyFont="1" applyFill="1" applyBorder="1" applyAlignment="1">
      <alignment horizontal="left" vertical="top" wrapText="1"/>
    </xf>
    <xf numFmtId="167" fontId="11" fillId="0" borderId="3" xfId="0" applyNumberFormat="1" applyFont="1" applyFill="1" applyBorder="1" applyAlignment="1">
      <alignment vertical="top" wrapText="1" shrinkToFit="1"/>
    </xf>
    <xf numFmtId="0" fontId="11" fillId="5" borderId="3" xfId="0" applyNumberFormat="1" applyFont="1" applyFill="1" applyBorder="1" applyAlignment="1">
      <alignment horizontal="left" vertical="top" wrapText="1"/>
    </xf>
    <xf numFmtId="0" fontId="11" fillId="0" borderId="3" xfId="3" applyNumberFormat="1" applyFont="1" applyFill="1" applyBorder="1" applyAlignment="1" applyProtection="1">
      <alignment horizontal="left" vertical="top" wrapText="1"/>
      <protection hidden="1"/>
    </xf>
    <xf numFmtId="49" fontId="11" fillId="0" borderId="3" xfId="3" applyNumberFormat="1" applyFont="1" applyFill="1" applyBorder="1" applyAlignment="1" applyProtection="1">
      <alignment horizontal="center" vertical="top" wrapText="1"/>
      <protection hidden="1"/>
    </xf>
    <xf numFmtId="167" fontId="11" fillId="5" borderId="3" xfId="0" applyNumberFormat="1" applyFont="1" applyFill="1" applyBorder="1" applyAlignment="1">
      <alignment vertical="top" wrapText="1" shrinkToFit="1"/>
    </xf>
    <xf numFmtId="49" fontId="11" fillId="0" borderId="6" xfId="0" applyNumberFormat="1" applyFont="1" applyFill="1" applyBorder="1" applyAlignment="1">
      <alignment horizontal="center" vertical="top"/>
    </xf>
    <xf numFmtId="49" fontId="11" fillId="0" borderId="6" xfId="0" applyNumberFormat="1" applyFont="1" applyFill="1" applyBorder="1" applyAlignment="1">
      <alignment horizontal="center" vertical="top" wrapText="1"/>
    </xf>
    <xf numFmtId="49" fontId="13" fillId="5" borderId="3" xfId="0" applyNumberFormat="1" applyFont="1" applyFill="1" applyBorder="1" applyAlignment="1">
      <alignment horizontal="center" vertical="top"/>
    </xf>
    <xf numFmtId="0" fontId="11" fillId="2" borderId="3" xfId="0" applyFont="1" applyFill="1" applyBorder="1" applyAlignment="1">
      <alignment horizontal="left" wrapText="1"/>
    </xf>
    <xf numFmtId="0" fontId="11" fillId="3" borderId="3" xfId="0" applyFont="1" applyFill="1" applyBorder="1" applyAlignment="1">
      <alignment wrapText="1"/>
    </xf>
    <xf numFmtId="0" fontId="11" fillId="3" borderId="3" xfId="0" applyFont="1" applyFill="1" applyBorder="1" applyAlignment="1">
      <alignment horizontal="left" vertical="top" wrapText="1"/>
    </xf>
    <xf numFmtId="49" fontId="11" fillId="5" borderId="7" xfId="0" applyNumberFormat="1" applyFont="1" applyFill="1" applyBorder="1" applyAlignment="1">
      <alignment horizontal="center" vertical="top" wrapText="1"/>
    </xf>
    <xf numFmtId="0" fontId="11" fillId="3" borderId="5" xfId="0" applyFont="1" applyFill="1" applyBorder="1" applyAlignment="1">
      <alignment wrapText="1"/>
    </xf>
    <xf numFmtId="49" fontId="11" fillId="3" borderId="5" xfId="0" applyNumberFormat="1" applyFont="1" applyFill="1" applyBorder="1" applyAlignment="1">
      <alignment horizontal="center" vertical="top" wrapText="1"/>
    </xf>
    <xf numFmtId="49" fontId="11" fillId="3" borderId="5" xfId="0" applyNumberFormat="1" applyFont="1" applyFill="1" applyBorder="1" applyAlignment="1">
      <alignment horizontal="center" vertical="top"/>
    </xf>
    <xf numFmtId="167" fontId="11" fillId="5" borderId="7" xfId="0" applyNumberFormat="1" applyFont="1" applyFill="1" applyBorder="1" applyAlignment="1">
      <alignment vertical="top" wrapText="1" shrinkToFit="1"/>
    </xf>
    <xf numFmtId="49" fontId="11" fillId="5" borderId="7" xfId="0" applyNumberFormat="1" applyFont="1" applyFill="1" applyBorder="1" applyAlignment="1">
      <alignment horizontal="center" vertical="top"/>
    </xf>
    <xf numFmtId="49" fontId="11" fillId="5" borderId="3" xfId="0" applyNumberFormat="1" applyFont="1" applyFill="1" applyBorder="1" applyAlignment="1">
      <alignment vertical="top" wrapText="1"/>
    </xf>
    <xf numFmtId="49" fontId="11" fillId="5" borderId="3" xfId="0" applyNumberFormat="1" applyFont="1" applyFill="1" applyBorder="1" applyAlignment="1">
      <alignment horizontal="left" vertical="top" wrapText="1"/>
    </xf>
    <xf numFmtId="49" fontId="11" fillId="0" borderId="5" xfId="0" applyNumberFormat="1" applyFont="1" applyFill="1" applyBorder="1" applyAlignment="1">
      <alignment horizontal="center" vertical="top"/>
    </xf>
    <xf numFmtId="0" fontId="11" fillId="3" borderId="7" xfId="0" applyFont="1" applyFill="1" applyBorder="1" applyAlignment="1">
      <alignment vertical="top" wrapText="1"/>
    </xf>
    <xf numFmtId="49" fontId="11" fillId="3" borderId="7" xfId="0" applyNumberFormat="1" applyFont="1" applyFill="1" applyBorder="1" applyAlignment="1">
      <alignment horizontal="center" vertical="top" wrapText="1"/>
    </xf>
    <xf numFmtId="49" fontId="11" fillId="3" borderId="7" xfId="0" applyNumberFormat="1" applyFont="1" applyFill="1" applyBorder="1" applyAlignment="1">
      <alignment horizontal="center" vertical="top"/>
    </xf>
    <xf numFmtId="4" fontId="11" fillId="9" borderId="3" xfId="0" applyNumberFormat="1" applyFont="1" applyFill="1" applyBorder="1" applyAlignment="1">
      <alignment horizontal="right" vertical="top" wrapText="1"/>
    </xf>
    <xf numFmtId="0" fontId="10" fillId="9" borderId="0" xfId="0" applyFont="1" applyFill="1" applyBorder="1"/>
    <xf numFmtId="0" fontId="11" fillId="10" borderId="3" xfId="0" applyFont="1" applyFill="1" applyBorder="1" applyAlignment="1">
      <alignment horizontal="center" vertical="top"/>
    </xf>
    <xf numFmtId="0" fontId="11" fillId="5" borderId="6" xfId="0" applyFont="1" applyFill="1" applyBorder="1" applyAlignment="1">
      <alignment horizontal="left" vertical="top" wrapText="1"/>
    </xf>
    <xf numFmtId="0" fontId="11" fillId="0" borderId="0" xfId="0" applyFont="1" applyFill="1" applyAlignment="1">
      <alignment horizontal="left" vertical="top" wrapText="1"/>
    </xf>
    <xf numFmtId="4" fontId="11" fillId="10" borderId="3" xfId="1" applyNumberFormat="1" applyFont="1" applyFill="1" applyBorder="1" applyAlignment="1">
      <alignment horizontal="right" vertical="top"/>
    </xf>
    <xf numFmtId="0" fontId="11" fillId="0" borderId="0" xfId="0" applyFont="1" applyAlignment="1">
      <alignment vertical="top" wrapText="1"/>
    </xf>
    <xf numFmtId="0" fontId="11" fillId="0" borderId="6" xfId="0" applyFont="1" applyBorder="1" applyAlignment="1">
      <alignment vertical="top" wrapText="1"/>
    </xf>
    <xf numFmtId="0" fontId="11" fillId="11" borderId="0" xfId="0" applyFont="1" applyFill="1" applyAlignment="1">
      <alignment horizontal="left" vertical="top" wrapText="1"/>
    </xf>
    <xf numFmtId="0" fontId="11" fillId="5" borderId="3" xfId="0" applyFont="1" applyFill="1" applyBorder="1" applyAlignment="1">
      <alignment horizontal="left" wrapText="1"/>
    </xf>
    <xf numFmtId="0" fontId="13" fillId="0" borderId="3" xfId="0" applyFont="1" applyFill="1" applyBorder="1" applyAlignment="1">
      <alignment horizontal="left" wrapText="1"/>
    </xf>
    <xf numFmtId="49" fontId="13" fillId="0" borderId="3" xfId="0" applyNumberFormat="1" applyFont="1" applyFill="1" applyBorder="1" applyAlignment="1">
      <alignment horizontal="right" vertical="top"/>
    </xf>
    <xf numFmtId="0" fontId="15" fillId="0" borderId="0" xfId="0" applyFont="1" applyFill="1" applyBorder="1" applyAlignment="1">
      <alignment horizontal="left" wrapText="1"/>
    </xf>
    <xf numFmtId="0" fontId="10" fillId="4" borderId="0" xfId="0" applyFont="1" applyFill="1" applyAlignment="1">
      <alignment horizontal="left"/>
    </xf>
    <xf numFmtId="49" fontId="11" fillId="10" borderId="0" xfId="0" applyNumberFormat="1" applyFont="1" applyFill="1" applyAlignment="1">
      <alignment horizontal="right" vertical="top"/>
    </xf>
    <xf numFmtId="49" fontId="10" fillId="10" borderId="0" xfId="0" applyNumberFormat="1" applyFont="1" applyFill="1" applyAlignment="1">
      <alignment horizontal="center" vertical="top"/>
    </xf>
    <xf numFmtId="4" fontId="10" fillId="10" borderId="3" xfId="0" applyNumberFormat="1" applyFont="1" applyFill="1" applyBorder="1" applyAlignment="1">
      <alignment horizontal="right" vertical="top" wrapText="1"/>
    </xf>
    <xf numFmtId="49" fontId="11" fillId="4" borderId="0" xfId="0" applyNumberFormat="1" applyFont="1" applyFill="1" applyAlignment="1">
      <alignment horizontal="right" vertical="top"/>
    </xf>
    <xf numFmtId="0" fontId="0" fillId="0" borderId="0" xfId="0" applyAlignment="1">
      <alignment vertical="top"/>
    </xf>
    <xf numFmtId="0" fontId="10" fillId="0" borderId="0" xfId="0" applyFont="1" applyFill="1" applyAlignment="1">
      <alignment vertical="top" wrapText="1"/>
    </xf>
    <xf numFmtId="0" fontId="0" fillId="0" borderId="0" xfId="0" applyAlignment="1">
      <alignment vertical="top" wrapText="1"/>
    </xf>
    <xf numFmtId="0" fontId="15" fillId="12" borderId="0" xfId="32" applyFont="1" applyFill="1" applyAlignment="1">
      <alignment horizontal="center" vertical="center"/>
    </xf>
    <xf numFmtId="0" fontId="11" fillId="0" borderId="0" xfId="0" applyFont="1" applyFill="1" applyBorder="1" applyAlignment="1">
      <alignment vertical="top"/>
    </xf>
    <xf numFmtId="0" fontId="11" fillId="4" borderId="0" xfId="0" applyFont="1" applyFill="1" applyBorder="1" applyAlignment="1">
      <alignment vertical="top"/>
    </xf>
    <xf numFmtId="0" fontId="10" fillId="7" borderId="0" xfId="0" applyFont="1" applyFill="1" applyBorder="1" applyAlignment="1">
      <alignment vertical="top"/>
    </xf>
    <xf numFmtId="0" fontId="10" fillId="8" borderId="0" xfId="0" applyFont="1" applyFill="1" applyBorder="1" applyAlignment="1">
      <alignment vertical="top"/>
    </xf>
    <xf numFmtId="0" fontId="10" fillId="0" borderId="3" xfId="0" applyFont="1" applyFill="1" applyBorder="1" applyAlignment="1">
      <alignment vertical="top"/>
    </xf>
    <xf numFmtId="0" fontId="10" fillId="9" borderId="0" xfId="0" applyFont="1" applyFill="1" applyAlignment="1">
      <alignment vertical="top"/>
    </xf>
    <xf numFmtId="0" fontId="10" fillId="10" borderId="0" xfId="0" applyFont="1" applyFill="1" applyAlignment="1">
      <alignment vertical="top"/>
    </xf>
    <xf numFmtId="49" fontId="10" fillId="0" borderId="0" xfId="0" applyNumberFormat="1" applyFont="1" applyFill="1" applyBorder="1" applyAlignment="1">
      <alignment vertical="top" wrapText="1"/>
    </xf>
    <xf numFmtId="49" fontId="10" fillId="4" borderId="0" xfId="0" applyNumberFormat="1" applyFont="1" applyFill="1" applyBorder="1" applyAlignment="1">
      <alignment vertical="top"/>
    </xf>
    <xf numFmtId="49" fontId="10" fillId="0" borderId="0" xfId="6" applyNumberFormat="1" applyFont="1" applyFill="1" applyBorder="1" applyAlignment="1" applyProtection="1">
      <alignment horizontal="center" vertical="top"/>
      <protection hidden="1"/>
    </xf>
    <xf numFmtId="0" fontId="10" fillId="0" borderId="0" xfId="142" applyFont="1" applyBorder="1" applyAlignment="1">
      <alignment vertical="top" wrapText="1"/>
    </xf>
    <xf numFmtId="0" fontId="10" fillId="0" borderId="0" xfId="142" applyFont="1" applyFill="1" applyBorder="1" applyAlignment="1">
      <alignment vertical="top" wrapText="1"/>
    </xf>
    <xf numFmtId="49" fontId="10" fillId="0" borderId="0" xfId="142" applyNumberFormat="1" applyFont="1" applyFill="1" applyBorder="1" applyAlignment="1">
      <alignment horizontal="center" vertical="top"/>
    </xf>
    <xf numFmtId="0" fontId="10" fillId="0" borderId="0" xfId="143" applyFont="1" applyBorder="1" applyAlignment="1">
      <alignment vertical="top" wrapText="1"/>
    </xf>
    <xf numFmtId="0" fontId="10" fillId="0" borderId="3" xfId="0" applyFont="1" applyBorder="1" applyAlignment="1">
      <alignment horizontal="center" vertical="top" wrapText="1"/>
    </xf>
    <xf numFmtId="0" fontId="10" fillId="0" borderId="0" xfId="0" applyFont="1" applyAlignment="1">
      <alignment horizontal="center" wrapText="1"/>
    </xf>
    <xf numFmtId="0" fontId="10" fillId="0" borderId="0" xfId="0" applyFont="1" applyAlignment="1">
      <alignment horizontal="center" vertical="center" wrapText="1"/>
    </xf>
    <xf numFmtId="0" fontId="10" fillId="0" borderId="0" xfId="0" applyFont="1" applyBorder="1" applyAlignment="1">
      <alignment horizontal="center" vertical="top" wrapText="1"/>
    </xf>
    <xf numFmtId="0" fontId="11" fillId="0" borderId="3" xfId="2" applyFont="1" applyBorder="1" applyAlignment="1">
      <alignment vertical="top" wrapText="1"/>
    </xf>
    <xf numFmtId="0" fontId="11" fillId="0" borderId="3" xfId="2" applyFont="1" applyFill="1" applyBorder="1" applyAlignment="1">
      <alignment vertical="top" wrapText="1"/>
    </xf>
    <xf numFmtId="4" fontId="11" fillId="13" borderId="3" xfId="0" applyNumberFormat="1" applyFont="1" applyFill="1" applyBorder="1" applyAlignment="1">
      <alignment horizontal="right" vertical="top"/>
    </xf>
    <xf numFmtId="49" fontId="11" fillId="0" borderId="3" xfId="2" applyNumberFormat="1" applyFont="1" applyFill="1" applyBorder="1" applyAlignment="1">
      <alignment horizontal="center" vertical="top"/>
    </xf>
    <xf numFmtId="0" fontId="11" fillId="14" borderId="3" xfId="0" applyFont="1" applyFill="1" applyBorder="1" applyAlignment="1">
      <alignment vertical="top" wrapText="1"/>
    </xf>
    <xf numFmtId="49" fontId="11" fillId="14" borderId="3" xfId="0" applyNumberFormat="1" applyFont="1" applyFill="1" applyBorder="1" applyAlignment="1">
      <alignment horizontal="center" vertical="top"/>
    </xf>
    <xf numFmtId="4" fontId="11" fillId="14" borderId="3" xfId="0" applyNumberFormat="1" applyFont="1" applyFill="1" applyBorder="1" applyAlignment="1">
      <alignment horizontal="right" vertical="top"/>
    </xf>
    <xf numFmtId="0" fontId="11" fillId="5" borderId="3" xfId="2" applyFont="1" applyFill="1" applyBorder="1" applyAlignment="1">
      <alignment vertical="top" wrapText="1"/>
    </xf>
    <xf numFmtId="49" fontId="11" fillId="14" borderId="3" xfId="0" applyNumberFormat="1" applyFont="1" applyFill="1" applyBorder="1" applyAlignment="1">
      <alignment horizontal="center" vertical="top" wrapText="1"/>
    </xf>
    <xf numFmtId="0" fontId="24" fillId="0" borderId="3" xfId="2" applyFont="1" applyBorder="1" applyAlignment="1">
      <alignment vertical="top" wrapText="1"/>
    </xf>
    <xf numFmtId="0" fontId="26" fillId="0" borderId="3" xfId="0" applyFont="1" applyFill="1" applyBorder="1" applyAlignment="1">
      <alignment horizontal="left" vertical="top" wrapText="1"/>
    </xf>
    <xf numFmtId="49" fontId="24" fillId="5" borderId="3" xfId="0" applyNumberFormat="1" applyFont="1" applyFill="1" applyBorder="1" applyAlignment="1">
      <alignment horizontal="center" vertical="top" wrapText="1"/>
    </xf>
    <xf numFmtId="49" fontId="24" fillId="5" borderId="3" xfId="0" applyNumberFormat="1" applyFont="1" applyFill="1" applyBorder="1" applyAlignment="1">
      <alignment horizontal="center" vertical="top"/>
    </xf>
    <xf numFmtId="4" fontId="24" fillId="5" borderId="3" xfId="0" applyNumberFormat="1" applyFont="1" applyFill="1" applyBorder="1" applyAlignment="1">
      <alignment horizontal="right" vertical="top"/>
    </xf>
    <xf numFmtId="49" fontId="24" fillId="0" borderId="3" xfId="0" applyNumberFormat="1" applyFont="1" applyFill="1" applyBorder="1" applyAlignment="1">
      <alignment horizontal="center" vertical="top" wrapText="1"/>
    </xf>
    <xf numFmtId="4" fontId="24" fillId="0" borderId="3" xfId="0" applyNumberFormat="1" applyFont="1" applyFill="1" applyBorder="1" applyAlignment="1">
      <alignment horizontal="right" vertical="top"/>
    </xf>
    <xf numFmtId="0" fontId="26" fillId="0" borderId="3" xfId="0" applyFont="1" applyFill="1" applyBorder="1" applyAlignment="1">
      <alignment horizontal="center" vertical="top"/>
    </xf>
    <xf numFmtId="4" fontId="26" fillId="0" borderId="3" xfId="0" applyNumberFormat="1" applyFont="1" applyFill="1" applyBorder="1" applyAlignment="1">
      <alignment horizontal="right" vertical="top" wrapText="1"/>
    </xf>
    <xf numFmtId="0" fontId="26" fillId="9" borderId="3" xfId="0" applyFont="1" applyFill="1" applyBorder="1" applyAlignment="1">
      <alignment horizontal="left" vertical="top" wrapText="1"/>
    </xf>
    <xf numFmtId="49" fontId="26" fillId="9" borderId="3" xfId="0" applyNumberFormat="1" applyFont="1" applyFill="1" applyBorder="1" applyAlignment="1">
      <alignment horizontal="center" vertical="top" wrapText="1"/>
    </xf>
    <xf numFmtId="49" fontId="26" fillId="9" borderId="3" xfId="0" applyNumberFormat="1" applyFont="1" applyFill="1" applyBorder="1" applyAlignment="1">
      <alignment horizontal="center" vertical="top"/>
    </xf>
    <xf numFmtId="0" fontId="26" fillId="9" borderId="3" xfId="0" applyFont="1" applyFill="1" applyBorder="1" applyAlignment="1">
      <alignment horizontal="center" vertical="top"/>
    </xf>
    <xf numFmtId="4" fontId="26" fillId="9" borderId="3" xfId="0" applyNumberFormat="1" applyFont="1" applyFill="1" applyBorder="1" applyAlignment="1">
      <alignment horizontal="right" vertical="top" wrapText="1"/>
    </xf>
    <xf numFmtId="0" fontId="24" fillId="0" borderId="3" xfId="0" applyNumberFormat="1" applyFont="1" applyFill="1" applyBorder="1" applyAlignment="1">
      <alignment horizontal="left" vertical="top" wrapText="1"/>
    </xf>
    <xf numFmtId="49" fontId="24" fillId="0" borderId="3" xfId="0" applyNumberFormat="1" applyFont="1" applyFill="1" applyBorder="1" applyAlignment="1">
      <alignment horizontal="center" vertical="top"/>
    </xf>
    <xf numFmtId="0" fontId="11" fillId="9" borderId="3" xfId="2" applyFont="1" applyFill="1" applyBorder="1" applyAlignment="1">
      <alignment vertical="top" wrapText="1"/>
    </xf>
    <xf numFmtId="49" fontId="11" fillId="9" borderId="3" xfId="2" applyNumberFormat="1" applyFont="1" applyFill="1" applyBorder="1" applyAlignment="1">
      <alignment horizontal="center" vertical="top"/>
    </xf>
    <xf numFmtId="0" fontId="11" fillId="14" borderId="3" xfId="0" applyFont="1" applyFill="1" applyBorder="1" applyAlignment="1">
      <alignment horizontal="left" vertical="top" wrapText="1"/>
    </xf>
    <xf numFmtId="0" fontId="11" fillId="14" borderId="3" xfId="0" applyNumberFormat="1" applyFont="1" applyFill="1" applyBorder="1" applyAlignment="1" applyProtection="1">
      <alignment horizontal="left" vertical="top" wrapText="1"/>
    </xf>
    <xf numFmtId="49" fontId="11" fillId="15" borderId="0" xfId="0" applyNumberFormat="1" applyFont="1" applyFill="1" applyAlignment="1">
      <alignment horizontal="right" vertical="top"/>
    </xf>
    <xf numFmtId="49" fontId="10" fillId="0" borderId="0" xfId="0" applyNumberFormat="1" applyFont="1" applyFill="1" applyBorder="1" applyAlignment="1">
      <alignment vertical="top"/>
    </xf>
    <xf numFmtId="171" fontId="29" fillId="0" borderId="0" xfId="328" applyNumberFormat="1" applyFont="1" applyFill="1" applyBorder="1" applyAlignment="1" applyProtection="1">
      <alignment horizontal="center" vertical="top"/>
      <protection hidden="1"/>
    </xf>
    <xf numFmtId="170" fontId="29" fillId="0" borderId="0" xfId="328" applyNumberFormat="1" applyFont="1" applyFill="1" applyBorder="1" applyAlignment="1" applyProtection="1">
      <alignment horizontal="center" vertical="top" wrapText="1"/>
      <protection hidden="1"/>
    </xf>
    <xf numFmtId="0" fontId="10" fillId="0" borderId="3" xfId="0" applyFont="1" applyBorder="1" applyAlignment="1">
      <alignment horizontal="center" vertical="top" wrapText="1"/>
    </xf>
    <xf numFmtId="0" fontId="10" fillId="0" borderId="5" xfId="0" applyFont="1" applyBorder="1" applyAlignment="1">
      <alignment horizontal="center" vertical="top" wrapText="1"/>
    </xf>
    <xf numFmtId="0" fontId="10" fillId="0" borderId="0" xfId="0" applyFont="1" applyAlignment="1">
      <alignment horizontal="center" wrapText="1"/>
    </xf>
    <xf numFmtId="0" fontId="10" fillId="0" borderId="0" xfId="0" applyFont="1" applyAlignment="1">
      <alignment horizontal="center" vertical="center" wrapText="1"/>
    </xf>
    <xf numFmtId="0" fontId="10" fillId="0" borderId="0" xfId="0" applyFont="1" applyBorder="1" applyAlignment="1">
      <alignment horizontal="center" vertical="top" wrapText="1"/>
    </xf>
    <xf numFmtId="0" fontId="14" fillId="0" borderId="0" xfId="32" applyProtection="1">
      <protection hidden="1"/>
    </xf>
    <xf numFmtId="0" fontId="14" fillId="0" borderId="0" xfId="32" applyFont="1" applyFill="1" applyProtection="1">
      <protection hidden="1"/>
    </xf>
    <xf numFmtId="0" fontId="14" fillId="0" borderId="0" xfId="32" applyAlignment="1" applyProtection="1">
      <alignment horizontal="right" vertical="center"/>
      <protection hidden="1"/>
    </xf>
    <xf numFmtId="0" fontId="30" fillId="0" borderId="0" xfId="32" applyNumberFormat="1" applyFont="1" applyFill="1" applyAlignment="1" applyProtection="1">
      <alignment horizontal="centerContinuous" vertical="center"/>
      <protection hidden="1"/>
    </xf>
    <xf numFmtId="0" fontId="14" fillId="0" borderId="0" xfId="32" applyNumberFormat="1" applyFont="1" applyFill="1" applyAlignment="1" applyProtection="1">
      <alignment horizontal="centerContinuous"/>
      <protection hidden="1"/>
    </xf>
    <xf numFmtId="0" fontId="29" fillId="0" borderId="1" xfId="32" applyNumberFormat="1" applyFont="1" applyFill="1" applyBorder="1" applyAlignment="1" applyProtection="1">
      <protection hidden="1"/>
    </xf>
    <xf numFmtId="0" fontId="29" fillId="0" borderId="0" xfId="32" applyNumberFormat="1" applyFont="1" applyFill="1" applyAlignment="1" applyProtection="1">
      <protection hidden="1"/>
    </xf>
    <xf numFmtId="0" fontId="28" fillId="0" borderId="2" xfId="32" applyNumberFormat="1" applyFont="1" applyFill="1" applyBorder="1" applyAlignment="1" applyProtection="1">
      <alignment horizontal="center" vertical="center" wrapText="1"/>
      <protection hidden="1"/>
    </xf>
    <xf numFmtId="0" fontId="28" fillId="0" borderId="11" xfId="32" applyNumberFormat="1" applyFont="1" applyFill="1" applyBorder="1" applyAlignment="1" applyProtection="1">
      <alignment horizontal="center" vertical="center" wrapText="1"/>
      <protection hidden="1"/>
    </xf>
    <xf numFmtId="0" fontId="28" fillId="0" borderId="18" xfId="32" applyNumberFormat="1" applyFont="1" applyFill="1" applyBorder="1" applyAlignment="1" applyProtection="1">
      <alignment horizontal="center" vertical="center" wrapText="1"/>
      <protection hidden="1"/>
    </xf>
    <xf numFmtId="168" fontId="29" fillId="0" borderId="16" xfId="32" applyNumberFormat="1" applyFont="1" applyFill="1" applyBorder="1" applyAlignment="1" applyProtection="1">
      <protection hidden="1"/>
    </xf>
    <xf numFmtId="168" fontId="29" fillId="0" borderId="19" xfId="32" applyNumberFormat="1" applyFont="1" applyFill="1" applyBorder="1" applyAlignment="1" applyProtection="1">
      <protection hidden="1"/>
    </xf>
    <xf numFmtId="169" fontId="29" fillId="0" borderId="12" xfId="32" applyNumberFormat="1" applyFont="1" applyFill="1" applyBorder="1" applyAlignment="1" applyProtection="1">
      <alignment horizontal="center"/>
      <protection hidden="1"/>
    </xf>
    <xf numFmtId="171" fontId="29" fillId="0" borderId="3" xfId="32" applyNumberFormat="1" applyFont="1" applyFill="1" applyBorder="1" applyAlignment="1" applyProtection="1">
      <alignment horizontal="center"/>
      <protection hidden="1"/>
    </xf>
    <xf numFmtId="170" fontId="29" fillId="0" borderId="3" xfId="32" applyNumberFormat="1" applyFont="1" applyFill="1" applyBorder="1" applyAlignment="1" applyProtection="1">
      <alignment horizontal="center" wrapText="1"/>
      <protection hidden="1"/>
    </xf>
    <xf numFmtId="169" fontId="29" fillId="0" borderId="3" xfId="32" applyNumberFormat="1" applyFont="1" applyFill="1" applyBorder="1" applyAlignment="1" applyProtection="1">
      <alignment horizontal="center"/>
      <protection hidden="1"/>
    </xf>
    <xf numFmtId="168" fontId="29" fillId="0" borderId="3" xfId="32" applyNumberFormat="1" applyFont="1" applyFill="1" applyBorder="1" applyAlignment="1" applyProtection="1">
      <protection hidden="1"/>
    </xf>
    <xf numFmtId="168" fontId="29" fillId="0" borderId="4" xfId="32" applyNumberFormat="1" applyFont="1" applyFill="1" applyBorder="1" applyAlignment="1" applyProtection="1">
      <protection hidden="1"/>
    </xf>
    <xf numFmtId="168" fontId="28" fillId="0" borderId="22" xfId="32" applyNumberFormat="1" applyFont="1" applyFill="1" applyBorder="1" applyAlignment="1" applyProtection="1">
      <protection hidden="1"/>
    </xf>
    <xf numFmtId="168" fontId="28" fillId="0" borderId="14" xfId="32" applyNumberFormat="1" applyFont="1" applyFill="1" applyBorder="1" applyAlignment="1" applyProtection="1">
      <protection hidden="1"/>
    </xf>
    <xf numFmtId="0" fontId="14" fillId="0" borderId="0" xfId="32"/>
    <xf numFmtId="0" fontId="14" fillId="0" borderId="0" xfId="32" applyFont="1" applyFill="1"/>
    <xf numFmtId="0" fontId="11" fillId="0" borderId="3" xfId="329" applyFont="1" applyBorder="1" applyAlignment="1">
      <alignment vertical="top" wrapText="1"/>
    </xf>
    <xf numFmtId="0" fontId="11" fillId="0" borderId="3" xfId="329" applyFont="1" applyFill="1" applyBorder="1" applyAlignment="1">
      <alignment vertical="top" wrapText="1"/>
    </xf>
    <xf numFmtId="0" fontId="11" fillId="10" borderId="0" xfId="0" applyFont="1" applyFill="1" applyBorder="1" applyAlignment="1">
      <alignment horizontal="center" vertical="top"/>
    </xf>
    <xf numFmtId="164" fontId="11" fillId="14" borderId="3" xfId="0" applyNumberFormat="1" applyFont="1" applyFill="1" applyBorder="1" applyAlignment="1">
      <alignment horizontal="right" vertical="top"/>
    </xf>
    <xf numFmtId="164" fontId="11" fillId="0" borderId="3" xfId="0" applyNumberFormat="1" applyFont="1" applyFill="1" applyBorder="1" applyAlignment="1">
      <alignment horizontal="right" vertical="top"/>
    </xf>
    <xf numFmtId="164" fontId="11" fillId="9" borderId="3" xfId="0" applyNumberFormat="1" applyFont="1" applyFill="1" applyBorder="1" applyAlignment="1">
      <alignment horizontal="right" vertical="top"/>
    </xf>
    <xf numFmtId="49" fontId="11" fillId="0" borderId="3" xfId="329" applyNumberFormat="1" applyFont="1" applyFill="1" applyBorder="1" applyAlignment="1">
      <alignment horizontal="center" vertical="top"/>
    </xf>
    <xf numFmtId="0" fontId="11" fillId="5" borderId="3" xfId="329" applyFont="1" applyFill="1" applyBorder="1" applyAlignment="1">
      <alignment vertical="top" wrapText="1"/>
    </xf>
    <xf numFmtId="0" fontId="10" fillId="9" borderId="0" xfId="0" applyFont="1" applyFill="1" applyBorder="1" applyAlignment="1">
      <alignment horizontal="center" vertical="top"/>
    </xf>
    <xf numFmtId="0" fontId="10" fillId="0" borderId="0" xfId="329" applyFont="1" applyFill="1" applyBorder="1" applyAlignment="1">
      <alignment vertical="top"/>
    </xf>
    <xf numFmtId="0" fontId="10" fillId="0" borderId="0" xfId="3" applyFont="1" applyAlignment="1">
      <alignment vertical="top"/>
    </xf>
    <xf numFmtId="166" fontId="24" fillId="0" borderId="3" xfId="0" applyNumberFormat="1" applyFont="1" applyFill="1" applyBorder="1" applyAlignment="1">
      <alignment horizontal="right" vertical="top"/>
    </xf>
    <xf numFmtId="0" fontId="32" fillId="0" borderId="0" xfId="0" applyFont="1" applyFill="1" applyBorder="1" applyAlignment="1">
      <alignment horizontal="center" vertical="top"/>
    </xf>
    <xf numFmtId="4" fontId="24" fillId="0" borderId="5" xfId="0" applyNumberFormat="1" applyFont="1" applyFill="1" applyBorder="1" applyAlignment="1">
      <alignment horizontal="right" vertical="top"/>
    </xf>
    <xf numFmtId="0" fontId="10" fillId="0" borderId="3" xfId="0" applyFont="1" applyFill="1" applyBorder="1" applyAlignment="1">
      <alignment horizontal="center" vertical="top"/>
    </xf>
    <xf numFmtId="4" fontId="24" fillId="0" borderId="3" xfId="0" applyNumberFormat="1" applyFont="1" applyFill="1" applyBorder="1" applyAlignment="1">
      <alignment horizontal="right" vertical="top" wrapText="1"/>
    </xf>
    <xf numFmtId="49" fontId="24" fillId="9" borderId="3" xfId="0" applyNumberFormat="1" applyFont="1" applyFill="1" applyBorder="1" applyAlignment="1">
      <alignment horizontal="center" vertical="top"/>
    </xf>
    <xf numFmtId="0" fontId="11" fillId="9" borderId="3" xfId="329" applyFont="1" applyFill="1" applyBorder="1" applyAlignment="1">
      <alignment vertical="top" wrapText="1"/>
    </xf>
    <xf numFmtId="49" fontId="11" fillId="9" borderId="3" xfId="329" applyNumberFormat="1" applyFont="1" applyFill="1" applyBorder="1" applyAlignment="1">
      <alignment horizontal="center" vertical="top"/>
    </xf>
    <xf numFmtId="0" fontId="11" fillId="16" borderId="3" xfId="0" applyFont="1" applyFill="1" applyBorder="1" applyAlignment="1">
      <alignment horizontal="left" vertical="top" wrapText="1"/>
    </xf>
    <xf numFmtId="49" fontId="11" fillId="16" borderId="3" xfId="0" applyNumberFormat="1" applyFont="1" applyFill="1" applyBorder="1" applyAlignment="1">
      <alignment horizontal="center" vertical="top" wrapText="1"/>
    </xf>
    <xf numFmtId="49" fontId="11" fillId="16" borderId="3" xfId="0" applyNumberFormat="1" applyFont="1" applyFill="1" applyBorder="1" applyAlignment="1">
      <alignment horizontal="center" vertical="top"/>
    </xf>
    <xf numFmtId="4" fontId="11" fillId="16" borderId="3" xfId="0" applyNumberFormat="1" applyFont="1" applyFill="1" applyBorder="1" applyAlignment="1">
      <alignment horizontal="right" vertical="top"/>
    </xf>
    <xf numFmtId="0" fontId="10" fillId="11" borderId="0" xfId="0" applyFont="1" applyFill="1" applyBorder="1" applyAlignment="1">
      <alignment horizontal="center" vertical="top"/>
    </xf>
    <xf numFmtId="0" fontId="10" fillId="14" borderId="0" xfId="0" applyFont="1" applyFill="1" applyBorder="1" applyAlignment="1">
      <alignment horizontal="center" vertical="top"/>
    </xf>
    <xf numFmtId="0" fontId="10" fillId="14" borderId="0" xfId="0" applyFont="1" applyFill="1" applyBorder="1"/>
    <xf numFmtId="0" fontId="25" fillId="0" borderId="0" xfId="0" applyFont="1" applyFill="1" applyBorder="1" applyAlignment="1">
      <alignment vertical="top" wrapText="1"/>
    </xf>
    <xf numFmtId="0" fontId="10" fillId="0" borderId="0" xfId="329" applyFont="1" applyFill="1" applyBorder="1" applyAlignment="1">
      <alignment vertical="top" wrapText="1"/>
    </xf>
    <xf numFmtId="49" fontId="10" fillId="7" borderId="0" xfId="0" applyNumberFormat="1" applyFont="1" applyFill="1" applyBorder="1" applyAlignment="1">
      <alignment horizontal="center" vertical="top"/>
    </xf>
    <xf numFmtId="0" fontId="14" fillId="0" borderId="0" xfId="32"/>
    <xf numFmtId="0" fontId="14" fillId="0" borderId="0" xfId="32" applyProtection="1">
      <protection hidden="1"/>
    </xf>
    <xf numFmtId="0" fontId="14" fillId="0" borderId="13" xfId="32" applyBorder="1" applyProtection="1">
      <protection hidden="1"/>
    </xf>
    <xf numFmtId="0" fontId="28" fillId="0" borderId="1" xfId="32" applyNumberFormat="1" applyFont="1" applyFill="1" applyBorder="1" applyAlignment="1" applyProtection="1">
      <protection hidden="1"/>
    </xf>
    <xf numFmtId="0" fontId="28" fillId="0" borderId="22" xfId="32" applyNumberFormat="1" applyFont="1" applyFill="1" applyBorder="1" applyAlignment="1" applyProtection="1">
      <protection hidden="1"/>
    </xf>
    <xf numFmtId="169" fontId="29" fillId="0" borderId="16" xfId="32" applyNumberFormat="1" applyFont="1" applyFill="1" applyBorder="1" applyAlignment="1" applyProtection="1">
      <alignment horizontal="center"/>
      <protection hidden="1"/>
    </xf>
    <xf numFmtId="170" fontId="29" fillId="0" borderId="16" xfId="32" applyNumberFormat="1" applyFont="1" applyFill="1" applyBorder="1" applyAlignment="1" applyProtection="1">
      <alignment horizontal="center" wrapText="1"/>
      <protection hidden="1"/>
    </xf>
    <xf numFmtId="171" fontId="29" fillId="0" borderId="16" xfId="32" applyNumberFormat="1" applyFont="1" applyFill="1" applyBorder="1" applyAlignment="1" applyProtection="1">
      <alignment horizontal="center"/>
      <protection hidden="1"/>
    </xf>
    <xf numFmtId="169" fontId="29" fillId="0" borderId="17" xfId="32" applyNumberFormat="1" applyFont="1" applyFill="1" applyBorder="1" applyAlignment="1" applyProtection="1">
      <alignment horizontal="center"/>
      <protection hidden="1"/>
    </xf>
    <xf numFmtId="0" fontId="28" fillId="0" borderId="18" xfId="32" applyNumberFormat="1" applyFont="1" applyFill="1" applyBorder="1" applyAlignment="1" applyProtection="1">
      <alignment horizontal="center" vertical="center" wrapText="1"/>
      <protection hidden="1"/>
    </xf>
    <xf numFmtId="0" fontId="28" fillId="0" borderId="11" xfId="32" applyNumberFormat="1" applyFont="1" applyFill="1" applyBorder="1" applyAlignment="1" applyProtection="1">
      <alignment horizontal="center" vertical="center" wrapText="1"/>
      <protection hidden="1"/>
    </xf>
    <xf numFmtId="0" fontId="28" fillId="0" borderId="2" xfId="32" applyNumberFormat="1" applyFont="1" applyFill="1" applyBorder="1" applyAlignment="1" applyProtection="1">
      <alignment horizontal="center" vertical="center" wrapText="1"/>
      <protection hidden="1"/>
    </xf>
    <xf numFmtId="0" fontId="29" fillId="0" borderId="0" xfId="32" applyNumberFormat="1" applyFont="1" applyFill="1" applyAlignment="1" applyProtection="1">
      <protection hidden="1"/>
    </xf>
    <xf numFmtId="0" fontId="29" fillId="0" borderId="1" xfId="32" applyNumberFormat="1" applyFont="1" applyFill="1" applyBorder="1" applyAlignment="1" applyProtection="1">
      <protection hidden="1"/>
    </xf>
    <xf numFmtId="0" fontId="14" fillId="0" borderId="0" xfId="32" applyNumberFormat="1" applyFont="1" applyFill="1" applyAlignment="1" applyProtection="1">
      <alignment horizontal="centerContinuous"/>
      <protection hidden="1"/>
    </xf>
    <xf numFmtId="0" fontId="30" fillId="0" borderId="0" xfId="32" applyNumberFormat="1" applyFont="1" applyFill="1" applyAlignment="1" applyProtection="1">
      <alignment horizontal="centerContinuous" vertical="center"/>
      <protection hidden="1"/>
    </xf>
    <xf numFmtId="0" fontId="14" fillId="0" borderId="0" xfId="32" applyAlignment="1" applyProtection="1">
      <alignment horizontal="right" vertical="center"/>
      <protection hidden="1"/>
    </xf>
    <xf numFmtId="0" fontId="33" fillId="0" borderId="0" xfId="5" applyNumberFormat="1" applyFont="1" applyFill="1" applyBorder="1" applyAlignment="1" applyProtection="1">
      <alignment horizontal="center" wrapText="1"/>
      <protection hidden="1"/>
    </xf>
    <xf numFmtId="1" fontId="11" fillId="0" borderId="0" xfId="0" applyNumberFormat="1" applyFont="1" applyFill="1" applyBorder="1" applyAlignment="1">
      <alignment vertical="top"/>
    </xf>
    <xf numFmtId="0" fontId="10" fillId="0" borderId="0" xfId="0" applyFont="1" applyFill="1" applyAlignment="1">
      <alignment horizontal="right"/>
    </xf>
    <xf numFmtId="0" fontId="10" fillId="0" borderId="23" xfId="0" applyFont="1" applyBorder="1" applyAlignment="1">
      <alignment horizontal="center" vertical="top" wrapText="1"/>
    </xf>
    <xf numFmtId="0" fontId="10" fillId="0" borderId="5" xfId="6" applyNumberFormat="1" applyFont="1" applyFill="1" applyBorder="1" applyAlignment="1" applyProtection="1">
      <alignment horizontal="center" vertical="top" wrapText="1"/>
      <protection hidden="1"/>
    </xf>
    <xf numFmtId="0" fontId="10" fillId="0" borderId="3" xfId="0" applyFont="1" applyBorder="1" applyAlignment="1">
      <alignment horizontal="center" vertical="center" wrapText="1"/>
    </xf>
    <xf numFmtId="49" fontId="10" fillId="0" borderId="3" xfId="6" applyNumberFormat="1" applyFont="1" applyFill="1" applyBorder="1" applyAlignment="1" applyProtection="1">
      <alignment horizontal="center" vertical="top"/>
      <protection hidden="1"/>
    </xf>
    <xf numFmtId="0" fontId="10" fillId="0" borderId="0" xfId="329" applyFont="1" applyBorder="1" applyAlignment="1">
      <alignment vertical="top" wrapText="1"/>
    </xf>
    <xf numFmtId="0" fontId="10" fillId="5" borderId="0" xfId="3" applyNumberFormat="1" applyFont="1" applyFill="1" applyBorder="1" applyAlignment="1" applyProtection="1">
      <alignment horizontal="left" vertical="top" wrapText="1"/>
      <protection hidden="1"/>
    </xf>
    <xf numFmtId="49" fontId="10" fillId="0" borderId="0" xfId="329" applyNumberFormat="1" applyFont="1" applyFill="1" applyBorder="1" applyAlignment="1">
      <alignment horizontal="center" vertical="top"/>
    </xf>
    <xf numFmtId="0" fontId="10" fillId="7" borderId="0" xfId="0" applyFont="1" applyFill="1" applyAlignment="1">
      <alignment horizontal="center" vertical="top"/>
    </xf>
    <xf numFmtId="0" fontId="10" fillId="7" borderId="0" xfId="0" applyFont="1" applyFill="1" applyBorder="1" applyAlignment="1">
      <alignment horizontal="left" vertical="top"/>
    </xf>
    <xf numFmtId="49" fontId="10" fillId="7" borderId="0" xfId="0" applyNumberFormat="1" applyFont="1" applyFill="1" applyBorder="1" applyAlignment="1">
      <alignment horizontal="right" vertical="top"/>
    </xf>
    <xf numFmtId="4" fontId="10" fillId="7" borderId="0" xfId="3" applyNumberFormat="1" applyFont="1" applyFill="1" applyBorder="1" applyAlignment="1">
      <alignment horizontal="right" vertical="top"/>
    </xf>
    <xf numFmtId="0" fontId="10" fillId="7" borderId="0" xfId="0" applyFont="1" applyFill="1"/>
    <xf numFmtId="0" fontId="3" fillId="0" borderId="0" xfId="332" applyFont="1" applyAlignment="1">
      <alignment vertical="top"/>
    </xf>
    <xf numFmtId="0" fontId="21" fillId="0" borderId="0" xfId="332" applyFont="1" applyAlignment="1">
      <alignment vertical="top"/>
    </xf>
    <xf numFmtId="0" fontId="10" fillId="0" borderId="0" xfId="332" applyFont="1" applyAlignment="1">
      <alignment horizontal="center" vertical="top" wrapText="1"/>
    </xf>
    <xf numFmtId="0" fontId="11" fillId="0" borderId="0" xfId="332" applyFont="1" applyBorder="1" applyAlignment="1">
      <alignment horizontal="right" vertical="top" wrapText="1"/>
    </xf>
    <xf numFmtId="0" fontId="10" fillId="5" borderId="8" xfId="332" applyFont="1" applyFill="1" applyBorder="1" applyAlignment="1">
      <alignment horizontal="center" vertical="top" wrapText="1"/>
    </xf>
    <xf numFmtId="0" fontId="10" fillId="5" borderId="3" xfId="332" applyFont="1" applyFill="1" applyBorder="1" applyAlignment="1">
      <alignment horizontal="center" vertical="top" wrapText="1"/>
    </xf>
    <xf numFmtId="0" fontId="10" fillId="5" borderId="0" xfId="332" applyFont="1" applyFill="1" applyBorder="1" applyAlignment="1">
      <alignment horizontal="left" vertical="top" wrapText="1"/>
    </xf>
    <xf numFmtId="0" fontId="10" fillId="5" borderId="0" xfId="332" applyFont="1" applyFill="1" applyBorder="1" applyAlignment="1">
      <alignment horizontal="center" vertical="top" wrapText="1"/>
    </xf>
    <xf numFmtId="4" fontId="10" fillId="5" borderId="0" xfId="332" applyNumberFormat="1" applyFont="1" applyFill="1" applyBorder="1" applyAlignment="1">
      <alignment vertical="top" wrapText="1"/>
    </xf>
    <xf numFmtId="1" fontId="10" fillId="5" borderId="0" xfId="332" applyNumberFormat="1" applyFont="1" applyFill="1" applyBorder="1" applyAlignment="1">
      <alignment horizontal="center" vertical="top" wrapText="1"/>
    </xf>
    <xf numFmtId="4" fontId="10" fillId="5" borderId="0" xfId="332" applyNumberFormat="1" applyFont="1" applyFill="1" applyBorder="1" applyAlignment="1">
      <alignment horizontal="right" vertical="top" wrapText="1"/>
    </xf>
    <xf numFmtId="0" fontId="15" fillId="0" borderId="0" xfId="332" applyFont="1" applyBorder="1" applyAlignment="1">
      <alignment horizontal="left" vertical="top" wrapText="1"/>
    </xf>
    <xf numFmtId="0" fontId="15" fillId="0" borderId="0" xfId="332" applyFont="1" applyBorder="1" applyAlignment="1">
      <alignment horizontal="center" vertical="top" wrapText="1"/>
    </xf>
    <xf numFmtId="4" fontId="15" fillId="0" borderId="0" xfId="332" applyNumberFormat="1" applyFont="1" applyBorder="1" applyAlignment="1">
      <alignment horizontal="right" vertical="top" wrapText="1"/>
    </xf>
    <xf numFmtId="0" fontId="10" fillId="0" borderId="0" xfId="332" applyFont="1" applyBorder="1" applyAlignment="1">
      <alignment horizontal="left" wrapText="1"/>
    </xf>
    <xf numFmtId="0" fontId="10" fillId="0" borderId="0" xfId="332" applyFont="1" applyBorder="1" applyAlignment="1">
      <alignment horizontal="left" vertical="top" wrapText="1"/>
    </xf>
    <xf numFmtId="0" fontId="10" fillId="0" borderId="0" xfId="3" applyFont="1" applyFill="1" applyAlignment="1" applyProtection="1">
      <alignment horizontal="left" vertical="top"/>
      <protection hidden="1"/>
    </xf>
    <xf numFmtId="0" fontId="34" fillId="0" borderId="0" xfId="332" applyFont="1" applyAlignment="1">
      <alignment vertical="top"/>
    </xf>
    <xf numFmtId="4" fontId="10" fillId="0" borderId="0" xfId="332" applyNumberFormat="1" applyFont="1" applyFill="1" applyBorder="1" applyAlignment="1">
      <alignment horizontal="right" vertical="top" wrapText="1"/>
    </xf>
    <xf numFmtId="4" fontId="3" fillId="0" borderId="0" xfId="332" applyNumberFormat="1" applyFont="1" applyAlignment="1">
      <alignment vertical="top"/>
    </xf>
    <xf numFmtId="0" fontId="3" fillId="0" borderId="0" xfId="333" applyFont="1" applyAlignment="1">
      <alignment vertical="top"/>
    </xf>
    <xf numFmtId="0" fontId="21" fillId="0" borderId="0" xfId="333" applyFont="1" applyAlignment="1">
      <alignment vertical="top"/>
    </xf>
    <xf numFmtId="0" fontId="10" fillId="0" borderId="0" xfId="333" applyFont="1" applyAlignment="1">
      <alignment horizontal="center" vertical="top" wrapText="1"/>
    </xf>
    <xf numFmtId="0" fontId="11" fillId="0" borderId="0" xfId="333" applyFont="1" applyBorder="1" applyAlignment="1">
      <alignment horizontal="right" vertical="top" wrapText="1"/>
    </xf>
    <xf numFmtId="0" fontId="10" fillId="0" borderId="3" xfId="333" applyFont="1" applyBorder="1" applyAlignment="1">
      <alignment horizontal="center" vertical="top" wrapText="1"/>
    </xf>
    <xf numFmtId="0" fontId="10" fillId="0" borderId="0" xfId="333" applyFont="1" applyBorder="1" applyAlignment="1">
      <alignment horizontal="left" vertical="top" wrapText="1"/>
    </xf>
    <xf numFmtId="4" fontId="10" fillId="5" borderId="0" xfId="333" applyNumberFormat="1" applyFont="1" applyFill="1" applyBorder="1" applyAlignment="1">
      <alignment vertical="top" wrapText="1"/>
    </xf>
    <xf numFmtId="4" fontId="10" fillId="5" borderId="0" xfId="333" applyNumberFormat="1" applyFont="1" applyFill="1" applyBorder="1" applyAlignment="1">
      <alignment horizontal="right" vertical="top" wrapText="1"/>
    </xf>
    <xf numFmtId="0" fontId="10" fillId="0" borderId="0" xfId="333" applyFont="1" applyBorder="1" applyAlignment="1">
      <alignment horizontal="center" vertical="top" wrapText="1"/>
    </xf>
    <xf numFmtId="4" fontId="10" fillId="0" borderId="0" xfId="333" applyNumberFormat="1" applyFont="1" applyBorder="1" applyAlignment="1">
      <alignment horizontal="right" vertical="top" wrapText="1"/>
    </xf>
    <xf numFmtId="0" fontId="15" fillId="0" borderId="0" xfId="333" applyFont="1" applyBorder="1" applyAlignment="1">
      <alignment horizontal="left" vertical="top" wrapText="1"/>
    </xf>
    <xf numFmtId="4" fontId="15" fillId="0" borderId="0" xfId="333" applyNumberFormat="1" applyFont="1" applyBorder="1" applyAlignment="1">
      <alignment horizontal="right" vertical="top" wrapText="1"/>
    </xf>
    <xf numFmtId="0" fontId="31" fillId="0" borderId="0" xfId="333" applyFont="1" applyAlignment="1">
      <alignment vertical="top"/>
    </xf>
    <xf numFmtId="4" fontId="3" fillId="0" borderId="0" xfId="333" applyNumberFormat="1" applyFont="1" applyAlignment="1">
      <alignment vertical="top"/>
    </xf>
    <xf numFmtId="169" fontId="36" fillId="0" borderId="20" xfId="335" applyNumberFormat="1" applyFont="1" applyFill="1" applyBorder="1" applyAlignment="1" applyProtection="1">
      <alignment horizontal="center"/>
      <protection hidden="1"/>
    </xf>
    <xf numFmtId="170" fontId="36" fillId="0" borderId="20" xfId="335" applyNumberFormat="1" applyFont="1" applyFill="1" applyBorder="1" applyAlignment="1" applyProtection="1">
      <alignment horizontal="center"/>
      <protection hidden="1"/>
    </xf>
    <xf numFmtId="171" fontId="36" fillId="0" borderId="20" xfId="335" applyNumberFormat="1" applyFont="1" applyFill="1" applyBorder="1" applyAlignment="1" applyProtection="1">
      <alignment horizontal="center"/>
      <protection hidden="1"/>
    </xf>
    <xf numFmtId="169" fontId="36" fillId="0" borderId="15" xfId="335" applyNumberFormat="1" applyFont="1" applyFill="1" applyBorder="1" applyAlignment="1" applyProtection="1">
      <alignment horizontal="center"/>
      <protection hidden="1"/>
    </xf>
    <xf numFmtId="169" fontId="36" fillId="0" borderId="3" xfId="335" applyNumberFormat="1" applyFont="1" applyFill="1" applyBorder="1" applyAlignment="1" applyProtection="1">
      <alignment horizontal="center"/>
      <protection hidden="1"/>
    </xf>
    <xf numFmtId="170" fontId="36" fillId="0" borderId="3" xfId="335" applyNumberFormat="1" applyFont="1" applyFill="1" applyBorder="1" applyAlignment="1" applyProtection="1">
      <alignment horizontal="center"/>
      <protection hidden="1"/>
    </xf>
    <xf numFmtId="171" fontId="36" fillId="0" borderId="3" xfId="335" applyNumberFormat="1" applyFont="1" applyFill="1" applyBorder="1" applyAlignment="1" applyProtection="1">
      <alignment horizontal="center"/>
      <protection hidden="1"/>
    </xf>
    <xf numFmtId="169" fontId="36" fillId="0" borderId="12" xfId="335" applyNumberFormat="1" applyFont="1" applyFill="1" applyBorder="1" applyAlignment="1" applyProtection="1">
      <alignment horizontal="center"/>
      <protection hidden="1"/>
    </xf>
    <xf numFmtId="169" fontId="36" fillId="0" borderId="16" xfId="335" applyNumberFormat="1" applyFont="1" applyFill="1" applyBorder="1" applyAlignment="1" applyProtection="1">
      <alignment horizontal="center"/>
      <protection hidden="1"/>
    </xf>
    <xf numFmtId="170" fontId="36" fillId="0" borderId="16" xfId="335" applyNumberFormat="1" applyFont="1" applyFill="1" applyBorder="1" applyAlignment="1" applyProtection="1">
      <alignment horizontal="center"/>
      <protection hidden="1"/>
    </xf>
    <xf numFmtId="171" fontId="36" fillId="0" borderId="16" xfId="335" applyNumberFormat="1" applyFont="1" applyFill="1" applyBorder="1" applyAlignment="1" applyProtection="1">
      <alignment horizontal="center"/>
      <protection hidden="1"/>
    </xf>
    <xf numFmtId="169" fontId="36" fillId="0" borderId="17" xfId="335" applyNumberFormat="1" applyFont="1" applyFill="1" applyBorder="1" applyAlignment="1" applyProtection="1">
      <alignment horizontal="center"/>
      <protection hidden="1"/>
    </xf>
    <xf numFmtId="168" fontId="36" fillId="17" borderId="21" xfId="335" applyNumberFormat="1" applyFont="1" applyFill="1" applyBorder="1" applyAlignment="1" applyProtection="1">
      <protection hidden="1"/>
    </xf>
    <xf numFmtId="168" fontId="36" fillId="17" borderId="20" xfId="335" applyNumberFormat="1" applyFont="1" applyFill="1" applyBorder="1" applyAlignment="1" applyProtection="1">
      <protection hidden="1"/>
    </xf>
    <xf numFmtId="168" fontId="36" fillId="17" borderId="4" xfId="335" applyNumberFormat="1" applyFont="1" applyFill="1" applyBorder="1" applyAlignment="1" applyProtection="1">
      <protection hidden="1"/>
    </xf>
    <xf numFmtId="168" fontId="36" fillId="17" borderId="3" xfId="335" applyNumberFormat="1" applyFont="1" applyFill="1" applyBorder="1" applyAlignment="1" applyProtection="1">
      <protection hidden="1"/>
    </xf>
    <xf numFmtId="168" fontId="36" fillId="17" borderId="19" xfId="335" applyNumberFormat="1" applyFont="1" applyFill="1" applyBorder="1" applyAlignment="1" applyProtection="1">
      <protection hidden="1"/>
    </xf>
    <xf numFmtId="168" fontId="36" fillId="17" borderId="16" xfId="335" applyNumberFormat="1" applyFont="1" applyFill="1" applyBorder="1" applyAlignment="1" applyProtection="1">
      <protection hidden="1"/>
    </xf>
    <xf numFmtId="170" fontId="10" fillId="0" borderId="0" xfId="32" applyNumberFormat="1" applyFont="1" applyFill="1" applyBorder="1" applyAlignment="1" applyProtection="1">
      <alignment horizontal="center"/>
      <protection hidden="1"/>
    </xf>
    <xf numFmtId="170" fontId="10" fillId="0" borderId="0" xfId="32" applyNumberFormat="1" applyFont="1" applyFill="1" applyBorder="1" applyAlignment="1" applyProtection="1">
      <alignment horizontal="center" vertical="top"/>
      <protection hidden="1"/>
    </xf>
    <xf numFmtId="170" fontId="37" fillId="0" borderId="3" xfId="32" applyNumberFormat="1" applyFont="1" applyFill="1" applyBorder="1" applyAlignment="1" applyProtection="1">
      <alignment horizontal="center"/>
      <protection hidden="1"/>
    </xf>
    <xf numFmtId="0" fontId="10" fillId="0" borderId="0" xfId="0" applyNumberFormat="1" applyFont="1" applyFill="1" applyBorder="1" applyAlignment="1">
      <alignment vertical="top" wrapText="1"/>
    </xf>
    <xf numFmtId="0" fontId="1" fillId="0" borderId="0" xfId="336" applyFont="1" applyAlignment="1">
      <alignment vertical="top"/>
    </xf>
    <xf numFmtId="0" fontId="10" fillId="0" borderId="0" xfId="336" applyFont="1" applyAlignment="1">
      <alignment horizontal="center" vertical="top" wrapText="1"/>
    </xf>
    <xf numFmtId="0" fontId="21" fillId="0" borderId="0" xfId="336" applyFont="1" applyAlignment="1">
      <alignment vertical="top"/>
    </xf>
    <xf numFmtId="0" fontId="11" fillId="0" borderId="0" xfId="336" applyFont="1" applyBorder="1" applyAlignment="1">
      <alignment horizontal="right" vertical="top" wrapText="1"/>
    </xf>
    <xf numFmtId="0" fontId="10" fillId="5" borderId="8" xfId="336" applyFont="1" applyFill="1" applyBorder="1" applyAlignment="1">
      <alignment horizontal="center" vertical="top" wrapText="1"/>
    </xf>
    <xf numFmtId="0" fontId="10" fillId="5" borderId="3" xfId="336" applyFont="1" applyFill="1" applyBorder="1" applyAlignment="1">
      <alignment horizontal="center" vertical="top" wrapText="1"/>
    </xf>
    <xf numFmtId="0" fontId="10" fillId="5" borderId="0" xfId="336" applyFont="1" applyFill="1" applyBorder="1" applyAlignment="1">
      <alignment horizontal="left" vertical="top" wrapText="1"/>
    </xf>
    <xf numFmtId="0" fontId="10" fillId="5" borderId="0" xfId="336" applyFont="1" applyFill="1" applyBorder="1" applyAlignment="1">
      <alignment horizontal="center" vertical="top" wrapText="1"/>
    </xf>
    <xf numFmtId="4" fontId="10" fillId="5" borderId="0" xfId="336" applyNumberFormat="1" applyFont="1" applyFill="1" applyBorder="1" applyAlignment="1">
      <alignment vertical="top" wrapText="1"/>
    </xf>
    <xf numFmtId="1" fontId="10" fillId="5" borderId="0" xfId="336" applyNumberFormat="1" applyFont="1" applyFill="1" applyBorder="1" applyAlignment="1">
      <alignment horizontal="center" vertical="top" wrapText="1"/>
    </xf>
    <xf numFmtId="4" fontId="10" fillId="5" borderId="0" xfId="336" applyNumberFormat="1" applyFont="1" applyFill="1" applyBorder="1" applyAlignment="1">
      <alignment horizontal="right" vertical="top" wrapText="1"/>
    </xf>
    <xf numFmtId="0" fontId="15" fillId="0" borderId="0" xfId="336" applyFont="1" applyBorder="1" applyAlignment="1">
      <alignment horizontal="left" vertical="top" wrapText="1"/>
    </xf>
    <xf numFmtId="0" fontId="15" fillId="0" borderId="0" xfId="336" applyFont="1" applyBorder="1" applyAlignment="1">
      <alignment horizontal="center" vertical="top" wrapText="1"/>
    </xf>
    <xf numFmtId="4" fontId="15" fillId="0" borderId="0" xfId="336" applyNumberFormat="1" applyFont="1" applyBorder="1" applyAlignment="1">
      <alignment horizontal="right" vertical="top" wrapText="1"/>
    </xf>
    <xf numFmtId="0" fontId="10" fillId="5" borderId="0" xfId="336" applyFont="1" applyFill="1" applyBorder="1" applyAlignment="1">
      <alignment horizontal="center" wrapText="1"/>
    </xf>
    <xf numFmtId="4" fontId="10" fillId="0" borderId="0" xfId="336" applyNumberFormat="1" applyFont="1" applyFill="1" applyBorder="1" applyAlignment="1">
      <alignment horizontal="right" vertical="top" wrapText="1"/>
    </xf>
    <xf numFmtId="4" fontId="1" fillId="0" borderId="0" xfId="336" applyNumberFormat="1" applyFont="1" applyAlignment="1">
      <alignment vertical="top"/>
    </xf>
    <xf numFmtId="0" fontId="10" fillId="0" borderId="3" xfId="0" applyFont="1" applyBorder="1" applyAlignment="1">
      <alignment horizontal="center" vertical="top" wrapText="1"/>
    </xf>
    <xf numFmtId="0" fontId="10" fillId="0" borderId="5" xfId="0" applyFont="1" applyBorder="1" applyAlignment="1">
      <alignment horizontal="center" vertical="top" wrapText="1"/>
    </xf>
    <xf numFmtId="0" fontId="10" fillId="0" borderId="7" xfId="0" applyFont="1" applyBorder="1" applyAlignment="1">
      <alignment horizontal="center" vertical="top" wrapText="1"/>
    </xf>
    <xf numFmtId="0" fontId="10" fillId="0" borderId="0" xfId="0" applyFont="1" applyAlignment="1">
      <alignment horizontal="center" wrapText="1"/>
    </xf>
    <xf numFmtId="0" fontId="10" fillId="0" borderId="0" xfId="0" applyFont="1" applyAlignment="1">
      <alignment horizontal="center" vertical="center" wrapText="1"/>
    </xf>
    <xf numFmtId="0" fontId="10" fillId="0" borderId="0" xfId="0" applyFont="1" applyBorder="1" applyAlignment="1">
      <alignment horizontal="center" vertical="top" wrapText="1"/>
    </xf>
    <xf numFmtId="0" fontId="10" fillId="5" borderId="0" xfId="336" applyFont="1" applyFill="1" applyBorder="1" applyAlignment="1">
      <alignment horizontal="center" wrapText="1"/>
    </xf>
    <xf numFmtId="0" fontId="10" fillId="5" borderId="0" xfId="336" applyFont="1" applyFill="1" applyBorder="1" applyAlignment="1">
      <alignment horizontal="center" vertical="top" wrapText="1"/>
    </xf>
    <xf numFmtId="0" fontId="38" fillId="0" borderId="0" xfId="336" applyFont="1" applyAlignment="1">
      <alignment horizontal="center" vertical="top" wrapText="1"/>
    </xf>
    <xf numFmtId="0" fontId="38" fillId="0" borderId="0" xfId="336" applyFont="1" applyBorder="1" applyAlignment="1">
      <alignment horizontal="center" vertical="top" wrapText="1"/>
    </xf>
    <xf numFmtId="0" fontId="10" fillId="5" borderId="5" xfId="336" applyFont="1" applyFill="1" applyBorder="1" applyAlignment="1">
      <alignment horizontal="center" vertical="top" wrapText="1"/>
    </xf>
    <xf numFmtId="0" fontId="10" fillId="5" borderId="7" xfId="336" applyFont="1" applyFill="1" applyBorder="1" applyAlignment="1">
      <alignment horizontal="center" vertical="top" wrapText="1"/>
    </xf>
    <xf numFmtId="0" fontId="10" fillId="0" borderId="0" xfId="332" applyFont="1" applyAlignment="1">
      <alignment horizontal="center" vertical="top" wrapText="1"/>
    </xf>
    <xf numFmtId="0" fontId="10" fillId="0" borderId="0" xfId="332" applyFont="1" applyBorder="1" applyAlignment="1">
      <alignment horizontal="center" vertical="top" wrapText="1"/>
    </xf>
    <xf numFmtId="0" fontId="10" fillId="5" borderId="5" xfId="332" applyFont="1" applyFill="1" applyBorder="1" applyAlignment="1">
      <alignment horizontal="center" vertical="top" wrapText="1"/>
    </xf>
    <xf numFmtId="0" fontId="10" fillId="5" borderId="7" xfId="332" applyFont="1" applyFill="1" applyBorder="1" applyAlignment="1">
      <alignment horizontal="center" vertical="top" wrapText="1"/>
    </xf>
    <xf numFmtId="0" fontId="10" fillId="0" borderId="3" xfId="0" applyFont="1" applyFill="1" applyBorder="1" applyAlignment="1">
      <alignment horizontal="center" vertical="top"/>
    </xf>
    <xf numFmtId="0" fontId="33" fillId="0" borderId="0" xfId="0" applyFont="1" applyAlignment="1">
      <alignment horizontal="center" wrapText="1"/>
    </xf>
    <xf numFmtId="0" fontId="33" fillId="0" borderId="0" xfId="0" applyFont="1" applyAlignment="1">
      <alignment horizontal="center" vertical="center" wrapText="1"/>
    </xf>
    <xf numFmtId="0" fontId="10" fillId="0" borderId="0" xfId="333" applyFont="1" applyBorder="1" applyAlignment="1">
      <alignment horizontal="center" vertical="top" wrapText="1"/>
    </xf>
    <xf numFmtId="0" fontId="15" fillId="0" borderId="0" xfId="333" applyFont="1" applyBorder="1" applyAlignment="1">
      <alignment horizontal="center" vertical="top" wrapText="1"/>
    </xf>
    <xf numFmtId="0" fontId="10" fillId="0" borderId="0" xfId="333" applyFont="1" applyAlignment="1">
      <alignment horizontal="center" vertical="top" wrapText="1"/>
    </xf>
    <xf numFmtId="0" fontId="10" fillId="0" borderId="5" xfId="333" applyFont="1" applyBorder="1" applyAlignment="1">
      <alignment horizontal="center" vertical="top" wrapText="1"/>
    </xf>
    <xf numFmtId="0" fontId="10" fillId="0" borderId="7" xfId="333" applyFont="1" applyBorder="1" applyAlignment="1">
      <alignment horizontal="center" vertical="top" wrapText="1"/>
    </xf>
    <xf numFmtId="2" fontId="10" fillId="0" borderId="23" xfId="333" applyNumberFormat="1" applyFont="1" applyBorder="1" applyAlignment="1">
      <alignment horizontal="center" vertical="top" wrapText="1"/>
    </xf>
    <xf numFmtId="2" fontId="0" fillId="0" borderId="24" xfId="0" applyNumberFormat="1" applyBorder="1" applyAlignment="1">
      <alignment horizontal="center" vertical="top" wrapText="1"/>
    </xf>
    <xf numFmtId="2" fontId="10" fillId="0" borderId="25" xfId="333" applyNumberFormat="1" applyFont="1" applyBorder="1" applyAlignment="1">
      <alignment horizontal="center" vertical="top" wrapText="1"/>
    </xf>
    <xf numFmtId="2" fontId="0" fillId="0" borderId="26" xfId="0" applyNumberFormat="1" applyBorder="1" applyAlignment="1">
      <alignment horizontal="center" vertical="top" wrapText="1"/>
    </xf>
    <xf numFmtId="0" fontId="10" fillId="0" borderId="3" xfId="333" applyFont="1" applyBorder="1" applyAlignment="1">
      <alignment horizontal="center" vertical="top" wrapText="1"/>
    </xf>
    <xf numFmtId="0" fontId="0" fillId="0" borderId="3" xfId="0" applyBorder="1" applyAlignment="1">
      <alignment horizontal="center" vertical="top" wrapText="1"/>
    </xf>
  </cellXfs>
  <cellStyles count="337">
    <cellStyle name="Обычный" xfId="0" builtinId="0"/>
    <cellStyle name="Обычный 10" xfId="144"/>
    <cellStyle name="Обычный 11" xfId="327"/>
    <cellStyle name="Обычный 12" xfId="334"/>
    <cellStyle name="Обычный 2" xfId="4"/>
    <cellStyle name="Обычный 2 10" xfId="32"/>
    <cellStyle name="Обычный 2 10 2" xfId="145"/>
    <cellStyle name="Обычный 2 10 3" xfId="146"/>
    <cellStyle name="Обычный 2 10 4" xfId="147"/>
    <cellStyle name="Обычный 2 10 5" xfId="148"/>
    <cellStyle name="Обычный 2 10 6" xfId="149"/>
    <cellStyle name="Обычный 2 100" xfId="33"/>
    <cellStyle name="Обычный 2 101" xfId="34"/>
    <cellStyle name="Обычный 2 101 2" xfId="150"/>
    <cellStyle name="Обычный 2 102" xfId="35"/>
    <cellStyle name="Обычный 2 103" xfId="36"/>
    <cellStyle name="Обычный 2 103 2" xfId="151"/>
    <cellStyle name="Обычный 2 104" xfId="37"/>
    <cellStyle name="Обычный 2 104 2" xfId="152"/>
    <cellStyle name="Обычный 2 105" xfId="38"/>
    <cellStyle name="Обычный 2 105 2" xfId="153"/>
    <cellStyle name="Обычный 2 106" xfId="39"/>
    <cellStyle name="Обычный 2 107" xfId="40"/>
    <cellStyle name="Обычный 2 108" xfId="41"/>
    <cellStyle name="Обычный 2 109" xfId="42"/>
    <cellStyle name="Обычный 2 11" xfId="43"/>
    <cellStyle name="Обычный 2 11 2" xfId="154"/>
    <cellStyle name="Обычный 2 11 3" xfId="155"/>
    <cellStyle name="Обычный 2 11 4" xfId="156"/>
    <cellStyle name="Обычный 2 11 5" xfId="157"/>
    <cellStyle name="Обычный 2 11 6" xfId="158"/>
    <cellStyle name="Обычный 2 110" xfId="44"/>
    <cellStyle name="Обычный 2 111" xfId="45"/>
    <cellStyle name="Обычный 2 112" xfId="46"/>
    <cellStyle name="Обычный 2 113" xfId="159"/>
    <cellStyle name="Обычный 2 113 2" xfId="160"/>
    <cellStyle name="Обычный 2 114" xfId="161"/>
    <cellStyle name="Обычный 2 115" xfId="162"/>
    <cellStyle name="Обычный 2 116" xfId="163"/>
    <cellStyle name="Обычный 2 117" xfId="164"/>
    <cellStyle name="Обычный 2 118" xfId="165"/>
    <cellStyle name="Обычный 2 118 2" xfId="166"/>
    <cellStyle name="Обычный 2 119" xfId="167"/>
    <cellStyle name="Обычный 2 12" xfId="47"/>
    <cellStyle name="Обычный 2 12 2" xfId="168"/>
    <cellStyle name="Обычный 2 12 3" xfId="169"/>
    <cellStyle name="Обычный 2 12 4" xfId="170"/>
    <cellStyle name="Обычный 2 12 5" xfId="171"/>
    <cellStyle name="Обычный 2 12 6" xfId="172"/>
    <cellStyle name="Обычный 2 120" xfId="173"/>
    <cellStyle name="Обычный 2 121" xfId="174"/>
    <cellStyle name="Обычный 2 122" xfId="175"/>
    <cellStyle name="Обычный 2 123" xfId="176"/>
    <cellStyle name="Обычный 2 124" xfId="177"/>
    <cellStyle name="Обычный 2 125" xfId="178"/>
    <cellStyle name="Обычный 2 125 2" xfId="179"/>
    <cellStyle name="Обычный 2 126" xfId="180"/>
    <cellStyle name="Обычный 2 127" xfId="181"/>
    <cellStyle name="Обычный 2 128" xfId="182"/>
    <cellStyle name="Обычный 2 129" xfId="183"/>
    <cellStyle name="Обычный 2 13" xfId="48"/>
    <cellStyle name="Обычный 2 13 2" xfId="184"/>
    <cellStyle name="Обычный 2 13 3" xfId="185"/>
    <cellStyle name="Обычный 2 13 4" xfId="186"/>
    <cellStyle name="Обычный 2 13 5" xfId="187"/>
    <cellStyle name="Обычный 2 13 6" xfId="188"/>
    <cellStyle name="Обычный 2 130" xfId="189"/>
    <cellStyle name="Обычный 2 131" xfId="190"/>
    <cellStyle name="Обычный 2 132" xfId="191"/>
    <cellStyle name="Обычный 2 133" xfId="192"/>
    <cellStyle name="Обычный 2 134" xfId="193"/>
    <cellStyle name="Обычный 2 135" xfId="194"/>
    <cellStyle name="Обычный 2 136" xfId="195"/>
    <cellStyle name="Обычный 2 137" xfId="196"/>
    <cellStyle name="Обычный 2 138" xfId="197"/>
    <cellStyle name="Обычный 2 138 2" xfId="198"/>
    <cellStyle name="Обычный 2 139" xfId="199"/>
    <cellStyle name="Обычный 2 139 2" xfId="200"/>
    <cellStyle name="Обычный 2 14" xfId="49"/>
    <cellStyle name="Обычный 2 140" xfId="201"/>
    <cellStyle name="Обычный 2 141" xfId="202"/>
    <cellStyle name="Обычный 2 142" xfId="203"/>
    <cellStyle name="Обычный 2 143" xfId="204"/>
    <cellStyle name="Обычный 2 144" xfId="205"/>
    <cellStyle name="Обычный 2 145" xfId="206"/>
    <cellStyle name="Обычный 2 146" xfId="207"/>
    <cellStyle name="Обычный 2 147" xfId="208"/>
    <cellStyle name="Обычный 2 148" xfId="209"/>
    <cellStyle name="Обычный 2 149" xfId="210"/>
    <cellStyle name="Обычный 2 15" xfId="50"/>
    <cellStyle name="Обычный 2 15 2" xfId="211"/>
    <cellStyle name="Обычный 2 15 3" xfId="212"/>
    <cellStyle name="Обычный 2 15 4" xfId="213"/>
    <cellStyle name="Обычный 2 150" xfId="214"/>
    <cellStyle name="Обычный 2 151" xfId="215"/>
    <cellStyle name="Обычный 2 152" xfId="216"/>
    <cellStyle name="Обычный 2 153" xfId="217"/>
    <cellStyle name="Обычный 2 154" xfId="218"/>
    <cellStyle name="Обычный 2 154 2" xfId="219"/>
    <cellStyle name="Обычный 2 155" xfId="220"/>
    <cellStyle name="Обычный 2 156" xfId="221"/>
    <cellStyle name="Обычный 2 157" xfId="222"/>
    <cellStyle name="Обычный 2 158" xfId="223"/>
    <cellStyle name="Обычный 2 159" xfId="224"/>
    <cellStyle name="Обычный 2 16" xfId="51"/>
    <cellStyle name="Обычный 2 160" xfId="225"/>
    <cellStyle name="Обычный 2 161" xfId="226"/>
    <cellStyle name="Обычный 2 162" xfId="227"/>
    <cellStyle name="Обычный 2 163" xfId="228"/>
    <cellStyle name="Обычный 2 164" xfId="229"/>
    <cellStyle name="Обычный 2 165" xfId="230"/>
    <cellStyle name="Обычный 2 166" xfId="231"/>
    <cellStyle name="Обычный 2 167" xfId="232"/>
    <cellStyle name="Обычный 2 168" xfId="233"/>
    <cellStyle name="Обычный 2 169" xfId="234"/>
    <cellStyle name="Обычный 2 17" xfId="52"/>
    <cellStyle name="Обычный 2 170" xfId="235"/>
    <cellStyle name="Обычный 2 171" xfId="236"/>
    <cellStyle name="Обычный 2 172" xfId="328"/>
    <cellStyle name="Обычный 2 173" xfId="335"/>
    <cellStyle name="Обычный 2 18" xfId="53"/>
    <cellStyle name="Обычный 2 188" xfId="237"/>
    <cellStyle name="Обычный 2 19" xfId="54"/>
    <cellStyle name="Обычный 2 19 2" xfId="238"/>
    <cellStyle name="Обычный 2 2" xfId="5"/>
    <cellStyle name="Обычный 2 2 10" xfId="239"/>
    <cellStyle name="Обычный 2 2 11" xfId="240"/>
    <cellStyle name="Обычный 2 2 12" xfId="241"/>
    <cellStyle name="Обычный 2 2 13" xfId="242"/>
    <cellStyle name="Обычный 2 2 14" xfId="243"/>
    <cellStyle name="Обычный 2 2 15" xfId="244"/>
    <cellStyle name="Обычный 2 2 2" xfId="55"/>
    <cellStyle name="Обычный 2 2 2 2" xfId="330"/>
    <cellStyle name="Обычный 2 2 3" xfId="56"/>
    <cellStyle name="Обычный 2 2 4" xfId="245"/>
    <cellStyle name="Обычный 2 2 5" xfId="246"/>
    <cellStyle name="Обычный 2 2 6" xfId="247"/>
    <cellStyle name="Обычный 2 2 7" xfId="248"/>
    <cellStyle name="Обычный 2 2 8" xfId="249"/>
    <cellStyle name="Обычный 2 2 9" xfId="250"/>
    <cellStyle name="Обычный 2 20" xfId="57"/>
    <cellStyle name="Обычный 2 21" xfId="58"/>
    <cellStyle name="Обычный 2 22" xfId="59"/>
    <cellStyle name="Обычный 2 22 2" xfId="251"/>
    <cellStyle name="Обычный 2 23" xfId="60"/>
    <cellStyle name="Обычный 2 235" xfId="252"/>
    <cellStyle name="Обычный 2 24" xfId="61"/>
    <cellStyle name="Обычный 2 243" xfId="253"/>
    <cellStyle name="Обычный 2 25" xfId="62"/>
    <cellStyle name="Обычный 2 255" xfId="254"/>
    <cellStyle name="Обычный 2 26" xfId="63"/>
    <cellStyle name="Обычный 2 27" xfId="64"/>
    <cellStyle name="Обычный 2 28" xfId="65"/>
    <cellStyle name="Обычный 2 29" xfId="66"/>
    <cellStyle name="Обычный 2 3" xfId="6"/>
    <cellStyle name="Обычный 2 3 10" xfId="255"/>
    <cellStyle name="Обычный 2 3 11" xfId="256"/>
    <cellStyle name="Обычный 2 3 12" xfId="257"/>
    <cellStyle name="Обычный 2 3 13" xfId="258"/>
    <cellStyle name="Обычный 2 3 2" xfId="67"/>
    <cellStyle name="Обычный 2 3 3" xfId="259"/>
    <cellStyle name="Обычный 2 3 4" xfId="260"/>
    <cellStyle name="Обычный 2 3 5" xfId="261"/>
    <cellStyle name="Обычный 2 3 6" xfId="262"/>
    <cellStyle name="Обычный 2 3 7" xfId="263"/>
    <cellStyle name="Обычный 2 3 8" xfId="264"/>
    <cellStyle name="Обычный 2 3 9" xfId="265"/>
    <cellStyle name="Обычный 2 30" xfId="68"/>
    <cellStyle name="Обычный 2 31" xfId="69"/>
    <cellStyle name="Обычный 2 32" xfId="70"/>
    <cellStyle name="Обычный 2 33" xfId="71"/>
    <cellStyle name="Обычный 2 33 2" xfId="266"/>
    <cellStyle name="Обычный 2 34" xfId="72"/>
    <cellStyle name="Обычный 2 35" xfId="73"/>
    <cellStyle name="Обычный 2 36" xfId="74"/>
    <cellStyle name="Обычный 2 37" xfId="75"/>
    <cellStyle name="Обычный 2 38" xfId="76"/>
    <cellStyle name="Обычный 2 39" xfId="77"/>
    <cellStyle name="Обычный 2 4" xfId="2"/>
    <cellStyle name="Обычный 2 4 10" xfId="267"/>
    <cellStyle name="Обычный 2 4 11" xfId="268"/>
    <cellStyle name="Обычный 2 4 12" xfId="269"/>
    <cellStyle name="Обычный 2 4 13" xfId="270"/>
    <cellStyle name="Обычный 2 4 14" xfId="271"/>
    <cellStyle name="Обычный 2 4 15" xfId="329"/>
    <cellStyle name="Обычный 2 4 2" xfId="7"/>
    <cellStyle name="Обычный 2 4 3" xfId="8"/>
    <cellStyle name="Обычный 2 4 4" xfId="141"/>
    <cellStyle name="Обычный 2 4 4 2" xfId="143"/>
    <cellStyle name="Обычный 2 4 5" xfId="142"/>
    <cellStyle name="Обычный 2 4 6" xfId="272"/>
    <cellStyle name="Обычный 2 4 7" xfId="273"/>
    <cellStyle name="Обычный 2 4 8" xfId="274"/>
    <cellStyle name="Обычный 2 4 9" xfId="275"/>
    <cellStyle name="Обычный 2 40" xfId="78"/>
    <cellStyle name="Обычный 2 41" xfId="79"/>
    <cellStyle name="Обычный 2 42" xfId="80"/>
    <cellStyle name="Обычный 2 43" xfId="81"/>
    <cellStyle name="Обычный 2 43 2" xfId="276"/>
    <cellStyle name="Обычный 2 44" xfId="82"/>
    <cellStyle name="Обычный 2 45" xfId="83"/>
    <cellStyle name="Обычный 2 46" xfId="84"/>
    <cellStyle name="Обычный 2 47" xfId="85"/>
    <cellStyle name="Обычный 2 48" xfId="86"/>
    <cellStyle name="Обычный 2 49" xfId="87"/>
    <cellStyle name="Обычный 2 5" xfId="9"/>
    <cellStyle name="Обычный 2 5 10" xfId="277"/>
    <cellStyle name="Обычный 2 5 11" xfId="278"/>
    <cellStyle name="Обычный 2 5 12" xfId="279"/>
    <cellStyle name="Обычный 2 5 2" xfId="10"/>
    <cellStyle name="Обычный 2 5 3" xfId="11"/>
    <cellStyle name="Обычный 2 5 4" xfId="280"/>
    <cellStyle name="Обычный 2 5 5" xfId="281"/>
    <cellStyle name="Обычный 2 5 6" xfId="282"/>
    <cellStyle name="Обычный 2 5 7" xfId="283"/>
    <cellStyle name="Обычный 2 5 8" xfId="284"/>
    <cellStyle name="Обычный 2 5 9" xfId="285"/>
    <cellStyle name="Обычный 2 50" xfId="88"/>
    <cellStyle name="Обычный 2 51" xfId="89"/>
    <cellStyle name="Обычный 2 52" xfId="90"/>
    <cellStyle name="Обычный 2 53" xfId="91"/>
    <cellStyle name="Обычный 2 54" xfId="92"/>
    <cellStyle name="Обычный 2 54 2" xfId="286"/>
    <cellStyle name="Обычный 2 55" xfId="93"/>
    <cellStyle name="Обычный 2 56" xfId="94"/>
    <cellStyle name="Обычный 2 57" xfId="95"/>
    <cellStyle name="Обычный 2 57 2" xfId="287"/>
    <cellStyle name="Обычный 2 58" xfId="96"/>
    <cellStyle name="Обычный 2 59" xfId="97"/>
    <cellStyle name="Обычный 2 6" xfId="12"/>
    <cellStyle name="Обычный 2 6 10" xfId="288"/>
    <cellStyle name="Обычный 2 6 2" xfId="289"/>
    <cellStyle name="Обычный 2 6 3" xfId="290"/>
    <cellStyle name="Обычный 2 6 4" xfId="291"/>
    <cellStyle name="Обычный 2 6 5" xfId="292"/>
    <cellStyle name="Обычный 2 6 6" xfId="293"/>
    <cellStyle name="Обычный 2 6 7" xfId="294"/>
    <cellStyle name="Обычный 2 6 8" xfId="295"/>
    <cellStyle name="Обычный 2 6 9" xfId="296"/>
    <cellStyle name="Обычный 2 60" xfId="98"/>
    <cellStyle name="Обычный 2 61" xfId="99"/>
    <cellStyle name="Обычный 2 62" xfId="100"/>
    <cellStyle name="Обычный 2 63" xfId="101"/>
    <cellStyle name="Обычный 2 64" xfId="102"/>
    <cellStyle name="Обычный 2 65" xfId="103"/>
    <cellStyle name="Обычный 2 65 2" xfId="297"/>
    <cellStyle name="Обычный 2 66" xfId="104"/>
    <cellStyle name="Обычный 2 67" xfId="105"/>
    <cellStyle name="Обычный 2 68" xfId="106"/>
    <cellStyle name="Обычный 2 69" xfId="107"/>
    <cellStyle name="Обычный 2 7" xfId="13"/>
    <cellStyle name="Обычный 2 7 2" xfId="298"/>
    <cellStyle name="Обычный 2 7 3" xfId="299"/>
    <cellStyle name="Обычный 2 7 4" xfId="300"/>
    <cellStyle name="Обычный 2 7 5" xfId="301"/>
    <cellStyle name="Обычный 2 7 6" xfId="302"/>
    <cellStyle name="Обычный 2 70" xfId="108"/>
    <cellStyle name="Обычный 2 71" xfId="109"/>
    <cellStyle name="Обычный 2 72" xfId="110"/>
    <cellStyle name="Обычный 2 73" xfId="111"/>
    <cellStyle name="Обычный 2 74" xfId="112"/>
    <cellStyle name="Обычный 2 75" xfId="113"/>
    <cellStyle name="Обычный 2 75 2" xfId="303"/>
    <cellStyle name="Обычный 2 76" xfId="114"/>
    <cellStyle name="Обычный 2 77" xfId="115"/>
    <cellStyle name="Обычный 2 78" xfId="116"/>
    <cellStyle name="Обычный 2 79" xfId="117"/>
    <cellStyle name="Обычный 2 8" xfId="118"/>
    <cellStyle name="Обычный 2 8 2" xfId="304"/>
    <cellStyle name="Обычный 2 8 3" xfId="305"/>
    <cellStyle name="Обычный 2 8 4" xfId="306"/>
    <cellStyle name="Обычный 2 8 5" xfId="307"/>
    <cellStyle name="Обычный 2 8 6" xfId="308"/>
    <cellStyle name="Обычный 2 80" xfId="119"/>
    <cellStyle name="Обычный 2 81" xfId="120"/>
    <cellStyle name="Обычный 2 82" xfId="121"/>
    <cellStyle name="Обычный 2 83" xfId="122"/>
    <cellStyle name="Обычный 2 84" xfId="123"/>
    <cellStyle name="Обычный 2 85" xfId="124"/>
    <cellStyle name="Обычный 2 86" xfId="125"/>
    <cellStyle name="Обычный 2 87" xfId="126"/>
    <cellStyle name="Обычный 2 87 2" xfId="309"/>
    <cellStyle name="Обычный 2 88" xfId="127"/>
    <cellStyle name="Обычный 2 89" xfId="128"/>
    <cellStyle name="Обычный 2 9" xfId="129"/>
    <cellStyle name="Обычный 2 9 2" xfId="310"/>
    <cellStyle name="Обычный 2 9 3" xfId="311"/>
    <cellStyle name="Обычный 2 9 4" xfId="312"/>
    <cellStyle name="Обычный 2 9 5" xfId="313"/>
    <cellStyle name="Обычный 2 9 6" xfId="314"/>
    <cellStyle name="Обычный 2 90" xfId="130"/>
    <cellStyle name="Обычный 2 91" xfId="131"/>
    <cellStyle name="Обычный 2 92" xfId="132"/>
    <cellStyle name="Обычный 2 93" xfId="133"/>
    <cellStyle name="Обычный 2 94" xfId="134"/>
    <cellStyle name="Обычный 2 95" xfId="135"/>
    <cellStyle name="Обычный 2 96" xfId="136"/>
    <cellStyle name="Обычный 2 97" xfId="137"/>
    <cellStyle name="Обычный 2 98" xfId="138"/>
    <cellStyle name="Обычный 2 99" xfId="139"/>
    <cellStyle name="Обычный 2_ИСТОЧНИКИ (17.12)" xfId="315"/>
    <cellStyle name="Обычный 3" xfId="14"/>
    <cellStyle name="Обычный 3 2" xfId="316"/>
    <cellStyle name="Обычный 4" xfId="15"/>
    <cellStyle name="Обычный 4 2" xfId="16"/>
    <cellStyle name="Обычный 4 2 2" xfId="317"/>
    <cellStyle name="Обычный 4 3" xfId="17"/>
    <cellStyle name="Обычный 5" xfId="18"/>
    <cellStyle name="Обычный 5 2" xfId="19"/>
    <cellStyle name="Обычный 5 2 2" xfId="31"/>
    <cellStyle name="Обычный 5 2 2 2" xfId="318"/>
    <cellStyle name="Обычный 5 2 2 3" xfId="319"/>
    <cellStyle name="Обычный 5 2 2 4" xfId="320"/>
    <cellStyle name="Обычный 5 2 2 4 2" xfId="333"/>
    <cellStyle name="Обычный 5 2 3" xfId="321"/>
    <cellStyle name="Обычный 5 2 3 2" xfId="332"/>
    <cellStyle name="Обычный 5 2 4" xfId="336"/>
    <cellStyle name="Обычный 5 3" xfId="20"/>
    <cellStyle name="Обычный 6" xfId="21"/>
    <cellStyle name="Обычный 6 2" xfId="22"/>
    <cellStyle name="Обычный 6 3" xfId="23"/>
    <cellStyle name="Обычный 7" xfId="24"/>
    <cellStyle name="Обычный 7 2" xfId="25"/>
    <cellStyle name="Обычный 7 2 2" xfId="322"/>
    <cellStyle name="Обычный 7 3" xfId="26"/>
    <cellStyle name="Обычный 7 4" xfId="323"/>
    <cellStyle name="Обычный 8" xfId="140"/>
    <cellStyle name="Обычный 9" xfId="324"/>
    <cellStyle name="Обычный_tmp" xfId="3"/>
    <cellStyle name="Финансовый" xfId="1" builtinId="3"/>
    <cellStyle name="Финансовый 2" xfId="27"/>
    <cellStyle name="Финансовый 2 2" xfId="331"/>
    <cellStyle name="Финансовый 3" xfId="28"/>
    <cellStyle name="Финансовый 3 2" xfId="29"/>
    <cellStyle name="Финансовый 3 3" xfId="30"/>
    <cellStyle name="Финансовый 4" xfId="325"/>
    <cellStyle name="Финансовый 5" xfId="326"/>
  </cellStyles>
  <dxfs count="2">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1070;.&#1044;\2018%20&#1075;&#1086;&#1076;\&#1087;&#1088;&#1080;&#1082;&#1072;&#1079;&#1099;%20&#1050;&#1060;&#1080;&#1041;\&#1057;&#1041;&#1056;%20&#1076;&#1083;&#1103;%20&#1088;&#1072;&#1079;&#1084;%20&#1085;&#1072;%20&#1089;&#1072;&#1081;&#1090;&#1077;\02%20&#1088;&#1077;&#1096;%20&#1057;&#1043;&#1044;%20&#1086;&#1090;%2021%2002%2018%20&#1041;&#1040;%20(&#8470;%20___).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1070;.&#1044;\2018%20&#1075;&#1086;&#1076;\&#1087;&#1088;&#1080;&#1082;&#1072;&#1079;&#1099;%20&#1050;&#1060;&#1080;&#1041;\&#1057;&#1041;&#1056;%20&#1076;&#1083;&#1103;%20&#1088;&#1072;&#1079;&#1084;%20&#1085;&#1072;%20&#1089;&#1072;&#1081;&#1090;&#1077;\&#1057;&#1041;&#1056;%20&#1085;&#1072;%2031%2003%2020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Nikitina/AppData/Local/Microsoft/Windows/INetCache/Content.Outlook/HPW6RL6L/&#1087;&#1086;%20&#1089;&#1086;&#1089;&#1090;&#1086;&#1103;&#1085;&#1080;&#1102;%20&#1085;&#1072;%2031.03.20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Users\A.Nikitina\AppData\Local\Microsoft\Windows\INetCache\Content.Outlook\HPW6RL6L\&#1087;&#1086;%20&#1089;&#1086;&#1089;&#1090;&#1086;&#1103;&#1085;&#1080;&#1102;%20&#1085;&#1072;%2031.03.20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Users\Y.Gomzina\AppData\Local\Microsoft\Windows\INetCache\Content.Outlook\44UBFNNE\&#1057;&#1041;&#1056;%20&#1085;&#1072;%2031%2012%20201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прил. 1.СБР (2018)"/>
      <sheetName val="прил. 1.2 источники"/>
      <sheetName val="прил 2 СБР 2019-2020"/>
      <sheetName val="ИСТОЧНИКИ"/>
      <sheetName val="доходы ОБЩИЕ"/>
    </sheetNames>
    <sheetDataSet>
      <sheetData sheetId="0">
        <row r="424">
          <cell r="E424" t="str">
            <v>04 2 01 00000</v>
          </cell>
          <cell r="F424" t="str">
            <v>000</v>
          </cell>
          <cell r="G424">
            <v>20000000</v>
          </cell>
        </row>
        <row r="425">
          <cell r="E425" t="str">
            <v>04 2 01 60070</v>
          </cell>
          <cell r="F425" t="str">
            <v>000</v>
          </cell>
          <cell r="G425">
            <v>20000000</v>
          </cell>
        </row>
        <row r="426">
          <cell r="E426" t="str">
            <v>04 2 01 60070</v>
          </cell>
          <cell r="F426" t="str">
            <v>810</v>
          </cell>
          <cell r="G426">
            <v>20000000</v>
          </cell>
        </row>
        <row r="427">
          <cell r="E427" t="str">
            <v>04 2 01 60070</v>
          </cell>
          <cell r="F427" t="str">
            <v>812</v>
          </cell>
          <cell r="G427">
            <v>20000000</v>
          </cell>
        </row>
        <row r="428">
          <cell r="E428" t="str">
            <v>98 0 00 00000</v>
          </cell>
          <cell r="F428" t="str">
            <v>000</v>
          </cell>
          <cell r="G428">
            <v>210</v>
          </cell>
        </row>
      </sheetData>
      <sheetData sheetId="1"/>
      <sheetData sheetId="2"/>
      <sheetData sheetId="3"/>
      <sheetData sheetId="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БА расх 2018"/>
      <sheetName val="БА расх 2018 (2)"/>
      <sheetName val="БА расх 2018 (3)"/>
      <sheetName val="БА расх 2018 (на 25 02 18)"/>
      <sheetName val="БА расх 2018 (31 03)"/>
      <sheetName val="БА по источн (2018)"/>
      <sheetName val="БА расх 2019-2020 (31 03)"/>
      <sheetName val="БА источники (2019-2020"/>
      <sheetName val="исх 31 03 2018"/>
      <sheetName val="Лист3"/>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ow r="8">
          <cell r="A8">
            <v>1</v>
          </cell>
        </row>
        <row r="596">
          <cell r="F596">
            <v>8603639977.0699997</v>
          </cell>
        </row>
      </sheetData>
      <sheetData sheetId="9"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прил. 1.1 СБР"/>
      <sheetName val="прил. 1.1 СБР (2)"/>
      <sheetName val="прил. 1.2 источники"/>
      <sheetName val="ИСТОЧНИКИ"/>
      <sheetName val="доходы ОБЩИЕ"/>
    </sheetNames>
    <sheetDataSet>
      <sheetData sheetId="0" refreshError="1"/>
      <sheetData sheetId="1" refreshError="1"/>
      <sheetData sheetId="2" refreshError="1"/>
      <sheetData sheetId="3">
        <row r="10">
          <cell r="B10">
            <v>0</v>
          </cell>
        </row>
      </sheetData>
      <sheetData sheetId="4"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прил. 1.1 СБР"/>
      <sheetName val="прил. 1.1 СБР (2)"/>
      <sheetName val="прил. 1.2 источники"/>
      <sheetName val="ИСТОЧНИКИ"/>
      <sheetName val="доходы ОБЩИЕ"/>
    </sheetNames>
    <sheetDataSet>
      <sheetData sheetId="0" refreshError="1"/>
      <sheetData sheetId="1" refreshError="1"/>
      <sheetData sheetId="2" refreshError="1"/>
      <sheetData sheetId="3">
        <row r="10">
          <cell r="B10">
            <v>0</v>
          </cell>
        </row>
      </sheetData>
      <sheetData sheetId="4"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БА в тыс. руб."/>
      <sheetName val="БА в рублях"/>
      <sheetName val="БА в рублях (ред)"/>
      <sheetName val="БА в рублях (ред) (2)"/>
      <sheetName val="прил 1 БА в рублях (ред) (3)"/>
      <sheetName val="прил 1 БА по расх (2017)"/>
      <sheetName val="БА по источн (2017)"/>
      <sheetName val="КВР"/>
      <sheetName val="аппарат"/>
      <sheetName val="прил 2 БА по расх (2018-2019)"/>
      <sheetName val="БА источники (2018-2019"/>
      <sheetName val="исх АС БЮДЖЕТ"/>
      <sheetName val="Лист1"/>
    </sheetNames>
    <sheetDataSet>
      <sheetData sheetId="0"/>
      <sheetData sheetId="1"/>
      <sheetData sheetId="2"/>
      <sheetData sheetId="3"/>
      <sheetData sheetId="4"/>
      <sheetData sheetId="5"/>
      <sheetData sheetId="6">
        <row r="12">
          <cell r="A12" t="str">
            <v xml:space="preserve">Кредиты кредитных организаций в валюте Российской Федерации </v>
          </cell>
        </row>
        <row r="18">
          <cell r="A18" t="str">
            <v>Изменение остатков средств на счетах по учету средств бюджетов</v>
          </cell>
        </row>
      </sheetData>
      <sheetData sheetId="7"/>
      <sheetData sheetId="8"/>
      <sheetData sheetId="9"/>
      <sheetData sheetId="10"/>
      <sheetData sheetId="11"/>
      <sheetData sheetId="12"/>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Лист1">
    <tabColor rgb="FFFFFF00"/>
  </sheetPr>
  <dimension ref="A1:R1982"/>
  <sheetViews>
    <sheetView view="pageBreakPreview" topLeftCell="A19" zoomScale="98" zoomScaleNormal="100" zoomScaleSheetLayoutView="98" workbookViewId="0">
      <selection activeCell="F1170" sqref="F1170"/>
    </sheetView>
  </sheetViews>
  <sheetFormatPr defaultColWidth="8.7265625" defaultRowHeight="18"/>
  <cols>
    <col min="1" max="1" width="6.81640625" style="40" customWidth="1"/>
    <col min="2" max="2" width="35.90625" style="72" customWidth="1"/>
    <col min="3" max="3" width="4.90625" style="73" customWidth="1"/>
    <col min="4" max="4" width="3.36328125" style="74" customWidth="1"/>
    <col min="5" max="5" width="3" style="74" customWidth="1"/>
    <col min="6" max="6" width="9.1796875" style="74" customWidth="1"/>
    <col min="7" max="7" width="4" style="74" customWidth="1"/>
    <col min="8" max="8" width="11.90625" style="75" customWidth="1"/>
    <col min="12" max="12" width="10.08984375" style="75" hidden="1" customWidth="1"/>
    <col min="13" max="13" width="10.36328125" style="75" hidden="1" customWidth="1"/>
    <col min="14" max="14" width="10.36328125" style="84" hidden="1" customWidth="1"/>
    <col min="15" max="15" width="10.08984375" style="75" hidden="1" customWidth="1"/>
    <col min="16" max="16" width="10.36328125" style="75" hidden="1" customWidth="1"/>
    <col min="17" max="17" width="10.36328125" style="84" hidden="1" customWidth="1"/>
    <col min="18" max="19" width="0" style="48" hidden="1" customWidth="1"/>
    <col min="20" max="16384" width="8.7265625" style="48"/>
  </cols>
  <sheetData>
    <row r="1" spans="1:17" s="6" customFormat="1">
      <c r="A1" s="1"/>
      <c r="B1" s="2"/>
      <c r="C1" s="3"/>
      <c r="D1" s="97"/>
      <c r="E1" s="97"/>
      <c r="F1" s="97"/>
      <c r="G1" s="97"/>
      <c r="H1" s="5" t="s">
        <v>1002</v>
      </c>
      <c r="I1" s="101"/>
      <c r="J1" s="101"/>
      <c r="K1" s="101"/>
      <c r="L1" s="98"/>
      <c r="M1" s="98"/>
      <c r="N1" s="100"/>
      <c r="O1" s="98"/>
      <c r="P1" s="98"/>
      <c r="Q1" s="100"/>
    </row>
    <row r="2" spans="1:17" s="6" customFormat="1">
      <c r="A2" s="1"/>
      <c r="B2" s="2"/>
      <c r="C2" s="3"/>
      <c r="D2" s="97"/>
      <c r="E2" s="97"/>
      <c r="F2" s="97"/>
      <c r="G2" s="97"/>
      <c r="H2" s="5" t="s">
        <v>1003</v>
      </c>
      <c r="I2" s="101"/>
      <c r="J2" s="101"/>
      <c r="K2" s="101"/>
      <c r="L2" s="98"/>
      <c r="M2" s="98"/>
      <c r="N2" s="100"/>
      <c r="O2" s="98"/>
      <c r="P2" s="98"/>
      <c r="Q2" s="100"/>
    </row>
    <row r="3" spans="1:17" s="6" customFormat="1">
      <c r="A3" s="1"/>
      <c r="B3" s="2"/>
      <c r="C3" s="3"/>
      <c r="D3" s="97"/>
      <c r="E3" s="97"/>
      <c r="F3" s="97"/>
      <c r="G3" s="97"/>
      <c r="H3" s="5" t="s">
        <v>1004</v>
      </c>
      <c r="I3" s="101"/>
      <c r="J3" s="101"/>
      <c r="K3" s="101"/>
      <c r="L3" s="98"/>
      <c r="M3" s="98"/>
      <c r="N3" s="100"/>
      <c r="O3" s="98"/>
      <c r="P3" s="98"/>
      <c r="Q3" s="100"/>
    </row>
    <row r="4" spans="1:17" s="6" customFormat="1">
      <c r="A4" s="1"/>
      <c r="B4" s="2"/>
      <c r="C4" s="3"/>
      <c r="D4" s="97"/>
      <c r="E4" s="97"/>
      <c r="F4" s="97"/>
      <c r="G4" s="97"/>
      <c r="H4" s="5" t="s">
        <v>1005</v>
      </c>
      <c r="I4" s="101"/>
      <c r="J4" s="101"/>
      <c r="K4" s="101"/>
      <c r="L4" s="98"/>
      <c r="M4" s="98"/>
      <c r="N4" s="100"/>
      <c r="O4" s="98"/>
      <c r="P4" s="98"/>
      <c r="Q4" s="100"/>
    </row>
    <row r="5" spans="1:17" s="6" customFormat="1">
      <c r="A5" s="1"/>
      <c r="B5" s="2"/>
      <c r="C5" s="3"/>
      <c r="D5" s="97"/>
      <c r="E5" s="97"/>
      <c r="F5" s="97"/>
      <c r="G5" s="97"/>
      <c r="H5" s="5" t="s">
        <v>992</v>
      </c>
      <c r="I5" s="101"/>
      <c r="J5" s="101"/>
      <c r="K5" s="101"/>
      <c r="L5" s="98"/>
      <c r="M5" s="98"/>
      <c r="N5" s="100"/>
      <c r="O5" s="98"/>
      <c r="P5" s="98"/>
      <c r="Q5" s="100"/>
    </row>
    <row r="6" spans="1:17" s="6" customFormat="1">
      <c r="A6" s="1"/>
      <c r="B6" s="2"/>
      <c r="C6" s="3"/>
      <c r="D6" s="97"/>
      <c r="E6" s="97"/>
      <c r="F6" s="97"/>
      <c r="G6" s="97"/>
      <c r="H6" s="5" t="s">
        <v>1006</v>
      </c>
      <c r="I6" s="101"/>
      <c r="J6" s="101"/>
      <c r="K6" s="101"/>
      <c r="L6" s="98"/>
      <c r="M6" s="98"/>
      <c r="N6" s="100"/>
      <c r="O6" s="98"/>
      <c r="P6" s="98"/>
      <c r="Q6" s="100"/>
    </row>
    <row r="7" spans="1:17" s="6" customFormat="1">
      <c r="A7" s="1"/>
      <c r="B7" s="2"/>
      <c r="C7" s="3"/>
      <c r="D7" s="97"/>
      <c r="E7" s="97"/>
      <c r="F7" s="97"/>
      <c r="G7" s="97"/>
      <c r="H7" s="5" t="s">
        <v>1007</v>
      </c>
      <c r="I7" s="101"/>
      <c r="J7" s="101"/>
      <c r="K7" s="101"/>
      <c r="L7" s="98"/>
      <c r="M7" s="98"/>
      <c r="N7" s="100"/>
      <c r="O7" s="98"/>
      <c r="P7" s="98"/>
      <c r="Q7" s="100"/>
    </row>
    <row r="8" spans="1:17" s="6" customFormat="1">
      <c r="A8" s="1"/>
      <c r="B8" s="2"/>
      <c r="C8" s="3"/>
      <c r="D8" s="97"/>
      <c r="E8" s="97"/>
      <c r="F8" s="97"/>
      <c r="G8" s="97"/>
      <c r="H8" s="102" t="s">
        <v>1008</v>
      </c>
      <c r="I8" s="101"/>
      <c r="J8" s="101"/>
      <c r="K8" s="101"/>
      <c r="L8" s="98"/>
      <c r="M8" s="98"/>
      <c r="N8" s="100"/>
      <c r="O8" s="98"/>
      <c r="P8" s="98"/>
      <c r="Q8" s="100"/>
    </row>
    <row r="9" spans="1:17" s="6" customFormat="1">
      <c r="A9" s="1"/>
      <c r="B9" s="2"/>
      <c r="C9" s="3"/>
      <c r="D9" s="97"/>
      <c r="E9" s="97"/>
      <c r="F9" s="97"/>
      <c r="G9" s="97"/>
      <c r="H9" s="98"/>
      <c r="I9" s="101"/>
      <c r="J9" s="101"/>
      <c r="K9" s="101"/>
      <c r="L9" s="98"/>
      <c r="M9" s="98"/>
      <c r="N9" s="100"/>
      <c r="O9" s="98"/>
      <c r="P9" s="98"/>
      <c r="Q9" s="100"/>
    </row>
    <row r="10" spans="1:17" s="6" customFormat="1" ht="15.75">
      <c r="A10" s="1"/>
      <c r="B10" s="511" t="s">
        <v>993</v>
      </c>
      <c r="C10" s="511"/>
      <c r="D10" s="511"/>
      <c r="E10" s="511"/>
      <c r="F10" s="511"/>
      <c r="G10" s="511"/>
      <c r="H10" s="511"/>
      <c r="L10" s="3"/>
      <c r="M10" s="3"/>
      <c r="N10" s="5"/>
      <c r="O10" s="3"/>
      <c r="P10" s="3"/>
      <c r="Q10" s="5"/>
    </row>
    <row r="11" spans="1:17" s="6" customFormat="1" ht="15.75">
      <c r="A11" s="1"/>
      <c r="B11" s="512" t="s">
        <v>1001</v>
      </c>
      <c r="C11" s="512"/>
      <c r="D11" s="512"/>
      <c r="E11" s="512"/>
      <c r="F11" s="512"/>
      <c r="G11" s="512"/>
      <c r="H11" s="512"/>
      <c r="L11" s="3"/>
      <c r="M11" s="3"/>
      <c r="N11" s="5"/>
      <c r="O11" s="3"/>
      <c r="P11" s="3"/>
      <c r="Q11" s="5"/>
    </row>
    <row r="12" spans="1:17" s="6" customFormat="1" ht="15.75">
      <c r="A12" s="1"/>
      <c r="B12" s="110"/>
      <c r="C12" s="110"/>
      <c r="D12" s="110"/>
      <c r="E12" s="110"/>
      <c r="F12" s="110"/>
      <c r="G12" s="110"/>
      <c r="H12" s="110"/>
      <c r="L12" s="3"/>
      <c r="M12" s="3"/>
      <c r="N12" s="5"/>
      <c r="O12" s="3"/>
      <c r="P12" s="3"/>
      <c r="Q12" s="5"/>
    </row>
    <row r="13" spans="1:17" s="6" customFormat="1" ht="15.75">
      <c r="A13" s="1"/>
      <c r="B13" s="512" t="s">
        <v>994</v>
      </c>
      <c r="C13" s="512"/>
      <c r="D13" s="512"/>
      <c r="E13" s="512"/>
      <c r="F13" s="512"/>
      <c r="G13" s="512"/>
      <c r="H13" s="512"/>
      <c r="L13" s="3"/>
      <c r="M13" s="3"/>
      <c r="N13" s="5"/>
      <c r="O13" s="3"/>
      <c r="P13" s="3"/>
      <c r="Q13" s="5"/>
    </row>
    <row r="14" spans="1:17" s="6" customFormat="1" ht="15.75">
      <c r="A14" s="1"/>
      <c r="B14" s="512" t="s">
        <v>995</v>
      </c>
      <c r="C14" s="512"/>
      <c r="D14" s="512"/>
      <c r="E14" s="512"/>
      <c r="F14" s="512"/>
      <c r="G14" s="512"/>
      <c r="H14" s="512"/>
      <c r="L14" s="3"/>
      <c r="M14" s="3"/>
      <c r="N14" s="5"/>
      <c r="O14" s="3"/>
      <c r="P14" s="3"/>
      <c r="Q14" s="5"/>
    </row>
    <row r="15" spans="1:17" s="6" customFormat="1" ht="15.75">
      <c r="A15" s="1"/>
      <c r="B15" s="513"/>
      <c r="C15" s="513"/>
      <c r="D15" s="513"/>
      <c r="E15" s="513"/>
      <c r="F15" s="513"/>
      <c r="G15" s="513"/>
      <c r="H15" s="513"/>
      <c r="L15" s="3"/>
      <c r="M15" s="3"/>
      <c r="N15" s="5"/>
      <c r="O15" s="3"/>
      <c r="P15" s="3"/>
      <c r="Q15" s="5"/>
    </row>
    <row r="16" spans="1:17" s="6" customFormat="1" ht="15.75">
      <c r="A16" s="1"/>
      <c r="B16" s="110"/>
      <c r="C16" s="110"/>
      <c r="D16" s="110"/>
      <c r="E16" s="110"/>
      <c r="F16" s="110"/>
      <c r="G16" s="111"/>
      <c r="H16" s="112" t="s">
        <v>996</v>
      </c>
      <c r="L16" s="3"/>
      <c r="M16" s="3"/>
      <c r="N16" s="5"/>
      <c r="O16" s="3"/>
      <c r="P16" s="3"/>
      <c r="Q16" s="5"/>
    </row>
    <row r="17" spans="1:18" s="6" customFormat="1" ht="15.75">
      <c r="A17" s="1"/>
      <c r="B17" s="508" t="s">
        <v>997</v>
      </c>
      <c r="C17" s="508" t="s">
        <v>998</v>
      </c>
      <c r="D17" s="508"/>
      <c r="E17" s="508"/>
      <c r="F17" s="508"/>
      <c r="G17" s="508"/>
      <c r="H17" s="509" t="s">
        <v>999</v>
      </c>
      <c r="L17" s="3"/>
      <c r="M17" s="3"/>
      <c r="N17" s="5"/>
      <c r="O17" s="3"/>
      <c r="P17" s="3"/>
      <c r="Q17" s="5"/>
    </row>
    <row r="18" spans="1:18" s="6" customFormat="1" ht="16.5" thickBot="1">
      <c r="A18" s="1"/>
      <c r="B18" s="508"/>
      <c r="C18" s="113" t="s">
        <v>1000</v>
      </c>
      <c r="D18" s="113" t="s">
        <v>0</v>
      </c>
      <c r="E18" s="113" t="s">
        <v>1</v>
      </c>
      <c r="F18" s="113" t="s">
        <v>2</v>
      </c>
      <c r="G18" s="113" t="s">
        <v>3</v>
      </c>
      <c r="H18" s="510"/>
      <c r="L18" s="9"/>
      <c r="M18" s="10"/>
      <c r="N18" s="11"/>
      <c r="O18" s="9"/>
      <c r="P18" s="10"/>
      <c r="Q18" s="11"/>
    </row>
    <row r="19" spans="1:18" s="13" customFormat="1" ht="16.5" thickBot="1">
      <c r="A19" s="1"/>
      <c r="B19" s="114">
        <v>1</v>
      </c>
      <c r="C19" s="115">
        <v>2</v>
      </c>
      <c r="D19" s="115">
        <v>3</v>
      </c>
      <c r="E19" s="115" t="s">
        <v>4</v>
      </c>
      <c r="F19" s="115">
        <v>5</v>
      </c>
      <c r="G19" s="115">
        <v>6</v>
      </c>
      <c r="H19" s="115">
        <v>7</v>
      </c>
      <c r="L19" s="12"/>
      <c r="M19" s="12"/>
      <c r="N19" s="12"/>
      <c r="O19" s="12"/>
      <c r="P19" s="12"/>
      <c r="Q19" s="12"/>
    </row>
    <row r="20" spans="1:18" s="16" customFormat="1" ht="15.75">
      <c r="A20" s="14"/>
      <c r="B20" s="67" t="s">
        <v>5</v>
      </c>
      <c r="C20" s="116" t="s">
        <v>6</v>
      </c>
      <c r="D20" s="69" t="s">
        <v>7</v>
      </c>
      <c r="E20" s="69" t="s">
        <v>7</v>
      </c>
      <c r="F20" s="69" t="s">
        <v>8</v>
      </c>
      <c r="G20" s="69" t="s">
        <v>9</v>
      </c>
      <c r="H20" s="70">
        <f>H21+H63</f>
        <v>0</v>
      </c>
      <c r="L20" s="15">
        <v>54679.56</v>
      </c>
      <c r="M20" s="15">
        <v>54679.56</v>
      </c>
      <c r="N20" s="15">
        <v>54679.56</v>
      </c>
      <c r="O20" s="15">
        <f t="shared" ref="O20:O26" si="0">H20-L20</f>
        <v>-54679.56</v>
      </c>
      <c r="P20" s="15" t="e">
        <f>#REF!-M20</f>
        <v>#REF!</v>
      </c>
      <c r="Q20" s="15" t="e">
        <f>#REF!-N20</f>
        <v>#REF!</v>
      </c>
      <c r="R20" s="17" t="str">
        <f>CONCATENATE(F20,G20)</f>
        <v>00 0 00 00000000</v>
      </c>
    </row>
    <row r="21" spans="1:18" s="16" customFormat="1" ht="15.75">
      <c r="A21" s="14"/>
      <c r="B21" s="117" t="s">
        <v>10</v>
      </c>
      <c r="C21" s="118" t="s">
        <v>6</v>
      </c>
      <c r="D21" s="119" t="s">
        <v>11</v>
      </c>
      <c r="E21" s="119" t="s">
        <v>7</v>
      </c>
      <c r="F21" s="119" t="s">
        <v>8</v>
      </c>
      <c r="G21" s="119" t="s">
        <v>9</v>
      </c>
      <c r="H21" s="120">
        <f>H22+H57</f>
        <v>0</v>
      </c>
      <c r="L21" s="18">
        <v>47589.06</v>
      </c>
      <c r="M21" s="18">
        <v>47589.06</v>
      </c>
      <c r="N21" s="18">
        <v>47589.06</v>
      </c>
      <c r="O21" s="18">
        <f t="shared" si="0"/>
        <v>-47589.06</v>
      </c>
      <c r="P21" s="18" t="e">
        <f>#REF!-M21</f>
        <v>#REF!</v>
      </c>
      <c r="Q21" s="18" t="e">
        <f>#REF!-N21</f>
        <v>#REF!</v>
      </c>
      <c r="R21" s="17" t="str">
        <f t="shared" ref="R21:R118" si="1">CONCATENATE(F21,G21)</f>
        <v>00 0 00 00000000</v>
      </c>
    </row>
    <row r="22" spans="1:18" s="16" customFormat="1" ht="63">
      <c r="A22" s="14"/>
      <c r="B22" s="121" t="s">
        <v>12</v>
      </c>
      <c r="C22" s="122" t="s">
        <v>6</v>
      </c>
      <c r="D22" s="123" t="s">
        <v>11</v>
      </c>
      <c r="E22" s="123" t="s">
        <v>13</v>
      </c>
      <c r="F22" s="123" t="s">
        <v>8</v>
      </c>
      <c r="G22" s="123" t="s">
        <v>9</v>
      </c>
      <c r="H22" s="124">
        <f>H23</f>
        <v>0</v>
      </c>
      <c r="L22" s="19">
        <v>47089.06</v>
      </c>
      <c r="M22" s="19">
        <v>47089.06</v>
      </c>
      <c r="N22" s="19">
        <v>47089.06</v>
      </c>
      <c r="O22" s="19">
        <f t="shared" si="0"/>
        <v>-47089.06</v>
      </c>
      <c r="P22" s="19" t="e">
        <f>#REF!-M22</f>
        <v>#REF!</v>
      </c>
      <c r="Q22" s="19" t="e">
        <f>#REF!-N22</f>
        <v>#REF!</v>
      </c>
      <c r="R22" s="17" t="str">
        <f t="shared" si="1"/>
        <v>00 0 00 00000000</v>
      </c>
    </row>
    <row r="23" spans="1:18" s="16" customFormat="1" ht="31.5">
      <c r="A23" s="14"/>
      <c r="B23" s="125" t="s">
        <v>14</v>
      </c>
      <c r="C23" s="109" t="s">
        <v>6</v>
      </c>
      <c r="D23" s="108" t="s">
        <v>11</v>
      </c>
      <c r="E23" s="108" t="s">
        <v>13</v>
      </c>
      <c r="F23" s="108" t="s">
        <v>15</v>
      </c>
      <c r="G23" s="108" t="s">
        <v>9</v>
      </c>
      <c r="H23" s="126">
        <f>H24+H48+H39</f>
        <v>0</v>
      </c>
      <c r="L23" s="20">
        <v>47089.06</v>
      </c>
      <c r="M23" s="20">
        <v>47089.06</v>
      </c>
      <c r="N23" s="20">
        <v>47089.06</v>
      </c>
      <c r="O23" s="20">
        <f t="shared" si="0"/>
        <v>-47089.06</v>
      </c>
      <c r="P23" s="20" t="e">
        <f>#REF!-M23</f>
        <v>#REF!</v>
      </c>
      <c r="Q23" s="20" t="e">
        <f>#REF!-N23</f>
        <v>#REF!</v>
      </c>
      <c r="R23" s="17" t="str">
        <f t="shared" si="1"/>
        <v>70 0 00 00000000</v>
      </c>
    </row>
    <row r="24" spans="1:18" s="16" customFormat="1" ht="31.5">
      <c r="A24" s="14"/>
      <c r="B24" s="125" t="s">
        <v>16</v>
      </c>
      <c r="C24" s="109" t="s">
        <v>6</v>
      </c>
      <c r="D24" s="108" t="s">
        <v>11</v>
      </c>
      <c r="E24" s="108" t="s">
        <v>13</v>
      </c>
      <c r="F24" s="108" t="s">
        <v>17</v>
      </c>
      <c r="G24" s="108" t="s">
        <v>9</v>
      </c>
      <c r="H24" s="126">
        <f>H25+H35</f>
        <v>0</v>
      </c>
      <c r="L24" s="20">
        <v>42983.74</v>
      </c>
      <c r="M24" s="20">
        <v>42983.74</v>
      </c>
      <c r="N24" s="20">
        <v>42983.74</v>
      </c>
      <c r="O24" s="20">
        <f t="shared" si="0"/>
        <v>-42983.74</v>
      </c>
      <c r="P24" s="20" t="e">
        <f>#REF!-M24</f>
        <v>#REF!</v>
      </c>
      <c r="Q24" s="20" t="e">
        <f>#REF!-N24</f>
        <v>#REF!</v>
      </c>
      <c r="R24" s="17" t="str">
        <f t="shared" si="1"/>
        <v>70 1 00 00000000</v>
      </c>
    </row>
    <row r="25" spans="1:18" s="16" customFormat="1" ht="31.5">
      <c r="A25" s="14"/>
      <c r="B25" s="125" t="s">
        <v>18</v>
      </c>
      <c r="C25" s="109" t="s">
        <v>6</v>
      </c>
      <c r="D25" s="108" t="s">
        <v>11</v>
      </c>
      <c r="E25" s="108" t="s">
        <v>13</v>
      </c>
      <c r="F25" s="108" t="s">
        <v>19</v>
      </c>
      <c r="G25" s="108" t="s">
        <v>9</v>
      </c>
      <c r="H25" s="126">
        <f>H26+H30+H32</f>
        <v>0</v>
      </c>
      <c r="L25" s="20">
        <v>10397.540000000001</v>
      </c>
      <c r="M25" s="20">
        <v>10397.540000000001</v>
      </c>
      <c r="N25" s="20">
        <v>10397.540000000001</v>
      </c>
      <c r="O25" s="20">
        <f t="shared" si="0"/>
        <v>-10397.540000000001</v>
      </c>
      <c r="P25" s="20" t="e">
        <f>#REF!-M25</f>
        <v>#REF!</v>
      </c>
      <c r="Q25" s="20" t="e">
        <f>#REF!-N25</f>
        <v>#REF!</v>
      </c>
      <c r="R25" s="17" t="str">
        <f t="shared" si="1"/>
        <v>70 1 00 10010000</v>
      </c>
    </row>
    <row r="26" spans="1:18" s="16" customFormat="1" ht="31.5">
      <c r="A26" s="14"/>
      <c r="B26" s="127" t="s">
        <v>20</v>
      </c>
      <c r="C26" s="109" t="s">
        <v>6</v>
      </c>
      <c r="D26" s="108" t="s">
        <v>11</v>
      </c>
      <c r="E26" s="108" t="s">
        <v>13</v>
      </c>
      <c r="F26" s="108" t="s">
        <v>19</v>
      </c>
      <c r="G26" s="108" t="s">
        <v>21</v>
      </c>
      <c r="H26" s="126">
        <f>SUM(H27:H29)</f>
        <v>0</v>
      </c>
      <c r="L26" s="20">
        <v>3836.7799999999997</v>
      </c>
      <c r="M26" s="20">
        <v>3836.7799999999997</v>
      </c>
      <c r="N26" s="20">
        <v>3836.7799999999997</v>
      </c>
      <c r="O26" s="20">
        <f t="shared" si="0"/>
        <v>-3836.7799999999997</v>
      </c>
      <c r="P26" s="20" t="e">
        <f>#REF!-M26</f>
        <v>#REF!</v>
      </c>
      <c r="Q26" s="20" t="e">
        <f>#REF!-N26</f>
        <v>#REF!</v>
      </c>
      <c r="R26" s="17" t="str">
        <f t="shared" si="1"/>
        <v>70 1 00 10010120</v>
      </c>
    </row>
    <row r="27" spans="1:18" s="23" customFormat="1" ht="47.25">
      <c r="A27" s="21"/>
      <c r="B27" s="127" t="s">
        <v>22</v>
      </c>
      <c r="C27" s="109" t="s">
        <v>6</v>
      </c>
      <c r="D27" s="108" t="s">
        <v>11</v>
      </c>
      <c r="E27" s="108" t="s">
        <v>13</v>
      </c>
      <c r="F27" s="108" t="s">
        <v>19</v>
      </c>
      <c r="G27" s="108" t="s">
        <v>23</v>
      </c>
      <c r="H27" s="126"/>
      <c r="L27" s="22"/>
      <c r="M27" s="22"/>
      <c r="N27" s="22"/>
      <c r="O27" s="22"/>
      <c r="P27" s="22"/>
      <c r="Q27" s="22"/>
      <c r="R27" s="24"/>
    </row>
    <row r="28" spans="1:18" s="23" customFormat="1" ht="63">
      <c r="A28" s="21"/>
      <c r="B28" s="127" t="s">
        <v>24</v>
      </c>
      <c r="C28" s="109" t="s">
        <v>6</v>
      </c>
      <c r="D28" s="108" t="s">
        <v>11</v>
      </c>
      <c r="E28" s="108" t="s">
        <v>13</v>
      </c>
      <c r="F28" s="108" t="s">
        <v>19</v>
      </c>
      <c r="G28" s="108" t="s">
        <v>25</v>
      </c>
      <c r="H28" s="126"/>
      <c r="L28" s="22"/>
      <c r="M28" s="22"/>
      <c r="N28" s="22"/>
      <c r="O28" s="22"/>
      <c r="P28" s="22"/>
      <c r="Q28" s="22"/>
      <c r="R28" s="24"/>
    </row>
    <row r="29" spans="1:18" s="23" customFormat="1" ht="63">
      <c r="A29" s="21"/>
      <c r="B29" s="127" t="s">
        <v>26</v>
      </c>
      <c r="C29" s="109" t="s">
        <v>6</v>
      </c>
      <c r="D29" s="108" t="s">
        <v>11</v>
      </c>
      <c r="E29" s="108" t="s">
        <v>13</v>
      </c>
      <c r="F29" s="108" t="s">
        <v>19</v>
      </c>
      <c r="G29" s="108" t="s">
        <v>27</v>
      </c>
      <c r="H29" s="126"/>
      <c r="L29" s="22"/>
      <c r="M29" s="22"/>
      <c r="N29" s="22"/>
      <c r="O29" s="22"/>
      <c r="P29" s="22"/>
      <c r="Q29" s="22"/>
      <c r="R29" s="24"/>
    </row>
    <row r="30" spans="1:18" s="16" customFormat="1" ht="31.5">
      <c r="A30" s="14"/>
      <c r="B30" s="125" t="s">
        <v>28</v>
      </c>
      <c r="C30" s="109" t="s">
        <v>6</v>
      </c>
      <c r="D30" s="108" t="s">
        <v>11</v>
      </c>
      <c r="E30" s="108" t="s">
        <v>13</v>
      </c>
      <c r="F30" s="108" t="s">
        <v>19</v>
      </c>
      <c r="G30" s="108" t="s">
        <v>29</v>
      </c>
      <c r="H30" s="126">
        <f>H31</f>
        <v>0</v>
      </c>
      <c r="L30" s="20">
        <v>6454.14</v>
      </c>
      <c r="M30" s="20">
        <v>6454.14</v>
      </c>
      <c r="N30" s="20">
        <v>6454.14</v>
      </c>
      <c r="O30" s="20">
        <f>H30-L30</f>
        <v>-6454.14</v>
      </c>
      <c r="P30" s="20" t="e">
        <f>#REF!-M30</f>
        <v>#REF!</v>
      </c>
      <c r="Q30" s="20" t="e">
        <f>#REF!-N30</f>
        <v>#REF!</v>
      </c>
      <c r="R30" s="17" t="str">
        <f t="shared" si="1"/>
        <v>70 1 00 10010240</v>
      </c>
    </row>
    <row r="31" spans="1:18" s="16" customFormat="1" ht="15.75">
      <c r="A31" s="14"/>
      <c r="B31" s="125" t="s">
        <v>30</v>
      </c>
      <c r="C31" s="109" t="s">
        <v>6</v>
      </c>
      <c r="D31" s="108" t="s">
        <v>11</v>
      </c>
      <c r="E31" s="108" t="s">
        <v>13</v>
      </c>
      <c r="F31" s="108" t="s">
        <v>19</v>
      </c>
      <c r="G31" s="108" t="s">
        <v>31</v>
      </c>
      <c r="H31" s="126"/>
      <c r="L31" s="20"/>
      <c r="M31" s="20"/>
      <c r="N31" s="20"/>
      <c r="O31" s="20"/>
      <c r="P31" s="20"/>
      <c r="Q31" s="20"/>
      <c r="R31" s="17"/>
    </row>
    <row r="32" spans="1:18" s="16" customFormat="1" ht="15.75">
      <c r="A32" s="14"/>
      <c r="B32" s="125" t="s">
        <v>32</v>
      </c>
      <c r="C32" s="109" t="s">
        <v>6</v>
      </c>
      <c r="D32" s="108" t="s">
        <v>11</v>
      </c>
      <c r="E32" s="108" t="s">
        <v>13</v>
      </c>
      <c r="F32" s="108" t="s">
        <v>19</v>
      </c>
      <c r="G32" s="108" t="s">
        <v>33</v>
      </c>
      <c r="H32" s="126">
        <f>SUM(H33:H34)</f>
        <v>0</v>
      </c>
      <c r="L32" s="20">
        <v>106.62</v>
      </c>
      <c r="M32" s="20">
        <v>106.62</v>
      </c>
      <c r="N32" s="20">
        <v>106.62</v>
      </c>
      <c r="O32" s="20">
        <f>H32-L32</f>
        <v>-106.62</v>
      </c>
      <c r="P32" s="20" t="e">
        <f>#REF!-M32</f>
        <v>#REF!</v>
      </c>
      <c r="Q32" s="20" t="e">
        <f>#REF!-N32</f>
        <v>#REF!</v>
      </c>
      <c r="R32" s="17" t="str">
        <f t="shared" si="1"/>
        <v>70 1 00 10010850</v>
      </c>
    </row>
    <row r="33" spans="1:18" s="23" customFormat="1" ht="31.5">
      <c r="A33" s="21"/>
      <c r="B33" s="127" t="s">
        <v>34</v>
      </c>
      <c r="C33" s="109" t="s">
        <v>6</v>
      </c>
      <c r="D33" s="108" t="s">
        <v>11</v>
      </c>
      <c r="E33" s="108" t="s">
        <v>13</v>
      </c>
      <c r="F33" s="108" t="s">
        <v>19</v>
      </c>
      <c r="G33" s="108" t="s">
        <v>35</v>
      </c>
      <c r="H33" s="128"/>
      <c r="L33" s="22"/>
      <c r="M33" s="22"/>
      <c r="N33" s="22"/>
      <c r="O33" s="22"/>
      <c r="P33" s="22"/>
      <c r="Q33" s="22"/>
      <c r="R33" s="24"/>
    </row>
    <row r="34" spans="1:18" s="23" customFormat="1" ht="15.75">
      <c r="A34" s="21"/>
      <c r="B34" s="127" t="s">
        <v>36</v>
      </c>
      <c r="C34" s="109" t="s">
        <v>6</v>
      </c>
      <c r="D34" s="108" t="s">
        <v>11</v>
      </c>
      <c r="E34" s="108" t="s">
        <v>13</v>
      </c>
      <c r="F34" s="108" t="s">
        <v>19</v>
      </c>
      <c r="G34" s="108" t="s">
        <v>37</v>
      </c>
      <c r="H34" s="128"/>
      <c r="L34" s="22"/>
      <c r="M34" s="22"/>
      <c r="N34" s="22"/>
      <c r="O34" s="22"/>
      <c r="P34" s="22"/>
      <c r="Q34" s="22"/>
      <c r="R34" s="24"/>
    </row>
    <row r="35" spans="1:18" s="16" customFormat="1" ht="31.5">
      <c r="A35" s="14"/>
      <c r="B35" s="127" t="s">
        <v>38</v>
      </c>
      <c r="C35" s="109" t="s">
        <v>6</v>
      </c>
      <c r="D35" s="108" t="s">
        <v>11</v>
      </c>
      <c r="E35" s="108" t="s">
        <v>13</v>
      </c>
      <c r="F35" s="108" t="s">
        <v>39</v>
      </c>
      <c r="G35" s="108" t="s">
        <v>9</v>
      </c>
      <c r="H35" s="126">
        <f>H36</f>
        <v>0</v>
      </c>
      <c r="L35" s="20">
        <v>32586.199999999997</v>
      </c>
      <c r="M35" s="20">
        <v>32586.199999999997</v>
      </c>
      <c r="N35" s="20">
        <v>32586.199999999997</v>
      </c>
      <c r="O35" s="20">
        <f>H35-L35</f>
        <v>-32586.199999999997</v>
      </c>
      <c r="P35" s="20" t="e">
        <f>#REF!-M35</f>
        <v>#REF!</v>
      </c>
      <c r="Q35" s="20" t="e">
        <f>#REF!-N35</f>
        <v>#REF!</v>
      </c>
      <c r="R35" s="17" t="str">
        <f t="shared" si="1"/>
        <v>70 1 00 10020000</v>
      </c>
    </row>
    <row r="36" spans="1:18" s="16" customFormat="1" ht="31.5">
      <c r="A36" s="14"/>
      <c r="B36" s="127" t="s">
        <v>20</v>
      </c>
      <c r="C36" s="109" t="s">
        <v>6</v>
      </c>
      <c r="D36" s="108" t="s">
        <v>11</v>
      </c>
      <c r="E36" s="108" t="s">
        <v>13</v>
      </c>
      <c r="F36" s="108" t="s">
        <v>39</v>
      </c>
      <c r="G36" s="108" t="s">
        <v>21</v>
      </c>
      <c r="H36" s="126">
        <f>SUM(H37:H38)</f>
        <v>0</v>
      </c>
      <c r="L36" s="20">
        <v>32586.199999999997</v>
      </c>
      <c r="M36" s="20">
        <v>32586.199999999997</v>
      </c>
      <c r="N36" s="20">
        <v>32586.199999999997</v>
      </c>
      <c r="O36" s="20">
        <f>H36-L36</f>
        <v>-32586.199999999997</v>
      </c>
      <c r="P36" s="20" t="e">
        <f>#REF!-M36</f>
        <v>#REF!</v>
      </c>
      <c r="Q36" s="20" t="e">
        <f>#REF!-N36</f>
        <v>#REF!</v>
      </c>
      <c r="R36" s="17" t="str">
        <f t="shared" si="1"/>
        <v>70 1 00 10020120</v>
      </c>
    </row>
    <row r="37" spans="1:18" s="23" customFormat="1" ht="31.5">
      <c r="A37" s="21"/>
      <c r="B37" s="127" t="s">
        <v>40</v>
      </c>
      <c r="C37" s="109" t="s">
        <v>6</v>
      </c>
      <c r="D37" s="108" t="s">
        <v>11</v>
      </c>
      <c r="E37" s="108" t="s">
        <v>13</v>
      </c>
      <c r="F37" s="108" t="s">
        <v>39</v>
      </c>
      <c r="G37" s="108" t="s">
        <v>41</v>
      </c>
      <c r="H37" s="126"/>
      <c r="L37" s="22"/>
      <c r="M37" s="22"/>
      <c r="N37" s="22"/>
      <c r="O37" s="22"/>
      <c r="P37" s="22"/>
      <c r="Q37" s="22"/>
      <c r="R37" s="24"/>
    </row>
    <row r="38" spans="1:18" s="23" customFormat="1" ht="63">
      <c r="A38" s="21"/>
      <c r="B38" s="127" t="s">
        <v>26</v>
      </c>
      <c r="C38" s="109" t="s">
        <v>6</v>
      </c>
      <c r="D38" s="108" t="s">
        <v>11</v>
      </c>
      <c r="E38" s="108" t="s">
        <v>13</v>
      </c>
      <c r="F38" s="108" t="s">
        <v>39</v>
      </c>
      <c r="G38" s="108" t="s">
        <v>27</v>
      </c>
      <c r="H38" s="126"/>
      <c r="L38" s="22"/>
      <c r="M38" s="22"/>
      <c r="N38" s="22"/>
      <c r="O38" s="22"/>
      <c r="P38" s="22"/>
      <c r="Q38" s="22"/>
      <c r="R38" s="24"/>
    </row>
    <row r="39" spans="1:18" s="16" customFormat="1" ht="31.5">
      <c r="A39" s="14"/>
      <c r="B39" s="127" t="s">
        <v>42</v>
      </c>
      <c r="C39" s="109" t="s">
        <v>6</v>
      </c>
      <c r="D39" s="108" t="s">
        <v>11</v>
      </c>
      <c r="E39" s="108" t="s">
        <v>13</v>
      </c>
      <c r="F39" s="108" t="s">
        <v>43</v>
      </c>
      <c r="G39" s="108" t="s">
        <v>9</v>
      </c>
      <c r="H39" s="126">
        <f>H44+H40</f>
        <v>0</v>
      </c>
      <c r="L39" s="20">
        <v>1593.55</v>
      </c>
      <c r="M39" s="20">
        <v>1593.55</v>
      </c>
      <c r="N39" s="20">
        <v>1593.55</v>
      </c>
      <c r="O39" s="20">
        <f>H39-L39</f>
        <v>-1593.55</v>
      </c>
      <c r="P39" s="20" t="e">
        <f>#REF!-M39</f>
        <v>#REF!</v>
      </c>
      <c r="Q39" s="20" t="e">
        <f>#REF!-N39</f>
        <v>#REF!</v>
      </c>
      <c r="R39" s="17" t="str">
        <f t="shared" si="1"/>
        <v>70 2 00 00000000</v>
      </c>
    </row>
    <row r="40" spans="1:18" s="16" customFormat="1" ht="31.5">
      <c r="A40" s="14"/>
      <c r="B40" s="125" t="s">
        <v>18</v>
      </c>
      <c r="C40" s="109" t="s">
        <v>6</v>
      </c>
      <c r="D40" s="108" t="s">
        <v>11</v>
      </c>
      <c r="E40" s="108" t="s">
        <v>13</v>
      </c>
      <c r="F40" s="108" t="s">
        <v>44</v>
      </c>
      <c r="G40" s="108" t="s">
        <v>9</v>
      </c>
      <c r="H40" s="126">
        <f>H41</f>
        <v>0</v>
      </c>
      <c r="L40" s="20">
        <v>41.55</v>
      </c>
      <c r="M40" s="20">
        <v>41.55</v>
      </c>
      <c r="N40" s="20">
        <v>41.55</v>
      </c>
      <c r="O40" s="20">
        <f>H40-L40</f>
        <v>-41.55</v>
      </c>
      <c r="P40" s="20" t="e">
        <f>#REF!-M40</f>
        <v>#REF!</v>
      </c>
      <c r="Q40" s="20" t="e">
        <f>#REF!-N40</f>
        <v>#REF!</v>
      </c>
      <c r="R40" s="17" t="str">
        <f t="shared" si="1"/>
        <v>70 2 00 10010000</v>
      </c>
    </row>
    <row r="41" spans="1:18" s="16" customFormat="1" ht="31.5">
      <c r="A41" s="14"/>
      <c r="B41" s="127" t="s">
        <v>20</v>
      </c>
      <c r="C41" s="109" t="s">
        <v>6</v>
      </c>
      <c r="D41" s="108" t="s">
        <v>11</v>
      </c>
      <c r="E41" s="108" t="s">
        <v>13</v>
      </c>
      <c r="F41" s="108" t="s">
        <v>44</v>
      </c>
      <c r="G41" s="108" t="s">
        <v>21</v>
      </c>
      <c r="H41" s="126">
        <f>SUM(H42:H43)</f>
        <v>0</v>
      </c>
      <c r="L41" s="20">
        <v>41.55</v>
      </c>
      <c r="M41" s="20">
        <v>41.55</v>
      </c>
      <c r="N41" s="20">
        <v>41.55</v>
      </c>
      <c r="O41" s="20">
        <f>H41-L41</f>
        <v>-41.55</v>
      </c>
      <c r="P41" s="20" t="e">
        <f>#REF!-M41</f>
        <v>#REF!</v>
      </c>
      <c r="Q41" s="20" t="e">
        <f>#REF!-N41</f>
        <v>#REF!</v>
      </c>
      <c r="R41" s="17" t="str">
        <f t="shared" si="1"/>
        <v>70 2 00 10010120</v>
      </c>
    </row>
    <row r="42" spans="1:18" s="23" customFormat="1" ht="47.25">
      <c r="A42" s="21"/>
      <c r="B42" s="127" t="s">
        <v>22</v>
      </c>
      <c r="C42" s="109" t="s">
        <v>6</v>
      </c>
      <c r="D42" s="108" t="s">
        <v>11</v>
      </c>
      <c r="E42" s="108" t="s">
        <v>13</v>
      </c>
      <c r="F42" s="108" t="s">
        <v>44</v>
      </c>
      <c r="G42" s="108" t="s">
        <v>23</v>
      </c>
      <c r="H42" s="128"/>
      <c r="L42" s="22"/>
      <c r="M42" s="22"/>
      <c r="N42" s="22"/>
      <c r="O42" s="22"/>
      <c r="P42" s="22"/>
      <c r="Q42" s="22"/>
      <c r="R42" s="24"/>
    </row>
    <row r="43" spans="1:18" s="23" customFormat="1" ht="63">
      <c r="A43" s="21"/>
      <c r="B43" s="127" t="s">
        <v>26</v>
      </c>
      <c r="C43" s="109" t="s">
        <v>6</v>
      </c>
      <c r="D43" s="108" t="s">
        <v>11</v>
      </c>
      <c r="E43" s="108" t="s">
        <v>13</v>
      </c>
      <c r="F43" s="108" t="s">
        <v>44</v>
      </c>
      <c r="G43" s="108" t="s">
        <v>27</v>
      </c>
      <c r="H43" s="128"/>
      <c r="L43" s="22"/>
      <c r="M43" s="22"/>
      <c r="N43" s="22"/>
      <c r="O43" s="22"/>
      <c r="P43" s="22"/>
      <c r="Q43" s="22"/>
      <c r="R43" s="24"/>
    </row>
    <row r="44" spans="1:18" s="16" customFormat="1" ht="31.5">
      <c r="A44" s="14"/>
      <c r="B44" s="127" t="s">
        <v>38</v>
      </c>
      <c r="C44" s="109" t="s">
        <v>6</v>
      </c>
      <c r="D44" s="108" t="s">
        <v>11</v>
      </c>
      <c r="E44" s="108" t="s">
        <v>13</v>
      </c>
      <c r="F44" s="108" t="s">
        <v>45</v>
      </c>
      <c r="G44" s="108" t="s">
        <v>9</v>
      </c>
      <c r="H44" s="126">
        <f>H45</f>
        <v>0</v>
      </c>
      <c r="L44" s="20">
        <v>1552</v>
      </c>
      <c r="M44" s="20">
        <v>1552</v>
      </c>
      <c r="N44" s="20">
        <v>1552</v>
      </c>
      <c r="O44" s="20">
        <f>H44-L44</f>
        <v>-1552</v>
      </c>
      <c r="P44" s="20" t="e">
        <f>#REF!-M44</f>
        <v>#REF!</v>
      </c>
      <c r="Q44" s="20" t="e">
        <f>#REF!-N44</f>
        <v>#REF!</v>
      </c>
      <c r="R44" s="17" t="str">
        <f t="shared" si="1"/>
        <v>70 2 00 10020000</v>
      </c>
    </row>
    <row r="45" spans="1:18" s="16" customFormat="1" ht="31.5">
      <c r="A45" s="14"/>
      <c r="B45" s="127" t="s">
        <v>20</v>
      </c>
      <c r="C45" s="109" t="s">
        <v>6</v>
      </c>
      <c r="D45" s="108" t="s">
        <v>11</v>
      </c>
      <c r="E45" s="108" t="s">
        <v>13</v>
      </c>
      <c r="F45" s="108" t="s">
        <v>45</v>
      </c>
      <c r="G45" s="108" t="s">
        <v>21</v>
      </c>
      <c r="H45" s="126">
        <f>SUM(H46:H47)</f>
        <v>0</v>
      </c>
      <c r="L45" s="20">
        <v>1552</v>
      </c>
      <c r="M45" s="20">
        <v>1552</v>
      </c>
      <c r="N45" s="20">
        <v>1552</v>
      </c>
      <c r="O45" s="20">
        <f>H45-L45</f>
        <v>-1552</v>
      </c>
      <c r="P45" s="20" t="e">
        <f>#REF!-M45</f>
        <v>#REF!</v>
      </c>
      <c r="Q45" s="20" t="e">
        <f>#REF!-N45</f>
        <v>#REF!</v>
      </c>
      <c r="R45" s="17" t="str">
        <f t="shared" si="1"/>
        <v>70 2 00 10020120</v>
      </c>
    </row>
    <row r="46" spans="1:18" s="16" customFormat="1" ht="31.5">
      <c r="A46" s="14"/>
      <c r="B46" s="125" t="s">
        <v>40</v>
      </c>
      <c r="C46" s="109" t="s">
        <v>6</v>
      </c>
      <c r="D46" s="108" t="s">
        <v>11</v>
      </c>
      <c r="E46" s="108" t="s">
        <v>13</v>
      </c>
      <c r="F46" s="108" t="s">
        <v>45</v>
      </c>
      <c r="G46" s="108" t="s">
        <v>41</v>
      </c>
      <c r="H46" s="128"/>
      <c r="L46" s="20"/>
      <c r="M46" s="20"/>
      <c r="N46" s="20"/>
      <c r="O46" s="20"/>
      <c r="P46" s="20"/>
      <c r="Q46" s="20"/>
      <c r="R46" s="17"/>
    </row>
    <row r="47" spans="1:18" s="16" customFormat="1" ht="63">
      <c r="A47" s="14"/>
      <c r="B47" s="125" t="s">
        <v>26</v>
      </c>
      <c r="C47" s="109" t="s">
        <v>6</v>
      </c>
      <c r="D47" s="108" t="s">
        <v>11</v>
      </c>
      <c r="E47" s="108" t="s">
        <v>13</v>
      </c>
      <c r="F47" s="108" t="s">
        <v>45</v>
      </c>
      <c r="G47" s="108" t="s">
        <v>27</v>
      </c>
      <c r="H47" s="128"/>
      <c r="L47" s="20"/>
      <c r="M47" s="20"/>
      <c r="N47" s="20"/>
      <c r="O47" s="20"/>
      <c r="P47" s="20"/>
      <c r="Q47" s="20"/>
      <c r="R47" s="17"/>
    </row>
    <row r="48" spans="1:18" s="16" customFormat="1" ht="31.5">
      <c r="A48" s="14"/>
      <c r="B48" s="127" t="s">
        <v>46</v>
      </c>
      <c r="C48" s="109" t="s">
        <v>6</v>
      </c>
      <c r="D48" s="108" t="s">
        <v>11</v>
      </c>
      <c r="E48" s="108" t="s">
        <v>13</v>
      </c>
      <c r="F48" s="108" t="s">
        <v>47</v>
      </c>
      <c r="G48" s="108" t="s">
        <v>9</v>
      </c>
      <c r="H48" s="126">
        <f>H53+H49</f>
        <v>0</v>
      </c>
      <c r="L48" s="20">
        <v>2511.77</v>
      </c>
      <c r="M48" s="20">
        <v>2511.77</v>
      </c>
      <c r="N48" s="20">
        <v>2511.77</v>
      </c>
      <c r="O48" s="20">
        <f>H48-L48</f>
        <v>-2511.77</v>
      </c>
      <c r="P48" s="20" t="e">
        <f>#REF!-M48</f>
        <v>#REF!</v>
      </c>
      <c r="Q48" s="20" t="e">
        <f>#REF!-N48</f>
        <v>#REF!</v>
      </c>
      <c r="R48" s="17" t="str">
        <f t="shared" si="1"/>
        <v>70 3 00 00000000</v>
      </c>
    </row>
    <row r="49" spans="1:18" s="16" customFormat="1" ht="31.5">
      <c r="A49" s="14"/>
      <c r="B49" s="125" t="s">
        <v>18</v>
      </c>
      <c r="C49" s="109" t="s">
        <v>6</v>
      </c>
      <c r="D49" s="108" t="s">
        <v>11</v>
      </c>
      <c r="E49" s="108" t="s">
        <v>13</v>
      </c>
      <c r="F49" s="108" t="s">
        <v>48</v>
      </c>
      <c r="G49" s="108" t="s">
        <v>9</v>
      </c>
      <c r="H49" s="126">
        <f>H50</f>
        <v>0</v>
      </c>
      <c r="L49" s="20">
        <v>83.11</v>
      </c>
      <c r="M49" s="20">
        <v>83.11</v>
      </c>
      <c r="N49" s="20">
        <v>83.11</v>
      </c>
      <c r="O49" s="20">
        <f>H49-L49</f>
        <v>-83.11</v>
      </c>
      <c r="P49" s="20" t="e">
        <f>#REF!-M49</f>
        <v>#REF!</v>
      </c>
      <c r="Q49" s="20" t="e">
        <f>#REF!-N49</f>
        <v>#REF!</v>
      </c>
      <c r="R49" s="17" t="str">
        <f t="shared" si="1"/>
        <v>70 3 00 10010000</v>
      </c>
    </row>
    <row r="50" spans="1:18" s="16" customFormat="1" ht="31.5">
      <c r="A50" s="14"/>
      <c r="B50" s="127" t="s">
        <v>20</v>
      </c>
      <c r="C50" s="109" t="s">
        <v>6</v>
      </c>
      <c r="D50" s="108" t="s">
        <v>11</v>
      </c>
      <c r="E50" s="108" t="s">
        <v>13</v>
      </c>
      <c r="F50" s="108" t="s">
        <v>48</v>
      </c>
      <c r="G50" s="108" t="s">
        <v>21</v>
      </c>
      <c r="H50" s="126">
        <f>SUM(H51:H52)</f>
        <v>0</v>
      </c>
      <c r="L50" s="20">
        <v>83.11</v>
      </c>
      <c r="M50" s="20">
        <v>83.11</v>
      </c>
      <c r="N50" s="20">
        <v>83.11</v>
      </c>
      <c r="O50" s="20">
        <f>H50-L50</f>
        <v>-83.11</v>
      </c>
      <c r="P50" s="20" t="e">
        <f>#REF!-M50</f>
        <v>#REF!</v>
      </c>
      <c r="Q50" s="20" t="e">
        <f>#REF!-N50</f>
        <v>#REF!</v>
      </c>
      <c r="R50" s="17" t="str">
        <f t="shared" si="1"/>
        <v>70 3 00 10010120</v>
      </c>
    </row>
    <row r="51" spans="1:18" s="16" customFormat="1" ht="47.25">
      <c r="A51" s="14"/>
      <c r="B51" s="127" t="s">
        <v>22</v>
      </c>
      <c r="C51" s="109" t="s">
        <v>6</v>
      </c>
      <c r="D51" s="108" t="s">
        <v>11</v>
      </c>
      <c r="E51" s="108" t="s">
        <v>13</v>
      </c>
      <c r="F51" s="108" t="s">
        <v>48</v>
      </c>
      <c r="G51" s="108" t="s">
        <v>23</v>
      </c>
      <c r="H51" s="128"/>
      <c r="L51" s="20"/>
      <c r="M51" s="20"/>
      <c r="N51" s="20"/>
      <c r="O51" s="20"/>
      <c r="P51" s="20"/>
      <c r="Q51" s="20"/>
      <c r="R51" s="17"/>
    </row>
    <row r="52" spans="1:18" s="16" customFormat="1" ht="63">
      <c r="A52" s="14"/>
      <c r="B52" s="127" t="s">
        <v>26</v>
      </c>
      <c r="C52" s="109" t="s">
        <v>6</v>
      </c>
      <c r="D52" s="108" t="s">
        <v>11</v>
      </c>
      <c r="E52" s="108" t="s">
        <v>13</v>
      </c>
      <c r="F52" s="108" t="s">
        <v>48</v>
      </c>
      <c r="G52" s="108" t="s">
        <v>27</v>
      </c>
      <c r="H52" s="128"/>
      <c r="L52" s="20"/>
      <c r="M52" s="20"/>
      <c r="N52" s="20"/>
      <c r="O52" s="20"/>
      <c r="P52" s="20"/>
      <c r="Q52" s="20"/>
      <c r="R52" s="17"/>
    </row>
    <row r="53" spans="1:18" s="16" customFormat="1" ht="31.5">
      <c r="A53" s="14"/>
      <c r="B53" s="127" t="s">
        <v>38</v>
      </c>
      <c r="C53" s="109" t="s">
        <v>6</v>
      </c>
      <c r="D53" s="108" t="s">
        <v>11</v>
      </c>
      <c r="E53" s="108" t="s">
        <v>13</v>
      </c>
      <c r="F53" s="108" t="s">
        <v>49</v>
      </c>
      <c r="G53" s="108" t="s">
        <v>9</v>
      </c>
      <c r="H53" s="126">
        <f>H54</f>
        <v>0</v>
      </c>
      <c r="L53" s="20">
        <v>2428.66</v>
      </c>
      <c r="M53" s="20">
        <v>2428.66</v>
      </c>
      <c r="N53" s="20">
        <v>2428.66</v>
      </c>
      <c r="O53" s="20">
        <f>H53-L53</f>
        <v>-2428.66</v>
      </c>
      <c r="P53" s="20" t="e">
        <f>#REF!-M53</f>
        <v>#REF!</v>
      </c>
      <c r="Q53" s="20" t="e">
        <f>#REF!-N53</f>
        <v>#REF!</v>
      </c>
      <c r="R53" s="17" t="str">
        <f t="shared" si="1"/>
        <v>70 3 00 10020000</v>
      </c>
    </row>
    <row r="54" spans="1:18" s="16" customFormat="1" ht="31.5">
      <c r="A54" s="14"/>
      <c r="B54" s="127" t="s">
        <v>20</v>
      </c>
      <c r="C54" s="109" t="s">
        <v>6</v>
      </c>
      <c r="D54" s="108" t="s">
        <v>11</v>
      </c>
      <c r="E54" s="108" t="s">
        <v>13</v>
      </c>
      <c r="F54" s="108" t="s">
        <v>49</v>
      </c>
      <c r="G54" s="108" t="s">
        <v>21</v>
      </c>
      <c r="H54" s="126">
        <f>SUM(H55:H56)</f>
        <v>0</v>
      </c>
      <c r="L54" s="20">
        <v>2428.66</v>
      </c>
      <c r="M54" s="20">
        <v>2428.66</v>
      </c>
      <c r="N54" s="20">
        <v>2428.66</v>
      </c>
      <c r="O54" s="20">
        <f>H54-L54</f>
        <v>-2428.66</v>
      </c>
      <c r="P54" s="20" t="e">
        <f>#REF!-M54</f>
        <v>#REF!</v>
      </c>
      <c r="Q54" s="20" t="e">
        <f>#REF!-N54</f>
        <v>#REF!</v>
      </c>
      <c r="R54" s="17" t="str">
        <f t="shared" si="1"/>
        <v>70 3 00 10020120</v>
      </c>
    </row>
    <row r="55" spans="1:18" s="16" customFormat="1" ht="31.5">
      <c r="A55" s="14"/>
      <c r="B55" s="127" t="s">
        <v>40</v>
      </c>
      <c r="C55" s="109" t="s">
        <v>6</v>
      </c>
      <c r="D55" s="108" t="s">
        <v>11</v>
      </c>
      <c r="E55" s="108" t="s">
        <v>13</v>
      </c>
      <c r="F55" s="108" t="s">
        <v>49</v>
      </c>
      <c r="G55" s="108" t="s">
        <v>41</v>
      </c>
      <c r="H55" s="128"/>
      <c r="L55" s="20"/>
      <c r="M55" s="20"/>
      <c r="N55" s="20"/>
      <c r="O55" s="20"/>
      <c r="P55" s="20"/>
      <c r="Q55" s="20"/>
      <c r="R55" s="17"/>
    </row>
    <row r="56" spans="1:18" s="16" customFormat="1" ht="63">
      <c r="A56" s="14"/>
      <c r="B56" s="127" t="s">
        <v>26</v>
      </c>
      <c r="C56" s="109" t="s">
        <v>6</v>
      </c>
      <c r="D56" s="108" t="s">
        <v>11</v>
      </c>
      <c r="E56" s="108" t="s">
        <v>13</v>
      </c>
      <c r="F56" s="108" t="s">
        <v>49</v>
      </c>
      <c r="G56" s="108" t="s">
        <v>27</v>
      </c>
      <c r="H56" s="128"/>
      <c r="L56" s="20"/>
      <c r="M56" s="20"/>
      <c r="N56" s="20"/>
      <c r="O56" s="20"/>
      <c r="P56" s="20"/>
      <c r="Q56" s="20"/>
      <c r="R56" s="17"/>
    </row>
    <row r="57" spans="1:18" s="16" customFormat="1" ht="15.75">
      <c r="A57" s="14"/>
      <c r="B57" s="121" t="s">
        <v>50</v>
      </c>
      <c r="C57" s="122" t="s">
        <v>6</v>
      </c>
      <c r="D57" s="123" t="s">
        <v>11</v>
      </c>
      <c r="E57" s="123" t="s">
        <v>51</v>
      </c>
      <c r="F57" s="123" t="s">
        <v>8</v>
      </c>
      <c r="G57" s="123" t="s">
        <v>9</v>
      </c>
      <c r="H57" s="124">
        <f t="shared" ref="H57" si="2">H58</f>
        <v>0</v>
      </c>
      <c r="L57" s="19">
        <v>500</v>
      </c>
      <c r="M57" s="19">
        <v>500</v>
      </c>
      <c r="N57" s="19">
        <v>500</v>
      </c>
      <c r="O57" s="19">
        <f>H57-L57</f>
        <v>-500</v>
      </c>
      <c r="P57" s="19" t="e">
        <f>#REF!-M57</f>
        <v>#REF!</v>
      </c>
      <c r="Q57" s="19" t="e">
        <f>#REF!-N57</f>
        <v>#REF!</v>
      </c>
      <c r="R57" s="17" t="str">
        <f t="shared" si="1"/>
        <v>00 0 00 00000000</v>
      </c>
    </row>
    <row r="58" spans="1:18" s="16" customFormat="1" ht="31.5">
      <c r="A58" s="14"/>
      <c r="B58" s="125" t="s">
        <v>14</v>
      </c>
      <c r="C58" s="109" t="s">
        <v>6</v>
      </c>
      <c r="D58" s="108" t="s">
        <v>11</v>
      </c>
      <c r="E58" s="108" t="s">
        <v>51</v>
      </c>
      <c r="F58" s="108" t="s">
        <v>15</v>
      </c>
      <c r="G58" s="108" t="s">
        <v>9</v>
      </c>
      <c r="H58" s="126">
        <f>H59</f>
        <v>0</v>
      </c>
      <c r="L58" s="20">
        <v>500</v>
      </c>
      <c r="M58" s="20">
        <v>500</v>
      </c>
      <c r="N58" s="20">
        <v>500</v>
      </c>
      <c r="O58" s="20">
        <f>H58-L58</f>
        <v>-500</v>
      </c>
      <c r="P58" s="20" t="e">
        <f>#REF!-M58</f>
        <v>#REF!</v>
      </c>
      <c r="Q58" s="20" t="e">
        <f>#REF!-N58</f>
        <v>#REF!</v>
      </c>
      <c r="R58" s="17" t="str">
        <f t="shared" si="1"/>
        <v>70 0 00 00000000</v>
      </c>
    </row>
    <row r="59" spans="1:18" s="16" customFormat="1" ht="15.75">
      <c r="A59" s="14"/>
      <c r="B59" s="125" t="s">
        <v>52</v>
      </c>
      <c r="C59" s="109" t="s">
        <v>6</v>
      </c>
      <c r="D59" s="108" t="s">
        <v>11</v>
      </c>
      <c r="E59" s="108" t="s">
        <v>51</v>
      </c>
      <c r="F59" s="108" t="s">
        <v>53</v>
      </c>
      <c r="G59" s="108" t="s">
        <v>9</v>
      </c>
      <c r="H59" s="126">
        <f>H60</f>
        <v>0</v>
      </c>
      <c r="L59" s="20">
        <v>500</v>
      </c>
      <c r="M59" s="20">
        <v>500</v>
      </c>
      <c r="N59" s="20">
        <v>500</v>
      </c>
      <c r="O59" s="20">
        <f>H59-L59</f>
        <v>-500</v>
      </c>
      <c r="P59" s="20" t="e">
        <f>#REF!-M59</f>
        <v>#REF!</v>
      </c>
      <c r="Q59" s="20" t="e">
        <f>#REF!-N59</f>
        <v>#REF!</v>
      </c>
      <c r="R59" s="17" t="str">
        <f t="shared" si="1"/>
        <v>70 4 00 00000000</v>
      </c>
    </row>
    <row r="60" spans="1:18" s="16" customFormat="1" ht="94.5">
      <c r="A60" s="14"/>
      <c r="B60" s="129" t="s">
        <v>54</v>
      </c>
      <c r="C60" s="109" t="s">
        <v>6</v>
      </c>
      <c r="D60" s="108" t="s">
        <v>11</v>
      </c>
      <c r="E60" s="108" t="s">
        <v>51</v>
      </c>
      <c r="F60" s="108" t="s">
        <v>55</v>
      </c>
      <c r="G60" s="108" t="s">
        <v>9</v>
      </c>
      <c r="H60" s="126">
        <f t="shared" ref="H60" si="3">H61</f>
        <v>0</v>
      </c>
      <c r="L60" s="20">
        <v>500</v>
      </c>
      <c r="M60" s="20">
        <v>500</v>
      </c>
      <c r="N60" s="20">
        <v>500</v>
      </c>
      <c r="O60" s="20">
        <f>H60-L60</f>
        <v>-500</v>
      </c>
      <c r="P60" s="20" t="e">
        <f>#REF!-M60</f>
        <v>#REF!</v>
      </c>
      <c r="Q60" s="20" t="e">
        <f>#REF!-N60</f>
        <v>#REF!</v>
      </c>
      <c r="R60" s="17" t="str">
        <f t="shared" si="1"/>
        <v>70 4 00 20090000</v>
      </c>
    </row>
    <row r="61" spans="1:18" s="16" customFormat="1" ht="31.5">
      <c r="A61" s="14"/>
      <c r="B61" s="125" t="s">
        <v>28</v>
      </c>
      <c r="C61" s="109" t="s">
        <v>6</v>
      </c>
      <c r="D61" s="108" t="s">
        <v>11</v>
      </c>
      <c r="E61" s="108" t="s">
        <v>51</v>
      </c>
      <c r="F61" s="108" t="s">
        <v>55</v>
      </c>
      <c r="G61" s="108" t="s">
        <v>29</v>
      </c>
      <c r="H61" s="126">
        <f>H62</f>
        <v>0</v>
      </c>
      <c r="L61" s="20">
        <v>500</v>
      </c>
      <c r="M61" s="20">
        <v>500</v>
      </c>
      <c r="N61" s="20">
        <v>500</v>
      </c>
      <c r="O61" s="20">
        <f>H61-L61</f>
        <v>-500</v>
      </c>
      <c r="P61" s="20" t="e">
        <f>#REF!-M61</f>
        <v>#REF!</v>
      </c>
      <c r="Q61" s="20" t="e">
        <f>#REF!-N61</f>
        <v>#REF!</v>
      </c>
      <c r="R61" s="17" t="str">
        <f t="shared" si="1"/>
        <v>70 4 00 20090240</v>
      </c>
    </row>
    <row r="62" spans="1:18" s="16" customFormat="1" ht="15.75">
      <c r="A62" s="14"/>
      <c r="B62" s="125" t="s">
        <v>30</v>
      </c>
      <c r="C62" s="109" t="s">
        <v>6</v>
      </c>
      <c r="D62" s="108" t="s">
        <v>11</v>
      </c>
      <c r="E62" s="108" t="s">
        <v>51</v>
      </c>
      <c r="F62" s="108" t="s">
        <v>55</v>
      </c>
      <c r="G62" s="108" t="s">
        <v>31</v>
      </c>
      <c r="H62" s="126"/>
      <c r="L62" s="20"/>
      <c r="M62" s="20"/>
      <c r="N62" s="20"/>
      <c r="O62" s="20"/>
      <c r="P62" s="20"/>
      <c r="Q62" s="20"/>
      <c r="R62" s="17" t="str">
        <f t="shared" si="1"/>
        <v>70 4 00 20090244</v>
      </c>
    </row>
    <row r="63" spans="1:18" s="6" customFormat="1" ht="15.75">
      <c r="A63" s="1"/>
      <c r="B63" s="117" t="s">
        <v>56</v>
      </c>
      <c r="C63" s="118" t="s">
        <v>6</v>
      </c>
      <c r="D63" s="119" t="s">
        <v>57</v>
      </c>
      <c r="E63" s="119" t="s">
        <v>7</v>
      </c>
      <c r="F63" s="119" t="s">
        <v>8</v>
      </c>
      <c r="G63" s="119" t="s">
        <v>9</v>
      </c>
      <c r="H63" s="120">
        <f>H70+H64</f>
        <v>0</v>
      </c>
      <c r="L63" s="18">
        <v>7090.5</v>
      </c>
      <c r="M63" s="18">
        <v>7090.5</v>
      </c>
      <c r="N63" s="18">
        <v>7090.5</v>
      </c>
      <c r="O63" s="18">
        <f t="shared" ref="O63:O68" si="4">H63-L63</f>
        <v>-7090.5</v>
      </c>
      <c r="P63" s="18" t="e">
        <f>#REF!-M63</f>
        <v>#REF!</v>
      </c>
      <c r="Q63" s="18" t="e">
        <f>#REF!-N63</f>
        <v>#REF!</v>
      </c>
      <c r="R63" s="17" t="str">
        <f t="shared" si="1"/>
        <v>00 0 00 00000000</v>
      </c>
    </row>
    <row r="64" spans="1:18" s="6" customFormat="1" ht="15.75">
      <c r="A64" s="1"/>
      <c r="B64" s="121" t="s">
        <v>58</v>
      </c>
      <c r="C64" s="122" t="s">
        <v>6</v>
      </c>
      <c r="D64" s="123" t="s">
        <v>57</v>
      </c>
      <c r="E64" s="123" t="s">
        <v>11</v>
      </c>
      <c r="F64" s="123" t="s">
        <v>8</v>
      </c>
      <c r="G64" s="123" t="s">
        <v>9</v>
      </c>
      <c r="H64" s="124">
        <f>H65</f>
        <v>0</v>
      </c>
      <c r="L64" s="19">
        <v>5090.5</v>
      </c>
      <c r="M64" s="19">
        <v>5090.5</v>
      </c>
      <c r="N64" s="19">
        <v>5090.5</v>
      </c>
      <c r="O64" s="19">
        <f t="shared" si="4"/>
        <v>-5090.5</v>
      </c>
      <c r="P64" s="19" t="e">
        <f>#REF!-M64</f>
        <v>#REF!</v>
      </c>
      <c r="Q64" s="19" t="e">
        <f>#REF!-N64</f>
        <v>#REF!</v>
      </c>
      <c r="R64" s="17" t="str">
        <f t="shared" si="1"/>
        <v>00 0 00 00000000</v>
      </c>
    </row>
    <row r="65" spans="1:18" s="16" customFormat="1" ht="31.5">
      <c r="A65" s="14"/>
      <c r="B65" s="125" t="s">
        <v>14</v>
      </c>
      <c r="C65" s="109" t="s">
        <v>6</v>
      </c>
      <c r="D65" s="108" t="s">
        <v>57</v>
      </c>
      <c r="E65" s="108" t="s">
        <v>11</v>
      </c>
      <c r="F65" s="108" t="s">
        <v>15</v>
      </c>
      <c r="G65" s="108" t="s">
        <v>9</v>
      </c>
      <c r="H65" s="126">
        <f>H66</f>
        <v>0</v>
      </c>
      <c r="L65" s="20">
        <v>5090.5</v>
      </c>
      <c r="M65" s="20">
        <v>5090.5</v>
      </c>
      <c r="N65" s="20">
        <v>5090.5</v>
      </c>
      <c r="O65" s="20">
        <f t="shared" si="4"/>
        <v>-5090.5</v>
      </c>
      <c r="P65" s="20" t="e">
        <f>#REF!-M65</f>
        <v>#REF!</v>
      </c>
      <c r="Q65" s="20" t="e">
        <f>#REF!-N65</f>
        <v>#REF!</v>
      </c>
      <c r="R65" s="17" t="str">
        <f t="shared" si="1"/>
        <v>70 0 00 00000000</v>
      </c>
    </row>
    <row r="66" spans="1:18" s="16" customFormat="1" ht="15.75">
      <c r="A66" s="14"/>
      <c r="B66" s="125" t="s">
        <v>52</v>
      </c>
      <c r="C66" s="109" t="s">
        <v>6</v>
      </c>
      <c r="D66" s="108" t="s">
        <v>57</v>
      </c>
      <c r="E66" s="108" t="s">
        <v>11</v>
      </c>
      <c r="F66" s="108" t="s">
        <v>53</v>
      </c>
      <c r="G66" s="108" t="s">
        <v>9</v>
      </c>
      <c r="H66" s="126">
        <f t="shared" ref="H66:H67" si="5">H67</f>
        <v>0</v>
      </c>
      <c r="L66" s="20">
        <v>5090.5</v>
      </c>
      <c r="M66" s="20">
        <v>5090.5</v>
      </c>
      <c r="N66" s="20">
        <v>5090.5</v>
      </c>
      <c r="O66" s="20">
        <f t="shared" si="4"/>
        <v>-5090.5</v>
      </c>
      <c r="P66" s="20" t="e">
        <f>#REF!-M66</f>
        <v>#REF!</v>
      </c>
      <c r="Q66" s="20" t="e">
        <f>#REF!-N66</f>
        <v>#REF!</v>
      </c>
      <c r="R66" s="17" t="str">
        <f t="shared" si="1"/>
        <v>70 4 00 00000000</v>
      </c>
    </row>
    <row r="67" spans="1:18" s="16" customFormat="1" ht="31.5">
      <c r="A67" s="14"/>
      <c r="B67" s="125" t="s">
        <v>59</v>
      </c>
      <c r="C67" s="109" t="s">
        <v>6</v>
      </c>
      <c r="D67" s="108" t="s">
        <v>57</v>
      </c>
      <c r="E67" s="108" t="s">
        <v>11</v>
      </c>
      <c r="F67" s="108" t="s">
        <v>60</v>
      </c>
      <c r="G67" s="108" t="s">
        <v>9</v>
      </c>
      <c r="H67" s="126">
        <f t="shared" si="5"/>
        <v>0</v>
      </c>
      <c r="L67" s="20">
        <v>5090.5</v>
      </c>
      <c r="M67" s="20">
        <v>5090.5</v>
      </c>
      <c r="N67" s="20">
        <v>5090.5</v>
      </c>
      <c r="O67" s="20">
        <f t="shared" si="4"/>
        <v>-5090.5</v>
      </c>
      <c r="P67" s="20" t="e">
        <f>#REF!-M67</f>
        <v>#REF!</v>
      </c>
      <c r="Q67" s="20" t="e">
        <f>#REF!-N67</f>
        <v>#REF!</v>
      </c>
      <c r="R67" s="17" t="str">
        <f t="shared" si="1"/>
        <v>70 4 00 98710000</v>
      </c>
    </row>
    <row r="68" spans="1:18" s="16" customFormat="1" ht="31.5">
      <c r="A68" s="14"/>
      <c r="B68" s="125" t="s">
        <v>28</v>
      </c>
      <c r="C68" s="109" t="s">
        <v>6</v>
      </c>
      <c r="D68" s="108" t="s">
        <v>57</v>
      </c>
      <c r="E68" s="108" t="s">
        <v>11</v>
      </c>
      <c r="F68" s="108" t="s">
        <v>60</v>
      </c>
      <c r="G68" s="108" t="s">
        <v>29</v>
      </c>
      <c r="H68" s="126">
        <f>H69</f>
        <v>0</v>
      </c>
      <c r="L68" s="20">
        <v>5090.5</v>
      </c>
      <c r="M68" s="20">
        <v>5090.5</v>
      </c>
      <c r="N68" s="20">
        <v>5090.5</v>
      </c>
      <c r="O68" s="20">
        <f t="shared" si="4"/>
        <v>-5090.5</v>
      </c>
      <c r="P68" s="20" t="e">
        <f>#REF!-M68</f>
        <v>#REF!</v>
      </c>
      <c r="Q68" s="20" t="e">
        <f>#REF!-N68</f>
        <v>#REF!</v>
      </c>
      <c r="R68" s="17" t="str">
        <f t="shared" si="1"/>
        <v>70 4 00 98710240</v>
      </c>
    </row>
    <row r="69" spans="1:18" s="16" customFormat="1" ht="15.75">
      <c r="A69" s="14"/>
      <c r="B69" s="125" t="s">
        <v>30</v>
      </c>
      <c r="C69" s="109" t="s">
        <v>6</v>
      </c>
      <c r="D69" s="108" t="s">
        <v>57</v>
      </c>
      <c r="E69" s="108" t="s">
        <v>11</v>
      </c>
      <c r="F69" s="108" t="s">
        <v>60</v>
      </c>
      <c r="G69" s="108" t="s">
        <v>31</v>
      </c>
      <c r="H69" s="126"/>
      <c r="L69" s="20"/>
      <c r="M69" s="20"/>
      <c r="N69" s="20"/>
      <c r="O69" s="20"/>
      <c r="P69" s="20"/>
      <c r="Q69" s="20"/>
      <c r="R69" s="17" t="str">
        <f t="shared" si="1"/>
        <v>70 4 00 98710244</v>
      </c>
    </row>
    <row r="70" spans="1:18" s="16" customFormat="1" ht="15.75">
      <c r="A70" s="14"/>
      <c r="B70" s="121" t="s">
        <v>61</v>
      </c>
      <c r="C70" s="122" t="s">
        <v>6</v>
      </c>
      <c r="D70" s="123" t="s">
        <v>57</v>
      </c>
      <c r="E70" s="123" t="s">
        <v>62</v>
      </c>
      <c r="F70" s="123" t="s">
        <v>8</v>
      </c>
      <c r="G70" s="123" t="s">
        <v>9</v>
      </c>
      <c r="H70" s="124">
        <f t="shared" ref="H70" si="6">H71</f>
        <v>0</v>
      </c>
      <c r="L70" s="19">
        <v>2000</v>
      </c>
      <c r="M70" s="19">
        <v>2000</v>
      </c>
      <c r="N70" s="19">
        <v>2000</v>
      </c>
      <c r="O70" s="19">
        <f>H70-L70</f>
        <v>-2000</v>
      </c>
      <c r="P70" s="19" t="e">
        <f>#REF!-M70</f>
        <v>#REF!</v>
      </c>
      <c r="Q70" s="19" t="e">
        <f>#REF!-N70</f>
        <v>#REF!</v>
      </c>
      <c r="R70" s="17" t="str">
        <f t="shared" si="1"/>
        <v>00 0 00 00000000</v>
      </c>
    </row>
    <row r="71" spans="1:18" s="16" customFormat="1" ht="31.5">
      <c r="A71" s="14"/>
      <c r="B71" s="125" t="s">
        <v>14</v>
      </c>
      <c r="C71" s="109" t="s">
        <v>6</v>
      </c>
      <c r="D71" s="108" t="s">
        <v>57</v>
      </c>
      <c r="E71" s="108" t="s">
        <v>62</v>
      </c>
      <c r="F71" s="108" t="s">
        <v>15</v>
      </c>
      <c r="G71" s="108" t="s">
        <v>9</v>
      </c>
      <c r="H71" s="126">
        <f>H72</f>
        <v>0</v>
      </c>
      <c r="L71" s="20">
        <v>2000</v>
      </c>
      <c r="M71" s="20">
        <v>2000</v>
      </c>
      <c r="N71" s="20">
        <v>2000</v>
      </c>
      <c r="O71" s="20">
        <f>H71-L71</f>
        <v>-2000</v>
      </c>
      <c r="P71" s="20" t="e">
        <f>#REF!-M71</f>
        <v>#REF!</v>
      </c>
      <c r="Q71" s="20" t="e">
        <f>#REF!-N71</f>
        <v>#REF!</v>
      </c>
      <c r="R71" s="17" t="str">
        <f t="shared" si="1"/>
        <v>70 0 00 00000000</v>
      </c>
    </row>
    <row r="72" spans="1:18" s="16" customFormat="1" ht="15.75">
      <c r="A72" s="14"/>
      <c r="B72" s="125" t="s">
        <v>52</v>
      </c>
      <c r="C72" s="109" t="s">
        <v>6</v>
      </c>
      <c r="D72" s="108" t="s">
        <v>57</v>
      </c>
      <c r="E72" s="108" t="s">
        <v>62</v>
      </c>
      <c r="F72" s="108" t="s">
        <v>53</v>
      </c>
      <c r="G72" s="108" t="s">
        <v>9</v>
      </c>
      <c r="H72" s="126">
        <f>H73</f>
        <v>0</v>
      </c>
      <c r="L72" s="20">
        <v>2000</v>
      </c>
      <c r="M72" s="20">
        <v>2000</v>
      </c>
      <c r="N72" s="20">
        <v>2000</v>
      </c>
      <c r="O72" s="20">
        <f>H72-L72</f>
        <v>-2000</v>
      </c>
      <c r="P72" s="20" t="e">
        <f>#REF!-M72</f>
        <v>#REF!</v>
      </c>
      <c r="Q72" s="20" t="e">
        <f>#REF!-N72</f>
        <v>#REF!</v>
      </c>
      <c r="R72" s="17" t="str">
        <f t="shared" si="1"/>
        <v>70 4 00 00000000</v>
      </c>
    </row>
    <row r="73" spans="1:18" s="16" customFormat="1" ht="31.5">
      <c r="A73" s="14"/>
      <c r="B73" s="125" t="s">
        <v>59</v>
      </c>
      <c r="C73" s="109" t="s">
        <v>6</v>
      </c>
      <c r="D73" s="108" t="s">
        <v>57</v>
      </c>
      <c r="E73" s="108" t="s">
        <v>62</v>
      </c>
      <c r="F73" s="108" t="s">
        <v>60</v>
      </c>
      <c r="G73" s="108" t="s">
        <v>9</v>
      </c>
      <c r="H73" s="126">
        <f>H74</f>
        <v>0</v>
      </c>
      <c r="L73" s="20">
        <v>2000</v>
      </c>
      <c r="M73" s="20">
        <v>2000</v>
      </c>
      <c r="N73" s="20">
        <v>2000</v>
      </c>
      <c r="O73" s="20">
        <f>H73-L73</f>
        <v>-2000</v>
      </c>
      <c r="P73" s="20" t="e">
        <f>#REF!-M73</f>
        <v>#REF!</v>
      </c>
      <c r="Q73" s="20" t="e">
        <f>#REF!-N73</f>
        <v>#REF!</v>
      </c>
      <c r="R73" s="17" t="str">
        <f t="shared" si="1"/>
        <v>70 4 00 98710000</v>
      </c>
    </row>
    <row r="74" spans="1:18" s="16" customFormat="1" ht="31.5">
      <c r="A74" s="14"/>
      <c r="B74" s="125" t="s">
        <v>28</v>
      </c>
      <c r="C74" s="109" t="s">
        <v>6</v>
      </c>
      <c r="D74" s="108" t="s">
        <v>57</v>
      </c>
      <c r="E74" s="108" t="s">
        <v>62</v>
      </c>
      <c r="F74" s="108" t="s">
        <v>60</v>
      </c>
      <c r="G74" s="108" t="s">
        <v>29</v>
      </c>
      <c r="H74" s="126">
        <f>H75</f>
        <v>0</v>
      </c>
      <c r="L74" s="20">
        <v>2000</v>
      </c>
      <c r="M74" s="20">
        <v>2000</v>
      </c>
      <c r="N74" s="20">
        <v>2000</v>
      </c>
      <c r="O74" s="20">
        <f>H74-L74</f>
        <v>-2000</v>
      </c>
      <c r="P74" s="20" t="e">
        <f>#REF!-M74</f>
        <v>#REF!</v>
      </c>
      <c r="Q74" s="20" t="e">
        <f>#REF!-N74</f>
        <v>#REF!</v>
      </c>
      <c r="R74" s="17" t="str">
        <f t="shared" si="1"/>
        <v>70 4 00 98710240</v>
      </c>
    </row>
    <row r="75" spans="1:18" s="16" customFormat="1" ht="15.75">
      <c r="A75" s="14"/>
      <c r="B75" s="125" t="s">
        <v>30</v>
      </c>
      <c r="C75" s="109" t="s">
        <v>6</v>
      </c>
      <c r="D75" s="108" t="s">
        <v>57</v>
      </c>
      <c r="E75" s="108" t="s">
        <v>62</v>
      </c>
      <c r="F75" s="108" t="s">
        <v>60</v>
      </c>
      <c r="G75" s="108" t="s">
        <v>31</v>
      </c>
      <c r="H75" s="126"/>
      <c r="L75" s="20"/>
      <c r="M75" s="20"/>
      <c r="N75" s="20"/>
      <c r="O75" s="20"/>
      <c r="P75" s="20"/>
      <c r="Q75" s="20"/>
      <c r="R75" s="17" t="str">
        <f t="shared" si="1"/>
        <v>70 4 00 98710244</v>
      </c>
    </row>
    <row r="76" spans="1:18" s="16" customFormat="1" ht="15.75">
      <c r="A76" s="14"/>
      <c r="B76" s="125"/>
      <c r="C76" s="109"/>
      <c r="D76" s="108"/>
      <c r="E76" s="108"/>
      <c r="F76" s="108"/>
      <c r="G76" s="108"/>
      <c r="H76" s="126"/>
      <c r="L76" s="20"/>
      <c r="M76" s="20"/>
      <c r="N76" s="20"/>
      <c r="O76" s="20">
        <f t="shared" ref="O76:O83" si="7">H76-L76</f>
        <v>0</v>
      </c>
      <c r="P76" s="20" t="e">
        <f>#REF!-M76</f>
        <v>#REF!</v>
      </c>
      <c r="Q76" s="20" t="e">
        <f>#REF!-N76</f>
        <v>#REF!</v>
      </c>
      <c r="R76" s="17" t="str">
        <f t="shared" si="1"/>
        <v/>
      </c>
    </row>
    <row r="77" spans="1:18" s="16" customFormat="1" ht="15.75">
      <c r="A77" s="14"/>
      <c r="B77" s="67" t="s">
        <v>63</v>
      </c>
      <c r="C77" s="116" t="s">
        <v>64</v>
      </c>
      <c r="D77" s="69" t="s">
        <v>7</v>
      </c>
      <c r="E77" s="69" t="s">
        <v>7</v>
      </c>
      <c r="F77" s="69" t="s">
        <v>8</v>
      </c>
      <c r="G77" s="69" t="s">
        <v>9</v>
      </c>
      <c r="H77" s="70">
        <f>H78+H225+H255+H263+H271</f>
        <v>0</v>
      </c>
      <c r="L77" s="25">
        <v>289884.67</v>
      </c>
      <c r="M77" s="25">
        <v>273496.95</v>
      </c>
      <c r="N77" s="25">
        <v>273550.05</v>
      </c>
      <c r="O77" s="25">
        <f t="shared" si="7"/>
        <v>-289884.67</v>
      </c>
      <c r="P77" s="25" t="e">
        <f>#REF!-M77</f>
        <v>#REF!</v>
      </c>
      <c r="Q77" s="25" t="e">
        <f>#REF!-N77</f>
        <v>#REF!</v>
      </c>
      <c r="R77" s="17" t="str">
        <f t="shared" si="1"/>
        <v>00 0 00 00000000</v>
      </c>
    </row>
    <row r="78" spans="1:18" s="16" customFormat="1" ht="15.75">
      <c r="A78" s="14"/>
      <c r="B78" s="117" t="s">
        <v>10</v>
      </c>
      <c r="C78" s="118" t="s">
        <v>64</v>
      </c>
      <c r="D78" s="119" t="s">
        <v>11</v>
      </c>
      <c r="E78" s="119" t="s">
        <v>7</v>
      </c>
      <c r="F78" s="119" t="s">
        <v>8</v>
      </c>
      <c r="G78" s="119" t="s">
        <v>9</v>
      </c>
      <c r="H78" s="120">
        <f>H90+H115+H121+H79</f>
        <v>0</v>
      </c>
      <c r="L78" s="18">
        <v>255808.66999999998</v>
      </c>
      <c r="M78" s="18">
        <v>239420.95</v>
      </c>
      <c r="N78" s="18">
        <v>239474.05</v>
      </c>
      <c r="O78" s="18">
        <f t="shared" si="7"/>
        <v>-255808.66999999998</v>
      </c>
      <c r="P78" s="18" t="e">
        <f>#REF!-M78</f>
        <v>#REF!</v>
      </c>
      <c r="Q78" s="18" t="e">
        <f>#REF!-N78</f>
        <v>#REF!</v>
      </c>
      <c r="R78" s="17" t="str">
        <f t="shared" si="1"/>
        <v>00 0 00 00000000</v>
      </c>
    </row>
    <row r="79" spans="1:18" s="16" customFormat="1" ht="47.25">
      <c r="A79" s="14"/>
      <c r="B79" s="121" t="s">
        <v>65</v>
      </c>
      <c r="C79" s="122" t="s">
        <v>64</v>
      </c>
      <c r="D79" s="123" t="s">
        <v>11</v>
      </c>
      <c r="E79" s="123" t="s">
        <v>62</v>
      </c>
      <c r="F79" s="123" t="s">
        <v>8</v>
      </c>
      <c r="G79" s="123" t="s">
        <v>9</v>
      </c>
      <c r="H79" s="124">
        <f>H80</f>
        <v>0</v>
      </c>
      <c r="L79" s="19">
        <v>1593.55</v>
      </c>
      <c r="M79" s="19">
        <v>1593.55</v>
      </c>
      <c r="N79" s="19">
        <v>1593.55</v>
      </c>
      <c r="O79" s="19">
        <f t="shared" si="7"/>
        <v>-1593.55</v>
      </c>
      <c r="P79" s="19" t="e">
        <f>#REF!-M79</f>
        <v>#REF!</v>
      </c>
      <c r="Q79" s="19" t="e">
        <f>#REF!-N79</f>
        <v>#REF!</v>
      </c>
      <c r="R79" s="17" t="str">
        <f t="shared" si="1"/>
        <v>00 0 00 00000000</v>
      </c>
    </row>
    <row r="80" spans="1:18" s="16" customFormat="1" ht="31.5">
      <c r="A80" s="14"/>
      <c r="B80" s="129" t="s">
        <v>66</v>
      </c>
      <c r="C80" s="109" t="s">
        <v>64</v>
      </c>
      <c r="D80" s="108" t="s">
        <v>11</v>
      </c>
      <c r="E80" s="108" t="s">
        <v>62</v>
      </c>
      <c r="F80" s="108" t="s">
        <v>67</v>
      </c>
      <c r="G80" s="108" t="s">
        <v>9</v>
      </c>
      <c r="H80" s="126">
        <f>H81</f>
        <v>0</v>
      </c>
      <c r="L80" s="20">
        <v>1593.55</v>
      </c>
      <c r="M80" s="20">
        <v>1593.55</v>
      </c>
      <c r="N80" s="20">
        <v>1593.55</v>
      </c>
      <c r="O80" s="20">
        <f t="shared" si="7"/>
        <v>-1593.55</v>
      </c>
      <c r="P80" s="20" t="e">
        <f>#REF!-M80</f>
        <v>#REF!</v>
      </c>
      <c r="Q80" s="20" t="e">
        <f>#REF!-N80</f>
        <v>#REF!</v>
      </c>
      <c r="R80" s="17" t="str">
        <f t="shared" si="1"/>
        <v>71 0 00 00000000</v>
      </c>
    </row>
    <row r="81" spans="1:18" s="16" customFormat="1" ht="15.75">
      <c r="A81" s="14"/>
      <c r="B81" s="125" t="s">
        <v>68</v>
      </c>
      <c r="C81" s="109" t="s">
        <v>64</v>
      </c>
      <c r="D81" s="108" t="s">
        <v>11</v>
      </c>
      <c r="E81" s="108" t="s">
        <v>62</v>
      </c>
      <c r="F81" s="108" t="s">
        <v>69</v>
      </c>
      <c r="G81" s="108" t="s">
        <v>9</v>
      </c>
      <c r="H81" s="126">
        <f>H82+H86</f>
        <v>0</v>
      </c>
      <c r="L81" s="20">
        <v>1593.55</v>
      </c>
      <c r="M81" s="20">
        <v>1593.55</v>
      </c>
      <c r="N81" s="20">
        <v>1593.55</v>
      </c>
      <c r="O81" s="20">
        <f t="shared" si="7"/>
        <v>-1593.55</v>
      </c>
      <c r="P81" s="20" t="e">
        <f>#REF!-M81</f>
        <v>#REF!</v>
      </c>
      <c r="Q81" s="20" t="e">
        <f>#REF!-N81</f>
        <v>#REF!</v>
      </c>
      <c r="R81" s="17" t="str">
        <f t="shared" si="1"/>
        <v>71 2 00 00000000</v>
      </c>
    </row>
    <row r="82" spans="1:18" s="16" customFormat="1" ht="31.5">
      <c r="A82" s="14"/>
      <c r="B82" s="125" t="s">
        <v>18</v>
      </c>
      <c r="C82" s="109" t="s">
        <v>64</v>
      </c>
      <c r="D82" s="108" t="s">
        <v>11</v>
      </c>
      <c r="E82" s="108" t="s">
        <v>62</v>
      </c>
      <c r="F82" s="108" t="s">
        <v>70</v>
      </c>
      <c r="G82" s="108" t="s">
        <v>9</v>
      </c>
      <c r="H82" s="126">
        <f>H83</f>
        <v>0</v>
      </c>
      <c r="L82" s="20">
        <v>41.55</v>
      </c>
      <c r="M82" s="20">
        <v>41.55</v>
      </c>
      <c r="N82" s="20">
        <v>41.55</v>
      </c>
      <c r="O82" s="20">
        <f t="shared" si="7"/>
        <v>-41.55</v>
      </c>
      <c r="P82" s="20" t="e">
        <f>#REF!-M82</f>
        <v>#REF!</v>
      </c>
      <c r="Q82" s="20" t="e">
        <f>#REF!-N82</f>
        <v>#REF!</v>
      </c>
      <c r="R82" s="17" t="str">
        <f t="shared" si="1"/>
        <v>71 2 00 10010000</v>
      </c>
    </row>
    <row r="83" spans="1:18" s="16" customFormat="1" ht="31.5">
      <c r="A83" s="14"/>
      <c r="B83" s="127" t="s">
        <v>20</v>
      </c>
      <c r="C83" s="109" t="s">
        <v>64</v>
      </c>
      <c r="D83" s="108" t="s">
        <v>11</v>
      </c>
      <c r="E83" s="108" t="s">
        <v>62</v>
      </c>
      <c r="F83" s="108" t="s">
        <v>70</v>
      </c>
      <c r="G83" s="108" t="s">
        <v>21</v>
      </c>
      <c r="H83" s="126">
        <f>SUM(H84:H85)</f>
        <v>0</v>
      </c>
      <c r="L83" s="20">
        <v>41.55</v>
      </c>
      <c r="M83" s="20">
        <v>41.55</v>
      </c>
      <c r="N83" s="20">
        <v>41.55</v>
      </c>
      <c r="O83" s="20">
        <f t="shared" si="7"/>
        <v>-41.55</v>
      </c>
      <c r="P83" s="20" t="e">
        <f>#REF!-M83</f>
        <v>#REF!</v>
      </c>
      <c r="Q83" s="20" t="e">
        <f>#REF!-N83</f>
        <v>#REF!</v>
      </c>
      <c r="R83" s="17" t="str">
        <f t="shared" si="1"/>
        <v>71 2 00 10010120</v>
      </c>
    </row>
    <row r="84" spans="1:18" s="23" customFormat="1" ht="47.25">
      <c r="A84" s="21"/>
      <c r="B84" s="127" t="s">
        <v>22</v>
      </c>
      <c r="C84" s="109" t="s">
        <v>64</v>
      </c>
      <c r="D84" s="108" t="s">
        <v>11</v>
      </c>
      <c r="E84" s="108" t="s">
        <v>62</v>
      </c>
      <c r="F84" s="108" t="s">
        <v>70</v>
      </c>
      <c r="G84" s="108" t="s">
        <v>23</v>
      </c>
      <c r="H84" s="126"/>
      <c r="L84" s="22"/>
      <c r="M84" s="22"/>
      <c r="N84" s="22"/>
      <c r="O84" s="22"/>
      <c r="P84" s="22"/>
      <c r="Q84" s="22"/>
      <c r="R84" s="24"/>
    </row>
    <row r="85" spans="1:18" s="23" customFormat="1" ht="63">
      <c r="A85" s="21"/>
      <c r="B85" s="127" t="s">
        <v>26</v>
      </c>
      <c r="C85" s="109" t="s">
        <v>64</v>
      </c>
      <c r="D85" s="108" t="s">
        <v>11</v>
      </c>
      <c r="E85" s="108" t="s">
        <v>62</v>
      </c>
      <c r="F85" s="108" t="s">
        <v>70</v>
      </c>
      <c r="G85" s="108" t="s">
        <v>27</v>
      </c>
      <c r="H85" s="126"/>
      <c r="L85" s="22"/>
      <c r="M85" s="22"/>
      <c r="N85" s="22"/>
      <c r="O85" s="22"/>
      <c r="P85" s="22"/>
      <c r="Q85" s="22"/>
      <c r="R85" s="24"/>
    </row>
    <row r="86" spans="1:18" s="16" customFormat="1" ht="31.5">
      <c r="A86" s="14"/>
      <c r="B86" s="125" t="s">
        <v>38</v>
      </c>
      <c r="C86" s="109" t="s">
        <v>64</v>
      </c>
      <c r="D86" s="108" t="s">
        <v>11</v>
      </c>
      <c r="E86" s="108" t="s">
        <v>62</v>
      </c>
      <c r="F86" s="108" t="s">
        <v>71</v>
      </c>
      <c r="G86" s="108" t="s">
        <v>9</v>
      </c>
      <c r="H86" s="126">
        <f>H87</f>
        <v>0</v>
      </c>
      <c r="L86" s="20">
        <v>1552</v>
      </c>
      <c r="M86" s="20">
        <v>1552</v>
      </c>
      <c r="N86" s="20">
        <v>1552</v>
      </c>
      <c r="O86" s="20">
        <f>H86-L86</f>
        <v>-1552</v>
      </c>
      <c r="P86" s="20" t="e">
        <f>#REF!-M86</f>
        <v>#REF!</v>
      </c>
      <c r="Q86" s="20" t="e">
        <f>#REF!-N86</f>
        <v>#REF!</v>
      </c>
      <c r="R86" s="17" t="str">
        <f t="shared" si="1"/>
        <v>71 2 00 10020000</v>
      </c>
    </row>
    <row r="87" spans="1:18" s="16" customFormat="1" ht="31.5">
      <c r="A87" s="14"/>
      <c r="B87" s="127" t="s">
        <v>20</v>
      </c>
      <c r="C87" s="109" t="s">
        <v>64</v>
      </c>
      <c r="D87" s="108" t="s">
        <v>11</v>
      </c>
      <c r="E87" s="108" t="s">
        <v>62</v>
      </c>
      <c r="F87" s="108" t="s">
        <v>71</v>
      </c>
      <c r="G87" s="108" t="s">
        <v>21</v>
      </c>
      <c r="H87" s="126">
        <f>SUM(H88:H89)</f>
        <v>0</v>
      </c>
      <c r="L87" s="20">
        <v>1552</v>
      </c>
      <c r="M87" s="20">
        <v>1552</v>
      </c>
      <c r="N87" s="20">
        <v>1552</v>
      </c>
      <c r="O87" s="20">
        <f>H87-L87</f>
        <v>-1552</v>
      </c>
      <c r="P87" s="20" t="e">
        <f>#REF!-M87</f>
        <v>#REF!</v>
      </c>
      <c r="Q87" s="20" t="e">
        <f>#REF!-N87</f>
        <v>#REF!</v>
      </c>
      <c r="R87" s="17" t="str">
        <f t="shared" si="1"/>
        <v>71 2 00 10020120</v>
      </c>
    </row>
    <row r="88" spans="1:18" s="23" customFormat="1" ht="31.5">
      <c r="A88" s="21"/>
      <c r="B88" s="127" t="s">
        <v>40</v>
      </c>
      <c r="C88" s="109" t="s">
        <v>64</v>
      </c>
      <c r="D88" s="108" t="s">
        <v>11</v>
      </c>
      <c r="E88" s="108" t="s">
        <v>62</v>
      </c>
      <c r="F88" s="108" t="s">
        <v>71</v>
      </c>
      <c r="G88" s="108" t="s">
        <v>41</v>
      </c>
      <c r="H88" s="126"/>
      <c r="L88" s="22"/>
      <c r="M88" s="22"/>
      <c r="N88" s="22"/>
      <c r="O88" s="22"/>
      <c r="P88" s="22"/>
      <c r="Q88" s="22"/>
      <c r="R88" s="24"/>
    </row>
    <row r="89" spans="1:18" s="23" customFormat="1" ht="63">
      <c r="A89" s="21"/>
      <c r="B89" s="127" t="s">
        <v>26</v>
      </c>
      <c r="C89" s="109" t="s">
        <v>64</v>
      </c>
      <c r="D89" s="108" t="s">
        <v>11</v>
      </c>
      <c r="E89" s="108" t="s">
        <v>62</v>
      </c>
      <c r="F89" s="108" t="s">
        <v>71</v>
      </c>
      <c r="G89" s="108" t="s">
        <v>27</v>
      </c>
      <c r="H89" s="126"/>
      <c r="L89" s="22"/>
      <c r="M89" s="22"/>
      <c r="N89" s="22"/>
      <c r="O89" s="22"/>
      <c r="P89" s="22"/>
      <c r="Q89" s="22"/>
      <c r="R89" s="24"/>
    </row>
    <row r="90" spans="1:18" s="16" customFormat="1" ht="63">
      <c r="A90" s="14"/>
      <c r="B90" s="121" t="s">
        <v>72</v>
      </c>
      <c r="C90" s="122" t="s">
        <v>64</v>
      </c>
      <c r="D90" s="123" t="s">
        <v>11</v>
      </c>
      <c r="E90" s="123" t="s">
        <v>73</v>
      </c>
      <c r="F90" s="123" t="s">
        <v>8</v>
      </c>
      <c r="G90" s="123" t="s">
        <v>9</v>
      </c>
      <c r="H90" s="124">
        <f>H91</f>
        <v>0</v>
      </c>
      <c r="L90" s="19">
        <v>106659.61</v>
      </c>
      <c r="M90" s="19">
        <v>106659.61</v>
      </c>
      <c r="N90" s="19">
        <v>106659.61</v>
      </c>
      <c r="O90" s="19">
        <f>H90-L90</f>
        <v>-106659.61</v>
      </c>
      <c r="P90" s="19" t="e">
        <f>#REF!-M90</f>
        <v>#REF!</v>
      </c>
      <c r="Q90" s="19" t="e">
        <f>#REF!-N90</f>
        <v>#REF!</v>
      </c>
      <c r="R90" s="17" t="str">
        <f t="shared" si="1"/>
        <v>00 0 00 00000000</v>
      </c>
    </row>
    <row r="91" spans="1:18" s="16" customFormat="1" ht="31.5">
      <c r="A91" s="14"/>
      <c r="B91" s="129" t="s">
        <v>66</v>
      </c>
      <c r="C91" s="109" t="s">
        <v>64</v>
      </c>
      <c r="D91" s="108" t="s">
        <v>11</v>
      </c>
      <c r="E91" s="108" t="s">
        <v>73</v>
      </c>
      <c r="F91" s="108" t="s">
        <v>67</v>
      </c>
      <c r="G91" s="108" t="s">
        <v>9</v>
      </c>
      <c r="H91" s="126">
        <f>H92</f>
        <v>0</v>
      </c>
      <c r="L91" s="20">
        <v>106659.61</v>
      </c>
      <c r="M91" s="20">
        <v>106659.61</v>
      </c>
      <c r="N91" s="20">
        <v>106659.61</v>
      </c>
      <c r="O91" s="20">
        <f>H91-L91</f>
        <v>-106659.61</v>
      </c>
      <c r="P91" s="20" t="e">
        <f>#REF!-M91</f>
        <v>#REF!</v>
      </c>
      <c r="Q91" s="20" t="e">
        <f>#REF!-N91</f>
        <v>#REF!</v>
      </c>
      <c r="R91" s="17" t="str">
        <f t="shared" si="1"/>
        <v>71 0 00 00000000</v>
      </c>
    </row>
    <row r="92" spans="1:18" s="16" customFormat="1" ht="31.5">
      <c r="A92" s="14"/>
      <c r="B92" s="129" t="s">
        <v>74</v>
      </c>
      <c r="C92" s="109" t="s">
        <v>64</v>
      </c>
      <c r="D92" s="108" t="s">
        <v>11</v>
      </c>
      <c r="E92" s="108" t="s">
        <v>73</v>
      </c>
      <c r="F92" s="108" t="s">
        <v>75</v>
      </c>
      <c r="G92" s="108" t="s">
        <v>9</v>
      </c>
      <c r="H92" s="126">
        <f>H93+H102+H106+H112</f>
        <v>0</v>
      </c>
      <c r="L92" s="20">
        <v>106659.61</v>
      </c>
      <c r="M92" s="20">
        <v>106659.61</v>
      </c>
      <c r="N92" s="20">
        <v>106659.61</v>
      </c>
      <c r="O92" s="20">
        <f>H92-L92</f>
        <v>-106659.61</v>
      </c>
      <c r="P92" s="20" t="e">
        <f>#REF!-M92</f>
        <v>#REF!</v>
      </c>
      <c r="Q92" s="20" t="e">
        <f>#REF!-N92</f>
        <v>#REF!</v>
      </c>
      <c r="R92" s="17" t="str">
        <f t="shared" si="1"/>
        <v>71 1 00 00000000</v>
      </c>
    </row>
    <row r="93" spans="1:18" s="16" customFormat="1" ht="31.5">
      <c r="A93" s="14"/>
      <c r="B93" s="129" t="s">
        <v>18</v>
      </c>
      <c r="C93" s="130" t="s">
        <v>64</v>
      </c>
      <c r="D93" s="131" t="s">
        <v>11</v>
      </c>
      <c r="E93" s="131" t="s">
        <v>73</v>
      </c>
      <c r="F93" s="131" t="s">
        <v>76</v>
      </c>
      <c r="G93" s="131" t="s">
        <v>9</v>
      </c>
      <c r="H93" s="105">
        <f>H94+H97+H99</f>
        <v>0</v>
      </c>
      <c r="L93" s="26">
        <v>12140.56</v>
      </c>
      <c r="M93" s="26">
        <v>12140.56</v>
      </c>
      <c r="N93" s="26">
        <v>12140.56</v>
      </c>
      <c r="O93" s="26">
        <f>H93-L93</f>
        <v>-12140.56</v>
      </c>
      <c r="P93" s="26" t="e">
        <f>#REF!-M93</f>
        <v>#REF!</v>
      </c>
      <c r="Q93" s="26" t="e">
        <f>#REF!-N93</f>
        <v>#REF!</v>
      </c>
      <c r="R93" s="17" t="str">
        <f t="shared" si="1"/>
        <v>71 1 00 10010000</v>
      </c>
    </row>
    <row r="94" spans="1:18" s="16" customFormat="1" ht="31.5">
      <c r="A94" s="14"/>
      <c r="B94" s="127" t="s">
        <v>20</v>
      </c>
      <c r="C94" s="130" t="s">
        <v>64</v>
      </c>
      <c r="D94" s="131" t="s">
        <v>11</v>
      </c>
      <c r="E94" s="131" t="s">
        <v>73</v>
      </c>
      <c r="F94" s="131" t="s">
        <v>76</v>
      </c>
      <c r="G94" s="108" t="s">
        <v>21</v>
      </c>
      <c r="H94" s="126">
        <f>SUM(H95:H96)</f>
        <v>0</v>
      </c>
      <c r="L94" s="20">
        <v>4414.8999999999996</v>
      </c>
      <c r="M94" s="20">
        <v>4414.8999999999996</v>
      </c>
      <c r="N94" s="20">
        <v>4414.8999999999996</v>
      </c>
      <c r="O94" s="20">
        <f>H94-L94</f>
        <v>-4414.8999999999996</v>
      </c>
      <c r="P94" s="20" t="e">
        <f>#REF!-M94</f>
        <v>#REF!</v>
      </c>
      <c r="Q94" s="20" t="e">
        <f>#REF!-N94</f>
        <v>#REF!</v>
      </c>
      <c r="R94" s="17" t="str">
        <f t="shared" si="1"/>
        <v>71 1 00 10010120</v>
      </c>
    </row>
    <row r="95" spans="1:18" s="23" customFormat="1" ht="47.25">
      <c r="A95" s="21"/>
      <c r="B95" s="127" t="s">
        <v>22</v>
      </c>
      <c r="C95" s="130" t="s">
        <v>64</v>
      </c>
      <c r="D95" s="131" t="s">
        <v>11</v>
      </c>
      <c r="E95" s="131" t="s">
        <v>73</v>
      </c>
      <c r="F95" s="131" t="s">
        <v>76</v>
      </c>
      <c r="G95" s="108" t="s">
        <v>23</v>
      </c>
      <c r="H95" s="126"/>
      <c r="L95" s="22"/>
      <c r="M95" s="22"/>
      <c r="N95" s="22"/>
      <c r="O95" s="22"/>
      <c r="P95" s="22"/>
      <c r="Q95" s="22"/>
      <c r="R95" s="24"/>
    </row>
    <row r="96" spans="1:18" s="23" customFormat="1" ht="63">
      <c r="A96" s="21"/>
      <c r="B96" s="127" t="s">
        <v>26</v>
      </c>
      <c r="C96" s="130" t="s">
        <v>64</v>
      </c>
      <c r="D96" s="131" t="s">
        <v>11</v>
      </c>
      <c r="E96" s="131" t="s">
        <v>73</v>
      </c>
      <c r="F96" s="131" t="s">
        <v>76</v>
      </c>
      <c r="G96" s="108" t="s">
        <v>27</v>
      </c>
      <c r="H96" s="126"/>
      <c r="L96" s="22"/>
      <c r="M96" s="22"/>
      <c r="N96" s="22"/>
      <c r="O96" s="22"/>
      <c r="P96" s="22"/>
      <c r="Q96" s="22"/>
      <c r="R96" s="24"/>
    </row>
    <row r="97" spans="1:18" s="16" customFormat="1" ht="31.5">
      <c r="A97" s="14"/>
      <c r="B97" s="125" t="s">
        <v>28</v>
      </c>
      <c r="C97" s="130" t="s">
        <v>64</v>
      </c>
      <c r="D97" s="131" t="s">
        <v>11</v>
      </c>
      <c r="E97" s="131" t="s">
        <v>73</v>
      </c>
      <c r="F97" s="131" t="s">
        <v>76</v>
      </c>
      <c r="G97" s="108" t="s">
        <v>29</v>
      </c>
      <c r="H97" s="126">
        <f>H98</f>
        <v>0</v>
      </c>
      <c r="L97" s="20">
        <v>7701.66</v>
      </c>
      <c r="M97" s="20">
        <v>7701.66</v>
      </c>
      <c r="N97" s="20">
        <v>7701.66</v>
      </c>
      <c r="O97" s="20">
        <f>H97-L97</f>
        <v>-7701.66</v>
      </c>
      <c r="P97" s="20" t="e">
        <f>#REF!-M97</f>
        <v>#REF!</v>
      </c>
      <c r="Q97" s="20" t="e">
        <f>#REF!-N97</f>
        <v>#REF!</v>
      </c>
      <c r="R97" s="17" t="str">
        <f t="shared" si="1"/>
        <v>71 1 00 10010240</v>
      </c>
    </row>
    <row r="98" spans="1:18" s="16" customFormat="1" ht="15.75">
      <c r="A98" s="14"/>
      <c r="B98" s="125" t="s">
        <v>30</v>
      </c>
      <c r="C98" s="130" t="s">
        <v>64</v>
      </c>
      <c r="D98" s="131" t="s">
        <v>11</v>
      </c>
      <c r="E98" s="131" t="s">
        <v>73</v>
      </c>
      <c r="F98" s="131" t="s">
        <v>76</v>
      </c>
      <c r="G98" s="108" t="s">
        <v>31</v>
      </c>
      <c r="H98" s="126"/>
      <c r="L98" s="20"/>
      <c r="M98" s="20"/>
      <c r="N98" s="20"/>
      <c r="O98" s="20"/>
      <c r="P98" s="20"/>
      <c r="Q98" s="20"/>
      <c r="R98" s="17"/>
    </row>
    <row r="99" spans="1:18" s="16" customFormat="1" ht="15.75">
      <c r="A99" s="14"/>
      <c r="B99" s="125" t="s">
        <v>32</v>
      </c>
      <c r="C99" s="130" t="s">
        <v>64</v>
      </c>
      <c r="D99" s="131" t="s">
        <v>11</v>
      </c>
      <c r="E99" s="131" t="s">
        <v>73</v>
      </c>
      <c r="F99" s="131" t="s">
        <v>76</v>
      </c>
      <c r="G99" s="108" t="s">
        <v>33</v>
      </c>
      <c r="H99" s="126">
        <f>SUM(H100:H101)</f>
        <v>0</v>
      </c>
      <c r="L99" s="20">
        <v>24</v>
      </c>
      <c r="M99" s="20">
        <v>24</v>
      </c>
      <c r="N99" s="20">
        <v>24</v>
      </c>
      <c r="O99" s="20">
        <f>H99-L99</f>
        <v>-24</v>
      </c>
      <c r="P99" s="20" t="e">
        <f>#REF!-M99</f>
        <v>#REF!</v>
      </c>
      <c r="Q99" s="20" t="e">
        <f>#REF!-N99</f>
        <v>#REF!</v>
      </c>
      <c r="R99" s="17" t="str">
        <f t="shared" si="1"/>
        <v>71 1 00 10010850</v>
      </c>
    </row>
    <row r="100" spans="1:18" s="16" customFormat="1" ht="15.75">
      <c r="A100" s="14"/>
      <c r="B100" s="125" t="s">
        <v>36</v>
      </c>
      <c r="C100" s="109" t="s">
        <v>64</v>
      </c>
      <c r="D100" s="108" t="s">
        <v>11</v>
      </c>
      <c r="E100" s="108" t="s">
        <v>73</v>
      </c>
      <c r="F100" s="108" t="s">
        <v>76</v>
      </c>
      <c r="G100" s="108" t="s">
        <v>37</v>
      </c>
      <c r="H100" s="126"/>
      <c r="L100" s="20"/>
      <c r="M100" s="20"/>
      <c r="N100" s="20"/>
      <c r="O100" s="20"/>
      <c r="P100" s="20"/>
      <c r="Q100" s="20"/>
      <c r="R100" s="17"/>
    </row>
    <row r="101" spans="1:18" s="16" customFormat="1" ht="15.75">
      <c r="A101" s="14"/>
      <c r="B101" s="125" t="s">
        <v>77</v>
      </c>
      <c r="C101" s="109" t="s">
        <v>64</v>
      </c>
      <c r="D101" s="108" t="s">
        <v>11</v>
      </c>
      <c r="E101" s="108" t="s">
        <v>73</v>
      </c>
      <c r="F101" s="108" t="s">
        <v>76</v>
      </c>
      <c r="G101" s="108" t="s">
        <v>78</v>
      </c>
      <c r="H101" s="126"/>
      <c r="L101" s="20"/>
      <c r="M101" s="20"/>
      <c r="N101" s="20"/>
      <c r="O101" s="20"/>
      <c r="P101" s="20"/>
      <c r="Q101" s="20"/>
      <c r="R101" s="17"/>
    </row>
    <row r="102" spans="1:18" s="16" customFormat="1" ht="31.5">
      <c r="A102" s="14"/>
      <c r="B102" s="129" t="s">
        <v>38</v>
      </c>
      <c r="C102" s="109" t="s">
        <v>64</v>
      </c>
      <c r="D102" s="108" t="s">
        <v>11</v>
      </c>
      <c r="E102" s="108" t="s">
        <v>73</v>
      </c>
      <c r="F102" s="108" t="s">
        <v>79</v>
      </c>
      <c r="G102" s="131" t="s">
        <v>9</v>
      </c>
      <c r="H102" s="126">
        <f>H103</f>
        <v>0</v>
      </c>
      <c r="L102" s="20">
        <v>93494.03</v>
      </c>
      <c r="M102" s="20">
        <v>93494.03</v>
      </c>
      <c r="N102" s="20">
        <v>93494.03</v>
      </c>
      <c r="O102" s="20">
        <f>H102-L102</f>
        <v>-93494.03</v>
      </c>
      <c r="P102" s="20" t="e">
        <f>#REF!-M102</f>
        <v>#REF!</v>
      </c>
      <c r="Q102" s="20" t="e">
        <f>#REF!-N102</f>
        <v>#REF!</v>
      </c>
      <c r="R102" s="17" t="str">
        <f t="shared" si="1"/>
        <v>71 1 00 10020000</v>
      </c>
    </row>
    <row r="103" spans="1:18" s="16" customFormat="1" ht="31.5">
      <c r="A103" s="14"/>
      <c r="B103" s="127" t="s">
        <v>20</v>
      </c>
      <c r="C103" s="109" t="s">
        <v>64</v>
      </c>
      <c r="D103" s="108" t="s">
        <v>11</v>
      </c>
      <c r="E103" s="108" t="s">
        <v>73</v>
      </c>
      <c r="F103" s="108" t="s">
        <v>79</v>
      </c>
      <c r="G103" s="131" t="s">
        <v>21</v>
      </c>
      <c r="H103" s="126">
        <f>SUM(H104:H105)</f>
        <v>0</v>
      </c>
      <c r="L103" s="20">
        <v>93494.03</v>
      </c>
      <c r="M103" s="20">
        <v>93494.03</v>
      </c>
      <c r="N103" s="20">
        <v>93494.03</v>
      </c>
      <c r="O103" s="20">
        <f>H103-L103</f>
        <v>-93494.03</v>
      </c>
      <c r="P103" s="20" t="e">
        <f>#REF!-M103</f>
        <v>#REF!</v>
      </c>
      <c r="Q103" s="20" t="e">
        <f>#REF!-N103</f>
        <v>#REF!</v>
      </c>
      <c r="R103" s="17" t="str">
        <f t="shared" si="1"/>
        <v>71 1 00 10020120</v>
      </c>
    </row>
    <row r="104" spans="1:18" s="16" customFormat="1" ht="31.5">
      <c r="A104" s="14"/>
      <c r="B104" s="125" t="s">
        <v>40</v>
      </c>
      <c r="C104" s="109" t="s">
        <v>64</v>
      </c>
      <c r="D104" s="108" t="s">
        <v>11</v>
      </c>
      <c r="E104" s="108" t="s">
        <v>73</v>
      </c>
      <c r="F104" s="108" t="s">
        <v>79</v>
      </c>
      <c r="G104" s="108" t="s">
        <v>41</v>
      </c>
      <c r="H104" s="126"/>
      <c r="L104" s="20"/>
      <c r="M104" s="20"/>
      <c r="N104" s="20"/>
      <c r="O104" s="20"/>
      <c r="P104" s="20"/>
      <c r="Q104" s="20"/>
      <c r="R104" s="17"/>
    </row>
    <row r="105" spans="1:18" s="16" customFormat="1" ht="63">
      <c r="A105" s="14"/>
      <c r="B105" s="125" t="s">
        <v>26</v>
      </c>
      <c r="C105" s="109" t="s">
        <v>64</v>
      </c>
      <c r="D105" s="108" t="s">
        <v>11</v>
      </c>
      <c r="E105" s="108" t="s">
        <v>73</v>
      </c>
      <c r="F105" s="108" t="s">
        <v>79</v>
      </c>
      <c r="G105" s="108" t="s">
        <v>27</v>
      </c>
      <c r="H105" s="126"/>
      <c r="L105" s="20"/>
      <c r="M105" s="20"/>
      <c r="N105" s="20"/>
      <c r="O105" s="20"/>
      <c r="P105" s="20"/>
      <c r="Q105" s="20"/>
      <c r="R105" s="17"/>
    </row>
    <row r="106" spans="1:18" s="16" customFormat="1" ht="63">
      <c r="A106" s="14" t="s">
        <v>80</v>
      </c>
      <c r="B106" s="125" t="s">
        <v>81</v>
      </c>
      <c r="C106" s="130" t="s">
        <v>64</v>
      </c>
      <c r="D106" s="131" t="s">
        <v>11</v>
      </c>
      <c r="E106" s="131" t="s">
        <v>73</v>
      </c>
      <c r="F106" s="131" t="s">
        <v>82</v>
      </c>
      <c r="G106" s="131" t="s">
        <v>9</v>
      </c>
      <c r="H106" s="126">
        <f>H107+H110</f>
        <v>0</v>
      </c>
      <c r="L106" s="20">
        <v>1016.02</v>
      </c>
      <c r="M106" s="20">
        <v>1016.02</v>
      </c>
      <c r="N106" s="20">
        <v>1016.02</v>
      </c>
      <c r="O106" s="20">
        <f>H106-L106</f>
        <v>-1016.02</v>
      </c>
      <c r="P106" s="20" t="e">
        <f>#REF!-M106</f>
        <v>#REF!</v>
      </c>
      <c r="Q106" s="20" t="e">
        <f>#REF!-N106</f>
        <v>#REF!</v>
      </c>
      <c r="R106" s="17" t="str">
        <f t="shared" si="1"/>
        <v>71 1 00 76630000</v>
      </c>
    </row>
    <row r="107" spans="1:18" s="16" customFormat="1" ht="31.5">
      <c r="A107" s="14"/>
      <c r="B107" s="127" t="s">
        <v>20</v>
      </c>
      <c r="C107" s="130" t="s">
        <v>64</v>
      </c>
      <c r="D107" s="131" t="s">
        <v>11</v>
      </c>
      <c r="E107" s="131" t="s">
        <v>73</v>
      </c>
      <c r="F107" s="131" t="s">
        <v>82</v>
      </c>
      <c r="G107" s="131" t="s">
        <v>21</v>
      </c>
      <c r="H107" s="126">
        <f>SUM(H108:H109)</f>
        <v>0</v>
      </c>
      <c r="L107" s="20">
        <v>803.81</v>
      </c>
      <c r="M107" s="20">
        <v>803.81</v>
      </c>
      <c r="N107" s="20">
        <v>803.81</v>
      </c>
      <c r="O107" s="20">
        <f>H107-L107</f>
        <v>-803.81</v>
      </c>
      <c r="P107" s="20" t="e">
        <f>#REF!-M107</f>
        <v>#REF!</v>
      </c>
      <c r="Q107" s="20" t="e">
        <f>#REF!-N107</f>
        <v>#REF!</v>
      </c>
      <c r="R107" s="17" t="str">
        <f t="shared" si="1"/>
        <v>71 1 00 76630120</v>
      </c>
    </row>
    <row r="108" spans="1:18" s="23" customFormat="1" ht="31.5">
      <c r="A108" s="21"/>
      <c r="B108" s="127" t="s">
        <v>40</v>
      </c>
      <c r="C108" s="109" t="s">
        <v>64</v>
      </c>
      <c r="D108" s="108" t="s">
        <v>11</v>
      </c>
      <c r="E108" s="108" t="s">
        <v>73</v>
      </c>
      <c r="F108" s="108" t="s">
        <v>82</v>
      </c>
      <c r="G108" s="108" t="s">
        <v>41</v>
      </c>
      <c r="H108" s="126"/>
      <c r="L108" s="22"/>
      <c r="M108" s="22"/>
      <c r="N108" s="22"/>
      <c r="O108" s="22"/>
      <c r="P108" s="22"/>
      <c r="Q108" s="22"/>
      <c r="R108" s="24"/>
    </row>
    <row r="109" spans="1:18" s="23" customFormat="1" ht="63">
      <c r="A109" s="21"/>
      <c r="B109" s="127" t="s">
        <v>26</v>
      </c>
      <c r="C109" s="109" t="s">
        <v>64</v>
      </c>
      <c r="D109" s="108" t="s">
        <v>11</v>
      </c>
      <c r="E109" s="108" t="s">
        <v>73</v>
      </c>
      <c r="F109" s="108" t="s">
        <v>82</v>
      </c>
      <c r="G109" s="108" t="s">
        <v>27</v>
      </c>
      <c r="H109" s="126"/>
      <c r="L109" s="22"/>
      <c r="M109" s="22"/>
      <c r="N109" s="22"/>
      <c r="O109" s="22"/>
      <c r="P109" s="22"/>
      <c r="Q109" s="22"/>
      <c r="R109" s="24"/>
    </row>
    <row r="110" spans="1:18" s="16" customFormat="1" ht="31.5">
      <c r="A110" s="14"/>
      <c r="B110" s="125" t="s">
        <v>28</v>
      </c>
      <c r="C110" s="130" t="s">
        <v>64</v>
      </c>
      <c r="D110" s="131" t="s">
        <v>11</v>
      </c>
      <c r="E110" s="131" t="s">
        <v>73</v>
      </c>
      <c r="F110" s="131" t="s">
        <v>82</v>
      </c>
      <c r="G110" s="131" t="s">
        <v>29</v>
      </c>
      <c r="H110" s="126">
        <f>H111</f>
        <v>0</v>
      </c>
      <c r="L110" s="20">
        <v>212.21</v>
      </c>
      <c r="M110" s="20">
        <v>212.21</v>
      </c>
      <c r="N110" s="20">
        <v>212.21</v>
      </c>
      <c r="O110" s="20">
        <f>H110-L110</f>
        <v>-212.21</v>
      </c>
      <c r="P110" s="20" t="e">
        <f>#REF!-M110</f>
        <v>#REF!</v>
      </c>
      <c r="Q110" s="20" t="e">
        <f>#REF!-N110</f>
        <v>#REF!</v>
      </c>
      <c r="R110" s="17" t="str">
        <f t="shared" si="1"/>
        <v>71 1 00 76630240</v>
      </c>
    </row>
    <row r="111" spans="1:18" s="16" customFormat="1" ht="15.75">
      <c r="A111" s="14"/>
      <c r="B111" s="125" t="s">
        <v>30</v>
      </c>
      <c r="C111" s="130" t="s">
        <v>64</v>
      </c>
      <c r="D111" s="131" t="s">
        <v>11</v>
      </c>
      <c r="E111" s="131" t="s">
        <v>73</v>
      </c>
      <c r="F111" s="131" t="s">
        <v>82</v>
      </c>
      <c r="G111" s="131" t="s">
        <v>31</v>
      </c>
      <c r="H111" s="126"/>
      <c r="L111" s="20"/>
      <c r="M111" s="20"/>
      <c r="N111" s="20"/>
      <c r="O111" s="20"/>
      <c r="P111" s="20"/>
      <c r="Q111" s="20"/>
      <c r="R111" s="17"/>
    </row>
    <row r="112" spans="1:18" s="16" customFormat="1" ht="47.25">
      <c r="A112" s="14" t="s">
        <v>80</v>
      </c>
      <c r="B112" s="129" t="s">
        <v>83</v>
      </c>
      <c r="C112" s="130" t="s">
        <v>64</v>
      </c>
      <c r="D112" s="131" t="s">
        <v>11</v>
      </c>
      <c r="E112" s="131" t="s">
        <v>73</v>
      </c>
      <c r="F112" s="131" t="s">
        <v>84</v>
      </c>
      <c r="G112" s="131" t="s">
        <v>9</v>
      </c>
      <c r="H112" s="105">
        <f>H113</f>
        <v>0</v>
      </c>
      <c r="L112" s="26">
        <v>9</v>
      </c>
      <c r="M112" s="26">
        <v>9</v>
      </c>
      <c r="N112" s="26">
        <v>9</v>
      </c>
      <c r="O112" s="26">
        <f>H112-L112</f>
        <v>-9</v>
      </c>
      <c r="P112" s="26" t="e">
        <f>#REF!-M112</f>
        <v>#REF!</v>
      </c>
      <c r="Q112" s="26" t="e">
        <f>#REF!-N112</f>
        <v>#REF!</v>
      </c>
      <c r="R112" s="17" t="str">
        <f t="shared" si="1"/>
        <v>71 1 00 76930000</v>
      </c>
    </row>
    <row r="113" spans="1:18" s="16" customFormat="1" ht="31.5">
      <c r="A113" s="14"/>
      <c r="B113" s="125" t="s">
        <v>28</v>
      </c>
      <c r="C113" s="130" t="s">
        <v>64</v>
      </c>
      <c r="D113" s="131" t="s">
        <v>11</v>
      </c>
      <c r="E113" s="131" t="s">
        <v>73</v>
      </c>
      <c r="F113" s="131" t="s">
        <v>84</v>
      </c>
      <c r="G113" s="131" t="s">
        <v>29</v>
      </c>
      <c r="H113" s="126">
        <f>H114</f>
        <v>0</v>
      </c>
      <c r="L113" s="20">
        <v>9</v>
      </c>
      <c r="M113" s="20">
        <v>9</v>
      </c>
      <c r="N113" s="20">
        <v>9</v>
      </c>
      <c r="O113" s="20">
        <f>H113-L113</f>
        <v>-9</v>
      </c>
      <c r="P113" s="20" t="e">
        <f>#REF!-M113</f>
        <v>#REF!</v>
      </c>
      <c r="Q113" s="20" t="e">
        <f>#REF!-N113</f>
        <v>#REF!</v>
      </c>
      <c r="R113" s="17" t="str">
        <f t="shared" si="1"/>
        <v>71 1 00 76930240</v>
      </c>
    </row>
    <row r="114" spans="1:18" s="16" customFormat="1" ht="15.75">
      <c r="A114" s="14"/>
      <c r="B114" s="125" t="s">
        <v>30</v>
      </c>
      <c r="C114" s="130" t="s">
        <v>64</v>
      </c>
      <c r="D114" s="131" t="s">
        <v>11</v>
      </c>
      <c r="E114" s="131" t="s">
        <v>73</v>
      </c>
      <c r="F114" s="131" t="s">
        <v>84</v>
      </c>
      <c r="G114" s="131" t="s">
        <v>31</v>
      </c>
      <c r="H114" s="126"/>
      <c r="L114" s="20"/>
      <c r="M114" s="20"/>
      <c r="N114" s="20"/>
      <c r="O114" s="20"/>
      <c r="P114" s="20"/>
      <c r="Q114" s="20"/>
      <c r="R114" s="17"/>
    </row>
    <row r="115" spans="1:18" s="16" customFormat="1" ht="15.75">
      <c r="A115" s="14"/>
      <c r="B115" s="121" t="s">
        <v>85</v>
      </c>
      <c r="C115" s="122" t="s">
        <v>64</v>
      </c>
      <c r="D115" s="123" t="s">
        <v>11</v>
      </c>
      <c r="E115" s="123" t="s">
        <v>86</v>
      </c>
      <c r="F115" s="123" t="s">
        <v>8</v>
      </c>
      <c r="G115" s="123" t="s">
        <v>9</v>
      </c>
      <c r="H115" s="124">
        <f>H116</f>
        <v>0</v>
      </c>
      <c r="L115" s="19">
        <v>1291.44</v>
      </c>
      <c r="M115" s="19">
        <v>86.53</v>
      </c>
      <c r="N115" s="19">
        <v>139.63</v>
      </c>
      <c r="O115" s="19">
        <f>H115-L115</f>
        <v>-1291.44</v>
      </c>
      <c r="P115" s="19" t="e">
        <f>#REF!-M115</f>
        <v>#REF!</v>
      </c>
      <c r="Q115" s="19" t="e">
        <f>#REF!-N115</f>
        <v>#REF!</v>
      </c>
      <c r="R115" s="17" t="str">
        <f t="shared" si="1"/>
        <v>00 0 00 00000000</v>
      </c>
    </row>
    <row r="116" spans="1:18" s="16" customFormat="1" ht="63">
      <c r="A116" s="14"/>
      <c r="B116" s="125" t="s">
        <v>87</v>
      </c>
      <c r="C116" s="109" t="s">
        <v>64</v>
      </c>
      <c r="D116" s="108" t="s">
        <v>11</v>
      </c>
      <c r="E116" s="131" t="s">
        <v>86</v>
      </c>
      <c r="F116" s="108" t="s">
        <v>88</v>
      </c>
      <c r="G116" s="108" t="s">
        <v>9</v>
      </c>
      <c r="H116" s="126">
        <f t="shared" ref="H116:H118" si="8">H117</f>
        <v>0</v>
      </c>
      <c r="L116" s="20">
        <v>1291.44</v>
      </c>
      <c r="M116" s="20">
        <v>86.53</v>
      </c>
      <c r="N116" s="20">
        <v>139.63</v>
      </c>
      <c r="O116" s="20">
        <f>H116-L116</f>
        <v>-1291.44</v>
      </c>
      <c r="P116" s="20" t="e">
        <f>#REF!-M116</f>
        <v>#REF!</v>
      </c>
      <c r="Q116" s="20" t="e">
        <f>#REF!-N116</f>
        <v>#REF!</v>
      </c>
      <c r="R116" s="17" t="str">
        <f t="shared" si="1"/>
        <v>98 0 00 00000000</v>
      </c>
    </row>
    <row r="117" spans="1:18" s="16" customFormat="1" ht="15.75">
      <c r="A117" s="14"/>
      <c r="B117" s="125" t="s">
        <v>89</v>
      </c>
      <c r="C117" s="109" t="s">
        <v>64</v>
      </c>
      <c r="D117" s="108" t="s">
        <v>11</v>
      </c>
      <c r="E117" s="131" t="s">
        <v>86</v>
      </c>
      <c r="F117" s="108" t="s">
        <v>90</v>
      </c>
      <c r="G117" s="108" t="s">
        <v>9</v>
      </c>
      <c r="H117" s="126">
        <f t="shared" si="8"/>
        <v>0</v>
      </c>
      <c r="L117" s="20">
        <v>1291.44</v>
      </c>
      <c r="M117" s="20">
        <v>86.53</v>
      </c>
      <c r="N117" s="20">
        <v>139.63</v>
      </c>
      <c r="O117" s="20">
        <f>H117-L117</f>
        <v>-1291.44</v>
      </c>
      <c r="P117" s="20" t="e">
        <f>#REF!-M117</f>
        <v>#REF!</v>
      </c>
      <c r="Q117" s="20" t="e">
        <f>#REF!-N117</f>
        <v>#REF!</v>
      </c>
      <c r="R117" s="17" t="str">
        <f t="shared" si="1"/>
        <v>98 1 00 00000000</v>
      </c>
    </row>
    <row r="118" spans="1:18" s="16" customFormat="1" ht="63">
      <c r="A118" s="14" t="s">
        <v>91</v>
      </c>
      <c r="B118" s="129" t="s">
        <v>92</v>
      </c>
      <c r="C118" s="130" t="s">
        <v>64</v>
      </c>
      <c r="D118" s="131" t="s">
        <v>11</v>
      </c>
      <c r="E118" s="131" t="s">
        <v>86</v>
      </c>
      <c r="F118" s="131" t="s">
        <v>93</v>
      </c>
      <c r="G118" s="131" t="s">
        <v>9</v>
      </c>
      <c r="H118" s="105">
        <f t="shared" si="8"/>
        <v>0</v>
      </c>
      <c r="L118" s="26">
        <v>1291.44</v>
      </c>
      <c r="M118" s="26">
        <v>86.53</v>
      </c>
      <c r="N118" s="26">
        <v>139.63</v>
      </c>
      <c r="O118" s="26">
        <f>H118-L118</f>
        <v>-1291.44</v>
      </c>
      <c r="P118" s="26" t="e">
        <f>#REF!-M118</f>
        <v>#REF!</v>
      </c>
      <c r="Q118" s="26" t="e">
        <f>#REF!-N118</f>
        <v>#REF!</v>
      </c>
      <c r="R118" s="17" t="str">
        <f t="shared" si="1"/>
        <v>98 1 00 51200000</v>
      </c>
    </row>
    <row r="119" spans="1:18" s="16" customFormat="1" ht="31.5">
      <c r="A119" s="14"/>
      <c r="B119" s="125" t="s">
        <v>28</v>
      </c>
      <c r="C119" s="130" t="s">
        <v>64</v>
      </c>
      <c r="D119" s="131" t="s">
        <v>11</v>
      </c>
      <c r="E119" s="131" t="s">
        <v>86</v>
      </c>
      <c r="F119" s="131" t="s">
        <v>93</v>
      </c>
      <c r="G119" s="131" t="s">
        <v>29</v>
      </c>
      <c r="H119" s="126">
        <f>H120</f>
        <v>0</v>
      </c>
      <c r="L119" s="20">
        <v>1291.44</v>
      </c>
      <c r="M119" s="20">
        <v>86.53</v>
      </c>
      <c r="N119" s="20">
        <v>139.63</v>
      </c>
      <c r="O119" s="20">
        <f>H119-L119</f>
        <v>-1291.44</v>
      </c>
      <c r="P119" s="20" t="e">
        <f>#REF!-M119</f>
        <v>#REF!</v>
      </c>
      <c r="Q119" s="20" t="e">
        <f>#REF!-N119</f>
        <v>#REF!</v>
      </c>
      <c r="R119" s="17" t="str">
        <f t="shared" ref="R119:R203" si="9">CONCATENATE(F119,G119)</f>
        <v>98 1 00 51200240</v>
      </c>
    </row>
    <row r="120" spans="1:18" s="16" customFormat="1" ht="15.75">
      <c r="A120" s="14"/>
      <c r="B120" s="125" t="s">
        <v>30</v>
      </c>
      <c r="C120" s="130" t="s">
        <v>64</v>
      </c>
      <c r="D120" s="131" t="s">
        <v>11</v>
      </c>
      <c r="E120" s="131" t="s">
        <v>86</v>
      </c>
      <c r="F120" s="131" t="s">
        <v>93</v>
      </c>
      <c r="G120" s="131" t="s">
        <v>31</v>
      </c>
      <c r="H120" s="126"/>
      <c r="L120" s="20"/>
      <c r="M120" s="20"/>
      <c r="N120" s="20"/>
      <c r="O120" s="20"/>
      <c r="P120" s="20"/>
      <c r="Q120" s="20"/>
      <c r="R120" s="17"/>
    </row>
    <row r="121" spans="1:18" s="16" customFormat="1" ht="15.75">
      <c r="A121" s="14"/>
      <c r="B121" s="121" t="s">
        <v>50</v>
      </c>
      <c r="C121" s="122" t="s">
        <v>64</v>
      </c>
      <c r="D121" s="123" t="s">
        <v>11</v>
      </c>
      <c r="E121" s="123" t="s">
        <v>51</v>
      </c>
      <c r="F121" s="123" t="s">
        <v>8</v>
      </c>
      <c r="G121" s="123" t="s">
        <v>9</v>
      </c>
      <c r="H121" s="124">
        <f>H122+H131+H137+H172+H197+H203+H219</f>
        <v>0</v>
      </c>
      <c r="L121" s="19">
        <v>146264.07</v>
      </c>
      <c r="M121" s="19">
        <v>131081.26</v>
      </c>
      <c r="N121" s="19">
        <v>131081.26</v>
      </c>
      <c r="O121" s="19">
        <f t="shared" ref="O121:O126" si="10">H121-L121</f>
        <v>-146264.07</v>
      </c>
      <c r="P121" s="19" t="e">
        <f>#REF!-M121</f>
        <v>#REF!</v>
      </c>
      <c r="Q121" s="19" t="e">
        <f>#REF!-N121</f>
        <v>#REF!</v>
      </c>
      <c r="R121" s="17" t="str">
        <f t="shared" si="9"/>
        <v>00 0 00 00000000</v>
      </c>
    </row>
    <row r="122" spans="1:18" s="16" customFormat="1" ht="31.5">
      <c r="A122" s="14"/>
      <c r="B122" s="129" t="s">
        <v>94</v>
      </c>
      <c r="C122" s="109" t="s">
        <v>64</v>
      </c>
      <c r="D122" s="108" t="s">
        <v>11</v>
      </c>
      <c r="E122" s="108" t="s">
        <v>51</v>
      </c>
      <c r="F122" s="108" t="s">
        <v>95</v>
      </c>
      <c r="G122" s="108" t="s">
        <v>9</v>
      </c>
      <c r="H122" s="126">
        <f t="shared" ref="H122:H123" si="11">H123</f>
        <v>0</v>
      </c>
      <c r="L122" s="20">
        <v>2119.08</v>
      </c>
      <c r="M122" s="20">
        <v>2119.08</v>
      </c>
      <c r="N122" s="20">
        <v>2119.08</v>
      </c>
      <c r="O122" s="20">
        <f t="shared" si="10"/>
        <v>-2119.08</v>
      </c>
      <c r="P122" s="20" t="e">
        <f>#REF!-M122</f>
        <v>#REF!</v>
      </c>
      <c r="Q122" s="20" t="e">
        <f>#REF!-N122</f>
        <v>#REF!</v>
      </c>
      <c r="R122" s="17" t="str">
        <f t="shared" si="9"/>
        <v>12 0 00 00000000</v>
      </c>
    </row>
    <row r="123" spans="1:18" s="16" customFormat="1" ht="31.5">
      <c r="A123" s="14"/>
      <c r="B123" s="129" t="s">
        <v>96</v>
      </c>
      <c r="C123" s="109" t="s">
        <v>64</v>
      </c>
      <c r="D123" s="108" t="s">
        <v>11</v>
      </c>
      <c r="E123" s="108" t="s">
        <v>51</v>
      </c>
      <c r="F123" s="108" t="s">
        <v>97</v>
      </c>
      <c r="G123" s="108" t="s">
        <v>9</v>
      </c>
      <c r="H123" s="126">
        <f t="shared" si="11"/>
        <v>0</v>
      </c>
      <c r="L123" s="20">
        <v>2119.08</v>
      </c>
      <c r="M123" s="20">
        <v>2119.08</v>
      </c>
      <c r="N123" s="20">
        <v>2119.08</v>
      </c>
      <c r="O123" s="20">
        <f t="shared" si="10"/>
        <v>-2119.08</v>
      </c>
      <c r="P123" s="20" t="e">
        <f>#REF!-M123</f>
        <v>#REF!</v>
      </c>
      <c r="Q123" s="20" t="e">
        <f>#REF!-N123</f>
        <v>#REF!</v>
      </c>
      <c r="R123" s="17" t="str">
        <f t="shared" si="9"/>
        <v>12 2 00 00000000</v>
      </c>
    </row>
    <row r="124" spans="1:18" s="16" customFormat="1" ht="47.25">
      <c r="A124" s="14"/>
      <c r="B124" s="129" t="s">
        <v>98</v>
      </c>
      <c r="C124" s="109" t="s">
        <v>64</v>
      </c>
      <c r="D124" s="108" t="s">
        <v>11</v>
      </c>
      <c r="E124" s="108" t="s">
        <v>51</v>
      </c>
      <c r="F124" s="108" t="s">
        <v>99</v>
      </c>
      <c r="G124" s="108" t="s">
        <v>9</v>
      </c>
      <c r="H124" s="126">
        <f>H125+H128</f>
        <v>0</v>
      </c>
      <c r="L124" s="20">
        <v>2119.08</v>
      </c>
      <c r="M124" s="20">
        <v>2119.08</v>
      </c>
      <c r="N124" s="20">
        <v>2119.08</v>
      </c>
      <c r="O124" s="20">
        <f t="shared" si="10"/>
        <v>-2119.08</v>
      </c>
      <c r="P124" s="20" t="e">
        <f>#REF!-M124</f>
        <v>#REF!</v>
      </c>
      <c r="Q124" s="20" t="e">
        <f>#REF!-N124</f>
        <v>#REF!</v>
      </c>
      <c r="R124" s="17" t="str">
        <f t="shared" si="9"/>
        <v>12 2 03 00000000</v>
      </c>
    </row>
    <row r="125" spans="1:18" s="16" customFormat="1" ht="63">
      <c r="A125" s="14"/>
      <c r="B125" s="129" t="s">
        <v>100</v>
      </c>
      <c r="C125" s="109" t="s">
        <v>64</v>
      </c>
      <c r="D125" s="108" t="s">
        <v>11</v>
      </c>
      <c r="E125" s="108" t="s">
        <v>51</v>
      </c>
      <c r="F125" s="108" t="s">
        <v>101</v>
      </c>
      <c r="G125" s="108" t="s">
        <v>9</v>
      </c>
      <c r="H125" s="126">
        <f>H126</f>
        <v>0</v>
      </c>
      <c r="L125" s="20">
        <v>1329.08</v>
      </c>
      <c r="M125" s="20">
        <v>1329.08</v>
      </c>
      <c r="N125" s="20">
        <v>1329.08</v>
      </c>
      <c r="O125" s="20">
        <f t="shared" si="10"/>
        <v>-1329.08</v>
      </c>
      <c r="P125" s="20" t="e">
        <f>#REF!-M125</f>
        <v>#REF!</v>
      </c>
      <c r="Q125" s="20" t="e">
        <f>#REF!-N125</f>
        <v>#REF!</v>
      </c>
      <c r="R125" s="17" t="str">
        <f t="shared" si="9"/>
        <v>12 2 03 20040000</v>
      </c>
    </row>
    <row r="126" spans="1:18" s="16" customFormat="1" ht="15.75">
      <c r="A126" s="14"/>
      <c r="B126" s="125" t="s">
        <v>32</v>
      </c>
      <c r="C126" s="109" t="s">
        <v>64</v>
      </c>
      <c r="D126" s="108" t="s">
        <v>11</v>
      </c>
      <c r="E126" s="108" t="s">
        <v>51</v>
      </c>
      <c r="F126" s="108" t="s">
        <v>101</v>
      </c>
      <c r="G126" s="108" t="s">
        <v>33</v>
      </c>
      <c r="H126" s="126">
        <f>H127</f>
        <v>0</v>
      </c>
      <c r="L126" s="20">
        <v>1329.08</v>
      </c>
      <c r="M126" s="20">
        <v>1329.08</v>
      </c>
      <c r="N126" s="20">
        <v>1329.08</v>
      </c>
      <c r="O126" s="20">
        <f t="shared" si="10"/>
        <v>-1329.08</v>
      </c>
      <c r="P126" s="20" t="e">
        <f>#REF!-M126</f>
        <v>#REF!</v>
      </c>
      <c r="Q126" s="20" t="e">
        <f>#REF!-N126</f>
        <v>#REF!</v>
      </c>
      <c r="R126" s="17" t="str">
        <f t="shared" si="9"/>
        <v>12 2 03 20040850</v>
      </c>
    </row>
    <row r="127" spans="1:18" s="23" customFormat="1" ht="15.75">
      <c r="A127" s="21"/>
      <c r="B127" s="127" t="s">
        <v>77</v>
      </c>
      <c r="C127" s="109" t="s">
        <v>64</v>
      </c>
      <c r="D127" s="108" t="s">
        <v>11</v>
      </c>
      <c r="E127" s="108" t="s">
        <v>51</v>
      </c>
      <c r="F127" s="108" t="s">
        <v>101</v>
      </c>
      <c r="G127" s="108" t="s">
        <v>78</v>
      </c>
      <c r="H127" s="126"/>
      <c r="L127" s="22"/>
      <c r="M127" s="22"/>
      <c r="N127" s="22"/>
      <c r="O127" s="22"/>
      <c r="P127" s="22"/>
      <c r="Q127" s="22"/>
      <c r="R127" s="24"/>
    </row>
    <row r="128" spans="1:18" s="16" customFormat="1" ht="94.5">
      <c r="A128" s="14"/>
      <c r="B128" s="129" t="s">
        <v>54</v>
      </c>
      <c r="C128" s="109" t="s">
        <v>64</v>
      </c>
      <c r="D128" s="108" t="s">
        <v>11</v>
      </c>
      <c r="E128" s="108" t="s">
        <v>51</v>
      </c>
      <c r="F128" s="108" t="s">
        <v>102</v>
      </c>
      <c r="G128" s="108" t="s">
        <v>9</v>
      </c>
      <c r="H128" s="126">
        <f>H129</f>
        <v>0</v>
      </c>
      <c r="L128" s="20">
        <v>790</v>
      </c>
      <c r="M128" s="20">
        <v>790</v>
      </c>
      <c r="N128" s="20">
        <v>790</v>
      </c>
      <c r="O128" s="20">
        <f>H128-L128</f>
        <v>-790</v>
      </c>
      <c r="P128" s="20" t="e">
        <f>#REF!-M128</f>
        <v>#REF!</v>
      </c>
      <c r="Q128" s="20" t="e">
        <f>#REF!-N128</f>
        <v>#REF!</v>
      </c>
      <c r="R128" s="17" t="str">
        <f t="shared" si="9"/>
        <v>12 2 03 20090000</v>
      </c>
    </row>
    <row r="129" spans="1:18" s="16" customFormat="1" ht="31.5">
      <c r="A129" s="14"/>
      <c r="B129" s="125" t="s">
        <v>28</v>
      </c>
      <c r="C129" s="109" t="s">
        <v>64</v>
      </c>
      <c r="D129" s="108" t="s">
        <v>11</v>
      </c>
      <c r="E129" s="108" t="s">
        <v>51</v>
      </c>
      <c r="F129" s="108" t="s">
        <v>102</v>
      </c>
      <c r="G129" s="108" t="s">
        <v>29</v>
      </c>
      <c r="H129" s="126">
        <f>H130</f>
        <v>0</v>
      </c>
      <c r="L129" s="20">
        <v>790</v>
      </c>
      <c r="M129" s="20">
        <v>790</v>
      </c>
      <c r="N129" s="20">
        <v>790</v>
      </c>
      <c r="O129" s="20">
        <f>H129-L129</f>
        <v>-790</v>
      </c>
      <c r="P129" s="20" t="e">
        <f>#REF!-M129</f>
        <v>#REF!</v>
      </c>
      <c r="Q129" s="20" t="e">
        <f>#REF!-N129</f>
        <v>#REF!</v>
      </c>
      <c r="R129" s="17" t="str">
        <f t="shared" si="9"/>
        <v>12 2 03 20090240</v>
      </c>
    </row>
    <row r="130" spans="1:18" s="16" customFormat="1" ht="15.75">
      <c r="A130" s="14"/>
      <c r="B130" s="125" t="s">
        <v>30</v>
      </c>
      <c r="C130" s="109" t="s">
        <v>64</v>
      </c>
      <c r="D130" s="108" t="s">
        <v>11</v>
      </c>
      <c r="E130" s="108" t="s">
        <v>51</v>
      </c>
      <c r="F130" s="108" t="s">
        <v>102</v>
      </c>
      <c r="G130" s="108" t="s">
        <v>31</v>
      </c>
      <c r="H130" s="126"/>
      <c r="L130" s="20"/>
      <c r="M130" s="20"/>
      <c r="N130" s="20"/>
      <c r="O130" s="20"/>
      <c r="P130" s="20"/>
      <c r="Q130" s="20"/>
      <c r="R130" s="17" t="str">
        <f t="shared" si="9"/>
        <v>12 2 03 20090244</v>
      </c>
    </row>
    <row r="131" spans="1:18" s="16" customFormat="1" ht="47.25">
      <c r="A131" s="14"/>
      <c r="B131" s="129" t="s">
        <v>103</v>
      </c>
      <c r="C131" s="109" t="s">
        <v>64</v>
      </c>
      <c r="D131" s="108" t="s">
        <v>11</v>
      </c>
      <c r="E131" s="108" t="s">
        <v>51</v>
      </c>
      <c r="F131" s="108" t="s">
        <v>104</v>
      </c>
      <c r="G131" s="108" t="s">
        <v>9</v>
      </c>
      <c r="H131" s="126">
        <f>H132</f>
        <v>0</v>
      </c>
      <c r="L131" s="20">
        <v>100</v>
      </c>
      <c r="M131" s="20">
        <v>100</v>
      </c>
      <c r="N131" s="20">
        <v>100</v>
      </c>
      <c r="O131" s="20">
        <f>H131-L131</f>
        <v>-100</v>
      </c>
      <c r="P131" s="20" t="e">
        <f>#REF!-M131</f>
        <v>#REF!</v>
      </c>
      <c r="Q131" s="20" t="e">
        <f>#REF!-N131</f>
        <v>#REF!</v>
      </c>
      <c r="R131" s="17" t="str">
        <f t="shared" si="9"/>
        <v>13 0 00 00000000</v>
      </c>
    </row>
    <row r="132" spans="1:18" s="16" customFormat="1" ht="47.25">
      <c r="A132" s="14"/>
      <c r="B132" s="125" t="s">
        <v>105</v>
      </c>
      <c r="C132" s="109" t="s">
        <v>64</v>
      </c>
      <c r="D132" s="108" t="s">
        <v>11</v>
      </c>
      <c r="E132" s="108" t="s">
        <v>51</v>
      </c>
      <c r="F132" s="108" t="s">
        <v>106</v>
      </c>
      <c r="G132" s="108" t="s">
        <v>9</v>
      </c>
      <c r="H132" s="126">
        <f>H133</f>
        <v>0</v>
      </c>
      <c r="L132" s="20">
        <v>100</v>
      </c>
      <c r="M132" s="20">
        <v>100</v>
      </c>
      <c r="N132" s="20">
        <v>100</v>
      </c>
      <c r="O132" s="20">
        <f>H132-L132</f>
        <v>-100</v>
      </c>
      <c r="P132" s="20" t="e">
        <f>#REF!-M132</f>
        <v>#REF!</v>
      </c>
      <c r="Q132" s="20" t="e">
        <f>#REF!-N132</f>
        <v>#REF!</v>
      </c>
      <c r="R132" s="17" t="str">
        <f t="shared" si="9"/>
        <v>13 2 00 00000000</v>
      </c>
    </row>
    <row r="133" spans="1:18" s="16" customFormat="1" ht="31.5">
      <c r="A133" s="14"/>
      <c r="B133" s="129" t="s">
        <v>107</v>
      </c>
      <c r="C133" s="109" t="s">
        <v>64</v>
      </c>
      <c r="D133" s="108" t="s">
        <v>11</v>
      </c>
      <c r="E133" s="108" t="s">
        <v>51</v>
      </c>
      <c r="F133" s="108" t="s">
        <v>108</v>
      </c>
      <c r="G133" s="108" t="s">
        <v>9</v>
      </c>
      <c r="H133" s="126">
        <f>H134</f>
        <v>0</v>
      </c>
      <c r="L133" s="20">
        <v>100</v>
      </c>
      <c r="M133" s="20">
        <v>100</v>
      </c>
      <c r="N133" s="20">
        <v>100</v>
      </c>
      <c r="O133" s="20">
        <f>H133-L133</f>
        <v>-100</v>
      </c>
      <c r="P133" s="20" t="e">
        <f>#REF!-M133</f>
        <v>#REF!</v>
      </c>
      <c r="Q133" s="20" t="e">
        <f>#REF!-N133</f>
        <v>#REF!</v>
      </c>
      <c r="R133" s="17" t="str">
        <f t="shared" si="9"/>
        <v>13 2 01 00000000</v>
      </c>
    </row>
    <row r="134" spans="1:18" s="16" customFormat="1" ht="47.25">
      <c r="A134" s="14"/>
      <c r="B134" s="129" t="s">
        <v>109</v>
      </c>
      <c r="C134" s="109" t="s">
        <v>64</v>
      </c>
      <c r="D134" s="108" t="s">
        <v>11</v>
      </c>
      <c r="E134" s="108" t="s">
        <v>51</v>
      </c>
      <c r="F134" s="108" t="s">
        <v>110</v>
      </c>
      <c r="G134" s="108" t="s">
        <v>9</v>
      </c>
      <c r="H134" s="126">
        <f>H135</f>
        <v>0</v>
      </c>
      <c r="L134" s="20">
        <v>100</v>
      </c>
      <c r="M134" s="20">
        <v>100</v>
      </c>
      <c r="N134" s="20">
        <v>100</v>
      </c>
      <c r="O134" s="20">
        <f>H134-L134</f>
        <v>-100</v>
      </c>
      <c r="P134" s="20" t="e">
        <f>#REF!-M134</f>
        <v>#REF!</v>
      </c>
      <c r="Q134" s="20" t="e">
        <f>#REF!-N134</f>
        <v>#REF!</v>
      </c>
      <c r="R134" s="17" t="str">
        <f t="shared" si="9"/>
        <v>13 2 01 20620000</v>
      </c>
    </row>
    <row r="135" spans="1:18" s="16" customFormat="1" ht="31.5">
      <c r="A135" s="14"/>
      <c r="B135" s="125" t="s">
        <v>28</v>
      </c>
      <c r="C135" s="109" t="s">
        <v>64</v>
      </c>
      <c r="D135" s="108" t="s">
        <v>11</v>
      </c>
      <c r="E135" s="108" t="s">
        <v>51</v>
      </c>
      <c r="F135" s="108" t="s">
        <v>110</v>
      </c>
      <c r="G135" s="108" t="s">
        <v>29</v>
      </c>
      <c r="H135" s="126">
        <f>H136</f>
        <v>0</v>
      </c>
      <c r="L135" s="20">
        <v>100</v>
      </c>
      <c r="M135" s="20">
        <v>100</v>
      </c>
      <c r="N135" s="20">
        <v>100</v>
      </c>
      <c r="O135" s="20">
        <f>H135-L135</f>
        <v>-100</v>
      </c>
      <c r="P135" s="20" t="e">
        <f>#REF!-M135</f>
        <v>#REF!</v>
      </c>
      <c r="Q135" s="20" t="e">
        <f>#REF!-N135</f>
        <v>#REF!</v>
      </c>
      <c r="R135" s="17" t="str">
        <f t="shared" si="9"/>
        <v>13 2 01 20620240</v>
      </c>
    </row>
    <row r="136" spans="1:18" s="16" customFormat="1" ht="15.75">
      <c r="A136" s="14"/>
      <c r="B136" s="125" t="s">
        <v>30</v>
      </c>
      <c r="C136" s="109" t="s">
        <v>64</v>
      </c>
      <c r="D136" s="108" t="s">
        <v>11</v>
      </c>
      <c r="E136" s="108" t="s">
        <v>51</v>
      </c>
      <c r="F136" s="108" t="s">
        <v>110</v>
      </c>
      <c r="G136" s="108" t="s">
        <v>31</v>
      </c>
      <c r="H136" s="126"/>
      <c r="L136" s="20"/>
      <c r="M136" s="20"/>
      <c r="N136" s="20"/>
      <c r="O136" s="20"/>
      <c r="P136" s="20"/>
      <c r="Q136" s="20"/>
      <c r="R136" s="17" t="str">
        <f t="shared" si="9"/>
        <v>13 2 01 20620244</v>
      </c>
    </row>
    <row r="137" spans="1:18" s="16" customFormat="1" ht="63">
      <c r="A137" s="14"/>
      <c r="B137" s="129" t="s">
        <v>111</v>
      </c>
      <c r="C137" s="109" t="s">
        <v>64</v>
      </c>
      <c r="D137" s="108" t="s">
        <v>11</v>
      </c>
      <c r="E137" s="108" t="s">
        <v>51</v>
      </c>
      <c r="F137" s="108" t="s">
        <v>112</v>
      </c>
      <c r="G137" s="108" t="s">
        <v>9</v>
      </c>
      <c r="H137" s="126">
        <f>H138+H147</f>
        <v>0</v>
      </c>
      <c r="L137" s="20">
        <v>95957.5</v>
      </c>
      <c r="M137" s="20">
        <v>85824.690000000017</v>
      </c>
      <c r="N137" s="20">
        <v>85824.690000000017</v>
      </c>
      <c r="O137" s="20">
        <f>H137-L137</f>
        <v>-95957.5</v>
      </c>
      <c r="P137" s="20" t="e">
        <f>#REF!-M137</f>
        <v>#REF!</v>
      </c>
      <c r="Q137" s="20" t="e">
        <f>#REF!-N137</f>
        <v>#REF!</v>
      </c>
      <c r="R137" s="17" t="str">
        <f t="shared" si="9"/>
        <v>14 0 00 00000000</v>
      </c>
    </row>
    <row r="138" spans="1:18" s="16" customFormat="1" ht="31.5">
      <c r="A138" s="14"/>
      <c r="B138" s="129" t="s">
        <v>113</v>
      </c>
      <c r="C138" s="109" t="s">
        <v>64</v>
      </c>
      <c r="D138" s="108" t="s">
        <v>11</v>
      </c>
      <c r="E138" s="108" t="s">
        <v>51</v>
      </c>
      <c r="F138" s="108" t="s">
        <v>114</v>
      </c>
      <c r="G138" s="108" t="s">
        <v>9</v>
      </c>
      <c r="H138" s="126">
        <f>H139+H143</f>
        <v>0</v>
      </c>
      <c r="L138" s="20">
        <v>21574.29</v>
      </c>
      <c r="M138" s="20">
        <v>12061.880000000001</v>
      </c>
      <c r="N138" s="20">
        <v>12061.880000000001</v>
      </c>
      <c r="O138" s="20">
        <f>H138-L138</f>
        <v>-21574.29</v>
      </c>
      <c r="P138" s="20" t="e">
        <f>#REF!-M138</f>
        <v>#REF!</v>
      </c>
      <c r="Q138" s="20" t="e">
        <f>#REF!-N138</f>
        <v>#REF!</v>
      </c>
      <c r="R138" s="17" t="str">
        <f t="shared" si="9"/>
        <v>14 1 00 00000000</v>
      </c>
    </row>
    <row r="139" spans="1:18" s="16" customFormat="1" ht="47.25">
      <c r="A139" s="14"/>
      <c r="B139" s="129" t="s">
        <v>115</v>
      </c>
      <c r="C139" s="109" t="s">
        <v>64</v>
      </c>
      <c r="D139" s="108" t="s">
        <v>11</v>
      </c>
      <c r="E139" s="108" t="s">
        <v>51</v>
      </c>
      <c r="F139" s="108" t="s">
        <v>116</v>
      </c>
      <c r="G139" s="108" t="s">
        <v>9</v>
      </c>
      <c r="H139" s="126">
        <f>H140</f>
        <v>0</v>
      </c>
      <c r="L139" s="20">
        <v>15750.150000000001</v>
      </c>
      <c r="M139" s="20">
        <v>8250.85</v>
      </c>
      <c r="N139" s="20">
        <v>8250.85</v>
      </c>
      <c r="O139" s="20">
        <f>H139-L139</f>
        <v>-15750.150000000001</v>
      </c>
      <c r="P139" s="20" t="e">
        <f>#REF!-M139</f>
        <v>#REF!</v>
      </c>
      <c r="Q139" s="20" t="e">
        <f>#REF!-N139</f>
        <v>#REF!</v>
      </c>
      <c r="R139" s="17" t="str">
        <f t="shared" si="9"/>
        <v>14 1 01 00000000</v>
      </c>
    </row>
    <row r="140" spans="1:18" s="16" customFormat="1" ht="31.5">
      <c r="A140" s="14"/>
      <c r="B140" s="129" t="s">
        <v>117</v>
      </c>
      <c r="C140" s="109" t="s">
        <v>64</v>
      </c>
      <c r="D140" s="108" t="s">
        <v>11</v>
      </c>
      <c r="E140" s="108" t="s">
        <v>51</v>
      </c>
      <c r="F140" s="108" t="s">
        <v>118</v>
      </c>
      <c r="G140" s="108" t="s">
        <v>9</v>
      </c>
      <c r="H140" s="126">
        <f t="shared" ref="H140" si="12">H141</f>
        <v>0</v>
      </c>
      <c r="L140" s="20">
        <v>15750.150000000001</v>
      </c>
      <c r="M140" s="20">
        <v>8250.85</v>
      </c>
      <c r="N140" s="20">
        <v>8250.85</v>
      </c>
      <c r="O140" s="20">
        <f>H140-L140</f>
        <v>-15750.150000000001</v>
      </c>
      <c r="P140" s="20" t="e">
        <f>#REF!-M140</f>
        <v>#REF!</v>
      </c>
      <c r="Q140" s="20" t="e">
        <f>#REF!-N140</f>
        <v>#REF!</v>
      </c>
      <c r="R140" s="17" t="str">
        <f t="shared" si="9"/>
        <v>14 1 01 20630000</v>
      </c>
    </row>
    <row r="141" spans="1:18" s="16" customFormat="1" ht="31.5">
      <c r="A141" s="14"/>
      <c r="B141" s="125" t="s">
        <v>28</v>
      </c>
      <c r="C141" s="109" t="s">
        <v>64</v>
      </c>
      <c r="D141" s="108" t="s">
        <v>11</v>
      </c>
      <c r="E141" s="108" t="s">
        <v>51</v>
      </c>
      <c r="F141" s="108" t="s">
        <v>118</v>
      </c>
      <c r="G141" s="108" t="s">
        <v>29</v>
      </c>
      <c r="H141" s="126">
        <f>H142</f>
        <v>0</v>
      </c>
      <c r="L141" s="20">
        <v>15750.150000000001</v>
      </c>
      <c r="M141" s="20">
        <v>8250.85</v>
      </c>
      <c r="N141" s="20">
        <v>8250.85</v>
      </c>
      <c r="O141" s="20">
        <f>H141-L141</f>
        <v>-15750.150000000001</v>
      </c>
      <c r="P141" s="20" t="e">
        <f>#REF!-M141</f>
        <v>#REF!</v>
      </c>
      <c r="Q141" s="20" t="e">
        <f>#REF!-N141</f>
        <v>#REF!</v>
      </c>
      <c r="R141" s="17" t="str">
        <f t="shared" si="9"/>
        <v>14 1 01 20630240</v>
      </c>
    </row>
    <row r="142" spans="1:18" s="16" customFormat="1" ht="15.75">
      <c r="A142" s="14"/>
      <c r="B142" s="125" t="s">
        <v>30</v>
      </c>
      <c r="C142" s="109" t="s">
        <v>64</v>
      </c>
      <c r="D142" s="108" t="s">
        <v>11</v>
      </c>
      <c r="E142" s="108" t="s">
        <v>51</v>
      </c>
      <c r="F142" s="108" t="s">
        <v>118</v>
      </c>
      <c r="G142" s="108" t="s">
        <v>31</v>
      </c>
      <c r="H142" s="126"/>
      <c r="L142" s="20"/>
      <c r="M142" s="20"/>
      <c r="N142" s="20"/>
      <c r="O142" s="20"/>
      <c r="P142" s="20"/>
      <c r="Q142" s="20"/>
      <c r="R142" s="17" t="str">
        <f t="shared" si="9"/>
        <v>14 1 01 20630244</v>
      </c>
    </row>
    <row r="143" spans="1:18" s="16" customFormat="1" ht="63">
      <c r="A143" s="14"/>
      <c r="B143" s="129" t="s">
        <v>119</v>
      </c>
      <c r="C143" s="109" t="s">
        <v>64</v>
      </c>
      <c r="D143" s="108" t="s">
        <v>11</v>
      </c>
      <c r="E143" s="108" t="s">
        <v>51</v>
      </c>
      <c r="F143" s="108" t="s">
        <v>120</v>
      </c>
      <c r="G143" s="108" t="s">
        <v>9</v>
      </c>
      <c r="H143" s="126">
        <f t="shared" ref="H143:H144" si="13">H144</f>
        <v>0</v>
      </c>
      <c r="L143" s="20">
        <v>5824.1400000000012</v>
      </c>
      <c r="M143" s="20">
        <v>3811.03</v>
      </c>
      <c r="N143" s="20">
        <v>3811.03</v>
      </c>
      <c r="O143" s="20">
        <f>H143-L143</f>
        <v>-5824.1400000000012</v>
      </c>
      <c r="P143" s="20" t="e">
        <f>#REF!-M143</f>
        <v>#REF!</v>
      </c>
      <c r="Q143" s="20" t="e">
        <f>#REF!-N143</f>
        <v>#REF!</v>
      </c>
      <c r="R143" s="17" t="str">
        <f t="shared" si="9"/>
        <v>14 1 02 00000000</v>
      </c>
    </row>
    <row r="144" spans="1:18" s="16" customFormat="1" ht="31.5">
      <c r="A144" s="14"/>
      <c r="B144" s="129" t="s">
        <v>117</v>
      </c>
      <c r="C144" s="109" t="s">
        <v>64</v>
      </c>
      <c r="D144" s="108" t="s">
        <v>11</v>
      </c>
      <c r="E144" s="108" t="s">
        <v>51</v>
      </c>
      <c r="F144" s="108" t="s">
        <v>121</v>
      </c>
      <c r="G144" s="108" t="s">
        <v>9</v>
      </c>
      <c r="H144" s="126">
        <f t="shared" si="13"/>
        <v>0</v>
      </c>
      <c r="L144" s="20">
        <v>5824.1400000000012</v>
      </c>
      <c r="M144" s="20">
        <v>3811.03</v>
      </c>
      <c r="N144" s="20">
        <v>3811.03</v>
      </c>
      <c r="O144" s="20">
        <f>H144-L144</f>
        <v>-5824.1400000000012</v>
      </c>
      <c r="P144" s="20" t="e">
        <f>#REF!-M144</f>
        <v>#REF!</v>
      </c>
      <c r="Q144" s="20" t="e">
        <f>#REF!-N144</f>
        <v>#REF!</v>
      </c>
      <c r="R144" s="17" t="str">
        <f t="shared" si="9"/>
        <v>14 1 02 20630000</v>
      </c>
    </row>
    <row r="145" spans="1:18" s="16" customFormat="1" ht="31.5">
      <c r="A145" s="14"/>
      <c r="B145" s="125" t="s">
        <v>28</v>
      </c>
      <c r="C145" s="109" t="s">
        <v>64</v>
      </c>
      <c r="D145" s="108" t="s">
        <v>11</v>
      </c>
      <c r="E145" s="108" t="s">
        <v>51</v>
      </c>
      <c r="F145" s="108" t="s">
        <v>121</v>
      </c>
      <c r="G145" s="108" t="s">
        <v>29</v>
      </c>
      <c r="H145" s="126">
        <f>H146</f>
        <v>0</v>
      </c>
      <c r="L145" s="20">
        <v>5824.1400000000012</v>
      </c>
      <c r="M145" s="20">
        <v>3811.03</v>
      </c>
      <c r="N145" s="20">
        <v>3811.03</v>
      </c>
      <c r="O145" s="20">
        <f>H145-L145</f>
        <v>-5824.1400000000012</v>
      </c>
      <c r="P145" s="20" t="e">
        <f>#REF!-M145</f>
        <v>#REF!</v>
      </c>
      <c r="Q145" s="20" t="e">
        <f>#REF!-N145</f>
        <v>#REF!</v>
      </c>
      <c r="R145" s="17" t="str">
        <f t="shared" si="9"/>
        <v>14 1 02 20630240</v>
      </c>
    </row>
    <row r="146" spans="1:18" s="16" customFormat="1" ht="15.75">
      <c r="A146" s="14"/>
      <c r="B146" s="125" t="s">
        <v>30</v>
      </c>
      <c r="C146" s="109" t="s">
        <v>64</v>
      </c>
      <c r="D146" s="108" t="s">
        <v>11</v>
      </c>
      <c r="E146" s="108" t="s">
        <v>51</v>
      </c>
      <c r="F146" s="108" t="s">
        <v>121</v>
      </c>
      <c r="G146" s="108" t="s">
        <v>31</v>
      </c>
      <c r="H146" s="126"/>
      <c r="L146" s="20"/>
      <c r="M146" s="20"/>
      <c r="N146" s="20"/>
      <c r="O146" s="20"/>
      <c r="P146" s="20"/>
      <c r="Q146" s="20"/>
      <c r="R146" s="17"/>
    </row>
    <row r="147" spans="1:18" s="16" customFormat="1" ht="47.25">
      <c r="A147" s="14"/>
      <c r="B147" s="129" t="s">
        <v>122</v>
      </c>
      <c r="C147" s="109" t="s">
        <v>64</v>
      </c>
      <c r="D147" s="108" t="s">
        <v>11</v>
      </c>
      <c r="E147" s="108" t="s">
        <v>51</v>
      </c>
      <c r="F147" s="108" t="s">
        <v>123</v>
      </c>
      <c r="G147" s="108" t="s">
        <v>9</v>
      </c>
      <c r="H147" s="126">
        <f>H148+H152+H160+H156</f>
        <v>0</v>
      </c>
      <c r="L147" s="20">
        <v>74383.210000000006</v>
      </c>
      <c r="M147" s="20">
        <v>73762.810000000012</v>
      </c>
      <c r="N147" s="20">
        <v>73762.810000000012</v>
      </c>
      <c r="O147" s="20">
        <f>H147-L147</f>
        <v>-74383.210000000006</v>
      </c>
      <c r="P147" s="20" t="e">
        <f>#REF!-M147</f>
        <v>#REF!</v>
      </c>
      <c r="Q147" s="20" t="e">
        <f>#REF!-N147</f>
        <v>#REF!</v>
      </c>
      <c r="R147" s="17" t="str">
        <f t="shared" si="9"/>
        <v>14 2 00 00000000</v>
      </c>
    </row>
    <row r="148" spans="1:18" s="16" customFormat="1" ht="47.25">
      <c r="A148" s="14"/>
      <c r="B148" s="129" t="s">
        <v>124</v>
      </c>
      <c r="C148" s="109" t="s">
        <v>64</v>
      </c>
      <c r="D148" s="108" t="s">
        <v>11</v>
      </c>
      <c r="E148" s="108" t="s">
        <v>51</v>
      </c>
      <c r="F148" s="108" t="s">
        <v>125</v>
      </c>
      <c r="G148" s="108" t="s">
        <v>9</v>
      </c>
      <c r="H148" s="126">
        <f t="shared" ref="H148:H149" si="14">H149</f>
        <v>0</v>
      </c>
      <c r="L148" s="20">
        <v>450</v>
      </c>
      <c r="M148" s="20">
        <v>450</v>
      </c>
      <c r="N148" s="20">
        <v>450</v>
      </c>
      <c r="O148" s="20">
        <f>H148-L148</f>
        <v>-450</v>
      </c>
      <c r="P148" s="20" t="e">
        <f>#REF!-M148</f>
        <v>#REF!</v>
      </c>
      <c r="Q148" s="20" t="e">
        <f>#REF!-N148</f>
        <v>#REF!</v>
      </c>
      <c r="R148" s="17" t="str">
        <f t="shared" si="9"/>
        <v>14 2 01 00000000</v>
      </c>
    </row>
    <row r="149" spans="1:18" s="16" customFormat="1" ht="63">
      <c r="A149" s="14"/>
      <c r="B149" s="129" t="s">
        <v>126</v>
      </c>
      <c r="C149" s="109" t="s">
        <v>64</v>
      </c>
      <c r="D149" s="108" t="s">
        <v>11</v>
      </c>
      <c r="E149" s="108" t="s">
        <v>51</v>
      </c>
      <c r="F149" s="108" t="s">
        <v>127</v>
      </c>
      <c r="G149" s="108" t="s">
        <v>9</v>
      </c>
      <c r="H149" s="126">
        <f t="shared" si="14"/>
        <v>0</v>
      </c>
      <c r="L149" s="20">
        <v>450</v>
      </c>
      <c r="M149" s="20">
        <v>450</v>
      </c>
      <c r="N149" s="20">
        <v>450</v>
      </c>
      <c r="O149" s="20">
        <f>H149-L149</f>
        <v>-450</v>
      </c>
      <c r="P149" s="20" t="e">
        <f>#REF!-M149</f>
        <v>#REF!</v>
      </c>
      <c r="Q149" s="20" t="e">
        <f>#REF!-N149</f>
        <v>#REF!</v>
      </c>
      <c r="R149" s="17" t="str">
        <f t="shared" si="9"/>
        <v>14 2 01 20710000</v>
      </c>
    </row>
    <row r="150" spans="1:18" s="16" customFormat="1" ht="31.5">
      <c r="A150" s="14"/>
      <c r="B150" s="125" t="s">
        <v>28</v>
      </c>
      <c r="C150" s="109" t="s">
        <v>64</v>
      </c>
      <c r="D150" s="108" t="s">
        <v>11</v>
      </c>
      <c r="E150" s="108" t="s">
        <v>51</v>
      </c>
      <c r="F150" s="108" t="s">
        <v>127</v>
      </c>
      <c r="G150" s="108" t="s">
        <v>29</v>
      </c>
      <c r="H150" s="126">
        <f>H151</f>
        <v>0</v>
      </c>
      <c r="L150" s="20">
        <v>450</v>
      </c>
      <c r="M150" s="20">
        <v>450</v>
      </c>
      <c r="N150" s="20">
        <v>450</v>
      </c>
      <c r="O150" s="20">
        <f>H150-L150</f>
        <v>-450</v>
      </c>
      <c r="P150" s="20" t="e">
        <f>#REF!-M150</f>
        <v>#REF!</v>
      </c>
      <c r="Q150" s="20" t="e">
        <f>#REF!-N150</f>
        <v>#REF!</v>
      </c>
      <c r="R150" s="17" t="str">
        <f t="shared" si="9"/>
        <v>14 2 01 20710240</v>
      </c>
    </row>
    <row r="151" spans="1:18" s="16" customFormat="1" ht="15.75">
      <c r="A151" s="14"/>
      <c r="B151" s="125" t="s">
        <v>30</v>
      </c>
      <c r="C151" s="109" t="s">
        <v>64</v>
      </c>
      <c r="D151" s="108" t="s">
        <v>11</v>
      </c>
      <c r="E151" s="108" t="s">
        <v>51</v>
      </c>
      <c r="F151" s="108" t="s">
        <v>127</v>
      </c>
      <c r="G151" s="108" t="s">
        <v>31</v>
      </c>
      <c r="H151" s="126"/>
      <c r="L151" s="20"/>
      <c r="M151" s="20"/>
      <c r="N151" s="20"/>
      <c r="O151" s="20"/>
      <c r="P151" s="20"/>
      <c r="Q151" s="20"/>
      <c r="R151" s="17" t="str">
        <f t="shared" si="9"/>
        <v>14 2 01 20710244</v>
      </c>
    </row>
    <row r="152" spans="1:18" s="16" customFormat="1" ht="78.75">
      <c r="A152" s="14"/>
      <c r="B152" s="129" t="s">
        <v>128</v>
      </c>
      <c r="C152" s="109" t="s">
        <v>64</v>
      </c>
      <c r="D152" s="108" t="s">
        <v>11</v>
      </c>
      <c r="E152" s="108" t="s">
        <v>51</v>
      </c>
      <c r="F152" s="108" t="s">
        <v>129</v>
      </c>
      <c r="G152" s="108" t="s">
        <v>9</v>
      </c>
      <c r="H152" s="126">
        <f t="shared" ref="H152:H153" si="15">H153</f>
        <v>0</v>
      </c>
      <c r="L152" s="20">
        <v>76.5</v>
      </c>
      <c r="M152" s="20">
        <v>76.5</v>
      </c>
      <c r="N152" s="20">
        <v>76.5</v>
      </c>
      <c r="O152" s="20">
        <f>H152-L152</f>
        <v>-76.5</v>
      </c>
      <c r="P152" s="20" t="e">
        <f>#REF!-M152</f>
        <v>#REF!</v>
      </c>
      <c r="Q152" s="20" t="e">
        <f>#REF!-N152</f>
        <v>#REF!</v>
      </c>
      <c r="R152" s="17" t="str">
        <f t="shared" si="9"/>
        <v>14 2 02 00000000</v>
      </c>
    </row>
    <row r="153" spans="1:18" s="16" customFormat="1" ht="63">
      <c r="A153" s="14"/>
      <c r="B153" s="129" t="s">
        <v>126</v>
      </c>
      <c r="C153" s="109" t="s">
        <v>64</v>
      </c>
      <c r="D153" s="108" t="s">
        <v>11</v>
      </c>
      <c r="E153" s="108" t="s">
        <v>51</v>
      </c>
      <c r="F153" s="108" t="s">
        <v>130</v>
      </c>
      <c r="G153" s="108" t="s">
        <v>9</v>
      </c>
      <c r="H153" s="126">
        <f t="shared" si="15"/>
        <v>0</v>
      </c>
      <c r="L153" s="20">
        <v>76.5</v>
      </c>
      <c r="M153" s="20">
        <v>76.5</v>
      </c>
      <c r="N153" s="20">
        <v>76.5</v>
      </c>
      <c r="O153" s="20">
        <f>H153-L153</f>
        <v>-76.5</v>
      </c>
      <c r="P153" s="20" t="e">
        <f>#REF!-M153</f>
        <v>#REF!</v>
      </c>
      <c r="Q153" s="20" t="e">
        <f>#REF!-N153</f>
        <v>#REF!</v>
      </c>
      <c r="R153" s="17" t="str">
        <f t="shared" si="9"/>
        <v>14 2 02 20710000</v>
      </c>
    </row>
    <row r="154" spans="1:18" s="16" customFormat="1" ht="31.5">
      <c r="A154" s="14"/>
      <c r="B154" s="125" t="s">
        <v>28</v>
      </c>
      <c r="C154" s="109" t="s">
        <v>64</v>
      </c>
      <c r="D154" s="108" t="s">
        <v>11</v>
      </c>
      <c r="E154" s="108" t="s">
        <v>51</v>
      </c>
      <c r="F154" s="108" t="s">
        <v>130</v>
      </c>
      <c r="G154" s="108" t="s">
        <v>29</v>
      </c>
      <c r="H154" s="126">
        <f>H155</f>
        <v>0</v>
      </c>
      <c r="L154" s="20">
        <v>76.5</v>
      </c>
      <c r="M154" s="20">
        <v>76.5</v>
      </c>
      <c r="N154" s="20">
        <v>76.5</v>
      </c>
      <c r="O154" s="20">
        <f>H154-L154</f>
        <v>-76.5</v>
      </c>
      <c r="P154" s="20" t="e">
        <f>#REF!-M154</f>
        <v>#REF!</v>
      </c>
      <c r="Q154" s="20" t="e">
        <f>#REF!-N154</f>
        <v>#REF!</v>
      </c>
      <c r="R154" s="17" t="str">
        <f t="shared" si="9"/>
        <v>14 2 02 20710240</v>
      </c>
    </row>
    <row r="155" spans="1:18" s="16" customFormat="1" ht="15.75">
      <c r="A155" s="14"/>
      <c r="B155" s="125" t="s">
        <v>30</v>
      </c>
      <c r="C155" s="109" t="s">
        <v>64</v>
      </c>
      <c r="D155" s="108" t="s">
        <v>11</v>
      </c>
      <c r="E155" s="108" t="s">
        <v>51</v>
      </c>
      <c r="F155" s="108" t="s">
        <v>130</v>
      </c>
      <c r="G155" s="108" t="s">
        <v>31</v>
      </c>
      <c r="H155" s="126"/>
      <c r="L155" s="20"/>
      <c r="M155" s="20"/>
      <c r="N155" s="20"/>
      <c r="O155" s="20"/>
      <c r="P155" s="20"/>
      <c r="Q155" s="20"/>
      <c r="R155" s="17" t="str">
        <f t="shared" si="9"/>
        <v>14 2 02 20710244</v>
      </c>
    </row>
    <row r="156" spans="1:18" s="16" customFormat="1" ht="78.75">
      <c r="A156" s="14"/>
      <c r="B156" s="129" t="s">
        <v>131</v>
      </c>
      <c r="C156" s="109" t="s">
        <v>64</v>
      </c>
      <c r="D156" s="108" t="s">
        <v>11</v>
      </c>
      <c r="E156" s="108" t="s">
        <v>51</v>
      </c>
      <c r="F156" s="108" t="s">
        <v>132</v>
      </c>
      <c r="G156" s="108" t="s">
        <v>9</v>
      </c>
      <c r="H156" s="126">
        <f>H157</f>
        <v>0</v>
      </c>
      <c r="L156" s="20">
        <v>76.5</v>
      </c>
      <c r="M156" s="20">
        <v>76.5</v>
      </c>
      <c r="N156" s="20">
        <v>76.5</v>
      </c>
      <c r="O156" s="20">
        <f>H156-L156</f>
        <v>-76.5</v>
      </c>
      <c r="P156" s="20" t="e">
        <f>#REF!-M156</f>
        <v>#REF!</v>
      </c>
      <c r="Q156" s="20" t="e">
        <f>#REF!-N156</f>
        <v>#REF!</v>
      </c>
      <c r="R156" s="17" t="str">
        <f t="shared" si="9"/>
        <v>14 2 03 00000000</v>
      </c>
    </row>
    <row r="157" spans="1:18" s="16" customFormat="1" ht="63">
      <c r="A157" s="14"/>
      <c r="B157" s="129" t="s">
        <v>126</v>
      </c>
      <c r="C157" s="109" t="s">
        <v>64</v>
      </c>
      <c r="D157" s="108" t="s">
        <v>11</v>
      </c>
      <c r="E157" s="108" t="s">
        <v>51</v>
      </c>
      <c r="F157" s="108" t="s">
        <v>133</v>
      </c>
      <c r="G157" s="108" t="s">
        <v>9</v>
      </c>
      <c r="H157" s="126">
        <f>H158</f>
        <v>0</v>
      </c>
      <c r="L157" s="20">
        <v>76.5</v>
      </c>
      <c r="M157" s="20">
        <v>76.5</v>
      </c>
      <c r="N157" s="20">
        <v>76.5</v>
      </c>
      <c r="O157" s="20">
        <f>H157-L157</f>
        <v>-76.5</v>
      </c>
      <c r="P157" s="20" t="e">
        <f>#REF!-M157</f>
        <v>#REF!</v>
      </c>
      <c r="Q157" s="20" t="e">
        <f>#REF!-N157</f>
        <v>#REF!</v>
      </c>
      <c r="R157" s="17" t="str">
        <f t="shared" si="9"/>
        <v>14 2 03 20710000</v>
      </c>
    </row>
    <row r="158" spans="1:18" s="16" customFormat="1" ht="31.5">
      <c r="A158" s="14"/>
      <c r="B158" s="125" t="s">
        <v>28</v>
      </c>
      <c r="C158" s="109" t="s">
        <v>64</v>
      </c>
      <c r="D158" s="108" t="s">
        <v>11</v>
      </c>
      <c r="E158" s="108" t="s">
        <v>51</v>
      </c>
      <c r="F158" s="108" t="s">
        <v>133</v>
      </c>
      <c r="G158" s="108" t="s">
        <v>29</v>
      </c>
      <c r="H158" s="126">
        <f>H159</f>
        <v>0</v>
      </c>
      <c r="L158" s="20">
        <v>76.5</v>
      </c>
      <c r="M158" s="20">
        <v>76.5</v>
      </c>
      <c r="N158" s="20">
        <v>76.5</v>
      </c>
      <c r="O158" s="20">
        <f>H158-L158</f>
        <v>-76.5</v>
      </c>
      <c r="P158" s="20" t="e">
        <f>#REF!-M158</f>
        <v>#REF!</v>
      </c>
      <c r="Q158" s="20" t="e">
        <f>#REF!-N158</f>
        <v>#REF!</v>
      </c>
      <c r="R158" s="17" t="str">
        <f t="shared" si="9"/>
        <v>14 2 03 20710240</v>
      </c>
    </row>
    <row r="159" spans="1:18" s="16" customFormat="1" ht="15.75">
      <c r="A159" s="14"/>
      <c r="B159" s="125" t="s">
        <v>30</v>
      </c>
      <c r="C159" s="109" t="s">
        <v>64</v>
      </c>
      <c r="D159" s="108" t="s">
        <v>11</v>
      </c>
      <c r="E159" s="108" t="s">
        <v>51</v>
      </c>
      <c r="F159" s="108" t="s">
        <v>133</v>
      </c>
      <c r="G159" s="108" t="s">
        <v>31</v>
      </c>
      <c r="H159" s="126"/>
      <c r="L159" s="20"/>
      <c r="M159" s="20"/>
      <c r="N159" s="20"/>
      <c r="O159" s="20"/>
      <c r="P159" s="20"/>
      <c r="Q159" s="20"/>
      <c r="R159" s="17" t="str">
        <f t="shared" si="9"/>
        <v>14 2 03 20710244</v>
      </c>
    </row>
    <row r="160" spans="1:18" s="16" customFormat="1" ht="63">
      <c r="A160" s="14"/>
      <c r="B160" s="125" t="s">
        <v>134</v>
      </c>
      <c r="C160" s="109" t="s">
        <v>64</v>
      </c>
      <c r="D160" s="108" t="s">
        <v>11</v>
      </c>
      <c r="E160" s="108" t="s">
        <v>51</v>
      </c>
      <c r="F160" s="108" t="s">
        <v>135</v>
      </c>
      <c r="G160" s="108" t="s">
        <v>9</v>
      </c>
      <c r="H160" s="126">
        <f>H161</f>
        <v>0</v>
      </c>
      <c r="L160" s="20">
        <v>73780.210000000006</v>
      </c>
      <c r="M160" s="20">
        <v>73159.810000000012</v>
      </c>
      <c r="N160" s="20">
        <v>73159.810000000012</v>
      </c>
      <c r="O160" s="20">
        <f>H160-L160</f>
        <v>-73780.210000000006</v>
      </c>
      <c r="P160" s="20" t="e">
        <f>#REF!-M160</f>
        <v>#REF!</v>
      </c>
      <c r="Q160" s="20" t="e">
        <f>#REF!-N160</f>
        <v>#REF!</v>
      </c>
      <c r="R160" s="17" t="str">
        <f t="shared" si="9"/>
        <v>14 2 04 00000000</v>
      </c>
    </row>
    <row r="161" spans="1:18" s="16" customFormat="1" ht="31.5">
      <c r="A161" s="14"/>
      <c r="B161" s="125" t="s">
        <v>136</v>
      </c>
      <c r="C161" s="109" t="s">
        <v>64</v>
      </c>
      <c r="D161" s="108" t="s">
        <v>11</v>
      </c>
      <c r="E161" s="108" t="s">
        <v>51</v>
      </c>
      <c r="F161" s="108" t="s">
        <v>137</v>
      </c>
      <c r="G161" s="108" t="s">
        <v>9</v>
      </c>
      <c r="H161" s="126">
        <f>H162+H166+H168</f>
        <v>0</v>
      </c>
      <c r="L161" s="20">
        <v>73780.210000000006</v>
      </c>
      <c r="M161" s="20">
        <v>73159.810000000012</v>
      </c>
      <c r="N161" s="20">
        <v>73159.810000000012</v>
      </c>
      <c r="O161" s="20">
        <f>H161-L161</f>
        <v>-73780.210000000006</v>
      </c>
      <c r="P161" s="20" t="e">
        <f>#REF!-M161</f>
        <v>#REF!</v>
      </c>
      <c r="Q161" s="20" t="e">
        <f>#REF!-N161</f>
        <v>#REF!</v>
      </c>
      <c r="R161" s="17" t="str">
        <f t="shared" si="9"/>
        <v>14 2 04 11010000</v>
      </c>
    </row>
    <row r="162" spans="1:18" s="16" customFormat="1" ht="15.75">
      <c r="A162" s="14"/>
      <c r="B162" s="132" t="s">
        <v>138</v>
      </c>
      <c r="C162" s="109" t="s">
        <v>64</v>
      </c>
      <c r="D162" s="108" t="s">
        <v>11</v>
      </c>
      <c r="E162" s="108" t="s">
        <v>51</v>
      </c>
      <c r="F162" s="108" t="s">
        <v>137</v>
      </c>
      <c r="G162" s="108" t="s">
        <v>139</v>
      </c>
      <c r="H162" s="126">
        <f>SUM(H163:H165)</f>
        <v>0</v>
      </c>
      <c r="L162" s="20">
        <v>60027.510000000009</v>
      </c>
      <c r="M162" s="20">
        <v>60027.510000000009</v>
      </c>
      <c r="N162" s="20">
        <v>60027.510000000009</v>
      </c>
      <c r="O162" s="20">
        <f>H162-L162</f>
        <v>-60027.510000000009</v>
      </c>
      <c r="P162" s="20" t="e">
        <f>#REF!-M162</f>
        <v>#REF!</v>
      </c>
      <c r="Q162" s="20" t="e">
        <f>#REF!-N162</f>
        <v>#REF!</v>
      </c>
      <c r="R162" s="17" t="str">
        <f t="shared" si="9"/>
        <v>14 2 04 11010110</v>
      </c>
    </row>
    <row r="163" spans="1:18" s="23" customFormat="1" ht="15.75">
      <c r="A163" s="21"/>
      <c r="B163" s="127" t="s">
        <v>140</v>
      </c>
      <c r="C163" s="109" t="s">
        <v>64</v>
      </c>
      <c r="D163" s="108" t="s">
        <v>11</v>
      </c>
      <c r="E163" s="108" t="s">
        <v>51</v>
      </c>
      <c r="F163" s="108" t="s">
        <v>137</v>
      </c>
      <c r="G163" s="108" t="s">
        <v>141</v>
      </c>
      <c r="H163" s="126"/>
      <c r="L163" s="22"/>
      <c r="M163" s="22"/>
      <c r="N163" s="22"/>
      <c r="O163" s="22"/>
      <c r="P163" s="22"/>
      <c r="Q163" s="22"/>
      <c r="R163" s="24"/>
    </row>
    <row r="164" spans="1:18" s="23" customFormat="1" ht="31.5">
      <c r="A164" s="21"/>
      <c r="B164" s="127" t="s">
        <v>142</v>
      </c>
      <c r="C164" s="109" t="s">
        <v>64</v>
      </c>
      <c r="D164" s="108" t="s">
        <v>11</v>
      </c>
      <c r="E164" s="108" t="s">
        <v>51</v>
      </c>
      <c r="F164" s="108" t="s">
        <v>137</v>
      </c>
      <c r="G164" s="108" t="s">
        <v>143</v>
      </c>
      <c r="H164" s="126"/>
      <c r="L164" s="22"/>
      <c r="M164" s="22"/>
      <c r="N164" s="22"/>
      <c r="O164" s="22"/>
      <c r="P164" s="22"/>
      <c r="Q164" s="22"/>
      <c r="R164" s="24"/>
    </row>
    <row r="165" spans="1:18" s="23" customFormat="1" ht="63">
      <c r="A165" s="21"/>
      <c r="B165" s="127" t="s">
        <v>144</v>
      </c>
      <c r="C165" s="109" t="s">
        <v>64</v>
      </c>
      <c r="D165" s="108" t="s">
        <v>11</v>
      </c>
      <c r="E165" s="108" t="s">
        <v>51</v>
      </c>
      <c r="F165" s="108" t="s">
        <v>137</v>
      </c>
      <c r="G165" s="108" t="s">
        <v>145</v>
      </c>
      <c r="H165" s="126"/>
      <c r="L165" s="22"/>
      <c r="M165" s="22"/>
      <c r="N165" s="22"/>
      <c r="O165" s="22"/>
      <c r="P165" s="22"/>
      <c r="Q165" s="22"/>
      <c r="R165" s="24"/>
    </row>
    <row r="166" spans="1:18" s="16" customFormat="1" ht="31.5">
      <c r="A166" s="14"/>
      <c r="B166" s="125" t="s">
        <v>28</v>
      </c>
      <c r="C166" s="109" t="s">
        <v>64</v>
      </c>
      <c r="D166" s="108" t="s">
        <v>11</v>
      </c>
      <c r="E166" s="108" t="s">
        <v>51</v>
      </c>
      <c r="F166" s="108" t="s">
        <v>137</v>
      </c>
      <c r="G166" s="108" t="s">
        <v>29</v>
      </c>
      <c r="H166" s="126">
        <f>H167</f>
        <v>0</v>
      </c>
      <c r="L166" s="20">
        <v>12409.95</v>
      </c>
      <c r="M166" s="20">
        <v>11789.55</v>
      </c>
      <c r="N166" s="20">
        <v>11789.55</v>
      </c>
      <c r="O166" s="20">
        <f>H166-L166</f>
        <v>-12409.95</v>
      </c>
      <c r="P166" s="20" t="e">
        <f>#REF!-M166</f>
        <v>#REF!</v>
      </c>
      <c r="Q166" s="20" t="e">
        <f>#REF!-N166</f>
        <v>#REF!</v>
      </c>
      <c r="R166" s="17" t="str">
        <f t="shared" si="9"/>
        <v>14 2 04 11010240</v>
      </c>
    </row>
    <row r="167" spans="1:18" s="16" customFormat="1" ht="15.75">
      <c r="A167" s="14"/>
      <c r="B167" s="125" t="s">
        <v>30</v>
      </c>
      <c r="C167" s="109" t="s">
        <v>64</v>
      </c>
      <c r="D167" s="108" t="s">
        <v>11</v>
      </c>
      <c r="E167" s="108" t="s">
        <v>51</v>
      </c>
      <c r="F167" s="108" t="s">
        <v>137</v>
      </c>
      <c r="G167" s="108" t="s">
        <v>31</v>
      </c>
      <c r="H167" s="126"/>
      <c r="L167" s="20"/>
      <c r="M167" s="20"/>
      <c r="N167" s="20"/>
      <c r="O167" s="20"/>
      <c r="P167" s="20"/>
      <c r="Q167" s="20"/>
      <c r="R167" s="17"/>
    </row>
    <row r="168" spans="1:18" s="16" customFormat="1" ht="15.75">
      <c r="A168" s="14"/>
      <c r="B168" s="125" t="s">
        <v>32</v>
      </c>
      <c r="C168" s="109" t="s">
        <v>64</v>
      </c>
      <c r="D168" s="108" t="s">
        <v>11</v>
      </c>
      <c r="E168" s="108" t="s">
        <v>51</v>
      </c>
      <c r="F168" s="108" t="s">
        <v>137</v>
      </c>
      <c r="G168" s="133">
        <v>850</v>
      </c>
      <c r="H168" s="126">
        <f>SUM(H169:H171)</f>
        <v>0</v>
      </c>
      <c r="L168" s="20">
        <v>1342.7499999999998</v>
      </c>
      <c r="M168" s="20">
        <v>1342.7499999999998</v>
      </c>
      <c r="N168" s="20">
        <v>1342.7499999999998</v>
      </c>
      <c r="O168" s="20">
        <f>H168-L168</f>
        <v>-1342.7499999999998</v>
      </c>
      <c r="P168" s="20" t="e">
        <f>#REF!-M168</f>
        <v>#REF!</v>
      </c>
      <c r="Q168" s="20" t="e">
        <f>#REF!-N168</f>
        <v>#REF!</v>
      </c>
      <c r="R168" s="17" t="str">
        <f t="shared" si="9"/>
        <v>14 2 04 11010850</v>
      </c>
    </row>
    <row r="169" spans="1:18" s="23" customFormat="1" ht="31.5">
      <c r="A169" s="21"/>
      <c r="B169" s="127" t="s">
        <v>34</v>
      </c>
      <c r="C169" s="109" t="s">
        <v>64</v>
      </c>
      <c r="D169" s="108" t="s">
        <v>11</v>
      </c>
      <c r="E169" s="108" t="s">
        <v>51</v>
      </c>
      <c r="F169" s="108" t="s">
        <v>137</v>
      </c>
      <c r="G169" s="133">
        <v>851</v>
      </c>
      <c r="H169" s="126"/>
      <c r="L169" s="22"/>
      <c r="M169" s="22"/>
      <c r="N169" s="22"/>
      <c r="O169" s="22"/>
      <c r="P169" s="22"/>
      <c r="Q169" s="22"/>
      <c r="R169" s="24"/>
    </row>
    <row r="170" spans="1:18" s="23" customFormat="1" ht="15.75">
      <c r="A170" s="21"/>
      <c r="B170" s="127" t="s">
        <v>36</v>
      </c>
      <c r="C170" s="109" t="s">
        <v>64</v>
      </c>
      <c r="D170" s="108" t="s">
        <v>11</v>
      </c>
      <c r="E170" s="108" t="s">
        <v>51</v>
      </c>
      <c r="F170" s="108" t="s">
        <v>137</v>
      </c>
      <c r="G170" s="133">
        <v>852</v>
      </c>
      <c r="H170" s="126"/>
      <c r="L170" s="22"/>
      <c r="M170" s="22"/>
      <c r="N170" s="22"/>
      <c r="O170" s="22"/>
      <c r="P170" s="22"/>
      <c r="Q170" s="22"/>
      <c r="R170" s="24"/>
    </row>
    <row r="171" spans="1:18" s="23" customFormat="1" ht="15.75">
      <c r="A171" s="21"/>
      <c r="B171" s="127" t="s">
        <v>77</v>
      </c>
      <c r="C171" s="109" t="s">
        <v>64</v>
      </c>
      <c r="D171" s="108" t="s">
        <v>11</v>
      </c>
      <c r="E171" s="108" t="s">
        <v>51</v>
      </c>
      <c r="F171" s="108" t="s">
        <v>137</v>
      </c>
      <c r="G171" s="133">
        <v>853</v>
      </c>
      <c r="H171" s="126"/>
      <c r="L171" s="22"/>
      <c r="M171" s="22"/>
      <c r="N171" s="22"/>
      <c r="O171" s="22"/>
      <c r="P171" s="22"/>
      <c r="Q171" s="22"/>
      <c r="R171" s="24"/>
    </row>
    <row r="172" spans="1:18" s="16" customFormat="1" ht="47.25">
      <c r="A172" s="14"/>
      <c r="B172" s="127" t="s">
        <v>146</v>
      </c>
      <c r="C172" s="130">
        <v>601</v>
      </c>
      <c r="D172" s="130" t="s">
        <v>11</v>
      </c>
      <c r="E172" s="130">
        <v>13</v>
      </c>
      <c r="F172" s="130" t="s">
        <v>147</v>
      </c>
      <c r="G172" s="130" t="s">
        <v>9</v>
      </c>
      <c r="H172" s="134">
        <f>H173+H178+H193</f>
        <v>0</v>
      </c>
      <c r="L172" s="27">
        <v>1051.79</v>
      </c>
      <c r="M172" s="27">
        <v>1001.79</v>
      </c>
      <c r="N172" s="27">
        <v>1001.79</v>
      </c>
      <c r="O172" s="27">
        <f>H172-L172</f>
        <v>-1051.79</v>
      </c>
      <c r="P172" s="27" t="e">
        <f>#REF!-M172</f>
        <v>#REF!</v>
      </c>
      <c r="Q172" s="27" t="e">
        <f>#REF!-N172</f>
        <v>#REF!</v>
      </c>
      <c r="R172" s="17" t="str">
        <f t="shared" si="9"/>
        <v>15 0 00 00000000</v>
      </c>
    </row>
    <row r="173" spans="1:18" s="16" customFormat="1" ht="15.75">
      <c r="A173" s="14"/>
      <c r="B173" s="125" t="s">
        <v>148</v>
      </c>
      <c r="C173" s="130">
        <v>601</v>
      </c>
      <c r="D173" s="130" t="s">
        <v>11</v>
      </c>
      <c r="E173" s="130">
        <v>13</v>
      </c>
      <c r="F173" s="130" t="s">
        <v>149</v>
      </c>
      <c r="G173" s="130" t="s">
        <v>9</v>
      </c>
      <c r="H173" s="134">
        <f>H174</f>
        <v>0</v>
      </c>
      <c r="L173" s="27">
        <v>386.6</v>
      </c>
      <c r="M173" s="27">
        <v>336.6</v>
      </c>
      <c r="N173" s="27">
        <v>336.6</v>
      </c>
      <c r="O173" s="27">
        <f>H173-L173</f>
        <v>-386.6</v>
      </c>
      <c r="P173" s="27" t="e">
        <f>#REF!-M173</f>
        <v>#REF!</v>
      </c>
      <c r="Q173" s="27" t="e">
        <f>#REF!-N173</f>
        <v>#REF!</v>
      </c>
      <c r="R173" s="17" t="str">
        <f t="shared" si="9"/>
        <v>15 1 00 00000000</v>
      </c>
    </row>
    <row r="174" spans="1:18" s="16" customFormat="1" ht="78.75">
      <c r="A174" s="14"/>
      <c r="B174" s="129" t="s">
        <v>150</v>
      </c>
      <c r="C174" s="130">
        <v>601</v>
      </c>
      <c r="D174" s="130" t="s">
        <v>11</v>
      </c>
      <c r="E174" s="130">
        <v>13</v>
      </c>
      <c r="F174" s="130" t="s">
        <v>151</v>
      </c>
      <c r="G174" s="130" t="s">
        <v>9</v>
      </c>
      <c r="H174" s="134">
        <f>H175</f>
        <v>0</v>
      </c>
      <c r="L174" s="27">
        <v>386.6</v>
      </c>
      <c r="M174" s="27">
        <v>336.6</v>
      </c>
      <c r="N174" s="27">
        <v>336.6</v>
      </c>
      <c r="O174" s="27">
        <f>H174-L174</f>
        <v>-386.6</v>
      </c>
      <c r="P174" s="27" t="e">
        <f>#REF!-M174</f>
        <v>#REF!</v>
      </c>
      <c r="Q174" s="27" t="e">
        <f>#REF!-N174</f>
        <v>#REF!</v>
      </c>
      <c r="R174" s="17" t="str">
        <f t="shared" si="9"/>
        <v>15 1 01 00000000</v>
      </c>
    </row>
    <row r="175" spans="1:18" s="16" customFormat="1" ht="47.25">
      <c r="A175" s="14"/>
      <c r="B175" s="129" t="s">
        <v>152</v>
      </c>
      <c r="C175" s="130">
        <v>601</v>
      </c>
      <c r="D175" s="130" t="s">
        <v>11</v>
      </c>
      <c r="E175" s="130">
        <v>13</v>
      </c>
      <c r="F175" s="130" t="s">
        <v>153</v>
      </c>
      <c r="G175" s="130" t="s">
        <v>9</v>
      </c>
      <c r="H175" s="134">
        <f>SUM(H176:H176)</f>
        <v>0</v>
      </c>
      <c r="L175" s="27">
        <v>386.6</v>
      </c>
      <c r="M175" s="27">
        <v>336.6</v>
      </c>
      <c r="N175" s="27">
        <v>336.6</v>
      </c>
      <c r="O175" s="27">
        <f>H175-L175</f>
        <v>-386.6</v>
      </c>
      <c r="P175" s="27" t="e">
        <f>#REF!-M175</f>
        <v>#REF!</v>
      </c>
      <c r="Q175" s="27" t="e">
        <f>#REF!-N175</f>
        <v>#REF!</v>
      </c>
      <c r="R175" s="17" t="str">
        <f t="shared" si="9"/>
        <v>15 1 01 20350000</v>
      </c>
    </row>
    <row r="176" spans="1:18" s="16" customFormat="1" ht="31.5">
      <c r="A176" s="14"/>
      <c r="B176" s="135" t="s">
        <v>28</v>
      </c>
      <c r="C176" s="130">
        <v>601</v>
      </c>
      <c r="D176" s="130" t="s">
        <v>11</v>
      </c>
      <c r="E176" s="130">
        <v>13</v>
      </c>
      <c r="F176" s="130" t="s">
        <v>153</v>
      </c>
      <c r="G176" s="130" t="s">
        <v>29</v>
      </c>
      <c r="H176" s="126">
        <f>H177</f>
        <v>0</v>
      </c>
      <c r="L176" s="20">
        <v>386.6</v>
      </c>
      <c r="M176" s="20">
        <v>336.6</v>
      </c>
      <c r="N176" s="20">
        <v>336.6</v>
      </c>
      <c r="O176" s="20">
        <f>H176-L176</f>
        <v>-386.6</v>
      </c>
      <c r="P176" s="20" t="e">
        <f>#REF!-M176</f>
        <v>#REF!</v>
      </c>
      <c r="Q176" s="20" t="e">
        <f>#REF!-N176</f>
        <v>#REF!</v>
      </c>
      <c r="R176" s="17" t="str">
        <f t="shared" si="9"/>
        <v>15 1 01 20350240</v>
      </c>
    </row>
    <row r="177" spans="1:18" s="16" customFormat="1" ht="15.75">
      <c r="A177" s="14"/>
      <c r="B177" s="125" t="s">
        <v>30</v>
      </c>
      <c r="C177" s="130">
        <v>601</v>
      </c>
      <c r="D177" s="130" t="s">
        <v>11</v>
      </c>
      <c r="E177" s="130">
        <v>13</v>
      </c>
      <c r="F177" s="130" t="s">
        <v>153</v>
      </c>
      <c r="G177" s="130" t="s">
        <v>31</v>
      </c>
      <c r="H177" s="126"/>
      <c r="L177" s="20"/>
      <c r="M177" s="20"/>
      <c r="N177" s="20"/>
      <c r="O177" s="20"/>
      <c r="P177" s="20"/>
      <c r="Q177" s="20"/>
      <c r="R177" s="17" t="str">
        <f t="shared" si="9"/>
        <v>15 1 01 20350244</v>
      </c>
    </row>
    <row r="178" spans="1:18" s="16" customFormat="1" ht="15.75">
      <c r="A178" s="14"/>
      <c r="B178" s="127" t="s">
        <v>154</v>
      </c>
      <c r="C178" s="136">
        <v>601</v>
      </c>
      <c r="D178" s="130" t="s">
        <v>11</v>
      </c>
      <c r="E178" s="130">
        <v>13</v>
      </c>
      <c r="F178" s="130" t="s">
        <v>155</v>
      </c>
      <c r="G178" s="130" t="s">
        <v>9</v>
      </c>
      <c r="H178" s="134">
        <f>H183+H188+H179</f>
        <v>0</v>
      </c>
      <c r="L178" s="27">
        <v>414.27</v>
      </c>
      <c r="M178" s="27">
        <v>414.27</v>
      </c>
      <c r="N178" s="27">
        <v>414.27</v>
      </c>
      <c r="O178" s="27">
        <f>H178-L178</f>
        <v>-414.27</v>
      </c>
      <c r="P178" s="27" t="e">
        <f>#REF!-M178</f>
        <v>#REF!</v>
      </c>
      <c r="Q178" s="27" t="e">
        <f>#REF!-N178</f>
        <v>#REF!</v>
      </c>
      <c r="R178" s="17" t="str">
        <f t="shared" si="9"/>
        <v>15 2 00 00000000</v>
      </c>
    </row>
    <row r="179" spans="1:18" s="16" customFormat="1" ht="47.25">
      <c r="A179" s="14"/>
      <c r="B179" s="129" t="s">
        <v>156</v>
      </c>
      <c r="C179" s="136">
        <v>601</v>
      </c>
      <c r="D179" s="130" t="s">
        <v>11</v>
      </c>
      <c r="E179" s="130">
        <v>13</v>
      </c>
      <c r="F179" s="130" t="s">
        <v>157</v>
      </c>
      <c r="G179" s="130" t="s">
        <v>9</v>
      </c>
      <c r="H179" s="134">
        <f>H180</f>
        <v>0</v>
      </c>
      <c r="L179" s="27">
        <v>74.97</v>
      </c>
      <c r="M179" s="27">
        <v>74.97</v>
      </c>
      <c r="N179" s="27">
        <v>74.97</v>
      </c>
      <c r="O179" s="27">
        <f>H179-L179</f>
        <v>-74.97</v>
      </c>
      <c r="P179" s="27" t="e">
        <f>#REF!-M179</f>
        <v>#REF!</v>
      </c>
      <c r="Q179" s="27" t="e">
        <f>#REF!-N179</f>
        <v>#REF!</v>
      </c>
      <c r="R179" s="17" t="str">
        <f t="shared" si="9"/>
        <v>15 2 01 00000000</v>
      </c>
    </row>
    <row r="180" spans="1:18" s="16" customFormat="1" ht="78.75">
      <c r="A180" s="14"/>
      <c r="B180" s="129" t="s">
        <v>158</v>
      </c>
      <c r="C180" s="136">
        <v>601</v>
      </c>
      <c r="D180" s="130" t="s">
        <v>11</v>
      </c>
      <c r="E180" s="130">
        <v>13</v>
      </c>
      <c r="F180" s="130" t="s">
        <v>159</v>
      </c>
      <c r="G180" s="130" t="s">
        <v>9</v>
      </c>
      <c r="H180" s="126">
        <f>H181</f>
        <v>0</v>
      </c>
      <c r="L180" s="20">
        <v>74.97</v>
      </c>
      <c r="M180" s="20">
        <v>74.97</v>
      </c>
      <c r="N180" s="20">
        <v>74.97</v>
      </c>
      <c r="O180" s="20">
        <f>H180-L180</f>
        <v>-74.97</v>
      </c>
      <c r="P180" s="20" t="e">
        <f>#REF!-M180</f>
        <v>#REF!</v>
      </c>
      <c r="Q180" s="20" t="e">
        <f>#REF!-N180</f>
        <v>#REF!</v>
      </c>
      <c r="R180" s="17" t="str">
        <f t="shared" si="9"/>
        <v>15 2 01 20370000</v>
      </c>
    </row>
    <row r="181" spans="1:18" s="16" customFormat="1" ht="31.5">
      <c r="A181" s="14"/>
      <c r="B181" s="125" t="s">
        <v>28</v>
      </c>
      <c r="C181" s="136">
        <v>601</v>
      </c>
      <c r="D181" s="130" t="s">
        <v>11</v>
      </c>
      <c r="E181" s="130">
        <v>13</v>
      </c>
      <c r="F181" s="130" t="s">
        <v>159</v>
      </c>
      <c r="G181" s="130" t="s">
        <v>29</v>
      </c>
      <c r="H181" s="126">
        <f>H182</f>
        <v>0</v>
      </c>
      <c r="L181" s="20">
        <v>74.97</v>
      </c>
      <c r="M181" s="20">
        <v>74.97</v>
      </c>
      <c r="N181" s="20">
        <v>74.97</v>
      </c>
      <c r="O181" s="20">
        <f>H181-L181</f>
        <v>-74.97</v>
      </c>
      <c r="P181" s="20" t="e">
        <f>#REF!-M181</f>
        <v>#REF!</v>
      </c>
      <c r="Q181" s="20" t="e">
        <f>#REF!-N181</f>
        <v>#REF!</v>
      </c>
      <c r="R181" s="17" t="str">
        <f t="shared" si="9"/>
        <v>15 2 01 20370240</v>
      </c>
    </row>
    <row r="182" spans="1:18" s="16" customFormat="1" ht="15.75">
      <c r="A182" s="14"/>
      <c r="B182" s="125" t="s">
        <v>30</v>
      </c>
      <c r="C182" s="136">
        <v>601</v>
      </c>
      <c r="D182" s="130" t="s">
        <v>11</v>
      </c>
      <c r="E182" s="130">
        <v>13</v>
      </c>
      <c r="F182" s="130" t="s">
        <v>159</v>
      </c>
      <c r="G182" s="130" t="s">
        <v>31</v>
      </c>
      <c r="H182" s="126"/>
      <c r="L182" s="20"/>
      <c r="M182" s="20"/>
      <c r="N182" s="20"/>
      <c r="O182" s="20"/>
      <c r="P182" s="20"/>
      <c r="Q182" s="20"/>
      <c r="R182" s="17" t="str">
        <f t="shared" si="9"/>
        <v>15 2 01 20370244</v>
      </c>
    </row>
    <row r="183" spans="1:18" s="16" customFormat="1" ht="47.25">
      <c r="A183" s="14"/>
      <c r="B183" s="129" t="s">
        <v>160</v>
      </c>
      <c r="C183" s="136">
        <v>601</v>
      </c>
      <c r="D183" s="130" t="s">
        <v>11</v>
      </c>
      <c r="E183" s="130">
        <v>13</v>
      </c>
      <c r="F183" s="130" t="s">
        <v>161</v>
      </c>
      <c r="G183" s="108" t="s">
        <v>9</v>
      </c>
      <c r="H183" s="126">
        <f>H184</f>
        <v>0</v>
      </c>
      <c r="L183" s="20">
        <v>76.5</v>
      </c>
      <c r="M183" s="20">
        <v>76.5</v>
      </c>
      <c r="N183" s="20">
        <v>76.5</v>
      </c>
      <c r="O183" s="20">
        <f>H183-L183</f>
        <v>-76.5</v>
      </c>
      <c r="P183" s="20" t="e">
        <f>#REF!-M183</f>
        <v>#REF!</v>
      </c>
      <c r="Q183" s="20" t="e">
        <f>#REF!-N183</f>
        <v>#REF!</v>
      </c>
      <c r="R183" s="17" t="str">
        <f t="shared" si="9"/>
        <v>15 2 02 00000000</v>
      </c>
    </row>
    <row r="184" spans="1:18" s="16" customFormat="1" ht="78.75">
      <c r="A184" s="14"/>
      <c r="B184" s="129" t="s">
        <v>158</v>
      </c>
      <c r="C184" s="136">
        <v>601</v>
      </c>
      <c r="D184" s="130" t="s">
        <v>11</v>
      </c>
      <c r="E184" s="130">
        <v>13</v>
      </c>
      <c r="F184" s="130" t="s">
        <v>162</v>
      </c>
      <c r="G184" s="108" t="s">
        <v>9</v>
      </c>
      <c r="H184" s="126">
        <f>H185+H187</f>
        <v>0</v>
      </c>
      <c r="L184" s="20">
        <v>76.5</v>
      </c>
      <c r="M184" s="20">
        <v>76.5</v>
      </c>
      <c r="N184" s="20">
        <v>76.5</v>
      </c>
      <c r="O184" s="20">
        <f>H184-L184</f>
        <v>-76.5</v>
      </c>
      <c r="P184" s="20" t="e">
        <f>#REF!-M184</f>
        <v>#REF!</v>
      </c>
      <c r="Q184" s="20" t="e">
        <f>#REF!-N184</f>
        <v>#REF!</v>
      </c>
      <c r="R184" s="17" t="str">
        <f t="shared" si="9"/>
        <v>15 2 02 20370000</v>
      </c>
    </row>
    <row r="185" spans="1:18" s="16" customFormat="1" ht="31.5">
      <c r="A185" s="14"/>
      <c r="B185" s="125" t="s">
        <v>28</v>
      </c>
      <c r="C185" s="136">
        <v>601</v>
      </c>
      <c r="D185" s="130" t="s">
        <v>11</v>
      </c>
      <c r="E185" s="130">
        <v>13</v>
      </c>
      <c r="F185" s="130" t="s">
        <v>162</v>
      </c>
      <c r="G185" s="108" t="s">
        <v>29</v>
      </c>
      <c r="H185" s="126">
        <f>H186</f>
        <v>0</v>
      </c>
      <c r="L185" s="20">
        <v>13.5</v>
      </c>
      <c r="M185" s="20">
        <v>13.5</v>
      </c>
      <c r="N185" s="20">
        <v>13.5</v>
      </c>
      <c r="O185" s="20">
        <f>H185-L185</f>
        <v>-13.5</v>
      </c>
      <c r="P185" s="20" t="e">
        <f>#REF!-M185</f>
        <v>#REF!</v>
      </c>
      <c r="Q185" s="20" t="e">
        <f>#REF!-N185</f>
        <v>#REF!</v>
      </c>
      <c r="R185" s="17" t="str">
        <f t="shared" si="9"/>
        <v>15 2 02 20370240</v>
      </c>
    </row>
    <row r="186" spans="1:18" s="16" customFormat="1" ht="15.75">
      <c r="A186" s="14"/>
      <c r="B186" s="125" t="s">
        <v>30</v>
      </c>
      <c r="C186" s="136">
        <v>601</v>
      </c>
      <c r="D186" s="130" t="s">
        <v>11</v>
      </c>
      <c r="E186" s="130">
        <v>13</v>
      </c>
      <c r="F186" s="130" t="s">
        <v>162</v>
      </c>
      <c r="G186" s="108" t="s">
        <v>31</v>
      </c>
      <c r="H186" s="126"/>
      <c r="L186" s="20"/>
      <c r="M186" s="20"/>
      <c r="N186" s="20"/>
      <c r="O186" s="20"/>
      <c r="P186" s="20"/>
      <c r="Q186" s="20"/>
      <c r="R186" s="17" t="str">
        <f t="shared" si="9"/>
        <v>15 2 02 20370244</v>
      </c>
    </row>
    <row r="187" spans="1:18" s="16" customFormat="1" ht="15.75">
      <c r="A187" s="14"/>
      <c r="B187" s="125" t="s">
        <v>163</v>
      </c>
      <c r="C187" s="136">
        <v>601</v>
      </c>
      <c r="D187" s="130" t="s">
        <v>11</v>
      </c>
      <c r="E187" s="130">
        <v>13</v>
      </c>
      <c r="F187" s="130" t="s">
        <v>162</v>
      </c>
      <c r="G187" s="108" t="s">
        <v>164</v>
      </c>
      <c r="H187" s="126"/>
      <c r="L187" s="20">
        <v>63</v>
      </c>
      <c r="M187" s="20">
        <v>63</v>
      </c>
      <c r="N187" s="20">
        <v>63</v>
      </c>
      <c r="O187" s="20">
        <f>H187-L187</f>
        <v>-63</v>
      </c>
      <c r="P187" s="20" t="e">
        <f>#REF!-M187</f>
        <v>#REF!</v>
      </c>
      <c r="Q187" s="20" t="e">
        <f>#REF!-N187</f>
        <v>#REF!</v>
      </c>
      <c r="R187" s="17" t="str">
        <f t="shared" si="9"/>
        <v>15 2 02 20370350</v>
      </c>
    </row>
    <row r="188" spans="1:18" s="16" customFormat="1" ht="47.25">
      <c r="A188" s="14"/>
      <c r="B188" s="129" t="s">
        <v>165</v>
      </c>
      <c r="C188" s="136">
        <v>601</v>
      </c>
      <c r="D188" s="130" t="s">
        <v>11</v>
      </c>
      <c r="E188" s="130">
        <v>13</v>
      </c>
      <c r="F188" s="130" t="s">
        <v>166</v>
      </c>
      <c r="G188" s="108" t="s">
        <v>9</v>
      </c>
      <c r="H188" s="126">
        <f>H189</f>
        <v>0</v>
      </c>
      <c r="L188" s="20">
        <v>262.8</v>
      </c>
      <c r="M188" s="20">
        <v>262.8</v>
      </c>
      <c r="N188" s="20">
        <v>262.8</v>
      </c>
      <c r="O188" s="20">
        <f>H188-L188</f>
        <v>-262.8</v>
      </c>
      <c r="P188" s="20" t="e">
        <f>#REF!-M188</f>
        <v>#REF!</v>
      </c>
      <c r="Q188" s="20" t="e">
        <f>#REF!-N188</f>
        <v>#REF!</v>
      </c>
      <c r="R188" s="17" t="str">
        <f t="shared" si="9"/>
        <v>15 2 03 00000000</v>
      </c>
    </row>
    <row r="189" spans="1:18" s="16" customFormat="1" ht="78.75">
      <c r="A189" s="14"/>
      <c r="B189" s="129" t="s">
        <v>158</v>
      </c>
      <c r="C189" s="136">
        <v>601</v>
      </c>
      <c r="D189" s="130" t="s">
        <v>11</v>
      </c>
      <c r="E189" s="130">
        <v>13</v>
      </c>
      <c r="F189" s="130" t="s">
        <v>167</v>
      </c>
      <c r="G189" s="108" t="s">
        <v>9</v>
      </c>
      <c r="H189" s="126">
        <f>H190+H192</f>
        <v>0</v>
      </c>
      <c r="L189" s="20">
        <v>262.8</v>
      </c>
      <c r="M189" s="20">
        <v>262.8</v>
      </c>
      <c r="N189" s="20">
        <v>262.8</v>
      </c>
      <c r="O189" s="20">
        <f>H189-L189</f>
        <v>-262.8</v>
      </c>
      <c r="P189" s="20" t="e">
        <f>#REF!-M189</f>
        <v>#REF!</v>
      </c>
      <c r="Q189" s="20" t="e">
        <f>#REF!-N189</f>
        <v>#REF!</v>
      </c>
      <c r="R189" s="17" t="str">
        <f t="shared" si="9"/>
        <v>15 2 03 20370000</v>
      </c>
    </row>
    <row r="190" spans="1:18" s="16" customFormat="1" ht="31.5">
      <c r="A190" s="14"/>
      <c r="B190" s="125" t="s">
        <v>28</v>
      </c>
      <c r="C190" s="136">
        <v>601</v>
      </c>
      <c r="D190" s="130" t="s">
        <v>11</v>
      </c>
      <c r="E190" s="130">
        <v>13</v>
      </c>
      <c r="F190" s="130" t="s">
        <v>167</v>
      </c>
      <c r="G190" s="108" t="s">
        <v>29</v>
      </c>
      <c r="H190" s="126">
        <f>H191</f>
        <v>0</v>
      </c>
      <c r="L190" s="20">
        <v>202.8</v>
      </c>
      <c r="M190" s="20">
        <v>202.8</v>
      </c>
      <c r="N190" s="20">
        <v>202.8</v>
      </c>
      <c r="O190" s="20">
        <f>H190-L190</f>
        <v>-202.8</v>
      </c>
      <c r="P190" s="20" t="e">
        <f>#REF!-M190</f>
        <v>#REF!</v>
      </c>
      <c r="Q190" s="20" t="e">
        <f>#REF!-N190</f>
        <v>#REF!</v>
      </c>
      <c r="R190" s="17" t="str">
        <f t="shared" si="9"/>
        <v>15 2 03 20370240</v>
      </c>
    </row>
    <row r="191" spans="1:18" s="16" customFormat="1" ht="15.75">
      <c r="A191" s="14"/>
      <c r="B191" s="125" t="s">
        <v>30</v>
      </c>
      <c r="C191" s="136">
        <v>601</v>
      </c>
      <c r="D191" s="130" t="s">
        <v>11</v>
      </c>
      <c r="E191" s="130">
        <v>13</v>
      </c>
      <c r="F191" s="130" t="s">
        <v>167</v>
      </c>
      <c r="G191" s="108" t="s">
        <v>31</v>
      </c>
      <c r="H191" s="126"/>
      <c r="L191" s="20"/>
      <c r="M191" s="20"/>
      <c r="N191" s="20"/>
      <c r="O191" s="20"/>
      <c r="P191" s="20"/>
      <c r="Q191" s="20"/>
      <c r="R191" s="17" t="str">
        <f t="shared" si="9"/>
        <v>15 2 03 20370244</v>
      </c>
    </row>
    <row r="192" spans="1:18" s="16" customFormat="1" ht="15.75">
      <c r="A192" s="14"/>
      <c r="B192" s="125" t="s">
        <v>163</v>
      </c>
      <c r="C192" s="136">
        <v>601</v>
      </c>
      <c r="D192" s="130" t="s">
        <v>11</v>
      </c>
      <c r="E192" s="130">
        <v>13</v>
      </c>
      <c r="F192" s="130" t="s">
        <v>167</v>
      </c>
      <c r="G192" s="108" t="s">
        <v>164</v>
      </c>
      <c r="H192" s="126"/>
      <c r="L192" s="20">
        <v>60</v>
      </c>
      <c r="M192" s="20">
        <v>60</v>
      </c>
      <c r="N192" s="20">
        <v>60</v>
      </c>
      <c r="O192" s="20">
        <f t="shared" ref="O192:O201" si="16">H192-L192</f>
        <v>-60</v>
      </c>
      <c r="P192" s="20" t="e">
        <f>#REF!-M192</f>
        <v>#REF!</v>
      </c>
      <c r="Q192" s="20" t="e">
        <f>#REF!-N192</f>
        <v>#REF!</v>
      </c>
      <c r="R192" s="17" t="str">
        <f t="shared" si="9"/>
        <v>15 2 03 20370350</v>
      </c>
    </row>
    <row r="193" spans="1:18" s="16" customFormat="1" ht="31.5">
      <c r="A193" s="14"/>
      <c r="B193" s="125" t="s">
        <v>168</v>
      </c>
      <c r="C193" s="136">
        <v>601</v>
      </c>
      <c r="D193" s="130" t="s">
        <v>11</v>
      </c>
      <c r="E193" s="130">
        <v>13</v>
      </c>
      <c r="F193" s="130" t="s">
        <v>169</v>
      </c>
      <c r="G193" s="108" t="s">
        <v>9</v>
      </c>
      <c r="H193" s="126">
        <f t="shared" ref="H193:H195" si="17">H194</f>
        <v>0</v>
      </c>
      <c r="L193" s="20">
        <v>250.92</v>
      </c>
      <c r="M193" s="20">
        <v>250.92</v>
      </c>
      <c r="N193" s="20">
        <v>250.92</v>
      </c>
      <c r="O193" s="20">
        <f t="shared" si="16"/>
        <v>-250.92</v>
      </c>
      <c r="P193" s="20" t="e">
        <f>#REF!-M193</f>
        <v>#REF!</v>
      </c>
      <c r="Q193" s="20" t="e">
        <f>#REF!-N193</f>
        <v>#REF!</v>
      </c>
      <c r="R193" s="17" t="str">
        <f t="shared" si="9"/>
        <v>15 3 00 00000000</v>
      </c>
    </row>
    <row r="194" spans="1:18" s="16" customFormat="1" ht="47.25">
      <c r="A194" s="14"/>
      <c r="B194" s="125" t="s">
        <v>170</v>
      </c>
      <c r="C194" s="136">
        <v>601</v>
      </c>
      <c r="D194" s="130" t="s">
        <v>11</v>
      </c>
      <c r="E194" s="130">
        <v>13</v>
      </c>
      <c r="F194" s="130" t="s">
        <v>171</v>
      </c>
      <c r="G194" s="108" t="s">
        <v>9</v>
      </c>
      <c r="H194" s="126">
        <f t="shared" si="17"/>
        <v>0</v>
      </c>
      <c r="L194" s="20">
        <v>250.92</v>
      </c>
      <c r="M194" s="20">
        <v>250.92</v>
      </c>
      <c r="N194" s="20">
        <v>250.92</v>
      </c>
      <c r="O194" s="20">
        <f t="shared" si="16"/>
        <v>-250.92</v>
      </c>
      <c r="P194" s="20" t="e">
        <f>#REF!-M194</f>
        <v>#REF!</v>
      </c>
      <c r="Q194" s="20" t="e">
        <f>#REF!-N194</f>
        <v>#REF!</v>
      </c>
      <c r="R194" s="17" t="str">
        <f t="shared" si="9"/>
        <v>15 3 03 00000000</v>
      </c>
    </row>
    <row r="195" spans="1:18" s="16" customFormat="1" ht="63">
      <c r="A195" s="14"/>
      <c r="B195" s="125" t="s">
        <v>172</v>
      </c>
      <c r="C195" s="136">
        <v>601</v>
      </c>
      <c r="D195" s="130" t="s">
        <v>11</v>
      </c>
      <c r="E195" s="130">
        <v>13</v>
      </c>
      <c r="F195" s="130" t="s">
        <v>173</v>
      </c>
      <c r="G195" s="108" t="s">
        <v>9</v>
      </c>
      <c r="H195" s="126">
        <f t="shared" si="17"/>
        <v>0</v>
      </c>
      <c r="L195" s="20">
        <v>250.92</v>
      </c>
      <c r="M195" s="20">
        <v>250.92</v>
      </c>
      <c r="N195" s="20">
        <v>250.92</v>
      </c>
      <c r="O195" s="20">
        <f t="shared" si="16"/>
        <v>-250.92</v>
      </c>
      <c r="P195" s="20" t="e">
        <f>#REF!-M195</f>
        <v>#REF!</v>
      </c>
      <c r="Q195" s="20" t="e">
        <f>#REF!-N195</f>
        <v>#REF!</v>
      </c>
      <c r="R195" s="17" t="str">
        <f t="shared" si="9"/>
        <v>15 3 03 20100000</v>
      </c>
    </row>
    <row r="196" spans="1:18" s="16" customFormat="1" ht="15.75">
      <c r="A196" s="14"/>
      <c r="B196" s="125" t="s">
        <v>163</v>
      </c>
      <c r="C196" s="136">
        <v>601</v>
      </c>
      <c r="D196" s="130" t="s">
        <v>11</v>
      </c>
      <c r="E196" s="130">
        <v>13</v>
      </c>
      <c r="F196" s="130" t="s">
        <v>173</v>
      </c>
      <c r="G196" s="108" t="s">
        <v>164</v>
      </c>
      <c r="H196" s="126"/>
      <c r="L196" s="20">
        <v>250.92</v>
      </c>
      <c r="M196" s="20">
        <v>250.92</v>
      </c>
      <c r="N196" s="20">
        <v>250.92</v>
      </c>
      <c r="O196" s="20">
        <f t="shared" si="16"/>
        <v>-250.92</v>
      </c>
      <c r="P196" s="20" t="e">
        <f>#REF!-M196</f>
        <v>#REF!</v>
      </c>
      <c r="Q196" s="20" t="e">
        <f>#REF!-N196</f>
        <v>#REF!</v>
      </c>
      <c r="R196" s="17" t="str">
        <f t="shared" si="9"/>
        <v>15 3 03 20100350</v>
      </c>
    </row>
    <row r="197" spans="1:18" s="16" customFormat="1" ht="31.5">
      <c r="A197" s="14"/>
      <c r="B197" s="125" t="s">
        <v>174</v>
      </c>
      <c r="C197" s="109" t="s">
        <v>64</v>
      </c>
      <c r="D197" s="108" t="s">
        <v>11</v>
      </c>
      <c r="E197" s="108" t="s">
        <v>51</v>
      </c>
      <c r="F197" s="108" t="s">
        <v>175</v>
      </c>
      <c r="G197" s="108" t="s">
        <v>9</v>
      </c>
      <c r="H197" s="126">
        <f t="shared" ref="H197:H200" si="18">H198</f>
        <v>0</v>
      </c>
      <c r="L197" s="20">
        <v>2292.5</v>
      </c>
      <c r="M197" s="20">
        <v>2292.5</v>
      </c>
      <c r="N197" s="20">
        <v>2292.5</v>
      </c>
      <c r="O197" s="20">
        <f t="shared" si="16"/>
        <v>-2292.5</v>
      </c>
      <c r="P197" s="20" t="e">
        <f>#REF!-M197</f>
        <v>#REF!</v>
      </c>
      <c r="Q197" s="20" t="e">
        <f>#REF!-N197</f>
        <v>#REF!</v>
      </c>
      <c r="R197" s="17" t="str">
        <f t="shared" si="9"/>
        <v>18 0 00 00000000</v>
      </c>
    </row>
    <row r="198" spans="1:18" s="16" customFormat="1" ht="31.5">
      <c r="A198" s="14"/>
      <c r="B198" s="125" t="s">
        <v>176</v>
      </c>
      <c r="C198" s="109" t="s">
        <v>64</v>
      </c>
      <c r="D198" s="108" t="s">
        <v>11</v>
      </c>
      <c r="E198" s="108" t="s">
        <v>51</v>
      </c>
      <c r="F198" s="108" t="s">
        <v>177</v>
      </c>
      <c r="G198" s="108" t="s">
        <v>9</v>
      </c>
      <c r="H198" s="126">
        <f t="shared" si="18"/>
        <v>0</v>
      </c>
      <c r="L198" s="20">
        <v>2292.5</v>
      </c>
      <c r="M198" s="20">
        <v>2292.5</v>
      </c>
      <c r="N198" s="20">
        <v>2292.5</v>
      </c>
      <c r="O198" s="20">
        <f t="shared" si="16"/>
        <v>-2292.5</v>
      </c>
      <c r="P198" s="20" t="e">
        <f>#REF!-M198</f>
        <v>#REF!</v>
      </c>
      <c r="Q198" s="20" t="e">
        <f>#REF!-N198</f>
        <v>#REF!</v>
      </c>
      <c r="R198" s="17" t="str">
        <f t="shared" si="9"/>
        <v>18 Б 00 00000000</v>
      </c>
    </row>
    <row r="199" spans="1:18" s="16" customFormat="1" ht="63">
      <c r="A199" s="14"/>
      <c r="B199" s="129" t="s">
        <v>178</v>
      </c>
      <c r="C199" s="109" t="s">
        <v>64</v>
      </c>
      <c r="D199" s="108" t="s">
        <v>11</v>
      </c>
      <c r="E199" s="108" t="s">
        <v>51</v>
      </c>
      <c r="F199" s="108" t="s">
        <v>179</v>
      </c>
      <c r="G199" s="108" t="s">
        <v>9</v>
      </c>
      <c r="H199" s="126">
        <f t="shared" si="18"/>
        <v>0</v>
      </c>
      <c r="L199" s="20">
        <v>2292.5</v>
      </c>
      <c r="M199" s="20">
        <v>2292.5</v>
      </c>
      <c r="N199" s="20">
        <v>2292.5</v>
      </c>
      <c r="O199" s="20">
        <f t="shared" si="16"/>
        <v>-2292.5</v>
      </c>
      <c r="P199" s="20" t="e">
        <f>#REF!-M199</f>
        <v>#REF!</v>
      </c>
      <c r="Q199" s="20" t="e">
        <f>#REF!-N199</f>
        <v>#REF!</v>
      </c>
      <c r="R199" s="17" t="str">
        <f t="shared" si="9"/>
        <v>18 Б 01 00000000</v>
      </c>
    </row>
    <row r="200" spans="1:18" s="16" customFormat="1" ht="126">
      <c r="A200" s="14"/>
      <c r="B200" s="125" t="s">
        <v>180</v>
      </c>
      <c r="C200" s="109" t="s">
        <v>64</v>
      </c>
      <c r="D200" s="108" t="s">
        <v>11</v>
      </c>
      <c r="E200" s="108" t="s">
        <v>51</v>
      </c>
      <c r="F200" s="108" t="s">
        <v>181</v>
      </c>
      <c r="G200" s="108" t="s">
        <v>9</v>
      </c>
      <c r="H200" s="126">
        <f t="shared" si="18"/>
        <v>0</v>
      </c>
      <c r="L200" s="20">
        <v>2292.5</v>
      </c>
      <c r="M200" s="20">
        <v>2292.5</v>
      </c>
      <c r="N200" s="20">
        <v>2292.5</v>
      </c>
      <c r="O200" s="20">
        <f t="shared" si="16"/>
        <v>-2292.5</v>
      </c>
      <c r="P200" s="20" t="e">
        <f>#REF!-M200</f>
        <v>#REF!</v>
      </c>
      <c r="Q200" s="20" t="e">
        <f>#REF!-N200</f>
        <v>#REF!</v>
      </c>
      <c r="R200" s="17" t="str">
        <f t="shared" si="9"/>
        <v>18 Б 01 60080000</v>
      </c>
    </row>
    <row r="201" spans="1:18" s="16" customFormat="1" ht="47.25">
      <c r="A201" s="14"/>
      <c r="B201" s="125" t="s">
        <v>182</v>
      </c>
      <c r="C201" s="109" t="s">
        <v>64</v>
      </c>
      <c r="D201" s="108" t="s">
        <v>11</v>
      </c>
      <c r="E201" s="108" t="s">
        <v>51</v>
      </c>
      <c r="F201" s="108" t="s">
        <v>181</v>
      </c>
      <c r="G201" s="108" t="s">
        <v>183</v>
      </c>
      <c r="H201" s="126">
        <f>H202</f>
        <v>0</v>
      </c>
      <c r="L201" s="20">
        <v>2292.5</v>
      </c>
      <c r="M201" s="20">
        <v>2292.5</v>
      </c>
      <c r="N201" s="20">
        <v>2292.5</v>
      </c>
      <c r="O201" s="20">
        <f t="shared" si="16"/>
        <v>-2292.5</v>
      </c>
      <c r="P201" s="20" t="e">
        <f>#REF!-M201</f>
        <v>#REF!</v>
      </c>
      <c r="Q201" s="20" t="e">
        <f>#REF!-N201</f>
        <v>#REF!</v>
      </c>
      <c r="R201" s="17" t="str">
        <f t="shared" si="9"/>
        <v>18 Б 01 60080630</v>
      </c>
    </row>
    <row r="202" spans="1:18" s="16" customFormat="1" ht="63">
      <c r="A202" s="14"/>
      <c r="B202" s="125" t="s">
        <v>184</v>
      </c>
      <c r="C202" s="109" t="s">
        <v>64</v>
      </c>
      <c r="D202" s="108" t="s">
        <v>11</v>
      </c>
      <c r="E202" s="108" t="s">
        <v>51</v>
      </c>
      <c r="F202" s="108" t="s">
        <v>181</v>
      </c>
      <c r="G202" s="108" t="s">
        <v>185</v>
      </c>
      <c r="H202" s="126"/>
      <c r="L202" s="20"/>
      <c r="M202" s="20"/>
      <c r="N202" s="20"/>
      <c r="O202" s="20"/>
      <c r="P202" s="20"/>
      <c r="Q202" s="20"/>
      <c r="R202" s="17" t="str">
        <f t="shared" si="9"/>
        <v>18 Б 01 60080631</v>
      </c>
    </row>
    <row r="203" spans="1:18" s="16" customFormat="1" ht="31.5">
      <c r="A203" s="14"/>
      <c r="B203" s="129" t="s">
        <v>66</v>
      </c>
      <c r="C203" s="130" t="s">
        <v>64</v>
      </c>
      <c r="D203" s="131" t="s">
        <v>11</v>
      </c>
      <c r="E203" s="131" t="s">
        <v>51</v>
      </c>
      <c r="F203" s="131" t="s">
        <v>67</v>
      </c>
      <c r="G203" s="131" t="s">
        <v>9</v>
      </c>
      <c r="H203" s="126">
        <f>H204</f>
        <v>0</v>
      </c>
      <c r="L203" s="20">
        <v>37338.509999999995</v>
      </c>
      <c r="M203" s="20">
        <v>32338.51</v>
      </c>
      <c r="N203" s="20">
        <v>32338.51</v>
      </c>
      <c r="O203" s="20">
        <f>H203-L203</f>
        <v>-37338.509999999995</v>
      </c>
      <c r="P203" s="20" t="e">
        <f>#REF!-M203</f>
        <v>#REF!</v>
      </c>
      <c r="Q203" s="20" t="e">
        <f>#REF!-N203</f>
        <v>#REF!</v>
      </c>
      <c r="R203" s="17" t="str">
        <f t="shared" si="9"/>
        <v>71 0 00 00000000</v>
      </c>
    </row>
    <row r="204" spans="1:18" s="16" customFormat="1" ht="31.5">
      <c r="A204" s="14"/>
      <c r="B204" s="129" t="s">
        <v>74</v>
      </c>
      <c r="C204" s="130" t="s">
        <v>64</v>
      </c>
      <c r="D204" s="131" t="s">
        <v>11</v>
      </c>
      <c r="E204" s="131" t="s">
        <v>51</v>
      </c>
      <c r="F204" s="131" t="s">
        <v>75</v>
      </c>
      <c r="G204" s="131" t="s">
        <v>9</v>
      </c>
      <c r="H204" s="126">
        <f>H205+H216</f>
        <v>0</v>
      </c>
      <c r="L204" s="20">
        <v>37338.509999999995</v>
      </c>
      <c r="M204" s="20">
        <v>32338.51</v>
      </c>
      <c r="N204" s="20">
        <v>32338.51</v>
      </c>
      <c r="O204" s="20">
        <f>H204-L204</f>
        <v>-37338.509999999995</v>
      </c>
      <c r="P204" s="20" t="e">
        <f>#REF!-M204</f>
        <v>#REF!</v>
      </c>
      <c r="Q204" s="20" t="e">
        <f>#REF!-N204</f>
        <v>#REF!</v>
      </c>
      <c r="R204" s="17" t="str">
        <f t="shared" ref="R204:R289" si="19">CONCATENATE(F204,G204)</f>
        <v>71 1 00 00000000</v>
      </c>
    </row>
    <row r="205" spans="1:18" s="16" customFormat="1" ht="31.5">
      <c r="A205" s="14"/>
      <c r="B205" s="125" t="s">
        <v>136</v>
      </c>
      <c r="C205" s="109" t="s">
        <v>64</v>
      </c>
      <c r="D205" s="108" t="s">
        <v>11</v>
      </c>
      <c r="E205" s="108" t="s">
        <v>51</v>
      </c>
      <c r="F205" s="108" t="s">
        <v>186</v>
      </c>
      <c r="G205" s="108" t="s">
        <v>9</v>
      </c>
      <c r="H205" s="126">
        <f>H206+H210+H212</f>
        <v>0</v>
      </c>
      <c r="L205" s="20">
        <v>37138.509999999995</v>
      </c>
      <c r="M205" s="20">
        <v>32138.51</v>
      </c>
      <c r="N205" s="20">
        <v>32138.51</v>
      </c>
      <c r="O205" s="20">
        <f>H205-L205</f>
        <v>-37138.509999999995</v>
      </c>
      <c r="P205" s="20" t="e">
        <f>#REF!-M205</f>
        <v>#REF!</v>
      </c>
      <c r="Q205" s="20" t="e">
        <f>#REF!-N205</f>
        <v>#REF!</v>
      </c>
      <c r="R205" s="17" t="str">
        <f t="shared" si="19"/>
        <v>71 1 00 11010000</v>
      </c>
    </row>
    <row r="206" spans="1:18" s="16" customFormat="1" ht="15.75">
      <c r="A206" s="14"/>
      <c r="B206" s="132" t="s">
        <v>138</v>
      </c>
      <c r="C206" s="109" t="s">
        <v>64</v>
      </c>
      <c r="D206" s="108" t="s">
        <v>11</v>
      </c>
      <c r="E206" s="108" t="s">
        <v>51</v>
      </c>
      <c r="F206" s="108" t="s">
        <v>186</v>
      </c>
      <c r="G206" s="108" t="s">
        <v>139</v>
      </c>
      <c r="H206" s="126">
        <f>SUM(H207:H209)</f>
        <v>0</v>
      </c>
      <c r="L206" s="20">
        <v>12661.96</v>
      </c>
      <c r="M206" s="20">
        <v>12661.96</v>
      </c>
      <c r="N206" s="20">
        <v>12661.96</v>
      </c>
      <c r="O206" s="20">
        <f>H206-L206</f>
        <v>-12661.96</v>
      </c>
      <c r="P206" s="20" t="e">
        <f>#REF!-M206</f>
        <v>#REF!</v>
      </c>
      <c r="Q206" s="20" t="e">
        <f>#REF!-N206</f>
        <v>#REF!</v>
      </c>
      <c r="R206" s="17" t="str">
        <f t="shared" si="19"/>
        <v>71 1 00 11010110</v>
      </c>
    </row>
    <row r="207" spans="1:18" s="23" customFormat="1" ht="15.75">
      <c r="A207" s="21"/>
      <c r="B207" s="127" t="s">
        <v>140</v>
      </c>
      <c r="C207" s="109" t="s">
        <v>64</v>
      </c>
      <c r="D207" s="108" t="s">
        <v>11</v>
      </c>
      <c r="E207" s="108" t="s">
        <v>51</v>
      </c>
      <c r="F207" s="108" t="s">
        <v>186</v>
      </c>
      <c r="G207" s="108" t="s">
        <v>141</v>
      </c>
      <c r="H207" s="126"/>
      <c r="L207" s="22"/>
      <c r="M207" s="22"/>
      <c r="N207" s="22"/>
      <c r="O207" s="22"/>
      <c r="P207" s="22"/>
      <c r="Q207" s="22"/>
      <c r="R207" s="24"/>
    </row>
    <row r="208" spans="1:18" s="23" customFormat="1" ht="31.5">
      <c r="A208" s="21"/>
      <c r="B208" s="127" t="s">
        <v>142</v>
      </c>
      <c r="C208" s="109" t="s">
        <v>64</v>
      </c>
      <c r="D208" s="108" t="s">
        <v>11</v>
      </c>
      <c r="E208" s="108" t="s">
        <v>51</v>
      </c>
      <c r="F208" s="108" t="s">
        <v>186</v>
      </c>
      <c r="G208" s="108" t="s">
        <v>143</v>
      </c>
      <c r="H208" s="126"/>
      <c r="L208" s="22"/>
      <c r="M208" s="22"/>
      <c r="N208" s="22"/>
      <c r="O208" s="22"/>
      <c r="P208" s="22"/>
      <c r="Q208" s="22"/>
      <c r="R208" s="24"/>
    </row>
    <row r="209" spans="1:18" s="23" customFormat="1" ht="63">
      <c r="A209" s="21"/>
      <c r="B209" s="127" t="s">
        <v>144</v>
      </c>
      <c r="C209" s="109" t="s">
        <v>64</v>
      </c>
      <c r="D209" s="108" t="s">
        <v>11</v>
      </c>
      <c r="E209" s="108" t="s">
        <v>51</v>
      </c>
      <c r="F209" s="108" t="s">
        <v>186</v>
      </c>
      <c r="G209" s="108" t="s">
        <v>145</v>
      </c>
      <c r="H209" s="126"/>
      <c r="L209" s="22"/>
      <c r="M209" s="22"/>
      <c r="N209" s="22"/>
      <c r="O209" s="22"/>
      <c r="P209" s="22"/>
      <c r="Q209" s="22"/>
      <c r="R209" s="24"/>
    </row>
    <row r="210" spans="1:18" s="16" customFormat="1" ht="31.5">
      <c r="A210" s="14"/>
      <c r="B210" s="125" t="s">
        <v>28</v>
      </c>
      <c r="C210" s="109" t="s">
        <v>64</v>
      </c>
      <c r="D210" s="108" t="s">
        <v>11</v>
      </c>
      <c r="E210" s="108" t="s">
        <v>51</v>
      </c>
      <c r="F210" s="108" t="s">
        <v>186</v>
      </c>
      <c r="G210" s="108" t="s">
        <v>29</v>
      </c>
      <c r="H210" s="126">
        <f>H211</f>
        <v>0</v>
      </c>
      <c r="L210" s="20">
        <v>24082.02</v>
      </c>
      <c r="M210" s="20">
        <v>19082.02</v>
      </c>
      <c r="N210" s="20">
        <v>19082.02</v>
      </c>
      <c r="O210" s="20">
        <f>H210-L210</f>
        <v>-24082.02</v>
      </c>
      <c r="P210" s="20" t="e">
        <f>#REF!-M210</f>
        <v>#REF!</v>
      </c>
      <c r="Q210" s="20" t="e">
        <f>#REF!-N210</f>
        <v>#REF!</v>
      </c>
      <c r="R210" s="17" t="str">
        <f t="shared" si="19"/>
        <v>71 1 00 11010240</v>
      </c>
    </row>
    <row r="211" spans="1:18" s="16" customFormat="1" ht="15.75">
      <c r="A211" s="14"/>
      <c r="B211" s="125" t="s">
        <v>30</v>
      </c>
      <c r="C211" s="109" t="s">
        <v>64</v>
      </c>
      <c r="D211" s="108" t="s">
        <v>11</v>
      </c>
      <c r="E211" s="108" t="s">
        <v>51</v>
      </c>
      <c r="F211" s="108" t="s">
        <v>186</v>
      </c>
      <c r="G211" s="108" t="s">
        <v>31</v>
      </c>
      <c r="H211" s="126"/>
      <c r="L211" s="20"/>
      <c r="M211" s="20"/>
      <c r="N211" s="20"/>
      <c r="O211" s="20"/>
      <c r="P211" s="20"/>
      <c r="Q211" s="20"/>
      <c r="R211" s="17"/>
    </row>
    <row r="212" spans="1:18" s="16" customFormat="1" ht="15.75">
      <c r="A212" s="14"/>
      <c r="B212" s="125" t="s">
        <v>32</v>
      </c>
      <c r="C212" s="109" t="s">
        <v>64</v>
      </c>
      <c r="D212" s="108" t="s">
        <v>11</v>
      </c>
      <c r="E212" s="108" t="s">
        <v>51</v>
      </c>
      <c r="F212" s="108" t="s">
        <v>186</v>
      </c>
      <c r="G212" s="108" t="s">
        <v>33</v>
      </c>
      <c r="H212" s="126">
        <f>SUM(H213:H215)</f>
        <v>0</v>
      </c>
      <c r="L212" s="20">
        <v>394.53</v>
      </c>
      <c r="M212" s="20">
        <v>394.53</v>
      </c>
      <c r="N212" s="20">
        <v>394.53</v>
      </c>
      <c r="O212" s="20">
        <f>H212-L212</f>
        <v>-394.53</v>
      </c>
      <c r="P212" s="20" t="e">
        <f>#REF!-M212</f>
        <v>#REF!</v>
      </c>
      <c r="Q212" s="20" t="e">
        <f>#REF!-N212</f>
        <v>#REF!</v>
      </c>
      <c r="R212" s="17" t="str">
        <f t="shared" si="19"/>
        <v>71 1 00 11010850</v>
      </c>
    </row>
    <row r="213" spans="1:18" s="23" customFormat="1" ht="31.5">
      <c r="A213" s="21"/>
      <c r="B213" s="127" t="s">
        <v>34</v>
      </c>
      <c r="C213" s="109" t="s">
        <v>64</v>
      </c>
      <c r="D213" s="108" t="s">
        <v>11</v>
      </c>
      <c r="E213" s="108" t="s">
        <v>51</v>
      </c>
      <c r="F213" s="108" t="s">
        <v>186</v>
      </c>
      <c r="G213" s="108" t="s">
        <v>35</v>
      </c>
      <c r="H213" s="126"/>
      <c r="L213" s="22"/>
      <c r="M213" s="22"/>
      <c r="N213" s="22"/>
      <c r="O213" s="22"/>
      <c r="P213" s="22"/>
      <c r="Q213" s="22"/>
      <c r="R213" s="24"/>
    </row>
    <row r="214" spans="1:18" s="23" customFormat="1" ht="15.75">
      <c r="A214" s="21"/>
      <c r="B214" s="127" t="s">
        <v>36</v>
      </c>
      <c r="C214" s="109" t="s">
        <v>64</v>
      </c>
      <c r="D214" s="108" t="s">
        <v>11</v>
      </c>
      <c r="E214" s="108" t="s">
        <v>51</v>
      </c>
      <c r="F214" s="108" t="s">
        <v>186</v>
      </c>
      <c r="G214" s="108" t="s">
        <v>37</v>
      </c>
      <c r="H214" s="126"/>
      <c r="L214" s="22"/>
      <c r="M214" s="22"/>
      <c r="N214" s="22"/>
      <c r="O214" s="22"/>
      <c r="P214" s="22"/>
      <c r="Q214" s="22"/>
      <c r="R214" s="24"/>
    </row>
    <row r="215" spans="1:18" s="23" customFormat="1" ht="15.75">
      <c r="A215" s="21"/>
      <c r="B215" s="127" t="s">
        <v>77</v>
      </c>
      <c r="C215" s="109" t="s">
        <v>64</v>
      </c>
      <c r="D215" s="108" t="s">
        <v>11</v>
      </c>
      <c r="E215" s="108" t="s">
        <v>51</v>
      </c>
      <c r="F215" s="108" t="s">
        <v>186</v>
      </c>
      <c r="G215" s="108" t="s">
        <v>78</v>
      </c>
      <c r="H215" s="126"/>
      <c r="L215" s="22"/>
      <c r="M215" s="22"/>
      <c r="N215" s="22"/>
      <c r="O215" s="22"/>
      <c r="P215" s="22"/>
      <c r="Q215" s="22"/>
      <c r="R215" s="24"/>
    </row>
    <row r="216" spans="1:18" s="16" customFormat="1" ht="31.5">
      <c r="A216" s="14"/>
      <c r="B216" s="129" t="s">
        <v>187</v>
      </c>
      <c r="C216" s="130" t="s">
        <v>64</v>
      </c>
      <c r="D216" s="131" t="s">
        <v>11</v>
      </c>
      <c r="E216" s="131" t="s">
        <v>51</v>
      </c>
      <c r="F216" s="131" t="s">
        <v>188</v>
      </c>
      <c r="G216" s="131" t="s">
        <v>9</v>
      </c>
      <c r="H216" s="126">
        <f>H217</f>
        <v>0</v>
      </c>
      <c r="L216" s="20">
        <v>200</v>
      </c>
      <c r="M216" s="20">
        <v>200</v>
      </c>
      <c r="N216" s="20">
        <v>200</v>
      </c>
      <c r="O216" s="20">
        <f>H216-L216</f>
        <v>-200</v>
      </c>
      <c r="P216" s="20" t="e">
        <f>#REF!-M216</f>
        <v>#REF!</v>
      </c>
      <c r="Q216" s="20" t="e">
        <f>#REF!-N216</f>
        <v>#REF!</v>
      </c>
      <c r="R216" s="17" t="str">
        <f t="shared" si="19"/>
        <v>71 1 00 20050000</v>
      </c>
    </row>
    <row r="217" spans="1:18" s="16" customFormat="1" ht="15.75">
      <c r="A217" s="14"/>
      <c r="B217" s="125" t="s">
        <v>189</v>
      </c>
      <c r="C217" s="130" t="s">
        <v>64</v>
      </c>
      <c r="D217" s="131" t="s">
        <v>11</v>
      </c>
      <c r="E217" s="131" t="s">
        <v>51</v>
      </c>
      <c r="F217" s="131" t="s">
        <v>188</v>
      </c>
      <c r="G217" s="131" t="s">
        <v>190</v>
      </c>
      <c r="H217" s="126">
        <f>H218</f>
        <v>0</v>
      </c>
      <c r="L217" s="20">
        <v>200</v>
      </c>
      <c r="M217" s="20">
        <v>200</v>
      </c>
      <c r="N217" s="20">
        <v>200</v>
      </c>
      <c r="O217" s="20">
        <f>H217-L217</f>
        <v>-200</v>
      </c>
      <c r="P217" s="20" t="e">
        <f>#REF!-M217</f>
        <v>#REF!</v>
      </c>
      <c r="Q217" s="20" t="e">
        <f>#REF!-N217</f>
        <v>#REF!</v>
      </c>
      <c r="R217" s="17" t="str">
        <f t="shared" si="19"/>
        <v>71 1 00 20050830</v>
      </c>
    </row>
    <row r="218" spans="1:18" s="16" customFormat="1" ht="47.25">
      <c r="A218" s="14"/>
      <c r="B218" s="129" t="s">
        <v>191</v>
      </c>
      <c r="C218" s="130" t="s">
        <v>64</v>
      </c>
      <c r="D218" s="131" t="s">
        <v>11</v>
      </c>
      <c r="E218" s="131" t="s">
        <v>51</v>
      </c>
      <c r="F218" s="131" t="s">
        <v>188</v>
      </c>
      <c r="G218" s="131" t="s">
        <v>192</v>
      </c>
      <c r="H218" s="126"/>
      <c r="L218" s="20"/>
      <c r="M218" s="20"/>
      <c r="N218" s="20"/>
      <c r="O218" s="20"/>
      <c r="P218" s="20"/>
      <c r="Q218" s="20"/>
      <c r="R218" s="17"/>
    </row>
    <row r="219" spans="1:18" s="16" customFormat="1" ht="63">
      <c r="A219" s="14"/>
      <c r="B219" s="125" t="s">
        <v>87</v>
      </c>
      <c r="C219" s="130" t="s">
        <v>64</v>
      </c>
      <c r="D219" s="131" t="s">
        <v>11</v>
      </c>
      <c r="E219" s="131" t="s">
        <v>51</v>
      </c>
      <c r="F219" s="131" t="s">
        <v>88</v>
      </c>
      <c r="G219" s="131" t="s">
        <v>9</v>
      </c>
      <c r="H219" s="126">
        <f>H220</f>
        <v>0</v>
      </c>
      <c r="L219" s="20">
        <v>7404.69</v>
      </c>
      <c r="M219" s="20">
        <v>7404.69</v>
      </c>
      <c r="N219" s="20">
        <v>7404.69</v>
      </c>
      <c r="O219" s="20">
        <f>H219-L219</f>
        <v>-7404.69</v>
      </c>
      <c r="P219" s="20" t="e">
        <f>#REF!-M219</f>
        <v>#REF!</v>
      </c>
      <c r="Q219" s="20" t="e">
        <f>#REF!-N219</f>
        <v>#REF!</v>
      </c>
      <c r="R219" s="17" t="str">
        <f t="shared" si="19"/>
        <v>98 0 00 00000000</v>
      </c>
    </row>
    <row r="220" spans="1:18" s="16" customFormat="1" ht="15.75">
      <c r="A220" s="14"/>
      <c r="B220" s="125" t="s">
        <v>89</v>
      </c>
      <c r="C220" s="130" t="s">
        <v>64</v>
      </c>
      <c r="D220" s="131" t="s">
        <v>11</v>
      </c>
      <c r="E220" s="131" t="s">
        <v>51</v>
      </c>
      <c r="F220" s="131" t="s">
        <v>90</v>
      </c>
      <c r="G220" s="131" t="s">
        <v>9</v>
      </c>
      <c r="H220" s="126">
        <f t="shared" ref="H220" si="20">H221</f>
        <v>0</v>
      </c>
      <c r="L220" s="20">
        <v>7404.69</v>
      </c>
      <c r="M220" s="20">
        <v>7404.69</v>
      </c>
      <c r="N220" s="20">
        <v>7404.69</v>
      </c>
      <c r="O220" s="20">
        <f>H220-L220</f>
        <v>-7404.69</v>
      </c>
      <c r="P220" s="20" t="e">
        <f>#REF!-M220</f>
        <v>#REF!</v>
      </c>
      <c r="Q220" s="20" t="e">
        <f>#REF!-N220</f>
        <v>#REF!</v>
      </c>
      <c r="R220" s="17" t="str">
        <f t="shared" si="19"/>
        <v>98 1 00 00000000</v>
      </c>
    </row>
    <row r="221" spans="1:18" s="16" customFormat="1" ht="63">
      <c r="A221" s="14" t="s">
        <v>80</v>
      </c>
      <c r="B221" s="129" t="s">
        <v>193</v>
      </c>
      <c r="C221" s="130" t="s">
        <v>64</v>
      </c>
      <c r="D221" s="131" t="s">
        <v>11</v>
      </c>
      <c r="E221" s="131" t="s">
        <v>51</v>
      </c>
      <c r="F221" s="131" t="s">
        <v>194</v>
      </c>
      <c r="G221" s="131" t="s">
        <v>9</v>
      </c>
      <c r="H221" s="126">
        <f>SUM(H222:H222)</f>
        <v>0</v>
      </c>
      <c r="L221" s="20">
        <v>7404.69</v>
      </c>
      <c r="M221" s="20">
        <v>7404.69</v>
      </c>
      <c r="N221" s="20">
        <v>7404.69</v>
      </c>
      <c r="O221" s="20">
        <f>H221-L221</f>
        <v>-7404.69</v>
      </c>
      <c r="P221" s="20" t="e">
        <f>#REF!-M221</f>
        <v>#REF!</v>
      </c>
      <c r="Q221" s="20" t="e">
        <f>#REF!-N221</f>
        <v>#REF!</v>
      </c>
      <c r="R221" s="17" t="str">
        <f t="shared" si="19"/>
        <v>98 1 00 76610000</v>
      </c>
    </row>
    <row r="222" spans="1:18" s="16" customFormat="1" ht="31.5">
      <c r="A222" s="14"/>
      <c r="B222" s="127" t="s">
        <v>20</v>
      </c>
      <c r="C222" s="130" t="s">
        <v>64</v>
      </c>
      <c r="D222" s="131" t="s">
        <v>11</v>
      </c>
      <c r="E222" s="131" t="s">
        <v>51</v>
      </c>
      <c r="F222" s="131" t="s">
        <v>194</v>
      </c>
      <c r="G222" s="131" t="s">
        <v>21</v>
      </c>
      <c r="H222" s="126">
        <f>SUM(H223:H224)</f>
        <v>0</v>
      </c>
      <c r="L222" s="20">
        <v>7404.69</v>
      </c>
      <c r="M222" s="20">
        <v>7404.69</v>
      </c>
      <c r="N222" s="20">
        <v>7404.69</v>
      </c>
      <c r="O222" s="20">
        <f>H222-L222</f>
        <v>-7404.69</v>
      </c>
      <c r="P222" s="20" t="e">
        <f>#REF!-M222</f>
        <v>#REF!</v>
      </c>
      <c r="Q222" s="20" t="e">
        <f>#REF!-N222</f>
        <v>#REF!</v>
      </c>
      <c r="R222" s="17" t="str">
        <f t="shared" si="19"/>
        <v>98 1 00 76610120</v>
      </c>
    </row>
    <row r="223" spans="1:18" s="23" customFormat="1" ht="31.5">
      <c r="A223" s="21"/>
      <c r="B223" s="127" t="s">
        <v>40</v>
      </c>
      <c r="C223" s="130" t="s">
        <v>64</v>
      </c>
      <c r="D223" s="131" t="s">
        <v>11</v>
      </c>
      <c r="E223" s="131" t="s">
        <v>51</v>
      </c>
      <c r="F223" s="131" t="s">
        <v>194</v>
      </c>
      <c r="G223" s="108" t="s">
        <v>41</v>
      </c>
      <c r="H223" s="126"/>
      <c r="L223" s="22"/>
      <c r="M223" s="22"/>
      <c r="N223" s="22"/>
      <c r="O223" s="22"/>
      <c r="P223" s="22"/>
      <c r="Q223" s="22"/>
      <c r="R223" s="24"/>
    </row>
    <row r="224" spans="1:18" s="23" customFormat="1" ht="63">
      <c r="A224" s="21"/>
      <c r="B224" s="127" t="s">
        <v>26</v>
      </c>
      <c r="C224" s="130" t="s">
        <v>64</v>
      </c>
      <c r="D224" s="131" t="s">
        <v>11</v>
      </c>
      <c r="E224" s="131" t="s">
        <v>51</v>
      </c>
      <c r="F224" s="131" t="s">
        <v>194</v>
      </c>
      <c r="G224" s="108" t="s">
        <v>27</v>
      </c>
      <c r="H224" s="126"/>
      <c r="L224" s="22"/>
      <c r="M224" s="22"/>
      <c r="N224" s="22"/>
      <c r="O224" s="22"/>
      <c r="P224" s="22"/>
      <c r="Q224" s="22"/>
      <c r="R224" s="24"/>
    </row>
    <row r="225" spans="1:18" s="16" customFormat="1" ht="15.75">
      <c r="A225" s="14"/>
      <c r="B225" s="117" t="s">
        <v>195</v>
      </c>
      <c r="C225" s="118" t="s">
        <v>64</v>
      </c>
      <c r="D225" s="119" t="s">
        <v>73</v>
      </c>
      <c r="E225" s="119" t="s">
        <v>7</v>
      </c>
      <c r="F225" s="119" t="s">
        <v>8</v>
      </c>
      <c r="G225" s="119" t="s">
        <v>9</v>
      </c>
      <c r="H225" s="120">
        <f t="shared" ref="H225:H226" si="21">H226</f>
        <v>0</v>
      </c>
      <c r="L225" s="18">
        <v>11547.5</v>
      </c>
      <c r="M225" s="18">
        <v>11547.5</v>
      </c>
      <c r="N225" s="18">
        <v>11547.5</v>
      </c>
      <c r="O225" s="18">
        <f t="shared" ref="O225:O231" si="22">H225-L225</f>
        <v>-11547.5</v>
      </c>
      <c r="P225" s="18" t="e">
        <f>#REF!-M225</f>
        <v>#REF!</v>
      </c>
      <c r="Q225" s="18" t="e">
        <f>#REF!-N225</f>
        <v>#REF!</v>
      </c>
      <c r="R225" s="17" t="str">
        <f t="shared" si="19"/>
        <v>00 0 00 00000000</v>
      </c>
    </row>
    <row r="226" spans="1:18" s="16" customFormat="1" ht="15.75">
      <c r="A226" s="14"/>
      <c r="B226" s="121" t="s">
        <v>196</v>
      </c>
      <c r="C226" s="122" t="s">
        <v>64</v>
      </c>
      <c r="D226" s="123" t="s">
        <v>73</v>
      </c>
      <c r="E226" s="123" t="s">
        <v>57</v>
      </c>
      <c r="F226" s="123" t="s">
        <v>8</v>
      </c>
      <c r="G226" s="123" t="s">
        <v>9</v>
      </c>
      <c r="H226" s="124">
        <f t="shared" si="21"/>
        <v>0</v>
      </c>
      <c r="L226" s="19">
        <v>11547.5</v>
      </c>
      <c r="M226" s="19">
        <v>11547.5</v>
      </c>
      <c r="N226" s="19">
        <v>11547.5</v>
      </c>
      <c r="O226" s="19">
        <f t="shared" si="22"/>
        <v>-11547.5</v>
      </c>
      <c r="P226" s="19" t="e">
        <f>#REF!-M226</f>
        <v>#REF!</v>
      </c>
      <c r="Q226" s="19" t="e">
        <f>#REF!-N226</f>
        <v>#REF!</v>
      </c>
      <c r="R226" s="17" t="str">
        <f t="shared" si="19"/>
        <v>00 0 00 00000000</v>
      </c>
    </row>
    <row r="227" spans="1:18" s="16" customFormat="1" ht="31.5">
      <c r="A227" s="14"/>
      <c r="B227" s="129" t="s">
        <v>94</v>
      </c>
      <c r="C227" s="109" t="s">
        <v>64</v>
      </c>
      <c r="D227" s="108" t="s">
        <v>73</v>
      </c>
      <c r="E227" s="108" t="s">
        <v>57</v>
      </c>
      <c r="F227" s="108" t="s">
        <v>95</v>
      </c>
      <c r="G227" s="108" t="s">
        <v>9</v>
      </c>
      <c r="H227" s="126">
        <f>H228+H244</f>
        <v>0</v>
      </c>
      <c r="L227" s="20">
        <v>11547.5</v>
      </c>
      <c r="M227" s="20">
        <v>11547.5</v>
      </c>
      <c r="N227" s="20">
        <v>11547.5</v>
      </c>
      <c r="O227" s="20">
        <f t="shared" si="22"/>
        <v>-11547.5</v>
      </c>
      <c r="P227" s="20" t="e">
        <f>#REF!-M227</f>
        <v>#REF!</v>
      </c>
      <c r="Q227" s="20" t="e">
        <f>#REF!-N227</f>
        <v>#REF!</v>
      </c>
      <c r="R227" s="17" t="str">
        <f t="shared" si="19"/>
        <v>12 0 00 00000000</v>
      </c>
    </row>
    <row r="228" spans="1:18" s="16" customFormat="1" ht="31.5">
      <c r="A228" s="14"/>
      <c r="B228" s="129" t="s">
        <v>197</v>
      </c>
      <c r="C228" s="109" t="s">
        <v>64</v>
      </c>
      <c r="D228" s="108" t="s">
        <v>73</v>
      </c>
      <c r="E228" s="108" t="s">
        <v>57</v>
      </c>
      <c r="F228" s="108" t="s">
        <v>198</v>
      </c>
      <c r="G228" s="108" t="s">
        <v>9</v>
      </c>
      <c r="H228" s="126">
        <f>H229+H234+H240</f>
        <v>0</v>
      </c>
      <c r="L228" s="20">
        <v>8210</v>
      </c>
      <c r="M228" s="20">
        <v>8210</v>
      </c>
      <c r="N228" s="20">
        <v>8210</v>
      </c>
      <c r="O228" s="20">
        <f t="shared" si="22"/>
        <v>-8210</v>
      </c>
      <c r="P228" s="20" t="e">
        <f>#REF!-M228</f>
        <v>#REF!</v>
      </c>
      <c r="Q228" s="20" t="e">
        <f>#REF!-N228</f>
        <v>#REF!</v>
      </c>
      <c r="R228" s="17" t="str">
        <f t="shared" si="19"/>
        <v>12 1 00 00000000</v>
      </c>
    </row>
    <row r="229" spans="1:18" s="16" customFormat="1" ht="47.25">
      <c r="A229" s="14"/>
      <c r="B229" s="129" t="s">
        <v>199</v>
      </c>
      <c r="C229" s="109" t="s">
        <v>64</v>
      </c>
      <c r="D229" s="108" t="s">
        <v>73</v>
      </c>
      <c r="E229" s="108" t="s">
        <v>57</v>
      </c>
      <c r="F229" s="108" t="s">
        <v>200</v>
      </c>
      <c r="G229" s="108" t="s">
        <v>9</v>
      </c>
      <c r="H229" s="126">
        <f t="shared" ref="H229:H230" si="23">H230</f>
        <v>0</v>
      </c>
      <c r="L229" s="20">
        <v>5000</v>
      </c>
      <c r="M229" s="20">
        <v>5000</v>
      </c>
      <c r="N229" s="20">
        <v>5000</v>
      </c>
      <c r="O229" s="20">
        <f t="shared" si="22"/>
        <v>-5000</v>
      </c>
      <c r="P229" s="20" t="e">
        <f>#REF!-M229</f>
        <v>#REF!</v>
      </c>
      <c r="Q229" s="20" t="e">
        <f>#REF!-N229</f>
        <v>#REF!</v>
      </c>
      <c r="R229" s="17" t="str">
        <f t="shared" si="19"/>
        <v>12 1 01 00000000</v>
      </c>
    </row>
    <row r="230" spans="1:18" s="16" customFormat="1" ht="47.25">
      <c r="A230" s="14"/>
      <c r="B230" s="129" t="s">
        <v>201</v>
      </c>
      <c r="C230" s="109" t="s">
        <v>64</v>
      </c>
      <c r="D230" s="108" t="s">
        <v>73</v>
      </c>
      <c r="E230" s="108" t="s">
        <v>57</v>
      </c>
      <c r="F230" s="108" t="s">
        <v>202</v>
      </c>
      <c r="G230" s="108" t="s">
        <v>9</v>
      </c>
      <c r="H230" s="126">
        <f t="shared" si="23"/>
        <v>0</v>
      </c>
      <c r="L230" s="20">
        <v>5000</v>
      </c>
      <c r="M230" s="20">
        <v>5000</v>
      </c>
      <c r="N230" s="20">
        <v>5000</v>
      </c>
      <c r="O230" s="20">
        <f t="shared" si="22"/>
        <v>-5000</v>
      </c>
      <c r="P230" s="20" t="e">
        <f>#REF!-M230</f>
        <v>#REF!</v>
      </c>
      <c r="Q230" s="20" t="e">
        <f>#REF!-N230</f>
        <v>#REF!</v>
      </c>
      <c r="R230" s="17" t="str">
        <f t="shared" si="19"/>
        <v>12 1 01 60130000</v>
      </c>
    </row>
    <row r="231" spans="1:18" s="16" customFormat="1" ht="63">
      <c r="A231" s="14"/>
      <c r="B231" s="129" t="s">
        <v>203</v>
      </c>
      <c r="C231" s="109" t="s">
        <v>64</v>
      </c>
      <c r="D231" s="108" t="s">
        <v>73</v>
      </c>
      <c r="E231" s="108" t="s">
        <v>57</v>
      </c>
      <c r="F231" s="108" t="s">
        <v>202</v>
      </c>
      <c r="G231" s="108" t="s">
        <v>204</v>
      </c>
      <c r="H231" s="126">
        <f>SUM(H232:H233)</f>
        <v>0</v>
      </c>
      <c r="L231" s="20">
        <v>5000</v>
      </c>
      <c r="M231" s="20">
        <v>5000</v>
      </c>
      <c r="N231" s="20">
        <v>5000</v>
      </c>
      <c r="O231" s="20">
        <f t="shared" si="22"/>
        <v>-5000</v>
      </c>
      <c r="P231" s="20" t="e">
        <f>#REF!-M231</f>
        <v>#REF!</v>
      </c>
      <c r="Q231" s="20" t="e">
        <f>#REF!-N231</f>
        <v>#REF!</v>
      </c>
      <c r="R231" s="17" t="str">
        <f t="shared" si="19"/>
        <v>12 1 01 60130810</v>
      </c>
    </row>
    <row r="232" spans="1:18" s="23" customFormat="1" ht="63">
      <c r="A232" s="21"/>
      <c r="B232" s="127" t="s">
        <v>205</v>
      </c>
      <c r="C232" s="109" t="s">
        <v>64</v>
      </c>
      <c r="D232" s="108" t="s">
        <v>73</v>
      </c>
      <c r="E232" s="108" t="s">
        <v>57</v>
      </c>
      <c r="F232" s="108" t="s">
        <v>202</v>
      </c>
      <c r="G232" s="108" t="s">
        <v>206</v>
      </c>
      <c r="H232" s="126"/>
      <c r="L232" s="22"/>
      <c r="M232" s="22"/>
      <c r="N232" s="22"/>
      <c r="O232" s="22"/>
      <c r="P232" s="22"/>
      <c r="Q232" s="22"/>
      <c r="R232" s="24"/>
    </row>
    <row r="233" spans="1:18" s="23" customFormat="1" ht="110.25">
      <c r="A233" s="21"/>
      <c r="B233" s="127" t="s">
        <v>207</v>
      </c>
      <c r="C233" s="109" t="s">
        <v>64</v>
      </c>
      <c r="D233" s="108" t="s">
        <v>73</v>
      </c>
      <c r="E233" s="108" t="s">
        <v>57</v>
      </c>
      <c r="F233" s="108" t="s">
        <v>202</v>
      </c>
      <c r="G233" s="108" t="s">
        <v>208</v>
      </c>
      <c r="H233" s="126"/>
      <c r="L233" s="22"/>
      <c r="M233" s="22"/>
      <c r="N233" s="22"/>
      <c r="O233" s="22"/>
      <c r="P233" s="22"/>
      <c r="Q233" s="22"/>
      <c r="R233" s="24"/>
    </row>
    <row r="234" spans="1:18" s="16" customFormat="1" ht="63">
      <c r="A234" s="14"/>
      <c r="B234" s="129" t="s">
        <v>209</v>
      </c>
      <c r="C234" s="109" t="s">
        <v>64</v>
      </c>
      <c r="D234" s="108" t="s">
        <v>73</v>
      </c>
      <c r="E234" s="108" t="s">
        <v>57</v>
      </c>
      <c r="F234" s="108" t="s">
        <v>210</v>
      </c>
      <c r="G234" s="108" t="s">
        <v>9</v>
      </c>
      <c r="H234" s="126">
        <f t="shared" ref="H234" si="24">H235</f>
        <v>0</v>
      </c>
      <c r="L234" s="20">
        <v>2550</v>
      </c>
      <c r="M234" s="20">
        <v>2550</v>
      </c>
      <c r="N234" s="20">
        <v>2550</v>
      </c>
      <c r="O234" s="20">
        <f>H234-L234</f>
        <v>-2550</v>
      </c>
      <c r="P234" s="20" t="e">
        <f>#REF!-M234</f>
        <v>#REF!</v>
      </c>
      <c r="Q234" s="20" t="e">
        <f>#REF!-N234</f>
        <v>#REF!</v>
      </c>
      <c r="R234" s="17" t="str">
        <f t="shared" si="19"/>
        <v>12 1 02 00000000</v>
      </c>
    </row>
    <row r="235" spans="1:18" s="16" customFormat="1" ht="47.25">
      <c r="A235" s="14"/>
      <c r="B235" s="129" t="s">
        <v>211</v>
      </c>
      <c r="C235" s="109" t="s">
        <v>64</v>
      </c>
      <c r="D235" s="108" t="s">
        <v>73</v>
      </c>
      <c r="E235" s="108" t="s">
        <v>57</v>
      </c>
      <c r="F235" s="108" t="s">
        <v>212</v>
      </c>
      <c r="G235" s="108" t="s">
        <v>9</v>
      </c>
      <c r="H235" s="126">
        <f>H236+H238</f>
        <v>0</v>
      </c>
      <c r="L235" s="20">
        <v>2550</v>
      </c>
      <c r="M235" s="20">
        <v>2550</v>
      </c>
      <c r="N235" s="20">
        <v>2550</v>
      </c>
      <c r="O235" s="20">
        <f>H235-L235</f>
        <v>-2550</v>
      </c>
      <c r="P235" s="20" t="e">
        <f>#REF!-M235</f>
        <v>#REF!</v>
      </c>
      <c r="Q235" s="20" t="e">
        <f>#REF!-N235</f>
        <v>#REF!</v>
      </c>
      <c r="R235" s="17" t="str">
        <f t="shared" si="19"/>
        <v>12 1 02 20480000</v>
      </c>
    </row>
    <row r="236" spans="1:18" s="16" customFormat="1" ht="31.5">
      <c r="A236" s="14"/>
      <c r="B236" s="125" t="s">
        <v>28</v>
      </c>
      <c r="C236" s="109" t="s">
        <v>64</v>
      </c>
      <c r="D236" s="108" t="s">
        <v>73</v>
      </c>
      <c r="E236" s="108" t="s">
        <v>57</v>
      </c>
      <c r="F236" s="108" t="s">
        <v>212</v>
      </c>
      <c r="G236" s="108" t="s">
        <v>29</v>
      </c>
      <c r="H236" s="126">
        <f>H237</f>
        <v>0</v>
      </c>
      <c r="L236" s="20">
        <v>150</v>
      </c>
      <c r="M236" s="20">
        <v>150</v>
      </c>
      <c r="N236" s="20">
        <v>150</v>
      </c>
      <c r="O236" s="20">
        <f>H236-L236</f>
        <v>-150</v>
      </c>
      <c r="P236" s="20" t="e">
        <f>#REF!-M236</f>
        <v>#REF!</v>
      </c>
      <c r="Q236" s="20" t="e">
        <f>#REF!-N236</f>
        <v>#REF!</v>
      </c>
      <c r="R236" s="17" t="str">
        <f t="shared" si="19"/>
        <v>12 1 02 20480240</v>
      </c>
    </row>
    <row r="237" spans="1:18" s="16" customFormat="1" ht="15.75">
      <c r="A237" s="14"/>
      <c r="B237" s="125" t="s">
        <v>30</v>
      </c>
      <c r="C237" s="109" t="s">
        <v>64</v>
      </c>
      <c r="D237" s="108" t="s">
        <v>73</v>
      </c>
      <c r="E237" s="108" t="s">
        <v>57</v>
      </c>
      <c r="F237" s="108" t="s">
        <v>212</v>
      </c>
      <c r="G237" s="108" t="s">
        <v>31</v>
      </c>
      <c r="H237" s="126"/>
      <c r="L237" s="20"/>
      <c r="M237" s="20"/>
      <c r="N237" s="20"/>
      <c r="O237" s="20"/>
      <c r="P237" s="20"/>
      <c r="Q237" s="20"/>
      <c r="R237" s="17"/>
    </row>
    <row r="238" spans="1:18" s="16" customFormat="1" ht="47.25">
      <c r="A238" s="14"/>
      <c r="B238" s="137" t="s">
        <v>182</v>
      </c>
      <c r="C238" s="109" t="s">
        <v>64</v>
      </c>
      <c r="D238" s="108" t="s">
        <v>73</v>
      </c>
      <c r="E238" s="108" t="s">
        <v>57</v>
      </c>
      <c r="F238" s="108" t="s">
        <v>212</v>
      </c>
      <c r="G238" s="108" t="s">
        <v>183</v>
      </c>
      <c r="H238" s="126">
        <f>H239</f>
        <v>0</v>
      </c>
      <c r="L238" s="20">
        <v>2400</v>
      </c>
      <c r="M238" s="20">
        <v>2400</v>
      </c>
      <c r="N238" s="20">
        <v>2400</v>
      </c>
      <c r="O238" s="20">
        <f>H238-L238</f>
        <v>-2400</v>
      </c>
      <c r="P238" s="20" t="e">
        <f>#REF!-M238</f>
        <v>#REF!</v>
      </c>
      <c r="Q238" s="20" t="e">
        <f>#REF!-N238</f>
        <v>#REF!</v>
      </c>
      <c r="R238" s="17" t="str">
        <f t="shared" si="19"/>
        <v>12 1 02 20480630</v>
      </c>
    </row>
    <row r="239" spans="1:18" s="16" customFormat="1" ht="47.25">
      <c r="A239" s="14"/>
      <c r="B239" s="125" t="s">
        <v>213</v>
      </c>
      <c r="C239" s="109" t="s">
        <v>64</v>
      </c>
      <c r="D239" s="108" t="s">
        <v>73</v>
      </c>
      <c r="E239" s="108" t="s">
        <v>57</v>
      </c>
      <c r="F239" s="108" t="s">
        <v>212</v>
      </c>
      <c r="G239" s="108" t="s">
        <v>214</v>
      </c>
      <c r="H239" s="126"/>
      <c r="L239" s="20"/>
      <c r="M239" s="20"/>
      <c r="N239" s="20"/>
      <c r="O239" s="20"/>
      <c r="P239" s="20"/>
      <c r="Q239" s="20"/>
      <c r="R239" s="17" t="str">
        <f t="shared" si="19"/>
        <v>12 1 02 20480634</v>
      </c>
    </row>
    <row r="240" spans="1:18" s="16" customFormat="1" ht="63">
      <c r="A240" s="14"/>
      <c r="B240" s="129" t="s">
        <v>215</v>
      </c>
      <c r="C240" s="109" t="s">
        <v>64</v>
      </c>
      <c r="D240" s="108" t="s">
        <v>73</v>
      </c>
      <c r="E240" s="108" t="s">
        <v>57</v>
      </c>
      <c r="F240" s="108" t="s">
        <v>216</v>
      </c>
      <c r="G240" s="108" t="s">
        <v>9</v>
      </c>
      <c r="H240" s="126">
        <f t="shared" ref="H240:H241" si="25">H241</f>
        <v>0</v>
      </c>
      <c r="L240" s="20">
        <v>660</v>
      </c>
      <c r="M240" s="20">
        <v>660</v>
      </c>
      <c r="N240" s="20">
        <v>660</v>
      </c>
      <c r="O240" s="20">
        <f>H240-L240</f>
        <v>-660</v>
      </c>
      <c r="P240" s="20" t="e">
        <f>#REF!-M240</f>
        <v>#REF!</v>
      </c>
      <c r="Q240" s="20" t="e">
        <f>#REF!-N240</f>
        <v>#REF!</v>
      </c>
      <c r="R240" s="17" t="str">
        <f t="shared" si="19"/>
        <v>12 1 03 00000000</v>
      </c>
    </row>
    <row r="241" spans="1:18" s="16" customFormat="1" ht="47.25">
      <c r="A241" s="14"/>
      <c r="B241" s="129" t="s">
        <v>211</v>
      </c>
      <c r="C241" s="109" t="s">
        <v>64</v>
      </c>
      <c r="D241" s="108" t="s">
        <v>73</v>
      </c>
      <c r="E241" s="108" t="s">
        <v>57</v>
      </c>
      <c r="F241" s="108" t="s">
        <v>217</v>
      </c>
      <c r="G241" s="108" t="s">
        <v>9</v>
      </c>
      <c r="H241" s="126">
        <f t="shared" si="25"/>
        <v>0</v>
      </c>
      <c r="L241" s="20">
        <v>660</v>
      </c>
      <c r="M241" s="20">
        <v>660</v>
      </c>
      <c r="N241" s="20">
        <v>660</v>
      </c>
      <c r="O241" s="20">
        <f>H241-L241</f>
        <v>-660</v>
      </c>
      <c r="P241" s="20" t="e">
        <f>#REF!-M241</f>
        <v>#REF!</v>
      </c>
      <c r="Q241" s="20" t="e">
        <f>#REF!-N241</f>
        <v>#REF!</v>
      </c>
      <c r="R241" s="17" t="str">
        <f t="shared" si="19"/>
        <v>12 1 03 20480000</v>
      </c>
    </row>
    <row r="242" spans="1:18" s="16" customFormat="1" ht="31.5">
      <c r="A242" s="14"/>
      <c r="B242" s="125" t="s">
        <v>28</v>
      </c>
      <c r="C242" s="109" t="s">
        <v>64</v>
      </c>
      <c r="D242" s="108" t="s">
        <v>73</v>
      </c>
      <c r="E242" s="108" t="s">
        <v>57</v>
      </c>
      <c r="F242" s="108" t="s">
        <v>217</v>
      </c>
      <c r="G242" s="108" t="s">
        <v>29</v>
      </c>
      <c r="H242" s="126">
        <f>H243</f>
        <v>0</v>
      </c>
      <c r="L242" s="20">
        <v>660</v>
      </c>
      <c r="M242" s="20">
        <v>660</v>
      </c>
      <c r="N242" s="20">
        <v>660</v>
      </c>
      <c r="O242" s="20">
        <f>H242-L242</f>
        <v>-660</v>
      </c>
      <c r="P242" s="20" t="e">
        <f>#REF!-M242</f>
        <v>#REF!</v>
      </c>
      <c r="Q242" s="20" t="e">
        <f>#REF!-N242</f>
        <v>#REF!</v>
      </c>
      <c r="R242" s="17" t="str">
        <f t="shared" si="19"/>
        <v>12 1 03 20480240</v>
      </c>
    </row>
    <row r="243" spans="1:18" s="16" customFormat="1" ht="15.75">
      <c r="A243" s="14"/>
      <c r="B243" s="125" t="s">
        <v>30</v>
      </c>
      <c r="C243" s="109" t="s">
        <v>64</v>
      </c>
      <c r="D243" s="108" t="s">
        <v>73</v>
      </c>
      <c r="E243" s="108" t="s">
        <v>57</v>
      </c>
      <c r="F243" s="108" t="s">
        <v>217</v>
      </c>
      <c r="G243" s="108" t="s">
        <v>31</v>
      </c>
      <c r="H243" s="126"/>
      <c r="L243" s="20"/>
      <c r="M243" s="20"/>
      <c r="N243" s="20"/>
      <c r="O243" s="20"/>
      <c r="P243" s="20"/>
      <c r="Q243" s="20"/>
      <c r="R243" s="17" t="str">
        <f t="shared" si="19"/>
        <v>12 1 03 20480244</v>
      </c>
    </row>
    <row r="244" spans="1:18" s="16" customFormat="1" ht="31.5">
      <c r="A244" s="14"/>
      <c r="B244" s="125" t="s">
        <v>96</v>
      </c>
      <c r="C244" s="109" t="s">
        <v>64</v>
      </c>
      <c r="D244" s="108" t="s">
        <v>73</v>
      </c>
      <c r="E244" s="108" t="s">
        <v>57</v>
      </c>
      <c r="F244" s="108" t="s">
        <v>97</v>
      </c>
      <c r="G244" s="108" t="s">
        <v>9</v>
      </c>
      <c r="H244" s="126">
        <f>H249+H245</f>
        <v>0</v>
      </c>
      <c r="L244" s="20">
        <v>3337.5</v>
      </c>
      <c r="M244" s="20">
        <v>3337.5</v>
      </c>
      <c r="N244" s="20">
        <v>3337.5</v>
      </c>
      <c r="O244" s="20">
        <f>H244-L244</f>
        <v>-3337.5</v>
      </c>
      <c r="P244" s="20" t="e">
        <f>#REF!-M244</f>
        <v>#REF!</v>
      </c>
      <c r="Q244" s="20" t="e">
        <f>#REF!-N244</f>
        <v>#REF!</v>
      </c>
      <c r="R244" s="17" t="str">
        <f t="shared" si="19"/>
        <v>12 2 00 00000000</v>
      </c>
    </row>
    <row r="245" spans="1:18" s="16" customFormat="1" ht="31.5">
      <c r="A245" s="14"/>
      <c r="B245" s="129" t="s">
        <v>218</v>
      </c>
      <c r="C245" s="109" t="s">
        <v>64</v>
      </c>
      <c r="D245" s="108" t="s">
        <v>73</v>
      </c>
      <c r="E245" s="108" t="s">
        <v>57</v>
      </c>
      <c r="F245" s="108" t="s">
        <v>219</v>
      </c>
      <c r="G245" s="108" t="s">
        <v>9</v>
      </c>
      <c r="H245" s="126">
        <f>H246</f>
        <v>0</v>
      </c>
      <c r="L245" s="20">
        <v>1150</v>
      </c>
      <c r="M245" s="20">
        <v>1150</v>
      </c>
      <c r="N245" s="20">
        <v>1150</v>
      </c>
      <c r="O245" s="20">
        <f>H245-L245</f>
        <v>-1150</v>
      </c>
      <c r="P245" s="20" t="e">
        <f>#REF!-M245</f>
        <v>#REF!</v>
      </c>
      <c r="Q245" s="20" t="e">
        <f>#REF!-N245</f>
        <v>#REF!</v>
      </c>
      <c r="R245" s="17" t="str">
        <f t="shared" si="19"/>
        <v>12 2 01 00000000</v>
      </c>
    </row>
    <row r="246" spans="1:18" s="16" customFormat="1" ht="31.5">
      <c r="A246" s="14"/>
      <c r="B246" s="129" t="s">
        <v>220</v>
      </c>
      <c r="C246" s="109" t="s">
        <v>64</v>
      </c>
      <c r="D246" s="108" t="s">
        <v>73</v>
      </c>
      <c r="E246" s="108" t="s">
        <v>57</v>
      </c>
      <c r="F246" s="108" t="s">
        <v>221</v>
      </c>
      <c r="G246" s="108" t="s">
        <v>9</v>
      </c>
      <c r="H246" s="126">
        <f>H247</f>
        <v>0</v>
      </c>
      <c r="L246" s="20">
        <v>1150</v>
      </c>
      <c r="M246" s="20">
        <v>1150</v>
      </c>
      <c r="N246" s="20">
        <v>1150</v>
      </c>
      <c r="O246" s="20">
        <f>H246-L246</f>
        <v>-1150</v>
      </c>
      <c r="P246" s="20" t="e">
        <f>#REF!-M246</f>
        <v>#REF!</v>
      </c>
      <c r="Q246" s="20" t="e">
        <f>#REF!-N246</f>
        <v>#REF!</v>
      </c>
      <c r="R246" s="17" t="str">
        <f t="shared" si="19"/>
        <v>12 2 01 20650000</v>
      </c>
    </row>
    <row r="247" spans="1:18" s="16" customFormat="1" ht="31.5">
      <c r="A247" s="14"/>
      <c r="B247" s="125" t="s">
        <v>28</v>
      </c>
      <c r="C247" s="109" t="s">
        <v>64</v>
      </c>
      <c r="D247" s="108" t="s">
        <v>73</v>
      </c>
      <c r="E247" s="108" t="s">
        <v>57</v>
      </c>
      <c r="F247" s="108" t="s">
        <v>221</v>
      </c>
      <c r="G247" s="108" t="s">
        <v>29</v>
      </c>
      <c r="H247" s="126">
        <f>H248</f>
        <v>0</v>
      </c>
      <c r="L247" s="20">
        <v>1150</v>
      </c>
      <c r="M247" s="20">
        <v>1150</v>
      </c>
      <c r="N247" s="20">
        <v>1150</v>
      </c>
      <c r="O247" s="20">
        <f>H247-L247</f>
        <v>-1150</v>
      </c>
      <c r="P247" s="20" t="e">
        <f>#REF!-M247</f>
        <v>#REF!</v>
      </c>
      <c r="Q247" s="20" t="e">
        <f>#REF!-N247</f>
        <v>#REF!</v>
      </c>
      <c r="R247" s="17" t="str">
        <f t="shared" si="19"/>
        <v>12 2 01 20650240</v>
      </c>
    </row>
    <row r="248" spans="1:18" s="16" customFormat="1" ht="15.75">
      <c r="A248" s="14"/>
      <c r="B248" s="125" t="s">
        <v>30</v>
      </c>
      <c r="C248" s="109" t="s">
        <v>64</v>
      </c>
      <c r="D248" s="108" t="s">
        <v>73</v>
      </c>
      <c r="E248" s="108" t="s">
        <v>57</v>
      </c>
      <c r="F248" s="108" t="s">
        <v>221</v>
      </c>
      <c r="G248" s="108" t="s">
        <v>31</v>
      </c>
      <c r="H248" s="126"/>
      <c r="L248" s="20"/>
      <c r="M248" s="20"/>
      <c r="N248" s="20"/>
      <c r="O248" s="20"/>
      <c r="P248" s="20"/>
      <c r="Q248" s="20"/>
      <c r="R248" s="17" t="str">
        <f t="shared" si="19"/>
        <v>12 2 01 20650244</v>
      </c>
    </row>
    <row r="249" spans="1:18" s="16" customFormat="1" ht="31.5">
      <c r="A249" s="14"/>
      <c r="B249" s="125" t="s">
        <v>222</v>
      </c>
      <c r="C249" s="109" t="s">
        <v>64</v>
      </c>
      <c r="D249" s="108" t="s">
        <v>73</v>
      </c>
      <c r="E249" s="108" t="s">
        <v>57</v>
      </c>
      <c r="F249" s="108" t="s">
        <v>223</v>
      </c>
      <c r="G249" s="108" t="s">
        <v>9</v>
      </c>
      <c r="H249" s="126">
        <f t="shared" ref="H249" si="26">H250</f>
        <v>0</v>
      </c>
      <c r="L249" s="20">
        <v>2187.5</v>
      </c>
      <c r="M249" s="20">
        <v>2187.5</v>
      </c>
      <c r="N249" s="20">
        <v>2187.5</v>
      </c>
      <c r="O249" s="20">
        <f>H249-L249</f>
        <v>-2187.5</v>
      </c>
      <c r="P249" s="20" t="e">
        <f>#REF!-M249</f>
        <v>#REF!</v>
      </c>
      <c r="Q249" s="20" t="e">
        <f>#REF!-N249</f>
        <v>#REF!</v>
      </c>
      <c r="R249" s="17" t="str">
        <f t="shared" si="19"/>
        <v>12 2 02 00000000</v>
      </c>
    </row>
    <row r="250" spans="1:18" s="16" customFormat="1" ht="47.25">
      <c r="A250" s="14"/>
      <c r="B250" s="129" t="s">
        <v>224</v>
      </c>
      <c r="C250" s="109" t="s">
        <v>64</v>
      </c>
      <c r="D250" s="108" t="s">
        <v>73</v>
      </c>
      <c r="E250" s="108" t="s">
        <v>57</v>
      </c>
      <c r="F250" s="108" t="s">
        <v>225</v>
      </c>
      <c r="G250" s="108" t="s">
        <v>9</v>
      </c>
      <c r="H250" s="126">
        <f>H251+H253</f>
        <v>0</v>
      </c>
      <c r="L250" s="20">
        <v>2187.5</v>
      </c>
      <c r="M250" s="20">
        <v>2187.5</v>
      </c>
      <c r="N250" s="20">
        <v>2187.5</v>
      </c>
      <c r="O250" s="20">
        <f>H250-L250</f>
        <v>-2187.5</v>
      </c>
      <c r="P250" s="20" t="e">
        <f>#REF!-M250</f>
        <v>#REF!</v>
      </c>
      <c r="Q250" s="20" t="e">
        <f>#REF!-N250</f>
        <v>#REF!</v>
      </c>
      <c r="R250" s="17" t="str">
        <f t="shared" si="19"/>
        <v>12 2 02 20640000</v>
      </c>
    </row>
    <row r="251" spans="1:18" s="16" customFormat="1" ht="31.5">
      <c r="A251" s="14"/>
      <c r="B251" s="125" t="s">
        <v>28</v>
      </c>
      <c r="C251" s="109" t="s">
        <v>64</v>
      </c>
      <c r="D251" s="108" t="s">
        <v>73</v>
      </c>
      <c r="E251" s="108" t="s">
        <v>57</v>
      </c>
      <c r="F251" s="108" t="s">
        <v>225</v>
      </c>
      <c r="G251" s="108" t="s">
        <v>29</v>
      </c>
      <c r="H251" s="126">
        <f>H252</f>
        <v>0</v>
      </c>
      <c r="L251" s="20">
        <v>2087.5</v>
      </c>
      <c r="M251" s="20">
        <v>2087.5</v>
      </c>
      <c r="N251" s="20">
        <v>2087.5</v>
      </c>
      <c r="O251" s="20">
        <f>H251-L251</f>
        <v>-2087.5</v>
      </c>
      <c r="P251" s="20" t="e">
        <f>#REF!-M251</f>
        <v>#REF!</v>
      </c>
      <c r="Q251" s="20" t="e">
        <f>#REF!-N251</f>
        <v>#REF!</v>
      </c>
      <c r="R251" s="17" t="str">
        <f t="shared" si="19"/>
        <v>12 2 02 20640240</v>
      </c>
    </row>
    <row r="252" spans="1:18" s="16" customFormat="1" ht="15.75">
      <c r="A252" s="14"/>
      <c r="B252" s="125" t="s">
        <v>30</v>
      </c>
      <c r="C252" s="109" t="s">
        <v>64</v>
      </c>
      <c r="D252" s="108" t="s">
        <v>73</v>
      </c>
      <c r="E252" s="108" t="s">
        <v>57</v>
      </c>
      <c r="F252" s="108" t="s">
        <v>225</v>
      </c>
      <c r="G252" s="108" t="s">
        <v>31</v>
      </c>
      <c r="H252" s="126"/>
      <c r="L252" s="20"/>
      <c r="M252" s="20"/>
      <c r="N252" s="20"/>
      <c r="O252" s="20"/>
      <c r="P252" s="20"/>
      <c r="Q252" s="20"/>
      <c r="R252" s="17" t="str">
        <f t="shared" si="19"/>
        <v>12 2 02 20640244</v>
      </c>
    </row>
    <row r="253" spans="1:18" s="16" customFormat="1" ht="63">
      <c r="A253" s="14"/>
      <c r="B253" s="125" t="s">
        <v>203</v>
      </c>
      <c r="C253" s="109" t="s">
        <v>64</v>
      </c>
      <c r="D253" s="108" t="s">
        <v>73</v>
      </c>
      <c r="E253" s="108" t="s">
        <v>57</v>
      </c>
      <c r="F253" s="108" t="s">
        <v>225</v>
      </c>
      <c r="G253" s="108" t="s">
        <v>204</v>
      </c>
      <c r="H253" s="126">
        <f>H254</f>
        <v>0</v>
      </c>
      <c r="L253" s="20">
        <v>100</v>
      </c>
      <c r="M253" s="20">
        <v>100</v>
      </c>
      <c r="N253" s="20">
        <v>100</v>
      </c>
      <c r="O253" s="20">
        <f>H253-L253</f>
        <v>-100</v>
      </c>
      <c r="P253" s="20" t="e">
        <f>#REF!-M253</f>
        <v>#REF!</v>
      </c>
      <c r="Q253" s="20" t="e">
        <f>#REF!-N253</f>
        <v>#REF!</v>
      </c>
      <c r="R253" s="17" t="str">
        <f t="shared" si="19"/>
        <v>12 2 02 20640810</v>
      </c>
    </row>
    <row r="254" spans="1:18" s="23" customFormat="1" ht="110.25">
      <c r="A254" s="21"/>
      <c r="B254" s="127" t="s">
        <v>226</v>
      </c>
      <c r="C254" s="109" t="s">
        <v>64</v>
      </c>
      <c r="D254" s="108" t="s">
        <v>73</v>
      </c>
      <c r="E254" s="108" t="s">
        <v>57</v>
      </c>
      <c r="F254" s="108" t="s">
        <v>225</v>
      </c>
      <c r="G254" s="108" t="s">
        <v>227</v>
      </c>
      <c r="H254" s="126"/>
      <c r="L254" s="22"/>
      <c r="M254" s="22"/>
      <c r="N254" s="22"/>
      <c r="O254" s="22"/>
      <c r="P254" s="22"/>
      <c r="Q254" s="22"/>
      <c r="R254" s="24" t="str">
        <f t="shared" si="19"/>
        <v>12 2 02 20640813</v>
      </c>
    </row>
    <row r="255" spans="1:18" s="16" customFormat="1" ht="15.75">
      <c r="A255" s="14"/>
      <c r="B255" s="117" t="s">
        <v>228</v>
      </c>
      <c r="C255" s="118" t="s">
        <v>64</v>
      </c>
      <c r="D255" s="119" t="s">
        <v>229</v>
      </c>
      <c r="E255" s="119" t="s">
        <v>7</v>
      </c>
      <c r="F255" s="119" t="s">
        <v>8</v>
      </c>
      <c r="G255" s="119" t="s">
        <v>9</v>
      </c>
      <c r="H255" s="120">
        <f t="shared" ref="H255:H260" si="27">H256</f>
        <v>0</v>
      </c>
      <c r="L255" s="18">
        <v>160</v>
      </c>
      <c r="M255" s="18">
        <v>160</v>
      </c>
      <c r="N255" s="18">
        <v>160</v>
      </c>
      <c r="O255" s="18">
        <f t="shared" ref="O255:O261" si="28">H255-L255</f>
        <v>-160</v>
      </c>
      <c r="P255" s="18" t="e">
        <f>#REF!-M255</f>
        <v>#REF!</v>
      </c>
      <c r="Q255" s="18" t="e">
        <f>#REF!-N255</f>
        <v>#REF!</v>
      </c>
      <c r="R255" s="17" t="str">
        <f t="shared" si="19"/>
        <v>00 0 00 00000000</v>
      </c>
    </row>
    <row r="256" spans="1:18" s="16" customFormat="1" ht="31.5">
      <c r="A256" s="14"/>
      <c r="B256" s="121" t="s">
        <v>230</v>
      </c>
      <c r="C256" s="122" t="s">
        <v>64</v>
      </c>
      <c r="D256" s="123" t="s">
        <v>229</v>
      </c>
      <c r="E256" s="123" t="s">
        <v>86</v>
      </c>
      <c r="F256" s="123" t="s">
        <v>8</v>
      </c>
      <c r="G256" s="123" t="s">
        <v>9</v>
      </c>
      <c r="H256" s="124">
        <f t="shared" si="27"/>
        <v>0</v>
      </c>
      <c r="L256" s="19">
        <v>160</v>
      </c>
      <c r="M256" s="19">
        <v>160</v>
      </c>
      <c r="N256" s="19">
        <v>160</v>
      </c>
      <c r="O256" s="19">
        <f t="shared" si="28"/>
        <v>-160</v>
      </c>
      <c r="P256" s="19" t="e">
        <f>#REF!-M256</f>
        <v>#REF!</v>
      </c>
      <c r="Q256" s="19" t="e">
        <f>#REF!-N256</f>
        <v>#REF!</v>
      </c>
      <c r="R256" s="17" t="str">
        <f t="shared" si="19"/>
        <v>00 0 00 00000000</v>
      </c>
    </row>
    <row r="257" spans="1:18" s="16" customFormat="1" ht="47.25">
      <c r="A257" s="14"/>
      <c r="B257" s="129" t="s">
        <v>103</v>
      </c>
      <c r="C257" s="109" t="s">
        <v>64</v>
      </c>
      <c r="D257" s="108" t="s">
        <v>229</v>
      </c>
      <c r="E257" s="108" t="s">
        <v>86</v>
      </c>
      <c r="F257" s="108" t="s">
        <v>104</v>
      </c>
      <c r="G257" s="108" t="s">
        <v>9</v>
      </c>
      <c r="H257" s="126">
        <f t="shared" si="27"/>
        <v>0</v>
      </c>
      <c r="L257" s="20">
        <v>160</v>
      </c>
      <c r="M257" s="20">
        <v>160</v>
      </c>
      <c r="N257" s="20">
        <v>160</v>
      </c>
      <c r="O257" s="20">
        <f t="shared" si="28"/>
        <v>-160</v>
      </c>
      <c r="P257" s="20" t="e">
        <f>#REF!-M257</f>
        <v>#REF!</v>
      </c>
      <c r="Q257" s="20" t="e">
        <f>#REF!-N257</f>
        <v>#REF!</v>
      </c>
      <c r="R257" s="17" t="str">
        <f t="shared" si="19"/>
        <v>13 0 00 00000000</v>
      </c>
    </row>
    <row r="258" spans="1:18" s="16" customFormat="1" ht="31.5">
      <c r="A258" s="14"/>
      <c r="B258" s="129" t="s">
        <v>231</v>
      </c>
      <c r="C258" s="109" t="s">
        <v>64</v>
      </c>
      <c r="D258" s="108" t="s">
        <v>229</v>
      </c>
      <c r="E258" s="108" t="s">
        <v>86</v>
      </c>
      <c r="F258" s="108" t="s">
        <v>232</v>
      </c>
      <c r="G258" s="108" t="s">
        <v>9</v>
      </c>
      <c r="H258" s="126">
        <f t="shared" si="27"/>
        <v>0</v>
      </c>
      <c r="L258" s="20">
        <v>160</v>
      </c>
      <c r="M258" s="20">
        <v>160</v>
      </c>
      <c r="N258" s="20">
        <v>160</v>
      </c>
      <c r="O258" s="20">
        <f t="shared" si="28"/>
        <v>-160</v>
      </c>
      <c r="P258" s="20" t="e">
        <f>#REF!-M258</f>
        <v>#REF!</v>
      </c>
      <c r="Q258" s="20" t="e">
        <f>#REF!-N258</f>
        <v>#REF!</v>
      </c>
      <c r="R258" s="17" t="str">
        <f t="shared" si="19"/>
        <v>13 1 00 00000000</v>
      </c>
    </row>
    <row r="259" spans="1:18" s="16" customFormat="1" ht="47.25">
      <c r="A259" s="14"/>
      <c r="B259" s="129" t="s">
        <v>233</v>
      </c>
      <c r="C259" s="109" t="s">
        <v>64</v>
      </c>
      <c r="D259" s="108" t="s">
        <v>229</v>
      </c>
      <c r="E259" s="108" t="s">
        <v>86</v>
      </c>
      <c r="F259" s="108" t="s">
        <v>234</v>
      </c>
      <c r="G259" s="108" t="s">
        <v>9</v>
      </c>
      <c r="H259" s="126">
        <f t="shared" si="27"/>
        <v>0</v>
      </c>
      <c r="L259" s="20">
        <v>160</v>
      </c>
      <c r="M259" s="20">
        <v>160</v>
      </c>
      <c r="N259" s="20">
        <v>160</v>
      </c>
      <c r="O259" s="20">
        <f t="shared" si="28"/>
        <v>-160</v>
      </c>
      <c r="P259" s="20" t="e">
        <f>#REF!-M259</f>
        <v>#REF!</v>
      </c>
      <c r="Q259" s="20" t="e">
        <f>#REF!-N259</f>
        <v>#REF!</v>
      </c>
      <c r="R259" s="17" t="str">
        <f t="shared" si="19"/>
        <v>13 1 01 00000000</v>
      </c>
    </row>
    <row r="260" spans="1:18" s="16" customFormat="1" ht="47.25">
      <c r="A260" s="14"/>
      <c r="B260" s="129" t="s">
        <v>235</v>
      </c>
      <c r="C260" s="109" t="s">
        <v>64</v>
      </c>
      <c r="D260" s="108" t="s">
        <v>229</v>
      </c>
      <c r="E260" s="108" t="s">
        <v>86</v>
      </c>
      <c r="F260" s="108" t="s">
        <v>236</v>
      </c>
      <c r="G260" s="108" t="s">
        <v>9</v>
      </c>
      <c r="H260" s="126">
        <f t="shared" si="27"/>
        <v>0</v>
      </c>
      <c r="L260" s="20">
        <v>160</v>
      </c>
      <c r="M260" s="20">
        <v>160</v>
      </c>
      <c r="N260" s="20">
        <v>160</v>
      </c>
      <c r="O260" s="20">
        <f t="shared" si="28"/>
        <v>-160</v>
      </c>
      <c r="P260" s="20" t="e">
        <f>#REF!-M260</f>
        <v>#REF!</v>
      </c>
      <c r="Q260" s="20" t="e">
        <f>#REF!-N260</f>
        <v>#REF!</v>
      </c>
      <c r="R260" s="17" t="str">
        <f t="shared" si="19"/>
        <v>13 1 01 20450000</v>
      </c>
    </row>
    <row r="261" spans="1:18" s="16" customFormat="1" ht="31.5">
      <c r="A261" s="14"/>
      <c r="B261" s="125" t="s">
        <v>28</v>
      </c>
      <c r="C261" s="109" t="s">
        <v>64</v>
      </c>
      <c r="D261" s="108" t="s">
        <v>229</v>
      </c>
      <c r="E261" s="108" t="s">
        <v>86</v>
      </c>
      <c r="F261" s="108" t="s">
        <v>236</v>
      </c>
      <c r="G261" s="108" t="s">
        <v>29</v>
      </c>
      <c r="H261" s="126">
        <f>H262</f>
        <v>0</v>
      </c>
      <c r="L261" s="20">
        <v>160</v>
      </c>
      <c r="M261" s="20">
        <v>160</v>
      </c>
      <c r="N261" s="20">
        <v>160</v>
      </c>
      <c r="O261" s="20">
        <f t="shared" si="28"/>
        <v>-160</v>
      </c>
      <c r="P261" s="20" t="e">
        <f>#REF!-M261</f>
        <v>#REF!</v>
      </c>
      <c r="Q261" s="20" t="e">
        <f>#REF!-N261</f>
        <v>#REF!</v>
      </c>
      <c r="R261" s="17" t="str">
        <f t="shared" si="19"/>
        <v>13 1 01 20450240</v>
      </c>
    </row>
    <row r="262" spans="1:18" s="16" customFormat="1" ht="15.75">
      <c r="A262" s="14"/>
      <c r="B262" s="125" t="s">
        <v>30</v>
      </c>
      <c r="C262" s="109" t="s">
        <v>64</v>
      </c>
      <c r="D262" s="108" t="s">
        <v>229</v>
      </c>
      <c r="E262" s="108" t="s">
        <v>86</v>
      </c>
      <c r="F262" s="108" t="s">
        <v>236</v>
      </c>
      <c r="G262" s="108" t="s">
        <v>31</v>
      </c>
      <c r="H262" s="126"/>
      <c r="L262" s="20"/>
      <c r="M262" s="20"/>
      <c r="N262" s="20"/>
      <c r="O262" s="20"/>
      <c r="P262" s="20"/>
      <c r="Q262" s="20"/>
      <c r="R262" s="17" t="str">
        <f t="shared" si="19"/>
        <v>13 1 01 20450244</v>
      </c>
    </row>
    <row r="263" spans="1:18" s="16" customFormat="1" ht="15.75">
      <c r="A263" s="14"/>
      <c r="B263" s="117" t="s">
        <v>237</v>
      </c>
      <c r="C263" s="118" t="s">
        <v>64</v>
      </c>
      <c r="D263" s="119" t="s">
        <v>238</v>
      </c>
      <c r="E263" s="119" t="s">
        <v>7</v>
      </c>
      <c r="F263" s="119" t="s">
        <v>8</v>
      </c>
      <c r="G263" s="119" t="s">
        <v>9</v>
      </c>
      <c r="H263" s="120">
        <f t="shared" ref="H263:H267" si="29">H264</f>
        <v>0</v>
      </c>
      <c r="L263" s="18">
        <v>1911</v>
      </c>
      <c r="M263" s="18">
        <v>1911</v>
      </c>
      <c r="N263" s="18">
        <v>1911</v>
      </c>
      <c r="O263" s="18">
        <f t="shared" ref="O263:O269" si="30">H263-L263</f>
        <v>-1911</v>
      </c>
      <c r="P263" s="18" t="e">
        <f>#REF!-M263</f>
        <v>#REF!</v>
      </c>
      <c r="Q263" s="18" t="e">
        <f>#REF!-N263</f>
        <v>#REF!</v>
      </c>
      <c r="R263" s="17" t="str">
        <f t="shared" si="19"/>
        <v>00 0 00 00000000</v>
      </c>
    </row>
    <row r="264" spans="1:18" s="16" customFormat="1" ht="15.75">
      <c r="A264" s="14"/>
      <c r="B264" s="121" t="s">
        <v>239</v>
      </c>
      <c r="C264" s="122" t="s">
        <v>64</v>
      </c>
      <c r="D264" s="123" t="s">
        <v>238</v>
      </c>
      <c r="E264" s="123" t="s">
        <v>11</v>
      </c>
      <c r="F264" s="123" t="s">
        <v>8</v>
      </c>
      <c r="G264" s="123" t="s">
        <v>9</v>
      </c>
      <c r="H264" s="124">
        <f t="shared" si="29"/>
        <v>0</v>
      </c>
      <c r="L264" s="19">
        <v>1911</v>
      </c>
      <c r="M264" s="19">
        <v>1911</v>
      </c>
      <c r="N264" s="19">
        <v>1911</v>
      </c>
      <c r="O264" s="19">
        <f t="shared" si="30"/>
        <v>-1911</v>
      </c>
      <c r="P264" s="19" t="e">
        <f>#REF!-M264</f>
        <v>#REF!</v>
      </c>
      <c r="Q264" s="19" t="e">
        <f>#REF!-N264</f>
        <v>#REF!</v>
      </c>
      <c r="R264" s="17" t="str">
        <f t="shared" si="19"/>
        <v>00 0 00 00000000</v>
      </c>
    </row>
    <row r="265" spans="1:18" s="16" customFormat="1" ht="31.5">
      <c r="A265" s="14"/>
      <c r="B265" s="125" t="s">
        <v>240</v>
      </c>
      <c r="C265" s="109" t="s">
        <v>64</v>
      </c>
      <c r="D265" s="108" t="s">
        <v>238</v>
      </c>
      <c r="E265" s="108" t="s">
        <v>11</v>
      </c>
      <c r="F265" s="108" t="s">
        <v>241</v>
      </c>
      <c r="G265" s="108" t="s">
        <v>9</v>
      </c>
      <c r="H265" s="126">
        <f t="shared" si="29"/>
        <v>0</v>
      </c>
      <c r="L265" s="20">
        <v>1911</v>
      </c>
      <c r="M265" s="20">
        <v>1911</v>
      </c>
      <c r="N265" s="20">
        <v>1911</v>
      </c>
      <c r="O265" s="20">
        <f t="shared" si="30"/>
        <v>-1911</v>
      </c>
      <c r="P265" s="20" t="e">
        <f>#REF!-M265</f>
        <v>#REF!</v>
      </c>
      <c r="Q265" s="20" t="e">
        <f>#REF!-N265</f>
        <v>#REF!</v>
      </c>
      <c r="R265" s="17" t="str">
        <f t="shared" si="19"/>
        <v>07 0 00 00000000</v>
      </c>
    </row>
    <row r="266" spans="1:18" s="16" customFormat="1" ht="78.75">
      <c r="A266" s="14"/>
      <c r="B266" s="129" t="s">
        <v>242</v>
      </c>
      <c r="C266" s="109" t="s">
        <v>64</v>
      </c>
      <c r="D266" s="108" t="s">
        <v>238</v>
      </c>
      <c r="E266" s="108" t="s">
        <v>11</v>
      </c>
      <c r="F266" s="108" t="s">
        <v>243</v>
      </c>
      <c r="G266" s="108" t="s">
        <v>9</v>
      </c>
      <c r="H266" s="126">
        <f t="shared" si="29"/>
        <v>0</v>
      </c>
      <c r="L266" s="20">
        <v>1911</v>
      </c>
      <c r="M266" s="20">
        <v>1911</v>
      </c>
      <c r="N266" s="20">
        <v>1911</v>
      </c>
      <c r="O266" s="20">
        <f t="shared" si="30"/>
        <v>-1911</v>
      </c>
      <c r="P266" s="20" t="e">
        <f>#REF!-M266</f>
        <v>#REF!</v>
      </c>
      <c r="Q266" s="20" t="e">
        <f>#REF!-N266</f>
        <v>#REF!</v>
      </c>
      <c r="R266" s="17" t="str">
        <f t="shared" si="19"/>
        <v>07 1 00 00000000</v>
      </c>
    </row>
    <row r="267" spans="1:18" s="16" customFormat="1" ht="110.25">
      <c r="A267" s="14"/>
      <c r="B267" s="129" t="s">
        <v>244</v>
      </c>
      <c r="C267" s="109" t="s">
        <v>64</v>
      </c>
      <c r="D267" s="108" t="s">
        <v>238</v>
      </c>
      <c r="E267" s="108" t="s">
        <v>11</v>
      </c>
      <c r="F267" s="108" t="s">
        <v>245</v>
      </c>
      <c r="G267" s="108" t="s">
        <v>9</v>
      </c>
      <c r="H267" s="126">
        <f t="shared" si="29"/>
        <v>0</v>
      </c>
      <c r="L267" s="20">
        <v>1911</v>
      </c>
      <c r="M267" s="20">
        <v>1911</v>
      </c>
      <c r="N267" s="20">
        <v>1911</v>
      </c>
      <c r="O267" s="20">
        <f t="shared" si="30"/>
        <v>-1911</v>
      </c>
      <c r="P267" s="20" t="e">
        <f>#REF!-M267</f>
        <v>#REF!</v>
      </c>
      <c r="Q267" s="20" t="e">
        <f>#REF!-N267</f>
        <v>#REF!</v>
      </c>
      <c r="R267" s="17" t="str">
        <f t="shared" si="19"/>
        <v>07 1 01 00000000</v>
      </c>
    </row>
    <row r="268" spans="1:18" s="16" customFormat="1" ht="31.5">
      <c r="A268" s="14"/>
      <c r="B268" s="129" t="s">
        <v>246</v>
      </c>
      <c r="C268" s="109" t="s">
        <v>64</v>
      </c>
      <c r="D268" s="108" t="s">
        <v>238</v>
      </c>
      <c r="E268" s="108" t="s">
        <v>11</v>
      </c>
      <c r="F268" s="108" t="s">
        <v>247</v>
      </c>
      <c r="G268" s="108" t="s">
        <v>9</v>
      </c>
      <c r="H268" s="126">
        <f>H269</f>
        <v>0</v>
      </c>
      <c r="L268" s="20">
        <v>1911</v>
      </c>
      <c r="M268" s="20">
        <v>1911</v>
      </c>
      <c r="N268" s="20">
        <v>1911</v>
      </c>
      <c r="O268" s="20">
        <f t="shared" si="30"/>
        <v>-1911</v>
      </c>
      <c r="P268" s="20" t="e">
        <f>#REF!-M268</f>
        <v>#REF!</v>
      </c>
      <c r="Q268" s="20" t="e">
        <f>#REF!-N268</f>
        <v>#REF!</v>
      </c>
      <c r="R268" s="17" t="str">
        <f t="shared" si="19"/>
        <v>07 1 01 20060000</v>
      </c>
    </row>
    <row r="269" spans="1:18" s="16" customFormat="1" ht="31.5">
      <c r="A269" s="14"/>
      <c r="B269" s="125" t="s">
        <v>28</v>
      </c>
      <c r="C269" s="109" t="s">
        <v>64</v>
      </c>
      <c r="D269" s="108" t="s">
        <v>238</v>
      </c>
      <c r="E269" s="108" t="s">
        <v>11</v>
      </c>
      <c r="F269" s="108" t="s">
        <v>247</v>
      </c>
      <c r="G269" s="108" t="s">
        <v>29</v>
      </c>
      <c r="H269" s="126">
        <f>H270</f>
        <v>0</v>
      </c>
      <c r="L269" s="20">
        <v>1911</v>
      </c>
      <c r="M269" s="20">
        <v>1911</v>
      </c>
      <c r="N269" s="20">
        <v>1911</v>
      </c>
      <c r="O269" s="20">
        <f t="shared" si="30"/>
        <v>-1911</v>
      </c>
      <c r="P269" s="20" t="e">
        <f>#REF!-M269</f>
        <v>#REF!</v>
      </c>
      <c r="Q269" s="20" t="e">
        <f>#REF!-N269</f>
        <v>#REF!</v>
      </c>
      <c r="R269" s="17" t="str">
        <f t="shared" si="19"/>
        <v>07 1 01 20060240</v>
      </c>
    </row>
    <row r="270" spans="1:18" s="16" customFormat="1" ht="15.75">
      <c r="A270" s="14"/>
      <c r="B270" s="125" t="s">
        <v>30</v>
      </c>
      <c r="C270" s="109" t="s">
        <v>64</v>
      </c>
      <c r="D270" s="108" t="s">
        <v>238</v>
      </c>
      <c r="E270" s="108" t="s">
        <v>11</v>
      </c>
      <c r="F270" s="108" t="s">
        <v>247</v>
      </c>
      <c r="G270" s="108" t="s">
        <v>31</v>
      </c>
      <c r="H270" s="126"/>
      <c r="L270" s="20"/>
      <c r="M270" s="20"/>
      <c r="N270" s="20"/>
      <c r="O270" s="20"/>
      <c r="P270" s="20"/>
      <c r="Q270" s="20"/>
      <c r="R270" s="17" t="str">
        <f t="shared" si="19"/>
        <v>07 1 01 20060244</v>
      </c>
    </row>
    <row r="271" spans="1:18" s="6" customFormat="1" ht="15.75">
      <c r="A271" s="1"/>
      <c r="B271" s="117" t="s">
        <v>56</v>
      </c>
      <c r="C271" s="118" t="s">
        <v>64</v>
      </c>
      <c r="D271" s="119" t="s">
        <v>57</v>
      </c>
      <c r="E271" s="119" t="s">
        <v>7</v>
      </c>
      <c r="F271" s="119" t="s">
        <v>8</v>
      </c>
      <c r="G271" s="119" t="s">
        <v>9</v>
      </c>
      <c r="H271" s="120">
        <f>H279+H272</f>
        <v>0</v>
      </c>
      <c r="L271" s="18">
        <v>20457.5</v>
      </c>
      <c r="M271" s="18">
        <v>20457.5</v>
      </c>
      <c r="N271" s="18">
        <v>20457.5</v>
      </c>
      <c r="O271" s="18">
        <f t="shared" ref="O271:O277" si="31">H271-L271</f>
        <v>-20457.5</v>
      </c>
      <c r="P271" s="18" t="e">
        <f>#REF!-M271</f>
        <v>#REF!</v>
      </c>
      <c r="Q271" s="18" t="e">
        <f>#REF!-N271</f>
        <v>#REF!</v>
      </c>
      <c r="R271" s="17" t="str">
        <f t="shared" si="19"/>
        <v>00 0 00 00000000</v>
      </c>
    </row>
    <row r="272" spans="1:18" s="6" customFormat="1" ht="15.75">
      <c r="A272" s="1"/>
      <c r="B272" s="121" t="s">
        <v>58</v>
      </c>
      <c r="C272" s="122" t="s">
        <v>64</v>
      </c>
      <c r="D272" s="123" t="s">
        <v>57</v>
      </c>
      <c r="E272" s="123" t="s">
        <v>11</v>
      </c>
      <c r="F272" s="123" t="s">
        <v>8</v>
      </c>
      <c r="G272" s="123" t="s">
        <v>9</v>
      </c>
      <c r="H272" s="124">
        <f t="shared" ref="H272:H277" si="32">H273</f>
        <v>0</v>
      </c>
      <c r="L272" s="19">
        <v>5900.5</v>
      </c>
      <c r="M272" s="19">
        <v>5900.5</v>
      </c>
      <c r="N272" s="19">
        <v>5900.5</v>
      </c>
      <c r="O272" s="19">
        <f t="shared" si="31"/>
        <v>-5900.5</v>
      </c>
      <c r="P272" s="19" t="e">
        <f>#REF!-M272</f>
        <v>#REF!</v>
      </c>
      <c r="Q272" s="19" t="e">
        <f>#REF!-N272</f>
        <v>#REF!</v>
      </c>
      <c r="R272" s="17" t="str">
        <f t="shared" si="19"/>
        <v>00 0 00 00000000</v>
      </c>
    </row>
    <row r="273" spans="1:18" s="6" customFormat="1" ht="63">
      <c r="A273" s="1"/>
      <c r="B273" s="129" t="s">
        <v>111</v>
      </c>
      <c r="C273" s="109" t="s">
        <v>64</v>
      </c>
      <c r="D273" s="108" t="s">
        <v>57</v>
      </c>
      <c r="E273" s="108" t="s">
        <v>11</v>
      </c>
      <c r="F273" s="108" t="s">
        <v>112</v>
      </c>
      <c r="G273" s="108" t="s">
        <v>9</v>
      </c>
      <c r="H273" s="126">
        <f t="shared" si="32"/>
        <v>0</v>
      </c>
      <c r="L273" s="20">
        <v>5900.5</v>
      </c>
      <c r="M273" s="20">
        <v>5900.5</v>
      </c>
      <c r="N273" s="20">
        <v>5900.5</v>
      </c>
      <c r="O273" s="20">
        <f t="shared" si="31"/>
        <v>-5900.5</v>
      </c>
      <c r="P273" s="20" t="e">
        <f>#REF!-M273</f>
        <v>#REF!</v>
      </c>
      <c r="Q273" s="20" t="e">
        <f>#REF!-N273</f>
        <v>#REF!</v>
      </c>
      <c r="R273" s="17" t="str">
        <f t="shared" si="19"/>
        <v>14 0 00 00000000</v>
      </c>
    </row>
    <row r="274" spans="1:18" s="6" customFormat="1" ht="31.5">
      <c r="A274" s="1"/>
      <c r="B274" s="129" t="s">
        <v>113</v>
      </c>
      <c r="C274" s="109" t="s">
        <v>64</v>
      </c>
      <c r="D274" s="108" t="s">
        <v>57</v>
      </c>
      <c r="E274" s="108" t="s">
        <v>11</v>
      </c>
      <c r="F274" s="108" t="s">
        <v>114</v>
      </c>
      <c r="G274" s="108" t="s">
        <v>9</v>
      </c>
      <c r="H274" s="126">
        <f t="shared" si="32"/>
        <v>0</v>
      </c>
      <c r="L274" s="20">
        <v>5900.5</v>
      </c>
      <c r="M274" s="20">
        <v>5900.5</v>
      </c>
      <c r="N274" s="20">
        <v>5900.5</v>
      </c>
      <c r="O274" s="20">
        <f t="shared" si="31"/>
        <v>-5900.5</v>
      </c>
      <c r="P274" s="20" t="e">
        <f>#REF!-M274</f>
        <v>#REF!</v>
      </c>
      <c r="Q274" s="20" t="e">
        <f>#REF!-N274</f>
        <v>#REF!</v>
      </c>
      <c r="R274" s="17" t="str">
        <f t="shared" si="19"/>
        <v>14 1 00 00000000</v>
      </c>
    </row>
    <row r="275" spans="1:18" s="6" customFormat="1" ht="63">
      <c r="A275" s="1"/>
      <c r="B275" s="129" t="s">
        <v>248</v>
      </c>
      <c r="C275" s="109" t="s">
        <v>64</v>
      </c>
      <c r="D275" s="108" t="s">
        <v>57</v>
      </c>
      <c r="E275" s="108" t="s">
        <v>11</v>
      </c>
      <c r="F275" s="108" t="s">
        <v>249</v>
      </c>
      <c r="G275" s="108" t="s">
        <v>9</v>
      </c>
      <c r="H275" s="126">
        <f t="shared" si="32"/>
        <v>0</v>
      </c>
      <c r="L275" s="20">
        <v>5900.5</v>
      </c>
      <c r="M275" s="20">
        <v>5900.5</v>
      </c>
      <c r="N275" s="20">
        <v>5900.5</v>
      </c>
      <c r="O275" s="20">
        <f t="shared" si="31"/>
        <v>-5900.5</v>
      </c>
      <c r="P275" s="20" t="e">
        <f>#REF!-M275</f>
        <v>#REF!</v>
      </c>
      <c r="Q275" s="20" t="e">
        <f>#REF!-N275</f>
        <v>#REF!</v>
      </c>
      <c r="R275" s="17" t="str">
        <f t="shared" si="19"/>
        <v>14 1 03 00000000</v>
      </c>
    </row>
    <row r="276" spans="1:18" s="6" customFormat="1" ht="31.5">
      <c r="A276" s="1"/>
      <c r="B276" s="129" t="s">
        <v>59</v>
      </c>
      <c r="C276" s="109" t="s">
        <v>64</v>
      </c>
      <c r="D276" s="108" t="s">
        <v>57</v>
      </c>
      <c r="E276" s="108" t="s">
        <v>11</v>
      </c>
      <c r="F276" s="108" t="s">
        <v>250</v>
      </c>
      <c r="G276" s="108" t="s">
        <v>9</v>
      </c>
      <c r="H276" s="126">
        <f t="shared" si="32"/>
        <v>0</v>
      </c>
      <c r="L276" s="20">
        <v>5900.5</v>
      </c>
      <c r="M276" s="20">
        <v>5900.5</v>
      </c>
      <c r="N276" s="20">
        <v>5900.5</v>
      </c>
      <c r="O276" s="20">
        <f t="shared" si="31"/>
        <v>-5900.5</v>
      </c>
      <c r="P276" s="20" t="e">
        <f>#REF!-M276</f>
        <v>#REF!</v>
      </c>
      <c r="Q276" s="20" t="e">
        <f>#REF!-N276</f>
        <v>#REF!</v>
      </c>
      <c r="R276" s="17" t="str">
        <f t="shared" si="19"/>
        <v>14 1 03 98710000</v>
      </c>
    </row>
    <row r="277" spans="1:18" s="6" customFormat="1" ht="31.5">
      <c r="A277" s="1"/>
      <c r="B277" s="125" t="s">
        <v>28</v>
      </c>
      <c r="C277" s="109" t="s">
        <v>64</v>
      </c>
      <c r="D277" s="108" t="s">
        <v>57</v>
      </c>
      <c r="E277" s="108" t="s">
        <v>11</v>
      </c>
      <c r="F277" s="108" t="s">
        <v>250</v>
      </c>
      <c r="G277" s="108" t="s">
        <v>29</v>
      </c>
      <c r="H277" s="126">
        <f t="shared" si="32"/>
        <v>0</v>
      </c>
      <c r="L277" s="20">
        <v>5900.5</v>
      </c>
      <c r="M277" s="20">
        <v>5900.5</v>
      </c>
      <c r="N277" s="20">
        <v>5900.5</v>
      </c>
      <c r="O277" s="20">
        <f t="shared" si="31"/>
        <v>-5900.5</v>
      </c>
      <c r="P277" s="20" t="e">
        <f>#REF!-M277</f>
        <v>#REF!</v>
      </c>
      <c r="Q277" s="20" t="e">
        <f>#REF!-N277</f>
        <v>#REF!</v>
      </c>
      <c r="R277" s="17" t="str">
        <f t="shared" si="19"/>
        <v>14 1 03 98710240</v>
      </c>
    </row>
    <row r="278" spans="1:18" s="6" customFormat="1" ht="15.75">
      <c r="A278" s="1"/>
      <c r="B278" s="125" t="s">
        <v>30</v>
      </c>
      <c r="C278" s="109" t="s">
        <v>64</v>
      </c>
      <c r="D278" s="108" t="s">
        <v>57</v>
      </c>
      <c r="E278" s="108" t="s">
        <v>11</v>
      </c>
      <c r="F278" s="108" t="s">
        <v>250</v>
      </c>
      <c r="G278" s="108" t="s">
        <v>31</v>
      </c>
      <c r="H278" s="126"/>
      <c r="L278" s="20"/>
      <c r="M278" s="20"/>
      <c r="N278" s="20"/>
      <c r="O278" s="20"/>
      <c r="P278" s="20"/>
      <c r="Q278" s="20"/>
      <c r="R278" s="17" t="str">
        <f t="shared" si="19"/>
        <v>14 1 03 98710244</v>
      </c>
    </row>
    <row r="279" spans="1:18" s="6" customFormat="1" ht="15.75">
      <c r="A279" s="1"/>
      <c r="B279" s="121" t="s">
        <v>61</v>
      </c>
      <c r="C279" s="122" t="s">
        <v>64</v>
      </c>
      <c r="D279" s="123" t="s">
        <v>57</v>
      </c>
      <c r="E279" s="123" t="s">
        <v>62</v>
      </c>
      <c r="F279" s="123" t="s">
        <v>8</v>
      </c>
      <c r="G279" s="123" t="s">
        <v>9</v>
      </c>
      <c r="H279" s="124">
        <f t="shared" ref="H279:H287" si="33">H280</f>
        <v>0</v>
      </c>
      <c r="L279" s="19">
        <v>14557</v>
      </c>
      <c r="M279" s="19">
        <v>14557</v>
      </c>
      <c r="N279" s="19">
        <v>14557</v>
      </c>
      <c r="O279" s="19">
        <f t="shared" ref="O279:O284" si="34">H279-L279</f>
        <v>-14557</v>
      </c>
      <c r="P279" s="19" t="e">
        <f>#REF!-M279</f>
        <v>#REF!</v>
      </c>
      <c r="Q279" s="19" t="e">
        <f>#REF!-N279</f>
        <v>#REF!</v>
      </c>
      <c r="R279" s="17" t="str">
        <f t="shared" si="19"/>
        <v>00 0 00 00000000</v>
      </c>
    </row>
    <row r="280" spans="1:18" s="16" customFormat="1" ht="63">
      <c r="A280" s="14"/>
      <c r="B280" s="129" t="s">
        <v>111</v>
      </c>
      <c r="C280" s="109" t="s">
        <v>64</v>
      </c>
      <c r="D280" s="108" t="s">
        <v>57</v>
      </c>
      <c r="E280" s="108" t="s">
        <v>62</v>
      </c>
      <c r="F280" s="108" t="s">
        <v>112</v>
      </c>
      <c r="G280" s="108" t="s">
        <v>9</v>
      </c>
      <c r="H280" s="126">
        <f t="shared" si="33"/>
        <v>0</v>
      </c>
      <c r="L280" s="20">
        <v>14557</v>
      </c>
      <c r="M280" s="20">
        <v>14557</v>
      </c>
      <c r="N280" s="20">
        <v>14557</v>
      </c>
      <c r="O280" s="20">
        <f t="shared" si="34"/>
        <v>-14557</v>
      </c>
      <c r="P280" s="20" t="e">
        <f>#REF!-M280</f>
        <v>#REF!</v>
      </c>
      <c r="Q280" s="20" t="e">
        <f>#REF!-N280</f>
        <v>#REF!</v>
      </c>
      <c r="R280" s="17" t="str">
        <f t="shared" si="19"/>
        <v>14 0 00 00000000</v>
      </c>
    </row>
    <row r="281" spans="1:18" s="16" customFormat="1" ht="31.5">
      <c r="A281" s="14"/>
      <c r="B281" s="129" t="s">
        <v>113</v>
      </c>
      <c r="C281" s="109" t="s">
        <v>64</v>
      </c>
      <c r="D281" s="108" t="s">
        <v>57</v>
      </c>
      <c r="E281" s="108" t="s">
        <v>62</v>
      </c>
      <c r="F281" s="108" t="s">
        <v>114</v>
      </c>
      <c r="G281" s="108" t="s">
        <v>9</v>
      </c>
      <c r="H281" s="126">
        <f>H286+H282</f>
        <v>0</v>
      </c>
      <c r="L281" s="20">
        <v>14557</v>
      </c>
      <c r="M281" s="20">
        <v>14557</v>
      </c>
      <c r="N281" s="20">
        <v>14557</v>
      </c>
      <c r="O281" s="20">
        <f t="shared" si="34"/>
        <v>-14557</v>
      </c>
      <c r="P281" s="20" t="e">
        <f>#REF!-M281</f>
        <v>#REF!</v>
      </c>
      <c r="Q281" s="20" t="e">
        <f>#REF!-N281</f>
        <v>#REF!</v>
      </c>
      <c r="R281" s="17" t="str">
        <f t="shared" si="19"/>
        <v>14 1 00 00000000</v>
      </c>
    </row>
    <row r="282" spans="1:18" s="6" customFormat="1" ht="63">
      <c r="A282" s="1"/>
      <c r="B282" s="129" t="s">
        <v>248</v>
      </c>
      <c r="C282" s="109" t="s">
        <v>64</v>
      </c>
      <c r="D282" s="108" t="s">
        <v>57</v>
      </c>
      <c r="E282" s="108" t="s">
        <v>62</v>
      </c>
      <c r="F282" s="108" t="s">
        <v>249</v>
      </c>
      <c r="G282" s="108" t="s">
        <v>9</v>
      </c>
      <c r="H282" s="126">
        <f>H283</f>
        <v>0</v>
      </c>
      <c r="L282" s="20">
        <v>1190</v>
      </c>
      <c r="M282" s="20">
        <v>1190</v>
      </c>
      <c r="N282" s="20">
        <v>1190</v>
      </c>
      <c r="O282" s="20">
        <f t="shared" si="34"/>
        <v>-1190</v>
      </c>
      <c r="P282" s="20" t="e">
        <f>#REF!-M282</f>
        <v>#REF!</v>
      </c>
      <c r="Q282" s="20" t="e">
        <f>#REF!-N282</f>
        <v>#REF!</v>
      </c>
      <c r="R282" s="17" t="str">
        <f t="shared" si="19"/>
        <v>14 1 03 00000000</v>
      </c>
    </row>
    <row r="283" spans="1:18" s="6" customFormat="1" ht="31.5">
      <c r="A283" s="1"/>
      <c r="B283" s="129" t="s">
        <v>59</v>
      </c>
      <c r="C283" s="109" t="s">
        <v>64</v>
      </c>
      <c r="D283" s="108" t="s">
        <v>57</v>
      </c>
      <c r="E283" s="108" t="s">
        <v>62</v>
      </c>
      <c r="F283" s="108" t="s">
        <v>250</v>
      </c>
      <c r="G283" s="108" t="s">
        <v>9</v>
      </c>
      <c r="H283" s="126">
        <f>H284</f>
        <v>0</v>
      </c>
      <c r="L283" s="20">
        <v>1190</v>
      </c>
      <c r="M283" s="20">
        <v>1190</v>
      </c>
      <c r="N283" s="20">
        <v>1190</v>
      </c>
      <c r="O283" s="20">
        <f t="shared" si="34"/>
        <v>-1190</v>
      </c>
      <c r="P283" s="20" t="e">
        <f>#REF!-M283</f>
        <v>#REF!</v>
      </c>
      <c r="Q283" s="20" t="e">
        <f>#REF!-N283</f>
        <v>#REF!</v>
      </c>
      <c r="R283" s="17" t="str">
        <f t="shared" si="19"/>
        <v>14 1 03 98710000</v>
      </c>
    </row>
    <row r="284" spans="1:18" s="6" customFormat="1" ht="31.5">
      <c r="A284" s="1"/>
      <c r="B284" s="125" t="s">
        <v>28</v>
      </c>
      <c r="C284" s="109" t="s">
        <v>64</v>
      </c>
      <c r="D284" s="108" t="s">
        <v>57</v>
      </c>
      <c r="E284" s="108" t="s">
        <v>62</v>
      </c>
      <c r="F284" s="108" t="s">
        <v>250</v>
      </c>
      <c r="G284" s="108" t="s">
        <v>29</v>
      </c>
      <c r="H284" s="126">
        <f>H285</f>
        <v>0</v>
      </c>
      <c r="L284" s="20">
        <v>1190</v>
      </c>
      <c r="M284" s="20">
        <v>1190</v>
      </c>
      <c r="N284" s="20">
        <v>1190</v>
      </c>
      <c r="O284" s="20">
        <f t="shared" si="34"/>
        <v>-1190</v>
      </c>
      <c r="P284" s="20" t="e">
        <f>#REF!-M284</f>
        <v>#REF!</v>
      </c>
      <c r="Q284" s="20" t="e">
        <f>#REF!-N284</f>
        <v>#REF!</v>
      </c>
      <c r="R284" s="17" t="str">
        <f t="shared" si="19"/>
        <v>14 1 03 98710240</v>
      </c>
    </row>
    <row r="285" spans="1:18" s="6" customFormat="1" ht="15.75">
      <c r="A285" s="1"/>
      <c r="B285" s="125" t="s">
        <v>30</v>
      </c>
      <c r="C285" s="109" t="s">
        <v>64</v>
      </c>
      <c r="D285" s="108" t="s">
        <v>57</v>
      </c>
      <c r="E285" s="108" t="s">
        <v>62</v>
      </c>
      <c r="F285" s="108" t="s">
        <v>250</v>
      </c>
      <c r="G285" s="108" t="s">
        <v>31</v>
      </c>
      <c r="H285" s="126"/>
      <c r="L285" s="20"/>
      <c r="M285" s="20"/>
      <c r="N285" s="20"/>
      <c r="O285" s="20"/>
      <c r="P285" s="20"/>
      <c r="Q285" s="20"/>
      <c r="R285" s="17" t="str">
        <f t="shared" si="19"/>
        <v>14 1 03 98710244</v>
      </c>
    </row>
    <row r="286" spans="1:18" s="16" customFormat="1" ht="47.25">
      <c r="A286" s="14"/>
      <c r="B286" s="129" t="s">
        <v>251</v>
      </c>
      <c r="C286" s="109" t="s">
        <v>64</v>
      </c>
      <c r="D286" s="108" t="s">
        <v>57</v>
      </c>
      <c r="E286" s="108" t="s">
        <v>62</v>
      </c>
      <c r="F286" s="108" t="s">
        <v>252</v>
      </c>
      <c r="G286" s="108" t="s">
        <v>9</v>
      </c>
      <c r="H286" s="126">
        <f>H287</f>
        <v>0</v>
      </c>
      <c r="L286" s="20">
        <v>13367</v>
      </c>
      <c r="M286" s="20">
        <v>13367</v>
      </c>
      <c r="N286" s="20">
        <v>13367</v>
      </c>
      <c r="O286" s="20">
        <f>H286-L286</f>
        <v>-13367</v>
      </c>
      <c r="P286" s="20" t="e">
        <f>#REF!-M286</f>
        <v>#REF!</v>
      </c>
      <c r="Q286" s="20" t="e">
        <f>#REF!-N286</f>
        <v>#REF!</v>
      </c>
      <c r="R286" s="17" t="str">
        <f t="shared" si="19"/>
        <v>14 1 04 00000000</v>
      </c>
    </row>
    <row r="287" spans="1:18" s="16" customFormat="1" ht="47.25">
      <c r="A287" s="14"/>
      <c r="B287" s="129" t="s">
        <v>253</v>
      </c>
      <c r="C287" s="109" t="s">
        <v>64</v>
      </c>
      <c r="D287" s="108" t="s">
        <v>57</v>
      </c>
      <c r="E287" s="108" t="s">
        <v>62</v>
      </c>
      <c r="F287" s="108" t="s">
        <v>254</v>
      </c>
      <c r="G287" s="108" t="s">
        <v>9</v>
      </c>
      <c r="H287" s="126">
        <f t="shared" si="33"/>
        <v>0</v>
      </c>
      <c r="L287" s="20">
        <v>13367</v>
      </c>
      <c r="M287" s="20">
        <v>13367</v>
      </c>
      <c r="N287" s="20">
        <v>13367</v>
      </c>
      <c r="O287" s="20">
        <f>H287-L287</f>
        <v>-13367</v>
      </c>
      <c r="P287" s="20" t="e">
        <f>#REF!-M287</f>
        <v>#REF!</v>
      </c>
      <c r="Q287" s="20" t="e">
        <f>#REF!-N287</f>
        <v>#REF!</v>
      </c>
      <c r="R287" s="17" t="str">
        <f t="shared" si="19"/>
        <v>14 1 04 98720000</v>
      </c>
    </row>
    <row r="288" spans="1:18" s="16" customFormat="1" ht="63">
      <c r="A288" s="14"/>
      <c r="B288" s="129" t="s">
        <v>203</v>
      </c>
      <c r="C288" s="109" t="s">
        <v>64</v>
      </c>
      <c r="D288" s="108" t="s">
        <v>57</v>
      </c>
      <c r="E288" s="108" t="s">
        <v>62</v>
      </c>
      <c r="F288" s="108" t="s">
        <v>254</v>
      </c>
      <c r="G288" s="108" t="s">
        <v>204</v>
      </c>
      <c r="H288" s="126">
        <f>H289</f>
        <v>0</v>
      </c>
      <c r="L288" s="20">
        <v>13367</v>
      </c>
      <c r="M288" s="20">
        <v>13367</v>
      </c>
      <c r="N288" s="20">
        <v>13367</v>
      </c>
      <c r="O288" s="20">
        <f>H288-L288</f>
        <v>-13367</v>
      </c>
      <c r="P288" s="20" t="e">
        <f>#REF!-M288</f>
        <v>#REF!</v>
      </c>
      <c r="Q288" s="20" t="e">
        <f>#REF!-N288</f>
        <v>#REF!</v>
      </c>
      <c r="R288" s="17" t="str">
        <f t="shared" si="19"/>
        <v>14 1 04 98720810</v>
      </c>
    </row>
    <row r="289" spans="1:18" s="23" customFormat="1" ht="63">
      <c r="A289" s="21"/>
      <c r="B289" s="127" t="s">
        <v>205</v>
      </c>
      <c r="C289" s="109" t="s">
        <v>64</v>
      </c>
      <c r="D289" s="108" t="s">
        <v>57</v>
      </c>
      <c r="E289" s="108" t="s">
        <v>62</v>
      </c>
      <c r="F289" s="108" t="s">
        <v>254</v>
      </c>
      <c r="G289" s="108" t="s">
        <v>206</v>
      </c>
      <c r="H289" s="126"/>
      <c r="L289" s="22"/>
      <c r="M289" s="22"/>
      <c r="N289" s="22"/>
      <c r="O289" s="22"/>
      <c r="P289" s="22"/>
      <c r="Q289" s="22"/>
      <c r="R289" s="24" t="str">
        <f t="shared" si="19"/>
        <v>14 1 04 98720811</v>
      </c>
    </row>
    <row r="290" spans="1:18" s="16" customFormat="1" ht="15.75">
      <c r="A290" s="14"/>
      <c r="B290" s="129"/>
      <c r="C290" s="109"/>
      <c r="D290" s="108"/>
      <c r="E290" s="108"/>
      <c r="F290" s="108"/>
      <c r="G290" s="108"/>
      <c r="H290" s="126"/>
      <c r="L290" s="20"/>
      <c r="M290" s="20"/>
      <c r="N290" s="20"/>
      <c r="O290" s="20">
        <f t="shared" ref="O290:O298" si="35">H290-L290</f>
        <v>0</v>
      </c>
      <c r="P290" s="20" t="e">
        <f>#REF!-M290</f>
        <v>#REF!</v>
      </c>
      <c r="Q290" s="20" t="e">
        <f>#REF!-N290</f>
        <v>#REF!</v>
      </c>
      <c r="R290" s="17" t="str">
        <f t="shared" ref="R290:R385" si="36">CONCATENATE(F290,G290)</f>
        <v/>
      </c>
    </row>
    <row r="291" spans="1:18" s="29" customFormat="1" ht="31.5">
      <c r="A291" s="28"/>
      <c r="B291" s="67" t="s">
        <v>255</v>
      </c>
      <c r="C291" s="116" t="s">
        <v>256</v>
      </c>
      <c r="D291" s="69" t="s">
        <v>7</v>
      </c>
      <c r="E291" s="69" t="s">
        <v>7</v>
      </c>
      <c r="F291" s="69" t="s">
        <v>8</v>
      </c>
      <c r="G291" s="69" t="s">
        <v>9</v>
      </c>
      <c r="H291" s="70">
        <f>H292+H339+H359+H373</f>
        <v>0</v>
      </c>
      <c r="L291" s="25">
        <v>134380.66</v>
      </c>
      <c r="M291" s="25">
        <v>78249.05</v>
      </c>
      <c r="N291" s="25">
        <v>83049.05</v>
      </c>
      <c r="O291" s="25">
        <f t="shared" si="35"/>
        <v>-134380.66</v>
      </c>
      <c r="P291" s="25" t="e">
        <f>#REF!-M291</f>
        <v>#REF!</v>
      </c>
      <c r="Q291" s="25" t="e">
        <f>#REF!-N291</f>
        <v>#REF!</v>
      </c>
      <c r="R291" s="17" t="str">
        <f t="shared" si="36"/>
        <v>00 0 00 00000000</v>
      </c>
    </row>
    <row r="292" spans="1:18" s="29" customFormat="1" ht="15.75">
      <c r="A292" s="28"/>
      <c r="B292" s="117" t="s">
        <v>10</v>
      </c>
      <c r="C292" s="118" t="s">
        <v>256</v>
      </c>
      <c r="D292" s="119" t="s">
        <v>11</v>
      </c>
      <c r="E292" s="119" t="s">
        <v>7</v>
      </c>
      <c r="F292" s="119" t="s">
        <v>8</v>
      </c>
      <c r="G292" s="119" t="s">
        <v>9</v>
      </c>
      <c r="H292" s="120">
        <f>H293</f>
        <v>0</v>
      </c>
      <c r="L292" s="18">
        <v>79225.42</v>
      </c>
      <c r="M292" s="18">
        <v>74852.42</v>
      </c>
      <c r="N292" s="18">
        <v>74852.42</v>
      </c>
      <c r="O292" s="18">
        <f t="shared" si="35"/>
        <v>-79225.42</v>
      </c>
      <c r="P292" s="18" t="e">
        <f>#REF!-M292</f>
        <v>#REF!</v>
      </c>
      <c r="Q292" s="18" t="e">
        <f>#REF!-N292</f>
        <v>#REF!</v>
      </c>
      <c r="R292" s="17" t="str">
        <f t="shared" si="36"/>
        <v>00 0 00 00000000</v>
      </c>
    </row>
    <row r="293" spans="1:18" s="29" customFormat="1" ht="15.75">
      <c r="A293" s="28"/>
      <c r="B293" s="121" t="s">
        <v>50</v>
      </c>
      <c r="C293" s="122" t="s">
        <v>256</v>
      </c>
      <c r="D293" s="123" t="s">
        <v>11</v>
      </c>
      <c r="E293" s="123" t="s">
        <v>51</v>
      </c>
      <c r="F293" s="123" t="s">
        <v>8</v>
      </c>
      <c r="G293" s="123" t="s">
        <v>9</v>
      </c>
      <c r="H293" s="124">
        <f>H294+H318+H312+H334</f>
        <v>0</v>
      </c>
      <c r="L293" s="19">
        <v>79225.42</v>
      </c>
      <c r="M293" s="19">
        <v>74852.42</v>
      </c>
      <c r="N293" s="19">
        <v>74852.42</v>
      </c>
      <c r="O293" s="19">
        <f t="shared" si="35"/>
        <v>-79225.42</v>
      </c>
      <c r="P293" s="19" t="e">
        <f>#REF!-M293</f>
        <v>#REF!</v>
      </c>
      <c r="Q293" s="19" t="e">
        <f>#REF!-N293</f>
        <v>#REF!</v>
      </c>
      <c r="R293" s="17" t="str">
        <f t="shared" si="36"/>
        <v>00 0 00 00000000</v>
      </c>
    </row>
    <row r="294" spans="1:18" s="29" customFormat="1" ht="63">
      <c r="A294" s="28"/>
      <c r="B294" s="132" t="s">
        <v>257</v>
      </c>
      <c r="C294" s="109" t="s">
        <v>256</v>
      </c>
      <c r="D294" s="108" t="s">
        <v>11</v>
      </c>
      <c r="E294" s="108" t="s">
        <v>51</v>
      </c>
      <c r="F294" s="108" t="s">
        <v>258</v>
      </c>
      <c r="G294" s="108" t="s">
        <v>9</v>
      </c>
      <c r="H294" s="126">
        <f>H295</f>
        <v>0</v>
      </c>
      <c r="L294" s="20">
        <v>5342.96</v>
      </c>
      <c r="M294" s="20">
        <v>5342.96</v>
      </c>
      <c r="N294" s="20">
        <v>5342.96</v>
      </c>
      <c r="O294" s="20">
        <f t="shared" si="35"/>
        <v>-5342.96</v>
      </c>
      <c r="P294" s="20" t="e">
        <f>#REF!-M294</f>
        <v>#REF!</v>
      </c>
      <c r="Q294" s="20" t="e">
        <f>#REF!-N294</f>
        <v>#REF!</v>
      </c>
      <c r="R294" s="17" t="str">
        <f t="shared" si="36"/>
        <v>11 0 00 00000000</v>
      </c>
    </row>
    <row r="295" spans="1:18" s="29" customFormat="1" ht="63">
      <c r="A295" s="28"/>
      <c r="B295" s="132" t="s">
        <v>259</v>
      </c>
      <c r="C295" s="109" t="s">
        <v>256</v>
      </c>
      <c r="D295" s="108" t="s">
        <v>11</v>
      </c>
      <c r="E295" s="108" t="s">
        <v>51</v>
      </c>
      <c r="F295" s="108" t="s">
        <v>260</v>
      </c>
      <c r="G295" s="108" t="s">
        <v>9</v>
      </c>
      <c r="H295" s="126">
        <f>H296+H308</f>
        <v>0</v>
      </c>
      <c r="L295" s="20">
        <v>5342.96</v>
      </c>
      <c r="M295" s="20">
        <v>5342.96</v>
      </c>
      <c r="N295" s="20">
        <v>5342.96</v>
      </c>
      <c r="O295" s="20">
        <f t="shared" si="35"/>
        <v>-5342.96</v>
      </c>
      <c r="P295" s="20" t="e">
        <f>#REF!-M295</f>
        <v>#REF!</v>
      </c>
      <c r="Q295" s="20" t="e">
        <f>#REF!-N295</f>
        <v>#REF!</v>
      </c>
      <c r="R295" s="17" t="str">
        <f t="shared" si="36"/>
        <v>11 Б 00 00000000</v>
      </c>
    </row>
    <row r="296" spans="1:18" s="29" customFormat="1" ht="47.25">
      <c r="A296" s="28"/>
      <c r="B296" s="125" t="s">
        <v>261</v>
      </c>
      <c r="C296" s="109" t="s">
        <v>256</v>
      </c>
      <c r="D296" s="108" t="s">
        <v>11</v>
      </c>
      <c r="E296" s="108" t="s">
        <v>51</v>
      </c>
      <c r="F296" s="108" t="s">
        <v>262</v>
      </c>
      <c r="G296" s="108" t="s">
        <v>9</v>
      </c>
      <c r="H296" s="126">
        <f>H297+H302+H305</f>
        <v>0</v>
      </c>
      <c r="L296" s="20">
        <v>4770.92</v>
      </c>
      <c r="M296" s="20">
        <v>4770.92</v>
      </c>
      <c r="N296" s="20">
        <v>4770.92</v>
      </c>
      <c r="O296" s="20">
        <f t="shared" si="35"/>
        <v>-4770.92</v>
      </c>
      <c r="P296" s="20" t="e">
        <f>#REF!-M296</f>
        <v>#REF!</v>
      </c>
      <c r="Q296" s="20" t="e">
        <f>#REF!-N296</f>
        <v>#REF!</v>
      </c>
      <c r="R296" s="17" t="str">
        <f t="shared" si="36"/>
        <v>11 Б 01 00000000</v>
      </c>
    </row>
    <row r="297" spans="1:18" s="29" customFormat="1" ht="78.75">
      <c r="A297" s="28"/>
      <c r="B297" s="125" t="s">
        <v>263</v>
      </c>
      <c r="C297" s="109" t="s">
        <v>256</v>
      </c>
      <c r="D297" s="108" t="s">
        <v>11</v>
      </c>
      <c r="E297" s="108" t="s">
        <v>51</v>
      </c>
      <c r="F297" s="108" t="s">
        <v>264</v>
      </c>
      <c r="G297" s="108" t="s">
        <v>9</v>
      </c>
      <c r="H297" s="126">
        <f>H298+H300</f>
        <v>0</v>
      </c>
      <c r="L297" s="20">
        <v>1261</v>
      </c>
      <c r="M297" s="20">
        <v>1261</v>
      </c>
      <c r="N297" s="20">
        <v>1261</v>
      </c>
      <c r="O297" s="20">
        <f t="shared" si="35"/>
        <v>-1261</v>
      </c>
      <c r="P297" s="20" t="e">
        <f>#REF!-M297</f>
        <v>#REF!</v>
      </c>
      <c r="Q297" s="20" t="e">
        <f>#REF!-N297</f>
        <v>#REF!</v>
      </c>
      <c r="R297" s="17" t="str">
        <f t="shared" si="36"/>
        <v>11 Б 01 20030000</v>
      </c>
    </row>
    <row r="298" spans="1:18" s="29" customFormat="1" ht="31.5">
      <c r="A298" s="28"/>
      <c r="B298" s="125" t="s">
        <v>28</v>
      </c>
      <c r="C298" s="109" t="s">
        <v>256</v>
      </c>
      <c r="D298" s="108" t="s">
        <v>11</v>
      </c>
      <c r="E298" s="108" t="s">
        <v>51</v>
      </c>
      <c r="F298" s="108" t="s">
        <v>264</v>
      </c>
      <c r="G298" s="108" t="s">
        <v>29</v>
      </c>
      <c r="H298" s="126">
        <f>H299</f>
        <v>0</v>
      </c>
      <c r="L298" s="20">
        <v>1250</v>
      </c>
      <c r="M298" s="20">
        <v>1250</v>
      </c>
      <c r="N298" s="20">
        <v>1250</v>
      </c>
      <c r="O298" s="20">
        <f t="shared" si="35"/>
        <v>-1250</v>
      </c>
      <c r="P298" s="20" t="e">
        <f>#REF!-M298</f>
        <v>#REF!</v>
      </c>
      <c r="Q298" s="20" t="e">
        <f>#REF!-N298</f>
        <v>#REF!</v>
      </c>
      <c r="R298" s="17" t="str">
        <f t="shared" si="36"/>
        <v>11 Б 01 20030240</v>
      </c>
    </row>
    <row r="299" spans="1:18" s="29" customFormat="1" ht="15.75">
      <c r="A299" s="28"/>
      <c r="B299" s="125" t="s">
        <v>30</v>
      </c>
      <c r="C299" s="109" t="s">
        <v>256</v>
      </c>
      <c r="D299" s="108" t="s">
        <v>11</v>
      </c>
      <c r="E299" s="108" t="s">
        <v>51</v>
      </c>
      <c r="F299" s="108" t="s">
        <v>264</v>
      </c>
      <c r="G299" s="108" t="s">
        <v>31</v>
      </c>
      <c r="H299" s="126"/>
      <c r="L299" s="20"/>
      <c r="M299" s="20"/>
      <c r="N299" s="20"/>
      <c r="O299" s="20"/>
      <c r="P299" s="20"/>
      <c r="Q299" s="20"/>
      <c r="R299" s="17" t="str">
        <f t="shared" si="36"/>
        <v>11 Б 01 20030244</v>
      </c>
    </row>
    <row r="300" spans="1:18" s="29" customFormat="1" ht="15.75">
      <c r="A300" s="28"/>
      <c r="B300" s="125" t="s">
        <v>32</v>
      </c>
      <c r="C300" s="109" t="s">
        <v>256</v>
      </c>
      <c r="D300" s="108" t="s">
        <v>11</v>
      </c>
      <c r="E300" s="108" t="s">
        <v>51</v>
      </c>
      <c r="F300" s="108" t="s">
        <v>264</v>
      </c>
      <c r="G300" s="108" t="s">
        <v>33</v>
      </c>
      <c r="H300" s="126">
        <f>H301</f>
        <v>0</v>
      </c>
      <c r="L300" s="20">
        <v>11</v>
      </c>
      <c r="M300" s="20">
        <v>11</v>
      </c>
      <c r="N300" s="20">
        <v>11</v>
      </c>
      <c r="O300" s="20">
        <f>H300-L300</f>
        <v>-11</v>
      </c>
      <c r="P300" s="20" t="e">
        <f>#REF!-M300</f>
        <v>#REF!</v>
      </c>
      <c r="Q300" s="20" t="e">
        <f>#REF!-N300</f>
        <v>#REF!</v>
      </c>
      <c r="R300" s="17" t="str">
        <f t="shared" si="36"/>
        <v>11 Б 01 20030850</v>
      </c>
    </row>
    <row r="301" spans="1:18" s="31" customFormat="1" ht="15.75">
      <c r="A301" s="30"/>
      <c r="B301" s="127" t="s">
        <v>36</v>
      </c>
      <c r="C301" s="109" t="s">
        <v>256</v>
      </c>
      <c r="D301" s="108" t="s">
        <v>11</v>
      </c>
      <c r="E301" s="108" t="s">
        <v>51</v>
      </c>
      <c r="F301" s="108" t="s">
        <v>264</v>
      </c>
      <c r="G301" s="108" t="s">
        <v>37</v>
      </c>
      <c r="H301" s="126"/>
      <c r="L301" s="22"/>
      <c r="M301" s="22"/>
      <c r="N301" s="22"/>
      <c r="O301" s="22"/>
      <c r="P301" s="22"/>
      <c r="Q301" s="22"/>
      <c r="R301" s="24"/>
    </row>
    <row r="302" spans="1:18" s="29" customFormat="1" ht="31.5">
      <c r="A302" s="28"/>
      <c r="B302" s="125" t="s">
        <v>265</v>
      </c>
      <c r="C302" s="109" t="s">
        <v>256</v>
      </c>
      <c r="D302" s="108" t="s">
        <v>11</v>
      </c>
      <c r="E302" s="108" t="s">
        <v>51</v>
      </c>
      <c r="F302" s="108" t="s">
        <v>266</v>
      </c>
      <c r="G302" s="108" t="s">
        <v>9</v>
      </c>
      <c r="H302" s="126">
        <f>H303</f>
        <v>0</v>
      </c>
      <c r="L302" s="20">
        <v>1703.92</v>
      </c>
      <c r="M302" s="20">
        <v>1703.92</v>
      </c>
      <c r="N302" s="20">
        <v>1703.92</v>
      </c>
      <c r="O302" s="20">
        <f>H302-L302</f>
        <v>-1703.92</v>
      </c>
      <c r="P302" s="20" t="e">
        <f>#REF!-M302</f>
        <v>#REF!</v>
      </c>
      <c r="Q302" s="20" t="e">
        <f>#REF!-N302</f>
        <v>#REF!</v>
      </c>
      <c r="R302" s="17" t="str">
        <f t="shared" si="36"/>
        <v>11 Б 01 20070000</v>
      </c>
    </row>
    <row r="303" spans="1:18" s="29" customFormat="1" ht="31.5">
      <c r="A303" s="28"/>
      <c r="B303" s="125" t="s">
        <v>28</v>
      </c>
      <c r="C303" s="109" t="s">
        <v>256</v>
      </c>
      <c r="D303" s="108" t="s">
        <v>11</v>
      </c>
      <c r="E303" s="108" t="s">
        <v>51</v>
      </c>
      <c r="F303" s="108" t="s">
        <v>266</v>
      </c>
      <c r="G303" s="108" t="s">
        <v>29</v>
      </c>
      <c r="H303" s="126">
        <f>H304</f>
        <v>0</v>
      </c>
      <c r="L303" s="20">
        <v>1703.92</v>
      </c>
      <c r="M303" s="20">
        <v>1703.92</v>
      </c>
      <c r="N303" s="20">
        <v>1703.92</v>
      </c>
      <c r="O303" s="20">
        <f>H303-L303</f>
        <v>-1703.92</v>
      </c>
      <c r="P303" s="20" t="e">
        <f>#REF!-M303</f>
        <v>#REF!</v>
      </c>
      <c r="Q303" s="20" t="e">
        <f>#REF!-N303</f>
        <v>#REF!</v>
      </c>
      <c r="R303" s="17" t="str">
        <f t="shared" si="36"/>
        <v>11 Б 01 20070240</v>
      </c>
    </row>
    <row r="304" spans="1:18" s="29" customFormat="1" ht="15.75">
      <c r="A304" s="28"/>
      <c r="B304" s="125" t="s">
        <v>30</v>
      </c>
      <c r="C304" s="109" t="s">
        <v>256</v>
      </c>
      <c r="D304" s="108" t="s">
        <v>11</v>
      </c>
      <c r="E304" s="108" t="s">
        <v>51</v>
      </c>
      <c r="F304" s="108" t="s">
        <v>266</v>
      </c>
      <c r="G304" s="108" t="s">
        <v>31</v>
      </c>
      <c r="H304" s="126"/>
      <c r="L304" s="20"/>
      <c r="M304" s="20"/>
      <c r="N304" s="20"/>
      <c r="O304" s="20"/>
      <c r="P304" s="20"/>
      <c r="Q304" s="20"/>
      <c r="R304" s="17"/>
    </row>
    <row r="305" spans="1:18" s="29" customFormat="1" ht="31.5">
      <c r="A305" s="28"/>
      <c r="B305" s="125" t="s">
        <v>267</v>
      </c>
      <c r="C305" s="109" t="s">
        <v>256</v>
      </c>
      <c r="D305" s="108" t="s">
        <v>11</v>
      </c>
      <c r="E305" s="108" t="s">
        <v>51</v>
      </c>
      <c r="F305" s="108" t="s">
        <v>268</v>
      </c>
      <c r="G305" s="108" t="s">
        <v>9</v>
      </c>
      <c r="H305" s="126">
        <f>H306</f>
        <v>0</v>
      </c>
      <c r="L305" s="20">
        <v>1806</v>
      </c>
      <c r="M305" s="20">
        <v>1806</v>
      </c>
      <c r="N305" s="20">
        <v>1806</v>
      </c>
      <c r="O305" s="20">
        <f>H305-L305</f>
        <v>-1806</v>
      </c>
      <c r="P305" s="20" t="e">
        <f>#REF!-M305</f>
        <v>#REF!</v>
      </c>
      <c r="Q305" s="20" t="e">
        <f>#REF!-N305</f>
        <v>#REF!</v>
      </c>
      <c r="R305" s="17" t="str">
        <f t="shared" si="36"/>
        <v>11 Б 01 21120000</v>
      </c>
    </row>
    <row r="306" spans="1:18" s="29" customFormat="1" ht="31.5">
      <c r="A306" s="28"/>
      <c r="B306" s="125" t="s">
        <v>28</v>
      </c>
      <c r="C306" s="109" t="s">
        <v>256</v>
      </c>
      <c r="D306" s="108" t="s">
        <v>11</v>
      </c>
      <c r="E306" s="108" t="s">
        <v>51</v>
      </c>
      <c r="F306" s="108" t="s">
        <v>268</v>
      </c>
      <c r="G306" s="108" t="s">
        <v>29</v>
      </c>
      <c r="H306" s="126">
        <f>H307</f>
        <v>0</v>
      </c>
      <c r="L306" s="20">
        <v>1806</v>
      </c>
      <c r="M306" s="20">
        <v>1806</v>
      </c>
      <c r="N306" s="20">
        <v>1806</v>
      </c>
      <c r="O306" s="20">
        <f>H306-L306</f>
        <v>-1806</v>
      </c>
      <c r="P306" s="20" t="e">
        <f>#REF!-M306</f>
        <v>#REF!</v>
      </c>
      <c r="Q306" s="20" t="e">
        <f>#REF!-N306</f>
        <v>#REF!</v>
      </c>
      <c r="R306" s="17" t="str">
        <f t="shared" si="36"/>
        <v>11 Б 01 21120240</v>
      </c>
    </row>
    <row r="307" spans="1:18" s="29" customFormat="1" ht="15.75">
      <c r="A307" s="28"/>
      <c r="B307" s="125" t="s">
        <v>30</v>
      </c>
      <c r="C307" s="109" t="s">
        <v>256</v>
      </c>
      <c r="D307" s="108" t="s">
        <v>11</v>
      </c>
      <c r="E307" s="108" t="s">
        <v>51</v>
      </c>
      <c r="F307" s="108" t="s">
        <v>268</v>
      </c>
      <c r="G307" s="108" t="s">
        <v>31</v>
      </c>
      <c r="H307" s="126"/>
      <c r="L307" s="20"/>
      <c r="M307" s="20"/>
      <c r="N307" s="20"/>
      <c r="O307" s="20"/>
      <c r="P307" s="20"/>
      <c r="Q307" s="20"/>
      <c r="R307" s="17" t="str">
        <f t="shared" si="36"/>
        <v>11 Б 01 21120244</v>
      </c>
    </row>
    <row r="308" spans="1:18" s="29" customFormat="1" ht="78.75">
      <c r="A308" s="28"/>
      <c r="B308" s="138" t="s">
        <v>269</v>
      </c>
      <c r="C308" s="109" t="s">
        <v>256</v>
      </c>
      <c r="D308" s="108" t="s">
        <v>11</v>
      </c>
      <c r="E308" s="108" t="s">
        <v>51</v>
      </c>
      <c r="F308" s="108" t="s">
        <v>270</v>
      </c>
      <c r="G308" s="108" t="s">
        <v>9</v>
      </c>
      <c r="H308" s="126">
        <f t="shared" ref="H308:H309" si="37">H309</f>
        <v>0</v>
      </c>
      <c r="L308" s="20">
        <v>572.04</v>
      </c>
      <c r="M308" s="20">
        <v>572.04</v>
      </c>
      <c r="N308" s="20">
        <v>572.04</v>
      </c>
      <c r="O308" s="20">
        <f>H308-L308</f>
        <v>-572.04</v>
      </c>
      <c r="P308" s="20" t="e">
        <f>#REF!-M308</f>
        <v>#REF!</v>
      </c>
      <c r="Q308" s="20" t="e">
        <f>#REF!-N308</f>
        <v>#REF!</v>
      </c>
      <c r="R308" s="17" t="str">
        <f t="shared" si="36"/>
        <v>11 Б 03 00000000</v>
      </c>
    </row>
    <row r="309" spans="1:18" s="29" customFormat="1" ht="78.75">
      <c r="A309" s="28"/>
      <c r="B309" s="125" t="s">
        <v>271</v>
      </c>
      <c r="C309" s="109" t="s">
        <v>256</v>
      </c>
      <c r="D309" s="108" t="s">
        <v>11</v>
      </c>
      <c r="E309" s="108" t="s">
        <v>51</v>
      </c>
      <c r="F309" s="108" t="s">
        <v>272</v>
      </c>
      <c r="G309" s="108" t="s">
        <v>9</v>
      </c>
      <c r="H309" s="126">
        <f t="shared" si="37"/>
        <v>0</v>
      </c>
      <c r="L309" s="20">
        <v>572.04</v>
      </c>
      <c r="M309" s="20">
        <v>572.04</v>
      </c>
      <c r="N309" s="20">
        <v>572.04</v>
      </c>
      <c r="O309" s="20">
        <f>H309-L309</f>
        <v>-572.04</v>
      </c>
      <c r="P309" s="20" t="e">
        <f>#REF!-M309</f>
        <v>#REF!</v>
      </c>
      <c r="Q309" s="20" t="e">
        <f>#REF!-N309</f>
        <v>#REF!</v>
      </c>
      <c r="R309" s="17" t="str">
        <f t="shared" si="36"/>
        <v>11 Б 03 20340000</v>
      </c>
    </row>
    <row r="310" spans="1:18" s="29" customFormat="1" ht="31.5">
      <c r="A310" s="28"/>
      <c r="B310" s="125" t="s">
        <v>28</v>
      </c>
      <c r="C310" s="109" t="s">
        <v>256</v>
      </c>
      <c r="D310" s="108" t="s">
        <v>11</v>
      </c>
      <c r="E310" s="108" t="s">
        <v>51</v>
      </c>
      <c r="F310" s="108" t="s">
        <v>272</v>
      </c>
      <c r="G310" s="108" t="s">
        <v>29</v>
      </c>
      <c r="H310" s="126">
        <f>H311</f>
        <v>0</v>
      </c>
      <c r="L310" s="20">
        <v>572.04</v>
      </c>
      <c r="M310" s="20">
        <v>572.04</v>
      </c>
      <c r="N310" s="20">
        <v>572.04</v>
      </c>
      <c r="O310" s="20">
        <f>H310-L310</f>
        <v>-572.04</v>
      </c>
      <c r="P310" s="20" t="e">
        <f>#REF!-M310</f>
        <v>#REF!</v>
      </c>
      <c r="Q310" s="20" t="e">
        <f>#REF!-N310</f>
        <v>#REF!</v>
      </c>
      <c r="R310" s="17" t="str">
        <f t="shared" si="36"/>
        <v>11 Б 03 20340240</v>
      </c>
    </row>
    <row r="311" spans="1:18" s="29" customFormat="1" ht="15.75">
      <c r="A311" s="28"/>
      <c r="B311" s="125" t="s">
        <v>30</v>
      </c>
      <c r="C311" s="109" t="s">
        <v>256</v>
      </c>
      <c r="D311" s="108" t="s">
        <v>11</v>
      </c>
      <c r="E311" s="108" t="s">
        <v>51</v>
      </c>
      <c r="F311" s="108" t="s">
        <v>272</v>
      </c>
      <c r="G311" s="108" t="s">
        <v>31</v>
      </c>
      <c r="H311" s="126"/>
      <c r="L311" s="20"/>
      <c r="M311" s="20"/>
      <c r="N311" s="20"/>
      <c r="O311" s="20"/>
      <c r="P311" s="20"/>
      <c r="Q311" s="20"/>
      <c r="R311" s="17" t="str">
        <f t="shared" si="36"/>
        <v>11 Б 03 20340244</v>
      </c>
    </row>
    <row r="312" spans="1:18" s="16" customFormat="1" ht="47.25">
      <c r="A312" s="14"/>
      <c r="B312" s="127" t="s">
        <v>146</v>
      </c>
      <c r="C312" s="109" t="s">
        <v>256</v>
      </c>
      <c r="D312" s="130" t="s">
        <v>11</v>
      </c>
      <c r="E312" s="130">
        <v>13</v>
      </c>
      <c r="F312" s="130" t="s">
        <v>147</v>
      </c>
      <c r="G312" s="130" t="s">
        <v>9</v>
      </c>
      <c r="H312" s="134">
        <f>H313</f>
        <v>0</v>
      </c>
      <c r="L312" s="27">
        <v>3000</v>
      </c>
      <c r="M312" s="27">
        <v>0</v>
      </c>
      <c r="N312" s="27">
        <v>0</v>
      </c>
      <c r="O312" s="27">
        <f>H312-L312</f>
        <v>-3000</v>
      </c>
      <c r="P312" s="27" t="e">
        <f>#REF!-M312</f>
        <v>#REF!</v>
      </c>
      <c r="Q312" s="27" t="e">
        <f>#REF!-N312</f>
        <v>#REF!</v>
      </c>
      <c r="R312" s="17" t="str">
        <f t="shared" si="36"/>
        <v>15 0 00 00000000</v>
      </c>
    </row>
    <row r="313" spans="1:18" s="16" customFormat="1" ht="15.75">
      <c r="A313" s="14"/>
      <c r="B313" s="125" t="s">
        <v>148</v>
      </c>
      <c r="C313" s="109" t="s">
        <v>256</v>
      </c>
      <c r="D313" s="130" t="s">
        <v>11</v>
      </c>
      <c r="E313" s="130">
        <v>13</v>
      </c>
      <c r="F313" s="130" t="s">
        <v>149</v>
      </c>
      <c r="G313" s="130" t="s">
        <v>9</v>
      </c>
      <c r="H313" s="134">
        <f>H314</f>
        <v>0</v>
      </c>
      <c r="L313" s="27">
        <v>3000</v>
      </c>
      <c r="M313" s="27">
        <v>0</v>
      </c>
      <c r="N313" s="27">
        <v>0</v>
      </c>
      <c r="O313" s="27">
        <f>H313-L313</f>
        <v>-3000</v>
      </c>
      <c r="P313" s="27" t="e">
        <f>#REF!-M313</f>
        <v>#REF!</v>
      </c>
      <c r="Q313" s="27" t="e">
        <f>#REF!-N313</f>
        <v>#REF!</v>
      </c>
      <c r="R313" s="17" t="str">
        <f t="shared" si="36"/>
        <v>15 1 00 00000000</v>
      </c>
    </row>
    <row r="314" spans="1:18" s="16" customFormat="1" ht="47.25">
      <c r="A314" s="14"/>
      <c r="B314" s="135" t="s">
        <v>273</v>
      </c>
      <c r="C314" s="109" t="s">
        <v>256</v>
      </c>
      <c r="D314" s="130" t="s">
        <v>11</v>
      </c>
      <c r="E314" s="130">
        <v>13</v>
      </c>
      <c r="F314" s="130" t="s">
        <v>274</v>
      </c>
      <c r="G314" s="130" t="s">
        <v>9</v>
      </c>
      <c r="H314" s="134">
        <f>H315</f>
        <v>0</v>
      </c>
      <c r="L314" s="27">
        <v>3000</v>
      </c>
      <c r="M314" s="27">
        <v>0</v>
      </c>
      <c r="N314" s="27">
        <v>0</v>
      </c>
      <c r="O314" s="27">
        <f>H314-L314</f>
        <v>-3000</v>
      </c>
      <c r="P314" s="27" t="e">
        <f>#REF!-M314</f>
        <v>#REF!</v>
      </c>
      <c r="Q314" s="27" t="e">
        <f>#REF!-N314</f>
        <v>#REF!</v>
      </c>
      <c r="R314" s="17" t="str">
        <f t="shared" si="36"/>
        <v>15 1 02 00000000</v>
      </c>
    </row>
    <row r="315" spans="1:18" s="16" customFormat="1" ht="47.25">
      <c r="A315" s="14"/>
      <c r="B315" s="135" t="s">
        <v>152</v>
      </c>
      <c r="C315" s="109" t="s">
        <v>256</v>
      </c>
      <c r="D315" s="130" t="s">
        <v>11</v>
      </c>
      <c r="E315" s="130">
        <v>13</v>
      </c>
      <c r="F315" s="130" t="s">
        <v>275</v>
      </c>
      <c r="G315" s="130" t="s">
        <v>9</v>
      </c>
      <c r="H315" s="134">
        <f t="shared" ref="H315" si="38">H316</f>
        <v>0</v>
      </c>
      <c r="L315" s="27">
        <v>3000</v>
      </c>
      <c r="M315" s="27">
        <v>0</v>
      </c>
      <c r="N315" s="27">
        <v>0</v>
      </c>
      <c r="O315" s="27">
        <f>H315-L315</f>
        <v>-3000</v>
      </c>
      <c r="P315" s="27" t="e">
        <f>#REF!-M315</f>
        <v>#REF!</v>
      </c>
      <c r="Q315" s="27" t="e">
        <f>#REF!-N315</f>
        <v>#REF!</v>
      </c>
      <c r="R315" s="17" t="str">
        <f t="shared" si="36"/>
        <v>15 1 02 20350000</v>
      </c>
    </row>
    <row r="316" spans="1:18" s="16" customFormat="1" ht="31.5">
      <c r="A316" s="14"/>
      <c r="B316" s="135" t="s">
        <v>28</v>
      </c>
      <c r="C316" s="109" t="s">
        <v>256</v>
      </c>
      <c r="D316" s="130" t="s">
        <v>11</v>
      </c>
      <c r="E316" s="130">
        <v>13</v>
      </c>
      <c r="F316" s="130" t="s">
        <v>275</v>
      </c>
      <c r="G316" s="130" t="s">
        <v>29</v>
      </c>
      <c r="H316" s="126">
        <f>H317</f>
        <v>0</v>
      </c>
      <c r="L316" s="20">
        <v>3000</v>
      </c>
      <c r="M316" s="20">
        <v>0</v>
      </c>
      <c r="N316" s="20">
        <v>0</v>
      </c>
      <c r="O316" s="20">
        <f>H316-L316</f>
        <v>-3000</v>
      </c>
      <c r="P316" s="20" t="e">
        <f>#REF!-M316</f>
        <v>#REF!</v>
      </c>
      <c r="Q316" s="20" t="e">
        <f>#REF!-N316</f>
        <v>#REF!</v>
      </c>
      <c r="R316" s="17" t="str">
        <f t="shared" si="36"/>
        <v>15 1 02 20350240</v>
      </c>
    </row>
    <row r="317" spans="1:18" s="16" customFormat="1" ht="15.75">
      <c r="A317" s="14"/>
      <c r="B317" s="125" t="s">
        <v>30</v>
      </c>
      <c r="C317" s="109" t="s">
        <v>256</v>
      </c>
      <c r="D317" s="130" t="s">
        <v>11</v>
      </c>
      <c r="E317" s="130">
        <v>13</v>
      </c>
      <c r="F317" s="130" t="s">
        <v>275</v>
      </c>
      <c r="G317" s="130" t="s">
        <v>31</v>
      </c>
      <c r="H317" s="126"/>
      <c r="L317" s="20"/>
      <c r="M317" s="20"/>
      <c r="N317" s="20"/>
      <c r="O317" s="20"/>
      <c r="P317" s="20"/>
      <c r="Q317" s="20"/>
      <c r="R317" s="17" t="str">
        <f t="shared" si="36"/>
        <v>15 1 02 20350244</v>
      </c>
    </row>
    <row r="318" spans="1:18" s="29" customFormat="1" ht="31.5">
      <c r="A318" s="28"/>
      <c r="B318" s="125" t="s">
        <v>276</v>
      </c>
      <c r="C318" s="109" t="s">
        <v>256</v>
      </c>
      <c r="D318" s="108" t="s">
        <v>11</v>
      </c>
      <c r="E318" s="108" t="s">
        <v>51</v>
      </c>
      <c r="F318" s="108" t="s">
        <v>277</v>
      </c>
      <c r="G318" s="108" t="s">
        <v>9</v>
      </c>
      <c r="H318" s="126">
        <f>H319</f>
        <v>0</v>
      </c>
      <c r="L318" s="20">
        <v>70614.459999999992</v>
      </c>
      <c r="M318" s="20">
        <v>69509.459999999992</v>
      </c>
      <c r="N318" s="20">
        <v>69509.459999999992</v>
      </c>
      <c r="O318" s="20">
        <f>H318-L318</f>
        <v>-70614.459999999992</v>
      </c>
      <c r="P318" s="20" t="e">
        <f>#REF!-M318</f>
        <v>#REF!</v>
      </c>
      <c r="Q318" s="20" t="e">
        <f>#REF!-N318</f>
        <v>#REF!</v>
      </c>
      <c r="R318" s="17" t="str">
        <f t="shared" si="36"/>
        <v>72 0 00 00000000</v>
      </c>
    </row>
    <row r="319" spans="1:18" s="29" customFormat="1" ht="47.25">
      <c r="A319" s="28"/>
      <c r="B319" s="125" t="s">
        <v>278</v>
      </c>
      <c r="C319" s="109" t="s">
        <v>256</v>
      </c>
      <c r="D319" s="108" t="s">
        <v>11</v>
      </c>
      <c r="E319" s="108" t="s">
        <v>51</v>
      </c>
      <c r="F319" s="108" t="s">
        <v>279</v>
      </c>
      <c r="G319" s="108" t="s">
        <v>9</v>
      </c>
      <c r="H319" s="126">
        <f>H330+H320</f>
        <v>0</v>
      </c>
      <c r="L319" s="20">
        <v>70614.459999999992</v>
      </c>
      <c r="M319" s="20">
        <v>69509.459999999992</v>
      </c>
      <c r="N319" s="20">
        <v>69509.459999999992</v>
      </c>
      <c r="O319" s="20">
        <f>H319-L319</f>
        <v>-70614.459999999992</v>
      </c>
      <c r="P319" s="20" t="e">
        <f>#REF!-M319</f>
        <v>#REF!</v>
      </c>
      <c r="Q319" s="20" t="e">
        <f>#REF!-N319</f>
        <v>#REF!</v>
      </c>
      <c r="R319" s="17" t="str">
        <f t="shared" si="36"/>
        <v>72 1 00 00000000</v>
      </c>
    </row>
    <row r="320" spans="1:18" s="29" customFormat="1" ht="31.5">
      <c r="A320" s="28"/>
      <c r="B320" s="125" t="s">
        <v>18</v>
      </c>
      <c r="C320" s="109" t="s">
        <v>256</v>
      </c>
      <c r="D320" s="108" t="s">
        <v>11</v>
      </c>
      <c r="E320" s="108" t="s">
        <v>51</v>
      </c>
      <c r="F320" s="108" t="s">
        <v>280</v>
      </c>
      <c r="G320" s="108" t="s">
        <v>9</v>
      </c>
      <c r="H320" s="126">
        <f>H321+H324+H326</f>
        <v>0</v>
      </c>
      <c r="L320" s="20">
        <v>11702.940000000002</v>
      </c>
      <c r="M320" s="20">
        <v>10597.939999999999</v>
      </c>
      <c r="N320" s="20">
        <v>10597.939999999999</v>
      </c>
      <c r="O320" s="20">
        <f>H320-L320</f>
        <v>-11702.940000000002</v>
      </c>
      <c r="P320" s="20" t="e">
        <f>#REF!-M320</f>
        <v>#REF!</v>
      </c>
      <c r="Q320" s="20" t="e">
        <f>#REF!-N320</f>
        <v>#REF!</v>
      </c>
      <c r="R320" s="17" t="str">
        <f t="shared" si="36"/>
        <v>72 1 00 10010000</v>
      </c>
    </row>
    <row r="321" spans="1:18" s="29" customFormat="1" ht="31.5">
      <c r="A321" s="28"/>
      <c r="B321" s="127" t="s">
        <v>20</v>
      </c>
      <c r="C321" s="109" t="s">
        <v>256</v>
      </c>
      <c r="D321" s="108" t="s">
        <v>11</v>
      </c>
      <c r="E321" s="108" t="s">
        <v>51</v>
      </c>
      <c r="F321" s="108" t="s">
        <v>280</v>
      </c>
      <c r="G321" s="108" t="s">
        <v>21</v>
      </c>
      <c r="H321" s="126">
        <f>SUM(H322:H323)</f>
        <v>0</v>
      </c>
      <c r="L321" s="20">
        <v>1571.79</v>
      </c>
      <c r="M321" s="20">
        <v>1571.79</v>
      </c>
      <c r="N321" s="20">
        <v>1571.79</v>
      </c>
      <c r="O321" s="20">
        <f>H321-L321</f>
        <v>-1571.79</v>
      </c>
      <c r="P321" s="20" t="e">
        <f>#REF!-M321</f>
        <v>#REF!</v>
      </c>
      <c r="Q321" s="20" t="e">
        <f>#REF!-N321</f>
        <v>#REF!</v>
      </c>
      <c r="R321" s="17" t="str">
        <f t="shared" si="36"/>
        <v>72 1 00 10010120</v>
      </c>
    </row>
    <row r="322" spans="1:18" s="31" customFormat="1" ht="47.25">
      <c r="A322" s="30"/>
      <c r="B322" s="127" t="s">
        <v>22</v>
      </c>
      <c r="C322" s="109" t="s">
        <v>256</v>
      </c>
      <c r="D322" s="108" t="s">
        <v>11</v>
      </c>
      <c r="E322" s="108" t="s">
        <v>51</v>
      </c>
      <c r="F322" s="108" t="s">
        <v>280</v>
      </c>
      <c r="G322" s="108" t="s">
        <v>23</v>
      </c>
      <c r="H322" s="126"/>
      <c r="L322" s="22"/>
      <c r="M322" s="22"/>
      <c r="N322" s="22"/>
      <c r="O322" s="22"/>
      <c r="P322" s="22"/>
      <c r="Q322" s="22"/>
      <c r="R322" s="24"/>
    </row>
    <row r="323" spans="1:18" s="31" customFormat="1" ht="63">
      <c r="A323" s="30"/>
      <c r="B323" s="127" t="s">
        <v>26</v>
      </c>
      <c r="C323" s="109" t="s">
        <v>256</v>
      </c>
      <c r="D323" s="108" t="s">
        <v>11</v>
      </c>
      <c r="E323" s="108" t="s">
        <v>51</v>
      </c>
      <c r="F323" s="108" t="s">
        <v>280</v>
      </c>
      <c r="G323" s="108" t="s">
        <v>27</v>
      </c>
      <c r="H323" s="126"/>
      <c r="L323" s="22"/>
      <c r="M323" s="22"/>
      <c r="N323" s="22"/>
      <c r="O323" s="22"/>
      <c r="P323" s="22"/>
      <c r="Q323" s="22"/>
      <c r="R323" s="24"/>
    </row>
    <row r="324" spans="1:18" s="29" customFormat="1" ht="31.5">
      <c r="A324" s="28"/>
      <c r="B324" s="125" t="s">
        <v>28</v>
      </c>
      <c r="C324" s="109" t="s">
        <v>256</v>
      </c>
      <c r="D324" s="108" t="s">
        <v>11</v>
      </c>
      <c r="E324" s="108" t="s">
        <v>51</v>
      </c>
      <c r="F324" s="108" t="s">
        <v>280</v>
      </c>
      <c r="G324" s="108" t="s">
        <v>29</v>
      </c>
      <c r="H324" s="126">
        <f>H325</f>
        <v>0</v>
      </c>
      <c r="L324" s="20">
        <v>10021.450000000001</v>
      </c>
      <c r="M324" s="20">
        <v>8947.15</v>
      </c>
      <c r="N324" s="20">
        <v>8947.15</v>
      </c>
      <c r="O324" s="20">
        <f>H324-L324</f>
        <v>-10021.450000000001</v>
      </c>
      <c r="P324" s="20" t="e">
        <f>#REF!-M324</f>
        <v>#REF!</v>
      </c>
      <c r="Q324" s="20" t="e">
        <f>#REF!-N324</f>
        <v>#REF!</v>
      </c>
      <c r="R324" s="17" t="str">
        <f t="shared" si="36"/>
        <v>72 1 00 10010240</v>
      </c>
    </row>
    <row r="325" spans="1:18" s="29" customFormat="1" ht="15.75">
      <c r="A325" s="28"/>
      <c r="B325" s="125" t="s">
        <v>30</v>
      </c>
      <c r="C325" s="109" t="s">
        <v>256</v>
      </c>
      <c r="D325" s="108" t="s">
        <v>11</v>
      </c>
      <c r="E325" s="108" t="s">
        <v>51</v>
      </c>
      <c r="F325" s="108" t="s">
        <v>280</v>
      </c>
      <c r="G325" s="108" t="s">
        <v>31</v>
      </c>
      <c r="H325" s="126"/>
      <c r="L325" s="20"/>
      <c r="M325" s="20"/>
      <c r="N325" s="20"/>
      <c r="O325" s="20"/>
      <c r="P325" s="20"/>
      <c r="Q325" s="20"/>
      <c r="R325" s="17"/>
    </row>
    <row r="326" spans="1:18" s="29" customFormat="1" ht="15.75">
      <c r="A326" s="28"/>
      <c r="B326" s="125" t="s">
        <v>32</v>
      </c>
      <c r="C326" s="109" t="s">
        <v>256</v>
      </c>
      <c r="D326" s="108" t="s">
        <v>11</v>
      </c>
      <c r="E326" s="108" t="s">
        <v>51</v>
      </c>
      <c r="F326" s="108" t="s">
        <v>280</v>
      </c>
      <c r="G326" s="108" t="s">
        <v>33</v>
      </c>
      <c r="H326" s="126">
        <f>SUM(H327:H329)</f>
        <v>0</v>
      </c>
      <c r="L326" s="20">
        <v>109.7</v>
      </c>
      <c r="M326" s="20">
        <v>79</v>
      </c>
      <c r="N326" s="20">
        <v>79</v>
      </c>
      <c r="O326" s="20">
        <f>H326-L326</f>
        <v>-109.7</v>
      </c>
      <c r="P326" s="20" t="e">
        <f>#REF!-M326</f>
        <v>#REF!</v>
      </c>
      <c r="Q326" s="20" t="e">
        <f>#REF!-N326</f>
        <v>#REF!</v>
      </c>
      <c r="R326" s="17" t="str">
        <f t="shared" si="36"/>
        <v>72 1 00 10010850</v>
      </c>
    </row>
    <row r="327" spans="1:18" s="31" customFormat="1" ht="31.5">
      <c r="A327" s="30"/>
      <c r="B327" s="127" t="s">
        <v>34</v>
      </c>
      <c r="C327" s="109" t="s">
        <v>256</v>
      </c>
      <c r="D327" s="108" t="s">
        <v>11</v>
      </c>
      <c r="E327" s="108" t="s">
        <v>51</v>
      </c>
      <c r="F327" s="108" t="s">
        <v>280</v>
      </c>
      <c r="G327" s="108" t="s">
        <v>35</v>
      </c>
      <c r="H327" s="126"/>
      <c r="L327" s="22"/>
      <c r="M327" s="22"/>
      <c r="N327" s="22"/>
      <c r="O327" s="22"/>
      <c r="P327" s="22"/>
      <c r="Q327" s="22"/>
      <c r="R327" s="24"/>
    </row>
    <row r="328" spans="1:18" s="31" customFormat="1" ht="15.75">
      <c r="A328" s="30"/>
      <c r="B328" s="127" t="s">
        <v>36</v>
      </c>
      <c r="C328" s="109" t="s">
        <v>256</v>
      </c>
      <c r="D328" s="108" t="s">
        <v>11</v>
      </c>
      <c r="E328" s="108" t="s">
        <v>51</v>
      </c>
      <c r="F328" s="108" t="s">
        <v>280</v>
      </c>
      <c r="G328" s="108" t="s">
        <v>37</v>
      </c>
      <c r="H328" s="126"/>
      <c r="L328" s="22"/>
      <c r="M328" s="22"/>
      <c r="N328" s="22"/>
      <c r="O328" s="22"/>
      <c r="P328" s="22"/>
      <c r="Q328" s="22"/>
      <c r="R328" s="24"/>
    </row>
    <row r="329" spans="1:18" s="31" customFormat="1" ht="15.75">
      <c r="A329" s="30"/>
      <c r="B329" s="127" t="s">
        <v>77</v>
      </c>
      <c r="C329" s="109" t="s">
        <v>256</v>
      </c>
      <c r="D329" s="108" t="s">
        <v>11</v>
      </c>
      <c r="E329" s="108" t="s">
        <v>51</v>
      </c>
      <c r="F329" s="108" t="s">
        <v>280</v>
      </c>
      <c r="G329" s="108" t="s">
        <v>78</v>
      </c>
      <c r="H329" s="126"/>
      <c r="L329" s="22"/>
      <c r="M329" s="22"/>
      <c r="N329" s="22"/>
      <c r="O329" s="22"/>
      <c r="P329" s="22"/>
      <c r="Q329" s="22"/>
      <c r="R329" s="24"/>
    </row>
    <row r="330" spans="1:18" s="29" customFormat="1" ht="31.5">
      <c r="A330" s="28"/>
      <c r="B330" s="125" t="s">
        <v>38</v>
      </c>
      <c r="C330" s="109" t="s">
        <v>256</v>
      </c>
      <c r="D330" s="108" t="s">
        <v>11</v>
      </c>
      <c r="E330" s="108" t="s">
        <v>51</v>
      </c>
      <c r="F330" s="108" t="s">
        <v>281</v>
      </c>
      <c r="G330" s="108" t="s">
        <v>9</v>
      </c>
      <c r="H330" s="126">
        <f>SUM(H331:H331)</f>
        <v>0</v>
      </c>
      <c r="L330" s="20">
        <v>58911.519999999997</v>
      </c>
      <c r="M330" s="20">
        <v>58911.519999999997</v>
      </c>
      <c r="N330" s="20">
        <v>58911.519999999997</v>
      </c>
      <c r="O330" s="20">
        <f>H330-L330</f>
        <v>-58911.519999999997</v>
      </c>
      <c r="P330" s="20" t="e">
        <f>#REF!-M330</f>
        <v>#REF!</v>
      </c>
      <c r="Q330" s="20" t="e">
        <f>#REF!-N330</f>
        <v>#REF!</v>
      </c>
      <c r="R330" s="17" t="str">
        <f t="shared" si="36"/>
        <v>72 1 00 10020000</v>
      </c>
    </row>
    <row r="331" spans="1:18" s="29" customFormat="1" ht="31.5">
      <c r="A331" s="28"/>
      <c r="B331" s="127" t="s">
        <v>20</v>
      </c>
      <c r="C331" s="109" t="s">
        <v>256</v>
      </c>
      <c r="D331" s="108" t="s">
        <v>11</v>
      </c>
      <c r="E331" s="108" t="s">
        <v>51</v>
      </c>
      <c r="F331" s="108" t="s">
        <v>281</v>
      </c>
      <c r="G331" s="108" t="s">
        <v>21</v>
      </c>
      <c r="H331" s="126">
        <f>SUM(H332:H333)</f>
        <v>0</v>
      </c>
      <c r="L331" s="20">
        <v>58911.519999999997</v>
      </c>
      <c r="M331" s="20">
        <v>58911.519999999997</v>
      </c>
      <c r="N331" s="20">
        <v>58911.519999999997</v>
      </c>
      <c r="O331" s="20">
        <f>H331-L331</f>
        <v>-58911.519999999997</v>
      </c>
      <c r="P331" s="20" t="e">
        <f>#REF!-M331</f>
        <v>#REF!</v>
      </c>
      <c r="Q331" s="20" t="e">
        <f>#REF!-N331</f>
        <v>#REF!</v>
      </c>
      <c r="R331" s="17" t="str">
        <f t="shared" si="36"/>
        <v>72 1 00 10020120</v>
      </c>
    </row>
    <row r="332" spans="1:18" s="31" customFormat="1" ht="31.5">
      <c r="A332" s="30"/>
      <c r="B332" s="127" t="s">
        <v>40</v>
      </c>
      <c r="C332" s="109" t="s">
        <v>256</v>
      </c>
      <c r="D332" s="108" t="s">
        <v>11</v>
      </c>
      <c r="E332" s="108" t="s">
        <v>51</v>
      </c>
      <c r="F332" s="108" t="s">
        <v>281</v>
      </c>
      <c r="G332" s="108" t="s">
        <v>41</v>
      </c>
      <c r="H332" s="126"/>
      <c r="L332" s="22"/>
      <c r="M332" s="22"/>
      <c r="N332" s="22"/>
      <c r="O332" s="22"/>
      <c r="P332" s="22"/>
      <c r="Q332" s="22"/>
      <c r="R332" s="24"/>
    </row>
    <row r="333" spans="1:18" s="31" customFormat="1" ht="63">
      <c r="A333" s="30"/>
      <c r="B333" s="127" t="s">
        <v>26</v>
      </c>
      <c r="C333" s="109" t="s">
        <v>256</v>
      </c>
      <c r="D333" s="108" t="s">
        <v>11</v>
      </c>
      <c r="E333" s="108" t="s">
        <v>51</v>
      </c>
      <c r="F333" s="108" t="s">
        <v>281</v>
      </c>
      <c r="G333" s="108" t="s">
        <v>27</v>
      </c>
      <c r="H333" s="126"/>
      <c r="L333" s="22"/>
      <c r="M333" s="22"/>
      <c r="N333" s="22"/>
      <c r="O333" s="22"/>
      <c r="P333" s="22"/>
      <c r="Q333" s="22"/>
      <c r="R333" s="24"/>
    </row>
    <row r="334" spans="1:18" s="29" customFormat="1" ht="63">
      <c r="A334" s="28"/>
      <c r="B334" s="138" t="s">
        <v>87</v>
      </c>
      <c r="C334" s="109" t="s">
        <v>256</v>
      </c>
      <c r="D334" s="108" t="s">
        <v>11</v>
      </c>
      <c r="E334" s="108" t="s">
        <v>51</v>
      </c>
      <c r="F334" s="108" t="s">
        <v>88</v>
      </c>
      <c r="G334" s="108" t="s">
        <v>9</v>
      </c>
      <c r="H334" s="126">
        <f>H335</f>
        <v>0</v>
      </c>
      <c r="L334" s="20">
        <v>268</v>
      </c>
      <c r="M334" s="20">
        <v>0</v>
      </c>
      <c r="N334" s="20">
        <v>0</v>
      </c>
      <c r="O334" s="20">
        <f>H334-L334</f>
        <v>-268</v>
      </c>
      <c r="P334" s="20" t="e">
        <f>#REF!-M334</f>
        <v>#REF!</v>
      </c>
      <c r="Q334" s="20" t="e">
        <f>#REF!-N334</f>
        <v>#REF!</v>
      </c>
      <c r="R334" s="17" t="str">
        <f t="shared" si="36"/>
        <v>98 0 00 00000000</v>
      </c>
    </row>
    <row r="335" spans="1:18" s="29" customFormat="1" ht="15.75">
      <c r="A335" s="28"/>
      <c r="B335" s="138" t="s">
        <v>89</v>
      </c>
      <c r="C335" s="109" t="s">
        <v>256</v>
      </c>
      <c r="D335" s="108" t="s">
        <v>11</v>
      </c>
      <c r="E335" s="108" t="s">
        <v>51</v>
      </c>
      <c r="F335" s="108" t="s">
        <v>90</v>
      </c>
      <c r="G335" s="108" t="s">
        <v>9</v>
      </c>
      <c r="H335" s="126">
        <f>H336</f>
        <v>0</v>
      </c>
      <c r="L335" s="20">
        <v>268</v>
      </c>
      <c r="M335" s="20">
        <v>0</v>
      </c>
      <c r="N335" s="20">
        <v>0</v>
      </c>
      <c r="O335" s="20">
        <f>H335-L335</f>
        <v>-268</v>
      </c>
      <c r="P335" s="20" t="e">
        <f>#REF!-M335</f>
        <v>#REF!</v>
      </c>
      <c r="Q335" s="20" t="e">
        <f>#REF!-N335</f>
        <v>#REF!</v>
      </c>
      <c r="R335" s="17" t="str">
        <f t="shared" si="36"/>
        <v>98 1 00 00000000</v>
      </c>
    </row>
    <row r="336" spans="1:18" s="29" customFormat="1" ht="31.5">
      <c r="A336" s="28"/>
      <c r="B336" s="138" t="s">
        <v>282</v>
      </c>
      <c r="C336" s="109" t="s">
        <v>256</v>
      </c>
      <c r="D336" s="108" t="s">
        <v>11</v>
      </c>
      <c r="E336" s="108" t="s">
        <v>51</v>
      </c>
      <c r="F336" s="108" t="s">
        <v>283</v>
      </c>
      <c r="G336" s="108" t="s">
        <v>9</v>
      </c>
      <c r="H336" s="126">
        <f>H337</f>
        <v>0</v>
      </c>
      <c r="L336" s="20">
        <v>268</v>
      </c>
      <c r="M336" s="20">
        <v>0</v>
      </c>
      <c r="N336" s="20">
        <v>0</v>
      </c>
      <c r="O336" s="20">
        <f>H336-L336</f>
        <v>-268</v>
      </c>
      <c r="P336" s="20" t="e">
        <f>#REF!-M336</f>
        <v>#REF!</v>
      </c>
      <c r="Q336" s="20" t="e">
        <f>#REF!-N336</f>
        <v>#REF!</v>
      </c>
      <c r="R336" s="17" t="str">
        <f t="shared" si="36"/>
        <v>98 1 00 21350000</v>
      </c>
    </row>
    <row r="337" spans="1:18" s="29" customFormat="1" ht="15.75">
      <c r="A337" s="28"/>
      <c r="B337" s="138" t="s">
        <v>189</v>
      </c>
      <c r="C337" s="109" t="s">
        <v>256</v>
      </c>
      <c r="D337" s="108" t="s">
        <v>11</v>
      </c>
      <c r="E337" s="108" t="s">
        <v>51</v>
      </c>
      <c r="F337" s="108" t="s">
        <v>283</v>
      </c>
      <c r="G337" s="108" t="s">
        <v>190</v>
      </c>
      <c r="H337" s="126">
        <f>H338</f>
        <v>0</v>
      </c>
      <c r="L337" s="20">
        <v>268</v>
      </c>
      <c r="M337" s="20">
        <v>0</v>
      </c>
      <c r="N337" s="20">
        <v>0</v>
      </c>
      <c r="O337" s="20">
        <f>H337-L337</f>
        <v>-268</v>
      </c>
      <c r="P337" s="20" t="e">
        <f>#REF!-M337</f>
        <v>#REF!</v>
      </c>
      <c r="Q337" s="20" t="e">
        <f>#REF!-N337</f>
        <v>#REF!</v>
      </c>
      <c r="R337" s="17" t="str">
        <f t="shared" si="36"/>
        <v>98 1 00 21350830</v>
      </c>
    </row>
    <row r="338" spans="1:18" s="29" customFormat="1" ht="47.25">
      <c r="A338" s="28"/>
      <c r="B338" s="138" t="s">
        <v>191</v>
      </c>
      <c r="C338" s="109" t="s">
        <v>256</v>
      </c>
      <c r="D338" s="108" t="s">
        <v>11</v>
      </c>
      <c r="E338" s="108" t="s">
        <v>51</v>
      </c>
      <c r="F338" s="108" t="s">
        <v>283</v>
      </c>
      <c r="G338" s="108" t="s">
        <v>192</v>
      </c>
      <c r="H338" s="126"/>
      <c r="L338" s="20"/>
      <c r="M338" s="20"/>
      <c r="N338" s="20"/>
      <c r="O338" s="20"/>
      <c r="P338" s="20"/>
      <c r="Q338" s="20"/>
      <c r="R338" s="17"/>
    </row>
    <row r="339" spans="1:18" s="29" customFormat="1" ht="15.75">
      <c r="A339" s="28"/>
      <c r="B339" s="117" t="s">
        <v>195</v>
      </c>
      <c r="C339" s="118" t="s">
        <v>256</v>
      </c>
      <c r="D339" s="119" t="s">
        <v>73</v>
      </c>
      <c r="E339" s="119" t="s">
        <v>7</v>
      </c>
      <c r="F339" s="119" t="s">
        <v>8</v>
      </c>
      <c r="G339" s="119" t="s">
        <v>9</v>
      </c>
      <c r="H339" s="120">
        <f>H340</f>
        <v>0</v>
      </c>
      <c r="L339" s="18">
        <v>43269.74</v>
      </c>
      <c r="M339" s="18">
        <v>792</v>
      </c>
      <c r="N339" s="18">
        <v>792</v>
      </c>
      <c r="O339" s="18">
        <f t="shared" ref="O339:O345" si="39">H339-L339</f>
        <v>-43269.74</v>
      </c>
      <c r="P339" s="18" t="e">
        <f>#REF!-M339</f>
        <v>#REF!</v>
      </c>
      <c r="Q339" s="18" t="e">
        <f>#REF!-N339</f>
        <v>#REF!</v>
      </c>
      <c r="R339" s="17" t="str">
        <f t="shared" si="36"/>
        <v>00 0 00 00000000</v>
      </c>
    </row>
    <row r="340" spans="1:18" s="29" customFormat="1" ht="15.75">
      <c r="A340" s="28"/>
      <c r="B340" s="121" t="s">
        <v>284</v>
      </c>
      <c r="C340" s="122" t="s">
        <v>256</v>
      </c>
      <c r="D340" s="123" t="s">
        <v>73</v>
      </c>
      <c r="E340" s="123" t="s">
        <v>57</v>
      </c>
      <c r="F340" s="139" t="s">
        <v>8</v>
      </c>
      <c r="G340" s="139" t="s">
        <v>9</v>
      </c>
      <c r="H340" s="124">
        <f>H341+H353+H347</f>
        <v>0</v>
      </c>
      <c r="L340" s="19">
        <v>43269.74</v>
      </c>
      <c r="M340" s="19">
        <v>792</v>
      </c>
      <c r="N340" s="19">
        <v>792</v>
      </c>
      <c r="O340" s="19">
        <f t="shared" si="39"/>
        <v>-43269.74</v>
      </c>
      <c r="P340" s="19" t="e">
        <f>#REF!-M340</f>
        <v>#REF!</v>
      </c>
      <c r="Q340" s="19" t="e">
        <f>#REF!-N340</f>
        <v>#REF!</v>
      </c>
      <c r="R340" s="17" t="str">
        <f t="shared" si="36"/>
        <v>00 0 00 00000000</v>
      </c>
    </row>
    <row r="341" spans="1:18" s="29" customFormat="1" ht="63">
      <c r="A341" s="28"/>
      <c r="B341" s="135" t="s">
        <v>285</v>
      </c>
      <c r="C341" s="109" t="s">
        <v>256</v>
      </c>
      <c r="D341" s="108" t="s">
        <v>73</v>
      </c>
      <c r="E341" s="108" t="s">
        <v>57</v>
      </c>
      <c r="F341" s="108" t="s">
        <v>286</v>
      </c>
      <c r="G341" s="108" t="s">
        <v>9</v>
      </c>
      <c r="H341" s="126">
        <f t="shared" ref="H341:H343" si="40">H342</f>
        <v>0</v>
      </c>
      <c r="L341" s="20">
        <v>180</v>
      </c>
      <c r="M341" s="20">
        <v>180</v>
      </c>
      <c r="N341" s="20">
        <v>180</v>
      </c>
      <c r="O341" s="20">
        <f t="shared" si="39"/>
        <v>-180</v>
      </c>
      <c r="P341" s="20" t="e">
        <f>#REF!-M341</f>
        <v>#REF!</v>
      </c>
      <c r="Q341" s="20" t="e">
        <f>#REF!-N341</f>
        <v>#REF!</v>
      </c>
      <c r="R341" s="17" t="str">
        <f t="shared" si="36"/>
        <v>02 0 00 00000000</v>
      </c>
    </row>
    <row r="342" spans="1:18" s="29" customFormat="1" ht="78.75">
      <c r="A342" s="28"/>
      <c r="B342" s="125" t="s">
        <v>287</v>
      </c>
      <c r="C342" s="109" t="s">
        <v>256</v>
      </c>
      <c r="D342" s="108" t="s">
        <v>73</v>
      </c>
      <c r="E342" s="108" t="s">
        <v>57</v>
      </c>
      <c r="F342" s="108" t="s">
        <v>288</v>
      </c>
      <c r="G342" s="108" t="s">
        <v>9</v>
      </c>
      <c r="H342" s="126">
        <f t="shared" si="40"/>
        <v>0</v>
      </c>
      <c r="L342" s="20">
        <v>180</v>
      </c>
      <c r="M342" s="20">
        <v>180</v>
      </c>
      <c r="N342" s="20">
        <v>180</v>
      </c>
      <c r="O342" s="20">
        <f t="shared" si="39"/>
        <v>-180</v>
      </c>
      <c r="P342" s="20" t="e">
        <f>#REF!-M342</f>
        <v>#REF!</v>
      </c>
      <c r="Q342" s="20" t="e">
        <f>#REF!-N342</f>
        <v>#REF!</v>
      </c>
      <c r="R342" s="17" t="str">
        <f t="shared" si="36"/>
        <v>02 Б 00 00000000</v>
      </c>
    </row>
    <row r="343" spans="1:18" s="29" customFormat="1" ht="78.75">
      <c r="A343" s="28"/>
      <c r="B343" s="125" t="s">
        <v>289</v>
      </c>
      <c r="C343" s="109" t="s">
        <v>256</v>
      </c>
      <c r="D343" s="108" t="s">
        <v>73</v>
      </c>
      <c r="E343" s="108" t="s">
        <v>57</v>
      </c>
      <c r="F343" s="108" t="s">
        <v>290</v>
      </c>
      <c r="G343" s="108" t="s">
        <v>9</v>
      </c>
      <c r="H343" s="126">
        <f t="shared" si="40"/>
        <v>0</v>
      </c>
      <c r="L343" s="20">
        <v>180</v>
      </c>
      <c r="M343" s="20">
        <v>180</v>
      </c>
      <c r="N343" s="20">
        <v>180</v>
      </c>
      <c r="O343" s="20">
        <f t="shared" si="39"/>
        <v>-180</v>
      </c>
      <c r="P343" s="20" t="e">
        <f>#REF!-M343</f>
        <v>#REF!</v>
      </c>
      <c r="Q343" s="20" t="e">
        <f>#REF!-N343</f>
        <v>#REF!</v>
      </c>
      <c r="R343" s="17" t="str">
        <f t="shared" si="36"/>
        <v>02 Б 01 00000000</v>
      </c>
    </row>
    <row r="344" spans="1:18" s="29" customFormat="1" ht="78.75">
      <c r="A344" s="28"/>
      <c r="B344" s="125" t="s">
        <v>291</v>
      </c>
      <c r="C344" s="109" t="s">
        <v>256</v>
      </c>
      <c r="D344" s="108" t="s">
        <v>73</v>
      </c>
      <c r="E344" s="108" t="s">
        <v>57</v>
      </c>
      <c r="F344" s="108" t="s">
        <v>292</v>
      </c>
      <c r="G344" s="108" t="s">
        <v>9</v>
      </c>
      <c r="H344" s="126">
        <f>H345</f>
        <v>0</v>
      </c>
      <c r="L344" s="20">
        <v>180</v>
      </c>
      <c r="M344" s="20">
        <v>180</v>
      </c>
      <c r="N344" s="20">
        <v>180</v>
      </c>
      <c r="O344" s="20">
        <f t="shared" si="39"/>
        <v>-180</v>
      </c>
      <c r="P344" s="20" t="e">
        <f>#REF!-M344</f>
        <v>#REF!</v>
      </c>
      <c r="Q344" s="20" t="e">
        <f>#REF!-N344</f>
        <v>#REF!</v>
      </c>
      <c r="R344" s="17" t="str">
        <f t="shared" si="36"/>
        <v>02 Б 01 20160000</v>
      </c>
    </row>
    <row r="345" spans="1:18" s="29" customFormat="1" ht="31.5">
      <c r="A345" s="28"/>
      <c r="B345" s="125" t="s">
        <v>28</v>
      </c>
      <c r="C345" s="109" t="s">
        <v>256</v>
      </c>
      <c r="D345" s="108" t="s">
        <v>73</v>
      </c>
      <c r="E345" s="108" t="s">
        <v>57</v>
      </c>
      <c r="F345" s="108" t="s">
        <v>292</v>
      </c>
      <c r="G345" s="108" t="s">
        <v>29</v>
      </c>
      <c r="H345" s="126">
        <f>H346</f>
        <v>0</v>
      </c>
      <c r="L345" s="20">
        <v>180</v>
      </c>
      <c r="M345" s="20">
        <v>180</v>
      </c>
      <c r="N345" s="20">
        <v>180</v>
      </c>
      <c r="O345" s="20">
        <f t="shared" si="39"/>
        <v>-180</v>
      </c>
      <c r="P345" s="20" t="e">
        <f>#REF!-M345</f>
        <v>#REF!</v>
      </c>
      <c r="Q345" s="20" t="e">
        <f>#REF!-N345</f>
        <v>#REF!</v>
      </c>
      <c r="R345" s="17" t="str">
        <f t="shared" si="36"/>
        <v>02 Б 01 20160240</v>
      </c>
    </row>
    <row r="346" spans="1:18" s="29" customFormat="1" ht="15.75">
      <c r="A346" s="28"/>
      <c r="B346" s="125" t="s">
        <v>30</v>
      </c>
      <c r="C346" s="109" t="s">
        <v>256</v>
      </c>
      <c r="D346" s="108" t="s">
        <v>73</v>
      </c>
      <c r="E346" s="108" t="s">
        <v>57</v>
      </c>
      <c r="F346" s="108" t="s">
        <v>292</v>
      </c>
      <c r="G346" s="108" t="s">
        <v>31</v>
      </c>
      <c r="H346" s="126"/>
      <c r="L346" s="20"/>
      <c r="M346" s="20"/>
      <c r="N346" s="20"/>
      <c r="O346" s="20"/>
      <c r="P346" s="20"/>
      <c r="Q346" s="20"/>
      <c r="R346" s="17" t="str">
        <f t="shared" si="36"/>
        <v>02 Б 01 20160244</v>
      </c>
    </row>
    <row r="347" spans="1:18" s="29" customFormat="1" ht="63">
      <c r="A347" s="28"/>
      <c r="B347" s="127" t="s">
        <v>293</v>
      </c>
      <c r="C347" s="109" t="s">
        <v>256</v>
      </c>
      <c r="D347" s="108" t="s">
        <v>73</v>
      </c>
      <c r="E347" s="108" t="s">
        <v>57</v>
      </c>
      <c r="F347" s="108" t="s">
        <v>294</v>
      </c>
      <c r="G347" s="108" t="s">
        <v>9</v>
      </c>
      <c r="H347" s="126">
        <f t="shared" ref="H347:H350" si="41">H348</f>
        <v>0</v>
      </c>
      <c r="L347" s="20">
        <v>42477.74</v>
      </c>
      <c r="M347" s="20">
        <v>0</v>
      </c>
      <c r="N347" s="20">
        <v>0</v>
      </c>
      <c r="O347" s="20">
        <f>H347-L347</f>
        <v>-42477.74</v>
      </c>
      <c r="P347" s="20" t="e">
        <f>#REF!-M347</f>
        <v>#REF!</v>
      </c>
      <c r="Q347" s="20" t="e">
        <f>#REF!-N347</f>
        <v>#REF!</v>
      </c>
      <c r="R347" s="17" t="str">
        <f t="shared" si="36"/>
        <v>04 0 00 00000000</v>
      </c>
    </row>
    <row r="348" spans="1:18" s="29" customFormat="1" ht="63">
      <c r="A348" s="28"/>
      <c r="B348" s="140" t="s">
        <v>295</v>
      </c>
      <c r="C348" s="109" t="s">
        <v>256</v>
      </c>
      <c r="D348" s="108" t="s">
        <v>73</v>
      </c>
      <c r="E348" s="108" t="s">
        <v>57</v>
      </c>
      <c r="F348" s="108" t="s">
        <v>296</v>
      </c>
      <c r="G348" s="108" t="s">
        <v>9</v>
      </c>
      <c r="H348" s="126">
        <f t="shared" si="41"/>
        <v>0</v>
      </c>
      <c r="L348" s="20">
        <v>42477.74</v>
      </c>
      <c r="M348" s="20">
        <v>0</v>
      </c>
      <c r="N348" s="20">
        <v>0</v>
      </c>
      <c r="O348" s="20">
        <f>H348-L348</f>
        <v>-42477.74</v>
      </c>
      <c r="P348" s="20" t="e">
        <f>#REF!-M348</f>
        <v>#REF!</v>
      </c>
      <c r="Q348" s="20" t="e">
        <f>#REF!-N348</f>
        <v>#REF!</v>
      </c>
      <c r="R348" s="17" t="str">
        <f t="shared" si="36"/>
        <v>04 2 00 00000000</v>
      </c>
    </row>
    <row r="349" spans="1:18" s="29" customFormat="1" ht="63">
      <c r="A349" s="28"/>
      <c r="B349" s="125" t="s">
        <v>297</v>
      </c>
      <c r="C349" s="109" t="s">
        <v>256</v>
      </c>
      <c r="D349" s="108" t="s">
        <v>73</v>
      </c>
      <c r="E349" s="108" t="s">
        <v>57</v>
      </c>
      <c r="F349" s="108" t="s">
        <v>298</v>
      </c>
      <c r="G349" s="108" t="s">
        <v>9</v>
      </c>
      <c r="H349" s="126">
        <f t="shared" si="41"/>
        <v>0</v>
      </c>
      <c r="L349" s="20">
        <v>42477.74</v>
      </c>
      <c r="M349" s="20">
        <v>0</v>
      </c>
      <c r="N349" s="20">
        <v>0</v>
      </c>
      <c r="O349" s="20">
        <f>H349-L349</f>
        <v>-42477.74</v>
      </c>
      <c r="P349" s="20" t="e">
        <f>#REF!-M349</f>
        <v>#REF!</v>
      </c>
      <c r="Q349" s="20" t="e">
        <f>#REF!-N349</f>
        <v>#REF!</v>
      </c>
      <c r="R349" s="17" t="str">
        <f t="shared" si="36"/>
        <v>04 2 02 00000000</v>
      </c>
    </row>
    <row r="350" spans="1:18" s="29" customFormat="1" ht="15.75">
      <c r="A350" s="28"/>
      <c r="B350" s="125" t="s">
        <v>299</v>
      </c>
      <c r="C350" s="109" t="s">
        <v>256</v>
      </c>
      <c r="D350" s="108" t="s">
        <v>73</v>
      </c>
      <c r="E350" s="108" t="s">
        <v>57</v>
      </c>
      <c r="F350" s="108" t="s">
        <v>300</v>
      </c>
      <c r="G350" s="108" t="s">
        <v>9</v>
      </c>
      <c r="H350" s="126">
        <f t="shared" si="41"/>
        <v>0</v>
      </c>
      <c r="L350" s="20">
        <v>42477.74</v>
      </c>
      <c r="M350" s="20">
        <v>0</v>
      </c>
      <c r="N350" s="20">
        <v>0</v>
      </c>
      <c r="O350" s="20">
        <f>H350-L350</f>
        <v>-42477.74</v>
      </c>
      <c r="P350" s="20" t="e">
        <f>#REF!-M350</f>
        <v>#REF!</v>
      </c>
      <c r="Q350" s="20" t="e">
        <f>#REF!-N350</f>
        <v>#REF!</v>
      </c>
      <c r="R350" s="17" t="str">
        <f t="shared" si="36"/>
        <v>04 2 02 21470000</v>
      </c>
    </row>
    <row r="351" spans="1:18" s="29" customFormat="1" ht="31.5">
      <c r="A351" s="28"/>
      <c r="B351" s="125" t="s">
        <v>28</v>
      </c>
      <c r="C351" s="109" t="s">
        <v>256</v>
      </c>
      <c r="D351" s="108" t="s">
        <v>73</v>
      </c>
      <c r="E351" s="108" t="s">
        <v>57</v>
      </c>
      <c r="F351" s="108" t="s">
        <v>300</v>
      </c>
      <c r="G351" s="108" t="s">
        <v>29</v>
      </c>
      <c r="H351" s="126">
        <f>H352</f>
        <v>0</v>
      </c>
      <c r="L351" s="20">
        <v>42477.74</v>
      </c>
      <c r="M351" s="20">
        <v>0</v>
      </c>
      <c r="N351" s="20">
        <v>0</v>
      </c>
      <c r="O351" s="20">
        <f>H351-L351</f>
        <v>-42477.74</v>
      </c>
      <c r="P351" s="20" t="e">
        <f>#REF!-M351</f>
        <v>#REF!</v>
      </c>
      <c r="Q351" s="20" t="e">
        <f>#REF!-N351</f>
        <v>#REF!</v>
      </c>
      <c r="R351" s="17" t="str">
        <f t="shared" si="36"/>
        <v>04 2 02 21470240</v>
      </c>
    </row>
    <row r="352" spans="1:18" s="29" customFormat="1" ht="15.75">
      <c r="A352" s="28"/>
      <c r="B352" s="125" t="s">
        <v>30</v>
      </c>
      <c r="C352" s="109" t="s">
        <v>256</v>
      </c>
      <c r="D352" s="108" t="s">
        <v>73</v>
      </c>
      <c r="E352" s="108" t="s">
        <v>57</v>
      </c>
      <c r="F352" s="108" t="s">
        <v>300</v>
      </c>
      <c r="G352" s="108" t="s">
        <v>31</v>
      </c>
      <c r="H352" s="126"/>
      <c r="L352" s="20"/>
      <c r="M352" s="20"/>
      <c r="N352" s="20"/>
      <c r="O352" s="20"/>
      <c r="P352" s="20"/>
      <c r="Q352" s="20"/>
      <c r="R352" s="17" t="str">
        <f t="shared" si="36"/>
        <v>04 2 02 21470244</v>
      </c>
    </row>
    <row r="353" spans="1:18" s="29" customFormat="1" ht="63">
      <c r="A353" s="28"/>
      <c r="B353" s="132" t="s">
        <v>257</v>
      </c>
      <c r="C353" s="109" t="s">
        <v>256</v>
      </c>
      <c r="D353" s="108" t="s">
        <v>73</v>
      </c>
      <c r="E353" s="108" t="s">
        <v>57</v>
      </c>
      <c r="F353" s="108" t="s">
        <v>258</v>
      </c>
      <c r="G353" s="108" t="s">
        <v>9</v>
      </c>
      <c r="H353" s="126">
        <f t="shared" ref="H353:H354" si="42">H354</f>
        <v>0</v>
      </c>
      <c r="L353" s="20">
        <v>612</v>
      </c>
      <c r="M353" s="20">
        <v>612</v>
      </c>
      <c r="N353" s="20">
        <v>612</v>
      </c>
      <c r="O353" s="20">
        <f>H353-L353</f>
        <v>-612</v>
      </c>
      <c r="P353" s="20" t="e">
        <f>#REF!-M353</f>
        <v>#REF!</v>
      </c>
      <c r="Q353" s="20" t="e">
        <f>#REF!-N353</f>
        <v>#REF!</v>
      </c>
      <c r="R353" s="17" t="str">
        <f t="shared" si="36"/>
        <v>11 0 00 00000000</v>
      </c>
    </row>
    <row r="354" spans="1:18" s="29" customFormat="1" ht="63">
      <c r="A354" s="28"/>
      <c r="B354" s="132" t="s">
        <v>259</v>
      </c>
      <c r="C354" s="109" t="s">
        <v>256</v>
      </c>
      <c r="D354" s="108" t="s">
        <v>73</v>
      </c>
      <c r="E354" s="108" t="s">
        <v>57</v>
      </c>
      <c r="F354" s="108" t="s">
        <v>260</v>
      </c>
      <c r="G354" s="108" t="s">
        <v>9</v>
      </c>
      <c r="H354" s="126">
        <f t="shared" si="42"/>
        <v>0</v>
      </c>
      <c r="L354" s="20">
        <v>612</v>
      </c>
      <c r="M354" s="20">
        <v>612</v>
      </c>
      <c r="N354" s="20">
        <v>612</v>
      </c>
      <c r="O354" s="20">
        <f>H354-L354</f>
        <v>-612</v>
      </c>
      <c r="P354" s="20" t="e">
        <f>#REF!-M354</f>
        <v>#REF!</v>
      </c>
      <c r="Q354" s="20" t="e">
        <f>#REF!-N354</f>
        <v>#REF!</v>
      </c>
      <c r="R354" s="17" t="str">
        <f t="shared" si="36"/>
        <v>11 Б 00 00000000</v>
      </c>
    </row>
    <row r="355" spans="1:18" s="29" customFormat="1" ht="47.25">
      <c r="A355" s="28"/>
      <c r="B355" s="125" t="s">
        <v>301</v>
      </c>
      <c r="C355" s="109" t="s">
        <v>256</v>
      </c>
      <c r="D355" s="108" t="s">
        <v>73</v>
      </c>
      <c r="E355" s="108" t="s">
        <v>57</v>
      </c>
      <c r="F355" s="108" t="s">
        <v>302</v>
      </c>
      <c r="G355" s="108" t="s">
        <v>9</v>
      </c>
      <c r="H355" s="126">
        <f>H356</f>
        <v>0</v>
      </c>
      <c r="L355" s="20">
        <v>612</v>
      </c>
      <c r="M355" s="20">
        <v>612</v>
      </c>
      <c r="N355" s="20">
        <v>612</v>
      </c>
      <c r="O355" s="20">
        <f>H355-L355</f>
        <v>-612</v>
      </c>
      <c r="P355" s="20" t="e">
        <f>#REF!-M355</f>
        <v>#REF!</v>
      </c>
      <c r="Q355" s="20" t="e">
        <f>#REF!-N355</f>
        <v>#REF!</v>
      </c>
      <c r="R355" s="17" t="str">
        <f t="shared" si="36"/>
        <v>11 Б 02 00000000</v>
      </c>
    </row>
    <row r="356" spans="1:18" s="29" customFormat="1" ht="63">
      <c r="A356" s="28"/>
      <c r="B356" s="125" t="s">
        <v>303</v>
      </c>
      <c r="C356" s="109" t="s">
        <v>256</v>
      </c>
      <c r="D356" s="108" t="s">
        <v>73</v>
      </c>
      <c r="E356" s="108" t="s">
        <v>57</v>
      </c>
      <c r="F356" s="108" t="s">
        <v>304</v>
      </c>
      <c r="G356" s="108" t="s">
        <v>9</v>
      </c>
      <c r="H356" s="126">
        <f>H357</f>
        <v>0</v>
      </c>
      <c r="L356" s="20">
        <v>612</v>
      </c>
      <c r="M356" s="20">
        <v>612</v>
      </c>
      <c r="N356" s="20">
        <v>612</v>
      </c>
      <c r="O356" s="20">
        <f>H356-L356</f>
        <v>-612</v>
      </c>
      <c r="P356" s="20" t="e">
        <f>#REF!-M356</f>
        <v>#REF!</v>
      </c>
      <c r="Q356" s="20" t="e">
        <f>#REF!-N356</f>
        <v>#REF!</v>
      </c>
      <c r="R356" s="17" t="str">
        <f t="shared" si="36"/>
        <v>11 Б 02 20180000</v>
      </c>
    </row>
    <row r="357" spans="1:18" s="29" customFormat="1" ht="31.5">
      <c r="A357" s="28"/>
      <c r="B357" s="125" t="s">
        <v>28</v>
      </c>
      <c r="C357" s="109" t="s">
        <v>256</v>
      </c>
      <c r="D357" s="108" t="s">
        <v>73</v>
      </c>
      <c r="E357" s="108" t="s">
        <v>57</v>
      </c>
      <c r="F357" s="108" t="s">
        <v>304</v>
      </c>
      <c r="G357" s="108" t="s">
        <v>29</v>
      </c>
      <c r="H357" s="126">
        <f>H358</f>
        <v>0</v>
      </c>
      <c r="L357" s="20">
        <v>612</v>
      </c>
      <c r="M357" s="20">
        <v>612</v>
      </c>
      <c r="N357" s="20">
        <v>612</v>
      </c>
      <c r="O357" s="20">
        <f>H357-L357</f>
        <v>-612</v>
      </c>
      <c r="P357" s="20" t="e">
        <f>#REF!-M357</f>
        <v>#REF!</v>
      </c>
      <c r="Q357" s="20" t="e">
        <f>#REF!-N357</f>
        <v>#REF!</v>
      </c>
      <c r="R357" s="17" t="str">
        <f t="shared" si="36"/>
        <v>11 Б 02 20180240</v>
      </c>
    </row>
    <row r="358" spans="1:18" s="29" customFormat="1" ht="15.75">
      <c r="A358" s="28"/>
      <c r="B358" s="125" t="s">
        <v>30</v>
      </c>
      <c r="C358" s="109" t="s">
        <v>256</v>
      </c>
      <c r="D358" s="108" t="s">
        <v>73</v>
      </c>
      <c r="E358" s="108" t="s">
        <v>57</v>
      </c>
      <c r="F358" s="108" t="s">
        <v>304</v>
      </c>
      <c r="G358" s="108" t="s">
        <v>31</v>
      </c>
      <c r="H358" s="126"/>
      <c r="L358" s="20"/>
      <c r="M358" s="20"/>
      <c r="N358" s="20"/>
      <c r="O358" s="20"/>
      <c r="P358" s="20"/>
      <c r="Q358" s="20"/>
      <c r="R358" s="17" t="str">
        <f t="shared" si="36"/>
        <v>11 Б 02 20180244</v>
      </c>
    </row>
    <row r="359" spans="1:18" s="16" customFormat="1" ht="15.75">
      <c r="A359" s="14"/>
      <c r="B359" s="117" t="s">
        <v>305</v>
      </c>
      <c r="C359" s="118" t="s">
        <v>256</v>
      </c>
      <c r="D359" s="119" t="s">
        <v>86</v>
      </c>
      <c r="E359" s="119" t="s">
        <v>7</v>
      </c>
      <c r="F359" s="119" t="s">
        <v>8</v>
      </c>
      <c r="G359" s="119" t="s">
        <v>9</v>
      </c>
      <c r="H359" s="120">
        <f>H367+H360</f>
        <v>0</v>
      </c>
      <c r="L359" s="18">
        <v>9280.8700000000008</v>
      </c>
      <c r="M359" s="18">
        <v>0</v>
      </c>
      <c r="N359" s="18">
        <v>0</v>
      </c>
      <c r="O359" s="20">
        <f t="shared" ref="O359:O365" si="43">H359-L359</f>
        <v>-9280.8700000000008</v>
      </c>
      <c r="P359" s="20" t="e">
        <f>#REF!-M359</f>
        <v>#REF!</v>
      </c>
      <c r="Q359" s="20" t="e">
        <f>#REF!-N359</f>
        <v>#REF!</v>
      </c>
      <c r="R359" s="17" t="str">
        <f t="shared" si="36"/>
        <v>00 0 00 00000000</v>
      </c>
    </row>
    <row r="360" spans="1:18" s="16" customFormat="1" ht="15.75">
      <c r="A360" s="14"/>
      <c r="B360" s="121" t="s">
        <v>306</v>
      </c>
      <c r="C360" s="122" t="s">
        <v>256</v>
      </c>
      <c r="D360" s="123" t="s">
        <v>86</v>
      </c>
      <c r="E360" s="123" t="s">
        <v>13</v>
      </c>
      <c r="F360" s="123" t="s">
        <v>8</v>
      </c>
      <c r="G360" s="123" t="s">
        <v>9</v>
      </c>
      <c r="H360" s="124">
        <f>H361</f>
        <v>0</v>
      </c>
      <c r="L360" s="19">
        <v>7522.26</v>
      </c>
      <c r="M360" s="19">
        <v>0</v>
      </c>
      <c r="N360" s="19">
        <v>0</v>
      </c>
      <c r="O360" s="19">
        <f t="shared" si="43"/>
        <v>-7522.26</v>
      </c>
      <c r="P360" s="19" t="e">
        <f>#REF!-M360</f>
        <v>#REF!</v>
      </c>
      <c r="Q360" s="19" t="e">
        <f>#REF!-N360</f>
        <v>#REF!</v>
      </c>
      <c r="R360" s="17" t="str">
        <f t="shared" si="36"/>
        <v>00 0 00 00000000</v>
      </c>
    </row>
    <row r="361" spans="1:18" s="16" customFormat="1" ht="63">
      <c r="A361" s="14"/>
      <c r="B361" s="125" t="s">
        <v>293</v>
      </c>
      <c r="C361" s="108" t="s">
        <v>256</v>
      </c>
      <c r="D361" s="108" t="s">
        <v>86</v>
      </c>
      <c r="E361" s="108" t="s">
        <v>13</v>
      </c>
      <c r="F361" s="108" t="s">
        <v>294</v>
      </c>
      <c r="G361" s="108" t="s">
        <v>9</v>
      </c>
      <c r="H361" s="141">
        <f>H362</f>
        <v>0</v>
      </c>
      <c r="L361" s="32">
        <v>7522.26</v>
      </c>
      <c r="M361" s="32">
        <v>0</v>
      </c>
      <c r="N361" s="32">
        <v>0</v>
      </c>
      <c r="O361" s="32">
        <f t="shared" si="43"/>
        <v>-7522.26</v>
      </c>
      <c r="P361" s="32" t="e">
        <f>#REF!-M361</f>
        <v>#REF!</v>
      </c>
      <c r="Q361" s="32" t="e">
        <f>#REF!-N361</f>
        <v>#REF!</v>
      </c>
      <c r="R361" s="17" t="str">
        <f t="shared" si="36"/>
        <v>04 0 00 00000000</v>
      </c>
    </row>
    <row r="362" spans="1:18" s="16" customFormat="1" ht="31.5">
      <c r="A362" s="14"/>
      <c r="B362" s="125" t="s">
        <v>307</v>
      </c>
      <c r="C362" s="108" t="s">
        <v>256</v>
      </c>
      <c r="D362" s="108" t="s">
        <v>86</v>
      </c>
      <c r="E362" s="108" t="s">
        <v>13</v>
      </c>
      <c r="F362" s="108" t="s">
        <v>308</v>
      </c>
      <c r="G362" s="108" t="s">
        <v>9</v>
      </c>
      <c r="H362" s="141">
        <f t="shared" ref="H362:H364" si="44">H363</f>
        <v>0</v>
      </c>
      <c r="L362" s="32">
        <v>7522.26</v>
      </c>
      <c r="M362" s="32">
        <v>0</v>
      </c>
      <c r="N362" s="32">
        <v>0</v>
      </c>
      <c r="O362" s="32">
        <f t="shared" si="43"/>
        <v>-7522.26</v>
      </c>
      <c r="P362" s="32" t="e">
        <f>#REF!-M362</f>
        <v>#REF!</v>
      </c>
      <c r="Q362" s="32" t="e">
        <f>#REF!-N362</f>
        <v>#REF!</v>
      </c>
      <c r="R362" s="17" t="str">
        <f t="shared" si="36"/>
        <v>04 3 00 00000000</v>
      </c>
    </row>
    <row r="363" spans="1:18" s="29" customFormat="1" ht="31.5">
      <c r="A363" s="28"/>
      <c r="B363" s="138" t="s">
        <v>309</v>
      </c>
      <c r="C363" s="109" t="s">
        <v>256</v>
      </c>
      <c r="D363" s="108" t="s">
        <v>86</v>
      </c>
      <c r="E363" s="108" t="s">
        <v>13</v>
      </c>
      <c r="F363" s="142" t="s">
        <v>310</v>
      </c>
      <c r="G363" s="108" t="s">
        <v>9</v>
      </c>
      <c r="H363" s="126">
        <f t="shared" si="44"/>
        <v>0</v>
      </c>
      <c r="L363" s="20">
        <v>7522.26</v>
      </c>
      <c r="M363" s="20">
        <v>0</v>
      </c>
      <c r="N363" s="20">
        <v>0</v>
      </c>
      <c r="O363" s="20">
        <f t="shared" si="43"/>
        <v>-7522.26</v>
      </c>
      <c r="P363" s="20" t="e">
        <f>#REF!-M363</f>
        <v>#REF!</v>
      </c>
      <c r="Q363" s="20" t="e">
        <f>#REF!-N363</f>
        <v>#REF!</v>
      </c>
      <c r="R363" s="17" t="str">
        <f t="shared" si="36"/>
        <v>04 3 04 00000000</v>
      </c>
    </row>
    <row r="364" spans="1:18" s="29" customFormat="1" ht="31.5">
      <c r="A364" s="28"/>
      <c r="B364" s="125" t="s">
        <v>311</v>
      </c>
      <c r="C364" s="109" t="s">
        <v>256</v>
      </c>
      <c r="D364" s="108" t="s">
        <v>86</v>
      </c>
      <c r="E364" s="108" t="s">
        <v>13</v>
      </c>
      <c r="F364" s="108" t="s">
        <v>312</v>
      </c>
      <c r="G364" s="108" t="s">
        <v>9</v>
      </c>
      <c r="H364" s="126">
        <f t="shared" si="44"/>
        <v>0</v>
      </c>
      <c r="L364" s="20">
        <v>7522.26</v>
      </c>
      <c r="M364" s="20">
        <v>0</v>
      </c>
      <c r="N364" s="20">
        <v>0</v>
      </c>
      <c r="O364" s="20">
        <f t="shared" si="43"/>
        <v>-7522.26</v>
      </c>
      <c r="P364" s="20" t="e">
        <f>#REF!-M364</f>
        <v>#REF!</v>
      </c>
      <c r="Q364" s="20" t="e">
        <f>#REF!-N364</f>
        <v>#REF!</v>
      </c>
      <c r="R364" s="17" t="str">
        <f t="shared" si="36"/>
        <v>04 3 04 21510000</v>
      </c>
    </row>
    <row r="365" spans="1:18" s="29" customFormat="1" ht="31.5">
      <c r="A365" s="28"/>
      <c r="B365" s="125" t="s">
        <v>28</v>
      </c>
      <c r="C365" s="109" t="s">
        <v>256</v>
      </c>
      <c r="D365" s="108" t="s">
        <v>86</v>
      </c>
      <c r="E365" s="108" t="s">
        <v>13</v>
      </c>
      <c r="F365" s="108" t="s">
        <v>312</v>
      </c>
      <c r="G365" s="108" t="s">
        <v>29</v>
      </c>
      <c r="H365" s="126">
        <f>H366</f>
        <v>0</v>
      </c>
      <c r="L365" s="20">
        <v>7522.26</v>
      </c>
      <c r="M365" s="20">
        <v>0</v>
      </c>
      <c r="N365" s="20">
        <v>0</v>
      </c>
      <c r="O365" s="20">
        <f t="shared" si="43"/>
        <v>-7522.26</v>
      </c>
      <c r="P365" s="20" t="e">
        <f>#REF!-M365</f>
        <v>#REF!</v>
      </c>
      <c r="Q365" s="20" t="e">
        <f>#REF!-N365</f>
        <v>#REF!</v>
      </c>
      <c r="R365" s="17" t="str">
        <f t="shared" si="36"/>
        <v>04 3 04 21510240</v>
      </c>
    </row>
    <row r="366" spans="1:18" s="29" customFormat="1" ht="15.75">
      <c r="A366" s="28"/>
      <c r="B366" s="125" t="s">
        <v>30</v>
      </c>
      <c r="C366" s="109" t="s">
        <v>256</v>
      </c>
      <c r="D366" s="108" t="s">
        <v>86</v>
      </c>
      <c r="E366" s="108" t="s">
        <v>13</v>
      </c>
      <c r="F366" s="108" t="s">
        <v>312</v>
      </c>
      <c r="G366" s="108" t="s">
        <v>31</v>
      </c>
      <c r="H366" s="126"/>
      <c r="L366" s="20"/>
      <c r="M366" s="20"/>
      <c r="N366" s="20"/>
      <c r="O366" s="20"/>
      <c r="P366" s="20"/>
      <c r="Q366" s="20"/>
      <c r="R366" s="17" t="str">
        <f t="shared" si="36"/>
        <v>04 3 04 21510244</v>
      </c>
    </row>
    <row r="367" spans="1:18" s="16" customFormat="1" ht="31.5">
      <c r="A367" s="14"/>
      <c r="B367" s="121" t="s">
        <v>313</v>
      </c>
      <c r="C367" s="122" t="s">
        <v>256</v>
      </c>
      <c r="D367" s="123" t="s">
        <v>86</v>
      </c>
      <c r="E367" s="123" t="s">
        <v>86</v>
      </c>
      <c r="F367" s="123" t="s">
        <v>8</v>
      </c>
      <c r="G367" s="123" t="s">
        <v>9</v>
      </c>
      <c r="H367" s="124">
        <f>H368</f>
        <v>0</v>
      </c>
      <c r="L367" s="19">
        <v>1758.61</v>
      </c>
      <c r="M367" s="19">
        <v>0</v>
      </c>
      <c r="N367" s="19">
        <v>0</v>
      </c>
      <c r="O367" s="19">
        <f>H367-L367</f>
        <v>-1758.61</v>
      </c>
      <c r="P367" s="19" t="e">
        <f>#REF!-M367</f>
        <v>#REF!</v>
      </c>
      <c r="Q367" s="19" t="e">
        <f>#REF!-N367</f>
        <v>#REF!</v>
      </c>
      <c r="R367" s="17" t="str">
        <f t="shared" si="36"/>
        <v>00 0 00 00000000</v>
      </c>
    </row>
    <row r="368" spans="1:18" s="29" customFormat="1" ht="63">
      <c r="A368" s="28"/>
      <c r="B368" s="138" t="s">
        <v>87</v>
      </c>
      <c r="C368" s="109" t="s">
        <v>256</v>
      </c>
      <c r="D368" s="108" t="s">
        <v>86</v>
      </c>
      <c r="E368" s="108" t="s">
        <v>86</v>
      </c>
      <c r="F368" s="108" t="s">
        <v>88</v>
      </c>
      <c r="G368" s="108" t="s">
        <v>9</v>
      </c>
      <c r="H368" s="126">
        <f>H369</f>
        <v>0</v>
      </c>
      <c r="L368" s="20">
        <v>1758.61</v>
      </c>
      <c r="M368" s="20">
        <v>0</v>
      </c>
      <c r="N368" s="20">
        <v>0</v>
      </c>
      <c r="O368" s="20">
        <f>H368-L368</f>
        <v>-1758.61</v>
      </c>
      <c r="P368" s="20" t="e">
        <f>#REF!-M368</f>
        <v>#REF!</v>
      </c>
      <c r="Q368" s="20" t="e">
        <f>#REF!-N368</f>
        <v>#REF!</v>
      </c>
      <c r="R368" s="17" t="str">
        <f t="shared" si="36"/>
        <v>98 0 00 00000000</v>
      </c>
    </row>
    <row r="369" spans="1:18" s="29" customFormat="1" ht="15.75">
      <c r="A369" s="28"/>
      <c r="B369" s="138" t="s">
        <v>89</v>
      </c>
      <c r="C369" s="109" t="s">
        <v>256</v>
      </c>
      <c r="D369" s="108" t="s">
        <v>86</v>
      </c>
      <c r="E369" s="108" t="s">
        <v>86</v>
      </c>
      <c r="F369" s="108" t="s">
        <v>90</v>
      </c>
      <c r="G369" s="108" t="s">
        <v>9</v>
      </c>
      <c r="H369" s="126">
        <f>H370</f>
        <v>0</v>
      </c>
      <c r="L369" s="20">
        <v>1758.61</v>
      </c>
      <c r="M369" s="20">
        <v>0</v>
      </c>
      <c r="N369" s="20">
        <v>0</v>
      </c>
      <c r="O369" s="20">
        <f>H369-L369</f>
        <v>-1758.61</v>
      </c>
      <c r="P369" s="20" t="e">
        <f>#REF!-M369</f>
        <v>#REF!</v>
      </c>
      <c r="Q369" s="20" t="e">
        <f>#REF!-N369</f>
        <v>#REF!</v>
      </c>
      <c r="R369" s="17" t="str">
        <f t="shared" si="36"/>
        <v>98 1 00 00000000</v>
      </c>
    </row>
    <row r="370" spans="1:18" s="29" customFormat="1" ht="47.25">
      <c r="A370" s="28"/>
      <c r="B370" s="125" t="s">
        <v>314</v>
      </c>
      <c r="C370" s="109" t="s">
        <v>256</v>
      </c>
      <c r="D370" s="108" t="s">
        <v>86</v>
      </c>
      <c r="E370" s="108" t="s">
        <v>86</v>
      </c>
      <c r="F370" s="108" t="s">
        <v>315</v>
      </c>
      <c r="G370" s="108" t="s">
        <v>9</v>
      </c>
      <c r="H370" s="126">
        <f>H371</f>
        <v>0</v>
      </c>
      <c r="L370" s="20">
        <v>1758.61</v>
      </c>
      <c r="M370" s="20">
        <v>0</v>
      </c>
      <c r="N370" s="20">
        <v>0</v>
      </c>
      <c r="O370" s="20">
        <f>H370-L370</f>
        <v>-1758.61</v>
      </c>
      <c r="P370" s="20" t="e">
        <f>#REF!-M370</f>
        <v>#REF!</v>
      </c>
      <c r="Q370" s="20" t="e">
        <f>#REF!-N370</f>
        <v>#REF!</v>
      </c>
      <c r="R370" s="17" t="str">
        <f t="shared" si="36"/>
        <v>98 1 00 20950000</v>
      </c>
    </row>
    <row r="371" spans="1:18" s="29" customFormat="1" ht="31.5">
      <c r="A371" s="28"/>
      <c r="B371" s="125" t="s">
        <v>28</v>
      </c>
      <c r="C371" s="109" t="s">
        <v>256</v>
      </c>
      <c r="D371" s="108" t="s">
        <v>86</v>
      </c>
      <c r="E371" s="108" t="s">
        <v>86</v>
      </c>
      <c r="F371" s="108" t="s">
        <v>315</v>
      </c>
      <c r="G371" s="108" t="s">
        <v>29</v>
      </c>
      <c r="H371" s="126">
        <f>H372</f>
        <v>0</v>
      </c>
      <c r="L371" s="20">
        <v>1758.61</v>
      </c>
      <c r="M371" s="20">
        <v>0</v>
      </c>
      <c r="N371" s="20">
        <v>0</v>
      </c>
      <c r="O371" s="20">
        <f>H371-L371</f>
        <v>-1758.61</v>
      </c>
      <c r="P371" s="20" t="e">
        <f>#REF!-M371</f>
        <v>#REF!</v>
      </c>
      <c r="Q371" s="20" t="e">
        <f>#REF!-N371</f>
        <v>#REF!</v>
      </c>
      <c r="R371" s="17" t="str">
        <f t="shared" si="36"/>
        <v>98 1 00 20950240</v>
      </c>
    </row>
    <row r="372" spans="1:18" s="29" customFormat="1" ht="15.75">
      <c r="A372" s="28"/>
      <c r="B372" s="125" t="s">
        <v>30</v>
      </c>
      <c r="C372" s="109" t="s">
        <v>256</v>
      </c>
      <c r="D372" s="108" t="s">
        <v>86</v>
      </c>
      <c r="E372" s="108" t="s">
        <v>86</v>
      </c>
      <c r="F372" s="108" t="s">
        <v>315</v>
      </c>
      <c r="G372" s="108" t="s">
        <v>31</v>
      </c>
      <c r="H372" s="126"/>
      <c r="L372" s="20"/>
      <c r="M372" s="20"/>
      <c r="N372" s="20"/>
      <c r="O372" s="20"/>
      <c r="P372" s="20"/>
      <c r="Q372" s="20"/>
      <c r="R372" s="17" t="str">
        <f t="shared" si="36"/>
        <v>98 1 00 20950244</v>
      </c>
    </row>
    <row r="373" spans="1:18" s="29" customFormat="1" ht="15.75">
      <c r="A373" s="28"/>
      <c r="B373" s="117" t="s">
        <v>316</v>
      </c>
      <c r="C373" s="118" t="s">
        <v>256</v>
      </c>
      <c r="D373" s="119" t="s">
        <v>317</v>
      </c>
      <c r="E373" s="119" t="s">
        <v>7</v>
      </c>
      <c r="F373" s="119" t="s">
        <v>8</v>
      </c>
      <c r="G373" s="119" t="s">
        <v>9</v>
      </c>
      <c r="H373" s="120">
        <f>H374</f>
        <v>0</v>
      </c>
      <c r="L373" s="18">
        <v>2604.63</v>
      </c>
      <c r="M373" s="18">
        <v>2604.63</v>
      </c>
      <c r="N373" s="18">
        <v>7404.63</v>
      </c>
      <c r="O373" s="18">
        <f t="shared" ref="O373:O379" si="45">H373-L373</f>
        <v>-2604.63</v>
      </c>
      <c r="P373" s="18" t="e">
        <f>#REF!-M373</f>
        <v>#REF!</v>
      </c>
      <c r="Q373" s="18" t="e">
        <f>#REF!-N373</f>
        <v>#REF!</v>
      </c>
      <c r="R373" s="17" t="str">
        <f t="shared" si="36"/>
        <v>00 0 00 00000000</v>
      </c>
    </row>
    <row r="374" spans="1:18" s="29" customFormat="1" ht="15.75">
      <c r="A374" s="28"/>
      <c r="B374" s="121" t="s">
        <v>318</v>
      </c>
      <c r="C374" s="122" t="s">
        <v>256</v>
      </c>
      <c r="D374" s="123">
        <v>10</v>
      </c>
      <c r="E374" s="123" t="s">
        <v>13</v>
      </c>
      <c r="F374" s="123" t="s">
        <v>8</v>
      </c>
      <c r="G374" s="123" t="s">
        <v>9</v>
      </c>
      <c r="H374" s="124">
        <f>H375</f>
        <v>0</v>
      </c>
      <c r="L374" s="19">
        <v>2604.63</v>
      </c>
      <c r="M374" s="19">
        <v>2604.63</v>
      </c>
      <c r="N374" s="19">
        <v>7404.63</v>
      </c>
      <c r="O374" s="19">
        <f t="shared" si="45"/>
        <v>-2604.63</v>
      </c>
      <c r="P374" s="19" t="e">
        <f>#REF!-M374</f>
        <v>#REF!</v>
      </c>
      <c r="Q374" s="19" t="e">
        <f>#REF!-N374</f>
        <v>#REF!</v>
      </c>
      <c r="R374" s="17" t="str">
        <f t="shared" si="36"/>
        <v>00 0 00 00000000</v>
      </c>
    </row>
    <row r="375" spans="1:18" s="29" customFormat="1" ht="31.5">
      <c r="A375" s="28"/>
      <c r="B375" s="125" t="s">
        <v>319</v>
      </c>
      <c r="C375" s="131" t="s">
        <v>256</v>
      </c>
      <c r="D375" s="131" t="s">
        <v>317</v>
      </c>
      <c r="E375" s="131" t="s">
        <v>13</v>
      </c>
      <c r="F375" s="131" t="s">
        <v>320</v>
      </c>
      <c r="G375" s="131" t="s">
        <v>9</v>
      </c>
      <c r="H375" s="105">
        <f t="shared" ref="H375" si="46">H376</f>
        <v>0</v>
      </c>
      <c r="L375" s="26">
        <v>2604.63</v>
      </c>
      <c r="M375" s="26">
        <v>2604.63</v>
      </c>
      <c r="N375" s="26">
        <v>7404.63</v>
      </c>
      <c r="O375" s="26">
        <f t="shared" si="45"/>
        <v>-2604.63</v>
      </c>
      <c r="P375" s="26" t="e">
        <f>#REF!-M375</f>
        <v>#REF!</v>
      </c>
      <c r="Q375" s="26" t="e">
        <f>#REF!-N375</f>
        <v>#REF!</v>
      </c>
      <c r="R375" s="17" t="str">
        <f t="shared" si="36"/>
        <v>06 0 00 00000000</v>
      </c>
    </row>
    <row r="376" spans="1:18" s="29" customFormat="1" ht="47.25">
      <c r="A376" s="28"/>
      <c r="B376" s="129" t="s">
        <v>321</v>
      </c>
      <c r="C376" s="131" t="s">
        <v>256</v>
      </c>
      <c r="D376" s="131" t="s">
        <v>317</v>
      </c>
      <c r="E376" s="131" t="s">
        <v>13</v>
      </c>
      <c r="F376" s="131" t="s">
        <v>322</v>
      </c>
      <c r="G376" s="131" t="s">
        <v>9</v>
      </c>
      <c r="H376" s="105">
        <f>H377</f>
        <v>0</v>
      </c>
      <c r="L376" s="26">
        <v>2604.63</v>
      </c>
      <c r="M376" s="26">
        <v>2604.63</v>
      </c>
      <c r="N376" s="26">
        <v>7404.63</v>
      </c>
      <c r="O376" s="26">
        <f t="shared" si="45"/>
        <v>-2604.63</v>
      </c>
      <c r="P376" s="26" t="e">
        <f>#REF!-M376</f>
        <v>#REF!</v>
      </c>
      <c r="Q376" s="26" t="e">
        <f>#REF!-N376</f>
        <v>#REF!</v>
      </c>
      <c r="R376" s="17" t="str">
        <f t="shared" si="36"/>
        <v>06 Б 00 00000000</v>
      </c>
    </row>
    <row r="377" spans="1:18" s="29" customFormat="1" ht="31.5">
      <c r="A377" s="28"/>
      <c r="B377" s="129" t="s">
        <v>323</v>
      </c>
      <c r="C377" s="131" t="s">
        <v>256</v>
      </c>
      <c r="D377" s="131" t="s">
        <v>317</v>
      </c>
      <c r="E377" s="131" t="s">
        <v>13</v>
      </c>
      <c r="F377" s="131" t="s">
        <v>324</v>
      </c>
      <c r="G377" s="131" t="s">
        <v>9</v>
      </c>
      <c r="H377" s="105">
        <f>H378</f>
        <v>0</v>
      </c>
      <c r="L377" s="26">
        <v>2604.63</v>
      </c>
      <c r="M377" s="26">
        <v>2604.63</v>
      </c>
      <c r="N377" s="26">
        <v>7404.63</v>
      </c>
      <c r="O377" s="26">
        <f t="shared" si="45"/>
        <v>-2604.63</v>
      </c>
      <c r="P377" s="26" t="e">
        <f>#REF!-M377</f>
        <v>#REF!</v>
      </c>
      <c r="Q377" s="26" t="e">
        <f>#REF!-N377</f>
        <v>#REF!</v>
      </c>
      <c r="R377" s="17" t="str">
        <f t="shared" si="36"/>
        <v>06 Б 01 00000000</v>
      </c>
    </row>
    <row r="378" spans="1:18" s="29" customFormat="1" ht="31.5">
      <c r="A378" s="28"/>
      <c r="B378" s="125" t="s">
        <v>325</v>
      </c>
      <c r="C378" s="131" t="s">
        <v>256</v>
      </c>
      <c r="D378" s="131" t="s">
        <v>317</v>
      </c>
      <c r="E378" s="131" t="s">
        <v>13</v>
      </c>
      <c r="F378" s="131" t="s">
        <v>326</v>
      </c>
      <c r="G378" s="131" t="s">
        <v>9</v>
      </c>
      <c r="H378" s="105">
        <f>H379</f>
        <v>0</v>
      </c>
      <c r="L378" s="26">
        <v>2604.63</v>
      </c>
      <c r="M378" s="26">
        <v>2604.63</v>
      </c>
      <c r="N378" s="26">
        <v>7404.63</v>
      </c>
      <c r="O378" s="26">
        <f t="shared" si="45"/>
        <v>-2604.63</v>
      </c>
      <c r="P378" s="26" t="e">
        <f>#REF!-M378</f>
        <v>#REF!</v>
      </c>
      <c r="Q378" s="26" t="e">
        <f>#REF!-N378</f>
        <v>#REF!</v>
      </c>
      <c r="R378" s="17" t="str">
        <f t="shared" si="36"/>
        <v>06 Б 01 L0200000</v>
      </c>
    </row>
    <row r="379" spans="1:18" s="29" customFormat="1" ht="31.5">
      <c r="A379" s="28"/>
      <c r="B379" s="132" t="s">
        <v>327</v>
      </c>
      <c r="C379" s="131" t="s">
        <v>256</v>
      </c>
      <c r="D379" s="131" t="s">
        <v>317</v>
      </c>
      <c r="E379" s="131" t="s">
        <v>13</v>
      </c>
      <c r="F379" s="131" t="s">
        <v>326</v>
      </c>
      <c r="G379" s="131" t="s">
        <v>328</v>
      </c>
      <c r="H379" s="126">
        <f>H380</f>
        <v>0</v>
      </c>
      <c r="L379" s="26">
        <v>2604.63</v>
      </c>
      <c r="M379" s="26">
        <v>2604.63</v>
      </c>
      <c r="N379" s="26">
        <v>7404.63</v>
      </c>
      <c r="O379" s="26">
        <f t="shared" si="45"/>
        <v>-2604.63</v>
      </c>
      <c r="P379" s="26" t="e">
        <f>#REF!-M379</f>
        <v>#REF!</v>
      </c>
      <c r="Q379" s="26" t="e">
        <f>#REF!-N379</f>
        <v>#REF!</v>
      </c>
      <c r="R379" s="17" t="str">
        <f t="shared" si="36"/>
        <v>06 Б 01 L0200320</v>
      </c>
    </row>
    <row r="380" spans="1:18" s="29" customFormat="1" ht="15.75">
      <c r="A380" s="28"/>
      <c r="B380" s="127" t="s">
        <v>329</v>
      </c>
      <c r="C380" s="108" t="s">
        <v>256</v>
      </c>
      <c r="D380" s="108" t="s">
        <v>317</v>
      </c>
      <c r="E380" s="108" t="s">
        <v>13</v>
      </c>
      <c r="F380" s="108" t="s">
        <v>326</v>
      </c>
      <c r="G380" s="108" t="s">
        <v>330</v>
      </c>
      <c r="H380" s="126"/>
      <c r="L380" s="20"/>
      <c r="M380" s="20"/>
      <c r="N380" s="20"/>
      <c r="O380" s="20"/>
      <c r="P380" s="20"/>
      <c r="Q380" s="20"/>
      <c r="R380" s="17" t="str">
        <f t="shared" si="36"/>
        <v>06 Б 01 L0200322</v>
      </c>
    </row>
    <row r="381" spans="1:18" s="29" customFormat="1" ht="15.75">
      <c r="A381" s="28"/>
      <c r="B381" s="125"/>
      <c r="C381" s="109"/>
      <c r="D381" s="108"/>
      <c r="E381" s="108"/>
      <c r="F381" s="108"/>
      <c r="G381" s="108"/>
      <c r="H381" s="126"/>
      <c r="L381" s="20"/>
      <c r="M381" s="20"/>
      <c r="N381" s="20"/>
      <c r="O381" s="20">
        <f t="shared" ref="O381:O388" si="47">H381-L381</f>
        <v>0</v>
      </c>
      <c r="P381" s="20" t="e">
        <f>#REF!-M381</f>
        <v>#REF!</v>
      </c>
      <c r="Q381" s="20" t="e">
        <f>#REF!-N381</f>
        <v>#REF!</v>
      </c>
      <c r="R381" s="17" t="str">
        <f t="shared" si="36"/>
        <v/>
      </c>
    </row>
    <row r="382" spans="1:18" s="29" customFormat="1" ht="31.5">
      <c r="A382" s="28"/>
      <c r="B382" s="67" t="s">
        <v>331</v>
      </c>
      <c r="C382" s="116" t="s">
        <v>332</v>
      </c>
      <c r="D382" s="69" t="s">
        <v>7</v>
      </c>
      <c r="E382" s="69" t="s">
        <v>7</v>
      </c>
      <c r="F382" s="69" t="s">
        <v>8</v>
      </c>
      <c r="G382" s="69" t="s">
        <v>9</v>
      </c>
      <c r="H382" s="70">
        <f>H383+H421</f>
        <v>0</v>
      </c>
      <c r="L382" s="25">
        <v>285569.14</v>
      </c>
      <c r="M382" s="25">
        <v>377029.52</v>
      </c>
      <c r="N382" s="25">
        <v>438474.61</v>
      </c>
      <c r="O382" s="25">
        <f t="shared" si="47"/>
        <v>-285569.14</v>
      </c>
      <c r="P382" s="25" t="e">
        <f>#REF!-M382</f>
        <v>#REF!</v>
      </c>
      <c r="Q382" s="25" t="e">
        <f>#REF!-N382</f>
        <v>#REF!</v>
      </c>
      <c r="R382" s="17" t="str">
        <f t="shared" si="36"/>
        <v>00 0 00 00000000</v>
      </c>
    </row>
    <row r="383" spans="1:18" s="29" customFormat="1" ht="15.75">
      <c r="A383" s="28"/>
      <c r="B383" s="117" t="s">
        <v>10</v>
      </c>
      <c r="C383" s="118" t="s">
        <v>332</v>
      </c>
      <c r="D383" s="119" t="s">
        <v>11</v>
      </c>
      <c r="E383" s="119" t="s">
        <v>7</v>
      </c>
      <c r="F383" s="119" t="s">
        <v>8</v>
      </c>
      <c r="G383" s="119" t="s">
        <v>9</v>
      </c>
      <c r="H383" s="120">
        <f>H384+H401+H406</f>
        <v>0</v>
      </c>
      <c r="L383" s="18">
        <v>110854.14</v>
      </c>
      <c r="M383" s="18">
        <v>153659.52000000002</v>
      </c>
      <c r="N383" s="18">
        <v>176536.61</v>
      </c>
      <c r="O383" s="18">
        <f t="shared" si="47"/>
        <v>-110854.14</v>
      </c>
      <c r="P383" s="18" t="e">
        <f>#REF!-M383</f>
        <v>#REF!</v>
      </c>
      <c r="Q383" s="18" t="e">
        <f>#REF!-N383</f>
        <v>#REF!</v>
      </c>
      <c r="R383" s="17" t="str">
        <f t="shared" si="36"/>
        <v>00 0 00 00000000</v>
      </c>
    </row>
    <row r="384" spans="1:18" s="29" customFormat="1" ht="47.25">
      <c r="A384" s="28"/>
      <c r="B384" s="121" t="s">
        <v>333</v>
      </c>
      <c r="C384" s="122" t="s">
        <v>332</v>
      </c>
      <c r="D384" s="123" t="s">
        <v>11</v>
      </c>
      <c r="E384" s="123" t="s">
        <v>334</v>
      </c>
      <c r="F384" s="123" t="s">
        <v>8</v>
      </c>
      <c r="G384" s="123" t="s">
        <v>9</v>
      </c>
      <c r="H384" s="124">
        <f t="shared" ref="H384:H385" si="48">H385</f>
        <v>0</v>
      </c>
      <c r="L384" s="19">
        <v>45844.87</v>
      </c>
      <c r="M384" s="19">
        <v>44344.87</v>
      </c>
      <c r="N384" s="19">
        <v>44344.87</v>
      </c>
      <c r="O384" s="19">
        <f t="shared" si="47"/>
        <v>-45844.87</v>
      </c>
      <c r="P384" s="19" t="e">
        <f>#REF!-M384</f>
        <v>#REF!</v>
      </c>
      <c r="Q384" s="19" t="e">
        <f>#REF!-N384</f>
        <v>#REF!</v>
      </c>
      <c r="R384" s="17" t="str">
        <f t="shared" si="36"/>
        <v>00 0 00 00000000</v>
      </c>
    </row>
    <row r="385" spans="1:18" s="29" customFormat="1" ht="31.5">
      <c r="A385" s="28"/>
      <c r="B385" s="143" t="s">
        <v>335</v>
      </c>
      <c r="C385" s="109" t="s">
        <v>332</v>
      </c>
      <c r="D385" s="108" t="s">
        <v>11</v>
      </c>
      <c r="E385" s="108" t="s">
        <v>334</v>
      </c>
      <c r="F385" s="108" t="s">
        <v>336</v>
      </c>
      <c r="G385" s="108" t="s">
        <v>9</v>
      </c>
      <c r="H385" s="126">
        <f t="shared" si="48"/>
        <v>0</v>
      </c>
      <c r="L385" s="20">
        <v>45844.87</v>
      </c>
      <c r="M385" s="20">
        <v>44344.87</v>
      </c>
      <c r="N385" s="20">
        <v>44344.87</v>
      </c>
      <c r="O385" s="20">
        <f t="shared" si="47"/>
        <v>-45844.87</v>
      </c>
      <c r="P385" s="20" t="e">
        <f>#REF!-M385</f>
        <v>#REF!</v>
      </c>
      <c r="Q385" s="20" t="e">
        <f>#REF!-N385</f>
        <v>#REF!</v>
      </c>
      <c r="R385" s="17" t="str">
        <f t="shared" si="36"/>
        <v>73 0 00 00000000</v>
      </c>
    </row>
    <row r="386" spans="1:18" s="29" customFormat="1" ht="47.25">
      <c r="A386" s="28"/>
      <c r="B386" s="143" t="s">
        <v>337</v>
      </c>
      <c r="C386" s="109" t="s">
        <v>332</v>
      </c>
      <c r="D386" s="108" t="s">
        <v>11</v>
      </c>
      <c r="E386" s="108" t="s">
        <v>334</v>
      </c>
      <c r="F386" s="108" t="s">
        <v>338</v>
      </c>
      <c r="G386" s="108" t="s">
        <v>9</v>
      </c>
      <c r="H386" s="126">
        <f>H387+H397</f>
        <v>0</v>
      </c>
      <c r="L386" s="20">
        <v>45844.87</v>
      </c>
      <c r="M386" s="20">
        <v>44344.87</v>
      </c>
      <c r="N386" s="20">
        <v>44344.87</v>
      </c>
      <c r="O386" s="20">
        <f t="shared" si="47"/>
        <v>-45844.87</v>
      </c>
      <c r="P386" s="20" t="e">
        <f>#REF!-M386</f>
        <v>#REF!</v>
      </c>
      <c r="Q386" s="20" t="e">
        <f>#REF!-N386</f>
        <v>#REF!</v>
      </c>
      <c r="R386" s="17" t="str">
        <f t="shared" ref="R386:R473" si="49">CONCATENATE(F386,G386)</f>
        <v>73 1 00 00000000</v>
      </c>
    </row>
    <row r="387" spans="1:18" s="29" customFormat="1" ht="31.5">
      <c r="A387" s="28"/>
      <c r="B387" s="144" t="s">
        <v>18</v>
      </c>
      <c r="C387" s="109" t="s">
        <v>332</v>
      </c>
      <c r="D387" s="108" t="s">
        <v>11</v>
      </c>
      <c r="E387" s="108" t="s">
        <v>334</v>
      </c>
      <c r="F387" s="108" t="s">
        <v>339</v>
      </c>
      <c r="G387" s="108" t="s">
        <v>9</v>
      </c>
      <c r="H387" s="126">
        <f>H388+H391+H393</f>
        <v>0</v>
      </c>
      <c r="L387" s="20">
        <v>6243.8</v>
      </c>
      <c r="M387" s="20">
        <v>4743.8</v>
      </c>
      <c r="N387" s="20">
        <v>4743.8</v>
      </c>
      <c r="O387" s="20">
        <f t="shared" si="47"/>
        <v>-6243.8</v>
      </c>
      <c r="P387" s="20" t="e">
        <f>#REF!-M387</f>
        <v>#REF!</v>
      </c>
      <c r="Q387" s="20" t="e">
        <f>#REF!-N387</f>
        <v>#REF!</v>
      </c>
      <c r="R387" s="17" t="str">
        <f t="shared" si="49"/>
        <v>73 1 00 10010000</v>
      </c>
    </row>
    <row r="388" spans="1:18" s="29" customFormat="1" ht="31.5">
      <c r="A388" s="28"/>
      <c r="B388" s="127" t="s">
        <v>20</v>
      </c>
      <c r="C388" s="109" t="s">
        <v>332</v>
      </c>
      <c r="D388" s="108" t="s">
        <v>11</v>
      </c>
      <c r="E388" s="108" t="s">
        <v>334</v>
      </c>
      <c r="F388" s="108" t="s">
        <v>339</v>
      </c>
      <c r="G388" s="108" t="s">
        <v>21</v>
      </c>
      <c r="H388" s="126">
        <f>SUM(H389:H390)</f>
        <v>0</v>
      </c>
      <c r="L388" s="20">
        <v>1291.3399999999999</v>
      </c>
      <c r="M388" s="20">
        <v>1291.3399999999999</v>
      </c>
      <c r="N388" s="20">
        <v>1291.3399999999999</v>
      </c>
      <c r="O388" s="20">
        <f t="shared" si="47"/>
        <v>-1291.3399999999999</v>
      </c>
      <c r="P388" s="20" t="e">
        <f>#REF!-M388</f>
        <v>#REF!</v>
      </c>
      <c r="Q388" s="20" t="e">
        <f>#REF!-N388</f>
        <v>#REF!</v>
      </c>
      <c r="R388" s="17" t="str">
        <f t="shared" si="49"/>
        <v>73 1 00 10010120</v>
      </c>
    </row>
    <row r="389" spans="1:18" s="31" customFormat="1" ht="47.25">
      <c r="A389" s="30"/>
      <c r="B389" s="127" t="s">
        <v>22</v>
      </c>
      <c r="C389" s="109" t="s">
        <v>332</v>
      </c>
      <c r="D389" s="108" t="s">
        <v>11</v>
      </c>
      <c r="E389" s="108" t="s">
        <v>334</v>
      </c>
      <c r="F389" s="108" t="s">
        <v>339</v>
      </c>
      <c r="G389" s="108" t="s">
        <v>23</v>
      </c>
      <c r="H389" s="126"/>
      <c r="L389" s="22"/>
      <c r="M389" s="22"/>
      <c r="N389" s="22"/>
      <c r="O389" s="22"/>
      <c r="P389" s="22"/>
      <c r="Q389" s="22"/>
      <c r="R389" s="24"/>
    </row>
    <row r="390" spans="1:18" s="31" customFormat="1" ht="63">
      <c r="A390" s="30"/>
      <c r="B390" s="127" t="s">
        <v>26</v>
      </c>
      <c r="C390" s="109" t="s">
        <v>332</v>
      </c>
      <c r="D390" s="108" t="s">
        <v>11</v>
      </c>
      <c r="E390" s="108" t="s">
        <v>334</v>
      </c>
      <c r="F390" s="108" t="s">
        <v>339</v>
      </c>
      <c r="G390" s="108" t="s">
        <v>27</v>
      </c>
      <c r="H390" s="126"/>
      <c r="L390" s="22"/>
      <c r="M390" s="22"/>
      <c r="N390" s="22"/>
      <c r="O390" s="22"/>
      <c r="P390" s="22"/>
      <c r="Q390" s="22"/>
      <c r="R390" s="24"/>
    </row>
    <row r="391" spans="1:18" s="29" customFormat="1" ht="31.5">
      <c r="A391" s="28"/>
      <c r="B391" s="125" t="s">
        <v>28</v>
      </c>
      <c r="C391" s="109" t="s">
        <v>332</v>
      </c>
      <c r="D391" s="108" t="s">
        <v>11</v>
      </c>
      <c r="E391" s="108" t="s">
        <v>334</v>
      </c>
      <c r="F391" s="108" t="s">
        <v>339</v>
      </c>
      <c r="G391" s="108" t="s">
        <v>29</v>
      </c>
      <c r="H391" s="126">
        <f>H392</f>
        <v>0</v>
      </c>
      <c r="L391" s="20">
        <v>4891.99</v>
      </c>
      <c r="M391" s="20">
        <v>3391.99</v>
      </c>
      <c r="N391" s="20">
        <v>3391.99</v>
      </c>
      <c r="O391" s="20">
        <f>H391-L391</f>
        <v>-4891.99</v>
      </c>
      <c r="P391" s="20" t="e">
        <f>#REF!-M391</f>
        <v>#REF!</v>
      </c>
      <c r="Q391" s="20" t="e">
        <f>#REF!-N391</f>
        <v>#REF!</v>
      </c>
      <c r="R391" s="17" t="str">
        <f t="shared" si="49"/>
        <v>73 1 00 10010240</v>
      </c>
    </row>
    <row r="392" spans="1:18" s="29" customFormat="1" ht="15.75">
      <c r="A392" s="28"/>
      <c r="B392" s="125" t="s">
        <v>30</v>
      </c>
      <c r="C392" s="109" t="s">
        <v>332</v>
      </c>
      <c r="D392" s="108" t="s">
        <v>11</v>
      </c>
      <c r="E392" s="108" t="s">
        <v>334</v>
      </c>
      <c r="F392" s="108" t="s">
        <v>339</v>
      </c>
      <c r="G392" s="108" t="s">
        <v>31</v>
      </c>
      <c r="H392" s="126"/>
      <c r="L392" s="20"/>
      <c r="M392" s="20"/>
      <c r="N392" s="20"/>
      <c r="O392" s="20"/>
      <c r="P392" s="20"/>
      <c r="Q392" s="20"/>
      <c r="R392" s="17"/>
    </row>
    <row r="393" spans="1:18" s="29" customFormat="1" ht="15.75">
      <c r="A393" s="28"/>
      <c r="B393" s="125" t="s">
        <v>32</v>
      </c>
      <c r="C393" s="109" t="s">
        <v>332</v>
      </c>
      <c r="D393" s="108" t="s">
        <v>11</v>
      </c>
      <c r="E393" s="108" t="s">
        <v>334</v>
      </c>
      <c r="F393" s="108" t="s">
        <v>339</v>
      </c>
      <c r="G393" s="108" t="s">
        <v>33</v>
      </c>
      <c r="H393" s="126">
        <f>SUM(H394:H396)</f>
        <v>0</v>
      </c>
      <c r="L393" s="20">
        <v>60.47</v>
      </c>
      <c r="M393" s="20">
        <v>60.47</v>
      </c>
      <c r="N393" s="20">
        <v>60.47</v>
      </c>
      <c r="O393" s="20">
        <f>H393-L393</f>
        <v>-60.47</v>
      </c>
      <c r="P393" s="20" t="e">
        <f>#REF!-M393</f>
        <v>#REF!</v>
      </c>
      <c r="Q393" s="20" t="e">
        <f>#REF!-N393</f>
        <v>#REF!</v>
      </c>
      <c r="R393" s="17" t="str">
        <f t="shared" si="49"/>
        <v>73 1 00 10010850</v>
      </c>
    </row>
    <row r="394" spans="1:18" s="31" customFormat="1" ht="31.5">
      <c r="A394" s="30"/>
      <c r="B394" s="127" t="s">
        <v>34</v>
      </c>
      <c r="C394" s="109" t="s">
        <v>332</v>
      </c>
      <c r="D394" s="108" t="s">
        <v>11</v>
      </c>
      <c r="E394" s="108" t="s">
        <v>334</v>
      </c>
      <c r="F394" s="108" t="s">
        <v>339</v>
      </c>
      <c r="G394" s="108" t="s">
        <v>35</v>
      </c>
      <c r="H394" s="126"/>
      <c r="L394" s="22"/>
      <c r="M394" s="22"/>
      <c r="N394" s="22"/>
      <c r="O394" s="22"/>
      <c r="P394" s="22"/>
      <c r="Q394" s="22"/>
      <c r="R394" s="24"/>
    </row>
    <row r="395" spans="1:18" s="31" customFormat="1" ht="15.75">
      <c r="A395" s="30"/>
      <c r="B395" s="127" t="s">
        <v>36</v>
      </c>
      <c r="C395" s="109" t="s">
        <v>332</v>
      </c>
      <c r="D395" s="108" t="s">
        <v>11</v>
      </c>
      <c r="E395" s="108" t="s">
        <v>334</v>
      </c>
      <c r="F395" s="108" t="s">
        <v>339</v>
      </c>
      <c r="G395" s="108" t="s">
        <v>37</v>
      </c>
      <c r="H395" s="126"/>
      <c r="L395" s="22"/>
      <c r="M395" s="22"/>
      <c r="N395" s="22"/>
      <c r="O395" s="22"/>
      <c r="P395" s="22"/>
      <c r="Q395" s="22"/>
      <c r="R395" s="24"/>
    </row>
    <row r="396" spans="1:18" s="31" customFormat="1" ht="15.75">
      <c r="A396" s="30"/>
      <c r="B396" s="127" t="s">
        <v>77</v>
      </c>
      <c r="C396" s="109" t="s">
        <v>332</v>
      </c>
      <c r="D396" s="108" t="s">
        <v>11</v>
      </c>
      <c r="E396" s="108" t="s">
        <v>334</v>
      </c>
      <c r="F396" s="108" t="s">
        <v>339</v>
      </c>
      <c r="G396" s="108" t="s">
        <v>78</v>
      </c>
      <c r="H396" s="126"/>
      <c r="L396" s="22"/>
      <c r="M396" s="22"/>
      <c r="N396" s="22"/>
      <c r="O396" s="22"/>
      <c r="P396" s="22"/>
      <c r="Q396" s="22"/>
      <c r="R396" s="24"/>
    </row>
    <row r="397" spans="1:18" s="29" customFormat="1" ht="31.5">
      <c r="A397" s="28"/>
      <c r="B397" s="144" t="s">
        <v>38</v>
      </c>
      <c r="C397" s="109" t="s">
        <v>332</v>
      </c>
      <c r="D397" s="108" t="s">
        <v>11</v>
      </c>
      <c r="E397" s="108" t="s">
        <v>334</v>
      </c>
      <c r="F397" s="108" t="s">
        <v>340</v>
      </c>
      <c r="G397" s="108" t="s">
        <v>9</v>
      </c>
      <c r="H397" s="126">
        <f>H398</f>
        <v>0</v>
      </c>
      <c r="L397" s="20">
        <v>39601.07</v>
      </c>
      <c r="M397" s="20">
        <v>39601.07</v>
      </c>
      <c r="N397" s="20">
        <v>39601.07</v>
      </c>
      <c r="O397" s="20">
        <f>H397-L397</f>
        <v>-39601.07</v>
      </c>
      <c r="P397" s="20" t="e">
        <f>#REF!-M397</f>
        <v>#REF!</v>
      </c>
      <c r="Q397" s="20" t="e">
        <f>#REF!-N397</f>
        <v>#REF!</v>
      </c>
      <c r="R397" s="17" t="str">
        <f t="shared" si="49"/>
        <v>73 1 00 10020000</v>
      </c>
    </row>
    <row r="398" spans="1:18" s="29" customFormat="1" ht="31.5">
      <c r="A398" s="28"/>
      <c r="B398" s="127" t="s">
        <v>20</v>
      </c>
      <c r="C398" s="109" t="s">
        <v>332</v>
      </c>
      <c r="D398" s="108" t="s">
        <v>11</v>
      </c>
      <c r="E398" s="108" t="s">
        <v>334</v>
      </c>
      <c r="F398" s="108" t="s">
        <v>340</v>
      </c>
      <c r="G398" s="108" t="s">
        <v>21</v>
      </c>
      <c r="H398" s="126">
        <f>SUM(H399:H400)</f>
        <v>0</v>
      </c>
      <c r="L398" s="20">
        <v>39601.07</v>
      </c>
      <c r="M398" s="20">
        <v>39601.07</v>
      </c>
      <c r="N398" s="20">
        <v>39601.07</v>
      </c>
      <c r="O398" s="20">
        <f>H398-L398</f>
        <v>-39601.07</v>
      </c>
      <c r="P398" s="20" t="e">
        <f>#REF!-M398</f>
        <v>#REF!</v>
      </c>
      <c r="Q398" s="20" t="e">
        <f>#REF!-N398</f>
        <v>#REF!</v>
      </c>
      <c r="R398" s="17" t="str">
        <f t="shared" si="49"/>
        <v>73 1 00 10020120</v>
      </c>
    </row>
    <row r="399" spans="1:18" s="31" customFormat="1" ht="31.5">
      <c r="A399" s="30"/>
      <c r="B399" s="127" t="s">
        <v>40</v>
      </c>
      <c r="C399" s="109" t="s">
        <v>332</v>
      </c>
      <c r="D399" s="108" t="s">
        <v>11</v>
      </c>
      <c r="E399" s="108" t="s">
        <v>334</v>
      </c>
      <c r="F399" s="108" t="s">
        <v>340</v>
      </c>
      <c r="G399" s="108" t="s">
        <v>41</v>
      </c>
      <c r="H399" s="126"/>
      <c r="L399" s="22"/>
      <c r="M399" s="22"/>
      <c r="N399" s="22"/>
      <c r="O399" s="22"/>
      <c r="P399" s="22"/>
      <c r="Q399" s="22"/>
      <c r="R399" s="24"/>
    </row>
    <row r="400" spans="1:18" s="31" customFormat="1" ht="63">
      <c r="A400" s="30"/>
      <c r="B400" s="127" t="s">
        <v>26</v>
      </c>
      <c r="C400" s="109" t="s">
        <v>332</v>
      </c>
      <c r="D400" s="108" t="s">
        <v>11</v>
      </c>
      <c r="E400" s="108" t="s">
        <v>334</v>
      </c>
      <c r="F400" s="108" t="s">
        <v>340</v>
      </c>
      <c r="G400" s="108" t="s">
        <v>27</v>
      </c>
      <c r="H400" s="126"/>
      <c r="L400" s="22"/>
      <c r="M400" s="22"/>
      <c r="N400" s="22"/>
      <c r="O400" s="22"/>
      <c r="P400" s="22"/>
      <c r="Q400" s="22"/>
      <c r="R400" s="24"/>
    </row>
    <row r="401" spans="1:18" s="29" customFormat="1" ht="15.75">
      <c r="A401" s="28"/>
      <c r="B401" s="121" t="s">
        <v>341</v>
      </c>
      <c r="C401" s="122" t="s">
        <v>332</v>
      </c>
      <c r="D401" s="123" t="s">
        <v>11</v>
      </c>
      <c r="E401" s="123" t="s">
        <v>342</v>
      </c>
      <c r="F401" s="123" t="s">
        <v>8</v>
      </c>
      <c r="G401" s="123" t="s">
        <v>343</v>
      </c>
      <c r="H401" s="124">
        <f>H402</f>
        <v>0</v>
      </c>
      <c r="L401" s="19">
        <v>12775.54</v>
      </c>
      <c r="M401" s="19">
        <v>12775.54</v>
      </c>
      <c r="N401" s="19">
        <v>12775.54</v>
      </c>
      <c r="O401" s="19">
        <f t="shared" ref="O401:O411" si="50">H401-L401</f>
        <v>-12775.54</v>
      </c>
      <c r="P401" s="19" t="e">
        <f>#REF!-M401</f>
        <v>#REF!</v>
      </c>
      <c r="Q401" s="19" t="e">
        <f>#REF!-N401</f>
        <v>#REF!</v>
      </c>
      <c r="R401" s="17" t="str">
        <f t="shared" si="49"/>
        <v xml:space="preserve">00 0 00 00000000 </v>
      </c>
    </row>
    <row r="402" spans="1:18" s="29" customFormat="1" ht="63">
      <c r="A402" s="28"/>
      <c r="B402" s="125" t="s">
        <v>87</v>
      </c>
      <c r="C402" s="109" t="s">
        <v>332</v>
      </c>
      <c r="D402" s="108" t="s">
        <v>11</v>
      </c>
      <c r="E402" s="108" t="s">
        <v>342</v>
      </c>
      <c r="F402" s="108" t="s">
        <v>88</v>
      </c>
      <c r="G402" s="108" t="s">
        <v>9</v>
      </c>
      <c r="H402" s="126">
        <f>H403</f>
        <v>0</v>
      </c>
      <c r="L402" s="20">
        <v>12775.54</v>
      </c>
      <c r="M402" s="20">
        <v>12775.54</v>
      </c>
      <c r="N402" s="20">
        <v>12775.54</v>
      </c>
      <c r="O402" s="20">
        <f t="shared" si="50"/>
        <v>-12775.54</v>
      </c>
      <c r="P402" s="20" t="e">
        <f>#REF!-M402</f>
        <v>#REF!</v>
      </c>
      <c r="Q402" s="20" t="e">
        <f>#REF!-N402</f>
        <v>#REF!</v>
      </c>
      <c r="R402" s="17" t="str">
        <f t="shared" si="49"/>
        <v>98 0 00 00000000</v>
      </c>
    </row>
    <row r="403" spans="1:18" s="29" customFormat="1" ht="15.75">
      <c r="A403" s="28"/>
      <c r="B403" s="125" t="s">
        <v>89</v>
      </c>
      <c r="C403" s="109" t="s">
        <v>332</v>
      </c>
      <c r="D403" s="108" t="s">
        <v>11</v>
      </c>
      <c r="E403" s="108" t="s">
        <v>342</v>
      </c>
      <c r="F403" s="108" t="s">
        <v>90</v>
      </c>
      <c r="G403" s="108" t="s">
        <v>9</v>
      </c>
      <c r="H403" s="126">
        <f>H404</f>
        <v>0</v>
      </c>
      <c r="L403" s="20">
        <v>12775.54</v>
      </c>
      <c r="M403" s="20">
        <v>12775.54</v>
      </c>
      <c r="N403" s="20">
        <v>12775.54</v>
      </c>
      <c r="O403" s="20">
        <f t="shared" si="50"/>
        <v>-12775.54</v>
      </c>
      <c r="P403" s="20" t="e">
        <f>#REF!-M403</f>
        <v>#REF!</v>
      </c>
      <c r="Q403" s="20" t="e">
        <f>#REF!-N403</f>
        <v>#REF!</v>
      </c>
      <c r="R403" s="17" t="str">
        <f t="shared" si="49"/>
        <v>98 1 00 00000000</v>
      </c>
    </row>
    <row r="404" spans="1:18" s="29" customFormat="1" ht="15.75">
      <c r="A404" s="28"/>
      <c r="B404" s="125" t="s">
        <v>344</v>
      </c>
      <c r="C404" s="109" t="s">
        <v>332</v>
      </c>
      <c r="D404" s="108" t="s">
        <v>11</v>
      </c>
      <c r="E404" s="108" t="s">
        <v>342</v>
      </c>
      <c r="F404" s="108" t="s">
        <v>345</v>
      </c>
      <c r="G404" s="108" t="s">
        <v>9</v>
      </c>
      <c r="H404" s="126">
        <f>H405</f>
        <v>0</v>
      </c>
      <c r="L404" s="20">
        <v>12775.54</v>
      </c>
      <c r="M404" s="20">
        <v>12775.54</v>
      </c>
      <c r="N404" s="20">
        <v>12775.54</v>
      </c>
      <c r="O404" s="20">
        <f t="shared" si="50"/>
        <v>-12775.54</v>
      </c>
      <c r="P404" s="20" t="e">
        <f>#REF!-M404</f>
        <v>#REF!</v>
      </c>
      <c r="Q404" s="20" t="e">
        <f>#REF!-N404</f>
        <v>#REF!</v>
      </c>
      <c r="R404" s="17" t="str">
        <f t="shared" si="49"/>
        <v>98 1 00 20020000</v>
      </c>
    </row>
    <row r="405" spans="1:18" s="29" customFormat="1" ht="15.75">
      <c r="A405" s="28"/>
      <c r="B405" s="125" t="s">
        <v>346</v>
      </c>
      <c r="C405" s="109" t="s">
        <v>332</v>
      </c>
      <c r="D405" s="108" t="s">
        <v>11</v>
      </c>
      <c r="E405" s="108" t="s">
        <v>342</v>
      </c>
      <c r="F405" s="108" t="s">
        <v>345</v>
      </c>
      <c r="G405" s="108" t="s">
        <v>347</v>
      </c>
      <c r="H405" s="126"/>
      <c r="L405" s="20">
        <v>12775.54</v>
      </c>
      <c r="M405" s="20">
        <v>12775.54</v>
      </c>
      <c r="N405" s="20">
        <v>12775.54</v>
      </c>
      <c r="O405" s="20">
        <f t="shared" si="50"/>
        <v>-12775.54</v>
      </c>
      <c r="P405" s="20" t="e">
        <f>#REF!-M405</f>
        <v>#REF!</v>
      </c>
      <c r="Q405" s="20" t="e">
        <f>#REF!-N405</f>
        <v>#REF!</v>
      </c>
      <c r="R405" s="17" t="str">
        <f t="shared" si="49"/>
        <v>98 1 00 20020870</v>
      </c>
    </row>
    <row r="406" spans="1:18" s="29" customFormat="1" ht="15.75">
      <c r="A406" s="28"/>
      <c r="B406" s="121" t="s">
        <v>50</v>
      </c>
      <c r="C406" s="122" t="s">
        <v>332</v>
      </c>
      <c r="D406" s="123" t="s">
        <v>11</v>
      </c>
      <c r="E406" s="123" t="s">
        <v>51</v>
      </c>
      <c r="F406" s="123" t="s">
        <v>8</v>
      </c>
      <c r="G406" s="123" t="s">
        <v>9</v>
      </c>
      <c r="H406" s="124">
        <f>H413+H407</f>
        <v>0</v>
      </c>
      <c r="L406" s="19">
        <v>52233.729999999996</v>
      </c>
      <c r="M406" s="19">
        <v>96539.11</v>
      </c>
      <c r="N406" s="19">
        <v>119416.2</v>
      </c>
      <c r="O406" s="19">
        <f t="shared" si="50"/>
        <v>-52233.729999999996</v>
      </c>
      <c r="P406" s="19" t="e">
        <f>#REF!-M406</f>
        <v>#REF!</v>
      </c>
      <c r="Q406" s="19" t="e">
        <f>#REF!-N406</f>
        <v>#REF!</v>
      </c>
      <c r="R406" s="17" t="str">
        <f t="shared" si="49"/>
        <v>00 0 00 00000000</v>
      </c>
    </row>
    <row r="407" spans="1:18" s="29" customFormat="1" ht="47.25">
      <c r="A407" s="28"/>
      <c r="B407" s="127" t="s">
        <v>348</v>
      </c>
      <c r="C407" s="109" t="s">
        <v>332</v>
      </c>
      <c r="D407" s="108" t="s">
        <v>11</v>
      </c>
      <c r="E407" s="108" t="s">
        <v>51</v>
      </c>
      <c r="F407" s="108" t="s">
        <v>349</v>
      </c>
      <c r="G407" s="108" t="s">
        <v>9</v>
      </c>
      <c r="H407" s="126">
        <f t="shared" ref="H407:H410" si="51">H408</f>
        <v>0</v>
      </c>
      <c r="L407" s="20">
        <v>3544.42</v>
      </c>
      <c r="M407" s="20">
        <v>9744.42</v>
      </c>
      <c r="N407" s="20">
        <v>9744.42</v>
      </c>
      <c r="O407" s="20">
        <f t="shared" si="50"/>
        <v>-3544.42</v>
      </c>
      <c r="P407" s="20" t="e">
        <f>#REF!-M407</f>
        <v>#REF!</v>
      </c>
      <c r="Q407" s="20" t="e">
        <f>#REF!-N407</f>
        <v>#REF!</v>
      </c>
      <c r="R407" s="17" t="str">
        <f t="shared" si="49"/>
        <v>10 0 00 00000000</v>
      </c>
    </row>
    <row r="408" spans="1:18" s="29" customFormat="1" ht="47.25">
      <c r="A408" s="28"/>
      <c r="B408" s="127" t="s">
        <v>350</v>
      </c>
      <c r="C408" s="109" t="s">
        <v>332</v>
      </c>
      <c r="D408" s="108" t="s">
        <v>11</v>
      </c>
      <c r="E408" s="108" t="s">
        <v>51</v>
      </c>
      <c r="F408" s="108" t="s">
        <v>351</v>
      </c>
      <c r="G408" s="108" t="s">
        <v>9</v>
      </c>
      <c r="H408" s="126">
        <f t="shared" si="51"/>
        <v>0</v>
      </c>
      <c r="L408" s="20">
        <v>3544.42</v>
      </c>
      <c r="M408" s="20">
        <v>9744.42</v>
      </c>
      <c r="N408" s="20">
        <v>9744.42</v>
      </c>
      <c r="O408" s="20">
        <f t="shared" si="50"/>
        <v>-3544.42</v>
      </c>
      <c r="P408" s="20" t="e">
        <f>#REF!-M408</f>
        <v>#REF!</v>
      </c>
      <c r="Q408" s="20" t="e">
        <f>#REF!-N408</f>
        <v>#REF!</v>
      </c>
      <c r="R408" s="17" t="str">
        <f t="shared" si="49"/>
        <v>10 Б 00 00000000</v>
      </c>
    </row>
    <row r="409" spans="1:18" s="29" customFormat="1" ht="78.75">
      <c r="A409" s="28"/>
      <c r="B409" s="127" t="s">
        <v>352</v>
      </c>
      <c r="C409" s="109" t="s">
        <v>332</v>
      </c>
      <c r="D409" s="108" t="s">
        <v>11</v>
      </c>
      <c r="E409" s="108" t="s">
        <v>51</v>
      </c>
      <c r="F409" s="108" t="s">
        <v>353</v>
      </c>
      <c r="G409" s="108" t="s">
        <v>9</v>
      </c>
      <c r="H409" s="126">
        <f t="shared" si="51"/>
        <v>0</v>
      </c>
      <c r="L409" s="20">
        <v>3544.42</v>
      </c>
      <c r="M409" s="20">
        <v>9744.42</v>
      </c>
      <c r="N409" s="20">
        <v>9744.42</v>
      </c>
      <c r="O409" s="20">
        <f t="shared" si="50"/>
        <v>-3544.42</v>
      </c>
      <c r="P409" s="20" t="e">
        <f>#REF!-M409</f>
        <v>#REF!</v>
      </c>
      <c r="Q409" s="20" t="e">
        <f>#REF!-N409</f>
        <v>#REF!</v>
      </c>
      <c r="R409" s="17" t="str">
        <f t="shared" si="49"/>
        <v>10 Б 01 00000000</v>
      </c>
    </row>
    <row r="410" spans="1:18" s="29" customFormat="1" ht="31.5">
      <c r="A410" s="28"/>
      <c r="B410" s="125" t="s">
        <v>187</v>
      </c>
      <c r="C410" s="109" t="s">
        <v>332</v>
      </c>
      <c r="D410" s="108" t="s">
        <v>11</v>
      </c>
      <c r="E410" s="108" t="s">
        <v>51</v>
      </c>
      <c r="F410" s="108" t="s">
        <v>354</v>
      </c>
      <c r="G410" s="108" t="s">
        <v>9</v>
      </c>
      <c r="H410" s="126">
        <f t="shared" si="51"/>
        <v>0</v>
      </c>
      <c r="L410" s="20">
        <v>3544.42</v>
      </c>
      <c r="M410" s="20">
        <v>9744.42</v>
      </c>
      <c r="N410" s="20">
        <v>9744.42</v>
      </c>
      <c r="O410" s="20">
        <f t="shared" si="50"/>
        <v>-3544.42</v>
      </c>
      <c r="P410" s="20" t="e">
        <f>#REF!-M410</f>
        <v>#REF!</v>
      </c>
      <c r="Q410" s="20" t="e">
        <f>#REF!-N410</f>
        <v>#REF!</v>
      </c>
      <c r="R410" s="17" t="str">
        <f t="shared" si="49"/>
        <v>10 Б 01 20050000</v>
      </c>
    </row>
    <row r="411" spans="1:18" s="29" customFormat="1" ht="15.75">
      <c r="A411" s="28"/>
      <c r="B411" s="125" t="s">
        <v>189</v>
      </c>
      <c r="C411" s="109" t="s">
        <v>332</v>
      </c>
      <c r="D411" s="108" t="s">
        <v>11</v>
      </c>
      <c r="E411" s="108" t="s">
        <v>51</v>
      </c>
      <c r="F411" s="108" t="s">
        <v>354</v>
      </c>
      <c r="G411" s="108" t="s">
        <v>190</v>
      </c>
      <c r="H411" s="126">
        <f>H412</f>
        <v>0</v>
      </c>
      <c r="L411" s="20">
        <v>3544.42</v>
      </c>
      <c r="M411" s="20">
        <v>9744.42</v>
      </c>
      <c r="N411" s="20">
        <v>9744.42</v>
      </c>
      <c r="O411" s="20">
        <f t="shared" si="50"/>
        <v>-3544.42</v>
      </c>
      <c r="P411" s="20" t="e">
        <f>#REF!-M411</f>
        <v>#REF!</v>
      </c>
      <c r="Q411" s="20" t="e">
        <f>#REF!-N411</f>
        <v>#REF!</v>
      </c>
      <c r="R411" s="17" t="str">
        <f t="shared" si="49"/>
        <v>10 Б 01 20050830</v>
      </c>
    </row>
    <row r="412" spans="1:18" s="29" customFormat="1" ht="47.25">
      <c r="A412" s="28"/>
      <c r="B412" s="125" t="s">
        <v>191</v>
      </c>
      <c r="C412" s="109" t="s">
        <v>332</v>
      </c>
      <c r="D412" s="108" t="s">
        <v>11</v>
      </c>
      <c r="E412" s="108" t="s">
        <v>51</v>
      </c>
      <c r="F412" s="108" t="s">
        <v>354</v>
      </c>
      <c r="G412" s="108" t="s">
        <v>192</v>
      </c>
      <c r="H412" s="126"/>
      <c r="L412" s="20"/>
      <c r="M412" s="20"/>
      <c r="N412" s="20"/>
      <c r="O412" s="20"/>
      <c r="P412" s="20"/>
      <c r="Q412" s="20"/>
      <c r="R412" s="17" t="str">
        <f t="shared" si="49"/>
        <v>10 Б 01 20050831</v>
      </c>
    </row>
    <row r="413" spans="1:18" s="29" customFormat="1" ht="63">
      <c r="A413" s="28"/>
      <c r="B413" s="125" t="s">
        <v>87</v>
      </c>
      <c r="C413" s="109" t="s">
        <v>332</v>
      </c>
      <c r="D413" s="108" t="s">
        <v>11</v>
      </c>
      <c r="E413" s="108" t="s">
        <v>51</v>
      </c>
      <c r="F413" s="108" t="s">
        <v>88</v>
      </c>
      <c r="G413" s="108" t="s">
        <v>9</v>
      </c>
      <c r="H413" s="126">
        <f>H414</f>
        <v>0</v>
      </c>
      <c r="L413" s="20">
        <v>48689.31</v>
      </c>
      <c r="M413" s="20">
        <v>86794.69</v>
      </c>
      <c r="N413" s="20">
        <v>109671.78</v>
      </c>
      <c r="O413" s="20">
        <f t="shared" ref="O413:O436" si="52">H413-L413</f>
        <v>-48689.31</v>
      </c>
      <c r="P413" s="20" t="e">
        <f>#REF!-M413</f>
        <v>#REF!</v>
      </c>
      <c r="Q413" s="20" t="e">
        <f>#REF!-N413</f>
        <v>#REF!</v>
      </c>
      <c r="R413" s="17" t="str">
        <f t="shared" si="49"/>
        <v>98 0 00 00000000</v>
      </c>
    </row>
    <row r="414" spans="1:18" s="29" customFormat="1" ht="15.75">
      <c r="A414" s="28"/>
      <c r="B414" s="125" t="s">
        <v>89</v>
      </c>
      <c r="C414" s="109" t="s">
        <v>332</v>
      </c>
      <c r="D414" s="108" t="s">
        <v>11</v>
      </c>
      <c r="E414" s="108" t="s">
        <v>51</v>
      </c>
      <c r="F414" s="108" t="s">
        <v>90</v>
      </c>
      <c r="G414" s="108" t="s">
        <v>9</v>
      </c>
      <c r="H414" s="126">
        <f>H415+H417+H419</f>
        <v>0</v>
      </c>
      <c r="L414" s="20">
        <v>48689.31</v>
      </c>
      <c r="M414" s="20">
        <v>86794.69</v>
      </c>
      <c r="N414" s="20">
        <v>109671.78</v>
      </c>
      <c r="O414" s="20">
        <f t="shared" si="52"/>
        <v>-48689.31</v>
      </c>
      <c r="P414" s="20" t="e">
        <f>#REF!-M414</f>
        <v>#REF!</v>
      </c>
      <c r="Q414" s="20" t="e">
        <f>#REF!-N414</f>
        <v>#REF!</v>
      </c>
      <c r="R414" s="17" t="str">
        <f t="shared" si="49"/>
        <v>98 1 00 00000000</v>
      </c>
    </row>
    <row r="415" spans="1:18" s="29" customFormat="1" ht="47.25">
      <c r="A415" s="28"/>
      <c r="B415" s="125" t="s">
        <v>355</v>
      </c>
      <c r="C415" s="109" t="s">
        <v>332</v>
      </c>
      <c r="D415" s="108" t="s">
        <v>11</v>
      </c>
      <c r="E415" s="108" t="s">
        <v>51</v>
      </c>
      <c r="F415" s="108" t="s">
        <v>356</v>
      </c>
      <c r="G415" s="108" t="s">
        <v>9</v>
      </c>
      <c r="H415" s="126">
        <f>H416</f>
        <v>0</v>
      </c>
      <c r="L415" s="20">
        <v>2000</v>
      </c>
      <c r="M415" s="20">
        <v>2000</v>
      </c>
      <c r="N415" s="20">
        <v>2000</v>
      </c>
      <c r="O415" s="20">
        <f t="shared" si="52"/>
        <v>-2000</v>
      </c>
      <c r="P415" s="20" t="e">
        <f>#REF!-M415</f>
        <v>#REF!</v>
      </c>
      <c r="Q415" s="20" t="e">
        <f>#REF!-N415</f>
        <v>#REF!</v>
      </c>
      <c r="R415" s="17" t="str">
        <f t="shared" si="49"/>
        <v>98 1 00 10050000</v>
      </c>
    </row>
    <row r="416" spans="1:18" s="29" customFormat="1" ht="15.75">
      <c r="A416" s="28"/>
      <c r="B416" s="129" t="s">
        <v>357</v>
      </c>
      <c r="C416" s="109" t="s">
        <v>332</v>
      </c>
      <c r="D416" s="108" t="s">
        <v>11</v>
      </c>
      <c r="E416" s="108" t="s">
        <v>51</v>
      </c>
      <c r="F416" s="108" t="s">
        <v>356</v>
      </c>
      <c r="G416" s="108" t="s">
        <v>358</v>
      </c>
      <c r="H416" s="126"/>
      <c r="L416" s="20">
        <v>2000</v>
      </c>
      <c r="M416" s="20">
        <v>2000</v>
      </c>
      <c r="N416" s="20">
        <v>2000</v>
      </c>
      <c r="O416" s="20">
        <f t="shared" si="52"/>
        <v>-2000</v>
      </c>
      <c r="P416" s="20" t="e">
        <f>#REF!-M416</f>
        <v>#REF!</v>
      </c>
      <c r="Q416" s="20" t="e">
        <f>#REF!-N416</f>
        <v>#REF!</v>
      </c>
      <c r="R416" s="17" t="str">
        <f t="shared" si="49"/>
        <v>98 1 00 10050880</v>
      </c>
    </row>
    <row r="417" spans="1:18" s="29" customFormat="1" ht="63">
      <c r="A417" s="28"/>
      <c r="B417" s="135" t="s">
        <v>359</v>
      </c>
      <c r="C417" s="109" t="s">
        <v>332</v>
      </c>
      <c r="D417" s="108" t="s">
        <v>11</v>
      </c>
      <c r="E417" s="108" t="s">
        <v>51</v>
      </c>
      <c r="F417" s="108" t="s">
        <v>360</v>
      </c>
      <c r="G417" s="108" t="s">
        <v>9</v>
      </c>
      <c r="H417" s="126">
        <f>H418</f>
        <v>0</v>
      </c>
      <c r="L417" s="20">
        <v>33189.31</v>
      </c>
      <c r="M417" s="20">
        <v>68381</v>
      </c>
      <c r="N417" s="20">
        <v>74187.88</v>
      </c>
      <c r="O417" s="20">
        <f t="shared" si="52"/>
        <v>-33189.31</v>
      </c>
      <c r="P417" s="20" t="e">
        <f>#REF!-M417</f>
        <v>#REF!</v>
      </c>
      <c r="Q417" s="20" t="e">
        <f>#REF!-N417</f>
        <v>#REF!</v>
      </c>
      <c r="R417" s="17" t="str">
        <f t="shared" si="49"/>
        <v>98 1 00 21440000</v>
      </c>
    </row>
    <row r="418" spans="1:18" s="29" customFormat="1" ht="15.75">
      <c r="A418" s="28"/>
      <c r="B418" s="129" t="s">
        <v>357</v>
      </c>
      <c r="C418" s="109" t="s">
        <v>332</v>
      </c>
      <c r="D418" s="108" t="s">
        <v>11</v>
      </c>
      <c r="E418" s="108" t="s">
        <v>51</v>
      </c>
      <c r="F418" s="108" t="s">
        <v>360</v>
      </c>
      <c r="G418" s="108" t="s">
        <v>358</v>
      </c>
      <c r="H418" s="126"/>
      <c r="L418" s="20">
        <v>33189.31</v>
      </c>
      <c r="M418" s="20">
        <v>68381</v>
      </c>
      <c r="N418" s="20">
        <v>74187.88</v>
      </c>
      <c r="O418" s="20">
        <f t="shared" si="52"/>
        <v>-33189.31</v>
      </c>
      <c r="P418" s="20" t="e">
        <f>#REF!-M418</f>
        <v>#REF!</v>
      </c>
      <c r="Q418" s="20" t="e">
        <f>#REF!-N418</f>
        <v>#REF!</v>
      </c>
      <c r="R418" s="17" t="str">
        <f t="shared" si="49"/>
        <v>98 1 00 21440880</v>
      </c>
    </row>
    <row r="419" spans="1:18" s="29" customFormat="1" ht="47.25">
      <c r="A419" s="28"/>
      <c r="B419" s="129" t="s">
        <v>361</v>
      </c>
      <c r="C419" s="109" t="s">
        <v>332</v>
      </c>
      <c r="D419" s="108" t="s">
        <v>11</v>
      </c>
      <c r="E419" s="108" t="s">
        <v>51</v>
      </c>
      <c r="F419" s="108" t="s">
        <v>362</v>
      </c>
      <c r="G419" s="108" t="s">
        <v>9</v>
      </c>
      <c r="H419" s="126">
        <f>H420</f>
        <v>0</v>
      </c>
      <c r="L419" s="20">
        <v>13500</v>
      </c>
      <c r="M419" s="20">
        <v>0</v>
      </c>
      <c r="N419" s="20">
        <v>0</v>
      </c>
      <c r="O419" s="20">
        <f t="shared" si="52"/>
        <v>-13500</v>
      </c>
      <c r="P419" s="20" t="e">
        <f>#REF!-M419</f>
        <v>#REF!</v>
      </c>
      <c r="Q419" s="20" t="e">
        <f>#REF!-N419</f>
        <v>#REF!</v>
      </c>
      <c r="R419" s="17" t="str">
        <f t="shared" si="49"/>
        <v>98 1 00 S6420000</v>
      </c>
    </row>
    <row r="420" spans="1:18" s="29" customFormat="1" ht="15.75">
      <c r="A420" s="28"/>
      <c r="B420" s="129" t="s">
        <v>357</v>
      </c>
      <c r="C420" s="109" t="s">
        <v>332</v>
      </c>
      <c r="D420" s="108" t="s">
        <v>11</v>
      </c>
      <c r="E420" s="108" t="s">
        <v>51</v>
      </c>
      <c r="F420" s="108" t="s">
        <v>362</v>
      </c>
      <c r="G420" s="108" t="s">
        <v>358</v>
      </c>
      <c r="H420" s="126"/>
      <c r="L420" s="20">
        <v>13500</v>
      </c>
      <c r="M420" s="20">
        <v>0</v>
      </c>
      <c r="N420" s="20">
        <v>0</v>
      </c>
      <c r="O420" s="20">
        <f t="shared" si="52"/>
        <v>-13500</v>
      </c>
      <c r="P420" s="20" t="e">
        <f>#REF!-M420</f>
        <v>#REF!</v>
      </c>
      <c r="Q420" s="20" t="e">
        <f>#REF!-N420</f>
        <v>#REF!</v>
      </c>
      <c r="R420" s="17" t="str">
        <f t="shared" si="49"/>
        <v>98 1 00 S6420880</v>
      </c>
    </row>
    <row r="421" spans="1:18" s="29" customFormat="1" ht="31.5">
      <c r="A421" s="28"/>
      <c r="B421" s="117" t="s">
        <v>363</v>
      </c>
      <c r="C421" s="118" t="s">
        <v>332</v>
      </c>
      <c r="D421" s="119" t="s">
        <v>51</v>
      </c>
      <c r="E421" s="119" t="s">
        <v>7</v>
      </c>
      <c r="F421" s="119" t="s">
        <v>8</v>
      </c>
      <c r="G421" s="119" t="s">
        <v>9</v>
      </c>
      <c r="H421" s="120">
        <f t="shared" ref="H421:H426" si="53">H422</f>
        <v>0</v>
      </c>
      <c r="L421" s="18">
        <v>174715</v>
      </c>
      <c r="M421" s="18">
        <v>223370</v>
      </c>
      <c r="N421" s="18">
        <v>261938</v>
      </c>
      <c r="O421" s="18">
        <f t="shared" si="52"/>
        <v>-174715</v>
      </c>
      <c r="P421" s="18" t="e">
        <f>#REF!-M421</f>
        <v>#REF!</v>
      </c>
      <c r="Q421" s="18" t="e">
        <f>#REF!-N421</f>
        <v>#REF!</v>
      </c>
      <c r="R421" s="17" t="str">
        <f t="shared" si="49"/>
        <v>00 0 00 00000000</v>
      </c>
    </row>
    <row r="422" spans="1:18" s="29" customFormat="1" ht="31.5">
      <c r="A422" s="28"/>
      <c r="B422" s="121" t="s">
        <v>364</v>
      </c>
      <c r="C422" s="122" t="s">
        <v>332</v>
      </c>
      <c r="D422" s="123" t="s">
        <v>51</v>
      </c>
      <c r="E422" s="123" t="s">
        <v>11</v>
      </c>
      <c r="F422" s="123" t="s">
        <v>8</v>
      </c>
      <c r="G422" s="123" t="s">
        <v>9</v>
      </c>
      <c r="H422" s="124">
        <f t="shared" si="53"/>
        <v>0</v>
      </c>
      <c r="L422" s="19">
        <v>174715</v>
      </c>
      <c r="M422" s="19">
        <v>223370</v>
      </c>
      <c r="N422" s="19">
        <v>261938</v>
      </c>
      <c r="O422" s="19">
        <f t="shared" si="52"/>
        <v>-174715</v>
      </c>
      <c r="P422" s="19" t="e">
        <f>#REF!-M422</f>
        <v>#REF!</v>
      </c>
      <c r="Q422" s="19" t="e">
        <f>#REF!-N422</f>
        <v>#REF!</v>
      </c>
      <c r="R422" s="17" t="str">
        <f t="shared" si="49"/>
        <v>00 0 00 00000000</v>
      </c>
    </row>
    <row r="423" spans="1:18" s="29" customFormat="1" ht="47.25">
      <c r="A423" s="28"/>
      <c r="B423" s="127" t="s">
        <v>348</v>
      </c>
      <c r="C423" s="109" t="s">
        <v>332</v>
      </c>
      <c r="D423" s="108" t="s">
        <v>51</v>
      </c>
      <c r="E423" s="108" t="s">
        <v>11</v>
      </c>
      <c r="F423" s="108" t="s">
        <v>349</v>
      </c>
      <c r="G423" s="108" t="s">
        <v>9</v>
      </c>
      <c r="H423" s="126">
        <f t="shared" si="53"/>
        <v>0</v>
      </c>
      <c r="L423" s="20">
        <v>174715</v>
      </c>
      <c r="M423" s="20">
        <v>223370</v>
      </c>
      <c r="N423" s="20">
        <v>261938</v>
      </c>
      <c r="O423" s="20">
        <f t="shared" si="52"/>
        <v>-174715</v>
      </c>
      <c r="P423" s="20" t="e">
        <f>#REF!-M423</f>
        <v>#REF!</v>
      </c>
      <c r="Q423" s="20" t="e">
        <f>#REF!-N423</f>
        <v>#REF!</v>
      </c>
      <c r="R423" s="17" t="str">
        <f t="shared" si="49"/>
        <v>10 0 00 00000000</v>
      </c>
    </row>
    <row r="424" spans="1:18" s="29" customFormat="1" ht="47.25">
      <c r="A424" s="28"/>
      <c r="B424" s="127" t="s">
        <v>350</v>
      </c>
      <c r="C424" s="109" t="s">
        <v>332</v>
      </c>
      <c r="D424" s="108" t="s">
        <v>51</v>
      </c>
      <c r="E424" s="108" t="s">
        <v>11</v>
      </c>
      <c r="F424" s="108" t="s">
        <v>351</v>
      </c>
      <c r="G424" s="108" t="s">
        <v>9</v>
      </c>
      <c r="H424" s="126">
        <f t="shared" si="53"/>
        <v>0</v>
      </c>
      <c r="L424" s="20">
        <v>174715</v>
      </c>
      <c r="M424" s="20">
        <v>223370</v>
      </c>
      <c r="N424" s="20">
        <v>261938</v>
      </c>
      <c r="O424" s="20">
        <f t="shared" si="52"/>
        <v>-174715</v>
      </c>
      <c r="P424" s="20" t="e">
        <f>#REF!-M424</f>
        <v>#REF!</v>
      </c>
      <c r="Q424" s="20" t="e">
        <f>#REF!-N424</f>
        <v>#REF!</v>
      </c>
      <c r="R424" s="17" t="str">
        <f t="shared" si="49"/>
        <v>10 Б 00 00000000</v>
      </c>
    </row>
    <row r="425" spans="1:18" s="29" customFormat="1" ht="63">
      <c r="A425" s="28"/>
      <c r="B425" s="127" t="s">
        <v>365</v>
      </c>
      <c r="C425" s="109" t="s">
        <v>332</v>
      </c>
      <c r="D425" s="108" t="s">
        <v>51</v>
      </c>
      <c r="E425" s="108" t="s">
        <v>11</v>
      </c>
      <c r="F425" s="108" t="s">
        <v>366</v>
      </c>
      <c r="G425" s="108" t="s">
        <v>9</v>
      </c>
      <c r="H425" s="126">
        <f t="shared" si="53"/>
        <v>0</v>
      </c>
      <c r="L425" s="20">
        <v>174715</v>
      </c>
      <c r="M425" s="20">
        <v>223370</v>
      </c>
      <c r="N425" s="20">
        <v>261938</v>
      </c>
      <c r="O425" s="20">
        <f t="shared" si="52"/>
        <v>-174715</v>
      </c>
      <c r="P425" s="20" t="e">
        <f>#REF!-M425</f>
        <v>#REF!</v>
      </c>
      <c r="Q425" s="20" t="e">
        <f>#REF!-N425</f>
        <v>#REF!</v>
      </c>
      <c r="R425" s="17" t="str">
        <f t="shared" si="49"/>
        <v>10 Б 02 00000000</v>
      </c>
    </row>
    <row r="426" spans="1:18" s="29" customFormat="1" ht="31.5">
      <c r="A426" s="28"/>
      <c r="B426" s="127" t="s">
        <v>367</v>
      </c>
      <c r="C426" s="109" t="s">
        <v>332</v>
      </c>
      <c r="D426" s="108" t="s">
        <v>51</v>
      </c>
      <c r="E426" s="108" t="s">
        <v>11</v>
      </c>
      <c r="F426" s="108" t="s">
        <v>368</v>
      </c>
      <c r="G426" s="108" t="s">
        <v>9</v>
      </c>
      <c r="H426" s="126">
        <f t="shared" si="53"/>
        <v>0</v>
      </c>
      <c r="L426" s="20">
        <v>174715</v>
      </c>
      <c r="M426" s="20">
        <v>223370</v>
      </c>
      <c r="N426" s="20">
        <v>261938</v>
      </c>
      <c r="O426" s="20">
        <f t="shared" si="52"/>
        <v>-174715</v>
      </c>
      <c r="P426" s="20" t="e">
        <f>#REF!-M426</f>
        <v>#REF!</v>
      </c>
      <c r="Q426" s="20" t="e">
        <f>#REF!-N426</f>
        <v>#REF!</v>
      </c>
      <c r="R426" s="17" t="str">
        <f t="shared" si="49"/>
        <v>10 Б 02 20010000</v>
      </c>
    </row>
    <row r="427" spans="1:18" s="29" customFormat="1" ht="15.75">
      <c r="A427" s="28"/>
      <c r="B427" s="127" t="s">
        <v>369</v>
      </c>
      <c r="C427" s="109" t="s">
        <v>332</v>
      </c>
      <c r="D427" s="108" t="s">
        <v>51</v>
      </c>
      <c r="E427" s="108" t="s">
        <v>11</v>
      </c>
      <c r="F427" s="108" t="s">
        <v>368</v>
      </c>
      <c r="G427" s="108" t="s">
        <v>370</v>
      </c>
      <c r="H427" s="126"/>
      <c r="L427" s="20">
        <v>174715</v>
      </c>
      <c r="M427" s="20">
        <v>223370</v>
      </c>
      <c r="N427" s="20">
        <v>261938</v>
      </c>
      <c r="O427" s="20">
        <f t="shared" si="52"/>
        <v>-174715</v>
      </c>
      <c r="P427" s="20" t="e">
        <f>#REF!-M427</f>
        <v>#REF!</v>
      </c>
      <c r="Q427" s="20" t="e">
        <f>#REF!-N427</f>
        <v>#REF!</v>
      </c>
      <c r="R427" s="17" t="str">
        <f t="shared" si="49"/>
        <v>10 Б 02 20010730</v>
      </c>
    </row>
    <row r="428" spans="1:18" s="29" customFormat="1" ht="15.75">
      <c r="A428" s="28"/>
      <c r="B428" s="127"/>
      <c r="C428" s="109"/>
      <c r="D428" s="108"/>
      <c r="E428" s="108"/>
      <c r="F428" s="108"/>
      <c r="G428" s="108"/>
      <c r="H428" s="126"/>
      <c r="L428" s="20"/>
      <c r="M428" s="20"/>
      <c r="N428" s="20"/>
      <c r="O428" s="20">
        <f t="shared" si="52"/>
        <v>0</v>
      </c>
      <c r="P428" s="20" t="e">
        <f>#REF!-M428</f>
        <v>#REF!</v>
      </c>
      <c r="Q428" s="20" t="e">
        <f>#REF!-N428</f>
        <v>#REF!</v>
      </c>
      <c r="R428" s="17" t="str">
        <f t="shared" si="49"/>
        <v/>
      </c>
    </row>
    <row r="429" spans="1:18" s="16" customFormat="1" ht="31.5">
      <c r="A429" s="14"/>
      <c r="B429" s="67" t="s">
        <v>371</v>
      </c>
      <c r="C429" s="116" t="s">
        <v>372</v>
      </c>
      <c r="D429" s="69" t="s">
        <v>7</v>
      </c>
      <c r="E429" s="69" t="s">
        <v>7</v>
      </c>
      <c r="F429" s="69" t="s">
        <v>8</v>
      </c>
      <c r="G429" s="69" t="s">
        <v>9</v>
      </c>
      <c r="H429" s="70">
        <f>H430+H462+H454</f>
        <v>0</v>
      </c>
      <c r="L429" s="25">
        <v>32190.38</v>
      </c>
      <c r="M429" s="25">
        <v>32190.38</v>
      </c>
      <c r="N429" s="25">
        <v>32190.38</v>
      </c>
      <c r="O429" s="25">
        <f t="shared" si="52"/>
        <v>-32190.38</v>
      </c>
      <c r="P429" s="25" t="e">
        <f>#REF!-M429</f>
        <v>#REF!</v>
      </c>
      <c r="Q429" s="25" t="e">
        <f>#REF!-N429</f>
        <v>#REF!</v>
      </c>
      <c r="R429" s="17" t="str">
        <f t="shared" si="49"/>
        <v>00 0 00 00000000</v>
      </c>
    </row>
    <row r="430" spans="1:18" s="34" customFormat="1" ht="15.75">
      <c r="A430" s="33"/>
      <c r="B430" s="117" t="s">
        <v>10</v>
      </c>
      <c r="C430" s="118" t="s">
        <v>372</v>
      </c>
      <c r="D430" s="119" t="s">
        <v>11</v>
      </c>
      <c r="E430" s="119" t="s">
        <v>7</v>
      </c>
      <c r="F430" s="119" t="s">
        <v>8</v>
      </c>
      <c r="G430" s="119" t="s">
        <v>9</v>
      </c>
      <c r="H430" s="120">
        <f t="shared" ref="H430:H438" si="54">H431</f>
        <v>0</v>
      </c>
      <c r="L430" s="18">
        <v>28843.86</v>
      </c>
      <c r="M430" s="18">
        <v>28843.86</v>
      </c>
      <c r="N430" s="18">
        <v>28843.86</v>
      </c>
      <c r="O430" s="18">
        <f t="shared" si="52"/>
        <v>-28843.86</v>
      </c>
      <c r="P430" s="18" t="e">
        <f>#REF!-M430</f>
        <v>#REF!</v>
      </c>
      <c r="Q430" s="18" t="e">
        <f>#REF!-N430</f>
        <v>#REF!</v>
      </c>
      <c r="R430" s="17" t="str">
        <f t="shared" si="49"/>
        <v>00 0 00 00000000</v>
      </c>
    </row>
    <row r="431" spans="1:18" s="23" customFormat="1" ht="15.75">
      <c r="A431" s="21"/>
      <c r="B431" s="121" t="s">
        <v>50</v>
      </c>
      <c r="C431" s="122" t="s">
        <v>372</v>
      </c>
      <c r="D431" s="123" t="s">
        <v>11</v>
      </c>
      <c r="E431" s="123" t="s">
        <v>51</v>
      </c>
      <c r="F431" s="123" t="s">
        <v>8</v>
      </c>
      <c r="G431" s="123" t="s">
        <v>9</v>
      </c>
      <c r="H431" s="124">
        <f>H438+H432</f>
        <v>0</v>
      </c>
      <c r="L431" s="19">
        <v>28843.86</v>
      </c>
      <c r="M431" s="19">
        <v>28843.86</v>
      </c>
      <c r="N431" s="19">
        <v>28843.86</v>
      </c>
      <c r="O431" s="19">
        <f t="shared" si="52"/>
        <v>-28843.86</v>
      </c>
      <c r="P431" s="19" t="e">
        <f>#REF!-M431</f>
        <v>#REF!</v>
      </c>
      <c r="Q431" s="19" t="e">
        <f>#REF!-N431</f>
        <v>#REF!</v>
      </c>
      <c r="R431" s="17" t="str">
        <f t="shared" si="49"/>
        <v>00 0 00 00000000</v>
      </c>
    </row>
    <row r="432" spans="1:18" s="16" customFormat="1" ht="47.25">
      <c r="A432" s="14"/>
      <c r="B432" s="125" t="s">
        <v>146</v>
      </c>
      <c r="C432" s="109" t="s">
        <v>372</v>
      </c>
      <c r="D432" s="108" t="s">
        <v>11</v>
      </c>
      <c r="E432" s="108" t="s">
        <v>51</v>
      </c>
      <c r="F432" s="108" t="s">
        <v>147</v>
      </c>
      <c r="G432" s="108" t="s">
        <v>9</v>
      </c>
      <c r="H432" s="126">
        <f t="shared" ref="H432:H435" si="55">H433</f>
        <v>0</v>
      </c>
      <c r="L432" s="20">
        <v>7.6499999999999995</v>
      </c>
      <c r="M432" s="20">
        <v>7.6499999999999995</v>
      </c>
      <c r="N432" s="20">
        <v>7.6499999999999995</v>
      </c>
      <c r="O432" s="20">
        <f t="shared" si="52"/>
        <v>-7.6499999999999995</v>
      </c>
      <c r="P432" s="20" t="e">
        <f>#REF!-M432</f>
        <v>#REF!</v>
      </c>
      <c r="Q432" s="20" t="e">
        <f>#REF!-N432</f>
        <v>#REF!</v>
      </c>
      <c r="R432" s="17" t="str">
        <f t="shared" si="49"/>
        <v>15 0 00 00000000</v>
      </c>
    </row>
    <row r="433" spans="1:18" s="16" customFormat="1" ht="31.5">
      <c r="A433" s="14"/>
      <c r="B433" s="125" t="s">
        <v>373</v>
      </c>
      <c r="C433" s="109" t="s">
        <v>372</v>
      </c>
      <c r="D433" s="108" t="s">
        <v>11</v>
      </c>
      <c r="E433" s="108" t="s">
        <v>51</v>
      </c>
      <c r="F433" s="108" t="s">
        <v>169</v>
      </c>
      <c r="G433" s="108" t="s">
        <v>9</v>
      </c>
      <c r="H433" s="126">
        <f t="shared" si="55"/>
        <v>0</v>
      </c>
      <c r="L433" s="20">
        <v>7.6499999999999995</v>
      </c>
      <c r="M433" s="20">
        <v>7.6499999999999995</v>
      </c>
      <c r="N433" s="20">
        <v>7.6499999999999995</v>
      </c>
      <c r="O433" s="20">
        <f t="shared" si="52"/>
        <v>-7.6499999999999995</v>
      </c>
      <c r="P433" s="20" t="e">
        <f>#REF!-M433</f>
        <v>#REF!</v>
      </c>
      <c r="Q433" s="20" t="e">
        <f>#REF!-N433</f>
        <v>#REF!</v>
      </c>
      <c r="R433" s="17" t="str">
        <f t="shared" si="49"/>
        <v>15 3 00 00000000</v>
      </c>
    </row>
    <row r="434" spans="1:18" s="16" customFormat="1" ht="31.5">
      <c r="A434" s="14"/>
      <c r="B434" s="125" t="s">
        <v>374</v>
      </c>
      <c r="C434" s="109" t="s">
        <v>372</v>
      </c>
      <c r="D434" s="108" t="s">
        <v>11</v>
      </c>
      <c r="E434" s="108" t="s">
        <v>51</v>
      </c>
      <c r="F434" s="108" t="s">
        <v>375</v>
      </c>
      <c r="G434" s="108" t="s">
        <v>9</v>
      </c>
      <c r="H434" s="126">
        <f t="shared" si="55"/>
        <v>0</v>
      </c>
      <c r="L434" s="20">
        <v>7.6499999999999995</v>
      </c>
      <c r="M434" s="20">
        <v>7.6499999999999995</v>
      </c>
      <c r="N434" s="20">
        <v>7.6499999999999995</v>
      </c>
      <c r="O434" s="20">
        <f t="shared" si="52"/>
        <v>-7.6499999999999995</v>
      </c>
      <c r="P434" s="20" t="e">
        <f>#REF!-M434</f>
        <v>#REF!</v>
      </c>
      <c r="Q434" s="20" t="e">
        <f>#REF!-N434</f>
        <v>#REF!</v>
      </c>
      <c r="R434" s="17" t="str">
        <f t="shared" si="49"/>
        <v>15 3 01 00000000</v>
      </c>
    </row>
    <row r="435" spans="1:18" s="16" customFormat="1" ht="31.5">
      <c r="A435" s="14"/>
      <c r="B435" s="125" t="s">
        <v>376</v>
      </c>
      <c r="C435" s="109" t="s">
        <v>372</v>
      </c>
      <c r="D435" s="108" t="s">
        <v>11</v>
      </c>
      <c r="E435" s="108" t="s">
        <v>51</v>
      </c>
      <c r="F435" s="108" t="s">
        <v>377</v>
      </c>
      <c r="G435" s="108" t="s">
        <v>9</v>
      </c>
      <c r="H435" s="126">
        <f t="shared" si="55"/>
        <v>0</v>
      </c>
      <c r="L435" s="20">
        <v>7.6499999999999995</v>
      </c>
      <c r="M435" s="20">
        <v>7.6499999999999995</v>
      </c>
      <c r="N435" s="20">
        <v>7.6499999999999995</v>
      </c>
      <c r="O435" s="20">
        <f t="shared" si="52"/>
        <v>-7.6499999999999995</v>
      </c>
      <c r="P435" s="20" t="e">
        <f>#REF!-M435</f>
        <v>#REF!</v>
      </c>
      <c r="Q435" s="20" t="e">
        <f>#REF!-N435</f>
        <v>#REF!</v>
      </c>
      <c r="R435" s="17" t="str">
        <f t="shared" si="49"/>
        <v>15 3 01 20660000</v>
      </c>
    </row>
    <row r="436" spans="1:18" s="16" customFormat="1" ht="31.5">
      <c r="A436" s="14"/>
      <c r="B436" s="125" t="s">
        <v>28</v>
      </c>
      <c r="C436" s="109" t="s">
        <v>372</v>
      </c>
      <c r="D436" s="108" t="s">
        <v>11</v>
      </c>
      <c r="E436" s="108" t="s">
        <v>51</v>
      </c>
      <c r="F436" s="108" t="s">
        <v>377</v>
      </c>
      <c r="G436" s="108" t="s">
        <v>29</v>
      </c>
      <c r="H436" s="126">
        <f>H437</f>
        <v>0</v>
      </c>
      <c r="L436" s="20">
        <v>7.6499999999999995</v>
      </c>
      <c r="M436" s="20">
        <v>7.6499999999999995</v>
      </c>
      <c r="N436" s="20">
        <v>7.6499999999999995</v>
      </c>
      <c r="O436" s="20">
        <f t="shared" si="52"/>
        <v>-7.6499999999999995</v>
      </c>
      <c r="P436" s="20" t="e">
        <f>#REF!-M436</f>
        <v>#REF!</v>
      </c>
      <c r="Q436" s="20" t="e">
        <f>#REF!-N436</f>
        <v>#REF!</v>
      </c>
      <c r="R436" s="17" t="str">
        <f t="shared" si="49"/>
        <v>15 3 01 20660240</v>
      </c>
    </row>
    <row r="437" spans="1:18" s="16" customFormat="1" ht="15.75">
      <c r="A437" s="14"/>
      <c r="B437" s="125" t="s">
        <v>30</v>
      </c>
      <c r="C437" s="109" t="s">
        <v>372</v>
      </c>
      <c r="D437" s="108" t="s">
        <v>11</v>
      </c>
      <c r="E437" s="108" t="s">
        <v>51</v>
      </c>
      <c r="F437" s="108" t="s">
        <v>377</v>
      </c>
      <c r="G437" s="108" t="s">
        <v>31</v>
      </c>
      <c r="H437" s="126"/>
      <c r="L437" s="20"/>
      <c r="M437" s="20"/>
      <c r="N437" s="20"/>
      <c r="O437" s="20"/>
      <c r="P437" s="20"/>
      <c r="Q437" s="20"/>
      <c r="R437" s="17" t="str">
        <f t="shared" si="49"/>
        <v>15 3 01 20660244</v>
      </c>
    </row>
    <row r="438" spans="1:18" s="16" customFormat="1" ht="31.5">
      <c r="A438" s="14"/>
      <c r="B438" s="125" t="s">
        <v>378</v>
      </c>
      <c r="C438" s="109" t="s">
        <v>372</v>
      </c>
      <c r="D438" s="108" t="s">
        <v>11</v>
      </c>
      <c r="E438" s="108" t="s">
        <v>51</v>
      </c>
      <c r="F438" s="108" t="s">
        <v>379</v>
      </c>
      <c r="G438" s="108" t="s">
        <v>9</v>
      </c>
      <c r="H438" s="126">
        <f t="shared" si="54"/>
        <v>0</v>
      </c>
      <c r="L438" s="20">
        <v>28836.21</v>
      </c>
      <c r="M438" s="20">
        <v>28836.21</v>
      </c>
      <c r="N438" s="20">
        <v>28836.21</v>
      </c>
      <c r="O438" s="20">
        <f>H438-L438</f>
        <v>-28836.21</v>
      </c>
      <c r="P438" s="20" t="e">
        <f>#REF!-M438</f>
        <v>#REF!</v>
      </c>
      <c r="Q438" s="20" t="e">
        <f>#REF!-N438</f>
        <v>#REF!</v>
      </c>
      <c r="R438" s="17" t="str">
        <f t="shared" si="49"/>
        <v>74 0 00 00000000</v>
      </c>
    </row>
    <row r="439" spans="1:18" s="16" customFormat="1" ht="47.25">
      <c r="A439" s="14"/>
      <c r="B439" s="125" t="s">
        <v>380</v>
      </c>
      <c r="C439" s="109" t="s">
        <v>372</v>
      </c>
      <c r="D439" s="108" t="s">
        <v>11</v>
      </c>
      <c r="E439" s="108" t="s">
        <v>51</v>
      </c>
      <c r="F439" s="108" t="s">
        <v>381</v>
      </c>
      <c r="G439" s="108" t="s">
        <v>9</v>
      </c>
      <c r="H439" s="126">
        <f>H440+H450</f>
        <v>0</v>
      </c>
      <c r="L439" s="20">
        <v>28836.21</v>
      </c>
      <c r="M439" s="20">
        <v>28836.21</v>
      </c>
      <c r="N439" s="20">
        <v>28836.21</v>
      </c>
      <c r="O439" s="20">
        <f>H439-L439</f>
        <v>-28836.21</v>
      </c>
      <c r="P439" s="20" t="e">
        <f>#REF!-M439</f>
        <v>#REF!</v>
      </c>
      <c r="Q439" s="20" t="e">
        <f>#REF!-N439</f>
        <v>#REF!</v>
      </c>
      <c r="R439" s="17" t="str">
        <f t="shared" si="49"/>
        <v>74 1 00 00000000</v>
      </c>
    </row>
    <row r="440" spans="1:18" s="16" customFormat="1" ht="31.5">
      <c r="A440" s="14"/>
      <c r="B440" s="125" t="s">
        <v>18</v>
      </c>
      <c r="C440" s="109" t="s">
        <v>372</v>
      </c>
      <c r="D440" s="108" t="s">
        <v>11</v>
      </c>
      <c r="E440" s="108" t="s">
        <v>51</v>
      </c>
      <c r="F440" s="108" t="s">
        <v>382</v>
      </c>
      <c r="G440" s="108" t="s">
        <v>9</v>
      </c>
      <c r="H440" s="126">
        <f>H441+H444+H446</f>
        <v>0</v>
      </c>
      <c r="L440" s="20">
        <v>3616.1699999999996</v>
      </c>
      <c r="M440" s="20">
        <v>3616.1699999999996</v>
      </c>
      <c r="N440" s="20">
        <v>3616.1699999999996</v>
      </c>
      <c r="O440" s="20">
        <f>H440-L440</f>
        <v>-3616.1699999999996</v>
      </c>
      <c r="P440" s="20" t="e">
        <f>#REF!-M440</f>
        <v>#REF!</v>
      </c>
      <c r="Q440" s="20" t="e">
        <f>#REF!-N440</f>
        <v>#REF!</v>
      </c>
      <c r="R440" s="17" t="str">
        <f t="shared" si="49"/>
        <v>74 1 00 10010000</v>
      </c>
    </row>
    <row r="441" spans="1:18" s="16" customFormat="1" ht="31.5">
      <c r="A441" s="14"/>
      <c r="B441" s="127" t="s">
        <v>20</v>
      </c>
      <c r="C441" s="109" t="s">
        <v>372</v>
      </c>
      <c r="D441" s="108" t="s">
        <v>11</v>
      </c>
      <c r="E441" s="108" t="s">
        <v>51</v>
      </c>
      <c r="F441" s="108" t="s">
        <v>382</v>
      </c>
      <c r="G441" s="108" t="s">
        <v>21</v>
      </c>
      <c r="H441" s="126">
        <f>SUM(H442:H443)</f>
        <v>0</v>
      </c>
      <c r="L441" s="20">
        <v>757.89</v>
      </c>
      <c r="M441" s="20">
        <v>757.89</v>
      </c>
      <c r="N441" s="20">
        <v>757.89</v>
      </c>
      <c r="O441" s="20">
        <f>H441-L441</f>
        <v>-757.89</v>
      </c>
      <c r="P441" s="20" t="e">
        <f>#REF!-M441</f>
        <v>#REF!</v>
      </c>
      <c r="Q441" s="20" t="e">
        <f>#REF!-N441</f>
        <v>#REF!</v>
      </c>
      <c r="R441" s="17" t="str">
        <f t="shared" si="49"/>
        <v>74 1 00 10010120</v>
      </c>
    </row>
    <row r="442" spans="1:18" s="23" customFormat="1" ht="47.25">
      <c r="A442" s="21"/>
      <c r="B442" s="127" t="s">
        <v>22</v>
      </c>
      <c r="C442" s="109" t="s">
        <v>372</v>
      </c>
      <c r="D442" s="108" t="s">
        <v>11</v>
      </c>
      <c r="E442" s="108" t="s">
        <v>51</v>
      </c>
      <c r="F442" s="108" t="s">
        <v>382</v>
      </c>
      <c r="G442" s="108" t="s">
        <v>23</v>
      </c>
      <c r="H442" s="126"/>
      <c r="L442" s="22"/>
      <c r="M442" s="22"/>
      <c r="N442" s="22"/>
      <c r="O442" s="22"/>
      <c r="P442" s="22"/>
      <c r="Q442" s="22"/>
      <c r="R442" s="24"/>
    </row>
    <row r="443" spans="1:18" s="23" customFormat="1" ht="63">
      <c r="A443" s="21"/>
      <c r="B443" s="127" t="s">
        <v>26</v>
      </c>
      <c r="C443" s="109" t="s">
        <v>372</v>
      </c>
      <c r="D443" s="108" t="s">
        <v>11</v>
      </c>
      <c r="E443" s="108" t="s">
        <v>51</v>
      </c>
      <c r="F443" s="108" t="s">
        <v>382</v>
      </c>
      <c r="G443" s="108" t="s">
        <v>27</v>
      </c>
      <c r="H443" s="126"/>
      <c r="L443" s="22"/>
      <c r="M443" s="22"/>
      <c r="N443" s="22"/>
      <c r="O443" s="22"/>
      <c r="P443" s="22"/>
      <c r="Q443" s="22"/>
      <c r="R443" s="24"/>
    </row>
    <row r="444" spans="1:18" s="16" customFormat="1" ht="31.5">
      <c r="A444" s="14"/>
      <c r="B444" s="125" t="s">
        <v>28</v>
      </c>
      <c r="C444" s="109" t="s">
        <v>372</v>
      </c>
      <c r="D444" s="108" t="s">
        <v>11</v>
      </c>
      <c r="E444" s="108" t="s">
        <v>51</v>
      </c>
      <c r="F444" s="108" t="s">
        <v>382</v>
      </c>
      <c r="G444" s="108" t="s">
        <v>29</v>
      </c>
      <c r="H444" s="126">
        <f>H445</f>
        <v>0</v>
      </c>
      <c r="L444" s="20">
        <v>2842.3199999999997</v>
      </c>
      <c r="M444" s="20">
        <v>2842.3199999999997</v>
      </c>
      <c r="N444" s="20">
        <v>2842.3199999999997</v>
      </c>
      <c r="O444" s="20">
        <f>H444-L444</f>
        <v>-2842.3199999999997</v>
      </c>
      <c r="P444" s="20" t="e">
        <f>#REF!-M444</f>
        <v>#REF!</v>
      </c>
      <c r="Q444" s="20" t="e">
        <f>#REF!-N444</f>
        <v>#REF!</v>
      </c>
      <c r="R444" s="17" t="str">
        <f t="shared" si="49"/>
        <v>74 1 00 10010240</v>
      </c>
    </row>
    <row r="445" spans="1:18" s="16" customFormat="1" ht="15.75">
      <c r="A445" s="14"/>
      <c r="B445" s="125" t="s">
        <v>30</v>
      </c>
      <c r="C445" s="109" t="s">
        <v>372</v>
      </c>
      <c r="D445" s="108" t="s">
        <v>11</v>
      </c>
      <c r="E445" s="108" t="s">
        <v>51</v>
      </c>
      <c r="F445" s="108" t="s">
        <v>382</v>
      </c>
      <c r="G445" s="108" t="s">
        <v>31</v>
      </c>
      <c r="H445" s="126"/>
      <c r="L445" s="20"/>
      <c r="M445" s="20"/>
      <c r="N445" s="20"/>
      <c r="O445" s="20"/>
      <c r="P445" s="20"/>
      <c r="Q445" s="20"/>
      <c r="R445" s="17"/>
    </row>
    <row r="446" spans="1:18" s="16" customFormat="1" ht="15.75">
      <c r="A446" s="14"/>
      <c r="B446" s="125" t="s">
        <v>32</v>
      </c>
      <c r="C446" s="109" t="s">
        <v>372</v>
      </c>
      <c r="D446" s="108" t="s">
        <v>11</v>
      </c>
      <c r="E446" s="108" t="s">
        <v>51</v>
      </c>
      <c r="F446" s="108" t="s">
        <v>382</v>
      </c>
      <c r="G446" s="108" t="s">
        <v>33</v>
      </c>
      <c r="H446" s="126">
        <f>SUM(H447:H449)</f>
        <v>0</v>
      </c>
      <c r="L446" s="20">
        <v>15.96</v>
      </c>
      <c r="M446" s="20">
        <v>15.96</v>
      </c>
      <c r="N446" s="20">
        <v>15.96</v>
      </c>
      <c r="O446" s="20">
        <f>H446-L446</f>
        <v>-15.96</v>
      </c>
      <c r="P446" s="20" t="e">
        <f>#REF!-M446</f>
        <v>#REF!</v>
      </c>
      <c r="Q446" s="20" t="e">
        <f>#REF!-N446</f>
        <v>#REF!</v>
      </c>
      <c r="R446" s="17" t="str">
        <f t="shared" si="49"/>
        <v>74 1 00 10010850</v>
      </c>
    </row>
    <row r="447" spans="1:18" s="23" customFormat="1" ht="31.5">
      <c r="A447" s="21"/>
      <c r="B447" s="127" t="s">
        <v>34</v>
      </c>
      <c r="C447" s="109" t="s">
        <v>372</v>
      </c>
      <c r="D447" s="108" t="s">
        <v>11</v>
      </c>
      <c r="E447" s="108" t="s">
        <v>51</v>
      </c>
      <c r="F447" s="108" t="s">
        <v>382</v>
      </c>
      <c r="G447" s="108" t="s">
        <v>35</v>
      </c>
      <c r="H447" s="126"/>
      <c r="L447" s="22"/>
      <c r="M447" s="22"/>
      <c r="N447" s="22"/>
      <c r="O447" s="22"/>
      <c r="P447" s="22"/>
      <c r="Q447" s="22"/>
      <c r="R447" s="24"/>
    </row>
    <row r="448" spans="1:18" s="23" customFormat="1" ht="15.75">
      <c r="A448" s="21"/>
      <c r="B448" s="127" t="s">
        <v>36</v>
      </c>
      <c r="C448" s="109" t="s">
        <v>372</v>
      </c>
      <c r="D448" s="108" t="s">
        <v>11</v>
      </c>
      <c r="E448" s="108" t="s">
        <v>51</v>
      </c>
      <c r="F448" s="108" t="s">
        <v>382</v>
      </c>
      <c r="G448" s="108" t="s">
        <v>37</v>
      </c>
      <c r="H448" s="126"/>
      <c r="L448" s="22"/>
      <c r="M448" s="22"/>
      <c r="N448" s="22"/>
      <c r="O448" s="22"/>
      <c r="P448" s="22"/>
      <c r="Q448" s="22"/>
      <c r="R448" s="24"/>
    </row>
    <row r="449" spans="1:18" s="23" customFormat="1" ht="15.75">
      <c r="A449" s="21"/>
      <c r="B449" s="127" t="s">
        <v>77</v>
      </c>
      <c r="C449" s="109" t="s">
        <v>372</v>
      </c>
      <c r="D449" s="108" t="s">
        <v>11</v>
      </c>
      <c r="E449" s="108" t="s">
        <v>51</v>
      </c>
      <c r="F449" s="108" t="s">
        <v>382</v>
      </c>
      <c r="G449" s="108" t="s">
        <v>78</v>
      </c>
      <c r="H449" s="126"/>
      <c r="L449" s="22"/>
      <c r="M449" s="22"/>
      <c r="N449" s="22"/>
      <c r="O449" s="22"/>
      <c r="P449" s="22"/>
      <c r="Q449" s="22"/>
      <c r="R449" s="24"/>
    </row>
    <row r="450" spans="1:18" s="16" customFormat="1" ht="31.5">
      <c r="A450" s="14"/>
      <c r="B450" s="125" t="s">
        <v>38</v>
      </c>
      <c r="C450" s="109" t="s">
        <v>372</v>
      </c>
      <c r="D450" s="108" t="s">
        <v>11</v>
      </c>
      <c r="E450" s="108" t="s">
        <v>51</v>
      </c>
      <c r="F450" s="108" t="s">
        <v>383</v>
      </c>
      <c r="G450" s="108" t="s">
        <v>9</v>
      </c>
      <c r="H450" s="126">
        <f>H451</f>
        <v>0</v>
      </c>
      <c r="L450" s="20">
        <v>25220.04</v>
      </c>
      <c r="M450" s="20">
        <v>25220.04</v>
      </c>
      <c r="N450" s="20">
        <v>25220.04</v>
      </c>
      <c r="O450" s="20">
        <f>H450-L450</f>
        <v>-25220.04</v>
      </c>
      <c r="P450" s="20" t="e">
        <f>#REF!-M450</f>
        <v>#REF!</v>
      </c>
      <c r="Q450" s="20" t="e">
        <f>#REF!-N450</f>
        <v>#REF!</v>
      </c>
      <c r="R450" s="17" t="str">
        <f t="shared" si="49"/>
        <v>74 1 00 10020000</v>
      </c>
    </row>
    <row r="451" spans="1:18" s="16" customFormat="1" ht="31.5">
      <c r="A451" s="14"/>
      <c r="B451" s="127" t="s">
        <v>20</v>
      </c>
      <c r="C451" s="109" t="s">
        <v>372</v>
      </c>
      <c r="D451" s="108" t="s">
        <v>11</v>
      </c>
      <c r="E451" s="108" t="s">
        <v>51</v>
      </c>
      <c r="F451" s="108" t="s">
        <v>383</v>
      </c>
      <c r="G451" s="108" t="s">
        <v>21</v>
      </c>
      <c r="H451" s="126">
        <f>SUM(H452:H453)</f>
        <v>0</v>
      </c>
      <c r="L451" s="20">
        <v>25220.04</v>
      </c>
      <c r="M451" s="20">
        <v>25220.04</v>
      </c>
      <c r="N451" s="20">
        <v>25220.04</v>
      </c>
      <c r="O451" s="20">
        <f>H451-L451</f>
        <v>-25220.04</v>
      </c>
      <c r="P451" s="20" t="e">
        <f>#REF!-M451</f>
        <v>#REF!</v>
      </c>
      <c r="Q451" s="20" t="e">
        <f>#REF!-N451</f>
        <v>#REF!</v>
      </c>
      <c r="R451" s="17" t="str">
        <f t="shared" si="49"/>
        <v>74 1 00 10020120</v>
      </c>
    </row>
    <row r="452" spans="1:18" s="23" customFormat="1" ht="31.5">
      <c r="A452" s="21"/>
      <c r="B452" s="127" t="s">
        <v>40</v>
      </c>
      <c r="C452" s="109" t="s">
        <v>372</v>
      </c>
      <c r="D452" s="108" t="s">
        <v>11</v>
      </c>
      <c r="E452" s="108" t="s">
        <v>51</v>
      </c>
      <c r="F452" s="108" t="s">
        <v>383</v>
      </c>
      <c r="G452" s="108" t="s">
        <v>41</v>
      </c>
      <c r="H452" s="126"/>
      <c r="L452" s="22"/>
      <c r="M452" s="22"/>
      <c r="N452" s="22"/>
      <c r="O452" s="22"/>
      <c r="P452" s="22"/>
      <c r="Q452" s="22"/>
      <c r="R452" s="24"/>
    </row>
    <row r="453" spans="1:18" s="23" customFormat="1" ht="63">
      <c r="A453" s="21"/>
      <c r="B453" s="127" t="s">
        <v>26</v>
      </c>
      <c r="C453" s="109" t="s">
        <v>372</v>
      </c>
      <c r="D453" s="108" t="s">
        <v>11</v>
      </c>
      <c r="E453" s="108" t="s">
        <v>51</v>
      </c>
      <c r="F453" s="108" t="s">
        <v>383</v>
      </c>
      <c r="G453" s="108" t="s">
        <v>27</v>
      </c>
      <c r="H453" s="126"/>
      <c r="L453" s="22"/>
      <c r="M453" s="22"/>
      <c r="N453" s="22"/>
      <c r="O453" s="22"/>
      <c r="P453" s="22"/>
      <c r="Q453" s="22"/>
      <c r="R453" s="24"/>
    </row>
    <row r="454" spans="1:18" s="16" customFormat="1" ht="15.75">
      <c r="A454" s="14"/>
      <c r="B454" s="117" t="s">
        <v>237</v>
      </c>
      <c r="C454" s="118" t="s">
        <v>372</v>
      </c>
      <c r="D454" s="119" t="s">
        <v>238</v>
      </c>
      <c r="E454" s="119" t="s">
        <v>7</v>
      </c>
      <c r="F454" s="119" t="s">
        <v>8</v>
      </c>
      <c r="G454" s="119" t="s">
        <v>9</v>
      </c>
      <c r="H454" s="120">
        <f t="shared" ref="H454:H458" si="56">H455</f>
        <v>0</v>
      </c>
      <c r="L454" s="18">
        <v>1096.2</v>
      </c>
      <c r="M454" s="18">
        <v>1096.2</v>
      </c>
      <c r="N454" s="18">
        <v>1096.2</v>
      </c>
      <c r="O454" s="18">
        <f t="shared" ref="O454:O460" si="57">H454-L454</f>
        <v>-1096.2</v>
      </c>
      <c r="P454" s="18" t="e">
        <f>#REF!-M454</f>
        <v>#REF!</v>
      </c>
      <c r="Q454" s="18" t="e">
        <f>#REF!-N454</f>
        <v>#REF!</v>
      </c>
      <c r="R454" s="17" t="str">
        <f t="shared" si="49"/>
        <v>00 0 00 00000000</v>
      </c>
    </row>
    <row r="455" spans="1:18" s="16" customFormat="1" ht="15.75">
      <c r="A455" s="14"/>
      <c r="B455" s="121" t="s">
        <v>239</v>
      </c>
      <c r="C455" s="122" t="s">
        <v>372</v>
      </c>
      <c r="D455" s="123" t="s">
        <v>238</v>
      </c>
      <c r="E455" s="123" t="s">
        <v>11</v>
      </c>
      <c r="F455" s="123" t="s">
        <v>8</v>
      </c>
      <c r="G455" s="123" t="s">
        <v>9</v>
      </c>
      <c r="H455" s="124">
        <f t="shared" si="56"/>
        <v>0</v>
      </c>
      <c r="L455" s="19">
        <v>1096.2</v>
      </c>
      <c r="M455" s="19">
        <v>1096.2</v>
      </c>
      <c r="N455" s="19">
        <v>1096.2</v>
      </c>
      <c r="O455" s="19">
        <f t="shared" si="57"/>
        <v>-1096.2</v>
      </c>
      <c r="P455" s="19" t="e">
        <f>#REF!-M455</f>
        <v>#REF!</v>
      </c>
      <c r="Q455" s="19" t="e">
        <f>#REF!-N455</f>
        <v>#REF!</v>
      </c>
      <c r="R455" s="17" t="str">
        <f t="shared" si="49"/>
        <v>00 0 00 00000000</v>
      </c>
    </row>
    <row r="456" spans="1:18" s="16" customFormat="1" ht="31.5">
      <c r="A456" s="14"/>
      <c r="B456" s="125" t="s">
        <v>240</v>
      </c>
      <c r="C456" s="130" t="s">
        <v>372</v>
      </c>
      <c r="D456" s="131" t="s">
        <v>238</v>
      </c>
      <c r="E456" s="131" t="s">
        <v>11</v>
      </c>
      <c r="F456" s="131" t="s">
        <v>241</v>
      </c>
      <c r="G456" s="131" t="s">
        <v>9</v>
      </c>
      <c r="H456" s="105">
        <f t="shared" si="56"/>
        <v>0</v>
      </c>
      <c r="L456" s="26">
        <v>1096.2</v>
      </c>
      <c r="M456" s="26">
        <v>1096.2</v>
      </c>
      <c r="N456" s="26">
        <v>1096.2</v>
      </c>
      <c r="O456" s="26">
        <f t="shared" si="57"/>
        <v>-1096.2</v>
      </c>
      <c r="P456" s="26" t="e">
        <f>#REF!-M456</f>
        <v>#REF!</v>
      </c>
      <c r="Q456" s="26" t="e">
        <f>#REF!-N456</f>
        <v>#REF!</v>
      </c>
      <c r="R456" s="17" t="str">
        <f t="shared" si="49"/>
        <v>07 0 00 00000000</v>
      </c>
    </row>
    <row r="457" spans="1:18" s="16" customFormat="1" ht="78.75">
      <c r="A457" s="14"/>
      <c r="B457" s="125" t="s">
        <v>384</v>
      </c>
      <c r="C457" s="130" t="s">
        <v>372</v>
      </c>
      <c r="D457" s="131" t="s">
        <v>238</v>
      </c>
      <c r="E457" s="131" t="s">
        <v>11</v>
      </c>
      <c r="F457" s="131" t="s">
        <v>243</v>
      </c>
      <c r="G457" s="131" t="s">
        <v>9</v>
      </c>
      <c r="H457" s="105">
        <f t="shared" si="56"/>
        <v>0</v>
      </c>
      <c r="L457" s="26">
        <v>1096.2</v>
      </c>
      <c r="M457" s="26">
        <v>1096.2</v>
      </c>
      <c r="N457" s="26">
        <v>1096.2</v>
      </c>
      <c r="O457" s="26">
        <f t="shared" si="57"/>
        <v>-1096.2</v>
      </c>
      <c r="P457" s="26" t="e">
        <f>#REF!-M457</f>
        <v>#REF!</v>
      </c>
      <c r="Q457" s="26" t="e">
        <f>#REF!-N457</f>
        <v>#REF!</v>
      </c>
      <c r="R457" s="17" t="str">
        <f t="shared" si="49"/>
        <v>07 1 00 00000000</v>
      </c>
    </row>
    <row r="458" spans="1:18" s="16" customFormat="1" ht="110.25">
      <c r="A458" s="14"/>
      <c r="B458" s="125" t="s">
        <v>244</v>
      </c>
      <c r="C458" s="130" t="s">
        <v>372</v>
      </c>
      <c r="D458" s="131" t="s">
        <v>238</v>
      </c>
      <c r="E458" s="131" t="s">
        <v>11</v>
      </c>
      <c r="F458" s="131" t="s">
        <v>245</v>
      </c>
      <c r="G458" s="131" t="s">
        <v>9</v>
      </c>
      <c r="H458" s="105">
        <f t="shared" si="56"/>
        <v>0</v>
      </c>
      <c r="L458" s="26">
        <v>1096.2</v>
      </c>
      <c r="M458" s="26">
        <v>1096.2</v>
      </c>
      <c r="N458" s="26">
        <v>1096.2</v>
      </c>
      <c r="O458" s="26">
        <f t="shared" si="57"/>
        <v>-1096.2</v>
      </c>
      <c r="P458" s="26" t="e">
        <f>#REF!-M458</f>
        <v>#REF!</v>
      </c>
      <c r="Q458" s="26" t="e">
        <f>#REF!-N458</f>
        <v>#REF!</v>
      </c>
      <c r="R458" s="17" t="str">
        <f t="shared" si="49"/>
        <v>07 1 01 00000000</v>
      </c>
    </row>
    <row r="459" spans="1:18" s="16" customFormat="1" ht="31.5">
      <c r="A459" s="14"/>
      <c r="B459" s="125" t="s">
        <v>246</v>
      </c>
      <c r="C459" s="130" t="s">
        <v>372</v>
      </c>
      <c r="D459" s="131" t="s">
        <v>238</v>
      </c>
      <c r="E459" s="131" t="s">
        <v>11</v>
      </c>
      <c r="F459" s="131" t="s">
        <v>247</v>
      </c>
      <c r="G459" s="131" t="s">
        <v>9</v>
      </c>
      <c r="H459" s="105">
        <f>H460</f>
        <v>0</v>
      </c>
      <c r="L459" s="26">
        <v>1096.2</v>
      </c>
      <c r="M459" s="26">
        <v>1096.2</v>
      </c>
      <c r="N459" s="26">
        <v>1096.2</v>
      </c>
      <c r="O459" s="26">
        <f t="shared" si="57"/>
        <v>-1096.2</v>
      </c>
      <c r="P459" s="26" t="e">
        <f>#REF!-M459</f>
        <v>#REF!</v>
      </c>
      <c r="Q459" s="26" t="e">
        <f>#REF!-N459</f>
        <v>#REF!</v>
      </c>
      <c r="R459" s="17" t="str">
        <f t="shared" si="49"/>
        <v>07 1 01 20060000</v>
      </c>
    </row>
    <row r="460" spans="1:18" s="16" customFormat="1" ht="31.5">
      <c r="A460" s="14"/>
      <c r="B460" s="125" t="s">
        <v>28</v>
      </c>
      <c r="C460" s="130" t="s">
        <v>372</v>
      </c>
      <c r="D460" s="131" t="s">
        <v>238</v>
      </c>
      <c r="E460" s="131" t="s">
        <v>11</v>
      </c>
      <c r="F460" s="131" t="s">
        <v>247</v>
      </c>
      <c r="G460" s="131" t="s">
        <v>29</v>
      </c>
      <c r="H460" s="126">
        <f>H461</f>
        <v>0</v>
      </c>
      <c r="L460" s="20">
        <v>1096.2</v>
      </c>
      <c r="M460" s="20">
        <v>1096.2</v>
      </c>
      <c r="N460" s="20">
        <v>1096.2</v>
      </c>
      <c r="O460" s="20">
        <f t="shared" si="57"/>
        <v>-1096.2</v>
      </c>
      <c r="P460" s="20" t="e">
        <f>#REF!-M460</f>
        <v>#REF!</v>
      </c>
      <c r="Q460" s="20" t="e">
        <f>#REF!-N460</f>
        <v>#REF!</v>
      </c>
      <c r="R460" s="17" t="str">
        <f t="shared" si="49"/>
        <v>07 1 01 20060240</v>
      </c>
    </row>
    <row r="461" spans="1:18" s="16" customFormat="1" ht="15.75">
      <c r="A461" s="14"/>
      <c r="B461" s="125" t="s">
        <v>30</v>
      </c>
      <c r="C461" s="130" t="s">
        <v>372</v>
      </c>
      <c r="D461" s="131" t="s">
        <v>238</v>
      </c>
      <c r="E461" s="131" t="s">
        <v>11</v>
      </c>
      <c r="F461" s="131" t="s">
        <v>247</v>
      </c>
      <c r="G461" s="131" t="s">
        <v>31</v>
      </c>
      <c r="H461" s="126"/>
      <c r="L461" s="20"/>
      <c r="M461" s="20"/>
      <c r="N461" s="20"/>
      <c r="O461" s="20"/>
      <c r="P461" s="20"/>
      <c r="Q461" s="20"/>
      <c r="R461" s="17" t="str">
        <f t="shared" si="49"/>
        <v>07 1 01 20060244</v>
      </c>
    </row>
    <row r="462" spans="1:18" s="34" customFormat="1" ht="15.75">
      <c r="A462" s="33"/>
      <c r="B462" s="117" t="s">
        <v>316</v>
      </c>
      <c r="C462" s="118" t="s">
        <v>372</v>
      </c>
      <c r="D462" s="119" t="s">
        <v>317</v>
      </c>
      <c r="E462" s="119" t="s">
        <v>7</v>
      </c>
      <c r="F462" s="119" t="s">
        <v>8</v>
      </c>
      <c r="G462" s="119" t="s">
        <v>9</v>
      </c>
      <c r="H462" s="120">
        <f t="shared" ref="H462:H467" si="58">H463</f>
        <v>0</v>
      </c>
      <c r="L462" s="18">
        <v>2250.3200000000002</v>
      </c>
      <c r="M462" s="18">
        <v>2250.3200000000002</v>
      </c>
      <c r="N462" s="18">
        <v>2250.3200000000002</v>
      </c>
      <c r="O462" s="18">
        <f t="shared" ref="O462:O468" si="59">H462-L462</f>
        <v>-2250.3200000000002</v>
      </c>
      <c r="P462" s="18" t="e">
        <f>#REF!-M462</f>
        <v>#REF!</v>
      </c>
      <c r="Q462" s="18" t="e">
        <f>#REF!-N462</f>
        <v>#REF!</v>
      </c>
      <c r="R462" s="17" t="str">
        <f t="shared" si="49"/>
        <v>00 0 00 00000000</v>
      </c>
    </row>
    <row r="463" spans="1:18" s="23" customFormat="1" ht="15.75">
      <c r="A463" s="21"/>
      <c r="B463" s="121" t="s">
        <v>318</v>
      </c>
      <c r="C463" s="122" t="s">
        <v>372</v>
      </c>
      <c r="D463" s="123" t="s">
        <v>317</v>
      </c>
      <c r="E463" s="123" t="s">
        <v>13</v>
      </c>
      <c r="F463" s="123" t="s">
        <v>8</v>
      </c>
      <c r="G463" s="123" t="s">
        <v>9</v>
      </c>
      <c r="H463" s="124">
        <f t="shared" si="58"/>
        <v>0</v>
      </c>
      <c r="L463" s="19">
        <v>2250.3200000000002</v>
      </c>
      <c r="M463" s="19">
        <v>2250.3200000000002</v>
      </c>
      <c r="N463" s="19">
        <v>2250.3200000000002</v>
      </c>
      <c r="O463" s="19">
        <f t="shared" si="59"/>
        <v>-2250.3200000000002</v>
      </c>
      <c r="P463" s="19" t="e">
        <f>#REF!-M463</f>
        <v>#REF!</v>
      </c>
      <c r="Q463" s="19" t="e">
        <f>#REF!-N463</f>
        <v>#REF!</v>
      </c>
      <c r="R463" s="17" t="str">
        <f t="shared" si="49"/>
        <v>00 0 00 00000000</v>
      </c>
    </row>
    <row r="464" spans="1:18" s="16" customFormat="1" ht="31.5">
      <c r="A464" s="14"/>
      <c r="B464" s="135" t="s">
        <v>385</v>
      </c>
      <c r="C464" s="109" t="s">
        <v>372</v>
      </c>
      <c r="D464" s="108" t="s">
        <v>317</v>
      </c>
      <c r="E464" s="108" t="s">
        <v>13</v>
      </c>
      <c r="F464" s="108" t="s">
        <v>386</v>
      </c>
      <c r="G464" s="108" t="s">
        <v>9</v>
      </c>
      <c r="H464" s="126">
        <f t="shared" si="58"/>
        <v>0</v>
      </c>
      <c r="L464" s="20">
        <v>2250.3200000000002</v>
      </c>
      <c r="M464" s="20">
        <v>2250.3200000000002</v>
      </c>
      <c r="N464" s="20">
        <v>2250.3200000000002</v>
      </c>
      <c r="O464" s="20">
        <f t="shared" si="59"/>
        <v>-2250.3200000000002</v>
      </c>
      <c r="P464" s="20" t="e">
        <f>#REF!-M464</f>
        <v>#REF!</v>
      </c>
      <c r="Q464" s="20" t="e">
        <f>#REF!-N464</f>
        <v>#REF!</v>
      </c>
      <c r="R464" s="17" t="str">
        <f t="shared" si="49"/>
        <v>03 0 00 00000000</v>
      </c>
    </row>
    <row r="465" spans="1:18" s="16" customFormat="1" ht="63">
      <c r="A465" s="14"/>
      <c r="B465" s="135" t="s">
        <v>387</v>
      </c>
      <c r="C465" s="109" t="s">
        <v>372</v>
      </c>
      <c r="D465" s="108" t="s">
        <v>317</v>
      </c>
      <c r="E465" s="108" t="s">
        <v>13</v>
      </c>
      <c r="F465" s="108" t="s">
        <v>388</v>
      </c>
      <c r="G465" s="108" t="s">
        <v>9</v>
      </c>
      <c r="H465" s="126">
        <f t="shared" si="58"/>
        <v>0</v>
      </c>
      <c r="L465" s="20">
        <v>2250.3200000000002</v>
      </c>
      <c r="M465" s="20">
        <v>2250.3200000000002</v>
      </c>
      <c r="N465" s="20">
        <v>2250.3200000000002</v>
      </c>
      <c r="O465" s="20">
        <f t="shared" si="59"/>
        <v>-2250.3200000000002</v>
      </c>
      <c r="P465" s="20" t="e">
        <f>#REF!-M465</f>
        <v>#REF!</v>
      </c>
      <c r="Q465" s="20" t="e">
        <f>#REF!-N465</f>
        <v>#REF!</v>
      </c>
      <c r="R465" s="17" t="str">
        <f t="shared" si="49"/>
        <v>03 2 00 00000000</v>
      </c>
    </row>
    <row r="466" spans="1:18" s="16" customFormat="1" ht="47.25">
      <c r="A466" s="14"/>
      <c r="B466" s="125" t="s">
        <v>389</v>
      </c>
      <c r="C466" s="109" t="s">
        <v>372</v>
      </c>
      <c r="D466" s="108" t="s">
        <v>317</v>
      </c>
      <c r="E466" s="108" t="s">
        <v>13</v>
      </c>
      <c r="F466" s="108" t="s">
        <v>390</v>
      </c>
      <c r="G466" s="108" t="s">
        <v>9</v>
      </c>
      <c r="H466" s="126">
        <f t="shared" si="58"/>
        <v>0</v>
      </c>
      <c r="L466" s="20">
        <v>2250.3200000000002</v>
      </c>
      <c r="M466" s="20">
        <v>2250.3200000000002</v>
      </c>
      <c r="N466" s="20">
        <v>2250.3200000000002</v>
      </c>
      <c r="O466" s="20">
        <f t="shared" si="59"/>
        <v>-2250.3200000000002</v>
      </c>
      <c r="P466" s="20" t="e">
        <f>#REF!-M466</f>
        <v>#REF!</v>
      </c>
      <c r="Q466" s="20" t="e">
        <f>#REF!-N466</f>
        <v>#REF!</v>
      </c>
      <c r="R466" s="17" t="str">
        <f t="shared" si="49"/>
        <v>03 2 02 00000000</v>
      </c>
    </row>
    <row r="467" spans="1:18" s="16" customFormat="1" ht="31.5">
      <c r="A467" s="14"/>
      <c r="B467" s="125" t="s">
        <v>391</v>
      </c>
      <c r="C467" s="109" t="s">
        <v>372</v>
      </c>
      <c r="D467" s="108" t="s">
        <v>317</v>
      </c>
      <c r="E467" s="108" t="s">
        <v>13</v>
      </c>
      <c r="F467" s="108" t="s">
        <v>392</v>
      </c>
      <c r="G467" s="108" t="s">
        <v>9</v>
      </c>
      <c r="H467" s="126">
        <f t="shared" si="58"/>
        <v>0</v>
      </c>
      <c r="L467" s="20">
        <v>2250.3200000000002</v>
      </c>
      <c r="M467" s="20">
        <v>2250.3200000000002</v>
      </c>
      <c r="N467" s="20">
        <v>2250.3200000000002</v>
      </c>
      <c r="O467" s="20">
        <f t="shared" si="59"/>
        <v>-2250.3200000000002</v>
      </c>
      <c r="P467" s="20" t="e">
        <f>#REF!-M467</f>
        <v>#REF!</v>
      </c>
      <c r="Q467" s="20" t="e">
        <f>#REF!-N467</f>
        <v>#REF!</v>
      </c>
      <c r="R467" s="17" t="str">
        <f t="shared" si="49"/>
        <v>03 2 02 80240000</v>
      </c>
    </row>
    <row r="468" spans="1:18" s="16" customFormat="1" ht="63">
      <c r="A468" s="14"/>
      <c r="B468" s="129" t="s">
        <v>203</v>
      </c>
      <c r="C468" s="109" t="s">
        <v>372</v>
      </c>
      <c r="D468" s="108" t="s">
        <v>317</v>
      </c>
      <c r="E468" s="108" t="s">
        <v>13</v>
      </c>
      <c r="F468" s="108" t="s">
        <v>392</v>
      </c>
      <c r="G468" s="108" t="s">
        <v>204</v>
      </c>
      <c r="H468" s="126">
        <f>H469</f>
        <v>0</v>
      </c>
      <c r="L468" s="20">
        <v>2250.3200000000002</v>
      </c>
      <c r="M468" s="20">
        <v>2250.3200000000002</v>
      </c>
      <c r="N468" s="20">
        <v>2250.3200000000002</v>
      </c>
      <c r="O468" s="20">
        <f t="shared" si="59"/>
        <v>-2250.3200000000002</v>
      </c>
      <c r="P468" s="20" t="e">
        <f>#REF!-M468</f>
        <v>#REF!</v>
      </c>
      <c r="Q468" s="20" t="e">
        <f>#REF!-N468</f>
        <v>#REF!</v>
      </c>
      <c r="R468" s="17" t="str">
        <f t="shared" si="49"/>
        <v>03 2 02 80240810</v>
      </c>
    </row>
    <row r="469" spans="1:18" s="16" customFormat="1" ht="63">
      <c r="A469" s="14"/>
      <c r="B469" s="125" t="s">
        <v>205</v>
      </c>
      <c r="C469" s="109" t="s">
        <v>372</v>
      </c>
      <c r="D469" s="108" t="s">
        <v>317</v>
      </c>
      <c r="E469" s="108" t="s">
        <v>13</v>
      </c>
      <c r="F469" s="108" t="s">
        <v>392</v>
      </c>
      <c r="G469" s="108" t="s">
        <v>206</v>
      </c>
      <c r="H469" s="126"/>
      <c r="L469" s="20"/>
      <c r="M469" s="20"/>
      <c r="N469" s="20"/>
      <c r="O469" s="20"/>
      <c r="P469" s="20"/>
      <c r="Q469" s="20"/>
      <c r="R469" s="17" t="str">
        <f t="shared" si="49"/>
        <v>03 2 02 80240811</v>
      </c>
    </row>
    <row r="470" spans="1:18" s="16" customFormat="1" ht="15.75">
      <c r="A470" s="14"/>
      <c r="B470" s="129"/>
      <c r="C470" s="109"/>
      <c r="D470" s="108"/>
      <c r="E470" s="108"/>
      <c r="F470" s="108"/>
      <c r="G470" s="108"/>
      <c r="H470" s="126"/>
      <c r="L470" s="20"/>
      <c r="M470" s="20"/>
      <c r="N470" s="20"/>
      <c r="O470" s="20">
        <f t="shared" ref="O470:O478" si="60">H470-L470</f>
        <v>0</v>
      </c>
      <c r="P470" s="20" t="e">
        <f>#REF!-M470</f>
        <v>#REF!</v>
      </c>
      <c r="Q470" s="20" t="e">
        <f>#REF!-N470</f>
        <v>#REF!</v>
      </c>
      <c r="R470" s="17" t="str">
        <f t="shared" si="49"/>
        <v/>
      </c>
    </row>
    <row r="471" spans="1:18" s="17" customFormat="1" ht="31.5">
      <c r="A471" s="14"/>
      <c r="B471" s="67" t="s">
        <v>393</v>
      </c>
      <c r="C471" s="116" t="s">
        <v>394</v>
      </c>
      <c r="D471" s="69" t="s">
        <v>7</v>
      </c>
      <c r="E471" s="69" t="s">
        <v>7</v>
      </c>
      <c r="F471" s="69" t="s">
        <v>8</v>
      </c>
      <c r="G471" s="69" t="s">
        <v>9</v>
      </c>
      <c r="H471" s="70">
        <f>H472+H685</f>
        <v>0</v>
      </c>
      <c r="L471" s="25">
        <v>3591355.8200000003</v>
      </c>
      <c r="M471" s="25">
        <v>3544735.11</v>
      </c>
      <c r="N471" s="25">
        <v>3539794.3999999994</v>
      </c>
      <c r="O471" s="25">
        <f t="shared" si="60"/>
        <v>-3591355.8200000003</v>
      </c>
      <c r="P471" s="25" t="e">
        <f>#REF!-M471</f>
        <v>#REF!</v>
      </c>
      <c r="Q471" s="25" t="e">
        <f>#REF!-N471</f>
        <v>#REF!</v>
      </c>
      <c r="R471" s="17" t="str">
        <f t="shared" si="49"/>
        <v>00 0 00 00000000</v>
      </c>
    </row>
    <row r="472" spans="1:18" s="17" customFormat="1" ht="15.75">
      <c r="A472" s="14"/>
      <c r="B472" s="117" t="s">
        <v>228</v>
      </c>
      <c r="C472" s="118" t="s">
        <v>394</v>
      </c>
      <c r="D472" s="119" t="s">
        <v>229</v>
      </c>
      <c r="E472" s="119" t="s">
        <v>7</v>
      </c>
      <c r="F472" s="119" t="s">
        <v>8</v>
      </c>
      <c r="G472" s="119" t="s">
        <v>9</v>
      </c>
      <c r="H472" s="120">
        <f>H473+H514+H618+H634+H581</f>
        <v>0</v>
      </c>
      <c r="L472" s="18">
        <v>3460800.93</v>
      </c>
      <c r="M472" s="18">
        <v>3414180.2199999997</v>
      </c>
      <c r="N472" s="18">
        <v>3409239.5099999993</v>
      </c>
      <c r="O472" s="18">
        <f t="shared" si="60"/>
        <v>-3460800.93</v>
      </c>
      <c r="P472" s="18" t="e">
        <f>#REF!-M472</f>
        <v>#REF!</v>
      </c>
      <c r="Q472" s="18" t="e">
        <f>#REF!-N472</f>
        <v>#REF!</v>
      </c>
      <c r="R472" s="17" t="str">
        <f t="shared" si="49"/>
        <v>00 0 00 00000000</v>
      </c>
    </row>
    <row r="473" spans="1:18" s="17" customFormat="1" ht="15.75">
      <c r="A473" s="14"/>
      <c r="B473" s="121" t="s">
        <v>395</v>
      </c>
      <c r="C473" s="122" t="s">
        <v>394</v>
      </c>
      <c r="D473" s="123" t="s">
        <v>229</v>
      </c>
      <c r="E473" s="123" t="s">
        <v>11</v>
      </c>
      <c r="F473" s="123" t="s">
        <v>8</v>
      </c>
      <c r="G473" s="123" t="s">
        <v>9</v>
      </c>
      <c r="H473" s="124">
        <f>H474+H500+H508+H494</f>
        <v>0</v>
      </c>
      <c r="L473" s="19">
        <v>1467483.43</v>
      </c>
      <c r="M473" s="19">
        <v>1477974.55</v>
      </c>
      <c r="N473" s="19">
        <v>1470182.6999999997</v>
      </c>
      <c r="O473" s="19">
        <f t="shared" si="60"/>
        <v>-1467483.43</v>
      </c>
      <c r="P473" s="19" t="e">
        <f>#REF!-M473</f>
        <v>#REF!</v>
      </c>
      <c r="Q473" s="19" t="e">
        <f>#REF!-N473</f>
        <v>#REF!</v>
      </c>
      <c r="R473" s="17" t="str">
        <f t="shared" si="49"/>
        <v>00 0 00 00000000</v>
      </c>
    </row>
    <row r="474" spans="1:18" s="17" customFormat="1" ht="31.5">
      <c r="A474" s="14"/>
      <c r="B474" s="132" t="s">
        <v>396</v>
      </c>
      <c r="C474" s="109" t="s">
        <v>394</v>
      </c>
      <c r="D474" s="108" t="s">
        <v>229</v>
      </c>
      <c r="E474" s="108" t="s">
        <v>11</v>
      </c>
      <c r="F474" s="108" t="s">
        <v>397</v>
      </c>
      <c r="G474" s="108" t="s">
        <v>9</v>
      </c>
      <c r="H474" s="126">
        <f>H475</f>
        <v>0</v>
      </c>
      <c r="L474" s="20">
        <v>1457551.92</v>
      </c>
      <c r="M474" s="20">
        <v>1451343.04</v>
      </c>
      <c r="N474" s="20">
        <v>1463801.1899999997</v>
      </c>
      <c r="O474" s="20">
        <f t="shared" si="60"/>
        <v>-1457551.92</v>
      </c>
      <c r="P474" s="20" t="e">
        <f>#REF!-M474</f>
        <v>#REF!</v>
      </c>
      <c r="Q474" s="20" t="e">
        <f>#REF!-N474</f>
        <v>#REF!</v>
      </c>
      <c r="R474" s="17" t="str">
        <f t="shared" ref="R474:R570" si="61">CONCATENATE(F474,G474)</f>
        <v>01 0 00 00000000</v>
      </c>
    </row>
    <row r="475" spans="1:18" s="17" customFormat="1" ht="31.5">
      <c r="A475" s="14"/>
      <c r="B475" s="132" t="s">
        <v>398</v>
      </c>
      <c r="C475" s="109" t="s">
        <v>394</v>
      </c>
      <c r="D475" s="108" t="s">
        <v>229</v>
      </c>
      <c r="E475" s="108" t="s">
        <v>11</v>
      </c>
      <c r="F475" s="108" t="s">
        <v>399</v>
      </c>
      <c r="G475" s="108" t="s">
        <v>9</v>
      </c>
      <c r="H475" s="126">
        <f>H476+H490</f>
        <v>0</v>
      </c>
      <c r="L475" s="20">
        <v>1457551.92</v>
      </c>
      <c r="M475" s="20">
        <v>1451343.04</v>
      </c>
      <c r="N475" s="20">
        <v>1463801.1899999997</v>
      </c>
      <c r="O475" s="20">
        <f t="shared" si="60"/>
        <v>-1457551.92</v>
      </c>
      <c r="P475" s="20" t="e">
        <f>#REF!-M475</f>
        <v>#REF!</v>
      </c>
      <c r="Q475" s="20" t="e">
        <f>#REF!-N475</f>
        <v>#REF!</v>
      </c>
      <c r="R475" s="17" t="str">
        <f t="shared" si="61"/>
        <v>01 1 00 00000000</v>
      </c>
    </row>
    <row r="476" spans="1:18" s="17" customFormat="1" ht="47.25">
      <c r="A476" s="14"/>
      <c r="B476" s="132" t="s">
        <v>400</v>
      </c>
      <c r="C476" s="109" t="s">
        <v>394</v>
      </c>
      <c r="D476" s="108" t="s">
        <v>229</v>
      </c>
      <c r="E476" s="108" t="s">
        <v>11</v>
      </c>
      <c r="F476" s="108" t="s">
        <v>401</v>
      </c>
      <c r="G476" s="108" t="s">
        <v>9</v>
      </c>
      <c r="H476" s="126">
        <f>H477+H483</f>
        <v>0</v>
      </c>
      <c r="L476" s="20">
        <v>1425828.23</v>
      </c>
      <c r="M476" s="20">
        <v>1437812.3800000001</v>
      </c>
      <c r="N476" s="20">
        <v>1450270.5299999998</v>
      </c>
      <c r="O476" s="20">
        <f t="shared" si="60"/>
        <v>-1425828.23</v>
      </c>
      <c r="P476" s="20" t="e">
        <f>#REF!-M476</f>
        <v>#REF!</v>
      </c>
      <c r="Q476" s="20" t="e">
        <f>#REF!-N476</f>
        <v>#REF!</v>
      </c>
      <c r="R476" s="17" t="str">
        <f t="shared" si="61"/>
        <v>01 1 01 00000000</v>
      </c>
    </row>
    <row r="477" spans="1:18" s="17" customFormat="1" ht="31.5">
      <c r="A477" s="14"/>
      <c r="B477" s="132" t="s">
        <v>136</v>
      </c>
      <c r="C477" s="109" t="s">
        <v>394</v>
      </c>
      <c r="D477" s="108" t="s">
        <v>229</v>
      </c>
      <c r="E477" s="108" t="s">
        <v>11</v>
      </c>
      <c r="F477" s="108" t="s">
        <v>402</v>
      </c>
      <c r="G477" s="108" t="s">
        <v>9</v>
      </c>
      <c r="H477" s="126">
        <f>H478+H481</f>
        <v>0</v>
      </c>
      <c r="L477" s="20">
        <v>690348.79</v>
      </c>
      <c r="M477" s="20">
        <v>690348.79</v>
      </c>
      <c r="N477" s="20">
        <v>690348.79</v>
      </c>
      <c r="O477" s="20">
        <f t="shared" si="60"/>
        <v>-690348.79</v>
      </c>
      <c r="P477" s="20" t="e">
        <f>#REF!-M477</f>
        <v>#REF!</v>
      </c>
      <c r="Q477" s="20" t="e">
        <f>#REF!-N477</f>
        <v>#REF!</v>
      </c>
      <c r="R477" s="17" t="str">
        <f t="shared" si="61"/>
        <v>01 1 01 11010000</v>
      </c>
    </row>
    <row r="478" spans="1:18" s="17" customFormat="1" ht="15.75">
      <c r="A478" s="14"/>
      <c r="B478" s="132" t="s">
        <v>403</v>
      </c>
      <c r="C478" s="109" t="s">
        <v>394</v>
      </c>
      <c r="D478" s="108" t="s">
        <v>229</v>
      </c>
      <c r="E478" s="108" t="s">
        <v>11</v>
      </c>
      <c r="F478" s="108" t="s">
        <v>402</v>
      </c>
      <c r="G478" s="108" t="s">
        <v>404</v>
      </c>
      <c r="H478" s="126">
        <f>SUM(H479:H480)</f>
        <v>0</v>
      </c>
      <c r="L478" s="20">
        <v>660072.98</v>
      </c>
      <c r="M478" s="20">
        <v>660072.98</v>
      </c>
      <c r="N478" s="20">
        <v>660072.98</v>
      </c>
      <c r="O478" s="20">
        <f t="shared" si="60"/>
        <v>-660072.98</v>
      </c>
      <c r="P478" s="20" t="e">
        <f>#REF!-M478</f>
        <v>#REF!</v>
      </c>
      <c r="Q478" s="20" t="e">
        <f>#REF!-N478</f>
        <v>#REF!</v>
      </c>
      <c r="R478" s="17" t="str">
        <f t="shared" si="61"/>
        <v>01 1 01 11010610</v>
      </c>
    </row>
    <row r="479" spans="1:18" s="24" customFormat="1" ht="63">
      <c r="A479" s="21"/>
      <c r="B479" s="127" t="s">
        <v>405</v>
      </c>
      <c r="C479" s="109" t="s">
        <v>394</v>
      </c>
      <c r="D479" s="108" t="s">
        <v>229</v>
      </c>
      <c r="E479" s="108" t="s">
        <v>11</v>
      </c>
      <c r="F479" s="108" t="s">
        <v>402</v>
      </c>
      <c r="G479" s="108" t="s">
        <v>406</v>
      </c>
      <c r="H479" s="126"/>
      <c r="L479" s="22"/>
      <c r="M479" s="22"/>
      <c r="N479" s="22"/>
      <c r="O479" s="22"/>
      <c r="P479" s="22"/>
      <c r="Q479" s="22"/>
    </row>
    <row r="480" spans="1:18" s="24" customFormat="1" ht="15.75">
      <c r="A480" s="21"/>
      <c r="B480" s="127" t="s">
        <v>407</v>
      </c>
      <c r="C480" s="109" t="s">
        <v>394</v>
      </c>
      <c r="D480" s="108" t="s">
        <v>229</v>
      </c>
      <c r="E480" s="108" t="s">
        <v>11</v>
      </c>
      <c r="F480" s="108" t="s">
        <v>402</v>
      </c>
      <c r="G480" s="108" t="s">
        <v>408</v>
      </c>
      <c r="H480" s="126"/>
      <c r="L480" s="22"/>
      <c r="M480" s="22"/>
      <c r="N480" s="22"/>
      <c r="O480" s="22"/>
      <c r="P480" s="22"/>
      <c r="Q480" s="22"/>
    </row>
    <row r="481" spans="1:18" s="17" customFormat="1" ht="15.75">
      <c r="A481" s="14"/>
      <c r="B481" s="132" t="s">
        <v>409</v>
      </c>
      <c r="C481" s="109" t="s">
        <v>394</v>
      </c>
      <c r="D481" s="108" t="s">
        <v>229</v>
      </c>
      <c r="E481" s="108" t="s">
        <v>11</v>
      </c>
      <c r="F481" s="108" t="s">
        <v>402</v>
      </c>
      <c r="G481" s="108" t="s">
        <v>410</v>
      </c>
      <c r="H481" s="126">
        <f>H482</f>
        <v>0</v>
      </c>
      <c r="L481" s="20">
        <v>30275.81</v>
      </c>
      <c r="M481" s="20">
        <v>30275.81</v>
      </c>
      <c r="N481" s="20">
        <v>30275.81</v>
      </c>
      <c r="O481" s="20">
        <f>H481-L481</f>
        <v>-30275.81</v>
      </c>
      <c r="P481" s="20" t="e">
        <f>#REF!-M481</f>
        <v>#REF!</v>
      </c>
      <c r="Q481" s="20" t="e">
        <f>#REF!-N481</f>
        <v>#REF!</v>
      </c>
      <c r="R481" s="17" t="str">
        <f t="shared" si="61"/>
        <v>01 1 01 11010620</v>
      </c>
    </row>
    <row r="482" spans="1:18" s="24" customFormat="1" ht="63">
      <c r="A482" s="21"/>
      <c r="B482" s="127" t="s">
        <v>411</v>
      </c>
      <c r="C482" s="109" t="s">
        <v>394</v>
      </c>
      <c r="D482" s="108" t="s">
        <v>229</v>
      </c>
      <c r="E482" s="108" t="s">
        <v>11</v>
      </c>
      <c r="F482" s="108" t="s">
        <v>402</v>
      </c>
      <c r="G482" s="108" t="s">
        <v>412</v>
      </c>
      <c r="H482" s="126"/>
      <c r="L482" s="22"/>
      <c r="M482" s="22"/>
      <c r="N482" s="22"/>
      <c r="O482" s="22"/>
      <c r="P482" s="22"/>
      <c r="Q482" s="22"/>
    </row>
    <row r="483" spans="1:18" s="17" customFormat="1" ht="110.25">
      <c r="A483" s="14" t="s">
        <v>80</v>
      </c>
      <c r="B483" s="125" t="s">
        <v>413</v>
      </c>
      <c r="C483" s="109" t="s">
        <v>394</v>
      </c>
      <c r="D483" s="108" t="s">
        <v>229</v>
      </c>
      <c r="E483" s="108" t="s">
        <v>11</v>
      </c>
      <c r="F483" s="108" t="s">
        <v>414</v>
      </c>
      <c r="G483" s="108" t="s">
        <v>9</v>
      </c>
      <c r="H483" s="126">
        <f>H484+H486+H488</f>
        <v>0</v>
      </c>
      <c r="L483" s="20">
        <v>735479.44</v>
      </c>
      <c r="M483" s="20">
        <v>747463.59000000008</v>
      </c>
      <c r="N483" s="20">
        <v>759921.73999999987</v>
      </c>
      <c r="O483" s="20">
        <f>H483-L483</f>
        <v>-735479.44</v>
      </c>
      <c r="P483" s="20" t="e">
        <f>#REF!-M483</f>
        <v>#REF!</v>
      </c>
      <c r="Q483" s="20" t="e">
        <f>#REF!-N483</f>
        <v>#REF!</v>
      </c>
      <c r="R483" s="17" t="str">
        <f t="shared" si="61"/>
        <v>01 1 01 77170000</v>
      </c>
    </row>
    <row r="484" spans="1:18" s="17" customFormat="1" ht="15.75">
      <c r="A484" s="14"/>
      <c r="B484" s="132" t="s">
        <v>403</v>
      </c>
      <c r="C484" s="109" t="s">
        <v>394</v>
      </c>
      <c r="D484" s="108" t="s">
        <v>229</v>
      </c>
      <c r="E484" s="108" t="s">
        <v>11</v>
      </c>
      <c r="F484" s="108" t="s">
        <v>414</v>
      </c>
      <c r="G484" s="108" t="s">
        <v>404</v>
      </c>
      <c r="H484" s="126">
        <f>H485</f>
        <v>0</v>
      </c>
      <c r="L484" s="20">
        <v>697969.32</v>
      </c>
      <c r="M484" s="20">
        <v>709342.29</v>
      </c>
      <c r="N484" s="20">
        <v>721037.94</v>
      </c>
      <c r="O484" s="20">
        <f>H484-L484</f>
        <v>-697969.32</v>
      </c>
      <c r="P484" s="20" t="e">
        <f>#REF!-M484</f>
        <v>#REF!</v>
      </c>
      <c r="Q484" s="20" t="e">
        <f>#REF!-N484</f>
        <v>#REF!</v>
      </c>
      <c r="R484" s="17" t="str">
        <f t="shared" si="61"/>
        <v>01 1 01 77170610</v>
      </c>
    </row>
    <row r="485" spans="1:18" s="24" customFormat="1" ht="63">
      <c r="A485" s="21"/>
      <c r="B485" s="127" t="s">
        <v>405</v>
      </c>
      <c r="C485" s="109" t="s">
        <v>394</v>
      </c>
      <c r="D485" s="108" t="s">
        <v>229</v>
      </c>
      <c r="E485" s="108" t="s">
        <v>11</v>
      </c>
      <c r="F485" s="108" t="s">
        <v>414</v>
      </c>
      <c r="G485" s="108" t="s">
        <v>406</v>
      </c>
      <c r="H485" s="126"/>
      <c r="L485" s="22"/>
      <c r="M485" s="22"/>
      <c r="N485" s="22"/>
      <c r="O485" s="22"/>
      <c r="P485" s="22"/>
      <c r="Q485" s="22"/>
    </row>
    <row r="486" spans="1:18" s="17" customFormat="1" ht="15.75">
      <c r="A486" s="14"/>
      <c r="B486" s="132" t="s">
        <v>409</v>
      </c>
      <c r="C486" s="109" t="s">
        <v>394</v>
      </c>
      <c r="D486" s="108" t="s">
        <v>229</v>
      </c>
      <c r="E486" s="108" t="s">
        <v>11</v>
      </c>
      <c r="F486" s="108" t="s">
        <v>414</v>
      </c>
      <c r="G486" s="108" t="s">
        <v>410</v>
      </c>
      <c r="H486" s="126">
        <f>H487</f>
        <v>0</v>
      </c>
      <c r="L486" s="20">
        <v>32582.5</v>
      </c>
      <c r="M486" s="20">
        <v>33113.4</v>
      </c>
      <c r="N486" s="20">
        <v>33775.699999999997</v>
      </c>
      <c r="O486" s="20">
        <f>H486-L486</f>
        <v>-32582.5</v>
      </c>
      <c r="P486" s="20" t="e">
        <f>#REF!-M486</f>
        <v>#REF!</v>
      </c>
      <c r="Q486" s="20" t="e">
        <f>#REF!-N486</f>
        <v>#REF!</v>
      </c>
      <c r="R486" s="17" t="str">
        <f t="shared" si="61"/>
        <v>01 1 01 77170620</v>
      </c>
    </row>
    <row r="487" spans="1:18" s="24" customFormat="1" ht="63">
      <c r="A487" s="21"/>
      <c r="B487" s="127" t="s">
        <v>411</v>
      </c>
      <c r="C487" s="109" t="s">
        <v>394</v>
      </c>
      <c r="D487" s="108" t="s">
        <v>229</v>
      </c>
      <c r="E487" s="108" t="s">
        <v>11</v>
      </c>
      <c r="F487" s="108" t="s">
        <v>414</v>
      </c>
      <c r="G487" s="108" t="s">
        <v>412</v>
      </c>
      <c r="H487" s="126"/>
      <c r="L487" s="22"/>
      <c r="M487" s="22"/>
      <c r="N487" s="22"/>
      <c r="O487" s="22"/>
      <c r="P487" s="22"/>
      <c r="Q487" s="22"/>
    </row>
    <row r="488" spans="1:18" s="17" customFormat="1" ht="47.25">
      <c r="A488" s="14"/>
      <c r="B488" s="125" t="s">
        <v>182</v>
      </c>
      <c r="C488" s="109" t="s">
        <v>394</v>
      </c>
      <c r="D488" s="108" t="s">
        <v>229</v>
      </c>
      <c r="E488" s="108" t="s">
        <v>11</v>
      </c>
      <c r="F488" s="108" t="s">
        <v>414</v>
      </c>
      <c r="G488" s="108" t="s">
        <v>183</v>
      </c>
      <c r="H488" s="126">
        <f>H489</f>
        <v>0</v>
      </c>
      <c r="L488" s="20">
        <v>4927.62</v>
      </c>
      <c r="M488" s="20">
        <v>5007.8999999999996</v>
      </c>
      <c r="N488" s="20">
        <v>5108.1000000000004</v>
      </c>
      <c r="O488" s="20">
        <f>H488-L488</f>
        <v>-4927.62</v>
      </c>
      <c r="P488" s="20" t="e">
        <f>#REF!-M488</f>
        <v>#REF!</v>
      </c>
      <c r="Q488" s="20" t="e">
        <f>#REF!-N488</f>
        <v>#REF!</v>
      </c>
      <c r="R488" s="17" t="str">
        <f t="shared" si="61"/>
        <v>01 1 01 77170630</v>
      </c>
    </row>
    <row r="489" spans="1:18" s="24" customFormat="1" ht="110.25">
      <c r="A489" s="21"/>
      <c r="B489" s="127" t="s">
        <v>415</v>
      </c>
      <c r="C489" s="109" t="s">
        <v>394</v>
      </c>
      <c r="D489" s="108" t="s">
        <v>229</v>
      </c>
      <c r="E489" s="108" t="s">
        <v>11</v>
      </c>
      <c r="F489" s="108" t="s">
        <v>414</v>
      </c>
      <c r="G489" s="108" t="s">
        <v>416</v>
      </c>
      <c r="H489" s="126"/>
      <c r="L489" s="22"/>
      <c r="M489" s="22"/>
      <c r="N489" s="22"/>
      <c r="O489" s="22"/>
      <c r="P489" s="22"/>
      <c r="Q489" s="22"/>
    </row>
    <row r="490" spans="1:18" s="17" customFormat="1" ht="78.75">
      <c r="A490" s="14"/>
      <c r="B490" s="125" t="s">
        <v>417</v>
      </c>
      <c r="C490" s="109" t="s">
        <v>394</v>
      </c>
      <c r="D490" s="108" t="s">
        <v>229</v>
      </c>
      <c r="E490" s="108" t="s">
        <v>11</v>
      </c>
      <c r="F490" s="108" t="s">
        <v>418</v>
      </c>
      <c r="G490" s="108" t="s">
        <v>9</v>
      </c>
      <c r="H490" s="126">
        <f>H491</f>
        <v>0</v>
      </c>
      <c r="L490" s="20">
        <v>31723.69</v>
      </c>
      <c r="M490" s="20">
        <v>13530.66</v>
      </c>
      <c r="N490" s="20">
        <v>13530.66</v>
      </c>
      <c r="O490" s="20">
        <f>H490-L490</f>
        <v>-31723.69</v>
      </c>
      <c r="P490" s="20" t="e">
        <f>#REF!-M490</f>
        <v>#REF!</v>
      </c>
      <c r="Q490" s="20" t="e">
        <f>#REF!-N490</f>
        <v>#REF!</v>
      </c>
      <c r="R490" s="17" t="str">
        <f t="shared" si="61"/>
        <v>01 1 06 00000000</v>
      </c>
    </row>
    <row r="491" spans="1:18" s="17" customFormat="1" ht="31.5">
      <c r="A491" s="14"/>
      <c r="B491" s="132" t="s">
        <v>136</v>
      </c>
      <c r="C491" s="109" t="s">
        <v>394</v>
      </c>
      <c r="D491" s="108" t="s">
        <v>229</v>
      </c>
      <c r="E491" s="108" t="s">
        <v>11</v>
      </c>
      <c r="F491" s="108" t="s">
        <v>419</v>
      </c>
      <c r="G491" s="108" t="s">
        <v>9</v>
      </c>
      <c r="H491" s="126">
        <f>H492</f>
        <v>0</v>
      </c>
      <c r="L491" s="20">
        <v>31723.69</v>
      </c>
      <c r="M491" s="20">
        <v>13530.66</v>
      </c>
      <c r="N491" s="20">
        <v>13530.66</v>
      </c>
      <c r="O491" s="20">
        <f>H491-L491</f>
        <v>-31723.69</v>
      </c>
      <c r="P491" s="20" t="e">
        <f>#REF!-M491</f>
        <v>#REF!</v>
      </c>
      <c r="Q491" s="20" t="e">
        <f>#REF!-N491</f>
        <v>#REF!</v>
      </c>
      <c r="R491" s="17" t="str">
        <f t="shared" si="61"/>
        <v>01 1 06 11010000</v>
      </c>
    </row>
    <row r="492" spans="1:18" s="17" customFormat="1" ht="15.75">
      <c r="A492" s="14"/>
      <c r="B492" s="132" t="s">
        <v>403</v>
      </c>
      <c r="C492" s="109" t="s">
        <v>394</v>
      </c>
      <c r="D492" s="108" t="s">
        <v>229</v>
      </c>
      <c r="E492" s="108" t="s">
        <v>11</v>
      </c>
      <c r="F492" s="108" t="s">
        <v>419</v>
      </c>
      <c r="G492" s="108" t="s">
        <v>404</v>
      </c>
      <c r="H492" s="126">
        <f>H493</f>
        <v>0</v>
      </c>
      <c r="L492" s="20">
        <v>31723.69</v>
      </c>
      <c r="M492" s="20">
        <v>13530.66</v>
      </c>
      <c r="N492" s="20">
        <v>13530.66</v>
      </c>
      <c r="O492" s="20">
        <f>H492-L492</f>
        <v>-31723.69</v>
      </c>
      <c r="P492" s="20" t="e">
        <f>#REF!-M492</f>
        <v>#REF!</v>
      </c>
      <c r="Q492" s="20" t="e">
        <f>#REF!-N492</f>
        <v>#REF!</v>
      </c>
      <c r="R492" s="17" t="str">
        <f t="shared" si="61"/>
        <v>01 1 06 11010610</v>
      </c>
    </row>
    <row r="493" spans="1:18" s="24" customFormat="1" ht="15.75">
      <c r="A493" s="21"/>
      <c r="B493" s="127" t="s">
        <v>407</v>
      </c>
      <c r="C493" s="109" t="s">
        <v>394</v>
      </c>
      <c r="D493" s="108" t="s">
        <v>229</v>
      </c>
      <c r="E493" s="108" t="s">
        <v>11</v>
      </c>
      <c r="F493" s="108" t="s">
        <v>419</v>
      </c>
      <c r="G493" s="108" t="s">
        <v>408</v>
      </c>
      <c r="H493" s="126"/>
      <c r="L493" s="22"/>
      <c r="M493" s="22"/>
      <c r="N493" s="22"/>
      <c r="O493" s="22"/>
      <c r="P493" s="22"/>
      <c r="Q493" s="22"/>
    </row>
    <row r="494" spans="1:18" s="17" customFormat="1" ht="47.25">
      <c r="A494" s="14"/>
      <c r="B494" s="132" t="s">
        <v>146</v>
      </c>
      <c r="C494" s="109" t="s">
        <v>394</v>
      </c>
      <c r="D494" s="108" t="s">
        <v>229</v>
      </c>
      <c r="E494" s="108" t="s">
        <v>11</v>
      </c>
      <c r="F494" s="108" t="s">
        <v>147</v>
      </c>
      <c r="G494" s="108" t="s">
        <v>9</v>
      </c>
      <c r="H494" s="126">
        <f>H495</f>
        <v>0</v>
      </c>
      <c r="L494" s="20">
        <v>3550</v>
      </c>
      <c r="M494" s="20">
        <v>20250</v>
      </c>
      <c r="N494" s="20">
        <v>0</v>
      </c>
      <c r="O494" s="20">
        <f>H494-L494</f>
        <v>-3550</v>
      </c>
      <c r="P494" s="20" t="e">
        <f>#REF!-M494</f>
        <v>#REF!</v>
      </c>
      <c r="Q494" s="20" t="e">
        <f>#REF!-N494</f>
        <v>#REF!</v>
      </c>
      <c r="R494" s="17" t="str">
        <f t="shared" si="61"/>
        <v>15 0 00 00000000</v>
      </c>
    </row>
    <row r="495" spans="1:18" s="17" customFormat="1" ht="15.75">
      <c r="A495" s="14"/>
      <c r="B495" s="132" t="s">
        <v>148</v>
      </c>
      <c r="C495" s="109" t="s">
        <v>394</v>
      </c>
      <c r="D495" s="108" t="s">
        <v>229</v>
      </c>
      <c r="E495" s="108" t="s">
        <v>11</v>
      </c>
      <c r="F495" s="108" t="s">
        <v>149</v>
      </c>
      <c r="G495" s="108" t="s">
        <v>9</v>
      </c>
      <c r="H495" s="126">
        <f>H496</f>
        <v>0</v>
      </c>
      <c r="L495" s="20">
        <v>3550</v>
      </c>
      <c r="M495" s="20">
        <v>20250</v>
      </c>
      <c r="N495" s="20">
        <v>0</v>
      </c>
      <c r="O495" s="20">
        <f>H495-L495</f>
        <v>-3550</v>
      </c>
      <c r="P495" s="20" t="e">
        <f>#REF!-M495</f>
        <v>#REF!</v>
      </c>
      <c r="Q495" s="20" t="e">
        <f>#REF!-N495</f>
        <v>#REF!</v>
      </c>
      <c r="R495" s="17" t="str">
        <f t="shared" si="61"/>
        <v>15 1 00 00000000</v>
      </c>
    </row>
    <row r="496" spans="1:18" s="17" customFormat="1" ht="47.25">
      <c r="A496" s="14"/>
      <c r="B496" s="135" t="s">
        <v>273</v>
      </c>
      <c r="C496" s="109" t="s">
        <v>394</v>
      </c>
      <c r="D496" s="108" t="s">
        <v>229</v>
      </c>
      <c r="E496" s="108" t="s">
        <v>11</v>
      </c>
      <c r="F496" s="108" t="s">
        <v>274</v>
      </c>
      <c r="G496" s="108" t="s">
        <v>9</v>
      </c>
      <c r="H496" s="126">
        <f>H497</f>
        <v>0</v>
      </c>
      <c r="L496" s="20">
        <v>3550</v>
      </c>
      <c r="M496" s="20">
        <v>20250</v>
      </c>
      <c r="N496" s="20">
        <v>0</v>
      </c>
      <c r="O496" s="20">
        <f>H496-L496</f>
        <v>-3550</v>
      </c>
      <c r="P496" s="20" t="e">
        <f>#REF!-M496</f>
        <v>#REF!</v>
      </c>
      <c r="Q496" s="20" t="e">
        <f>#REF!-N496</f>
        <v>#REF!</v>
      </c>
      <c r="R496" s="17" t="str">
        <f t="shared" si="61"/>
        <v>15 1 02 00000000</v>
      </c>
    </row>
    <row r="497" spans="1:18" s="17" customFormat="1" ht="47.25">
      <c r="A497" s="14"/>
      <c r="B497" s="132" t="s">
        <v>152</v>
      </c>
      <c r="C497" s="109" t="s">
        <v>394</v>
      </c>
      <c r="D497" s="108" t="s">
        <v>229</v>
      </c>
      <c r="E497" s="108" t="s">
        <v>11</v>
      </c>
      <c r="F497" s="108" t="s">
        <v>275</v>
      </c>
      <c r="G497" s="108" t="s">
        <v>9</v>
      </c>
      <c r="H497" s="126">
        <f>H498</f>
        <v>0</v>
      </c>
      <c r="L497" s="20">
        <v>3550</v>
      </c>
      <c r="M497" s="20">
        <v>20250</v>
      </c>
      <c r="N497" s="20">
        <v>0</v>
      </c>
      <c r="O497" s="20">
        <f>H497-L497</f>
        <v>-3550</v>
      </c>
      <c r="P497" s="20" t="e">
        <f>#REF!-M497</f>
        <v>#REF!</v>
      </c>
      <c r="Q497" s="20" t="e">
        <f>#REF!-N497</f>
        <v>#REF!</v>
      </c>
      <c r="R497" s="17" t="str">
        <f t="shared" si="61"/>
        <v>15 1 02 20350000</v>
      </c>
    </row>
    <row r="498" spans="1:18" s="17" customFormat="1" ht="15.75">
      <c r="A498" s="14"/>
      <c r="B498" s="132" t="s">
        <v>403</v>
      </c>
      <c r="C498" s="109" t="s">
        <v>394</v>
      </c>
      <c r="D498" s="108" t="s">
        <v>229</v>
      </c>
      <c r="E498" s="108" t="s">
        <v>11</v>
      </c>
      <c r="F498" s="108" t="s">
        <v>275</v>
      </c>
      <c r="G498" s="108" t="s">
        <v>404</v>
      </c>
      <c r="H498" s="126">
        <f>H499</f>
        <v>0</v>
      </c>
      <c r="L498" s="20">
        <v>3550</v>
      </c>
      <c r="M498" s="20">
        <v>20250</v>
      </c>
      <c r="N498" s="20">
        <v>0</v>
      </c>
      <c r="O498" s="20">
        <f>H498-L498</f>
        <v>-3550</v>
      </c>
      <c r="P498" s="20" t="e">
        <f>#REF!-M498</f>
        <v>#REF!</v>
      </c>
      <c r="Q498" s="20" t="e">
        <f>#REF!-N498</f>
        <v>#REF!</v>
      </c>
      <c r="R498" s="17" t="str">
        <f t="shared" si="61"/>
        <v>15 1 02 20350610</v>
      </c>
    </row>
    <row r="499" spans="1:18" s="24" customFormat="1" ht="15.75">
      <c r="A499" s="21"/>
      <c r="B499" s="127" t="s">
        <v>407</v>
      </c>
      <c r="C499" s="109" t="s">
        <v>394</v>
      </c>
      <c r="D499" s="108" t="s">
        <v>229</v>
      </c>
      <c r="E499" s="108" t="s">
        <v>11</v>
      </c>
      <c r="F499" s="108" t="s">
        <v>275</v>
      </c>
      <c r="G499" s="108" t="s">
        <v>408</v>
      </c>
      <c r="H499" s="126"/>
      <c r="L499" s="22"/>
      <c r="M499" s="22"/>
      <c r="N499" s="22"/>
      <c r="O499" s="22"/>
      <c r="P499" s="22"/>
      <c r="Q499" s="22"/>
    </row>
    <row r="500" spans="1:18" s="17" customFormat="1" ht="94.5">
      <c r="A500" s="14"/>
      <c r="B500" s="125" t="s">
        <v>420</v>
      </c>
      <c r="C500" s="109" t="s">
        <v>394</v>
      </c>
      <c r="D500" s="108" t="s">
        <v>229</v>
      </c>
      <c r="E500" s="108" t="s">
        <v>11</v>
      </c>
      <c r="F500" s="108" t="s">
        <v>421</v>
      </c>
      <c r="G500" s="108" t="s">
        <v>9</v>
      </c>
      <c r="H500" s="126">
        <f t="shared" ref="H500:H502" si="62">H501</f>
        <v>0</v>
      </c>
      <c r="L500" s="20">
        <v>3842.64</v>
      </c>
      <c r="M500" s="20">
        <v>3842.64</v>
      </c>
      <c r="N500" s="20">
        <v>3842.64</v>
      </c>
      <c r="O500" s="20">
        <f>H500-L500</f>
        <v>-3842.64</v>
      </c>
      <c r="P500" s="20" t="e">
        <f>#REF!-M500</f>
        <v>#REF!</v>
      </c>
      <c r="Q500" s="20" t="e">
        <f>#REF!-N500</f>
        <v>#REF!</v>
      </c>
      <c r="R500" s="17" t="str">
        <f t="shared" si="61"/>
        <v>16 0 00 00000000</v>
      </c>
    </row>
    <row r="501" spans="1:18" s="17" customFormat="1" ht="31.5">
      <c r="A501" s="14"/>
      <c r="B501" s="125" t="s">
        <v>422</v>
      </c>
      <c r="C501" s="109" t="s">
        <v>394</v>
      </c>
      <c r="D501" s="108" t="s">
        <v>229</v>
      </c>
      <c r="E501" s="108" t="s">
        <v>11</v>
      </c>
      <c r="F501" s="108" t="s">
        <v>423</v>
      </c>
      <c r="G501" s="108" t="s">
        <v>9</v>
      </c>
      <c r="H501" s="126">
        <f t="shared" si="62"/>
        <v>0</v>
      </c>
      <c r="L501" s="20">
        <v>3842.64</v>
      </c>
      <c r="M501" s="20">
        <v>3842.64</v>
      </c>
      <c r="N501" s="20">
        <v>3842.64</v>
      </c>
      <c r="O501" s="20">
        <f>H501-L501</f>
        <v>-3842.64</v>
      </c>
      <c r="P501" s="20" t="e">
        <f>#REF!-M501</f>
        <v>#REF!</v>
      </c>
      <c r="Q501" s="20" t="e">
        <f>#REF!-N501</f>
        <v>#REF!</v>
      </c>
      <c r="R501" s="17" t="str">
        <f t="shared" si="61"/>
        <v>16 2 00 00000000</v>
      </c>
    </row>
    <row r="502" spans="1:18" s="17" customFormat="1" ht="47.25">
      <c r="A502" s="14"/>
      <c r="B502" s="125" t="s">
        <v>424</v>
      </c>
      <c r="C502" s="109" t="s">
        <v>394</v>
      </c>
      <c r="D502" s="108" t="s">
        <v>229</v>
      </c>
      <c r="E502" s="108" t="s">
        <v>11</v>
      </c>
      <c r="F502" s="108" t="s">
        <v>425</v>
      </c>
      <c r="G502" s="108" t="s">
        <v>9</v>
      </c>
      <c r="H502" s="126">
        <f t="shared" si="62"/>
        <v>0</v>
      </c>
      <c r="L502" s="20">
        <v>3842.64</v>
      </c>
      <c r="M502" s="20">
        <v>3842.64</v>
      </c>
      <c r="N502" s="20">
        <v>3842.64</v>
      </c>
      <c r="O502" s="20">
        <f>H502-L502</f>
        <v>-3842.64</v>
      </c>
      <c r="P502" s="20" t="e">
        <f>#REF!-M502</f>
        <v>#REF!</v>
      </c>
      <c r="Q502" s="20" t="e">
        <f>#REF!-N502</f>
        <v>#REF!</v>
      </c>
      <c r="R502" s="17" t="str">
        <f t="shared" si="61"/>
        <v>16 2 02 00000000</v>
      </c>
    </row>
    <row r="503" spans="1:18" s="17" customFormat="1" ht="47.25">
      <c r="A503" s="14"/>
      <c r="B503" s="125" t="s">
        <v>426</v>
      </c>
      <c r="C503" s="109" t="s">
        <v>394</v>
      </c>
      <c r="D503" s="108" t="s">
        <v>229</v>
      </c>
      <c r="E503" s="108" t="s">
        <v>11</v>
      </c>
      <c r="F503" s="108" t="s">
        <v>427</v>
      </c>
      <c r="G503" s="108" t="s">
        <v>9</v>
      </c>
      <c r="H503" s="126">
        <f>H504+H506</f>
        <v>0</v>
      </c>
      <c r="L503" s="20">
        <v>3842.64</v>
      </c>
      <c r="M503" s="20">
        <v>3842.64</v>
      </c>
      <c r="N503" s="20">
        <v>3842.64</v>
      </c>
      <c r="O503" s="20">
        <f>H503-L503</f>
        <v>-3842.64</v>
      </c>
      <c r="P503" s="20" t="e">
        <f>#REF!-M503</f>
        <v>#REF!</v>
      </c>
      <c r="Q503" s="20" t="e">
        <f>#REF!-N503</f>
        <v>#REF!</v>
      </c>
      <c r="R503" s="17" t="str">
        <f t="shared" si="61"/>
        <v>16 2 02 20550000</v>
      </c>
    </row>
    <row r="504" spans="1:18" s="17" customFormat="1" ht="15.75">
      <c r="A504" s="14"/>
      <c r="B504" s="132" t="s">
        <v>403</v>
      </c>
      <c r="C504" s="109" t="s">
        <v>394</v>
      </c>
      <c r="D504" s="108" t="s">
        <v>229</v>
      </c>
      <c r="E504" s="108" t="s">
        <v>11</v>
      </c>
      <c r="F504" s="108" t="s">
        <v>427</v>
      </c>
      <c r="G504" s="108" t="s">
        <v>404</v>
      </c>
      <c r="H504" s="126">
        <f>H505</f>
        <v>0</v>
      </c>
      <c r="L504" s="20">
        <v>3744.14</v>
      </c>
      <c r="M504" s="20">
        <v>3744.14</v>
      </c>
      <c r="N504" s="20">
        <v>3744.14</v>
      </c>
      <c r="O504" s="20">
        <f>H504-L504</f>
        <v>-3744.14</v>
      </c>
      <c r="P504" s="20" t="e">
        <f>#REF!-M504</f>
        <v>#REF!</v>
      </c>
      <c r="Q504" s="20" t="e">
        <f>#REF!-N504</f>
        <v>#REF!</v>
      </c>
      <c r="R504" s="17" t="str">
        <f t="shared" si="61"/>
        <v>16 2 02 20550610</v>
      </c>
    </row>
    <row r="505" spans="1:18" s="24" customFormat="1" ht="15.75">
      <c r="A505" s="21"/>
      <c r="B505" s="127" t="s">
        <v>407</v>
      </c>
      <c r="C505" s="109" t="s">
        <v>394</v>
      </c>
      <c r="D505" s="108" t="s">
        <v>229</v>
      </c>
      <c r="E505" s="108" t="s">
        <v>11</v>
      </c>
      <c r="F505" s="108" t="s">
        <v>427</v>
      </c>
      <c r="G505" s="108" t="s">
        <v>408</v>
      </c>
      <c r="H505" s="126"/>
      <c r="L505" s="22"/>
      <c r="M505" s="22"/>
      <c r="N505" s="22"/>
      <c r="O505" s="22"/>
      <c r="P505" s="22"/>
      <c r="Q505" s="22"/>
    </row>
    <row r="506" spans="1:18" s="17" customFormat="1" ht="15.75">
      <c r="A506" s="14"/>
      <c r="B506" s="132" t="s">
        <v>409</v>
      </c>
      <c r="C506" s="109" t="s">
        <v>394</v>
      </c>
      <c r="D506" s="108" t="s">
        <v>229</v>
      </c>
      <c r="E506" s="108" t="s">
        <v>11</v>
      </c>
      <c r="F506" s="108" t="s">
        <v>427</v>
      </c>
      <c r="G506" s="108" t="s">
        <v>410</v>
      </c>
      <c r="H506" s="126">
        <f>H507</f>
        <v>0</v>
      </c>
      <c r="L506" s="20">
        <v>98.5</v>
      </c>
      <c r="M506" s="20">
        <v>98.5</v>
      </c>
      <c r="N506" s="20">
        <v>98.5</v>
      </c>
      <c r="O506" s="20">
        <f>H506-L506</f>
        <v>-98.5</v>
      </c>
      <c r="P506" s="20" t="e">
        <f>#REF!-M506</f>
        <v>#REF!</v>
      </c>
      <c r="Q506" s="20" t="e">
        <f>#REF!-N506</f>
        <v>#REF!</v>
      </c>
      <c r="R506" s="17" t="str">
        <f t="shared" si="61"/>
        <v>16 2 02 20550620</v>
      </c>
    </row>
    <row r="507" spans="1:18" s="24" customFormat="1" ht="15.75">
      <c r="A507" s="21"/>
      <c r="B507" s="127" t="s">
        <v>428</v>
      </c>
      <c r="C507" s="109" t="s">
        <v>394</v>
      </c>
      <c r="D507" s="108" t="s">
        <v>229</v>
      </c>
      <c r="E507" s="108" t="s">
        <v>11</v>
      </c>
      <c r="F507" s="108" t="s">
        <v>427</v>
      </c>
      <c r="G507" s="108" t="s">
        <v>429</v>
      </c>
      <c r="H507" s="126"/>
      <c r="L507" s="22"/>
      <c r="M507" s="22"/>
      <c r="N507" s="22"/>
      <c r="O507" s="22"/>
      <c r="P507" s="22"/>
      <c r="Q507" s="22"/>
    </row>
    <row r="508" spans="1:18" s="17" customFormat="1" ht="47.25">
      <c r="A508" s="14"/>
      <c r="B508" s="125" t="s">
        <v>430</v>
      </c>
      <c r="C508" s="109" t="s">
        <v>394</v>
      </c>
      <c r="D508" s="108" t="s">
        <v>229</v>
      </c>
      <c r="E508" s="108" t="s">
        <v>11</v>
      </c>
      <c r="F508" s="108" t="s">
        <v>431</v>
      </c>
      <c r="G508" s="108" t="s">
        <v>9</v>
      </c>
      <c r="H508" s="126">
        <f t="shared" ref="H508:H509" si="63">H509</f>
        <v>0</v>
      </c>
      <c r="L508" s="20">
        <v>2538.87</v>
      </c>
      <c r="M508" s="20">
        <v>2538.87</v>
      </c>
      <c r="N508" s="20">
        <v>2538.87</v>
      </c>
      <c r="O508" s="20">
        <f>H508-L508</f>
        <v>-2538.87</v>
      </c>
      <c r="P508" s="20" t="e">
        <f>#REF!-M508</f>
        <v>#REF!</v>
      </c>
      <c r="Q508" s="20" t="e">
        <f>#REF!-N508</f>
        <v>#REF!</v>
      </c>
      <c r="R508" s="17" t="str">
        <f t="shared" si="61"/>
        <v>17 0 00 00000000</v>
      </c>
    </row>
    <row r="509" spans="1:18" s="17" customFormat="1" ht="47.25">
      <c r="A509" s="14"/>
      <c r="B509" s="129" t="s">
        <v>432</v>
      </c>
      <c r="C509" s="109" t="s">
        <v>394</v>
      </c>
      <c r="D509" s="108" t="s">
        <v>229</v>
      </c>
      <c r="E509" s="108" t="s">
        <v>11</v>
      </c>
      <c r="F509" s="108" t="s">
        <v>433</v>
      </c>
      <c r="G509" s="108" t="s">
        <v>9</v>
      </c>
      <c r="H509" s="126">
        <f t="shared" si="63"/>
        <v>0</v>
      </c>
      <c r="L509" s="20">
        <v>2538.87</v>
      </c>
      <c r="M509" s="20">
        <v>2538.87</v>
      </c>
      <c r="N509" s="20">
        <v>2538.87</v>
      </c>
      <c r="O509" s="20">
        <f>H509-L509</f>
        <v>-2538.87</v>
      </c>
      <c r="P509" s="20" t="e">
        <f>#REF!-M509</f>
        <v>#REF!</v>
      </c>
      <c r="Q509" s="20" t="e">
        <f>#REF!-N509</f>
        <v>#REF!</v>
      </c>
      <c r="R509" s="17" t="str">
        <f t="shared" si="61"/>
        <v>17 Б 00 00000000</v>
      </c>
    </row>
    <row r="510" spans="1:18" s="17" customFormat="1" ht="31.5">
      <c r="A510" s="14"/>
      <c r="B510" s="125" t="s">
        <v>434</v>
      </c>
      <c r="C510" s="109" t="s">
        <v>394</v>
      </c>
      <c r="D510" s="108" t="s">
        <v>229</v>
      </c>
      <c r="E510" s="108" t="s">
        <v>11</v>
      </c>
      <c r="F510" s="108" t="s">
        <v>435</v>
      </c>
      <c r="G510" s="108" t="s">
        <v>9</v>
      </c>
      <c r="H510" s="126">
        <f>H512</f>
        <v>0</v>
      </c>
      <c r="L510" s="20">
        <v>2538.87</v>
      </c>
      <c r="M510" s="20">
        <v>2538.87</v>
      </c>
      <c r="N510" s="20">
        <v>2538.87</v>
      </c>
      <c r="O510" s="20">
        <f>H510-L510</f>
        <v>-2538.87</v>
      </c>
      <c r="P510" s="20" t="e">
        <f>#REF!-M510</f>
        <v>#REF!</v>
      </c>
      <c r="Q510" s="20" t="e">
        <f>#REF!-N510</f>
        <v>#REF!</v>
      </c>
      <c r="R510" s="17" t="str">
        <f t="shared" si="61"/>
        <v>17 Б 01 00000000</v>
      </c>
    </row>
    <row r="511" spans="1:18" s="17" customFormat="1" ht="47.25">
      <c r="A511" s="14"/>
      <c r="B511" s="132" t="s">
        <v>436</v>
      </c>
      <c r="C511" s="109" t="s">
        <v>394</v>
      </c>
      <c r="D511" s="108" t="s">
        <v>229</v>
      </c>
      <c r="E511" s="108" t="s">
        <v>11</v>
      </c>
      <c r="F511" s="108" t="s">
        <v>437</v>
      </c>
      <c r="G511" s="108" t="s">
        <v>9</v>
      </c>
      <c r="H511" s="126">
        <f>H512</f>
        <v>0</v>
      </c>
      <c r="L511" s="20">
        <v>2538.87</v>
      </c>
      <c r="M511" s="20">
        <v>2538.87</v>
      </c>
      <c r="N511" s="20">
        <v>2538.87</v>
      </c>
      <c r="O511" s="20">
        <f>H511-L511</f>
        <v>-2538.87</v>
      </c>
      <c r="P511" s="20" t="e">
        <f>#REF!-M511</f>
        <v>#REF!</v>
      </c>
      <c r="Q511" s="20" t="e">
        <f>#REF!-N511</f>
        <v>#REF!</v>
      </c>
      <c r="R511" s="17" t="str">
        <f t="shared" si="61"/>
        <v>17 Б 01 20490000</v>
      </c>
    </row>
    <row r="512" spans="1:18" s="17" customFormat="1" ht="15.75">
      <c r="A512" s="14"/>
      <c r="B512" s="132" t="s">
        <v>403</v>
      </c>
      <c r="C512" s="109" t="s">
        <v>394</v>
      </c>
      <c r="D512" s="108" t="s">
        <v>229</v>
      </c>
      <c r="E512" s="108" t="s">
        <v>11</v>
      </c>
      <c r="F512" s="108" t="s">
        <v>437</v>
      </c>
      <c r="G512" s="108" t="s">
        <v>404</v>
      </c>
      <c r="H512" s="126">
        <f>H513</f>
        <v>0</v>
      </c>
      <c r="L512" s="20">
        <v>2538.87</v>
      </c>
      <c r="M512" s="20">
        <v>2538.87</v>
      </c>
      <c r="N512" s="20">
        <v>2538.87</v>
      </c>
      <c r="O512" s="20">
        <f>H512-L512</f>
        <v>-2538.87</v>
      </c>
      <c r="P512" s="20" t="e">
        <f>#REF!-M512</f>
        <v>#REF!</v>
      </c>
      <c r="Q512" s="20" t="e">
        <f>#REF!-N512</f>
        <v>#REF!</v>
      </c>
      <c r="R512" s="17" t="str">
        <f t="shared" si="61"/>
        <v>17 Б 01 20490610</v>
      </c>
    </row>
    <row r="513" spans="1:18" s="24" customFormat="1" ht="15.75">
      <c r="A513" s="21"/>
      <c r="B513" s="127" t="s">
        <v>407</v>
      </c>
      <c r="C513" s="109" t="s">
        <v>394</v>
      </c>
      <c r="D513" s="108" t="s">
        <v>229</v>
      </c>
      <c r="E513" s="108" t="s">
        <v>11</v>
      </c>
      <c r="F513" s="108" t="s">
        <v>437</v>
      </c>
      <c r="G513" s="108" t="s">
        <v>408</v>
      </c>
      <c r="H513" s="126"/>
      <c r="L513" s="22"/>
      <c r="M513" s="22"/>
      <c r="N513" s="22"/>
      <c r="O513" s="22"/>
      <c r="P513" s="22"/>
      <c r="Q513" s="22"/>
    </row>
    <row r="514" spans="1:18" s="17" customFormat="1" ht="15.75">
      <c r="A514" s="14"/>
      <c r="B514" s="121" t="s">
        <v>438</v>
      </c>
      <c r="C514" s="122" t="s">
        <v>394</v>
      </c>
      <c r="D514" s="123" t="s">
        <v>229</v>
      </c>
      <c r="E514" s="123" t="s">
        <v>62</v>
      </c>
      <c r="F514" s="123" t="s">
        <v>8</v>
      </c>
      <c r="G514" s="123" t="s">
        <v>9</v>
      </c>
      <c r="H514" s="124">
        <f>H515+H545+H561+H575+H569</f>
        <v>0</v>
      </c>
      <c r="L514" s="19">
        <v>1725231.0400000003</v>
      </c>
      <c r="M514" s="19">
        <v>1670357.1300000001</v>
      </c>
      <c r="N514" s="19">
        <v>1673208.27</v>
      </c>
      <c r="O514" s="19">
        <f t="shared" ref="O514:O519" si="64">H514-L514</f>
        <v>-1725231.0400000003</v>
      </c>
      <c r="P514" s="19" t="e">
        <f>#REF!-M514</f>
        <v>#REF!</v>
      </c>
      <c r="Q514" s="19" t="e">
        <f>#REF!-N514</f>
        <v>#REF!</v>
      </c>
      <c r="R514" s="17" t="str">
        <f t="shared" si="61"/>
        <v>00 0 00 00000000</v>
      </c>
    </row>
    <row r="515" spans="1:18" s="17" customFormat="1" ht="31.5">
      <c r="A515" s="14"/>
      <c r="B515" s="132" t="s">
        <v>396</v>
      </c>
      <c r="C515" s="109" t="s">
        <v>394</v>
      </c>
      <c r="D515" s="108" t="s">
        <v>229</v>
      </c>
      <c r="E515" s="108" t="s">
        <v>62</v>
      </c>
      <c r="F515" s="108" t="s">
        <v>397</v>
      </c>
      <c r="G515" s="108" t="s">
        <v>9</v>
      </c>
      <c r="H515" s="126">
        <f>H516+H540</f>
        <v>0</v>
      </c>
      <c r="L515" s="20">
        <v>1706232.36</v>
      </c>
      <c r="M515" s="20">
        <v>1662278.45</v>
      </c>
      <c r="N515" s="20">
        <v>1665909.5899999999</v>
      </c>
      <c r="O515" s="20">
        <f t="shared" si="64"/>
        <v>-1706232.36</v>
      </c>
      <c r="P515" s="20" t="e">
        <f>#REF!-M515</f>
        <v>#REF!</v>
      </c>
      <c r="Q515" s="20" t="e">
        <f>#REF!-N515</f>
        <v>#REF!</v>
      </c>
      <c r="R515" s="17" t="str">
        <f t="shared" si="61"/>
        <v>01 0 00 00000000</v>
      </c>
    </row>
    <row r="516" spans="1:18" s="17" customFormat="1" ht="31.5">
      <c r="A516" s="14"/>
      <c r="B516" s="132" t="s">
        <v>398</v>
      </c>
      <c r="C516" s="109" t="s">
        <v>394</v>
      </c>
      <c r="D516" s="108" t="s">
        <v>229</v>
      </c>
      <c r="E516" s="108" t="s">
        <v>62</v>
      </c>
      <c r="F516" s="108" t="s">
        <v>399</v>
      </c>
      <c r="G516" s="108" t="s">
        <v>9</v>
      </c>
      <c r="H516" s="126">
        <f>H517+H534</f>
        <v>0</v>
      </c>
      <c r="L516" s="20">
        <v>1702512.36</v>
      </c>
      <c r="M516" s="20">
        <v>1655458.8299999998</v>
      </c>
      <c r="N516" s="20">
        <v>1665909.5899999999</v>
      </c>
      <c r="O516" s="20">
        <f t="shared" si="64"/>
        <v>-1702512.36</v>
      </c>
      <c r="P516" s="20" t="e">
        <f>#REF!-M516</f>
        <v>#REF!</v>
      </c>
      <c r="Q516" s="20" t="e">
        <f>#REF!-N516</f>
        <v>#REF!</v>
      </c>
      <c r="R516" s="17" t="str">
        <f t="shared" si="61"/>
        <v>01 1 00 00000000</v>
      </c>
    </row>
    <row r="517" spans="1:18" s="17" customFormat="1" ht="63">
      <c r="A517" s="14"/>
      <c r="B517" s="132" t="s">
        <v>439</v>
      </c>
      <c r="C517" s="109" t="s">
        <v>394</v>
      </c>
      <c r="D517" s="108" t="s">
        <v>229</v>
      </c>
      <c r="E517" s="108" t="s">
        <v>62</v>
      </c>
      <c r="F517" s="108" t="s">
        <v>440</v>
      </c>
      <c r="G517" s="108" t="s">
        <v>9</v>
      </c>
      <c r="H517" s="126">
        <f>H518+H527</f>
        <v>0</v>
      </c>
      <c r="L517" s="20">
        <v>1643131.26</v>
      </c>
      <c r="M517" s="20">
        <v>1651458.8299999998</v>
      </c>
      <c r="N517" s="20">
        <v>1661909.5899999999</v>
      </c>
      <c r="O517" s="20">
        <f t="shared" si="64"/>
        <v>-1643131.26</v>
      </c>
      <c r="P517" s="20" t="e">
        <f>#REF!-M517</f>
        <v>#REF!</v>
      </c>
      <c r="Q517" s="20" t="e">
        <f>#REF!-N517</f>
        <v>#REF!</v>
      </c>
      <c r="R517" s="17" t="str">
        <f t="shared" si="61"/>
        <v>01 1 02 00000000</v>
      </c>
    </row>
    <row r="518" spans="1:18" s="17" customFormat="1" ht="31.5">
      <c r="A518" s="14"/>
      <c r="B518" s="132" t="s">
        <v>136</v>
      </c>
      <c r="C518" s="109" t="s">
        <v>394</v>
      </c>
      <c r="D518" s="108" t="s">
        <v>229</v>
      </c>
      <c r="E518" s="108" t="s">
        <v>62</v>
      </c>
      <c r="F518" s="108" t="s">
        <v>441</v>
      </c>
      <c r="G518" s="108" t="s">
        <v>9</v>
      </c>
      <c r="H518" s="126">
        <f>H519+H522+H525</f>
        <v>0</v>
      </c>
      <c r="L518" s="20">
        <v>571162.1399999999</v>
      </c>
      <c r="M518" s="20">
        <v>569815.42999999993</v>
      </c>
      <c r="N518" s="20">
        <v>569815.42999999993</v>
      </c>
      <c r="O518" s="20">
        <f t="shared" si="64"/>
        <v>-571162.1399999999</v>
      </c>
      <c r="P518" s="20" t="e">
        <f>#REF!-M518</f>
        <v>#REF!</v>
      </c>
      <c r="Q518" s="20" t="e">
        <f>#REF!-N518</f>
        <v>#REF!</v>
      </c>
      <c r="R518" s="17" t="str">
        <f t="shared" si="61"/>
        <v>01 1 02 11010000</v>
      </c>
    </row>
    <row r="519" spans="1:18" s="17" customFormat="1" ht="15.75">
      <c r="A519" s="14"/>
      <c r="B519" s="132" t="s">
        <v>403</v>
      </c>
      <c r="C519" s="109" t="s">
        <v>394</v>
      </c>
      <c r="D519" s="108" t="s">
        <v>229</v>
      </c>
      <c r="E519" s="108" t="s">
        <v>62</v>
      </c>
      <c r="F519" s="108" t="s">
        <v>441</v>
      </c>
      <c r="G519" s="108" t="s">
        <v>404</v>
      </c>
      <c r="H519" s="126">
        <f>SUM(H520:H521)</f>
        <v>0</v>
      </c>
      <c r="L519" s="20">
        <v>527917.66999999993</v>
      </c>
      <c r="M519" s="20">
        <v>526570.96</v>
      </c>
      <c r="N519" s="20">
        <v>526570.96</v>
      </c>
      <c r="O519" s="20">
        <f t="shared" si="64"/>
        <v>-527917.66999999993</v>
      </c>
      <c r="P519" s="20" t="e">
        <f>#REF!-M519</f>
        <v>#REF!</v>
      </c>
      <c r="Q519" s="20" t="e">
        <f>#REF!-N519</f>
        <v>#REF!</v>
      </c>
      <c r="R519" s="17" t="str">
        <f t="shared" si="61"/>
        <v>01 1 02 11010610</v>
      </c>
    </row>
    <row r="520" spans="1:18" s="24" customFormat="1" ht="63">
      <c r="A520" s="21"/>
      <c r="B520" s="127" t="s">
        <v>405</v>
      </c>
      <c r="C520" s="109" t="s">
        <v>394</v>
      </c>
      <c r="D520" s="108" t="s">
        <v>229</v>
      </c>
      <c r="E520" s="108" t="s">
        <v>62</v>
      </c>
      <c r="F520" s="108" t="s">
        <v>441</v>
      </c>
      <c r="G520" s="108" t="s">
        <v>406</v>
      </c>
      <c r="H520" s="126"/>
      <c r="L520" s="22"/>
      <c r="M520" s="22"/>
      <c r="N520" s="22"/>
      <c r="O520" s="22"/>
      <c r="P520" s="22"/>
      <c r="Q520" s="22"/>
    </row>
    <row r="521" spans="1:18" s="24" customFormat="1" ht="15.75">
      <c r="A521" s="21"/>
      <c r="B521" s="127" t="s">
        <v>407</v>
      </c>
      <c r="C521" s="109" t="s">
        <v>394</v>
      </c>
      <c r="D521" s="108" t="s">
        <v>229</v>
      </c>
      <c r="E521" s="108" t="s">
        <v>62</v>
      </c>
      <c r="F521" s="108" t="s">
        <v>441</v>
      </c>
      <c r="G521" s="108" t="s">
        <v>408</v>
      </c>
      <c r="H521" s="126"/>
      <c r="L521" s="22"/>
      <c r="M521" s="22"/>
      <c r="N521" s="22"/>
      <c r="O521" s="22"/>
      <c r="P521" s="22"/>
      <c r="Q521" s="22"/>
    </row>
    <row r="522" spans="1:18" s="17" customFormat="1" ht="15.75">
      <c r="A522" s="14"/>
      <c r="B522" s="132" t="s">
        <v>409</v>
      </c>
      <c r="C522" s="109" t="s">
        <v>394</v>
      </c>
      <c r="D522" s="108" t="s">
        <v>229</v>
      </c>
      <c r="E522" s="108" t="s">
        <v>62</v>
      </c>
      <c r="F522" s="108" t="s">
        <v>441</v>
      </c>
      <c r="G522" s="108" t="s">
        <v>410</v>
      </c>
      <c r="H522" s="126">
        <f>SUM(H523:H524)</f>
        <v>0</v>
      </c>
      <c r="L522" s="20">
        <v>40167.490000000005</v>
      </c>
      <c r="M522" s="20">
        <v>40167.490000000005</v>
      </c>
      <c r="N522" s="20">
        <v>40167.490000000005</v>
      </c>
      <c r="O522" s="20">
        <f>H522-L522</f>
        <v>-40167.490000000005</v>
      </c>
      <c r="P522" s="20" t="e">
        <f>#REF!-M522</f>
        <v>#REF!</v>
      </c>
      <c r="Q522" s="20" t="e">
        <f>#REF!-N522</f>
        <v>#REF!</v>
      </c>
      <c r="R522" s="17" t="str">
        <f t="shared" si="61"/>
        <v>01 1 02 11010620</v>
      </c>
    </row>
    <row r="523" spans="1:18" s="24" customFormat="1" ht="63">
      <c r="A523" s="21"/>
      <c r="B523" s="127" t="s">
        <v>411</v>
      </c>
      <c r="C523" s="109" t="s">
        <v>394</v>
      </c>
      <c r="D523" s="108" t="s">
        <v>229</v>
      </c>
      <c r="E523" s="108" t="s">
        <v>62</v>
      </c>
      <c r="F523" s="108" t="s">
        <v>441</v>
      </c>
      <c r="G523" s="108" t="s">
        <v>412</v>
      </c>
      <c r="H523" s="126"/>
      <c r="L523" s="22"/>
      <c r="M523" s="22"/>
      <c r="N523" s="22"/>
      <c r="O523" s="22"/>
      <c r="P523" s="22"/>
      <c r="Q523" s="22"/>
    </row>
    <row r="524" spans="1:18" s="24" customFormat="1" ht="15.75">
      <c r="A524" s="21"/>
      <c r="B524" s="127" t="s">
        <v>428</v>
      </c>
      <c r="C524" s="109" t="s">
        <v>394</v>
      </c>
      <c r="D524" s="108" t="s">
        <v>229</v>
      </c>
      <c r="E524" s="108" t="s">
        <v>62</v>
      </c>
      <c r="F524" s="108" t="s">
        <v>441</v>
      </c>
      <c r="G524" s="108" t="s">
        <v>429</v>
      </c>
      <c r="H524" s="126"/>
      <c r="L524" s="22"/>
      <c r="M524" s="22"/>
      <c r="N524" s="22"/>
      <c r="O524" s="22"/>
      <c r="P524" s="22"/>
      <c r="Q524" s="22"/>
    </row>
    <row r="525" spans="1:18" s="17" customFormat="1" ht="47.25">
      <c r="A525" s="14"/>
      <c r="B525" s="125" t="s">
        <v>182</v>
      </c>
      <c r="C525" s="109" t="s">
        <v>394</v>
      </c>
      <c r="D525" s="108" t="s">
        <v>229</v>
      </c>
      <c r="E525" s="108" t="s">
        <v>62</v>
      </c>
      <c r="F525" s="108" t="s">
        <v>441</v>
      </c>
      <c r="G525" s="108" t="s">
        <v>183</v>
      </c>
      <c r="H525" s="126">
        <f>H526</f>
        <v>0</v>
      </c>
      <c r="L525" s="20">
        <v>3076.98</v>
      </c>
      <c r="M525" s="20">
        <v>3076.98</v>
      </c>
      <c r="N525" s="20">
        <v>3076.98</v>
      </c>
      <c r="O525" s="20">
        <f>H525-L525</f>
        <v>-3076.98</v>
      </c>
      <c r="P525" s="20" t="e">
        <f>#REF!-M525</f>
        <v>#REF!</v>
      </c>
      <c r="Q525" s="20" t="e">
        <f>#REF!-N525</f>
        <v>#REF!</v>
      </c>
      <c r="R525" s="17" t="str">
        <f t="shared" si="61"/>
        <v>01 1 02 11010630</v>
      </c>
    </row>
    <row r="526" spans="1:18" s="24" customFormat="1" ht="110.25">
      <c r="A526" s="21"/>
      <c r="B526" s="127" t="s">
        <v>415</v>
      </c>
      <c r="C526" s="109" t="s">
        <v>394</v>
      </c>
      <c r="D526" s="108" t="s">
        <v>229</v>
      </c>
      <c r="E526" s="108" t="s">
        <v>62</v>
      </c>
      <c r="F526" s="108" t="s">
        <v>441</v>
      </c>
      <c r="G526" s="108" t="s">
        <v>416</v>
      </c>
      <c r="H526" s="126"/>
      <c r="L526" s="22"/>
      <c r="M526" s="22"/>
      <c r="N526" s="22"/>
      <c r="O526" s="22"/>
      <c r="P526" s="22"/>
      <c r="Q526" s="22"/>
    </row>
    <row r="527" spans="1:18" s="17" customFormat="1" ht="173.25">
      <c r="A527" s="14" t="s">
        <v>80</v>
      </c>
      <c r="B527" s="127" t="s">
        <v>442</v>
      </c>
      <c r="C527" s="109" t="s">
        <v>394</v>
      </c>
      <c r="D527" s="108" t="s">
        <v>229</v>
      </c>
      <c r="E527" s="108" t="s">
        <v>62</v>
      </c>
      <c r="F527" s="108" t="s">
        <v>443</v>
      </c>
      <c r="G527" s="108" t="s">
        <v>9</v>
      </c>
      <c r="H527" s="126">
        <f>H528+H530+H532</f>
        <v>0</v>
      </c>
      <c r="L527" s="20">
        <v>1071969.1200000001</v>
      </c>
      <c r="M527" s="20">
        <v>1081643.3999999999</v>
      </c>
      <c r="N527" s="20">
        <v>1092094.1599999999</v>
      </c>
      <c r="O527" s="20">
        <f>H527-L527</f>
        <v>-1071969.1200000001</v>
      </c>
      <c r="P527" s="20" t="e">
        <f>#REF!-M527</f>
        <v>#REF!</v>
      </c>
      <c r="Q527" s="20" t="e">
        <f>#REF!-N527</f>
        <v>#REF!</v>
      </c>
      <c r="R527" s="17" t="str">
        <f t="shared" si="61"/>
        <v>01 1 02 77160000</v>
      </c>
    </row>
    <row r="528" spans="1:18" s="17" customFormat="1" ht="15.75">
      <c r="A528" s="14"/>
      <c r="B528" s="132" t="s">
        <v>403</v>
      </c>
      <c r="C528" s="109" t="s">
        <v>394</v>
      </c>
      <c r="D528" s="108" t="s">
        <v>229</v>
      </c>
      <c r="E528" s="108" t="s">
        <v>62</v>
      </c>
      <c r="F528" s="108" t="s">
        <v>443</v>
      </c>
      <c r="G528" s="108" t="s">
        <v>404</v>
      </c>
      <c r="H528" s="126">
        <f>H529</f>
        <v>0</v>
      </c>
      <c r="L528" s="20">
        <v>953042.9</v>
      </c>
      <c r="M528" s="20">
        <v>961646.5</v>
      </c>
      <c r="N528" s="20">
        <v>971150.7</v>
      </c>
      <c r="O528" s="20">
        <f>H528-L528</f>
        <v>-953042.9</v>
      </c>
      <c r="P528" s="20" t="e">
        <f>#REF!-M528</f>
        <v>#REF!</v>
      </c>
      <c r="Q528" s="20" t="e">
        <f>#REF!-N528</f>
        <v>#REF!</v>
      </c>
      <c r="R528" s="17" t="str">
        <f t="shared" si="61"/>
        <v>01 1 02 77160610</v>
      </c>
    </row>
    <row r="529" spans="1:18" s="24" customFormat="1" ht="63">
      <c r="A529" s="21"/>
      <c r="B529" s="127" t="s">
        <v>405</v>
      </c>
      <c r="C529" s="109" t="s">
        <v>394</v>
      </c>
      <c r="D529" s="108" t="s">
        <v>229</v>
      </c>
      <c r="E529" s="108" t="s">
        <v>62</v>
      </c>
      <c r="F529" s="108" t="s">
        <v>443</v>
      </c>
      <c r="G529" s="108" t="s">
        <v>406</v>
      </c>
      <c r="H529" s="126"/>
      <c r="L529" s="22"/>
      <c r="M529" s="22"/>
      <c r="N529" s="22"/>
      <c r="O529" s="22"/>
      <c r="P529" s="22"/>
      <c r="Q529" s="22"/>
    </row>
    <row r="530" spans="1:18" s="17" customFormat="1" ht="15.75">
      <c r="A530" s="14"/>
      <c r="B530" s="132" t="s">
        <v>409</v>
      </c>
      <c r="C530" s="109" t="s">
        <v>394</v>
      </c>
      <c r="D530" s="108" t="s">
        <v>229</v>
      </c>
      <c r="E530" s="108" t="s">
        <v>62</v>
      </c>
      <c r="F530" s="108" t="s">
        <v>443</v>
      </c>
      <c r="G530" s="108" t="s">
        <v>410</v>
      </c>
      <c r="H530" s="126">
        <f>H531</f>
        <v>0</v>
      </c>
      <c r="L530" s="20">
        <v>114194.38</v>
      </c>
      <c r="M530" s="20">
        <v>115222.5</v>
      </c>
      <c r="N530" s="20">
        <v>116121.72</v>
      </c>
      <c r="O530" s="20">
        <f>H530-L530</f>
        <v>-114194.38</v>
      </c>
      <c r="P530" s="20" t="e">
        <f>#REF!-M530</f>
        <v>#REF!</v>
      </c>
      <c r="Q530" s="20" t="e">
        <f>#REF!-N530</f>
        <v>#REF!</v>
      </c>
      <c r="R530" s="17" t="str">
        <f t="shared" si="61"/>
        <v>01 1 02 77160620</v>
      </c>
    </row>
    <row r="531" spans="1:18" s="24" customFormat="1" ht="63">
      <c r="A531" s="21"/>
      <c r="B531" s="127" t="s">
        <v>411</v>
      </c>
      <c r="C531" s="109" t="s">
        <v>394</v>
      </c>
      <c r="D531" s="108" t="s">
        <v>229</v>
      </c>
      <c r="E531" s="108" t="s">
        <v>62</v>
      </c>
      <c r="F531" s="108" t="s">
        <v>443</v>
      </c>
      <c r="G531" s="108" t="s">
        <v>412</v>
      </c>
      <c r="H531" s="126"/>
      <c r="L531" s="22"/>
      <c r="M531" s="22"/>
      <c r="N531" s="22"/>
      <c r="O531" s="22"/>
      <c r="P531" s="22"/>
      <c r="Q531" s="22"/>
    </row>
    <row r="532" spans="1:18" s="17" customFormat="1" ht="47.25">
      <c r="A532" s="14"/>
      <c r="B532" s="125" t="s">
        <v>182</v>
      </c>
      <c r="C532" s="109" t="s">
        <v>394</v>
      </c>
      <c r="D532" s="108" t="s">
        <v>229</v>
      </c>
      <c r="E532" s="108" t="s">
        <v>62</v>
      </c>
      <c r="F532" s="108" t="s">
        <v>443</v>
      </c>
      <c r="G532" s="108" t="s">
        <v>183</v>
      </c>
      <c r="H532" s="126">
        <f>H533</f>
        <v>0</v>
      </c>
      <c r="L532" s="20">
        <v>4731.84</v>
      </c>
      <c r="M532" s="20">
        <v>4774.3999999999996</v>
      </c>
      <c r="N532" s="20">
        <v>4821.74</v>
      </c>
      <c r="O532" s="20">
        <f>H532-L532</f>
        <v>-4731.84</v>
      </c>
      <c r="P532" s="20" t="e">
        <f>#REF!-M532</f>
        <v>#REF!</v>
      </c>
      <c r="Q532" s="20" t="e">
        <f>#REF!-N532</f>
        <v>#REF!</v>
      </c>
      <c r="R532" s="17" t="str">
        <f t="shared" si="61"/>
        <v>01 1 02 77160630</v>
      </c>
    </row>
    <row r="533" spans="1:18" s="24" customFormat="1" ht="110.25">
      <c r="A533" s="21"/>
      <c r="B533" s="127" t="s">
        <v>415</v>
      </c>
      <c r="C533" s="109" t="s">
        <v>394</v>
      </c>
      <c r="D533" s="108" t="s">
        <v>229</v>
      </c>
      <c r="E533" s="108" t="s">
        <v>62</v>
      </c>
      <c r="F533" s="108" t="s">
        <v>443</v>
      </c>
      <c r="G533" s="108" t="s">
        <v>416</v>
      </c>
      <c r="H533" s="126"/>
      <c r="L533" s="22"/>
      <c r="M533" s="22"/>
      <c r="N533" s="22"/>
      <c r="O533" s="22"/>
      <c r="P533" s="22"/>
      <c r="Q533" s="22"/>
    </row>
    <row r="534" spans="1:18" s="17" customFormat="1" ht="78.75">
      <c r="A534" s="14"/>
      <c r="B534" s="125" t="s">
        <v>417</v>
      </c>
      <c r="C534" s="109" t="s">
        <v>394</v>
      </c>
      <c r="D534" s="108" t="s">
        <v>229</v>
      </c>
      <c r="E534" s="108" t="s">
        <v>62</v>
      </c>
      <c r="F534" s="108" t="s">
        <v>418</v>
      </c>
      <c r="G534" s="108" t="s">
        <v>9</v>
      </c>
      <c r="H534" s="126">
        <f>H535</f>
        <v>0</v>
      </c>
      <c r="L534" s="20">
        <v>59381.100000000006</v>
      </c>
      <c r="M534" s="20">
        <v>4000</v>
      </c>
      <c r="N534" s="20">
        <v>4000</v>
      </c>
      <c r="O534" s="20">
        <f>H534-L534</f>
        <v>-59381.100000000006</v>
      </c>
      <c r="P534" s="20" t="e">
        <f>#REF!-M534</f>
        <v>#REF!</v>
      </c>
      <c r="Q534" s="20" t="e">
        <f>#REF!-N534</f>
        <v>#REF!</v>
      </c>
      <c r="R534" s="17" t="str">
        <f t="shared" si="61"/>
        <v>01 1 06 00000000</v>
      </c>
    </row>
    <row r="535" spans="1:18" s="17" customFormat="1" ht="31.5">
      <c r="A535" s="14"/>
      <c r="B535" s="132" t="s">
        <v>136</v>
      </c>
      <c r="C535" s="109" t="s">
        <v>394</v>
      </c>
      <c r="D535" s="108" t="s">
        <v>229</v>
      </c>
      <c r="E535" s="108" t="s">
        <v>62</v>
      </c>
      <c r="F535" s="108" t="s">
        <v>419</v>
      </c>
      <c r="G535" s="108" t="s">
        <v>9</v>
      </c>
      <c r="H535" s="126">
        <f>H536+H538</f>
        <v>0</v>
      </c>
      <c r="L535" s="20">
        <v>59381.100000000006</v>
      </c>
      <c r="M535" s="20">
        <v>4000</v>
      </c>
      <c r="N535" s="20">
        <v>4000</v>
      </c>
      <c r="O535" s="20">
        <f>H535-L535</f>
        <v>-59381.100000000006</v>
      </c>
      <c r="P535" s="20" t="e">
        <f>#REF!-M535</f>
        <v>#REF!</v>
      </c>
      <c r="Q535" s="20" t="e">
        <f>#REF!-N535</f>
        <v>#REF!</v>
      </c>
      <c r="R535" s="17" t="str">
        <f t="shared" si="61"/>
        <v>01 1 06 11010000</v>
      </c>
    </row>
    <row r="536" spans="1:18" s="17" customFormat="1" ht="15.75">
      <c r="A536" s="14"/>
      <c r="B536" s="132" t="s">
        <v>403</v>
      </c>
      <c r="C536" s="109" t="s">
        <v>394</v>
      </c>
      <c r="D536" s="108" t="s">
        <v>229</v>
      </c>
      <c r="E536" s="108" t="s">
        <v>62</v>
      </c>
      <c r="F536" s="108" t="s">
        <v>419</v>
      </c>
      <c r="G536" s="108" t="s">
        <v>404</v>
      </c>
      <c r="H536" s="126">
        <f>H537</f>
        <v>0</v>
      </c>
      <c r="L536" s="20">
        <v>53539.33</v>
      </c>
      <c r="M536" s="20">
        <v>4000</v>
      </c>
      <c r="N536" s="20">
        <v>4000</v>
      </c>
      <c r="O536" s="20">
        <f>H536-L536</f>
        <v>-53539.33</v>
      </c>
      <c r="P536" s="20" t="e">
        <f>#REF!-M536</f>
        <v>#REF!</v>
      </c>
      <c r="Q536" s="20" t="e">
        <f>#REF!-N536</f>
        <v>#REF!</v>
      </c>
      <c r="R536" s="17" t="str">
        <f t="shared" si="61"/>
        <v>01 1 06 11010610</v>
      </c>
    </row>
    <row r="537" spans="1:18" s="24" customFormat="1" ht="15.75">
      <c r="A537" s="21"/>
      <c r="B537" s="127" t="s">
        <v>407</v>
      </c>
      <c r="C537" s="109" t="s">
        <v>394</v>
      </c>
      <c r="D537" s="108" t="s">
        <v>229</v>
      </c>
      <c r="E537" s="108" t="s">
        <v>62</v>
      </c>
      <c r="F537" s="108" t="s">
        <v>419</v>
      </c>
      <c r="G537" s="108" t="s">
        <v>408</v>
      </c>
      <c r="H537" s="126"/>
      <c r="L537" s="22"/>
      <c r="M537" s="22"/>
      <c r="N537" s="22"/>
      <c r="O537" s="22"/>
      <c r="P537" s="22"/>
      <c r="Q537" s="22"/>
    </row>
    <row r="538" spans="1:18" s="17" customFormat="1" ht="15.75">
      <c r="A538" s="14"/>
      <c r="B538" s="132" t="s">
        <v>409</v>
      </c>
      <c r="C538" s="109" t="s">
        <v>394</v>
      </c>
      <c r="D538" s="108" t="s">
        <v>229</v>
      </c>
      <c r="E538" s="108" t="s">
        <v>62</v>
      </c>
      <c r="F538" s="108" t="s">
        <v>419</v>
      </c>
      <c r="G538" s="108" t="s">
        <v>410</v>
      </c>
      <c r="H538" s="126">
        <f>H539</f>
        <v>0</v>
      </c>
      <c r="L538" s="20">
        <v>5841.77</v>
      </c>
      <c r="M538" s="20">
        <v>0</v>
      </c>
      <c r="N538" s="20">
        <v>0</v>
      </c>
      <c r="O538" s="20">
        <f>H538-L538</f>
        <v>-5841.77</v>
      </c>
      <c r="P538" s="20" t="e">
        <f>#REF!-M538</f>
        <v>#REF!</v>
      </c>
      <c r="Q538" s="20" t="e">
        <f>#REF!-N538</f>
        <v>#REF!</v>
      </c>
      <c r="R538" s="17" t="str">
        <f t="shared" si="61"/>
        <v>01 1 06 11010620</v>
      </c>
    </row>
    <row r="539" spans="1:18" s="24" customFormat="1" ht="15.75">
      <c r="A539" s="21"/>
      <c r="B539" s="127" t="s">
        <v>428</v>
      </c>
      <c r="C539" s="109" t="s">
        <v>394</v>
      </c>
      <c r="D539" s="108" t="s">
        <v>229</v>
      </c>
      <c r="E539" s="108" t="s">
        <v>62</v>
      </c>
      <c r="F539" s="108" t="s">
        <v>419</v>
      </c>
      <c r="G539" s="108" t="s">
        <v>429</v>
      </c>
      <c r="H539" s="126"/>
      <c r="L539" s="22"/>
      <c r="M539" s="22"/>
      <c r="N539" s="22"/>
      <c r="O539" s="22"/>
      <c r="P539" s="22"/>
      <c r="Q539" s="22"/>
    </row>
    <row r="540" spans="1:18" s="17" customFormat="1" ht="47.25">
      <c r="A540" s="14"/>
      <c r="B540" s="132" t="s">
        <v>444</v>
      </c>
      <c r="C540" s="109" t="s">
        <v>394</v>
      </c>
      <c r="D540" s="108" t="s">
        <v>229</v>
      </c>
      <c r="E540" s="108" t="s">
        <v>62</v>
      </c>
      <c r="F540" s="108" t="s">
        <v>445</v>
      </c>
      <c r="G540" s="108" t="s">
        <v>9</v>
      </c>
      <c r="H540" s="126">
        <f>H541</f>
        <v>0</v>
      </c>
      <c r="L540" s="20">
        <v>3720</v>
      </c>
      <c r="M540" s="20">
        <v>6819.62</v>
      </c>
      <c r="N540" s="20">
        <v>0</v>
      </c>
      <c r="O540" s="20">
        <f>H540-L540</f>
        <v>-3720</v>
      </c>
      <c r="P540" s="20" t="e">
        <f>#REF!-M540</f>
        <v>#REF!</v>
      </c>
      <c r="Q540" s="20" t="e">
        <f>#REF!-N540</f>
        <v>#REF!</v>
      </c>
      <c r="R540" s="17" t="str">
        <f t="shared" si="61"/>
        <v>01 2 00 00000000</v>
      </c>
    </row>
    <row r="541" spans="1:18" s="17" customFormat="1" ht="63">
      <c r="A541" s="14"/>
      <c r="B541" s="132" t="s">
        <v>446</v>
      </c>
      <c r="C541" s="109" t="s">
        <v>394</v>
      </c>
      <c r="D541" s="108" t="s">
        <v>229</v>
      </c>
      <c r="E541" s="108" t="s">
        <v>62</v>
      </c>
      <c r="F541" s="108" t="s">
        <v>447</v>
      </c>
      <c r="G541" s="108" t="s">
        <v>9</v>
      </c>
      <c r="H541" s="126">
        <f>H542</f>
        <v>0</v>
      </c>
      <c r="L541" s="20">
        <v>3720</v>
      </c>
      <c r="M541" s="20">
        <v>6819.62</v>
      </c>
      <c r="N541" s="20">
        <v>0</v>
      </c>
      <c r="O541" s="20">
        <f>H541-L541</f>
        <v>-3720</v>
      </c>
      <c r="P541" s="20" t="e">
        <f>#REF!-M541</f>
        <v>#REF!</v>
      </c>
      <c r="Q541" s="20" t="e">
        <f>#REF!-N541</f>
        <v>#REF!</v>
      </c>
      <c r="R541" s="17" t="str">
        <f t="shared" si="61"/>
        <v>01 2 01 00000000</v>
      </c>
    </row>
    <row r="542" spans="1:18" s="17" customFormat="1" ht="47.25">
      <c r="A542" s="14"/>
      <c r="B542" s="132" t="s">
        <v>448</v>
      </c>
      <c r="C542" s="109" t="s">
        <v>394</v>
      </c>
      <c r="D542" s="108" t="s">
        <v>229</v>
      </c>
      <c r="E542" s="108" t="s">
        <v>62</v>
      </c>
      <c r="F542" s="108" t="s">
        <v>449</v>
      </c>
      <c r="G542" s="108" t="s">
        <v>9</v>
      </c>
      <c r="H542" s="126">
        <f>H543</f>
        <v>0</v>
      </c>
      <c r="L542" s="20">
        <v>3720</v>
      </c>
      <c r="M542" s="20">
        <v>6819.62</v>
      </c>
      <c r="N542" s="20">
        <v>0</v>
      </c>
      <c r="O542" s="20">
        <f>H542-L542</f>
        <v>-3720</v>
      </c>
      <c r="P542" s="20" t="e">
        <f>#REF!-M542</f>
        <v>#REF!</v>
      </c>
      <c r="Q542" s="20" t="e">
        <f>#REF!-N542</f>
        <v>#REF!</v>
      </c>
      <c r="R542" s="17" t="str">
        <f t="shared" si="61"/>
        <v>01 2 01 40010000</v>
      </c>
    </row>
    <row r="543" spans="1:18" s="17" customFormat="1" ht="126">
      <c r="A543" s="14"/>
      <c r="B543" s="132" t="s">
        <v>450</v>
      </c>
      <c r="C543" s="109" t="s">
        <v>394</v>
      </c>
      <c r="D543" s="108" t="s">
        <v>229</v>
      </c>
      <c r="E543" s="108" t="s">
        <v>62</v>
      </c>
      <c r="F543" s="108" t="s">
        <v>449</v>
      </c>
      <c r="G543" s="108" t="s">
        <v>451</v>
      </c>
      <c r="H543" s="126">
        <f>H544</f>
        <v>0</v>
      </c>
      <c r="L543" s="20">
        <v>3720</v>
      </c>
      <c r="M543" s="20">
        <v>6819.62</v>
      </c>
      <c r="N543" s="20">
        <v>0</v>
      </c>
      <c r="O543" s="20">
        <f>H543-L543</f>
        <v>-3720</v>
      </c>
      <c r="P543" s="20" t="e">
        <f>#REF!-M543</f>
        <v>#REF!</v>
      </c>
      <c r="Q543" s="20" t="e">
        <f>#REF!-N543</f>
        <v>#REF!</v>
      </c>
      <c r="R543" s="17" t="str">
        <f t="shared" si="61"/>
        <v>01 2 01 40010460</v>
      </c>
    </row>
    <row r="544" spans="1:18" s="24" customFormat="1" ht="63">
      <c r="A544" s="21"/>
      <c r="B544" s="127" t="s">
        <v>452</v>
      </c>
      <c r="C544" s="109" t="s">
        <v>394</v>
      </c>
      <c r="D544" s="108" t="s">
        <v>229</v>
      </c>
      <c r="E544" s="108" t="s">
        <v>62</v>
      </c>
      <c r="F544" s="108" t="s">
        <v>449</v>
      </c>
      <c r="G544" s="108" t="s">
        <v>453</v>
      </c>
      <c r="H544" s="126"/>
      <c r="L544" s="22"/>
      <c r="M544" s="22"/>
      <c r="N544" s="22"/>
      <c r="O544" s="22"/>
      <c r="P544" s="22"/>
      <c r="Q544" s="22"/>
      <c r="R544" s="24" t="str">
        <f t="shared" si="61"/>
        <v>01 2 01 40010465</v>
      </c>
    </row>
    <row r="545" spans="1:18" s="17" customFormat="1" ht="47.25">
      <c r="A545" s="14"/>
      <c r="B545" s="127" t="s">
        <v>146</v>
      </c>
      <c r="C545" s="109" t="s">
        <v>394</v>
      </c>
      <c r="D545" s="108" t="s">
        <v>229</v>
      </c>
      <c r="E545" s="108" t="s">
        <v>62</v>
      </c>
      <c r="F545" s="108" t="s">
        <v>147</v>
      </c>
      <c r="G545" s="108" t="s">
        <v>9</v>
      </c>
      <c r="H545" s="126">
        <f>H551+H556+H546</f>
        <v>0</v>
      </c>
      <c r="L545" s="20">
        <v>13591.95</v>
      </c>
      <c r="M545" s="20">
        <v>2671.95</v>
      </c>
      <c r="N545" s="20">
        <v>1891.95</v>
      </c>
      <c r="O545" s="20">
        <f>H545-L545</f>
        <v>-13591.95</v>
      </c>
      <c r="P545" s="20" t="e">
        <f>#REF!-M545</f>
        <v>#REF!</v>
      </c>
      <c r="Q545" s="20" t="e">
        <f>#REF!-N545</f>
        <v>#REF!</v>
      </c>
      <c r="R545" s="17" t="str">
        <f t="shared" si="61"/>
        <v>15 0 00 00000000</v>
      </c>
    </row>
    <row r="546" spans="1:18" s="17" customFormat="1" ht="15.75">
      <c r="A546" s="14"/>
      <c r="B546" s="132" t="s">
        <v>148</v>
      </c>
      <c r="C546" s="109" t="s">
        <v>394</v>
      </c>
      <c r="D546" s="108" t="s">
        <v>229</v>
      </c>
      <c r="E546" s="108" t="s">
        <v>62</v>
      </c>
      <c r="F546" s="108" t="s">
        <v>149</v>
      </c>
      <c r="G546" s="108" t="s">
        <v>9</v>
      </c>
      <c r="H546" s="126">
        <f>H547</f>
        <v>0</v>
      </c>
      <c r="L546" s="20">
        <v>11700</v>
      </c>
      <c r="M546" s="20">
        <v>780</v>
      </c>
      <c r="N546" s="20">
        <v>0</v>
      </c>
      <c r="O546" s="20">
        <f>H546-L546</f>
        <v>-11700</v>
      </c>
      <c r="P546" s="20" t="e">
        <f>#REF!-M546</f>
        <v>#REF!</v>
      </c>
      <c r="Q546" s="20" t="e">
        <f>#REF!-N546</f>
        <v>#REF!</v>
      </c>
      <c r="R546" s="17" t="str">
        <f t="shared" si="61"/>
        <v>15 1 00 00000000</v>
      </c>
    </row>
    <row r="547" spans="1:18" s="17" customFormat="1" ht="47.25">
      <c r="A547" s="14"/>
      <c r="B547" s="135" t="s">
        <v>273</v>
      </c>
      <c r="C547" s="109" t="s">
        <v>394</v>
      </c>
      <c r="D547" s="108" t="s">
        <v>229</v>
      </c>
      <c r="E547" s="108" t="s">
        <v>62</v>
      </c>
      <c r="F547" s="108" t="s">
        <v>274</v>
      </c>
      <c r="G547" s="108" t="s">
        <v>9</v>
      </c>
      <c r="H547" s="126">
        <f>H548</f>
        <v>0</v>
      </c>
      <c r="L547" s="20">
        <v>11700</v>
      </c>
      <c r="M547" s="20">
        <v>780</v>
      </c>
      <c r="N547" s="20">
        <v>0</v>
      </c>
      <c r="O547" s="20">
        <f>H547-L547</f>
        <v>-11700</v>
      </c>
      <c r="P547" s="20" t="e">
        <f>#REF!-M547</f>
        <v>#REF!</v>
      </c>
      <c r="Q547" s="20" t="e">
        <f>#REF!-N547</f>
        <v>#REF!</v>
      </c>
      <c r="R547" s="17" t="str">
        <f t="shared" si="61"/>
        <v>15 1 02 00000000</v>
      </c>
    </row>
    <row r="548" spans="1:18" s="17" customFormat="1" ht="47.25">
      <c r="A548" s="14"/>
      <c r="B548" s="132" t="s">
        <v>152</v>
      </c>
      <c r="C548" s="109" t="s">
        <v>394</v>
      </c>
      <c r="D548" s="108" t="s">
        <v>229</v>
      </c>
      <c r="E548" s="108" t="s">
        <v>62</v>
      </c>
      <c r="F548" s="108" t="s">
        <v>275</v>
      </c>
      <c r="G548" s="108" t="s">
        <v>9</v>
      </c>
      <c r="H548" s="126">
        <f>H549</f>
        <v>0</v>
      </c>
      <c r="L548" s="20">
        <v>11700</v>
      </c>
      <c r="M548" s="20">
        <v>780</v>
      </c>
      <c r="N548" s="20">
        <v>0</v>
      </c>
      <c r="O548" s="20">
        <f>H548-L548</f>
        <v>-11700</v>
      </c>
      <c r="P548" s="20" t="e">
        <f>#REF!-M548</f>
        <v>#REF!</v>
      </c>
      <c r="Q548" s="20" t="e">
        <f>#REF!-N548</f>
        <v>#REF!</v>
      </c>
      <c r="R548" s="17" t="str">
        <f t="shared" si="61"/>
        <v>15 1 02 20350000</v>
      </c>
    </row>
    <row r="549" spans="1:18" s="17" customFormat="1" ht="15.75">
      <c r="A549" s="14"/>
      <c r="B549" s="132" t="s">
        <v>403</v>
      </c>
      <c r="C549" s="109" t="s">
        <v>394</v>
      </c>
      <c r="D549" s="108" t="s">
        <v>229</v>
      </c>
      <c r="E549" s="108" t="s">
        <v>62</v>
      </c>
      <c r="F549" s="108" t="s">
        <v>275</v>
      </c>
      <c r="G549" s="108" t="s">
        <v>404</v>
      </c>
      <c r="H549" s="126">
        <f>H550</f>
        <v>0</v>
      </c>
      <c r="L549" s="20">
        <v>11700</v>
      </c>
      <c r="M549" s="20">
        <v>780</v>
      </c>
      <c r="N549" s="20">
        <v>0</v>
      </c>
      <c r="O549" s="20">
        <f>H549-L549</f>
        <v>-11700</v>
      </c>
      <c r="P549" s="20" t="e">
        <f>#REF!-M549</f>
        <v>#REF!</v>
      </c>
      <c r="Q549" s="20" t="e">
        <f>#REF!-N549</f>
        <v>#REF!</v>
      </c>
      <c r="R549" s="17" t="str">
        <f t="shared" si="61"/>
        <v>15 1 02 20350610</v>
      </c>
    </row>
    <row r="550" spans="1:18" s="24" customFormat="1" ht="15.75">
      <c r="A550" s="21"/>
      <c r="B550" s="127" t="s">
        <v>407</v>
      </c>
      <c r="C550" s="109" t="s">
        <v>394</v>
      </c>
      <c r="D550" s="108" t="s">
        <v>229</v>
      </c>
      <c r="E550" s="108" t="s">
        <v>62</v>
      </c>
      <c r="F550" s="108" t="s">
        <v>275</v>
      </c>
      <c r="G550" s="108" t="s">
        <v>408</v>
      </c>
      <c r="H550" s="126"/>
      <c r="L550" s="22"/>
      <c r="M550" s="22"/>
      <c r="N550" s="22"/>
      <c r="O550" s="22"/>
      <c r="P550" s="22"/>
      <c r="Q550" s="22"/>
    </row>
    <row r="551" spans="1:18" s="17" customFormat="1" ht="15.75">
      <c r="A551" s="14"/>
      <c r="B551" s="127" t="s">
        <v>154</v>
      </c>
      <c r="C551" s="109" t="s">
        <v>394</v>
      </c>
      <c r="D551" s="108" t="s">
        <v>229</v>
      </c>
      <c r="E551" s="108" t="s">
        <v>62</v>
      </c>
      <c r="F551" s="108" t="s">
        <v>155</v>
      </c>
      <c r="G551" s="108" t="s">
        <v>9</v>
      </c>
      <c r="H551" s="126">
        <f t="shared" ref="H551:H553" si="65">H552</f>
        <v>0</v>
      </c>
      <c r="L551" s="20">
        <v>217.15</v>
      </c>
      <c r="M551" s="20">
        <v>217.15</v>
      </c>
      <c r="N551" s="20">
        <v>217.15</v>
      </c>
      <c r="O551" s="20">
        <f>H551-L551</f>
        <v>-217.15</v>
      </c>
      <c r="P551" s="20" t="e">
        <f>#REF!-M551</f>
        <v>#REF!</v>
      </c>
      <c r="Q551" s="20" t="e">
        <f>#REF!-N551</f>
        <v>#REF!</v>
      </c>
      <c r="R551" s="17" t="str">
        <f t="shared" si="61"/>
        <v>15 2 00 00000000</v>
      </c>
    </row>
    <row r="552" spans="1:18" s="17" customFormat="1" ht="47.25">
      <c r="A552" s="14"/>
      <c r="B552" s="127" t="s">
        <v>160</v>
      </c>
      <c r="C552" s="109" t="s">
        <v>394</v>
      </c>
      <c r="D552" s="108" t="s">
        <v>229</v>
      </c>
      <c r="E552" s="108" t="s">
        <v>62</v>
      </c>
      <c r="F552" s="108" t="s">
        <v>161</v>
      </c>
      <c r="G552" s="108" t="s">
        <v>9</v>
      </c>
      <c r="H552" s="126">
        <f t="shared" si="65"/>
        <v>0</v>
      </c>
      <c r="L552" s="20">
        <v>217.15</v>
      </c>
      <c r="M552" s="20">
        <v>217.15</v>
      </c>
      <c r="N552" s="20">
        <v>217.15</v>
      </c>
      <c r="O552" s="20">
        <f>H552-L552</f>
        <v>-217.15</v>
      </c>
      <c r="P552" s="20" t="e">
        <f>#REF!-M552</f>
        <v>#REF!</v>
      </c>
      <c r="Q552" s="20" t="e">
        <f>#REF!-N552</f>
        <v>#REF!</v>
      </c>
      <c r="R552" s="17" t="str">
        <f t="shared" si="61"/>
        <v>15 2 02 00000000</v>
      </c>
    </row>
    <row r="553" spans="1:18" s="17" customFormat="1" ht="78.75">
      <c r="A553" s="14"/>
      <c r="B553" s="129" t="s">
        <v>158</v>
      </c>
      <c r="C553" s="109" t="s">
        <v>394</v>
      </c>
      <c r="D553" s="108" t="s">
        <v>229</v>
      </c>
      <c r="E553" s="108" t="s">
        <v>62</v>
      </c>
      <c r="F553" s="108" t="s">
        <v>162</v>
      </c>
      <c r="G553" s="108" t="s">
        <v>9</v>
      </c>
      <c r="H553" s="126">
        <f t="shared" si="65"/>
        <v>0</v>
      </c>
      <c r="L553" s="20">
        <v>217.15</v>
      </c>
      <c r="M553" s="20">
        <v>217.15</v>
      </c>
      <c r="N553" s="20">
        <v>217.15</v>
      </c>
      <c r="O553" s="20">
        <f>H553-L553</f>
        <v>-217.15</v>
      </c>
      <c r="P553" s="20" t="e">
        <f>#REF!-M553</f>
        <v>#REF!</v>
      </c>
      <c r="Q553" s="20" t="e">
        <f>#REF!-N553</f>
        <v>#REF!</v>
      </c>
      <c r="R553" s="17" t="str">
        <f t="shared" si="61"/>
        <v>15 2 02 20370000</v>
      </c>
    </row>
    <row r="554" spans="1:18" s="17" customFormat="1" ht="15.75">
      <c r="A554" s="14"/>
      <c r="B554" s="132" t="s">
        <v>403</v>
      </c>
      <c r="C554" s="109" t="s">
        <v>394</v>
      </c>
      <c r="D554" s="108" t="s">
        <v>229</v>
      </c>
      <c r="E554" s="108" t="s">
        <v>62</v>
      </c>
      <c r="F554" s="108" t="s">
        <v>162</v>
      </c>
      <c r="G554" s="108" t="s">
        <v>404</v>
      </c>
      <c r="H554" s="126">
        <f>H555</f>
        <v>0</v>
      </c>
      <c r="L554" s="20">
        <v>217.15</v>
      </c>
      <c r="M554" s="20">
        <v>217.15</v>
      </c>
      <c r="N554" s="20">
        <v>217.15</v>
      </c>
      <c r="O554" s="20">
        <f>H554-L554</f>
        <v>-217.15</v>
      </c>
      <c r="P554" s="20" t="e">
        <f>#REF!-M554</f>
        <v>#REF!</v>
      </c>
      <c r="Q554" s="20" t="e">
        <f>#REF!-N554</f>
        <v>#REF!</v>
      </c>
      <c r="R554" s="17" t="str">
        <f t="shared" si="61"/>
        <v>15 2 02 20370610</v>
      </c>
    </row>
    <row r="555" spans="1:18" s="24" customFormat="1" ht="15.75">
      <c r="A555" s="21"/>
      <c r="B555" s="127" t="s">
        <v>407</v>
      </c>
      <c r="C555" s="109" t="s">
        <v>394</v>
      </c>
      <c r="D555" s="108" t="s">
        <v>229</v>
      </c>
      <c r="E555" s="108" t="s">
        <v>62</v>
      </c>
      <c r="F555" s="108" t="s">
        <v>162</v>
      </c>
      <c r="G555" s="108" t="s">
        <v>408</v>
      </c>
      <c r="H555" s="126"/>
      <c r="L555" s="22"/>
      <c r="M555" s="22"/>
      <c r="N555" s="22"/>
      <c r="O555" s="22"/>
      <c r="P555" s="22"/>
      <c r="Q555" s="22"/>
    </row>
    <row r="556" spans="1:18" s="17" customFormat="1" ht="31.5">
      <c r="A556" s="14"/>
      <c r="B556" s="125" t="s">
        <v>168</v>
      </c>
      <c r="C556" s="109" t="s">
        <v>394</v>
      </c>
      <c r="D556" s="108" t="s">
        <v>229</v>
      </c>
      <c r="E556" s="108" t="s">
        <v>62</v>
      </c>
      <c r="F556" s="108" t="s">
        <v>169</v>
      </c>
      <c r="G556" s="108" t="s">
        <v>9</v>
      </c>
      <c r="H556" s="126">
        <f t="shared" ref="H556:H558" si="66">H557</f>
        <v>0</v>
      </c>
      <c r="L556" s="20">
        <v>1674.8</v>
      </c>
      <c r="M556" s="20">
        <v>1674.8</v>
      </c>
      <c r="N556" s="20">
        <v>1674.8</v>
      </c>
      <c r="O556" s="20">
        <f>H556-L556</f>
        <v>-1674.8</v>
      </c>
      <c r="P556" s="20" t="e">
        <f>#REF!-M556</f>
        <v>#REF!</v>
      </c>
      <c r="Q556" s="20" t="e">
        <f>#REF!-N556</f>
        <v>#REF!</v>
      </c>
      <c r="R556" s="17" t="str">
        <f t="shared" si="61"/>
        <v>15 3 00 00000000</v>
      </c>
    </row>
    <row r="557" spans="1:18" s="17" customFormat="1" ht="31.5">
      <c r="A557" s="14"/>
      <c r="B557" s="125" t="s">
        <v>374</v>
      </c>
      <c r="C557" s="109" t="s">
        <v>394</v>
      </c>
      <c r="D557" s="108" t="s">
        <v>229</v>
      </c>
      <c r="E557" s="108" t="s">
        <v>62</v>
      </c>
      <c r="F557" s="108" t="s">
        <v>375</v>
      </c>
      <c r="G557" s="108" t="s">
        <v>9</v>
      </c>
      <c r="H557" s="126">
        <f t="shared" si="66"/>
        <v>0</v>
      </c>
      <c r="L557" s="20">
        <v>1674.8</v>
      </c>
      <c r="M557" s="20">
        <v>1674.8</v>
      </c>
      <c r="N557" s="20">
        <v>1674.8</v>
      </c>
      <c r="O557" s="20">
        <f>H557-L557</f>
        <v>-1674.8</v>
      </c>
      <c r="P557" s="20" t="e">
        <f>#REF!-M557</f>
        <v>#REF!</v>
      </c>
      <c r="Q557" s="20" t="e">
        <f>#REF!-N557</f>
        <v>#REF!</v>
      </c>
      <c r="R557" s="17" t="str">
        <f t="shared" si="61"/>
        <v>15 3 01 00000000</v>
      </c>
    </row>
    <row r="558" spans="1:18" s="17" customFormat="1" ht="31.5">
      <c r="A558" s="14"/>
      <c r="B558" s="125" t="s">
        <v>376</v>
      </c>
      <c r="C558" s="109" t="s">
        <v>394</v>
      </c>
      <c r="D558" s="108" t="s">
        <v>229</v>
      </c>
      <c r="E558" s="108" t="s">
        <v>62</v>
      </c>
      <c r="F558" s="108" t="s">
        <v>377</v>
      </c>
      <c r="G558" s="108" t="s">
        <v>9</v>
      </c>
      <c r="H558" s="126">
        <f t="shared" si="66"/>
        <v>0</v>
      </c>
      <c r="L558" s="20">
        <v>1674.8</v>
      </c>
      <c r="M558" s="20">
        <v>1674.8</v>
      </c>
      <c r="N558" s="20">
        <v>1674.8</v>
      </c>
      <c r="O558" s="20">
        <f>H558-L558</f>
        <v>-1674.8</v>
      </c>
      <c r="P558" s="20" t="e">
        <f>#REF!-M558</f>
        <v>#REF!</v>
      </c>
      <c r="Q558" s="20" t="e">
        <f>#REF!-N558</f>
        <v>#REF!</v>
      </c>
      <c r="R558" s="17" t="str">
        <f t="shared" si="61"/>
        <v>15 3 01 20660000</v>
      </c>
    </row>
    <row r="559" spans="1:18" s="17" customFormat="1" ht="15.75">
      <c r="A559" s="14"/>
      <c r="B559" s="132" t="s">
        <v>403</v>
      </c>
      <c r="C559" s="109" t="s">
        <v>394</v>
      </c>
      <c r="D559" s="108" t="s">
        <v>229</v>
      </c>
      <c r="E559" s="108" t="s">
        <v>62</v>
      </c>
      <c r="F559" s="108" t="s">
        <v>377</v>
      </c>
      <c r="G559" s="108" t="s">
        <v>404</v>
      </c>
      <c r="H559" s="126">
        <f>H560</f>
        <v>0</v>
      </c>
      <c r="L559" s="20">
        <v>1674.8</v>
      </c>
      <c r="M559" s="20">
        <v>1674.8</v>
      </c>
      <c r="N559" s="20">
        <v>1674.8</v>
      </c>
      <c r="O559" s="20">
        <f>H559-L559</f>
        <v>-1674.8</v>
      </c>
      <c r="P559" s="20" t="e">
        <f>#REF!-M559</f>
        <v>#REF!</v>
      </c>
      <c r="Q559" s="20" t="e">
        <f>#REF!-N559</f>
        <v>#REF!</v>
      </c>
      <c r="R559" s="17" t="str">
        <f t="shared" si="61"/>
        <v>15 3 01 20660610</v>
      </c>
    </row>
    <row r="560" spans="1:18" s="24" customFormat="1" ht="15.75">
      <c r="A560" s="21"/>
      <c r="B560" s="127" t="s">
        <v>407</v>
      </c>
      <c r="C560" s="109" t="s">
        <v>394</v>
      </c>
      <c r="D560" s="108" t="s">
        <v>229</v>
      </c>
      <c r="E560" s="108" t="s">
        <v>62</v>
      </c>
      <c r="F560" s="108" t="s">
        <v>377</v>
      </c>
      <c r="G560" s="108" t="s">
        <v>408</v>
      </c>
      <c r="H560" s="126"/>
      <c r="L560" s="22"/>
      <c r="M560" s="22"/>
      <c r="N560" s="22"/>
      <c r="O560" s="22"/>
      <c r="P560" s="22"/>
      <c r="Q560" s="22"/>
    </row>
    <row r="561" spans="1:18" s="17" customFormat="1" ht="94.5">
      <c r="A561" s="14"/>
      <c r="B561" s="125" t="s">
        <v>420</v>
      </c>
      <c r="C561" s="109" t="s">
        <v>394</v>
      </c>
      <c r="D561" s="108" t="s">
        <v>229</v>
      </c>
      <c r="E561" s="108" t="s">
        <v>62</v>
      </c>
      <c r="F561" s="108" t="s">
        <v>421</v>
      </c>
      <c r="G561" s="108" t="s">
        <v>9</v>
      </c>
      <c r="H561" s="126">
        <f t="shared" ref="H561:H563" si="67">H562</f>
        <v>0</v>
      </c>
      <c r="L561" s="20">
        <v>2776.06</v>
      </c>
      <c r="M561" s="20">
        <v>2776.06</v>
      </c>
      <c r="N561" s="20">
        <v>2776.06</v>
      </c>
      <c r="O561" s="20">
        <f>H561-L561</f>
        <v>-2776.06</v>
      </c>
      <c r="P561" s="20" t="e">
        <f>#REF!-M561</f>
        <v>#REF!</v>
      </c>
      <c r="Q561" s="20" t="e">
        <f>#REF!-N561</f>
        <v>#REF!</v>
      </c>
      <c r="R561" s="17" t="str">
        <f t="shared" si="61"/>
        <v>16 0 00 00000000</v>
      </c>
    </row>
    <row r="562" spans="1:18" s="17" customFormat="1" ht="31.5">
      <c r="A562" s="14"/>
      <c r="B562" s="125" t="s">
        <v>422</v>
      </c>
      <c r="C562" s="109" t="s">
        <v>394</v>
      </c>
      <c r="D562" s="108" t="s">
        <v>229</v>
      </c>
      <c r="E562" s="108" t="s">
        <v>62</v>
      </c>
      <c r="F562" s="108" t="s">
        <v>423</v>
      </c>
      <c r="G562" s="108" t="s">
        <v>9</v>
      </c>
      <c r="H562" s="126">
        <f t="shared" si="67"/>
        <v>0</v>
      </c>
      <c r="L562" s="20">
        <v>2776.06</v>
      </c>
      <c r="M562" s="20">
        <v>2776.06</v>
      </c>
      <c r="N562" s="20">
        <v>2776.06</v>
      </c>
      <c r="O562" s="20">
        <f>H562-L562</f>
        <v>-2776.06</v>
      </c>
      <c r="P562" s="20" t="e">
        <f>#REF!-M562</f>
        <v>#REF!</v>
      </c>
      <c r="Q562" s="20" t="e">
        <f>#REF!-N562</f>
        <v>#REF!</v>
      </c>
      <c r="R562" s="17" t="str">
        <f t="shared" si="61"/>
        <v>16 2 00 00000000</v>
      </c>
    </row>
    <row r="563" spans="1:18" s="17" customFormat="1" ht="47.25">
      <c r="A563" s="14"/>
      <c r="B563" s="125" t="s">
        <v>424</v>
      </c>
      <c r="C563" s="109" t="s">
        <v>394</v>
      </c>
      <c r="D563" s="108" t="s">
        <v>229</v>
      </c>
      <c r="E563" s="108" t="s">
        <v>62</v>
      </c>
      <c r="F563" s="108" t="s">
        <v>425</v>
      </c>
      <c r="G563" s="108" t="s">
        <v>9</v>
      </c>
      <c r="H563" s="126">
        <f t="shared" si="67"/>
        <v>0</v>
      </c>
      <c r="L563" s="20">
        <v>2776.06</v>
      </c>
      <c r="M563" s="20">
        <v>2776.06</v>
      </c>
      <c r="N563" s="20">
        <v>2776.06</v>
      </c>
      <c r="O563" s="20">
        <f>H563-L563</f>
        <v>-2776.06</v>
      </c>
      <c r="P563" s="20" t="e">
        <f>#REF!-M563</f>
        <v>#REF!</v>
      </c>
      <c r="Q563" s="20" t="e">
        <f>#REF!-N563</f>
        <v>#REF!</v>
      </c>
      <c r="R563" s="17" t="str">
        <f t="shared" si="61"/>
        <v>16 2 02 00000000</v>
      </c>
    </row>
    <row r="564" spans="1:18" s="17" customFormat="1" ht="47.25">
      <c r="A564" s="14"/>
      <c r="B564" s="125" t="s">
        <v>426</v>
      </c>
      <c r="C564" s="109" t="s">
        <v>394</v>
      </c>
      <c r="D564" s="108" t="s">
        <v>229</v>
      </c>
      <c r="E564" s="108" t="s">
        <v>62</v>
      </c>
      <c r="F564" s="108" t="s">
        <v>427</v>
      </c>
      <c r="G564" s="108" t="s">
        <v>9</v>
      </c>
      <c r="H564" s="126">
        <f>H565+H567</f>
        <v>0</v>
      </c>
      <c r="L564" s="20">
        <v>2776.06</v>
      </c>
      <c r="M564" s="20">
        <v>2776.06</v>
      </c>
      <c r="N564" s="20">
        <v>2776.06</v>
      </c>
      <c r="O564" s="20">
        <f>H564-L564</f>
        <v>-2776.06</v>
      </c>
      <c r="P564" s="20" t="e">
        <f>#REF!-M564</f>
        <v>#REF!</v>
      </c>
      <c r="Q564" s="20" t="e">
        <f>#REF!-N564</f>
        <v>#REF!</v>
      </c>
      <c r="R564" s="17" t="str">
        <f t="shared" si="61"/>
        <v>16 2 02 20550000</v>
      </c>
    </row>
    <row r="565" spans="1:18" s="17" customFormat="1" ht="15.75">
      <c r="A565" s="14"/>
      <c r="B565" s="132" t="s">
        <v>403</v>
      </c>
      <c r="C565" s="109" t="s">
        <v>394</v>
      </c>
      <c r="D565" s="108" t="s">
        <v>229</v>
      </c>
      <c r="E565" s="108" t="s">
        <v>62</v>
      </c>
      <c r="F565" s="108" t="s">
        <v>427</v>
      </c>
      <c r="G565" s="108" t="s">
        <v>404</v>
      </c>
      <c r="H565" s="126">
        <f>H566</f>
        <v>0</v>
      </c>
      <c r="L565" s="20">
        <v>2627.36</v>
      </c>
      <c r="M565" s="20">
        <v>2627.36</v>
      </c>
      <c r="N565" s="20">
        <v>2627.36</v>
      </c>
      <c r="O565" s="20">
        <f>H565-L565</f>
        <v>-2627.36</v>
      </c>
      <c r="P565" s="20" t="e">
        <f>#REF!-M565</f>
        <v>#REF!</v>
      </c>
      <c r="Q565" s="20" t="e">
        <f>#REF!-N565</f>
        <v>#REF!</v>
      </c>
      <c r="R565" s="17" t="str">
        <f t="shared" si="61"/>
        <v>16 2 02 20550610</v>
      </c>
    </row>
    <row r="566" spans="1:18" s="24" customFormat="1" ht="15.75">
      <c r="A566" s="21"/>
      <c r="B566" s="127" t="s">
        <v>407</v>
      </c>
      <c r="C566" s="109" t="s">
        <v>394</v>
      </c>
      <c r="D566" s="108" t="s">
        <v>229</v>
      </c>
      <c r="E566" s="108" t="s">
        <v>62</v>
      </c>
      <c r="F566" s="108" t="s">
        <v>427</v>
      </c>
      <c r="G566" s="108" t="s">
        <v>408</v>
      </c>
      <c r="H566" s="126"/>
      <c r="L566" s="22"/>
      <c r="M566" s="22"/>
      <c r="N566" s="22"/>
      <c r="O566" s="22"/>
      <c r="P566" s="22"/>
      <c r="Q566" s="22"/>
    </row>
    <row r="567" spans="1:18" s="17" customFormat="1" ht="15.75">
      <c r="A567" s="14"/>
      <c r="B567" s="132" t="s">
        <v>409</v>
      </c>
      <c r="C567" s="109" t="s">
        <v>394</v>
      </c>
      <c r="D567" s="108" t="s">
        <v>229</v>
      </c>
      <c r="E567" s="108" t="s">
        <v>62</v>
      </c>
      <c r="F567" s="108" t="s">
        <v>427</v>
      </c>
      <c r="G567" s="108" t="s">
        <v>410</v>
      </c>
      <c r="H567" s="126">
        <f>H568</f>
        <v>0</v>
      </c>
      <c r="L567" s="20">
        <v>148.69999999999999</v>
      </c>
      <c r="M567" s="20">
        <v>148.69999999999999</v>
      </c>
      <c r="N567" s="20">
        <v>148.69999999999999</v>
      </c>
      <c r="O567" s="20">
        <f>H567-L567</f>
        <v>-148.69999999999999</v>
      </c>
      <c r="P567" s="20" t="e">
        <f>#REF!-M567</f>
        <v>#REF!</v>
      </c>
      <c r="Q567" s="20" t="e">
        <f>#REF!-N567</f>
        <v>#REF!</v>
      </c>
      <c r="R567" s="17" t="str">
        <f t="shared" si="61"/>
        <v>16 2 02 20550620</v>
      </c>
    </row>
    <row r="568" spans="1:18" s="24" customFormat="1" ht="15.75">
      <c r="A568" s="21"/>
      <c r="B568" s="127" t="s">
        <v>428</v>
      </c>
      <c r="C568" s="109" t="s">
        <v>394</v>
      </c>
      <c r="D568" s="108" t="s">
        <v>229</v>
      </c>
      <c r="E568" s="108" t="s">
        <v>62</v>
      </c>
      <c r="F568" s="108" t="s">
        <v>427</v>
      </c>
      <c r="G568" s="108" t="s">
        <v>429</v>
      </c>
      <c r="H568" s="126"/>
      <c r="L568" s="22"/>
      <c r="M568" s="22"/>
      <c r="N568" s="22"/>
      <c r="O568" s="22"/>
      <c r="P568" s="22"/>
      <c r="Q568" s="22"/>
    </row>
    <row r="569" spans="1:18" s="17" customFormat="1" ht="47.25">
      <c r="A569" s="14"/>
      <c r="B569" s="125" t="s">
        <v>430</v>
      </c>
      <c r="C569" s="109" t="s">
        <v>394</v>
      </c>
      <c r="D569" s="108" t="s">
        <v>229</v>
      </c>
      <c r="E569" s="108" t="s">
        <v>62</v>
      </c>
      <c r="F569" s="108" t="s">
        <v>431</v>
      </c>
      <c r="G569" s="108" t="s">
        <v>9</v>
      </c>
      <c r="H569" s="126">
        <f t="shared" ref="H569:H570" si="68">H570</f>
        <v>0</v>
      </c>
      <c r="L569" s="20">
        <v>2538.87</v>
      </c>
      <c r="M569" s="20">
        <v>2538.87</v>
      </c>
      <c r="N569" s="20">
        <v>2538.87</v>
      </c>
      <c r="O569" s="20">
        <f>H569-L569</f>
        <v>-2538.87</v>
      </c>
      <c r="P569" s="20" t="e">
        <f>#REF!-M569</f>
        <v>#REF!</v>
      </c>
      <c r="Q569" s="20" t="e">
        <f>#REF!-N569</f>
        <v>#REF!</v>
      </c>
      <c r="R569" s="17" t="str">
        <f t="shared" si="61"/>
        <v>17 0 00 00000000</v>
      </c>
    </row>
    <row r="570" spans="1:18" s="17" customFormat="1" ht="47.25">
      <c r="A570" s="14"/>
      <c r="B570" s="129" t="s">
        <v>432</v>
      </c>
      <c r="C570" s="109" t="s">
        <v>394</v>
      </c>
      <c r="D570" s="108" t="s">
        <v>229</v>
      </c>
      <c r="E570" s="108" t="s">
        <v>62</v>
      </c>
      <c r="F570" s="108" t="s">
        <v>433</v>
      </c>
      <c r="G570" s="108" t="s">
        <v>9</v>
      </c>
      <c r="H570" s="126">
        <f t="shared" si="68"/>
        <v>0</v>
      </c>
      <c r="L570" s="20">
        <v>2538.87</v>
      </c>
      <c r="M570" s="20">
        <v>2538.87</v>
      </c>
      <c r="N570" s="20">
        <v>2538.87</v>
      </c>
      <c r="O570" s="20">
        <f>H570-L570</f>
        <v>-2538.87</v>
      </c>
      <c r="P570" s="20" t="e">
        <f>#REF!-M570</f>
        <v>#REF!</v>
      </c>
      <c r="Q570" s="20" t="e">
        <f>#REF!-N570</f>
        <v>#REF!</v>
      </c>
      <c r="R570" s="17" t="str">
        <f t="shared" si="61"/>
        <v>17 Б 00 00000000</v>
      </c>
    </row>
    <row r="571" spans="1:18" s="17" customFormat="1" ht="31.5">
      <c r="A571" s="14"/>
      <c r="B571" s="125" t="s">
        <v>434</v>
      </c>
      <c r="C571" s="109" t="s">
        <v>394</v>
      </c>
      <c r="D571" s="108" t="s">
        <v>229</v>
      </c>
      <c r="E571" s="108" t="s">
        <v>62</v>
      </c>
      <c r="F571" s="108" t="s">
        <v>435</v>
      </c>
      <c r="G571" s="108" t="s">
        <v>9</v>
      </c>
      <c r="H571" s="126">
        <f>H573</f>
        <v>0</v>
      </c>
      <c r="L571" s="20">
        <v>2538.87</v>
      </c>
      <c r="M571" s="20">
        <v>2538.87</v>
      </c>
      <c r="N571" s="20">
        <v>2538.87</v>
      </c>
      <c r="O571" s="20">
        <f>H571-L571</f>
        <v>-2538.87</v>
      </c>
      <c r="P571" s="20" t="e">
        <f>#REF!-M571</f>
        <v>#REF!</v>
      </c>
      <c r="Q571" s="20" t="e">
        <f>#REF!-N571</f>
        <v>#REF!</v>
      </c>
      <c r="R571" s="17" t="str">
        <f t="shared" ref="R571:R656" si="69">CONCATENATE(F571,G571)</f>
        <v>17 Б 01 00000000</v>
      </c>
    </row>
    <row r="572" spans="1:18" s="17" customFormat="1" ht="47.25">
      <c r="A572" s="14"/>
      <c r="B572" s="132" t="s">
        <v>436</v>
      </c>
      <c r="C572" s="109" t="s">
        <v>394</v>
      </c>
      <c r="D572" s="108" t="s">
        <v>229</v>
      </c>
      <c r="E572" s="108" t="s">
        <v>62</v>
      </c>
      <c r="F572" s="108" t="s">
        <v>437</v>
      </c>
      <c r="G572" s="108" t="s">
        <v>9</v>
      </c>
      <c r="H572" s="126">
        <f>H573</f>
        <v>0</v>
      </c>
      <c r="L572" s="20">
        <v>2538.87</v>
      </c>
      <c r="M572" s="20">
        <v>2538.87</v>
      </c>
      <c r="N572" s="20">
        <v>2538.87</v>
      </c>
      <c r="O572" s="20">
        <f>H572-L572</f>
        <v>-2538.87</v>
      </c>
      <c r="P572" s="20" t="e">
        <f>#REF!-M572</f>
        <v>#REF!</v>
      </c>
      <c r="Q572" s="20" t="e">
        <f>#REF!-N572</f>
        <v>#REF!</v>
      </c>
      <c r="R572" s="17" t="str">
        <f t="shared" si="69"/>
        <v>17 Б 01 20490000</v>
      </c>
    </row>
    <row r="573" spans="1:18" s="17" customFormat="1" ht="15.75">
      <c r="A573" s="14"/>
      <c r="B573" s="132" t="s">
        <v>403</v>
      </c>
      <c r="C573" s="109" t="s">
        <v>394</v>
      </c>
      <c r="D573" s="108" t="s">
        <v>229</v>
      </c>
      <c r="E573" s="108" t="s">
        <v>62</v>
      </c>
      <c r="F573" s="108" t="s">
        <v>437</v>
      </c>
      <c r="G573" s="108" t="s">
        <v>404</v>
      </c>
      <c r="H573" s="126">
        <f>H574</f>
        <v>0</v>
      </c>
      <c r="L573" s="20">
        <v>2538.87</v>
      </c>
      <c r="M573" s="20">
        <v>2538.87</v>
      </c>
      <c r="N573" s="20">
        <v>2538.87</v>
      </c>
      <c r="O573" s="20">
        <f>H573-L573</f>
        <v>-2538.87</v>
      </c>
      <c r="P573" s="20" t="e">
        <f>#REF!-M573</f>
        <v>#REF!</v>
      </c>
      <c r="Q573" s="20" t="e">
        <f>#REF!-N573</f>
        <v>#REF!</v>
      </c>
      <c r="R573" s="17" t="str">
        <f t="shared" si="69"/>
        <v>17 Б 01 20490610</v>
      </c>
    </row>
    <row r="574" spans="1:18" s="24" customFormat="1" ht="15.75">
      <c r="A574" s="21"/>
      <c r="B574" s="127" t="s">
        <v>407</v>
      </c>
      <c r="C574" s="109" t="s">
        <v>394</v>
      </c>
      <c r="D574" s="108" t="s">
        <v>229</v>
      </c>
      <c r="E574" s="108" t="s">
        <v>62</v>
      </c>
      <c r="F574" s="108" t="s">
        <v>437</v>
      </c>
      <c r="G574" s="108" t="s">
        <v>408</v>
      </c>
      <c r="H574" s="126"/>
      <c r="L574" s="22"/>
      <c r="M574" s="22"/>
      <c r="N574" s="22"/>
      <c r="O574" s="22"/>
      <c r="P574" s="22"/>
      <c r="Q574" s="22"/>
    </row>
    <row r="575" spans="1:18" s="17" customFormat="1" ht="31.5">
      <c r="A575" s="14"/>
      <c r="B575" s="132" t="s">
        <v>174</v>
      </c>
      <c r="C575" s="109" t="s">
        <v>394</v>
      </c>
      <c r="D575" s="108" t="s">
        <v>229</v>
      </c>
      <c r="E575" s="108" t="s">
        <v>62</v>
      </c>
      <c r="F575" s="108" t="s">
        <v>175</v>
      </c>
      <c r="G575" s="108" t="s">
        <v>9</v>
      </c>
      <c r="H575" s="126">
        <f t="shared" ref="H575:H578" si="70">H576</f>
        <v>0</v>
      </c>
      <c r="L575" s="20">
        <v>91.8</v>
      </c>
      <c r="M575" s="20">
        <v>91.8</v>
      </c>
      <c r="N575" s="20">
        <v>91.8</v>
      </c>
      <c r="O575" s="20">
        <f>H575-L575</f>
        <v>-91.8</v>
      </c>
      <c r="P575" s="20" t="e">
        <f>#REF!-M575</f>
        <v>#REF!</v>
      </c>
      <c r="Q575" s="20" t="e">
        <f>#REF!-N575</f>
        <v>#REF!</v>
      </c>
      <c r="R575" s="17" t="str">
        <f t="shared" si="69"/>
        <v>18 0 00 00000000</v>
      </c>
    </row>
    <row r="576" spans="1:18" s="17" customFormat="1" ht="31.5">
      <c r="A576" s="14"/>
      <c r="B576" s="132" t="s">
        <v>176</v>
      </c>
      <c r="C576" s="109" t="s">
        <v>394</v>
      </c>
      <c r="D576" s="108" t="s">
        <v>229</v>
      </c>
      <c r="E576" s="108" t="s">
        <v>62</v>
      </c>
      <c r="F576" s="108" t="s">
        <v>177</v>
      </c>
      <c r="G576" s="108" t="s">
        <v>9</v>
      </c>
      <c r="H576" s="126">
        <f t="shared" si="70"/>
        <v>0</v>
      </c>
      <c r="L576" s="20">
        <v>91.8</v>
      </c>
      <c r="M576" s="20">
        <v>91.8</v>
      </c>
      <c r="N576" s="20">
        <v>91.8</v>
      </c>
      <c r="O576" s="20">
        <f>H576-L576</f>
        <v>-91.8</v>
      </c>
      <c r="P576" s="20" t="e">
        <f>#REF!-M576</f>
        <v>#REF!</v>
      </c>
      <c r="Q576" s="20" t="e">
        <f>#REF!-N576</f>
        <v>#REF!</v>
      </c>
      <c r="R576" s="17" t="str">
        <f t="shared" si="69"/>
        <v>18 Б 00 00000000</v>
      </c>
    </row>
    <row r="577" spans="1:18" s="17" customFormat="1" ht="78.75">
      <c r="A577" s="14"/>
      <c r="B577" s="125" t="s">
        <v>454</v>
      </c>
      <c r="C577" s="109" t="s">
        <v>394</v>
      </c>
      <c r="D577" s="108" t="s">
        <v>229</v>
      </c>
      <c r="E577" s="108" t="s">
        <v>62</v>
      </c>
      <c r="F577" s="108" t="s">
        <v>455</v>
      </c>
      <c r="G577" s="108" t="s">
        <v>9</v>
      </c>
      <c r="H577" s="126">
        <f t="shared" si="70"/>
        <v>0</v>
      </c>
      <c r="L577" s="20">
        <v>91.8</v>
      </c>
      <c r="M577" s="20">
        <v>91.8</v>
      </c>
      <c r="N577" s="20">
        <v>91.8</v>
      </c>
      <c r="O577" s="20">
        <f>H577-L577</f>
        <v>-91.8</v>
      </c>
      <c r="P577" s="20" t="e">
        <f>#REF!-M577</f>
        <v>#REF!</v>
      </c>
      <c r="Q577" s="20" t="e">
        <f>#REF!-N577</f>
        <v>#REF!</v>
      </c>
      <c r="R577" s="17" t="str">
        <f t="shared" si="69"/>
        <v>18 Б 02 00000000</v>
      </c>
    </row>
    <row r="578" spans="1:18" s="17" customFormat="1" ht="47.25">
      <c r="A578" s="14"/>
      <c r="B578" s="125" t="s">
        <v>456</v>
      </c>
      <c r="C578" s="109" t="s">
        <v>394</v>
      </c>
      <c r="D578" s="108" t="s">
        <v>229</v>
      </c>
      <c r="E578" s="108" t="s">
        <v>62</v>
      </c>
      <c r="F578" s="108" t="s">
        <v>457</v>
      </c>
      <c r="G578" s="108" t="s">
        <v>9</v>
      </c>
      <c r="H578" s="126">
        <f t="shared" si="70"/>
        <v>0</v>
      </c>
      <c r="L578" s="20">
        <v>91.8</v>
      </c>
      <c r="M578" s="20">
        <v>91.8</v>
      </c>
      <c r="N578" s="20">
        <v>91.8</v>
      </c>
      <c r="O578" s="20">
        <f>H578-L578</f>
        <v>-91.8</v>
      </c>
      <c r="P578" s="20" t="e">
        <f>#REF!-M578</f>
        <v>#REF!</v>
      </c>
      <c r="Q578" s="20" t="e">
        <f>#REF!-N578</f>
        <v>#REF!</v>
      </c>
      <c r="R578" s="17" t="str">
        <f t="shared" si="69"/>
        <v>18 Б 02 20360000</v>
      </c>
    </row>
    <row r="579" spans="1:18" s="17" customFormat="1" ht="15.75">
      <c r="A579" s="14"/>
      <c r="B579" s="132" t="s">
        <v>403</v>
      </c>
      <c r="C579" s="109" t="s">
        <v>394</v>
      </c>
      <c r="D579" s="108" t="s">
        <v>229</v>
      </c>
      <c r="E579" s="108" t="s">
        <v>62</v>
      </c>
      <c r="F579" s="108" t="s">
        <v>457</v>
      </c>
      <c r="G579" s="108" t="s">
        <v>404</v>
      </c>
      <c r="H579" s="126">
        <f>H580</f>
        <v>0</v>
      </c>
      <c r="L579" s="20">
        <v>91.8</v>
      </c>
      <c r="M579" s="20">
        <v>91.8</v>
      </c>
      <c r="N579" s="20">
        <v>91.8</v>
      </c>
      <c r="O579" s="20">
        <f>H579-L579</f>
        <v>-91.8</v>
      </c>
      <c r="P579" s="20" t="e">
        <f>#REF!-M579</f>
        <v>#REF!</v>
      </c>
      <c r="Q579" s="20" t="e">
        <f>#REF!-N579</f>
        <v>#REF!</v>
      </c>
      <c r="R579" s="17" t="str">
        <f t="shared" si="69"/>
        <v>18 Б 02 20360610</v>
      </c>
    </row>
    <row r="580" spans="1:18" s="24" customFormat="1" ht="15.75">
      <c r="A580" s="21"/>
      <c r="B580" s="127" t="s">
        <v>407</v>
      </c>
      <c r="C580" s="109" t="s">
        <v>394</v>
      </c>
      <c r="D580" s="108" t="s">
        <v>229</v>
      </c>
      <c r="E580" s="108" t="s">
        <v>62</v>
      </c>
      <c r="F580" s="108" t="s">
        <v>457</v>
      </c>
      <c r="G580" s="108" t="s">
        <v>408</v>
      </c>
      <c r="H580" s="126"/>
      <c r="L580" s="22"/>
      <c r="M580" s="22"/>
      <c r="N580" s="22"/>
      <c r="O580" s="22"/>
      <c r="P580" s="22"/>
      <c r="Q580" s="22"/>
    </row>
    <row r="581" spans="1:18" s="17" customFormat="1" ht="15.75">
      <c r="A581" s="14"/>
      <c r="B581" s="121" t="s">
        <v>458</v>
      </c>
      <c r="C581" s="122" t="s">
        <v>394</v>
      </c>
      <c r="D581" s="123" t="s">
        <v>229</v>
      </c>
      <c r="E581" s="123" t="s">
        <v>13</v>
      </c>
      <c r="F581" s="123" t="s">
        <v>8</v>
      </c>
      <c r="G581" s="123" t="s">
        <v>9</v>
      </c>
      <c r="H581" s="124">
        <f>H582+H610+H594</f>
        <v>0</v>
      </c>
      <c r="L581" s="19">
        <v>198508.06</v>
      </c>
      <c r="M581" s="19">
        <v>196366.84</v>
      </c>
      <c r="N581" s="19">
        <v>196366.84</v>
      </c>
      <c r="O581" s="19">
        <f t="shared" ref="O581:O586" si="71">H581-L581</f>
        <v>-198508.06</v>
      </c>
      <c r="P581" s="19" t="e">
        <f>#REF!-M581</f>
        <v>#REF!</v>
      </c>
      <c r="Q581" s="19" t="e">
        <f>#REF!-N581</f>
        <v>#REF!</v>
      </c>
      <c r="R581" s="17" t="str">
        <f t="shared" si="69"/>
        <v>00 0 00 00000000</v>
      </c>
    </row>
    <row r="582" spans="1:18" s="17" customFormat="1" ht="31.5">
      <c r="A582" s="14"/>
      <c r="B582" s="132" t="s">
        <v>396</v>
      </c>
      <c r="C582" s="109" t="s">
        <v>394</v>
      </c>
      <c r="D582" s="108" t="s">
        <v>229</v>
      </c>
      <c r="E582" s="108" t="s">
        <v>13</v>
      </c>
      <c r="F582" s="108" t="s">
        <v>397</v>
      </c>
      <c r="G582" s="108" t="s">
        <v>9</v>
      </c>
      <c r="H582" s="126">
        <f>H583</f>
        <v>0</v>
      </c>
      <c r="L582" s="20">
        <v>197128.16</v>
      </c>
      <c r="M582" s="20">
        <v>195886.94</v>
      </c>
      <c r="N582" s="20">
        <v>195886.94</v>
      </c>
      <c r="O582" s="20">
        <f t="shared" si="71"/>
        <v>-197128.16</v>
      </c>
      <c r="P582" s="20" t="e">
        <f>#REF!-M582</f>
        <v>#REF!</v>
      </c>
      <c r="Q582" s="20" t="e">
        <f>#REF!-N582</f>
        <v>#REF!</v>
      </c>
      <c r="R582" s="17" t="str">
        <f t="shared" si="69"/>
        <v>01 0 00 00000000</v>
      </c>
    </row>
    <row r="583" spans="1:18" s="17" customFormat="1" ht="31.5">
      <c r="A583" s="14"/>
      <c r="B583" s="132" t="s">
        <v>398</v>
      </c>
      <c r="C583" s="109" t="s">
        <v>394</v>
      </c>
      <c r="D583" s="108" t="s">
        <v>229</v>
      </c>
      <c r="E583" s="108" t="s">
        <v>13</v>
      </c>
      <c r="F583" s="108" t="s">
        <v>399</v>
      </c>
      <c r="G583" s="108" t="s">
        <v>9</v>
      </c>
      <c r="H583" s="126">
        <f>H584+H590</f>
        <v>0</v>
      </c>
      <c r="L583" s="20">
        <v>197128.16</v>
      </c>
      <c r="M583" s="20">
        <v>195886.94</v>
      </c>
      <c r="N583" s="20">
        <v>195886.94</v>
      </c>
      <c r="O583" s="20">
        <f t="shared" si="71"/>
        <v>-197128.16</v>
      </c>
      <c r="P583" s="20" t="e">
        <f>#REF!-M583</f>
        <v>#REF!</v>
      </c>
      <c r="Q583" s="20" t="e">
        <f>#REF!-N583</f>
        <v>#REF!</v>
      </c>
      <c r="R583" s="17" t="str">
        <f t="shared" si="69"/>
        <v>01 1 00 00000000</v>
      </c>
    </row>
    <row r="584" spans="1:18" s="17" customFormat="1" ht="47.25">
      <c r="A584" s="14"/>
      <c r="B584" s="129" t="s">
        <v>459</v>
      </c>
      <c r="C584" s="130" t="s">
        <v>394</v>
      </c>
      <c r="D584" s="131" t="s">
        <v>229</v>
      </c>
      <c r="E584" s="131" t="s">
        <v>13</v>
      </c>
      <c r="F584" s="131" t="s">
        <v>460</v>
      </c>
      <c r="G584" s="131" t="s">
        <v>9</v>
      </c>
      <c r="H584" s="105">
        <f>H585</f>
        <v>0</v>
      </c>
      <c r="L584" s="26">
        <v>196878.16</v>
      </c>
      <c r="M584" s="26">
        <v>195886.94</v>
      </c>
      <c r="N584" s="26">
        <v>195886.94</v>
      </c>
      <c r="O584" s="26">
        <f t="shared" si="71"/>
        <v>-196878.16</v>
      </c>
      <c r="P584" s="26" t="e">
        <f>#REF!-M584</f>
        <v>#REF!</v>
      </c>
      <c r="Q584" s="26" t="e">
        <f>#REF!-N584</f>
        <v>#REF!</v>
      </c>
      <c r="R584" s="17" t="str">
        <f t="shared" si="69"/>
        <v>01 1 03 00000000</v>
      </c>
    </row>
    <row r="585" spans="1:18" s="17" customFormat="1" ht="31.5">
      <c r="A585" s="14"/>
      <c r="B585" s="140" t="s">
        <v>136</v>
      </c>
      <c r="C585" s="130" t="s">
        <v>394</v>
      </c>
      <c r="D585" s="131" t="s">
        <v>229</v>
      </c>
      <c r="E585" s="131" t="s">
        <v>13</v>
      </c>
      <c r="F585" s="131" t="s">
        <v>461</v>
      </c>
      <c r="G585" s="131" t="s">
        <v>9</v>
      </c>
      <c r="H585" s="105">
        <f>H586+H588</f>
        <v>0</v>
      </c>
      <c r="L585" s="26">
        <v>196878.16</v>
      </c>
      <c r="M585" s="26">
        <v>195886.94</v>
      </c>
      <c r="N585" s="26">
        <v>195886.94</v>
      </c>
      <c r="O585" s="26">
        <f t="shared" si="71"/>
        <v>-196878.16</v>
      </c>
      <c r="P585" s="26" t="e">
        <f>#REF!-M585</f>
        <v>#REF!</v>
      </c>
      <c r="Q585" s="26" t="e">
        <f>#REF!-N585</f>
        <v>#REF!</v>
      </c>
      <c r="R585" s="17" t="str">
        <f t="shared" si="69"/>
        <v>01 1 03 11010000</v>
      </c>
    </row>
    <row r="586" spans="1:18" s="17" customFormat="1" ht="15.75">
      <c r="A586" s="14"/>
      <c r="B586" s="140" t="s">
        <v>403</v>
      </c>
      <c r="C586" s="130" t="s">
        <v>394</v>
      </c>
      <c r="D586" s="131" t="s">
        <v>229</v>
      </c>
      <c r="E586" s="131" t="s">
        <v>13</v>
      </c>
      <c r="F586" s="131" t="s">
        <v>461</v>
      </c>
      <c r="G586" s="131" t="s">
        <v>404</v>
      </c>
      <c r="H586" s="126">
        <f>H587</f>
        <v>0</v>
      </c>
      <c r="L586" s="20">
        <v>177710.54</v>
      </c>
      <c r="M586" s="20">
        <v>176969.32</v>
      </c>
      <c r="N586" s="20">
        <v>176969.32</v>
      </c>
      <c r="O586" s="20">
        <f t="shared" si="71"/>
        <v>-177710.54</v>
      </c>
      <c r="P586" s="20" t="e">
        <f>#REF!-M586</f>
        <v>#REF!</v>
      </c>
      <c r="Q586" s="20" t="e">
        <f>#REF!-N586</f>
        <v>#REF!</v>
      </c>
      <c r="R586" s="17" t="str">
        <f t="shared" si="69"/>
        <v>01 1 03 11010610</v>
      </c>
    </row>
    <row r="587" spans="1:18" s="24" customFormat="1" ht="63">
      <c r="A587" s="21"/>
      <c r="B587" s="127" t="s">
        <v>405</v>
      </c>
      <c r="C587" s="130" t="s">
        <v>394</v>
      </c>
      <c r="D587" s="131" t="s">
        <v>229</v>
      </c>
      <c r="E587" s="131" t="s">
        <v>13</v>
      </c>
      <c r="F587" s="131" t="s">
        <v>461</v>
      </c>
      <c r="G587" s="108" t="s">
        <v>406</v>
      </c>
      <c r="H587" s="126"/>
      <c r="L587" s="22"/>
      <c r="M587" s="22"/>
      <c r="N587" s="22"/>
      <c r="O587" s="22"/>
      <c r="P587" s="22"/>
      <c r="Q587" s="22"/>
    </row>
    <row r="588" spans="1:18" s="17" customFormat="1" ht="15.75">
      <c r="A588" s="14"/>
      <c r="B588" s="140" t="s">
        <v>409</v>
      </c>
      <c r="C588" s="130" t="s">
        <v>394</v>
      </c>
      <c r="D588" s="131" t="s">
        <v>229</v>
      </c>
      <c r="E588" s="131" t="s">
        <v>13</v>
      </c>
      <c r="F588" s="131" t="s">
        <v>461</v>
      </c>
      <c r="G588" s="131" t="s">
        <v>410</v>
      </c>
      <c r="H588" s="126">
        <f>H589</f>
        <v>0</v>
      </c>
      <c r="L588" s="20">
        <v>19167.62</v>
      </c>
      <c r="M588" s="20">
        <v>18917.62</v>
      </c>
      <c r="N588" s="20">
        <v>18917.62</v>
      </c>
      <c r="O588" s="20">
        <f>H588-L588</f>
        <v>-19167.62</v>
      </c>
      <c r="P588" s="20" t="e">
        <f>#REF!-M588</f>
        <v>#REF!</v>
      </c>
      <c r="Q588" s="20" t="e">
        <f>#REF!-N588</f>
        <v>#REF!</v>
      </c>
      <c r="R588" s="17" t="str">
        <f t="shared" si="69"/>
        <v>01 1 03 11010620</v>
      </c>
    </row>
    <row r="589" spans="1:18" s="24" customFormat="1" ht="63">
      <c r="A589" s="21"/>
      <c r="B589" s="127" t="s">
        <v>411</v>
      </c>
      <c r="C589" s="130" t="s">
        <v>394</v>
      </c>
      <c r="D589" s="131" t="s">
        <v>229</v>
      </c>
      <c r="E589" s="131" t="s">
        <v>13</v>
      </c>
      <c r="F589" s="131" t="s">
        <v>461</v>
      </c>
      <c r="G589" s="108" t="s">
        <v>412</v>
      </c>
      <c r="H589" s="126"/>
      <c r="L589" s="22"/>
      <c r="M589" s="22"/>
      <c r="N589" s="22"/>
      <c r="O589" s="22"/>
      <c r="P589" s="22"/>
      <c r="Q589" s="22"/>
    </row>
    <row r="590" spans="1:18" s="17" customFormat="1" ht="78.75">
      <c r="A590" s="14"/>
      <c r="B590" s="125" t="s">
        <v>417</v>
      </c>
      <c r="C590" s="109" t="s">
        <v>394</v>
      </c>
      <c r="D590" s="108" t="s">
        <v>229</v>
      </c>
      <c r="E590" s="131" t="s">
        <v>13</v>
      </c>
      <c r="F590" s="108" t="s">
        <v>418</v>
      </c>
      <c r="G590" s="108" t="s">
        <v>9</v>
      </c>
      <c r="H590" s="126">
        <f>H591</f>
        <v>0</v>
      </c>
      <c r="L590" s="20">
        <v>250</v>
      </c>
      <c r="M590" s="20">
        <v>0</v>
      </c>
      <c r="N590" s="20">
        <v>0</v>
      </c>
      <c r="O590" s="20">
        <f>H590-L590</f>
        <v>-250</v>
      </c>
      <c r="P590" s="20" t="e">
        <f>#REF!-M590</f>
        <v>#REF!</v>
      </c>
      <c r="Q590" s="20" t="e">
        <f>#REF!-N590</f>
        <v>#REF!</v>
      </c>
      <c r="R590" s="17" t="str">
        <f t="shared" si="69"/>
        <v>01 1 06 00000000</v>
      </c>
    </row>
    <row r="591" spans="1:18" s="17" customFormat="1" ht="47.25">
      <c r="A591" s="14"/>
      <c r="B591" s="132" t="s">
        <v>462</v>
      </c>
      <c r="C591" s="109" t="s">
        <v>394</v>
      </c>
      <c r="D591" s="108" t="s">
        <v>229</v>
      </c>
      <c r="E591" s="131" t="s">
        <v>13</v>
      </c>
      <c r="F591" s="108" t="s">
        <v>463</v>
      </c>
      <c r="G591" s="108" t="s">
        <v>9</v>
      </c>
      <c r="H591" s="126">
        <f>H592</f>
        <v>0</v>
      </c>
      <c r="L591" s="20">
        <v>250</v>
      </c>
      <c r="M591" s="20">
        <v>0</v>
      </c>
      <c r="N591" s="20">
        <v>0</v>
      </c>
      <c r="O591" s="20">
        <f>H591-L591</f>
        <v>-250</v>
      </c>
      <c r="P591" s="20" t="e">
        <f>#REF!-M591</f>
        <v>#REF!</v>
      </c>
      <c r="Q591" s="20" t="e">
        <f>#REF!-N591</f>
        <v>#REF!</v>
      </c>
      <c r="R591" s="17" t="str">
        <f t="shared" si="69"/>
        <v>01 1 06 S6690000</v>
      </c>
    </row>
    <row r="592" spans="1:18" s="17" customFormat="1" ht="15.75">
      <c r="A592" s="14"/>
      <c r="B592" s="132" t="s">
        <v>403</v>
      </c>
      <c r="C592" s="109" t="s">
        <v>394</v>
      </c>
      <c r="D592" s="108" t="s">
        <v>229</v>
      </c>
      <c r="E592" s="131" t="s">
        <v>13</v>
      </c>
      <c r="F592" s="108" t="s">
        <v>463</v>
      </c>
      <c r="G592" s="108" t="s">
        <v>404</v>
      </c>
      <c r="H592" s="126">
        <f>H593</f>
        <v>0</v>
      </c>
      <c r="L592" s="20">
        <v>250</v>
      </c>
      <c r="M592" s="20">
        <v>0</v>
      </c>
      <c r="N592" s="20">
        <v>0</v>
      </c>
      <c r="O592" s="20">
        <f>H592-L592</f>
        <v>-250</v>
      </c>
      <c r="P592" s="20" t="e">
        <f>#REF!-M592</f>
        <v>#REF!</v>
      </c>
      <c r="Q592" s="20" t="e">
        <f>#REF!-N592</f>
        <v>#REF!</v>
      </c>
      <c r="R592" s="17" t="str">
        <f t="shared" si="69"/>
        <v>01 1 06 S6690610</v>
      </c>
    </row>
    <row r="593" spans="1:18" s="24" customFormat="1" ht="15.75">
      <c r="A593" s="21"/>
      <c r="B593" s="127" t="s">
        <v>407</v>
      </c>
      <c r="C593" s="109" t="s">
        <v>394</v>
      </c>
      <c r="D593" s="108" t="s">
        <v>229</v>
      </c>
      <c r="E593" s="131" t="s">
        <v>13</v>
      </c>
      <c r="F593" s="108" t="s">
        <v>463</v>
      </c>
      <c r="G593" s="108" t="s">
        <v>408</v>
      </c>
      <c r="H593" s="126"/>
      <c r="L593" s="22"/>
      <c r="M593" s="22"/>
      <c r="N593" s="22"/>
      <c r="O593" s="22"/>
      <c r="P593" s="22"/>
      <c r="Q593" s="22"/>
    </row>
    <row r="594" spans="1:18" s="17" customFormat="1" ht="47.25">
      <c r="A594" s="14"/>
      <c r="B594" s="127" t="s">
        <v>146</v>
      </c>
      <c r="C594" s="109" t="s">
        <v>394</v>
      </c>
      <c r="D594" s="108" t="s">
        <v>229</v>
      </c>
      <c r="E594" s="131" t="s">
        <v>13</v>
      </c>
      <c r="F594" s="108" t="s">
        <v>147</v>
      </c>
      <c r="G594" s="108" t="s">
        <v>9</v>
      </c>
      <c r="H594" s="126">
        <f>H605+H600+H595</f>
        <v>0</v>
      </c>
      <c r="L594" s="20">
        <v>1020</v>
      </c>
      <c r="M594" s="20">
        <v>120</v>
      </c>
      <c r="N594" s="20">
        <v>120</v>
      </c>
      <c r="O594" s="20">
        <f>H594-L594</f>
        <v>-1020</v>
      </c>
      <c r="P594" s="20" t="e">
        <f>#REF!-M594</f>
        <v>#REF!</v>
      </c>
      <c r="Q594" s="20" t="e">
        <f>#REF!-N594</f>
        <v>#REF!</v>
      </c>
      <c r="R594" s="17" t="str">
        <f t="shared" si="69"/>
        <v>15 0 00 00000000</v>
      </c>
    </row>
    <row r="595" spans="1:18" s="17" customFormat="1" ht="15.75">
      <c r="A595" s="14"/>
      <c r="B595" s="132" t="s">
        <v>148</v>
      </c>
      <c r="C595" s="109" t="s">
        <v>394</v>
      </c>
      <c r="D595" s="108" t="s">
        <v>229</v>
      </c>
      <c r="E595" s="131" t="s">
        <v>13</v>
      </c>
      <c r="F595" s="108" t="s">
        <v>149</v>
      </c>
      <c r="G595" s="108" t="s">
        <v>9</v>
      </c>
      <c r="H595" s="126">
        <f>H596</f>
        <v>0</v>
      </c>
      <c r="L595" s="20">
        <v>900</v>
      </c>
      <c r="M595" s="20">
        <v>0</v>
      </c>
      <c r="N595" s="20">
        <v>0</v>
      </c>
      <c r="O595" s="20">
        <f>H595-L595</f>
        <v>-900</v>
      </c>
      <c r="P595" s="20" t="e">
        <f>#REF!-M595</f>
        <v>#REF!</v>
      </c>
      <c r="Q595" s="20" t="e">
        <f>#REF!-N595</f>
        <v>#REF!</v>
      </c>
      <c r="R595" s="17" t="str">
        <f t="shared" si="69"/>
        <v>15 1 00 00000000</v>
      </c>
    </row>
    <row r="596" spans="1:18" s="17" customFormat="1" ht="47.25">
      <c r="A596" s="14"/>
      <c r="B596" s="135" t="s">
        <v>273</v>
      </c>
      <c r="C596" s="109" t="s">
        <v>394</v>
      </c>
      <c r="D596" s="108" t="s">
        <v>229</v>
      </c>
      <c r="E596" s="131" t="s">
        <v>13</v>
      </c>
      <c r="F596" s="108" t="s">
        <v>274</v>
      </c>
      <c r="G596" s="108" t="s">
        <v>9</v>
      </c>
      <c r="H596" s="126">
        <f>H597</f>
        <v>0</v>
      </c>
      <c r="L596" s="20">
        <v>900</v>
      </c>
      <c r="M596" s="20">
        <v>0</v>
      </c>
      <c r="N596" s="20">
        <v>0</v>
      </c>
      <c r="O596" s="20">
        <f>H596-L596</f>
        <v>-900</v>
      </c>
      <c r="P596" s="20" t="e">
        <f>#REF!-M596</f>
        <v>#REF!</v>
      </c>
      <c r="Q596" s="20" t="e">
        <f>#REF!-N596</f>
        <v>#REF!</v>
      </c>
      <c r="R596" s="17" t="str">
        <f t="shared" si="69"/>
        <v>15 1 02 00000000</v>
      </c>
    </row>
    <row r="597" spans="1:18" s="17" customFormat="1" ht="47.25">
      <c r="A597" s="14"/>
      <c r="B597" s="132" t="s">
        <v>152</v>
      </c>
      <c r="C597" s="109" t="s">
        <v>394</v>
      </c>
      <c r="D597" s="108" t="s">
        <v>229</v>
      </c>
      <c r="E597" s="131" t="s">
        <v>13</v>
      </c>
      <c r="F597" s="108" t="s">
        <v>275</v>
      </c>
      <c r="G597" s="108" t="s">
        <v>9</v>
      </c>
      <c r="H597" s="126">
        <f>H598</f>
        <v>0</v>
      </c>
      <c r="L597" s="20">
        <v>900</v>
      </c>
      <c r="M597" s="20">
        <v>0</v>
      </c>
      <c r="N597" s="20">
        <v>0</v>
      </c>
      <c r="O597" s="20">
        <f>H597-L597</f>
        <v>-900</v>
      </c>
      <c r="P597" s="20" t="e">
        <f>#REF!-M597</f>
        <v>#REF!</v>
      </c>
      <c r="Q597" s="20" t="e">
        <f>#REF!-N597</f>
        <v>#REF!</v>
      </c>
      <c r="R597" s="17" t="str">
        <f t="shared" si="69"/>
        <v>15 1 02 20350000</v>
      </c>
    </row>
    <row r="598" spans="1:18" s="17" customFormat="1" ht="15.75">
      <c r="A598" s="14"/>
      <c r="B598" s="132" t="s">
        <v>403</v>
      </c>
      <c r="C598" s="109" t="s">
        <v>394</v>
      </c>
      <c r="D598" s="108" t="s">
        <v>229</v>
      </c>
      <c r="E598" s="131" t="s">
        <v>13</v>
      </c>
      <c r="F598" s="108" t="s">
        <v>275</v>
      </c>
      <c r="G598" s="108" t="s">
        <v>404</v>
      </c>
      <c r="H598" s="126">
        <f>H599</f>
        <v>0</v>
      </c>
      <c r="L598" s="20">
        <v>900</v>
      </c>
      <c r="M598" s="20">
        <v>0</v>
      </c>
      <c r="N598" s="20">
        <v>0</v>
      </c>
      <c r="O598" s="20">
        <f>H598-L598</f>
        <v>-900</v>
      </c>
      <c r="P598" s="20" t="e">
        <f>#REF!-M598</f>
        <v>#REF!</v>
      </c>
      <c r="Q598" s="20" t="e">
        <f>#REF!-N598</f>
        <v>#REF!</v>
      </c>
      <c r="R598" s="17" t="str">
        <f t="shared" si="69"/>
        <v>15 1 02 20350610</v>
      </c>
    </row>
    <row r="599" spans="1:18" s="24" customFormat="1" ht="15.75">
      <c r="A599" s="21"/>
      <c r="B599" s="127" t="s">
        <v>407</v>
      </c>
      <c r="C599" s="109" t="s">
        <v>394</v>
      </c>
      <c r="D599" s="108" t="s">
        <v>229</v>
      </c>
      <c r="E599" s="131" t="s">
        <v>13</v>
      </c>
      <c r="F599" s="108" t="s">
        <v>275</v>
      </c>
      <c r="G599" s="108" t="s">
        <v>408</v>
      </c>
      <c r="H599" s="126"/>
      <c r="L599" s="22"/>
      <c r="M599" s="22"/>
      <c r="N599" s="22"/>
      <c r="O599" s="22"/>
      <c r="P599" s="22"/>
      <c r="Q599" s="22"/>
    </row>
    <row r="600" spans="1:18" s="17" customFormat="1" ht="15.75">
      <c r="A600" s="14"/>
      <c r="B600" s="127" t="s">
        <v>154</v>
      </c>
      <c r="C600" s="109" t="s">
        <v>394</v>
      </c>
      <c r="D600" s="108" t="s">
        <v>229</v>
      </c>
      <c r="E600" s="131" t="s">
        <v>13</v>
      </c>
      <c r="F600" s="108" t="s">
        <v>155</v>
      </c>
      <c r="G600" s="108" t="s">
        <v>9</v>
      </c>
      <c r="H600" s="126">
        <f>H601</f>
        <v>0</v>
      </c>
      <c r="L600" s="20">
        <v>20</v>
      </c>
      <c r="M600" s="20">
        <v>20</v>
      </c>
      <c r="N600" s="20">
        <v>20</v>
      </c>
      <c r="O600" s="20">
        <f>H600-L600</f>
        <v>-20</v>
      </c>
      <c r="P600" s="20" t="e">
        <f>#REF!-M600</f>
        <v>#REF!</v>
      </c>
      <c r="Q600" s="20" t="e">
        <f>#REF!-N600</f>
        <v>#REF!</v>
      </c>
      <c r="R600" s="17" t="str">
        <f t="shared" si="69"/>
        <v>15 2 00 00000000</v>
      </c>
    </row>
    <row r="601" spans="1:18" s="17" customFormat="1" ht="47.25">
      <c r="A601" s="14"/>
      <c r="B601" s="127" t="s">
        <v>160</v>
      </c>
      <c r="C601" s="109" t="s">
        <v>394</v>
      </c>
      <c r="D601" s="108" t="s">
        <v>229</v>
      </c>
      <c r="E601" s="131" t="s">
        <v>13</v>
      </c>
      <c r="F601" s="108" t="s">
        <v>161</v>
      </c>
      <c r="G601" s="108" t="s">
        <v>9</v>
      </c>
      <c r="H601" s="126">
        <f>H602</f>
        <v>0</v>
      </c>
      <c r="L601" s="20">
        <v>20</v>
      </c>
      <c r="M601" s="20">
        <v>20</v>
      </c>
      <c r="N601" s="20">
        <v>20</v>
      </c>
      <c r="O601" s="20">
        <f>H601-L601</f>
        <v>-20</v>
      </c>
      <c r="P601" s="20" t="e">
        <f>#REF!-M601</f>
        <v>#REF!</v>
      </c>
      <c r="Q601" s="20" t="e">
        <f>#REF!-N601</f>
        <v>#REF!</v>
      </c>
      <c r="R601" s="17" t="str">
        <f t="shared" si="69"/>
        <v>15 2 02 00000000</v>
      </c>
    </row>
    <row r="602" spans="1:18" s="17" customFormat="1" ht="78.75">
      <c r="A602" s="14"/>
      <c r="B602" s="129" t="s">
        <v>158</v>
      </c>
      <c r="C602" s="109" t="s">
        <v>394</v>
      </c>
      <c r="D602" s="108" t="s">
        <v>229</v>
      </c>
      <c r="E602" s="131" t="s">
        <v>13</v>
      </c>
      <c r="F602" s="108" t="s">
        <v>162</v>
      </c>
      <c r="G602" s="108" t="s">
        <v>9</v>
      </c>
      <c r="H602" s="126">
        <f>H603</f>
        <v>0</v>
      </c>
      <c r="L602" s="20">
        <v>20</v>
      </c>
      <c r="M602" s="20">
        <v>20</v>
      </c>
      <c r="N602" s="20">
        <v>20</v>
      </c>
      <c r="O602" s="20">
        <f>H602-L602</f>
        <v>-20</v>
      </c>
      <c r="P602" s="20" t="e">
        <f>#REF!-M602</f>
        <v>#REF!</v>
      </c>
      <c r="Q602" s="20" t="e">
        <f>#REF!-N602</f>
        <v>#REF!</v>
      </c>
      <c r="R602" s="17" t="str">
        <f t="shared" si="69"/>
        <v>15 2 02 20370000</v>
      </c>
    </row>
    <row r="603" spans="1:18" s="17" customFormat="1" ht="15.75">
      <c r="A603" s="14"/>
      <c r="B603" s="132" t="s">
        <v>403</v>
      </c>
      <c r="C603" s="109" t="s">
        <v>394</v>
      </c>
      <c r="D603" s="108" t="s">
        <v>229</v>
      </c>
      <c r="E603" s="131" t="s">
        <v>13</v>
      </c>
      <c r="F603" s="108" t="s">
        <v>162</v>
      </c>
      <c r="G603" s="108" t="s">
        <v>404</v>
      </c>
      <c r="H603" s="126">
        <f>H604</f>
        <v>0</v>
      </c>
      <c r="L603" s="20">
        <v>20</v>
      </c>
      <c r="M603" s="20">
        <v>20</v>
      </c>
      <c r="N603" s="20">
        <v>20</v>
      </c>
      <c r="O603" s="20">
        <f>H603-L603</f>
        <v>-20</v>
      </c>
      <c r="P603" s="20" t="e">
        <f>#REF!-M603</f>
        <v>#REF!</v>
      </c>
      <c r="Q603" s="20" t="e">
        <f>#REF!-N603</f>
        <v>#REF!</v>
      </c>
      <c r="R603" s="17" t="str">
        <f t="shared" si="69"/>
        <v>15 2 02 20370610</v>
      </c>
    </row>
    <row r="604" spans="1:18" s="24" customFormat="1" ht="15.75">
      <c r="A604" s="21"/>
      <c r="B604" s="127" t="s">
        <v>407</v>
      </c>
      <c r="C604" s="109" t="s">
        <v>394</v>
      </c>
      <c r="D604" s="108" t="s">
        <v>229</v>
      </c>
      <c r="E604" s="131" t="s">
        <v>13</v>
      </c>
      <c r="F604" s="108" t="s">
        <v>162</v>
      </c>
      <c r="G604" s="108" t="s">
        <v>408</v>
      </c>
      <c r="H604" s="126"/>
      <c r="L604" s="22"/>
      <c r="M604" s="22"/>
      <c r="N604" s="22"/>
      <c r="O604" s="22"/>
      <c r="P604" s="22"/>
      <c r="Q604" s="22"/>
    </row>
    <row r="605" spans="1:18" s="17" customFormat="1" ht="31.5">
      <c r="A605" s="14"/>
      <c r="B605" s="125" t="s">
        <v>168</v>
      </c>
      <c r="C605" s="109" t="s">
        <v>394</v>
      </c>
      <c r="D605" s="108" t="s">
        <v>229</v>
      </c>
      <c r="E605" s="131" t="s">
        <v>13</v>
      </c>
      <c r="F605" s="108" t="s">
        <v>169</v>
      </c>
      <c r="G605" s="108" t="s">
        <v>9</v>
      </c>
      <c r="H605" s="126">
        <f>H606</f>
        <v>0</v>
      </c>
      <c r="L605" s="20">
        <v>100</v>
      </c>
      <c r="M605" s="20">
        <v>100</v>
      </c>
      <c r="N605" s="20">
        <v>100</v>
      </c>
      <c r="O605" s="20">
        <f>H605-L605</f>
        <v>-100</v>
      </c>
      <c r="P605" s="20" t="e">
        <f>#REF!-M605</f>
        <v>#REF!</v>
      </c>
      <c r="Q605" s="20" t="e">
        <f>#REF!-N605</f>
        <v>#REF!</v>
      </c>
      <c r="R605" s="17" t="str">
        <f t="shared" si="69"/>
        <v>15 3 00 00000000</v>
      </c>
    </row>
    <row r="606" spans="1:18" s="17" customFormat="1" ht="31.5">
      <c r="A606" s="14"/>
      <c r="B606" s="125" t="s">
        <v>374</v>
      </c>
      <c r="C606" s="109" t="s">
        <v>394</v>
      </c>
      <c r="D606" s="108" t="s">
        <v>229</v>
      </c>
      <c r="E606" s="131" t="s">
        <v>13</v>
      </c>
      <c r="F606" s="108" t="s">
        <v>375</v>
      </c>
      <c r="G606" s="108" t="s">
        <v>9</v>
      </c>
      <c r="H606" s="126">
        <f>H607</f>
        <v>0</v>
      </c>
      <c r="L606" s="20">
        <v>100</v>
      </c>
      <c r="M606" s="20">
        <v>100</v>
      </c>
      <c r="N606" s="20">
        <v>100</v>
      </c>
      <c r="O606" s="20">
        <f>H606-L606</f>
        <v>-100</v>
      </c>
      <c r="P606" s="20" t="e">
        <f>#REF!-M606</f>
        <v>#REF!</v>
      </c>
      <c r="Q606" s="20" t="e">
        <f>#REF!-N606</f>
        <v>#REF!</v>
      </c>
      <c r="R606" s="17" t="str">
        <f t="shared" si="69"/>
        <v>15 3 01 00000000</v>
      </c>
    </row>
    <row r="607" spans="1:18" s="17" customFormat="1" ht="31.5">
      <c r="A607" s="14"/>
      <c r="B607" s="125" t="s">
        <v>376</v>
      </c>
      <c r="C607" s="109" t="s">
        <v>394</v>
      </c>
      <c r="D607" s="108" t="s">
        <v>229</v>
      </c>
      <c r="E607" s="131" t="s">
        <v>13</v>
      </c>
      <c r="F607" s="108" t="s">
        <v>377</v>
      </c>
      <c r="G607" s="108" t="s">
        <v>9</v>
      </c>
      <c r="H607" s="126">
        <f>H608</f>
        <v>0</v>
      </c>
      <c r="L607" s="20">
        <v>100</v>
      </c>
      <c r="M607" s="20">
        <v>100</v>
      </c>
      <c r="N607" s="20">
        <v>100</v>
      </c>
      <c r="O607" s="20">
        <f>H607-L607</f>
        <v>-100</v>
      </c>
      <c r="P607" s="20" t="e">
        <f>#REF!-M607</f>
        <v>#REF!</v>
      </c>
      <c r="Q607" s="20" t="e">
        <f>#REF!-N607</f>
        <v>#REF!</v>
      </c>
      <c r="R607" s="17" t="str">
        <f t="shared" si="69"/>
        <v>15 3 01 20660000</v>
      </c>
    </row>
    <row r="608" spans="1:18" s="17" customFormat="1" ht="15.75">
      <c r="A608" s="14"/>
      <c r="B608" s="132" t="s">
        <v>403</v>
      </c>
      <c r="C608" s="109" t="s">
        <v>394</v>
      </c>
      <c r="D608" s="108" t="s">
        <v>229</v>
      </c>
      <c r="E608" s="131" t="s">
        <v>13</v>
      </c>
      <c r="F608" s="108" t="s">
        <v>377</v>
      </c>
      <c r="G608" s="108" t="s">
        <v>404</v>
      </c>
      <c r="H608" s="126">
        <f>H609</f>
        <v>0</v>
      </c>
      <c r="L608" s="20">
        <v>100</v>
      </c>
      <c r="M608" s="20">
        <v>100</v>
      </c>
      <c r="N608" s="20">
        <v>100</v>
      </c>
      <c r="O608" s="20">
        <f>H608-L608</f>
        <v>-100</v>
      </c>
      <c r="P608" s="20" t="e">
        <f>#REF!-M608</f>
        <v>#REF!</v>
      </c>
      <c r="Q608" s="20" t="e">
        <f>#REF!-N608</f>
        <v>#REF!</v>
      </c>
      <c r="R608" s="17" t="str">
        <f t="shared" si="69"/>
        <v>15 3 01 20660610</v>
      </c>
    </row>
    <row r="609" spans="1:18" s="24" customFormat="1" ht="15.75">
      <c r="A609" s="21"/>
      <c r="B609" s="127" t="s">
        <v>407</v>
      </c>
      <c r="C609" s="109" t="s">
        <v>394</v>
      </c>
      <c r="D609" s="108" t="s">
        <v>229</v>
      </c>
      <c r="E609" s="131" t="s">
        <v>13</v>
      </c>
      <c r="F609" s="108" t="s">
        <v>377</v>
      </c>
      <c r="G609" s="108" t="s">
        <v>408</v>
      </c>
      <c r="H609" s="126"/>
      <c r="L609" s="22"/>
      <c r="M609" s="22"/>
      <c r="N609" s="22"/>
      <c r="O609" s="22"/>
      <c r="P609" s="22"/>
      <c r="Q609" s="22"/>
    </row>
    <row r="610" spans="1:18" s="17" customFormat="1" ht="94.5">
      <c r="A610" s="14"/>
      <c r="B610" s="125" t="s">
        <v>420</v>
      </c>
      <c r="C610" s="109" t="s">
        <v>394</v>
      </c>
      <c r="D610" s="131" t="s">
        <v>229</v>
      </c>
      <c r="E610" s="131" t="s">
        <v>13</v>
      </c>
      <c r="F610" s="108" t="s">
        <v>421</v>
      </c>
      <c r="G610" s="108" t="s">
        <v>9</v>
      </c>
      <c r="H610" s="126">
        <f t="shared" ref="H610:H612" si="72">H611</f>
        <v>0</v>
      </c>
      <c r="L610" s="20">
        <v>359.90000000000003</v>
      </c>
      <c r="M610" s="20">
        <v>359.90000000000003</v>
      </c>
      <c r="N610" s="20">
        <v>359.90000000000003</v>
      </c>
      <c r="O610" s="20">
        <f>H610-L610</f>
        <v>-359.90000000000003</v>
      </c>
      <c r="P610" s="20" t="e">
        <f>#REF!-M610</f>
        <v>#REF!</v>
      </c>
      <c r="Q610" s="20" t="e">
        <f>#REF!-N610</f>
        <v>#REF!</v>
      </c>
      <c r="R610" s="17" t="str">
        <f t="shared" si="69"/>
        <v>16 0 00 00000000</v>
      </c>
    </row>
    <row r="611" spans="1:18" s="17" customFormat="1" ht="31.5">
      <c r="A611" s="14"/>
      <c r="B611" s="125" t="s">
        <v>422</v>
      </c>
      <c r="C611" s="109" t="s">
        <v>394</v>
      </c>
      <c r="D611" s="131" t="s">
        <v>229</v>
      </c>
      <c r="E611" s="131" t="s">
        <v>13</v>
      </c>
      <c r="F611" s="108" t="s">
        <v>423</v>
      </c>
      <c r="G611" s="108" t="s">
        <v>9</v>
      </c>
      <c r="H611" s="126">
        <f t="shared" si="72"/>
        <v>0</v>
      </c>
      <c r="L611" s="20">
        <v>359.90000000000003</v>
      </c>
      <c r="M611" s="20">
        <v>359.90000000000003</v>
      </c>
      <c r="N611" s="20">
        <v>359.90000000000003</v>
      </c>
      <c r="O611" s="20">
        <f>H611-L611</f>
        <v>-359.90000000000003</v>
      </c>
      <c r="P611" s="20" t="e">
        <f>#REF!-M611</f>
        <v>#REF!</v>
      </c>
      <c r="Q611" s="20" t="e">
        <f>#REF!-N611</f>
        <v>#REF!</v>
      </c>
      <c r="R611" s="17" t="str">
        <f t="shared" si="69"/>
        <v>16 2 00 00000000</v>
      </c>
    </row>
    <row r="612" spans="1:18" s="17" customFormat="1" ht="47.25">
      <c r="A612" s="14"/>
      <c r="B612" s="125" t="s">
        <v>424</v>
      </c>
      <c r="C612" s="109" t="s">
        <v>394</v>
      </c>
      <c r="D612" s="131" t="s">
        <v>229</v>
      </c>
      <c r="E612" s="131" t="s">
        <v>13</v>
      </c>
      <c r="F612" s="108" t="s">
        <v>425</v>
      </c>
      <c r="G612" s="108" t="s">
        <v>9</v>
      </c>
      <c r="H612" s="126">
        <f t="shared" si="72"/>
        <v>0</v>
      </c>
      <c r="L612" s="20">
        <v>359.90000000000003</v>
      </c>
      <c r="M612" s="20">
        <v>359.90000000000003</v>
      </c>
      <c r="N612" s="20">
        <v>359.90000000000003</v>
      </c>
      <c r="O612" s="20">
        <f>H612-L612</f>
        <v>-359.90000000000003</v>
      </c>
      <c r="P612" s="20" t="e">
        <f>#REF!-M612</f>
        <v>#REF!</v>
      </c>
      <c r="Q612" s="20" t="e">
        <f>#REF!-N612</f>
        <v>#REF!</v>
      </c>
      <c r="R612" s="17" t="str">
        <f t="shared" si="69"/>
        <v>16 2 02 00000000</v>
      </c>
    </row>
    <row r="613" spans="1:18" s="17" customFormat="1" ht="47.25">
      <c r="A613" s="14"/>
      <c r="B613" s="125" t="s">
        <v>426</v>
      </c>
      <c r="C613" s="109" t="s">
        <v>394</v>
      </c>
      <c r="D613" s="131" t="s">
        <v>229</v>
      </c>
      <c r="E613" s="131" t="s">
        <v>13</v>
      </c>
      <c r="F613" s="108" t="s">
        <v>427</v>
      </c>
      <c r="G613" s="108" t="s">
        <v>9</v>
      </c>
      <c r="H613" s="126">
        <f>H614+H616</f>
        <v>0</v>
      </c>
      <c r="L613" s="20">
        <v>359.90000000000003</v>
      </c>
      <c r="M613" s="20">
        <v>359.90000000000003</v>
      </c>
      <c r="N613" s="20">
        <v>359.90000000000003</v>
      </c>
      <c r="O613" s="20">
        <f>H613-L613</f>
        <v>-359.90000000000003</v>
      </c>
      <c r="P613" s="20" t="e">
        <f>#REF!-M613</f>
        <v>#REF!</v>
      </c>
      <c r="Q613" s="20" t="e">
        <f>#REF!-N613</f>
        <v>#REF!</v>
      </c>
      <c r="R613" s="17" t="str">
        <f t="shared" si="69"/>
        <v>16 2 02 20550000</v>
      </c>
    </row>
    <row r="614" spans="1:18" s="17" customFormat="1" ht="15.75">
      <c r="A614" s="14"/>
      <c r="B614" s="140" t="s">
        <v>403</v>
      </c>
      <c r="C614" s="109" t="s">
        <v>394</v>
      </c>
      <c r="D614" s="131" t="s">
        <v>229</v>
      </c>
      <c r="E614" s="131" t="s">
        <v>13</v>
      </c>
      <c r="F614" s="108" t="s">
        <v>427</v>
      </c>
      <c r="G614" s="108" t="s">
        <v>404</v>
      </c>
      <c r="H614" s="126">
        <f>H615</f>
        <v>0</v>
      </c>
      <c r="L614" s="20">
        <v>301.3</v>
      </c>
      <c r="M614" s="20">
        <v>301.3</v>
      </c>
      <c r="N614" s="20">
        <v>301.3</v>
      </c>
      <c r="O614" s="20">
        <f>H614-L614</f>
        <v>-301.3</v>
      </c>
      <c r="P614" s="20" t="e">
        <f>#REF!-M614</f>
        <v>#REF!</v>
      </c>
      <c r="Q614" s="20" t="e">
        <f>#REF!-N614</f>
        <v>#REF!</v>
      </c>
      <c r="R614" s="17" t="str">
        <f t="shared" si="69"/>
        <v>16 2 02 20550610</v>
      </c>
    </row>
    <row r="615" spans="1:18" s="24" customFormat="1" ht="15.75">
      <c r="A615" s="21"/>
      <c r="B615" s="127" t="s">
        <v>407</v>
      </c>
      <c r="C615" s="109" t="s">
        <v>394</v>
      </c>
      <c r="D615" s="131" t="s">
        <v>229</v>
      </c>
      <c r="E615" s="131" t="s">
        <v>13</v>
      </c>
      <c r="F615" s="108" t="s">
        <v>427</v>
      </c>
      <c r="G615" s="108" t="s">
        <v>408</v>
      </c>
      <c r="H615" s="126"/>
      <c r="L615" s="22"/>
      <c r="M615" s="22"/>
      <c r="N615" s="22"/>
      <c r="O615" s="22"/>
      <c r="P615" s="22"/>
      <c r="Q615" s="22"/>
    </row>
    <row r="616" spans="1:18" s="17" customFormat="1" ht="15.75">
      <c r="A616" s="14"/>
      <c r="B616" s="132" t="s">
        <v>409</v>
      </c>
      <c r="C616" s="109" t="s">
        <v>394</v>
      </c>
      <c r="D616" s="131" t="s">
        <v>229</v>
      </c>
      <c r="E616" s="131" t="s">
        <v>13</v>
      </c>
      <c r="F616" s="108" t="s">
        <v>427</v>
      </c>
      <c r="G616" s="108" t="s">
        <v>410</v>
      </c>
      <c r="H616" s="126">
        <f>H617</f>
        <v>0</v>
      </c>
      <c r="L616" s="20">
        <v>58.6</v>
      </c>
      <c r="M616" s="20">
        <v>58.6</v>
      </c>
      <c r="N616" s="20">
        <v>58.6</v>
      </c>
      <c r="O616" s="20">
        <f>H616-L616</f>
        <v>-58.6</v>
      </c>
      <c r="P616" s="20" t="e">
        <f>#REF!-M616</f>
        <v>#REF!</v>
      </c>
      <c r="Q616" s="20" t="e">
        <f>#REF!-N616</f>
        <v>#REF!</v>
      </c>
      <c r="R616" s="17" t="str">
        <f t="shared" si="69"/>
        <v>16 2 02 20550620</v>
      </c>
    </row>
    <row r="617" spans="1:18" s="24" customFormat="1" ht="15.75">
      <c r="A617" s="21"/>
      <c r="B617" s="127" t="s">
        <v>428</v>
      </c>
      <c r="C617" s="109" t="s">
        <v>394</v>
      </c>
      <c r="D617" s="131" t="s">
        <v>229</v>
      </c>
      <c r="E617" s="131" t="s">
        <v>13</v>
      </c>
      <c r="F617" s="108" t="s">
        <v>427</v>
      </c>
      <c r="G617" s="108" t="s">
        <v>429</v>
      </c>
      <c r="H617" s="126"/>
      <c r="L617" s="22"/>
      <c r="M617" s="22"/>
      <c r="N617" s="22"/>
      <c r="O617" s="22"/>
      <c r="P617" s="22"/>
      <c r="Q617" s="22"/>
    </row>
    <row r="618" spans="1:18" s="17" customFormat="1" ht="15.75">
      <c r="A618" s="14"/>
      <c r="B618" s="121" t="s">
        <v>464</v>
      </c>
      <c r="C618" s="122" t="s">
        <v>394</v>
      </c>
      <c r="D618" s="123" t="s">
        <v>229</v>
      </c>
      <c r="E618" s="123" t="s">
        <v>229</v>
      </c>
      <c r="F618" s="123" t="s">
        <v>8</v>
      </c>
      <c r="G618" s="123" t="s">
        <v>9</v>
      </c>
      <c r="H618" s="124">
        <f>H619+H628</f>
        <v>0</v>
      </c>
      <c r="L618" s="19">
        <v>24978.05</v>
      </c>
      <c r="M618" s="19">
        <v>24978.05</v>
      </c>
      <c r="N618" s="19">
        <v>24978.05</v>
      </c>
      <c r="O618" s="19">
        <f t="shared" ref="O618:O623" si="73">H618-L618</f>
        <v>-24978.05</v>
      </c>
      <c r="P618" s="19" t="e">
        <f>#REF!-M618</f>
        <v>#REF!</v>
      </c>
      <c r="Q618" s="19" t="e">
        <f>#REF!-N618</f>
        <v>#REF!</v>
      </c>
      <c r="R618" s="17" t="str">
        <f t="shared" si="69"/>
        <v>00 0 00 00000000</v>
      </c>
    </row>
    <row r="619" spans="1:18" s="17" customFormat="1" ht="31.5">
      <c r="A619" s="14"/>
      <c r="B619" s="132" t="s">
        <v>396</v>
      </c>
      <c r="C619" s="109" t="s">
        <v>394</v>
      </c>
      <c r="D619" s="108" t="s">
        <v>229</v>
      </c>
      <c r="E619" s="108" t="s">
        <v>229</v>
      </c>
      <c r="F619" s="108" t="s">
        <v>397</v>
      </c>
      <c r="G619" s="108" t="s">
        <v>9</v>
      </c>
      <c r="H619" s="126">
        <f t="shared" ref="H619:H620" si="74">H620</f>
        <v>0</v>
      </c>
      <c r="L619" s="20">
        <v>24932.85</v>
      </c>
      <c r="M619" s="20">
        <v>24932.85</v>
      </c>
      <c r="N619" s="20">
        <v>24932.85</v>
      </c>
      <c r="O619" s="20">
        <f t="shared" si="73"/>
        <v>-24932.85</v>
      </c>
      <c r="P619" s="20" t="e">
        <f>#REF!-M619</f>
        <v>#REF!</v>
      </c>
      <c r="Q619" s="20" t="e">
        <f>#REF!-N619</f>
        <v>#REF!</v>
      </c>
      <c r="R619" s="17" t="str">
        <f t="shared" si="69"/>
        <v>01 0 00 00000000</v>
      </c>
    </row>
    <row r="620" spans="1:18" s="17" customFormat="1" ht="31.5">
      <c r="A620" s="14"/>
      <c r="B620" s="132" t="s">
        <v>398</v>
      </c>
      <c r="C620" s="109" t="s">
        <v>394</v>
      </c>
      <c r="D620" s="108" t="s">
        <v>229</v>
      </c>
      <c r="E620" s="108" t="s">
        <v>229</v>
      </c>
      <c r="F620" s="108" t="s">
        <v>399</v>
      </c>
      <c r="G620" s="108" t="s">
        <v>9</v>
      </c>
      <c r="H620" s="126">
        <f t="shared" si="74"/>
        <v>0</v>
      </c>
      <c r="L620" s="20">
        <v>24932.85</v>
      </c>
      <c r="M620" s="20">
        <v>24932.85</v>
      </c>
      <c r="N620" s="20">
        <v>24932.85</v>
      </c>
      <c r="O620" s="20">
        <f t="shared" si="73"/>
        <v>-24932.85</v>
      </c>
      <c r="P620" s="20" t="e">
        <f>#REF!-M620</f>
        <v>#REF!</v>
      </c>
      <c r="Q620" s="20" t="e">
        <f>#REF!-N620</f>
        <v>#REF!</v>
      </c>
      <c r="R620" s="17" t="str">
        <f t="shared" si="69"/>
        <v>01 1 00 00000000</v>
      </c>
    </row>
    <row r="621" spans="1:18" s="17" customFormat="1" ht="31.5">
      <c r="A621" s="14"/>
      <c r="B621" s="132" t="s">
        <v>465</v>
      </c>
      <c r="C621" s="109" t="s">
        <v>394</v>
      </c>
      <c r="D621" s="108" t="s">
        <v>229</v>
      </c>
      <c r="E621" s="108" t="s">
        <v>229</v>
      </c>
      <c r="F621" s="108" t="s">
        <v>466</v>
      </c>
      <c r="G621" s="108" t="s">
        <v>9</v>
      </c>
      <c r="H621" s="126">
        <f>H622+H625</f>
        <v>0</v>
      </c>
      <c r="L621" s="20">
        <v>24932.85</v>
      </c>
      <c r="M621" s="20">
        <v>24932.85</v>
      </c>
      <c r="N621" s="20">
        <v>24932.85</v>
      </c>
      <c r="O621" s="20">
        <f t="shared" si="73"/>
        <v>-24932.85</v>
      </c>
      <c r="P621" s="20" t="e">
        <f>#REF!-M621</f>
        <v>#REF!</v>
      </c>
      <c r="Q621" s="20" t="e">
        <f>#REF!-N621</f>
        <v>#REF!</v>
      </c>
      <c r="R621" s="17" t="str">
        <f t="shared" si="69"/>
        <v>01 1 04 00000000</v>
      </c>
    </row>
    <row r="622" spans="1:18" s="17" customFormat="1" ht="31.5">
      <c r="A622" s="14"/>
      <c r="B622" s="132" t="s">
        <v>136</v>
      </c>
      <c r="C622" s="109" t="s">
        <v>394</v>
      </c>
      <c r="D622" s="108" t="s">
        <v>229</v>
      </c>
      <c r="E622" s="108" t="s">
        <v>229</v>
      </c>
      <c r="F622" s="108" t="s">
        <v>467</v>
      </c>
      <c r="G622" s="108" t="s">
        <v>9</v>
      </c>
      <c r="H622" s="126">
        <f>H623</f>
        <v>0</v>
      </c>
      <c r="L622" s="20">
        <v>7065.48</v>
      </c>
      <c r="M622" s="20">
        <v>7065.48</v>
      </c>
      <c r="N622" s="20">
        <v>7065.48</v>
      </c>
      <c r="O622" s="20">
        <f t="shared" si="73"/>
        <v>-7065.48</v>
      </c>
      <c r="P622" s="20" t="e">
        <f>#REF!-M622</f>
        <v>#REF!</v>
      </c>
      <c r="Q622" s="20" t="e">
        <f>#REF!-N622</f>
        <v>#REF!</v>
      </c>
      <c r="R622" s="17" t="str">
        <f t="shared" si="69"/>
        <v>01 1 04 11010000</v>
      </c>
    </row>
    <row r="623" spans="1:18" s="17" customFormat="1" ht="15.75">
      <c r="A623" s="14"/>
      <c r="B623" s="132" t="s">
        <v>409</v>
      </c>
      <c r="C623" s="109" t="s">
        <v>394</v>
      </c>
      <c r="D623" s="108" t="s">
        <v>229</v>
      </c>
      <c r="E623" s="108" t="s">
        <v>229</v>
      </c>
      <c r="F623" s="108" t="s">
        <v>467</v>
      </c>
      <c r="G623" s="108" t="s">
        <v>410</v>
      </c>
      <c r="H623" s="126">
        <f>H624</f>
        <v>0</v>
      </c>
      <c r="L623" s="20">
        <v>7065.48</v>
      </c>
      <c r="M623" s="20">
        <v>7065.48</v>
      </c>
      <c r="N623" s="20">
        <v>7065.48</v>
      </c>
      <c r="O623" s="20">
        <f t="shared" si="73"/>
        <v>-7065.48</v>
      </c>
      <c r="P623" s="20" t="e">
        <f>#REF!-M623</f>
        <v>#REF!</v>
      </c>
      <c r="Q623" s="20" t="e">
        <f>#REF!-N623</f>
        <v>#REF!</v>
      </c>
      <c r="R623" s="17" t="str">
        <f t="shared" si="69"/>
        <v>01 1 04 11010620</v>
      </c>
    </row>
    <row r="624" spans="1:18" s="24" customFormat="1" ht="63">
      <c r="A624" s="21"/>
      <c r="B624" s="127" t="s">
        <v>411</v>
      </c>
      <c r="C624" s="109" t="s">
        <v>394</v>
      </c>
      <c r="D624" s="108" t="s">
        <v>229</v>
      </c>
      <c r="E624" s="108" t="s">
        <v>229</v>
      </c>
      <c r="F624" s="108" t="s">
        <v>467</v>
      </c>
      <c r="G624" s="108" t="s">
        <v>412</v>
      </c>
      <c r="H624" s="126"/>
      <c r="L624" s="22"/>
      <c r="M624" s="22"/>
      <c r="N624" s="22"/>
      <c r="O624" s="22"/>
      <c r="P624" s="22"/>
      <c r="Q624" s="22"/>
    </row>
    <row r="625" spans="1:18" s="17" customFormat="1" ht="31.5">
      <c r="A625" s="14"/>
      <c r="B625" s="125" t="s">
        <v>468</v>
      </c>
      <c r="C625" s="109" t="s">
        <v>394</v>
      </c>
      <c r="D625" s="108" t="s">
        <v>229</v>
      </c>
      <c r="E625" s="108" t="s">
        <v>229</v>
      </c>
      <c r="F625" s="108" t="s">
        <v>469</v>
      </c>
      <c r="G625" s="108" t="s">
        <v>9</v>
      </c>
      <c r="H625" s="126">
        <f>H626</f>
        <v>0</v>
      </c>
      <c r="L625" s="20">
        <v>17867.37</v>
      </c>
      <c r="M625" s="20">
        <v>17867.37</v>
      </c>
      <c r="N625" s="20">
        <v>17867.37</v>
      </c>
      <c r="O625" s="20">
        <f>H625-L625</f>
        <v>-17867.37</v>
      </c>
      <c r="P625" s="20" t="e">
        <f>#REF!-M625</f>
        <v>#REF!</v>
      </c>
      <c r="Q625" s="20" t="e">
        <f>#REF!-N625</f>
        <v>#REF!</v>
      </c>
      <c r="R625" s="17" t="str">
        <f t="shared" si="69"/>
        <v>01 1 04 20330000</v>
      </c>
    </row>
    <row r="626" spans="1:18" s="17" customFormat="1" ht="15.75">
      <c r="A626" s="14"/>
      <c r="B626" s="132" t="s">
        <v>403</v>
      </c>
      <c r="C626" s="109" t="s">
        <v>394</v>
      </c>
      <c r="D626" s="108" t="s">
        <v>229</v>
      </c>
      <c r="E626" s="108" t="s">
        <v>229</v>
      </c>
      <c r="F626" s="108" t="s">
        <v>469</v>
      </c>
      <c r="G626" s="108" t="s">
        <v>404</v>
      </c>
      <c r="H626" s="126">
        <f>H627</f>
        <v>0</v>
      </c>
      <c r="L626" s="20">
        <v>17867.37</v>
      </c>
      <c r="M626" s="20">
        <v>17867.37</v>
      </c>
      <c r="N626" s="20">
        <v>17867.37</v>
      </c>
      <c r="O626" s="20">
        <f>H626-L626</f>
        <v>-17867.37</v>
      </c>
      <c r="P626" s="20" t="e">
        <f>#REF!-M626</f>
        <v>#REF!</v>
      </c>
      <c r="Q626" s="20" t="e">
        <f>#REF!-N626</f>
        <v>#REF!</v>
      </c>
      <c r="R626" s="17" t="str">
        <f t="shared" si="69"/>
        <v>01 1 04 20330610</v>
      </c>
    </row>
    <row r="627" spans="1:18" s="24" customFormat="1" ht="15.75">
      <c r="A627" s="21"/>
      <c r="B627" s="127" t="s">
        <v>407</v>
      </c>
      <c r="C627" s="109" t="s">
        <v>394</v>
      </c>
      <c r="D627" s="108" t="s">
        <v>229</v>
      </c>
      <c r="E627" s="108" t="s">
        <v>229</v>
      </c>
      <c r="F627" s="108" t="s">
        <v>469</v>
      </c>
      <c r="G627" s="108" t="s">
        <v>408</v>
      </c>
      <c r="H627" s="126"/>
      <c r="L627" s="22"/>
      <c r="M627" s="22"/>
      <c r="N627" s="22"/>
      <c r="O627" s="22"/>
      <c r="P627" s="22"/>
      <c r="Q627" s="22"/>
    </row>
    <row r="628" spans="1:18" s="17" customFormat="1" ht="94.5">
      <c r="A628" s="14"/>
      <c r="B628" s="125" t="s">
        <v>420</v>
      </c>
      <c r="C628" s="109" t="s">
        <v>394</v>
      </c>
      <c r="D628" s="108" t="s">
        <v>229</v>
      </c>
      <c r="E628" s="108" t="s">
        <v>229</v>
      </c>
      <c r="F628" s="108" t="s">
        <v>421</v>
      </c>
      <c r="G628" s="108" t="s">
        <v>9</v>
      </c>
      <c r="H628" s="126">
        <f t="shared" ref="H628:H631" si="75">H629</f>
        <v>0</v>
      </c>
      <c r="L628" s="20">
        <v>45.2</v>
      </c>
      <c r="M628" s="20">
        <v>45.2</v>
      </c>
      <c r="N628" s="20">
        <v>45.2</v>
      </c>
      <c r="O628" s="20">
        <f>H628-L628</f>
        <v>-45.2</v>
      </c>
      <c r="P628" s="20" t="e">
        <f>#REF!-M628</f>
        <v>#REF!</v>
      </c>
      <c r="Q628" s="20" t="e">
        <f>#REF!-N628</f>
        <v>#REF!</v>
      </c>
      <c r="R628" s="17" t="str">
        <f t="shared" si="69"/>
        <v>16 0 00 00000000</v>
      </c>
    </row>
    <row r="629" spans="1:18" s="17" customFormat="1" ht="31.5">
      <c r="A629" s="14"/>
      <c r="B629" s="125" t="s">
        <v>422</v>
      </c>
      <c r="C629" s="109" t="s">
        <v>394</v>
      </c>
      <c r="D629" s="108" t="s">
        <v>229</v>
      </c>
      <c r="E629" s="108" t="s">
        <v>229</v>
      </c>
      <c r="F629" s="108" t="s">
        <v>423</v>
      </c>
      <c r="G629" s="108" t="s">
        <v>9</v>
      </c>
      <c r="H629" s="126">
        <f t="shared" si="75"/>
        <v>0</v>
      </c>
      <c r="L629" s="20">
        <v>45.2</v>
      </c>
      <c r="M629" s="20">
        <v>45.2</v>
      </c>
      <c r="N629" s="20">
        <v>45.2</v>
      </c>
      <c r="O629" s="20">
        <f>H629-L629</f>
        <v>-45.2</v>
      </c>
      <c r="P629" s="20" t="e">
        <f>#REF!-M629</f>
        <v>#REF!</v>
      </c>
      <c r="Q629" s="20" t="e">
        <f>#REF!-N629</f>
        <v>#REF!</v>
      </c>
      <c r="R629" s="17" t="str">
        <f t="shared" si="69"/>
        <v>16 2 00 00000000</v>
      </c>
    </row>
    <row r="630" spans="1:18" s="17" customFormat="1" ht="47.25">
      <c r="A630" s="14"/>
      <c r="B630" s="125" t="s">
        <v>424</v>
      </c>
      <c r="C630" s="109" t="s">
        <v>394</v>
      </c>
      <c r="D630" s="108" t="s">
        <v>229</v>
      </c>
      <c r="E630" s="108" t="s">
        <v>229</v>
      </c>
      <c r="F630" s="108" t="s">
        <v>425</v>
      </c>
      <c r="G630" s="108" t="s">
        <v>9</v>
      </c>
      <c r="H630" s="126">
        <f t="shared" si="75"/>
        <v>0</v>
      </c>
      <c r="L630" s="20">
        <v>45.2</v>
      </c>
      <c r="M630" s="20">
        <v>45.2</v>
      </c>
      <c r="N630" s="20">
        <v>45.2</v>
      </c>
      <c r="O630" s="20">
        <f>H630-L630</f>
        <v>-45.2</v>
      </c>
      <c r="P630" s="20" t="e">
        <f>#REF!-M630</f>
        <v>#REF!</v>
      </c>
      <c r="Q630" s="20" t="e">
        <f>#REF!-N630</f>
        <v>#REF!</v>
      </c>
      <c r="R630" s="17" t="str">
        <f t="shared" si="69"/>
        <v>16 2 02 00000000</v>
      </c>
    </row>
    <row r="631" spans="1:18" s="17" customFormat="1" ht="47.25">
      <c r="A631" s="14"/>
      <c r="B631" s="125" t="s">
        <v>426</v>
      </c>
      <c r="C631" s="109" t="s">
        <v>394</v>
      </c>
      <c r="D631" s="108" t="s">
        <v>229</v>
      </c>
      <c r="E631" s="108" t="s">
        <v>229</v>
      </c>
      <c r="F631" s="108" t="s">
        <v>427</v>
      </c>
      <c r="G631" s="108" t="s">
        <v>9</v>
      </c>
      <c r="H631" s="126">
        <f t="shared" si="75"/>
        <v>0</v>
      </c>
      <c r="L631" s="20">
        <v>45.2</v>
      </c>
      <c r="M631" s="20">
        <v>45.2</v>
      </c>
      <c r="N631" s="20">
        <v>45.2</v>
      </c>
      <c r="O631" s="20">
        <f>H631-L631</f>
        <v>-45.2</v>
      </c>
      <c r="P631" s="20" t="e">
        <f>#REF!-M631</f>
        <v>#REF!</v>
      </c>
      <c r="Q631" s="20" t="e">
        <f>#REF!-N631</f>
        <v>#REF!</v>
      </c>
      <c r="R631" s="17" t="str">
        <f t="shared" si="69"/>
        <v>16 2 02 20550000</v>
      </c>
    </row>
    <row r="632" spans="1:18" s="17" customFormat="1" ht="15.75">
      <c r="A632" s="14"/>
      <c r="B632" s="132" t="s">
        <v>409</v>
      </c>
      <c r="C632" s="109" t="s">
        <v>394</v>
      </c>
      <c r="D632" s="108" t="s">
        <v>229</v>
      </c>
      <c r="E632" s="108" t="s">
        <v>229</v>
      </c>
      <c r="F632" s="108" t="s">
        <v>427</v>
      </c>
      <c r="G632" s="108" t="s">
        <v>410</v>
      </c>
      <c r="H632" s="126">
        <f>H633</f>
        <v>0</v>
      </c>
      <c r="L632" s="20">
        <v>45.2</v>
      </c>
      <c r="M632" s="20">
        <v>45.2</v>
      </c>
      <c r="N632" s="20">
        <v>45.2</v>
      </c>
      <c r="O632" s="20">
        <f>H632-L632</f>
        <v>-45.2</v>
      </c>
      <c r="P632" s="20" t="e">
        <f>#REF!-M632</f>
        <v>#REF!</v>
      </c>
      <c r="Q632" s="20" t="e">
        <f>#REF!-N632</f>
        <v>#REF!</v>
      </c>
      <c r="R632" s="17" t="str">
        <f t="shared" si="69"/>
        <v>16 2 02 20550620</v>
      </c>
    </row>
    <row r="633" spans="1:18" s="24" customFormat="1" ht="15.75">
      <c r="A633" s="21"/>
      <c r="B633" s="127" t="s">
        <v>428</v>
      </c>
      <c r="C633" s="109" t="s">
        <v>394</v>
      </c>
      <c r="D633" s="108" t="s">
        <v>229</v>
      </c>
      <c r="E633" s="108" t="s">
        <v>229</v>
      </c>
      <c r="F633" s="108" t="s">
        <v>427</v>
      </c>
      <c r="G633" s="108" t="s">
        <v>429</v>
      </c>
      <c r="H633" s="126"/>
      <c r="L633" s="22"/>
      <c r="M633" s="22"/>
      <c r="N633" s="22"/>
      <c r="O633" s="22"/>
      <c r="P633" s="22"/>
      <c r="Q633" s="22"/>
    </row>
    <row r="634" spans="1:18" s="17" customFormat="1" ht="15.75">
      <c r="A634" s="14"/>
      <c r="B634" s="121" t="s">
        <v>470</v>
      </c>
      <c r="C634" s="122" t="s">
        <v>394</v>
      </c>
      <c r="D634" s="123" t="s">
        <v>229</v>
      </c>
      <c r="E634" s="123" t="s">
        <v>471</v>
      </c>
      <c r="F634" s="123" t="s">
        <v>8</v>
      </c>
      <c r="G634" s="123" t="s">
        <v>9</v>
      </c>
      <c r="H634" s="124">
        <f>H635+H649+H655</f>
        <v>0</v>
      </c>
      <c r="L634" s="19">
        <v>44600.35</v>
      </c>
      <c r="M634" s="19">
        <v>44503.65</v>
      </c>
      <c r="N634" s="19">
        <v>44503.65</v>
      </c>
      <c r="O634" s="19">
        <f t="shared" ref="O634:O639" si="76">H634-L634</f>
        <v>-44600.35</v>
      </c>
      <c r="P634" s="19" t="e">
        <f>#REF!-M634</f>
        <v>#REF!</v>
      </c>
      <c r="Q634" s="19" t="e">
        <f>#REF!-N634</f>
        <v>#REF!</v>
      </c>
      <c r="R634" s="17" t="str">
        <f t="shared" si="69"/>
        <v>00 0 00 00000000</v>
      </c>
    </row>
    <row r="635" spans="1:18" s="17" customFormat="1" ht="31.5">
      <c r="A635" s="14"/>
      <c r="B635" s="132" t="s">
        <v>396</v>
      </c>
      <c r="C635" s="109" t="s">
        <v>394</v>
      </c>
      <c r="D635" s="108" t="s">
        <v>229</v>
      </c>
      <c r="E635" s="108" t="s">
        <v>471</v>
      </c>
      <c r="F635" s="108" t="s">
        <v>397</v>
      </c>
      <c r="G635" s="108" t="s">
        <v>9</v>
      </c>
      <c r="H635" s="126">
        <f>H636</f>
        <v>0</v>
      </c>
      <c r="L635" s="20">
        <v>12029.32</v>
      </c>
      <c r="M635" s="20">
        <v>12029.32</v>
      </c>
      <c r="N635" s="20">
        <v>12029.32</v>
      </c>
      <c r="O635" s="20">
        <f t="shared" si="76"/>
        <v>-12029.32</v>
      </c>
      <c r="P635" s="20" t="e">
        <f>#REF!-M635</f>
        <v>#REF!</v>
      </c>
      <c r="Q635" s="20" t="e">
        <f>#REF!-N635</f>
        <v>#REF!</v>
      </c>
      <c r="R635" s="17" t="str">
        <f t="shared" si="69"/>
        <v>01 0 00 00000000</v>
      </c>
    </row>
    <row r="636" spans="1:18" s="17" customFormat="1" ht="31.5">
      <c r="A636" s="14"/>
      <c r="B636" s="132" t="s">
        <v>398</v>
      </c>
      <c r="C636" s="109" t="s">
        <v>394</v>
      </c>
      <c r="D636" s="108" t="s">
        <v>229</v>
      </c>
      <c r="E636" s="108" t="s">
        <v>471</v>
      </c>
      <c r="F636" s="108" t="s">
        <v>399</v>
      </c>
      <c r="G636" s="108" t="s">
        <v>9</v>
      </c>
      <c r="H636" s="126">
        <f>H637+H645</f>
        <v>0</v>
      </c>
      <c r="L636" s="20">
        <v>12029.32</v>
      </c>
      <c r="M636" s="20">
        <v>12029.32</v>
      </c>
      <c r="N636" s="20">
        <v>12029.32</v>
      </c>
      <c r="O636" s="20">
        <f t="shared" si="76"/>
        <v>-12029.32</v>
      </c>
      <c r="P636" s="20" t="e">
        <f>#REF!-M636</f>
        <v>#REF!</v>
      </c>
      <c r="Q636" s="20" t="e">
        <f>#REF!-N636</f>
        <v>#REF!</v>
      </c>
      <c r="R636" s="17" t="str">
        <f t="shared" si="69"/>
        <v>01 1 00 00000000</v>
      </c>
    </row>
    <row r="637" spans="1:18" s="17" customFormat="1" ht="63">
      <c r="A637" s="14"/>
      <c r="B637" s="132" t="s">
        <v>472</v>
      </c>
      <c r="C637" s="109" t="s">
        <v>394</v>
      </c>
      <c r="D637" s="108" t="s">
        <v>229</v>
      </c>
      <c r="E637" s="108" t="s">
        <v>471</v>
      </c>
      <c r="F637" s="108" t="s">
        <v>473</v>
      </c>
      <c r="G637" s="108" t="s">
        <v>9</v>
      </c>
      <c r="H637" s="126">
        <f>H638</f>
        <v>0</v>
      </c>
      <c r="L637" s="20">
        <v>5078.79</v>
      </c>
      <c r="M637" s="20">
        <v>5078.79</v>
      </c>
      <c r="N637" s="20">
        <v>5078.79</v>
      </c>
      <c r="O637" s="20">
        <f t="shared" si="76"/>
        <v>-5078.79</v>
      </c>
      <c r="P637" s="20" t="e">
        <f>#REF!-M637</f>
        <v>#REF!</v>
      </c>
      <c r="Q637" s="20" t="e">
        <f>#REF!-N637</f>
        <v>#REF!</v>
      </c>
      <c r="R637" s="17" t="str">
        <f t="shared" si="69"/>
        <v>01 1 05 00000000</v>
      </c>
    </row>
    <row r="638" spans="1:18" s="17" customFormat="1" ht="31.5">
      <c r="A638" s="14"/>
      <c r="B638" s="132" t="s">
        <v>474</v>
      </c>
      <c r="C638" s="109" t="s">
        <v>394</v>
      </c>
      <c r="D638" s="108" t="s">
        <v>229</v>
      </c>
      <c r="E638" s="108" t="s">
        <v>471</v>
      </c>
      <c r="F638" s="108" t="s">
        <v>475</v>
      </c>
      <c r="G638" s="108" t="s">
        <v>9</v>
      </c>
      <c r="H638" s="126">
        <f>H639+H641+H643</f>
        <v>0</v>
      </c>
      <c r="L638" s="20">
        <v>5078.79</v>
      </c>
      <c r="M638" s="20">
        <v>5078.79</v>
      </c>
      <c r="N638" s="20">
        <v>5078.79</v>
      </c>
      <c r="O638" s="20">
        <f t="shared" si="76"/>
        <v>-5078.79</v>
      </c>
      <c r="P638" s="20" t="e">
        <f>#REF!-M638</f>
        <v>#REF!</v>
      </c>
      <c r="Q638" s="20" t="e">
        <f>#REF!-N638</f>
        <v>#REF!</v>
      </c>
      <c r="R638" s="17" t="str">
        <f t="shared" si="69"/>
        <v>01 1 05 20240000</v>
      </c>
    </row>
    <row r="639" spans="1:18" s="17" customFormat="1" ht="31.5">
      <c r="A639" s="14"/>
      <c r="B639" s="125" t="s">
        <v>28</v>
      </c>
      <c r="C639" s="109" t="s">
        <v>394</v>
      </c>
      <c r="D639" s="108" t="s">
        <v>229</v>
      </c>
      <c r="E639" s="108" t="s">
        <v>471</v>
      </c>
      <c r="F639" s="108" t="s">
        <v>475</v>
      </c>
      <c r="G639" s="108" t="s">
        <v>29</v>
      </c>
      <c r="H639" s="126">
        <f>H640</f>
        <v>0</v>
      </c>
      <c r="L639" s="20">
        <v>200</v>
      </c>
      <c r="M639" s="20">
        <v>200</v>
      </c>
      <c r="N639" s="20">
        <v>200</v>
      </c>
      <c r="O639" s="20">
        <f t="shared" si="76"/>
        <v>-200</v>
      </c>
      <c r="P639" s="20" t="e">
        <f>#REF!-M639</f>
        <v>#REF!</v>
      </c>
      <c r="Q639" s="20" t="e">
        <f>#REF!-N639</f>
        <v>#REF!</v>
      </c>
      <c r="R639" s="17" t="str">
        <f t="shared" si="69"/>
        <v>01 1 05 20240240</v>
      </c>
    </row>
    <row r="640" spans="1:18" s="17" customFormat="1" ht="15.75">
      <c r="A640" s="14"/>
      <c r="B640" s="125" t="s">
        <v>30</v>
      </c>
      <c r="C640" s="109" t="s">
        <v>394</v>
      </c>
      <c r="D640" s="108" t="s">
        <v>229</v>
      </c>
      <c r="E640" s="108" t="s">
        <v>471</v>
      </c>
      <c r="F640" s="108" t="s">
        <v>475</v>
      </c>
      <c r="G640" s="108" t="s">
        <v>31</v>
      </c>
      <c r="H640" s="126"/>
      <c r="L640" s="20"/>
      <c r="M640" s="20"/>
      <c r="N640" s="20"/>
      <c r="O640" s="20"/>
      <c r="P640" s="20"/>
      <c r="Q640" s="20"/>
      <c r="R640" s="17" t="str">
        <f t="shared" si="69"/>
        <v>01 1 05 20240244</v>
      </c>
    </row>
    <row r="641" spans="1:18" s="17" customFormat="1" ht="15.75">
      <c r="A641" s="14"/>
      <c r="B641" s="132" t="s">
        <v>403</v>
      </c>
      <c r="C641" s="109" t="s">
        <v>394</v>
      </c>
      <c r="D641" s="108" t="s">
        <v>229</v>
      </c>
      <c r="E641" s="108" t="s">
        <v>471</v>
      </c>
      <c r="F641" s="108" t="s">
        <v>475</v>
      </c>
      <c r="G641" s="108" t="s">
        <v>404</v>
      </c>
      <c r="H641" s="126">
        <f>H642</f>
        <v>0</v>
      </c>
      <c r="L641" s="20">
        <v>4533.5</v>
      </c>
      <c r="M641" s="20">
        <v>4533.5</v>
      </c>
      <c r="N641" s="20">
        <v>4533.5</v>
      </c>
      <c r="O641" s="20">
        <f>H641-L641</f>
        <v>-4533.5</v>
      </c>
      <c r="P641" s="20" t="e">
        <f>#REF!-M641</f>
        <v>#REF!</v>
      </c>
      <c r="Q641" s="20" t="e">
        <f>#REF!-N641</f>
        <v>#REF!</v>
      </c>
      <c r="R641" s="17" t="str">
        <f t="shared" si="69"/>
        <v>01 1 05 20240610</v>
      </c>
    </row>
    <row r="642" spans="1:18" s="24" customFormat="1" ht="15.75">
      <c r="A642" s="21"/>
      <c r="B642" s="127" t="s">
        <v>407</v>
      </c>
      <c r="C642" s="109" t="s">
        <v>394</v>
      </c>
      <c r="D642" s="108" t="s">
        <v>229</v>
      </c>
      <c r="E642" s="108" t="s">
        <v>471</v>
      </c>
      <c r="F642" s="108" t="s">
        <v>475</v>
      </c>
      <c r="G642" s="108" t="s">
        <v>408</v>
      </c>
      <c r="H642" s="126"/>
      <c r="L642" s="22"/>
      <c r="M642" s="22"/>
      <c r="N642" s="22"/>
      <c r="O642" s="22"/>
      <c r="P642" s="22"/>
      <c r="Q642" s="22"/>
    </row>
    <row r="643" spans="1:18" s="17" customFormat="1" ht="15.75">
      <c r="A643" s="14"/>
      <c r="B643" s="132" t="s">
        <v>409</v>
      </c>
      <c r="C643" s="109" t="s">
        <v>394</v>
      </c>
      <c r="D643" s="108" t="s">
        <v>229</v>
      </c>
      <c r="E643" s="108" t="s">
        <v>471</v>
      </c>
      <c r="F643" s="108" t="s">
        <v>475</v>
      </c>
      <c r="G643" s="108" t="s">
        <v>410</v>
      </c>
      <c r="H643" s="126">
        <f>H644</f>
        <v>0</v>
      </c>
      <c r="L643" s="20">
        <v>345.29</v>
      </c>
      <c r="M643" s="20">
        <v>345.29</v>
      </c>
      <c r="N643" s="20">
        <v>345.29</v>
      </c>
      <c r="O643" s="20">
        <f>H643-L643</f>
        <v>-345.29</v>
      </c>
      <c r="P643" s="20" t="e">
        <f>#REF!-M643</f>
        <v>#REF!</v>
      </c>
      <c r="Q643" s="20" t="e">
        <f>#REF!-N643</f>
        <v>#REF!</v>
      </c>
      <c r="R643" s="17" t="str">
        <f t="shared" si="69"/>
        <v>01 1 05 20240620</v>
      </c>
    </row>
    <row r="644" spans="1:18" s="24" customFormat="1" ht="15.75">
      <c r="A644" s="21"/>
      <c r="B644" s="127" t="s">
        <v>428</v>
      </c>
      <c r="C644" s="109" t="s">
        <v>394</v>
      </c>
      <c r="D644" s="108" t="s">
        <v>229</v>
      </c>
      <c r="E644" s="108" t="s">
        <v>471</v>
      </c>
      <c r="F644" s="108" t="s">
        <v>475</v>
      </c>
      <c r="G644" s="108" t="s">
        <v>429</v>
      </c>
      <c r="H644" s="126"/>
      <c r="L644" s="22"/>
      <c r="M644" s="22"/>
      <c r="N644" s="22"/>
      <c r="O644" s="22"/>
      <c r="P644" s="22"/>
      <c r="Q644" s="22"/>
    </row>
    <row r="645" spans="1:18" s="17" customFormat="1" ht="31.5">
      <c r="A645" s="14"/>
      <c r="B645" s="129" t="s">
        <v>476</v>
      </c>
      <c r="C645" s="130" t="s">
        <v>394</v>
      </c>
      <c r="D645" s="131" t="s">
        <v>229</v>
      </c>
      <c r="E645" s="131" t="s">
        <v>471</v>
      </c>
      <c r="F645" s="131" t="s">
        <v>477</v>
      </c>
      <c r="G645" s="131" t="s">
        <v>9</v>
      </c>
      <c r="H645" s="105">
        <f>H646</f>
        <v>0</v>
      </c>
      <c r="L645" s="26">
        <v>6950.5300000000007</v>
      </c>
      <c r="M645" s="26">
        <v>6950.5300000000007</v>
      </c>
      <c r="N645" s="26">
        <v>6950.5300000000007</v>
      </c>
      <c r="O645" s="26">
        <f>H645-L645</f>
        <v>-6950.5300000000007</v>
      </c>
      <c r="P645" s="26" t="e">
        <f>#REF!-M645</f>
        <v>#REF!</v>
      </c>
      <c r="Q645" s="26" t="e">
        <f>#REF!-N645</f>
        <v>#REF!</v>
      </c>
      <c r="R645" s="17" t="str">
        <f t="shared" si="69"/>
        <v>01 1 08 00000000</v>
      </c>
    </row>
    <row r="646" spans="1:18" s="17" customFormat="1" ht="31.5">
      <c r="A646" s="14"/>
      <c r="B646" s="140" t="s">
        <v>136</v>
      </c>
      <c r="C646" s="130" t="s">
        <v>394</v>
      </c>
      <c r="D646" s="131" t="s">
        <v>229</v>
      </c>
      <c r="E646" s="131" t="s">
        <v>471</v>
      </c>
      <c r="F646" s="131" t="s">
        <v>478</v>
      </c>
      <c r="G646" s="131" t="s">
        <v>9</v>
      </c>
      <c r="H646" s="105">
        <f>SUM(H647:H647)</f>
        <v>0</v>
      </c>
      <c r="L646" s="26">
        <v>6950.5300000000007</v>
      </c>
      <c r="M646" s="26">
        <v>6950.5300000000007</v>
      </c>
      <c r="N646" s="26">
        <v>6950.5300000000007</v>
      </c>
      <c r="O646" s="26">
        <f>H646-L646</f>
        <v>-6950.5300000000007</v>
      </c>
      <c r="P646" s="26" t="e">
        <f>#REF!-M646</f>
        <v>#REF!</v>
      </c>
      <c r="Q646" s="26" t="e">
        <f>#REF!-N646</f>
        <v>#REF!</v>
      </c>
      <c r="R646" s="17" t="str">
        <f t="shared" si="69"/>
        <v>01 1 08 11010000</v>
      </c>
    </row>
    <row r="647" spans="1:18" s="17" customFormat="1" ht="15.75">
      <c r="A647" s="14"/>
      <c r="B647" s="140" t="s">
        <v>403</v>
      </c>
      <c r="C647" s="130" t="s">
        <v>394</v>
      </c>
      <c r="D647" s="131" t="s">
        <v>229</v>
      </c>
      <c r="E647" s="131" t="s">
        <v>471</v>
      </c>
      <c r="F647" s="131" t="s">
        <v>478</v>
      </c>
      <c r="G647" s="131" t="s">
        <v>404</v>
      </c>
      <c r="H647" s="126">
        <f>H648</f>
        <v>0</v>
      </c>
      <c r="L647" s="20">
        <v>6950.5300000000007</v>
      </c>
      <c r="M647" s="20">
        <v>6950.5300000000007</v>
      </c>
      <c r="N647" s="20">
        <v>6950.5300000000007</v>
      </c>
      <c r="O647" s="20">
        <f>H647-L647</f>
        <v>-6950.5300000000007</v>
      </c>
      <c r="P647" s="20" t="e">
        <f>#REF!-M647</f>
        <v>#REF!</v>
      </c>
      <c r="Q647" s="20" t="e">
        <f>#REF!-N647</f>
        <v>#REF!</v>
      </c>
      <c r="R647" s="17" t="str">
        <f t="shared" si="69"/>
        <v>01 1 08 11010610</v>
      </c>
    </row>
    <row r="648" spans="1:18" s="24" customFormat="1" ht="63">
      <c r="A648" s="21"/>
      <c r="B648" s="127" t="s">
        <v>405</v>
      </c>
      <c r="C648" s="130" t="s">
        <v>394</v>
      </c>
      <c r="D648" s="131" t="s">
        <v>229</v>
      </c>
      <c r="E648" s="131" t="s">
        <v>471</v>
      </c>
      <c r="F648" s="131" t="s">
        <v>478</v>
      </c>
      <c r="G648" s="108" t="s">
        <v>406</v>
      </c>
      <c r="H648" s="126"/>
      <c r="L648" s="22"/>
      <c r="M648" s="22"/>
      <c r="N648" s="22"/>
      <c r="O648" s="22"/>
      <c r="P648" s="22"/>
      <c r="Q648" s="22"/>
    </row>
    <row r="649" spans="1:18" s="17" customFormat="1" ht="94.5">
      <c r="A649" s="14"/>
      <c r="B649" s="125" t="s">
        <v>420</v>
      </c>
      <c r="C649" s="109" t="s">
        <v>394</v>
      </c>
      <c r="D649" s="108" t="s">
        <v>229</v>
      </c>
      <c r="E649" s="108" t="s">
        <v>471</v>
      </c>
      <c r="F649" s="108" t="s">
        <v>421</v>
      </c>
      <c r="G649" s="108" t="s">
        <v>9</v>
      </c>
      <c r="H649" s="126">
        <f t="shared" ref="H649:H652" si="77">H650</f>
        <v>0</v>
      </c>
      <c r="L649" s="20">
        <v>58.6</v>
      </c>
      <c r="M649" s="20">
        <v>58.6</v>
      </c>
      <c r="N649" s="20">
        <v>58.6</v>
      </c>
      <c r="O649" s="20">
        <f>H649-L649</f>
        <v>-58.6</v>
      </c>
      <c r="P649" s="20" t="e">
        <f>#REF!-M649</f>
        <v>#REF!</v>
      </c>
      <c r="Q649" s="20" t="e">
        <f>#REF!-N649</f>
        <v>#REF!</v>
      </c>
      <c r="R649" s="17" t="str">
        <f t="shared" si="69"/>
        <v>16 0 00 00000000</v>
      </c>
    </row>
    <row r="650" spans="1:18" s="17" customFormat="1" ht="31.5">
      <c r="A650" s="14"/>
      <c r="B650" s="125" t="s">
        <v>422</v>
      </c>
      <c r="C650" s="109" t="s">
        <v>394</v>
      </c>
      <c r="D650" s="108" t="s">
        <v>229</v>
      </c>
      <c r="E650" s="108" t="s">
        <v>471</v>
      </c>
      <c r="F650" s="108" t="s">
        <v>423</v>
      </c>
      <c r="G650" s="108" t="s">
        <v>9</v>
      </c>
      <c r="H650" s="126">
        <f t="shared" si="77"/>
        <v>0</v>
      </c>
      <c r="L650" s="20">
        <v>58.6</v>
      </c>
      <c r="M650" s="20">
        <v>58.6</v>
      </c>
      <c r="N650" s="20">
        <v>58.6</v>
      </c>
      <c r="O650" s="20">
        <f>H650-L650</f>
        <v>-58.6</v>
      </c>
      <c r="P650" s="20" t="e">
        <f>#REF!-M650</f>
        <v>#REF!</v>
      </c>
      <c r="Q650" s="20" t="e">
        <f>#REF!-N650</f>
        <v>#REF!</v>
      </c>
      <c r="R650" s="17" t="str">
        <f t="shared" si="69"/>
        <v>16 2 00 00000000</v>
      </c>
    </row>
    <row r="651" spans="1:18" s="17" customFormat="1" ht="47.25">
      <c r="A651" s="14"/>
      <c r="B651" s="125" t="s">
        <v>424</v>
      </c>
      <c r="C651" s="109" t="s">
        <v>394</v>
      </c>
      <c r="D651" s="108" t="s">
        <v>229</v>
      </c>
      <c r="E651" s="108" t="s">
        <v>471</v>
      </c>
      <c r="F651" s="108" t="s">
        <v>425</v>
      </c>
      <c r="G651" s="108" t="s">
        <v>9</v>
      </c>
      <c r="H651" s="126">
        <f t="shared" si="77"/>
        <v>0</v>
      </c>
      <c r="L651" s="20">
        <v>58.6</v>
      </c>
      <c r="M651" s="20">
        <v>58.6</v>
      </c>
      <c r="N651" s="20">
        <v>58.6</v>
      </c>
      <c r="O651" s="20">
        <f>H651-L651</f>
        <v>-58.6</v>
      </c>
      <c r="P651" s="20" t="e">
        <f>#REF!-M651</f>
        <v>#REF!</v>
      </c>
      <c r="Q651" s="20" t="e">
        <f>#REF!-N651</f>
        <v>#REF!</v>
      </c>
      <c r="R651" s="17" t="str">
        <f t="shared" si="69"/>
        <v>16 2 02 00000000</v>
      </c>
    </row>
    <row r="652" spans="1:18" s="17" customFormat="1" ht="47.25">
      <c r="A652" s="14"/>
      <c r="B652" s="125" t="s">
        <v>426</v>
      </c>
      <c r="C652" s="109" t="s">
        <v>394</v>
      </c>
      <c r="D652" s="108" t="s">
        <v>229</v>
      </c>
      <c r="E652" s="108" t="s">
        <v>471</v>
      </c>
      <c r="F652" s="108" t="s">
        <v>427</v>
      </c>
      <c r="G652" s="108" t="s">
        <v>9</v>
      </c>
      <c r="H652" s="126">
        <f t="shared" si="77"/>
        <v>0</v>
      </c>
      <c r="L652" s="20">
        <v>58.6</v>
      </c>
      <c r="M652" s="20">
        <v>58.6</v>
      </c>
      <c r="N652" s="20">
        <v>58.6</v>
      </c>
      <c r="O652" s="20">
        <f>H652-L652</f>
        <v>-58.6</v>
      </c>
      <c r="P652" s="20" t="e">
        <f>#REF!-M652</f>
        <v>#REF!</v>
      </c>
      <c r="Q652" s="20" t="e">
        <f>#REF!-N652</f>
        <v>#REF!</v>
      </c>
      <c r="R652" s="17" t="str">
        <f t="shared" si="69"/>
        <v>16 2 02 20550000</v>
      </c>
    </row>
    <row r="653" spans="1:18" s="17" customFormat="1" ht="15.75">
      <c r="A653" s="14"/>
      <c r="B653" s="132" t="s">
        <v>403</v>
      </c>
      <c r="C653" s="109" t="s">
        <v>394</v>
      </c>
      <c r="D653" s="108" t="s">
        <v>229</v>
      </c>
      <c r="E653" s="108" t="s">
        <v>471</v>
      </c>
      <c r="F653" s="108" t="s">
        <v>427</v>
      </c>
      <c r="G653" s="108" t="s">
        <v>404</v>
      </c>
      <c r="H653" s="126">
        <f>H654</f>
        <v>0</v>
      </c>
      <c r="L653" s="20">
        <v>58.6</v>
      </c>
      <c r="M653" s="20">
        <v>58.6</v>
      </c>
      <c r="N653" s="20">
        <v>58.6</v>
      </c>
      <c r="O653" s="20">
        <f>H653-L653</f>
        <v>-58.6</v>
      </c>
      <c r="P653" s="20" t="e">
        <f>#REF!-M653</f>
        <v>#REF!</v>
      </c>
      <c r="Q653" s="20" t="e">
        <f>#REF!-N653</f>
        <v>#REF!</v>
      </c>
      <c r="R653" s="17" t="str">
        <f t="shared" si="69"/>
        <v>16 2 02 20550610</v>
      </c>
    </row>
    <row r="654" spans="1:18" s="24" customFormat="1" ht="15.75">
      <c r="A654" s="21"/>
      <c r="B654" s="127" t="s">
        <v>407</v>
      </c>
      <c r="C654" s="109" t="s">
        <v>394</v>
      </c>
      <c r="D654" s="108" t="s">
        <v>229</v>
      </c>
      <c r="E654" s="108" t="s">
        <v>471</v>
      </c>
      <c r="F654" s="108" t="s">
        <v>427</v>
      </c>
      <c r="G654" s="108" t="s">
        <v>408</v>
      </c>
      <c r="H654" s="126"/>
      <c r="L654" s="22"/>
      <c r="M654" s="22"/>
      <c r="N654" s="22"/>
      <c r="O654" s="22"/>
      <c r="P654" s="22"/>
      <c r="Q654" s="22"/>
    </row>
    <row r="655" spans="1:18" s="17" customFormat="1" ht="31.5">
      <c r="A655" s="14"/>
      <c r="B655" s="125" t="s">
        <v>479</v>
      </c>
      <c r="C655" s="109" t="s">
        <v>394</v>
      </c>
      <c r="D655" s="108" t="s">
        <v>229</v>
      </c>
      <c r="E655" s="108" t="s">
        <v>471</v>
      </c>
      <c r="F655" s="108" t="s">
        <v>480</v>
      </c>
      <c r="G655" s="108" t="s">
        <v>9</v>
      </c>
      <c r="H655" s="126">
        <f>H656</f>
        <v>0</v>
      </c>
      <c r="L655" s="20">
        <v>32512.43</v>
      </c>
      <c r="M655" s="20">
        <v>32415.73</v>
      </c>
      <c r="N655" s="20">
        <v>32415.73</v>
      </c>
      <c r="O655" s="20">
        <f>H655-L655</f>
        <v>-32512.43</v>
      </c>
      <c r="P655" s="20" t="e">
        <f>#REF!-M655</f>
        <v>#REF!</v>
      </c>
      <c r="Q655" s="20" t="e">
        <f>#REF!-N655</f>
        <v>#REF!</v>
      </c>
      <c r="R655" s="17" t="str">
        <f t="shared" si="69"/>
        <v>75 0 00 00000000</v>
      </c>
    </row>
    <row r="656" spans="1:18" s="17" customFormat="1" ht="47.25">
      <c r="A656" s="14"/>
      <c r="B656" s="125" t="s">
        <v>481</v>
      </c>
      <c r="C656" s="109" t="s">
        <v>394</v>
      </c>
      <c r="D656" s="108" t="s">
        <v>229</v>
      </c>
      <c r="E656" s="108" t="s">
        <v>471</v>
      </c>
      <c r="F656" s="108" t="s">
        <v>482</v>
      </c>
      <c r="G656" s="108" t="s">
        <v>9</v>
      </c>
      <c r="H656" s="126">
        <f>H657+H667+H677+H671</f>
        <v>0</v>
      </c>
      <c r="L656" s="20">
        <v>32512.43</v>
      </c>
      <c r="M656" s="20">
        <v>32415.73</v>
      </c>
      <c r="N656" s="20">
        <v>32415.73</v>
      </c>
      <c r="O656" s="20">
        <f>H656-L656</f>
        <v>-32512.43</v>
      </c>
      <c r="P656" s="20" t="e">
        <f>#REF!-M656</f>
        <v>#REF!</v>
      </c>
      <c r="Q656" s="20" t="e">
        <f>#REF!-N656</f>
        <v>#REF!</v>
      </c>
      <c r="R656" s="17" t="str">
        <f t="shared" si="69"/>
        <v>75 1 00 00000000</v>
      </c>
    </row>
    <row r="657" spans="1:18" s="17" customFormat="1" ht="31.5">
      <c r="A657" s="14"/>
      <c r="B657" s="125" t="s">
        <v>18</v>
      </c>
      <c r="C657" s="109" t="s">
        <v>394</v>
      </c>
      <c r="D657" s="108" t="s">
        <v>229</v>
      </c>
      <c r="E657" s="108" t="s">
        <v>471</v>
      </c>
      <c r="F657" s="108" t="s">
        <v>483</v>
      </c>
      <c r="G657" s="108" t="s">
        <v>9</v>
      </c>
      <c r="H657" s="126">
        <f>H658+H661+H663</f>
        <v>0</v>
      </c>
      <c r="L657" s="20">
        <v>2420.89</v>
      </c>
      <c r="M657" s="20">
        <v>2420.89</v>
      </c>
      <c r="N657" s="20">
        <v>2420.89</v>
      </c>
      <c r="O657" s="20">
        <f>H657-L657</f>
        <v>-2420.89</v>
      </c>
      <c r="P657" s="20" t="e">
        <f>#REF!-M657</f>
        <v>#REF!</v>
      </c>
      <c r="Q657" s="20" t="e">
        <f>#REF!-N657</f>
        <v>#REF!</v>
      </c>
      <c r="R657" s="17" t="str">
        <f t="shared" ref="R657:R756" si="78">CONCATENATE(F657,G657)</f>
        <v>75 1 00 10010000</v>
      </c>
    </row>
    <row r="658" spans="1:18" s="17" customFormat="1" ht="31.5">
      <c r="A658" s="14"/>
      <c r="B658" s="125" t="s">
        <v>484</v>
      </c>
      <c r="C658" s="109" t="s">
        <v>394</v>
      </c>
      <c r="D658" s="108" t="s">
        <v>229</v>
      </c>
      <c r="E658" s="108" t="s">
        <v>471</v>
      </c>
      <c r="F658" s="108" t="s">
        <v>483</v>
      </c>
      <c r="G658" s="108" t="s">
        <v>21</v>
      </c>
      <c r="H658" s="126">
        <f>SUM(H659:H660)</f>
        <v>0</v>
      </c>
      <c r="L658" s="20">
        <v>677.24</v>
      </c>
      <c r="M658" s="20">
        <v>677.24</v>
      </c>
      <c r="N658" s="20">
        <v>677.24</v>
      </c>
      <c r="O658" s="20">
        <f>H658-L658</f>
        <v>-677.24</v>
      </c>
      <c r="P658" s="20" t="e">
        <f>#REF!-M658</f>
        <v>#REF!</v>
      </c>
      <c r="Q658" s="20" t="e">
        <f>#REF!-N658</f>
        <v>#REF!</v>
      </c>
      <c r="R658" s="17" t="str">
        <f t="shared" si="78"/>
        <v>75 1 00 10010120</v>
      </c>
    </row>
    <row r="659" spans="1:18" s="24" customFormat="1" ht="47.25">
      <c r="A659" s="21"/>
      <c r="B659" s="127" t="s">
        <v>22</v>
      </c>
      <c r="C659" s="109" t="s">
        <v>394</v>
      </c>
      <c r="D659" s="108" t="s">
        <v>229</v>
      </c>
      <c r="E659" s="108" t="s">
        <v>471</v>
      </c>
      <c r="F659" s="108" t="s">
        <v>483</v>
      </c>
      <c r="G659" s="108" t="s">
        <v>23</v>
      </c>
      <c r="H659" s="126"/>
      <c r="L659" s="22"/>
      <c r="M659" s="22"/>
      <c r="N659" s="22"/>
      <c r="O659" s="22"/>
      <c r="P659" s="22"/>
      <c r="Q659" s="22"/>
    </row>
    <row r="660" spans="1:18" s="24" customFormat="1" ht="63">
      <c r="A660" s="21"/>
      <c r="B660" s="127" t="s">
        <v>26</v>
      </c>
      <c r="C660" s="109" t="s">
        <v>394</v>
      </c>
      <c r="D660" s="108" t="s">
        <v>229</v>
      </c>
      <c r="E660" s="108" t="s">
        <v>471</v>
      </c>
      <c r="F660" s="108" t="s">
        <v>483</v>
      </c>
      <c r="G660" s="108" t="s">
        <v>27</v>
      </c>
      <c r="H660" s="126"/>
      <c r="L660" s="22"/>
      <c r="M660" s="22"/>
      <c r="N660" s="22"/>
      <c r="O660" s="22"/>
      <c r="P660" s="22"/>
      <c r="Q660" s="22"/>
    </row>
    <row r="661" spans="1:18" s="17" customFormat="1" ht="31.5">
      <c r="A661" s="14"/>
      <c r="B661" s="125" t="s">
        <v>28</v>
      </c>
      <c r="C661" s="109" t="s">
        <v>394</v>
      </c>
      <c r="D661" s="108" t="s">
        <v>229</v>
      </c>
      <c r="E661" s="108" t="s">
        <v>471</v>
      </c>
      <c r="F661" s="108" t="s">
        <v>483</v>
      </c>
      <c r="G661" s="108" t="s">
        <v>29</v>
      </c>
      <c r="H661" s="126">
        <f>H662</f>
        <v>0</v>
      </c>
      <c r="L661" s="20">
        <v>1690.51</v>
      </c>
      <c r="M661" s="20">
        <v>1690.51</v>
      </c>
      <c r="N661" s="20">
        <v>1690.51</v>
      </c>
      <c r="O661" s="20">
        <f>H661-L661</f>
        <v>-1690.51</v>
      </c>
      <c r="P661" s="20" t="e">
        <f>#REF!-M661</f>
        <v>#REF!</v>
      </c>
      <c r="Q661" s="20" t="e">
        <f>#REF!-N661</f>
        <v>#REF!</v>
      </c>
      <c r="R661" s="17" t="str">
        <f t="shared" si="78"/>
        <v>75 1 00 10010240</v>
      </c>
    </row>
    <row r="662" spans="1:18" s="17" customFormat="1" ht="15.75">
      <c r="A662" s="14"/>
      <c r="B662" s="125" t="s">
        <v>30</v>
      </c>
      <c r="C662" s="109" t="s">
        <v>394</v>
      </c>
      <c r="D662" s="108" t="s">
        <v>229</v>
      </c>
      <c r="E662" s="108" t="s">
        <v>471</v>
      </c>
      <c r="F662" s="108" t="s">
        <v>483</v>
      </c>
      <c r="G662" s="108" t="s">
        <v>31</v>
      </c>
      <c r="H662" s="126"/>
      <c r="L662" s="20"/>
      <c r="M662" s="20"/>
      <c r="N662" s="20"/>
      <c r="O662" s="20"/>
      <c r="P662" s="20"/>
      <c r="Q662" s="20"/>
    </row>
    <row r="663" spans="1:18" s="17" customFormat="1" ht="15.75">
      <c r="A663" s="14"/>
      <c r="B663" s="125" t="s">
        <v>32</v>
      </c>
      <c r="C663" s="109" t="s">
        <v>394</v>
      </c>
      <c r="D663" s="108" t="s">
        <v>229</v>
      </c>
      <c r="E663" s="108" t="s">
        <v>471</v>
      </c>
      <c r="F663" s="108" t="s">
        <v>483</v>
      </c>
      <c r="G663" s="108" t="s">
        <v>33</v>
      </c>
      <c r="H663" s="126">
        <f>SUM(H664:H666)</f>
        <v>0</v>
      </c>
      <c r="L663" s="20">
        <v>53.14</v>
      </c>
      <c r="M663" s="20">
        <v>53.14</v>
      </c>
      <c r="N663" s="20">
        <v>53.14</v>
      </c>
      <c r="O663" s="20">
        <f>H663-L663</f>
        <v>-53.14</v>
      </c>
      <c r="P663" s="20" t="e">
        <f>#REF!-M663</f>
        <v>#REF!</v>
      </c>
      <c r="Q663" s="20" t="e">
        <f>#REF!-N663</f>
        <v>#REF!</v>
      </c>
      <c r="R663" s="17" t="str">
        <f t="shared" si="78"/>
        <v>75 1 00 10010850</v>
      </c>
    </row>
    <row r="664" spans="1:18" s="24" customFormat="1" ht="31.5">
      <c r="A664" s="21"/>
      <c r="B664" s="127" t="s">
        <v>34</v>
      </c>
      <c r="C664" s="109" t="s">
        <v>394</v>
      </c>
      <c r="D664" s="108" t="s">
        <v>229</v>
      </c>
      <c r="E664" s="108" t="s">
        <v>471</v>
      </c>
      <c r="F664" s="108" t="s">
        <v>483</v>
      </c>
      <c r="G664" s="108" t="s">
        <v>35</v>
      </c>
      <c r="H664" s="126"/>
      <c r="L664" s="22"/>
      <c r="M664" s="22"/>
      <c r="N664" s="22"/>
      <c r="O664" s="22"/>
      <c r="P664" s="22"/>
      <c r="Q664" s="22"/>
    </row>
    <row r="665" spans="1:18" s="24" customFormat="1" ht="15.75">
      <c r="A665" s="21"/>
      <c r="B665" s="127" t="s">
        <v>36</v>
      </c>
      <c r="C665" s="109" t="s">
        <v>394</v>
      </c>
      <c r="D665" s="108" t="s">
        <v>229</v>
      </c>
      <c r="E665" s="108" t="s">
        <v>471</v>
      </c>
      <c r="F665" s="108" t="s">
        <v>483</v>
      </c>
      <c r="G665" s="108" t="s">
        <v>37</v>
      </c>
      <c r="H665" s="126"/>
      <c r="L665" s="22"/>
      <c r="M665" s="22"/>
      <c r="N665" s="22"/>
      <c r="O665" s="22"/>
      <c r="P665" s="22"/>
      <c r="Q665" s="22"/>
    </row>
    <row r="666" spans="1:18" s="24" customFormat="1" ht="15.75">
      <c r="A666" s="21"/>
      <c r="B666" s="127" t="s">
        <v>77</v>
      </c>
      <c r="C666" s="109" t="s">
        <v>394</v>
      </c>
      <c r="D666" s="108" t="s">
        <v>229</v>
      </c>
      <c r="E666" s="108" t="s">
        <v>471</v>
      </c>
      <c r="F666" s="108" t="s">
        <v>483</v>
      </c>
      <c r="G666" s="108" t="s">
        <v>78</v>
      </c>
      <c r="H666" s="126"/>
      <c r="L666" s="22"/>
      <c r="M666" s="22"/>
      <c r="N666" s="22"/>
      <c r="O666" s="22"/>
      <c r="P666" s="22"/>
      <c r="Q666" s="22"/>
    </row>
    <row r="667" spans="1:18" s="17" customFormat="1" ht="31.5">
      <c r="A667" s="14"/>
      <c r="B667" s="125" t="s">
        <v>38</v>
      </c>
      <c r="C667" s="109" t="s">
        <v>394</v>
      </c>
      <c r="D667" s="108" t="s">
        <v>229</v>
      </c>
      <c r="E667" s="108" t="s">
        <v>471</v>
      </c>
      <c r="F667" s="108" t="s">
        <v>485</v>
      </c>
      <c r="G667" s="108" t="s">
        <v>9</v>
      </c>
      <c r="H667" s="126">
        <f>H668</f>
        <v>0</v>
      </c>
      <c r="L667" s="20">
        <v>21313.48</v>
      </c>
      <c r="M667" s="20">
        <v>21313.48</v>
      </c>
      <c r="N667" s="20">
        <v>21313.48</v>
      </c>
      <c r="O667" s="20">
        <f>H667-L667</f>
        <v>-21313.48</v>
      </c>
      <c r="P667" s="20" t="e">
        <f>#REF!-M667</f>
        <v>#REF!</v>
      </c>
      <c r="Q667" s="20" t="e">
        <f>#REF!-N667</f>
        <v>#REF!</v>
      </c>
      <c r="R667" s="17" t="str">
        <f t="shared" si="78"/>
        <v>75 1 00 10020000</v>
      </c>
    </row>
    <row r="668" spans="1:18" s="17" customFormat="1" ht="31.5">
      <c r="A668" s="14"/>
      <c r="B668" s="125" t="s">
        <v>484</v>
      </c>
      <c r="C668" s="109" t="s">
        <v>394</v>
      </c>
      <c r="D668" s="108" t="s">
        <v>229</v>
      </c>
      <c r="E668" s="108" t="s">
        <v>471</v>
      </c>
      <c r="F668" s="108" t="s">
        <v>485</v>
      </c>
      <c r="G668" s="108" t="s">
        <v>21</v>
      </c>
      <c r="H668" s="126">
        <f>SUM(H669:H670)</f>
        <v>0</v>
      </c>
      <c r="L668" s="20">
        <v>21313.48</v>
      </c>
      <c r="M668" s="20">
        <v>21313.48</v>
      </c>
      <c r="N668" s="20">
        <v>21313.48</v>
      </c>
      <c r="O668" s="20">
        <f>H668-L668</f>
        <v>-21313.48</v>
      </c>
      <c r="P668" s="20" t="e">
        <f>#REF!-M668</f>
        <v>#REF!</v>
      </c>
      <c r="Q668" s="20" t="e">
        <f>#REF!-N668</f>
        <v>#REF!</v>
      </c>
      <c r="R668" s="17" t="str">
        <f t="shared" si="78"/>
        <v>75 1 00 10020120</v>
      </c>
    </row>
    <row r="669" spans="1:18" s="24" customFormat="1" ht="31.5">
      <c r="A669" s="21"/>
      <c r="B669" s="127" t="s">
        <v>40</v>
      </c>
      <c r="C669" s="109" t="s">
        <v>394</v>
      </c>
      <c r="D669" s="108" t="s">
        <v>229</v>
      </c>
      <c r="E669" s="108" t="s">
        <v>471</v>
      </c>
      <c r="F669" s="108" t="s">
        <v>485</v>
      </c>
      <c r="G669" s="108" t="s">
        <v>41</v>
      </c>
      <c r="H669" s="126"/>
      <c r="L669" s="22"/>
      <c r="M669" s="22"/>
      <c r="N669" s="22"/>
      <c r="O669" s="22"/>
      <c r="P669" s="22"/>
      <c r="Q669" s="22"/>
    </row>
    <row r="670" spans="1:18" s="24" customFormat="1" ht="63">
      <c r="A670" s="21"/>
      <c r="B670" s="127" t="s">
        <v>26</v>
      </c>
      <c r="C670" s="109" t="s">
        <v>394</v>
      </c>
      <c r="D670" s="108" t="s">
        <v>229</v>
      </c>
      <c r="E670" s="108" t="s">
        <v>471</v>
      </c>
      <c r="F670" s="108" t="s">
        <v>485</v>
      </c>
      <c r="G670" s="108" t="s">
        <v>27</v>
      </c>
      <c r="H670" s="126"/>
      <c r="L670" s="22"/>
      <c r="M670" s="22"/>
      <c r="N670" s="22"/>
      <c r="O670" s="22"/>
      <c r="P670" s="22"/>
      <c r="Q670" s="22"/>
    </row>
    <row r="671" spans="1:18" s="17" customFormat="1" ht="31.5">
      <c r="A671" s="14"/>
      <c r="B671" s="138" t="s">
        <v>136</v>
      </c>
      <c r="C671" s="109" t="s">
        <v>394</v>
      </c>
      <c r="D671" s="108" t="s">
        <v>229</v>
      </c>
      <c r="E671" s="108" t="s">
        <v>471</v>
      </c>
      <c r="F671" s="108" t="s">
        <v>486</v>
      </c>
      <c r="G671" s="108" t="s">
        <v>9</v>
      </c>
      <c r="H671" s="126">
        <f>H672+H675</f>
        <v>0</v>
      </c>
      <c r="L671" s="20">
        <v>6806.64</v>
      </c>
      <c r="M671" s="20">
        <v>6709.94</v>
      </c>
      <c r="N671" s="20">
        <v>6709.94</v>
      </c>
      <c r="O671" s="20">
        <f>H671-L671</f>
        <v>-6806.64</v>
      </c>
      <c r="P671" s="20" t="e">
        <f>#REF!-M671</f>
        <v>#REF!</v>
      </c>
      <c r="Q671" s="20" t="e">
        <f>#REF!-N671</f>
        <v>#REF!</v>
      </c>
      <c r="R671" s="17" t="str">
        <f t="shared" si="78"/>
        <v>75 1 00 11010000</v>
      </c>
    </row>
    <row r="672" spans="1:18" s="17" customFormat="1" ht="15.75">
      <c r="A672" s="14"/>
      <c r="B672" s="137" t="s">
        <v>138</v>
      </c>
      <c r="C672" s="109" t="s">
        <v>394</v>
      </c>
      <c r="D672" s="108" t="s">
        <v>229</v>
      </c>
      <c r="E672" s="108" t="s">
        <v>471</v>
      </c>
      <c r="F672" s="108" t="s">
        <v>486</v>
      </c>
      <c r="G672" s="108" t="s">
        <v>139</v>
      </c>
      <c r="H672" s="126">
        <f>SUM(H673:H674)</f>
        <v>0</v>
      </c>
      <c r="L672" s="20">
        <v>5943.04</v>
      </c>
      <c r="M672" s="20">
        <v>6483.32</v>
      </c>
      <c r="N672" s="20">
        <v>6483.32</v>
      </c>
      <c r="O672" s="20">
        <f>H672-L672</f>
        <v>-5943.04</v>
      </c>
      <c r="P672" s="20" t="e">
        <f>#REF!-M672</f>
        <v>#REF!</v>
      </c>
      <c r="Q672" s="20" t="e">
        <f>#REF!-N672</f>
        <v>#REF!</v>
      </c>
      <c r="R672" s="17" t="str">
        <f t="shared" si="78"/>
        <v>75 1 00 11010110</v>
      </c>
    </row>
    <row r="673" spans="1:18" s="24" customFormat="1" ht="15.75">
      <c r="A673" s="21"/>
      <c r="B673" s="127" t="s">
        <v>140</v>
      </c>
      <c r="C673" s="109" t="s">
        <v>394</v>
      </c>
      <c r="D673" s="108" t="s">
        <v>229</v>
      </c>
      <c r="E673" s="108" t="s">
        <v>471</v>
      </c>
      <c r="F673" s="108" t="s">
        <v>486</v>
      </c>
      <c r="G673" s="108" t="s">
        <v>141</v>
      </c>
      <c r="H673" s="126"/>
      <c r="L673" s="22"/>
      <c r="M673" s="22"/>
      <c r="N673" s="22"/>
      <c r="O673" s="22"/>
      <c r="P673" s="22"/>
      <c r="Q673" s="22"/>
    </row>
    <row r="674" spans="1:18" s="24" customFormat="1" ht="47.25">
      <c r="A674" s="21"/>
      <c r="B674" s="127" t="s">
        <v>487</v>
      </c>
      <c r="C674" s="109" t="s">
        <v>394</v>
      </c>
      <c r="D674" s="108" t="s">
        <v>229</v>
      </c>
      <c r="E674" s="108" t="s">
        <v>471</v>
      </c>
      <c r="F674" s="108" t="s">
        <v>486</v>
      </c>
      <c r="G674" s="108" t="s">
        <v>145</v>
      </c>
      <c r="H674" s="126"/>
      <c r="L674" s="22"/>
      <c r="M674" s="22"/>
      <c r="N674" s="22"/>
      <c r="O674" s="22"/>
      <c r="P674" s="22"/>
      <c r="Q674" s="22"/>
    </row>
    <row r="675" spans="1:18" s="17" customFormat="1" ht="31.5">
      <c r="A675" s="14"/>
      <c r="B675" s="125" t="s">
        <v>28</v>
      </c>
      <c r="C675" s="109" t="s">
        <v>394</v>
      </c>
      <c r="D675" s="108" t="s">
        <v>229</v>
      </c>
      <c r="E675" s="108" t="s">
        <v>471</v>
      </c>
      <c r="F675" s="108" t="s">
        <v>486</v>
      </c>
      <c r="G675" s="108" t="s">
        <v>29</v>
      </c>
      <c r="H675" s="126">
        <f>H676</f>
        <v>0</v>
      </c>
      <c r="L675" s="20">
        <v>863.6</v>
      </c>
      <c r="M675" s="20">
        <v>226.62</v>
      </c>
      <c r="N675" s="20">
        <v>226.62</v>
      </c>
      <c r="O675" s="20">
        <f>H675-L675</f>
        <v>-863.6</v>
      </c>
      <c r="P675" s="20" t="e">
        <f>#REF!-M675</f>
        <v>#REF!</v>
      </c>
      <c r="Q675" s="20" t="e">
        <f>#REF!-N675</f>
        <v>#REF!</v>
      </c>
      <c r="R675" s="17" t="str">
        <f t="shared" si="78"/>
        <v>75 1 00 11010240</v>
      </c>
    </row>
    <row r="676" spans="1:18" s="17" customFormat="1" ht="15.75">
      <c r="A676" s="14"/>
      <c r="B676" s="125" t="s">
        <v>30</v>
      </c>
      <c r="C676" s="109" t="s">
        <v>394</v>
      </c>
      <c r="D676" s="108" t="s">
        <v>229</v>
      </c>
      <c r="E676" s="108" t="s">
        <v>471</v>
      </c>
      <c r="F676" s="108" t="s">
        <v>486</v>
      </c>
      <c r="G676" s="108" t="s">
        <v>31</v>
      </c>
      <c r="H676" s="126"/>
      <c r="L676" s="20"/>
      <c r="M676" s="20"/>
      <c r="N676" s="20"/>
      <c r="O676" s="20"/>
      <c r="P676" s="20"/>
      <c r="Q676" s="20"/>
    </row>
    <row r="677" spans="1:18" s="17" customFormat="1" ht="63">
      <c r="A677" s="14" t="s">
        <v>80</v>
      </c>
      <c r="B677" s="125" t="s">
        <v>488</v>
      </c>
      <c r="C677" s="109" t="s">
        <v>394</v>
      </c>
      <c r="D677" s="108" t="s">
        <v>229</v>
      </c>
      <c r="E677" s="108" t="s">
        <v>471</v>
      </c>
      <c r="F677" s="108" t="s">
        <v>489</v>
      </c>
      <c r="G677" s="108" t="s">
        <v>9</v>
      </c>
      <c r="H677" s="126">
        <f>H678+H682</f>
        <v>0</v>
      </c>
      <c r="L677" s="20">
        <v>1971.42</v>
      </c>
      <c r="M677" s="20">
        <v>1971.42</v>
      </c>
      <c r="N677" s="20">
        <v>1971.42</v>
      </c>
      <c r="O677" s="20">
        <f>H677-L677</f>
        <v>-1971.42</v>
      </c>
      <c r="P677" s="20" t="e">
        <f>#REF!-M677</f>
        <v>#REF!</v>
      </c>
      <c r="Q677" s="20" t="e">
        <f>#REF!-N677</f>
        <v>#REF!</v>
      </c>
      <c r="R677" s="17" t="str">
        <f t="shared" si="78"/>
        <v>75 1 00 76200000</v>
      </c>
    </row>
    <row r="678" spans="1:18" s="17" customFormat="1" ht="31.5">
      <c r="A678" s="14"/>
      <c r="B678" s="125" t="s">
        <v>484</v>
      </c>
      <c r="C678" s="109" t="s">
        <v>394</v>
      </c>
      <c r="D678" s="108" t="s">
        <v>229</v>
      </c>
      <c r="E678" s="108" t="s">
        <v>471</v>
      </c>
      <c r="F678" s="108" t="s">
        <v>489</v>
      </c>
      <c r="G678" s="108" t="s">
        <v>21</v>
      </c>
      <c r="H678" s="126">
        <f>SUM(H679:H681)</f>
        <v>0</v>
      </c>
      <c r="L678" s="20">
        <v>1951.93</v>
      </c>
      <c r="M678" s="20">
        <v>1951.93</v>
      </c>
      <c r="N678" s="20">
        <v>1951.93</v>
      </c>
      <c r="O678" s="20">
        <f>H678-L678</f>
        <v>-1951.93</v>
      </c>
      <c r="P678" s="20" t="e">
        <f>#REF!-M678</f>
        <v>#REF!</v>
      </c>
      <c r="Q678" s="20" t="e">
        <f>#REF!-N678</f>
        <v>#REF!</v>
      </c>
      <c r="R678" s="17" t="str">
        <f t="shared" si="78"/>
        <v>75 1 00 76200120</v>
      </c>
    </row>
    <row r="679" spans="1:18" s="17" customFormat="1" ht="31.5">
      <c r="A679" s="14"/>
      <c r="B679" s="127" t="s">
        <v>40</v>
      </c>
      <c r="C679" s="109" t="s">
        <v>394</v>
      </c>
      <c r="D679" s="108" t="s">
        <v>229</v>
      </c>
      <c r="E679" s="108" t="s">
        <v>471</v>
      </c>
      <c r="F679" s="108" t="s">
        <v>489</v>
      </c>
      <c r="G679" s="108" t="s">
        <v>41</v>
      </c>
      <c r="H679" s="126"/>
      <c r="L679" s="20"/>
      <c r="M679" s="20"/>
      <c r="N679" s="20"/>
      <c r="O679" s="20"/>
      <c r="P679" s="20"/>
      <c r="Q679" s="20"/>
    </row>
    <row r="680" spans="1:18" s="24" customFormat="1" ht="47.25">
      <c r="A680" s="21"/>
      <c r="B680" s="127" t="s">
        <v>22</v>
      </c>
      <c r="C680" s="109" t="s">
        <v>394</v>
      </c>
      <c r="D680" s="108" t="s">
        <v>229</v>
      </c>
      <c r="E680" s="108" t="s">
        <v>471</v>
      </c>
      <c r="F680" s="108" t="s">
        <v>489</v>
      </c>
      <c r="G680" s="108" t="s">
        <v>23</v>
      </c>
      <c r="H680" s="126"/>
      <c r="L680" s="22"/>
      <c r="M680" s="22"/>
      <c r="N680" s="22"/>
      <c r="O680" s="22"/>
      <c r="P680" s="22"/>
      <c r="Q680" s="22"/>
    </row>
    <row r="681" spans="1:18" s="24" customFormat="1" ht="63">
      <c r="A681" s="21"/>
      <c r="B681" s="127" t="s">
        <v>26</v>
      </c>
      <c r="C681" s="109" t="s">
        <v>394</v>
      </c>
      <c r="D681" s="108" t="s">
        <v>229</v>
      </c>
      <c r="E681" s="108" t="s">
        <v>471</v>
      </c>
      <c r="F681" s="108" t="s">
        <v>489</v>
      </c>
      <c r="G681" s="108" t="s">
        <v>27</v>
      </c>
      <c r="H681" s="126"/>
      <c r="L681" s="22"/>
      <c r="M681" s="22"/>
      <c r="N681" s="22"/>
      <c r="O681" s="22"/>
      <c r="P681" s="22"/>
      <c r="Q681" s="22"/>
    </row>
    <row r="682" spans="1:18" s="17" customFormat="1" ht="31.5">
      <c r="A682" s="14"/>
      <c r="B682" s="125" t="s">
        <v>28</v>
      </c>
      <c r="C682" s="109" t="s">
        <v>394</v>
      </c>
      <c r="D682" s="108" t="s">
        <v>229</v>
      </c>
      <c r="E682" s="108" t="s">
        <v>471</v>
      </c>
      <c r="F682" s="108" t="s">
        <v>489</v>
      </c>
      <c r="G682" s="108" t="s">
        <v>29</v>
      </c>
      <c r="H682" s="126">
        <f>H683</f>
        <v>0</v>
      </c>
      <c r="L682" s="20">
        <v>19.489999999999998</v>
      </c>
      <c r="M682" s="20">
        <v>19.489999999999998</v>
      </c>
      <c r="N682" s="20">
        <v>19.489999999999998</v>
      </c>
      <c r="O682" s="20">
        <f>H682-L682</f>
        <v>-19.489999999999998</v>
      </c>
      <c r="P682" s="20" t="e">
        <f>#REF!-M682</f>
        <v>#REF!</v>
      </c>
      <c r="Q682" s="20" t="e">
        <f>#REF!-N682</f>
        <v>#REF!</v>
      </c>
      <c r="R682" s="17" t="str">
        <f t="shared" si="78"/>
        <v>75 1 00 76200240</v>
      </c>
    </row>
    <row r="683" spans="1:18" s="17" customFormat="1" ht="15.75">
      <c r="A683" s="14"/>
      <c r="B683" s="125" t="s">
        <v>30</v>
      </c>
      <c r="C683" s="109" t="s">
        <v>394</v>
      </c>
      <c r="D683" s="108" t="s">
        <v>229</v>
      </c>
      <c r="E683" s="108" t="s">
        <v>471</v>
      </c>
      <c r="F683" s="108" t="s">
        <v>489</v>
      </c>
      <c r="G683" s="108" t="s">
        <v>31</v>
      </c>
      <c r="H683" s="126"/>
      <c r="L683" s="20"/>
      <c r="M683" s="20"/>
      <c r="N683" s="20"/>
      <c r="O683" s="20"/>
      <c r="P683" s="20"/>
      <c r="Q683" s="20"/>
    </row>
    <row r="684" spans="1:18" s="17" customFormat="1" ht="15.75">
      <c r="A684" s="14"/>
      <c r="B684" s="117" t="s">
        <v>316</v>
      </c>
      <c r="C684" s="118" t="s">
        <v>394</v>
      </c>
      <c r="D684" s="119" t="s">
        <v>317</v>
      </c>
      <c r="E684" s="119" t="s">
        <v>7</v>
      </c>
      <c r="F684" s="119" t="s">
        <v>8</v>
      </c>
      <c r="G684" s="119" t="s">
        <v>9</v>
      </c>
      <c r="H684" s="120">
        <f t="shared" ref="H684:H686" si="79">H685</f>
        <v>0</v>
      </c>
      <c r="L684" s="18">
        <v>130554.89</v>
      </c>
      <c r="M684" s="18">
        <v>130554.89</v>
      </c>
      <c r="N684" s="18">
        <v>130554.89</v>
      </c>
      <c r="O684" s="18">
        <f t="shared" ref="O684:O690" si="80">H684-L684</f>
        <v>-130554.89</v>
      </c>
      <c r="P684" s="18" t="e">
        <f>#REF!-M684</f>
        <v>#REF!</v>
      </c>
      <c r="Q684" s="18" t="e">
        <f>#REF!-N684</f>
        <v>#REF!</v>
      </c>
      <c r="R684" s="17" t="str">
        <f t="shared" si="78"/>
        <v>00 0 00 00000000</v>
      </c>
    </row>
    <row r="685" spans="1:18" s="17" customFormat="1" ht="15.75">
      <c r="A685" s="14"/>
      <c r="B685" s="121" t="s">
        <v>490</v>
      </c>
      <c r="C685" s="122" t="s">
        <v>394</v>
      </c>
      <c r="D685" s="123" t="s">
        <v>317</v>
      </c>
      <c r="E685" s="123" t="s">
        <v>73</v>
      </c>
      <c r="F685" s="123" t="s">
        <v>8</v>
      </c>
      <c r="G685" s="123" t="s">
        <v>9</v>
      </c>
      <c r="H685" s="124">
        <f t="shared" si="79"/>
        <v>0</v>
      </c>
      <c r="L685" s="19">
        <v>130554.89</v>
      </c>
      <c r="M685" s="19">
        <v>130554.89</v>
      </c>
      <c r="N685" s="19">
        <v>130554.89</v>
      </c>
      <c r="O685" s="19">
        <f t="shared" si="80"/>
        <v>-130554.89</v>
      </c>
      <c r="P685" s="19" t="e">
        <f>#REF!-M685</f>
        <v>#REF!</v>
      </c>
      <c r="Q685" s="19" t="e">
        <f>#REF!-N685</f>
        <v>#REF!</v>
      </c>
      <c r="R685" s="17" t="str">
        <f t="shared" si="78"/>
        <v>00 0 00 00000000</v>
      </c>
    </row>
    <row r="686" spans="1:18" s="17" customFormat="1" ht="31.5">
      <c r="A686" s="14"/>
      <c r="B686" s="132" t="s">
        <v>396</v>
      </c>
      <c r="C686" s="109" t="s">
        <v>394</v>
      </c>
      <c r="D686" s="108" t="s">
        <v>317</v>
      </c>
      <c r="E686" s="108" t="s">
        <v>73</v>
      </c>
      <c r="F686" s="108" t="s">
        <v>397</v>
      </c>
      <c r="G686" s="108" t="s">
        <v>9</v>
      </c>
      <c r="H686" s="126">
        <f t="shared" si="79"/>
        <v>0</v>
      </c>
      <c r="L686" s="20">
        <v>130554.89</v>
      </c>
      <c r="M686" s="20">
        <v>130554.89</v>
      </c>
      <c r="N686" s="20">
        <v>130554.89</v>
      </c>
      <c r="O686" s="20">
        <f t="shared" si="80"/>
        <v>-130554.89</v>
      </c>
      <c r="P686" s="20" t="e">
        <f>#REF!-M686</f>
        <v>#REF!</v>
      </c>
      <c r="Q686" s="20" t="e">
        <f>#REF!-N686</f>
        <v>#REF!</v>
      </c>
      <c r="R686" s="17" t="str">
        <f t="shared" si="78"/>
        <v>01 0 00 00000000</v>
      </c>
    </row>
    <row r="687" spans="1:18" s="17" customFormat="1" ht="31.5">
      <c r="A687" s="14"/>
      <c r="B687" s="132" t="s">
        <v>398</v>
      </c>
      <c r="C687" s="109" t="s">
        <v>394</v>
      </c>
      <c r="D687" s="108" t="s">
        <v>317</v>
      </c>
      <c r="E687" s="108" t="s">
        <v>73</v>
      </c>
      <c r="F687" s="108" t="s">
        <v>399</v>
      </c>
      <c r="G687" s="108" t="s">
        <v>9</v>
      </c>
      <c r="H687" s="126">
        <f>H688+H694</f>
        <v>0</v>
      </c>
      <c r="L687" s="20">
        <v>130554.89</v>
      </c>
      <c r="M687" s="20">
        <v>130554.89</v>
      </c>
      <c r="N687" s="20">
        <v>130554.89</v>
      </c>
      <c r="O687" s="20">
        <f t="shared" si="80"/>
        <v>-130554.89</v>
      </c>
      <c r="P687" s="20" t="e">
        <f>#REF!-M687</f>
        <v>#REF!</v>
      </c>
      <c r="Q687" s="20" t="e">
        <f>#REF!-N687</f>
        <v>#REF!</v>
      </c>
      <c r="R687" s="17" t="str">
        <f t="shared" si="78"/>
        <v>01 1 00 00000000</v>
      </c>
    </row>
    <row r="688" spans="1:18" s="17" customFormat="1" ht="47.25">
      <c r="A688" s="14"/>
      <c r="B688" s="132" t="s">
        <v>400</v>
      </c>
      <c r="C688" s="109" t="s">
        <v>394</v>
      </c>
      <c r="D688" s="108" t="s">
        <v>317</v>
      </c>
      <c r="E688" s="108" t="s">
        <v>73</v>
      </c>
      <c r="F688" s="108" t="s">
        <v>401</v>
      </c>
      <c r="G688" s="108" t="s">
        <v>9</v>
      </c>
      <c r="H688" s="126">
        <f>H689</f>
        <v>0</v>
      </c>
      <c r="L688" s="20">
        <v>83933.4</v>
      </c>
      <c r="M688" s="20">
        <v>83933.4</v>
      </c>
      <c r="N688" s="20">
        <v>83933.4</v>
      </c>
      <c r="O688" s="20">
        <f t="shared" si="80"/>
        <v>-83933.4</v>
      </c>
      <c r="P688" s="20" t="e">
        <f>#REF!-M688</f>
        <v>#REF!</v>
      </c>
      <c r="Q688" s="20" t="e">
        <f>#REF!-N688</f>
        <v>#REF!</v>
      </c>
      <c r="R688" s="17" t="str">
        <f t="shared" si="78"/>
        <v>01 1 01 00000000</v>
      </c>
    </row>
    <row r="689" spans="1:18" s="17" customFormat="1" ht="78.75">
      <c r="A689" s="14" t="s">
        <v>80</v>
      </c>
      <c r="B689" s="132" t="s">
        <v>491</v>
      </c>
      <c r="C689" s="109" t="s">
        <v>394</v>
      </c>
      <c r="D689" s="108" t="s">
        <v>317</v>
      </c>
      <c r="E689" s="108" t="s">
        <v>73</v>
      </c>
      <c r="F689" s="108" t="s">
        <v>492</v>
      </c>
      <c r="G689" s="108" t="s">
        <v>9</v>
      </c>
      <c r="H689" s="126">
        <f>H690+H692</f>
        <v>0</v>
      </c>
      <c r="L689" s="20">
        <v>83933.4</v>
      </c>
      <c r="M689" s="20">
        <v>83933.4</v>
      </c>
      <c r="N689" s="20">
        <v>83933.4</v>
      </c>
      <c r="O689" s="20">
        <f t="shared" si="80"/>
        <v>-83933.4</v>
      </c>
      <c r="P689" s="20" t="e">
        <f>#REF!-M689</f>
        <v>#REF!</v>
      </c>
      <c r="Q689" s="20" t="e">
        <f>#REF!-N689</f>
        <v>#REF!</v>
      </c>
      <c r="R689" s="17" t="str">
        <f t="shared" si="78"/>
        <v>01 1 01 76140000</v>
      </c>
    </row>
    <row r="690" spans="1:18" s="17" customFormat="1" ht="31.5">
      <c r="A690" s="14"/>
      <c r="B690" s="125" t="s">
        <v>28</v>
      </c>
      <c r="C690" s="109" t="s">
        <v>394</v>
      </c>
      <c r="D690" s="108" t="s">
        <v>317</v>
      </c>
      <c r="E690" s="108" t="s">
        <v>73</v>
      </c>
      <c r="F690" s="108" t="s">
        <v>492</v>
      </c>
      <c r="G690" s="108" t="s">
        <v>29</v>
      </c>
      <c r="H690" s="126">
        <f>H691</f>
        <v>0</v>
      </c>
      <c r="L690" s="20">
        <v>1259</v>
      </c>
      <c r="M690" s="20">
        <v>1259</v>
      </c>
      <c r="N690" s="20">
        <v>1259</v>
      </c>
      <c r="O690" s="20">
        <f t="shared" si="80"/>
        <v>-1259</v>
      </c>
      <c r="P690" s="20" t="e">
        <f>#REF!-M690</f>
        <v>#REF!</v>
      </c>
      <c r="Q690" s="20" t="e">
        <f>#REF!-N690</f>
        <v>#REF!</v>
      </c>
      <c r="R690" s="17" t="str">
        <f t="shared" si="78"/>
        <v>01 1 01 76140240</v>
      </c>
    </row>
    <row r="691" spans="1:18" s="17" customFormat="1" ht="15.75">
      <c r="A691" s="14"/>
      <c r="B691" s="125" t="s">
        <v>30</v>
      </c>
      <c r="C691" s="109" t="s">
        <v>394</v>
      </c>
      <c r="D691" s="108" t="s">
        <v>317</v>
      </c>
      <c r="E691" s="108" t="s">
        <v>73</v>
      </c>
      <c r="F691" s="108" t="s">
        <v>492</v>
      </c>
      <c r="G691" s="108" t="s">
        <v>31</v>
      </c>
      <c r="H691" s="126"/>
      <c r="L691" s="20"/>
      <c r="M691" s="20"/>
      <c r="N691" s="20"/>
      <c r="O691" s="20"/>
      <c r="P691" s="20"/>
      <c r="Q691" s="20"/>
      <c r="R691" s="17" t="str">
        <f t="shared" si="78"/>
        <v>01 1 01 76140244</v>
      </c>
    </row>
    <row r="692" spans="1:18" s="17" customFormat="1" ht="31.5">
      <c r="A692" s="14"/>
      <c r="B692" s="132" t="s">
        <v>493</v>
      </c>
      <c r="C692" s="109" t="s">
        <v>394</v>
      </c>
      <c r="D692" s="108" t="s">
        <v>317</v>
      </c>
      <c r="E692" s="108" t="s">
        <v>73</v>
      </c>
      <c r="F692" s="108" t="s">
        <v>492</v>
      </c>
      <c r="G692" s="108" t="s">
        <v>494</v>
      </c>
      <c r="H692" s="126">
        <f>H693</f>
        <v>0</v>
      </c>
      <c r="L692" s="20">
        <v>82674.399999999994</v>
      </c>
      <c r="M692" s="20">
        <v>82674.399999999994</v>
      </c>
      <c r="N692" s="20">
        <v>82674.399999999994</v>
      </c>
      <c r="O692" s="20">
        <f>H692-L692</f>
        <v>-82674.399999999994</v>
      </c>
      <c r="P692" s="20" t="e">
        <f>#REF!-M692</f>
        <v>#REF!</v>
      </c>
      <c r="Q692" s="20" t="e">
        <f>#REF!-N692</f>
        <v>#REF!</v>
      </c>
      <c r="R692" s="17" t="str">
        <f t="shared" si="78"/>
        <v>01 1 01 76140310</v>
      </c>
    </row>
    <row r="693" spans="1:18" s="17" customFormat="1" ht="31.5">
      <c r="A693" s="14"/>
      <c r="B693" s="127" t="s">
        <v>495</v>
      </c>
      <c r="C693" s="109" t="s">
        <v>394</v>
      </c>
      <c r="D693" s="108" t="s">
        <v>317</v>
      </c>
      <c r="E693" s="108" t="s">
        <v>73</v>
      </c>
      <c r="F693" s="108" t="s">
        <v>492</v>
      </c>
      <c r="G693" s="108" t="s">
        <v>496</v>
      </c>
      <c r="H693" s="126"/>
      <c r="L693" s="20"/>
      <c r="M693" s="20"/>
      <c r="N693" s="20"/>
      <c r="O693" s="20"/>
      <c r="P693" s="20"/>
      <c r="Q693" s="20"/>
    </row>
    <row r="694" spans="1:18" s="17" customFormat="1" ht="47.25">
      <c r="A694" s="14" t="s">
        <v>80</v>
      </c>
      <c r="B694" s="132" t="s">
        <v>497</v>
      </c>
      <c r="C694" s="109" t="s">
        <v>394</v>
      </c>
      <c r="D694" s="108" t="s">
        <v>317</v>
      </c>
      <c r="E694" s="108" t="s">
        <v>73</v>
      </c>
      <c r="F694" s="108" t="s">
        <v>498</v>
      </c>
      <c r="G694" s="108" t="s">
        <v>9</v>
      </c>
      <c r="H694" s="126">
        <f>H695+H698+H701+H704</f>
        <v>0</v>
      </c>
      <c r="L694" s="20">
        <v>46621.490000000005</v>
      </c>
      <c r="M694" s="20">
        <v>46621.490000000005</v>
      </c>
      <c r="N694" s="20">
        <v>46621.490000000005</v>
      </c>
      <c r="O694" s="20">
        <f>H694-L694</f>
        <v>-46621.490000000005</v>
      </c>
      <c r="P694" s="20" t="e">
        <f>#REF!-M694</f>
        <v>#REF!</v>
      </c>
      <c r="Q694" s="20" t="e">
        <f>#REF!-N694</f>
        <v>#REF!</v>
      </c>
      <c r="R694" s="17" t="str">
        <f t="shared" si="78"/>
        <v>01 1 07 00000000</v>
      </c>
    </row>
    <row r="695" spans="1:18" s="17" customFormat="1" ht="31.5">
      <c r="A695" s="14"/>
      <c r="B695" s="132" t="s">
        <v>499</v>
      </c>
      <c r="C695" s="109" t="s">
        <v>394</v>
      </c>
      <c r="D695" s="108" t="s">
        <v>317</v>
      </c>
      <c r="E695" s="108" t="s">
        <v>73</v>
      </c>
      <c r="F695" s="108" t="s">
        <v>500</v>
      </c>
      <c r="G695" s="108" t="s">
        <v>9</v>
      </c>
      <c r="H695" s="126">
        <f>H696</f>
        <v>0</v>
      </c>
      <c r="L695" s="20">
        <v>28714.45</v>
      </c>
      <c r="M695" s="20">
        <v>28714.45</v>
      </c>
      <c r="N695" s="20">
        <v>28714.45</v>
      </c>
      <c r="O695" s="20">
        <f>H695-L695</f>
        <v>-28714.45</v>
      </c>
      <c r="P695" s="20" t="e">
        <f>#REF!-M695</f>
        <v>#REF!</v>
      </c>
      <c r="Q695" s="20" t="e">
        <f>#REF!-N695</f>
        <v>#REF!</v>
      </c>
      <c r="R695" s="17" t="str">
        <f t="shared" si="78"/>
        <v>01 1 07 78110000</v>
      </c>
    </row>
    <row r="696" spans="1:18" s="17" customFormat="1" ht="31.5">
      <c r="A696" s="14"/>
      <c r="B696" s="132" t="s">
        <v>327</v>
      </c>
      <c r="C696" s="109" t="s">
        <v>394</v>
      </c>
      <c r="D696" s="108" t="s">
        <v>317</v>
      </c>
      <c r="E696" s="108" t="s">
        <v>73</v>
      </c>
      <c r="F696" s="108" t="s">
        <v>500</v>
      </c>
      <c r="G696" s="108" t="s">
        <v>328</v>
      </c>
      <c r="H696" s="126">
        <f>H697</f>
        <v>0</v>
      </c>
      <c r="L696" s="20">
        <v>28714.45</v>
      </c>
      <c r="M696" s="20">
        <v>28714.45</v>
      </c>
      <c r="N696" s="20">
        <v>28714.45</v>
      </c>
      <c r="O696" s="20">
        <f>H696-L696</f>
        <v>-28714.45</v>
      </c>
      <c r="P696" s="20" t="e">
        <f>#REF!-M696</f>
        <v>#REF!</v>
      </c>
      <c r="Q696" s="20" t="e">
        <f>#REF!-N696</f>
        <v>#REF!</v>
      </c>
      <c r="R696" s="17" t="str">
        <f t="shared" si="78"/>
        <v>01 1 07 78110320</v>
      </c>
    </row>
    <row r="697" spans="1:18" s="17" customFormat="1" ht="31.5">
      <c r="A697" s="14"/>
      <c r="B697" s="125" t="s">
        <v>501</v>
      </c>
      <c r="C697" s="109" t="s">
        <v>394</v>
      </c>
      <c r="D697" s="108" t="s">
        <v>317</v>
      </c>
      <c r="E697" s="108" t="s">
        <v>73</v>
      </c>
      <c r="F697" s="108" t="s">
        <v>500</v>
      </c>
      <c r="G697" s="108" t="s">
        <v>502</v>
      </c>
      <c r="H697" s="126"/>
      <c r="L697" s="20"/>
      <c r="M697" s="20"/>
      <c r="N697" s="20"/>
      <c r="O697" s="20"/>
      <c r="P697" s="20"/>
      <c r="Q697" s="20"/>
    </row>
    <row r="698" spans="1:18" s="17" customFormat="1" ht="78.75">
      <c r="A698" s="14"/>
      <c r="B698" s="125" t="s">
        <v>503</v>
      </c>
      <c r="C698" s="109" t="s">
        <v>394</v>
      </c>
      <c r="D698" s="108" t="s">
        <v>317</v>
      </c>
      <c r="E698" s="108" t="s">
        <v>73</v>
      </c>
      <c r="F698" s="108" t="s">
        <v>504</v>
      </c>
      <c r="G698" s="108" t="s">
        <v>9</v>
      </c>
      <c r="H698" s="126">
        <f>H699</f>
        <v>0</v>
      </c>
      <c r="L698" s="20">
        <v>1642.42</v>
      </c>
      <c r="M698" s="20">
        <v>1642.42</v>
      </c>
      <c r="N698" s="20">
        <v>1642.42</v>
      </c>
      <c r="O698" s="20">
        <f>H698-L698</f>
        <v>-1642.42</v>
      </c>
      <c r="P698" s="20" t="e">
        <f>#REF!-M698</f>
        <v>#REF!</v>
      </c>
      <c r="Q698" s="20" t="e">
        <f>#REF!-N698</f>
        <v>#REF!</v>
      </c>
      <c r="R698" s="17" t="str">
        <f t="shared" si="78"/>
        <v>01 1 07 78120000</v>
      </c>
    </row>
    <row r="699" spans="1:18" s="17" customFormat="1" ht="31.5">
      <c r="A699" s="14"/>
      <c r="B699" s="132" t="s">
        <v>327</v>
      </c>
      <c r="C699" s="109" t="s">
        <v>394</v>
      </c>
      <c r="D699" s="108" t="s">
        <v>317</v>
      </c>
      <c r="E699" s="108" t="s">
        <v>73</v>
      </c>
      <c r="F699" s="108" t="s">
        <v>504</v>
      </c>
      <c r="G699" s="108" t="s">
        <v>328</v>
      </c>
      <c r="H699" s="126">
        <f>H700</f>
        <v>0</v>
      </c>
      <c r="L699" s="20">
        <v>1642.42</v>
      </c>
      <c r="M699" s="20">
        <v>1642.42</v>
      </c>
      <c r="N699" s="20">
        <v>1642.42</v>
      </c>
      <c r="O699" s="20">
        <f>H699-L699</f>
        <v>-1642.42</v>
      </c>
      <c r="P699" s="20" t="e">
        <f>#REF!-M699</f>
        <v>#REF!</v>
      </c>
      <c r="Q699" s="20" t="e">
        <f>#REF!-N699</f>
        <v>#REF!</v>
      </c>
      <c r="R699" s="17" t="str">
        <f t="shared" si="78"/>
        <v>01 1 07 78120320</v>
      </c>
    </row>
    <row r="700" spans="1:18" s="17" customFormat="1" ht="31.5">
      <c r="A700" s="14"/>
      <c r="B700" s="125" t="s">
        <v>501</v>
      </c>
      <c r="C700" s="109" t="s">
        <v>394</v>
      </c>
      <c r="D700" s="108" t="s">
        <v>317</v>
      </c>
      <c r="E700" s="108" t="s">
        <v>73</v>
      </c>
      <c r="F700" s="108" t="s">
        <v>504</v>
      </c>
      <c r="G700" s="108" t="s">
        <v>502</v>
      </c>
      <c r="H700" s="126"/>
      <c r="L700" s="20"/>
      <c r="M700" s="20"/>
      <c r="N700" s="20"/>
      <c r="O700" s="20"/>
      <c r="P700" s="20"/>
      <c r="Q700" s="20"/>
    </row>
    <row r="701" spans="1:18" s="17" customFormat="1" ht="63">
      <c r="A701" s="14"/>
      <c r="B701" s="125" t="s">
        <v>505</v>
      </c>
      <c r="C701" s="109" t="s">
        <v>394</v>
      </c>
      <c r="D701" s="108" t="s">
        <v>317</v>
      </c>
      <c r="E701" s="108" t="s">
        <v>73</v>
      </c>
      <c r="F701" s="108" t="s">
        <v>506</v>
      </c>
      <c r="G701" s="108" t="s">
        <v>9</v>
      </c>
      <c r="H701" s="126">
        <f>H702</f>
        <v>0</v>
      </c>
      <c r="L701" s="20">
        <v>12987.12</v>
      </c>
      <c r="M701" s="20">
        <v>12987.12</v>
      </c>
      <c r="N701" s="20">
        <v>12987.12</v>
      </c>
      <c r="O701" s="20">
        <f>H701-L701</f>
        <v>-12987.12</v>
      </c>
      <c r="P701" s="20" t="e">
        <f>#REF!-M701</f>
        <v>#REF!</v>
      </c>
      <c r="Q701" s="20" t="e">
        <f>#REF!-N701</f>
        <v>#REF!</v>
      </c>
      <c r="R701" s="17" t="str">
        <f t="shared" si="78"/>
        <v>01 1 07 78130000</v>
      </c>
    </row>
    <row r="702" spans="1:18" s="17" customFormat="1" ht="31.5">
      <c r="A702" s="14"/>
      <c r="B702" s="132" t="s">
        <v>327</v>
      </c>
      <c r="C702" s="109" t="s">
        <v>394</v>
      </c>
      <c r="D702" s="108" t="s">
        <v>317</v>
      </c>
      <c r="E702" s="108" t="s">
        <v>73</v>
      </c>
      <c r="F702" s="108" t="s">
        <v>506</v>
      </c>
      <c r="G702" s="108" t="s">
        <v>328</v>
      </c>
      <c r="H702" s="126">
        <f>H703</f>
        <v>0</v>
      </c>
      <c r="L702" s="20">
        <v>12987.12</v>
      </c>
      <c r="M702" s="20">
        <v>12987.12</v>
      </c>
      <c r="N702" s="20">
        <v>12987.12</v>
      </c>
      <c r="O702" s="20">
        <f>H702-L702</f>
        <v>-12987.12</v>
      </c>
      <c r="P702" s="20" t="e">
        <f>#REF!-M702</f>
        <v>#REF!</v>
      </c>
      <c r="Q702" s="20" t="e">
        <f>#REF!-N702</f>
        <v>#REF!</v>
      </c>
      <c r="R702" s="17" t="str">
        <f t="shared" si="78"/>
        <v>01 1 07 78130320</v>
      </c>
    </row>
    <row r="703" spans="1:18" s="17" customFormat="1" ht="31.5">
      <c r="A703" s="14"/>
      <c r="B703" s="125" t="s">
        <v>501</v>
      </c>
      <c r="C703" s="109" t="s">
        <v>394</v>
      </c>
      <c r="D703" s="108" t="s">
        <v>317</v>
      </c>
      <c r="E703" s="108" t="s">
        <v>73</v>
      </c>
      <c r="F703" s="108" t="s">
        <v>506</v>
      </c>
      <c r="G703" s="108" t="s">
        <v>502</v>
      </c>
      <c r="H703" s="126"/>
      <c r="L703" s="20"/>
      <c r="M703" s="20"/>
      <c r="N703" s="20"/>
      <c r="O703" s="20"/>
      <c r="P703" s="20"/>
      <c r="Q703" s="20"/>
    </row>
    <row r="704" spans="1:18" s="17" customFormat="1" ht="31.5">
      <c r="A704" s="14"/>
      <c r="B704" s="125" t="s">
        <v>507</v>
      </c>
      <c r="C704" s="109" t="s">
        <v>394</v>
      </c>
      <c r="D704" s="108" t="s">
        <v>317</v>
      </c>
      <c r="E704" s="108" t="s">
        <v>73</v>
      </c>
      <c r="F704" s="108" t="s">
        <v>508</v>
      </c>
      <c r="G704" s="108" t="s">
        <v>9</v>
      </c>
      <c r="H704" s="126">
        <f>H705</f>
        <v>0</v>
      </c>
      <c r="L704" s="20">
        <v>3277.5</v>
      </c>
      <c r="M704" s="20">
        <v>3277.5</v>
      </c>
      <c r="N704" s="20">
        <v>3277.5</v>
      </c>
      <c r="O704" s="20">
        <f>H704-L704</f>
        <v>-3277.5</v>
      </c>
      <c r="P704" s="20" t="e">
        <f>#REF!-M704</f>
        <v>#REF!</v>
      </c>
      <c r="Q704" s="20" t="e">
        <f>#REF!-N704</f>
        <v>#REF!</v>
      </c>
      <c r="R704" s="17" t="str">
        <f t="shared" si="78"/>
        <v>01 1 07 78140000</v>
      </c>
    </row>
    <row r="705" spans="1:18" s="17" customFormat="1" ht="31.5">
      <c r="A705" s="14"/>
      <c r="B705" s="132" t="s">
        <v>327</v>
      </c>
      <c r="C705" s="109" t="s">
        <v>394</v>
      </c>
      <c r="D705" s="108" t="s">
        <v>317</v>
      </c>
      <c r="E705" s="108" t="s">
        <v>73</v>
      </c>
      <c r="F705" s="108" t="s">
        <v>508</v>
      </c>
      <c r="G705" s="108" t="s">
        <v>328</v>
      </c>
      <c r="H705" s="126">
        <f>H706</f>
        <v>0</v>
      </c>
      <c r="L705" s="20">
        <v>3277.5</v>
      </c>
      <c r="M705" s="20">
        <v>3277.5</v>
      </c>
      <c r="N705" s="20">
        <v>3277.5</v>
      </c>
      <c r="O705" s="20">
        <f>H705-L705</f>
        <v>-3277.5</v>
      </c>
      <c r="P705" s="20" t="e">
        <f>#REF!-M705</f>
        <v>#REF!</v>
      </c>
      <c r="Q705" s="20" t="e">
        <f>#REF!-N705</f>
        <v>#REF!</v>
      </c>
      <c r="R705" s="17" t="str">
        <f t="shared" si="78"/>
        <v>01 1 07 78140320</v>
      </c>
    </row>
    <row r="706" spans="1:18" s="24" customFormat="1" ht="31.5">
      <c r="A706" s="21"/>
      <c r="B706" s="125" t="s">
        <v>501</v>
      </c>
      <c r="C706" s="109" t="s">
        <v>394</v>
      </c>
      <c r="D706" s="108" t="s">
        <v>317</v>
      </c>
      <c r="E706" s="108" t="s">
        <v>73</v>
      </c>
      <c r="F706" s="108" t="s">
        <v>508</v>
      </c>
      <c r="G706" s="108" t="s">
        <v>502</v>
      </c>
      <c r="H706" s="126"/>
      <c r="L706" s="22"/>
      <c r="M706" s="22"/>
      <c r="N706" s="22"/>
      <c r="O706" s="22"/>
      <c r="P706" s="22"/>
      <c r="Q706" s="22"/>
    </row>
    <row r="707" spans="1:18" s="17" customFormat="1" ht="15.75">
      <c r="A707" s="14"/>
      <c r="B707" s="132"/>
      <c r="C707" s="109"/>
      <c r="D707" s="108"/>
      <c r="E707" s="108"/>
      <c r="F707" s="108"/>
      <c r="G707" s="108"/>
      <c r="H707" s="126"/>
      <c r="L707" s="20"/>
      <c r="M707" s="20"/>
      <c r="N707" s="20"/>
      <c r="O707" s="20">
        <f t="shared" ref="O707:O714" si="81">H707-L707</f>
        <v>0</v>
      </c>
      <c r="P707" s="20" t="e">
        <f>#REF!-M707</f>
        <v>#REF!</v>
      </c>
      <c r="Q707" s="20" t="e">
        <f>#REF!-N707</f>
        <v>#REF!</v>
      </c>
      <c r="R707" s="17" t="str">
        <f t="shared" si="78"/>
        <v/>
      </c>
    </row>
    <row r="708" spans="1:18" s="16" customFormat="1" ht="31.5">
      <c r="A708" s="14"/>
      <c r="B708" s="67" t="s">
        <v>509</v>
      </c>
      <c r="C708" s="116" t="s">
        <v>510</v>
      </c>
      <c r="D708" s="69" t="s">
        <v>7</v>
      </c>
      <c r="E708" s="69" t="s">
        <v>7</v>
      </c>
      <c r="F708" s="69" t="s">
        <v>8</v>
      </c>
      <c r="G708" s="69" t="s">
        <v>9</v>
      </c>
      <c r="H708" s="70">
        <f>H709+H721+H816</f>
        <v>0</v>
      </c>
      <c r="L708" s="25">
        <v>347859.82999999996</v>
      </c>
      <c r="M708" s="25">
        <v>338559.18</v>
      </c>
      <c r="N708" s="25">
        <v>338559.18</v>
      </c>
      <c r="O708" s="25">
        <f t="shared" si="81"/>
        <v>-347859.82999999996</v>
      </c>
      <c r="P708" s="25" t="e">
        <f>#REF!-M708</f>
        <v>#REF!</v>
      </c>
      <c r="Q708" s="25" t="e">
        <f>#REF!-N708</f>
        <v>#REF!</v>
      </c>
      <c r="R708" s="17" t="str">
        <f t="shared" si="78"/>
        <v>00 0 00 00000000</v>
      </c>
    </row>
    <row r="709" spans="1:18" s="16" customFormat="1" ht="15.75">
      <c r="A709" s="14"/>
      <c r="B709" s="117" t="s">
        <v>10</v>
      </c>
      <c r="C709" s="118" t="s">
        <v>510</v>
      </c>
      <c r="D709" s="119" t="s">
        <v>11</v>
      </c>
      <c r="E709" s="119" t="s">
        <v>7</v>
      </c>
      <c r="F709" s="119" t="s">
        <v>8</v>
      </c>
      <c r="G709" s="119" t="s">
        <v>9</v>
      </c>
      <c r="H709" s="120">
        <f t="shared" ref="H709:H712" si="82">H710</f>
        <v>0</v>
      </c>
      <c r="L709" s="18">
        <v>1386.7</v>
      </c>
      <c r="M709" s="18">
        <v>1386.7</v>
      </c>
      <c r="N709" s="18">
        <v>1386.7</v>
      </c>
      <c r="O709" s="18">
        <f t="shared" si="81"/>
        <v>-1386.7</v>
      </c>
      <c r="P709" s="18" t="e">
        <f>#REF!-M709</f>
        <v>#REF!</v>
      </c>
      <c r="Q709" s="18" t="e">
        <f>#REF!-N709</f>
        <v>#REF!</v>
      </c>
      <c r="R709" s="17" t="str">
        <f t="shared" si="78"/>
        <v>00 0 00 00000000</v>
      </c>
    </row>
    <row r="710" spans="1:18" s="16" customFormat="1" ht="15.75">
      <c r="A710" s="14"/>
      <c r="B710" s="121" t="s">
        <v>50</v>
      </c>
      <c r="C710" s="122" t="s">
        <v>510</v>
      </c>
      <c r="D710" s="123" t="s">
        <v>11</v>
      </c>
      <c r="E710" s="123" t="s">
        <v>51</v>
      </c>
      <c r="F710" s="123" t="s">
        <v>8</v>
      </c>
      <c r="G710" s="123" t="s">
        <v>9</v>
      </c>
      <c r="H710" s="124">
        <f t="shared" si="82"/>
        <v>0</v>
      </c>
      <c r="L710" s="19">
        <v>1386.7</v>
      </c>
      <c r="M710" s="19">
        <v>1386.7</v>
      </c>
      <c r="N710" s="19">
        <v>1386.7</v>
      </c>
      <c r="O710" s="19">
        <f t="shared" si="81"/>
        <v>-1386.7</v>
      </c>
      <c r="P710" s="19" t="e">
        <f>#REF!-M710</f>
        <v>#REF!</v>
      </c>
      <c r="Q710" s="19" t="e">
        <f>#REF!-N710</f>
        <v>#REF!</v>
      </c>
      <c r="R710" s="17" t="str">
        <f t="shared" si="78"/>
        <v>00 0 00 00000000</v>
      </c>
    </row>
    <row r="711" spans="1:18" s="16" customFormat="1" ht="63">
      <c r="A711" s="14"/>
      <c r="B711" s="125" t="s">
        <v>87</v>
      </c>
      <c r="C711" s="109" t="s">
        <v>510</v>
      </c>
      <c r="D711" s="108" t="s">
        <v>11</v>
      </c>
      <c r="E711" s="108" t="s">
        <v>51</v>
      </c>
      <c r="F711" s="108" t="s">
        <v>88</v>
      </c>
      <c r="G711" s="108" t="s">
        <v>9</v>
      </c>
      <c r="H711" s="126">
        <f t="shared" si="82"/>
        <v>0</v>
      </c>
      <c r="L711" s="20">
        <v>1386.7</v>
      </c>
      <c r="M711" s="20">
        <v>1386.7</v>
      </c>
      <c r="N711" s="20">
        <v>1386.7</v>
      </c>
      <c r="O711" s="20">
        <f t="shared" si="81"/>
        <v>-1386.7</v>
      </c>
      <c r="P711" s="20" t="e">
        <f>#REF!-M711</f>
        <v>#REF!</v>
      </c>
      <c r="Q711" s="20" t="e">
        <f>#REF!-N711</f>
        <v>#REF!</v>
      </c>
      <c r="R711" s="17" t="str">
        <f t="shared" si="78"/>
        <v>98 0 00 00000000</v>
      </c>
    </row>
    <row r="712" spans="1:18" s="16" customFormat="1" ht="15.75">
      <c r="A712" s="14"/>
      <c r="B712" s="125" t="s">
        <v>89</v>
      </c>
      <c r="C712" s="109" t="s">
        <v>510</v>
      </c>
      <c r="D712" s="108" t="s">
        <v>11</v>
      </c>
      <c r="E712" s="108" t="s">
        <v>51</v>
      </c>
      <c r="F712" s="108" t="s">
        <v>90</v>
      </c>
      <c r="G712" s="108" t="s">
        <v>9</v>
      </c>
      <c r="H712" s="126">
        <f t="shared" si="82"/>
        <v>0</v>
      </c>
      <c r="L712" s="20">
        <v>1386.7</v>
      </c>
      <c r="M712" s="20">
        <v>1386.7</v>
      </c>
      <c r="N712" s="20">
        <v>1386.7</v>
      </c>
      <c r="O712" s="20">
        <f t="shared" si="81"/>
        <v>-1386.7</v>
      </c>
      <c r="P712" s="20" t="e">
        <f>#REF!-M712</f>
        <v>#REF!</v>
      </c>
      <c r="Q712" s="20" t="e">
        <f>#REF!-N712</f>
        <v>#REF!</v>
      </c>
      <c r="R712" s="17" t="str">
        <f t="shared" si="78"/>
        <v>98 1 00 00000000</v>
      </c>
    </row>
    <row r="713" spans="1:18" s="16" customFormat="1" ht="31.5">
      <c r="A713" s="14"/>
      <c r="B713" s="125" t="s">
        <v>511</v>
      </c>
      <c r="C713" s="109" t="s">
        <v>510</v>
      </c>
      <c r="D713" s="108" t="s">
        <v>11</v>
      </c>
      <c r="E713" s="108" t="s">
        <v>51</v>
      </c>
      <c r="F713" s="108" t="s">
        <v>512</v>
      </c>
      <c r="G713" s="108" t="s">
        <v>9</v>
      </c>
      <c r="H713" s="126">
        <f>H714+H716+H717+H719</f>
        <v>0</v>
      </c>
      <c r="L713" s="20">
        <v>1386.7</v>
      </c>
      <c r="M713" s="20">
        <v>1386.7</v>
      </c>
      <c r="N713" s="20">
        <v>1386.7</v>
      </c>
      <c r="O713" s="20">
        <f t="shared" si="81"/>
        <v>-1386.7</v>
      </c>
      <c r="P713" s="20" t="e">
        <f>#REF!-M713</f>
        <v>#REF!</v>
      </c>
      <c r="Q713" s="20" t="e">
        <f>#REF!-N713</f>
        <v>#REF!</v>
      </c>
      <c r="R713" s="17" t="str">
        <f t="shared" si="78"/>
        <v>98 1 00 20110000</v>
      </c>
    </row>
    <row r="714" spans="1:18" s="16" customFormat="1" ht="31.5">
      <c r="A714" s="14"/>
      <c r="B714" s="125" t="s">
        <v>28</v>
      </c>
      <c r="C714" s="109" t="s">
        <v>510</v>
      </c>
      <c r="D714" s="108" t="s">
        <v>11</v>
      </c>
      <c r="E714" s="108" t="s">
        <v>51</v>
      </c>
      <c r="F714" s="108" t="s">
        <v>512</v>
      </c>
      <c r="G714" s="108" t="s">
        <v>29</v>
      </c>
      <c r="H714" s="126">
        <f>H715</f>
        <v>0</v>
      </c>
      <c r="L714" s="20">
        <v>1058.3</v>
      </c>
      <c r="M714" s="20">
        <v>1058.3</v>
      </c>
      <c r="N714" s="20">
        <v>1058.3</v>
      </c>
      <c r="O714" s="20">
        <f t="shared" si="81"/>
        <v>-1058.3</v>
      </c>
      <c r="P714" s="20" t="e">
        <f>#REF!-M714</f>
        <v>#REF!</v>
      </c>
      <c r="Q714" s="20" t="e">
        <f>#REF!-N714</f>
        <v>#REF!</v>
      </c>
      <c r="R714" s="17" t="str">
        <f t="shared" si="78"/>
        <v>98 1 00 20110240</v>
      </c>
    </row>
    <row r="715" spans="1:18" s="16" customFormat="1" ht="15.75">
      <c r="A715" s="14"/>
      <c r="B715" s="125" t="s">
        <v>30</v>
      </c>
      <c r="C715" s="109" t="s">
        <v>510</v>
      </c>
      <c r="D715" s="108" t="s">
        <v>11</v>
      </c>
      <c r="E715" s="108" t="s">
        <v>51</v>
      </c>
      <c r="F715" s="108" t="s">
        <v>512</v>
      </c>
      <c r="G715" s="108" t="s">
        <v>31</v>
      </c>
      <c r="H715" s="126"/>
      <c r="L715" s="20"/>
      <c r="M715" s="20"/>
      <c r="N715" s="20"/>
      <c r="O715" s="20"/>
      <c r="P715" s="20"/>
      <c r="Q715" s="20"/>
      <c r="R715" s="17" t="str">
        <f t="shared" si="78"/>
        <v>98 1 00 20110244</v>
      </c>
    </row>
    <row r="716" spans="1:18" s="16" customFormat="1" ht="15.75">
      <c r="A716" s="14"/>
      <c r="B716" s="125" t="s">
        <v>513</v>
      </c>
      <c r="C716" s="109" t="s">
        <v>510</v>
      </c>
      <c r="D716" s="108" t="s">
        <v>11</v>
      </c>
      <c r="E716" s="108" t="s">
        <v>51</v>
      </c>
      <c r="F716" s="108" t="s">
        <v>512</v>
      </c>
      <c r="G716" s="108" t="s">
        <v>514</v>
      </c>
      <c r="H716" s="126"/>
      <c r="L716" s="20">
        <v>26.4</v>
      </c>
      <c r="M716" s="20">
        <v>26.4</v>
      </c>
      <c r="N716" s="20">
        <v>26.4</v>
      </c>
      <c r="O716" s="20">
        <f>H716-L716</f>
        <v>-26.4</v>
      </c>
      <c r="P716" s="20" t="e">
        <f>#REF!-M716</f>
        <v>#REF!</v>
      </c>
      <c r="Q716" s="20" t="e">
        <f>#REF!-N716</f>
        <v>#REF!</v>
      </c>
      <c r="R716" s="17" t="str">
        <f t="shared" si="78"/>
        <v>98 1 00 20110360</v>
      </c>
    </row>
    <row r="717" spans="1:18" s="16" customFormat="1" ht="15.75">
      <c r="A717" s="14"/>
      <c r="B717" s="125" t="s">
        <v>32</v>
      </c>
      <c r="C717" s="109" t="s">
        <v>510</v>
      </c>
      <c r="D717" s="108" t="s">
        <v>11</v>
      </c>
      <c r="E717" s="108" t="s">
        <v>51</v>
      </c>
      <c r="F717" s="108" t="s">
        <v>512</v>
      </c>
      <c r="G717" s="108" t="s">
        <v>33</v>
      </c>
      <c r="H717" s="126">
        <f>H718</f>
        <v>0</v>
      </c>
      <c r="L717" s="20">
        <v>42</v>
      </c>
      <c r="M717" s="20">
        <v>42</v>
      </c>
      <c r="N717" s="20">
        <v>42</v>
      </c>
      <c r="O717" s="20">
        <f>H717-L717</f>
        <v>-42</v>
      </c>
      <c r="P717" s="20" t="e">
        <f>#REF!-M717</f>
        <v>#REF!</v>
      </c>
      <c r="Q717" s="20" t="e">
        <f>#REF!-N717</f>
        <v>#REF!</v>
      </c>
      <c r="R717" s="17" t="str">
        <f t="shared" si="78"/>
        <v>98 1 00 20110850</v>
      </c>
    </row>
    <row r="718" spans="1:18" s="23" customFormat="1" ht="15.75">
      <c r="A718" s="21"/>
      <c r="B718" s="127" t="s">
        <v>77</v>
      </c>
      <c r="C718" s="109" t="s">
        <v>510</v>
      </c>
      <c r="D718" s="108" t="s">
        <v>11</v>
      </c>
      <c r="E718" s="108" t="s">
        <v>51</v>
      </c>
      <c r="F718" s="108" t="s">
        <v>512</v>
      </c>
      <c r="G718" s="108" t="s">
        <v>78</v>
      </c>
      <c r="H718" s="126"/>
      <c r="L718" s="22"/>
      <c r="M718" s="22"/>
      <c r="N718" s="22"/>
      <c r="O718" s="22"/>
      <c r="P718" s="22"/>
      <c r="Q718" s="22"/>
      <c r="R718" s="24"/>
    </row>
    <row r="719" spans="1:18" s="16" customFormat="1" ht="31.5">
      <c r="A719" s="14"/>
      <c r="B719" s="125" t="s">
        <v>515</v>
      </c>
      <c r="C719" s="109" t="s">
        <v>510</v>
      </c>
      <c r="D719" s="108" t="s">
        <v>11</v>
      </c>
      <c r="E719" s="108" t="s">
        <v>51</v>
      </c>
      <c r="F719" s="108" t="s">
        <v>512</v>
      </c>
      <c r="G719" s="108" t="s">
        <v>516</v>
      </c>
      <c r="H719" s="126">
        <f>H720</f>
        <v>0</v>
      </c>
      <c r="L719" s="20">
        <v>260</v>
      </c>
      <c r="M719" s="20">
        <v>260</v>
      </c>
      <c r="N719" s="20">
        <v>260</v>
      </c>
      <c r="O719" s="20">
        <f>H719-L719</f>
        <v>-260</v>
      </c>
      <c r="P719" s="20" t="e">
        <f>#REF!-M719</f>
        <v>#REF!</v>
      </c>
      <c r="Q719" s="20" t="e">
        <f>#REF!-N719</f>
        <v>#REF!</v>
      </c>
      <c r="R719" s="17" t="str">
        <f t="shared" si="78"/>
        <v>98 1 00 20110860</v>
      </c>
    </row>
    <row r="720" spans="1:18" s="16" customFormat="1" ht="15.75">
      <c r="A720" s="14"/>
      <c r="B720" s="127" t="s">
        <v>517</v>
      </c>
      <c r="C720" s="109" t="s">
        <v>510</v>
      </c>
      <c r="D720" s="108" t="s">
        <v>11</v>
      </c>
      <c r="E720" s="108" t="s">
        <v>51</v>
      </c>
      <c r="F720" s="108" t="s">
        <v>512</v>
      </c>
      <c r="G720" s="108" t="s">
        <v>518</v>
      </c>
      <c r="H720" s="126"/>
      <c r="L720" s="20"/>
      <c r="M720" s="20"/>
      <c r="N720" s="20"/>
      <c r="O720" s="20"/>
      <c r="P720" s="20"/>
      <c r="Q720" s="20"/>
      <c r="R720" s="17"/>
    </row>
    <row r="721" spans="1:18" s="16" customFormat="1" ht="15.75">
      <c r="A721" s="14"/>
      <c r="B721" s="117" t="s">
        <v>228</v>
      </c>
      <c r="C721" s="118" t="s">
        <v>510</v>
      </c>
      <c r="D721" s="119" t="s">
        <v>229</v>
      </c>
      <c r="E721" s="119" t="s">
        <v>7</v>
      </c>
      <c r="F721" s="119" t="s">
        <v>8</v>
      </c>
      <c r="G721" s="119" t="s">
        <v>9</v>
      </c>
      <c r="H721" s="120">
        <f>H722+H773</f>
        <v>0</v>
      </c>
      <c r="L721" s="18">
        <v>151254.91</v>
      </c>
      <c r="M721" s="18">
        <v>141348.04999999999</v>
      </c>
      <c r="N721" s="18">
        <v>140686.62</v>
      </c>
      <c r="O721" s="18">
        <f t="shared" ref="O721:O727" si="83">H721-L721</f>
        <v>-151254.91</v>
      </c>
      <c r="P721" s="18" t="e">
        <f>#REF!-M721</f>
        <v>#REF!</v>
      </c>
      <c r="Q721" s="18" t="e">
        <f>#REF!-N721</f>
        <v>#REF!</v>
      </c>
      <c r="R721" s="17" t="str">
        <f t="shared" si="78"/>
        <v>00 0 00 00000000</v>
      </c>
    </row>
    <row r="722" spans="1:18" s="16" customFormat="1" ht="15.75">
      <c r="A722" s="14"/>
      <c r="B722" s="121" t="s">
        <v>458</v>
      </c>
      <c r="C722" s="122" t="s">
        <v>510</v>
      </c>
      <c r="D722" s="123" t="s">
        <v>229</v>
      </c>
      <c r="E722" s="123" t="s">
        <v>13</v>
      </c>
      <c r="F722" s="123" t="s">
        <v>8</v>
      </c>
      <c r="G722" s="123" t="s">
        <v>9</v>
      </c>
      <c r="H722" s="124">
        <f>H723+H752+H760+H766</f>
        <v>0</v>
      </c>
      <c r="L722" s="19">
        <v>141211.71</v>
      </c>
      <c r="M722" s="19">
        <v>131694.84999999998</v>
      </c>
      <c r="N722" s="19">
        <v>131033.42</v>
      </c>
      <c r="O722" s="19">
        <f t="shared" si="83"/>
        <v>-141211.71</v>
      </c>
      <c r="P722" s="19" t="e">
        <f>#REF!-M722</f>
        <v>#REF!</v>
      </c>
      <c r="Q722" s="19" t="e">
        <f>#REF!-N722</f>
        <v>#REF!</v>
      </c>
      <c r="R722" s="17" t="str">
        <f t="shared" si="78"/>
        <v>00 0 00 00000000</v>
      </c>
    </row>
    <row r="723" spans="1:18" s="16" customFormat="1" ht="31.5">
      <c r="A723" s="14"/>
      <c r="B723" s="125" t="s">
        <v>240</v>
      </c>
      <c r="C723" s="109" t="s">
        <v>510</v>
      </c>
      <c r="D723" s="108" t="s">
        <v>229</v>
      </c>
      <c r="E723" s="108" t="s">
        <v>13</v>
      </c>
      <c r="F723" s="108" t="s">
        <v>241</v>
      </c>
      <c r="G723" s="108" t="s">
        <v>9</v>
      </c>
      <c r="H723" s="126">
        <f>H724+H731</f>
        <v>0</v>
      </c>
      <c r="L723" s="20">
        <v>140126.66</v>
      </c>
      <c r="M723" s="20">
        <v>130609.79999999999</v>
      </c>
      <c r="N723" s="20">
        <v>129948.37</v>
      </c>
      <c r="O723" s="20">
        <f t="shared" si="83"/>
        <v>-140126.66</v>
      </c>
      <c r="P723" s="20" t="e">
        <f>#REF!-M723</f>
        <v>#REF!</v>
      </c>
      <c r="Q723" s="20" t="e">
        <f>#REF!-N723</f>
        <v>#REF!</v>
      </c>
      <c r="R723" s="17" t="str">
        <f t="shared" si="78"/>
        <v>07 0 00 00000000</v>
      </c>
    </row>
    <row r="724" spans="1:18" s="16" customFormat="1" ht="78.75">
      <c r="A724" s="14"/>
      <c r="B724" s="125" t="s">
        <v>242</v>
      </c>
      <c r="C724" s="109" t="s">
        <v>510</v>
      </c>
      <c r="D724" s="108" t="s">
        <v>229</v>
      </c>
      <c r="E724" s="108" t="s">
        <v>13</v>
      </c>
      <c r="F724" s="108" t="s">
        <v>243</v>
      </c>
      <c r="G724" s="108" t="s">
        <v>9</v>
      </c>
      <c r="H724" s="126">
        <f t="shared" ref="H724:H725" si="84">H725</f>
        <v>0</v>
      </c>
      <c r="L724" s="20">
        <v>361.5</v>
      </c>
      <c r="M724" s="20">
        <v>361.5</v>
      </c>
      <c r="N724" s="20">
        <v>361.5</v>
      </c>
      <c r="O724" s="20">
        <f t="shared" si="83"/>
        <v>-361.5</v>
      </c>
      <c r="P724" s="20" t="e">
        <f>#REF!-M724</f>
        <v>#REF!</v>
      </c>
      <c r="Q724" s="20" t="e">
        <f>#REF!-N724</f>
        <v>#REF!</v>
      </c>
      <c r="R724" s="17" t="str">
        <f t="shared" si="78"/>
        <v>07 1 00 00000000</v>
      </c>
    </row>
    <row r="725" spans="1:18" s="16" customFormat="1" ht="110.25">
      <c r="A725" s="14"/>
      <c r="B725" s="125" t="s">
        <v>244</v>
      </c>
      <c r="C725" s="109" t="s">
        <v>510</v>
      </c>
      <c r="D725" s="108" t="s">
        <v>229</v>
      </c>
      <c r="E725" s="108" t="s">
        <v>13</v>
      </c>
      <c r="F725" s="108" t="s">
        <v>245</v>
      </c>
      <c r="G725" s="108" t="s">
        <v>9</v>
      </c>
      <c r="H725" s="126">
        <f t="shared" si="84"/>
        <v>0</v>
      </c>
      <c r="L725" s="20">
        <v>361.5</v>
      </c>
      <c r="M725" s="20">
        <v>361.5</v>
      </c>
      <c r="N725" s="20">
        <v>361.5</v>
      </c>
      <c r="O725" s="20">
        <f t="shared" si="83"/>
        <v>-361.5</v>
      </c>
      <c r="P725" s="20" t="e">
        <f>#REF!-M725</f>
        <v>#REF!</v>
      </c>
      <c r="Q725" s="20" t="e">
        <f>#REF!-N725</f>
        <v>#REF!</v>
      </c>
      <c r="R725" s="17" t="str">
        <f t="shared" si="78"/>
        <v>07 1 01 00000000</v>
      </c>
    </row>
    <row r="726" spans="1:18" s="16" customFormat="1" ht="31.5">
      <c r="A726" s="14"/>
      <c r="B726" s="125" t="s">
        <v>246</v>
      </c>
      <c r="C726" s="109" t="s">
        <v>510</v>
      </c>
      <c r="D726" s="108" t="s">
        <v>229</v>
      </c>
      <c r="E726" s="108" t="s">
        <v>13</v>
      </c>
      <c r="F726" s="108" t="s">
        <v>247</v>
      </c>
      <c r="G726" s="108" t="s">
        <v>9</v>
      </c>
      <c r="H726" s="126">
        <f>H727+H729</f>
        <v>0</v>
      </c>
      <c r="L726" s="20">
        <v>361.5</v>
      </c>
      <c r="M726" s="20">
        <v>361.5</v>
      </c>
      <c r="N726" s="20">
        <v>361.5</v>
      </c>
      <c r="O726" s="20">
        <f t="shared" si="83"/>
        <v>-361.5</v>
      </c>
      <c r="P726" s="20" t="e">
        <f>#REF!-M726</f>
        <v>#REF!</v>
      </c>
      <c r="Q726" s="20" t="e">
        <f>#REF!-N726</f>
        <v>#REF!</v>
      </c>
      <c r="R726" s="17" t="str">
        <f t="shared" si="78"/>
        <v>07 1 01 20060000</v>
      </c>
    </row>
    <row r="727" spans="1:18" s="16" customFormat="1" ht="15.75">
      <c r="A727" s="14"/>
      <c r="B727" s="132" t="s">
        <v>403</v>
      </c>
      <c r="C727" s="109" t="s">
        <v>510</v>
      </c>
      <c r="D727" s="108" t="s">
        <v>229</v>
      </c>
      <c r="E727" s="108" t="s">
        <v>13</v>
      </c>
      <c r="F727" s="108" t="s">
        <v>247</v>
      </c>
      <c r="G727" s="108" t="s">
        <v>404</v>
      </c>
      <c r="H727" s="126">
        <f>H728</f>
        <v>0</v>
      </c>
      <c r="L727" s="20">
        <v>296.5</v>
      </c>
      <c r="M727" s="20">
        <v>296.5</v>
      </c>
      <c r="N727" s="20">
        <v>296.5</v>
      </c>
      <c r="O727" s="20">
        <f t="shared" si="83"/>
        <v>-296.5</v>
      </c>
      <c r="P727" s="20" t="e">
        <f>#REF!-M727</f>
        <v>#REF!</v>
      </c>
      <c r="Q727" s="20" t="e">
        <f>#REF!-N727</f>
        <v>#REF!</v>
      </c>
      <c r="R727" s="17" t="str">
        <f t="shared" si="78"/>
        <v>07 1 01 20060610</v>
      </c>
    </row>
    <row r="728" spans="1:18" s="23" customFormat="1" ht="63">
      <c r="A728" s="21"/>
      <c r="B728" s="127" t="s">
        <v>405</v>
      </c>
      <c r="C728" s="109" t="s">
        <v>510</v>
      </c>
      <c r="D728" s="108" t="s">
        <v>229</v>
      </c>
      <c r="E728" s="108" t="s">
        <v>13</v>
      </c>
      <c r="F728" s="108" t="s">
        <v>247</v>
      </c>
      <c r="G728" s="108" t="s">
        <v>406</v>
      </c>
      <c r="H728" s="126"/>
      <c r="L728" s="22"/>
      <c r="M728" s="22"/>
      <c r="N728" s="22"/>
      <c r="O728" s="22"/>
      <c r="P728" s="22"/>
      <c r="Q728" s="22"/>
      <c r="R728" s="24"/>
    </row>
    <row r="729" spans="1:18" s="16" customFormat="1" ht="15.75">
      <c r="A729" s="14"/>
      <c r="B729" s="140" t="s">
        <v>409</v>
      </c>
      <c r="C729" s="109" t="s">
        <v>510</v>
      </c>
      <c r="D729" s="108" t="s">
        <v>229</v>
      </c>
      <c r="E729" s="108" t="s">
        <v>13</v>
      </c>
      <c r="F729" s="108" t="s">
        <v>247</v>
      </c>
      <c r="G729" s="108" t="s">
        <v>410</v>
      </c>
      <c r="H729" s="126">
        <f>H730</f>
        <v>0</v>
      </c>
      <c r="L729" s="20">
        <v>65</v>
      </c>
      <c r="M729" s="20">
        <v>65</v>
      </c>
      <c r="N729" s="20">
        <v>65</v>
      </c>
      <c r="O729" s="20">
        <f>H729-L729</f>
        <v>-65</v>
      </c>
      <c r="P729" s="20" t="e">
        <f>#REF!-M729</f>
        <v>#REF!</v>
      </c>
      <c r="Q729" s="20" t="e">
        <f>#REF!-N729</f>
        <v>#REF!</v>
      </c>
      <c r="R729" s="17" t="str">
        <f t="shared" si="78"/>
        <v>07 1 01 20060620</v>
      </c>
    </row>
    <row r="730" spans="1:18" s="23" customFormat="1" ht="63">
      <c r="A730" s="21"/>
      <c r="B730" s="127" t="s">
        <v>411</v>
      </c>
      <c r="C730" s="109" t="s">
        <v>510</v>
      </c>
      <c r="D730" s="108" t="s">
        <v>229</v>
      </c>
      <c r="E730" s="108" t="s">
        <v>13</v>
      </c>
      <c r="F730" s="108" t="s">
        <v>247</v>
      </c>
      <c r="G730" s="108" t="s">
        <v>412</v>
      </c>
      <c r="H730" s="126"/>
      <c r="L730" s="22"/>
      <c r="M730" s="22"/>
      <c r="N730" s="22"/>
      <c r="O730" s="22"/>
      <c r="P730" s="22"/>
      <c r="Q730" s="22"/>
      <c r="R730" s="24"/>
    </row>
    <row r="731" spans="1:18" s="16" customFormat="1" ht="15.75">
      <c r="A731" s="14"/>
      <c r="B731" s="125" t="s">
        <v>519</v>
      </c>
      <c r="C731" s="109" t="s">
        <v>510</v>
      </c>
      <c r="D731" s="108" t="s">
        <v>229</v>
      </c>
      <c r="E731" s="108" t="s">
        <v>13</v>
      </c>
      <c r="F731" s="108" t="s">
        <v>520</v>
      </c>
      <c r="G731" s="108" t="s">
        <v>9</v>
      </c>
      <c r="H731" s="126">
        <f>H732+H738+H742+H748</f>
        <v>0</v>
      </c>
      <c r="L731" s="20">
        <v>139765.16</v>
      </c>
      <c r="M731" s="20">
        <v>130248.29999999999</v>
      </c>
      <c r="N731" s="20">
        <v>129586.87</v>
      </c>
      <c r="O731" s="20">
        <f>H731-L731</f>
        <v>-139765.16</v>
      </c>
      <c r="P731" s="20" t="e">
        <f>#REF!-M731</f>
        <v>#REF!</v>
      </c>
      <c r="Q731" s="20" t="e">
        <f>#REF!-N731</f>
        <v>#REF!</v>
      </c>
      <c r="R731" s="17" t="str">
        <f t="shared" si="78"/>
        <v>07 2 00 00000000</v>
      </c>
    </row>
    <row r="732" spans="1:18" s="16" customFormat="1" ht="63">
      <c r="A732" s="14"/>
      <c r="B732" s="125" t="s">
        <v>521</v>
      </c>
      <c r="C732" s="109" t="s">
        <v>510</v>
      </c>
      <c r="D732" s="108" t="s">
        <v>229</v>
      </c>
      <c r="E732" s="108" t="s">
        <v>13</v>
      </c>
      <c r="F732" s="108" t="s">
        <v>522</v>
      </c>
      <c r="G732" s="108" t="s">
        <v>9</v>
      </c>
      <c r="H732" s="126">
        <f>H733</f>
        <v>0</v>
      </c>
      <c r="L732" s="20">
        <v>137429.12</v>
      </c>
      <c r="M732" s="20">
        <v>129218.47</v>
      </c>
      <c r="N732" s="20">
        <v>129218.47</v>
      </c>
      <c r="O732" s="20">
        <f>H732-L732</f>
        <v>-137429.12</v>
      </c>
      <c r="P732" s="20" t="e">
        <f>#REF!-M732</f>
        <v>#REF!</v>
      </c>
      <c r="Q732" s="20" t="e">
        <f>#REF!-N732</f>
        <v>#REF!</v>
      </c>
      <c r="R732" s="17" t="str">
        <f t="shared" si="78"/>
        <v>07 2 01 00000000</v>
      </c>
    </row>
    <row r="733" spans="1:18" s="16" customFormat="1" ht="31.5">
      <c r="A733" s="14"/>
      <c r="B733" s="125" t="s">
        <v>136</v>
      </c>
      <c r="C733" s="109" t="s">
        <v>510</v>
      </c>
      <c r="D733" s="108" t="s">
        <v>229</v>
      </c>
      <c r="E733" s="108" t="s">
        <v>13</v>
      </c>
      <c r="F733" s="108" t="s">
        <v>523</v>
      </c>
      <c r="G733" s="108" t="s">
        <v>9</v>
      </c>
      <c r="H733" s="126">
        <f>H734+H736</f>
        <v>0</v>
      </c>
      <c r="L733" s="20">
        <v>137429.12</v>
      </c>
      <c r="M733" s="20">
        <v>129218.47</v>
      </c>
      <c r="N733" s="20">
        <v>129218.47</v>
      </c>
      <c r="O733" s="20">
        <f>H733-L733</f>
        <v>-137429.12</v>
      </c>
      <c r="P733" s="20" t="e">
        <f>#REF!-M733</f>
        <v>#REF!</v>
      </c>
      <c r="Q733" s="20" t="e">
        <f>#REF!-N733</f>
        <v>#REF!</v>
      </c>
      <c r="R733" s="17" t="str">
        <f t="shared" si="78"/>
        <v>07 2 01 11010000</v>
      </c>
    </row>
    <row r="734" spans="1:18" s="16" customFormat="1" ht="15.75">
      <c r="A734" s="14"/>
      <c r="B734" s="125" t="s">
        <v>403</v>
      </c>
      <c r="C734" s="109" t="s">
        <v>510</v>
      </c>
      <c r="D734" s="108" t="s">
        <v>229</v>
      </c>
      <c r="E734" s="108" t="s">
        <v>13</v>
      </c>
      <c r="F734" s="108" t="s">
        <v>523</v>
      </c>
      <c r="G734" s="108" t="s">
        <v>404</v>
      </c>
      <c r="H734" s="126">
        <f>H735</f>
        <v>0</v>
      </c>
      <c r="L734" s="20">
        <v>121624.62</v>
      </c>
      <c r="M734" s="20">
        <v>114674.89</v>
      </c>
      <c r="N734" s="20">
        <v>114674.89</v>
      </c>
      <c r="O734" s="20">
        <f>H734-L734</f>
        <v>-121624.62</v>
      </c>
      <c r="P734" s="20" t="e">
        <f>#REF!-M734</f>
        <v>#REF!</v>
      </c>
      <c r="Q734" s="20" t="e">
        <f>#REF!-N734</f>
        <v>#REF!</v>
      </c>
      <c r="R734" s="17" t="str">
        <f t="shared" si="78"/>
        <v>07 2 01 11010610</v>
      </c>
    </row>
    <row r="735" spans="1:18" s="23" customFormat="1" ht="63">
      <c r="A735" s="21"/>
      <c r="B735" s="127" t="s">
        <v>405</v>
      </c>
      <c r="C735" s="109" t="s">
        <v>510</v>
      </c>
      <c r="D735" s="108" t="s">
        <v>229</v>
      </c>
      <c r="E735" s="108" t="s">
        <v>13</v>
      </c>
      <c r="F735" s="108" t="s">
        <v>523</v>
      </c>
      <c r="G735" s="108" t="s">
        <v>406</v>
      </c>
      <c r="H735" s="126"/>
      <c r="L735" s="22"/>
      <c r="M735" s="22"/>
      <c r="N735" s="22"/>
      <c r="O735" s="22"/>
      <c r="P735" s="22"/>
      <c r="Q735" s="22"/>
      <c r="R735" s="24"/>
    </row>
    <row r="736" spans="1:18" s="17" customFormat="1" ht="15.75">
      <c r="A736" s="14"/>
      <c r="B736" s="125" t="s">
        <v>409</v>
      </c>
      <c r="C736" s="109" t="s">
        <v>510</v>
      </c>
      <c r="D736" s="108" t="s">
        <v>229</v>
      </c>
      <c r="E736" s="108" t="s">
        <v>13</v>
      </c>
      <c r="F736" s="108" t="s">
        <v>523</v>
      </c>
      <c r="G736" s="108" t="s">
        <v>410</v>
      </c>
      <c r="H736" s="126">
        <f>H737</f>
        <v>0</v>
      </c>
      <c r="L736" s="20">
        <v>15804.5</v>
      </c>
      <c r="M736" s="20">
        <v>14543.58</v>
      </c>
      <c r="N736" s="20">
        <v>14543.58</v>
      </c>
      <c r="O736" s="20">
        <f>H736-L736</f>
        <v>-15804.5</v>
      </c>
      <c r="P736" s="20" t="e">
        <f>#REF!-M736</f>
        <v>#REF!</v>
      </c>
      <c r="Q736" s="20" t="e">
        <f>#REF!-N736</f>
        <v>#REF!</v>
      </c>
      <c r="R736" s="17" t="str">
        <f t="shared" si="78"/>
        <v>07 2 01 11010620</v>
      </c>
    </row>
    <row r="737" spans="1:18" s="24" customFormat="1" ht="63">
      <c r="A737" s="21"/>
      <c r="B737" s="127" t="s">
        <v>411</v>
      </c>
      <c r="C737" s="109" t="s">
        <v>510</v>
      </c>
      <c r="D737" s="108" t="s">
        <v>229</v>
      </c>
      <c r="E737" s="108" t="s">
        <v>13</v>
      </c>
      <c r="F737" s="108" t="s">
        <v>523</v>
      </c>
      <c r="G737" s="108" t="s">
        <v>412</v>
      </c>
      <c r="H737" s="126"/>
      <c r="L737" s="22"/>
      <c r="M737" s="22"/>
      <c r="N737" s="22"/>
      <c r="O737" s="22"/>
      <c r="P737" s="22"/>
      <c r="Q737" s="22"/>
    </row>
    <row r="738" spans="1:18" s="16" customFormat="1" ht="126">
      <c r="A738" s="14"/>
      <c r="B738" s="132" t="s">
        <v>528</v>
      </c>
      <c r="C738" s="109" t="s">
        <v>510</v>
      </c>
      <c r="D738" s="108" t="s">
        <v>229</v>
      </c>
      <c r="E738" s="108" t="s">
        <v>13</v>
      </c>
      <c r="F738" s="108" t="s">
        <v>529</v>
      </c>
      <c r="G738" s="108" t="s">
        <v>9</v>
      </c>
      <c r="H738" s="126">
        <f t="shared" ref="H738:H739" si="85">H739</f>
        <v>0</v>
      </c>
      <c r="L738" s="20">
        <v>955.2</v>
      </c>
      <c r="M738" s="20">
        <v>150</v>
      </c>
      <c r="N738" s="20">
        <v>150</v>
      </c>
      <c r="O738" s="20">
        <f>H738-L738</f>
        <v>-955.2</v>
      </c>
      <c r="P738" s="20" t="e">
        <f>#REF!-M738</f>
        <v>#REF!</v>
      </c>
      <c r="Q738" s="20" t="e">
        <f>#REF!-N738</f>
        <v>#REF!</v>
      </c>
      <c r="R738" s="17" t="str">
        <f t="shared" si="78"/>
        <v>07 2 08 00000000</v>
      </c>
    </row>
    <row r="739" spans="1:18" s="16" customFormat="1" ht="126">
      <c r="A739" s="14"/>
      <c r="B739" s="125" t="s">
        <v>530</v>
      </c>
      <c r="C739" s="109" t="s">
        <v>510</v>
      </c>
      <c r="D739" s="108" t="s">
        <v>229</v>
      </c>
      <c r="E739" s="108" t="s">
        <v>13</v>
      </c>
      <c r="F739" s="108" t="s">
        <v>531</v>
      </c>
      <c r="G739" s="108" t="s">
        <v>9</v>
      </c>
      <c r="H739" s="126">
        <f t="shared" si="85"/>
        <v>0</v>
      </c>
      <c r="L739" s="20">
        <v>955.2</v>
      </c>
      <c r="M739" s="20">
        <v>150</v>
      </c>
      <c r="N739" s="20">
        <v>150</v>
      </c>
      <c r="O739" s="20">
        <f>H739-L739</f>
        <v>-955.2</v>
      </c>
      <c r="P739" s="20" t="e">
        <f>#REF!-M739</f>
        <v>#REF!</v>
      </c>
      <c r="Q739" s="20" t="e">
        <f>#REF!-N739</f>
        <v>#REF!</v>
      </c>
      <c r="R739" s="17" t="str">
        <f t="shared" si="78"/>
        <v>07 2 08 21230000</v>
      </c>
    </row>
    <row r="740" spans="1:18" s="16" customFormat="1" ht="15.75">
      <c r="A740" s="14"/>
      <c r="B740" s="132" t="s">
        <v>403</v>
      </c>
      <c r="C740" s="109" t="s">
        <v>510</v>
      </c>
      <c r="D740" s="108" t="s">
        <v>229</v>
      </c>
      <c r="E740" s="108" t="s">
        <v>13</v>
      </c>
      <c r="F740" s="108" t="s">
        <v>531</v>
      </c>
      <c r="G740" s="108" t="s">
        <v>404</v>
      </c>
      <c r="H740" s="126">
        <f>H741</f>
        <v>0</v>
      </c>
      <c r="L740" s="20">
        <v>955.2</v>
      </c>
      <c r="M740" s="20">
        <v>150</v>
      </c>
      <c r="N740" s="20">
        <v>150</v>
      </c>
      <c r="O740" s="20">
        <f>H740-L740</f>
        <v>-955.2</v>
      </c>
      <c r="P740" s="20" t="e">
        <f>#REF!-M740</f>
        <v>#REF!</v>
      </c>
      <c r="Q740" s="20" t="e">
        <f>#REF!-N740</f>
        <v>#REF!</v>
      </c>
      <c r="R740" s="17" t="str">
        <f t="shared" si="78"/>
        <v>07 2 08 21230610</v>
      </c>
    </row>
    <row r="741" spans="1:18" s="23" customFormat="1" ht="15.75">
      <c r="A741" s="21"/>
      <c r="B741" s="127" t="s">
        <v>407</v>
      </c>
      <c r="C741" s="109" t="s">
        <v>510</v>
      </c>
      <c r="D741" s="108" t="s">
        <v>229</v>
      </c>
      <c r="E741" s="108" t="s">
        <v>13</v>
      </c>
      <c r="F741" s="108" t="s">
        <v>531</v>
      </c>
      <c r="G741" s="108" t="s">
        <v>408</v>
      </c>
      <c r="H741" s="126"/>
      <c r="L741" s="22"/>
      <c r="M741" s="22"/>
      <c r="N741" s="22"/>
      <c r="O741" s="22"/>
      <c r="P741" s="22"/>
      <c r="Q741" s="22"/>
      <c r="R741" s="24"/>
    </row>
    <row r="742" spans="1:18" s="16" customFormat="1" ht="47.25">
      <c r="A742" s="14"/>
      <c r="B742" s="132" t="s">
        <v>532</v>
      </c>
      <c r="C742" s="109" t="s">
        <v>510</v>
      </c>
      <c r="D742" s="108" t="s">
        <v>229</v>
      </c>
      <c r="E742" s="108" t="s">
        <v>13</v>
      </c>
      <c r="F742" s="108" t="s">
        <v>533</v>
      </c>
      <c r="G742" s="108" t="s">
        <v>9</v>
      </c>
      <c r="H742" s="126">
        <f>H743</f>
        <v>0</v>
      </c>
      <c r="L742" s="20">
        <v>218.4</v>
      </c>
      <c r="M742" s="20">
        <v>218.4</v>
      </c>
      <c r="N742" s="20">
        <v>218.4</v>
      </c>
      <c r="O742" s="20">
        <f>H742-L742</f>
        <v>-218.4</v>
      </c>
      <c r="P742" s="20" t="e">
        <f>#REF!-M742</f>
        <v>#REF!</v>
      </c>
      <c r="Q742" s="20" t="e">
        <f>#REF!-N742</f>
        <v>#REF!</v>
      </c>
      <c r="R742" s="17" t="str">
        <f t="shared" si="78"/>
        <v>07 2 09 00000000</v>
      </c>
    </row>
    <row r="743" spans="1:18" s="16" customFormat="1" ht="47.25">
      <c r="A743" s="14"/>
      <c r="B743" s="132" t="s">
        <v>534</v>
      </c>
      <c r="C743" s="109" t="s">
        <v>510</v>
      </c>
      <c r="D743" s="108" t="s">
        <v>229</v>
      </c>
      <c r="E743" s="108" t="s">
        <v>13</v>
      </c>
      <c r="F743" s="108" t="s">
        <v>535</v>
      </c>
      <c r="G743" s="108" t="s">
        <v>9</v>
      </c>
      <c r="H743" s="126">
        <f>H744+H746</f>
        <v>0</v>
      </c>
      <c r="L743" s="20">
        <v>218.4</v>
      </c>
      <c r="M743" s="20">
        <v>218.4</v>
      </c>
      <c r="N743" s="20">
        <v>218.4</v>
      </c>
      <c r="O743" s="20">
        <f>H743-L743</f>
        <v>-218.4</v>
      </c>
      <c r="P743" s="20" t="e">
        <f>#REF!-M743</f>
        <v>#REF!</v>
      </c>
      <c r="Q743" s="20" t="e">
        <f>#REF!-N743</f>
        <v>#REF!</v>
      </c>
      <c r="R743" s="17" t="str">
        <f t="shared" si="78"/>
        <v>07 2 09 21280000</v>
      </c>
    </row>
    <row r="744" spans="1:18" s="16" customFormat="1" ht="15.75">
      <c r="A744" s="14"/>
      <c r="B744" s="132" t="s">
        <v>403</v>
      </c>
      <c r="C744" s="109" t="s">
        <v>510</v>
      </c>
      <c r="D744" s="108" t="s">
        <v>229</v>
      </c>
      <c r="E744" s="108" t="s">
        <v>13</v>
      </c>
      <c r="F744" s="108" t="s">
        <v>535</v>
      </c>
      <c r="G744" s="108" t="s">
        <v>404</v>
      </c>
      <c r="H744" s="126">
        <f>H745</f>
        <v>0</v>
      </c>
      <c r="L744" s="20">
        <v>163.80000000000001</v>
      </c>
      <c r="M744" s="20">
        <v>163.80000000000001</v>
      </c>
      <c r="N744" s="20">
        <v>163.80000000000001</v>
      </c>
      <c r="O744" s="20">
        <f>H744-L744</f>
        <v>-163.80000000000001</v>
      </c>
      <c r="P744" s="20" t="e">
        <f>#REF!-M744</f>
        <v>#REF!</v>
      </c>
      <c r="Q744" s="20" t="e">
        <f>#REF!-N744</f>
        <v>#REF!</v>
      </c>
      <c r="R744" s="17" t="str">
        <f t="shared" si="78"/>
        <v>07 2 09 21280610</v>
      </c>
    </row>
    <row r="745" spans="1:18" s="23" customFormat="1" ht="15.75">
      <c r="A745" s="21"/>
      <c r="B745" s="127" t="s">
        <v>407</v>
      </c>
      <c r="C745" s="109" t="s">
        <v>510</v>
      </c>
      <c r="D745" s="108" t="s">
        <v>229</v>
      </c>
      <c r="E745" s="108" t="s">
        <v>13</v>
      </c>
      <c r="F745" s="108" t="s">
        <v>535</v>
      </c>
      <c r="G745" s="108" t="s">
        <v>408</v>
      </c>
      <c r="H745" s="126"/>
      <c r="L745" s="22"/>
      <c r="M745" s="22"/>
      <c r="N745" s="22"/>
      <c r="O745" s="22"/>
      <c r="P745" s="22"/>
      <c r="Q745" s="22"/>
      <c r="R745" s="24"/>
    </row>
    <row r="746" spans="1:18" s="16" customFormat="1" ht="15.75">
      <c r="A746" s="14"/>
      <c r="B746" s="132" t="s">
        <v>409</v>
      </c>
      <c r="C746" s="109" t="s">
        <v>510</v>
      </c>
      <c r="D746" s="108" t="s">
        <v>229</v>
      </c>
      <c r="E746" s="108" t="s">
        <v>13</v>
      </c>
      <c r="F746" s="108" t="s">
        <v>535</v>
      </c>
      <c r="G746" s="108" t="s">
        <v>410</v>
      </c>
      <c r="H746" s="126">
        <f>H747</f>
        <v>0</v>
      </c>
      <c r="L746" s="20">
        <v>54.6</v>
      </c>
      <c r="M746" s="20">
        <v>54.6</v>
      </c>
      <c r="N746" s="20">
        <v>54.6</v>
      </c>
      <c r="O746" s="20">
        <f>H746-L746</f>
        <v>-54.6</v>
      </c>
      <c r="P746" s="20" t="e">
        <f>#REF!-M746</f>
        <v>#REF!</v>
      </c>
      <c r="Q746" s="20" t="e">
        <f>#REF!-N746</f>
        <v>#REF!</v>
      </c>
      <c r="R746" s="17" t="str">
        <f t="shared" si="78"/>
        <v>07 2 09 21280620</v>
      </c>
    </row>
    <row r="747" spans="1:18" s="23" customFormat="1" ht="15.75">
      <c r="A747" s="21"/>
      <c r="B747" s="127" t="s">
        <v>428</v>
      </c>
      <c r="C747" s="109" t="s">
        <v>510</v>
      </c>
      <c r="D747" s="108" t="s">
        <v>229</v>
      </c>
      <c r="E747" s="108" t="s">
        <v>13</v>
      </c>
      <c r="F747" s="108" t="s">
        <v>535</v>
      </c>
      <c r="G747" s="108" t="s">
        <v>429</v>
      </c>
      <c r="H747" s="126"/>
      <c r="L747" s="22"/>
      <c r="M747" s="22"/>
      <c r="N747" s="22"/>
      <c r="O747" s="22"/>
      <c r="P747" s="22"/>
      <c r="Q747" s="22"/>
      <c r="R747" s="24"/>
    </row>
    <row r="748" spans="1:18" s="16" customFormat="1" ht="78.75">
      <c r="A748" s="14"/>
      <c r="B748" s="132" t="s">
        <v>536</v>
      </c>
      <c r="C748" s="109" t="s">
        <v>510</v>
      </c>
      <c r="D748" s="108" t="s">
        <v>229</v>
      </c>
      <c r="E748" s="108" t="s">
        <v>13</v>
      </c>
      <c r="F748" s="108" t="s">
        <v>537</v>
      </c>
      <c r="G748" s="108" t="s">
        <v>9</v>
      </c>
      <c r="H748" s="126">
        <f>H749</f>
        <v>0</v>
      </c>
      <c r="L748" s="20">
        <v>1162.44</v>
      </c>
      <c r="M748" s="20">
        <v>0</v>
      </c>
      <c r="N748" s="20">
        <v>0</v>
      </c>
      <c r="O748" s="20">
        <f>H748-L748</f>
        <v>-1162.44</v>
      </c>
      <c r="P748" s="20" t="e">
        <f>#REF!-M748</f>
        <v>#REF!</v>
      </c>
      <c r="Q748" s="20" t="e">
        <f>#REF!-N748</f>
        <v>#REF!</v>
      </c>
      <c r="R748" s="17" t="str">
        <f t="shared" si="78"/>
        <v>07 2 12 00000000</v>
      </c>
    </row>
    <row r="749" spans="1:18" s="16" customFormat="1" ht="47.25">
      <c r="A749" s="14"/>
      <c r="B749" s="138" t="s">
        <v>538</v>
      </c>
      <c r="C749" s="109" t="s">
        <v>510</v>
      </c>
      <c r="D749" s="108" t="s">
        <v>229</v>
      </c>
      <c r="E749" s="108" t="s">
        <v>13</v>
      </c>
      <c r="F749" s="108" t="s">
        <v>539</v>
      </c>
      <c r="G749" s="108" t="s">
        <v>9</v>
      </c>
      <c r="H749" s="126">
        <f>H750</f>
        <v>0</v>
      </c>
      <c r="L749" s="20">
        <v>1162.44</v>
      </c>
      <c r="M749" s="20">
        <v>0</v>
      </c>
      <c r="N749" s="20">
        <v>0</v>
      </c>
      <c r="O749" s="20">
        <f>H749-L749</f>
        <v>-1162.44</v>
      </c>
      <c r="P749" s="20" t="e">
        <f>#REF!-M749</f>
        <v>#REF!</v>
      </c>
      <c r="Q749" s="20" t="e">
        <f>#REF!-N749</f>
        <v>#REF!</v>
      </c>
      <c r="R749" s="17" t="str">
        <f t="shared" si="78"/>
        <v>07 2 12 21430000</v>
      </c>
    </row>
    <row r="750" spans="1:18" s="16" customFormat="1" ht="15.75">
      <c r="A750" s="14"/>
      <c r="B750" s="132" t="s">
        <v>409</v>
      </c>
      <c r="C750" s="109" t="s">
        <v>510</v>
      </c>
      <c r="D750" s="108" t="s">
        <v>229</v>
      </c>
      <c r="E750" s="108" t="s">
        <v>13</v>
      </c>
      <c r="F750" s="108" t="s">
        <v>539</v>
      </c>
      <c r="G750" s="108" t="s">
        <v>410</v>
      </c>
      <c r="H750" s="126">
        <f>H751</f>
        <v>0</v>
      </c>
      <c r="L750" s="20">
        <v>1162.44</v>
      </c>
      <c r="M750" s="20">
        <v>0</v>
      </c>
      <c r="N750" s="20">
        <v>0</v>
      </c>
      <c r="O750" s="20">
        <f>H750-L750</f>
        <v>-1162.44</v>
      </c>
      <c r="P750" s="20" t="e">
        <f>#REF!-M750</f>
        <v>#REF!</v>
      </c>
      <c r="Q750" s="20" t="e">
        <f>#REF!-N750</f>
        <v>#REF!</v>
      </c>
      <c r="R750" s="17" t="str">
        <f t="shared" si="78"/>
        <v>07 2 12 21430620</v>
      </c>
    </row>
    <row r="751" spans="1:18" s="23" customFormat="1" ht="15.75">
      <c r="A751" s="21"/>
      <c r="B751" s="127" t="s">
        <v>428</v>
      </c>
      <c r="C751" s="109" t="s">
        <v>510</v>
      </c>
      <c r="D751" s="108" t="s">
        <v>229</v>
      </c>
      <c r="E751" s="108" t="s">
        <v>13</v>
      </c>
      <c r="F751" s="108" t="s">
        <v>539</v>
      </c>
      <c r="G751" s="108" t="s">
        <v>429</v>
      </c>
      <c r="H751" s="126"/>
      <c r="L751" s="22"/>
      <c r="M751" s="22"/>
      <c r="N751" s="22"/>
      <c r="O751" s="22"/>
      <c r="P751" s="22"/>
      <c r="Q751" s="22"/>
      <c r="R751" s="24"/>
    </row>
    <row r="752" spans="1:18" s="16" customFormat="1" ht="94.5">
      <c r="A752" s="14"/>
      <c r="B752" s="125" t="s">
        <v>420</v>
      </c>
      <c r="C752" s="109" t="s">
        <v>510</v>
      </c>
      <c r="D752" s="108" t="s">
        <v>229</v>
      </c>
      <c r="E752" s="108" t="s">
        <v>13</v>
      </c>
      <c r="F752" s="108" t="s">
        <v>421</v>
      </c>
      <c r="G752" s="108" t="s">
        <v>9</v>
      </c>
      <c r="H752" s="126">
        <f t="shared" ref="H752:H754" si="86">H753</f>
        <v>0</v>
      </c>
      <c r="L752" s="20">
        <v>392.8</v>
      </c>
      <c r="M752" s="20">
        <v>392.8</v>
      </c>
      <c r="N752" s="20">
        <v>392.8</v>
      </c>
      <c r="O752" s="20">
        <f>H752-L752</f>
        <v>-392.8</v>
      </c>
      <c r="P752" s="20" t="e">
        <f>#REF!-M752</f>
        <v>#REF!</v>
      </c>
      <c r="Q752" s="20" t="e">
        <f>#REF!-N752</f>
        <v>#REF!</v>
      </c>
      <c r="R752" s="17" t="str">
        <f t="shared" si="78"/>
        <v>16 0 00 00000000</v>
      </c>
    </row>
    <row r="753" spans="1:18" s="16" customFormat="1" ht="31.5">
      <c r="A753" s="14"/>
      <c r="B753" s="125" t="s">
        <v>422</v>
      </c>
      <c r="C753" s="109" t="s">
        <v>510</v>
      </c>
      <c r="D753" s="108" t="s">
        <v>229</v>
      </c>
      <c r="E753" s="108" t="s">
        <v>13</v>
      </c>
      <c r="F753" s="108" t="s">
        <v>423</v>
      </c>
      <c r="G753" s="108" t="s">
        <v>9</v>
      </c>
      <c r="H753" s="126">
        <f t="shared" si="86"/>
        <v>0</v>
      </c>
      <c r="L753" s="20">
        <v>392.8</v>
      </c>
      <c r="M753" s="20">
        <v>392.8</v>
      </c>
      <c r="N753" s="20">
        <v>392.8</v>
      </c>
      <c r="O753" s="20">
        <f>H753-L753</f>
        <v>-392.8</v>
      </c>
      <c r="P753" s="20" t="e">
        <f>#REF!-M753</f>
        <v>#REF!</v>
      </c>
      <c r="Q753" s="20" t="e">
        <f>#REF!-N753</f>
        <v>#REF!</v>
      </c>
      <c r="R753" s="17" t="str">
        <f t="shared" si="78"/>
        <v>16 2 00 00000000</v>
      </c>
    </row>
    <row r="754" spans="1:18" s="16" customFormat="1" ht="47.25">
      <c r="A754" s="14"/>
      <c r="B754" s="125" t="s">
        <v>424</v>
      </c>
      <c r="C754" s="109" t="s">
        <v>510</v>
      </c>
      <c r="D754" s="108" t="s">
        <v>229</v>
      </c>
      <c r="E754" s="108" t="s">
        <v>13</v>
      </c>
      <c r="F754" s="108" t="s">
        <v>425</v>
      </c>
      <c r="G754" s="108" t="s">
        <v>9</v>
      </c>
      <c r="H754" s="126">
        <f t="shared" si="86"/>
        <v>0</v>
      </c>
      <c r="L754" s="20">
        <v>392.8</v>
      </c>
      <c r="M754" s="20">
        <v>392.8</v>
      </c>
      <c r="N754" s="20">
        <v>392.8</v>
      </c>
      <c r="O754" s="20">
        <f>H754-L754</f>
        <v>-392.8</v>
      </c>
      <c r="P754" s="20" t="e">
        <f>#REF!-M754</f>
        <v>#REF!</v>
      </c>
      <c r="Q754" s="20" t="e">
        <f>#REF!-N754</f>
        <v>#REF!</v>
      </c>
      <c r="R754" s="17" t="str">
        <f t="shared" si="78"/>
        <v>16 2 02 00000000</v>
      </c>
    </row>
    <row r="755" spans="1:18" s="16" customFormat="1" ht="47.25">
      <c r="A755" s="14"/>
      <c r="B755" s="125" t="s">
        <v>426</v>
      </c>
      <c r="C755" s="109" t="s">
        <v>510</v>
      </c>
      <c r="D755" s="108" t="s">
        <v>229</v>
      </c>
      <c r="E755" s="108" t="s">
        <v>13</v>
      </c>
      <c r="F755" s="108" t="s">
        <v>427</v>
      </c>
      <c r="G755" s="108" t="s">
        <v>9</v>
      </c>
      <c r="H755" s="126">
        <f>H756+H758</f>
        <v>0</v>
      </c>
      <c r="L755" s="20">
        <v>392.8</v>
      </c>
      <c r="M755" s="20">
        <v>392.8</v>
      </c>
      <c r="N755" s="20">
        <v>392.8</v>
      </c>
      <c r="O755" s="20">
        <f>H755-L755</f>
        <v>-392.8</v>
      </c>
      <c r="P755" s="20" t="e">
        <f>#REF!-M755</f>
        <v>#REF!</v>
      </c>
      <c r="Q755" s="20" t="e">
        <f>#REF!-N755</f>
        <v>#REF!</v>
      </c>
      <c r="R755" s="17" t="str">
        <f t="shared" si="78"/>
        <v>16 2 02 20550000</v>
      </c>
    </row>
    <row r="756" spans="1:18" s="16" customFormat="1" ht="15.75">
      <c r="A756" s="14"/>
      <c r="B756" s="132" t="s">
        <v>403</v>
      </c>
      <c r="C756" s="109" t="s">
        <v>510</v>
      </c>
      <c r="D756" s="108" t="s">
        <v>229</v>
      </c>
      <c r="E756" s="108" t="s">
        <v>13</v>
      </c>
      <c r="F756" s="108" t="s">
        <v>427</v>
      </c>
      <c r="G756" s="108" t="s">
        <v>404</v>
      </c>
      <c r="H756" s="126">
        <f>H757</f>
        <v>0</v>
      </c>
      <c r="L756" s="20">
        <v>344.8</v>
      </c>
      <c r="M756" s="20">
        <v>344.8</v>
      </c>
      <c r="N756" s="20">
        <v>344.8</v>
      </c>
      <c r="O756" s="20">
        <f>H756-L756</f>
        <v>-344.8</v>
      </c>
      <c r="P756" s="20" t="e">
        <f>#REF!-M756</f>
        <v>#REF!</v>
      </c>
      <c r="Q756" s="20" t="e">
        <f>#REF!-N756</f>
        <v>#REF!</v>
      </c>
      <c r="R756" s="17" t="str">
        <f t="shared" si="78"/>
        <v>16 2 02 20550610</v>
      </c>
    </row>
    <row r="757" spans="1:18" s="16" customFormat="1" ht="15.75">
      <c r="A757" s="14"/>
      <c r="B757" s="127" t="s">
        <v>407</v>
      </c>
      <c r="C757" s="109" t="s">
        <v>510</v>
      </c>
      <c r="D757" s="108" t="s">
        <v>229</v>
      </c>
      <c r="E757" s="108" t="s">
        <v>13</v>
      </c>
      <c r="F757" s="108" t="s">
        <v>427</v>
      </c>
      <c r="G757" s="108" t="s">
        <v>408</v>
      </c>
      <c r="H757" s="126"/>
      <c r="L757" s="20"/>
      <c r="M757" s="20"/>
      <c r="N757" s="20"/>
      <c r="O757" s="20"/>
      <c r="P757" s="20"/>
      <c r="Q757" s="20"/>
      <c r="R757" s="17"/>
    </row>
    <row r="758" spans="1:18" s="17" customFormat="1" ht="15.75">
      <c r="A758" s="14"/>
      <c r="B758" s="132" t="s">
        <v>409</v>
      </c>
      <c r="C758" s="109" t="s">
        <v>510</v>
      </c>
      <c r="D758" s="108" t="s">
        <v>229</v>
      </c>
      <c r="E758" s="108" t="s">
        <v>13</v>
      </c>
      <c r="F758" s="108" t="s">
        <v>427</v>
      </c>
      <c r="G758" s="108" t="s">
        <v>410</v>
      </c>
      <c r="H758" s="126">
        <f>H759</f>
        <v>0</v>
      </c>
      <c r="L758" s="20">
        <v>48</v>
      </c>
      <c r="M758" s="20">
        <v>48</v>
      </c>
      <c r="N758" s="20">
        <v>48</v>
      </c>
      <c r="O758" s="20">
        <f>H758-L758</f>
        <v>-48</v>
      </c>
      <c r="P758" s="20" t="e">
        <f>#REF!-M758</f>
        <v>#REF!</v>
      </c>
      <c r="Q758" s="20" t="e">
        <f>#REF!-N758</f>
        <v>#REF!</v>
      </c>
      <c r="R758" s="17" t="str">
        <f t="shared" ref="R758:R852" si="87">CONCATENATE(F758,G758)</f>
        <v>16 2 02 20550620</v>
      </c>
    </row>
    <row r="759" spans="1:18" s="24" customFormat="1" ht="15.75">
      <c r="A759" s="21"/>
      <c r="B759" s="127" t="s">
        <v>428</v>
      </c>
      <c r="C759" s="109" t="s">
        <v>510</v>
      </c>
      <c r="D759" s="108" t="s">
        <v>229</v>
      </c>
      <c r="E759" s="108" t="s">
        <v>13</v>
      </c>
      <c r="F759" s="108" t="s">
        <v>427</v>
      </c>
      <c r="G759" s="108" t="s">
        <v>429</v>
      </c>
      <c r="H759" s="126"/>
      <c r="L759" s="22"/>
      <c r="M759" s="22"/>
      <c r="N759" s="22"/>
      <c r="O759" s="22"/>
      <c r="P759" s="22"/>
      <c r="Q759" s="22"/>
    </row>
    <row r="760" spans="1:18" s="17" customFormat="1" ht="47.25">
      <c r="A760" s="14"/>
      <c r="B760" s="125" t="s">
        <v>430</v>
      </c>
      <c r="C760" s="109" t="s">
        <v>510</v>
      </c>
      <c r="D760" s="108" t="s">
        <v>229</v>
      </c>
      <c r="E760" s="108" t="s">
        <v>13</v>
      </c>
      <c r="F760" s="108" t="s">
        <v>431</v>
      </c>
      <c r="G760" s="108" t="s">
        <v>9</v>
      </c>
      <c r="H760" s="126">
        <f t="shared" ref="H760:H763" si="88">H761</f>
        <v>0</v>
      </c>
      <c r="L760" s="20">
        <v>692.25</v>
      </c>
      <c r="M760" s="20">
        <v>692.25</v>
      </c>
      <c r="N760" s="20">
        <v>692.25</v>
      </c>
      <c r="O760" s="20">
        <f>H760-L760</f>
        <v>-692.25</v>
      </c>
      <c r="P760" s="20" t="e">
        <f>#REF!-M760</f>
        <v>#REF!</v>
      </c>
      <c r="Q760" s="20" t="e">
        <f>#REF!-N760</f>
        <v>#REF!</v>
      </c>
      <c r="R760" s="17" t="str">
        <f t="shared" si="87"/>
        <v>17 0 00 00000000</v>
      </c>
    </row>
    <row r="761" spans="1:18" s="17" customFormat="1" ht="47.25">
      <c r="A761" s="14"/>
      <c r="B761" s="129" t="s">
        <v>432</v>
      </c>
      <c r="C761" s="109" t="s">
        <v>510</v>
      </c>
      <c r="D761" s="108" t="s">
        <v>229</v>
      </c>
      <c r="E761" s="108" t="s">
        <v>13</v>
      </c>
      <c r="F761" s="108" t="s">
        <v>433</v>
      </c>
      <c r="G761" s="108" t="s">
        <v>9</v>
      </c>
      <c r="H761" s="126">
        <f t="shared" si="88"/>
        <v>0</v>
      </c>
      <c r="L761" s="20">
        <v>692.25</v>
      </c>
      <c r="M761" s="20">
        <v>692.25</v>
      </c>
      <c r="N761" s="20">
        <v>692.25</v>
      </c>
      <c r="O761" s="20">
        <f>H761-L761</f>
        <v>-692.25</v>
      </c>
      <c r="P761" s="20" t="e">
        <f>#REF!-M761</f>
        <v>#REF!</v>
      </c>
      <c r="Q761" s="20" t="e">
        <f>#REF!-N761</f>
        <v>#REF!</v>
      </c>
      <c r="R761" s="17" t="str">
        <f t="shared" si="87"/>
        <v>17 Б 00 00000000</v>
      </c>
    </row>
    <row r="762" spans="1:18" s="17" customFormat="1" ht="31.5">
      <c r="A762" s="14"/>
      <c r="B762" s="125" t="s">
        <v>434</v>
      </c>
      <c r="C762" s="109" t="s">
        <v>510</v>
      </c>
      <c r="D762" s="108" t="s">
        <v>229</v>
      </c>
      <c r="E762" s="108" t="s">
        <v>13</v>
      </c>
      <c r="F762" s="108" t="s">
        <v>435</v>
      </c>
      <c r="G762" s="108" t="s">
        <v>9</v>
      </c>
      <c r="H762" s="126">
        <f t="shared" si="88"/>
        <v>0</v>
      </c>
      <c r="L762" s="20">
        <v>692.25</v>
      </c>
      <c r="M762" s="20">
        <v>692.25</v>
      </c>
      <c r="N762" s="20">
        <v>692.25</v>
      </c>
      <c r="O762" s="20">
        <f>H762-L762</f>
        <v>-692.25</v>
      </c>
      <c r="P762" s="20" t="e">
        <f>#REF!-M762</f>
        <v>#REF!</v>
      </c>
      <c r="Q762" s="20" t="e">
        <f>#REF!-N762</f>
        <v>#REF!</v>
      </c>
      <c r="R762" s="17" t="str">
        <f t="shared" si="87"/>
        <v>17 Б 01 00000000</v>
      </c>
    </row>
    <row r="763" spans="1:18" s="17" customFormat="1" ht="47.25">
      <c r="A763" s="14"/>
      <c r="B763" s="132" t="s">
        <v>436</v>
      </c>
      <c r="C763" s="109" t="s">
        <v>510</v>
      </c>
      <c r="D763" s="108" t="s">
        <v>229</v>
      </c>
      <c r="E763" s="108" t="s">
        <v>13</v>
      </c>
      <c r="F763" s="108" t="s">
        <v>437</v>
      </c>
      <c r="G763" s="108" t="s">
        <v>9</v>
      </c>
      <c r="H763" s="126">
        <f t="shared" si="88"/>
        <v>0</v>
      </c>
      <c r="L763" s="20">
        <v>692.25</v>
      </c>
      <c r="M763" s="20">
        <v>692.25</v>
      </c>
      <c r="N763" s="20">
        <v>692.25</v>
      </c>
      <c r="O763" s="20">
        <f>H763-L763</f>
        <v>-692.25</v>
      </c>
      <c r="P763" s="20" t="e">
        <f>#REF!-M763</f>
        <v>#REF!</v>
      </c>
      <c r="Q763" s="20" t="e">
        <f>#REF!-N763</f>
        <v>#REF!</v>
      </c>
      <c r="R763" s="17" t="str">
        <f t="shared" si="87"/>
        <v>17 Б 01 20490000</v>
      </c>
    </row>
    <row r="764" spans="1:18" s="17" customFormat="1" ht="15.75">
      <c r="A764" s="14"/>
      <c r="B764" s="132" t="s">
        <v>409</v>
      </c>
      <c r="C764" s="109" t="s">
        <v>510</v>
      </c>
      <c r="D764" s="108" t="s">
        <v>229</v>
      </c>
      <c r="E764" s="108" t="s">
        <v>13</v>
      </c>
      <c r="F764" s="108" t="s">
        <v>437</v>
      </c>
      <c r="G764" s="108" t="s">
        <v>410</v>
      </c>
      <c r="H764" s="126">
        <f>H765</f>
        <v>0</v>
      </c>
      <c r="L764" s="20">
        <v>692.25</v>
      </c>
      <c r="M764" s="20">
        <v>692.25</v>
      </c>
      <c r="N764" s="20">
        <v>692.25</v>
      </c>
      <c r="O764" s="20">
        <f>H764-L764</f>
        <v>-692.25</v>
      </c>
      <c r="P764" s="20" t="e">
        <f>#REF!-M764</f>
        <v>#REF!</v>
      </c>
      <c r="Q764" s="20" t="e">
        <f>#REF!-N764</f>
        <v>#REF!</v>
      </c>
      <c r="R764" s="17" t="str">
        <f t="shared" si="87"/>
        <v>17 Б 01 20490620</v>
      </c>
    </row>
    <row r="765" spans="1:18" s="24" customFormat="1" ht="15.75">
      <c r="A765" s="21"/>
      <c r="B765" s="127" t="s">
        <v>428</v>
      </c>
      <c r="C765" s="109" t="s">
        <v>510</v>
      </c>
      <c r="D765" s="108" t="s">
        <v>229</v>
      </c>
      <c r="E765" s="108" t="s">
        <v>13</v>
      </c>
      <c r="F765" s="108" t="s">
        <v>437</v>
      </c>
      <c r="G765" s="108" t="s">
        <v>429</v>
      </c>
      <c r="H765" s="126"/>
      <c r="L765" s="22"/>
      <c r="M765" s="22"/>
      <c r="N765" s="22"/>
      <c r="O765" s="22"/>
      <c r="P765" s="22"/>
      <c r="Q765" s="22"/>
    </row>
    <row r="766" spans="1:18" s="17" customFormat="1" ht="63">
      <c r="A766" s="14"/>
      <c r="B766" s="125" t="s">
        <v>87</v>
      </c>
      <c r="C766" s="109" t="s">
        <v>510</v>
      </c>
      <c r="D766" s="108" t="s">
        <v>229</v>
      </c>
      <c r="E766" s="108" t="s">
        <v>13</v>
      </c>
      <c r="F766" s="108" t="s">
        <v>88</v>
      </c>
      <c r="G766" s="108" t="s">
        <v>9</v>
      </c>
      <c r="H766" s="126">
        <f>H767</f>
        <v>0</v>
      </c>
      <c r="L766" s="20"/>
      <c r="M766" s="20"/>
      <c r="N766" s="20"/>
      <c r="O766" s="20">
        <f>H766-L766</f>
        <v>0</v>
      </c>
      <c r="P766" s="20" t="e">
        <f>#REF!-M766</f>
        <v>#REF!</v>
      </c>
      <c r="Q766" s="20" t="e">
        <f>#REF!-N766</f>
        <v>#REF!</v>
      </c>
      <c r="R766" s="17" t="str">
        <f t="shared" si="87"/>
        <v>98 0 00 00000000</v>
      </c>
    </row>
    <row r="767" spans="1:18" s="17" customFormat="1" ht="15.75">
      <c r="A767" s="14"/>
      <c r="B767" s="125" t="s">
        <v>89</v>
      </c>
      <c r="C767" s="109" t="s">
        <v>510</v>
      </c>
      <c r="D767" s="108" t="s">
        <v>229</v>
      </c>
      <c r="E767" s="108" t="s">
        <v>13</v>
      </c>
      <c r="F767" s="108" t="s">
        <v>90</v>
      </c>
      <c r="G767" s="108" t="s">
        <v>9</v>
      </c>
      <c r="H767" s="126">
        <f>H768</f>
        <v>0</v>
      </c>
      <c r="L767" s="20"/>
      <c r="M767" s="20"/>
      <c r="N767" s="20"/>
      <c r="O767" s="20">
        <f>H767-L767</f>
        <v>0</v>
      </c>
      <c r="P767" s="20" t="e">
        <f>#REF!-M767</f>
        <v>#REF!</v>
      </c>
      <c r="Q767" s="20" t="e">
        <f>#REF!-N767</f>
        <v>#REF!</v>
      </c>
      <c r="R767" s="17" t="str">
        <f t="shared" si="87"/>
        <v>98 1 00 00000000</v>
      </c>
    </row>
    <row r="768" spans="1:18" s="17" customFormat="1" ht="157.5">
      <c r="A768" s="14"/>
      <c r="B768" s="125" t="s">
        <v>540</v>
      </c>
      <c r="C768" s="109" t="s">
        <v>510</v>
      </c>
      <c r="D768" s="108" t="s">
        <v>229</v>
      </c>
      <c r="E768" s="108" t="s">
        <v>13</v>
      </c>
      <c r="F768" s="108" t="s">
        <v>541</v>
      </c>
      <c r="G768" s="108" t="s">
        <v>9</v>
      </c>
      <c r="H768" s="126">
        <f>H769+H771</f>
        <v>0</v>
      </c>
      <c r="L768" s="20"/>
      <c r="M768" s="20"/>
      <c r="N768" s="20"/>
      <c r="O768" s="20">
        <f>H768-L768</f>
        <v>0</v>
      </c>
      <c r="P768" s="20" t="e">
        <f>#REF!-M768</f>
        <v>#REF!</v>
      </c>
      <c r="Q768" s="20" t="e">
        <f>#REF!-N768</f>
        <v>#REF!</v>
      </c>
      <c r="R768" s="17" t="str">
        <f t="shared" si="87"/>
        <v>98 1 00 21530000</v>
      </c>
    </row>
    <row r="769" spans="1:18" s="17" customFormat="1" ht="15.75">
      <c r="A769" s="14"/>
      <c r="B769" s="132" t="s">
        <v>403</v>
      </c>
      <c r="C769" s="109" t="s">
        <v>510</v>
      </c>
      <c r="D769" s="108" t="s">
        <v>229</v>
      </c>
      <c r="E769" s="108" t="s">
        <v>13</v>
      </c>
      <c r="F769" s="108" t="s">
        <v>541</v>
      </c>
      <c r="G769" s="108" t="s">
        <v>404</v>
      </c>
      <c r="H769" s="126">
        <f>H770</f>
        <v>0</v>
      </c>
      <c r="L769" s="20"/>
      <c r="M769" s="20"/>
      <c r="N769" s="20"/>
      <c r="O769" s="20">
        <f>H769-L769</f>
        <v>0</v>
      </c>
      <c r="P769" s="20" t="e">
        <f>#REF!-M769</f>
        <v>#REF!</v>
      </c>
      <c r="Q769" s="20" t="e">
        <f>#REF!-N769</f>
        <v>#REF!</v>
      </c>
      <c r="R769" s="17" t="str">
        <f t="shared" si="87"/>
        <v>98 1 00 21530610</v>
      </c>
    </row>
    <row r="770" spans="1:18" s="24" customFormat="1" ht="15.75">
      <c r="A770" s="21"/>
      <c r="B770" s="127" t="s">
        <v>407</v>
      </c>
      <c r="C770" s="109" t="s">
        <v>510</v>
      </c>
      <c r="D770" s="108" t="s">
        <v>229</v>
      </c>
      <c r="E770" s="108" t="s">
        <v>13</v>
      </c>
      <c r="F770" s="108" t="s">
        <v>541</v>
      </c>
      <c r="G770" s="108" t="s">
        <v>408</v>
      </c>
      <c r="H770" s="126"/>
      <c r="L770" s="22"/>
      <c r="M770" s="22"/>
      <c r="N770" s="22"/>
      <c r="O770" s="22"/>
      <c r="P770" s="22"/>
      <c r="Q770" s="22"/>
    </row>
    <row r="771" spans="1:18" s="17" customFormat="1" ht="15.75">
      <c r="A771" s="14"/>
      <c r="B771" s="132" t="s">
        <v>409</v>
      </c>
      <c r="C771" s="109" t="s">
        <v>510</v>
      </c>
      <c r="D771" s="108" t="s">
        <v>229</v>
      </c>
      <c r="E771" s="108" t="s">
        <v>13</v>
      </c>
      <c r="F771" s="108" t="s">
        <v>541</v>
      </c>
      <c r="G771" s="108" t="s">
        <v>410</v>
      </c>
      <c r="H771" s="126">
        <f>H772</f>
        <v>0</v>
      </c>
      <c r="L771" s="20"/>
      <c r="M771" s="20"/>
      <c r="N771" s="20"/>
      <c r="O771" s="20">
        <f>H771-L771</f>
        <v>0</v>
      </c>
      <c r="P771" s="20" t="e">
        <f>#REF!-M771</f>
        <v>#REF!</v>
      </c>
      <c r="Q771" s="20" t="e">
        <f>#REF!-N771</f>
        <v>#REF!</v>
      </c>
      <c r="R771" s="17" t="str">
        <f t="shared" si="87"/>
        <v>98 1 00 21530620</v>
      </c>
    </row>
    <row r="772" spans="1:18" s="24" customFormat="1" ht="15.75">
      <c r="A772" s="21"/>
      <c r="B772" s="127" t="s">
        <v>428</v>
      </c>
      <c r="C772" s="109" t="s">
        <v>510</v>
      </c>
      <c r="D772" s="108" t="s">
        <v>229</v>
      </c>
      <c r="E772" s="108" t="s">
        <v>13</v>
      </c>
      <c r="F772" s="108" t="s">
        <v>541</v>
      </c>
      <c r="G772" s="108" t="s">
        <v>429</v>
      </c>
      <c r="H772" s="126"/>
      <c r="L772" s="22"/>
      <c r="M772" s="22"/>
      <c r="N772" s="22"/>
      <c r="O772" s="22"/>
      <c r="P772" s="22"/>
      <c r="Q772" s="22"/>
    </row>
    <row r="773" spans="1:18" s="17" customFormat="1" ht="15.75">
      <c r="A773" s="14"/>
      <c r="B773" s="121" t="s">
        <v>464</v>
      </c>
      <c r="C773" s="122" t="s">
        <v>510</v>
      </c>
      <c r="D773" s="123" t="s">
        <v>229</v>
      </c>
      <c r="E773" s="123" t="s">
        <v>229</v>
      </c>
      <c r="F773" s="123" t="s">
        <v>8</v>
      </c>
      <c r="G773" s="123" t="s">
        <v>9</v>
      </c>
      <c r="H773" s="124">
        <f>H780+H774+H810</f>
        <v>0</v>
      </c>
      <c r="L773" s="19">
        <v>10043.200000000001</v>
      </c>
      <c r="M773" s="19">
        <v>9653.2000000000007</v>
      </c>
      <c r="N773" s="19">
        <v>9653.2000000000007</v>
      </c>
      <c r="O773" s="19">
        <f t="shared" ref="O773:O778" si="89">H773-L773</f>
        <v>-10043.200000000001</v>
      </c>
      <c r="P773" s="19" t="e">
        <f>#REF!-M773</f>
        <v>#REF!</v>
      </c>
      <c r="Q773" s="19" t="e">
        <f>#REF!-N773</f>
        <v>#REF!</v>
      </c>
      <c r="R773" s="17" t="str">
        <f t="shared" si="87"/>
        <v>00 0 00 00000000</v>
      </c>
    </row>
    <row r="774" spans="1:18" s="17" customFormat="1" ht="63">
      <c r="A774" s="14"/>
      <c r="B774" s="127" t="s">
        <v>293</v>
      </c>
      <c r="C774" s="109" t="s">
        <v>510</v>
      </c>
      <c r="D774" s="108" t="s">
        <v>229</v>
      </c>
      <c r="E774" s="108" t="s">
        <v>229</v>
      </c>
      <c r="F774" s="108" t="s">
        <v>294</v>
      </c>
      <c r="G774" s="108" t="s">
        <v>9</v>
      </c>
      <c r="H774" s="126">
        <f t="shared" ref="H774:H777" si="90">H775</f>
        <v>0</v>
      </c>
      <c r="L774" s="20">
        <v>187.5</v>
      </c>
      <c r="M774" s="20">
        <v>187.5</v>
      </c>
      <c r="N774" s="20">
        <v>187.5</v>
      </c>
      <c r="O774" s="20">
        <f t="shared" si="89"/>
        <v>-187.5</v>
      </c>
      <c r="P774" s="20" t="e">
        <f>#REF!-M774</f>
        <v>#REF!</v>
      </c>
      <c r="Q774" s="20" t="e">
        <f>#REF!-N774</f>
        <v>#REF!</v>
      </c>
      <c r="R774" s="17" t="str">
        <f t="shared" si="87"/>
        <v>04 0 00 00000000</v>
      </c>
    </row>
    <row r="775" spans="1:18" s="17" customFormat="1" ht="31.5">
      <c r="A775" s="14"/>
      <c r="B775" s="125" t="s">
        <v>307</v>
      </c>
      <c r="C775" s="109" t="s">
        <v>510</v>
      </c>
      <c r="D775" s="108" t="s">
        <v>229</v>
      </c>
      <c r="E775" s="108" t="s">
        <v>229</v>
      </c>
      <c r="F775" s="108" t="s">
        <v>308</v>
      </c>
      <c r="G775" s="108" t="s">
        <v>9</v>
      </c>
      <c r="H775" s="126">
        <f t="shared" si="90"/>
        <v>0</v>
      </c>
      <c r="L775" s="20">
        <v>187.5</v>
      </c>
      <c r="M775" s="20">
        <v>187.5</v>
      </c>
      <c r="N775" s="20">
        <v>187.5</v>
      </c>
      <c r="O775" s="20">
        <f t="shared" si="89"/>
        <v>-187.5</v>
      </c>
      <c r="P775" s="20" t="e">
        <f>#REF!-M775</f>
        <v>#REF!</v>
      </c>
      <c r="Q775" s="20" t="e">
        <f>#REF!-N775</f>
        <v>#REF!</v>
      </c>
      <c r="R775" s="17" t="str">
        <f t="shared" si="87"/>
        <v>04 3 00 00000000</v>
      </c>
    </row>
    <row r="776" spans="1:18" s="17" customFormat="1" ht="31.5">
      <c r="A776" s="14"/>
      <c r="B776" s="138" t="s">
        <v>309</v>
      </c>
      <c r="C776" s="109" t="s">
        <v>510</v>
      </c>
      <c r="D776" s="108" t="s">
        <v>229</v>
      </c>
      <c r="E776" s="108" t="s">
        <v>229</v>
      </c>
      <c r="F776" s="108" t="s">
        <v>310</v>
      </c>
      <c r="G776" s="108" t="s">
        <v>9</v>
      </c>
      <c r="H776" s="126">
        <f t="shared" si="90"/>
        <v>0</v>
      </c>
      <c r="L776" s="20">
        <v>187.5</v>
      </c>
      <c r="M776" s="20">
        <v>187.5</v>
      </c>
      <c r="N776" s="20">
        <v>187.5</v>
      </c>
      <c r="O776" s="20">
        <f t="shared" si="89"/>
        <v>-187.5</v>
      </c>
      <c r="P776" s="20" t="e">
        <f>#REF!-M776</f>
        <v>#REF!</v>
      </c>
      <c r="Q776" s="20" t="e">
        <f>#REF!-N776</f>
        <v>#REF!</v>
      </c>
      <c r="R776" s="17" t="str">
        <f t="shared" si="87"/>
        <v>04 3 04 00000000</v>
      </c>
    </row>
    <row r="777" spans="1:18" s="17" customFormat="1" ht="31.5">
      <c r="A777" s="14"/>
      <c r="B777" s="127" t="s">
        <v>542</v>
      </c>
      <c r="C777" s="109" t="s">
        <v>510</v>
      </c>
      <c r="D777" s="108" t="s">
        <v>229</v>
      </c>
      <c r="E777" s="108" t="s">
        <v>229</v>
      </c>
      <c r="F777" s="108" t="s">
        <v>543</v>
      </c>
      <c r="G777" s="108" t="s">
        <v>9</v>
      </c>
      <c r="H777" s="126">
        <f t="shared" si="90"/>
        <v>0</v>
      </c>
      <c r="L777" s="20">
        <v>187.5</v>
      </c>
      <c r="M777" s="20">
        <v>187.5</v>
      </c>
      <c r="N777" s="20">
        <v>187.5</v>
      </c>
      <c r="O777" s="20">
        <f t="shared" si="89"/>
        <v>-187.5</v>
      </c>
      <c r="P777" s="20" t="e">
        <f>#REF!-M777</f>
        <v>#REF!</v>
      </c>
      <c r="Q777" s="20" t="e">
        <f>#REF!-N777</f>
        <v>#REF!</v>
      </c>
      <c r="R777" s="17" t="str">
        <f t="shared" si="87"/>
        <v>04 3 04 20300000</v>
      </c>
    </row>
    <row r="778" spans="1:18" s="17" customFormat="1" ht="31.5">
      <c r="A778" s="14"/>
      <c r="B778" s="125" t="s">
        <v>28</v>
      </c>
      <c r="C778" s="109" t="s">
        <v>510</v>
      </c>
      <c r="D778" s="108" t="s">
        <v>229</v>
      </c>
      <c r="E778" s="108" t="s">
        <v>229</v>
      </c>
      <c r="F778" s="108" t="s">
        <v>543</v>
      </c>
      <c r="G778" s="108" t="s">
        <v>29</v>
      </c>
      <c r="H778" s="126">
        <f>H779</f>
        <v>0</v>
      </c>
      <c r="L778" s="20">
        <v>187.5</v>
      </c>
      <c r="M778" s="20">
        <v>187.5</v>
      </c>
      <c r="N778" s="20">
        <v>187.5</v>
      </c>
      <c r="O778" s="20">
        <f t="shared" si="89"/>
        <v>-187.5</v>
      </c>
      <c r="P778" s="20" t="e">
        <f>#REF!-M778</f>
        <v>#REF!</v>
      </c>
      <c r="Q778" s="20" t="e">
        <f>#REF!-N778</f>
        <v>#REF!</v>
      </c>
      <c r="R778" s="17" t="str">
        <f t="shared" si="87"/>
        <v>04 3 04 20300240</v>
      </c>
    </row>
    <row r="779" spans="1:18" s="17" customFormat="1" ht="15.75">
      <c r="A779" s="14"/>
      <c r="B779" s="125" t="s">
        <v>30</v>
      </c>
      <c r="C779" s="109" t="s">
        <v>510</v>
      </c>
      <c r="D779" s="108" t="s">
        <v>229</v>
      </c>
      <c r="E779" s="108" t="s">
        <v>229</v>
      </c>
      <c r="F779" s="108" t="s">
        <v>543</v>
      </c>
      <c r="G779" s="108" t="s">
        <v>31</v>
      </c>
      <c r="H779" s="126"/>
      <c r="L779" s="20"/>
      <c r="M779" s="20"/>
      <c r="N779" s="20"/>
      <c r="O779" s="20"/>
      <c r="P779" s="20"/>
      <c r="Q779" s="20"/>
      <c r="R779" s="17" t="str">
        <f t="shared" si="87"/>
        <v>04 3 04 20300244</v>
      </c>
    </row>
    <row r="780" spans="1:18" s="17" customFormat="1" ht="31.5">
      <c r="A780" s="14"/>
      <c r="B780" s="145" t="s">
        <v>544</v>
      </c>
      <c r="C780" s="109" t="s">
        <v>510</v>
      </c>
      <c r="D780" s="108" t="s">
        <v>229</v>
      </c>
      <c r="E780" s="108" t="s">
        <v>229</v>
      </c>
      <c r="F780" s="108" t="s">
        <v>545</v>
      </c>
      <c r="G780" s="108" t="s">
        <v>9</v>
      </c>
      <c r="H780" s="126">
        <f>H781</f>
        <v>0</v>
      </c>
      <c r="L780" s="20">
        <v>9465.7000000000007</v>
      </c>
      <c r="M780" s="20">
        <v>9465.7000000000007</v>
      </c>
      <c r="N780" s="20">
        <v>9465.7000000000007</v>
      </c>
      <c r="O780" s="20">
        <f>H780-L780</f>
        <v>-9465.7000000000007</v>
      </c>
      <c r="P780" s="20" t="e">
        <f>#REF!-M780</f>
        <v>#REF!</v>
      </c>
      <c r="Q780" s="20" t="e">
        <f>#REF!-N780</f>
        <v>#REF!</v>
      </c>
      <c r="R780" s="17" t="str">
        <f t="shared" si="87"/>
        <v>09 0 00 00000000</v>
      </c>
    </row>
    <row r="781" spans="1:18" s="17" customFormat="1" ht="31.5">
      <c r="A781" s="14"/>
      <c r="B781" s="145" t="s">
        <v>546</v>
      </c>
      <c r="C781" s="109" t="s">
        <v>510</v>
      </c>
      <c r="D781" s="108" t="s">
        <v>229</v>
      </c>
      <c r="E781" s="108" t="s">
        <v>229</v>
      </c>
      <c r="F781" s="108" t="s">
        <v>547</v>
      </c>
      <c r="G781" s="108" t="s">
        <v>9</v>
      </c>
      <c r="H781" s="126">
        <f>H782+H786+H794+H798+H802+H806</f>
        <v>0</v>
      </c>
      <c r="L781" s="20">
        <v>9465.7000000000007</v>
      </c>
      <c r="M781" s="20">
        <v>9465.7000000000007</v>
      </c>
      <c r="N781" s="20">
        <v>9465.7000000000007</v>
      </c>
      <c r="O781" s="20">
        <f>H781-L781</f>
        <v>-9465.7000000000007</v>
      </c>
      <c r="P781" s="20" t="e">
        <f>#REF!-M781</f>
        <v>#REF!</v>
      </c>
      <c r="Q781" s="20" t="e">
        <f>#REF!-N781</f>
        <v>#REF!</v>
      </c>
      <c r="R781" s="17" t="str">
        <f t="shared" si="87"/>
        <v>09 Б 00 00000000</v>
      </c>
    </row>
    <row r="782" spans="1:18" s="17" customFormat="1" ht="47.25">
      <c r="A782" s="14"/>
      <c r="B782" s="127" t="s">
        <v>548</v>
      </c>
      <c r="C782" s="109" t="s">
        <v>510</v>
      </c>
      <c r="D782" s="108" t="s">
        <v>229</v>
      </c>
      <c r="E782" s="108" t="s">
        <v>229</v>
      </c>
      <c r="F782" s="108" t="s">
        <v>549</v>
      </c>
      <c r="G782" s="108" t="s">
        <v>9</v>
      </c>
      <c r="H782" s="126">
        <f t="shared" ref="H782:H783" si="91">H783</f>
        <v>0</v>
      </c>
      <c r="L782" s="20">
        <v>779</v>
      </c>
      <c r="M782" s="20">
        <v>779</v>
      </c>
      <c r="N782" s="20">
        <v>779</v>
      </c>
      <c r="O782" s="20">
        <f>H782-L782</f>
        <v>-779</v>
      </c>
      <c r="P782" s="20" t="e">
        <f>#REF!-M782</f>
        <v>#REF!</v>
      </c>
      <c r="Q782" s="20" t="e">
        <f>#REF!-N782</f>
        <v>#REF!</v>
      </c>
      <c r="R782" s="17" t="str">
        <f t="shared" si="87"/>
        <v>09 Б 01 00000000</v>
      </c>
    </row>
    <row r="783" spans="1:18" s="17" customFormat="1" ht="63">
      <c r="A783" s="14"/>
      <c r="B783" s="125" t="s">
        <v>550</v>
      </c>
      <c r="C783" s="109" t="s">
        <v>510</v>
      </c>
      <c r="D783" s="108" t="s">
        <v>229</v>
      </c>
      <c r="E783" s="108" t="s">
        <v>229</v>
      </c>
      <c r="F783" s="108" t="s">
        <v>551</v>
      </c>
      <c r="G783" s="108" t="s">
        <v>9</v>
      </c>
      <c r="H783" s="126">
        <f t="shared" si="91"/>
        <v>0</v>
      </c>
      <c r="L783" s="20">
        <v>779</v>
      </c>
      <c r="M783" s="20">
        <v>779</v>
      </c>
      <c r="N783" s="20">
        <v>779</v>
      </c>
      <c r="O783" s="20">
        <f>H783-L783</f>
        <v>-779</v>
      </c>
      <c r="P783" s="20" t="e">
        <f>#REF!-M783</f>
        <v>#REF!</v>
      </c>
      <c r="Q783" s="20" t="e">
        <f>#REF!-N783</f>
        <v>#REF!</v>
      </c>
      <c r="R783" s="17" t="str">
        <f t="shared" si="87"/>
        <v>09 Б 01 20460000</v>
      </c>
    </row>
    <row r="784" spans="1:18" s="17" customFormat="1" ht="15.75">
      <c r="A784" s="14"/>
      <c r="B784" s="132" t="s">
        <v>403</v>
      </c>
      <c r="C784" s="109" t="s">
        <v>510</v>
      </c>
      <c r="D784" s="108" t="s">
        <v>229</v>
      </c>
      <c r="E784" s="108" t="s">
        <v>229</v>
      </c>
      <c r="F784" s="108" t="s">
        <v>551</v>
      </c>
      <c r="G784" s="108" t="s">
        <v>404</v>
      </c>
      <c r="H784" s="126">
        <f>H785</f>
        <v>0</v>
      </c>
      <c r="L784" s="20">
        <v>779</v>
      </c>
      <c r="M784" s="20">
        <v>779</v>
      </c>
      <c r="N784" s="20">
        <v>779</v>
      </c>
      <c r="O784" s="20">
        <f>H784-L784</f>
        <v>-779</v>
      </c>
      <c r="P784" s="20" t="e">
        <f>#REF!-M784</f>
        <v>#REF!</v>
      </c>
      <c r="Q784" s="20" t="e">
        <f>#REF!-N784</f>
        <v>#REF!</v>
      </c>
      <c r="R784" s="17" t="str">
        <f t="shared" si="87"/>
        <v>09 Б 01 20460610</v>
      </c>
    </row>
    <row r="785" spans="1:18" s="24" customFormat="1" ht="63">
      <c r="A785" s="21"/>
      <c r="B785" s="127" t="s">
        <v>405</v>
      </c>
      <c r="C785" s="109" t="s">
        <v>510</v>
      </c>
      <c r="D785" s="108" t="s">
        <v>229</v>
      </c>
      <c r="E785" s="108" t="s">
        <v>229</v>
      </c>
      <c r="F785" s="108" t="s">
        <v>551</v>
      </c>
      <c r="G785" s="108" t="s">
        <v>406</v>
      </c>
      <c r="H785" s="126"/>
      <c r="L785" s="22"/>
      <c r="M785" s="22"/>
      <c r="N785" s="22"/>
      <c r="O785" s="22"/>
      <c r="P785" s="22"/>
      <c r="Q785" s="22"/>
    </row>
    <row r="786" spans="1:18" s="17" customFormat="1" ht="47.25">
      <c r="A786" s="14"/>
      <c r="B786" s="127" t="s">
        <v>552</v>
      </c>
      <c r="C786" s="109" t="s">
        <v>510</v>
      </c>
      <c r="D786" s="108" t="s">
        <v>229</v>
      </c>
      <c r="E786" s="108" t="s">
        <v>229</v>
      </c>
      <c r="F786" s="108" t="s">
        <v>553</v>
      </c>
      <c r="G786" s="108" t="s">
        <v>9</v>
      </c>
      <c r="H786" s="126">
        <f>H787</f>
        <v>0</v>
      </c>
      <c r="L786" s="20">
        <v>4764.5</v>
      </c>
      <c r="M786" s="20">
        <v>4764.5</v>
      </c>
      <c r="N786" s="20">
        <v>4764.5</v>
      </c>
      <c r="O786" s="20">
        <f>H786-L786</f>
        <v>-4764.5</v>
      </c>
      <c r="P786" s="20" t="e">
        <f>#REF!-M786</f>
        <v>#REF!</v>
      </c>
      <c r="Q786" s="20" t="e">
        <f>#REF!-N786</f>
        <v>#REF!</v>
      </c>
      <c r="R786" s="17" t="str">
        <f t="shared" si="87"/>
        <v>09 Б 02 00000000</v>
      </c>
    </row>
    <row r="787" spans="1:18" s="17" customFormat="1" ht="63">
      <c r="A787" s="14"/>
      <c r="B787" s="125" t="s">
        <v>550</v>
      </c>
      <c r="C787" s="109" t="s">
        <v>510</v>
      </c>
      <c r="D787" s="108" t="s">
        <v>229</v>
      </c>
      <c r="E787" s="108" t="s">
        <v>229</v>
      </c>
      <c r="F787" s="108" t="s">
        <v>554</v>
      </c>
      <c r="G787" s="108" t="s">
        <v>9</v>
      </c>
      <c r="H787" s="126">
        <f>H788+H792+H791+H790</f>
        <v>0</v>
      </c>
      <c r="L787" s="20">
        <v>4764.5</v>
      </c>
      <c r="M787" s="20">
        <v>4764.5</v>
      </c>
      <c r="N787" s="20">
        <v>4764.5</v>
      </c>
      <c r="O787" s="20">
        <f>H787-L787</f>
        <v>-4764.5</v>
      </c>
      <c r="P787" s="20" t="e">
        <f>#REF!-M787</f>
        <v>#REF!</v>
      </c>
      <c r="Q787" s="20" t="e">
        <f>#REF!-N787</f>
        <v>#REF!</v>
      </c>
      <c r="R787" s="17" t="str">
        <f t="shared" si="87"/>
        <v>09 Б 02 20460000</v>
      </c>
    </row>
    <row r="788" spans="1:18" s="17" customFormat="1" ht="31.5">
      <c r="A788" s="14"/>
      <c r="B788" s="125" t="s">
        <v>28</v>
      </c>
      <c r="C788" s="109" t="s">
        <v>510</v>
      </c>
      <c r="D788" s="108" t="s">
        <v>229</v>
      </c>
      <c r="E788" s="108" t="s">
        <v>229</v>
      </c>
      <c r="F788" s="108" t="s">
        <v>554</v>
      </c>
      <c r="G788" s="108" t="s">
        <v>29</v>
      </c>
      <c r="H788" s="126">
        <f>H789</f>
        <v>0</v>
      </c>
      <c r="L788" s="20">
        <v>549.5</v>
      </c>
      <c r="M788" s="20">
        <v>549.5</v>
      </c>
      <c r="N788" s="20">
        <v>549.5</v>
      </c>
      <c r="O788" s="20">
        <f>H788-L788</f>
        <v>-549.5</v>
      </c>
      <c r="P788" s="20" t="e">
        <f>#REF!-M788</f>
        <v>#REF!</v>
      </c>
      <c r="Q788" s="20" t="e">
        <f>#REF!-N788</f>
        <v>#REF!</v>
      </c>
      <c r="R788" s="17" t="str">
        <f t="shared" si="87"/>
        <v>09 Б 02 20460240</v>
      </c>
    </row>
    <row r="789" spans="1:18" s="17" customFormat="1" ht="15.75">
      <c r="A789" s="14"/>
      <c r="B789" s="125" t="s">
        <v>30</v>
      </c>
      <c r="C789" s="109" t="s">
        <v>510</v>
      </c>
      <c r="D789" s="108" t="s">
        <v>229</v>
      </c>
      <c r="E789" s="108" t="s">
        <v>229</v>
      </c>
      <c r="F789" s="108" t="s">
        <v>554</v>
      </c>
      <c r="G789" s="108" t="s">
        <v>31</v>
      </c>
      <c r="H789" s="126"/>
      <c r="L789" s="20"/>
      <c r="M789" s="20"/>
      <c r="N789" s="20"/>
      <c r="O789" s="20"/>
      <c r="P789" s="20"/>
      <c r="Q789" s="20"/>
      <c r="R789" s="17" t="str">
        <f t="shared" si="87"/>
        <v>09 Б 02 20460244</v>
      </c>
    </row>
    <row r="790" spans="1:18" s="17" customFormat="1" ht="15.75">
      <c r="A790" s="14"/>
      <c r="B790" s="125" t="s">
        <v>555</v>
      </c>
      <c r="C790" s="109" t="s">
        <v>510</v>
      </c>
      <c r="D790" s="108" t="s">
        <v>229</v>
      </c>
      <c r="E790" s="108" t="s">
        <v>229</v>
      </c>
      <c r="F790" s="108" t="s">
        <v>554</v>
      </c>
      <c r="G790" s="108" t="s">
        <v>556</v>
      </c>
      <c r="H790" s="126"/>
      <c r="L790" s="20">
        <v>2835</v>
      </c>
      <c r="M790" s="20">
        <v>2835</v>
      </c>
      <c r="N790" s="20">
        <v>2835</v>
      </c>
      <c r="O790" s="20">
        <f>H790-L790</f>
        <v>-2835</v>
      </c>
      <c r="P790" s="20" t="e">
        <f>#REF!-M790</f>
        <v>#REF!</v>
      </c>
      <c r="Q790" s="20" t="e">
        <f>#REF!-N790</f>
        <v>#REF!</v>
      </c>
      <c r="R790" s="17" t="str">
        <f t="shared" si="87"/>
        <v>09 Б 02 20460340</v>
      </c>
    </row>
    <row r="791" spans="1:18" s="17" customFormat="1" ht="15.75">
      <c r="A791" s="14"/>
      <c r="B791" s="125" t="s">
        <v>163</v>
      </c>
      <c r="C791" s="109" t="s">
        <v>510</v>
      </c>
      <c r="D791" s="108" t="s">
        <v>229</v>
      </c>
      <c r="E791" s="108" t="s">
        <v>229</v>
      </c>
      <c r="F791" s="108" t="s">
        <v>554</v>
      </c>
      <c r="G791" s="108" t="s">
        <v>164</v>
      </c>
      <c r="H791" s="126"/>
      <c r="L791" s="20">
        <v>250</v>
      </c>
      <c r="M791" s="20">
        <v>250</v>
      </c>
      <c r="N791" s="20">
        <v>250</v>
      </c>
      <c r="O791" s="20">
        <f>H791-L791</f>
        <v>-250</v>
      </c>
      <c r="P791" s="20" t="e">
        <f>#REF!-M791</f>
        <v>#REF!</v>
      </c>
      <c r="Q791" s="20" t="e">
        <f>#REF!-N791</f>
        <v>#REF!</v>
      </c>
      <c r="R791" s="17" t="str">
        <f t="shared" si="87"/>
        <v>09 Б 02 20460350</v>
      </c>
    </row>
    <row r="792" spans="1:18" s="17" customFormat="1" ht="15.75">
      <c r="A792" s="14"/>
      <c r="B792" s="132" t="s">
        <v>403</v>
      </c>
      <c r="C792" s="109" t="s">
        <v>510</v>
      </c>
      <c r="D792" s="108" t="s">
        <v>229</v>
      </c>
      <c r="E792" s="108" t="s">
        <v>229</v>
      </c>
      <c r="F792" s="108" t="s">
        <v>554</v>
      </c>
      <c r="G792" s="108" t="s">
        <v>404</v>
      </c>
      <c r="H792" s="126">
        <f>H793</f>
        <v>0</v>
      </c>
      <c r="L792" s="20">
        <v>1130</v>
      </c>
      <c r="M792" s="20">
        <v>1130</v>
      </c>
      <c r="N792" s="20">
        <v>1130</v>
      </c>
      <c r="O792" s="20">
        <f>H792-L792</f>
        <v>-1130</v>
      </c>
      <c r="P792" s="20" t="e">
        <f>#REF!-M792</f>
        <v>#REF!</v>
      </c>
      <c r="Q792" s="20" t="e">
        <f>#REF!-N792</f>
        <v>#REF!</v>
      </c>
      <c r="R792" s="17" t="str">
        <f t="shared" si="87"/>
        <v>09 Б 02 20460610</v>
      </c>
    </row>
    <row r="793" spans="1:18" s="24" customFormat="1" ht="63">
      <c r="A793" s="21"/>
      <c r="B793" s="127" t="s">
        <v>405</v>
      </c>
      <c r="C793" s="109" t="s">
        <v>510</v>
      </c>
      <c r="D793" s="108" t="s">
        <v>229</v>
      </c>
      <c r="E793" s="108" t="s">
        <v>229</v>
      </c>
      <c r="F793" s="108" t="s">
        <v>554</v>
      </c>
      <c r="G793" s="108" t="s">
        <v>406</v>
      </c>
      <c r="H793" s="126"/>
      <c r="L793" s="22"/>
      <c r="M793" s="22"/>
      <c r="N793" s="22"/>
      <c r="O793" s="22"/>
      <c r="P793" s="22"/>
      <c r="Q793" s="22"/>
    </row>
    <row r="794" spans="1:18" s="17" customFormat="1" ht="31.5">
      <c r="A794" s="14"/>
      <c r="B794" s="127" t="s">
        <v>557</v>
      </c>
      <c r="C794" s="109" t="s">
        <v>510</v>
      </c>
      <c r="D794" s="108" t="s">
        <v>229</v>
      </c>
      <c r="E794" s="108" t="s">
        <v>229</v>
      </c>
      <c r="F794" s="108" t="s">
        <v>558</v>
      </c>
      <c r="G794" s="108" t="s">
        <v>9</v>
      </c>
      <c r="H794" s="126">
        <f t="shared" ref="H794:H795" si="92">H795</f>
        <v>0</v>
      </c>
      <c r="L794" s="20">
        <v>180</v>
      </c>
      <c r="M794" s="20">
        <v>180</v>
      </c>
      <c r="N794" s="20">
        <v>180</v>
      </c>
      <c r="O794" s="20">
        <f>H794-L794</f>
        <v>-180</v>
      </c>
      <c r="P794" s="20" t="e">
        <f>#REF!-M794</f>
        <v>#REF!</v>
      </c>
      <c r="Q794" s="20" t="e">
        <f>#REF!-N794</f>
        <v>#REF!</v>
      </c>
      <c r="R794" s="17" t="str">
        <f t="shared" si="87"/>
        <v>09 Б 03 00000000</v>
      </c>
    </row>
    <row r="795" spans="1:18" s="17" customFormat="1" ht="63">
      <c r="A795" s="14"/>
      <c r="B795" s="125" t="s">
        <v>550</v>
      </c>
      <c r="C795" s="109" t="s">
        <v>510</v>
      </c>
      <c r="D795" s="108" t="s">
        <v>229</v>
      </c>
      <c r="E795" s="108" t="s">
        <v>229</v>
      </c>
      <c r="F795" s="108" t="s">
        <v>559</v>
      </c>
      <c r="G795" s="108" t="s">
        <v>9</v>
      </c>
      <c r="H795" s="126">
        <f t="shared" si="92"/>
        <v>0</v>
      </c>
      <c r="L795" s="20">
        <v>180</v>
      </c>
      <c r="M795" s="20">
        <v>180</v>
      </c>
      <c r="N795" s="20">
        <v>180</v>
      </c>
      <c r="O795" s="20">
        <f>H795-L795</f>
        <v>-180</v>
      </c>
      <c r="P795" s="20" t="e">
        <f>#REF!-M795</f>
        <v>#REF!</v>
      </c>
      <c r="Q795" s="20" t="e">
        <f>#REF!-N795</f>
        <v>#REF!</v>
      </c>
      <c r="R795" s="17" t="str">
        <f t="shared" si="87"/>
        <v>09 Б 03 20460000</v>
      </c>
    </row>
    <row r="796" spans="1:18" s="17" customFormat="1" ht="15.75">
      <c r="A796" s="14"/>
      <c r="B796" s="132" t="s">
        <v>403</v>
      </c>
      <c r="C796" s="109" t="s">
        <v>510</v>
      </c>
      <c r="D796" s="108" t="s">
        <v>229</v>
      </c>
      <c r="E796" s="108" t="s">
        <v>229</v>
      </c>
      <c r="F796" s="108" t="s">
        <v>559</v>
      </c>
      <c r="G796" s="108" t="s">
        <v>404</v>
      </c>
      <c r="H796" s="126">
        <f>H797</f>
        <v>0</v>
      </c>
      <c r="L796" s="20">
        <v>180</v>
      </c>
      <c r="M796" s="20">
        <v>180</v>
      </c>
      <c r="N796" s="20">
        <v>180</v>
      </c>
      <c r="O796" s="20">
        <f>H796-L796</f>
        <v>-180</v>
      </c>
      <c r="P796" s="20" t="e">
        <f>#REF!-M796</f>
        <v>#REF!</v>
      </c>
      <c r="Q796" s="20" t="e">
        <f>#REF!-N796</f>
        <v>#REF!</v>
      </c>
      <c r="R796" s="17" t="str">
        <f t="shared" si="87"/>
        <v>09 Б 03 20460610</v>
      </c>
    </row>
    <row r="797" spans="1:18" s="24" customFormat="1" ht="63">
      <c r="A797" s="21"/>
      <c r="B797" s="127" t="s">
        <v>405</v>
      </c>
      <c r="C797" s="109" t="s">
        <v>510</v>
      </c>
      <c r="D797" s="108" t="s">
        <v>229</v>
      </c>
      <c r="E797" s="108" t="s">
        <v>229</v>
      </c>
      <c r="F797" s="108" t="s">
        <v>559</v>
      </c>
      <c r="G797" s="108" t="s">
        <v>406</v>
      </c>
      <c r="H797" s="126"/>
      <c r="L797" s="22"/>
      <c r="M797" s="22"/>
      <c r="N797" s="22"/>
      <c r="O797" s="22"/>
      <c r="P797" s="22"/>
      <c r="Q797" s="22"/>
    </row>
    <row r="798" spans="1:18" s="17" customFormat="1" ht="47.25">
      <c r="A798" s="14"/>
      <c r="B798" s="127" t="s">
        <v>560</v>
      </c>
      <c r="C798" s="109" t="s">
        <v>510</v>
      </c>
      <c r="D798" s="108" t="s">
        <v>229</v>
      </c>
      <c r="E798" s="108" t="s">
        <v>229</v>
      </c>
      <c r="F798" s="108" t="s">
        <v>561</v>
      </c>
      <c r="G798" s="108" t="s">
        <v>9</v>
      </c>
      <c r="H798" s="126">
        <f t="shared" ref="H798:H799" si="93">H799</f>
        <v>0</v>
      </c>
      <c r="L798" s="20">
        <v>310</v>
      </c>
      <c r="M798" s="20">
        <v>310</v>
      </c>
      <c r="N798" s="20">
        <v>310</v>
      </c>
      <c r="O798" s="20">
        <f>H798-L798</f>
        <v>-310</v>
      </c>
      <c r="P798" s="20" t="e">
        <f>#REF!-M798</f>
        <v>#REF!</v>
      </c>
      <c r="Q798" s="20" t="e">
        <f>#REF!-N798</f>
        <v>#REF!</v>
      </c>
      <c r="R798" s="17" t="str">
        <f t="shared" si="87"/>
        <v>09 Б 04 00000000</v>
      </c>
    </row>
    <row r="799" spans="1:18" s="17" customFormat="1" ht="63">
      <c r="A799" s="14"/>
      <c r="B799" s="125" t="s">
        <v>550</v>
      </c>
      <c r="C799" s="109" t="s">
        <v>510</v>
      </c>
      <c r="D799" s="108" t="s">
        <v>229</v>
      </c>
      <c r="E799" s="108" t="s">
        <v>229</v>
      </c>
      <c r="F799" s="108" t="s">
        <v>562</v>
      </c>
      <c r="G799" s="108" t="s">
        <v>9</v>
      </c>
      <c r="H799" s="126">
        <f t="shared" si="93"/>
        <v>0</v>
      </c>
      <c r="L799" s="20">
        <v>310</v>
      </c>
      <c r="M799" s="20">
        <v>310</v>
      </c>
      <c r="N799" s="20">
        <v>310</v>
      </c>
      <c r="O799" s="20">
        <f>H799-L799</f>
        <v>-310</v>
      </c>
      <c r="P799" s="20" t="e">
        <f>#REF!-M799</f>
        <v>#REF!</v>
      </c>
      <c r="Q799" s="20" t="e">
        <f>#REF!-N799</f>
        <v>#REF!</v>
      </c>
      <c r="R799" s="17" t="str">
        <f t="shared" si="87"/>
        <v>09 Б 04 20460000</v>
      </c>
    </row>
    <row r="800" spans="1:18" s="17" customFormat="1" ht="15.75">
      <c r="A800" s="14"/>
      <c r="B800" s="132" t="s">
        <v>403</v>
      </c>
      <c r="C800" s="109" t="s">
        <v>510</v>
      </c>
      <c r="D800" s="108" t="s">
        <v>229</v>
      </c>
      <c r="E800" s="108" t="s">
        <v>229</v>
      </c>
      <c r="F800" s="108" t="s">
        <v>562</v>
      </c>
      <c r="G800" s="108" t="s">
        <v>404</v>
      </c>
      <c r="H800" s="126">
        <f>H801</f>
        <v>0</v>
      </c>
      <c r="L800" s="20">
        <v>310</v>
      </c>
      <c r="M800" s="20">
        <v>310</v>
      </c>
      <c r="N800" s="20">
        <v>310</v>
      </c>
      <c r="O800" s="20">
        <f>H800-L800</f>
        <v>-310</v>
      </c>
      <c r="P800" s="20" t="e">
        <f>#REF!-M800</f>
        <v>#REF!</v>
      </c>
      <c r="Q800" s="20" t="e">
        <f>#REF!-N800</f>
        <v>#REF!</v>
      </c>
      <c r="R800" s="17" t="str">
        <f t="shared" si="87"/>
        <v>09 Б 04 20460610</v>
      </c>
    </row>
    <row r="801" spans="1:18" s="24" customFormat="1" ht="63">
      <c r="A801" s="21"/>
      <c r="B801" s="127" t="s">
        <v>405</v>
      </c>
      <c r="C801" s="109" t="s">
        <v>510</v>
      </c>
      <c r="D801" s="108" t="s">
        <v>229</v>
      </c>
      <c r="E801" s="108" t="s">
        <v>229</v>
      </c>
      <c r="F801" s="108" t="s">
        <v>562</v>
      </c>
      <c r="G801" s="108" t="s">
        <v>406</v>
      </c>
      <c r="H801" s="126"/>
      <c r="L801" s="22"/>
      <c r="M801" s="22"/>
      <c r="N801" s="22"/>
      <c r="O801" s="22"/>
      <c r="P801" s="22"/>
      <c r="Q801" s="22"/>
    </row>
    <row r="802" spans="1:18" s="17" customFormat="1" ht="47.25">
      <c r="A802" s="14"/>
      <c r="B802" s="127" t="s">
        <v>563</v>
      </c>
      <c r="C802" s="109" t="s">
        <v>510</v>
      </c>
      <c r="D802" s="108" t="s">
        <v>229</v>
      </c>
      <c r="E802" s="108" t="s">
        <v>229</v>
      </c>
      <c r="F802" s="108" t="s">
        <v>564</v>
      </c>
      <c r="G802" s="108" t="s">
        <v>9</v>
      </c>
      <c r="H802" s="126">
        <f t="shared" ref="H802:H803" si="94">H803</f>
        <v>0</v>
      </c>
      <c r="L802" s="20">
        <v>25.54</v>
      </c>
      <c r="M802" s="20">
        <v>25.54</v>
      </c>
      <c r="N802" s="20">
        <v>25.54</v>
      </c>
      <c r="O802" s="20">
        <f>H802-L802</f>
        <v>-25.54</v>
      </c>
      <c r="P802" s="20" t="e">
        <f>#REF!-M802</f>
        <v>#REF!</v>
      </c>
      <c r="Q802" s="20" t="e">
        <f>#REF!-N802</f>
        <v>#REF!</v>
      </c>
      <c r="R802" s="17" t="str">
        <f t="shared" si="87"/>
        <v>09 Б 05 00000000</v>
      </c>
    </row>
    <row r="803" spans="1:18" s="17" customFormat="1" ht="63">
      <c r="A803" s="14"/>
      <c r="B803" s="125" t="s">
        <v>550</v>
      </c>
      <c r="C803" s="109" t="s">
        <v>510</v>
      </c>
      <c r="D803" s="108" t="s">
        <v>229</v>
      </c>
      <c r="E803" s="108" t="s">
        <v>229</v>
      </c>
      <c r="F803" s="108" t="s">
        <v>565</v>
      </c>
      <c r="G803" s="108" t="s">
        <v>9</v>
      </c>
      <c r="H803" s="126">
        <f t="shared" si="94"/>
        <v>0</v>
      </c>
      <c r="L803" s="20">
        <v>25.54</v>
      </c>
      <c r="M803" s="20">
        <v>25.54</v>
      </c>
      <c r="N803" s="20">
        <v>25.54</v>
      </c>
      <c r="O803" s="20">
        <f>H803-L803</f>
        <v>-25.54</v>
      </c>
      <c r="P803" s="20" t="e">
        <f>#REF!-M803</f>
        <v>#REF!</v>
      </c>
      <c r="Q803" s="20" t="e">
        <f>#REF!-N803</f>
        <v>#REF!</v>
      </c>
      <c r="R803" s="17" t="str">
        <f t="shared" si="87"/>
        <v>09 Б 05 20460000</v>
      </c>
    </row>
    <row r="804" spans="1:18" s="17" customFormat="1" ht="15.75">
      <c r="A804" s="14"/>
      <c r="B804" s="132" t="s">
        <v>403</v>
      </c>
      <c r="C804" s="109" t="s">
        <v>510</v>
      </c>
      <c r="D804" s="108" t="s">
        <v>229</v>
      </c>
      <c r="E804" s="108" t="s">
        <v>229</v>
      </c>
      <c r="F804" s="108" t="s">
        <v>565</v>
      </c>
      <c r="G804" s="108" t="s">
        <v>404</v>
      </c>
      <c r="H804" s="126">
        <f>H805</f>
        <v>0</v>
      </c>
      <c r="L804" s="20">
        <v>25.54</v>
      </c>
      <c r="M804" s="20">
        <v>25.54</v>
      </c>
      <c r="N804" s="20">
        <v>25.54</v>
      </c>
      <c r="O804" s="20">
        <f>H804-L804</f>
        <v>-25.54</v>
      </c>
      <c r="P804" s="20" t="e">
        <f>#REF!-M804</f>
        <v>#REF!</v>
      </c>
      <c r="Q804" s="20" t="e">
        <f>#REF!-N804</f>
        <v>#REF!</v>
      </c>
      <c r="R804" s="17" t="str">
        <f t="shared" si="87"/>
        <v>09 Б 05 20460610</v>
      </c>
    </row>
    <row r="805" spans="1:18" s="24" customFormat="1" ht="63">
      <c r="A805" s="21"/>
      <c r="B805" s="127" t="s">
        <v>405</v>
      </c>
      <c r="C805" s="109" t="s">
        <v>510</v>
      </c>
      <c r="D805" s="108" t="s">
        <v>229</v>
      </c>
      <c r="E805" s="108" t="s">
        <v>229</v>
      </c>
      <c r="F805" s="108" t="s">
        <v>565</v>
      </c>
      <c r="G805" s="108" t="s">
        <v>406</v>
      </c>
      <c r="H805" s="126"/>
      <c r="L805" s="22"/>
      <c r="M805" s="22"/>
      <c r="N805" s="22"/>
      <c r="O805" s="22"/>
      <c r="P805" s="22"/>
      <c r="Q805" s="22"/>
    </row>
    <row r="806" spans="1:18" s="17" customFormat="1" ht="47.25">
      <c r="A806" s="14"/>
      <c r="B806" s="127" t="s">
        <v>566</v>
      </c>
      <c r="C806" s="109" t="s">
        <v>510</v>
      </c>
      <c r="D806" s="108" t="s">
        <v>229</v>
      </c>
      <c r="E806" s="108" t="s">
        <v>229</v>
      </c>
      <c r="F806" s="108" t="s">
        <v>567</v>
      </c>
      <c r="G806" s="108" t="s">
        <v>9</v>
      </c>
      <c r="H806" s="126">
        <f t="shared" ref="H806:H807" si="95">H807</f>
        <v>0</v>
      </c>
      <c r="L806" s="20">
        <v>3406.66</v>
      </c>
      <c r="M806" s="20">
        <v>3406.66</v>
      </c>
      <c r="N806" s="20">
        <v>3406.66</v>
      </c>
      <c r="O806" s="20">
        <f>H806-L806</f>
        <v>-3406.66</v>
      </c>
      <c r="P806" s="20" t="e">
        <f>#REF!-M806</f>
        <v>#REF!</v>
      </c>
      <c r="Q806" s="20" t="e">
        <f>#REF!-N806</f>
        <v>#REF!</v>
      </c>
      <c r="R806" s="17" t="str">
        <f t="shared" si="87"/>
        <v>09 Б 06 00000000</v>
      </c>
    </row>
    <row r="807" spans="1:18" s="17" customFormat="1" ht="31.5">
      <c r="A807" s="14"/>
      <c r="B807" s="127" t="s">
        <v>136</v>
      </c>
      <c r="C807" s="109" t="s">
        <v>510</v>
      </c>
      <c r="D807" s="108" t="s">
        <v>229</v>
      </c>
      <c r="E807" s="108" t="s">
        <v>229</v>
      </c>
      <c r="F807" s="108" t="s">
        <v>568</v>
      </c>
      <c r="G807" s="108" t="s">
        <v>9</v>
      </c>
      <c r="H807" s="126">
        <f t="shared" si="95"/>
        <v>0</v>
      </c>
      <c r="L807" s="20">
        <v>3406.66</v>
      </c>
      <c r="M807" s="20">
        <v>3406.66</v>
      </c>
      <c r="N807" s="20">
        <v>3406.66</v>
      </c>
      <c r="O807" s="20">
        <f>H807-L807</f>
        <v>-3406.66</v>
      </c>
      <c r="P807" s="20" t="e">
        <f>#REF!-M807</f>
        <v>#REF!</v>
      </c>
      <c r="Q807" s="20" t="e">
        <f>#REF!-N807</f>
        <v>#REF!</v>
      </c>
      <c r="R807" s="17" t="str">
        <f t="shared" si="87"/>
        <v>09 Б 06 11010000</v>
      </c>
    </row>
    <row r="808" spans="1:18" s="17" customFormat="1" ht="15.75">
      <c r="A808" s="14"/>
      <c r="B808" s="132" t="s">
        <v>403</v>
      </c>
      <c r="C808" s="109" t="s">
        <v>510</v>
      </c>
      <c r="D808" s="108" t="s">
        <v>229</v>
      </c>
      <c r="E808" s="108" t="s">
        <v>229</v>
      </c>
      <c r="F808" s="108" t="s">
        <v>568</v>
      </c>
      <c r="G808" s="108" t="s">
        <v>404</v>
      </c>
      <c r="H808" s="126">
        <f>H809</f>
        <v>0</v>
      </c>
      <c r="L808" s="20">
        <v>3406.66</v>
      </c>
      <c r="M808" s="20">
        <v>3406.66</v>
      </c>
      <c r="N808" s="20">
        <v>3406.66</v>
      </c>
      <c r="O808" s="20">
        <f>H808-L808</f>
        <v>-3406.66</v>
      </c>
      <c r="P808" s="20" t="e">
        <f>#REF!-M808</f>
        <v>#REF!</v>
      </c>
      <c r="Q808" s="20" t="e">
        <f>#REF!-N808</f>
        <v>#REF!</v>
      </c>
      <c r="R808" s="17" t="str">
        <f t="shared" si="87"/>
        <v>09 Б 06 11010610</v>
      </c>
    </row>
    <row r="809" spans="1:18" s="24" customFormat="1" ht="63">
      <c r="A809" s="21"/>
      <c r="B809" s="127" t="s">
        <v>405</v>
      </c>
      <c r="C809" s="109" t="s">
        <v>510</v>
      </c>
      <c r="D809" s="108" t="s">
        <v>229</v>
      </c>
      <c r="E809" s="108" t="s">
        <v>229</v>
      </c>
      <c r="F809" s="108" t="s">
        <v>568</v>
      </c>
      <c r="G809" s="108" t="s">
        <v>406</v>
      </c>
      <c r="H809" s="126"/>
      <c r="L809" s="22"/>
      <c r="M809" s="22"/>
      <c r="N809" s="22"/>
      <c r="O809" s="22"/>
      <c r="P809" s="22"/>
      <c r="Q809" s="22"/>
    </row>
    <row r="810" spans="1:18" s="16" customFormat="1" ht="47.25">
      <c r="A810" s="14"/>
      <c r="B810" s="127" t="s">
        <v>146</v>
      </c>
      <c r="C810" s="109" t="s">
        <v>510</v>
      </c>
      <c r="D810" s="108" t="s">
        <v>229</v>
      </c>
      <c r="E810" s="108" t="s">
        <v>229</v>
      </c>
      <c r="F810" s="130" t="s">
        <v>147</v>
      </c>
      <c r="G810" s="130" t="s">
        <v>9</v>
      </c>
      <c r="H810" s="134">
        <f>H811</f>
        <v>0</v>
      </c>
      <c r="L810" s="27">
        <v>390</v>
      </c>
      <c r="M810" s="27">
        <v>0</v>
      </c>
      <c r="N810" s="27">
        <v>0</v>
      </c>
      <c r="O810" s="27">
        <f>H810-L810</f>
        <v>-390</v>
      </c>
      <c r="P810" s="27" t="e">
        <f>#REF!-M810</f>
        <v>#REF!</v>
      </c>
      <c r="Q810" s="27" t="e">
        <f>#REF!-N810</f>
        <v>#REF!</v>
      </c>
      <c r="R810" s="17" t="str">
        <f t="shared" ref="R810:R814" si="96">CONCATENATE(F810,G810)</f>
        <v>15 0 00 00000000</v>
      </c>
    </row>
    <row r="811" spans="1:18" s="16" customFormat="1" ht="15.75">
      <c r="A811" s="14"/>
      <c r="B811" s="125" t="s">
        <v>148</v>
      </c>
      <c r="C811" s="109" t="s">
        <v>510</v>
      </c>
      <c r="D811" s="108" t="s">
        <v>229</v>
      </c>
      <c r="E811" s="108" t="s">
        <v>229</v>
      </c>
      <c r="F811" s="130" t="s">
        <v>149</v>
      </c>
      <c r="G811" s="130" t="s">
        <v>9</v>
      </c>
      <c r="H811" s="134">
        <f>H812</f>
        <v>0</v>
      </c>
      <c r="L811" s="27">
        <v>390</v>
      </c>
      <c r="M811" s="27">
        <v>0</v>
      </c>
      <c r="N811" s="27">
        <v>0</v>
      </c>
      <c r="O811" s="27">
        <f>H811-L811</f>
        <v>-390</v>
      </c>
      <c r="P811" s="27" t="e">
        <f>#REF!-M811</f>
        <v>#REF!</v>
      </c>
      <c r="Q811" s="27" t="e">
        <f>#REF!-N811</f>
        <v>#REF!</v>
      </c>
      <c r="R811" s="17" t="str">
        <f t="shared" si="96"/>
        <v>15 1 00 00000000</v>
      </c>
    </row>
    <row r="812" spans="1:18" s="16" customFormat="1" ht="78.75">
      <c r="A812" s="14"/>
      <c r="B812" s="129" t="s">
        <v>150</v>
      </c>
      <c r="C812" s="109" t="s">
        <v>510</v>
      </c>
      <c r="D812" s="108" t="s">
        <v>229</v>
      </c>
      <c r="E812" s="108" t="s">
        <v>229</v>
      </c>
      <c r="F812" s="109" t="s">
        <v>151</v>
      </c>
      <c r="G812" s="130" t="s">
        <v>9</v>
      </c>
      <c r="H812" s="134">
        <f>H813</f>
        <v>0</v>
      </c>
      <c r="L812" s="27">
        <v>390</v>
      </c>
      <c r="M812" s="27">
        <v>0</v>
      </c>
      <c r="N812" s="27">
        <v>0</v>
      </c>
      <c r="O812" s="27">
        <f>H812-L812</f>
        <v>-390</v>
      </c>
      <c r="P812" s="27" t="e">
        <f>#REF!-M812</f>
        <v>#REF!</v>
      </c>
      <c r="Q812" s="27" t="e">
        <f>#REF!-N812</f>
        <v>#REF!</v>
      </c>
      <c r="R812" s="17" t="str">
        <f t="shared" si="96"/>
        <v>15 1 01 00000000</v>
      </c>
    </row>
    <row r="813" spans="1:18" s="16" customFormat="1" ht="47.25">
      <c r="A813" s="14"/>
      <c r="B813" s="129" t="s">
        <v>152</v>
      </c>
      <c r="C813" s="109" t="s">
        <v>510</v>
      </c>
      <c r="D813" s="108" t="s">
        <v>229</v>
      </c>
      <c r="E813" s="108" t="s">
        <v>229</v>
      </c>
      <c r="F813" s="109" t="s">
        <v>153</v>
      </c>
      <c r="G813" s="130" t="s">
        <v>9</v>
      </c>
      <c r="H813" s="134">
        <f>SUM(H814:H814)</f>
        <v>0</v>
      </c>
      <c r="L813" s="27">
        <v>390</v>
      </c>
      <c r="M813" s="27">
        <v>0</v>
      </c>
      <c r="N813" s="27">
        <v>0</v>
      </c>
      <c r="O813" s="27">
        <f>H813-L813</f>
        <v>-390</v>
      </c>
      <c r="P813" s="27" t="e">
        <f>#REF!-M813</f>
        <v>#REF!</v>
      </c>
      <c r="Q813" s="27" t="e">
        <f>#REF!-N813</f>
        <v>#REF!</v>
      </c>
      <c r="R813" s="17" t="str">
        <f t="shared" si="96"/>
        <v>15 1 01 20350000</v>
      </c>
    </row>
    <row r="814" spans="1:18" s="16" customFormat="1" ht="15.75">
      <c r="A814" s="14"/>
      <c r="B814" s="132" t="s">
        <v>403</v>
      </c>
      <c r="C814" s="109" t="s">
        <v>510</v>
      </c>
      <c r="D814" s="108" t="s">
        <v>229</v>
      </c>
      <c r="E814" s="108" t="s">
        <v>229</v>
      </c>
      <c r="F814" s="109" t="s">
        <v>153</v>
      </c>
      <c r="G814" s="130" t="s">
        <v>404</v>
      </c>
      <c r="H814" s="126">
        <f>H815</f>
        <v>0</v>
      </c>
      <c r="L814" s="20">
        <v>390</v>
      </c>
      <c r="M814" s="20">
        <v>0</v>
      </c>
      <c r="N814" s="20">
        <v>0</v>
      </c>
      <c r="O814" s="20">
        <f>H814-L814</f>
        <v>-390</v>
      </c>
      <c r="P814" s="20" t="e">
        <f>#REF!-M814</f>
        <v>#REF!</v>
      </c>
      <c r="Q814" s="20" t="e">
        <f>#REF!-N814</f>
        <v>#REF!</v>
      </c>
      <c r="R814" s="17" t="str">
        <f t="shared" si="96"/>
        <v>15 1 01 20350610</v>
      </c>
    </row>
    <row r="815" spans="1:18" s="23" customFormat="1" ht="15.75">
      <c r="A815" s="21"/>
      <c r="B815" s="127" t="s">
        <v>407</v>
      </c>
      <c r="C815" s="109" t="s">
        <v>510</v>
      </c>
      <c r="D815" s="108" t="s">
        <v>229</v>
      </c>
      <c r="E815" s="108" t="s">
        <v>229</v>
      </c>
      <c r="F815" s="109" t="s">
        <v>153</v>
      </c>
      <c r="G815" s="109" t="s">
        <v>408</v>
      </c>
      <c r="H815" s="126"/>
      <c r="L815" s="22"/>
      <c r="M815" s="22"/>
      <c r="N815" s="22"/>
      <c r="O815" s="22"/>
      <c r="P815" s="22"/>
      <c r="Q815" s="22"/>
      <c r="R815" s="24"/>
    </row>
    <row r="816" spans="1:18" s="16" customFormat="1" ht="15.75">
      <c r="A816" s="14"/>
      <c r="B816" s="117" t="s">
        <v>569</v>
      </c>
      <c r="C816" s="118" t="s">
        <v>510</v>
      </c>
      <c r="D816" s="119" t="s">
        <v>238</v>
      </c>
      <c r="E816" s="119" t="s">
        <v>7</v>
      </c>
      <c r="F816" s="119" t="s">
        <v>8</v>
      </c>
      <c r="G816" s="119" t="s">
        <v>9</v>
      </c>
      <c r="H816" s="120">
        <f>H817+H880</f>
        <v>0</v>
      </c>
      <c r="L816" s="18">
        <v>195218.21999999997</v>
      </c>
      <c r="M816" s="18">
        <v>195824.43</v>
      </c>
      <c r="N816" s="18">
        <v>196485.86</v>
      </c>
      <c r="O816" s="18">
        <f t="shared" ref="O816:O822" si="97">H816-L816</f>
        <v>-195218.21999999997</v>
      </c>
      <c r="P816" s="18" t="e">
        <f>#REF!-M816</f>
        <v>#REF!</v>
      </c>
      <c r="Q816" s="18" t="e">
        <f>#REF!-N816</f>
        <v>#REF!</v>
      </c>
      <c r="R816" s="17" t="str">
        <f t="shared" si="87"/>
        <v>00 0 00 00000000</v>
      </c>
    </row>
    <row r="817" spans="1:18" s="16" customFormat="1" ht="15.75">
      <c r="A817" s="14"/>
      <c r="B817" s="121" t="s">
        <v>239</v>
      </c>
      <c r="C817" s="122" t="s">
        <v>510</v>
      </c>
      <c r="D817" s="123" t="s">
        <v>238</v>
      </c>
      <c r="E817" s="123" t="s">
        <v>11</v>
      </c>
      <c r="F817" s="123" t="s">
        <v>8</v>
      </c>
      <c r="G817" s="123" t="s">
        <v>9</v>
      </c>
      <c r="H817" s="124">
        <f>H818+H868+H862+H874</f>
        <v>0</v>
      </c>
      <c r="L817" s="19">
        <v>181607.75999999998</v>
      </c>
      <c r="M817" s="19">
        <v>182213.97</v>
      </c>
      <c r="N817" s="19">
        <v>182875.4</v>
      </c>
      <c r="O817" s="19">
        <f t="shared" si="97"/>
        <v>-181607.75999999998</v>
      </c>
      <c r="P817" s="19" t="e">
        <f>#REF!-M817</f>
        <v>#REF!</v>
      </c>
      <c r="Q817" s="19" t="e">
        <f>#REF!-N817</f>
        <v>#REF!</v>
      </c>
      <c r="R817" s="17" t="str">
        <f t="shared" si="87"/>
        <v>00 0 00 00000000</v>
      </c>
    </row>
    <row r="818" spans="1:18" s="16" customFormat="1" ht="31.5">
      <c r="A818" s="14"/>
      <c r="B818" s="125" t="s">
        <v>240</v>
      </c>
      <c r="C818" s="109" t="s">
        <v>510</v>
      </c>
      <c r="D818" s="108" t="s">
        <v>238</v>
      </c>
      <c r="E818" s="108" t="s">
        <v>11</v>
      </c>
      <c r="F818" s="108" t="s">
        <v>241</v>
      </c>
      <c r="G818" s="108" t="s">
        <v>9</v>
      </c>
      <c r="H818" s="126">
        <f>H819+H826</f>
        <v>0</v>
      </c>
      <c r="L818" s="20">
        <v>180779.58</v>
      </c>
      <c r="M818" s="20">
        <v>181385.79</v>
      </c>
      <c r="N818" s="20">
        <v>182047.22</v>
      </c>
      <c r="O818" s="20">
        <f t="shared" si="97"/>
        <v>-180779.58</v>
      </c>
      <c r="P818" s="20" t="e">
        <f>#REF!-M818</f>
        <v>#REF!</v>
      </c>
      <c r="Q818" s="20" t="e">
        <f>#REF!-N818</f>
        <v>#REF!</v>
      </c>
      <c r="R818" s="17" t="str">
        <f t="shared" si="87"/>
        <v>07 0 00 00000000</v>
      </c>
    </row>
    <row r="819" spans="1:18" s="16" customFormat="1" ht="78.75">
      <c r="A819" s="14"/>
      <c r="B819" s="125" t="s">
        <v>242</v>
      </c>
      <c r="C819" s="109" t="s">
        <v>510</v>
      </c>
      <c r="D819" s="108" t="s">
        <v>238</v>
      </c>
      <c r="E819" s="108" t="s">
        <v>11</v>
      </c>
      <c r="F819" s="108" t="s">
        <v>243</v>
      </c>
      <c r="G819" s="108" t="s">
        <v>9</v>
      </c>
      <c r="H819" s="126">
        <f t="shared" ref="H819:H820" si="98">H820</f>
        <v>0</v>
      </c>
      <c r="L819" s="20">
        <v>5644</v>
      </c>
      <c r="M819" s="20">
        <v>5644</v>
      </c>
      <c r="N819" s="20">
        <v>5644</v>
      </c>
      <c r="O819" s="20">
        <f t="shared" si="97"/>
        <v>-5644</v>
      </c>
      <c r="P819" s="20" t="e">
        <f>#REF!-M819</f>
        <v>#REF!</v>
      </c>
      <c r="Q819" s="20" t="e">
        <f>#REF!-N819</f>
        <v>#REF!</v>
      </c>
      <c r="R819" s="17" t="str">
        <f t="shared" si="87"/>
        <v>07 1 00 00000000</v>
      </c>
    </row>
    <row r="820" spans="1:18" s="16" customFormat="1" ht="110.25">
      <c r="A820" s="14"/>
      <c r="B820" s="125" t="s">
        <v>244</v>
      </c>
      <c r="C820" s="109" t="s">
        <v>510</v>
      </c>
      <c r="D820" s="108" t="s">
        <v>238</v>
      </c>
      <c r="E820" s="108" t="s">
        <v>11</v>
      </c>
      <c r="F820" s="108" t="s">
        <v>245</v>
      </c>
      <c r="G820" s="108" t="s">
        <v>9</v>
      </c>
      <c r="H820" s="126">
        <f t="shared" si="98"/>
        <v>0</v>
      </c>
      <c r="L820" s="20">
        <v>5644</v>
      </c>
      <c r="M820" s="20">
        <v>5644</v>
      </c>
      <c r="N820" s="20">
        <v>5644</v>
      </c>
      <c r="O820" s="20">
        <f t="shared" si="97"/>
        <v>-5644</v>
      </c>
      <c r="P820" s="20" t="e">
        <f>#REF!-M820</f>
        <v>#REF!</v>
      </c>
      <c r="Q820" s="20" t="e">
        <f>#REF!-N820</f>
        <v>#REF!</v>
      </c>
      <c r="R820" s="17" t="str">
        <f t="shared" si="87"/>
        <v>07 1 01 00000000</v>
      </c>
    </row>
    <row r="821" spans="1:18" s="16" customFormat="1" ht="31.5">
      <c r="A821" s="14"/>
      <c r="B821" s="125" t="s">
        <v>246</v>
      </c>
      <c r="C821" s="109" t="s">
        <v>510</v>
      </c>
      <c r="D821" s="108" t="s">
        <v>238</v>
      </c>
      <c r="E821" s="108" t="s">
        <v>11</v>
      </c>
      <c r="F821" s="108" t="s">
        <v>247</v>
      </c>
      <c r="G821" s="108" t="s">
        <v>9</v>
      </c>
      <c r="H821" s="126">
        <f>H822+H824</f>
        <v>0</v>
      </c>
      <c r="L821" s="20">
        <v>5644</v>
      </c>
      <c r="M821" s="20">
        <v>5644</v>
      </c>
      <c r="N821" s="20">
        <v>5644</v>
      </c>
      <c r="O821" s="20">
        <f t="shared" si="97"/>
        <v>-5644</v>
      </c>
      <c r="P821" s="20" t="e">
        <f>#REF!-M821</f>
        <v>#REF!</v>
      </c>
      <c r="Q821" s="20" t="e">
        <f>#REF!-N821</f>
        <v>#REF!</v>
      </c>
      <c r="R821" s="17" t="str">
        <f t="shared" si="87"/>
        <v>07 1 01 20060000</v>
      </c>
    </row>
    <row r="822" spans="1:18" s="16" customFormat="1" ht="15.75">
      <c r="A822" s="14"/>
      <c r="B822" s="132" t="s">
        <v>403</v>
      </c>
      <c r="C822" s="109" t="s">
        <v>510</v>
      </c>
      <c r="D822" s="108" t="s">
        <v>238</v>
      </c>
      <c r="E822" s="108" t="s">
        <v>11</v>
      </c>
      <c r="F822" s="108" t="s">
        <v>247</v>
      </c>
      <c r="G822" s="108" t="s">
        <v>404</v>
      </c>
      <c r="H822" s="126">
        <f>H823</f>
        <v>0</v>
      </c>
      <c r="L822" s="20">
        <v>3172.5</v>
      </c>
      <c r="M822" s="20">
        <v>3172.5</v>
      </c>
      <c r="N822" s="20">
        <v>3172.5</v>
      </c>
      <c r="O822" s="20">
        <f t="shared" si="97"/>
        <v>-3172.5</v>
      </c>
      <c r="P822" s="20" t="e">
        <f>#REF!-M822</f>
        <v>#REF!</v>
      </c>
      <c r="Q822" s="20" t="e">
        <f>#REF!-N822</f>
        <v>#REF!</v>
      </c>
      <c r="R822" s="17" t="str">
        <f t="shared" si="87"/>
        <v>07 1 01 20060610</v>
      </c>
    </row>
    <row r="823" spans="1:18" s="23" customFormat="1" ht="63">
      <c r="A823" s="21"/>
      <c r="B823" s="127" t="s">
        <v>405</v>
      </c>
      <c r="C823" s="109" t="s">
        <v>510</v>
      </c>
      <c r="D823" s="108" t="s">
        <v>238</v>
      </c>
      <c r="E823" s="108" t="s">
        <v>11</v>
      </c>
      <c r="F823" s="108" t="s">
        <v>247</v>
      </c>
      <c r="G823" s="108" t="s">
        <v>406</v>
      </c>
      <c r="H823" s="126"/>
      <c r="L823" s="22"/>
      <c r="M823" s="22"/>
      <c r="N823" s="22"/>
      <c r="O823" s="22"/>
      <c r="P823" s="22"/>
      <c r="Q823" s="22"/>
      <c r="R823" s="24"/>
    </row>
    <row r="824" spans="1:18" s="16" customFormat="1" ht="15.75">
      <c r="A824" s="14"/>
      <c r="B824" s="132" t="s">
        <v>409</v>
      </c>
      <c r="C824" s="109" t="s">
        <v>510</v>
      </c>
      <c r="D824" s="108" t="s">
        <v>238</v>
      </c>
      <c r="E824" s="108" t="s">
        <v>11</v>
      </c>
      <c r="F824" s="108" t="s">
        <v>247</v>
      </c>
      <c r="G824" s="108" t="s">
        <v>410</v>
      </c>
      <c r="H824" s="126">
        <f>H825</f>
        <v>0</v>
      </c>
      <c r="L824" s="20">
        <v>2471.5</v>
      </c>
      <c r="M824" s="20">
        <v>2471.5</v>
      </c>
      <c r="N824" s="20">
        <v>2471.5</v>
      </c>
      <c r="O824" s="20">
        <f>H824-L824</f>
        <v>-2471.5</v>
      </c>
      <c r="P824" s="20" t="e">
        <f>#REF!-M824</f>
        <v>#REF!</v>
      </c>
      <c r="Q824" s="20" t="e">
        <f>#REF!-N824</f>
        <v>#REF!</v>
      </c>
      <c r="R824" s="17" t="str">
        <f t="shared" si="87"/>
        <v>07 1 01 20060620</v>
      </c>
    </row>
    <row r="825" spans="1:18" s="23" customFormat="1" ht="63">
      <c r="A825" s="21"/>
      <c r="B825" s="127" t="s">
        <v>411</v>
      </c>
      <c r="C825" s="109" t="s">
        <v>510</v>
      </c>
      <c r="D825" s="108" t="s">
        <v>238</v>
      </c>
      <c r="E825" s="108" t="s">
        <v>11</v>
      </c>
      <c r="F825" s="108" t="s">
        <v>247</v>
      </c>
      <c r="G825" s="108" t="s">
        <v>412</v>
      </c>
      <c r="H825" s="126"/>
      <c r="L825" s="22"/>
      <c r="M825" s="22"/>
      <c r="N825" s="22"/>
      <c r="O825" s="22"/>
      <c r="P825" s="22"/>
      <c r="Q825" s="22"/>
      <c r="R825" s="24"/>
    </row>
    <row r="826" spans="1:18" s="16" customFormat="1" ht="15.75">
      <c r="A826" s="14"/>
      <c r="B826" s="125" t="s">
        <v>519</v>
      </c>
      <c r="C826" s="109" t="s">
        <v>510</v>
      </c>
      <c r="D826" s="108" t="s">
        <v>238</v>
      </c>
      <c r="E826" s="108" t="s">
        <v>11</v>
      </c>
      <c r="F826" s="108" t="s">
        <v>520</v>
      </c>
      <c r="G826" s="108" t="s">
        <v>9</v>
      </c>
      <c r="H826" s="126">
        <f>H827+H833+H837+H844+H854+H850+H858</f>
        <v>0</v>
      </c>
      <c r="L826" s="20">
        <v>175135.58</v>
      </c>
      <c r="M826" s="20">
        <v>175741.79</v>
      </c>
      <c r="N826" s="20">
        <v>176403.22</v>
      </c>
      <c r="O826" s="20">
        <f>H826-L826</f>
        <v>-175135.58</v>
      </c>
      <c r="P826" s="20" t="e">
        <f>#REF!-M826</f>
        <v>#REF!</v>
      </c>
      <c r="Q826" s="20" t="e">
        <f>#REF!-N826</f>
        <v>#REF!</v>
      </c>
      <c r="R826" s="17" t="str">
        <f t="shared" si="87"/>
        <v>07 2 00 00000000</v>
      </c>
    </row>
    <row r="827" spans="1:18" s="16" customFormat="1" ht="47.25">
      <c r="A827" s="14"/>
      <c r="B827" s="125" t="s">
        <v>570</v>
      </c>
      <c r="C827" s="109" t="s">
        <v>510</v>
      </c>
      <c r="D827" s="108" t="s">
        <v>238</v>
      </c>
      <c r="E827" s="108" t="s">
        <v>11</v>
      </c>
      <c r="F827" s="108" t="s">
        <v>571</v>
      </c>
      <c r="G827" s="108" t="s">
        <v>9</v>
      </c>
      <c r="H827" s="126">
        <f>H828</f>
        <v>0</v>
      </c>
      <c r="L827" s="20">
        <v>61284.66</v>
      </c>
      <c r="M827" s="20">
        <v>61284.66</v>
      </c>
      <c r="N827" s="20">
        <v>61284.66</v>
      </c>
      <c r="O827" s="20">
        <f>H827-L827</f>
        <v>-61284.66</v>
      </c>
      <c r="P827" s="20" t="e">
        <f>#REF!-M827</f>
        <v>#REF!</v>
      </c>
      <c r="Q827" s="20" t="e">
        <f>#REF!-N827</f>
        <v>#REF!</v>
      </c>
      <c r="R827" s="17" t="str">
        <f t="shared" si="87"/>
        <v>07 2 02 00000000</v>
      </c>
    </row>
    <row r="828" spans="1:18" s="16" customFormat="1" ht="31.5">
      <c r="A828" s="14"/>
      <c r="B828" s="125" t="s">
        <v>136</v>
      </c>
      <c r="C828" s="109" t="s">
        <v>510</v>
      </c>
      <c r="D828" s="108" t="s">
        <v>238</v>
      </c>
      <c r="E828" s="108" t="s">
        <v>11</v>
      </c>
      <c r="F828" s="108" t="s">
        <v>572</v>
      </c>
      <c r="G828" s="108" t="s">
        <v>9</v>
      </c>
      <c r="H828" s="126">
        <f>H829+H831</f>
        <v>0</v>
      </c>
      <c r="L828" s="20">
        <v>61284.66</v>
      </c>
      <c r="M828" s="20">
        <v>61284.66</v>
      </c>
      <c r="N828" s="20">
        <v>61284.66</v>
      </c>
      <c r="O828" s="20">
        <f>H828-L828</f>
        <v>-61284.66</v>
      </c>
      <c r="P828" s="20" t="e">
        <f>#REF!-M828</f>
        <v>#REF!</v>
      </c>
      <c r="Q828" s="20" t="e">
        <f>#REF!-N828</f>
        <v>#REF!</v>
      </c>
      <c r="R828" s="17" t="str">
        <f t="shared" si="87"/>
        <v>07 2 02 11010000</v>
      </c>
    </row>
    <row r="829" spans="1:18" s="16" customFormat="1" ht="15.75">
      <c r="A829" s="14"/>
      <c r="B829" s="132" t="s">
        <v>403</v>
      </c>
      <c r="C829" s="109" t="s">
        <v>510</v>
      </c>
      <c r="D829" s="108" t="s">
        <v>238</v>
      </c>
      <c r="E829" s="108" t="s">
        <v>11</v>
      </c>
      <c r="F829" s="108" t="s">
        <v>572</v>
      </c>
      <c r="G829" s="108" t="s">
        <v>404</v>
      </c>
      <c r="H829" s="126">
        <f>H830</f>
        <v>0</v>
      </c>
      <c r="L829" s="20">
        <v>40143.19</v>
      </c>
      <c r="M829" s="20">
        <v>40143.19</v>
      </c>
      <c r="N829" s="20">
        <v>40143.19</v>
      </c>
      <c r="O829" s="20">
        <f>H829-L829</f>
        <v>-40143.19</v>
      </c>
      <c r="P829" s="20" t="e">
        <f>#REF!-M829</f>
        <v>#REF!</v>
      </c>
      <c r="Q829" s="20" t="e">
        <f>#REF!-N829</f>
        <v>#REF!</v>
      </c>
      <c r="R829" s="17" t="str">
        <f t="shared" si="87"/>
        <v>07 2 02 11010610</v>
      </c>
    </row>
    <row r="830" spans="1:18" s="23" customFormat="1" ht="63">
      <c r="A830" s="21"/>
      <c r="B830" s="127" t="s">
        <v>405</v>
      </c>
      <c r="C830" s="109" t="s">
        <v>510</v>
      </c>
      <c r="D830" s="108" t="s">
        <v>238</v>
      </c>
      <c r="E830" s="108" t="s">
        <v>11</v>
      </c>
      <c r="F830" s="108" t="s">
        <v>572</v>
      </c>
      <c r="G830" s="108" t="s">
        <v>406</v>
      </c>
      <c r="H830" s="126"/>
      <c r="L830" s="22"/>
      <c r="M830" s="22"/>
      <c r="N830" s="22"/>
      <c r="O830" s="22"/>
      <c r="P830" s="22"/>
      <c r="Q830" s="22"/>
      <c r="R830" s="24"/>
    </row>
    <row r="831" spans="1:18" s="16" customFormat="1" ht="15.75">
      <c r="A831" s="14"/>
      <c r="B831" s="132" t="s">
        <v>409</v>
      </c>
      <c r="C831" s="109" t="s">
        <v>510</v>
      </c>
      <c r="D831" s="108" t="s">
        <v>238</v>
      </c>
      <c r="E831" s="108" t="s">
        <v>11</v>
      </c>
      <c r="F831" s="108" t="s">
        <v>572</v>
      </c>
      <c r="G831" s="108" t="s">
        <v>410</v>
      </c>
      <c r="H831" s="126">
        <f>H832</f>
        <v>0</v>
      </c>
      <c r="L831" s="20">
        <v>21141.47</v>
      </c>
      <c r="M831" s="20">
        <v>21141.47</v>
      </c>
      <c r="N831" s="20">
        <v>21141.47</v>
      </c>
      <c r="O831" s="20">
        <f>H831-L831</f>
        <v>-21141.47</v>
      </c>
      <c r="P831" s="20" t="e">
        <f>#REF!-M831</f>
        <v>#REF!</v>
      </c>
      <c r="Q831" s="20" t="e">
        <f>#REF!-N831</f>
        <v>#REF!</v>
      </c>
      <c r="R831" s="17" t="str">
        <f t="shared" si="87"/>
        <v>07 2 02 11010620</v>
      </c>
    </row>
    <row r="832" spans="1:18" s="23" customFormat="1" ht="63">
      <c r="A832" s="21"/>
      <c r="B832" s="127" t="s">
        <v>411</v>
      </c>
      <c r="C832" s="109" t="s">
        <v>510</v>
      </c>
      <c r="D832" s="108" t="s">
        <v>238</v>
      </c>
      <c r="E832" s="108" t="s">
        <v>11</v>
      </c>
      <c r="F832" s="108" t="s">
        <v>572</v>
      </c>
      <c r="G832" s="108" t="s">
        <v>412</v>
      </c>
      <c r="H832" s="126"/>
      <c r="L832" s="22"/>
      <c r="M832" s="22"/>
      <c r="N832" s="22"/>
      <c r="O832" s="22"/>
      <c r="P832" s="22"/>
      <c r="Q832" s="22"/>
      <c r="R832" s="24"/>
    </row>
    <row r="833" spans="1:18" s="16" customFormat="1" ht="47.25">
      <c r="A833" s="14"/>
      <c r="B833" s="125" t="s">
        <v>573</v>
      </c>
      <c r="C833" s="109" t="s">
        <v>510</v>
      </c>
      <c r="D833" s="108" t="s">
        <v>238</v>
      </c>
      <c r="E833" s="108" t="s">
        <v>11</v>
      </c>
      <c r="F833" s="108" t="s">
        <v>574</v>
      </c>
      <c r="G833" s="108" t="s">
        <v>9</v>
      </c>
      <c r="H833" s="126">
        <f>H834</f>
        <v>0</v>
      </c>
      <c r="L833" s="20">
        <v>3557.02</v>
      </c>
      <c r="M833" s="20">
        <v>3557.02</v>
      </c>
      <c r="N833" s="20">
        <v>3557.02</v>
      </c>
      <c r="O833" s="20">
        <f>H833-L833</f>
        <v>-3557.02</v>
      </c>
      <c r="P833" s="20" t="e">
        <f>#REF!-M833</f>
        <v>#REF!</v>
      </c>
      <c r="Q833" s="20" t="e">
        <f>#REF!-N833</f>
        <v>#REF!</v>
      </c>
      <c r="R833" s="17" t="str">
        <f t="shared" si="87"/>
        <v>07 2 03 00000000</v>
      </c>
    </row>
    <row r="834" spans="1:18" s="16" customFormat="1" ht="31.5">
      <c r="A834" s="14"/>
      <c r="B834" s="125" t="s">
        <v>136</v>
      </c>
      <c r="C834" s="109" t="s">
        <v>510</v>
      </c>
      <c r="D834" s="108" t="s">
        <v>238</v>
      </c>
      <c r="E834" s="108" t="s">
        <v>11</v>
      </c>
      <c r="F834" s="108" t="s">
        <v>575</v>
      </c>
      <c r="G834" s="108" t="s">
        <v>9</v>
      </c>
      <c r="H834" s="126">
        <f t="shared" ref="H834" si="99">H835</f>
        <v>0</v>
      </c>
      <c r="L834" s="20">
        <v>3557.02</v>
      </c>
      <c r="M834" s="20">
        <v>3557.02</v>
      </c>
      <c r="N834" s="20">
        <v>3557.02</v>
      </c>
      <c r="O834" s="20">
        <f>H834-L834</f>
        <v>-3557.02</v>
      </c>
      <c r="P834" s="20" t="e">
        <f>#REF!-M834</f>
        <v>#REF!</v>
      </c>
      <c r="Q834" s="20" t="e">
        <f>#REF!-N834</f>
        <v>#REF!</v>
      </c>
      <c r="R834" s="17" t="str">
        <f t="shared" si="87"/>
        <v>07 2 03 11010000</v>
      </c>
    </row>
    <row r="835" spans="1:18" s="16" customFormat="1" ht="15.75">
      <c r="A835" s="14"/>
      <c r="B835" s="132" t="s">
        <v>403</v>
      </c>
      <c r="C835" s="109" t="s">
        <v>510</v>
      </c>
      <c r="D835" s="108" t="s">
        <v>238</v>
      </c>
      <c r="E835" s="108" t="s">
        <v>11</v>
      </c>
      <c r="F835" s="108" t="s">
        <v>575</v>
      </c>
      <c r="G835" s="108" t="s">
        <v>404</v>
      </c>
      <c r="H835" s="126">
        <f>H836</f>
        <v>0</v>
      </c>
      <c r="L835" s="20">
        <v>3557.02</v>
      </c>
      <c r="M835" s="20">
        <v>3557.02</v>
      </c>
      <c r="N835" s="20">
        <v>3557.02</v>
      </c>
      <c r="O835" s="20">
        <f>H835-L835</f>
        <v>-3557.02</v>
      </c>
      <c r="P835" s="20" t="e">
        <f>#REF!-M835</f>
        <v>#REF!</v>
      </c>
      <c r="Q835" s="20" t="e">
        <f>#REF!-N835</f>
        <v>#REF!</v>
      </c>
      <c r="R835" s="17" t="str">
        <f t="shared" si="87"/>
        <v>07 2 03 11010610</v>
      </c>
    </row>
    <row r="836" spans="1:18" s="23" customFormat="1" ht="63">
      <c r="A836" s="21"/>
      <c r="B836" s="127" t="s">
        <v>405</v>
      </c>
      <c r="C836" s="109" t="s">
        <v>510</v>
      </c>
      <c r="D836" s="108" t="s">
        <v>238</v>
      </c>
      <c r="E836" s="108" t="s">
        <v>11</v>
      </c>
      <c r="F836" s="108" t="s">
        <v>575</v>
      </c>
      <c r="G836" s="108" t="s">
        <v>406</v>
      </c>
      <c r="H836" s="126"/>
      <c r="L836" s="22"/>
      <c r="M836" s="22"/>
      <c r="N836" s="22"/>
      <c r="O836" s="22"/>
      <c r="P836" s="22"/>
      <c r="Q836" s="22"/>
      <c r="R836" s="24"/>
    </row>
    <row r="837" spans="1:18" s="16" customFormat="1" ht="47.25">
      <c r="A837" s="14"/>
      <c r="B837" s="125" t="s">
        <v>576</v>
      </c>
      <c r="C837" s="109" t="s">
        <v>510</v>
      </c>
      <c r="D837" s="108" t="s">
        <v>238</v>
      </c>
      <c r="E837" s="108" t="s">
        <v>11</v>
      </c>
      <c r="F837" s="108" t="s">
        <v>577</v>
      </c>
      <c r="G837" s="108" t="s">
        <v>9</v>
      </c>
      <c r="H837" s="126">
        <f>H838+H841</f>
        <v>0</v>
      </c>
      <c r="L837" s="20">
        <v>50161.369999999995</v>
      </c>
      <c r="M837" s="20">
        <v>50816.57</v>
      </c>
      <c r="N837" s="20">
        <v>50816.57</v>
      </c>
      <c r="O837" s="20">
        <f>H837-L837</f>
        <v>-50161.369999999995</v>
      </c>
      <c r="P837" s="20" t="e">
        <f>#REF!-M837</f>
        <v>#REF!</v>
      </c>
      <c r="Q837" s="20" t="e">
        <f>#REF!-N837</f>
        <v>#REF!</v>
      </c>
      <c r="R837" s="17" t="str">
        <f t="shared" si="87"/>
        <v>07 2 04 00000000</v>
      </c>
    </row>
    <row r="838" spans="1:18" s="16" customFormat="1" ht="31.5">
      <c r="A838" s="14"/>
      <c r="B838" s="125" t="s">
        <v>136</v>
      </c>
      <c r="C838" s="109" t="s">
        <v>510</v>
      </c>
      <c r="D838" s="108" t="s">
        <v>238</v>
      </c>
      <c r="E838" s="108" t="s">
        <v>11</v>
      </c>
      <c r="F838" s="108" t="s">
        <v>578</v>
      </c>
      <c r="G838" s="108" t="s">
        <v>9</v>
      </c>
      <c r="H838" s="126">
        <f>H839</f>
        <v>0</v>
      </c>
      <c r="L838" s="20">
        <v>49039.27</v>
      </c>
      <c r="M838" s="20">
        <v>49039.27</v>
      </c>
      <c r="N838" s="20">
        <v>49039.27</v>
      </c>
      <c r="O838" s="20">
        <f>H838-L838</f>
        <v>-49039.27</v>
      </c>
      <c r="P838" s="20" t="e">
        <f>#REF!-M838</f>
        <v>#REF!</v>
      </c>
      <c r="Q838" s="20" t="e">
        <f>#REF!-N838</f>
        <v>#REF!</v>
      </c>
      <c r="R838" s="17" t="str">
        <f t="shared" si="87"/>
        <v>07 2 04 11010000</v>
      </c>
    </row>
    <row r="839" spans="1:18" s="16" customFormat="1" ht="15.75">
      <c r="A839" s="14"/>
      <c r="B839" s="132" t="s">
        <v>403</v>
      </c>
      <c r="C839" s="109" t="s">
        <v>510</v>
      </c>
      <c r="D839" s="108" t="s">
        <v>238</v>
      </c>
      <c r="E839" s="108" t="s">
        <v>11</v>
      </c>
      <c r="F839" s="108" t="s">
        <v>578</v>
      </c>
      <c r="G839" s="108" t="s">
        <v>404</v>
      </c>
      <c r="H839" s="126">
        <f>H840</f>
        <v>0</v>
      </c>
      <c r="L839" s="20">
        <v>49039.27</v>
      </c>
      <c r="M839" s="20">
        <v>49039.27</v>
      </c>
      <c r="N839" s="20">
        <v>49039.27</v>
      </c>
      <c r="O839" s="20">
        <f>H839-L839</f>
        <v>-49039.27</v>
      </c>
      <c r="P839" s="20" t="e">
        <f>#REF!-M839</f>
        <v>#REF!</v>
      </c>
      <c r="Q839" s="20" t="e">
        <f>#REF!-N839</f>
        <v>#REF!</v>
      </c>
      <c r="R839" s="17" t="str">
        <f t="shared" si="87"/>
        <v>07 2 04 11010610</v>
      </c>
    </row>
    <row r="840" spans="1:18" s="23" customFormat="1" ht="63">
      <c r="A840" s="21"/>
      <c r="B840" s="127" t="s">
        <v>405</v>
      </c>
      <c r="C840" s="109" t="s">
        <v>510</v>
      </c>
      <c r="D840" s="108" t="s">
        <v>238</v>
      </c>
      <c r="E840" s="108" t="s">
        <v>11</v>
      </c>
      <c r="F840" s="108" t="s">
        <v>578</v>
      </c>
      <c r="G840" s="108" t="s">
        <v>406</v>
      </c>
      <c r="H840" s="126"/>
      <c r="L840" s="22"/>
      <c r="M840" s="22"/>
      <c r="N840" s="22"/>
      <c r="O840" s="22"/>
      <c r="P840" s="22"/>
      <c r="Q840" s="22"/>
      <c r="R840" s="24"/>
    </row>
    <row r="841" spans="1:18" s="16" customFormat="1" ht="47.25">
      <c r="A841" s="14"/>
      <c r="B841" s="132" t="s">
        <v>579</v>
      </c>
      <c r="C841" s="109" t="s">
        <v>510</v>
      </c>
      <c r="D841" s="108" t="s">
        <v>238</v>
      </c>
      <c r="E841" s="108" t="s">
        <v>11</v>
      </c>
      <c r="F841" s="108" t="s">
        <v>580</v>
      </c>
      <c r="G841" s="108" t="s">
        <v>9</v>
      </c>
      <c r="H841" s="126">
        <f>H842</f>
        <v>0</v>
      </c>
      <c r="L841" s="20">
        <v>1122.0999999999999</v>
      </c>
      <c r="M841" s="20">
        <v>1777.3</v>
      </c>
      <c r="N841" s="20">
        <v>1777.3</v>
      </c>
      <c r="O841" s="20">
        <f>H841-L841</f>
        <v>-1122.0999999999999</v>
      </c>
      <c r="P841" s="20" t="e">
        <f>#REF!-M841</f>
        <v>#REF!</v>
      </c>
      <c r="Q841" s="20" t="e">
        <f>#REF!-N841</f>
        <v>#REF!</v>
      </c>
      <c r="R841" s="17" t="str">
        <f t="shared" si="87"/>
        <v>07 2 04 L5194000</v>
      </c>
    </row>
    <row r="842" spans="1:18" s="16" customFormat="1" ht="15.75">
      <c r="A842" s="14"/>
      <c r="B842" s="132" t="s">
        <v>403</v>
      </c>
      <c r="C842" s="109" t="s">
        <v>510</v>
      </c>
      <c r="D842" s="108" t="s">
        <v>238</v>
      </c>
      <c r="E842" s="108" t="s">
        <v>11</v>
      </c>
      <c r="F842" s="108" t="s">
        <v>580</v>
      </c>
      <c r="G842" s="108" t="s">
        <v>404</v>
      </c>
      <c r="H842" s="126">
        <f>H843</f>
        <v>0</v>
      </c>
      <c r="L842" s="20">
        <v>1122.0999999999999</v>
      </c>
      <c r="M842" s="20">
        <v>1777.3</v>
      </c>
      <c r="N842" s="20">
        <v>1777.3</v>
      </c>
      <c r="O842" s="20">
        <f>H842-L842</f>
        <v>-1122.0999999999999</v>
      </c>
      <c r="P842" s="20" t="e">
        <f>#REF!-M842</f>
        <v>#REF!</v>
      </c>
      <c r="Q842" s="20" t="e">
        <f>#REF!-N842</f>
        <v>#REF!</v>
      </c>
      <c r="R842" s="17" t="str">
        <f t="shared" si="87"/>
        <v>07 2 04 L5194610</v>
      </c>
    </row>
    <row r="843" spans="1:18" s="16" customFormat="1" ht="63">
      <c r="A843" s="14"/>
      <c r="B843" s="127" t="s">
        <v>405</v>
      </c>
      <c r="C843" s="109" t="s">
        <v>510</v>
      </c>
      <c r="D843" s="108" t="s">
        <v>238</v>
      </c>
      <c r="E843" s="108" t="s">
        <v>11</v>
      </c>
      <c r="F843" s="108" t="s">
        <v>580</v>
      </c>
      <c r="G843" s="108" t="s">
        <v>406</v>
      </c>
      <c r="H843" s="126"/>
      <c r="L843" s="20"/>
      <c r="M843" s="20"/>
      <c r="N843" s="20"/>
      <c r="O843" s="20"/>
      <c r="P843" s="20"/>
      <c r="Q843" s="20"/>
      <c r="R843" s="17"/>
    </row>
    <row r="844" spans="1:18" s="16" customFormat="1" ht="47.25">
      <c r="A844" s="14"/>
      <c r="B844" s="125" t="s">
        <v>581</v>
      </c>
      <c r="C844" s="109" t="s">
        <v>510</v>
      </c>
      <c r="D844" s="108" t="s">
        <v>238</v>
      </c>
      <c r="E844" s="108" t="s">
        <v>11</v>
      </c>
      <c r="F844" s="108" t="s">
        <v>582</v>
      </c>
      <c r="G844" s="108" t="s">
        <v>9</v>
      </c>
      <c r="H844" s="126">
        <f>H845</f>
        <v>0</v>
      </c>
      <c r="L844" s="20">
        <v>57181.409999999996</v>
      </c>
      <c r="M844" s="20">
        <v>57181.409999999996</v>
      </c>
      <c r="N844" s="20">
        <v>57181.409999999996</v>
      </c>
      <c r="O844" s="20">
        <f>H844-L844</f>
        <v>-57181.409999999996</v>
      </c>
      <c r="P844" s="20" t="e">
        <f>#REF!-M844</f>
        <v>#REF!</v>
      </c>
      <c r="Q844" s="20" t="e">
        <f>#REF!-N844</f>
        <v>#REF!</v>
      </c>
      <c r="R844" s="17" t="str">
        <f t="shared" si="87"/>
        <v>07 2 05 00000000</v>
      </c>
    </row>
    <row r="845" spans="1:18" s="16" customFormat="1" ht="31.5">
      <c r="A845" s="14"/>
      <c r="B845" s="125" t="s">
        <v>136</v>
      </c>
      <c r="C845" s="109" t="s">
        <v>510</v>
      </c>
      <c r="D845" s="108" t="s">
        <v>238</v>
      </c>
      <c r="E845" s="108" t="s">
        <v>11</v>
      </c>
      <c r="F845" s="108" t="s">
        <v>583</v>
      </c>
      <c r="G845" s="108" t="s">
        <v>9</v>
      </c>
      <c r="H845" s="126">
        <f>H846+H848</f>
        <v>0</v>
      </c>
      <c r="L845" s="20">
        <v>57181.409999999996</v>
      </c>
      <c r="M845" s="20">
        <v>57181.409999999996</v>
      </c>
      <c r="N845" s="20">
        <v>57181.409999999996</v>
      </c>
      <c r="O845" s="20">
        <f>H845-L845</f>
        <v>-57181.409999999996</v>
      </c>
      <c r="P845" s="20" t="e">
        <f>#REF!-M845</f>
        <v>#REF!</v>
      </c>
      <c r="Q845" s="20" t="e">
        <f>#REF!-N845</f>
        <v>#REF!</v>
      </c>
      <c r="R845" s="17" t="str">
        <f t="shared" si="87"/>
        <v>07 2 05 11010000</v>
      </c>
    </row>
    <row r="846" spans="1:18" s="16" customFormat="1" ht="15.75">
      <c r="A846" s="14"/>
      <c r="B846" s="132" t="s">
        <v>403</v>
      </c>
      <c r="C846" s="109" t="s">
        <v>510</v>
      </c>
      <c r="D846" s="108" t="s">
        <v>238</v>
      </c>
      <c r="E846" s="108" t="s">
        <v>11</v>
      </c>
      <c r="F846" s="108" t="s">
        <v>583</v>
      </c>
      <c r="G846" s="108" t="s">
        <v>404</v>
      </c>
      <c r="H846" s="126">
        <f>H847</f>
        <v>0</v>
      </c>
      <c r="L846" s="20">
        <v>46565.7</v>
      </c>
      <c r="M846" s="20">
        <v>46565.7</v>
      </c>
      <c r="N846" s="20">
        <v>46565.7</v>
      </c>
      <c r="O846" s="20">
        <f>H846-L846</f>
        <v>-46565.7</v>
      </c>
      <c r="P846" s="20" t="e">
        <f>#REF!-M846</f>
        <v>#REF!</v>
      </c>
      <c r="Q846" s="20" t="e">
        <f>#REF!-N846</f>
        <v>#REF!</v>
      </c>
      <c r="R846" s="17" t="str">
        <f t="shared" si="87"/>
        <v>07 2 05 11010610</v>
      </c>
    </row>
    <row r="847" spans="1:18" s="23" customFormat="1" ht="63">
      <c r="A847" s="21"/>
      <c r="B847" s="127" t="s">
        <v>405</v>
      </c>
      <c r="C847" s="109" t="s">
        <v>510</v>
      </c>
      <c r="D847" s="108" t="s">
        <v>238</v>
      </c>
      <c r="E847" s="108" t="s">
        <v>11</v>
      </c>
      <c r="F847" s="108" t="s">
        <v>583</v>
      </c>
      <c r="G847" s="108" t="s">
        <v>406</v>
      </c>
      <c r="H847" s="126"/>
      <c r="L847" s="22"/>
      <c r="M847" s="22"/>
      <c r="N847" s="22"/>
      <c r="O847" s="22"/>
      <c r="P847" s="22"/>
      <c r="Q847" s="22"/>
      <c r="R847" s="24"/>
    </row>
    <row r="848" spans="1:18" s="16" customFormat="1" ht="15.75">
      <c r="A848" s="14"/>
      <c r="B848" s="132" t="s">
        <v>409</v>
      </c>
      <c r="C848" s="109" t="s">
        <v>510</v>
      </c>
      <c r="D848" s="108" t="s">
        <v>238</v>
      </c>
      <c r="E848" s="108" t="s">
        <v>11</v>
      </c>
      <c r="F848" s="108" t="s">
        <v>583</v>
      </c>
      <c r="G848" s="108" t="s">
        <v>410</v>
      </c>
      <c r="H848" s="126">
        <f>H849</f>
        <v>0</v>
      </c>
      <c r="L848" s="20">
        <v>10615.71</v>
      </c>
      <c r="M848" s="20">
        <v>10615.71</v>
      </c>
      <c r="N848" s="20">
        <v>10615.71</v>
      </c>
      <c r="O848" s="20">
        <f>H848-L848</f>
        <v>-10615.71</v>
      </c>
      <c r="P848" s="20" t="e">
        <f>#REF!-M848</f>
        <v>#REF!</v>
      </c>
      <c r="Q848" s="20" t="e">
        <f>#REF!-N848</f>
        <v>#REF!</v>
      </c>
      <c r="R848" s="17" t="str">
        <f t="shared" si="87"/>
        <v>07 2 05 11010620</v>
      </c>
    </row>
    <row r="849" spans="1:18" s="23" customFormat="1" ht="63">
      <c r="A849" s="21"/>
      <c r="B849" s="127" t="s">
        <v>411</v>
      </c>
      <c r="C849" s="109" t="s">
        <v>510</v>
      </c>
      <c r="D849" s="108" t="s">
        <v>238</v>
      </c>
      <c r="E849" s="108" t="s">
        <v>11</v>
      </c>
      <c r="F849" s="108" t="s">
        <v>583</v>
      </c>
      <c r="G849" s="108" t="s">
        <v>412</v>
      </c>
      <c r="H849" s="126"/>
      <c r="L849" s="22"/>
      <c r="M849" s="22"/>
      <c r="N849" s="22"/>
      <c r="O849" s="22"/>
      <c r="P849" s="22"/>
      <c r="Q849" s="22"/>
      <c r="R849" s="24"/>
    </row>
    <row r="850" spans="1:18" s="16" customFormat="1" ht="63">
      <c r="A850" s="14"/>
      <c r="B850" s="125" t="s">
        <v>524</v>
      </c>
      <c r="C850" s="109" t="s">
        <v>510</v>
      </c>
      <c r="D850" s="108" t="s">
        <v>238</v>
      </c>
      <c r="E850" s="108" t="s">
        <v>11</v>
      </c>
      <c r="F850" s="108" t="s">
        <v>525</v>
      </c>
      <c r="G850" s="108" t="s">
        <v>9</v>
      </c>
      <c r="H850" s="126">
        <f t="shared" ref="H850:H851" si="100">H851</f>
        <v>0</v>
      </c>
      <c r="L850" s="20">
        <v>1034.08</v>
      </c>
      <c r="M850" s="20">
        <v>1934.53</v>
      </c>
      <c r="N850" s="20">
        <v>2595.96</v>
      </c>
      <c r="O850" s="20">
        <f>H850-L850</f>
        <v>-1034.08</v>
      </c>
      <c r="P850" s="20" t="e">
        <f>#REF!-M850</f>
        <v>#REF!</v>
      </c>
      <c r="Q850" s="20" t="e">
        <f>#REF!-N850</f>
        <v>#REF!</v>
      </c>
      <c r="R850" s="17" t="str">
        <f t="shared" si="87"/>
        <v>07 2 06 00000000</v>
      </c>
    </row>
    <row r="851" spans="1:18" s="16" customFormat="1" ht="47.25">
      <c r="A851" s="14"/>
      <c r="B851" s="125" t="s">
        <v>526</v>
      </c>
      <c r="C851" s="109" t="s">
        <v>510</v>
      </c>
      <c r="D851" s="108" t="s">
        <v>238</v>
      </c>
      <c r="E851" s="108" t="s">
        <v>11</v>
      </c>
      <c r="F851" s="108" t="s">
        <v>527</v>
      </c>
      <c r="G851" s="108" t="s">
        <v>9</v>
      </c>
      <c r="H851" s="126">
        <f t="shared" si="100"/>
        <v>0</v>
      </c>
      <c r="L851" s="20">
        <v>1034.08</v>
      </c>
      <c r="M851" s="20">
        <v>1934.53</v>
      </c>
      <c r="N851" s="20">
        <v>2595.96</v>
      </c>
      <c r="O851" s="20">
        <f>H851-L851</f>
        <v>-1034.08</v>
      </c>
      <c r="P851" s="20" t="e">
        <f>#REF!-M851</f>
        <v>#REF!</v>
      </c>
      <c r="Q851" s="20" t="e">
        <f>#REF!-N851</f>
        <v>#REF!</v>
      </c>
      <c r="R851" s="17" t="str">
        <f t="shared" si="87"/>
        <v>07 2 06 20400000</v>
      </c>
    </row>
    <row r="852" spans="1:18" s="16" customFormat="1" ht="15.75">
      <c r="A852" s="14"/>
      <c r="B852" s="132" t="s">
        <v>403</v>
      </c>
      <c r="C852" s="109" t="s">
        <v>510</v>
      </c>
      <c r="D852" s="108" t="s">
        <v>238</v>
      </c>
      <c r="E852" s="108" t="s">
        <v>11</v>
      </c>
      <c r="F852" s="108" t="s">
        <v>527</v>
      </c>
      <c r="G852" s="108" t="s">
        <v>404</v>
      </c>
      <c r="H852" s="126">
        <f>H853</f>
        <v>0</v>
      </c>
      <c r="L852" s="20">
        <v>1034.08</v>
      </c>
      <c r="M852" s="20">
        <v>1934.53</v>
      </c>
      <c r="N852" s="20">
        <v>2595.96</v>
      </c>
      <c r="O852" s="20">
        <f>H852-L852</f>
        <v>-1034.08</v>
      </c>
      <c r="P852" s="20" t="e">
        <f>#REF!-M852</f>
        <v>#REF!</v>
      </c>
      <c r="Q852" s="20" t="e">
        <f>#REF!-N852</f>
        <v>#REF!</v>
      </c>
      <c r="R852" s="17" t="str">
        <f t="shared" si="87"/>
        <v>07 2 06 20400610</v>
      </c>
    </row>
    <row r="853" spans="1:18" s="23" customFormat="1" ht="15.75">
      <c r="A853" s="21"/>
      <c r="B853" s="127" t="s">
        <v>407</v>
      </c>
      <c r="C853" s="109" t="s">
        <v>510</v>
      </c>
      <c r="D853" s="108" t="s">
        <v>238</v>
      </c>
      <c r="E853" s="108" t="s">
        <v>11</v>
      </c>
      <c r="F853" s="108" t="s">
        <v>527</v>
      </c>
      <c r="G853" s="108" t="s">
        <v>408</v>
      </c>
      <c r="H853" s="126"/>
      <c r="L853" s="22"/>
      <c r="M853" s="22"/>
      <c r="N853" s="22"/>
      <c r="O853" s="22"/>
      <c r="P853" s="22"/>
      <c r="Q853" s="22"/>
      <c r="R853" s="24"/>
    </row>
    <row r="854" spans="1:18" s="16" customFormat="1" ht="47.25">
      <c r="A854" s="14"/>
      <c r="B854" s="132" t="s">
        <v>532</v>
      </c>
      <c r="C854" s="109" t="s">
        <v>510</v>
      </c>
      <c r="D854" s="108" t="s">
        <v>238</v>
      </c>
      <c r="E854" s="108" t="s">
        <v>11</v>
      </c>
      <c r="F854" s="108" t="s">
        <v>533</v>
      </c>
      <c r="G854" s="108" t="s">
        <v>9</v>
      </c>
      <c r="H854" s="126">
        <f t="shared" ref="H854:H855" si="101">H855</f>
        <v>0</v>
      </c>
      <c r="L854" s="20">
        <v>817.6</v>
      </c>
      <c r="M854" s="20">
        <v>817.6</v>
      </c>
      <c r="N854" s="20">
        <v>817.6</v>
      </c>
      <c r="O854" s="20">
        <f>H854-L854</f>
        <v>-817.6</v>
      </c>
      <c r="P854" s="20" t="e">
        <f>#REF!-M854</f>
        <v>#REF!</v>
      </c>
      <c r="Q854" s="20" t="e">
        <f>#REF!-N854</f>
        <v>#REF!</v>
      </c>
      <c r="R854" s="17" t="str">
        <f t="shared" ref="R854:R929" si="102">CONCATENATE(F854,G854)</f>
        <v>07 2 09 00000000</v>
      </c>
    </row>
    <row r="855" spans="1:18" s="16" customFormat="1" ht="47.25">
      <c r="A855" s="14"/>
      <c r="B855" s="132" t="s">
        <v>534</v>
      </c>
      <c r="C855" s="109" t="s">
        <v>510</v>
      </c>
      <c r="D855" s="108" t="s">
        <v>238</v>
      </c>
      <c r="E855" s="108" t="s">
        <v>11</v>
      </c>
      <c r="F855" s="108" t="s">
        <v>535</v>
      </c>
      <c r="G855" s="108" t="s">
        <v>9</v>
      </c>
      <c r="H855" s="126">
        <f t="shared" si="101"/>
        <v>0</v>
      </c>
      <c r="L855" s="20">
        <v>817.6</v>
      </c>
      <c r="M855" s="20">
        <v>817.6</v>
      </c>
      <c r="N855" s="20">
        <v>817.6</v>
      </c>
      <c r="O855" s="20">
        <f>H855-L855</f>
        <v>-817.6</v>
      </c>
      <c r="P855" s="20" t="e">
        <f>#REF!-M855</f>
        <v>#REF!</v>
      </c>
      <c r="Q855" s="20" t="e">
        <f>#REF!-N855</f>
        <v>#REF!</v>
      </c>
      <c r="R855" s="17" t="str">
        <f t="shared" si="102"/>
        <v>07 2 09 21280000</v>
      </c>
    </row>
    <row r="856" spans="1:18" s="16" customFormat="1" ht="15.75">
      <c r="A856" s="14"/>
      <c r="B856" s="132" t="s">
        <v>403</v>
      </c>
      <c r="C856" s="109" t="s">
        <v>510</v>
      </c>
      <c r="D856" s="108" t="s">
        <v>238</v>
      </c>
      <c r="E856" s="108" t="s">
        <v>11</v>
      </c>
      <c r="F856" s="108" t="s">
        <v>535</v>
      </c>
      <c r="G856" s="108" t="s">
        <v>404</v>
      </c>
      <c r="H856" s="126">
        <f>H857</f>
        <v>0</v>
      </c>
      <c r="L856" s="20">
        <v>817.6</v>
      </c>
      <c r="M856" s="20">
        <v>817.6</v>
      </c>
      <c r="N856" s="20">
        <v>817.6</v>
      </c>
      <c r="O856" s="20">
        <f>H856-L856</f>
        <v>-817.6</v>
      </c>
      <c r="P856" s="20" t="e">
        <f>#REF!-M856</f>
        <v>#REF!</v>
      </c>
      <c r="Q856" s="20" t="e">
        <f>#REF!-N856</f>
        <v>#REF!</v>
      </c>
      <c r="R856" s="17" t="str">
        <f t="shared" si="102"/>
        <v>07 2 09 21280610</v>
      </c>
    </row>
    <row r="857" spans="1:18" s="23" customFormat="1" ht="15.75">
      <c r="A857" s="21"/>
      <c r="B857" s="127" t="s">
        <v>407</v>
      </c>
      <c r="C857" s="109" t="s">
        <v>510</v>
      </c>
      <c r="D857" s="108" t="s">
        <v>238</v>
      </c>
      <c r="E857" s="108" t="s">
        <v>11</v>
      </c>
      <c r="F857" s="108" t="s">
        <v>535</v>
      </c>
      <c r="G857" s="108" t="s">
        <v>408</v>
      </c>
      <c r="H857" s="126"/>
      <c r="L857" s="22"/>
      <c r="M857" s="22"/>
      <c r="N857" s="22"/>
      <c r="O857" s="22"/>
      <c r="P857" s="22"/>
      <c r="Q857" s="22"/>
      <c r="R857" s="24"/>
    </row>
    <row r="858" spans="1:18" s="16" customFormat="1" ht="78.75">
      <c r="A858" s="14"/>
      <c r="B858" s="132" t="s">
        <v>536</v>
      </c>
      <c r="C858" s="109" t="s">
        <v>510</v>
      </c>
      <c r="D858" s="108" t="s">
        <v>238</v>
      </c>
      <c r="E858" s="108" t="s">
        <v>11</v>
      </c>
      <c r="F858" s="108" t="s">
        <v>537</v>
      </c>
      <c r="G858" s="108" t="s">
        <v>9</v>
      </c>
      <c r="H858" s="126">
        <f>H859</f>
        <v>0</v>
      </c>
      <c r="L858" s="20">
        <v>1099.44</v>
      </c>
      <c r="M858" s="20">
        <v>0</v>
      </c>
      <c r="N858" s="20">
        <v>0</v>
      </c>
      <c r="O858" s="20">
        <f>H858-L858</f>
        <v>-1099.44</v>
      </c>
      <c r="P858" s="20" t="e">
        <f>#REF!-M858</f>
        <v>#REF!</v>
      </c>
      <c r="Q858" s="20" t="e">
        <f>#REF!-N858</f>
        <v>#REF!</v>
      </c>
      <c r="R858" s="17" t="str">
        <f t="shared" si="102"/>
        <v>07 2 12 00000000</v>
      </c>
    </row>
    <row r="859" spans="1:18" s="16" customFormat="1" ht="47.25">
      <c r="A859" s="14"/>
      <c r="B859" s="138" t="s">
        <v>538</v>
      </c>
      <c r="C859" s="109" t="s">
        <v>510</v>
      </c>
      <c r="D859" s="108" t="s">
        <v>238</v>
      </c>
      <c r="E859" s="108" t="s">
        <v>11</v>
      </c>
      <c r="F859" s="108" t="s">
        <v>539</v>
      </c>
      <c r="G859" s="108" t="s">
        <v>9</v>
      </c>
      <c r="H859" s="126">
        <f>H860</f>
        <v>0</v>
      </c>
      <c r="L859" s="20">
        <v>1099.44</v>
      </c>
      <c r="M859" s="20">
        <v>0</v>
      </c>
      <c r="N859" s="20">
        <v>0</v>
      </c>
      <c r="O859" s="20">
        <f>H859-L859</f>
        <v>-1099.44</v>
      </c>
      <c r="P859" s="20" t="e">
        <f>#REF!-M859</f>
        <v>#REF!</v>
      </c>
      <c r="Q859" s="20" t="e">
        <f>#REF!-N859</f>
        <v>#REF!</v>
      </c>
      <c r="R859" s="17" t="str">
        <f t="shared" si="102"/>
        <v>07 2 12 21430000</v>
      </c>
    </row>
    <row r="860" spans="1:18" s="16" customFormat="1" ht="15.75">
      <c r="A860" s="14"/>
      <c r="B860" s="132" t="s">
        <v>403</v>
      </c>
      <c r="C860" s="109" t="s">
        <v>510</v>
      </c>
      <c r="D860" s="108" t="s">
        <v>238</v>
      </c>
      <c r="E860" s="108" t="s">
        <v>11</v>
      </c>
      <c r="F860" s="108" t="s">
        <v>539</v>
      </c>
      <c r="G860" s="108" t="s">
        <v>404</v>
      </c>
      <c r="H860" s="126">
        <f>H861</f>
        <v>0</v>
      </c>
      <c r="L860" s="20">
        <v>1099.44</v>
      </c>
      <c r="M860" s="20">
        <v>0</v>
      </c>
      <c r="N860" s="20">
        <v>0</v>
      </c>
      <c r="O860" s="20">
        <f>H860-L860</f>
        <v>-1099.44</v>
      </c>
      <c r="P860" s="20" t="e">
        <f>#REF!-M860</f>
        <v>#REF!</v>
      </c>
      <c r="Q860" s="20" t="e">
        <f>#REF!-N860</f>
        <v>#REF!</v>
      </c>
      <c r="R860" s="17" t="str">
        <f t="shared" si="102"/>
        <v>07 2 12 21430610</v>
      </c>
    </row>
    <row r="861" spans="1:18" s="23" customFormat="1" ht="15.75">
      <c r="A861" s="21"/>
      <c r="B861" s="127" t="s">
        <v>407</v>
      </c>
      <c r="C861" s="109" t="s">
        <v>510</v>
      </c>
      <c r="D861" s="108" t="s">
        <v>238</v>
      </c>
      <c r="E861" s="108" t="s">
        <v>11</v>
      </c>
      <c r="F861" s="108" t="s">
        <v>539</v>
      </c>
      <c r="G861" s="108" t="s">
        <v>408</v>
      </c>
      <c r="H861" s="126"/>
      <c r="L861" s="22"/>
      <c r="M861" s="22"/>
      <c r="N861" s="22"/>
      <c r="O861" s="22"/>
      <c r="P861" s="22"/>
      <c r="Q861" s="22"/>
      <c r="R861" s="24"/>
    </row>
    <row r="862" spans="1:18" s="16" customFormat="1" ht="47.25">
      <c r="A862" s="14"/>
      <c r="B862" s="127" t="s">
        <v>146</v>
      </c>
      <c r="C862" s="109" t="s">
        <v>510</v>
      </c>
      <c r="D862" s="108" t="s">
        <v>238</v>
      </c>
      <c r="E862" s="108" t="s">
        <v>11</v>
      </c>
      <c r="F862" s="130" t="s">
        <v>147</v>
      </c>
      <c r="G862" s="130" t="s">
        <v>9</v>
      </c>
      <c r="H862" s="134">
        <f>H863</f>
        <v>0</v>
      </c>
      <c r="L862" s="27">
        <v>76.5</v>
      </c>
      <c r="M862" s="27">
        <v>76.5</v>
      </c>
      <c r="N862" s="27">
        <v>76.5</v>
      </c>
      <c r="O862" s="27">
        <f>H862-L862</f>
        <v>-76.5</v>
      </c>
      <c r="P862" s="27" t="e">
        <f>#REF!-M862</f>
        <v>#REF!</v>
      </c>
      <c r="Q862" s="27" t="e">
        <f>#REF!-N862</f>
        <v>#REF!</v>
      </c>
      <c r="R862" s="17" t="str">
        <f t="shared" si="102"/>
        <v>15 0 00 00000000</v>
      </c>
    </row>
    <row r="863" spans="1:18" s="16" customFormat="1" ht="15.75">
      <c r="A863" s="14"/>
      <c r="B863" s="125" t="s">
        <v>148</v>
      </c>
      <c r="C863" s="109" t="s">
        <v>510</v>
      </c>
      <c r="D863" s="108" t="s">
        <v>238</v>
      </c>
      <c r="E863" s="108" t="s">
        <v>11</v>
      </c>
      <c r="F863" s="130" t="s">
        <v>149</v>
      </c>
      <c r="G863" s="130" t="s">
        <v>9</v>
      </c>
      <c r="H863" s="134">
        <f>H864</f>
        <v>0</v>
      </c>
      <c r="L863" s="27">
        <v>76.5</v>
      </c>
      <c r="M863" s="27">
        <v>76.5</v>
      </c>
      <c r="N863" s="27">
        <v>76.5</v>
      </c>
      <c r="O863" s="27">
        <f>H863-L863</f>
        <v>-76.5</v>
      </c>
      <c r="P863" s="27" t="e">
        <f>#REF!-M863</f>
        <v>#REF!</v>
      </c>
      <c r="Q863" s="27" t="e">
        <f>#REF!-N863</f>
        <v>#REF!</v>
      </c>
      <c r="R863" s="17" t="str">
        <f t="shared" si="102"/>
        <v>15 1 00 00000000</v>
      </c>
    </row>
    <row r="864" spans="1:18" s="16" customFormat="1" ht="78.75">
      <c r="A864" s="14"/>
      <c r="B864" s="129" t="s">
        <v>150</v>
      </c>
      <c r="C864" s="109" t="s">
        <v>510</v>
      </c>
      <c r="D864" s="108" t="s">
        <v>238</v>
      </c>
      <c r="E864" s="108" t="s">
        <v>11</v>
      </c>
      <c r="F864" s="109" t="s">
        <v>151</v>
      </c>
      <c r="G864" s="130" t="s">
        <v>9</v>
      </c>
      <c r="H864" s="134">
        <f>H865</f>
        <v>0</v>
      </c>
      <c r="L864" s="27">
        <v>76.5</v>
      </c>
      <c r="M864" s="27">
        <v>76.5</v>
      </c>
      <c r="N864" s="27">
        <v>76.5</v>
      </c>
      <c r="O864" s="27">
        <f>H864-L864</f>
        <v>-76.5</v>
      </c>
      <c r="P864" s="27" t="e">
        <f>#REF!-M864</f>
        <v>#REF!</v>
      </c>
      <c r="Q864" s="27" t="e">
        <f>#REF!-N864</f>
        <v>#REF!</v>
      </c>
      <c r="R864" s="17" t="str">
        <f t="shared" si="102"/>
        <v>15 1 01 00000000</v>
      </c>
    </row>
    <row r="865" spans="1:18" s="16" customFormat="1" ht="47.25">
      <c r="A865" s="14"/>
      <c r="B865" s="129" t="s">
        <v>152</v>
      </c>
      <c r="C865" s="109" t="s">
        <v>510</v>
      </c>
      <c r="D865" s="108" t="s">
        <v>238</v>
      </c>
      <c r="E865" s="108" t="s">
        <v>11</v>
      </c>
      <c r="F865" s="109" t="s">
        <v>153</v>
      </c>
      <c r="G865" s="130" t="s">
        <v>9</v>
      </c>
      <c r="H865" s="134">
        <f>SUM(H866:H866)</f>
        <v>0</v>
      </c>
      <c r="L865" s="27">
        <v>76.5</v>
      </c>
      <c r="M865" s="27">
        <v>76.5</v>
      </c>
      <c r="N865" s="27">
        <v>76.5</v>
      </c>
      <c r="O865" s="27">
        <f>H865-L865</f>
        <v>-76.5</v>
      </c>
      <c r="P865" s="27" t="e">
        <f>#REF!-M865</f>
        <v>#REF!</v>
      </c>
      <c r="Q865" s="27" t="e">
        <f>#REF!-N865</f>
        <v>#REF!</v>
      </c>
      <c r="R865" s="17" t="str">
        <f t="shared" si="102"/>
        <v>15 1 01 20350000</v>
      </c>
    </row>
    <row r="866" spans="1:18" s="16" customFormat="1" ht="15.75">
      <c r="A866" s="14"/>
      <c r="B866" s="132" t="s">
        <v>403</v>
      </c>
      <c r="C866" s="109" t="s">
        <v>510</v>
      </c>
      <c r="D866" s="108" t="s">
        <v>238</v>
      </c>
      <c r="E866" s="108" t="s">
        <v>11</v>
      </c>
      <c r="F866" s="109" t="s">
        <v>153</v>
      </c>
      <c r="G866" s="130" t="s">
        <v>404</v>
      </c>
      <c r="H866" s="126">
        <f>H867</f>
        <v>0</v>
      </c>
      <c r="L866" s="20">
        <v>76.5</v>
      </c>
      <c r="M866" s="20">
        <v>76.5</v>
      </c>
      <c r="N866" s="20">
        <v>76.5</v>
      </c>
      <c r="O866" s="20">
        <f>H866-L866</f>
        <v>-76.5</v>
      </c>
      <c r="P866" s="20" t="e">
        <f>#REF!-M866</f>
        <v>#REF!</v>
      </c>
      <c r="Q866" s="20" t="e">
        <f>#REF!-N866</f>
        <v>#REF!</v>
      </c>
      <c r="R866" s="17" t="str">
        <f t="shared" si="102"/>
        <v>15 1 01 20350610</v>
      </c>
    </row>
    <row r="867" spans="1:18" s="23" customFormat="1" ht="15.75">
      <c r="A867" s="21"/>
      <c r="B867" s="127" t="s">
        <v>407</v>
      </c>
      <c r="C867" s="109" t="s">
        <v>510</v>
      </c>
      <c r="D867" s="108" t="s">
        <v>238</v>
      </c>
      <c r="E867" s="108" t="s">
        <v>11</v>
      </c>
      <c r="F867" s="109" t="s">
        <v>153</v>
      </c>
      <c r="G867" s="109" t="s">
        <v>408</v>
      </c>
      <c r="H867" s="126"/>
      <c r="L867" s="22"/>
      <c r="M867" s="22"/>
      <c r="N867" s="22"/>
      <c r="O867" s="22"/>
      <c r="P867" s="22"/>
      <c r="Q867" s="22"/>
      <c r="R867" s="24"/>
    </row>
    <row r="868" spans="1:18" s="16" customFormat="1" ht="94.5">
      <c r="A868" s="14"/>
      <c r="B868" s="125" t="s">
        <v>420</v>
      </c>
      <c r="C868" s="109" t="s">
        <v>510</v>
      </c>
      <c r="D868" s="108" t="s">
        <v>238</v>
      </c>
      <c r="E868" s="108" t="s">
        <v>11</v>
      </c>
      <c r="F868" s="108" t="s">
        <v>421</v>
      </c>
      <c r="G868" s="108" t="s">
        <v>9</v>
      </c>
      <c r="H868" s="126">
        <f t="shared" ref="H868:H871" si="103">H869</f>
        <v>0</v>
      </c>
      <c r="L868" s="20">
        <v>547.85</v>
      </c>
      <c r="M868" s="20">
        <v>547.85</v>
      </c>
      <c r="N868" s="20">
        <v>547.85</v>
      </c>
      <c r="O868" s="20">
        <f>H868-L868</f>
        <v>-547.85</v>
      </c>
      <c r="P868" s="20" t="e">
        <f>#REF!-M868</f>
        <v>#REF!</v>
      </c>
      <c r="Q868" s="20" t="e">
        <f>#REF!-N868</f>
        <v>#REF!</v>
      </c>
      <c r="R868" s="17" t="str">
        <f t="shared" si="102"/>
        <v>16 0 00 00000000</v>
      </c>
    </row>
    <row r="869" spans="1:18" s="16" customFormat="1" ht="31.5">
      <c r="A869" s="14"/>
      <c r="B869" s="125" t="s">
        <v>422</v>
      </c>
      <c r="C869" s="109" t="s">
        <v>510</v>
      </c>
      <c r="D869" s="108" t="s">
        <v>238</v>
      </c>
      <c r="E869" s="108" t="s">
        <v>11</v>
      </c>
      <c r="F869" s="108" t="s">
        <v>423</v>
      </c>
      <c r="G869" s="108" t="s">
        <v>9</v>
      </c>
      <c r="H869" s="126">
        <f t="shared" si="103"/>
        <v>0</v>
      </c>
      <c r="L869" s="20">
        <v>547.85</v>
      </c>
      <c r="M869" s="20">
        <v>547.85</v>
      </c>
      <c r="N869" s="20">
        <v>547.85</v>
      </c>
      <c r="O869" s="20">
        <f>H869-L869</f>
        <v>-547.85</v>
      </c>
      <c r="P869" s="20" t="e">
        <f>#REF!-M869</f>
        <v>#REF!</v>
      </c>
      <c r="Q869" s="20" t="e">
        <f>#REF!-N869</f>
        <v>#REF!</v>
      </c>
      <c r="R869" s="17" t="str">
        <f t="shared" si="102"/>
        <v>16 2 00 00000000</v>
      </c>
    </row>
    <row r="870" spans="1:18" s="16" customFormat="1" ht="47.25">
      <c r="A870" s="14"/>
      <c r="B870" s="125" t="s">
        <v>424</v>
      </c>
      <c r="C870" s="109" t="s">
        <v>510</v>
      </c>
      <c r="D870" s="108" t="s">
        <v>238</v>
      </c>
      <c r="E870" s="108" t="s">
        <v>11</v>
      </c>
      <c r="F870" s="108" t="s">
        <v>425</v>
      </c>
      <c r="G870" s="108" t="s">
        <v>9</v>
      </c>
      <c r="H870" s="126">
        <f t="shared" si="103"/>
        <v>0</v>
      </c>
      <c r="L870" s="20">
        <v>547.85</v>
      </c>
      <c r="M870" s="20">
        <v>547.85</v>
      </c>
      <c r="N870" s="20">
        <v>547.85</v>
      </c>
      <c r="O870" s="20">
        <f>H870-L870</f>
        <v>-547.85</v>
      </c>
      <c r="P870" s="20" t="e">
        <f>#REF!-M870</f>
        <v>#REF!</v>
      </c>
      <c r="Q870" s="20" t="e">
        <f>#REF!-N870</f>
        <v>#REF!</v>
      </c>
      <c r="R870" s="17" t="str">
        <f t="shared" si="102"/>
        <v>16 2 02 00000000</v>
      </c>
    </row>
    <row r="871" spans="1:18" s="16" customFormat="1" ht="47.25">
      <c r="A871" s="14"/>
      <c r="B871" s="125" t="s">
        <v>426</v>
      </c>
      <c r="C871" s="109" t="s">
        <v>510</v>
      </c>
      <c r="D871" s="108" t="s">
        <v>238</v>
      </c>
      <c r="E871" s="108" t="s">
        <v>11</v>
      </c>
      <c r="F871" s="108" t="s">
        <v>427</v>
      </c>
      <c r="G871" s="108" t="s">
        <v>9</v>
      </c>
      <c r="H871" s="126">
        <f t="shared" si="103"/>
        <v>0</v>
      </c>
      <c r="L871" s="20">
        <v>547.85</v>
      </c>
      <c r="M871" s="20">
        <v>547.85</v>
      </c>
      <c r="N871" s="20">
        <v>547.85</v>
      </c>
      <c r="O871" s="20">
        <f>H871-L871</f>
        <v>-547.85</v>
      </c>
      <c r="P871" s="20" t="e">
        <f>#REF!-M871</f>
        <v>#REF!</v>
      </c>
      <c r="Q871" s="20" t="e">
        <f>#REF!-N871</f>
        <v>#REF!</v>
      </c>
      <c r="R871" s="17" t="str">
        <f t="shared" si="102"/>
        <v>16 2 02 20550000</v>
      </c>
    </row>
    <row r="872" spans="1:18" s="16" customFormat="1" ht="15.75">
      <c r="A872" s="14"/>
      <c r="B872" s="132" t="s">
        <v>403</v>
      </c>
      <c r="C872" s="109" t="s">
        <v>510</v>
      </c>
      <c r="D872" s="108" t="s">
        <v>238</v>
      </c>
      <c r="E872" s="108" t="s">
        <v>11</v>
      </c>
      <c r="F872" s="108" t="s">
        <v>427</v>
      </c>
      <c r="G872" s="108" t="s">
        <v>404</v>
      </c>
      <c r="H872" s="126">
        <f>H873</f>
        <v>0</v>
      </c>
      <c r="L872" s="20">
        <v>547.85</v>
      </c>
      <c r="M872" s="20">
        <v>547.85</v>
      </c>
      <c r="N872" s="20">
        <v>547.85</v>
      </c>
      <c r="O872" s="20">
        <f>H872-L872</f>
        <v>-547.85</v>
      </c>
      <c r="P872" s="20" t="e">
        <f>#REF!-M872</f>
        <v>#REF!</v>
      </c>
      <c r="Q872" s="20" t="e">
        <f>#REF!-N872</f>
        <v>#REF!</v>
      </c>
      <c r="R872" s="17" t="str">
        <f t="shared" si="102"/>
        <v>16 2 02 20550610</v>
      </c>
    </row>
    <row r="873" spans="1:18" s="23" customFormat="1" ht="15.75">
      <c r="A873" s="21"/>
      <c r="B873" s="127" t="s">
        <v>407</v>
      </c>
      <c r="C873" s="109" t="s">
        <v>510</v>
      </c>
      <c r="D873" s="108" t="s">
        <v>238</v>
      </c>
      <c r="E873" s="108" t="s">
        <v>11</v>
      </c>
      <c r="F873" s="108" t="s">
        <v>427</v>
      </c>
      <c r="G873" s="108" t="s">
        <v>408</v>
      </c>
      <c r="H873" s="126"/>
      <c r="L873" s="22"/>
      <c r="M873" s="22"/>
      <c r="N873" s="22"/>
      <c r="O873" s="22"/>
      <c r="P873" s="22"/>
      <c r="Q873" s="22"/>
      <c r="R873" s="24"/>
    </row>
    <row r="874" spans="1:18" s="16" customFormat="1" ht="47.25">
      <c r="A874" s="14"/>
      <c r="B874" s="125" t="s">
        <v>430</v>
      </c>
      <c r="C874" s="109" t="s">
        <v>510</v>
      </c>
      <c r="D874" s="108" t="s">
        <v>238</v>
      </c>
      <c r="E874" s="108" t="s">
        <v>11</v>
      </c>
      <c r="F874" s="108" t="s">
        <v>431</v>
      </c>
      <c r="G874" s="108" t="s">
        <v>9</v>
      </c>
      <c r="H874" s="126">
        <f>H875</f>
        <v>0</v>
      </c>
      <c r="L874" s="20">
        <v>203.83</v>
      </c>
      <c r="M874" s="20">
        <v>203.83</v>
      </c>
      <c r="N874" s="20">
        <v>203.83</v>
      </c>
      <c r="O874" s="20">
        <f>H874-L874</f>
        <v>-203.83</v>
      </c>
      <c r="P874" s="20" t="e">
        <f>#REF!-M874</f>
        <v>#REF!</v>
      </c>
      <c r="Q874" s="20" t="e">
        <f>#REF!-N874</f>
        <v>#REF!</v>
      </c>
      <c r="R874" s="17" t="str">
        <f t="shared" si="102"/>
        <v>17 0 00 00000000</v>
      </c>
    </row>
    <row r="875" spans="1:18" s="16" customFormat="1" ht="47.25">
      <c r="A875" s="14"/>
      <c r="B875" s="125" t="s">
        <v>432</v>
      </c>
      <c r="C875" s="109" t="s">
        <v>510</v>
      </c>
      <c r="D875" s="108" t="s">
        <v>238</v>
      </c>
      <c r="E875" s="108" t="s">
        <v>11</v>
      </c>
      <c r="F875" s="108" t="s">
        <v>433</v>
      </c>
      <c r="G875" s="108" t="s">
        <v>9</v>
      </c>
      <c r="H875" s="126">
        <f>H876</f>
        <v>0</v>
      </c>
      <c r="L875" s="20">
        <v>203.83</v>
      </c>
      <c r="M875" s="20">
        <v>203.83</v>
      </c>
      <c r="N875" s="20">
        <v>203.83</v>
      </c>
      <c r="O875" s="20">
        <f>H875-L875</f>
        <v>-203.83</v>
      </c>
      <c r="P875" s="20" t="e">
        <f>#REF!-M875</f>
        <v>#REF!</v>
      </c>
      <c r="Q875" s="20" t="e">
        <f>#REF!-N875</f>
        <v>#REF!</v>
      </c>
      <c r="R875" s="17" t="str">
        <f t="shared" si="102"/>
        <v>17 Б 00 00000000</v>
      </c>
    </row>
    <row r="876" spans="1:18" s="16" customFormat="1" ht="31.5">
      <c r="A876" s="14"/>
      <c r="B876" s="125" t="s">
        <v>434</v>
      </c>
      <c r="C876" s="109" t="s">
        <v>510</v>
      </c>
      <c r="D876" s="108" t="s">
        <v>238</v>
      </c>
      <c r="E876" s="108" t="s">
        <v>11</v>
      </c>
      <c r="F876" s="108" t="s">
        <v>435</v>
      </c>
      <c r="G876" s="108" t="s">
        <v>9</v>
      </c>
      <c r="H876" s="126">
        <f>H877</f>
        <v>0</v>
      </c>
      <c r="L876" s="20">
        <v>203.83</v>
      </c>
      <c r="M876" s="20">
        <v>203.83</v>
      </c>
      <c r="N876" s="20">
        <v>203.83</v>
      </c>
      <c r="O876" s="20">
        <f>H876-L876</f>
        <v>-203.83</v>
      </c>
      <c r="P876" s="20" t="e">
        <f>#REF!-M876</f>
        <v>#REF!</v>
      </c>
      <c r="Q876" s="20" t="e">
        <f>#REF!-N876</f>
        <v>#REF!</v>
      </c>
      <c r="R876" s="17" t="str">
        <f t="shared" si="102"/>
        <v>17 Б 01 00000000</v>
      </c>
    </row>
    <row r="877" spans="1:18" s="16" customFormat="1" ht="47.25">
      <c r="A877" s="14"/>
      <c r="B877" s="132" t="s">
        <v>436</v>
      </c>
      <c r="C877" s="109" t="s">
        <v>510</v>
      </c>
      <c r="D877" s="108" t="s">
        <v>238</v>
      </c>
      <c r="E877" s="108" t="s">
        <v>11</v>
      </c>
      <c r="F877" s="108" t="s">
        <v>437</v>
      </c>
      <c r="G877" s="108" t="s">
        <v>9</v>
      </c>
      <c r="H877" s="126">
        <f>H878</f>
        <v>0</v>
      </c>
      <c r="L877" s="20">
        <v>203.83</v>
      </c>
      <c r="M877" s="20">
        <v>203.83</v>
      </c>
      <c r="N877" s="20">
        <v>203.83</v>
      </c>
      <c r="O877" s="20">
        <f>H877-L877</f>
        <v>-203.83</v>
      </c>
      <c r="P877" s="20" t="e">
        <f>#REF!-M877</f>
        <v>#REF!</v>
      </c>
      <c r="Q877" s="20" t="e">
        <f>#REF!-N877</f>
        <v>#REF!</v>
      </c>
      <c r="R877" s="17" t="str">
        <f t="shared" si="102"/>
        <v>17 Б 01 20490000</v>
      </c>
    </row>
    <row r="878" spans="1:18" s="16" customFormat="1" ht="15.75">
      <c r="A878" s="14"/>
      <c r="B878" s="125" t="s">
        <v>403</v>
      </c>
      <c r="C878" s="109" t="s">
        <v>510</v>
      </c>
      <c r="D878" s="108" t="s">
        <v>238</v>
      </c>
      <c r="E878" s="108" t="s">
        <v>11</v>
      </c>
      <c r="F878" s="108" t="s">
        <v>437</v>
      </c>
      <c r="G878" s="108" t="s">
        <v>404</v>
      </c>
      <c r="H878" s="126">
        <f>H879</f>
        <v>0</v>
      </c>
      <c r="L878" s="20">
        <v>203.83</v>
      </c>
      <c r="M878" s="20">
        <v>203.83</v>
      </c>
      <c r="N878" s="20">
        <v>203.83</v>
      </c>
      <c r="O878" s="20">
        <f>H878-L878</f>
        <v>-203.83</v>
      </c>
      <c r="P878" s="20" t="e">
        <f>#REF!-M878</f>
        <v>#REF!</v>
      </c>
      <c r="Q878" s="20" t="e">
        <f>#REF!-N878</f>
        <v>#REF!</v>
      </c>
      <c r="R878" s="17" t="str">
        <f t="shared" si="102"/>
        <v>17 Б 01 20490610</v>
      </c>
    </row>
    <row r="879" spans="1:18" s="23" customFormat="1" ht="15.75">
      <c r="A879" s="21"/>
      <c r="B879" s="127" t="s">
        <v>407</v>
      </c>
      <c r="C879" s="109" t="s">
        <v>510</v>
      </c>
      <c r="D879" s="108" t="s">
        <v>238</v>
      </c>
      <c r="E879" s="108" t="s">
        <v>11</v>
      </c>
      <c r="F879" s="108" t="s">
        <v>437</v>
      </c>
      <c r="G879" s="108" t="s">
        <v>408</v>
      </c>
      <c r="H879" s="126"/>
      <c r="L879" s="22"/>
      <c r="M879" s="22"/>
      <c r="N879" s="22"/>
      <c r="O879" s="22"/>
      <c r="P879" s="22"/>
      <c r="Q879" s="22"/>
      <c r="R879" s="24"/>
    </row>
    <row r="880" spans="1:18" s="16" customFormat="1" ht="15.75">
      <c r="A880" s="14"/>
      <c r="B880" s="121" t="s">
        <v>584</v>
      </c>
      <c r="C880" s="122" t="s">
        <v>510</v>
      </c>
      <c r="D880" s="123" t="s">
        <v>238</v>
      </c>
      <c r="E880" s="123" t="s">
        <v>73</v>
      </c>
      <c r="F880" s="123" t="s">
        <v>8</v>
      </c>
      <c r="G880" s="123" t="s">
        <v>9</v>
      </c>
      <c r="H880" s="124">
        <f>H881</f>
        <v>0</v>
      </c>
      <c r="L880" s="19">
        <v>13610.46</v>
      </c>
      <c r="M880" s="19">
        <v>13610.46</v>
      </c>
      <c r="N880" s="19">
        <v>13610.46</v>
      </c>
      <c r="O880" s="19">
        <f>H880-L880</f>
        <v>-13610.46</v>
      </c>
      <c r="P880" s="19" t="e">
        <f>#REF!-M880</f>
        <v>#REF!</v>
      </c>
      <c r="Q880" s="19" t="e">
        <f>#REF!-N880</f>
        <v>#REF!</v>
      </c>
      <c r="R880" s="17" t="str">
        <f t="shared" si="102"/>
        <v>00 0 00 00000000</v>
      </c>
    </row>
    <row r="881" spans="1:18" s="16" customFormat="1" ht="47.25">
      <c r="A881" s="14"/>
      <c r="B881" s="125" t="s">
        <v>585</v>
      </c>
      <c r="C881" s="109" t="s">
        <v>510</v>
      </c>
      <c r="D881" s="108" t="s">
        <v>238</v>
      </c>
      <c r="E881" s="108" t="s">
        <v>73</v>
      </c>
      <c r="F881" s="108" t="s">
        <v>586</v>
      </c>
      <c r="G881" s="108" t="s">
        <v>9</v>
      </c>
      <c r="H881" s="126">
        <f>H882+H897</f>
        <v>0</v>
      </c>
      <c r="L881" s="20">
        <v>13610.46</v>
      </c>
      <c r="M881" s="20">
        <v>13610.46</v>
      </c>
      <c r="N881" s="20">
        <v>13610.46</v>
      </c>
      <c r="O881" s="20">
        <f>H881-L881</f>
        <v>-13610.46</v>
      </c>
      <c r="P881" s="20" t="e">
        <f>#REF!-M881</f>
        <v>#REF!</v>
      </c>
      <c r="Q881" s="20" t="e">
        <f>#REF!-N881</f>
        <v>#REF!</v>
      </c>
      <c r="R881" s="17" t="str">
        <f t="shared" si="102"/>
        <v>76 0 00 00000000</v>
      </c>
    </row>
    <row r="882" spans="1:18" s="16" customFormat="1" ht="47.25">
      <c r="A882" s="14"/>
      <c r="B882" s="125" t="s">
        <v>587</v>
      </c>
      <c r="C882" s="109" t="s">
        <v>510</v>
      </c>
      <c r="D882" s="108" t="s">
        <v>238</v>
      </c>
      <c r="E882" s="108" t="s">
        <v>73</v>
      </c>
      <c r="F882" s="108" t="s">
        <v>588</v>
      </c>
      <c r="G882" s="108" t="s">
        <v>9</v>
      </c>
      <c r="H882" s="126">
        <f>H883+H893</f>
        <v>0</v>
      </c>
      <c r="L882" s="20">
        <v>13450.46</v>
      </c>
      <c r="M882" s="20">
        <v>13450.46</v>
      </c>
      <c r="N882" s="20">
        <v>13450.46</v>
      </c>
      <c r="O882" s="20">
        <f>H882-L882</f>
        <v>-13450.46</v>
      </c>
      <c r="P882" s="20" t="e">
        <f>#REF!-M882</f>
        <v>#REF!</v>
      </c>
      <c r="Q882" s="20" t="e">
        <f>#REF!-N882</f>
        <v>#REF!</v>
      </c>
      <c r="R882" s="17" t="str">
        <f t="shared" si="102"/>
        <v>76 1 00 00000000</v>
      </c>
    </row>
    <row r="883" spans="1:18" s="16" customFormat="1" ht="31.5">
      <c r="A883" s="14"/>
      <c r="B883" s="125" t="s">
        <v>18</v>
      </c>
      <c r="C883" s="109" t="s">
        <v>510</v>
      </c>
      <c r="D883" s="108" t="s">
        <v>238</v>
      </c>
      <c r="E883" s="108" t="s">
        <v>73</v>
      </c>
      <c r="F883" s="108" t="s">
        <v>589</v>
      </c>
      <c r="G883" s="108" t="s">
        <v>9</v>
      </c>
      <c r="H883" s="126">
        <f>H884+H887+H889</f>
        <v>0</v>
      </c>
      <c r="L883" s="20">
        <v>1480.34</v>
      </c>
      <c r="M883" s="20">
        <v>1480.34</v>
      </c>
      <c r="N883" s="20">
        <v>1480.34</v>
      </c>
      <c r="O883" s="20">
        <f>H883-L883</f>
        <v>-1480.34</v>
      </c>
      <c r="P883" s="20" t="e">
        <f>#REF!-M883</f>
        <v>#REF!</v>
      </c>
      <c r="Q883" s="20" t="e">
        <f>#REF!-N883</f>
        <v>#REF!</v>
      </c>
      <c r="R883" s="17" t="str">
        <f t="shared" si="102"/>
        <v>76 1 00 10010000</v>
      </c>
    </row>
    <row r="884" spans="1:18" s="16" customFormat="1" ht="31.5">
      <c r="A884" s="14"/>
      <c r="B884" s="127" t="s">
        <v>20</v>
      </c>
      <c r="C884" s="109" t="s">
        <v>510</v>
      </c>
      <c r="D884" s="108" t="s">
        <v>238</v>
      </c>
      <c r="E884" s="108" t="s">
        <v>73</v>
      </c>
      <c r="F884" s="108" t="s">
        <v>589</v>
      </c>
      <c r="G884" s="108" t="s">
        <v>21</v>
      </c>
      <c r="H884" s="126">
        <f>SUM(H885:H886)</f>
        <v>0</v>
      </c>
      <c r="L884" s="20">
        <v>357.33</v>
      </c>
      <c r="M884" s="20">
        <v>357.33</v>
      </c>
      <c r="N884" s="20">
        <v>357.33</v>
      </c>
      <c r="O884" s="20">
        <f>H884-L884</f>
        <v>-357.33</v>
      </c>
      <c r="P884" s="20" t="e">
        <f>#REF!-M884</f>
        <v>#REF!</v>
      </c>
      <c r="Q884" s="20" t="e">
        <f>#REF!-N884</f>
        <v>#REF!</v>
      </c>
      <c r="R884" s="17" t="str">
        <f t="shared" si="102"/>
        <v>76 1 00 10010120</v>
      </c>
    </row>
    <row r="885" spans="1:18" s="23" customFormat="1" ht="47.25">
      <c r="A885" s="21"/>
      <c r="B885" s="127" t="s">
        <v>22</v>
      </c>
      <c r="C885" s="109" t="s">
        <v>510</v>
      </c>
      <c r="D885" s="108" t="s">
        <v>238</v>
      </c>
      <c r="E885" s="108" t="s">
        <v>73</v>
      </c>
      <c r="F885" s="108" t="s">
        <v>589</v>
      </c>
      <c r="G885" s="108" t="s">
        <v>23</v>
      </c>
      <c r="H885" s="126"/>
      <c r="L885" s="22"/>
      <c r="M885" s="22"/>
      <c r="N885" s="22"/>
      <c r="O885" s="22"/>
      <c r="P885" s="22"/>
      <c r="Q885" s="22"/>
      <c r="R885" s="24"/>
    </row>
    <row r="886" spans="1:18" s="23" customFormat="1" ht="63">
      <c r="A886" s="21"/>
      <c r="B886" s="127" t="s">
        <v>26</v>
      </c>
      <c r="C886" s="109" t="s">
        <v>510</v>
      </c>
      <c r="D886" s="108" t="s">
        <v>238</v>
      </c>
      <c r="E886" s="108" t="s">
        <v>73</v>
      </c>
      <c r="F886" s="108" t="s">
        <v>589</v>
      </c>
      <c r="G886" s="108" t="s">
        <v>27</v>
      </c>
      <c r="H886" s="126"/>
      <c r="L886" s="22"/>
      <c r="M886" s="22"/>
      <c r="N886" s="22"/>
      <c r="O886" s="22"/>
      <c r="P886" s="22"/>
      <c r="Q886" s="22"/>
      <c r="R886" s="24"/>
    </row>
    <row r="887" spans="1:18" s="16" customFormat="1" ht="31.5">
      <c r="A887" s="14"/>
      <c r="B887" s="125" t="s">
        <v>28</v>
      </c>
      <c r="C887" s="109" t="s">
        <v>510</v>
      </c>
      <c r="D887" s="108" t="s">
        <v>238</v>
      </c>
      <c r="E887" s="108" t="s">
        <v>73</v>
      </c>
      <c r="F887" s="108" t="s">
        <v>589</v>
      </c>
      <c r="G887" s="108" t="s">
        <v>29</v>
      </c>
      <c r="H887" s="126">
        <f>H888</f>
        <v>0</v>
      </c>
      <c r="L887" s="20">
        <v>941.81</v>
      </c>
      <c r="M887" s="20">
        <v>941.81</v>
      </c>
      <c r="N887" s="20">
        <v>941.81</v>
      </c>
      <c r="O887" s="20">
        <f>H887-L887</f>
        <v>-941.81</v>
      </c>
      <c r="P887" s="20" t="e">
        <f>#REF!-M887</f>
        <v>#REF!</v>
      </c>
      <c r="Q887" s="20" t="e">
        <f>#REF!-N887</f>
        <v>#REF!</v>
      </c>
      <c r="R887" s="17" t="str">
        <f t="shared" si="102"/>
        <v>76 1 00 10010240</v>
      </c>
    </row>
    <row r="888" spans="1:18" s="16" customFormat="1" ht="15.75">
      <c r="A888" s="14"/>
      <c r="B888" s="125" t="s">
        <v>30</v>
      </c>
      <c r="C888" s="109" t="s">
        <v>510</v>
      </c>
      <c r="D888" s="108" t="s">
        <v>238</v>
      </c>
      <c r="E888" s="108" t="s">
        <v>73</v>
      </c>
      <c r="F888" s="108" t="s">
        <v>589</v>
      </c>
      <c r="G888" s="108" t="s">
        <v>31</v>
      </c>
      <c r="H888" s="126"/>
      <c r="L888" s="20"/>
      <c r="M888" s="20"/>
      <c r="N888" s="20"/>
      <c r="O888" s="20"/>
      <c r="P888" s="20"/>
      <c r="Q888" s="20"/>
      <c r="R888" s="17"/>
    </row>
    <row r="889" spans="1:18" s="16" customFormat="1" ht="15.75">
      <c r="A889" s="14"/>
      <c r="B889" s="125" t="s">
        <v>32</v>
      </c>
      <c r="C889" s="109" t="s">
        <v>510</v>
      </c>
      <c r="D889" s="108" t="s">
        <v>238</v>
      </c>
      <c r="E889" s="108" t="s">
        <v>73</v>
      </c>
      <c r="F889" s="108" t="s">
        <v>589</v>
      </c>
      <c r="G889" s="108" t="s">
        <v>33</v>
      </c>
      <c r="H889" s="126">
        <f>SUM(H890:H892)</f>
        <v>0</v>
      </c>
      <c r="L889" s="20">
        <v>181.2</v>
      </c>
      <c r="M889" s="20">
        <v>181.2</v>
      </c>
      <c r="N889" s="20">
        <v>181.2</v>
      </c>
      <c r="O889" s="20">
        <f>H889-L889</f>
        <v>-181.2</v>
      </c>
      <c r="P889" s="20" t="e">
        <f>#REF!-M889</f>
        <v>#REF!</v>
      </c>
      <c r="Q889" s="20" t="e">
        <f>#REF!-N889</f>
        <v>#REF!</v>
      </c>
      <c r="R889" s="17" t="str">
        <f t="shared" si="102"/>
        <v>76 1 00 10010850</v>
      </c>
    </row>
    <row r="890" spans="1:18" s="23" customFormat="1" ht="31.5">
      <c r="A890" s="21"/>
      <c r="B890" s="127" t="s">
        <v>34</v>
      </c>
      <c r="C890" s="109" t="s">
        <v>510</v>
      </c>
      <c r="D890" s="108" t="s">
        <v>238</v>
      </c>
      <c r="E890" s="108" t="s">
        <v>73</v>
      </c>
      <c r="F890" s="108" t="s">
        <v>589</v>
      </c>
      <c r="G890" s="108" t="s">
        <v>35</v>
      </c>
      <c r="H890" s="126"/>
      <c r="L890" s="22"/>
      <c r="M890" s="22"/>
      <c r="N890" s="22"/>
      <c r="O890" s="22"/>
      <c r="P890" s="22"/>
      <c r="Q890" s="22"/>
      <c r="R890" s="24"/>
    </row>
    <row r="891" spans="1:18" s="23" customFormat="1" ht="15.75">
      <c r="A891" s="21"/>
      <c r="B891" s="127" t="s">
        <v>36</v>
      </c>
      <c r="C891" s="109" t="s">
        <v>510</v>
      </c>
      <c r="D891" s="108" t="s">
        <v>238</v>
      </c>
      <c r="E891" s="108" t="s">
        <v>73</v>
      </c>
      <c r="F891" s="108" t="s">
        <v>589</v>
      </c>
      <c r="G891" s="108" t="s">
        <v>37</v>
      </c>
      <c r="H891" s="126"/>
      <c r="L891" s="22"/>
      <c r="M891" s="22"/>
      <c r="N891" s="22"/>
      <c r="O891" s="22"/>
      <c r="P891" s="22"/>
      <c r="Q891" s="22"/>
      <c r="R891" s="24"/>
    </row>
    <row r="892" spans="1:18" s="23" customFormat="1" ht="15.75">
      <c r="A892" s="21"/>
      <c r="B892" s="127" t="s">
        <v>77</v>
      </c>
      <c r="C892" s="109" t="s">
        <v>510</v>
      </c>
      <c r="D892" s="108" t="s">
        <v>238</v>
      </c>
      <c r="E892" s="108" t="s">
        <v>73</v>
      </c>
      <c r="F892" s="108" t="s">
        <v>589</v>
      </c>
      <c r="G892" s="108" t="s">
        <v>78</v>
      </c>
      <c r="H892" s="126"/>
      <c r="L892" s="22"/>
      <c r="M892" s="22"/>
      <c r="N892" s="22"/>
      <c r="O892" s="22"/>
      <c r="P892" s="22"/>
      <c r="Q892" s="22"/>
      <c r="R892" s="24"/>
    </row>
    <row r="893" spans="1:18" s="16" customFormat="1" ht="31.5">
      <c r="A893" s="14"/>
      <c r="B893" s="125" t="s">
        <v>38</v>
      </c>
      <c r="C893" s="109" t="s">
        <v>510</v>
      </c>
      <c r="D893" s="108" t="s">
        <v>238</v>
      </c>
      <c r="E893" s="108" t="s">
        <v>73</v>
      </c>
      <c r="F893" s="108" t="s">
        <v>590</v>
      </c>
      <c r="G893" s="108" t="s">
        <v>9</v>
      </c>
      <c r="H893" s="126">
        <f>H894</f>
        <v>0</v>
      </c>
      <c r="L893" s="20">
        <v>11970.119999999999</v>
      </c>
      <c r="M893" s="20">
        <v>11970.119999999999</v>
      </c>
      <c r="N893" s="20">
        <v>11970.119999999999</v>
      </c>
      <c r="O893" s="20">
        <f>H893-L893</f>
        <v>-11970.119999999999</v>
      </c>
      <c r="P893" s="20" t="e">
        <f>#REF!-M893</f>
        <v>#REF!</v>
      </c>
      <c r="Q893" s="20" t="e">
        <f>#REF!-N893</f>
        <v>#REF!</v>
      </c>
      <c r="R893" s="17" t="str">
        <f t="shared" si="102"/>
        <v>76 1 00 10020000</v>
      </c>
    </row>
    <row r="894" spans="1:18" s="16" customFormat="1" ht="31.5">
      <c r="A894" s="14"/>
      <c r="B894" s="127" t="s">
        <v>20</v>
      </c>
      <c r="C894" s="109" t="s">
        <v>510</v>
      </c>
      <c r="D894" s="108" t="s">
        <v>238</v>
      </c>
      <c r="E894" s="108" t="s">
        <v>73</v>
      </c>
      <c r="F894" s="108" t="s">
        <v>590</v>
      </c>
      <c r="G894" s="108" t="s">
        <v>21</v>
      </c>
      <c r="H894" s="126">
        <f>SUM(H895:H896)</f>
        <v>0</v>
      </c>
      <c r="L894" s="20">
        <v>11970.119999999999</v>
      </c>
      <c r="M894" s="20">
        <v>11970.119999999999</v>
      </c>
      <c r="N894" s="20">
        <v>11970.119999999999</v>
      </c>
      <c r="O894" s="20">
        <f>H894-L894</f>
        <v>-11970.119999999999</v>
      </c>
      <c r="P894" s="20" t="e">
        <f>#REF!-M894</f>
        <v>#REF!</v>
      </c>
      <c r="Q894" s="20" t="e">
        <f>#REF!-N894</f>
        <v>#REF!</v>
      </c>
      <c r="R894" s="17" t="str">
        <f t="shared" si="102"/>
        <v>76 1 00 10020120</v>
      </c>
    </row>
    <row r="895" spans="1:18" s="23" customFormat="1" ht="31.5">
      <c r="A895" s="21"/>
      <c r="B895" s="127" t="s">
        <v>40</v>
      </c>
      <c r="C895" s="109" t="s">
        <v>510</v>
      </c>
      <c r="D895" s="108" t="s">
        <v>238</v>
      </c>
      <c r="E895" s="108" t="s">
        <v>73</v>
      </c>
      <c r="F895" s="108" t="s">
        <v>590</v>
      </c>
      <c r="G895" s="108" t="s">
        <v>41</v>
      </c>
      <c r="H895" s="126"/>
      <c r="L895" s="22"/>
      <c r="M895" s="22"/>
      <c r="N895" s="22"/>
      <c r="O895" s="22"/>
      <c r="P895" s="22"/>
      <c r="Q895" s="22"/>
      <c r="R895" s="24"/>
    </row>
    <row r="896" spans="1:18" s="23" customFormat="1" ht="63">
      <c r="A896" s="21"/>
      <c r="B896" s="127" t="s">
        <v>26</v>
      </c>
      <c r="C896" s="109" t="s">
        <v>510</v>
      </c>
      <c r="D896" s="108" t="s">
        <v>238</v>
      </c>
      <c r="E896" s="108" t="s">
        <v>73</v>
      </c>
      <c r="F896" s="108" t="s">
        <v>590</v>
      </c>
      <c r="G896" s="108" t="s">
        <v>27</v>
      </c>
      <c r="H896" s="126"/>
      <c r="L896" s="22"/>
      <c r="M896" s="22"/>
      <c r="N896" s="22"/>
      <c r="O896" s="22"/>
      <c r="P896" s="22"/>
      <c r="Q896" s="22"/>
      <c r="R896" s="24"/>
    </row>
    <row r="897" spans="1:18" s="16" customFormat="1" ht="15.75">
      <c r="A897" s="14"/>
      <c r="B897" s="127" t="s">
        <v>52</v>
      </c>
      <c r="C897" s="109" t="s">
        <v>510</v>
      </c>
      <c r="D897" s="108" t="s">
        <v>238</v>
      </c>
      <c r="E897" s="108" t="s">
        <v>73</v>
      </c>
      <c r="F897" s="108" t="s">
        <v>591</v>
      </c>
      <c r="G897" s="108" t="s">
        <v>9</v>
      </c>
      <c r="H897" s="126">
        <f t="shared" ref="H897:H898" si="104">H898</f>
        <v>0</v>
      </c>
      <c r="L897" s="20">
        <v>160</v>
      </c>
      <c r="M897" s="20">
        <v>160</v>
      </c>
      <c r="N897" s="20">
        <v>160</v>
      </c>
      <c r="O897" s="20">
        <f>H897-L897</f>
        <v>-160</v>
      </c>
      <c r="P897" s="20" t="e">
        <f>#REF!-M897</f>
        <v>#REF!</v>
      </c>
      <c r="Q897" s="20" t="e">
        <f>#REF!-N897</f>
        <v>#REF!</v>
      </c>
      <c r="R897" s="17" t="str">
        <f t="shared" si="102"/>
        <v>76 2 00 00000000</v>
      </c>
    </row>
    <row r="898" spans="1:18" s="16" customFormat="1" ht="47.25">
      <c r="A898" s="14"/>
      <c r="B898" s="125" t="s">
        <v>592</v>
      </c>
      <c r="C898" s="109" t="s">
        <v>510</v>
      </c>
      <c r="D898" s="108" t="s">
        <v>238</v>
      </c>
      <c r="E898" s="108" t="s">
        <v>73</v>
      </c>
      <c r="F898" s="108" t="s">
        <v>593</v>
      </c>
      <c r="G898" s="108" t="s">
        <v>9</v>
      </c>
      <c r="H898" s="126">
        <f t="shared" si="104"/>
        <v>0</v>
      </c>
      <c r="L898" s="20">
        <v>160</v>
      </c>
      <c r="M898" s="20">
        <v>160</v>
      </c>
      <c r="N898" s="20">
        <v>160</v>
      </c>
      <c r="O898" s="20">
        <f>H898-L898</f>
        <v>-160</v>
      </c>
      <c r="P898" s="20" t="e">
        <f>#REF!-M898</f>
        <v>#REF!</v>
      </c>
      <c r="Q898" s="20" t="e">
        <f>#REF!-N898</f>
        <v>#REF!</v>
      </c>
      <c r="R898" s="17" t="str">
        <f t="shared" si="102"/>
        <v>76 2 00 20250000</v>
      </c>
    </row>
    <row r="899" spans="1:18" s="16" customFormat="1" ht="31.5">
      <c r="A899" s="14"/>
      <c r="B899" s="125" t="s">
        <v>28</v>
      </c>
      <c r="C899" s="109" t="s">
        <v>510</v>
      </c>
      <c r="D899" s="108" t="s">
        <v>238</v>
      </c>
      <c r="E899" s="108" t="s">
        <v>73</v>
      </c>
      <c r="F899" s="108" t="s">
        <v>593</v>
      </c>
      <c r="G899" s="108" t="s">
        <v>29</v>
      </c>
      <c r="H899" s="126">
        <f>H900</f>
        <v>0</v>
      </c>
      <c r="L899" s="20">
        <v>160</v>
      </c>
      <c r="M899" s="20">
        <v>160</v>
      </c>
      <c r="N899" s="20">
        <v>160</v>
      </c>
      <c r="O899" s="20">
        <f>H899-L899</f>
        <v>-160</v>
      </c>
      <c r="P899" s="20" t="e">
        <f>#REF!-M899</f>
        <v>#REF!</v>
      </c>
      <c r="Q899" s="20" t="e">
        <f>#REF!-N899</f>
        <v>#REF!</v>
      </c>
      <c r="R899" s="17" t="str">
        <f t="shared" si="102"/>
        <v>76 2 00 20250240</v>
      </c>
    </row>
    <row r="900" spans="1:18" s="16" customFormat="1" ht="15.75">
      <c r="A900" s="14"/>
      <c r="B900" s="125" t="s">
        <v>30</v>
      </c>
      <c r="C900" s="109" t="s">
        <v>510</v>
      </c>
      <c r="D900" s="108" t="s">
        <v>238</v>
      </c>
      <c r="E900" s="108" t="s">
        <v>73</v>
      </c>
      <c r="F900" s="108" t="s">
        <v>593</v>
      </c>
      <c r="G900" s="108" t="s">
        <v>31</v>
      </c>
      <c r="H900" s="126"/>
      <c r="L900" s="20"/>
      <c r="M900" s="20"/>
      <c r="N900" s="20"/>
      <c r="O900" s="20"/>
      <c r="P900" s="20"/>
      <c r="Q900" s="20"/>
      <c r="R900" s="17"/>
    </row>
    <row r="901" spans="1:18" s="16" customFormat="1" ht="15.75">
      <c r="A901" s="14"/>
      <c r="B901" s="125"/>
      <c r="C901" s="109"/>
      <c r="D901" s="108"/>
      <c r="E901" s="108"/>
      <c r="F901" s="108"/>
      <c r="G901" s="108"/>
      <c r="H901" s="126"/>
      <c r="L901" s="20"/>
      <c r="M901" s="20"/>
      <c r="N901" s="20"/>
      <c r="O901" s="20">
        <f t="shared" ref="O901:O909" si="105">H901-L901</f>
        <v>0</v>
      </c>
      <c r="P901" s="20" t="e">
        <f>#REF!-M901</f>
        <v>#REF!</v>
      </c>
      <c r="Q901" s="20" t="e">
        <f>#REF!-N901</f>
        <v>#REF!</v>
      </c>
      <c r="R901" s="17" t="str">
        <f t="shared" si="102"/>
        <v/>
      </c>
    </row>
    <row r="902" spans="1:18" s="13" customFormat="1" ht="31.5">
      <c r="A902" s="1"/>
      <c r="B902" s="67" t="s">
        <v>594</v>
      </c>
      <c r="C902" s="116" t="s">
        <v>595</v>
      </c>
      <c r="D902" s="69" t="s">
        <v>7</v>
      </c>
      <c r="E902" s="69" t="s">
        <v>7</v>
      </c>
      <c r="F902" s="69" t="s">
        <v>8</v>
      </c>
      <c r="G902" s="69" t="s">
        <v>9</v>
      </c>
      <c r="H902" s="146" t="e">
        <f>H919+H903+H911</f>
        <v>#REF!</v>
      </c>
      <c r="L902" s="35">
        <v>1878909.89</v>
      </c>
      <c r="M902" s="35">
        <v>1942584.3200000001</v>
      </c>
      <c r="N902" s="35">
        <v>1992223.5200000003</v>
      </c>
      <c r="O902" s="35" t="e">
        <f t="shared" si="105"/>
        <v>#REF!</v>
      </c>
      <c r="P902" s="35" t="e">
        <f>#REF!-M902</f>
        <v>#REF!</v>
      </c>
      <c r="Q902" s="35" t="e">
        <f>#REF!-N902</f>
        <v>#REF!</v>
      </c>
      <c r="R902" s="17" t="str">
        <f t="shared" si="102"/>
        <v>00 0 00 00000000</v>
      </c>
    </row>
    <row r="903" spans="1:18" s="29" customFormat="1" ht="15.75">
      <c r="A903" s="28"/>
      <c r="B903" s="117" t="s">
        <v>10</v>
      </c>
      <c r="C903" s="118" t="s">
        <v>595</v>
      </c>
      <c r="D903" s="119" t="s">
        <v>11</v>
      </c>
      <c r="E903" s="119" t="s">
        <v>7</v>
      </c>
      <c r="F903" s="119" t="s">
        <v>8</v>
      </c>
      <c r="G903" s="119" t="s">
        <v>9</v>
      </c>
      <c r="H903" s="120">
        <f t="shared" ref="H903:H908" si="106">H904</f>
        <v>0</v>
      </c>
      <c r="L903" s="18">
        <v>6.98</v>
      </c>
      <c r="M903" s="18">
        <v>6.98</v>
      </c>
      <c r="N903" s="18">
        <v>6.98</v>
      </c>
      <c r="O903" s="18">
        <f t="shared" si="105"/>
        <v>-6.98</v>
      </c>
      <c r="P903" s="18" t="e">
        <f>#REF!-M903</f>
        <v>#REF!</v>
      </c>
      <c r="Q903" s="18" t="e">
        <f>#REF!-N903</f>
        <v>#REF!</v>
      </c>
      <c r="R903" s="17" t="str">
        <f t="shared" si="102"/>
        <v>00 0 00 00000000</v>
      </c>
    </row>
    <row r="904" spans="1:18" s="29" customFormat="1" ht="15.75">
      <c r="A904" s="28"/>
      <c r="B904" s="121" t="s">
        <v>50</v>
      </c>
      <c r="C904" s="122" t="s">
        <v>595</v>
      </c>
      <c r="D904" s="123" t="s">
        <v>11</v>
      </c>
      <c r="E904" s="123" t="s">
        <v>51</v>
      </c>
      <c r="F904" s="123" t="s">
        <v>8</v>
      </c>
      <c r="G904" s="123" t="s">
        <v>9</v>
      </c>
      <c r="H904" s="124">
        <f>H905</f>
        <v>0</v>
      </c>
      <c r="L904" s="19">
        <v>6.98</v>
      </c>
      <c r="M904" s="19">
        <v>6.98</v>
      </c>
      <c r="N904" s="19">
        <v>6.98</v>
      </c>
      <c r="O904" s="19">
        <f t="shared" si="105"/>
        <v>-6.98</v>
      </c>
      <c r="P904" s="19" t="e">
        <f>#REF!-M904</f>
        <v>#REF!</v>
      </c>
      <c r="Q904" s="19" t="e">
        <f>#REF!-N904</f>
        <v>#REF!</v>
      </c>
      <c r="R904" s="17" t="str">
        <f t="shared" si="102"/>
        <v>00 0 00 00000000</v>
      </c>
    </row>
    <row r="905" spans="1:18" s="29" customFormat="1" ht="63">
      <c r="A905" s="28"/>
      <c r="B905" s="132" t="s">
        <v>257</v>
      </c>
      <c r="C905" s="109" t="s">
        <v>595</v>
      </c>
      <c r="D905" s="108" t="s">
        <v>11</v>
      </c>
      <c r="E905" s="108" t="s">
        <v>51</v>
      </c>
      <c r="F905" s="108" t="s">
        <v>258</v>
      </c>
      <c r="G905" s="108" t="s">
        <v>9</v>
      </c>
      <c r="H905" s="126">
        <f t="shared" si="106"/>
        <v>0</v>
      </c>
      <c r="L905" s="20">
        <v>6.98</v>
      </c>
      <c r="M905" s="20">
        <v>6.98</v>
      </c>
      <c r="N905" s="20">
        <v>6.98</v>
      </c>
      <c r="O905" s="20">
        <f t="shared" si="105"/>
        <v>-6.98</v>
      </c>
      <c r="P905" s="20" t="e">
        <f>#REF!-M905</f>
        <v>#REF!</v>
      </c>
      <c r="Q905" s="20" t="e">
        <f>#REF!-N905</f>
        <v>#REF!</v>
      </c>
      <c r="R905" s="17" t="str">
        <f t="shared" si="102"/>
        <v>11 0 00 00000000</v>
      </c>
    </row>
    <row r="906" spans="1:18" s="29" customFormat="1" ht="63">
      <c r="A906" s="28"/>
      <c r="B906" s="132" t="s">
        <v>259</v>
      </c>
      <c r="C906" s="109" t="s">
        <v>595</v>
      </c>
      <c r="D906" s="108" t="s">
        <v>11</v>
      </c>
      <c r="E906" s="108" t="s">
        <v>51</v>
      </c>
      <c r="F906" s="108" t="s">
        <v>260</v>
      </c>
      <c r="G906" s="108" t="s">
        <v>9</v>
      </c>
      <c r="H906" s="126">
        <f t="shared" si="106"/>
        <v>0</v>
      </c>
      <c r="L906" s="20">
        <v>6.98</v>
      </c>
      <c r="M906" s="20">
        <v>6.98</v>
      </c>
      <c r="N906" s="20">
        <v>6.98</v>
      </c>
      <c r="O906" s="20">
        <f t="shared" si="105"/>
        <v>-6.98</v>
      </c>
      <c r="P906" s="20" t="e">
        <f>#REF!-M906</f>
        <v>#REF!</v>
      </c>
      <c r="Q906" s="20" t="e">
        <f>#REF!-N906</f>
        <v>#REF!</v>
      </c>
      <c r="R906" s="17" t="str">
        <f t="shared" si="102"/>
        <v>11 Б 00 00000000</v>
      </c>
    </row>
    <row r="907" spans="1:18" s="29" customFormat="1" ht="47.25">
      <c r="A907" s="28"/>
      <c r="B907" s="125" t="s">
        <v>261</v>
      </c>
      <c r="C907" s="109" t="s">
        <v>595</v>
      </c>
      <c r="D907" s="108" t="s">
        <v>11</v>
      </c>
      <c r="E907" s="108" t="s">
        <v>51</v>
      </c>
      <c r="F907" s="108" t="s">
        <v>262</v>
      </c>
      <c r="G907" s="108" t="s">
        <v>9</v>
      </c>
      <c r="H907" s="126">
        <f t="shared" si="106"/>
        <v>0</v>
      </c>
      <c r="L907" s="20">
        <v>6.98</v>
      </c>
      <c r="M907" s="20">
        <v>6.98</v>
      </c>
      <c r="N907" s="20">
        <v>6.98</v>
      </c>
      <c r="O907" s="20">
        <f t="shared" si="105"/>
        <v>-6.98</v>
      </c>
      <c r="P907" s="20" t="e">
        <f>#REF!-M907</f>
        <v>#REF!</v>
      </c>
      <c r="Q907" s="20" t="e">
        <f>#REF!-N907</f>
        <v>#REF!</v>
      </c>
      <c r="R907" s="17" t="str">
        <f t="shared" si="102"/>
        <v>11 Б 01 00000000</v>
      </c>
    </row>
    <row r="908" spans="1:18" s="13" customFormat="1" ht="31.5">
      <c r="A908" s="1"/>
      <c r="B908" s="125" t="s">
        <v>267</v>
      </c>
      <c r="C908" s="109" t="s">
        <v>595</v>
      </c>
      <c r="D908" s="108" t="s">
        <v>11</v>
      </c>
      <c r="E908" s="108" t="s">
        <v>51</v>
      </c>
      <c r="F908" s="108" t="s">
        <v>268</v>
      </c>
      <c r="G908" s="108" t="s">
        <v>9</v>
      </c>
      <c r="H908" s="126">
        <f t="shared" si="106"/>
        <v>0</v>
      </c>
      <c r="L908" s="20">
        <v>6.98</v>
      </c>
      <c r="M908" s="20">
        <v>6.98</v>
      </c>
      <c r="N908" s="20">
        <v>6.98</v>
      </c>
      <c r="O908" s="20">
        <f t="shared" si="105"/>
        <v>-6.98</v>
      </c>
      <c r="P908" s="20" t="e">
        <f>#REF!-M908</f>
        <v>#REF!</v>
      </c>
      <c r="Q908" s="20" t="e">
        <f>#REF!-N908</f>
        <v>#REF!</v>
      </c>
      <c r="R908" s="17" t="str">
        <f t="shared" si="102"/>
        <v>11 Б 01 21120000</v>
      </c>
    </row>
    <row r="909" spans="1:18" s="13" customFormat="1" ht="31.5">
      <c r="A909" s="1"/>
      <c r="B909" s="125" t="s">
        <v>28</v>
      </c>
      <c r="C909" s="109" t="s">
        <v>595</v>
      </c>
      <c r="D909" s="108" t="s">
        <v>11</v>
      </c>
      <c r="E909" s="108" t="s">
        <v>51</v>
      </c>
      <c r="F909" s="108" t="s">
        <v>268</v>
      </c>
      <c r="G909" s="108" t="s">
        <v>29</v>
      </c>
      <c r="H909" s="126">
        <f>H910</f>
        <v>0</v>
      </c>
      <c r="L909" s="20">
        <v>6.98</v>
      </c>
      <c r="M909" s="20">
        <v>6.98</v>
      </c>
      <c r="N909" s="20">
        <v>6.98</v>
      </c>
      <c r="O909" s="20">
        <f t="shared" si="105"/>
        <v>-6.98</v>
      </c>
      <c r="P909" s="20" t="e">
        <f>#REF!-M909</f>
        <v>#REF!</v>
      </c>
      <c r="Q909" s="20" t="e">
        <f>#REF!-N909</f>
        <v>#REF!</v>
      </c>
      <c r="R909" s="17" t="str">
        <f t="shared" si="102"/>
        <v>11 Б 01 21120240</v>
      </c>
    </row>
    <row r="910" spans="1:18" s="13" customFormat="1" ht="15.75">
      <c r="A910" s="1"/>
      <c r="B910" s="125" t="s">
        <v>30</v>
      </c>
      <c r="C910" s="109" t="s">
        <v>595</v>
      </c>
      <c r="D910" s="108" t="s">
        <v>11</v>
      </c>
      <c r="E910" s="108" t="s">
        <v>51</v>
      </c>
      <c r="F910" s="108" t="s">
        <v>268</v>
      </c>
      <c r="G910" s="108" t="s">
        <v>31</v>
      </c>
      <c r="H910" s="126"/>
      <c r="L910" s="20"/>
      <c r="M910" s="20"/>
      <c r="N910" s="20"/>
      <c r="O910" s="20"/>
      <c r="P910" s="20"/>
      <c r="Q910" s="20"/>
      <c r="R910" s="17" t="str">
        <f t="shared" si="102"/>
        <v>11 Б 01 21120244</v>
      </c>
    </row>
    <row r="911" spans="1:18" s="13" customFormat="1" ht="15.75">
      <c r="A911" s="1"/>
      <c r="B911" s="117" t="s">
        <v>569</v>
      </c>
      <c r="C911" s="118" t="s">
        <v>595</v>
      </c>
      <c r="D911" s="119" t="s">
        <v>238</v>
      </c>
      <c r="E911" s="119" t="s">
        <v>7</v>
      </c>
      <c r="F911" s="119" t="s">
        <v>8</v>
      </c>
      <c r="G911" s="119" t="s">
        <v>9</v>
      </c>
      <c r="H911" s="120">
        <f>H912</f>
        <v>0</v>
      </c>
      <c r="L911" s="18">
        <v>2704.98</v>
      </c>
      <c r="M911" s="18">
        <v>2704.98</v>
      </c>
      <c r="N911" s="18">
        <v>2704.98</v>
      </c>
      <c r="O911" s="18">
        <f t="shared" ref="O911:O917" si="107">H911-L911</f>
        <v>-2704.98</v>
      </c>
      <c r="P911" s="18" t="e">
        <f>#REF!-M911</f>
        <v>#REF!</v>
      </c>
      <c r="Q911" s="18" t="e">
        <f>#REF!-N911</f>
        <v>#REF!</v>
      </c>
      <c r="R911" s="17" t="str">
        <f t="shared" si="102"/>
        <v>00 0 00 00000000</v>
      </c>
    </row>
    <row r="912" spans="1:18" s="13" customFormat="1" ht="15.75">
      <c r="A912" s="1"/>
      <c r="B912" s="121" t="s">
        <v>239</v>
      </c>
      <c r="C912" s="122" t="s">
        <v>595</v>
      </c>
      <c r="D912" s="123" t="s">
        <v>238</v>
      </c>
      <c r="E912" s="123" t="s">
        <v>11</v>
      </c>
      <c r="F912" s="123" t="s">
        <v>8</v>
      </c>
      <c r="G912" s="123" t="s">
        <v>9</v>
      </c>
      <c r="H912" s="124">
        <f>H913</f>
        <v>0</v>
      </c>
      <c r="L912" s="19">
        <v>2704.98</v>
      </c>
      <c r="M912" s="19">
        <v>2704.98</v>
      </c>
      <c r="N912" s="19">
        <v>2704.98</v>
      </c>
      <c r="O912" s="19">
        <f t="shared" si="107"/>
        <v>-2704.98</v>
      </c>
      <c r="P912" s="19" t="e">
        <f>#REF!-M912</f>
        <v>#REF!</v>
      </c>
      <c r="Q912" s="19" t="e">
        <f>#REF!-N912</f>
        <v>#REF!</v>
      </c>
      <c r="R912" s="17" t="str">
        <f t="shared" si="102"/>
        <v>00 0 00 00000000</v>
      </c>
    </row>
    <row r="913" spans="1:18" s="13" customFormat="1" ht="31.5">
      <c r="A913" s="1"/>
      <c r="B913" s="125" t="s">
        <v>240</v>
      </c>
      <c r="C913" s="109" t="s">
        <v>595</v>
      </c>
      <c r="D913" s="108" t="s">
        <v>238</v>
      </c>
      <c r="E913" s="108" t="s">
        <v>11</v>
      </c>
      <c r="F913" s="131" t="s">
        <v>241</v>
      </c>
      <c r="G913" s="108" t="s">
        <v>9</v>
      </c>
      <c r="H913" s="126">
        <f>H914</f>
        <v>0</v>
      </c>
      <c r="L913" s="20">
        <v>2704.98</v>
      </c>
      <c r="M913" s="20">
        <v>2704.98</v>
      </c>
      <c r="N913" s="20">
        <v>2704.98</v>
      </c>
      <c r="O913" s="20">
        <f t="shared" si="107"/>
        <v>-2704.98</v>
      </c>
      <c r="P913" s="20" t="e">
        <f>#REF!-M913</f>
        <v>#REF!</v>
      </c>
      <c r="Q913" s="20" t="e">
        <f>#REF!-N913</f>
        <v>#REF!</v>
      </c>
      <c r="R913" s="17" t="str">
        <f t="shared" si="102"/>
        <v>07 0 00 00000000</v>
      </c>
    </row>
    <row r="914" spans="1:18" s="13" customFormat="1" ht="78.75">
      <c r="A914" s="1"/>
      <c r="B914" s="125" t="s">
        <v>384</v>
      </c>
      <c r="C914" s="109" t="s">
        <v>595</v>
      </c>
      <c r="D914" s="108" t="s">
        <v>238</v>
      </c>
      <c r="E914" s="108" t="s">
        <v>11</v>
      </c>
      <c r="F914" s="131" t="s">
        <v>243</v>
      </c>
      <c r="G914" s="108" t="s">
        <v>9</v>
      </c>
      <c r="H914" s="126">
        <f t="shared" ref="H914:H916" si="108">H915</f>
        <v>0</v>
      </c>
      <c r="L914" s="20">
        <v>2704.98</v>
      </c>
      <c r="M914" s="20">
        <v>2704.98</v>
      </c>
      <c r="N914" s="20">
        <v>2704.98</v>
      </c>
      <c r="O914" s="20">
        <f t="shared" si="107"/>
        <v>-2704.98</v>
      </c>
      <c r="P914" s="20" t="e">
        <f>#REF!-M914</f>
        <v>#REF!</v>
      </c>
      <c r="Q914" s="20" t="e">
        <f>#REF!-N914</f>
        <v>#REF!</v>
      </c>
      <c r="R914" s="17" t="str">
        <f t="shared" si="102"/>
        <v>07 1 00 00000000</v>
      </c>
    </row>
    <row r="915" spans="1:18" s="13" customFormat="1" ht="110.25">
      <c r="A915" s="1"/>
      <c r="B915" s="125" t="s">
        <v>244</v>
      </c>
      <c r="C915" s="109" t="s">
        <v>595</v>
      </c>
      <c r="D915" s="108" t="s">
        <v>238</v>
      </c>
      <c r="E915" s="108" t="s">
        <v>11</v>
      </c>
      <c r="F915" s="131" t="s">
        <v>245</v>
      </c>
      <c r="G915" s="108" t="s">
        <v>9</v>
      </c>
      <c r="H915" s="126">
        <f t="shared" si="108"/>
        <v>0</v>
      </c>
      <c r="L915" s="20">
        <v>2704.98</v>
      </c>
      <c r="M915" s="20">
        <v>2704.98</v>
      </c>
      <c r="N915" s="20">
        <v>2704.98</v>
      </c>
      <c r="O915" s="20">
        <f t="shared" si="107"/>
        <v>-2704.98</v>
      </c>
      <c r="P915" s="20" t="e">
        <f>#REF!-M915</f>
        <v>#REF!</v>
      </c>
      <c r="Q915" s="20" t="e">
        <f>#REF!-N915</f>
        <v>#REF!</v>
      </c>
      <c r="R915" s="17" t="str">
        <f t="shared" si="102"/>
        <v>07 1 01 00000000</v>
      </c>
    </row>
    <row r="916" spans="1:18" s="13" customFormat="1" ht="31.5">
      <c r="A916" s="1"/>
      <c r="B916" s="125" t="s">
        <v>246</v>
      </c>
      <c r="C916" s="109" t="s">
        <v>595</v>
      </c>
      <c r="D916" s="108" t="s">
        <v>238</v>
      </c>
      <c r="E916" s="108" t="s">
        <v>11</v>
      </c>
      <c r="F916" s="131" t="s">
        <v>247</v>
      </c>
      <c r="G916" s="108" t="s">
        <v>9</v>
      </c>
      <c r="H916" s="126">
        <f t="shared" si="108"/>
        <v>0</v>
      </c>
      <c r="L916" s="20">
        <v>2704.98</v>
      </c>
      <c r="M916" s="20">
        <v>2704.98</v>
      </c>
      <c r="N916" s="20">
        <v>2704.98</v>
      </c>
      <c r="O916" s="20">
        <f t="shared" si="107"/>
        <v>-2704.98</v>
      </c>
      <c r="P916" s="20" t="e">
        <f>#REF!-M916</f>
        <v>#REF!</v>
      </c>
      <c r="Q916" s="20" t="e">
        <f>#REF!-N916</f>
        <v>#REF!</v>
      </c>
      <c r="R916" s="17" t="str">
        <f t="shared" si="102"/>
        <v>07 1 01 20060000</v>
      </c>
    </row>
    <row r="917" spans="1:18" s="13" customFormat="1" ht="31.5">
      <c r="A917" s="1"/>
      <c r="B917" s="127" t="s">
        <v>28</v>
      </c>
      <c r="C917" s="109" t="s">
        <v>595</v>
      </c>
      <c r="D917" s="108" t="s">
        <v>238</v>
      </c>
      <c r="E917" s="108" t="s">
        <v>11</v>
      </c>
      <c r="F917" s="131" t="s">
        <v>247</v>
      </c>
      <c r="G917" s="108" t="s">
        <v>29</v>
      </c>
      <c r="H917" s="126">
        <f>H918</f>
        <v>0</v>
      </c>
      <c r="L917" s="20">
        <v>2704.98</v>
      </c>
      <c r="M917" s="20">
        <v>2704.98</v>
      </c>
      <c r="N917" s="20">
        <v>2704.98</v>
      </c>
      <c r="O917" s="20">
        <f t="shared" si="107"/>
        <v>-2704.98</v>
      </c>
      <c r="P917" s="20" t="e">
        <f>#REF!-M917</f>
        <v>#REF!</v>
      </c>
      <c r="Q917" s="20" t="e">
        <f>#REF!-N917</f>
        <v>#REF!</v>
      </c>
      <c r="R917" s="17" t="str">
        <f t="shared" si="102"/>
        <v>07 1 01 20060240</v>
      </c>
    </row>
    <row r="918" spans="1:18" s="13" customFormat="1" ht="15.75">
      <c r="A918" s="1"/>
      <c r="B918" s="125" t="s">
        <v>30</v>
      </c>
      <c r="C918" s="109" t="s">
        <v>595</v>
      </c>
      <c r="D918" s="108" t="s">
        <v>238</v>
      </c>
      <c r="E918" s="108" t="s">
        <v>11</v>
      </c>
      <c r="F918" s="131" t="s">
        <v>247</v>
      </c>
      <c r="G918" s="108" t="s">
        <v>31</v>
      </c>
      <c r="H918" s="126"/>
      <c r="L918" s="20"/>
      <c r="M918" s="20"/>
      <c r="N918" s="20"/>
      <c r="O918" s="20"/>
      <c r="P918" s="20"/>
      <c r="Q918" s="20"/>
      <c r="R918" s="17" t="str">
        <f t="shared" si="102"/>
        <v>07 1 01 20060244</v>
      </c>
    </row>
    <row r="919" spans="1:18" s="17" customFormat="1" ht="15.75">
      <c r="A919" s="14"/>
      <c r="B919" s="117" t="s">
        <v>316</v>
      </c>
      <c r="C919" s="118" t="s">
        <v>595</v>
      </c>
      <c r="D919" s="119" t="s">
        <v>317</v>
      </c>
      <c r="E919" s="119" t="s">
        <v>7</v>
      </c>
      <c r="F919" s="119" t="s">
        <v>8</v>
      </c>
      <c r="G919" s="119" t="s">
        <v>9</v>
      </c>
      <c r="H919" s="120" t="e">
        <f>H920+H1053+H1063</f>
        <v>#REF!</v>
      </c>
      <c r="L919" s="18">
        <v>1876197.93</v>
      </c>
      <c r="M919" s="18">
        <v>1939872.36</v>
      </c>
      <c r="N919" s="18">
        <v>1989511.5600000003</v>
      </c>
      <c r="O919" s="18" t="e">
        <f t="shared" ref="O919:O925" si="109">H919-L919</f>
        <v>#REF!</v>
      </c>
      <c r="P919" s="18" t="e">
        <f>#REF!-M919</f>
        <v>#REF!</v>
      </c>
      <c r="Q919" s="18" t="e">
        <f>#REF!-N919</f>
        <v>#REF!</v>
      </c>
      <c r="R919" s="17" t="str">
        <f t="shared" si="102"/>
        <v>00 0 00 00000000</v>
      </c>
    </row>
    <row r="920" spans="1:18" s="17" customFormat="1" ht="15.75">
      <c r="A920" s="14"/>
      <c r="B920" s="121" t="s">
        <v>318</v>
      </c>
      <c r="C920" s="122" t="s">
        <v>595</v>
      </c>
      <c r="D920" s="123" t="s">
        <v>317</v>
      </c>
      <c r="E920" s="123" t="s">
        <v>13</v>
      </c>
      <c r="F920" s="123" t="s">
        <v>8</v>
      </c>
      <c r="G920" s="123" t="s">
        <v>9</v>
      </c>
      <c r="H920" s="124">
        <f>H921</f>
        <v>0</v>
      </c>
      <c r="L920" s="19">
        <v>1547791.57</v>
      </c>
      <c r="M920" s="19">
        <v>1611474.33</v>
      </c>
      <c r="N920" s="19">
        <v>1661075.4700000004</v>
      </c>
      <c r="O920" s="19">
        <f t="shared" si="109"/>
        <v>-1547791.57</v>
      </c>
      <c r="P920" s="19" t="e">
        <f>#REF!-M920</f>
        <v>#REF!</v>
      </c>
      <c r="Q920" s="19" t="e">
        <f>#REF!-N920</f>
        <v>#REF!</v>
      </c>
      <c r="R920" s="17" t="str">
        <f t="shared" si="102"/>
        <v>00 0 00 00000000</v>
      </c>
    </row>
    <row r="921" spans="1:18" s="17" customFormat="1" ht="31.5">
      <c r="A921" s="14"/>
      <c r="B921" s="135" t="s">
        <v>385</v>
      </c>
      <c r="C921" s="109" t="s">
        <v>595</v>
      </c>
      <c r="D921" s="108" t="s">
        <v>317</v>
      </c>
      <c r="E921" s="108" t="s">
        <v>13</v>
      </c>
      <c r="F921" s="108" t="s">
        <v>386</v>
      </c>
      <c r="G921" s="108" t="s">
        <v>9</v>
      </c>
      <c r="H921" s="126">
        <f>H922+H998+H1048</f>
        <v>0</v>
      </c>
      <c r="L921" s="36">
        <v>1547791.57</v>
      </c>
      <c r="M921" s="36">
        <v>1611474.33</v>
      </c>
      <c r="N921" s="36">
        <v>1661075.4700000004</v>
      </c>
      <c r="O921" s="36">
        <f t="shared" si="109"/>
        <v>-1547791.57</v>
      </c>
      <c r="P921" s="36" t="e">
        <f>#REF!-M921</f>
        <v>#REF!</v>
      </c>
      <c r="Q921" s="36" t="e">
        <f>#REF!-N921</f>
        <v>#REF!</v>
      </c>
      <c r="R921" s="17" t="str">
        <f t="shared" si="102"/>
        <v>03 0 00 00000000</v>
      </c>
    </row>
    <row r="922" spans="1:18" s="17" customFormat="1" ht="47.25">
      <c r="A922" s="14"/>
      <c r="B922" s="147" t="s">
        <v>596</v>
      </c>
      <c r="C922" s="109" t="s">
        <v>595</v>
      </c>
      <c r="D922" s="108" t="s">
        <v>317</v>
      </c>
      <c r="E922" s="108" t="s">
        <v>13</v>
      </c>
      <c r="F922" s="108" t="s">
        <v>597</v>
      </c>
      <c r="G922" s="108" t="s">
        <v>9</v>
      </c>
      <c r="H922" s="126">
        <f>H923+H977</f>
        <v>0</v>
      </c>
      <c r="L922" s="36">
        <v>1524462.33</v>
      </c>
      <c r="M922" s="36">
        <v>1588079.09</v>
      </c>
      <c r="N922" s="36">
        <v>1607633.8800000004</v>
      </c>
      <c r="O922" s="36">
        <f t="shared" si="109"/>
        <v>-1524462.33</v>
      </c>
      <c r="P922" s="36" t="e">
        <f>#REF!-M922</f>
        <v>#REF!</v>
      </c>
      <c r="Q922" s="36" t="e">
        <f>#REF!-N922</f>
        <v>#REF!</v>
      </c>
      <c r="R922" s="17" t="str">
        <f t="shared" si="102"/>
        <v>03 1 00 00000 000</v>
      </c>
    </row>
    <row r="923" spans="1:18" s="17" customFormat="1" ht="47.25">
      <c r="A923" s="14" t="s">
        <v>598</v>
      </c>
      <c r="B923" s="148" t="s">
        <v>599</v>
      </c>
      <c r="C923" s="109" t="s">
        <v>595</v>
      </c>
      <c r="D923" s="108" t="s">
        <v>317</v>
      </c>
      <c r="E923" s="108" t="s">
        <v>13</v>
      </c>
      <c r="F923" s="108" t="s">
        <v>600</v>
      </c>
      <c r="G923" s="108" t="s">
        <v>9</v>
      </c>
      <c r="H923" s="126">
        <f>H924+H929+H934+H939+H947+H952+H957+H962+H967+H972+H942</f>
        <v>0</v>
      </c>
      <c r="L923" s="37">
        <v>1289482.9700000002</v>
      </c>
      <c r="M923" s="37">
        <v>1342429.75</v>
      </c>
      <c r="N923" s="37">
        <v>1346620.0200000003</v>
      </c>
      <c r="O923" s="37">
        <f t="shared" si="109"/>
        <v>-1289482.9700000002</v>
      </c>
      <c r="P923" s="37" t="e">
        <f>#REF!-M923</f>
        <v>#REF!</v>
      </c>
      <c r="Q923" s="37" t="e">
        <f>#REF!-N923</f>
        <v>#REF!</v>
      </c>
      <c r="R923" s="17" t="str">
        <f t="shared" si="102"/>
        <v>03 1 01 00000 000</v>
      </c>
    </row>
    <row r="924" spans="1:18" s="17" customFormat="1" ht="31.5">
      <c r="A924" s="14"/>
      <c r="B924" s="135" t="s">
        <v>601</v>
      </c>
      <c r="C924" s="109" t="s">
        <v>595</v>
      </c>
      <c r="D924" s="108" t="s">
        <v>317</v>
      </c>
      <c r="E924" s="108" t="s">
        <v>13</v>
      </c>
      <c r="F924" s="108" t="s">
        <v>602</v>
      </c>
      <c r="G924" s="108" t="s">
        <v>9</v>
      </c>
      <c r="H924" s="126">
        <f>H925+H927</f>
        <v>0</v>
      </c>
      <c r="L924" s="37">
        <v>15217.199999999999</v>
      </c>
      <c r="M924" s="37">
        <v>15825.1</v>
      </c>
      <c r="N924" s="37">
        <v>16463.5</v>
      </c>
      <c r="O924" s="37">
        <f t="shared" si="109"/>
        <v>-15217.199999999999</v>
      </c>
      <c r="P924" s="37" t="e">
        <f>#REF!-M924</f>
        <v>#REF!</v>
      </c>
      <c r="Q924" s="37" t="e">
        <f>#REF!-N924</f>
        <v>#REF!</v>
      </c>
      <c r="R924" s="17" t="str">
        <f t="shared" si="102"/>
        <v>03 1 01 52200000</v>
      </c>
    </row>
    <row r="925" spans="1:18" s="17" customFormat="1" ht="31.5">
      <c r="A925" s="14"/>
      <c r="B925" s="125" t="s">
        <v>28</v>
      </c>
      <c r="C925" s="109" t="s">
        <v>595</v>
      </c>
      <c r="D925" s="108" t="s">
        <v>317</v>
      </c>
      <c r="E925" s="108" t="s">
        <v>13</v>
      </c>
      <c r="F925" s="108" t="s">
        <v>602</v>
      </c>
      <c r="G925" s="108" t="s">
        <v>29</v>
      </c>
      <c r="H925" s="126">
        <f>H926</f>
        <v>0</v>
      </c>
      <c r="L925" s="37">
        <v>224.88</v>
      </c>
      <c r="M925" s="37">
        <v>233.87</v>
      </c>
      <c r="N925" s="37">
        <v>243.3</v>
      </c>
      <c r="O925" s="37">
        <f t="shared" si="109"/>
        <v>-224.88</v>
      </c>
      <c r="P925" s="37" t="e">
        <f>#REF!-M925</f>
        <v>#REF!</v>
      </c>
      <c r="Q925" s="37" t="e">
        <f>#REF!-N925</f>
        <v>#REF!</v>
      </c>
      <c r="R925" s="17" t="str">
        <f t="shared" si="102"/>
        <v>03 1 01 52200240</v>
      </c>
    </row>
    <row r="926" spans="1:18" s="17" customFormat="1" ht="15.75">
      <c r="A926" s="14"/>
      <c r="B926" s="125" t="s">
        <v>30</v>
      </c>
      <c r="C926" s="109" t="s">
        <v>595</v>
      </c>
      <c r="D926" s="108" t="s">
        <v>317</v>
      </c>
      <c r="E926" s="108" t="s">
        <v>13</v>
      </c>
      <c r="F926" s="108" t="s">
        <v>602</v>
      </c>
      <c r="G926" s="108" t="s">
        <v>31</v>
      </c>
      <c r="H926" s="126"/>
      <c r="L926" s="37"/>
      <c r="M926" s="37"/>
      <c r="N926" s="37"/>
      <c r="O926" s="37"/>
      <c r="P926" s="37"/>
      <c r="Q926" s="37"/>
      <c r="R926" s="17" t="str">
        <f t="shared" si="102"/>
        <v>03 1 01 52200244</v>
      </c>
    </row>
    <row r="927" spans="1:18" s="17" customFormat="1" ht="31.5">
      <c r="A927" s="14"/>
      <c r="B927" s="132" t="s">
        <v>493</v>
      </c>
      <c r="C927" s="109" t="s">
        <v>595</v>
      </c>
      <c r="D927" s="108" t="s">
        <v>317</v>
      </c>
      <c r="E927" s="108" t="s">
        <v>13</v>
      </c>
      <c r="F927" s="108" t="s">
        <v>602</v>
      </c>
      <c r="G927" s="108" t="s">
        <v>494</v>
      </c>
      <c r="H927" s="126">
        <f>H928</f>
        <v>0</v>
      </c>
      <c r="L927" s="37">
        <v>14992.32</v>
      </c>
      <c r="M927" s="37">
        <v>15591.23</v>
      </c>
      <c r="N927" s="37">
        <v>16220.2</v>
      </c>
      <c r="O927" s="37">
        <f>H927-L927</f>
        <v>-14992.32</v>
      </c>
      <c r="P927" s="37" t="e">
        <f>#REF!-M927</f>
        <v>#REF!</v>
      </c>
      <c r="Q927" s="37" t="e">
        <f>#REF!-N927</f>
        <v>#REF!</v>
      </c>
      <c r="R927" s="17" t="str">
        <f t="shared" si="102"/>
        <v>03 1 01 52200310</v>
      </c>
    </row>
    <row r="928" spans="1:18" s="24" customFormat="1" ht="31.5">
      <c r="A928" s="21"/>
      <c r="B928" s="127" t="s">
        <v>495</v>
      </c>
      <c r="C928" s="109" t="s">
        <v>595</v>
      </c>
      <c r="D928" s="108" t="s">
        <v>317</v>
      </c>
      <c r="E928" s="108" t="s">
        <v>13</v>
      </c>
      <c r="F928" s="108" t="s">
        <v>602</v>
      </c>
      <c r="G928" s="108" t="s">
        <v>496</v>
      </c>
      <c r="H928" s="126"/>
      <c r="L928" s="38"/>
      <c r="M928" s="38"/>
      <c r="N928" s="38"/>
      <c r="O928" s="38"/>
      <c r="P928" s="38"/>
      <c r="Q928" s="38"/>
      <c r="R928" s="24" t="str">
        <f t="shared" si="102"/>
        <v>03 1 01 52200313</v>
      </c>
    </row>
    <row r="929" spans="1:18" s="17" customFormat="1" ht="47.25">
      <c r="A929" s="14"/>
      <c r="B929" s="135" t="s">
        <v>603</v>
      </c>
      <c r="C929" s="109" t="s">
        <v>595</v>
      </c>
      <c r="D929" s="108" t="s">
        <v>317</v>
      </c>
      <c r="E929" s="108" t="s">
        <v>13</v>
      </c>
      <c r="F929" s="108" t="s">
        <v>604</v>
      </c>
      <c r="G929" s="108" t="s">
        <v>9</v>
      </c>
      <c r="H929" s="126">
        <f>H930+H932</f>
        <v>0</v>
      </c>
      <c r="L929" s="37">
        <v>335846.3</v>
      </c>
      <c r="M929" s="37">
        <v>342847.89999999997</v>
      </c>
      <c r="N929" s="37">
        <v>342746.10000000003</v>
      </c>
      <c r="O929" s="37">
        <f>H929-L929</f>
        <v>-335846.3</v>
      </c>
      <c r="P929" s="37" t="e">
        <f>#REF!-M929</f>
        <v>#REF!</v>
      </c>
      <c r="Q929" s="37" t="e">
        <f>#REF!-N929</f>
        <v>#REF!</v>
      </c>
      <c r="R929" s="17" t="str">
        <f t="shared" si="102"/>
        <v>03 1 01 52500000</v>
      </c>
    </row>
    <row r="930" spans="1:18" s="17" customFormat="1" ht="31.5">
      <c r="A930" s="14"/>
      <c r="B930" s="125" t="s">
        <v>28</v>
      </c>
      <c r="C930" s="109" t="s">
        <v>595</v>
      </c>
      <c r="D930" s="108" t="s">
        <v>317</v>
      </c>
      <c r="E930" s="108" t="s">
        <v>13</v>
      </c>
      <c r="F930" s="108" t="s">
        <v>604</v>
      </c>
      <c r="G930" s="108" t="s">
        <v>29</v>
      </c>
      <c r="H930" s="126">
        <f>H931</f>
        <v>0</v>
      </c>
      <c r="L930" s="37">
        <v>2454.87</v>
      </c>
      <c r="M930" s="37">
        <v>2558.35</v>
      </c>
      <c r="N930" s="37">
        <v>2556.84</v>
      </c>
      <c r="O930" s="37">
        <f>H930-L930</f>
        <v>-2454.87</v>
      </c>
      <c r="P930" s="37" t="e">
        <f>#REF!-M930</f>
        <v>#REF!</v>
      </c>
      <c r="Q930" s="37" t="e">
        <f>#REF!-N930</f>
        <v>#REF!</v>
      </c>
      <c r="R930" s="17" t="str">
        <f t="shared" ref="R930:R1015" si="110">CONCATENATE(F930,G930)</f>
        <v>03 1 01 52500240</v>
      </c>
    </row>
    <row r="931" spans="1:18" s="17" customFormat="1" ht="15.75">
      <c r="A931" s="14"/>
      <c r="B931" s="125" t="s">
        <v>30</v>
      </c>
      <c r="C931" s="109" t="s">
        <v>595</v>
      </c>
      <c r="D931" s="108" t="s">
        <v>317</v>
      </c>
      <c r="E931" s="108" t="s">
        <v>13</v>
      </c>
      <c r="F931" s="108" t="s">
        <v>604</v>
      </c>
      <c r="G931" s="108" t="s">
        <v>31</v>
      </c>
      <c r="H931" s="126"/>
      <c r="L931" s="37"/>
      <c r="M931" s="37"/>
      <c r="N931" s="37"/>
      <c r="O931" s="37"/>
      <c r="P931" s="37"/>
      <c r="Q931" s="37"/>
      <c r="R931" s="17" t="str">
        <f t="shared" si="110"/>
        <v>03 1 01 52500244</v>
      </c>
    </row>
    <row r="932" spans="1:18" s="17" customFormat="1" ht="31.5">
      <c r="A932" s="14"/>
      <c r="B932" s="132" t="s">
        <v>493</v>
      </c>
      <c r="C932" s="109" t="s">
        <v>595</v>
      </c>
      <c r="D932" s="108" t="s">
        <v>317</v>
      </c>
      <c r="E932" s="108" t="s">
        <v>13</v>
      </c>
      <c r="F932" s="108" t="s">
        <v>604</v>
      </c>
      <c r="G932" s="108" t="s">
        <v>494</v>
      </c>
      <c r="H932" s="126">
        <f>H933</f>
        <v>0</v>
      </c>
      <c r="L932" s="37">
        <v>333391.43</v>
      </c>
      <c r="M932" s="37">
        <v>340289.55</v>
      </c>
      <c r="N932" s="37">
        <v>340189.26</v>
      </c>
      <c r="O932" s="37">
        <f>H932-L932</f>
        <v>-333391.43</v>
      </c>
      <c r="P932" s="37" t="e">
        <f>#REF!-M932</f>
        <v>#REF!</v>
      </c>
      <c r="Q932" s="37" t="e">
        <f>#REF!-N932</f>
        <v>#REF!</v>
      </c>
      <c r="R932" s="17" t="str">
        <f t="shared" si="110"/>
        <v>03 1 01 52500310</v>
      </c>
    </row>
    <row r="933" spans="1:18" s="17" customFormat="1" ht="31.5">
      <c r="A933" s="14"/>
      <c r="B933" s="127" t="s">
        <v>495</v>
      </c>
      <c r="C933" s="109" t="s">
        <v>595</v>
      </c>
      <c r="D933" s="108" t="s">
        <v>317</v>
      </c>
      <c r="E933" s="108" t="s">
        <v>13</v>
      </c>
      <c r="F933" s="108" t="s">
        <v>604</v>
      </c>
      <c r="G933" s="108" t="s">
        <v>496</v>
      </c>
      <c r="H933" s="126"/>
      <c r="L933" s="37"/>
      <c r="M933" s="37"/>
      <c r="N933" s="37"/>
      <c r="O933" s="37"/>
      <c r="P933" s="37"/>
      <c r="Q933" s="37"/>
      <c r="R933" s="17" t="str">
        <f t="shared" si="110"/>
        <v>03 1 01 52500313</v>
      </c>
    </row>
    <row r="934" spans="1:18" s="17" customFormat="1" ht="173.25">
      <c r="A934" s="14"/>
      <c r="B934" s="137" t="s">
        <v>605</v>
      </c>
      <c r="C934" s="109" t="s">
        <v>595</v>
      </c>
      <c r="D934" s="108" t="s">
        <v>317</v>
      </c>
      <c r="E934" s="108" t="s">
        <v>13</v>
      </c>
      <c r="F934" s="108" t="s">
        <v>606</v>
      </c>
      <c r="G934" s="108" t="s">
        <v>9</v>
      </c>
      <c r="H934" s="126">
        <f>H935+H937</f>
        <v>0</v>
      </c>
      <c r="L934" s="37">
        <v>107.80000000000001</v>
      </c>
      <c r="M934" s="37">
        <v>74.900000000000006</v>
      </c>
      <c r="N934" s="37">
        <v>74.900000000000006</v>
      </c>
      <c r="O934" s="37">
        <f>H934-L934</f>
        <v>-107.80000000000001</v>
      </c>
      <c r="P934" s="37" t="e">
        <f>#REF!-M934</f>
        <v>#REF!</v>
      </c>
      <c r="Q934" s="37" t="e">
        <f>#REF!-N934</f>
        <v>#REF!</v>
      </c>
      <c r="R934" s="17" t="str">
        <f t="shared" si="110"/>
        <v>03 1 01 52800000</v>
      </c>
    </row>
    <row r="935" spans="1:18" s="17" customFormat="1" ht="31.5">
      <c r="A935" s="14"/>
      <c r="B935" s="125" t="s">
        <v>28</v>
      </c>
      <c r="C935" s="109" t="s">
        <v>595</v>
      </c>
      <c r="D935" s="108" t="s">
        <v>317</v>
      </c>
      <c r="E935" s="108" t="s">
        <v>13</v>
      </c>
      <c r="F935" s="108" t="s">
        <v>606</v>
      </c>
      <c r="G935" s="108" t="s">
        <v>29</v>
      </c>
      <c r="H935" s="126">
        <f>H936</f>
        <v>0</v>
      </c>
      <c r="L935" s="37">
        <v>1.43</v>
      </c>
      <c r="M935" s="37">
        <v>1</v>
      </c>
      <c r="N935" s="37">
        <v>1</v>
      </c>
      <c r="O935" s="37">
        <f>H935-L935</f>
        <v>-1.43</v>
      </c>
      <c r="P935" s="37" t="e">
        <f>#REF!-M935</f>
        <v>#REF!</v>
      </c>
      <c r="Q935" s="37" t="e">
        <f>#REF!-N935</f>
        <v>#REF!</v>
      </c>
      <c r="R935" s="17" t="str">
        <f t="shared" si="110"/>
        <v>03 1 01 52800240</v>
      </c>
    </row>
    <row r="936" spans="1:18" s="17" customFormat="1" ht="15.75">
      <c r="A936" s="14"/>
      <c r="B936" s="125" t="s">
        <v>30</v>
      </c>
      <c r="C936" s="109" t="s">
        <v>595</v>
      </c>
      <c r="D936" s="108" t="s">
        <v>317</v>
      </c>
      <c r="E936" s="108" t="s">
        <v>13</v>
      </c>
      <c r="F936" s="108" t="s">
        <v>606</v>
      </c>
      <c r="G936" s="108" t="s">
        <v>31</v>
      </c>
      <c r="H936" s="126"/>
      <c r="L936" s="37"/>
      <c r="M936" s="37"/>
      <c r="N936" s="37"/>
      <c r="O936" s="37"/>
      <c r="P936" s="37"/>
      <c r="Q936" s="37"/>
      <c r="R936" s="17" t="str">
        <f t="shared" si="110"/>
        <v>03 1 01 52800244</v>
      </c>
    </row>
    <row r="937" spans="1:18" s="17" customFormat="1" ht="31.5">
      <c r="A937" s="14"/>
      <c r="B937" s="132" t="s">
        <v>493</v>
      </c>
      <c r="C937" s="109" t="s">
        <v>595</v>
      </c>
      <c r="D937" s="108" t="s">
        <v>317</v>
      </c>
      <c r="E937" s="108" t="s">
        <v>13</v>
      </c>
      <c r="F937" s="108" t="s">
        <v>606</v>
      </c>
      <c r="G937" s="108" t="s">
        <v>494</v>
      </c>
      <c r="H937" s="126">
        <f>H938</f>
        <v>0</v>
      </c>
      <c r="L937" s="37">
        <v>106.37</v>
      </c>
      <c r="M937" s="37">
        <v>73.900000000000006</v>
      </c>
      <c r="N937" s="37">
        <v>73.900000000000006</v>
      </c>
      <c r="O937" s="37">
        <f>H937-L937</f>
        <v>-106.37</v>
      </c>
      <c r="P937" s="37" t="e">
        <f>#REF!-M937</f>
        <v>#REF!</v>
      </c>
      <c r="Q937" s="37" t="e">
        <f>#REF!-N937</f>
        <v>#REF!</v>
      </c>
      <c r="R937" s="17" t="str">
        <f t="shared" si="110"/>
        <v>03 1 01 52800310</v>
      </c>
    </row>
    <row r="938" spans="1:18" s="17" customFormat="1" ht="31.5">
      <c r="A938" s="14"/>
      <c r="B938" s="127" t="s">
        <v>495</v>
      </c>
      <c r="C938" s="109" t="s">
        <v>595</v>
      </c>
      <c r="D938" s="108" t="s">
        <v>317</v>
      </c>
      <c r="E938" s="108" t="s">
        <v>13</v>
      </c>
      <c r="F938" s="108" t="s">
        <v>606</v>
      </c>
      <c r="G938" s="108" t="s">
        <v>496</v>
      </c>
      <c r="H938" s="126"/>
      <c r="L938" s="37"/>
      <c r="M938" s="37"/>
      <c r="N938" s="37"/>
      <c r="O938" s="37"/>
      <c r="P938" s="37"/>
      <c r="Q938" s="37"/>
    </row>
    <row r="939" spans="1:18" s="17" customFormat="1" ht="47.25">
      <c r="A939" s="14"/>
      <c r="B939" s="149" t="s">
        <v>607</v>
      </c>
      <c r="C939" s="109" t="s">
        <v>595</v>
      </c>
      <c r="D939" s="108" t="s">
        <v>317</v>
      </c>
      <c r="E939" s="108" t="s">
        <v>13</v>
      </c>
      <c r="F939" s="108" t="s">
        <v>608</v>
      </c>
      <c r="G939" s="108" t="s">
        <v>9</v>
      </c>
      <c r="H939" s="126">
        <f>H940</f>
        <v>0</v>
      </c>
      <c r="L939" s="37">
        <v>7961.36</v>
      </c>
      <c r="M939" s="37">
        <v>7961.36</v>
      </c>
      <c r="N939" s="37">
        <v>7961.36</v>
      </c>
      <c r="O939" s="37">
        <f>H939-L939</f>
        <v>-7961.36</v>
      </c>
      <c r="P939" s="37" t="e">
        <f>#REF!-M939</f>
        <v>#REF!</v>
      </c>
      <c r="Q939" s="37" t="e">
        <f>#REF!-N939</f>
        <v>#REF!</v>
      </c>
      <c r="R939" s="17" t="str">
        <f t="shared" si="110"/>
        <v>03 1 01 76240000</v>
      </c>
    </row>
    <row r="940" spans="1:18" s="17" customFormat="1" ht="31.5">
      <c r="A940" s="14"/>
      <c r="B940" s="132" t="s">
        <v>493</v>
      </c>
      <c r="C940" s="109" t="s">
        <v>595</v>
      </c>
      <c r="D940" s="108" t="s">
        <v>317</v>
      </c>
      <c r="E940" s="108" t="s">
        <v>13</v>
      </c>
      <c r="F940" s="108" t="s">
        <v>608</v>
      </c>
      <c r="G940" s="108" t="s">
        <v>494</v>
      </c>
      <c r="H940" s="126">
        <f>H941</f>
        <v>0</v>
      </c>
      <c r="L940" s="37">
        <v>7961.36</v>
      </c>
      <c r="M940" s="37">
        <v>7961.36</v>
      </c>
      <c r="N940" s="37">
        <v>7961.36</v>
      </c>
      <c r="O940" s="37">
        <f>H940-L940</f>
        <v>-7961.36</v>
      </c>
      <c r="P940" s="37" t="e">
        <f>#REF!-M940</f>
        <v>#REF!</v>
      </c>
      <c r="Q940" s="37" t="e">
        <f>#REF!-N940</f>
        <v>#REF!</v>
      </c>
      <c r="R940" s="17" t="str">
        <f t="shared" si="110"/>
        <v>03 1 01 76240310</v>
      </c>
    </row>
    <row r="941" spans="1:18" s="17" customFormat="1" ht="31.5">
      <c r="A941" s="14"/>
      <c r="B941" s="127" t="s">
        <v>495</v>
      </c>
      <c r="C941" s="109" t="s">
        <v>595</v>
      </c>
      <c r="D941" s="108" t="s">
        <v>317</v>
      </c>
      <c r="E941" s="108" t="s">
        <v>13</v>
      </c>
      <c r="F941" s="108" t="s">
        <v>608</v>
      </c>
      <c r="G941" s="108" t="s">
        <v>496</v>
      </c>
      <c r="H941" s="126"/>
      <c r="L941" s="37"/>
      <c r="M941" s="37"/>
      <c r="N941" s="37"/>
      <c r="O941" s="37"/>
      <c r="P941" s="37"/>
      <c r="Q941" s="37"/>
      <c r="R941" s="17" t="str">
        <f t="shared" si="110"/>
        <v>03 1 01 76240313</v>
      </c>
    </row>
    <row r="942" spans="1:18" s="17" customFormat="1" ht="63">
      <c r="A942" s="14"/>
      <c r="B942" s="132" t="s">
        <v>609</v>
      </c>
      <c r="C942" s="109" t="s">
        <v>595</v>
      </c>
      <c r="D942" s="108" t="s">
        <v>317</v>
      </c>
      <c r="E942" s="108" t="s">
        <v>13</v>
      </c>
      <c r="F942" s="108" t="s">
        <v>610</v>
      </c>
      <c r="G942" s="108" t="s">
        <v>9</v>
      </c>
      <c r="H942" s="126">
        <f>H943+H945</f>
        <v>0</v>
      </c>
      <c r="L942" s="20">
        <v>4551.87</v>
      </c>
      <c r="M942" s="20">
        <v>4551.87</v>
      </c>
      <c r="N942" s="20">
        <v>4551.87</v>
      </c>
      <c r="O942" s="20">
        <f>H942-L942</f>
        <v>-4551.87</v>
      </c>
      <c r="P942" s="20" t="e">
        <f>#REF!-M942</f>
        <v>#REF!</v>
      </c>
      <c r="Q942" s="20" t="e">
        <f>#REF!-N942</f>
        <v>#REF!</v>
      </c>
      <c r="R942" s="17" t="str">
        <f t="shared" si="110"/>
        <v>03 1 01 77220 000</v>
      </c>
    </row>
    <row r="943" spans="1:18" s="17" customFormat="1" ht="31.5">
      <c r="A943" s="14"/>
      <c r="B943" s="132" t="s">
        <v>28</v>
      </c>
      <c r="C943" s="109" t="s">
        <v>595</v>
      </c>
      <c r="D943" s="108" t="s">
        <v>317</v>
      </c>
      <c r="E943" s="108" t="s">
        <v>13</v>
      </c>
      <c r="F943" s="108" t="s">
        <v>610</v>
      </c>
      <c r="G943" s="108" t="s">
        <v>29</v>
      </c>
      <c r="H943" s="126">
        <f>H944</f>
        <v>0</v>
      </c>
      <c r="L943" s="20">
        <v>50</v>
      </c>
      <c r="M943" s="20">
        <v>50</v>
      </c>
      <c r="N943" s="20">
        <v>50</v>
      </c>
      <c r="O943" s="20">
        <f>H943-L943</f>
        <v>-50</v>
      </c>
      <c r="P943" s="20" t="e">
        <f>#REF!-M943</f>
        <v>#REF!</v>
      </c>
      <c r="Q943" s="20" t="e">
        <f>#REF!-N943</f>
        <v>#REF!</v>
      </c>
      <c r="R943" s="17" t="str">
        <f t="shared" si="110"/>
        <v>03 1 01 77220 240</v>
      </c>
    </row>
    <row r="944" spans="1:18" s="17" customFormat="1" ht="15.75">
      <c r="A944" s="14"/>
      <c r="B944" s="125" t="s">
        <v>30</v>
      </c>
      <c r="C944" s="109" t="s">
        <v>595</v>
      </c>
      <c r="D944" s="108" t="s">
        <v>317</v>
      </c>
      <c r="E944" s="108" t="s">
        <v>13</v>
      </c>
      <c r="F944" s="108" t="s">
        <v>610</v>
      </c>
      <c r="G944" s="108" t="s">
        <v>31</v>
      </c>
      <c r="H944" s="126"/>
      <c r="L944" s="20"/>
      <c r="M944" s="20"/>
      <c r="N944" s="20"/>
      <c r="O944" s="20"/>
      <c r="P944" s="20"/>
      <c r="Q944" s="20"/>
      <c r="R944" s="17" t="str">
        <f t="shared" si="110"/>
        <v>03 1 01 77220 244</v>
      </c>
    </row>
    <row r="945" spans="1:18" s="17" customFormat="1" ht="31.5">
      <c r="A945" s="14"/>
      <c r="B945" s="132" t="s">
        <v>493</v>
      </c>
      <c r="C945" s="109" t="s">
        <v>595</v>
      </c>
      <c r="D945" s="108" t="s">
        <v>317</v>
      </c>
      <c r="E945" s="108" t="s">
        <v>13</v>
      </c>
      <c r="F945" s="108" t="s">
        <v>610</v>
      </c>
      <c r="G945" s="108" t="s">
        <v>494</v>
      </c>
      <c r="H945" s="126">
        <f>H946</f>
        <v>0</v>
      </c>
      <c r="L945" s="20">
        <v>4501.87</v>
      </c>
      <c r="M945" s="20">
        <v>4501.87</v>
      </c>
      <c r="N945" s="20">
        <v>4501.87</v>
      </c>
      <c r="O945" s="20">
        <f>H945-L945</f>
        <v>-4501.87</v>
      </c>
      <c r="P945" s="20" t="e">
        <f>#REF!-M945</f>
        <v>#REF!</v>
      </c>
      <c r="Q945" s="20" t="e">
        <f>#REF!-N945</f>
        <v>#REF!</v>
      </c>
      <c r="R945" s="17" t="str">
        <f t="shared" si="110"/>
        <v>03 1 01 77220 310</v>
      </c>
    </row>
    <row r="946" spans="1:18" s="17" customFormat="1" ht="31.5">
      <c r="A946" s="14"/>
      <c r="B946" s="127" t="s">
        <v>495</v>
      </c>
      <c r="C946" s="109" t="s">
        <v>595</v>
      </c>
      <c r="D946" s="108" t="s">
        <v>317</v>
      </c>
      <c r="E946" s="108" t="s">
        <v>13</v>
      </c>
      <c r="F946" s="108" t="s">
        <v>610</v>
      </c>
      <c r="G946" s="108" t="s">
        <v>496</v>
      </c>
      <c r="H946" s="126"/>
      <c r="L946" s="20"/>
      <c r="M946" s="20"/>
      <c r="N946" s="20"/>
      <c r="O946" s="20"/>
      <c r="P946" s="20"/>
      <c r="Q946" s="20"/>
      <c r="R946" s="17" t="str">
        <f t="shared" si="110"/>
        <v>03 1 01 77220 313</v>
      </c>
    </row>
    <row r="947" spans="1:18" s="17" customFormat="1" ht="110.25">
      <c r="A947" s="14"/>
      <c r="B947" s="149" t="s">
        <v>611</v>
      </c>
      <c r="C947" s="109" t="s">
        <v>595</v>
      </c>
      <c r="D947" s="108" t="s">
        <v>317</v>
      </c>
      <c r="E947" s="108" t="s">
        <v>13</v>
      </c>
      <c r="F947" s="108" t="s">
        <v>612</v>
      </c>
      <c r="G947" s="108" t="s">
        <v>9</v>
      </c>
      <c r="H947" s="126">
        <f>H948+H950</f>
        <v>0</v>
      </c>
      <c r="L947" s="37">
        <v>362001.94</v>
      </c>
      <c r="M947" s="37">
        <v>363794.9</v>
      </c>
      <c r="N947" s="37">
        <v>365617.96</v>
      </c>
      <c r="O947" s="37">
        <f>H947-L947</f>
        <v>-362001.94</v>
      </c>
      <c r="P947" s="37" t="e">
        <f>#REF!-M947</f>
        <v>#REF!</v>
      </c>
      <c r="Q947" s="37" t="e">
        <f>#REF!-N947</f>
        <v>#REF!</v>
      </c>
      <c r="R947" s="17" t="str">
        <f t="shared" si="110"/>
        <v>03 1 01 78210000</v>
      </c>
    </row>
    <row r="948" spans="1:18" s="17" customFormat="1" ht="31.5">
      <c r="A948" s="14"/>
      <c r="B948" s="125" t="s">
        <v>28</v>
      </c>
      <c r="C948" s="109" t="s">
        <v>595</v>
      </c>
      <c r="D948" s="108" t="s">
        <v>317</v>
      </c>
      <c r="E948" s="108" t="s">
        <v>13</v>
      </c>
      <c r="F948" s="108" t="s">
        <v>612</v>
      </c>
      <c r="G948" s="108" t="s">
        <v>29</v>
      </c>
      <c r="H948" s="126">
        <f>H949</f>
        <v>0</v>
      </c>
      <c r="L948" s="37">
        <v>5280</v>
      </c>
      <c r="M948" s="37">
        <v>5280</v>
      </c>
      <c r="N948" s="37">
        <v>5280</v>
      </c>
      <c r="O948" s="37">
        <f>H948-L948</f>
        <v>-5280</v>
      </c>
      <c r="P948" s="37" t="e">
        <f>#REF!-M948</f>
        <v>#REF!</v>
      </c>
      <c r="Q948" s="37" t="e">
        <f>#REF!-N948</f>
        <v>#REF!</v>
      </c>
      <c r="R948" s="17" t="str">
        <f t="shared" si="110"/>
        <v>03 1 01 78210240</v>
      </c>
    </row>
    <row r="949" spans="1:18" s="17" customFormat="1" ht="15.75">
      <c r="A949" s="14"/>
      <c r="B949" s="125" t="s">
        <v>30</v>
      </c>
      <c r="C949" s="109" t="s">
        <v>595</v>
      </c>
      <c r="D949" s="108" t="s">
        <v>317</v>
      </c>
      <c r="E949" s="108" t="s">
        <v>13</v>
      </c>
      <c r="F949" s="108" t="s">
        <v>612</v>
      </c>
      <c r="G949" s="108" t="s">
        <v>31</v>
      </c>
      <c r="H949" s="126"/>
      <c r="L949" s="37"/>
      <c r="M949" s="37"/>
      <c r="N949" s="37"/>
      <c r="O949" s="37"/>
      <c r="P949" s="37"/>
      <c r="Q949" s="37"/>
      <c r="R949" s="17" t="str">
        <f t="shared" si="110"/>
        <v>03 1 01 78210244</v>
      </c>
    </row>
    <row r="950" spans="1:18" s="17" customFormat="1" ht="31.5">
      <c r="A950" s="14"/>
      <c r="B950" s="132" t="s">
        <v>493</v>
      </c>
      <c r="C950" s="109" t="s">
        <v>595</v>
      </c>
      <c r="D950" s="108" t="s">
        <v>317</v>
      </c>
      <c r="E950" s="108" t="s">
        <v>13</v>
      </c>
      <c r="F950" s="108" t="s">
        <v>612</v>
      </c>
      <c r="G950" s="108" t="s">
        <v>494</v>
      </c>
      <c r="H950" s="126">
        <f>H951</f>
        <v>0</v>
      </c>
      <c r="L950" s="37">
        <v>356721.94</v>
      </c>
      <c r="M950" s="37">
        <v>358514.9</v>
      </c>
      <c r="N950" s="37">
        <v>360337.96</v>
      </c>
      <c r="O950" s="37">
        <f>H950-L950</f>
        <v>-356721.94</v>
      </c>
      <c r="P950" s="37" t="e">
        <f>#REF!-M950</f>
        <v>#REF!</v>
      </c>
      <c r="Q950" s="37" t="e">
        <f>#REF!-N950</f>
        <v>#REF!</v>
      </c>
      <c r="R950" s="17" t="str">
        <f t="shared" si="110"/>
        <v>03 1 01 78210310</v>
      </c>
    </row>
    <row r="951" spans="1:18" s="17" customFormat="1" ht="31.5">
      <c r="A951" s="14"/>
      <c r="B951" s="127" t="s">
        <v>495</v>
      </c>
      <c r="C951" s="109" t="s">
        <v>595</v>
      </c>
      <c r="D951" s="108" t="s">
        <v>317</v>
      </c>
      <c r="E951" s="108" t="s">
        <v>13</v>
      </c>
      <c r="F951" s="108" t="s">
        <v>612</v>
      </c>
      <c r="G951" s="108" t="s">
        <v>496</v>
      </c>
      <c r="H951" s="126"/>
      <c r="L951" s="37"/>
      <c r="M951" s="37"/>
      <c r="N951" s="37"/>
      <c r="O951" s="37"/>
      <c r="P951" s="37"/>
      <c r="Q951" s="37"/>
      <c r="R951" s="17" t="str">
        <f t="shared" si="110"/>
        <v>03 1 01 78210313</v>
      </c>
    </row>
    <row r="952" spans="1:18" s="17" customFormat="1" ht="47.25">
      <c r="A952" s="14"/>
      <c r="B952" s="132" t="s">
        <v>613</v>
      </c>
      <c r="C952" s="109" t="s">
        <v>595</v>
      </c>
      <c r="D952" s="108" t="s">
        <v>317</v>
      </c>
      <c r="E952" s="108" t="s">
        <v>13</v>
      </c>
      <c r="F952" s="108" t="s">
        <v>614</v>
      </c>
      <c r="G952" s="108" t="s">
        <v>9</v>
      </c>
      <c r="H952" s="126">
        <f>H953+H955</f>
        <v>0</v>
      </c>
      <c r="L952" s="37">
        <v>264670.36</v>
      </c>
      <c r="M952" s="37">
        <v>264670.36</v>
      </c>
      <c r="N952" s="37">
        <v>264670.36</v>
      </c>
      <c r="O952" s="37">
        <f>H952-L952</f>
        <v>-264670.36</v>
      </c>
      <c r="P952" s="37" t="e">
        <f>#REF!-M952</f>
        <v>#REF!</v>
      </c>
      <c r="Q952" s="37" t="e">
        <f>#REF!-N952</f>
        <v>#REF!</v>
      </c>
      <c r="R952" s="17" t="str">
        <f t="shared" si="110"/>
        <v>03 1 01 78220000</v>
      </c>
    </row>
    <row r="953" spans="1:18" s="17" customFormat="1" ht="31.5">
      <c r="A953" s="14"/>
      <c r="B953" s="132" t="s">
        <v>28</v>
      </c>
      <c r="C953" s="109" t="s">
        <v>595</v>
      </c>
      <c r="D953" s="108" t="s">
        <v>317</v>
      </c>
      <c r="E953" s="108" t="s">
        <v>13</v>
      </c>
      <c r="F953" s="108" t="s">
        <v>614</v>
      </c>
      <c r="G953" s="108" t="s">
        <v>29</v>
      </c>
      <c r="H953" s="126">
        <f>H954</f>
        <v>0</v>
      </c>
      <c r="L953" s="37">
        <v>3840</v>
      </c>
      <c r="M953" s="37">
        <v>3840</v>
      </c>
      <c r="N953" s="37">
        <v>3840</v>
      </c>
      <c r="O953" s="37">
        <f>H953-L953</f>
        <v>-3840</v>
      </c>
      <c r="P953" s="37" t="e">
        <f>#REF!-M953</f>
        <v>#REF!</v>
      </c>
      <c r="Q953" s="37" t="e">
        <f>#REF!-N953</f>
        <v>#REF!</v>
      </c>
      <c r="R953" s="17" t="str">
        <f t="shared" si="110"/>
        <v>03 1 01 78220240</v>
      </c>
    </row>
    <row r="954" spans="1:18" s="17" customFormat="1" ht="15.75">
      <c r="A954" s="14"/>
      <c r="B954" s="125" t="s">
        <v>30</v>
      </c>
      <c r="C954" s="109" t="s">
        <v>595</v>
      </c>
      <c r="D954" s="108" t="s">
        <v>317</v>
      </c>
      <c r="E954" s="108" t="s">
        <v>13</v>
      </c>
      <c r="F954" s="108" t="s">
        <v>614</v>
      </c>
      <c r="G954" s="108" t="s">
        <v>31</v>
      </c>
      <c r="H954" s="126"/>
      <c r="L954" s="37"/>
      <c r="M954" s="37"/>
      <c r="N954" s="37"/>
      <c r="O954" s="37"/>
      <c r="P954" s="37"/>
      <c r="Q954" s="37"/>
      <c r="R954" s="17" t="str">
        <f t="shared" si="110"/>
        <v>03 1 01 78220244</v>
      </c>
    </row>
    <row r="955" spans="1:18" s="17" customFormat="1" ht="31.5">
      <c r="A955" s="14"/>
      <c r="B955" s="132" t="s">
        <v>493</v>
      </c>
      <c r="C955" s="109" t="s">
        <v>595</v>
      </c>
      <c r="D955" s="108" t="s">
        <v>317</v>
      </c>
      <c r="E955" s="108" t="s">
        <v>13</v>
      </c>
      <c r="F955" s="108" t="s">
        <v>614</v>
      </c>
      <c r="G955" s="108" t="s">
        <v>494</v>
      </c>
      <c r="H955" s="126">
        <f>H956</f>
        <v>0</v>
      </c>
      <c r="L955" s="37">
        <v>260830.36</v>
      </c>
      <c r="M955" s="37">
        <v>260830.36</v>
      </c>
      <c r="N955" s="37">
        <v>260830.36</v>
      </c>
      <c r="O955" s="37">
        <f>H955-L955</f>
        <v>-260830.36</v>
      </c>
      <c r="P955" s="37" t="e">
        <f>#REF!-M955</f>
        <v>#REF!</v>
      </c>
      <c r="Q955" s="37" t="e">
        <f>#REF!-N955</f>
        <v>#REF!</v>
      </c>
      <c r="R955" s="17" t="str">
        <f t="shared" si="110"/>
        <v>03 1 01 78220310</v>
      </c>
    </row>
    <row r="956" spans="1:18" s="17" customFormat="1" ht="31.5">
      <c r="A956" s="14"/>
      <c r="B956" s="127" t="s">
        <v>495</v>
      </c>
      <c r="C956" s="109" t="s">
        <v>595</v>
      </c>
      <c r="D956" s="108" t="s">
        <v>317</v>
      </c>
      <c r="E956" s="108" t="s">
        <v>13</v>
      </c>
      <c r="F956" s="108" t="s">
        <v>614</v>
      </c>
      <c r="G956" s="108" t="s">
        <v>496</v>
      </c>
      <c r="H956" s="126"/>
      <c r="L956" s="37"/>
      <c r="M956" s="37"/>
      <c r="N956" s="37"/>
      <c r="O956" s="37"/>
      <c r="P956" s="37"/>
      <c r="Q956" s="37"/>
      <c r="R956" s="17" t="str">
        <f t="shared" si="110"/>
        <v>03 1 01 78220313</v>
      </c>
    </row>
    <row r="957" spans="1:18" s="17" customFormat="1" ht="47.25">
      <c r="A957" s="14"/>
      <c r="B957" s="149" t="s">
        <v>615</v>
      </c>
      <c r="C957" s="109" t="s">
        <v>595</v>
      </c>
      <c r="D957" s="108" t="s">
        <v>317</v>
      </c>
      <c r="E957" s="108" t="s">
        <v>13</v>
      </c>
      <c r="F957" s="108" t="s">
        <v>616</v>
      </c>
      <c r="G957" s="108" t="s">
        <v>9</v>
      </c>
      <c r="H957" s="126">
        <f>H958+H960</f>
        <v>0</v>
      </c>
      <c r="L957" s="37">
        <v>6066.83</v>
      </c>
      <c r="M957" s="37">
        <v>5877.65</v>
      </c>
      <c r="N957" s="37">
        <v>5705.66</v>
      </c>
      <c r="O957" s="37">
        <f>H957-L957</f>
        <v>-6066.83</v>
      </c>
      <c r="P957" s="37" t="e">
        <f>#REF!-M957</f>
        <v>#REF!</v>
      </c>
      <c r="Q957" s="37" t="e">
        <f>#REF!-N957</f>
        <v>#REF!</v>
      </c>
      <c r="R957" s="17" t="str">
        <f t="shared" si="110"/>
        <v>03 1 01 78230000</v>
      </c>
    </row>
    <row r="958" spans="1:18" s="17" customFormat="1" ht="31.5">
      <c r="A958" s="14"/>
      <c r="B958" s="125" t="s">
        <v>28</v>
      </c>
      <c r="C958" s="109" t="s">
        <v>595</v>
      </c>
      <c r="D958" s="108" t="s">
        <v>317</v>
      </c>
      <c r="E958" s="108" t="s">
        <v>13</v>
      </c>
      <c r="F958" s="108" t="s">
        <v>616</v>
      </c>
      <c r="G958" s="108" t="s">
        <v>29</v>
      </c>
      <c r="H958" s="126">
        <f>H959</f>
        <v>0</v>
      </c>
      <c r="L958" s="37">
        <v>94.8</v>
      </c>
      <c r="M958" s="37">
        <v>86</v>
      </c>
      <c r="N958" s="37">
        <v>84.8</v>
      </c>
      <c r="O958" s="37">
        <f>H958-L958</f>
        <v>-94.8</v>
      </c>
      <c r="P958" s="37" t="e">
        <f>#REF!-M958</f>
        <v>#REF!</v>
      </c>
      <c r="Q958" s="37" t="e">
        <f>#REF!-N958</f>
        <v>#REF!</v>
      </c>
      <c r="R958" s="17" t="str">
        <f t="shared" si="110"/>
        <v>03 1 01 78230240</v>
      </c>
    </row>
    <row r="959" spans="1:18" s="17" customFormat="1" ht="15.75">
      <c r="A959" s="14"/>
      <c r="B959" s="125" t="s">
        <v>30</v>
      </c>
      <c r="C959" s="109" t="s">
        <v>595</v>
      </c>
      <c r="D959" s="108" t="s">
        <v>317</v>
      </c>
      <c r="E959" s="108" t="s">
        <v>13</v>
      </c>
      <c r="F959" s="108" t="s">
        <v>616</v>
      </c>
      <c r="G959" s="108" t="s">
        <v>31</v>
      </c>
      <c r="H959" s="126"/>
      <c r="L959" s="37"/>
      <c r="M959" s="37"/>
      <c r="N959" s="37"/>
      <c r="O959" s="37"/>
      <c r="P959" s="37"/>
      <c r="Q959" s="37"/>
      <c r="R959" s="17" t="str">
        <f t="shared" si="110"/>
        <v>03 1 01 78230244</v>
      </c>
    </row>
    <row r="960" spans="1:18" s="17" customFormat="1" ht="31.5">
      <c r="A960" s="14"/>
      <c r="B960" s="132" t="s">
        <v>493</v>
      </c>
      <c r="C960" s="109" t="s">
        <v>595</v>
      </c>
      <c r="D960" s="108" t="s">
        <v>317</v>
      </c>
      <c r="E960" s="108" t="s">
        <v>13</v>
      </c>
      <c r="F960" s="108" t="s">
        <v>616</v>
      </c>
      <c r="G960" s="108" t="s">
        <v>494</v>
      </c>
      <c r="H960" s="126">
        <f>H961</f>
        <v>0</v>
      </c>
      <c r="L960" s="37">
        <v>5972.03</v>
      </c>
      <c r="M960" s="37">
        <v>5791.65</v>
      </c>
      <c r="N960" s="37">
        <v>5620.86</v>
      </c>
      <c r="O960" s="37">
        <f>H960-L960</f>
        <v>-5972.03</v>
      </c>
      <c r="P960" s="37" t="e">
        <f>#REF!-M960</f>
        <v>#REF!</v>
      </c>
      <c r="Q960" s="37" t="e">
        <f>#REF!-N960</f>
        <v>#REF!</v>
      </c>
      <c r="R960" s="17" t="str">
        <f t="shared" si="110"/>
        <v>03 1 01 78230310</v>
      </c>
    </row>
    <row r="961" spans="1:18" s="17" customFormat="1" ht="31.5">
      <c r="A961" s="14"/>
      <c r="B961" s="127" t="s">
        <v>495</v>
      </c>
      <c r="C961" s="109" t="s">
        <v>595</v>
      </c>
      <c r="D961" s="108" t="s">
        <v>317</v>
      </c>
      <c r="E961" s="108" t="s">
        <v>13</v>
      </c>
      <c r="F961" s="108" t="s">
        <v>616</v>
      </c>
      <c r="G961" s="108" t="s">
        <v>496</v>
      </c>
      <c r="H961" s="126"/>
      <c r="L961" s="37"/>
      <c r="M961" s="37"/>
      <c r="N961" s="37"/>
      <c r="O961" s="37"/>
      <c r="P961" s="37"/>
      <c r="Q961" s="37"/>
      <c r="R961" s="17" t="str">
        <f t="shared" si="110"/>
        <v>03 1 01 78230313</v>
      </c>
    </row>
    <row r="962" spans="1:18" s="17" customFormat="1" ht="47.25">
      <c r="A962" s="14"/>
      <c r="B962" s="149" t="s">
        <v>617</v>
      </c>
      <c r="C962" s="109" t="s">
        <v>595</v>
      </c>
      <c r="D962" s="108" t="s">
        <v>317</v>
      </c>
      <c r="E962" s="108" t="s">
        <v>13</v>
      </c>
      <c r="F962" s="108" t="s">
        <v>618</v>
      </c>
      <c r="G962" s="108" t="s">
        <v>9</v>
      </c>
      <c r="H962" s="126">
        <f>H963+H965</f>
        <v>0</v>
      </c>
      <c r="L962" s="37">
        <v>178.05</v>
      </c>
      <c r="M962" s="37">
        <v>178.05</v>
      </c>
      <c r="N962" s="37">
        <v>178.05</v>
      </c>
      <c r="O962" s="37">
        <f>H962-L962</f>
        <v>-178.05</v>
      </c>
      <c r="P962" s="37" t="e">
        <f>#REF!-M962</f>
        <v>#REF!</v>
      </c>
      <c r="Q962" s="37" t="e">
        <f>#REF!-N962</f>
        <v>#REF!</v>
      </c>
      <c r="R962" s="17" t="str">
        <f t="shared" si="110"/>
        <v>03 1 01 78240000</v>
      </c>
    </row>
    <row r="963" spans="1:18" s="17" customFormat="1" ht="31.5">
      <c r="A963" s="14"/>
      <c r="B963" s="125" t="s">
        <v>28</v>
      </c>
      <c r="C963" s="109" t="s">
        <v>595</v>
      </c>
      <c r="D963" s="108" t="s">
        <v>317</v>
      </c>
      <c r="E963" s="108" t="s">
        <v>13</v>
      </c>
      <c r="F963" s="108" t="s">
        <v>618</v>
      </c>
      <c r="G963" s="108" t="s">
        <v>29</v>
      </c>
      <c r="H963" s="126">
        <f>H964</f>
        <v>0</v>
      </c>
      <c r="L963" s="37">
        <v>0.84</v>
      </c>
      <c r="M963" s="37">
        <v>0.84</v>
      </c>
      <c r="N963" s="37">
        <v>0.84</v>
      </c>
      <c r="O963" s="37">
        <f>H963-L963</f>
        <v>-0.84</v>
      </c>
      <c r="P963" s="37" t="e">
        <f>#REF!-M963</f>
        <v>#REF!</v>
      </c>
      <c r="Q963" s="37" t="e">
        <f>#REF!-N963</f>
        <v>#REF!</v>
      </c>
      <c r="R963" s="17" t="str">
        <f t="shared" si="110"/>
        <v>03 1 01 78240240</v>
      </c>
    </row>
    <row r="964" spans="1:18" s="17" customFormat="1" ht="15.75">
      <c r="A964" s="14"/>
      <c r="B964" s="125" t="s">
        <v>30</v>
      </c>
      <c r="C964" s="109" t="s">
        <v>595</v>
      </c>
      <c r="D964" s="108" t="s">
        <v>317</v>
      </c>
      <c r="E964" s="108" t="s">
        <v>13</v>
      </c>
      <c r="F964" s="108" t="s">
        <v>618</v>
      </c>
      <c r="G964" s="108" t="s">
        <v>31</v>
      </c>
      <c r="H964" s="126"/>
      <c r="L964" s="37"/>
      <c r="M964" s="37"/>
      <c r="N964" s="37"/>
      <c r="O964" s="37"/>
      <c r="P964" s="37"/>
      <c r="Q964" s="37"/>
      <c r="R964" s="17" t="str">
        <f t="shared" si="110"/>
        <v>03 1 01 78240244</v>
      </c>
    </row>
    <row r="965" spans="1:18" s="17" customFormat="1" ht="31.5">
      <c r="A965" s="14"/>
      <c r="B965" s="132" t="s">
        <v>493</v>
      </c>
      <c r="C965" s="109" t="s">
        <v>595</v>
      </c>
      <c r="D965" s="108" t="s">
        <v>317</v>
      </c>
      <c r="E965" s="108" t="s">
        <v>13</v>
      </c>
      <c r="F965" s="108" t="s">
        <v>618</v>
      </c>
      <c r="G965" s="108" t="s">
        <v>494</v>
      </c>
      <c r="H965" s="126">
        <f>H966</f>
        <v>0</v>
      </c>
      <c r="L965" s="37">
        <v>177.21</v>
      </c>
      <c r="M965" s="37">
        <v>177.21</v>
      </c>
      <c r="N965" s="37">
        <v>177.21</v>
      </c>
      <c r="O965" s="37">
        <f>H965-L965</f>
        <v>-177.21</v>
      </c>
      <c r="P965" s="37" t="e">
        <f>#REF!-M965</f>
        <v>#REF!</v>
      </c>
      <c r="Q965" s="37" t="e">
        <f>#REF!-N965</f>
        <v>#REF!</v>
      </c>
      <c r="R965" s="17" t="str">
        <f t="shared" si="110"/>
        <v>03 1 01 78240310</v>
      </c>
    </row>
    <row r="966" spans="1:18" s="17" customFormat="1" ht="31.5">
      <c r="A966" s="14"/>
      <c r="B966" s="127" t="s">
        <v>495</v>
      </c>
      <c r="C966" s="109" t="s">
        <v>595</v>
      </c>
      <c r="D966" s="108" t="s">
        <v>317</v>
      </c>
      <c r="E966" s="108" t="s">
        <v>13</v>
      </c>
      <c r="F966" s="108" t="s">
        <v>618</v>
      </c>
      <c r="G966" s="108" t="s">
        <v>496</v>
      </c>
      <c r="H966" s="126"/>
      <c r="L966" s="37"/>
      <c r="M966" s="37"/>
      <c r="N966" s="37"/>
      <c r="O966" s="37"/>
      <c r="P966" s="37"/>
      <c r="Q966" s="37"/>
      <c r="R966" s="17" t="str">
        <f t="shared" si="110"/>
        <v>03 1 01 78240313</v>
      </c>
    </row>
    <row r="967" spans="1:18" s="17" customFormat="1" ht="31.5">
      <c r="A967" s="14"/>
      <c r="B967" s="149" t="s">
        <v>619</v>
      </c>
      <c r="C967" s="109" t="s">
        <v>595</v>
      </c>
      <c r="D967" s="108" t="s">
        <v>317</v>
      </c>
      <c r="E967" s="108" t="s">
        <v>13</v>
      </c>
      <c r="F967" s="108" t="s">
        <v>620</v>
      </c>
      <c r="G967" s="108" t="s">
        <v>9</v>
      </c>
      <c r="H967" s="126">
        <f>H968+H970</f>
        <v>0</v>
      </c>
      <c r="L967" s="37">
        <v>614.26</v>
      </c>
      <c r="M967" s="37">
        <v>614.26</v>
      </c>
      <c r="N967" s="37">
        <v>614.26</v>
      </c>
      <c r="O967" s="37">
        <f>H967-L967</f>
        <v>-614.26</v>
      </c>
      <c r="P967" s="37" t="e">
        <f>#REF!-M967</f>
        <v>#REF!</v>
      </c>
      <c r="Q967" s="37" t="e">
        <f>#REF!-N967</f>
        <v>#REF!</v>
      </c>
      <c r="R967" s="17" t="str">
        <f t="shared" si="110"/>
        <v>03 1 01 78250000</v>
      </c>
    </row>
    <row r="968" spans="1:18" s="17" customFormat="1" ht="31.5">
      <c r="A968" s="14"/>
      <c r="B968" s="125" t="s">
        <v>28</v>
      </c>
      <c r="C968" s="109" t="s">
        <v>595</v>
      </c>
      <c r="D968" s="108" t="s">
        <v>317</v>
      </c>
      <c r="E968" s="108" t="s">
        <v>13</v>
      </c>
      <c r="F968" s="108" t="s">
        <v>620</v>
      </c>
      <c r="G968" s="108" t="s">
        <v>29</v>
      </c>
      <c r="H968" s="126">
        <f>H969</f>
        <v>0</v>
      </c>
      <c r="L968" s="37">
        <v>8.4</v>
      </c>
      <c r="M968" s="37">
        <v>8.4</v>
      </c>
      <c r="N968" s="37">
        <v>8.4</v>
      </c>
      <c r="O968" s="37">
        <f>H968-L968</f>
        <v>-8.4</v>
      </c>
      <c r="P968" s="37" t="e">
        <f>#REF!-M968</f>
        <v>#REF!</v>
      </c>
      <c r="Q968" s="37" t="e">
        <f>#REF!-N968</f>
        <v>#REF!</v>
      </c>
      <c r="R968" s="17" t="str">
        <f t="shared" si="110"/>
        <v>03 1 01 78250240</v>
      </c>
    </row>
    <row r="969" spans="1:18" s="17" customFormat="1" ht="15.75">
      <c r="A969" s="14"/>
      <c r="B969" s="125" t="s">
        <v>30</v>
      </c>
      <c r="C969" s="109" t="s">
        <v>595</v>
      </c>
      <c r="D969" s="108" t="s">
        <v>317</v>
      </c>
      <c r="E969" s="108" t="s">
        <v>13</v>
      </c>
      <c r="F969" s="108" t="s">
        <v>620</v>
      </c>
      <c r="G969" s="108" t="s">
        <v>31</v>
      </c>
      <c r="H969" s="126"/>
      <c r="L969" s="37"/>
      <c r="M969" s="37"/>
      <c r="N969" s="37"/>
      <c r="O969" s="37"/>
      <c r="P969" s="37"/>
      <c r="Q969" s="37"/>
      <c r="R969" s="17" t="str">
        <f t="shared" si="110"/>
        <v>03 1 01 78250244</v>
      </c>
    </row>
    <row r="970" spans="1:18" s="17" customFormat="1" ht="31.5">
      <c r="A970" s="14"/>
      <c r="B970" s="132" t="s">
        <v>493</v>
      </c>
      <c r="C970" s="109" t="s">
        <v>595</v>
      </c>
      <c r="D970" s="108" t="s">
        <v>317</v>
      </c>
      <c r="E970" s="108" t="s">
        <v>13</v>
      </c>
      <c r="F970" s="108" t="s">
        <v>620</v>
      </c>
      <c r="G970" s="108" t="s">
        <v>494</v>
      </c>
      <c r="H970" s="126">
        <f>H971</f>
        <v>0</v>
      </c>
      <c r="L970" s="37">
        <v>605.86</v>
      </c>
      <c r="M970" s="37">
        <v>605.86</v>
      </c>
      <c r="N970" s="37">
        <v>605.86</v>
      </c>
      <c r="O970" s="37">
        <f>H970-L970</f>
        <v>-605.86</v>
      </c>
      <c r="P970" s="37" t="e">
        <f>#REF!-M970</f>
        <v>#REF!</v>
      </c>
      <c r="Q970" s="37" t="e">
        <f>#REF!-N970</f>
        <v>#REF!</v>
      </c>
      <c r="R970" s="17" t="str">
        <f t="shared" si="110"/>
        <v>03 1 01 78250310</v>
      </c>
    </row>
    <row r="971" spans="1:18" s="17" customFormat="1" ht="31.5">
      <c r="A971" s="14"/>
      <c r="B971" s="127" t="s">
        <v>495</v>
      </c>
      <c r="C971" s="109" t="s">
        <v>595</v>
      </c>
      <c r="D971" s="108" t="s">
        <v>317</v>
      </c>
      <c r="E971" s="108" t="s">
        <v>13</v>
      </c>
      <c r="F971" s="108" t="s">
        <v>620</v>
      </c>
      <c r="G971" s="108" t="s">
        <v>496</v>
      </c>
      <c r="H971" s="126"/>
      <c r="L971" s="37"/>
      <c r="M971" s="37"/>
      <c r="N971" s="37"/>
      <c r="O971" s="37"/>
      <c r="P971" s="37"/>
      <c r="Q971" s="37"/>
      <c r="R971" s="17" t="str">
        <f t="shared" si="110"/>
        <v>03 1 01 78250313</v>
      </c>
    </row>
    <row r="972" spans="1:18" s="17" customFormat="1" ht="31.5">
      <c r="A972" s="14"/>
      <c r="B972" s="149" t="s">
        <v>621</v>
      </c>
      <c r="C972" s="109" t="s">
        <v>595</v>
      </c>
      <c r="D972" s="108" t="s">
        <v>317</v>
      </c>
      <c r="E972" s="108" t="s">
        <v>13</v>
      </c>
      <c r="F972" s="108" t="s">
        <v>622</v>
      </c>
      <c r="G972" s="108" t="s">
        <v>9</v>
      </c>
      <c r="H972" s="126">
        <f>H973+H975</f>
        <v>0</v>
      </c>
      <c r="L972" s="37">
        <v>292267</v>
      </c>
      <c r="M972" s="37">
        <v>336033.4</v>
      </c>
      <c r="N972" s="37">
        <v>338036</v>
      </c>
      <c r="O972" s="37">
        <f>H972-L972</f>
        <v>-292267</v>
      </c>
      <c r="P972" s="37" t="e">
        <f>#REF!-M972</f>
        <v>#REF!</v>
      </c>
      <c r="Q972" s="37" t="e">
        <f>#REF!-N972</f>
        <v>#REF!</v>
      </c>
      <c r="R972" s="17" t="str">
        <f t="shared" si="110"/>
        <v>03 1 01 78260000</v>
      </c>
    </row>
    <row r="973" spans="1:18" s="17" customFormat="1" ht="31.5">
      <c r="A973" s="14"/>
      <c r="B973" s="125" t="s">
        <v>28</v>
      </c>
      <c r="C973" s="109" t="s">
        <v>595</v>
      </c>
      <c r="D973" s="108" t="s">
        <v>317</v>
      </c>
      <c r="E973" s="108" t="s">
        <v>13</v>
      </c>
      <c r="F973" s="108" t="s">
        <v>622</v>
      </c>
      <c r="G973" s="108" t="s">
        <v>29</v>
      </c>
      <c r="H973" s="126">
        <f>H974</f>
        <v>0</v>
      </c>
      <c r="L973" s="37">
        <v>4032.4</v>
      </c>
      <c r="M973" s="37">
        <v>4532.3999999999996</v>
      </c>
      <c r="N973" s="37">
        <v>4632.3999999999996</v>
      </c>
      <c r="O973" s="37">
        <f>H973-L973</f>
        <v>-4032.4</v>
      </c>
      <c r="P973" s="37" t="e">
        <f>#REF!-M973</f>
        <v>#REF!</v>
      </c>
      <c r="Q973" s="37" t="e">
        <f>#REF!-N973</f>
        <v>#REF!</v>
      </c>
      <c r="R973" s="17" t="str">
        <f t="shared" si="110"/>
        <v>03 1 01 78260240</v>
      </c>
    </row>
    <row r="974" spans="1:18" s="17" customFormat="1" ht="15.75">
      <c r="A974" s="14"/>
      <c r="B974" s="125" t="s">
        <v>30</v>
      </c>
      <c r="C974" s="109" t="s">
        <v>595</v>
      </c>
      <c r="D974" s="108" t="s">
        <v>317</v>
      </c>
      <c r="E974" s="108" t="s">
        <v>13</v>
      </c>
      <c r="F974" s="108" t="s">
        <v>622</v>
      </c>
      <c r="G974" s="108" t="s">
        <v>31</v>
      </c>
      <c r="H974" s="126"/>
      <c r="L974" s="37"/>
      <c r="M974" s="37"/>
      <c r="N974" s="37"/>
      <c r="O974" s="37"/>
      <c r="P974" s="37"/>
      <c r="Q974" s="37"/>
      <c r="R974" s="17" t="str">
        <f t="shared" si="110"/>
        <v>03 1 01 78260244</v>
      </c>
    </row>
    <row r="975" spans="1:18" s="17" customFormat="1" ht="31.5">
      <c r="A975" s="14"/>
      <c r="B975" s="132" t="s">
        <v>493</v>
      </c>
      <c r="C975" s="109" t="s">
        <v>595</v>
      </c>
      <c r="D975" s="108" t="s">
        <v>317</v>
      </c>
      <c r="E975" s="108" t="s">
        <v>13</v>
      </c>
      <c r="F975" s="108" t="s">
        <v>622</v>
      </c>
      <c r="G975" s="108" t="s">
        <v>494</v>
      </c>
      <c r="H975" s="126">
        <f>H976</f>
        <v>0</v>
      </c>
      <c r="L975" s="37">
        <v>288234.59999999998</v>
      </c>
      <c r="M975" s="37">
        <v>331501</v>
      </c>
      <c r="N975" s="37">
        <v>333403.59999999998</v>
      </c>
      <c r="O975" s="37">
        <f>H975-L975</f>
        <v>-288234.59999999998</v>
      </c>
      <c r="P975" s="37" t="e">
        <f>#REF!-M975</f>
        <v>#REF!</v>
      </c>
      <c r="Q975" s="37" t="e">
        <f>#REF!-N975</f>
        <v>#REF!</v>
      </c>
      <c r="R975" s="17" t="str">
        <f t="shared" si="110"/>
        <v>03 1 01 78260310</v>
      </c>
    </row>
    <row r="976" spans="1:18" s="17" customFormat="1" ht="31.5">
      <c r="A976" s="14"/>
      <c r="B976" s="127" t="s">
        <v>495</v>
      </c>
      <c r="C976" s="109" t="s">
        <v>595</v>
      </c>
      <c r="D976" s="108" t="s">
        <v>317</v>
      </c>
      <c r="E976" s="108" t="s">
        <v>13</v>
      </c>
      <c r="F976" s="108" t="s">
        <v>622</v>
      </c>
      <c r="G976" s="108" t="s">
        <v>496</v>
      </c>
      <c r="H976" s="126"/>
      <c r="L976" s="37"/>
      <c r="M976" s="37"/>
      <c r="N976" s="37"/>
      <c r="O976" s="37"/>
      <c r="P976" s="37"/>
      <c r="Q976" s="37"/>
      <c r="R976" s="17" t="str">
        <f t="shared" si="110"/>
        <v>03 1 01 78260313</v>
      </c>
    </row>
    <row r="977" spans="1:18" s="17" customFormat="1" ht="31.5">
      <c r="A977" s="14" t="s">
        <v>598</v>
      </c>
      <c r="B977" s="148" t="s">
        <v>623</v>
      </c>
      <c r="C977" s="109" t="s">
        <v>595</v>
      </c>
      <c r="D977" s="108" t="s">
        <v>317</v>
      </c>
      <c r="E977" s="108" t="s">
        <v>13</v>
      </c>
      <c r="F977" s="108" t="s">
        <v>624</v>
      </c>
      <c r="G977" s="108" t="s">
        <v>9</v>
      </c>
      <c r="H977" s="126">
        <f>H978+H993+H983+H988</f>
        <v>0</v>
      </c>
      <c r="L977" s="36">
        <v>234979.36</v>
      </c>
      <c r="M977" s="36">
        <v>245649.34000000003</v>
      </c>
      <c r="N977" s="36">
        <v>261013.86</v>
      </c>
      <c r="O977" s="36">
        <f>H977-L977</f>
        <v>-234979.36</v>
      </c>
      <c r="P977" s="36" t="e">
        <f>#REF!-M977</f>
        <v>#REF!</v>
      </c>
      <c r="Q977" s="36" t="e">
        <f>#REF!-N977</f>
        <v>#REF!</v>
      </c>
      <c r="R977" s="17" t="str">
        <f t="shared" si="110"/>
        <v>03 1 02 00000000</v>
      </c>
    </row>
    <row r="978" spans="1:18" s="17" customFormat="1" ht="94.5">
      <c r="A978" s="14"/>
      <c r="B978" s="149" t="s">
        <v>625</v>
      </c>
      <c r="C978" s="109" t="s">
        <v>595</v>
      </c>
      <c r="D978" s="108" t="s">
        <v>317</v>
      </c>
      <c r="E978" s="108" t="s">
        <v>13</v>
      </c>
      <c r="F978" s="108" t="s">
        <v>626</v>
      </c>
      <c r="G978" s="108" t="s">
        <v>9</v>
      </c>
      <c r="H978" s="126">
        <f>H981+H979</f>
        <v>0</v>
      </c>
      <c r="L978" s="37">
        <v>188631.6</v>
      </c>
      <c r="M978" s="37">
        <v>194738.30000000002</v>
      </c>
      <c r="N978" s="37">
        <v>202950.5</v>
      </c>
      <c r="O978" s="37">
        <f>H978-L978</f>
        <v>-188631.6</v>
      </c>
      <c r="P978" s="37" t="e">
        <f>#REF!-M978</f>
        <v>#REF!</v>
      </c>
      <c r="Q978" s="37" t="e">
        <f>#REF!-N978</f>
        <v>#REF!</v>
      </c>
      <c r="R978" s="17" t="str">
        <f t="shared" si="110"/>
        <v>03 1 02 53800000</v>
      </c>
    </row>
    <row r="979" spans="1:18" s="17" customFormat="1" ht="31.5">
      <c r="A979" s="14"/>
      <c r="B979" s="125" t="s">
        <v>28</v>
      </c>
      <c r="C979" s="109" t="s">
        <v>595</v>
      </c>
      <c r="D979" s="108" t="s">
        <v>317</v>
      </c>
      <c r="E979" s="108" t="s">
        <v>13</v>
      </c>
      <c r="F979" s="108" t="s">
        <v>626</v>
      </c>
      <c r="G979" s="108" t="s">
        <v>29</v>
      </c>
      <c r="H979" s="126">
        <f>H980</f>
        <v>0</v>
      </c>
      <c r="L979" s="37">
        <v>2787.66</v>
      </c>
      <c r="M979" s="37">
        <v>2877.91</v>
      </c>
      <c r="N979" s="37">
        <v>2999.27</v>
      </c>
      <c r="O979" s="37">
        <f>H979-L979</f>
        <v>-2787.66</v>
      </c>
      <c r="P979" s="37" t="e">
        <f>#REF!-M979</f>
        <v>#REF!</v>
      </c>
      <c r="Q979" s="37" t="e">
        <f>#REF!-N979</f>
        <v>#REF!</v>
      </c>
      <c r="R979" s="17" t="str">
        <f t="shared" si="110"/>
        <v>03 1 02 53800240</v>
      </c>
    </row>
    <row r="980" spans="1:18" s="17" customFormat="1" ht="15.75">
      <c r="A980" s="14"/>
      <c r="B980" s="125" t="s">
        <v>30</v>
      </c>
      <c r="C980" s="109" t="s">
        <v>595</v>
      </c>
      <c r="D980" s="108" t="s">
        <v>317</v>
      </c>
      <c r="E980" s="108" t="s">
        <v>13</v>
      </c>
      <c r="F980" s="108" t="s">
        <v>626</v>
      </c>
      <c r="G980" s="108" t="s">
        <v>31</v>
      </c>
      <c r="H980" s="126"/>
      <c r="L980" s="37"/>
      <c r="M980" s="37"/>
      <c r="N980" s="37"/>
      <c r="O980" s="37"/>
      <c r="P980" s="37"/>
      <c r="Q980" s="37"/>
      <c r="R980" s="17" t="str">
        <f t="shared" si="110"/>
        <v>03 1 02 53800244</v>
      </c>
    </row>
    <row r="981" spans="1:18" s="17" customFormat="1" ht="31.5">
      <c r="A981" s="14"/>
      <c r="B981" s="132" t="s">
        <v>493</v>
      </c>
      <c r="C981" s="109" t="s">
        <v>595</v>
      </c>
      <c r="D981" s="108" t="s">
        <v>317</v>
      </c>
      <c r="E981" s="108" t="s">
        <v>13</v>
      </c>
      <c r="F981" s="108" t="s">
        <v>626</v>
      </c>
      <c r="G981" s="108" t="s">
        <v>494</v>
      </c>
      <c r="H981" s="126">
        <f>H982</f>
        <v>0</v>
      </c>
      <c r="L981" s="37">
        <v>185843.94</v>
      </c>
      <c r="M981" s="37">
        <v>191860.39</v>
      </c>
      <c r="N981" s="37">
        <v>199951.23</v>
      </c>
      <c r="O981" s="37">
        <f>H981-L981</f>
        <v>-185843.94</v>
      </c>
      <c r="P981" s="37" t="e">
        <f>#REF!-M981</f>
        <v>#REF!</v>
      </c>
      <c r="Q981" s="37" t="e">
        <f>#REF!-N981</f>
        <v>#REF!</v>
      </c>
      <c r="R981" s="17" t="str">
        <f t="shared" si="110"/>
        <v>03 1 02 53800310</v>
      </c>
    </row>
    <row r="982" spans="1:18" s="17" customFormat="1" ht="31.5">
      <c r="A982" s="14"/>
      <c r="B982" s="127" t="s">
        <v>495</v>
      </c>
      <c r="C982" s="109" t="s">
        <v>595</v>
      </c>
      <c r="D982" s="108" t="s">
        <v>317</v>
      </c>
      <c r="E982" s="108" t="s">
        <v>13</v>
      </c>
      <c r="F982" s="108" t="s">
        <v>626</v>
      </c>
      <c r="G982" s="108" t="s">
        <v>496</v>
      </c>
      <c r="H982" s="126"/>
      <c r="L982" s="37"/>
      <c r="M982" s="37"/>
      <c r="N982" s="37"/>
      <c r="O982" s="37"/>
      <c r="P982" s="37"/>
      <c r="Q982" s="37"/>
      <c r="R982" s="17" t="str">
        <f t="shared" si="110"/>
        <v>03 1 02 53800313</v>
      </c>
    </row>
    <row r="983" spans="1:18" s="17" customFormat="1" ht="31.5">
      <c r="A983" s="14"/>
      <c r="B983" s="149" t="s">
        <v>627</v>
      </c>
      <c r="C983" s="109" t="s">
        <v>595</v>
      </c>
      <c r="D983" s="108" t="s">
        <v>317</v>
      </c>
      <c r="E983" s="108" t="s">
        <v>13</v>
      </c>
      <c r="F983" s="108" t="s">
        <v>628</v>
      </c>
      <c r="G983" s="108" t="s">
        <v>9</v>
      </c>
      <c r="H983" s="126">
        <f>H984+H986</f>
        <v>0</v>
      </c>
      <c r="L983" s="37">
        <v>284.65000000000003</v>
      </c>
      <c r="M983" s="37">
        <v>284.65000000000003</v>
      </c>
      <c r="N983" s="37">
        <v>284.65000000000003</v>
      </c>
      <c r="O983" s="37">
        <f>H983-L983</f>
        <v>-284.65000000000003</v>
      </c>
      <c r="P983" s="37" t="e">
        <f>#REF!-M983</f>
        <v>#REF!</v>
      </c>
      <c r="Q983" s="37" t="e">
        <f>#REF!-N983</f>
        <v>#REF!</v>
      </c>
      <c r="R983" s="17" t="str">
        <f t="shared" si="110"/>
        <v>03 1 02 76260000</v>
      </c>
    </row>
    <row r="984" spans="1:18" s="17" customFormat="1" ht="31.5">
      <c r="A984" s="14"/>
      <c r="B984" s="125" t="s">
        <v>28</v>
      </c>
      <c r="C984" s="109" t="s">
        <v>595</v>
      </c>
      <c r="D984" s="108" t="s">
        <v>317</v>
      </c>
      <c r="E984" s="108" t="s">
        <v>13</v>
      </c>
      <c r="F984" s="108" t="s">
        <v>628</v>
      </c>
      <c r="G984" s="108" t="s">
        <v>29</v>
      </c>
      <c r="H984" s="126">
        <f>H985</f>
        <v>0</v>
      </c>
      <c r="L984" s="37">
        <v>3.79</v>
      </c>
      <c r="M984" s="37">
        <v>3.79</v>
      </c>
      <c r="N984" s="37">
        <v>3.79</v>
      </c>
      <c r="O984" s="37">
        <f>H984-L984</f>
        <v>-3.79</v>
      </c>
      <c r="P984" s="37" t="e">
        <f>#REF!-M984</f>
        <v>#REF!</v>
      </c>
      <c r="Q984" s="37" t="e">
        <f>#REF!-N984</f>
        <v>#REF!</v>
      </c>
      <c r="R984" s="17" t="str">
        <f t="shared" si="110"/>
        <v>03 1 02 76260240</v>
      </c>
    </row>
    <row r="985" spans="1:18" s="17" customFormat="1" ht="15.75">
      <c r="A985" s="14"/>
      <c r="B985" s="125" t="s">
        <v>30</v>
      </c>
      <c r="C985" s="109" t="s">
        <v>595</v>
      </c>
      <c r="D985" s="108" t="s">
        <v>317</v>
      </c>
      <c r="E985" s="108" t="s">
        <v>13</v>
      </c>
      <c r="F985" s="108" t="s">
        <v>628</v>
      </c>
      <c r="G985" s="108" t="s">
        <v>31</v>
      </c>
      <c r="H985" s="126"/>
      <c r="L985" s="37"/>
      <c r="M985" s="37"/>
      <c r="N985" s="37"/>
      <c r="O985" s="37"/>
      <c r="P985" s="37"/>
      <c r="Q985" s="37"/>
      <c r="R985" s="17" t="str">
        <f t="shared" si="110"/>
        <v>03 1 02 76260244</v>
      </c>
    </row>
    <row r="986" spans="1:18" s="17" customFormat="1" ht="31.5">
      <c r="A986" s="14"/>
      <c r="B986" s="132" t="s">
        <v>493</v>
      </c>
      <c r="C986" s="109" t="s">
        <v>595</v>
      </c>
      <c r="D986" s="108" t="s">
        <v>317</v>
      </c>
      <c r="E986" s="108" t="s">
        <v>13</v>
      </c>
      <c r="F986" s="108" t="s">
        <v>628</v>
      </c>
      <c r="G986" s="108" t="s">
        <v>494</v>
      </c>
      <c r="H986" s="126">
        <f>H987</f>
        <v>0</v>
      </c>
      <c r="L986" s="37">
        <v>280.86</v>
      </c>
      <c r="M986" s="37">
        <v>280.86</v>
      </c>
      <c r="N986" s="37">
        <v>280.86</v>
      </c>
      <c r="O986" s="37">
        <f>H986-L986</f>
        <v>-280.86</v>
      </c>
      <c r="P986" s="37" t="e">
        <f>#REF!-M986</f>
        <v>#REF!</v>
      </c>
      <c r="Q986" s="37" t="e">
        <f>#REF!-N986</f>
        <v>#REF!</v>
      </c>
      <c r="R986" s="17" t="str">
        <f t="shared" si="110"/>
        <v>03 1 02 76260310</v>
      </c>
    </row>
    <row r="987" spans="1:18" s="17" customFormat="1" ht="31.5">
      <c r="A987" s="14"/>
      <c r="B987" s="127" t="s">
        <v>495</v>
      </c>
      <c r="C987" s="109" t="s">
        <v>595</v>
      </c>
      <c r="D987" s="108" t="s">
        <v>317</v>
      </c>
      <c r="E987" s="108" t="s">
        <v>13</v>
      </c>
      <c r="F987" s="108" t="s">
        <v>628</v>
      </c>
      <c r="G987" s="108" t="s">
        <v>496</v>
      </c>
      <c r="H987" s="126"/>
      <c r="L987" s="37"/>
      <c r="M987" s="37"/>
      <c r="N987" s="37"/>
      <c r="O987" s="37"/>
      <c r="P987" s="37"/>
      <c r="Q987" s="37"/>
      <c r="R987" s="17" t="str">
        <f t="shared" si="110"/>
        <v>03 1 02 76260313</v>
      </c>
    </row>
    <row r="988" spans="1:18" s="17" customFormat="1" ht="94.5">
      <c r="A988" s="14"/>
      <c r="B988" s="150" t="s">
        <v>629</v>
      </c>
      <c r="C988" s="130" t="s">
        <v>595</v>
      </c>
      <c r="D988" s="131" t="s">
        <v>317</v>
      </c>
      <c r="E988" s="131" t="s">
        <v>13</v>
      </c>
      <c r="F988" s="131" t="s">
        <v>630</v>
      </c>
      <c r="G988" s="131" t="s">
        <v>9</v>
      </c>
      <c r="H988" s="126">
        <f>H991+H989</f>
        <v>0</v>
      </c>
      <c r="L988" s="36">
        <v>2933.28</v>
      </c>
      <c r="M988" s="36">
        <v>2933.28</v>
      </c>
      <c r="N988" s="36">
        <v>2933.28</v>
      </c>
      <c r="O988" s="36">
        <f>H988-L988</f>
        <v>-2933.28</v>
      </c>
      <c r="P988" s="36" t="e">
        <f>#REF!-M988</f>
        <v>#REF!</v>
      </c>
      <c r="Q988" s="36" t="e">
        <f>#REF!-N988</f>
        <v>#REF!</v>
      </c>
      <c r="R988" s="17" t="str">
        <f t="shared" si="110"/>
        <v>03 1 02 77190000</v>
      </c>
    </row>
    <row r="989" spans="1:18" s="17" customFormat="1" ht="31.5">
      <c r="A989" s="14"/>
      <c r="B989" s="125" t="s">
        <v>28</v>
      </c>
      <c r="C989" s="130" t="s">
        <v>595</v>
      </c>
      <c r="D989" s="131" t="s">
        <v>317</v>
      </c>
      <c r="E989" s="131" t="s">
        <v>13</v>
      </c>
      <c r="F989" s="131" t="s">
        <v>630</v>
      </c>
      <c r="G989" s="131" t="s">
        <v>29</v>
      </c>
      <c r="H989" s="126">
        <f>H990</f>
        <v>0</v>
      </c>
      <c r="L989" s="37">
        <v>39.07</v>
      </c>
      <c r="M989" s="37">
        <v>39.07</v>
      </c>
      <c r="N989" s="37">
        <v>39.07</v>
      </c>
      <c r="O989" s="37">
        <f>H989-L989</f>
        <v>-39.07</v>
      </c>
      <c r="P989" s="37" t="e">
        <f>#REF!-M989</f>
        <v>#REF!</v>
      </c>
      <c r="Q989" s="37" t="e">
        <f>#REF!-N989</f>
        <v>#REF!</v>
      </c>
      <c r="R989" s="17" t="str">
        <f t="shared" si="110"/>
        <v>03 1 02 77190240</v>
      </c>
    </row>
    <row r="990" spans="1:18" s="17" customFormat="1" ht="15.75">
      <c r="A990" s="14"/>
      <c r="B990" s="125" t="s">
        <v>30</v>
      </c>
      <c r="C990" s="130" t="s">
        <v>595</v>
      </c>
      <c r="D990" s="131" t="s">
        <v>317</v>
      </c>
      <c r="E990" s="131" t="s">
        <v>13</v>
      </c>
      <c r="F990" s="131" t="s">
        <v>630</v>
      </c>
      <c r="G990" s="131" t="s">
        <v>31</v>
      </c>
      <c r="H990" s="126"/>
      <c r="L990" s="37"/>
      <c r="M990" s="37"/>
      <c r="N990" s="37"/>
      <c r="O990" s="37"/>
      <c r="P990" s="37"/>
      <c r="Q990" s="37"/>
      <c r="R990" s="17" t="str">
        <f t="shared" si="110"/>
        <v>03 1 02 77190244</v>
      </c>
    </row>
    <row r="991" spans="1:18" s="17" customFormat="1" ht="31.5">
      <c r="A991" s="14"/>
      <c r="B991" s="140" t="s">
        <v>493</v>
      </c>
      <c r="C991" s="130" t="s">
        <v>595</v>
      </c>
      <c r="D991" s="131" t="s">
        <v>317</v>
      </c>
      <c r="E991" s="131" t="s">
        <v>13</v>
      </c>
      <c r="F991" s="131" t="s">
        <v>630</v>
      </c>
      <c r="G991" s="131" t="s">
        <v>494</v>
      </c>
      <c r="H991" s="126">
        <f>H992</f>
        <v>0</v>
      </c>
      <c r="L991" s="37">
        <v>2894.21</v>
      </c>
      <c r="M991" s="37">
        <v>2894.21</v>
      </c>
      <c r="N991" s="37">
        <v>2894.21</v>
      </c>
      <c r="O991" s="37">
        <f>H991-L991</f>
        <v>-2894.21</v>
      </c>
      <c r="P991" s="37" t="e">
        <f>#REF!-M991</f>
        <v>#REF!</v>
      </c>
      <c r="Q991" s="37" t="e">
        <f>#REF!-N991</f>
        <v>#REF!</v>
      </c>
      <c r="R991" s="17" t="str">
        <f t="shared" si="110"/>
        <v>03 1 02 77190310</v>
      </c>
    </row>
    <row r="992" spans="1:18" s="17" customFormat="1" ht="31.5">
      <c r="A992" s="14"/>
      <c r="B992" s="127" t="s">
        <v>495</v>
      </c>
      <c r="C992" s="130" t="s">
        <v>595</v>
      </c>
      <c r="D992" s="131" t="s">
        <v>317</v>
      </c>
      <c r="E992" s="131" t="s">
        <v>13</v>
      </c>
      <c r="F992" s="131" t="s">
        <v>630</v>
      </c>
      <c r="G992" s="131" t="s">
        <v>496</v>
      </c>
      <c r="H992" s="126"/>
      <c r="L992" s="37"/>
      <c r="M992" s="37"/>
      <c r="N992" s="37"/>
      <c r="O992" s="37"/>
      <c r="P992" s="37"/>
      <c r="Q992" s="37"/>
      <c r="R992" s="17" t="str">
        <f t="shared" si="110"/>
        <v>03 1 02 77190313</v>
      </c>
    </row>
    <row r="993" spans="1:18" s="17" customFormat="1" ht="47.25">
      <c r="A993" s="14"/>
      <c r="B993" s="150" t="s">
        <v>631</v>
      </c>
      <c r="C993" s="109" t="s">
        <v>595</v>
      </c>
      <c r="D993" s="108" t="s">
        <v>317</v>
      </c>
      <c r="E993" s="108" t="s">
        <v>13</v>
      </c>
      <c r="F993" s="108" t="s">
        <v>632</v>
      </c>
      <c r="G993" s="108" t="s">
        <v>9</v>
      </c>
      <c r="H993" s="126">
        <f>H994+H996</f>
        <v>0</v>
      </c>
      <c r="L993" s="37">
        <v>43129.83</v>
      </c>
      <c r="M993" s="37">
        <v>47693.11</v>
      </c>
      <c r="N993" s="37">
        <v>54845.43</v>
      </c>
      <c r="O993" s="37">
        <f>H993-L993</f>
        <v>-43129.83</v>
      </c>
      <c r="P993" s="37" t="e">
        <f>#REF!-M993</f>
        <v>#REF!</v>
      </c>
      <c r="Q993" s="37" t="e">
        <f>#REF!-N993</f>
        <v>#REF!</v>
      </c>
      <c r="R993" s="17" t="str">
        <f t="shared" si="110"/>
        <v>03 1 02 78280000</v>
      </c>
    </row>
    <row r="994" spans="1:18" s="17" customFormat="1" ht="31.5">
      <c r="A994" s="14"/>
      <c r="B994" s="125" t="s">
        <v>28</v>
      </c>
      <c r="C994" s="109" t="s">
        <v>595</v>
      </c>
      <c r="D994" s="108" t="s">
        <v>317</v>
      </c>
      <c r="E994" s="108" t="s">
        <v>13</v>
      </c>
      <c r="F994" s="108" t="s">
        <v>632</v>
      </c>
      <c r="G994" s="108" t="s">
        <v>29</v>
      </c>
      <c r="H994" s="126">
        <f>H995</f>
        <v>0</v>
      </c>
      <c r="L994" s="37">
        <v>516.66999999999996</v>
      </c>
      <c r="M994" s="37">
        <v>582.41</v>
      </c>
      <c r="N994" s="37">
        <v>662.53</v>
      </c>
      <c r="O994" s="37">
        <f>H994-L994</f>
        <v>-516.66999999999996</v>
      </c>
      <c r="P994" s="37" t="e">
        <f>#REF!-M994</f>
        <v>#REF!</v>
      </c>
      <c r="Q994" s="37" t="e">
        <f>#REF!-N994</f>
        <v>#REF!</v>
      </c>
      <c r="R994" s="17" t="str">
        <f t="shared" si="110"/>
        <v>03 1 02 78280240</v>
      </c>
    </row>
    <row r="995" spans="1:18" s="17" customFormat="1" ht="15.75">
      <c r="A995" s="14"/>
      <c r="B995" s="125" t="s">
        <v>30</v>
      </c>
      <c r="C995" s="109" t="s">
        <v>595</v>
      </c>
      <c r="D995" s="108" t="s">
        <v>317</v>
      </c>
      <c r="E995" s="108" t="s">
        <v>13</v>
      </c>
      <c r="F995" s="108" t="s">
        <v>632</v>
      </c>
      <c r="G995" s="108" t="s">
        <v>31</v>
      </c>
      <c r="H995" s="126"/>
      <c r="L995" s="37"/>
      <c r="M995" s="37"/>
      <c r="N995" s="37"/>
      <c r="O995" s="37"/>
      <c r="P995" s="37"/>
      <c r="Q995" s="37"/>
      <c r="R995" s="17" t="str">
        <f t="shared" si="110"/>
        <v>03 1 02 78280244</v>
      </c>
    </row>
    <row r="996" spans="1:18" s="17" customFormat="1" ht="31.5">
      <c r="A996" s="14"/>
      <c r="B996" s="132" t="s">
        <v>493</v>
      </c>
      <c r="C996" s="109" t="s">
        <v>595</v>
      </c>
      <c r="D996" s="108" t="s">
        <v>317</v>
      </c>
      <c r="E996" s="108" t="s">
        <v>13</v>
      </c>
      <c r="F996" s="108" t="s">
        <v>632</v>
      </c>
      <c r="G996" s="108" t="s">
        <v>494</v>
      </c>
      <c r="H996" s="126">
        <f>H997</f>
        <v>0</v>
      </c>
      <c r="L996" s="37">
        <v>42613.16</v>
      </c>
      <c r="M996" s="37">
        <v>47110.7</v>
      </c>
      <c r="N996" s="37">
        <v>54182.9</v>
      </c>
      <c r="O996" s="37">
        <f>H996-L996</f>
        <v>-42613.16</v>
      </c>
      <c r="P996" s="37" t="e">
        <f>#REF!-M996</f>
        <v>#REF!</v>
      </c>
      <c r="Q996" s="37" t="e">
        <f>#REF!-N996</f>
        <v>#REF!</v>
      </c>
      <c r="R996" s="17" t="str">
        <f t="shared" si="110"/>
        <v>03 1 02 78280310</v>
      </c>
    </row>
    <row r="997" spans="1:18" s="17" customFormat="1" ht="31.5">
      <c r="A997" s="14"/>
      <c r="B997" s="127" t="s">
        <v>495</v>
      </c>
      <c r="C997" s="109" t="s">
        <v>595</v>
      </c>
      <c r="D997" s="108" t="s">
        <v>317</v>
      </c>
      <c r="E997" s="108" t="s">
        <v>13</v>
      </c>
      <c r="F997" s="108" t="s">
        <v>632</v>
      </c>
      <c r="G997" s="108" t="s">
        <v>496</v>
      </c>
      <c r="H997" s="126"/>
      <c r="L997" s="37"/>
      <c r="M997" s="37"/>
      <c r="N997" s="37"/>
      <c r="O997" s="37"/>
      <c r="P997" s="37"/>
      <c r="Q997" s="37"/>
      <c r="R997" s="17" t="str">
        <f t="shared" si="110"/>
        <v>03 1 02 78280313</v>
      </c>
    </row>
    <row r="998" spans="1:18" s="17" customFormat="1" ht="63">
      <c r="A998" s="14"/>
      <c r="B998" s="132" t="s">
        <v>387</v>
      </c>
      <c r="C998" s="109" t="s">
        <v>595</v>
      </c>
      <c r="D998" s="108" t="s">
        <v>317</v>
      </c>
      <c r="E998" s="108" t="s">
        <v>13</v>
      </c>
      <c r="F998" s="108" t="s">
        <v>388</v>
      </c>
      <c r="G998" s="108" t="s">
        <v>9</v>
      </c>
      <c r="H998" s="126">
        <f>H999+H1036+H1040+H1044</f>
        <v>0</v>
      </c>
      <c r="L998" s="37">
        <v>20720.739999999998</v>
      </c>
      <c r="M998" s="37">
        <v>20786.739999999998</v>
      </c>
      <c r="N998" s="37">
        <v>50833.09</v>
      </c>
      <c r="O998" s="37">
        <f>H998-L998</f>
        <v>-20720.739999999998</v>
      </c>
      <c r="P998" s="37" t="e">
        <f>#REF!-M998</f>
        <v>#REF!</v>
      </c>
      <c r="Q998" s="37" t="e">
        <f>#REF!-N998</f>
        <v>#REF!</v>
      </c>
      <c r="R998" s="17" t="str">
        <f t="shared" si="110"/>
        <v>03 2 00 00000000</v>
      </c>
    </row>
    <row r="999" spans="1:18" s="17" customFormat="1" ht="47.25">
      <c r="A999" s="14"/>
      <c r="B999" s="148" t="s">
        <v>633</v>
      </c>
      <c r="C999" s="109" t="s">
        <v>595</v>
      </c>
      <c r="D999" s="108" t="s">
        <v>317</v>
      </c>
      <c r="E999" s="108" t="s">
        <v>13</v>
      </c>
      <c r="F999" s="108" t="s">
        <v>634</v>
      </c>
      <c r="G999" s="108" t="s">
        <v>9</v>
      </c>
      <c r="H999" s="126">
        <f>H1000+H1003+H1009+H1012+H1015+H1018+H1024+H1027+H1030+H1033+H1006+H1021</f>
        <v>0</v>
      </c>
      <c r="L999" s="37">
        <v>20539.739999999998</v>
      </c>
      <c r="M999" s="37">
        <v>20605.739999999998</v>
      </c>
      <c r="N999" s="37">
        <v>50652.09</v>
      </c>
      <c r="O999" s="37">
        <f>H999-L999</f>
        <v>-20539.739999999998</v>
      </c>
      <c r="P999" s="37" t="e">
        <f>#REF!-M999</f>
        <v>#REF!</v>
      </c>
      <c r="Q999" s="37" t="e">
        <f>#REF!-N999</f>
        <v>#REF!</v>
      </c>
      <c r="R999" s="17" t="str">
        <f t="shared" si="110"/>
        <v>03 2 01 00000000</v>
      </c>
    </row>
    <row r="1000" spans="1:18" s="17" customFormat="1" ht="63">
      <c r="A1000" s="14"/>
      <c r="B1000" s="149" t="s">
        <v>635</v>
      </c>
      <c r="C1000" s="109" t="s">
        <v>595</v>
      </c>
      <c r="D1000" s="108" t="s">
        <v>317</v>
      </c>
      <c r="E1000" s="108" t="s">
        <v>13</v>
      </c>
      <c r="F1000" s="108" t="s">
        <v>636</v>
      </c>
      <c r="G1000" s="108" t="s">
        <v>9</v>
      </c>
      <c r="H1000" s="126">
        <f>H1001</f>
        <v>0</v>
      </c>
      <c r="L1000" s="37">
        <v>6350</v>
      </c>
      <c r="M1000" s="37">
        <v>6350</v>
      </c>
      <c r="N1000" s="37">
        <v>6350</v>
      </c>
      <c r="O1000" s="37">
        <f>H1000-L1000</f>
        <v>-6350</v>
      </c>
      <c r="P1000" s="37" t="e">
        <f>#REF!-M1000</f>
        <v>#REF!</v>
      </c>
      <c r="Q1000" s="37" t="e">
        <f>#REF!-N1000</f>
        <v>#REF!</v>
      </c>
      <c r="R1000" s="17" t="str">
        <f t="shared" si="110"/>
        <v>03 2 01 80030000</v>
      </c>
    </row>
    <row r="1001" spans="1:18" s="17" customFormat="1" ht="31.5">
      <c r="A1001" s="14"/>
      <c r="B1001" s="132" t="s">
        <v>493</v>
      </c>
      <c r="C1001" s="109" t="s">
        <v>595</v>
      </c>
      <c r="D1001" s="108" t="s">
        <v>317</v>
      </c>
      <c r="E1001" s="108" t="s">
        <v>13</v>
      </c>
      <c r="F1001" s="108" t="s">
        <v>636</v>
      </c>
      <c r="G1001" s="108" t="s">
        <v>494</v>
      </c>
      <c r="H1001" s="126">
        <f>H1002</f>
        <v>0</v>
      </c>
      <c r="L1001" s="37">
        <v>6350</v>
      </c>
      <c r="M1001" s="37">
        <v>6350</v>
      </c>
      <c r="N1001" s="37">
        <v>6350</v>
      </c>
      <c r="O1001" s="37">
        <f>H1001-L1001</f>
        <v>-6350</v>
      </c>
      <c r="P1001" s="37" t="e">
        <f>#REF!-M1001</f>
        <v>#REF!</v>
      </c>
      <c r="Q1001" s="37" t="e">
        <f>#REF!-N1001</f>
        <v>#REF!</v>
      </c>
      <c r="R1001" s="17" t="str">
        <f t="shared" si="110"/>
        <v>03 2 01 80030310</v>
      </c>
    </row>
    <row r="1002" spans="1:18" s="17" customFormat="1" ht="31.5">
      <c r="A1002" s="14"/>
      <c r="B1002" s="127" t="s">
        <v>495</v>
      </c>
      <c r="C1002" s="109" t="s">
        <v>595</v>
      </c>
      <c r="D1002" s="108" t="s">
        <v>317</v>
      </c>
      <c r="E1002" s="108" t="s">
        <v>13</v>
      </c>
      <c r="F1002" s="108" t="s">
        <v>636</v>
      </c>
      <c r="G1002" s="108" t="s">
        <v>496</v>
      </c>
      <c r="H1002" s="126"/>
      <c r="L1002" s="37"/>
      <c r="M1002" s="37"/>
      <c r="N1002" s="37"/>
      <c r="O1002" s="37"/>
      <c r="P1002" s="37"/>
      <c r="Q1002" s="37"/>
    </row>
    <row r="1003" spans="1:18" s="17" customFormat="1" ht="63">
      <c r="A1003" s="14"/>
      <c r="B1003" s="149" t="s">
        <v>637</v>
      </c>
      <c r="C1003" s="109" t="s">
        <v>595</v>
      </c>
      <c r="D1003" s="108" t="s">
        <v>317</v>
      </c>
      <c r="E1003" s="108" t="s">
        <v>13</v>
      </c>
      <c r="F1003" s="108" t="s">
        <v>638</v>
      </c>
      <c r="G1003" s="108" t="s">
        <v>9</v>
      </c>
      <c r="H1003" s="126">
        <f>H1004</f>
        <v>0</v>
      </c>
      <c r="L1003" s="37">
        <v>694.28</v>
      </c>
      <c r="M1003" s="37">
        <v>694.28</v>
      </c>
      <c r="N1003" s="37">
        <v>694.28</v>
      </c>
      <c r="O1003" s="37">
        <f>H1003-L1003</f>
        <v>-694.28</v>
      </c>
      <c r="P1003" s="37" t="e">
        <f>#REF!-M1003</f>
        <v>#REF!</v>
      </c>
      <c r="Q1003" s="37" t="e">
        <f>#REF!-N1003</f>
        <v>#REF!</v>
      </c>
      <c r="R1003" s="17" t="str">
        <f t="shared" si="110"/>
        <v>03 2 01 80070000</v>
      </c>
    </row>
    <row r="1004" spans="1:18" s="17" customFormat="1" ht="31.5">
      <c r="A1004" s="14"/>
      <c r="B1004" s="132" t="s">
        <v>493</v>
      </c>
      <c r="C1004" s="109" t="s">
        <v>595</v>
      </c>
      <c r="D1004" s="108" t="s">
        <v>317</v>
      </c>
      <c r="E1004" s="108" t="s">
        <v>13</v>
      </c>
      <c r="F1004" s="108" t="s">
        <v>638</v>
      </c>
      <c r="G1004" s="108" t="s">
        <v>494</v>
      </c>
      <c r="H1004" s="126">
        <f>H1005</f>
        <v>0</v>
      </c>
      <c r="L1004" s="37">
        <v>694.28</v>
      </c>
      <c r="M1004" s="37">
        <v>694.28</v>
      </c>
      <c r="N1004" s="37">
        <v>694.28</v>
      </c>
      <c r="O1004" s="37">
        <f>H1004-L1004</f>
        <v>-694.28</v>
      </c>
      <c r="P1004" s="37" t="e">
        <f>#REF!-M1004</f>
        <v>#REF!</v>
      </c>
      <c r="Q1004" s="37" t="e">
        <f>#REF!-N1004</f>
        <v>#REF!</v>
      </c>
      <c r="R1004" s="17" t="str">
        <f t="shared" si="110"/>
        <v>03 2 01 80070310</v>
      </c>
    </row>
    <row r="1005" spans="1:18" s="17" customFormat="1" ht="31.5">
      <c r="A1005" s="14"/>
      <c r="B1005" s="127" t="s">
        <v>495</v>
      </c>
      <c r="C1005" s="109" t="s">
        <v>595</v>
      </c>
      <c r="D1005" s="108" t="s">
        <v>317</v>
      </c>
      <c r="E1005" s="108" t="s">
        <v>13</v>
      </c>
      <c r="F1005" s="108" t="s">
        <v>638</v>
      </c>
      <c r="G1005" s="108" t="s">
        <v>496</v>
      </c>
      <c r="H1005" s="126"/>
      <c r="L1005" s="37"/>
      <c r="M1005" s="37"/>
      <c r="N1005" s="37"/>
      <c r="O1005" s="37"/>
      <c r="P1005" s="37"/>
      <c r="Q1005" s="37"/>
      <c r="R1005" s="17" t="str">
        <f t="shared" si="110"/>
        <v>03 2 01 80070313</v>
      </c>
    </row>
    <row r="1006" spans="1:18" s="17" customFormat="1" ht="31.5">
      <c r="A1006" s="14"/>
      <c r="B1006" s="149" t="s">
        <v>639</v>
      </c>
      <c r="C1006" s="109" t="s">
        <v>595</v>
      </c>
      <c r="D1006" s="108" t="s">
        <v>317</v>
      </c>
      <c r="E1006" s="108" t="s">
        <v>13</v>
      </c>
      <c r="F1006" s="108" t="s">
        <v>640</v>
      </c>
      <c r="G1006" s="108" t="s">
        <v>9</v>
      </c>
      <c r="H1006" s="126">
        <f>H1007</f>
        <v>0</v>
      </c>
      <c r="L1006" s="37">
        <v>1664</v>
      </c>
      <c r="M1006" s="37">
        <v>1730</v>
      </c>
      <c r="N1006" s="37">
        <v>1944.35</v>
      </c>
      <c r="O1006" s="37">
        <f>H1006-L1006</f>
        <v>-1664</v>
      </c>
      <c r="P1006" s="37" t="e">
        <f>#REF!-M1006</f>
        <v>#REF!</v>
      </c>
      <c r="Q1006" s="37" t="e">
        <f>#REF!-N1006</f>
        <v>#REF!</v>
      </c>
      <c r="R1006" s="17" t="str">
        <f t="shared" si="110"/>
        <v>03 2 01 80080000</v>
      </c>
    </row>
    <row r="1007" spans="1:18" s="17" customFormat="1" ht="31.5">
      <c r="A1007" s="14"/>
      <c r="B1007" s="132" t="s">
        <v>493</v>
      </c>
      <c r="C1007" s="109" t="s">
        <v>595</v>
      </c>
      <c r="D1007" s="108" t="s">
        <v>317</v>
      </c>
      <c r="E1007" s="108" t="s">
        <v>13</v>
      </c>
      <c r="F1007" s="108" t="s">
        <v>640</v>
      </c>
      <c r="G1007" s="108" t="s">
        <v>494</v>
      </c>
      <c r="H1007" s="126">
        <f>H1008</f>
        <v>0</v>
      </c>
      <c r="L1007" s="37">
        <v>1664</v>
      </c>
      <c r="M1007" s="37">
        <v>1730</v>
      </c>
      <c r="N1007" s="37">
        <v>1944.35</v>
      </c>
      <c r="O1007" s="37">
        <f>H1007-L1007</f>
        <v>-1664</v>
      </c>
      <c r="P1007" s="37" t="e">
        <f>#REF!-M1007</f>
        <v>#REF!</v>
      </c>
      <c r="Q1007" s="37" t="e">
        <f>#REF!-N1007</f>
        <v>#REF!</v>
      </c>
      <c r="R1007" s="17" t="str">
        <f t="shared" si="110"/>
        <v>03 2 01 80080310</v>
      </c>
    </row>
    <row r="1008" spans="1:18" s="17" customFormat="1" ht="31.5">
      <c r="A1008" s="14"/>
      <c r="B1008" s="127" t="s">
        <v>495</v>
      </c>
      <c r="C1008" s="109" t="s">
        <v>595</v>
      </c>
      <c r="D1008" s="108" t="s">
        <v>317</v>
      </c>
      <c r="E1008" s="108" t="s">
        <v>13</v>
      </c>
      <c r="F1008" s="108" t="s">
        <v>640</v>
      </c>
      <c r="G1008" s="108" t="s">
        <v>496</v>
      </c>
      <c r="H1008" s="126"/>
      <c r="L1008" s="37"/>
      <c r="M1008" s="37"/>
      <c r="N1008" s="37"/>
      <c r="O1008" s="37"/>
      <c r="P1008" s="37"/>
      <c r="Q1008" s="37"/>
    </row>
    <row r="1009" spans="1:18" s="17" customFormat="1" ht="31.5">
      <c r="A1009" s="14"/>
      <c r="B1009" s="149" t="s">
        <v>641</v>
      </c>
      <c r="C1009" s="109" t="s">
        <v>595</v>
      </c>
      <c r="D1009" s="108" t="s">
        <v>317</v>
      </c>
      <c r="E1009" s="108" t="s">
        <v>13</v>
      </c>
      <c r="F1009" s="108" t="s">
        <v>642</v>
      </c>
      <c r="G1009" s="108" t="s">
        <v>9</v>
      </c>
      <c r="H1009" s="126">
        <f>H1010</f>
        <v>0</v>
      </c>
      <c r="L1009" s="37">
        <v>5718</v>
      </c>
      <c r="M1009" s="37">
        <v>5718</v>
      </c>
      <c r="N1009" s="37">
        <v>5718</v>
      </c>
      <c r="O1009" s="37">
        <f>H1009-L1009</f>
        <v>-5718</v>
      </c>
      <c r="P1009" s="37" t="e">
        <f>#REF!-M1009</f>
        <v>#REF!</v>
      </c>
      <c r="Q1009" s="37" t="e">
        <f>#REF!-N1009</f>
        <v>#REF!</v>
      </c>
      <c r="R1009" s="17" t="str">
        <f t="shared" si="110"/>
        <v>03 2 01 80100000</v>
      </c>
    </row>
    <row r="1010" spans="1:18" s="17" customFormat="1" ht="31.5">
      <c r="A1010" s="14"/>
      <c r="B1010" s="132" t="s">
        <v>493</v>
      </c>
      <c r="C1010" s="109" t="s">
        <v>595</v>
      </c>
      <c r="D1010" s="108" t="s">
        <v>317</v>
      </c>
      <c r="E1010" s="108" t="s">
        <v>13</v>
      </c>
      <c r="F1010" s="108" t="s">
        <v>642</v>
      </c>
      <c r="G1010" s="108" t="s">
        <v>494</v>
      </c>
      <c r="H1010" s="126">
        <f>H1011</f>
        <v>0</v>
      </c>
      <c r="L1010" s="37">
        <v>5718</v>
      </c>
      <c r="M1010" s="37">
        <v>5718</v>
      </c>
      <c r="N1010" s="37">
        <v>5718</v>
      </c>
      <c r="O1010" s="37">
        <f>H1010-L1010</f>
        <v>-5718</v>
      </c>
      <c r="P1010" s="37" t="e">
        <f>#REF!-M1010</f>
        <v>#REF!</v>
      </c>
      <c r="Q1010" s="37" t="e">
        <f>#REF!-N1010</f>
        <v>#REF!</v>
      </c>
      <c r="R1010" s="17" t="str">
        <f t="shared" si="110"/>
        <v>03 2 01 80100310</v>
      </c>
    </row>
    <row r="1011" spans="1:18" s="17" customFormat="1" ht="31.5">
      <c r="A1011" s="14"/>
      <c r="B1011" s="127" t="s">
        <v>495</v>
      </c>
      <c r="C1011" s="109" t="s">
        <v>595</v>
      </c>
      <c r="D1011" s="108" t="s">
        <v>317</v>
      </c>
      <c r="E1011" s="108" t="s">
        <v>13</v>
      </c>
      <c r="F1011" s="108" t="s">
        <v>642</v>
      </c>
      <c r="G1011" s="108" t="s">
        <v>496</v>
      </c>
      <c r="H1011" s="126"/>
      <c r="L1011" s="37"/>
      <c r="M1011" s="37"/>
      <c r="N1011" s="37"/>
      <c r="O1011" s="37"/>
      <c r="P1011" s="37"/>
      <c r="Q1011" s="37"/>
      <c r="R1011" s="17" t="str">
        <f t="shared" si="110"/>
        <v>03 2 01 80100313</v>
      </c>
    </row>
    <row r="1012" spans="1:18" s="17" customFormat="1" ht="47.25">
      <c r="A1012" s="14"/>
      <c r="B1012" s="149" t="s">
        <v>643</v>
      </c>
      <c r="C1012" s="109" t="s">
        <v>595</v>
      </c>
      <c r="D1012" s="108" t="s">
        <v>317</v>
      </c>
      <c r="E1012" s="108" t="s">
        <v>13</v>
      </c>
      <c r="F1012" s="108" t="s">
        <v>644</v>
      </c>
      <c r="G1012" s="108" t="s">
        <v>9</v>
      </c>
      <c r="H1012" s="126">
        <f>H1013</f>
        <v>0</v>
      </c>
      <c r="L1012" s="37">
        <v>1080</v>
      </c>
      <c r="M1012" s="37">
        <v>1080</v>
      </c>
      <c r="N1012" s="37">
        <v>1080</v>
      </c>
      <c r="O1012" s="37">
        <f>H1012-L1012</f>
        <v>-1080</v>
      </c>
      <c r="P1012" s="37" t="e">
        <f>#REF!-M1012</f>
        <v>#REF!</v>
      </c>
      <c r="Q1012" s="37" t="e">
        <f>#REF!-N1012</f>
        <v>#REF!</v>
      </c>
      <c r="R1012" s="17" t="str">
        <f t="shared" si="110"/>
        <v>03 2 01 80110000</v>
      </c>
    </row>
    <row r="1013" spans="1:18" s="17" customFormat="1" ht="31.5">
      <c r="A1013" s="14"/>
      <c r="B1013" s="132" t="s">
        <v>493</v>
      </c>
      <c r="C1013" s="109" t="s">
        <v>595</v>
      </c>
      <c r="D1013" s="108" t="s">
        <v>317</v>
      </c>
      <c r="E1013" s="108" t="s">
        <v>13</v>
      </c>
      <c r="F1013" s="108" t="s">
        <v>644</v>
      </c>
      <c r="G1013" s="108" t="s">
        <v>494</v>
      </c>
      <c r="H1013" s="126">
        <f>H1014</f>
        <v>0</v>
      </c>
      <c r="L1013" s="37">
        <v>1080</v>
      </c>
      <c r="M1013" s="37">
        <v>1080</v>
      </c>
      <c r="N1013" s="37">
        <v>1080</v>
      </c>
      <c r="O1013" s="37">
        <f>H1013-L1013</f>
        <v>-1080</v>
      </c>
      <c r="P1013" s="37" t="e">
        <f>#REF!-M1013</f>
        <v>#REF!</v>
      </c>
      <c r="Q1013" s="37" t="e">
        <f>#REF!-N1013</f>
        <v>#REF!</v>
      </c>
      <c r="R1013" s="17" t="str">
        <f t="shared" si="110"/>
        <v>03 2 01 80110310</v>
      </c>
    </row>
    <row r="1014" spans="1:18" s="17" customFormat="1" ht="31.5">
      <c r="A1014" s="14"/>
      <c r="B1014" s="127" t="s">
        <v>495</v>
      </c>
      <c r="C1014" s="109" t="s">
        <v>595</v>
      </c>
      <c r="D1014" s="108" t="s">
        <v>317</v>
      </c>
      <c r="E1014" s="108" t="s">
        <v>13</v>
      </c>
      <c r="F1014" s="108" t="s">
        <v>644</v>
      </c>
      <c r="G1014" s="108" t="s">
        <v>496</v>
      </c>
      <c r="H1014" s="126"/>
      <c r="L1014" s="37"/>
      <c r="M1014" s="37"/>
      <c r="N1014" s="37"/>
      <c r="O1014" s="37"/>
      <c r="P1014" s="37"/>
      <c r="Q1014" s="37"/>
      <c r="R1014" s="17" t="str">
        <f t="shared" si="110"/>
        <v>03 2 01 80110313</v>
      </c>
    </row>
    <row r="1015" spans="1:18" s="17" customFormat="1" ht="157.5">
      <c r="A1015" s="14"/>
      <c r="B1015" s="149" t="s">
        <v>645</v>
      </c>
      <c r="C1015" s="109" t="s">
        <v>595</v>
      </c>
      <c r="D1015" s="108" t="s">
        <v>317</v>
      </c>
      <c r="E1015" s="108" t="s">
        <v>13</v>
      </c>
      <c r="F1015" s="108" t="s">
        <v>646</v>
      </c>
      <c r="G1015" s="108" t="s">
        <v>9</v>
      </c>
      <c r="H1015" s="126">
        <f>H1016</f>
        <v>0</v>
      </c>
      <c r="L1015" s="37">
        <v>1025.46</v>
      </c>
      <c r="M1015" s="37">
        <v>1025.46</v>
      </c>
      <c r="N1015" s="37">
        <v>1025.46</v>
      </c>
      <c r="O1015" s="37">
        <f>H1015-L1015</f>
        <v>-1025.46</v>
      </c>
      <c r="P1015" s="37" t="e">
        <f>#REF!-M1015</f>
        <v>#REF!</v>
      </c>
      <c r="Q1015" s="37" t="e">
        <f>#REF!-N1015</f>
        <v>#REF!</v>
      </c>
      <c r="R1015" s="17" t="str">
        <f t="shared" si="110"/>
        <v>03 2 01 80120000</v>
      </c>
    </row>
    <row r="1016" spans="1:18" s="17" customFormat="1" ht="31.5">
      <c r="A1016" s="14"/>
      <c r="B1016" s="132" t="s">
        <v>493</v>
      </c>
      <c r="C1016" s="109" t="s">
        <v>595</v>
      </c>
      <c r="D1016" s="108" t="s">
        <v>317</v>
      </c>
      <c r="E1016" s="108" t="s">
        <v>13</v>
      </c>
      <c r="F1016" s="108" t="s">
        <v>646</v>
      </c>
      <c r="G1016" s="108" t="s">
        <v>494</v>
      </c>
      <c r="H1016" s="126">
        <f>H1017</f>
        <v>0</v>
      </c>
      <c r="L1016" s="37">
        <v>1025.46</v>
      </c>
      <c r="M1016" s="37">
        <v>1025.46</v>
      </c>
      <c r="N1016" s="37">
        <v>1025.46</v>
      </c>
      <c r="O1016" s="37">
        <f>H1016-L1016</f>
        <v>-1025.46</v>
      </c>
      <c r="P1016" s="37" t="e">
        <f>#REF!-M1016</f>
        <v>#REF!</v>
      </c>
      <c r="Q1016" s="37" t="e">
        <f>#REF!-N1016</f>
        <v>#REF!</v>
      </c>
      <c r="R1016" s="17" t="str">
        <f t="shared" ref="R1016:R1109" si="111">CONCATENATE(F1016,G1016)</f>
        <v>03 2 01 80120310</v>
      </c>
    </row>
    <row r="1017" spans="1:18" s="17" customFormat="1" ht="31.5">
      <c r="A1017" s="14"/>
      <c r="B1017" s="127" t="s">
        <v>495</v>
      </c>
      <c r="C1017" s="109" t="s">
        <v>595</v>
      </c>
      <c r="D1017" s="108" t="s">
        <v>317</v>
      </c>
      <c r="E1017" s="108" t="s">
        <v>13</v>
      </c>
      <c r="F1017" s="108" t="s">
        <v>646</v>
      </c>
      <c r="G1017" s="108" t="s">
        <v>496</v>
      </c>
      <c r="H1017" s="126"/>
      <c r="L1017" s="37"/>
      <c r="M1017" s="37"/>
      <c r="N1017" s="37"/>
      <c r="O1017" s="37"/>
      <c r="P1017" s="37"/>
      <c r="Q1017" s="37"/>
      <c r="R1017" s="17" t="str">
        <f t="shared" si="111"/>
        <v>03 2 01 80120313</v>
      </c>
    </row>
    <row r="1018" spans="1:18" s="17" customFormat="1" ht="47.25">
      <c r="A1018" s="14"/>
      <c r="B1018" s="149" t="s">
        <v>647</v>
      </c>
      <c r="C1018" s="109" t="s">
        <v>595</v>
      </c>
      <c r="D1018" s="108" t="s">
        <v>317</v>
      </c>
      <c r="E1018" s="108" t="s">
        <v>13</v>
      </c>
      <c r="F1018" s="108" t="s">
        <v>648</v>
      </c>
      <c r="G1018" s="108" t="s">
        <v>9</v>
      </c>
      <c r="H1018" s="126">
        <f>H1019</f>
        <v>0</v>
      </c>
      <c r="L1018" s="37">
        <v>714</v>
      </c>
      <c r="M1018" s="37">
        <v>714</v>
      </c>
      <c r="N1018" s="37">
        <v>714</v>
      </c>
      <c r="O1018" s="37">
        <f>H1018-L1018</f>
        <v>-714</v>
      </c>
      <c r="P1018" s="37" t="e">
        <f>#REF!-M1018</f>
        <v>#REF!</v>
      </c>
      <c r="Q1018" s="37" t="e">
        <f>#REF!-N1018</f>
        <v>#REF!</v>
      </c>
      <c r="R1018" s="17" t="str">
        <f t="shared" si="111"/>
        <v>03 2 01 80140000</v>
      </c>
    </row>
    <row r="1019" spans="1:18" s="17" customFormat="1" ht="31.5">
      <c r="A1019" s="14"/>
      <c r="B1019" s="132" t="s">
        <v>493</v>
      </c>
      <c r="C1019" s="109" t="s">
        <v>595</v>
      </c>
      <c r="D1019" s="108" t="s">
        <v>317</v>
      </c>
      <c r="E1019" s="108" t="s">
        <v>13</v>
      </c>
      <c r="F1019" s="108" t="s">
        <v>648</v>
      </c>
      <c r="G1019" s="108" t="s">
        <v>494</v>
      </c>
      <c r="H1019" s="126">
        <f>H1020</f>
        <v>0</v>
      </c>
      <c r="L1019" s="37">
        <v>714</v>
      </c>
      <c r="M1019" s="37">
        <v>714</v>
      </c>
      <c r="N1019" s="37">
        <v>714</v>
      </c>
      <c r="O1019" s="37">
        <f>H1019-L1019</f>
        <v>-714</v>
      </c>
      <c r="P1019" s="37" t="e">
        <f>#REF!-M1019</f>
        <v>#REF!</v>
      </c>
      <c r="Q1019" s="37" t="e">
        <f>#REF!-N1019</f>
        <v>#REF!</v>
      </c>
      <c r="R1019" s="17" t="str">
        <f t="shared" si="111"/>
        <v>03 2 01 80140310</v>
      </c>
    </row>
    <row r="1020" spans="1:18" s="17" customFormat="1" ht="31.5">
      <c r="A1020" s="14"/>
      <c r="B1020" s="127" t="s">
        <v>495</v>
      </c>
      <c r="C1020" s="109" t="s">
        <v>595</v>
      </c>
      <c r="D1020" s="108" t="s">
        <v>317</v>
      </c>
      <c r="E1020" s="108" t="s">
        <v>13</v>
      </c>
      <c r="F1020" s="108" t="s">
        <v>648</v>
      </c>
      <c r="G1020" s="108" t="s">
        <v>496</v>
      </c>
      <c r="H1020" s="126"/>
      <c r="L1020" s="37"/>
      <c r="M1020" s="37"/>
      <c r="N1020" s="37"/>
      <c r="O1020" s="37"/>
      <c r="P1020" s="37"/>
      <c r="Q1020" s="37"/>
    </row>
    <row r="1021" spans="1:18" s="17" customFormat="1" ht="78.75">
      <c r="A1021" s="14"/>
      <c r="B1021" s="149" t="s">
        <v>649</v>
      </c>
      <c r="C1021" s="109" t="s">
        <v>595</v>
      </c>
      <c r="D1021" s="108" t="s">
        <v>317</v>
      </c>
      <c r="E1021" s="108" t="s">
        <v>13</v>
      </c>
      <c r="F1021" s="108" t="s">
        <v>650</v>
      </c>
      <c r="G1021" s="108" t="s">
        <v>9</v>
      </c>
      <c r="H1021" s="126">
        <f>H1022</f>
        <v>0</v>
      </c>
      <c r="L1021" s="37">
        <v>300</v>
      </c>
      <c r="M1021" s="37">
        <v>300</v>
      </c>
      <c r="N1021" s="37">
        <v>300</v>
      </c>
      <c r="O1021" s="37">
        <f>H1021-L1021</f>
        <v>-300</v>
      </c>
      <c r="P1021" s="37" t="e">
        <f>#REF!-M1021</f>
        <v>#REF!</v>
      </c>
      <c r="Q1021" s="37" t="e">
        <f>#REF!-N1021</f>
        <v>#REF!</v>
      </c>
      <c r="R1021" s="17" t="str">
        <f t="shared" si="111"/>
        <v>03 2 01 80150000</v>
      </c>
    </row>
    <row r="1022" spans="1:18" s="17" customFormat="1" ht="31.5">
      <c r="A1022" s="14"/>
      <c r="B1022" s="132" t="s">
        <v>493</v>
      </c>
      <c r="C1022" s="109" t="s">
        <v>595</v>
      </c>
      <c r="D1022" s="108" t="s">
        <v>317</v>
      </c>
      <c r="E1022" s="108" t="s">
        <v>13</v>
      </c>
      <c r="F1022" s="108" t="s">
        <v>650</v>
      </c>
      <c r="G1022" s="108" t="s">
        <v>494</v>
      </c>
      <c r="H1022" s="126">
        <f>H1023</f>
        <v>0</v>
      </c>
      <c r="L1022" s="37">
        <v>300</v>
      </c>
      <c r="M1022" s="37">
        <v>300</v>
      </c>
      <c r="N1022" s="37">
        <v>300</v>
      </c>
      <c r="O1022" s="37">
        <f>H1022-L1022</f>
        <v>-300</v>
      </c>
      <c r="P1022" s="37" t="e">
        <f>#REF!-M1022</f>
        <v>#REF!</v>
      </c>
      <c r="Q1022" s="37" t="e">
        <f>#REF!-N1022</f>
        <v>#REF!</v>
      </c>
      <c r="R1022" s="17" t="str">
        <f t="shared" si="111"/>
        <v>03 2 01 80150310</v>
      </c>
    </row>
    <row r="1023" spans="1:18" s="17" customFormat="1" ht="31.5">
      <c r="A1023" s="14"/>
      <c r="B1023" s="127" t="s">
        <v>495</v>
      </c>
      <c r="C1023" s="109" t="s">
        <v>595</v>
      </c>
      <c r="D1023" s="108" t="s">
        <v>317</v>
      </c>
      <c r="E1023" s="108" t="s">
        <v>13</v>
      </c>
      <c r="F1023" s="108" t="s">
        <v>650</v>
      </c>
      <c r="G1023" s="108" t="s">
        <v>496</v>
      </c>
      <c r="H1023" s="126"/>
      <c r="L1023" s="37"/>
      <c r="M1023" s="37"/>
      <c r="N1023" s="37"/>
      <c r="O1023" s="37"/>
      <c r="P1023" s="37"/>
      <c r="Q1023" s="37"/>
    </row>
    <row r="1024" spans="1:18" s="17" customFormat="1" ht="31.5">
      <c r="A1024" s="14"/>
      <c r="B1024" s="149" t="s">
        <v>651</v>
      </c>
      <c r="C1024" s="109" t="s">
        <v>595</v>
      </c>
      <c r="D1024" s="108" t="s">
        <v>317</v>
      </c>
      <c r="E1024" s="108" t="s">
        <v>13</v>
      </c>
      <c r="F1024" s="108" t="s">
        <v>652</v>
      </c>
      <c r="G1024" s="108" t="s">
        <v>9</v>
      </c>
      <c r="H1024" s="126">
        <f>H1025</f>
        <v>0</v>
      </c>
      <c r="L1024" s="37">
        <v>1020</v>
      </c>
      <c r="M1024" s="37">
        <v>1020</v>
      </c>
      <c r="N1024" s="37">
        <v>1020</v>
      </c>
      <c r="O1024" s="37">
        <f>H1024-L1024</f>
        <v>-1020</v>
      </c>
      <c r="P1024" s="37" t="e">
        <f>#REF!-M1024</f>
        <v>#REF!</v>
      </c>
      <c r="Q1024" s="37" t="e">
        <f>#REF!-N1024</f>
        <v>#REF!</v>
      </c>
      <c r="R1024" s="17" t="str">
        <f t="shared" si="111"/>
        <v>03 2 01 80160000</v>
      </c>
    </row>
    <row r="1025" spans="1:18" s="17" customFormat="1" ht="31.5">
      <c r="A1025" s="14"/>
      <c r="B1025" s="132" t="s">
        <v>493</v>
      </c>
      <c r="C1025" s="109" t="s">
        <v>595</v>
      </c>
      <c r="D1025" s="108" t="s">
        <v>317</v>
      </c>
      <c r="E1025" s="108" t="s">
        <v>13</v>
      </c>
      <c r="F1025" s="108" t="s">
        <v>652</v>
      </c>
      <c r="G1025" s="108" t="s">
        <v>494</v>
      </c>
      <c r="H1025" s="126">
        <f>H1026</f>
        <v>0</v>
      </c>
      <c r="L1025" s="37">
        <v>1020</v>
      </c>
      <c r="M1025" s="37">
        <v>1020</v>
      </c>
      <c r="N1025" s="37">
        <v>1020</v>
      </c>
      <c r="O1025" s="37">
        <f>H1025-L1025</f>
        <v>-1020</v>
      </c>
      <c r="P1025" s="37" t="e">
        <f>#REF!-M1025</f>
        <v>#REF!</v>
      </c>
      <c r="Q1025" s="37" t="e">
        <f>#REF!-N1025</f>
        <v>#REF!</v>
      </c>
      <c r="R1025" s="17" t="str">
        <f t="shared" si="111"/>
        <v>03 2 01 80160310</v>
      </c>
    </row>
    <row r="1026" spans="1:18" s="17" customFormat="1" ht="31.5">
      <c r="A1026" s="14"/>
      <c r="B1026" s="127" t="s">
        <v>495</v>
      </c>
      <c r="C1026" s="109" t="s">
        <v>595</v>
      </c>
      <c r="D1026" s="108" t="s">
        <v>317</v>
      </c>
      <c r="E1026" s="108" t="s">
        <v>13</v>
      </c>
      <c r="F1026" s="108" t="s">
        <v>652</v>
      </c>
      <c r="G1026" s="108" t="s">
        <v>496</v>
      </c>
      <c r="H1026" s="126"/>
      <c r="L1026" s="37"/>
      <c r="M1026" s="37"/>
      <c r="N1026" s="37"/>
      <c r="O1026" s="37"/>
      <c r="P1026" s="37"/>
      <c r="Q1026" s="37"/>
    </row>
    <row r="1027" spans="1:18" s="4" customFormat="1" ht="31.5">
      <c r="A1027" s="1"/>
      <c r="B1027" s="149" t="s">
        <v>653</v>
      </c>
      <c r="C1027" s="109" t="s">
        <v>595</v>
      </c>
      <c r="D1027" s="108" t="s">
        <v>317</v>
      </c>
      <c r="E1027" s="108" t="s">
        <v>13</v>
      </c>
      <c r="F1027" s="108" t="s">
        <v>654</v>
      </c>
      <c r="G1027" s="108" t="s">
        <v>9</v>
      </c>
      <c r="H1027" s="126">
        <f>H1028</f>
        <v>0</v>
      </c>
      <c r="L1027" s="37">
        <v>1854</v>
      </c>
      <c r="M1027" s="37">
        <v>1854</v>
      </c>
      <c r="N1027" s="37">
        <v>1854</v>
      </c>
      <c r="O1027" s="37">
        <f>H1027-L1027</f>
        <v>-1854</v>
      </c>
      <c r="P1027" s="37" t="e">
        <f>#REF!-M1027</f>
        <v>#REF!</v>
      </c>
      <c r="Q1027" s="37" t="e">
        <f>#REF!-N1027</f>
        <v>#REF!</v>
      </c>
      <c r="R1027" s="17" t="str">
        <f t="shared" si="111"/>
        <v>03 2 01 80180000</v>
      </c>
    </row>
    <row r="1028" spans="1:18" s="4" customFormat="1" ht="31.5">
      <c r="A1028" s="1"/>
      <c r="B1028" s="132" t="s">
        <v>493</v>
      </c>
      <c r="C1028" s="109" t="s">
        <v>595</v>
      </c>
      <c r="D1028" s="108" t="s">
        <v>317</v>
      </c>
      <c r="E1028" s="108" t="s">
        <v>13</v>
      </c>
      <c r="F1028" s="108" t="s">
        <v>654</v>
      </c>
      <c r="G1028" s="108" t="s">
        <v>494</v>
      </c>
      <c r="H1028" s="126">
        <f>H1029</f>
        <v>0</v>
      </c>
      <c r="L1028" s="37">
        <v>1854</v>
      </c>
      <c r="M1028" s="37">
        <v>1854</v>
      </c>
      <c r="N1028" s="37">
        <v>1854</v>
      </c>
      <c r="O1028" s="37">
        <f>H1028-L1028</f>
        <v>-1854</v>
      </c>
      <c r="P1028" s="37" t="e">
        <f>#REF!-M1028</f>
        <v>#REF!</v>
      </c>
      <c r="Q1028" s="37" t="e">
        <f>#REF!-N1028</f>
        <v>#REF!</v>
      </c>
      <c r="R1028" s="17" t="str">
        <f t="shared" si="111"/>
        <v>03 2 01 80180310</v>
      </c>
    </row>
    <row r="1029" spans="1:18" s="4" customFormat="1" ht="31.5">
      <c r="A1029" s="1"/>
      <c r="B1029" s="127" t="s">
        <v>495</v>
      </c>
      <c r="C1029" s="109" t="s">
        <v>595</v>
      </c>
      <c r="D1029" s="108" t="s">
        <v>317</v>
      </c>
      <c r="E1029" s="108" t="s">
        <v>13</v>
      </c>
      <c r="F1029" s="108" t="s">
        <v>654</v>
      </c>
      <c r="G1029" s="108" t="s">
        <v>496</v>
      </c>
      <c r="H1029" s="126"/>
      <c r="L1029" s="37"/>
      <c r="M1029" s="37"/>
      <c r="N1029" s="37"/>
      <c r="O1029" s="37"/>
      <c r="P1029" s="37"/>
      <c r="Q1029" s="37"/>
      <c r="R1029" s="17"/>
    </row>
    <row r="1030" spans="1:18" s="4" customFormat="1" ht="31.5">
      <c r="A1030" s="1"/>
      <c r="B1030" s="149" t="s">
        <v>655</v>
      </c>
      <c r="C1030" s="109" t="s">
        <v>595</v>
      </c>
      <c r="D1030" s="108" t="s">
        <v>317</v>
      </c>
      <c r="E1030" s="108" t="s">
        <v>13</v>
      </c>
      <c r="F1030" s="108" t="s">
        <v>656</v>
      </c>
      <c r="G1030" s="108" t="s">
        <v>9</v>
      </c>
      <c r="H1030" s="126">
        <f>H1031</f>
        <v>0</v>
      </c>
      <c r="L1030" s="37">
        <v>20</v>
      </c>
      <c r="M1030" s="37">
        <v>20</v>
      </c>
      <c r="N1030" s="37">
        <v>20</v>
      </c>
      <c r="O1030" s="37">
        <f>H1030-L1030</f>
        <v>-20</v>
      </c>
      <c r="P1030" s="37" t="e">
        <f>#REF!-M1030</f>
        <v>#REF!</v>
      </c>
      <c r="Q1030" s="37" t="e">
        <f>#REF!-N1030</f>
        <v>#REF!</v>
      </c>
      <c r="R1030" s="17" t="str">
        <f t="shared" si="111"/>
        <v>03 2 01 80190000</v>
      </c>
    </row>
    <row r="1031" spans="1:18" s="4" customFormat="1" ht="31.5">
      <c r="A1031" s="1"/>
      <c r="B1031" s="132" t="s">
        <v>493</v>
      </c>
      <c r="C1031" s="109" t="s">
        <v>595</v>
      </c>
      <c r="D1031" s="108" t="s">
        <v>317</v>
      </c>
      <c r="E1031" s="108" t="s">
        <v>13</v>
      </c>
      <c r="F1031" s="108" t="s">
        <v>656</v>
      </c>
      <c r="G1031" s="108" t="s">
        <v>494</v>
      </c>
      <c r="H1031" s="126">
        <f>H1032</f>
        <v>0</v>
      </c>
      <c r="L1031" s="37">
        <v>20</v>
      </c>
      <c r="M1031" s="37">
        <v>20</v>
      </c>
      <c r="N1031" s="37">
        <v>20</v>
      </c>
      <c r="O1031" s="37">
        <f>H1031-L1031</f>
        <v>-20</v>
      </c>
      <c r="P1031" s="37" t="e">
        <f>#REF!-M1031</f>
        <v>#REF!</v>
      </c>
      <c r="Q1031" s="37" t="e">
        <f>#REF!-N1031</f>
        <v>#REF!</v>
      </c>
      <c r="R1031" s="17" t="str">
        <f t="shared" si="111"/>
        <v>03 2 01 80190310</v>
      </c>
    </row>
    <row r="1032" spans="1:18" s="4" customFormat="1" ht="31.5">
      <c r="A1032" s="1"/>
      <c r="B1032" s="127" t="s">
        <v>495</v>
      </c>
      <c r="C1032" s="109" t="s">
        <v>595</v>
      </c>
      <c r="D1032" s="108" t="s">
        <v>317</v>
      </c>
      <c r="E1032" s="108" t="s">
        <v>13</v>
      </c>
      <c r="F1032" s="108" t="s">
        <v>656</v>
      </c>
      <c r="G1032" s="108" t="s">
        <v>496</v>
      </c>
      <c r="H1032" s="126"/>
      <c r="L1032" s="37"/>
      <c r="M1032" s="37"/>
      <c r="N1032" s="37"/>
      <c r="O1032" s="37"/>
      <c r="P1032" s="37"/>
      <c r="Q1032" s="37"/>
      <c r="R1032" s="17"/>
    </row>
    <row r="1033" spans="1:18" s="4" customFormat="1" ht="78.75">
      <c r="A1033" s="1"/>
      <c r="B1033" s="149" t="s">
        <v>657</v>
      </c>
      <c r="C1033" s="109" t="s">
        <v>595</v>
      </c>
      <c r="D1033" s="108" t="s">
        <v>317</v>
      </c>
      <c r="E1033" s="108" t="s">
        <v>13</v>
      </c>
      <c r="F1033" s="108" t="s">
        <v>658</v>
      </c>
      <c r="G1033" s="108" t="s">
        <v>9</v>
      </c>
      <c r="H1033" s="126">
        <f>H1034</f>
        <v>0</v>
      </c>
      <c r="L1033" s="39">
        <v>100</v>
      </c>
      <c r="M1033" s="39">
        <v>100</v>
      </c>
      <c r="N1033" s="39">
        <v>100</v>
      </c>
      <c r="O1033" s="39">
        <f>H1033-L1033</f>
        <v>-100</v>
      </c>
      <c r="P1033" s="39" t="e">
        <f>#REF!-M1033</f>
        <v>#REF!</v>
      </c>
      <c r="Q1033" s="39" t="e">
        <f>#REF!-N1033</f>
        <v>#REF!</v>
      </c>
      <c r="R1033" s="17" t="str">
        <f t="shared" si="111"/>
        <v>03 2 01 80210000</v>
      </c>
    </row>
    <row r="1034" spans="1:18" s="4" customFormat="1" ht="31.5">
      <c r="A1034" s="1"/>
      <c r="B1034" s="132" t="s">
        <v>493</v>
      </c>
      <c r="C1034" s="109" t="s">
        <v>595</v>
      </c>
      <c r="D1034" s="108" t="s">
        <v>317</v>
      </c>
      <c r="E1034" s="108" t="s">
        <v>13</v>
      </c>
      <c r="F1034" s="108" t="s">
        <v>658</v>
      </c>
      <c r="G1034" s="108" t="s">
        <v>494</v>
      </c>
      <c r="H1034" s="126">
        <f>H1035</f>
        <v>0</v>
      </c>
      <c r="L1034" s="37">
        <v>100</v>
      </c>
      <c r="M1034" s="37">
        <v>100</v>
      </c>
      <c r="N1034" s="37">
        <v>100</v>
      </c>
      <c r="O1034" s="37">
        <f>H1034-L1034</f>
        <v>-100</v>
      </c>
      <c r="P1034" s="37" t="e">
        <f>#REF!-M1034</f>
        <v>#REF!</v>
      </c>
      <c r="Q1034" s="37" t="e">
        <f>#REF!-N1034</f>
        <v>#REF!</v>
      </c>
      <c r="R1034" s="17" t="str">
        <f t="shared" si="111"/>
        <v>03 2 01 80210310</v>
      </c>
    </row>
    <row r="1035" spans="1:18" s="4" customFormat="1" ht="31.5">
      <c r="A1035" s="1"/>
      <c r="B1035" s="127" t="s">
        <v>495</v>
      </c>
      <c r="C1035" s="109" t="s">
        <v>595</v>
      </c>
      <c r="D1035" s="108" t="s">
        <v>317</v>
      </c>
      <c r="E1035" s="108" t="s">
        <v>13</v>
      </c>
      <c r="F1035" s="108" t="s">
        <v>658</v>
      </c>
      <c r="G1035" s="108" t="s">
        <v>496</v>
      </c>
      <c r="H1035" s="126"/>
      <c r="L1035" s="37"/>
      <c r="M1035" s="37"/>
      <c r="N1035" s="37"/>
      <c r="O1035" s="37"/>
      <c r="P1035" s="37"/>
      <c r="Q1035" s="37"/>
      <c r="R1035" s="17"/>
    </row>
    <row r="1036" spans="1:18" s="4" customFormat="1" ht="31.5">
      <c r="A1036" s="1"/>
      <c r="B1036" s="149" t="s">
        <v>659</v>
      </c>
      <c r="C1036" s="109" t="s">
        <v>595</v>
      </c>
      <c r="D1036" s="108" t="s">
        <v>317</v>
      </c>
      <c r="E1036" s="108" t="s">
        <v>13</v>
      </c>
      <c r="F1036" s="108" t="s">
        <v>660</v>
      </c>
      <c r="G1036" s="108" t="s">
        <v>9</v>
      </c>
      <c r="H1036" s="126">
        <f>H1037</f>
        <v>0</v>
      </c>
      <c r="L1036" s="39">
        <v>81</v>
      </c>
      <c r="M1036" s="39">
        <v>81</v>
      </c>
      <c r="N1036" s="39">
        <v>81</v>
      </c>
      <c r="O1036" s="39">
        <f>H1036-L1036</f>
        <v>-81</v>
      </c>
      <c r="P1036" s="39" t="e">
        <f>#REF!-M1036</f>
        <v>#REF!</v>
      </c>
      <c r="Q1036" s="39" t="e">
        <f>#REF!-N1036</f>
        <v>#REF!</v>
      </c>
      <c r="R1036" s="17" t="str">
        <f t="shared" si="111"/>
        <v>03 2 05 00000000</v>
      </c>
    </row>
    <row r="1037" spans="1:18" s="4" customFormat="1" ht="31.5">
      <c r="A1037" s="1"/>
      <c r="B1037" s="135" t="s">
        <v>661</v>
      </c>
      <c r="C1037" s="109" t="s">
        <v>595</v>
      </c>
      <c r="D1037" s="108" t="s">
        <v>317</v>
      </c>
      <c r="E1037" s="108" t="s">
        <v>13</v>
      </c>
      <c r="F1037" s="108" t="s">
        <v>662</v>
      </c>
      <c r="G1037" s="108" t="s">
        <v>9</v>
      </c>
      <c r="H1037" s="126">
        <f>SUM(H1038:H1038)</f>
        <v>0</v>
      </c>
      <c r="L1037" s="39">
        <v>81</v>
      </c>
      <c r="M1037" s="39">
        <v>81</v>
      </c>
      <c r="N1037" s="39">
        <v>81</v>
      </c>
      <c r="O1037" s="39">
        <f>H1037-L1037</f>
        <v>-81</v>
      </c>
      <c r="P1037" s="39" t="e">
        <f>#REF!-M1037</f>
        <v>#REF!</v>
      </c>
      <c r="Q1037" s="39" t="e">
        <f>#REF!-N1037</f>
        <v>#REF!</v>
      </c>
      <c r="R1037" s="17" t="str">
        <f t="shared" si="111"/>
        <v>03 2 05 20500000</v>
      </c>
    </row>
    <row r="1038" spans="1:18" s="4" customFormat="1" ht="31.5">
      <c r="A1038" s="1"/>
      <c r="B1038" s="132" t="s">
        <v>327</v>
      </c>
      <c r="C1038" s="109" t="s">
        <v>595</v>
      </c>
      <c r="D1038" s="108" t="s">
        <v>317</v>
      </c>
      <c r="E1038" s="108" t="s">
        <v>13</v>
      </c>
      <c r="F1038" s="108" t="s">
        <v>662</v>
      </c>
      <c r="G1038" s="108" t="s">
        <v>328</v>
      </c>
      <c r="H1038" s="126">
        <f>H1039</f>
        <v>0</v>
      </c>
      <c r="L1038" s="37">
        <v>81</v>
      </c>
      <c r="M1038" s="37">
        <v>81</v>
      </c>
      <c r="N1038" s="37">
        <v>81</v>
      </c>
      <c r="O1038" s="37">
        <f>H1038-L1038</f>
        <v>-81</v>
      </c>
      <c r="P1038" s="37" t="e">
        <f>#REF!-M1038</f>
        <v>#REF!</v>
      </c>
      <c r="Q1038" s="37" t="e">
        <f>#REF!-N1038</f>
        <v>#REF!</v>
      </c>
      <c r="R1038" s="17" t="str">
        <f t="shared" si="111"/>
        <v>03 2 05 20500320</v>
      </c>
    </row>
    <row r="1039" spans="1:18" s="41" customFormat="1" ht="31.5">
      <c r="A1039" s="40"/>
      <c r="B1039" s="127" t="s">
        <v>501</v>
      </c>
      <c r="C1039" s="109" t="s">
        <v>595</v>
      </c>
      <c r="D1039" s="108" t="s">
        <v>317</v>
      </c>
      <c r="E1039" s="108" t="s">
        <v>13</v>
      </c>
      <c r="F1039" s="108" t="s">
        <v>662</v>
      </c>
      <c r="G1039" s="108" t="s">
        <v>502</v>
      </c>
      <c r="H1039" s="126"/>
      <c r="L1039" s="38"/>
      <c r="M1039" s="38"/>
      <c r="N1039" s="38"/>
      <c r="O1039" s="38"/>
      <c r="P1039" s="38"/>
      <c r="Q1039" s="38"/>
      <c r="R1039" s="24"/>
    </row>
    <row r="1040" spans="1:18" s="4" customFormat="1" ht="31.5">
      <c r="A1040" s="1"/>
      <c r="B1040" s="149" t="s">
        <v>663</v>
      </c>
      <c r="C1040" s="109" t="s">
        <v>595</v>
      </c>
      <c r="D1040" s="108" t="s">
        <v>317</v>
      </c>
      <c r="E1040" s="108" t="s">
        <v>13</v>
      </c>
      <c r="F1040" s="108" t="s">
        <v>664</v>
      </c>
      <c r="G1040" s="108" t="s">
        <v>9</v>
      </c>
      <c r="H1040" s="126">
        <f>H1041</f>
        <v>0</v>
      </c>
      <c r="L1040" s="39">
        <v>25</v>
      </c>
      <c r="M1040" s="39">
        <v>25</v>
      </c>
      <c r="N1040" s="39">
        <v>25</v>
      </c>
      <c r="O1040" s="39">
        <f>H1040-L1040</f>
        <v>-25</v>
      </c>
      <c r="P1040" s="39" t="e">
        <f>#REF!-M1040</f>
        <v>#REF!</v>
      </c>
      <c r="Q1040" s="39" t="e">
        <f>#REF!-N1040</f>
        <v>#REF!</v>
      </c>
      <c r="R1040" s="17" t="str">
        <f t="shared" si="111"/>
        <v>03 2 06 00000000</v>
      </c>
    </row>
    <row r="1041" spans="1:18" s="4" customFormat="1" ht="63">
      <c r="A1041" s="1"/>
      <c r="B1041" s="135" t="s">
        <v>665</v>
      </c>
      <c r="C1041" s="109" t="s">
        <v>595</v>
      </c>
      <c r="D1041" s="108" t="s">
        <v>317</v>
      </c>
      <c r="E1041" s="108" t="s">
        <v>13</v>
      </c>
      <c r="F1041" s="108" t="s">
        <v>666</v>
      </c>
      <c r="G1041" s="108" t="s">
        <v>9</v>
      </c>
      <c r="H1041" s="126">
        <f>H1042</f>
        <v>0</v>
      </c>
      <c r="L1041" s="39">
        <v>25</v>
      </c>
      <c r="M1041" s="39">
        <v>25</v>
      </c>
      <c r="N1041" s="39">
        <v>25</v>
      </c>
      <c r="O1041" s="39">
        <f>H1041-L1041</f>
        <v>-25</v>
      </c>
      <c r="P1041" s="39" t="e">
        <f>#REF!-M1041</f>
        <v>#REF!</v>
      </c>
      <c r="Q1041" s="39" t="e">
        <f>#REF!-N1041</f>
        <v>#REF!</v>
      </c>
      <c r="R1041" s="17" t="str">
        <f t="shared" si="111"/>
        <v>03 2 06 20520000</v>
      </c>
    </row>
    <row r="1042" spans="1:18" s="4" customFormat="1" ht="31.5">
      <c r="A1042" s="1"/>
      <c r="B1042" s="125" t="s">
        <v>28</v>
      </c>
      <c r="C1042" s="109" t="s">
        <v>595</v>
      </c>
      <c r="D1042" s="108" t="s">
        <v>317</v>
      </c>
      <c r="E1042" s="108" t="s">
        <v>13</v>
      </c>
      <c r="F1042" s="108" t="s">
        <v>666</v>
      </c>
      <c r="G1042" s="108" t="s">
        <v>29</v>
      </c>
      <c r="H1042" s="126">
        <f>H1043</f>
        <v>0</v>
      </c>
      <c r="L1042" s="37">
        <v>25</v>
      </c>
      <c r="M1042" s="37">
        <v>25</v>
      </c>
      <c r="N1042" s="37">
        <v>25</v>
      </c>
      <c r="O1042" s="37">
        <f>H1042-L1042</f>
        <v>-25</v>
      </c>
      <c r="P1042" s="37" t="e">
        <f>#REF!-M1042</f>
        <v>#REF!</v>
      </c>
      <c r="Q1042" s="37" t="e">
        <f>#REF!-N1042</f>
        <v>#REF!</v>
      </c>
      <c r="R1042" s="17" t="str">
        <f t="shared" si="111"/>
        <v>03 2 06 20520240</v>
      </c>
    </row>
    <row r="1043" spans="1:18" s="4" customFormat="1" ht="15.75">
      <c r="A1043" s="1"/>
      <c r="B1043" s="125" t="s">
        <v>30</v>
      </c>
      <c r="C1043" s="109" t="s">
        <v>595</v>
      </c>
      <c r="D1043" s="108" t="s">
        <v>317</v>
      </c>
      <c r="E1043" s="108" t="s">
        <v>13</v>
      </c>
      <c r="F1043" s="108" t="s">
        <v>666</v>
      </c>
      <c r="G1043" s="108" t="s">
        <v>31</v>
      </c>
      <c r="H1043" s="126"/>
      <c r="L1043" s="37"/>
      <c r="M1043" s="37"/>
      <c r="N1043" s="37"/>
      <c r="O1043" s="37"/>
      <c r="P1043" s="37"/>
      <c r="Q1043" s="37"/>
      <c r="R1043" s="17"/>
    </row>
    <row r="1044" spans="1:18" s="4" customFormat="1" ht="31.5">
      <c r="A1044" s="1"/>
      <c r="B1044" s="125" t="s">
        <v>667</v>
      </c>
      <c r="C1044" s="109" t="s">
        <v>595</v>
      </c>
      <c r="D1044" s="108" t="s">
        <v>317</v>
      </c>
      <c r="E1044" s="108" t="s">
        <v>13</v>
      </c>
      <c r="F1044" s="108" t="s">
        <v>668</v>
      </c>
      <c r="G1044" s="108" t="s">
        <v>9</v>
      </c>
      <c r="H1044" s="126">
        <f>H1045</f>
        <v>0</v>
      </c>
      <c r="L1044" s="37">
        <v>75</v>
      </c>
      <c r="M1044" s="37">
        <v>75</v>
      </c>
      <c r="N1044" s="37">
        <v>75</v>
      </c>
      <c r="O1044" s="37">
        <f>H1044-L1044</f>
        <v>-75</v>
      </c>
      <c r="P1044" s="37" t="e">
        <f>#REF!-M1044</f>
        <v>#REF!</v>
      </c>
      <c r="Q1044" s="37" t="e">
        <f>#REF!-N1044</f>
        <v>#REF!</v>
      </c>
      <c r="R1044" s="17" t="str">
        <f t="shared" si="111"/>
        <v>03 2 08 00000000</v>
      </c>
    </row>
    <row r="1045" spans="1:18" s="4" customFormat="1" ht="31.5">
      <c r="A1045" s="1"/>
      <c r="B1045" s="135" t="s">
        <v>669</v>
      </c>
      <c r="C1045" s="109" t="s">
        <v>595</v>
      </c>
      <c r="D1045" s="108" t="s">
        <v>317</v>
      </c>
      <c r="E1045" s="108" t="s">
        <v>13</v>
      </c>
      <c r="F1045" s="108" t="s">
        <v>670</v>
      </c>
      <c r="G1045" s="108" t="s">
        <v>9</v>
      </c>
      <c r="H1045" s="126">
        <f t="shared" ref="H1045" si="112">H1046</f>
        <v>0</v>
      </c>
      <c r="L1045" s="39">
        <v>75</v>
      </c>
      <c r="M1045" s="39">
        <v>75</v>
      </c>
      <c r="N1045" s="39">
        <v>75</v>
      </c>
      <c r="O1045" s="39">
        <f>H1045-L1045</f>
        <v>-75</v>
      </c>
      <c r="P1045" s="39" t="e">
        <f>#REF!-M1045</f>
        <v>#REF!</v>
      </c>
      <c r="Q1045" s="39" t="e">
        <f>#REF!-N1045</f>
        <v>#REF!</v>
      </c>
      <c r="R1045" s="17" t="str">
        <f t="shared" si="111"/>
        <v>03 2 08 20510000</v>
      </c>
    </row>
    <row r="1046" spans="1:18" s="4" customFormat="1" ht="31.5">
      <c r="A1046" s="1"/>
      <c r="B1046" s="125" t="s">
        <v>28</v>
      </c>
      <c r="C1046" s="109" t="s">
        <v>595</v>
      </c>
      <c r="D1046" s="108" t="s">
        <v>317</v>
      </c>
      <c r="E1046" s="108" t="s">
        <v>13</v>
      </c>
      <c r="F1046" s="108" t="s">
        <v>670</v>
      </c>
      <c r="G1046" s="108" t="s">
        <v>29</v>
      </c>
      <c r="H1046" s="126">
        <f>H1047</f>
        <v>0</v>
      </c>
      <c r="L1046" s="37">
        <v>75</v>
      </c>
      <c r="M1046" s="37">
        <v>75</v>
      </c>
      <c r="N1046" s="37">
        <v>75</v>
      </c>
      <c r="O1046" s="37">
        <f>H1046-L1046</f>
        <v>-75</v>
      </c>
      <c r="P1046" s="37" t="e">
        <f>#REF!-M1046</f>
        <v>#REF!</v>
      </c>
      <c r="Q1046" s="37" t="e">
        <f>#REF!-N1046</f>
        <v>#REF!</v>
      </c>
      <c r="R1046" s="17" t="str">
        <f t="shared" si="111"/>
        <v>03 2 08 20510240</v>
      </c>
    </row>
    <row r="1047" spans="1:18" s="4" customFormat="1" ht="15.75">
      <c r="A1047" s="1"/>
      <c r="B1047" s="125" t="s">
        <v>30</v>
      </c>
      <c r="C1047" s="109" t="s">
        <v>595</v>
      </c>
      <c r="D1047" s="108" t="s">
        <v>317</v>
      </c>
      <c r="E1047" s="108" t="s">
        <v>13</v>
      </c>
      <c r="F1047" s="108" t="s">
        <v>670</v>
      </c>
      <c r="G1047" s="108" t="s">
        <v>31</v>
      </c>
      <c r="H1047" s="126"/>
      <c r="L1047" s="37"/>
      <c r="M1047" s="37"/>
      <c r="N1047" s="37"/>
      <c r="O1047" s="37"/>
      <c r="P1047" s="37"/>
      <c r="Q1047" s="37"/>
      <c r="R1047" s="17"/>
    </row>
    <row r="1048" spans="1:18" s="4" customFormat="1" ht="15.75">
      <c r="A1048" s="1"/>
      <c r="B1048" s="135" t="s">
        <v>671</v>
      </c>
      <c r="C1048" s="109" t="s">
        <v>595</v>
      </c>
      <c r="D1048" s="108" t="s">
        <v>317</v>
      </c>
      <c r="E1048" s="108" t="s">
        <v>13</v>
      </c>
      <c r="F1048" s="108" t="s">
        <v>672</v>
      </c>
      <c r="G1048" s="108" t="s">
        <v>9</v>
      </c>
      <c r="H1048" s="126">
        <f t="shared" ref="H1048:H1050" si="113">H1049</f>
        <v>0</v>
      </c>
      <c r="L1048" s="39">
        <v>2608.5</v>
      </c>
      <c r="M1048" s="39">
        <v>2608.5</v>
      </c>
      <c r="N1048" s="39">
        <v>2608.5</v>
      </c>
      <c r="O1048" s="39">
        <f>H1048-L1048</f>
        <v>-2608.5</v>
      </c>
      <c r="P1048" s="39" t="e">
        <f>#REF!-M1048</f>
        <v>#REF!</v>
      </c>
      <c r="Q1048" s="39" t="e">
        <f>#REF!-N1048</f>
        <v>#REF!</v>
      </c>
      <c r="R1048" s="17" t="str">
        <f t="shared" si="111"/>
        <v>03 3 00 00000000</v>
      </c>
    </row>
    <row r="1049" spans="1:18" s="4" customFormat="1" ht="47.25">
      <c r="A1049" s="1"/>
      <c r="B1049" s="147" t="s">
        <v>673</v>
      </c>
      <c r="C1049" s="109" t="s">
        <v>595</v>
      </c>
      <c r="D1049" s="108" t="s">
        <v>317</v>
      </c>
      <c r="E1049" s="108" t="s">
        <v>13</v>
      </c>
      <c r="F1049" s="108" t="s">
        <v>674</v>
      </c>
      <c r="G1049" s="108" t="s">
        <v>9</v>
      </c>
      <c r="H1049" s="126">
        <f t="shared" si="113"/>
        <v>0</v>
      </c>
      <c r="L1049" s="39">
        <v>2608.5</v>
      </c>
      <c r="M1049" s="39">
        <v>2608.5</v>
      </c>
      <c r="N1049" s="39">
        <v>2608.5</v>
      </c>
      <c r="O1049" s="39">
        <f>H1049-L1049</f>
        <v>-2608.5</v>
      </c>
      <c r="P1049" s="39" t="e">
        <f>#REF!-M1049</f>
        <v>#REF!</v>
      </c>
      <c r="Q1049" s="39" t="e">
        <f>#REF!-N1049</f>
        <v>#REF!</v>
      </c>
      <c r="R1049" s="17" t="str">
        <f t="shared" si="111"/>
        <v>03 3 01 00000000</v>
      </c>
    </row>
    <row r="1050" spans="1:18" s="4" customFormat="1" ht="47.25">
      <c r="A1050" s="1"/>
      <c r="B1050" s="135" t="s">
        <v>675</v>
      </c>
      <c r="C1050" s="109" t="s">
        <v>595</v>
      </c>
      <c r="D1050" s="108" t="s">
        <v>317</v>
      </c>
      <c r="E1050" s="108" t="s">
        <v>13</v>
      </c>
      <c r="F1050" s="108" t="s">
        <v>676</v>
      </c>
      <c r="G1050" s="108" t="s">
        <v>9</v>
      </c>
      <c r="H1050" s="126">
        <f t="shared" si="113"/>
        <v>0</v>
      </c>
      <c r="L1050" s="39">
        <v>2608.5</v>
      </c>
      <c r="M1050" s="39">
        <v>2608.5</v>
      </c>
      <c r="N1050" s="39">
        <v>2608.5</v>
      </c>
      <c r="O1050" s="39">
        <f>H1050-L1050</f>
        <v>-2608.5</v>
      </c>
      <c r="P1050" s="39" t="e">
        <f>#REF!-M1050</f>
        <v>#REF!</v>
      </c>
      <c r="Q1050" s="39" t="e">
        <f>#REF!-N1050</f>
        <v>#REF!</v>
      </c>
      <c r="R1050" s="17" t="str">
        <f t="shared" si="111"/>
        <v>03 3 01 20530000</v>
      </c>
    </row>
    <row r="1051" spans="1:18" s="4" customFormat="1" ht="31.5">
      <c r="A1051" s="1"/>
      <c r="B1051" s="132" t="s">
        <v>327</v>
      </c>
      <c r="C1051" s="109" t="s">
        <v>595</v>
      </c>
      <c r="D1051" s="108" t="s">
        <v>317</v>
      </c>
      <c r="E1051" s="108" t="s">
        <v>13</v>
      </c>
      <c r="F1051" s="108" t="s">
        <v>676</v>
      </c>
      <c r="G1051" s="108" t="s">
        <v>328</v>
      </c>
      <c r="H1051" s="126">
        <f>H1052</f>
        <v>0</v>
      </c>
      <c r="L1051" s="37">
        <v>2608.5</v>
      </c>
      <c r="M1051" s="37">
        <v>2608.5</v>
      </c>
      <c r="N1051" s="37">
        <v>2608.5</v>
      </c>
      <c r="O1051" s="37">
        <f>H1051-L1051</f>
        <v>-2608.5</v>
      </c>
      <c r="P1051" s="37" t="e">
        <f>#REF!-M1051</f>
        <v>#REF!</v>
      </c>
      <c r="Q1051" s="37" t="e">
        <f>#REF!-N1051</f>
        <v>#REF!</v>
      </c>
      <c r="R1051" s="17" t="str">
        <f t="shared" si="111"/>
        <v>03 3 01 20530320</v>
      </c>
    </row>
    <row r="1052" spans="1:18" s="4" customFormat="1" ht="31.5">
      <c r="A1052" s="1"/>
      <c r="B1052" s="125" t="s">
        <v>501</v>
      </c>
      <c r="C1052" s="109" t="s">
        <v>595</v>
      </c>
      <c r="D1052" s="108" t="s">
        <v>317</v>
      </c>
      <c r="E1052" s="108" t="s">
        <v>13</v>
      </c>
      <c r="F1052" s="108" t="s">
        <v>676</v>
      </c>
      <c r="G1052" s="108" t="s">
        <v>502</v>
      </c>
      <c r="H1052" s="126"/>
      <c r="L1052" s="37"/>
      <c r="M1052" s="37"/>
      <c r="N1052" s="37"/>
      <c r="O1052" s="37"/>
      <c r="P1052" s="37"/>
      <c r="Q1052" s="37"/>
      <c r="R1052" s="17"/>
    </row>
    <row r="1053" spans="1:18" s="43" customFormat="1" ht="15.75">
      <c r="A1053" s="42"/>
      <c r="B1053" s="121" t="s">
        <v>490</v>
      </c>
      <c r="C1053" s="122" t="s">
        <v>595</v>
      </c>
      <c r="D1053" s="123" t="s">
        <v>317</v>
      </c>
      <c r="E1053" s="123" t="s">
        <v>73</v>
      </c>
      <c r="F1053" s="123" t="s">
        <v>8</v>
      </c>
      <c r="G1053" s="123" t="s">
        <v>9</v>
      </c>
      <c r="H1053" s="124">
        <f t="shared" ref="H1053:H1055" si="114">H1054</f>
        <v>0</v>
      </c>
      <c r="L1053" s="19">
        <v>260400.43</v>
      </c>
      <c r="M1053" s="19">
        <v>260400.43</v>
      </c>
      <c r="N1053" s="19">
        <v>260400.43</v>
      </c>
      <c r="O1053" s="19">
        <f t="shared" ref="O1053:O1058" si="115">H1053-L1053</f>
        <v>-260400.43</v>
      </c>
      <c r="P1053" s="19" t="e">
        <f>#REF!-M1053</f>
        <v>#REF!</v>
      </c>
      <c r="Q1053" s="19" t="e">
        <f>#REF!-N1053</f>
        <v>#REF!</v>
      </c>
      <c r="R1053" s="17" t="str">
        <f t="shared" si="111"/>
        <v>00 0 00 00000000</v>
      </c>
    </row>
    <row r="1054" spans="1:18" s="43" customFormat="1" ht="31.5">
      <c r="A1054" s="42"/>
      <c r="B1054" s="135" t="s">
        <v>385</v>
      </c>
      <c r="C1054" s="109" t="s">
        <v>595</v>
      </c>
      <c r="D1054" s="108" t="s">
        <v>317</v>
      </c>
      <c r="E1054" s="108" t="s">
        <v>73</v>
      </c>
      <c r="F1054" s="108" t="s">
        <v>386</v>
      </c>
      <c r="G1054" s="108" t="s">
        <v>9</v>
      </c>
      <c r="H1054" s="151">
        <f t="shared" si="114"/>
        <v>0</v>
      </c>
      <c r="L1054" s="39">
        <v>260400.43</v>
      </c>
      <c r="M1054" s="39">
        <v>260400.43</v>
      </c>
      <c r="N1054" s="39">
        <v>260400.43</v>
      </c>
      <c r="O1054" s="39">
        <f t="shared" si="115"/>
        <v>-260400.43</v>
      </c>
      <c r="P1054" s="39" t="e">
        <f>#REF!-M1054</f>
        <v>#REF!</v>
      </c>
      <c r="Q1054" s="39" t="e">
        <f>#REF!-N1054</f>
        <v>#REF!</v>
      </c>
      <c r="R1054" s="17" t="str">
        <f t="shared" si="111"/>
        <v>03 0 00 00000000</v>
      </c>
    </row>
    <row r="1055" spans="1:18" s="43" customFormat="1" ht="47.25">
      <c r="A1055" s="42"/>
      <c r="B1055" s="147" t="s">
        <v>596</v>
      </c>
      <c r="C1055" s="109" t="s">
        <v>595</v>
      </c>
      <c r="D1055" s="108" t="s">
        <v>317</v>
      </c>
      <c r="E1055" s="108" t="s">
        <v>73</v>
      </c>
      <c r="F1055" s="108" t="s">
        <v>597</v>
      </c>
      <c r="G1055" s="108" t="s">
        <v>9</v>
      </c>
      <c r="H1055" s="151">
        <f t="shared" si="114"/>
        <v>0</v>
      </c>
      <c r="L1055" s="39">
        <v>260400.43</v>
      </c>
      <c r="M1055" s="39">
        <v>260400.43</v>
      </c>
      <c r="N1055" s="39">
        <v>260400.43</v>
      </c>
      <c r="O1055" s="39">
        <f t="shared" si="115"/>
        <v>-260400.43</v>
      </c>
      <c r="P1055" s="39" t="e">
        <f>#REF!-M1055</f>
        <v>#REF!</v>
      </c>
      <c r="Q1055" s="39" t="e">
        <f>#REF!-N1055</f>
        <v>#REF!</v>
      </c>
      <c r="R1055" s="17" t="str">
        <f t="shared" si="111"/>
        <v>03 1 00 00000 000</v>
      </c>
    </row>
    <row r="1056" spans="1:18" s="17" customFormat="1" ht="31.5">
      <c r="A1056" s="14"/>
      <c r="B1056" s="148" t="s">
        <v>623</v>
      </c>
      <c r="C1056" s="109" t="s">
        <v>595</v>
      </c>
      <c r="D1056" s="108" t="s">
        <v>317</v>
      </c>
      <c r="E1056" s="108" t="s">
        <v>73</v>
      </c>
      <c r="F1056" s="108" t="s">
        <v>624</v>
      </c>
      <c r="G1056" s="108" t="s">
        <v>9</v>
      </c>
      <c r="H1056" s="152">
        <f>H1060+H1057</f>
        <v>0</v>
      </c>
      <c r="L1056" s="37">
        <v>260400.43</v>
      </c>
      <c r="M1056" s="37">
        <v>260400.43</v>
      </c>
      <c r="N1056" s="37">
        <v>260400.43</v>
      </c>
      <c r="O1056" s="37">
        <f t="shared" si="115"/>
        <v>-260400.43</v>
      </c>
      <c r="P1056" s="37" t="e">
        <f>#REF!-M1056</f>
        <v>#REF!</v>
      </c>
      <c r="Q1056" s="37" t="e">
        <f>#REF!-N1056</f>
        <v>#REF!</v>
      </c>
      <c r="R1056" s="17" t="str">
        <f t="shared" si="111"/>
        <v>03 1 02 00000000</v>
      </c>
    </row>
    <row r="1057" spans="1:18" s="17" customFormat="1" ht="15.75">
      <c r="A1057" s="14"/>
      <c r="B1057" s="149" t="s">
        <v>677</v>
      </c>
      <c r="C1057" s="109" t="s">
        <v>595</v>
      </c>
      <c r="D1057" s="108" t="s">
        <v>317</v>
      </c>
      <c r="E1057" s="108" t="s">
        <v>73</v>
      </c>
      <c r="F1057" s="108" t="s">
        <v>678</v>
      </c>
      <c r="G1057" s="108" t="s">
        <v>9</v>
      </c>
      <c r="H1057" s="152">
        <f>H1058</f>
        <v>0</v>
      </c>
      <c r="L1057" s="37">
        <v>122664.88</v>
      </c>
      <c r="M1057" s="37">
        <v>122664.88</v>
      </c>
      <c r="N1057" s="37">
        <v>122664.88</v>
      </c>
      <c r="O1057" s="37">
        <f t="shared" si="115"/>
        <v>-122664.88</v>
      </c>
      <c r="P1057" s="37" t="e">
        <f>#REF!-M1057</f>
        <v>#REF!</v>
      </c>
      <c r="Q1057" s="37" t="e">
        <f>#REF!-N1057</f>
        <v>#REF!</v>
      </c>
      <c r="R1057" s="17" t="str">
        <f t="shared" si="111"/>
        <v>03 1 02 76270000</v>
      </c>
    </row>
    <row r="1058" spans="1:18" s="17" customFormat="1" ht="31.5">
      <c r="A1058" s="14"/>
      <c r="B1058" s="132" t="s">
        <v>493</v>
      </c>
      <c r="C1058" s="109" t="s">
        <v>595</v>
      </c>
      <c r="D1058" s="108" t="s">
        <v>317</v>
      </c>
      <c r="E1058" s="108" t="s">
        <v>73</v>
      </c>
      <c r="F1058" s="108" t="s">
        <v>678</v>
      </c>
      <c r="G1058" s="108" t="s">
        <v>494</v>
      </c>
      <c r="H1058" s="126">
        <f>H1059</f>
        <v>0</v>
      </c>
      <c r="L1058" s="37">
        <v>122664.88</v>
      </c>
      <c r="M1058" s="37">
        <v>122664.88</v>
      </c>
      <c r="N1058" s="37">
        <v>122664.88</v>
      </c>
      <c r="O1058" s="37">
        <f t="shared" si="115"/>
        <v>-122664.88</v>
      </c>
      <c r="P1058" s="37" t="e">
        <f>#REF!-M1058</f>
        <v>#REF!</v>
      </c>
      <c r="Q1058" s="37" t="e">
        <f>#REF!-N1058</f>
        <v>#REF!</v>
      </c>
      <c r="R1058" s="17" t="str">
        <f t="shared" si="111"/>
        <v>03 1 02 76270310</v>
      </c>
    </row>
    <row r="1059" spans="1:18" s="17" customFormat="1" ht="31.5">
      <c r="A1059" s="14"/>
      <c r="B1059" s="127" t="s">
        <v>495</v>
      </c>
      <c r="C1059" s="109" t="s">
        <v>595</v>
      </c>
      <c r="D1059" s="108" t="s">
        <v>317</v>
      </c>
      <c r="E1059" s="108" t="s">
        <v>73</v>
      </c>
      <c r="F1059" s="108" t="s">
        <v>678</v>
      </c>
      <c r="G1059" s="108" t="s">
        <v>496</v>
      </c>
      <c r="H1059" s="126"/>
      <c r="L1059" s="37"/>
      <c r="M1059" s="37"/>
      <c r="N1059" s="37"/>
      <c r="O1059" s="37"/>
      <c r="P1059" s="37"/>
      <c r="Q1059" s="37"/>
    </row>
    <row r="1060" spans="1:18" s="17" customFormat="1" ht="78.75">
      <c r="A1060" s="14" t="s">
        <v>80</v>
      </c>
      <c r="B1060" s="149" t="s">
        <v>679</v>
      </c>
      <c r="C1060" s="109" t="s">
        <v>595</v>
      </c>
      <c r="D1060" s="108" t="s">
        <v>317</v>
      </c>
      <c r="E1060" s="108" t="s">
        <v>73</v>
      </c>
      <c r="F1060" s="108" t="s">
        <v>680</v>
      </c>
      <c r="G1060" s="108" t="s">
        <v>9</v>
      </c>
      <c r="H1060" s="152">
        <f>H1061</f>
        <v>0</v>
      </c>
      <c r="L1060" s="37">
        <v>137735.54999999999</v>
      </c>
      <c r="M1060" s="37">
        <v>137735.54999999999</v>
      </c>
      <c r="N1060" s="37">
        <v>137735.54999999999</v>
      </c>
      <c r="O1060" s="37">
        <f>H1060-L1060</f>
        <v>-137735.54999999999</v>
      </c>
      <c r="P1060" s="37" t="e">
        <f>#REF!-M1060</f>
        <v>#REF!</v>
      </c>
      <c r="Q1060" s="37" t="e">
        <f>#REF!-N1060</f>
        <v>#REF!</v>
      </c>
      <c r="R1060" s="17" t="str">
        <f>CONCATENATE(F1060,G1060)</f>
        <v>03 1 02 R0840000</v>
      </c>
    </row>
    <row r="1061" spans="1:18" s="17" customFormat="1" ht="31.5">
      <c r="A1061" s="14"/>
      <c r="B1061" s="132" t="s">
        <v>493</v>
      </c>
      <c r="C1061" s="109" t="s">
        <v>595</v>
      </c>
      <c r="D1061" s="108" t="s">
        <v>317</v>
      </c>
      <c r="E1061" s="108" t="s">
        <v>73</v>
      </c>
      <c r="F1061" s="108" t="s">
        <v>680</v>
      </c>
      <c r="G1061" s="108" t="s">
        <v>494</v>
      </c>
      <c r="H1061" s="126">
        <f>H1062</f>
        <v>0</v>
      </c>
      <c r="L1061" s="37">
        <v>137735.54999999999</v>
      </c>
      <c r="M1061" s="37">
        <v>137735.54999999999</v>
      </c>
      <c r="N1061" s="37">
        <v>137735.54999999999</v>
      </c>
      <c r="O1061" s="37">
        <f>H1061-L1061</f>
        <v>-137735.54999999999</v>
      </c>
      <c r="P1061" s="37" t="e">
        <f>#REF!-M1061</f>
        <v>#REF!</v>
      </c>
      <c r="Q1061" s="37" t="e">
        <f>#REF!-N1061</f>
        <v>#REF!</v>
      </c>
      <c r="R1061" s="17" t="str">
        <f>CONCATENATE(F1061,G1061)</f>
        <v>03 1 02 R0840310</v>
      </c>
    </row>
    <row r="1062" spans="1:18" s="17" customFormat="1" ht="31.5">
      <c r="A1062" s="14"/>
      <c r="B1062" s="127" t="s">
        <v>495</v>
      </c>
      <c r="C1062" s="109" t="s">
        <v>595</v>
      </c>
      <c r="D1062" s="108" t="s">
        <v>317</v>
      </c>
      <c r="E1062" s="108" t="s">
        <v>73</v>
      </c>
      <c r="F1062" s="108" t="s">
        <v>680</v>
      </c>
      <c r="G1062" s="108" t="s">
        <v>496</v>
      </c>
      <c r="H1062" s="126"/>
      <c r="L1062" s="37"/>
      <c r="M1062" s="37"/>
      <c r="N1062" s="37"/>
      <c r="O1062" s="37"/>
      <c r="P1062" s="37"/>
      <c r="Q1062" s="37"/>
    </row>
    <row r="1063" spans="1:18" s="45" customFormat="1" ht="15.75">
      <c r="A1063" s="44"/>
      <c r="B1063" s="121" t="s">
        <v>681</v>
      </c>
      <c r="C1063" s="122" t="s">
        <v>595</v>
      </c>
      <c r="D1063" s="123" t="s">
        <v>317</v>
      </c>
      <c r="E1063" s="123" t="s">
        <v>334</v>
      </c>
      <c r="F1063" s="123" t="s">
        <v>8</v>
      </c>
      <c r="G1063" s="123" t="s">
        <v>9</v>
      </c>
      <c r="H1063" s="124" t="e">
        <f>H1064+H1087</f>
        <v>#REF!</v>
      </c>
      <c r="L1063" s="19">
        <v>68005.930000000008</v>
      </c>
      <c r="M1063" s="19">
        <v>67997.600000000006</v>
      </c>
      <c r="N1063" s="19">
        <v>68035.66</v>
      </c>
      <c r="O1063" s="19" t="e">
        <f t="shared" ref="O1063:O1068" si="116">H1063-L1063</f>
        <v>#REF!</v>
      </c>
      <c r="P1063" s="19" t="e">
        <f>#REF!-M1063</f>
        <v>#REF!</v>
      </c>
      <c r="Q1063" s="19" t="e">
        <f>#REF!-N1063</f>
        <v>#REF!</v>
      </c>
      <c r="R1063" s="17" t="str">
        <f t="shared" si="111"/>
        <v>00 0 00 00000000</v>
      </c>
    </row>
    <row r="1064" spans="1:18" s="17" customFormat="1" ht="31.5">
      <c r="A1064" s="14"/>
      <c r="B1064" s="135" t="s">
        <v>385</v>
      </c>
      <c r="C1064" s="109" t="s">
        <v>595</v>
      </c>
      <c r="D1064" s="108" t="s">
        <v>317</v>
      </c>
      <c r="E1064" s="108" t="s">
        <v>334</v>
      </c>
      <c r="F1064" s="108" t="s">
        <v>386</v>
      </c>
      <c r="G1064" s="108" t="s">
        <v>9</v>
      </c>
      <c r="H1064" s="152" t="e">
        <f>H1071+H1076+H1065</f>
        <v>#REF!</v>
      </c>
      <c r="L1064" s="37">
        <v>5561.92</v>
      </c>
      <c r="M1064" s="37">
        <v>5561.92</v>
      </c>
      <c r="N1064" s="37">
        <v>5561.92</v>
      </c>
      <c r="O1064" s="37" t="e">
        <f t="shared" si="116"/>
        <v>#REF!</v>
      </c>
      <c r="P1064" s="37" t="e">
        <f>#REF!-M1064</f>
        <v>#REF!</v>
      </c>
      <c r="Q1064" s="37" t="e">
        <f>#REF!-N1064</f>
        <v>#REF!</v>
      </c>
      <c r="R1064" s="17" t="str">
        <f t="shared" si="111"/>
        <v>03 0 00 00000000</v>
      </c>
    </row>
    <row r="1065" spans="1:18" s="4" customFormat="1" ht="47.25">
      <c r="A1065" s="1" t="s">
        <v>682</v>
      </c>
      <c r="B1065" s="147" t="s">
        <v>596</v>
      </c>
      <c r="C1065" s="109" t="s">
        <v>595</v>
      </c>
      <c r="D1065" s="108" t="s">
        <v>317</v>
      </c>
      <c r="E1065" s="108" t="s">
        <v>334</v>
      </c>
      <c r="F1065" s="108" t="s">
        <v>597</v>
      </c>
      <c r="G1065" s="108" t="s">
        <v>9</v>
      </c>
      <c r="H1065" s="152">
        <f>H1066</f>
        <v>0</v>
      </c>
      <c r="L1065" s="37">
        <v>2546</v>
      </c>
      <c r="M1065" s="37">
        <v>2546</v>
      </c>
      <c r="N1065" s="37">
        <v>2546</v>
      </c>
      <c r="O1065" s="37">
        <f t="shared" si="116"/>
        <v>-2546</v>
      </c>
      <c r="P1065" s="37" t="e">
        <f>#REF!-M1065</f>
        <v>#REF!</v>
      </c>
      <c r="Q1065" s="37" t="e">
        <f>#REF!-N1065</f>
        <v>#REF!</v>
      </c>
      <c r="R1065" s="17" t="str">
        <f>CONCATENATE(F1065,G1065)</f>
        <v>03 1 00 00000 000</v>
      </c>
    </row>
    <row r="1066" spans="1:18" s="4" customFormat="1" ht="47.25">
      <c r="A1066" s="1"/>
      <c r="B1066" s="148" t="s">
        <v>599</v>
      </c>
      <c r="C1066" s="109" t="s">
        <v>595</v>
      </c>
      <c r="D1066" s="108" t="s">
        <v>317</v>
      </c>
      <c r="E1066" s="108" t="s">
        <v>334</v>
      </c>
      <c r="F1066" s="108" t="s">
        <v>600</v>
      </c>
      <c r="G1066" s="108" t="s">
        <v>9</v>
      </c>
      <c r="H1066" s="152">
        <f>H1067</f>
        <v>0</v>
      </c>
      <c r="L1066" s="37">
        <v>2546</v>
      </c>
      <c r="M1066" s="37">
        <v>2546</v>
      </c>
      <c r="N1066" s="37">
        <v>2546</v>
      </c>
      <c r="O1066" s="37">
        <f t="shared" si="116"/>
        <v>-2546</v>
      </c>
      <c r="P1066" s="37" t="e">
        <f>#REF!-M1066</f>
        <v>#REF!</v>
      </c>
      <c r="Q1066" s="37" t="e">
        <f>#REF!-N1066</f>
        <v>#REF!</v>
      </c>
      <c r="R1066" s="17" t="str">
        <f>CONCATENATE(F1066,G1066)</f>
        <v>03 1 01 00000 000</v>
      </c>
    </row>
    <row r="1067" spans="1:18" s="4" customFormat="1" ht="47.25">
      <c r="A1067" s="1"/>
      <c r="B1067" s="135" t="s">
        <v>603</v>
      </c>
      <c r="C1067" s="109" t="s">
        <v>595</v>
      </c>
      <c r="D1067" s="108" t="s">
        <v>317</v>
      </c>
      <c r="E1067" s="108" t="s">
        <v>334</v>
      </c>
      <c r="F1067" s="108" t="s">
        <v>604</v>
      </c>
      <c r="G1067" s="108" t="s">
        <v>9</v>
      </c>
      <c r="H1067" s="152">
        <f>H1068</f>
        <v>0</v>
      </c>
      <c r="L1067" s="37">
        <v>2546</v>
      </c>
      <c r="M1067" s="37">
        <v>2546</v>
      </c>
      <c r="N1067" s="37">
        <v>2546</v>
      </c>
      <c r="O1067" s="37">
        <f t="shared" si="116"/>
        <v>-2546</v>
      </c>
      <c r="P1067" s="37" t="e">
        <f>#REF!-M1067</f>
        <v>#REF!</v>
      </c>
      <c r="Q1067" s="37" t="e">
        <f>#REF!-N1067</f>
        <v>#REF!</v>
      </c>
      <c r="R1067" s="17" t="str">
        <f>CONCATENATE(F1067,G1067)</f>
        <v>03 1 01 52500000</v>
      </c>
    </row>
    <row r="1068" spans="1:18" s="4" customFormat="1" ht="31.5">
      <c r="A1068" s="1"/>
      <c r="B1068" s="125" t="s">
        <v>20</v>
      </c>
      <c r="C1068" s="109" t="s">
        <v>595</v>
      </c>
      <c r="D1068" s="108" t="s">
        <v>317</v>
      </c>
      <c r="E1068" s="108" t="s">
        <v>334</v>
      </c>
      <c r="F1068" s="108" t="s">
        <v>604</v>
      </c>
      <c r="G1068" s="108" t="s">
        <v>21</v>
      </c>
      <c r="H1068" s="126">
        <f>SUM(H1069:H1070)</f>
        <v>0</v>
      </c>
      <c r="L1068" s="37">
        <v>2546</v>
      </c>
      <c r="M1068" s="37">
        <v>2546</v>
      </c>
      <c r="N1068" s="37">
        <v>2546</v>
      </c>
      <c r="O1068" s="37">
        <f t="shared" si="116"/>
        <v>-2546</v>
      </c>
      <c r="P1068" s="37" t="e">
        <f>#REF!-M1068</f>
        <v>#REF!</v>
      </c>
      <c r="Q1068" s="37" t="e">
        <f>#REF!-N1068</f>
        <v>#REF!</v>
      </c>
      <c r="R1068" s="17" t="str">
        <f>CONCATENATE(F1068,G1068)</f>
        <v>03 1 01 52500120</v>
      </c>
    </row>
    <row r="1069" spans="1:18" s="41" customFormat="1" ht="31.5">
      <c r="A1069" s="40"/>
      <c r="B1069" s="127" t="s">
        <v>40</v>
      </c>
      <c r="C1069" s="109" t="s">
        <v>595</v>
      </c>
      <c r="D1069" s="108" t="s">
        <v>317</v>
      </c>
      <c r="E1069" s="108" t="s">
        <v>334</v>
      </c>
      <c r="F1069" s="108" t="s">
        <v>604</v>
      </c>
      <c r="G1069" s="108" t="s">
        <v>41</v>
      </c>
      <c r="H1069" s="126"/>
      <c r="L1069" s="38"/>
      <c r="M1069" s="38"/>
      <c r="N1069" s="38"/>
      <c r="O1069" s="38"/>
      <c r="P1069" s="38"/>
      <c r="Q1069" s="38"/>
      <c r="R1069" s="24"/>
    </row>
    <row r="1070" spans="1:18" s="41" customFormat="1" ht="63">
      <c r="A1070" s="40"/>
      <c r="B1070" s="127" t="s">
        <v>26</v>
      </c>
      <c r="C1070" s="109" t="s">
        <v>595</v>
      </c>
      <c r="D1070" s="108" t="s">
        <v>317</v>
      </c>
      <c r="E1070" s="108" t="s">
        <v>334</v>
      </c>
      <c r="F1070" s="108" t="s">
        <v>604</v>
      </c>
      <c r="G1070" s="108" t="s">
        <v>27</v>
      </c>
      <c r="H1070" s="126"/>
      <c r="L1070" s="38"/>
      <c r="M1070" s="38"/>
      <c r="N1070" s="38"/>
      <c r="O1070" s="38"/>
      <c r="P1070" s="38"/>
      <c r="Q1070" s="38"/>
      <c r="R1070" s="24"/>
    </row>
    <row r="1071" spans="1:18" s="4" customFormat="1" ht="63">
      <c r="A1071" s="1"/>
      <c r="B1071" s="135" t="s">
        <v>387</v>
      </c>
      <c r="C1071" s="109" t="s">
        <v>595</v>
      </c>
      <c r="D1071" s="108" t="s">
        <v>317</v>
      </c>
      <c r="E1071" s="108" t="s">
        <v>334</v>
      </c>
      <c r="F1071" s="108" t="s">
        <v>388</v>
      </c>
      <c r="G1071" s="108" t="s">
        <v>9</v>
      </c>
      <c r="H1071" s="151">
        <f t="shared" ref="H1071:H1073" si="117">H1072</f>
        <v>0</v>
      </c>
      <c r="L1071" s="39">
        <v>1160.51</v>
      </c>
      <c r="M1071" s="39">
        <v>1160.51</v>
      </c>
      <c r="N1071" s="39">
        <v>1160.51</v>
      </c>
      <c r="O1071" s="39">
        <f>H1071-L1071</f>
        <v>-1160.51</v>
      </c>
      <c r="P1071" s="39" t="e">
        <f>#REF!-M1071</f>
        <v>#REF!</v>
      </c>
      <c r="Q1071" s="39" t="e">
        <f>#REF!-N1071</f>
        <v>#REF!</v>
      </c>
      <c r="R1071" s="17" t="str">
        <f t="shared" si="111"/>
        <v>03 2 00 00000000</v>
      </c>
    </row>
    <row r="1072" spans="1:18" s="4" customFormat="1" ht="31.5">
      <c r="A1072" s="1"/>
      <c r="B1072" s="135" t="s">
        <v>683</v>
      </c>
      <c r="C1072" s="109" t="s">
        <v>595</v>
      </c>
      <c r="D1072" s="108" t="s">
        <v>317</v>
      </c>
      <c r="E1072" s="108" t="s">
        <v>334</v>
      </c>
      <c r="F1072" s="108" t="s">
        <v>684</v>
      </c>
      <c r="G1072" s="108" t="s">
        <v>9</v>
      </c>
      <c r="H1072" s="151">
        <f t="shared" si="117"/>
        <v>0</v>
      </c>
      <c r="L1072" s="39">
        <v>1160.51</v>
      </c>
      <c r="M1072" s="39">
        <v>1160.51</v>
      </c>
      <c r="N1072" s="39">
        <v>1160.51</v>
      </c>
      <c r="O1072" s="39">
        <f>H1072-L1072</f>
        <v>-1160.51</v>
      </c>
      <c r="P1072" s="39" t="e">
        <f>#REF!-M1072</f>
        <v>#REF!</v>
      </c>
      <c r="Q1072" s="39" t="e">
        <f>#REF!-N1072</f>
        <v>#REF!</v>
      </c>
      <c r="R1072" s="17" t="str">
        <f t="shared" si="111"/>
        <v>03 2 07 00000000</v>
      </c>
    </row>
    <row r="1073" spans="1:18" s="4" customFormat="1" ht="31.5">
      <c r="A1073" s="1"/>
      <c r="B1073" s="135" t="s">
        <v>685</v>
      </c>
      <c r="C1073" s="109" t="s">
        <v>595</v>
      </c>
      <c r="D1073" s="108" t="s">
        <v>317</v>
      </c>
      <c r="E1073" s="108" t="s">
        <v>334</v>
      </c>
      <c r="F1073" s="108" t="s">
        <v>686</v>
      </c>
      <c r="G1073" s="108" t="s">
        <v>9</v>
      </c>
      <c r="H1073" s="151">
        <f t="shared" si="117"/>
        <v>0</v>
      </c>
      <c r="L1073" s="39">
        <v>1160.51</v>
      </c>
      <c r="M1073" s="39">
        <v>1160.51</v>
      </c>
      <c r="N1073" s="39">
        <v>1160.51</v>
      </c>
      <c r="O1073" s="39">
        <f>H1073-L1073</f>
        <v>-1160.51</v>
      </c>
      <c r="P1073" s="39" t="e">
        <f>#REF!-M1073</f>
        <v>#REF!</v>
      </c>
      <c r="Q1073" s="39" t="e">
        <f>#REF!-N1073</f>
        <v>#REF!</v>
      </c>
      <c r="R1073" s="17" t="str">
        <f t="shared" si="111"/>
        <v>03 2 07 60040000</v>
      </c>
    </row>
    <row r="1074" spans="1:18" s="4" customFormat="1" ht="47.25">
      <c r="A1074" s="1"/>
      <c r="B1074" s="135" t="s">
        <v>182</v>
      </c>
      <c r="C1074" s="109" t="s">
        <v>595</v>
      </c>
      <c r="D1074" s="108" t="s">
        <v>317</v>
      </c>
      <c r="E1074" s="108" t="s">
        <v>334</v>
      </c>
      <c r="F1074" s="108" t="s">
        <v>686</v>
      </c>
      <c r="G1074" s="108" t="s">
        <v>183</v>
      </c>
      <c r="H1074" s="126">
        <f>H1075</f>
        <v>0</v>
      </c>
      <c r="L1074" s="37">
        <v>1160.51</v>
      </c>
      <c r="M1074" s="37">
        <v>1160.51</v>
      </c>
      <c r="N1074" s="37">
        <v>1160.51</v>
      </c>
      <c r="O1074" s="37">
        <f>H1074-L1074</f>
        <v>-1160.51</v>
      </c>
      <c r="P1074" s="37" t="e">
        <f>#REF!-M1074</f>
        <v>#REF!</v>
      </c>
      <c r="Q1074" s="37" t="e">
        <f>#REF!-N1074</f>
        <v>#REF!</v>
      </c>
      <c r="R1074" s="17" t="str">
        <f t="shared" si="111"/>
        <v>03 2 07 60040630</v>
      </c>
    </row>
    <row r="1075" spans="1:18" s="4" customFormat="1" ht="110.25">
      <c r="A1075" s="1"/>
      <c r="B1075" s="127" t="s">
        <v>415</v>
      </c>
      <c r="C1075" s="109" t="s">
        <v>595</v>
      </c>
      <c r="D1075" s="108" t="s">
        <v>317</v>
      </c>
      <c r="E1075" s="108" t="s">
        <v>334</v>
      </c>
      <c r="F1075" s="108" t="s">
        <v>686</v>
      </c>
      <c r="G1075" s="108" t="s">
        <v>416</v>
      </c>
      <c r="H1075" s="126"/>
      <c r="L1075" s="37"/>
      <c r="M1075" s="37"/>
      <c r="N1075" s="37"/>
      <c r="O1075" s="37"/>
      <c r="P1075" s="37"/>
      <c r="Q1075" s="37"/>
      <c r="R1075" s="17"/>
    </row>
    <row r="1076" spans="1:18" s="4" customFormat="1" ht="15.75">
      <c r="A1076" s="1"/>
      <c r="B1076" s="135" t="s">
        <v>671</v>
      </c>
      <c r="C1076" s="109" t="s">
        <v>595</v>
      </c>
      <c r="D1076" s="108" t="s">
        <v>317</v>
      </c>
      <c r="E1076" s="108" t="s">
        <v>334</v>
      </c>
      <c r="F1076" s="108" t="s">
        <v>672</v>
      </c>
      <c r="G1076" s="108" t="s">
        <v>9</v>
      </c>
      <c r="H1076" s="152" t="e">
        <f>H1077</f>
        <v>#REF!</v>
      </c>
      <c r="L1076" s="37">
        <v>1855.4099999999999</v>
      </c>
      <c r="M1076" s="37">
        <v>1855.4099999999999</v>
      </c>
      <c r="N1076" s="37">
        <v>1855.4099999999999</v>
      </c>
      <c r="O1076" s="37" t="e">
        <f>H1076-L1076</f>
        <v>#REF!</v>
      </c>
      <c r="P1076" s="37" t="e">
        <f>#REF!-M1076</f>
        <v>#REF!</v>
      </c>
      <c r="Q1076" s="37" t="e">
        <f>#REF!-N1076</f>
        <v>#REF!</v>
      </c>
      <c r="R1076" s="17" t="str">
        <f t="shared" si="111"/>
        <v>03 3 00 00000000</v>
      </c>
    </row>
    <row r="1077" spans="1:18" s="4" customFormat="1" ht="47.25">
      <c r="A1077" s="1"/>
      <c r="B1077" s="135" t="s">
        <v>673</v>
      </c>
      <c r="C1077" s="109" t="s">
        <v>595</v>
      </c>
      <c r="D1077" s="108" t="s">
        <v>317</v>
      </c>
      <c r="E1077" s="108" t="s">
        <v>334</v>
      </c>
      <c r="F1077" s="108" t="s">
        <v>674</v>
      </c>
      <c r="G1077" s="108" t="s">
        <v>9</v>
      </c>
      <c r="H1077" s="152" t="e">
        <f>H1078+H1084</f>
        <v>#REF!</v>
      </c>
      <c r="L1077" s="37">
        <v>1855.4099999999999</v>
      </c>
      <c r="M1077" s="37">
        <v>1855.4099999999999</v>
      </c>
      <c r="N1077" s="37">
        <v>1855.4099999999999</v>
      </c>
      <c r="O1077" s="37" t="e">
        <f>H1077-L1077</f>
        <v>#REF!</v>
      </c>
      <c r="P1077" s="37" t="e">
        <f>#REF!-M1077</f>
        <v>#REF!</v>
      </c>
      <c r="Q1077" s="37" t="e">
        <f>#REF!-N1077</f>
        <v>#REF!</v>
      </c>
      <c r="R1077" s="17" t="str">
        <f t="shared" si="111"/>
        <v>03 3 01 00000000</v>
      </c>
    </row>
    <row r="1078" spans="1:18" s="4" customFormat="1" ht="47.25">
      <c r="A1078" s="1"/>
      <c r="B1078" s="135" t="s">
        <v>675</v>
      </c>
      <c r="C1078" s="109" t="s">
        <v>595</v>
      </c>
      <c r="D1078" s="108" t="s">
        <v>317</v>
      </c>
      <c r="E1078" s="108" t="s">
        <v>334</v>
      </c>
      <c r="F1078" s="108" t="s">
        <v>676</v>
      </c>
      <c r="G1078" s="108" t="s">
        <v>9</v>
      </c>
      <c r="H1078" s="152" t="e">
        <f>H1079+H1081</f>
        <v>#REF!</v>
      </c>
      <c r="L1078" s="37">
        <v>103.55</v>
      </c>
      <c r="M1078" s="37">
        <v>103.55</v>
      </c>
      <c r="N1078" s="37">
        <v>103.55</v>
      </c>
      <c r="O1078" s="37" t="e">
        <f>H1078-L1078</f>
        <v>#REF!</v>
      </c>
      <c r="P1078" s="37" t="e">
        <f>#REF!-M1078</f>
        <v>#REF!</v>
      </c>
      <c r="Q1078" s="37" t="e">
        <f>#REF!-N1078</f>
        <v>#REF!</v>
      </c>
      <c r="R1078" s="17" t="str">
        <f t="shared" si="111"/>
        <v>03 3 01 20530000</v>
      </c>
    </row>
    <row r="1079" spans="1:18" s="4" customFormat="1" ht="31.5">
      <c r="A1079" s="1"/>
      <c r="B1079" s="125" t="s">
        <v>28</v>
      </c>
      <c r="C1079" s="109" t="s">
        <v>595</v>
      </c>
      <c r="D1079" s="108" t="s">
        <v>317</v>
      </c>
      <c r="E1079" s="108" t="s">
        <v>334</v>
      </c>
      <c r="F1079" s="108" t="s">
        <v>676</v>
      </c>
      <c r="G1079" s="108" t="s">
        <v>29</v>
      </c>
      <c r="H1079" s="126">
        <f>H1080</f>
        <v>0</v>
      </c>
      <c r="L1079" s="37">
        <v>68.69</v>
      </c>
      <c r="M1079" s="37">
        <v>68.69</v>
      </c>
      <c r="N1079" s="37">
        <v>68.69</v>
      </c>
      <c r="O1079" s="37">
        <f>H1079-L1079</f>
        <v>-68.69</v>
      </c>
      <c r="P1079" s="37" t="e">
        <f>#REF!-M1079</f>
        <v>#REF!</v>
      </c>
      <c r="Q1079" s="37" t="e">
        <f>#REF!-N1079</f>
        <v>#REF!</v>
      </c>
      <c r="R1079" s="17" t="str">
        <f t="shared" si="111"/>
        <v>03 3 01 20530240</v>
      </c>
    </row>
    <row r="1080" spans="1:18" s="4" customFormat="1" ht="15.75">
      <c r="A1080" s="1"/>
      <c r="B1080" s="125" t="s">
        <v>30</v>
      </c>
      <c r="C1080" s="109" t="s">
        <v>595</v>
      </c>
      <c r="D1080" s="108" t="s">
        <v>317</v>
      </c>
      <c r="E1080" s="108" t="s">
        <v>334</v>
      </c>
      <c r="F1080" s="108" t="s">
        <v>676</v>
      </c>
      <c r="G1080" s="108" t="s">
        <v>31</v>
      </c>
      <c r="H1080" s="126"/>
      <c r="L1080" s="37"/>
      <c r="M1080" s="37"/>
      <c r="N1080" s="37"/>
      <c r="O1080" s="37"/>
      <c r="P1080" s="37"/>
      <c r="Q1080" s="37"/>
      <c r="R1080" s="17"/>
    </row>
    <row r="1081" spans="1:18" s="4" customFormat="1" ht="15.75">
      <c r="A1081" s="1"/>
      <c r="B1081" s="125" t="s">
        <v>32</v>
      </c>
      <c r="C1081" s="109" t="s">
        <v>595</v>
      </c>
      <c r="D1081" s="108" t="s">
        <v>317</v>
      </c>
      <c r="E1081" s="108" t="s">
        <v>334</v>
      </c>
      <c r="F1081" s="108" t="s">
        <v>676</v>
      </c>
      <c r="G1081" s="108" t="s">
        <v>33</v>
      </c>
      <c r="H1081" s="126" t="e">
        <f>ROUND(#REF!*1000,2)</f>
        <v>#REF!</v>
      </c>
      <c r="L1081" s="37">
        <v>34.86</v>
      </c>
      <c r="M1081" s="37">
        <v>34.86</v>
      </c>
      <c r="N1081" s="37">
        <v>34.86</v>
      </c>
      <c r="O1081" s="37" t="e">
        <f>H1081-L1081</f>
        <v>#REF!</v>
      </c>
      <c r="P1081" s="37" t="e">
        <f>#REF!-M1081</f>
        <v>#REF!</v>
      </c>
      <c r="Q1081" s="37" t="e">
        <f>#REF!-N1081</f>
        <v>#REF!</v>
      </c>
      <c r="R1081" s="17" t="str">
        <f t="shared" si="111"/>
        <v>03 3 01 20530850</v>
      </c>
    </row>
    <row r="1082" spans="1:18" s="4" customFormat="1" ht="31.5">
      <c r="A1082" s="1"/>
      <c r="B1082" s="127" t="s">
        <v>34</v>
      </c>
      <c r="C1082" s="109" t="s">
        <v>595</v>
      </c>
      <c r="D1082" s="108" t="s">
        <v>317</v>
      </c>
      <c r="E1082" s="108" t="s">
        <v>334</v>
      </c>
      <c r="F1082" s="108" t="s">
        <v>676</v>
      </c>
      <c r="G1082" s="108" t="s">
        <v>35</v>
      </c>
      <c r="H1082" s="126"/>
      <c r="L1082" s="37"/>
      <c r="M1082" s="37"/>
      <c r="N1082" s="37"/>
      <c r="O1082" s="37"/>
      <c r="P1082" s="37"/>
      <c r="Q1082" s="37"/>
      <c r="R1082" s="17"/>
    </row>
    <row r="1083" spans="1:18" s="4" customFormat="1" ht="15.75">
      <c r="A1083" s="1"/>
      <c r="B1083" s="127" t="s">
        <v>36</v>
      </c>
      <c r="C1083" s="109" t="s">
        <v>595</v>
      </c>
      <c r="D1083" s="108" t="s">
        <v>317</v>
      </c>
      <c r="E1083" s="108" t="s">
        <v>334</v>
      </c>
      <c r="F1083" s="108" t="s">
        <v>676</v>
      </c>
      <c r="G1083" s="108" t="s">
        <v>37</v>
      </c>
      <c r="H1083" s="126"/>
      <c r="L1083" s="37"/>
      <c r="M1083" s="37"/>
      <c r="N1083" s="37"/>
      <c r="O1083" s="37"/>
      <c r="P1083" s="37"/>
      <c r="Q1083" s="37"/>
      <c r="R1083" s="17"/>
    </row>
    <row r="1084" spans="1:18" s="4" customFormat="1" ht="47.25">
      <c r="A1084" s="1"/>
      <c r="B1084" s="135" t="s">
        <v>687</v>
      </c>
      <c r="C1084" s="109" t="s">
        <v>595</v>
      </c>
      <c r="D1084" s="108" t="s">
        <v>317</v>
      </c>
      <c r="E1084" s="108" t="s">
        <v>334</v>
      </c>
      <c r="F1084" s="108" t="s">
        <v>688</v>
      </c>
      <c r="G1084" s="108" t="s">
        <v>9</v>
      </c>
      <c r="H1084" s="152">
        <f>H1085</f>
        <v>0</v>
      </c>
      <c r="L1084" s="37">
        <v>1751.86</v>
      </c>
      <c r="M1084" s="37">
        <v>1751.86</v>
      </c>
      <c r="N1084" s="37">
        <v>1751.86</v>
      </c>
      <c r="O1084" s="37">
        <f>H1084-L1084</f>
        <v>-1751.86</v>
      </c>
      <c r="P1084" s="37" t="e">
        <f>#REF!-M1084</f>
        <v>#REF!</v>
      </c>
      <c r="Q1084" s="37" t="e">
        <f>#REF!-N1084</f>
        <v>#REF!</v>
      </c>
      <c r="R1084" s="17" t="str">
        <f t="shared" si="111"/>
        <v>03 3 01 S0270000</v>
      </c>
    </row>
    <row r="1085" spans="1:18" s="4" customFormat="1" ht="31.5">
      <c r="A1085" s="1"/>
      <c r="B1085" s="135" t="s">
        <v>28</v>
      </c>
      <c r="C1085" s="109" t="s">
        <v>595</v>
      </c>
      <c r="D1085" s="108" t="s">
        <v>317</v>
      </c>
      <c r="E1085" s="108" t="s">
        <v>334</v>
      </c>
      <c r="F1085" s="108" t="s">
        <v>688</v>
      </c>
      <c r="G1085" s="108" t="s">
        <v>29</v>
      </c>
      <c r="H1085" s="126">
        <f>H1086</f>
        <v>0</v>
      </c>
      <c r="L1085" s="37">
        <v>1751.86</v>
      </c>
      <c r="M1085" s="37">
        <v>1751.86</v>
      </c>
      <c r="N1085" s="37">
        <v>1751.86</v>
      </c>
      <c r="O1085" s="37">
        <f>H1085-L1085</f>
        <v>-1751.86</v>
      </c>
      <c r="P1085" s="37" t="e">
        <f>#REF!-M1085</f>
        <v>#REF!</v>
      </c>
      <c r="Q1085" s="37" t="e">
        <f>#REF!-N1085</f>
        <v>#REF!</v>
      </c>
      <c r="R1085" s="17" t="str">
        <f t="shared" si="111"/>
        <v>03 3 01 S0270240</v>
      </c>
    </row>
    <row r="1086" spans="1:18" s="4" customFormat="1" ht="15.75">
      <c r="A1086" s="1"/>
      <c r="B1086" s="125" t="s">
        <v>30</v>
      </c>
      <c r="C1086" s="109" t="s">
        <v>595</v>
      </c>
      <c r="D1086" s="108" t="s">
        <v>317</v>
      </c>
      <c r="E1086" s="108" t="s">
        <v>334</v>
      </c>
      <c r="F1086" s="108" t="s">
        <v>688</v>
      </c>
      <c r="G1086" s="108" t="s">
        <v>31</v>
      </c>
      <c r="H1086" s="126"/>
      <c r="L1086" s="37"/>
      <c r="M1086" s="37"/>
      <c r="N1086" s="37"/>
      <c r="O1086" s="37"/>
      <c r="P1086" s="37"/>
      <c r="Q1086" s="37"/>
      <c r="R1086" s="17"/>
    </row>
    <row r="1087" spans="1:18" s="4" customFormat="1" ht="47.25">
      <c r="A1087" s="1"/>
      <c r="B1087" s="147" t="s">
        <v>689</v>
      </c>
      <c r="C1087" s="109" t="s">
        <v>595</v>
      </c>
      <c r="D1087" s="108" t="s">
        <v>317</v>
      </c>
      <c r="E1087" s="108" t="s">
        <v>334</v>
      </c>
      <c r="F1087" s="109" t="s">
        <v>690</v>
      </c>
      <c r="G1087" s="108" t="s">
        <v>9</v>
      </c>
      <c r="H1087" s="151">
        <f>H1088</f>
        <v>0</v>
      </c>
      <c r="L1087" s="39">
        <v>62444.01</v>
      </c>
      <c r="M1087" s="39">
        <v>62435.68</v>
      </c>
      <c r="N1087" s="39">
        <v>62473.740000000005</v>
      </c>
      <c r="O1087" s="39">
        <f>H1087-L1087</f>
        <v>-62444.01</v>
      </c>
      <c r="P1087" s="39" t="e">
        <f>#REF!-M1087</f>
        <v>#REF!</v>
      </c>
      <c r="Q1087" s="39" t="e">
        <f>#REF!-N1087</f>
        <v>#REF!</v>
      </c>
      <c r="R1087" s="17" t="str">
        <f t="shared" si="111"/>
        <v>77 0 00 00000000</v>
      </c>
    </row>
    <row r="1088" spans="1:18" s="4" customFormat="1" ht="47.25">
      <c r="A1088" s="1"/>
      <c r="B1088" s="147" t="s">
        <v>691</v>
      </c>
      <c r="C1088" s="109" t="s">
        <v>595</v>
      </c>
      <c r="D1088" s="108" t="s">
        <v>317</v>
      </c>
      <c r="E1088" s="108" t="s">
        <v>334</v>
      </c>
      <c r="F1088" s="109" t="s">
        <v>692</v>
      </c>
      <c r="G1088" s="108" t="s">
        <v>9</v>
      </c>
      <c r="H1088" s="151">
        <f>H1089+H1097+H1101+H1108</f>
        <v>0</v>
      </c>
      <c r="L1088" s="39">
        <v>62444.01</v>
      </c>
      <c r="M1088" s="39">
        <v>62435.68</v>
      </c>
      <c r="N1088" s="39">
        <v>62473.740000000005</v>
      </c>
      <c r="O1088" s="39">
        <f>H1088-L1088</f>
        <v>-62444.01</v>
      </c>
      <c r="P1088" s="39" t="e">
        <f>#REF!-M1088</f>
        <v>#REF!</v>
      </c>
      <c r="Q1088" s="39" t="e">
        <f>#REF!-N1088</f>
        <v>#REF!</v>
      </c>
      <c r="R1088" s="17" t="str">
        <f t="shared" si="111"/>
        <v>77 1 00 00000000</v>
      </c>
    </row>
    <row r="1089" spans="1:18" s="4" customFormat="1" ht="31.5">
      <c r="A1089" s="1"/>
      <c r="B1089" s="153" t="s">
        <v>18</v>
      </c>
      <c r="C1089" s="109" t="s">
        <v>595</v>
      </c>
      <c r="D1089" s="108" t="s">
        <v>317</v>
      </c>
      <c r="E1089" s="108" t="s">
        <v>334</v>
      </c>
      <c r="F1089" s="154" t="s">
        <v>693</v>
      </c>
      <c r="G1089" s="108" t="s">
        <v>9</v>
      </c>
      <c r="H1089" s="151">
        <f>H1090+H1093+H1095</f>
        <v>0</v>
      </c>
      <c r="L1089" s="39">
        <v>1377.6100000000001</v>
      </c>
      <c r="M1089" s="39">
        <v>1138.6100000000001</v>
      </c>
      <c r="N1089" s="39">
        <v>1138.6100000000001</v>
      </c>
      <c r="O1089" s="39">
        <f>H1089-L1089</f>
        <v>-1377.6100000000001</v>
      </c>
      <c r="P1089" s="39" t="e">
        <f>#REF!-M1089</f>
        <v>#REF!</v>
      </c>
      <c r="Q1089" s="39" t="e">
        <f>#REF!-N1089</f>
        <v>#REF!</v>
      </c>
      <c r="R1089" s="17" t="str">
        <f t="shared" si="111"/>
        <v>77 1 00 10010000</v>
      </c>
    </row>
    <row r="1090" spans="1:18" s="4" customFormat="1" ht="31.5">
      <c r="A1090" s="1"/>
      <c r="B1090" s="127" t="s">
        <v>20</v>
      </c>
      <c r="C1090" s="109" t="s">
        <v>595</v>
      </c>
      <c r="D1090" s="108" t="s">
        <v>317</v>
      </c>
      <c r="E1090" s="108" t="s">
        <v>334</v>
      </c>
      <c r="F1090" s="154" t="s">
        <v>693</v>
      </c>
      <c r="G1090" s="108" t="s">
        <v>21</v>
      </c>
      <c r="H1090" s="126">
        <f>SUM(H1091:H1092)</f>
        <v>0</v>
      </c>
      <c r="L1090" s="37">
        <v>144.04</v>
      </c>
      <c r="M1090" s="37">
        <v>144.04</v>
      </c>
      <c r="N1090" s="37">
        <v>144.04</v>
      </c>
      <c r="O1090" s="37">
        <f>H1090-L1090</f>
        <v>-144.04</v>
      </c>
      <c r="P1090" s="37" t="e">
        <f>#REF!-M1090</f>
        <v>#REF!</v>
      </c>
      <c r="Q1090" s="37" t="e">
        <f>#REF!-N1090</f>
        <v>#REF!</v>
      </c>
      <c r="R1090" s="17" t="str">
        <f t="shared" si="111"/>
        <v>77 1 00 10010120</v>
      </c>
    </row>
    <row r="1091" spans="1:18" s="41" customFormat="1" ht="47.25">
      <c r="A1091" s="40"/>
      <c r="B1091" s="127" t="s">
        <v>22</v>
      </c>
      <c r="C1091" s="109" t="s">
        <v>595</v>
      </c>
      <c r="D1091" s="108" t="s">
        <v>317</v>
      </c>
      <c r="E1091" s="108" t="s">
        <v>334</v>
      </c>
      <c r="F1091" s="154" t="s">
        <v>693</v>
      </c>
      <c r="G1091" s="108" t="s">
        <v>23</v>
      </c>
      <c r="H1091" s="126"/>
      <c r="L1091" s="38"/>
      <c r="M1091" s="38"/>
      <c r="N1091" s="38"/>
      <c r="O1091" s="38"/>
      <c r="P1091" s="38"/>
      <c r="Q1091" s="38"/>
      <c r="R1091" s="24"/>
    </row>
    <row r="1092" spans="1:18" s="41" customFormat="1" ht="63">
      <c r="A1092" s="40"/>
      <c r="B1092" s="127" t="s">
        <v>26</v>
      </c>
      <c r="C1092" s="109" t="s">
        <v>595</v>
      </c>
      <c r="D1092" s="108" t="s">
        <v>317</v>
      </c>
      <c r="E1092" s="108" t="s">
        <v>334</v>
      </c>
      <c r="F1092" s="154" t="s">
        <v>693</v>
      </c>
      <c r="G1092" s="108" t="s">
        <v>27</v>
      </c>
      <c r="H1092" s="126"/>
      <c r="L1092" s="38"/>
      <c r="M1092" s="38"/>
      <c r="N1092" s="38"/>
      <c r="O1092" s="38"/>
      <c r="P1092" s="38"/>
      <c r="Q1092" s="38"/>
      <c r="R1092" s="24"/>
    </row>
    <row r="1093" spans="1:18" s="4" customFormat="1" ht="31.5">
      <c r="A1093" s="1"/>
      <c r="B1093" s="125" t="s">
        <v>28</v>
      </c>
      <c r="C1093" s="109" t="s">
        <v>595</v>
      </c>
      <c r="D1093" s="108" t="s">
        <v>317</v>
      </c>
      <c r="E1093" s="108" t="s">
        <v>334</v>
      </c>
      <c r="F1093" s="154" t="s">
        <v>693</v>
      </c>
      <c r="G1093" s="108" t="s">
        <v>29</v>
      </c>
      <c r="H1093" s="126">
        <f>H1094</f>
        <v>0</v>
      </c>
      <c r="L1093" s="37">
        <v>1231.6300000000001</v>
      </c>
      <c r="M1093" s="37">
        <v>992.63</v>
      </c>
      <c r="N1093" s="37">
        <v>992.63</v>
      </c>
      <c r="O1093" s="37">
        <f>H1093-L1093</f>
        <v>-1231.6300000000001</v>
      </c>
      <c r="P1093" s="37" t="e">
        <f>#REF!-M1093</f>
        <v>#REF!</v>
      </c>
      <c r="Q1093" s="37" t="e">
        <f>#REF!-N1093</f>
        <v>#REF!</v>
      </c>
      <c r="R1093" s="17" t="str">
        <f t="shared" si="111"/>
        <v>77 1 00 10010240</v>
      </c>
    </row>
    <row r="1094" spans="1:18" s="4" customFormat="1" ht="15.75">
      <c r="A1094" s="1"/>
      <c r="B1094" s="125" t="s">
        <v>30</v>
      </c>
      <c r="C1094" s="109" t="s">
        <v>595</v>
      </c>
      <c r="D1094" s="108" t="s">
        <v>317</v>
      </c>
      <c r="E1094" s="108" t="s">
        <v>334</v>
      </c>
      <c r="F1094" s="154" t="s">
        <v>693</v>
      </c>
      <c r="G1094" s="108" t="s">
        <v>31</v>
      </c>
      <c r="H1094" s="126"/>
      <c r="L1094" s="37"/>
      <c r="M1094" s="37"/>
      <c r="N1094" s="37"/>
      <c r="O1094" s="37"/>
      <c r="P1094" s="37"/>
      <c r="Q1094" s="37"/>
      <c r="R1094" s="17"/>
    </row>
    <row r="1095" spans="1:18" s="4" customFormat="1" ht="15.75">
      <c r="A1095" s="1"/>
      <c r="B1095" s="125" t="s">
        <v>32</v>
      </c>
      <c r="C1095" s="109" t="s">
        <v>595</v>
      </c>
      <c r="D1095" s="108" t="s">
        <v>317</v>
      </c>
      <c r="E1095" s="108" t="s">
        <v>334</v>
      </c>
      <c r="F1095" s="154" t="s">
        <v>693</v>
      </c>
      <c r="G1095" s="108" t="s">
        <v>33</v>
      </c>
      <c r="H1095" s="126">
        <f>H1096</f>
        <v>0</v>
      </c>
      <c r="L1095" s="37">
        <v>1.94</v>
      </c>
      <c r="M1095" s="37">
        <v>1.94</v>
      </c>
      <c r="N1095" s="37">
        <v>1.94</v>
      </c>
      <c r="O1095" s="37">
        <f>H1095-L1095</f>
        <v>-1.94</v>
      </c>
      <c r="P1095" s="37" t="e">
        <f>#REF!-M1095</f>
        <v>#REF!</v>
      </c>
      <c r="Q1095" s="37" t="e">
        <f>#REF!-N1095</f>
        <v>#REF!</v>
      </c>
      <c r="R1095" s="17" t="str">
        <f t="shared" si="111"/>
        <v>77 1 00 10010850</v>
      </c>
    </row>
    <row r="1096" spans="1:18" s="41" customFormat="1" ht="15.75">
      <c r="A1096" s="40"/>
      <c r="B1096" s="127" t="s">
        <v>36</v>
      </c>
      <c r="C1096" s="109" t="s">
        <v>595</v>
      </c>
      <c r="D1096" s="108" t="s">
        <v>317</v>
      </c>
      <c r="E1096" s="108" t="s">
        <v>334</v>
      </c>
      <c r="F1096" s="154" t="s">
        <v>693</v>
      </c>
      <c r="G1096" s="108" t="s">
        <v>37</v>
      </c>
      <c r="H1096" s="126"/>
      <c r="L1096" s="38"/>
      <c r="M1096" s="38"/>
      <c r="N1096" s="38"/>
      <c r="O1096" s="38"/>
      <c r="P1096" s="38"/>
      <c r="Q1096" s="38"/>
      <c r="R1096" s="24"/>
    </row>
    <row r="1097" spans="1:18" s="4" customFormat="1" ht="31.5">
      <c r="A1097" s="1"/>
      <c r="B1097" s="153" t="s">
        <v>38</v>
      </c>
      <c r="C1097" s="109" t="s">
        <v>595</v>
      </c>
      <c r="D1097" s="108" t="s">
        <v>317</v>
      </c>
      <c r="E1097" s="108" t="s">
        <v>334</v>
      </c>
      <c r="F1097" s="154" t="s">
        <v>694</v>
      </c>
      <c r="G1097" s="108" t="s">
        <v>9</v>
      </c>
      <c r="H1097" s="151">
        <f>H1098</f>
        <v>0</v>
      </c>
      <c r="L1097" s="39">
        <v>6126.9500000000007</v>
      </c>
      <c r="M1097" s="39">
        <v>6126.9500000000007</v>
      </c>
      <c r="N1097" s="39">
        <v>6126.9500000000007</v>
      </c>
      <c r="O1097" s="39">
        <f>H1097-L1097</f>
        <v>-6126.9500000000007</v>
      </c>
      <c r="P1097" s="39" t="e">
        <f>#REF!-M1097</f>
        <v>#REF!</v>
      </c>
      <c r="Q1097" s="39" t="e">
        <f>#REF!-N1097</f>
        <v>#REF!</v>
      </c>
      <c r="R1097" s="17" t="str">
        <f t="shared" si="111"/>
        <v>77 1 00 10020000</v>
      </c>
    </row>
    <row r="1098" spans="1:18" s="4" customFormat="1" ht="31.5">
      <c r="A1098" s="1"/>
      <c r="B1098" s="127" t="s">
        <v>20</v>
      </c>
      <c r="C1098" s="109" t="s">
        <v>595</v>
      </c>
      <c r="D1098" s="108" t="s">
        <v>317</v>
      </c>
      <c r="E1098" s="108" t="s">
        <v>334</v>
      </c>
      <c r="F1098" s="154" t="s">
        <v>694</v>
      </c>
      <c r="G1098" s="108" t="s">
        <v>21</v>
      </c>
      <c r="H1098" s="126">
        <f>SUM(H1099:H1100)</f>
        <v>0</v>
      </c>
      <c r="L1098" s="37">
        <v>6126.9500000000007</v>
      </c>
      <c r="M1098" s="37">
        <v>6126.9500000000007</v>
      </c>
      <c r="N1098" s="37">
        <v>6126.9500000000007</v>
      </c>
      <c r="O1098" s="37">
        <f>H1098-L1098</f>
        <v>-6126.9500000000007</v>
      </c>
      <c r="P1098" s="37" t="e">
        <f>#REF!-M1098</f>
        <v>#REF!</v>
      </c>
      <c r="Q1098" s="37" t="e">
        <f>#REF!-N1098</f>
        <v>#REF!</v>
      </c>
      <c r="R1098" s="17" t="str">
        <f t="shared" si="111"/>
        <v>77 1 00 10020120</v>
      </c>
    </row>
    <row r="1099" spans="1:18" s="41" customFormat="1" ht="31.5">
      <c r="A1099" s="40"/>
      <c r="B1099" s="127" t="s">
        <v>40</v>
      </c>
      <c r="C1099" s="109" t="s">
        <v>595</v>
      </c>
      <c r="D1099" s="108" t="s">
        <v>317</v>
      </c>
      <c r="E1099" s="108" t="s">
        <v>334</v>
      </c>
      <c r="F1099" s="154" t="s">
        <v>694</v>
      </c>
      <c r="G1099" s="108" t="s">
        <v>41</v>
      </c>
      <c r="H1099" s="126"/>
      <c r="L1099" s="38"/>
      <c r="M1099" s="38"/>
      <c r="N1099" s="38"/>
      <c r="O1099" s="38"/>
      <c r="P1099" s="38"/>
      <c r="Q1099" s="38"/>
      <c r="R1099" s="24"/>
    </row>
    <row r="1100" spans="1:18" s="41" customFormat="1" ht="63">
      <c r="A1100" s="40"/>
      <c r="B1100" s="127" t="s">
        <v>26</v>
      </c>
      <c r="C1100" s="109" t="s">
        <v>595</v>
      </c>
      <c r="D1100" s="108" t="s">
        <v>317</v>
      </c>
      <c r="E1100" s="108" t="s">
        <v>334</v>
      </c>
      <c r="F1100" s="154" t="s">
        <v>694</v>
      </c>
      <c r="G1100" s="108" t="s">
        <v>27</v>
      </c>
      <c r="H1100" s="126"/>
      <c r="L1100" s="38"/>
      <c r="M1100" s="38"/>
      <c r="N1100" s="38"/>
      <c r="O1100" s="38"/>
      <c r="P1100" s="38"/>
      <c r="Q1100" s="38"/>
      <c r="R1100" s="24"/>
    </row>
    <row r="1101" spans="1:18" s="4" customFormat="1" ht="63">
      <c r="A1101" s="1" t="s">
        <v>80</v>
      </c>
      <c r="B1101" s="153" t="s">
        <v>695</v>
      </c>
      <c r="C1101" s="109" t="s">
        <v>595</v>
      </c>
      <c r="D1101" s="108" t="s">
        <v>317</v>
      </c>
      <c r="E1101" s="108" t="s">
        <v>334</v>
      </c>
      <c r="F1101" s="154" t="s">
        <v>696</v>
      </c>
      <c r="G1101" s="108" t="s">
        <v>9</v>
      </c>
      <c r="H1101" s="151">
        <f t="shared" ref="H1101" si="118">H1102+H1106</f>
        <v>0</v>
      </c>
      <c r="L1101" s="39">
        <v>1396.91</v>
      </c>
      <c r="M1101" s="39">
        <v>1396.91</v>
      </c>
      <c r="N1101" s="39">
        <v>1396.91</v>
      </c>
      <c r="O1101" s="39">
        <f>H1101-L1101</f>
        <v>-1396.91</v>
      </c>
      <c r="P1101" s="39" t="e">
        <f>#REF!-M1101</f>
        <v>#REF!</v>
      </c>
      <c r="Q1101" s="39" t="e">
        <f>#REF!-N1101</f>
        <v>#REF!</v>
      </c>
      <c r="R1101" s="17" t="str">
        <f t="shared" si="111"/>
        <v>77 1 00 76100000</v>
      </c>
    </row>
    <row r="1102" spans="1:18" s="4" customFormat="1" ht="31.5">
      <c r="A1102" s="1"/>
      <c r="B1102" s="127" t="s">
        <v>20</v>
      </c>
      <c r="C1102" s="109" t="s">
        <v>595</v>
      </c>
      <c r="D1102" s="108" t="s">
        <v>317</v>
      </c>
      <c r="E1102" s="108" t="s">
        <v>334</v>
      </c>
      <c r="F1102" s="154" t="s">
        <v>696</v>
      </c>
      <c r="G1102" s="108" t="s">
        <v>21</v>
      </c>
      <c r="H1102" s="126">
        <f>SUM(H1103:H1105)</f>
        <v>0</v>
      </c>
      <c r="L1102" s="37">
        <v>1193.94</v>
      </c>
      <c r="M1102" s="37">
        <v>1193.94</v>
      </c>
      <c r="N1102" s="37">
        <v>1193.94</v>
      </c>
      <c r="O1102" s="37">
        <f>H1102-L1102</f>
        <v>-1193.94</v>
      </c>
      <c r="P1102" s="37" t="e">
        <f>#REF!-M1102</f>
        <v>#REF!</v>
      </c>
      <c r="Q1102" s="37" t="e">
        <f>#REF!-N1102</f>
        <v>#REF!</v>
      </c>
      <c r="R1102" s="17" t="str">
        <f t="shared" si="111"/>
        <v>77 1 00 76100120</v>
      </c>
    </row>
    <row r="1103" spans="1:18" s="41" customFormat="1" ht="31.5">
      <c r="A1103" s="40"/>
      <c r="B1103" s="127" t="s">
        <v>40</v>
      </c>
      <c r="C1103" s="109" t="s">
        <v>595</v>
      </c>
      <c r="D1103" s="108" t="s">
        <v>317</v>
      </c>
      <c r="E1103" s="108" t="s">
        <v>334</v>
      </c>
      <c r="F1103" s="154" t="s">
        <v>696</v>
      </c>
      <c r="G1103" s="108" t="s">
        <v>41</v>
      </c>
      <c r="H1103" s="126"/>
      <c r="L1103" s="38"/>
      <c r="M1103" s="38"/>
      <c r="N1103" s="38"/>
      <c r="O1103" s="38"/>
      <c r="P1103" s="38"/>
      <c r="Q1103" s="38"/>
      <c r="R1103" s="24"/>
    </row>
    <row r="1104" spans="1:18" s="41" customFormat="1" ht="47.25">
      <c r="A1104" s="40"/>
      <c r="B1104" s="127" t="s">
        <v>22</v>
      </c>
      <c r="C1104" s="109" t="s">
        <v>595</v>
      </c>
      <c r="D1104" s="108" t="s">
        <v>317</v>
      </c>
      <c r="E1104" s="108" t="s">
        <v>334</v>
      </c>
      <c r="F1104" s="154" t="s">
        <v>696</v>
      </c>
      <c r="G1104" s="108" t="s">
        <v>23</v>
      </c>
      <c r="H1104" s="126"/>
      <c r="L1104" s="38"/>
      <c r="M1104" s="38"/>
      <c r="N1104" s="38"/>
      <c r="O1104" s="38"/>
      <c r="P1104" s="38"/>
      <c r="Q1104" s="38"/>
      <c r="R1104" s="24"/>
    </row>
    <row r="1105" spans="1:18" s="41" customFormat="1" ht="63">
      <c r="A1105" s="40"/>
      <c r="B1105" s="127" t="s">
        <v>26</v>
      </c>
      <c r="C1105" s="109" t="s">
        <v>595</v>
      </c>
      <c r="D1105" s="108" t="s">
        <v>317</v>
      </c>
      <c r="E1105" s="108" t="s">
        <v>334</v>
      </c>
      <c r="F1105" s="154" t="s">
        <v>696</v>
      </c>
      <c r="G1105" s="108" t="s">
        <v>27</v>
      </c>
      <c r="H1105" s="126"/>
      <c r="L1105" s="38"/>
      <c r="M1105" s="38"/>
      <c r="N1105" s="38"/>
      <c r="O1105" s="38"/>
      <c r="P1105" s="38"/>
      <c r="Q1105" s="38"/>
      <c r="R1105" s="24"/>
    </row>
    <row r="1106" spans="1:18" s="4" customFormat="1" ht="31.5">
      <c r="A1106" s="1"/>
      <c r="B1106" s="125" t="s">
        <v>28</v>
      </c>
      <c r="C1106" s="109" t="s">
        <v>595</v>
      </c>
      <c r="D1106" s="108" t="s">
        <v>317</v>
      </c>
      <c r="E1106" s="108" t="s">
        <v>334</v>
      </c>
      <c r="F1106" s="154" t="s">
        <v>696</v>
      </c>
      <c r="G1106" s="108" t="s">
        <v>29</v>
      </c>
      <c r="H1106" s="126">
        <f>H1107</f>
        <v>0</v>
      </c>
      <c r="L1106" s="37">
        <v>202.97</v>
      </c>
      <c r="M1106" s="37">
        <v>202.97</v>
      </c>
      <c r="N1106" s="37">
        <v>202.97</v>
      </c>
      <c r="O1106" s="37">
        <f>H1106-L1106</f>
        <v>-202.97</v>
      </c>
      <c r="P1106" s="37" t="e">
        <f>#REF!-M1106</f>
        <v>#REF!</v>
      </c>
      <c r="Q1106" s="37" t="e">
        <f>#REF!-N1106</f>
        <v>#REF!</v>
      </c>
      <c r="R1106" s="17" t="str">
        <f t="shared" si="111"/>
        <v>77 1 00 76100240</v>
      </c>
    </row>
    <row r="1107" spans="1:18" s="4" customFormat="1" ht="15.75">
      <c r="A1107" s="1"/>
      <c r="B1107" s="125" t="s">
        <v>30</v>
      </c>
      <c r="C1107" s="109" t="s">
        <v>595</v>
      </c>
      <c r="D1107" s="108" t="s">
        <v>317</v>
      </c>
      <c r="E1107" s="108" t="s">
        <v>334</v>
      </c>
      <c r="F1107" s="154" t="s">
        <v>696</v>
      </c>
      <c r="G1107" s="108" t="s">
        <v>31</v>
      </c>
      <c r="H1107" s="126"/>
      <c r="L1107" s="37"/>
      <c r="M1107" s="37"/>
      <c r="N1107" s="37"/>
      <c r="O1107" s="37"/>
      <c r="P1107" s="37"/>
      <c r="Q1107" s="37"/>
      <c r="R1107" s="17"/>
    </row>
    <row r="1108" spans="1:18" s="4" customFormat="1" ht="63">
      <c r="A1108" s="1" t="s">
        <v>80</v>
      </c>
      <c r="B1108" s="153" t="s">
        <v>697</v>
      </c>
      <c r="C1108" s="109" t="s">
        <v>595</v>
      </c>
      <c r="D1108" s="108" t="s">
        <v>317</v>
      </c>
      <c r="E1108" s="108" t="s">
        <v>334</v>
      </c>
      <c r="F1108" s="154" t="s">
        <v>698</v>
      </c>
      <c r="G1108" s="108" t="s">
        <v>9</v>
      </c>
      <c r="H1108" s="151">
        <f>H1109+H1113+H1115</f>
        <v>0</v>
      </c>
      <c r="L1108" s="39">
        <v>53542.54</v>
      </c>
      <c r="M1108" s="39">
        <v>53773.21</v>
      </c>
      <c r="N1108" s="39">
        <v>53811.270000000004</v>
      </c>
      <c r="O1108" s="39">
        <f>H1108-L1108</f>
        <v>-53542.54</v>
      </c>
      <c r="P1108" s="39" t="e">
        <f>#REF!-M1108</f>
        <v>#REF!</v>
      </c>
      <c r="Q1108" s="39" t="e">
        <f>#REF!-N1108</f>
        <v>#REF!</v>
      </c>
      <c r="R1108" s="17" t="str">
        <f t="shared" si="111"/>
        <v>77 1 00 76210000</v>
      </c>
    </row>
    <row r="1109" spans="1:18" s="4" customFormat="1" ht="31.5">
      <c r="A1109" s="1"/>
      <c r="B1109" s="127" t="s">
        <v>20</v>
      </c>
      <c r="C1109" s="109" t="s">
        <v>595</v>
      </c>
      <c r="D1109" s="108" t="s">
        <v>317</v>
      </c>
      <c r="E1109" s="108" t="s">
        <v>334</v>
      </c>
      <c r="F1109" s="154" t="s">
        <v>698</v>
      </c>
      <c r="G1109" s="108" t="s">
        <v>21</v>
      </c>
      <c r="H1109" s="126">
        <f>SUM(H1110:H1112)</f>
        <v>0</v>
      </c>
      <c r="L1109" s="37">
        <v>52040.04</v>
      </c>
      <c r="M1109" s="37">
        <v>52140.04</v>
      </c>
      <c r="N1109" s="37">
        <v>52140.04</v>
      </c>
      <c r="O1109" s="37">
        <f>H1109-L1109</f>
        <v>-52040.04</v>
      </c>
      <c r="P1109" s="37" t="e">
        <f>#REF!-M1109</f>
        <v>#REF!</v>
      </c>
      <c r="Q1109" s="37" t="e">
        <f>#REF!-N1109</f>
        <v>#REF!</v>
      </c>
      <c r="R1109" s="17" t="str">
        <f t="shared" si="111"/>
        <v>77 1 00 76210120</v>
      </c>
    </row>
    <row r="1110" spans="1:18" s="41" customFormat="1" ht="31.5">
      <c r="A1110" s="40"/>
      <c r="B1110" s="127" t="s">
        <v>40</v>
      </c>
      <c r="C1110" s="109" t="s">
        <v>595</v>
      </c>
      <c r="D1110" s="108" t="s">
        <v>317</v>
      </c>
      <c r="E1110" s="108" t="s">
        <v>334</v>
      </c>
      <c r="F1110" s="154" t="s">
        <v>698</v>
      </c>
      <c r="G1110" s="108" t="s">
        <v>41</v>
      </c>
      <c r="H1110" s="126"/>
      <c r="L1110" s="38"/>
      <c r="M1110" s="38"/>
      <c r="N1110" s="38"/>
      <c r="O1110" s="38"/>
      <c r="P1110" s="38"/>
      <c r="Q1110" s="38"/>
      <c r="R1110" s="24"/>
    </row>
    <row r="1111" spans="1:18" s="41" customFormat="1" ht="47.25">
      <c r="A1111" s="40"/>
      <c r="B1111" s="127" t="s">
        <v>22</v>
      </c>
      <c r="C1111" s="109" t="s">
        <v>595</v>
      </c>
      <c r="D1111" s="108" t="s">
        <v>317</v>
      </c>
      <c r="E1111" s="108" t="s">
        <v>334</v>
      </c>
      <c r="F1111" s="154" t="s">
        <v>698</v>
      </c>
      <c r="G1111" s="108" t="s">
        <v>23</v>
      </c>
      <c r="H1111" s="126"/>
      <c r="L1111" s="38"/>
      <c r="M1111" s="38"/>
      <c r="N1111" s="38"/>
      <c r="O1111" s="38"/>
      <c r="P1111" s="38"/>
      <c r="Q1111" s="38"/>
      <c r="R1111" s="24"/>
    </row>
    <row r="1112" spans="1:18" s="41" customFormat="1" ht="63">
      <c r="A1112" s="40"/>
      <c r="B1112" s="127" t="s">
        <v>26</v>
      </c>
      <c r="C1112" s="109" t="s">
        <v>595</v>
      </c>
      <c r="D1112" s="108" t="s">
        <v>317</v>
      </c>
      <c r="E1112" s="108" t="s">
        <v>334</v>
      </c>
      <c r="F1112" s="154" t="s">
        <v>698</v>
      </c>
      <c r="G1112" s="108" t="s">
        <v>27</v>
      </c>
      <c r="H1112" s="126"/>
      <c r="L1112" s="38"/>
      <c r="M1112" s="38"/>
      <c r="N1112" s="38"/>
      <c r="O1112" s="38"/>
      <c r="P1112" s="38"/>
      <c r="Q1112" s="38"/>
      <c r="R1112" s="24"/>
    </row>
    <row r="1113" spans="1:18" s="4" customFormat="1" ht="31.5">
      <c r="A1113" s="1"/>
      <c r="B1113" s="125" t="s">
        <v>28</v>
      </c>
      <c r="C1113" s="109" t="s">
        <v>595</v>
      </c>
      <c r="D1113" s="108" t="s">
        <v>317</v>
      </c>
      <c r="E1113" s="108" t="s">
        <v>334</v>
      </c>
      <c r="F1113" s="154" t="s">
        <v>698</v>
      </c>
      <c r="G1113" s="108" t="s">
        <v>29</v>
      </c>
      <c r="H1113" s="126">
        <f>H1114</f>
        <v>0</v>
      </c>
      <c r="L1113" s="37">
        <v>1400</v>
      </c>
      <c r="M1113" s="37">
        <v>1530.67</v>
      </c>
      <c r="N1113" s="37">
        <v>1568.73</v>
      </c>
      <c r="O1113" s="37">
        <f>H1113-L1113</f>
        <v>-1400</v>
      </c>
      <c r="P1113" s="37" t="e">
        <f>#REF!-M1113</f>
        <v>#REF!</v>
      </c>
      <c r="Q1113" s="37" t="e">
        <f>#REF!-N1113</f>
        <v>#REF!</v>
      </c>
      <c r="R1113" s="17" t="str">
        <f t="shared" ref="R1113:R1184" si="119">CONCATENATE(F1113,G1113)</f>
        <v>77 1 00 76210240</v>
      </c>
    </row>
    <row r="1114" spans="1:18" s="4" customFormat="1" ht="15.75">
      <c r="A1114" s="1"/>
      <c r="B1114" s="125" t="s">
        <v>30</v>
      </c>
      <c r="C1114" s="109" t="s">
        <v>595</v>
      </c>
      <c r="D1114" s="108" t="s">
        <v>317</v>
      </c>
      <c r="E1114" s="108" t="s">
        <v>334</v>
      </c>
      <c r="F1114" s="154" t="s">
        <v>698</v>
      </c>
      <c r="G1114" s="108" t="s">
        <v>31</v>
      </c>
      <c r="H1114" s="126"/>
      <c r="L1114" s="37"/>
      <c r="M1114" s="37"/>
      <c r="N1114" s="37"/>
      <c r="O1114" s="37"/>
      <c r="P1114" s="37"/>
      <c r="Q1114" s="37"/>
      <c r="R1114" s="17"/>
    </row>
    <row r="1115" spans="1:18" s="4" customFormat="1" ht="15.75">
      <c r="A1115" s="1"/>
      <c r="B1115" s="125" t="s">
        <v>32</v>
      </c>
      <c r="C1115" s="109" t="s">
        <v>595</v>
      </c>
      <c r="D1115" s="108" t="s">
        <v>317</v>
      </c>
      <c r="E1115" s="108" t="s">
        <v>334</v>
      </c>
      <c r="F1115" s="154" t="s">
        <v>698</v>
      </c>
      <c r="G1115" s="108" t="s">
        <v>33</v>
      </c>
      <c r="H1115" s="126">
        <f>SUM(H1116:H1117)</f>
        <v>0</v>
      </c>
      <c r="L1115" s="37">
        <v>102.5</v>
      </c>
      <c r="M1115" s="37">
        <v>102.5</v>
      </c>
      <c r="N1115" s="37">
        <v>102.5</v>
      </c>
      <c r="O1115" s="37">
        <f>H1115-L1115</f>
        <v>-102.5</v>
      </c>
      <c r="P1115" s="37" t="e">
        <f>#REF!-M1115</f>
        <v>#REF!</v>
      </c>
      <c r="Q1115" s="37" t="e">
        <f>#REF!-N1115</f>
        <v>#REF!</v>
      </c>
      <c r="R1115" s="17" t="str">
        <f t="shared" si="119"/>
        <v>77 1 00 76210850</v>
      </c>
    </row>
    <row r="1116" spans="1:18" s="41" customFormat="1" ht="31.5">
      <c r="A1116" s="40"/>
      <c r="B1116" s="127" t="s">
        <v>34</v>
      </c>
      <c r="C1116" s="109" t="s">
        <v>595</v>
      </c>
      <c r="D1116" s="108" t="s">
        <v>317</v>
      </c>
      <c r="E1116" s="108" t="s">
        <v>334</v>
      </c>
      <c r="F1116" s="154" t="s">
        <v>698</v>
      </c>
      <c r="G1116" s="108" t="s">
        <v>35</v>
      </c>
      <c r="H1116" s="126"/>
      <c r="L1116" s="38"/>
      <c r="M1116" s="38"/>
      <c r="N1116" s="38"/>
      <c r="O1116" s="38"/>
      <c r="P1116" s="38"/>
      <c r="Q1116" s="38"/>
      <c r="R1116" s="24"/>
    </row>
    <row r="1117" spans="1:18" s="41" customFormat="1" ht="15.75">
      <c r="A1117" s="40"/>
      <c r="B1117" s="127" t="s">
        <v>36</v>
      </c>
      <c r="C1117" s="109" t="s">
        <v>595</v>
      </c>
      <c r="D1117" s="108" t="s">
        <v>317</v>
      </c>
      <c r="E1117" s="108" t="s">
        <v>334</v>
      </c>
      <c r="F1117" s="154" t="s">
        <v>698</v>
      </c>
      <c r="G1117" s="108" t="s">
        <v>37</v>
      </c>
      <c r="H1117" s="126"/>
      <c r="L1117" s="38"/>
      <c r="M1117" s="38"/>
      <c r="N1117" s="38"/>
      <c r="O1117" s="38"/>
      <c r="P1117" s="38"/>
      <c r="Q1117" s="38"/>
      <c r="R1117" s="24"/>
    </row>
    <row r="1118" spans="1:18" s="4" customFormat="1" ht="15.75">
      <c r="A1118" s="1"/>
      <c r="B1118" s="125"/>
      <c r="C1118" s="109"/>
      <c r="D1118" s="108"/>
      <c r="E1118" s="108"/>
      <c r="F1118" s="154"/>
      <c r="G1118" s="108"/>
      <c r="H1118" s="152"/>
      <c r="L1118" s="37"/>
      <c r="M1118" s="37"/>
      <c r="N1118" s="37"/>
      <c r="O1118" s="37">
        <f t="shared" ref="O1118:O1126" si="120">H1118-L1118</f>
        <v>0</v>
      </c>
      <c r="P1118" s="37" t="e">
        <f>#REF!-M1118</f>
        <v>#REF!</v>
      </c>
      <c r="Q1118" s="37" t="e">
        <f>#REF!-N1118</f>
        <v>#REF!</v>
      </c>
      <c r="R1118" s="17" t="str">
        <f t="shared" si="119"/>
        <v/>
      </c>
    </row>
    <row r="1119" spans="1:18" s="16" customFormat="1" ht="31.5">
      <c r="A1119" s="14"/>
      <c r="B1119" s="67" t="s">
        <v>699</v>
      </c>
      <c r="C1119" s="116" t="s">
        <v>406</v>
      </c>
      <c r="D1119" s="69" t="s">
        <v>7</v>
      </c>
      <c r="E1119" s="69" t="s">
        <v>7</v>
      </c>
      <c r="F1119" s="69" t="s">
        <v>8</v>
      </c>
      <c r="G1119" s="69" t="s">
        <v>9</v>
      </c>
      <c r="H1119" s="70">
        <f>H1120+H1134</f>
        <v>0</v>
      </c>
      <c r="L1119" s="25">
        <v>189408.93999999997</v>
      </c>
      <c r="M1119" s="25">
        <v>186094.75999999998</v>
      </c>
      <c r="N1119" s="25">
        <v>186094.75999999998</v>
      </c>
      <c r="O1119" s="25">
        <f t="shared" si="120"/>
        <v>-189408.93999999997</v>
      </c>
      <c r="P1119" s="25" t="e">
        <f>#REF!-M1119</f>
        <v>#REF!</v>
      </c>
      <c r="Q1119" s="25" t="e">
        <f>#REF!-N1119</f>
        <v>#REF!</v>
      </c>
      <c r="R1119" s="17" t="str">
        <f t="shared" si="119"/>
        <v>00 0 00 00000000</v>
      </c>
    </row>
    <row r="1120" spans="1:18" s="16" customFormat="1" ht="15.75">
      <c r="A1120" s="14"/>
      <c r="B1120" s="117" t="s">
        <v>228</v>
      </c>
      <c r="C1120" s="118" t="s">
        <v>406</v>
      </c>
      <c r="D1120" s="119" t="s">
        <v>229</v>
      </c>
      <c r="E1120" s="119" t="s">
        <v>7</v>
      </c>
      <c r="F1120" s="119" t="s">
        <v>8</v>
      </c>
      <c r="G1120" s="119" t="s">
        <v>9</v>
      </c>
      <c r="H1120" s="120">
        <f>H1121</f>
        <v>0</v>
      </c>
      <c r="L1120" s="18">
        <v>153120.24999999997</v>
      </c>
      <c r="M1120" s="18">
        <v>151306.06999999998</v>
      </c>
      <c r="N1120" s="18">
        <v>151306.06999999998</v>
      </c>
      <c r="O1120" s="18">
        <f t="shared" si="120"/>
        <v>-153120.24999999997</v>
      </c>
      <c r="P1120" s="18" t="e">
        <f>#REF!-M1120</f>
        <v>#REF!</v>
      </c>
      <c r="Q1120" s="18" t="e">
        <f>#REF!-N1120</f>
        <v>#REF!</v>
      </c>
      <c r="R1120" s="17" t="str">
        <f t="shared" si="119"/>
        <v>00 0 00 00000000</v>
      </c>
    </row>
    <row r="1121" spans="1:18" s="16" customFormat="1" ht="15.75">
      <c r="A1121" s="14"/>
      <c r="B1121" s="121" t="s">
        <v>458</v>
      </c>
      <c r="C1121" s="122" t="s">
        <v>406</v>
      </c>
      <c r="D1121" s="123" t="s">
        <v>229</v>
      </c>
      <c r="E1121" s="123" t="s">
        <v>13</v>
      </c>
      <c r="F1121" s="123" t="s">
        <v>8</v>
      </c>
      <c r="G1121" s="123" t="s">
        <v>9</v>
      </c>
      <c r="H1121" s="124">
        <f>H1122+H1128</f>
        <v>0</v>
      </c>
      <c r="L1121" s="19">
        <v>153120.24999999997</v>
      </c>
      <c r="M1121" s="19">
        <v>151306.06999999998</v>
      </c>
      <c r="N1121" s="19">
        <v>151306.06999999998</v>
      </c>
      <c r="O1121" s="19">
        <f t="shared" si="120"/>
        <v>-153120.24999999997</v>
      </c>
      <c r="P1121" s="19" t="e">
        <f>#REF!-M1121</f>
        <v>#REF!</v>
      </c>
      <c r="Q1121" s="19" t="e">
        <f>#REF!-N1121</f>
        <v>#REF!</v>
      </c>
      <c r="R1121" s="17" t="str">
        <f t="shared" si="119"/>
        <v>00 0 00 00000000</v>
      </c>
    </row>
    <row r="1122" spans="1:18" s="16" customFormat="1" ht="31.5">
      <c r="A1122" s="14"/>
      <c r="B1122" s="125" t="s">
        <v>700</v>
      </c>
      <c r="C1122" s="109" t="s">
        <v>406</v>
      </c>
      <c r="D1122" s="108" t="s">
        <v>229</v>
      </c>
      <c r="E1122" s="108" t="s">
        <v>13</v>
      </c>
      <c r="F1122" s="108" t="s">
        <v>701</v>
      </c>
      <c r="G1122" s="108" t="s">
        <v>9</v>
      </c>
      <c r="H1122" s="126">
        <f t="shared" ref="H1122:H1125" si="121">H1123</f>
        <v>0</v>
      </c>
      <c r="L1122" s="20">
        <v>152886.69999999998</v>
      </c>
      <c r="M1122" s="20">
        <v>151072.51999999999</v>
      </c>
      <c r="N1122" s="20">
        <v>151072.51999999999</v>
      </c>
      <c r="O1122" s="20">
        <f t="shared" si="120"/>
        <v>-152886.69999999998</v>
      </c>
      <c r="P1122" s="20" t="e">
        <f>#REF!-M1122</f>
        <v>#REF!</v>
      </c>
      <c r="Q1122" s="20" t="e">
        <f>#REF!-N1122</f>
        <v>#REF!</v>
      </c>
      <c r="R1122" s="17" t="str">
        <f t="shared" si="119"/>
        <v>08 0 00 00000000</v>
      </c>
    </row>
    <row r="1123" spans="1:18" s="16" customFormat="1" ht="47.25">
      <c r="A1123" s="14"/>
      <c r="B1123" s="125" t="s">
        <v>702</v>
      </c>
      <c r="C1123" s="109" t="s">
        <v>406</v>
      </c>
      <c r="D1123" s="108" t="s">
        <v>229</v>
      </c>
      <c r="E1123" s="108" t="s">
        <v>13</v>
      </c>
      <c r="F1123" s="108" t="s">
        <v>703</v>
      </c>
      <c r="G1123" s="108" t="s">
        <v>9</v>
      </c>
      <c r="H1123" s="126">
        <f t="shared" si="121"/>
        <v>0</v>
      </c>
      <c r="L1123" s="20">
        <v>152886.69999999998</v>
      </c>
      <c r="M1123" s="20">
        <v>151072.51999999999</v>
      </c>
      <c r="N1123" s="20">
        <v>151072.51999999999</v>
      </c>
      <c r="O1123" s="20">
        <f t="shared" si="120"/>
        <v>-152886.69999999998</v>
      </c>
      <c r="P1123" s="20" t="e">
        <f>#REF!-M1123</f>
        <v>#REF!</v>
      </c>
      <c r="Q1123" s="20" t="e">
        <f>#REF!-N1123</f>
        <v>#REF!</v>
      </c>
      <c r="R1123" s="17" t="str">
        <f t="shared" si="119"/>
        <v>08 1 00 00000000</v>
      </c>
    </row>
    <row r="1124" spans="1:18" s="16" customFormat="1" ht="63">
      <c r="A1124" s="14"/>
      <c r="B1124" s="125" t="s">
        <v>704</v>
      </c>
      <c r="C1124" s="109" t="s">
        <v>406</v>
      </c>
      <c r="D1124" s="108" t="s">
        <v>229</v>
      </c>
      <c r="E1124" s="108" t="s">
        <v>13</v>
      </c>
      <c r="F1124" s="108" t="s">
        <v>705</v>
      </c>
      <c r="G1124" s="108" t="s">
        <v>9</v>
      </c>
      <c r="H1124" s="126">
        <f>H1125</f>
        <v>0</v>
      </c>
      <c r="L1124" s="20">
        <v>152886.69999999998</v>
      </c>
      <c r="M1124" s="20">
        <v>151072.51999999999</v>
      </c>
      <c r="N1124" s="20">
        <v>151072.51999999999</v>
      </c>
      <c r="O1124" s="20">
        <f t="shared" si="120"/>
        <v>-152886.69999999998</v>
      </c>
      <c r="P1124" s="20" t="e">
        <f>#REF!-M1124</f>
        <v>#REF!</v>
      </c>
      <c r="Q1124" s="20" t="e">
        <f>#REF!-N1124</f>
        <v>#REF!</v>
      </c>
      <c r="R1124" s="17" t="str">
        <f t="shared" si="119"/>
        <v>08 1 01 00000000</v>
      </c>
    </row>
    <row r="1125" spans="1:18" s="16" customFormat="1" ht="31.5">
      <c r="A1125" s="14"/>
      <c r="B1125" s="127" t="s">
        <v>136</v>
      </c>
      <c r="C1125" s="109" t="s">
        <v>406</v>
      </c>
      <c r="D1125" s="108" t="s">
        <v>229</v>
      </c>
      <c r="E1125" s="108" t="s">
        <v>13</v>
      </c>
      <c r="F1125" s="108" t="s">
        <v>706</v>
      </c>
      <c r="G1125" s="108" t="s">
        <v>9</v>
      </c>
      <c r="H1125" s="126">
        <f t="shared" si="121"/>
        <v>0</v>
      </c>
      <c r="L1125" s="20">
        <v>152886.69999999998</v>
      </c>
      <c r="M1125" s="20">
        <v>151072.51999999999</v>
      </c>
      <c r="N1125" s="20">
        <v>151072.51999999999</v>
      </c>
      <c r="O1125" s="20">
        <f t="shared" si="120"/>
        <v>-152886.69999999998</v>
      </c>
      <c r="P1125" s="20" t="e">
        <f>#REF!-M1125</f>
        <v>#REF!</v>
      </c>
      <c r="Q1125" s="20" t="e">
        <f>#REF!-N1125</f>
        <v>#REF!</v>
      </c>
      <c r="R1125" s="17" t="str">
        <f t="shared" si="119"/>
        <v>08 1 01 11010000</v>
      </c>
    </row>
    <row r="1126" spans="1:18" s="16" customFormat="1" ht="15.75">
      <c r="A1126" s="14"/>
      <c r="B1126" s="132" t="s">
        <v>403</v>
      </c>
      <c r="C1126" s="109" t="s">
        <v>406</v>
      </c>
      <c r="D1126" s="108" t="s">
        <v>229</v>
      </c>
      <c r="E1126" s="108" t="s">
        <v>13</v>
      </c>
      <c r="F1126" s="108" t="s">
        <v>706</v>
      </c>
      <c r="G1126" s="108" t="s">
        <v>404</v>
      </c>
      <c r="H1126" s="126">
        <f>H1127</f>
        <v>0</v>
      </c>
      <c r="L1126" s="20">
        <v>152886.69999999998</v>
      </c>
      <c r="M1126" s="20">
        <v>151072.51999999999</v>
      </c>
      <c r="N1126" s="20">
        <v>151072.51999999999</v>
      </c>
      <c r="O1126" s="20">
        <f t="shared" si="120"/>
        <v>-152886.69999999998</v>
      </c>
      <c r="P1126" s="20" t="e">
        <f>#REF!-M1126</f>
        <v>#REF!</v>
      </c>
      <c r="Q1126" s="20" t="e">
        <f>#REF!-N1126</f>
        <v>#REF!</v>
      </c>
      <c r="R1126" s="17" t="str">
        <f t="shared" si="119"/>
        <v>08 1 01 11010610</v>
      </c>
    </row>
    <row r="1127" spans="1:18" s="23" customFormat="1" ht="63">
      <c r="A1127" s="21"/>
      <c r="B1127" s="127" t="s">
        <v>405</v>
      </c>
      <c r="C1127" s="109" t="s">
        <v>406</v>
      </c>
      <c r="D1127" s="108" t="s">
        <v>229</v>
      </c>
      <c r="E1127" s="108" t="s">
        <v>13</v>
      </c>
      <c r="F1127" s="108" t="s">
        <v>706</v>
      </c>
      <c r="G1127" s="108" t="s">
        <v>406</v>
      </c>
      <c r="H1127" s="126"/>
      <c r="L1127" s="22"/>
      <c r="M1127" s="22"/>
      <c r="N1127" s="22"/>
      <c r="O1127" s="22"/>
      <c r="P1127" s="22"/>
      <c r="Q1127" s="22"/>
      <c r="R1127" s="24"/>
    </row>
    <row r="1128" spans="1:18" s="16" customFormat="1" ht="94.5">
      <c r="A1128" s="14"/>
      <c r="B1128" s="125" t="s">
        <v>420</v>
      </c>
      <c r="C1128" s="109" t="s">
        <v>406</v>
      </c>
      <c r="D1128" s="108" t="s">
        <v>229</v>
      </c>
      <c r="E1128" s="108" t="s">
        <v>13</v>
      </c>
      <c r="F1128" s="108" t="s">
        <v>421</v>
      </c>
      <c r="G1128" s="108" t="s">
        <v>9</v>
      </c>
      <c r="H1128" s="126">
        <f t="shared" ref="H1128:H1131" si="122">H1129</f>
        <v>0</v>
      </c>
      <c r="L1128" s="20">
        <v>233.55</v>
      </c>
      <c r="M1128" s="20">
        <v>233.55</v>
      </c>
      <c r="N1128" s="20">
        <v>233.55</v>
      </c>
      <c r="O1128" s="20">
        <f>H1128-L1128</f>
        <v>-233.55</v>
      </c>
      <c r="P1128" s="20" t="e">
        <f>#REF!-M1128</f>
        <v>#REF!</v>
      </c>
      <c r="Q1128" s="20" t="e">
        <f>#REF!-N1128</f>
        <v>#REF!</v>
      </c>
      <c r="R1128" s="17" t="str">
        <f t="shared" si="119"/>
        <v>16 0 00 00000000</v>
      </c>
    </row>
    <row r="1129" spans="1:18" s="16" customFormat="1" ht="31.5">
      <c r="A1129" s="14"/>
      <c r="B1129" s="125" t="s">
        <v>422</v>
      </c>
      <c r="C1129" s="109" t="s">
        <v>406</v>
      </c>
      <c r="D1129" s="108" t="s">
        <v>229</v>
      </c>
      <c r="E1129" s="108" t="s">
        <v>13</v>
      </c>
      <c r="F1129" s="108" t="s">
        <v>423</v>
      </c>
      <c r="G1129" s="108" t="s">
        <v>9</v>
      </c>
      <c r="H1129" s="126">
        <f t="shared" si="122"/>
        <v>0</v>
      </c>
      <c r="L1129" s="20">
        <v>233.55</v>
      </c>
      <c r="M1129" s="20">
        <v>233.55</v>
      </c>
      <c r="N1129" s="20">
        <v>233.55</v>
      </c>
      <c r="O1129" s="20">
        <f>H1129-L1129</f>
        <v>-233.55</v>
      </c>
      <c r="P1129" s="20" t="e">
        <f>#REF!-M1129</f>
        <v>#REF!</v>
      </c>
      <c r="Q1129" s="20" t="e">
        <f>#REF!-N1129</f>
        <v>#REF!</v>
      </c>
      <c r="R1129" s="17" t="str">
        <f t="shared" si="119"/>
        <v>16 2 00 00000000</v>
      </c>
    </row>
    <row r="1130" spans="1:18" s="16" customFormat="1" ht="47.25">
      <c r="A1130" s="14"/>
      <c r="B1130" s="125" t="s">
        <v>424</v>
      </c>
      <c r="C1130" s="109" t="s">
        <v>406</v>
      </c>
      <c r="D1130" s="108" t="s">
        <v>229</v>
      </c>
      <c r="E1130" s="108" t="s">
        <v>13</v>
      </c>
      <c r="F1130" s="108" t="s">
        <v>425</v>
      </c>
      <c r="G1130" s="108" t="s">
        <v>9</v>
      </c>
      <c r="H1130" s="126">
        <f t="shared" si="122"/>
        <v>0</v>
      </c>
      <c r="L1130" s="20">
        <v>233.55</v>
      </c>
      <c r="M1130" s="20">
        <v>233.55</v>
      </c>
      <c r="N1130" s="20">
        <v>233.55</v>
      </c>
      <c r="O1130" s="20">
        <f>H1130-L1130</f>
        <v>-233.55</v>
      </c>
      <c r="P1130" s="20" t="e">
        <f>#REF!-M1130</f>
        <v>#REF!</v>
      </c>
      <c r="Q1130" s="20" t="e">
        <f>#REF!-N1130</f>
        <v>#REF!</v>
      </c>
      <c r="R1130" s="17" t="str">
        <f t="shared" si="119"/>
        <v>16 2 02 00000000</v>
      </c>
    </row>
    <row r="1131" spans="1:18" s="16" customFormat="1" ht="47.25">
      <c r="A1131" s="14"/>
      <c r="B1131" s="125" t="s">
        <v>426</v>
      </c>
      <c r="C1131" s="109" t="s">
        <v>406</v>
      </c>
      <c r="D1131" s="108" t="s">
        <v>229</v>
      </c>
      <c r="E1131" s="108" t="s">
        <v>13</v>
      </c>
      <c r="F1131" s="108" t="s">
        <v>427</v>
      </c>
      <c r="G1131" s="108" t="s">
        <v>9</v>
      </c>
      <c r="H1131" s="126">
        <f t="shared" si="122"/>
        <v>0</v>
      </c>
      <c r="L1131" s="20">
        <v>233.55</v>
      </c>
      <c r="M1131" s="20">
        <v>233.55</v>
      </c>
      <c r="N1131" s="20">
        <v>233.55</v>
      </c>
      <c r="O1131" s="20">
        <f>H1131-L1131</f>
        <v>-233.55</v>
      </c>
      <c r="P1131" s="20" t="e">
        <f>#REF!-M1131</f>
        <v>#REF!</v>
      </c>
      <c r="Q1131" s="20" t="e">
        <f>#REF!-N1131</f>
        <v>#REF!</v>
      </c>
      <c r="R1131" s="17" t="str">
        <f t="shared" si="119"/>
        <v>16 2 02 20550000</v>
      </c>
    </row>
    <row r="1132" spans="1:18" s="16" customFormat="1" ht="15.75">
      <c r="A1132" s="14"/>
      <c r="B1132" s="132" t="s">
        <v>403</v>
      </c>
      <c r="C1132" s="109" t="s">
        <v>406</v>
      </c>
      <c r="D1132" s="108" t="s">
        <v>229</v>
      </c>
      <c r="E1132" s="108" t="s">
        <v>13</v>
      </c>
      <c r="F1132" s="108" t="s">
        <v>427</v>
      </c>
      <c r="G1132" s="108" t="s">
        <v>404</v>
      </c>
      <c r="H1132" s="126">
        <f>H1133</f>
        <v>0</v>
      </c>
      <c r="L1132" s="20">
        <v>233.55</v>
      </c>
      <c r="M1132" s="20">
        <v>233.55</v>
      </c>
      <c r="N1132" s="20">
        <v>233.55</v>
      </c>
      <c r="O1132" s="20">
        <f>H1132-L1132</f>
        <v>-233.55</v>
      </c>
      <c r="P1132" s="20" t="e">
        <f>#REF!-M1132</f>
        <v>#REF!</v>
      </c>
      <c r="Q1132" s="20" t="e">
        <f>#REF!-N1132</f>
        <v>#REF!</v>
      </c>
      <c r="R1132" s="17" t="str">
        <f t="shared" si="119"/>
        <v>16 2 02 20550610</v>
      </c>
    </row>
    <row r="1133" spans="1:18" s="16" customFormat="1" ht="15.75">
      <c r="A1133" s="14"/>
      <c r="B1133" s="127" t="s">
        <v>407</v>
      </c>
      <c r="C1133" s="109" t="s">
        <v>406</v>
      </c>
      <c r="D1133" s="108" t="s">
        <v>229</v>
      </c>
      <c r="E1133" s="108" t="s">
        <v>13</v>
      </c>
      <c r="F1133" s="108" t="s">
        <v>427</v>
      </c>
      <c r="G1133" s="108" t="s">
        <v>408</v>
      </c>
      <c r="H1133" s="126"/>
      <c r="L1133" s="20"/>
      <c r="M1133" s="20"/>
      <c r="N1133" s="20"/>
      <c r="O1133" s="20"/>
      <c r="P1133" s="20"/>
      <c r="Q1133" s="20"/>
      <c r="R1133" s="17"/>
    </row>
    <row r="1134" spans="1:18" s="16" customFormat="1" ht="15.75">
      <c r="A1134" s="14"/>
      <c r="B1134" s="117" t="s">
        <v>707</v>
      </c>
      <c r="C1134" s="118" t="s">
        <v>406</v>
      </c>
      <c r="D1134" s="119" t="s">
        <v>342</v>
      </c>
      <c r="E1134" s="119" t="s">
        <v>7</v>
      </c>
      <c r="F1134" s="119" t="s">
        <v>8</v>
      </c>
      <c r="G1134" s="119" t="s">
        <v>9</v>
      </c>
      <c r="H1134" s="120">
        <f>H1135+H1142+H1164+H1171</f>
        <v>0</v>
      </c>
      <c r="L1134" s="18">
        <v>36288.69</v>
      </c>
      <c r="M1134" s="18">
        <v>34788.69</v>
      </c>
      <c r="N1134" s="18">
        <v>34788.69</v>
      </c>
      <c r="O1134" s="18">
        <f t="shared" ref="O1134:O1140" si="123">H1134-L1134</f>
        <v>-36288.69</v>
      </c>
      <c r="P1134" s="18" t="e">
        <f>#REF!-M1134</f>
        <v>#REF!</v>
      </c>
      <c r="Q1134" s="18" t="e">
        <f>#REF!-N1134</f>
        <v>#REF!</v>
      </c>
      <c r="R1134" s="17" t="str">
        <f t="shared" si="119"/>
        <v>00 0 00 00000000</v>
      </c>
    </row>
    <row r="1135" spans="1:18" s="16" customFormat="1" ht="15.75">
      <c r="A1135" s="14"/>
      <c r="B1135" s="121" t="s">
        <v>708</v>
      </c>
      <c r="C1135" s="122" t="s">
        <v>406</v>
      </c>
      <c r="D1135" s="123" t="s">
        <v>342</v>
      </c>
      <c r="E1135" s="123" t="s">
        <v>11</v>
      </c>
      <c r="F1135" s="123" t="s">
        <v>8</v>
      </c>
      <c r="G1135" s="123" t="s">
        <v>9</v>
      </c>
      <c r="H1135" s="124">
        <f t="shared" ref="H1135:H1139" si="124">H1136</f>
        <v>0</v>
      </c>
      <c r="L1135" s="19">
        <v>2903.54</v>
      </c>
      <c r="M1135" s="19">
        <v>2903.54</v>
      </c>
      <c r="N1135" s="19">
        <v>2903.54</v>
      </c>
      <c r="O1135" s="19">
        <f t="shared" si="123"/>
        <v>-2903.54</v>
      </c>
      <c r="P1135" s="19" t="e">
        <f>#REF!-M1135</f>
        <v>#REF!</v>
      </c>
      <c r="Q1135" s="19" t="e">
        <f>#REF!-N1135</f>
        <v>#REF!</v>
      </c>
      <c r="R1135" s="17" t="str">
        <f t="shared" si="119"/>
        <v>00 0 00 00000000</v>
      </c>
    </row>
    <row r="1136" spans="1:18" s="16" customFormat="1" ht="31.5">
      <c r="A1136" s="14"/>
      <c r="B1136" s="125" t="s">
        <v>700</v>
      </c>
      <c r="C1136" s="109" t="s">
        <v>406</v>
      </c>
      <c r="D1136" s="108" t="s">
        <v>342</v>
      </c>
      <c r="E1136" s="108" t="s">
        <v>11</v>
      </c>
      <c r="F1136" s="108" t="s">
        <v>701</v>
      </c>
      <c r="G1136" s="108" t="s">
        <v>9</v>
      </c>
      <c r="H1136" s="126">
        <f t="shared" si="124"/>
        <v>0</v>
      </c>
      <c r="L1136" s="20">
        <v>2903.54</v>
      </c>
      <c r="M1136" s="20">
        <v>2903.54</v>
      </c>
      <c r="N1136" s="20">
        <v>2903.54</v>
      </c>
      <c r="O1136" s="20">
        <f t="shared" si="123"/>
        <v>-2903.54</v>
      </c>
      <c r="P1136" s="20" t="e">
        <f>#REF!-M1136</f>
        <v>#REF!</v>
      </c>
      <c r="Q1136" s="20" t="e">
        <f>#REF!-N1136</f>
        <v>#REF!</v>
      </c>
      <c r="R1136" s="17" t="str">
        <f t="shared" si="119"/>
        <v>08 0 00 00000000</v>
      </c>
    </row>
    <row r="1137" spans="1:18" s="16" customFormat="1" ht="47.25">
      <c r="A1137" s="14"/>
      <c r="B1137" s="125" t="s">
        <v>702</v>
      </c>
      <c r="C1137" s="109" t="s">
        <v>406</v>
      </c>
      <c r="D1137" s="108" t="s">
        <v>342</v>
      </c>
      <c r="E1137" s="108" t="s">
        <v>11</v>
      </c>
      <c r="F1137" s="108" t="s">
        <v>703</v>
      </c>
      <c r="G1137" s="108" t="s">
        <v>9</v>
      </c>
      <c r="H1137" s="126">
        <f>H1138</f>
        <v>0</v>
      </c>
      <c r="L1137" s="20">
        <v>2903.54</v>
      </c>
      <c r="M1137" s="20">
        <v>2903.54</v>
      </c>
      <c r="N1137" s="20">
        <v>2903.54</v>
      </c>
      <c r="O1137" s="20">
        <f t="shared" si="123"/>
        <v>-2903.54</v>
      </c>
      <c r="P1137" s="20" t="e">
        <f>#REF!-M1137</f>
        <v>#REF!</v>
      </c>
      <c r="Q1137" s="20" t="e">
        <f>#REF!-N1137</f>
        <v>#REF!</v>
      </c>
      <c r="R1137" s="17" t="str">
        <f t="shared" si="119"/>
        <v>08 1 00 00000000</v>
      </c>
    </row>
    <row r="1138" spans="1:18" s="16" customFormat="1" ht="31.5">
      <c r="A1138" s="14"/>
      <c r="B1138" s="129" t="s">
        <v>709</v>
      </c>
      <c r="C1138" s="130" t="s">
        <v>406</v>
      </c>
      <c r="D1138" s="131" t="s">
        <v>342</v>
      </c>
      <c r="E1138" s="131" t="s">
        <v>11</v>
      </c>
      <c r="F1138" s="131" t="s">
        <v>710</v>
      </c>
      <c r="G1138" s="131" t="s">
        <v>9</v>
      </c>
      <c r="H1138" s="105">
        <f>H1139</f>
        <v>0</v>
      </c>
      <c r="L1138" s="26">
        <v>2903.54</v>
      </c>
      <c r="M1138" s="26">
        <v>2903.54</v>
      </c>
      <c r="N1138" s="26">
        <v>2903.54</v>
      </c>
      <c r="O1138" s="26">
        <f t="shared" si="123"/>
        <v>-2903.54</v>
      </c>
      <c r="P1138" s="26" t="e">
        <f>#REF!-M1138</f>
        <v>#REF!</v>
      </c>
      <c r="Q1138" s="26" t="e">
        <f>#REF!-N1138</f>
        <v>#REF!</v>
      </c>
      <c r="R1138" s="17" t="str">
        <f t="shared" si="119"/>
        <v>08 1 02 00000000</v>
      </c>
    </row>
    <row r="1139" spans="1:18" s="16" customFormat="1" ht="31.5">
      <c r="A1139" s="14"/>
      <c r="B1139" s="127" t="s">
        <v>136</v>
      </c>
      <c r="C1139" s="130" t="s">
        <v>406</v>
      </c>
      <c r="D1139" s="131" t="s">
        <v>342</v>
      </c>
      <c r="E1139" s="131" t="s">
        <v>11</v>
      </c>
      <c r="F1139" s="131" t="s">
        <v>711</v>
      </c>
      <c r="G1139" s="131" t="s">
        <v>9</v>
      </c>
      <c r="H1139" s="105">
        <f t="shared" si="124"/>
        <v>0</v>
      </c>
      <c r="L1139" s="26">
        <v>2903.54</v>
      </c>
      <c r="M1139" s="26">
        <v>2903.54</v>
      </c>
      <c r="N1139" s="26">
        <v>2903.54</v>
      </c>
      <c r="O1139" s="26">
        <f t="shared" si="123"/>
        <v>-2903.54</v>
      </c>
      <c r="P1139" s="26" t="e">
        <f>#REF!-M1139</f>
        <v>#REF!</v>
      </c>
      <c r="Q1139" s="26" t="e">
        <f>#REF!-N1139</f>
        <v>#REF!</v>
      </c>
      <c r="R1139" s="17" t="str">
        <f t="shared" si="119"/>
        <v>08 1 02 11010000</v>
      </c>
    </row>
    <row r="1140" spans="1:18" s="16" customFormat="1" ht="15.75">
      <c r="A1140" s="14"/>
      <c r="B1140" s="132" t="s">
        <v>403</v>
      </c>
      <c r="C1140" s="130" t="s">
        <v>406</v>
      </c>
      <c r="D1140" s="131" t="s">
        <v>342</v>
      </c>
      <c r="E1140" s="131" t="s">
        <v>11</v>
      </c>
      <c r="F1140" s="131" t="s">
        <v>711</v>
      </c>
      <c r="G1140" s="131" t="s">
        <v>404</v>
      </c>
      <c r="H1140" s="126">
        <f>H1141</f>
        <v>0</v>
      </c>
      <c r="L1140" s="20">
        <v>2903.54</v>
      </c>
      <c r="M1140" s="20">
        <v>2903.54</v>
      </c>
      <c r="N1140" s="20">
        <v>2903.54</v>
      </c>
      <c r="O1140" s="20">
        <f t="shared" si="123"/>
        <v>-2903.54</v>
      </c>
      <c r="P1140" s="20" t="e">
        <f>#REF!-M1140</f>
        <v>#REF!</v>
      </c>
      <c r="Q1140" s="20" t="e">
        <f>#REF!-N1140</f>
        <v>#REF!</v>
      </c>
      <c r="R1140" s="17" t="str">
        <f t="shared" si="119"/>
        <v>08 1 02 11010610</v>
      </c>
    </row>
    <row r="1141" spans="1:18" s="23" customFormat="1" ht="63">
      <c r="A1141" s="21"/>
      <c r="B1141" s="127" t="s">
        <v>405</v>
      </c>
      <c r="C1141" s="130" t="s">
        <v>406</v>
      </c>
      <c r="D1141" s="131" t="s">
        <v>342</v>
      </c>
      <c r="E1141" s="131" t="s">
        <v>11</v>
      </c>
      <c r="F1141" s="131" t="s">
        <v>711</v>
      </c>
      <c r="G1141" s="108" t="s">
        <v>406</v>
      </c>
      <c r="H1141" s="126"/>
      <c r="L1141" s="22"/>
      <c r="M1141" s="22"/>
      <c r="N1141" s="22"/>
      <c r="O1141" s="22"/>
      <c r="P1141" s="22"/>
      <c r="Q1141" s="22"/>
      <c r="R1141" s="24"/>
    </row>
    <row r="1142" spans="1:18" s="16" customFormat="1" ht="15.75">
      <c r="A1142" s="14"/>
      <c r="B1142" s="121" t="s">
        <v>712</v>
      </c>
      <c r="C1142" s="122" t="s">
        <v>406</v>
      </c>
      <c r="D1142" s="123" t="s">
        <v>342</v>
      </c>
      <c r="E1142" s="123" t="s">
        <v>62</v>
      </c>
      <c r="F1142" s="123" t="s">
        <v>8</v>
      </c>
      <c r="G1142" s="123" t="s">
        <v>9</v>
      </c>
      <c r="H1142" s="124">
        <f>H1143</f>
        <v>0</v>
      </c>
      <c r="L1142" s="19">
        <v>14924</v>
      </c>
      <c r="M1142" s="19">
        <v>14924</v>
      </c>
      <c r="N1142" s="19">
        <v>14924</v>
      </c>
      <c r="O1142" s="19">
        <f t="shared" ref="O1142:O1147" si="125">H1142-L1142</f>
        <v>-14924</v>
      </c>
      <c r="P1142" s="19" t="e">
        <f>#REF!-M1142</f>
        <v>#REF!</v>
      </c>
      <c r="Q1142" s="19" t="e">
        <f>#REF!-N1142</f>
        <v>#REF!</v>
      </c>
      <c r="R1142" s="17" t="str">
        <f t="shared" si="119"/>
        <v>00 0 00 00000000</v>
      </c>
    </row>
    <row r="1143" spans="1:18" s="16" customFormat="1" ht="31.5">
      <c r="A1143" s="14"/>
      <c r="B1143" s="125" t="s">
        <v>700</v>
      </c>
      <c r="C1143" s="109" t="s">
        <v>406</v>
      </c>
      <c r="D1143" s="108" t="s">
        <v>342</v>
      </c>
      <c r="E1143" s="108" t="s">
        <v>62</v>
      </c>
      <c r="F1143" s="108" t="s">
        <v>701</v>
      </c>
      <c r="G1143" s="108" t="s">
        <v>9</v>
      </c>
      <c r="H1143" s="126">
        <f>H1144+H1149</f>
        <v>0</v>
      </c>
      <c r="L1143" s="20">
        <v>14924</v>
      </c>
      <c r="M1143" s="20">
        <v>14924</v>
      </c>
      <c r="N1143" s="20">
        <v>14924</v>
      </c>
      <c r="O1143" s="20">
        <f t="shared" si="125"/>
        <v>-14924</v>
      </c>
      <c r="P1143" s="20" t="e">
        <f>#REF!-M1143</f>
        <v>#REF!</v>
      </c>
      <c r="Q1143" s="20" t="e">
        <f>#REF!-N1143</f>
        <v>#REF!</v>
      </c>
      <c r="R1143" s="17" t="str">
        <f t="shared" si="119"/>
        <v>08 0 00 00000000</v>
      </c>
    </row>
    <row r="1144" spans="1:18" s="16" customFormat="1" ht="47.25">
      <c r="A1144" s="14"/>
      <c r="B1144" s="125" t="s">
        <v>702</v>
      </c>
      <c r="C1144" s="109" t="s">
        <v>406</v>
      </c>
      <c r="D1144" s="108" t="s">
        <v>342</v>
      </c>
      <c r="E1144" s="108" t="s">
        <v>62</v>
      </c>
      <c r="F1144" s="108" t="s">
        <v>703</v>
      </c>
      <c r="G1144" s="108" t="s">
        <v>9</v>
      </c>
      <c r="H1144" s="126">
        <f t="shared" ref="H1144" si="126">H1145</f>
        <v>0</v>
      </c>
      <c r="L1144" s="20">
        <v>9606.5</v>
      </c>
      <c r="M1144" s="20">
        <v>9606.5</v>
      </c>
      <c r="N1144" s="20">
        <v>9606.5</v>
      </c>
      <c r="O1144" s="20">
        <f t="shared" si="125"/>
        <v>-9606.5</v>
      </c>
      <c r="P1144" s="20" t="e">
        <f>#REF!-M1144</f>
        <v>#REF!</v>
      </c>
      <c r="Q1144" s="20" t="e">
        <f>#REF!-N1144</f>
        <v>#REF!</v>
      </c>
      <c r="R1144" s="17" t="str">
        <f t="shared" si="119"/>
        <v>08 1 00 00000000</v>
      </c>
    </row>
    <row r="1145" spans="1:18" s="16" customFormat="1" ht="94.5">
      <c r="A1145" s="14"/>
      <c r="B1145" s="125" t="s">
        <v>713</v>
      </c>
      <c r="C1145" s="109" t="s">
        <v>406</v>
      </c>
      <c r="D1145" s="108" t="s">
        <v>342</v>
      </c>
      <c r="E1145" s="108" t="s">
        <v>62</v>
      </c>
      <c r="F1145" s="108" t="s">
        <v>714</v>
      </c>
      <c r="G1145" s="108" t="s">
        <v>9</v>
      </c>
      <c r="H1145" s="126">
        <f>H1146</f>
        <v>0</v>
      </c>
      <c r="L1145" s="20">
        <v>9606.5</v>
      </c>
      <c r="M1145" s="20">
        <v>9606.5</v>
      </c>
      <c r="N1145" s="20">
        <v>9606.5</v>
      </c>
      <c r="O1145" s="20">
        <f t="shared" si="125"/>
        <v>-9606.5</v>
      </c>
      <c r="P1145" s="20" t="e">
        <f>#REF!-M1145</f>
        <v>#REF!</v>
      </c>
      <c r="Q1145" s="20" t="e">
        <f>#REF!-N1145</f>
        <v>#REF!</v>
      </c>
      <c r="R1145" s="17" t="str">
        <f t="shared" si="119"/>
        <v>08 1 03 00000000</v>
      </c>
    </row>
    <row r="1146" spans="1:18" s="16" customFormat="1" ht="31.5">
      <c r="A1146" s="14"/>
      <c r="B1146" s="127" t="s">
        <v>136</v>
      </c>
      <c r="C1146" s="130" t="s">
        <v>406</v>
      </c>
      <c r="D1146" s="108" t="s">
        <v>342</v>
      </c>
      <c r="E1146" s="108" t="s">
        <v>62</v>
      </c>
      <c r="F1146" s="131" t="s">
        <v>715</v>
      </c>
      <c r="G1146" s="131" t="s">
        <v>9</v>
      </c>
      <c r="H1146" s="105">
        <f t="shared" ref="H1146" si="127">H1147</f>
        <v>0</v>
      </c>
      <c r="L1146" s="26">
        <v>9606.5</v>
      </c>
      <c r="M1146" s="26">
        <v>9606.5</v>
      </c>
      <c r="N1146" s="26">
        <v>9606.5</v>
      </c>
      <c r="O1146" s="26">
        <f t="shared" si="125"/>
        <v>-9606.5</v>
      </c>
      <c r="P1146" s="26" t="e">
        <f>#REF!-M1146</f>
        <v>#REF!</v>
      </c>
      <c r="Q1146" s="26" t="e">
        <f>#REF!-N1146</f>
        <v>#REF!</v>
      </c>
      <c r="R1146" s="17" t="str">
        <f t="shared" si="119"/>
        <v>08 1 03 11010000</v>
      </c>
    </row>
    <row r="1147" spans="1:18" s="16" customFormat="1" ht="15.75">
      <c r="A1147" s="14"/>
      <c r="B1147" s="132" t="s">
        <v>403</v>
      </c>
      <c r="C1147" s="130" t="s">
        <v>406</v>
      </c>
      <c r="D1147" s="108" t="s">
        <v>342</v>
      </c>
      <c r="E1147" s="108" t="s">
        <v>62</v>
      </c>
      <c r="F1147" s="131" t="s">
        <v>715</v>
      </c>
      <c r="G1147" s="131" t="s">
        <v>404</v>
      </c>
      <c r="H1147" s="126">
        <f>H1148</f>
        <v>0</v>
      </c>
      <c r="L1147" s="20">
        <v>9606.5</v>
      </c>
      <c r="M1147" s="20">
        <v>9606.5</v>
      </c>
      <c r="N1147" s="20">
        <v>9606.5</v>
      </c>
      <c r="O1147" s="20">
        <f t="shared" si="125"/>
        <v>-9606.5</v>
      </c>
      <c r="P1147" s="20" t="e">
        <f>#REF!-M1147</f>
        <v>#REF!</v>
      </c>
      <c r="Q1147" s="20" t="e">
        <f>#REF!-N1147</f>
        <v>#REF!</v>
      </c>
      <c r="R1147" s="17" t="str">
        <f t="shared" si="119"/>
        <v>08 1 03 11010610</v>
      </c>
    </row>
    <row r="1148" spans="1:18" s="23" customFormat="1" ht="63">
      <c r="A1148" s="21"/>
      <c r="B1148" s="127" t="s">
        <v>405</v>
      </c>
      <c r="C1148" s="130" t="s">
        <v>406</v>
      </c>
      <c r="D1148" s="108" t="s">
        <v>342</v>
      </c>
      <c r="E1148" s="108" t="s">
        <v>62</v>
      </c>
      <c r="F1148" s="131" t="s">
        <v>715</v>
      </c>
      <c r="G1148" s="108" t="s">
        <v>406</v>
      </c>
      <c r="H1148" s="126"/>
      <c r="L1148" s="22"/>
      <c r="M1148" s="22"/>
      <c r="N1148" s="22"/>
      <c r="O1148" s="22"/>
      <c r="P1148" s="22"/>
      <c r="Q1148" s="22"/>
      <c r="R1148" s="24"/>
    </row>
    <row r="1149" spans="1:18" s="16" customFormat="1" ht="47.25">
      <c r="A1149" s="14"/>
      <c r="B1149" s="125" t="s">
        <v>716</v>
      </c>
      <c r="C1149" s="109" t="s">
        <v>406</v>
      </c>
      <c r="D1149" s="108" t="s">
        <v>342</v>
      </c>
      <c r="E1149" s="108" t="s">
        <v>62</v>
      </c>
      <c r="F1149" s="108" t="s">
        <v>717</v>
      </c>
      <c r="G1149" s="108" t="s">
        <v>9</v>
      </c>
      <c r="H1149" s="126">
        <f>H1150+H1156+H1160</f>
        <v>0</v>
      </c>
      <c r="L1149" s="20">
        <v>5317.5</v>
      </c>
      <c r="M1149" s="20">
        <v>5317.5</v>
      </c>
      <c r="N1149" s="20">
        <v>5317.5</v>
      </c>
      <c r="O1149" s="20">
        <f>H1149-L1149</f>
        <v>-5317.5</v>
      </c>
      <c r="P1149" s="20" t="e">
        <f>#REF!-M1149</f>
        <v>#REF!</v>
      </c>
      <c r="Q1149" s="20" t="e">
        <f>#REF!-N1149</f>
        <v>#REF!</v>
      </c>
      <c r="R1149" s="17" t="str">
        <f t="shared" si="119"/>
        <v>08 2 00 00000000</v>
      </c>
    </row>
    <row r="1150" spans="1:18" s="16" customFormat="1" ht="47.25">
      <c r="A1150" s="14"/>
      <c r="B1150" s="125" t="s">
        <v>718</v>
      </c>
      <c r="C1150" s="109" t="s">
        <v>406</v>
      </c>
      <c r="D1150" s="108" t="s">
        <v>342</v>
      </c>
      <c r="E1150" s="108" t="s">
        <v>62</v>
      </c>
      <c r="F1150" s="108" t="s">
        <v>719</v>
      </c>
      <c r="G1150" s="108" t="s">
        <v>9</v>
      </c>
      <c r="H1150" s="126">
        <f>H1151</f>
        <v>0</v>
      </c>
      <c r="L1150" s="20">
        <v>5250</v>
      </c>
      <c r="M1150" s="20">
        <v>5250</v>
      </c>
      <c r="N1150" s="20">
        <v>5250</v>
      </c>
      <c r="O1150" s="20">
        <f>H1150-L1150</f>
        <v>-5250</v>
      </c>
      <c r="P1150" s="20" t="e">
        <f>#REF!-M1150</f>
        <v>#REF!</v>
      </c>
      <c r="Q1150" s="20" t="e">
        <f>#REF!-N1150</f>
        <v>#REF!</v>
      </c>
      <c r="R1150" s="17" t="str">
        <f t="shared" si="119"/>
        <v>08 2 01 00000000</v>
      </c>
    </row>
    <row r="1151" spans="1:18" s="16" customFormat="1" ht="31.5">
      <c r="A1151" s="14"/>
      <c r="B1151" s="125" t="s">
        <v>720</v>
      </c>
      <c r="C1151" s="109" t="s">
        <v>406</v>
      </c>
      <c r="D1151" s="108" t="s">
        <v>342</v>
      </c>
      <c r="E1151" s="108" t="s">
        <v>62</v>
      </c>
      <c r="F1151" s="108" t="s">
        <v>721</v>
      </c>
      <c r="G1151" s="108" t="s">
        <v>9</v>
      </c>
      <c r="H1151" s="126">
        <f>H1154+H1152</f>
        <v>0</v>
      </c>
      <c r="L1151" s="20">
        <v>5250</v>
      </c>
      <c r="M1151" s="20">
        <v>5250</v>
      </c>
      <c r="N1151" s="20">
        <v>5250</v>
      </c>
      <c r="O1151" s="20">
        <f>H1151-L1151</f>
        <v>-5250</v>
      </c>
      <c r="P1151" s="20" t="e">
        <f>#REF!-M1151</f>
        <v>#REF!</v>
      </c>
      <c r="Q1151" s="20" t="e">
        <f>#REF!-N1151</f>
        <v>#REF!</v>
      </c>
      <c r="R1151" s="17" t="str">
        <f t="shared" si="119"/>
        <v>08 2 01 20420000</v>
      </c>
    </row>
    <row r="1152" spans="1:18" s="16" customFormat="1" ht="15.75">
      <c r="A1152" s="14"/>
      <c r="B1152" s="125" t="s">
        <v>138</v>
      </c>
      <c r="C1152" s="109" t="s">
        <v>406</v>
      </c>
      <c r="D1152" s="108" t="s">
        <v>342</v>
      </c>
      <c r="E1152" s="108" t="s">
        <v>62</v>
      </c>
      <c r="F1152" s="108" t="s">
        <v>721</v>
      </c>
      <c r="G1152" s="108" t="s">
        <v>139</v>
      </c>
      <c r="H1152" s="126">
        <f>H1153</f>
        <v>0</v>
      </c>
      <c r="L1152" s="20">
        <v>3250</v>
      </c>
      <c r="M1152" s="20">
        <v>3250</v>
      </c>
      <c r="N1152" s="20">
        <v>3250</v>
      </c>
      <c r="O1152" s="20">
        <f>H1152-L1152</f>
        <v>-3250</v>
      </c>
      <c r="P1152" s="20" t="e">
        <f>#REF!-M1152</f>
        <v>#REF!</v>
      </c>
      <c r="Q1152" s="20" t="e">
        <f>#REF!-N1152</f>
        <v>#REF!</v>
      </c>
      <c r="R1152" s="17" t="str">
        <f t="shared" si="119"/>
        <v>08 2 01 20420110</v>
      </c>
    </row>
    <row r="1153" spans="1:18" s="23" customFormat="1" ht="63">
      <c r="A1153" s="21"/>
      <c r="B1153" s="127" t="s">
        <v>144</v>
      </c>
      <c r="C1153" s="109" t="s">
        <v>406</v>
      </c>
      <c r="D1153" s="108" t="s">
        <v>342</v>
      </c>
      <c r="E1153" s="108" t="s">
        <v>62</v>
      </c>
      <c r="F1153" s="108" t="s">
        <v>721</v>
      </c>
      <c r="G1153" s="108" t="s">
        <v>722</v>
      </c>
      <c r="H1153" s="126"/>
      <c r="L1153" s="22"/>
      <c r="M1153" s="22"/>
      <c r="N1153" s="22"/>
      <c r="O1153" s="22"/>
      <c r="P1153" s="22"/>
      <c r="Q1153" s="22"/>
      <c r="R1153" s="24"/>
    </row>
    <row r="1154" spans="1:18" s="16" customFormat="1" ht="31.5">
      <c r="A1154" s="14"/>
      <c r="B1154" s="125" t="s">
        <v>28</v>
      </c>
      <c r="C1154" s="109" t="s">
        <v>406</v>
      </c>
      <c r="D1154" s="108" t="s">
        <v>342</v>
      </c>
      <c r="E1154" s="108" t="s">
        <v>62</v>
      </c>
      <c r="F1154" s="108" t="s">
        <v>721</v>
      </c>
      <c r="G1154" s="108" t="s">
        <v>29</v>
      </c>
      <c r="H1154" s="126">
        <f>H1155</f>
        <v>0</v>
      </c>
      <c r="L1154" s="20">
        <v>2000</v>
      </c>
      <c r="M1154" s="20">
        <v>2000</v>
      </c>
      <c r="N1154" s="20">
        <v>2000</v>
      </c>
      <c r="O1154" s="20">
        <f>H1154-L1154</f>
        <v>-2000</v>
      </c>
      <c r="P1154" s="20" t="e">
        <f>#REF!-M1154</f>
        <v>#REF!</v>
      </c>
      <c r="Q1154" s="20" t="e">
        <f>#REF!-N1154</f>
        <v>#REF!</v>
      </c>
      <c r="R1154" s="17" t="str">
        <f t="shared" si="119"/>
        <v>08 2 01 20420240</v>
      </c>
    </row>
    <row r="1155" spans="1:18" s="16" customFormat="1" ht="15.75">
      <c r="A1155" s="14"/>
      <c r="B1155" s="125" t="s">
        <v>30</v>
      </c>
      <c r="C1155" s="109" t="s">
        <v>406</v>
      </c>
      <c r="D1155" s="108" t="s">
        <v>342</v>
      </c>
      <c r="E1155" s="108" t="s">
        <v>62</v>
      </c>
      <c r="F1155" s="108" t="s">
        <v>721</v>
      </c>
      <c r="G1155" s="108" t="s">
        <v>31</v>
      </c>
      <c r="H1155" s="126"/>
      <c r="L1155" s="20"/>
      <c r="M1155" s="20"/>
      <c r="N1155" s="20"/>
      <c r="O1155" s="20"/>
      <c r="P1155" s="20"/>
      <c r="Q1155" s="20"/>
      <c r="R1155" s="17"/>
    </row>
    <row r="1156" spans="1:18" s="16" customFormat="1" ht="47.25">
      <c r="A1156" s="14"/>
      <c r="B1156" s="140" t="s">
        <v>723</v>
      </c>
      <c r="C1156" s="109" t="s">
        <v>406</v>
      </c>
      <c r="D1156" s="108" t="s">
        <v>342</v>
      </c>
      <c r="E1156" s="108" t="s">
        <v>62</v>
      </c>
      <c r="F1156" s="108" t="s">
        <v>724</v>
      </c>
      <c r="G1156" s="108" t="s">
        <v>9</v>
      </c>
      <c r="H1156" s="126">
        <f>H1157</f>
        <v>0</v>
      </c>
      <c r="L1156" s="20">
        <v>11.25</v>
      </c>
      <c r="M1156" s="20">
        <v>11.25</v>
      </c>
      <c r="N1156" s="20">
        <v>11.25</v>
      </c>
      <c r="O1156" s="20">
        <f>H1156-L1156</f>
        <v>-11.25</v>
      </c>
      <c r="P1156" s="20" t="e">
        <f>#REF!-M1156</f>
        <v>#REF!</v>
      </c>
      <c r="Q1156" s="20" t="e">
        <f>#REF!-N1156</f>
        <v>#REF!</v>
      </c>
      <c r="R1156" s="17" t="str">
        <f t="shared" si="119"/>
        <v>08 2 02 00000000</v>
      </c>
    </row>
    <row r="1157" spans="1:18" s="16" customFormat="1" ht="15.75">
      <c r="A1157" s="14"/>
      <c r="B1157" s="127" t="s">
        <v>725</v>
      </c>
      <c r="C1157" s="109" t="s">
        <v>406</v>
      </c>
      <c r="D1157" s="108" t="s">
        <v>342</v>
      </c>
      <c r="E1157" s="108" t="s">
        <v>62</v>
      </c>
      <c r="F1157" s="108" t="s">
        <v>726</v>
      </c>
      <c r="G1157" s="108" t="s">
        <v>9</v>
      </c>
      <c r="H1157" s="126">
        <f>H1158</f>
        <v>0</v>
      </c>
      <c r="L1157" s="20">
        <v>11.25</v>
      </c>
      <c r="M1157" s="20">
        <v>11.25</v>
      </c>
      <c r="N1157" s="20">
        <v>11.25</v>
      </c>
      <c r="O1157" s="20">
        <f>H1157-L1157</f>
        <v>-11.25</v>
      </c>
      <c r="P1157" s="20" t="e">
        <f>#REF!-M1157</f>
        <v>#REF!</v>
      </c>
      <c r="Q1157" s="20" t="e">
        <f>#REF!-N1157</f>
        <v>#REF!</v>
      </c>
      <c r="R1157" s="17" t="str">
        <f t="shared" si="119"/>
        <v>08 2 02 20440000</v>
      </c>
    </row>
    <row r="1158" spans="1:18" s="16" customFormat="1" ht="31.5">
      <c r="A1158" s="14"/>
      <c r="B1158" s="125" t="s">
        <v>28</v>
      </c>
      <c r="C1158" s="109" t="s">
        <v>406</v>
      </c>
      <c r="D1158" s="108" t="s">
        <v>342</v>
      </c>
      <c r="E1158" s="108" t="s">
        <v>62</v>
      </c>
      <c r="F1158" s="108" t="s">
        <v>726</v>
      </c>
      <c r="G1158" s="108" t="s">
        <v>29</v>
      </c>
      <c r="H1158" s="126">
        <f>H1159</f>
        <v>0</v>
      </c>
      <c r="L1158" s="20">
        <v>11.25</v>
      </c>
      <c r="M1158" s="20">
        <v>11.25</v>
      </c>
      <c r="N1158" s="20">
        <v>11.25</v>
      </c>
      <c r="O1158" s="20">
        <f>H1158-L1158</f>
        <v>-11.25</v>
      </c>
      <c r="P1158" s="20" t="e">
        <f>#REF!-M1158</f>
        <v>#REF!</v>
      </c>
      <c r="Q1158" s="20" t="e">
        <f>#REF!-N1158</f>
        <v>#REF!</v>
      </c>
      <c r="R1158" s="17" t="str">
        <f t="shared" si="119"/>
        <v>08 2 02 20440240</v>
      </c>
    </row>
    <row r="1159" spans="1:18" s="16" customFormat="1" ht="15.75">
      <c r="A1159" s="14"/>
      <c r="B1159" s="125" t="s">
        <v>30</v>
      </c>
      <c r="C1159" s="109" t="s">
        <v>406</v>
      </c>
      <c r="D1159" s="108" t="s">
        <v>342</v>
      </c>
      <c r="E1159" s="108" t="s">
        <v>62</v>
      </c>
      <c r="F1159" s="108" t="s">
        <v>726</v>
      </c>
      <c r="G1159" s="108" t="s">
        <v>31</v>
      </c>
      <c r="H1159" s="126"/>
      <c r="L1159" s="20"/>
      <c r="M1159" s="20"/>
      <c r="N1159" s="20"/>
      <c r="O1159" s="20"/>
      <c r="P1159" s="20"/>
      <c r="Q1159" s="20"/>
      <c r="R1159" s="17"/>
    </row>
    <row r="1160" spans="1:18" s="16" customFormat="1" ht="63">
      <c r="A1160" s="14"/>
      <c r="B1160" s="140" t="s">
        <v>727</v>
      </c>
      <c r="C1160" s="109" t="s">
        <v>406</v>
      </c>
      <c r="D1160" s="108" t="s">
        <v>342</v>
      </c>
      <c r="E1160" s="108" t="s">
        <v>62</v>
      </c>
      <c r="F1160" s="108" t="s">
        <v>728</v>
      </c>
      <c r="G1160" s="108" t="s">
        <v>9</v>
      </c>
      <c r="H1160" s="126">
        <f t="shared" ref="H1160" si="128">H1161</f>
        <v>0</v>
      </c>
      <c r="L1160" s="20">
        <v>56.25</v>
      </c>
      <c r="M1160" s="20">
        <v>56.25</v>
      </c>
      <c r="N1160" s="20">
        <v>56.25</v>
      </c>
      <c r="O1160" s="20">
        <f>H1160-L1160</f>
        <v>-56.25</v>
      </c>
      <c r="P1160" s="20" t="e">
        <f>#REF!-M1160</f>
        <v>#REF!</v>
      </c>
      <c r="Q1160" s="20" t="e">
        <f>#REF!-N1160</f>
        <v>#REF!</v>
      </c>
      <c r="R1160" s="17" t="str">
        <f t="shared" si="119"/>
        <v>08 2 03 00000000</v>
      </c>
    </row>
    <row r="1161" spans="1:18" s="16" customFormat="1" ht="31.5">
      <c r="A1161" s="14"/>
      <c r="B1161" s="127" t="s">
        <v>729</v>
      </c>
      <c r="C1161" s="109" t="s">
        <v>406</v>
      </c>
      <c r="D1161" s="108" t="s">
        <v>342</v>
      </c>
      <c r="E1161" s="108" t="s">
        <v>62</v>
      </c>
      <c r="F1161" s="108" t="s">
        <v>730</v>
      </c>
      <c r="G1161" s="108" t="s">
        <v>9</v>
      </c>
      <c r="H1161" s="126">
        <f>H1162</f>
        <v>0</v>
      </c>
      <c r="L1161" s="20">
        <v>56.25</v>
      </c>
      <c r="M1161" s="20">
        <v>56.25</v>
      </c>
      <c r="N1161" s="20">
        <v>56.25</v>
      </c>
      <c r="O1161" s="20">
        <f>H1161-L1161</f>
        <v>-56.25</v>
      </c>
      <c r="P1161" s="20" t="e">
        <f>#REF!-M1161</f>
        <v>#REF!</v>
      </c>
      <c r="Q1161" s="20" t="e">
        <f>#REF!-N1161</f>
        <v>#REF!</v>
      </c>
      <c r="R1161" s="17" t="str">
        <f t="shared" si="119"/>
        <v>08 2 03 21060000</v>
      </c>
    </row>
    <row r="1162" spans="1:18" s="16" customFormat="1" ht="31.5">
      <c r="A1162" s="14"/>
      <c r="B1162" s="125" t="s">
        <v>28</v>
      </c>
      <c r="C1162" s="109" t="s">
        <v>406</v>
      </c>
      <c r="D1162" s="108" t="s">
        <v>342</v>
      </c>
      <c r="E1162" s="108" t="s">
        <v>62</v>
      </c>
      <c r="F1162" s="108" t="s">
        <v>730</v>
      </c>
      <c r="G1162" s="108" t="s">
        <v>29</v>
      </c>
      <c r="H1162" s="126">
        <f>H1163</f>
        <v>0</v>
      </c>
      <c r="L1162" s="20">
        <v>56.25</v>
      </c>
      <c r="M1162" s="20">
        <v>56.25</v>
      </c>
      <c r="N1162" s="20">
        <v>56.25</v>
      </c>
      <c r="O1162" s="20">
        <f>H1162-L1162</f>
        <v>-56.25</v>
      </c>
      <c r="P1162" s="20" t="e">
        <f>#REF!-M1162</f>
        <v>#REF!</v>
      </c>
      <c r="Q1162" s="20" t="e">
        <f>#REF!-N1162</f>
        <v>#REF!</v>
      </c>
      <c r="R1162" s="17" t="str">
        <f t="shared" si="119"/>
        <v>08 2 03 21060240</v>
      </c>
    </row>
    <row r="1163" spans="1:18" s="16" customFormat="1" ht="15.75">
      <c r="A1163" s="14"/>
      <c r="B1163" s="125" t="s">
        <v>30</v>
      </c>
      <c r="C1163" s="109" t="s">
        <v>406</v>
      </c>
      <c r="D1163" s="108" t="s">
        <v>342</v>
      </c>
      <c r="E1163" s="108" t="s">
        <v>62</v>
      </c>
      <c r="F1163" s="108" t="s">
        <v>730</v>
      </c>
      <c r="G1163" s="108" t="s">
        <v>31</v>
      </c>
      <c r="H1163" s="126"/>
      <c r="L1163" s="20"/>
      <c r="M1163" s="20"/>
      <c r="N1163" s="20"/>
      <c r="O1163" s="20"/>
      <c r="P1163" s="20"/>
      <c r="Q1163" s="20"/>
      <c r="R1163" s="17"/>
    </row>
    <row r="1164" spans="1:18" s="16" customFormat="1" ht="15.75">
      <c r="A1164" s="14"/>
      <c r="B1164" s="121" t="s">
        <v>731</v>
      </c>
      <c r="C1164" s="122" t="s">
        <v>406</v>
      </c>
      <c r="D1164" s="123" t="s">
        <v>342</v>
      </c>
      <c r="E1164" s="123" t="s">
        <v>13</v>
      </c>
      <c r="F1164" s="123" t="s">
        <v>8</v>
      </c>
      <c r="G1164" s="123" t="s">
        <v>9</v>
      </c>
      <c r="H1164" s="124">
        <f>H1165</f>
        <v>0</v>
      </c>
      <c r="L1164" s="19">
        <v>1500</v>
      </c>
      <c r="M1164" s="19">
        <v>0</v>
      </c>
      <c r="N1164" s="19">
        <v>0</v>
      </c>
      <c r="O1164" s="19">
        <f t="shared" ref="O1164:O1169" si="129">H1164-L1164</f>
        <v>-1500</v>
      </c>
      <c r="P1164" s="19" t="e">
        <f>#REF!-M1164</f>
        <v>#REF!</v>
      </c>
      <c r="Q1164" s="19" t="e">
        <f>#REF!-N1164</f>
        <v>#REF!</v>
      </c>
      <c r="R1164" s="17" t="str">
        <f t="shared" si="119"/>
        <v>00 0 00 00000000</v>
      </c>
    </row>
    <row r="1165" spans="1:18" s="16" customFormat="1" ht="31.5">
      <c r="A1165" s="14"/>
      <c r="B1165" s="125" t="s">
        <v>700</v>
      </c>
      <c r="C1165" s="109" t="s">
        <v>406</v>
      </c>
      <c r="D1165" s="108" t="s">
        <v>342</v>
      </c>
      <c r="E1165" s="108" t="s">
        <v>13</v>
      </c>
      <c r="F1165" s="108" t="s">
        <v>701</v>
      </c>
      <c r="G1165" s="108" t="s">
        <v>9</v>
      </c>
      <c r="H1165" s="126">
        <f t="shared" ref="H1165:H1168" si="130">H1166</f>
        <v>0</v>
      </c>
      <c r="L1165" s="20">
        <v>1500</v>
      </c>
      <c r="M1165" s="20">
        <v>0</v>
      </c>
      <c r="N1165" s="20">
        <v>0</v>
      </c>
      <c r="O1165" s="20">
        <f t="shared" si="129"/>
        <v>-1500</v>
      </c>
      <c r="P1165" s="20" t="e">
        <f>#REF!-M1165</f>
        <v>#REF!</v>
      </c>
      <c r="Q1165" s="20" t="e">
        <f>#REF!-N1165</f>
        <v>#REF!</v>
      </c>
      <c r="R1165" s="17" t="str">
        <f t="shared" si="119"/>
        <v>08 0 00 00000000</v>
      </c>
    </row>
    <row r="1166" spans="1:18" s="16" customFormat="1" ht="47.25">
      <c r="A1166" s="14"/>
      <c r="B1166" s="125" t="s">
        <v>716</v>
      </c>
      <c r="C1166" s="109" t="s">
        <v>406</v>
      </c>
      <c r="D1166" s="108" t="s">
        <v>342</v>
      </c>
      <c r="E1166" s="108" t="s">
        <v>13</v>
      </c>
      <c r="F1166" s="108" t="s">
        <v>717</v>
      </c>
      <c r="G1166" s="108" t="s">
        <v>9</v>
      </c>
      <c r="H1166" s="126">
        <f>H1167</f>
        <v>0</v>
      </c>
      <c r="L1166" s="20">
        <v>1500</v>
      </c>
      <c r="M1166" s="20">
        <v>0</v>
      </c>
      <c r="N1166" s="20">
        <v>0</v>
      </c>
      <c r="O1166" s="20">
        <f t="shared" si="129"/>
        <v>-1500</v>
      </c>
      <c r="P1166" s="20" t="e">
        <f>#REF!-M1166</f>
        <v>#REF!</v>
      </c>
      <c r="Q1166" s="20" t="e">
        <f>#REF!-N1166</f>
        <v>#REF!</v>
      </c>
      <c r="R1166" s="17" t="str">
        <f t="shared" si="119"/>
        <v>08 2 00 00000000</v>
      </c>
    </row>
    <row r="1167" spans="1:18" s="16" customFormat="1" ht="63">
      <c r="A1167" s="14"/>
      <c r="B1167" s="125" t="s">
        <v>732</v>
      </c>
      <c r="C1167" s="109" t="s">
        <v>406</v>
      </c>
      <c r="D1167" s="108" t="s">
        <v>342</v>
      </c>
      <c r="E1167" s="108" t="s">
        <v>13</v>
      </c>
      <c r="F1167" s="108" t="s">
        <v>733</v>
      </c>
      <c r="G1167" s="108" t="s">
        <v>9</v>
      </c>
      <c r="H1167" s="126">
        <f>H1168</f>
        <v>0</v>
      </c>
      <c r="L1167" s="20">
        <v>1500</v>
      </c>
      <c r="M1167" s="20">
        <v>0</v>
      </c>
      <c r="N1167" s="20">
        <v>0</v>
      </c>
      <c r="O1167" s="20">
        <f t="shared" si="129"/>
        <v>-1500</v>
      </c>
      <c r="P1167" s="20" t="e">
        <f>#REF!-M1167</f>
        <v>#REF!</v>
      </c>
      <c r="Q1167" s="20" t="e">
        <f>#REF!-N1167</f>
        <v>#REF!</v>
      </c>
      <c r="R1167" s="17" t="str">
        <f t="shared" si="119"/>
        <v>08 2 04 00000000</v>
      </c>
    </row>
    <row r="1168" spans="1:18" s="16" customFormat="1" ht="78.75">
      <c r="A1168" s="14"/>
      <c r="B1168" s="125" t="s">
        <v>734</v>
      </c>
      <c r="C1168" s="109" t="s">
        <v>406</v>
      </c>
      <c r="D1168" s="108" t="s">
        <v>342</v>
      </c>
      <c r="E1168" s="108" t="s">
        <v>13</v>
      </c>
      <c r="F1168" s="108" t="s">
        <v>735</v>
      </c>
      <c r="G1168" s="108" t="s">
        <v>9</v>
      </c>
      <c r="H1168" s="126">
        <f t="shared" si="130"/>
        <v>0</v>
      </c>
      <c r="L1168" s="20">
        <v>1500</v>
      </c>
      <c r="M1168" s="20">
        <v>0</v>
      </c>
      <c r="N1168" s="20">
        <v>0</v>
      </c>
      <c r="O1168" s="20">
        <f t="shared" si="129"/>
        <v>-1500</v>
      </c>
      <c r="P1168" s="20" t="e">
        <f>#REF!-M1168</f>
        <v>#REF!</v>
      </c>
      <c r="Q1168" s="20" t="e">
        <f>#REF!-N1168</f>
        <v>#REF!</v>
      </c>
      <c r="R1168" s="17" t="str">
        <f t="shared" si="119"/>
        <v>08 2 04 60120000</v>
      </c>
    </row>
    <row r="1169" spans="1:18" s="16" customFormat="1" ht="47.25">
      <c r="A1169" s="14"/>
      <c r="B1169" s="125" t="s">
        <v>182</v>
      </c>
      <c r="C1169" s="109" t="s">
        <v>406</v>
      </c>
      <c r="D1169" s="108" t="s">
        <v>342</v>
      </c>
      <c r="E1169" s="108" t="s">
        <v>13</v>
      </c>
      <c r="F1169" s="108" t="s">
        <v>735</v>
      </c>
      <c r="G1169" s="108" t="s">
        <v>183</v>
      </c>
      <c r="H1169" s="126">
        <f>H1170</f>
        <v>0</v>
      </c>
      <c r="L1169" s="20">
        <v>1500</v>
      </c>
      <c r="M1169" s="20">
        <v>0</v>
      </c>
      <c r="N1169" s="20">
        <v>0</v>
      </c>
      <c r="O1169" s="20">
        <f t="shared" si="129"/>
        <v>-1500</v>
      </c>
      <c r="P1169" s="20" t="e">
        <f>#REF!-M1169</f>
        <v>#REF!</v>
      </c>
      <c r="Q1169" s="20" t="e">
        <f>#REF!-N1169</f>
        <v>#REF!</v>
      </c>
      <c r="R1169" s="17" t="str">
        <f t="shared" si="119"/>
        <v>08 2 04 60120630</v>
      </c>
    </row>
    <row r="1170" spans="1:18" s="16" customFormat="1" ht="47.25">
      <c r="A1170" s="14"/>
      <c r="B1170" s="125" t="s">
        <v>736</v>
      </c>
      <c r="C1170" s="109" t="s">
        <v>406</v>
      </c>
      <c r="D1170" s="108" t="s">
        <v>342</v>
      </c>
      <c r="E1170" s="108" t="s">
        <v>13</v>
      </c>
      <c r="F1170" s="108" t="s">
        <v>735</v>
      </c>
      <c r="G1170" s="108" t="s">
        <v>214</v>
      </c>
      <c r="H1170" s="126"/>
      <c r="L1170" s="20"/>
      <c r="M1170" s="20"/>
      <c r="N1170" s="20"/>
      <c r="O1170" s="20"/>
      <c r="P1170" s="20"/>
      <c r="Q1170" s="20"/>
      <c r="R1170" s="17"/>
    </row>
    <row r="1171" spans="1:18" s="16" customFormat="1" ht="31.5">
      <c r="A1171" s="14"/>
      <c r="B1171" s="121" t="s">
        <v>737</v>
      </c>
      <c r="C1171" s="122" t="s">
        <v>406</v>
      </c>
      <c r="D1171" s="123" t="s">
        <v>342</v>
      </c>
      <c r="E1171" s="123" t="s">
        <v>86</v>
      </c>
      <c r="F1171" s="123" t="s">
        <v>8</v>
      </c>
      <c r="G1171" s="123" t="s">
        <v>9</v>
      </c>
      <c r="H1171" s="124">
        <f t="shared" ref="H1171" si="131">H1172</f>
        <v>0</v>
      </c>
      <c r="L1171" s="19">
        <v>16961.150000000001</v>
      </c>
      <c r="M1171" s="19">
        <v>16961.150000000001</v>
      </c>
      <c r="N1171" s="19">
        <v>16961.150000000001</v>
      </c>
      <c r="O1171" s="19">
        <f>H1171-L1171</f>
        <v>-16961.150000000001</v>
      </c>
      <c r="P1171" s="19" t="e">
        <f>#REF!-M1171</f>
        <v>#REF!</v>
      </c>
      <c r="Q1171" s="19" t="e">
        <f>#REF!-N1171</f>
        <v>#REF!</v>
      </c>
      <c r="R1171" s="17" t="str">
        <f t="shared" si="119"/>
        <v>00 0 00 00000000</v>
      </c>
    </row>
    <row r="1172" spans="1:18" s="16" customFormat="1" ht="31.5">
      <c r="A1172" s="14"/>
      <c r="B1172" s="125" t="s">
        <v>738</v>
      </c>
      <c r="C1172" s="109" t="s">
        <v>406</v>
      </c>
      <c r="D1172" s="108" t="s">
        <v>342</v>
      </c>
      <c r="E1172" s="108" t="s">
        <v>86</v>
      </c>
      <c r="F1172" s="108" t="s">
        <v>739</v>
      </c>
      <c r="G1172" s="108" t="s">
        <v>9</v>
      </c>
      <c r="H1172" s="126">
        <f>H1173</f>
        <v>0</v>
      </c>
      <c r="L1172" s="20">
        <v>16961.150000000001</v>
      </c>
      <c r="M1172" s="20">
        <v>16961.150000000001</v>
      </c>
      <c r="N1172" s="20">
        <v>16961.150000000001</v>
      </c>
      <c r="O1172" s="20">
        <f>H1172-L1172</f>
        <v>-16961.150000000001</v>
      </c>
      <c r="P1172" s="20" t="e">
        <f>#REF!-M1172</f>
        <v>#REF!</v>
      </c>
      <c r="Q1172" s="20" t="e">
        <f>#REF!-N1172</f>
        <v>#REF!</v>
      </c>
      <c r="R1172" s="17" t="str">
        <f t="shared" si="119"/>
        <v>78 0 00 00000000</v>
      </c>
    </row>
    <row r="1173" spans="1:18" s="16" customFormat="1" ht="47.25">
      <c r="A1173" s="14"/>
      <c r="B1173" s="125" t="s">
        <v>740</v>
      </c>
      <c r="C1173" s="109" t="s">
        <v>406</v>
      </c>
      <c r="D1173" s="108" t="s">
        <v>342</v>
      </c>
      <c r="E1173" s="108" t="s">
        <v>86</v>
      </c>
      <c r="F1173" s="108" t="s">
        <v>741</v>
      </c>
      <c r="G1173" s="108" t="s">
        <v>9</v>
      </c>
      <c r="H1173" s="126">
        <f>H1174+H1183+H1187</f>
        <v>0</v>
      </c>
      <c r="L1173" s="20">
        <v>16961.150000000001</v>
      </c>
      <c r="M1173" s="20">
        <v>16961.150000000001</v>
      </c>
      <c r="N1173" s="20">
        <v>16961.150000000001</v>
      </c>
      <c r="O1173" s="20">
        <f>H1173-L1173</f>
        <v>-16961.150000000001</v>
      </c>
      <c r="P1173" s="20" t="e">
        <f>#REF!-M1173</f>
        <v>#REF!</v>
      </c>
      <c r="Q1173" s="20" t="e">
        <f>#REF!-N1173</f>
        <v>#REF!</v>
      </c>
      <c r="R1173" s="17" t="str">
        <f t="shared" si="119"/>
        <v>78 1 00 00000000</v>
      </c>
    </row>
    <row r="1174" spans="1:18" s="16" customFormat="1" ht="31.5">
      <c r="A1174" s="14"/>
      <c r="B1174" s="125" t="s">
        <v>18</v>
      </c>
      <c r="C1174" s="109" t="s">
        <v>406</v>
      </c>
      <c r="D1174" s="108" t="s">
        <v>342</v>
      </c>
      <c r="E1174" s="108" t="s">
        <v>86</v>
      </c>
      <c r="F1174" s="108" t="s">
        <v>742</v>
      </c>
      <c r="G1174" s="108" t="s">
        <v>9</v>
      </c>
      <c r="H1174" s="126">
        <f>H1175+H1178+H1180</f>
        <v>0</v>
      </c>
      <c r="L1174" s="20">
        <v>778.21</v>
      </c>
      <c r="M1174" s="20">
        <v>778.21</v>
      </c>
      <c r="N1174" s="20">
        <v>778.21</v>
      </c>
      <c r="O1174" s="20">
        <f>H1174-L1174</f>
        <v>-778.21</v>
      </c>
      <c r="P1174" s="20" t="e">
        <f>#REF!-M1174</f>
        <v>#REF!</v>
      </c>
      <c r="Q1174" s="20" t="e">
        <f>#REF!-N1174</f>
        <v>#REF!</v>
      </c>
      <c r="R1174" s="17" t="str">
        <f t="shared" si="119"/>
        <v>78 1 00 10010000</v>
      </c>
    </row>
    <row r="1175" spans="1:18" s="16" customFormat="1" ht="31.5">
      <c r="A1175" s="14"/>
      <c r="B1175" s="127" t="s">
        <v>20</v>
      </c>
      <c r="C1175" s="109" t="s">
        <v>406</v>
      </c>
      <c r="D1175" s="108" t="s">
        <v>342</v>
      </c>
      <c r="E1175" s="108" t="s">
        <v>86</v>
      </c>
      <c r="F1175" s="108" t="s">
        <v>742</v>
      </c>
      <c r="G1175" s="108" t="s">
        <v>21</v>
      </c>
      <c r="H1175" s="126">
        <f>SUM(H1176:H1177)</f>
        <v>0</v>
      </c>
      <c r="L1175" s="20">
        <v>202.21</v>
      </c>
      <c r="M1175" s="20">
        <v>202.21</v>
      </c>
      <c r="N1175" s="20">
        <v>202.21</v>
      </c>
      <c r="O1175" s="20">
        <f>H1175-L1175</f>
        <v>-202.21</v>
      </c>
      <c r="P1175" s="20" t="e">
        <f>#REF!-M1175</f>
        <v>#REF!</v>
      </c>
      <c r="Q1175" s="20" t="e">
        <f>#REF!-N1175</f>
        <v>#REF!</v>
      </c>
      <c r="R1175" s="17" t="str">
        <f t="shared" si="119"/>
        <v>78 1 00 10010120</v>
      </c>
    </row>
    <row r="1176" spans="1:18" s="23" customFormat="1" ht="47.25">
      <c r="A1176" s="21"/>
      <c r="B1176" s="127" t="s">
        <v>22</v>
      </c>
      <c r="C1176" s="109" t="s">
        <v>406</v>
      </c>
      <c r="D1176" s="108" t="s">
        <v>342</v>
      </c>
      <c r="E1176" s="108" t="s">
        <v>86</v>
      </c>
      <c r="F1176" s="108" t="s">
        <v>742</v>
      </c>
      <c r="G1176" s="108" t="s">
        <v>23</v>
      </c>
      <c r="H1176" s="126"/>
      <c r="L1176" s="22"/>
      <c r="M1176" s="22"/>
      <c r="N1176" s="22"/>
      <c r="O1176" s="22"/>
      <c r="P1176" s="22"/>
      <c r="Q1176" s="22"/>
      <c r="R1176" s="24"/>
    </row>
    <row r="1177" spans="1:18" s="23" customFormat="1" ht="63">
      <c r="A1177" s="21"/>
      <c r="B1177" s="127" t="s">
        <v>26</v>
      </c>
      <c r="C1177" s="109" t="s">
        <v>406</v>
      </c>
      <c r="D1177" s="108" t="s">
        <v>342</v>
      </c>
      <c r="E1177" s="108" t="s">
        <v>86</v>
      </c>
      <c r="F1177" s="108" t="s">
        <v>742</v>
      </c>
      <c r="G1177" s="108" t="s">
        <v>27</v>
      </c>
      <c r="H1177" s="126"/>
      <c r="L1177" s="22"/>
      <c r="M1177" s="22"/>
      <c r="N1177" s="22"/>
      <c r="O1177" s="22"/>
      <c r="P1177" s="22"/>
      <c r="Q1177" s="22"/>
      <c r="R1177" s="24"/>
    </row>
    <row r="1178" spans="1:18" s="16" customFormat="1" ht="31.5">
      <c r="A1178" s="14"/>
      <c r="B1178" s="125" t="s">
        <v>28</v>
      </c>
      <c r="C1178" s="109" t="s">
        <v>406</v>
      </c>
      <c r="D1178" s="108" t="s">
        <v>342</v>
      </c>
      <c r="E1178" s="108" t="s">
        <v>86</v>
      </c>
      <c r="F1178" s="108" t="s">
        <v>742</v>
      </c>
      <c r="G1178" s="108" t="s">
        <v>29</v>
      </c>
      <c r="H1178" s="126">
        <f>H1179</f>
        <v>0</v>
      </c>
      <c r="L1178" s="20">
        <v>568</v>
      </c>
      <c r="M1178" s="20">
        <v>568</v>
      </c>
      <c r="N1178" s="20">
        <v>568</v>
      </c>
      <c r="O1178" s="20">
        <f>H1178-L1178</f>
        <v>-568</v>
      </c>
      <c r="P1178" s="20" t="e">
        <f>#REF!-M1178</f>
        <v>#REF!</v>
      </c>
      <c r="Q1178" s="20" t="e">
        <f>#REF!-N1178</f>
        <v>#REF!</v>
      </c>
      <c r="R1178" s="17" t="str">
        <f t="shared" si="119"/>
        <v>78 1 00 10010240</v>
      </c>
    </row>
    <row r="1179" spans="1:18" s="16" customFormat="1" ht="15.75">
      <c r="A1179" s="14"/>
      <c r="B1179" s="125" t="s">
        <v>30</v>
      </c>
      <c r="C1179" s="109" t="s">
        <v>406</v>
      </c>
      <c r="D1179" s="108" t="s">
        <v>342</v>
      </c>
      <c r="E1179" s="108" t="s">
        <v>86</v>
      </c>
      <c r="F1179" s="108" t="s">
        <v>742</v>
      </c>
      <c r="G1179" s="108" t="s">
        <v>31</v>
      </c>
      <c r="H1179" s="126"/>
      <c r="L1179" s="20"/>
      <c r="M1179" s="20"/>
      <c r="N1179" s="20"/>
      <c r="O1179" s="20"/>
      <c r="P1179" s="20"/>
      <c r="Q1179" s="20"/>
      <c r="R1179" s="17"/>
    </row>
    <row r="1180" spans="1:18" s="16" customFormat="1" ht="15.75">
      <c r="A1180" s="14"/>
      <c r="B1180" s="125" t="s">
        <v>32</v>
      </c>
      <c r="C1180" s="109" t="s">
        <v>406</v>
      </c>
      <c r="D1180" s="108" t="s">
        <v>342</v>
      </c>
      <c r="E1180" s="108" t="s">
        <v>86</v>
      </c>
      <c r="F1180" s="108" t="s">
        <v>742</v>
      </c>
      <c r="G1180" s="108" t="s">
        <v>33</v>
      </c>
      <c r="H1180" s="126">
        <f>SUM(H1181:H1182)</f>
        <v>0</v>
      </c>
      <c r="L1180" s="20">
        <v>8</v>
      </c>
      <c r="M1180" s="20">
        <v>8</v>
      </c>
      <c r="N1180" s="20">
        <v>8</v>
      </c>
      <c r="O1180" s="20">
        <f>H1180-L1180</f>
        <v>-8</v>
      </c>
      <c r="P1180" s="20" t="e">
        <f>#REF!-M1180</f>
        <v>#REF!</v>
      </c>
      <c r="Q1180" s="20" t="e">
        <f>#REF!-N1180</f>
        <v>#REF!</v>
      </c>
      <c r="R1180" s="17" t="str">
        <f t="shared" si="119"/>
        <v>78 1 00 10010850</v>
      </c>
    </row>
    <row r="1181" spans="1:18" s="23" customFormat="1" ht="31.5">
      <c r="A1181" s="21"/>
      <c r="B1181" s="127" t="s">
        <v>34</v>
      </c>
      <c r="C1181" s="109" t="s">
        <v>406</v>
      </c>
      <c r="D1181" s="108" t="s">
        <v>342</v>
      </c>
      <c r="E1181" s="108" t="s">
        <v>86</v>
      </c>
      <c r="F1181" s="108" t="s">
        <v>742</v>
      </c>
      <c r="G1181" s="108" t="s">
        <v>35</v>
      </c>
      <c r="H1181" s="126"/>
      <c r="L1181" s="22"/>
      <c r="M1181" s="22"/>
      <c r="N1181" s="22"/>
      <c r="O1181" s="22"/>
      <c r="P1181" s="22"/>
      <c r="Q1181" s="22"/>
      <c r="R1181" s="24"/>
    </row>
    <row r="1182" spans="1:18" s="23" customFormat="1" ht="15.75">
      <c r="A1182" s="21"/>
      <c r="B1182" s="127" t="s">
        <v>36</v>
      </c>
      <c r="C1182" s="109" t="s">
        <v>406</v>
      </c>
      <c r="D1182" s="108" t="s">
        <v>342</v>
      </c>
      <c r="E1182" s="108" t="s">
        <v>86</v>
      </c>
      <c r="F1182" s="108" t="s">
        <v>742</v>
      </c>
      <c r="G1182" s="108" t="s">
        <v>37</v>
      </c>
      <c r="H1182" s="126"/>
      <c r="L1182" s="22"/>
      <c r="M1182" s="22"/>
      <c r="N1182" s="22"/>
      <c r="O1182" s="22"/>
      <c r="P1182" s="22"/>
      <c r="Q1182" s="22"/>
      <c r="R1182" s="24"/>
    </row>
    <row r="1183" spans="1:18" s="16" customFormat="1" ht="31.5">
      <c r="A1183" s="14"/>
      <c r="B1183" s="125" t="s">
        <v>38</v>
      </c>
      <c r="C1183" s="109" t="s">
        <v>406</v>
      </c>
      <c r="D1183" s="108" t="s">
        <v>342</v>
      </c>
      <c r="E1183" s="108" t="s">
        <v>86</v>
      </c>
      <c r="F1183" s="108" t="s">
        <v>743</v>
      </c>
      <c r="G1183" s="108" t="s">
        <v>9</v>
      </c>
      <c r="H1183" s="126">
        <f>H1184</f>
        <v>0</v>
      </c>
      <c r="L1183" s="20">
        <v>7074.5400000000009</v>
      </c>
      <c r="M1183" s="20">
        <v>7074.5400000000009</v>
      </c>
      <c r="N1183" s="20">
        <v>7074.5400000000009</v>
      </c>
      <c r="O1183" s="20">
        <f>H1183-L1183</f>
        <v>-7074.5400000000009</v>
      </c>
      <c r="P1183" s="20" t="e">
        <f>#REF!-M1183</f>
        <v>#REF!</v>
      </c>
      <c r="Q1183" s="20" t="e">
        <f>#REF!-N1183</f>
        <v>#REF!</v>
      </c>
      <c r="R1183" s="17" t="str">
        <f t="shared" si="119"/>
        <v>78 1 00 10020000</v>
      </c>
    </row>
    <row r="1184" spans="1:18" s="16" customFormat="1" ht="31.5">
      <c r="A1184" s="14"/>
      <c r="B1184" s="127" t="s">
        <v>20</v>
      </c>
      <c r="C1184" s="109" t="s">
        <v>406</v>
      </c>
      <c r="D1184" s="108" t="s">
        <v>342</v>
      </c>
      <c r="E1184" s="108" t="s">
        <v>86</v>
      </c>
      <c r="F1184" s="108" t="s">
        <v>743</v>
      </c>
      <c r="G1184" s="108" t="s">
        <v>21</v>
      </c>
      <c r="H1184" s="126">
        <f>SUM(H1185:H1186)</f>
        <v>0</v>
      </c>
      <c r="L1184" s="20">
        <v>7074.5400000000009</v>
      </c>
      <c r="M1184" s="20">
        <v>7074.5400000000009</v>
      </c>
      <c r="N1184" s="20">
        <v>7074.5400000000009</v>
      </c>
      <c r="O1184" s="20">
        <f>H1184-L1184</f>
        <v>-7074.5400000000009</v>
      </c>
      <c r="P1184" s="20" t="e">
        <f>#REF!-M1184</f>
        <v>#REF!</v>
      </c>
      <c r="Q1184" s="20" t="e">
        <f>#REF!-N1184</f>
        <v>#REF!</v>
      </c>
      <c r="R1184" s="17" t="str">
        <f t="shared" si="119"/>
        <v>78 1 00 10020120</v>
      </c>
    </row>
    <row r="1185" spans="1:18" s="23" customFormat="1" ht="31.5">
      <c r="A1185" s="21"/>
      <c r="B1185" s="127" t="s">
        <v>40</v>
      </c>
      <c r="C1185" s="109" t="s">
        <v>406</v>
      </c>
      <c r="D1185" s="108" t="s">
        <v>342</v>
      </c>
      <c r="E1185" s="108" t="s">
        <v>86</v>
      </c>
      <c r="F1185" s="108" t="s">
        <v>743</v>
      </c>
      <c r="G1185" s="108" t="s">
        <v>41</v>
      </c>
      <c r="H1185" s="126"/>
      <c r="L1185" s="22"/>
      <c r="M1185" s="22"/>
      <c r="N1185" s="22"/>
      <c r="O1185" s="22"/>
      <c r="P1185" s="22"/>
      <c r="Q1185" s="22"/>
      <c r="R1185" s="24"/>
    </row>
    <row r="1186" spans="1:18" s="23" customFormat="1" ht="63">
      <c r="A1186" s="21"/>
      <c r="B1186" s="127" t="s">
        <v>26</v>
      </c>
      <c r="C1186" s="109" t="s">
        <v>406</v>
      </c>
      <c r="D1186" s="108" t="s">
        <v>342</v>
      </c>
      <c r="E1186" s="108" t="s">
        <v>86</v>
      </c>
      <c r="F1186" s="108" t="s">
        <v>743</v>
      </c>
      <c r="G1186" s="108" t="s">
        <v>27</v>
      </c>
      <c r="H1186" s="126"/>
      <c r="L1186" s="22"/>
      <c r="M1186" s="22"/>
      <c r="N1186" s="22"/>
      <c r="O1186" s="22"/>
      <c r="P1186" s="22"/>
      <c r="Q1186" s="22"/>
      <c r="R1186" s="24"/>
    </row>
    <row r="1187" spans="1:18" s="16" customFormat="1" ht="31.5">
      <c r="A1187" s="14"/>
      <c r="B1187" s="138" t="s">
        <v>136</v>
      </c>
      <c r="C1187" s="109" t="s">
        <v>406</v>
      </c>
      <c r="D1187" s="108" t="s">
        <v>342</v>
      </c>
      <c r="E1187" s="108" t="s">
        <v>86</v>
      </c>
      <c r="F1187" s="142" t="s">
        <v>744</v>
      </c>
      <c r="G1187" s="142" t="s">
        <v>9</v>
      </c>
      <c r="H1187" s="126">
        <f>H1188+H1191</f>
        <v>0</v>
      </c>
      <c r="L1187" s="20">
        <v>9108.4</v>
      </c>
      <c r="M1187" s="20">
        <v>9108.4</v>
      </c>
      <c r="N1187" s="20">
        <v>9108.4</v>
      </c>
      <c r="O1187" s="20">
        <f>H1187-L1187</f>
        <v>-9108.4</v>
      </c>
      <c r="P1187" s="20" t="e">
        <f>#REF!-M1187</f>
        <v>#REF!</v>
      </c>
      <c r="Q1187" s="20" t="e">
        <f>#REF!-N1187</f>
        <v>#REF!</v>
      </c>
      <c r="R1187" s="17" t="str">
        <f t="shared" ref="R1187:R1281" si="132">CONCATENATE(F1187,G1187)</f>
        <v>78 1 00 11010000</v>
      </c>
    </row>
    <row r="1188" spans="1:18" s="16" customFormat="1" ht="15.75">
      <c r="A1188" s="14"/>
      <c r="B1188" s="137" t="s">
        <v>138</v>
      </c>
      <c r="C1188" s="109" t="s">
        <v>406</v>
      </c>
      <c r="D1188" s="108" t="s">
        <v>342</v>
      </c>
      <c r="E1188" s="108" t="s">
        <v>86</v>
      </c>
      <c r="F1188" s="142" t="s">
        <v>744</v>
      </c>
      <c r="G1188" s="142" t="s">
        <v>139</v>
      </c>
      <c r="H1188" s="126">
        <f>SUM(H1189:H1190)</f>
        <v>0</v>
      </c>
      <c r="L1188" s="20">
        <v>7968.4</v>
      </c>
      <c r="M1188" s="20">
        <v>7968.4</v>
      </c>
      <c r="N1188" s="20">
        <v>7968.4</v>
      </c>
      <c r="O1188" s="20">
        <f>H1188-L1188</f>
        <v>-7968.4</v>
      </c>
      <c r="P1188" s="20" t="e">
        <f>#REF!-M1188</f>
        <v>#REF!</v>
      </c>
      <c r="Q1188" s="20" t="e">
        <f>#REF!-N1188</f>
        <v>#REF!</v>
      </c>
      <c r="R1188" s="17" t="str">
        <f t="shared" si="132"/>
        <v>78 1 00 11010110</v>
      </c>
    </row>
    <row r="1189" spans="1:18" s="23" customFormat="1" ht="15.75">
      <c r="A1189" s="21"/>
      <c r="B1189" s="127" t="s">
        <v>140</v>
      </c>
      <c r="C1189" s="109" t="s">
        <v>406</v>
      </c>
      <c r="D1189" s="108" t="s">
        <v>342</v>
      </c>
      <c r="E1189" s="108" t="s">
        <v>86</v>
      </c>
      <c r="F1189" s="142" t="s">
        <v>744</v>
      </c>
      <c r="G1189" s="142" t="s">
        <v>141</v>
      </c>
      <c r="H1189" s="126"/>
      <c r="L1189" s="22"/>
      <c r="M1189" s="22"/>
      <c r="N1189" s="22"/>
      <c r="O1189" s="22"/>
      <c r="P1189" s="22"/>
      <c r="Q1189" s="22"/>
      <c r="R1189" s="24"/>
    </row>
    <row r="1190" spans="1:18" s="23" customFormat="1" ht="47.25">
      <c r="A1190" s="21"/>
      <c r="B1190" s="127" t="s">
        <v>487</v>
      </c>
      <c r="C1190" s="109" t="s">
        <v>406</v>
      </c>
      <c r="D1190" s="108" t="s">
        <v>342</v>
      </c>
      <c r="E1190" s="108" t="s">
        <v>86</v>
      </c>
      <c r="F1190" s="142" t="s">
        <v>744</v>
      </c>
      <c r="G1190" s="142" t="s">
        <v>145</v>
      </c>
      <c r="H1190" s="126"/>
      <c r="L1190" s="22"/>
      <c r="M1190" s="22"/>
      <c r="N1190" s="22"/>
      <c r="O1190" s="22"/>
      <c r="P1190" s="22"/>
      <c r="Q1190" s="22"/>
      <c r="R1190" s="24"/>
    </row>
    <row r="1191" spans="1:18" s="16" customFormat="1" ht="31.5">
      <c r="A1191" s="14"/>
      <c r="B1191" s="125" t="s">
        <v>28</v>
      </c>
      <c r="C1191" s="109" t="s">
        <v>406</v>
      </c>
      <c r="D1191" s="108" t="s">
        <v>342</v>
      </c>
      <c r="E1191" s="108" t="s">
        <v>86</v>
      </c>
      <c r="F1191" s="142" t="s">
        <v>744</v>
      </c>
      <c r="G1191" s="142" t="s">
        <v>29</v>
      </c>
      <c r="H1191" s="126">
        <f>H1192</f>
        <v>0</v>
      </c>
      <c r="L1191" s="20">
        <v>1140</v>
      </c>
      <c r="M1191" s="20">
        <v>1140</v>
      </c>
      <c r="N1191" s="20">
        <v>1140</v>
      </c>
      <c r="O1191" s="20">
        <f>H1191-L1191</f>
        <v>-1140</v>
      </c>
      <c r="P1191" s="20" t="e">
        <f>#REF!-M1191</f>
        <v>#REF!</v>
      </c>
      <c r="Q1191" s="20" t="e">
        <f>#REF!-N1191</f>
        <v>#REF!</v>
      </c>
      <c r="R1191" s="17" t="str">
        <f t="shared" si="132"/>
        <v>78 1 00 11010240</v>
      </c>
    </row>
    <row r="1192" spans="1:18" s="16" customFormat="1" ht="15.75">
      <c r="A1192" s="14"/>
      <c r="B1192" s="125" t="s">
        <v>30</v>
      </c>
      <c r="C1192" s="109" t="s">
        <v>406</v>
      </c>
      <c r="D1192" s="108" t="s">
        <v>342</v>
      </c>
      <c r="E1192" s="108" t="s">
        <v>86</v>
      </c>
      <c r="F1192" s="142" t="s">
        <v>744</v>
      </c>
      <c r="G1192" s="142" t="s">
        <v>31</v>
      </c>
      <c r="H1192" s="126"/>
      <c r="L1192" s="20"/>
      <c r="M1192" s="20"/>
      <c r="N1192" s="20"/>
      <c r="O1192" s="20"/>
      <c r="P1192" s="20"/>
      <c r="Q1192" s="20"/>
      <c r="R1192" s="17"/>
    </row>
    <row r="1193" spans="1:18" s="16" customFormat="1" ht="15.75">
      <c r="A1193" s="14"/>
      <c r="B1193" s="127"/>
      <c r="C1193" s="109"/>
      <c r="D1193" s="108"/>
      <c r="E1193" s="108"/>
      <c r="F1193" s="108"/>
      <c r="G1193" s="108"/>
      <c r="H1193" s="126"/>
      <c r="L1193" s="20"/>
      <c r="M1193" s="20"/>
      <c r="N1193" s="20"/>
      <c r="O1193" s="20">
        <f t="shared" ref="O1193:O1200" si="133">H1193-L1193</f>
        <v>0</v>
      </c>
      <c r="P1193" s="20" t="e">
        <f>#REF!-M1193</f>
        <v>#REF!</v>
      </c>
      <c r="Q1193" s="20" t="e">
        <f>#REF!-N1193</f>
        <v>#REF!</v>
      </c>
      <c r="R1193" s="17" t="str">
        <f t="shared" si="132"/>
        <v/>
      </c>
    </row>
    <row r="1194" spans="1:18" s="16" customFormat="1" ht="31.5">
      <c r="A1194" s="14"/>
      <c r="B1194" s="67" t="s">
        <v>745</v>
      </c>
      <c r="C1194" s="116" t="s">
        <v>746</v>
      </c>
      <c r="D1194" s="69" t="s">
        <v>7</v>
      </c>
      <c r="E1194" s="69" t="s">
        <v>7</v>
      </c>
      <c r="F1194" s="69" t="s">
        <v>8</v>
      </c>
      <c r="G1194" s="69" t="s">
        <v>9</v>
      </c>
      <c r="H1194" s="70">
        <f>H1195+H1237+H1248+H1275</f>
        <v>0</v>
      </c>
      <c r="L1194" s="25">
        <v>136890.37999999998</v>
      </c>
      <c r="M1194" s="25">
        <v>136743.88999999998</v>
      </c>
      <c r="N1194" s="25">
        <v>144115.65</v>
      </c>
      <c r="O1194" s="25">
        <f t="shared" si="133"/>
        <v>-136890.37999999998</v>
      </c>
      <c r="P1194" s="25" t="e">
        <f>#REF!-M1194</f>
        <v>#REF!</v>
      </c>
      <c r="Q1194" s="25" t="e">
        <f>#REF!-N1194</f>
        <v>#REF!</v>
      </c>
      <c r="R1194" s="17" t="str">
        <f t="shared" si="132"/>
        <v>00 0 00 00000000</v>
      </c>
    </row>
    <row r="1195" spans="1:18" s="16" customFormat="1" ht="15.75">
      <c r="A1195" s="14"/>
      <c r="B1195" s="117" t="s">
        <v>10</v>
      </c>
      <c r="C1195" s="118" t="s">
        <v>746</v>
      </c>
      <c r="D1195" s="119" t="s">
        <v>11</v>
      </c>
      <c r="E1195" s="119" t="s">
        <v>7</v>
      </c>
      <c r="F1195" s="119" t="s">
        <v>8</v>
      </c>
      <c r="G1195" s="119" t="s">
        <v>9</v>
      </c>
      <c r="H1195" s="120">
        <f>H1196+H1222</f>
        <v>0</v>
      </c>
      <c r="L1195" s="18">
        <v>35074.359999999993</v>
      </c>
      <c r="M1195" s="18">
        <v>33719.359999999993</v>
      </c>
      <c r="N1195" s="18">
        <v>33719.359999999993</v>
      </c>
      <c r="O1195" s="18">
        <f t="shared" si="133"/>
        <v>-35074.359999999993</v>
      </c>
      <c r="P1195" s="18" t="e">
        <f>#REF!-M1195</f>
        <v>#REF!</v>
      </c>
      <c r="Q1195" s="18" t="e">
        <f>#REF!-N1195</f>
        <v>#REF!</v>
      </c>
      <c r="R1195" s="17" t="str">
        <f t="shared" si="132"/>
        <v>00 0 00 00000000</v>
      </c>
    </row>
    <row r="1196" spans="1:18" s="16" customFormat="1" ht="63">
      <c r="A1196" s="14"/>
      <c r="B1196" s="121" t="s">
        <v>72</v>
      </c>
      <c r="C1196" s="122" t="s">
        <v>746</v>
      </c>
      <c r="D1196" s="123" t="s">
        <v>11</v>
      </c>
      <c r="E1196" s="123" t="s">
        <v>73</v>
      </c>
      <c r="F1196" s="123" t="s">
        <v>8</v>
      </c>
      <c r="G1196" s="123" t="s">
        <v>9</v>
      </c>
      <c r="H1196" s="124">
        <f t="shared" ref="H1196:H1197" si="134">H1197</f>
        <v>0</v>
      </c>
      <c r="L1196" s="19">
        <v>33329.159999999996</v>
      </c>
      <c r="M1196" s="19">
        <v>33329.159999999996</v>
      </c>
      <c r="N1196" s="19">
        <v>33329.159999999996</v>
      </c>
      <c r="O1196" s="19">
        <f t="shared" si="133"/>
        <v>-33329.159999999996</v>
      </c>
      <c r="P1196" s="19" t="e">
        <f>#REF!-M1196</f>
        <v>#REF!</v>
      </c>
      <c r="Q1196" s="19" t="e">
        <f>#REF!-N1196</f>
        <v>#REF!</v>
      </c>
      <c r="R1196" s="17" t="str">
        <f t="shared" si="132"/>
        <v>00 0 00 00000000</v>
      </c>
    </row>
    <row r="1197" spans="1:18" s="16" customFormat="1" ht="31.5">
      <c r="A1197" s="14"/>
      <c r="B1197" s="140" t="s">
        <v>747</v>
      </c>
      <c r="C1197" s="130" t="s">
        <v>746</v>
      </c>
      <c r="D1197" s="131" t="s">
        <v>11</v>
      </c>
      <c r="E1197" s="131" t="s">
        <v>73</v>
      </c>
      <c r="F1197" s="131" t="s">
        <v>748</v>
      </c>
      <c r="G1197" s="131" t="s">
        <v>9</v>
      </c>
      <c r="H1197" s="105">
        <f t="shared" si="134"/>
        <v>0</v>
      </c>
      <c r="L1197" s="26">
        <v>33329.159999999996</v>
      </c>
      <c r="M1197" s="26">
        <v>33329.159999999996</v>
      </c>
      <c r="N1197" s="26">
        <v>33329.159999999996</v>
      </c>
      <c r="O1197" s="26">
        <f t="shared" si="133"/>
        <v>-33329.159999999996</v>
      </c>
      <c r="P1197" s="26" t="e">
        <f>#REF!-M1197</f>
        <v>#REF!</v>
      </c>
      <c r="Q1197" s="26" t="e">
        <f>#REF!-N1197</f>
        <v>#REF!</v>
      </c>
      <c r="R1197" s="17" t="str">
        <f t="shared" si="132"/>
        <v>80 0 00 00000000</v>
      </c>
    </row>
    <row r="1198" spans="1:18" s="16" customFormat="1" ht="47.25">
      <c r="A1198" s="14"/>
      <c r="B1198" s="140" t="s">
        <v>749</v>
      </c>
      <c r="C1198" s="130" t="s">
        <v>746</v>
      </c>
      <c r="D1198" s="131" t="s">
        <v>11</v>
      </c>
      <c r="E1198" s="131" t="s">
        <v>73</v>
      </c>
      <c r="F1198" s="131" t="s">
        <v>750</v>
      </c>
      <c r="G1198" s="131" t="s">
        <v>9</v>
      </c>
      <c r="H1198" s="105">
        <f>H1199+H1208+H1212+H1219</f>
        <v>0</v>
      </c>
      <c r="L1198" s="26">
        <v>33329.159999999996</v>
      </c>
      <c r="M1198" s="26">
        <v>33329.159999999996</v>
      </c>
      <c r="N1198" s="26">
        <v>33329.159999999996</v>
      </c>
      <c r="O1198" s="26">
        <f t="shared" si="133"/>
        <v>-33329.159999999996</v>
      </c>
      <c r="P1198" s="26" t="e">
        <f>#REF!-M1198</f>
        <v>#REF!</v>
      </c>
      <c r="Q1198" s="26" t="e">
        <f>#REF!-N1198</f>
        <v>#REF!</v>
      </c>
      <c r="R1198" s="17" t="str">
        <f t="shared" si="132"/>
        <v>80 1 00 00000000</v>
      </c>
    </row>
    <row r="1199" spans="1:18" s="16" customFormat="1" ht="31.5">
      <c r="A1199" s="14"/>
      <c r="B1199" s="125" t="s">
        <v>18</v>
      </c>
      <c r="C1199" s="130" t="s">
        <v>746</v>
      </c>
      <c r="D1199" s="131" t="s">
        <v>11</v>
      </c>
      <c r="E1199" s="131" t="s">
        <v>73</v>
      </c>
      <c r="F1199" s="131" t="s">
        <v>751</v>
      </c>
      <c r="G1199" s="131" t="s">
        <v>9</v>
      </c>
      <c r="H1199" s="105">
        <f>H1200+H1203+H1205</f>
        <v>0</v>
      </c>
      <c r="L1199" s="26">
        <v>4038.21</v>
      </c>
      <c r="M1199" s="26">
        <v>4038.21</v>
      </c>
      <c r="N1199" s="26">
        <v>4038.21</v>
      </c>
      <c r="O1199" s="26">
        <f t="shared" si="133"/>
        <v>-4038.21</v>
      </c>
      <c r="P1199" s="26" t="e">
        <f>#REF!-M1199</f>
        <v>#REF!</v>
      </c>
      <c r="Q1199" s="26" t="e">
        <f>#REF!-N1199</f>
        <v>#REF!</v>
      </c>
      <c r="R1199" s="17" t="str">
        <f t="shared" si="132"/>
        <v>80 1 00 10010000</v>
      </c>
    </row>
    <row r="1200" spans="1:18" s="16" customFormat="1" ht="31.5">
      <c r="A1200" s="14"/>
      <c r="B1200" s="127" t="s">
        <v>20</v>
      </c>
      <c r="C1200" s="130" t="s">
        <v>746</v>
      </c>
      <c r="D1200" s="131" t="s">
        <v>11</v>
      </c>
      <c r="E1200" s="131" t="s">
        <v>73</v>
      </c>
      <c r="F1200" s="131" t="s">
        <v>751</v>
      </c>
      <c r="G1200" s="131" t="s">
        <v>21</v>
      </c>
      <c r="H1200" s="126">
        <f>SUM(H1201:H1202)</f>
        <v>0</v>
      </c>
      <c r="L1200" s="26">
        <v>620.46</v>
      </c>
      <c r="M1200" s="26">
        <v>620.46</v>
      </c>
      <c r="N1200" s="26">
        <v>620.46</v>
      </c>
      <c r="O1200" s="26">
        <f t="shared" si="133"/>
        <v>-620.46</v>
      </c>
      <c r="P1200" s="26" t="e">
        <f>#REF!-M1200</f>
        <v>#REF!</v>
      </c>
      <c r="Q1200" s="26" t="e">
        <f>#REF!-N1200</f>
        <v>#REF!</v>
      </c>
      <c r="R1200" s="17" t="str">
        <f t="shared" si="132"/>
        <v>80 1 00 10010120</v>
      </c>
    </row>
    <row r="1201" spans="1:18" s="23" customFormat="1" ht="47.25">
      <c r="A1201" s="21"/>
      <c r="B1201" s="127" t="s">
        <v>22</v>
      </c>
      <c r="C1201" s="130" t="s">
        <v>746</v>
      </c>
      <c r="D1201" s="131" t="s">
        <v>11</v>
      </c>
      <c r="E1201" s="131" t="s">
        <v>73</v>
      </c>
      <c r="F1201" s="131" t="s">
        <v>751</v>
      </c>
      <c r="G1201" s="108" t="s">
        <v>23</v>
      </c>
      <c r="H1201" s="126"/>
      <c r="L1201" s="22"/>
      <c r="M1201" s="22"/>
      <c r="N1201" s="22"/>
      <c r="O1201" s="22"/>
      <c r="P1201" s="22"/>
      <c r="Q1201" s="22"/>
      <c r="R1201" s="24"/>
    </row>
    <row r="1202" spans="1:18" s="23" customFormat="1" ht="63">
      <c r="A1202" s="21"/>
      <c r="B1202" s="127" t="s">
        <v>26</v>
      </c>
      <c r="C1202" s="130" t="s">
        <v>746</v>
      </c>
      <c r="D1202" s="131" t="s">
        <v>11</v>
      </c>
      <c r="E1202" s="131" t="s">
        <v>73</v>
      </c>
      <c r="F1202" s="131" t="s">
        <v>751</v>
      </c>
      <c r="G1202" s="108" t="s">
        <v>27</v>
      </c>
      <c r="H1202" s="126"/>
      <c r="L1202" s="22"/>
      <c r="M1202" s="22"/>
      <c r="N1202" s="22"/>
      <c r="O1202" s="22"/>
      <c r="P1202" s="22"/>
      <c r="Q1202" s="22"/>
      <c r="R1202" s="24"/>
    </row>
    <row r="1203" spans="1:18" s="16" customFormat="1" ht="31.5">
      <c r="A1203" s="14"/>
      <c r="B1203" s="125" t="s">
        <v>28</v>
      </c>
      <c r="C1203" s="130" t="s">
        <v>746</v>
      </c>
      <c r="D1203" s="131" t="s">
        <v>11</v>
      </c>
      <c r="E1203" s="131" t="s">
        <v>73</v>
      </c>
      <c r="F1203" s="131" t="s">
        <v>751</v>
      </c>
      <c r="G1203" s="131" t="s">
        <v>29</v>
      </c>
      <c r="H1203" s="126">
        <f>H1204</f>
        <v>0</v>
      </c>
      <c r="L1203" s="26">
        <v>3320.75</v>
      </c>
      <c r="M1203" s="26">
        <v>3320.75</v>
      </c>
      <c r="N1203" s="26">
        <v>3320.75</v>
      </c>
      <c r="O1203" s="26">
        <f>H1203-L1203</f>
        <v>-3320.75</v>
      </c>
      <c r="P1203" s="26" t="e">
        <f>#REF!-M1203</f>
        <v>#REF!</v>
      </c>
      <c r="Q1203" s="26" t="e">
        <f>#REF!-N1203</f>
        <v>#REF!</v>
      </c>
      <c r="R1203" s="17" t="str">
        <f t="shared" si="132"/>
        <v>80 1 00 10010240</v>
      </c>
    </row>
    <row r="1204" spans="1:18" s="16" customFormat="1" ht="15.75">
      <c r="A1204" s="14"/>
      <c r="B1204" s="125" t="s">
        <v>30</v>
      </c>
      <c r="C1204" s="130" t="s">
        <v>746</v>
      </c>
      <c r="D1204" s="131" t="s">
        <v>11</v>
      </c>
      <c r="E1204" s="131" t="s">
        <v>73</v>
      </c>
      <c r="F1204" s="131" t="s">
        <v>751</v>
      </c>
      <c r="G1204" s="131" t="s">
        <v>31</v>
      </c>
      <c r="H1204" s="126"/>
      <c r="L1204" s="26"/>
      <c r="M1204" s="26"/>
      <c r="N1204" s="26"/>
      <c r="O1204" s="26"/>
      <c r="P1204" s="26"/>
      <c r="Q1204" s="26"/>
      <c r="R1204" s="17"/>
    </row>
    <row r="1205" spans="1:18" s="16" customFormat="1" ht="15.75">
      <c r="A1205" s="14"/>
      <c r="B1205" s="125" t="s">
        <v>32</v>
      </c>
      <c r="C1205" s="130" t="s">
        <v>746</v>
      </c>
      <c r="D1205" s="131" t="s">
        <v>11</v>
      </c>
      <c r="E1205" s="131" t="s">
        <v>73</v>
      </c>
      <c r="F1205" s="131" t="s">
        <v>751</v>
      </c>
      <c r="G1205" s="131" t="s">
        <v>33</v>
      </c>
      <c r="H1205" s="126">
        <f>SUM(H1206:H1207)</f>
        <v>0</v>
      </c>
      <c r="L1205" s="26">
        <v>97</v>
      </c>
      <c r="M1205" s="26">
        <v>97</v>
      </c>
      <c r="N1205" s="26">
        <v>97</v>
      </c>
      <c r="O1205" s="26">
        <f>H1205-L1205</f>
        <v>-97</v>
      </c>
      <c r="P1205" s="26" t="e">
        <f>#REF!-M1205</f>
        <v>#REF!</v>
      </c>
      <c r="Q1205" s="26" t="e">
        <f>#REF!-N1205</f>
        <v>#REF!</v>
      </c>
      <c r="R1205" s="17" t="str">
        <f t="shared" si="132"/>
        <v>80 1 00 10010850</v>
      </c>
    </row>
    <row r="1206" spans="1:18" s="23" customFormat="1" ht="31.5">
      <c r="A1206" s="21"/>
      <c r="B1206" s="127" t="s">
        <v>34</v>
      </c>
      <c r="C1206" s="130" t="s">
        <v>746</v>
      </c>
      <c r="D1206" s="131" t="s">
        <v>11</v>
      </c>
      <c r="E1206" s="131" t="s">
        <v>73</v>
      </c>
      <c r="F1206" s="131" t="s">
        <v>751</v>
      </c>
      <c r="G1206" s="108" t="s">
        <v>35</v>
      </c>
      <c r="H1206" s="126"/>
      <c r="L1206" s="22"/>
      <c r="M1206" s="22"/>
      <c r="N1206" s="22"/>
      <c r="O1206" s="22"/>
      <c r="P1206" s="22"/>
      <c r="Q1206" s="22"/>
      <c r="R1206" s="24"/>
    </row>
    <row r="1207" spans="1:18" s="23" customFormat="1" ht="15.75">
      <c r="A1207" s="21"/>
      <c r="B1207" s="127" t="s">
        <v>36</v>
      </c>
      <c r="C1207" s="130" t="s">
        <v>746</v>
      </c>
      <c r="D1207" s="131" t="s">
        <v>11</v>
      </c>
      <c r="E1207" s="131" t="s">
        <v>73</v>
      </c>
      <c r="F1207" s="131" t="s">
        <v>751</v>
      </c>
      <c r="G1207" s="108" t="s">
        <v>37</v>
      </c>
      <c r="H1207" s="126"/>
      <c r="L1207" s="22"/>
      <c r="M1207" s="22"/>
      <c r="N1207" s="22"/>
      <c r="O1207" s="22"/>
      <c r="P1207" s="22"/>
      <c r="Q1207" s="22"/>
      <c r="R1207" s="24"/>
    </row>
    <row r="1208" spans="1:18" s="16" customFormat="1" ht="31.5">
      <c r="A1208" s="14"/>
      <c r="B1208" s="125" t="s">
        <v>38</v>
      </c>
      <c r="C1208" s="130" t="s">
        <v>746</v>
      </c>
      <c r="D1208" s="131" t="s">
        <v>11</v>
      </c>
      <c r="E1208" s="131" t="s">
        <v>73</v>
      </c>
      <c r="F1208" s="131" t="s">
        <v>752</v>
      </c>
      <c r="G1208" s="131" t="s">
        <v>9</v>
      </c>
      <c r="H1208" s="126">
        <f>H1209</f>
        <v>0</v>
      </c>
      <c r="L1208" s="20">
        <v>28172.3</v>
      </c>
      <c r="M1208" s="20">
        <v>28172.3</v>
      </c>
      <c r="N1208" s="20">
        <v>28172.3</v>
      </c>
      <c r="O1208" s="20">
        <f>H1208-L1208</f>
        <v>-28172.3</v>
      </c>
      <c r="P1208" s="20" t="e">
        <f>#REF!-M1208</f>
        <v>#REF!</v>
      </c>
      <c r="Q1208" s="20" t="e">
        <f>#REF!-N1208</f>
        <v>#REF!</v>
      </c>
      <c r="R1208" s="17" t="str">
        <f t="shared" si="132"/>
        <v>80 1 00 10020000</v>
      </c>
    </row>
    <row r="1209" spans="1:18" s="16" customFormat="1" ht="31.5">
      <c r="A1209" s="14"/>
      <c r="B1209" s="127" t="s">
        <v>20</v>
      </c>
      <c r="C1209" s="130" t="s">
        <v>746</v>
      </c>
      <c r="D1209" s="131" t="s">
        <v>11</v>
      </c>
      <c r="E1209" s="131" t="s">
        <v>73</v>
      </c>
      <c r="F1209" s="131" t="s">
        <v>752</v>
      </c>
      <c r="G1209" s="131" t="s">
        <v>21</v>
      </c>
      <c r="H1209" s="126">
        <f>SUM(H1210:H1211)</f>
        <v>0</v>
      </c>
      <c r="L1209" s="20">
        <v>28172.3</v>
      </c>
      <c r="M1209" s="20">
        <v>28172.3</v>
      </c>
      <c r="N1209" s="20">
        <v>28172.3</v>
      </c>
      <c r="O1209" s="20">
        <f>H1209-L1209</f>
        <v>-28172.3</v>
      </c>
      <c r="P1209" s="20" t="e">
        <f>#REF!-M1209</f>
        <v>#REF!</v>
      </c>
      <c r="Q1209" s="20" t="e">
        <f>#REF!-N1209</f>
        <v>#REF!</v>
      </c>
      <c r="R1209" s="17" t="str">
        <f t="shared" si="132"/>
        <v>80 1 00 10020120</v>
      </c>
    </row>
    <row r="1210" spans="1:18" s="23" customFormat="1" ht="31.5">
      <c r="A1210" s="21"/>
      <c r="B1210" s="127" t="s">
        <v>40</v>
      </c>
      <c r="C1210" s="130" t="s">
        <v>746</v>
      </c>
      <c r="D1210" s="131" t="s">
        <v>11</v>
      </c>
      <c r="E1210" s="131" t="s">
        <v>73</v>
      </c>
      <c r="F1210" s="131" t="s">
        <v>752</v>
      </c>
      <c r="G1210" s="108" t="s">
        <v>41</v>
      </c>
      <c r="H1210" s="126"/>
      <c r="L1210" s="22"/>
      <c r="M1210" s="22"/>
      <c r="N1210" s="22"/>
      <c r="O1210" s="22"/>
      <c r="P1210" s="22"/>
      <c r="Q1210" s="22"/>
      <c r="R1210" s="24"/>
    </row>
    <row r="1211" spans="1:18" s="23" customFormat="1" ht="63">
      <c r="A1211" s="21"/>
      <c r="B1211" s="127" t="s">
        <v>26</v>
      </c>
      <c r="C1211" s="130" t="s">
        <v>746</v>
      </c>
      <c r="D1211" s="131" t="s">
        <v>11</v>
      </c>
      <c r="E1211" s="131" t="s">
        <v>73</v>
      </c>
      <c r="F1211" s="131" t="s">
        <v>752</v>
      </c>
      <c r="G1211" s="108" t="s">
        <v>27</v>
      </c>
      <c r="H1211" s="126"/>
      <c r="L1211" s="22"/>
      <c r="M1211" s="22"/>
      <c r="N1211" s="22"/>
      <c r="O1211" s="22"/>
      <c r="P1211" s="22"/>
      <c r="Q1211" s="22"/>
      <c r="R1211" s="24"/>
    </row>
    <row r="1212" spans="1:18" s="16" customFormat="1" ht="63">
      <c r="A1212" s="14" t="s">
        <v>80</v>
      </c>
      <c r="B1212" s="150" t="s">
        <v>488</v>
      </c>
      <c r="C1212" s="130" t="s">
        <v>746</v>
      </c>
      <c r="D1212" s="131" t="s">
        <v>11</v>
      </c>
      <c r="E1212" s="131" t="s">
        <v>73</v>
      </c>
      <c r="F1212" s="131" t="s">
        <v>753</v>
      </c>
      <c r="G1212" s="131" t="s">
        <v>9</v>
      </c>
      <c r="H1212" s="126">
        <f>H1213+H1217</f>
        <v>0</v>
      </c>
      <c r="L1212" s="20">
        <v>1047.75</v>
      </c>
      <c r="M1212" s="20">
        <v>1047.75</v>
      </c>
      <c r="N1212" s="20">
        <v>1047.75</v>
      </c>
      <c r="O1212" s="20">
        <f>H1212-L1212</f>
        <v>-1047.75</v>
      </c>
      <c r="P1212" s="20" t="e">
        <f>#REF!-M1212</f>
        <v>#REF!</v>
      </c>
      <c r="Q1212" s="20" t="e">
        <f>#REF!-N1212</f>
        <v>#REF!</v>
      </c>
      <c r="R1212" s="17" t="str">
        <f t="shared" si="132"/>
        <v>80 1 00 76200000</v>
      </c>
    </row>
    <row r="1213" spans="1:18" s="16" customFormat="1" ht="31.5">
      <c r="A1213" s="14"/>
      <c r="B1213" s="129" t="s">
        <v>20</v>
      </c>
      <c r="C1213" s="130" t="s">
        <v>746</v>
      </c>
      <c r="D1213" s="131" t="s">
        <v>11</v>
      </c>
      <c r="E1213" s="131" t="s">
        <v>73</v>
      </c>
      <c r="F1213" s="131" t="s">
        <v>753</v>
      </c>
      <c r="G1213" s="131" t="s">
        <v>21</v>
      </c>
      <c r="H1213" s="126">
        <f>SUM(H1214:H1216)</f>
        <v>0</v>
      </c>
      <c r="L1213" s="26">
        <v>989.33</v>
      </c>
      <c r="M1213" s="26">
        <v>989.33</v>
      </c>
      <c r="N1213" s="26">
        <v>989.33</v>
      </c>
      <c r="O1213" s="26">
        <f>H1213-L1213</f>
        <v>-989.33</v>
      </c>
      <c r="P1213" s="26" t="e">
        <f>#REF!-M1213</f>
        <v>#REF!</v>
      </c>
      <c r="Q1213" s="26" t="e">
        <f>#REF!-N1213</f>
        <v>#REF!</v>
      </c>
      <c r="R1213" s="17" t="str">
        <f t="shared" si="132"/>
        <v>80 1 00 76200120</v>
      </c>
    </row>
    <row r="1214" spans="1:18" s="23" customFormat="1" ht="31.5">
      <c r="A1214" s="21"/>
      <c r="B1214" s="127" t="s">
        <v>40</v>
      </c>
      <c r="C1214" s="130" t="s">
        <v>746</v>
      </c>
      <c r="D1214" s="131" t="s">
        <v>11</v>
      </c>
      <c r="E1214" s="131" t="s">
        <v>73</v>
      </c>
      <c r="F1214" s="131" t="s">
        <v>753</v>
      </c>
      <c r="G1214" s="108" t="s">
        <v>41</v>
      </c>
      <c r="H1214" s="126"/>
      <c r="L1214" s="22"/>
      <c r="M1214" s="22"/>
      <c r="N1214" s="22"/>
      <c r="O1214" s="22"/>
      <c r="P1214" s="22"/>
      <c r="Q1214" s="22"/>
      <c r="R1214" s="24"/>
    </row>
    <row r="1215" spans="1:18" s="23" customFormat="1" ht="47.25">
      <c r="A1215" s="21"/>
      <c r="B1215" s="127" t="s">
        <v>22</v>
      </c>
      <c r="C1215" s="130" t="s">
        <v>746</v>
      </c>
      <c r="D1215" s="131" t="s">
        <v>11</v>
      </c>
      <c r="E1215" s="131" t="s">
        <v>73</v>
      </c>
      <c r="F1215" s="131" t="s">
        <v>753</v>
      </c>
      <c r="G1215" s="108" t="s">
        <v>23</v>
      </c>
      <c r="H1215" s="126"/>
      <c r="L1215" s="22"/>
      <c r="M1215" s="22"/>
      <c r="N1215" s="22"/>
      <c r="O1215" s="22"/>
      <c r="P1215" s="22"/>
      <c r="Q1215" s="22"/>
      <c r="R1215" s="24"/>
    </row>
    <row r="1216" spans="1:18" s="23" customFormat="1" ht="63">
      <c r="A1216" s="21"/>
      <c r="B1216" s="127" t="s">
        <v>26</v>
      </c>
      <c r="C1216" s="130" t="s">
        <v>746</v>
      </c>
      <c r="D1216" s="131" t="s">
        <v>11</v>
      </c>
      <c r="E1216" s="131" t="s">
        <v>73</v>
      </c>
      <c r="F1216" s="131" t="s">
        <v>753</v>
      </c>
      <c r="G1216" s="108" t="s">
        <v>27</v>
      </c>
      <c r="H1216" s="126"/>
      <c r="L1216" s="22"/>
      <c r="M1216" s="22"/>
      <c r="N1216" s="22"/>
      <c r="O1216" s="22"/>
      <c r="P1216" s="22"/>
      <c r="Q1216" s="22"/>
      <c r="R1216" s="24"/>
    </row>
    <row r="1217" spans="1:18" s="16" customFormat="1" ht="31.5">
      <c r="A1217" s="14"/>
      <c r="B1217" s="125" t="s">
        <v>28</v>
      </c>
      <c r="C1217" s="130" t="s">
        <v>746</v>
      </c>
      <c r="D1217" s="131" t="s">
        <v>11</v>
      </c>
      <c r="E1217" s="131" t="s">
        <v>73</v>
      </c>
      <c r="F1217" s="131" t="s">
        <v>753</v>
      </c>
      <c r="G1217" s="131" t="s">
        <v>29</v>
      </c>
      <c r="H1217" s="126">
        <f>H1218</f>
        <v>0</v>
      </c>
      <c r="L1217" s="26">
        <v>58.42</v>
      </c>
      <c r="M1217" s="26">
        <v>58.42</v>
      </c>
      <c r="N1217" s="26">
        <v>58.42</v>
      </c>
      <c r="O1217" s="26">
        <f>H1217-L1217</f>
        <v>-58.42</v>
      </c>
      <c r="P1217" s="26" t="e">
        <f>#REF!-M1217</f>
        <v>#REF!</v>
      </c>
      <c r="Q1217" s="26" t="e">
        <f>#REF!-N1217</f>
        <v>#REF!</v>
      </c>
      <c r="R1217" s="17" t="str">
        <f t="shared" si="132"/>
        <v>80 1 00 76200240</v>
      </c>
    </row>
    <row r="1218" spans="1:18" s="16" customFormat="1" ht="15.75">
      <c r="A1218" s="14"/>
      <c r="B1218" s="125" t="s">
        <v>30</v>
      </c>
      <c r="C1218" s="130" t="s">
        <v>746</v>
      </c>
      <c r="D1218" s="131" t="s">
        <v>11</v>
      </c>
      <c r="E1218" s="131" t="s">
        <v>73</v>
      </c>
      <c r="F1218" s="131" t="s">
        <v>753</v>
      </c>
      <c r="G1218" s="131" t="s">
        <v>31</v>
      </c>
      <c r="H1218" s="126"/>
      <c r="L1218" s="26"/>
      <c r="M1218" s="26"/>
      <c r="N1218" s="26"/>
      <c r="O1218" s="26"/>
      <c r="P1218" s="26"/>
      <c r="Q1218" s="26"/>
      <c r="R1218" s="17"/>
    </row>
    <row r="1219" spans="1:18" s="16" customFormat="1" ht="63">
      <c r="A1219" s="14" t="s">
        <v>80</v>
      </c>
      <c r="B1219" s="129" t="s">
        <v>754</v>
      </c>
      <c r="C1219" s="130" t="s">
        <v>746</v>
      </c>
      <c r="D1219" s="131" t="s">
        <v>11</v>
      </c>
      <c r="E1219" s="131" t="s">
        <v>73</v>
      </c>
      <c r="F1219" s="131" t="s">
        <v>755</v>
      </c>
      <c r="G1219" s="131" t="s">
        <v>9</v>
      </c>
      <c r="H1219" s="105">
        <f>H1220</f>
        <v>0</v>
      </c>
      <c r="L1219" s="26">
        <v>70.900000000000006</v>
      </c>
      <c r="M1219" s="26">
        <v>70.900000000000006</v>
      </c>
      <c r="N1219" s="26">
        <v>70.900000000000006</v>
      </c>
      <c r="O1219" s="26">
        <f>H1219-L1219</f>
        <v>-70.900000000000006</v>
      </c>
      <c r="P1219" s="26" t="e">
        <f>#REF!-M1219</f>
        <v>#REF!</v>
      </c>
      <c r="Q1219" s="26" t="e">
        <f>#REF!-N1219</f>
        <v>#REF!</v>
      </c>
      <c r="R1219" s="17" t="str">
        <f t="shared" si="132"/>
        <v>80 1 00 76360000</v>
      </c>
    </row>
    <row r="1220" spans="1:18" s="16" customFormat="1" ht="31.5">
      <c r="A1220" s="14"/>
      <c r="B1220" s="125" t="s">
        <v>28</v>
      </c>
      <c r="C1220" s="130" t="s">
        <v>746</v>
      </c>
      <c r="D1220" s="131" t="s">
        <v>11</v>
      </c>
      <c r="E1220" s="131" t="s">
        <v>73</v>
      </c>
      <c r="F1220" s="131" t="s">
        <v>755</v>
      </c>
      <c r="G1220" s="131" t="s">
        <v>29</v>
      </c>
      <c r="H1220" s="126">
        <f>H1221</f>
        <v>0</v>
      </c>
      <c r="L1220" s="26">
        <v>70.900000000000006</v>
      </c>
      <c r="M1220" s="26">
        <v>70.900000000000006</v>
      </c>
      <c r="N1220" s="26">
        <v>70.900000000000006</v>
      </c>
      <c r="O1220" s="26">
        <f>H1220-L1220</f>
        <v>-70.900000000000006</v>
      </c>
      <c r="P1220" s="26" t="e">
        <f>#REF!-M1220</f>
        <v>#REF!</v>
      </c>
      <c r="Q1220" s="26" t="e">
        <f>#REF!-N1220</f>
        <v>#REF!</v>
      </c>
      <c r="R1220" s="17" t="str">
        <f t="shared" si="132"/>
        <v>80 1 00 76360240</v>
      </c>
    </row>
    <row r="1221" spans="1:18" s="16" customFormat="1" ht="15.75">
      <c r="A1221" s="14"/>
      <c r="B1221" s="125" t="s">
        <v>30</v>
      </c>
      <c r="C1221" s="130" t="s">
        <v>746</v>
      </c>
      <c r="D1221" s="131" t="s">
        <v>11</v>
      </c>
      <c r="E1221" s="131" t="s">
        <v>73</v>
      </c>
      <c r="F1221" s="131" t="s">
        <v>755</v>
      </c>
      <c r="G1221" s="131" t="s">
        <v>31</v>
      </c>
      <c r="H1221" s="126"/>
      <c r="L1221" s="26"/>
      <c r="M1221" s="26"/>
      <c r="N1221" s="26"/>
      <c r="O1221" s="26"/>
      <c r="P1221" s="26"/>
      <c r="Q1221" s="26"/>
      <c r="R1221" s="17"/>
    </row>
    <row r="1222" spans="1:18" s="16" customFormat="1" ht="15.75">
      <c r="A1222" s="14"/>
      <c r="B1222" s="121" t="s">
        <v>50</v>
      </c>
      <c r="C1222" s="122" t="s">
        <v>746</v>
      </c>
      <c r="D1222" s="123" t="s">
        <v>11</v>
      </c>
      <c r="E1222" s="123" t="s">
        <v>51</v>
      </c>
      <c r="F1222" s="123" t="s">
        <v>8</v>
      </c>
      <c r="G1222" s="123" t="s">
        <v>9</v>
      </c>
      <c r="H1222" s="124">
        <f>H1223+H1232</f>
        <v>0</v>
      </c>
      <c r="L1222" s="19">
        <v>1745.2</v>
      </c>
      <c r="M1222" s="19">
        <v>390.2</v>
      </c>
      <c r="N1222" s="19">
        <v>390.2</v>
      </c>
      <c r="O1222" s="19">
        <f t="shared" ref="O1222:O1227" si="135">H1222-L1222</f>
        <v>-1745.2</v>
      </c>
      <c r="P1222" s="19" t="e">
        <f>#REF!-M1222</f>
        <v>#REF!</v>
      </c>
      <c r="Q1222" s="19" t="e">
        <f>#REF!-N1222</f>
        <v>#REF!</v>
      </c>
      <c r="R1222" s="17" t="str">
        <f t="shared" si="132"/>
        <v>00 0 00 00000000</v>
      </c>
    </row>
    <row r="1223" spans="1:18" s="16" customFormat="1" ht="63">
      <c r="A1223" s="14"/>
      <c r="B1223" s="132" t="s">
        <v>257</v>
      </c>
      <c r="C1223" s="130" t="s">
        <v>746</v>
      </c>
      <c r="D1223" s="131" t="s">
        <v>11</v>
      </c>
      <c r="E1223" s="131" t="s">
        <v>51</v>
      </c>
      <c r="F1223" s="131" t="s">
        <v>258</v>
      </c>
      <c r="G1223" s="131" t="s">
        <v>9</v>
      </c>
      <c r="H1223" s="105">
        <f t="shared" ref="H1223:H1226" si="136">H1224</f>
        <v>0</v>
      </c>
      <c r="L1223" s="26">
        <v>390.2</v>
      </c>
      <c r="M1223" s="26">
        <v>390.2</v>
      </c>
      <c r="N1223" s="26">
        <v>390.2</v>
      </c>
      <c r="O1223" s="26">
        <f t="shared" si="135"/>
        <v>-390.2</v>
      </c>
      <c r="P1223" s="26" t="e">
        <f>#REF!-M1223</f>
        <v>#REF!</v>
      </c>
      <c r="Q1223" s="26" t="e">
        <f>#REF!-N1223</f>
        <v>#REF!</v>
      </c>
      <c r="R1223" s="17" t="str">
        <f t="shared" si="132"/>
        <v>11 0 00 00000000</v>
      </c>
    </row>
    <row r="1224" spans="1:18" s="16" customFormat="1" ht="63">
      <c r="A1224" s="14"/>
      <c r="B1224" s="132" t="s">
        <v>259</v>
      </c>
      <c r="C1224" s="109" t="s">
        <v>746</v>
      </c>
      <c r="D1224" s="131" t="s">
        <v>11</v>
      </c>
      <c r="E1224" s="131" t="s">
        <v>51</v>
      </c>
      <c r="F1224" s="131" t="s">
        <v>260</v>
      </c>
      <c r="G1224" s="131" t="s">
        <v>9</v>
      </c>
      <c r="H1224" s="105">
        <f t="shared" si="136"/>
        <v>0</v>
      </c>
      <c r="L1224" s="26">
        <v>390.2</v>
      </c>
      <c r="M1224" s="26">
        <v>390.2</v>
      </c>
      <c r="N1224" s="26">
        <v>390.2</v>
      </c>
      <c r="O1224" s="26">
        <f t="shared" si="135"/>
        <v>-390.2</v>
      </c>
      <c r="P1224" s="26" t="e">
        <f>#REF!-M1224</f>
        <v>#REF!</v>
      </c>
      <c r="Q1224" s="26" t="e">
        <f>#REF!-N1224</f>
        <v>#REF!</v>
      </c>
      <c r="R1224" s="17" t="str">
        <f t="shared" si="132"/>
        <v>11 Б 00 00000000</v>
      </c>
    </row>
    <row r="1225" spans="1:18" s="16" customFormat="1" ht="47.25">
      <c r="A1225" s="14"/>
      <c r="B1225" s="125" t="s">
        <v>261</v>
      </c>
      <c r="C1225" s="109" t="s">
        <v>746</v>
      </c>
      <c r="D1225" s="131" t="s">
        <v>11</v>
      </c>
      <c r="E1225" s="131" t="s">
        <v>51</v>
      </c>
      <c r="F1225" s="131" t="s">
        <v>262</v>
      </c>
      <c r="G1225" s="131" t="s">
        <v>9</v>
      </c>
      <c r="H1225" s="105">
        <f>H1226+H1229</f>
        <v>0</v>
      </c>
      <c r="L1225" s="26">
        <v>390.2</v>
      </c>
      <c r="M1225" s="26">
        <v>390.2</v>
      </c>
      <c r="N1225" s="26">
        <v>390.2</v>
      </c>
      <c r="O1225" s="26">
        <f t="shared" si="135"/>
        <v>-390.2</v>
      </c>
      <c r="P1225" s="26" t="e">
        <f>#REF!-M1225</f>
        <v>#REF!</v>
      </c>
      <c r="Q1225" s="26" t="e">
        <f>#REF!-N1225</f>
        <v>#REF!</v>
      </c>
      <c r="R1225" s="17" t="str">
        <f t="shared" si="132"/>
        <v>11 Б 01 00000000</v>
      </c>
    </row>
    <row r="1226" spans="1:18" s="16" customFormat="1" ht="31.5">
      <c r="A1226" s="14"/>
      <c r="B1226" s="125" t="s">
        <v>756</v>
      </c>
      <c r="C1226" s="109" t="s">
        <v>746</v>
      </c>
      <c r="D1226" s="131" t="s">
        <v>11</v>
      </c>
      <c r="E1226" s="131" t="s">
        <v>51</v>
      </c>
      <c r="F1226" s="131" t="s">
        <v>757</v>
      </c>
      <c r="G1226" s="131" t="s">
        <v>9</v>
      </c>
      <c r="H1226" s="105">
        <f t="shared" si="136"/>
        <v>0</v>
      </c>
      <c r="L1226" s="26">
        <v>350</v>
      </c>
      <c r="M1226" s="26">
        <v>350</v>
      </c>
      <c r="N1226" s="26">
        <v>350</v>
      </c>
      <c r="O1226" s="26">
        <f t="shared" si="135"/>
        <v>-350</v>
      </c>
      <c r="P1226" s="26" t="e">
        <f>#REF!-M1226</f>
        <v>#REF!</v>
      </c>
      <c r="Q1226" s="26" t="e">
        <f>#REF!-N1226</f>
        <v>#REF!</v>
      </c>
      <c r="R1226" s="17" t="str">
        <f t="shared" si="132"/>
        <v>11 Б 01 20840000</v>
      </c>
    </row>
    <row r="1227" spans="1:18" s="16" customFormat="1" ht="31.5">
      <c r="A1227" s="14"/>
      <c r="B1227" s="125" t="s">
        <v>28</v>
      </c>
      <c r="C1227" s="109" t="s">
        <v>746</v>
      </c>
      <c r="D1227" s="131" t="s">
        <v>11</v>
      </c>
      <c r="E1227" s="131" t="s">
        <v>51</v>
      </c>
      <c r="F1227" s="131" t="s">
        <v>757</v>
      </c>
      <c r="G1227" s="131" t="s">
        <v>29</v>
      </c>
      <c r="H1227" s="126">
        <f>H1228</f>
        <v>0</v>
      </c>
      <c r="L1227" s="26">
        <v>350</v>
      </c>
      <c r="M1227" s="26">
        <v>350</v>
      </c>
      <c r="N1227" s="26">
        <v>350</v>
      </c>
      <c r="O1227" s="26">
        <f t="shared" si="135"/>
        <v>-350</v>
      </c>
      <c r="P1227" s="26" t="e">
        <f>#REF!-M1227</f>
        <v>#REF!</v>
      </c>
      <c r="Q1227" s="26" t="e">
        <f>#REF!-N1227</f>
        <v>#REF!</v>
      </c>
      <c r="R1227" s="17" t="str">
        <f t="shared" si="132"/>
        <v>11 Б 01 20840240</v>
      </c>
    </row>
    <row r="1228" spans="1:18" s="16" customFormat="1" ht="15.75">
      <c r="A1228" s="14"/>
      <c r="B1228" s="125" t="s">
        <v>30</v>
      </c>
      <c r="C1228" s="109" t="s">
        <v>746</v>
      </c>
      <c r="D1228" s="131" t="s">
        <v>11</v>
      </c>
      <c r="E1228" s="131" t="s">
        <v>51</v>
      </c>
      <c r="F1228" s="131" t="s">
        <v>757</v>
      </c>
      <c r="G1228" s="131" t="s">
        <v>31</v>
      </c>
      <c r="H1228" s="126"/>
      <c r="L1228" s="26"/>
      <c r="M1228" s="26"/>
      <c r="N1228" s="26"/>
      <c r="O1228" s="26"/>
      <c r="P1228" s="26"/>
      <c r="Q1228" s="26"/>
      <c r="R1228" s="17"/>
    </row>
    <row r="1229" spans="1:18" s="16" customFormat="1" ht="31.5">
      <c r="A1229" s="14"/>
      <c r="B1229" s="125" t="s">
        <v>267</v>
      </c>
      <c r="C1229" s="109" t="s">
        <v>746</v>
      </c>
      <c r="D1229" s="108" t="s">
        <v>11</v>
      </c>
      <c r="E1229" s="108" t="s">
        <v>51</v>
      </c>
      <c r="F1229" s="14" t="s">
        <v>268</v>
      </c>
      <c r="G1229" s="108" t="s">
        <v>9</v>
      </c>
      <c r="H1229" s="126">
        <f>H1230</f>
        <v>0</v>
      </c>
      <c r="L1229" s="20">
        <v>40.200000000000003</v>
      </c>
      <c r="M1229" s="20">
        <v>40.200000000000003</v>
      </c>
      <c r="N1229" s="20">
        <v>40.200000000000003</v>
      </c>
      <c r="O1229" s="20">
        <f>H1229-L1229</f>
        <v>-40.200000000000003</v>
      </c>
      <c r="P1229" s="20" t="e">
        <f>#REF!-M1229</f>
        <v>#REF!</v>
      </c>
      <c r="Q1229" s="20" t="e">
        <f>#REF!-N1229</f>
        <v>#REF!</v>
      </c>
      <c r="R1229" s="17" t="str">
        <f t="shared" si="132"/>
        <v>11 Б 01 21120000</v>
      </c>
    </row>
    <row r="1230" spans="1:18" s="16" customFormat="1" ht="31.5">
      <c r="A1230" s="14"/>
      <c r="B1230" s="125" t="s">
        <v>28</v>
      </c>
      <c r="C1230" s="109" t="s">
        <v>746</v>
      </c>
      <c r="D1230" s="108" t="s">
        <v>11</v>
      </c>
      <c r="E1230" s="108" t="s">
        <v>51</v>
      </c>
      <c r="F1230" s="14" t="s">
        <v>268</v>
      </c>
      <c r="G1230" s="108" t="s">
        <v>29</v>
      </c>
      <c r="H1230" s="126">
        <f>H1231</f>
        <v>0</v>
      </c>
      <c r="L1230" s="20">
        <v>40.200000000000003</v>
      </c>
      <c r="M1230" s="20">
        <v>40.200000000000003</v>
      </c>
      <c r="N1230" s="20">
        <v>40.200000000000003</v>
      </c>
      <c r="O1230" s="20">
        <f>H1230-L1230</f>
        <v>-40.200000000000003</v>
      </c>
      <c r="P1230" s="20" t="e">
        <f>#REF!-M1230</f>
        <v>#REF!</v>
      </c>
      <c r="Q1230" s="20" t="e">
        <f>#REF!-N1230</f>
        <v>#REF!</v>
      </c>
      <c r="R1230" s="17" t="str">
        <f t="shared" si="132"/>
        <v>11 Б 01 21120240</v>
      </c>
    </row>
    <row r="1231" spans="1:18" s="16" customFormat="1" ht="15.75">
      <c r="A1231" s="14"/>
      <c r="B1231" s="125" t="s">
        <v>30</v>
      </c>
      <c r="C1231" s="109" t="s">
        <v>746</v>
      </c>
      <c r="D1231" s="108" t="s">
        <v>11</v>
      </c>
      <c r="E1231" s="108" t="s">
        <v>51</v>
      </c>
      <c r="F1231" s="14" t="s">
        <v>268</v>
      </c>
      <c r="G1231" s="108" t="s">
        <v>31</v>
      </c>
      <c r="H1231" s="126"/>
      <c r="L1231" s="20"/>
      <c r="M1231" s="20"/>
      <c r="N1231" s="20"/>
      <c r="O1231" s="20"/>
      <c r="P1231" s="20"/>
      <c r="Q1231" s="20"/>
      <c r="R1231" s="17"/>
    </row>
    <row r="1232" spans="1:18" s="16" customFormat="1" ht="63">
      <c r="A1232" s="14"/>
      <c r="B1232" s="127" t="s">
        <v>87</v>
      </c>
      <c r="C1232" s="109" t="s">
        <v>746</v>
      </c>
      <c r="D1232" s="108" t="s">
        <v>11</v>
      </c>
      <c r="E1232" s="108" t="s">
        <v>51</v>
      </c>
      <c r="F1232" s="14" t="s">
        <v>88</v>
      </c>
      <c r="G1232" s="108" t="s">
        <v>9</v>
      </c>
      <c r="H1232" s="126">
        <f>H1233</f>
        <v>0</v>
      </c>
      <c r="L1232" s="20">
        <v>1355</v>
      </c>
      <c r="M1232" s="20">
        <v>0</v>
      </c>
      <c r="N1232" s="20">
        <v>0</v>
      </c>
      <c r="O1232" s="20">
        <f>H1232-L1232</f>
        <v>-1355</v>
      </c>
      <c r="P1232" s="20" t="e">
        <f>#REF!-M1232</f>
        <v>#REF!</v>
      </c>
      <c r="Q1232" s="20" t="e">
        <f>#REF!-N1232</f>
        <v>#REF!</v>
      </c>
      <c r="R1232" s="17" t="str">
        <f t="shared" si="132"/>
        <v>98 0 00 00000000</v>
      </c>
    </row>
    <row r="1233" spans="1:18" s="16" customFormat="1" ht="15.75">
      <c r="A1233" s="14"/>
      <c r="B1233" s="127" t="s">
        <v>89</v>
      </c>
      <c r="C1233" s="109" t="s">
        <v>746</v>
      </c>
      <c r="D1233" s="108" t="s">
        <v>11</v>
      </c>
      <c r="E1233" s="108" t="s">
        <v>51</v>
      </c>
      <c r="F1233" s="14" t="s">
        <v>90</v>
      </c>
      <c r="G1233" s="108" t="s">
        <v>9</v>
      </c>
      <c r="H1233" s="126">
        <f>H1234</f>
        <v>0</v>
      </c>
      <c r="L1233" s="20">
        <v>1355</v>
      </c>
      <c r="M1233" s="20">
        <v>0</v>
      </c>
      <c r="N1233" s="20">
        <v>0</v>
      </c>
      <c r="O1233" s="20">
        <f>H1233-L1233</f>
        <v>-1355</v>
      </c>
      <c r="P1233" s="20" t="e">
        <f>#REF!-M1233</f>
        <v>#REF!</v>
      </c>
      <c r="Q1233" s="20" t="e">
        <f>#REF!-N1233</f>
        <v>#REF!</v>
      </c>
      <c r="R1233" s="17" t="str">
        <f t="shared" si="132"/>
        <v>98 1 00 00000000</v>
      </c>
    </row>
    <row r="1234" spans="1:18" s="16" customFormat="1" ht="78.75">
      <c r="A1234" s="14"/>
      <c r="B1234" s="127" t="s">
        <v>758</v>
      </c>
      <c r="C1234" s="109" t="s">
        <v>746</v>
      </c>
      <c r="D1234" s="108" t="s">
        <v>11</v>
      </c>
      <c r="E1234" s="108" t="s">
        <v>51</v>
      </c>
      <c r="F1234" s="14" t="s">
        <v>759</v>
      </c>
      <c r="G1234" s="108" t="s">
        <v>9</v>
      </c>
      <c r="H1234" s="126">
        <f>H1235</f>
        <v>0</v>
      </c>
      <c r="L1234" s="20">
        <v>1355</v>
      </c>
      <c r="M1234" s="20">
        <v>0</v>
      </c>
      <c r="N1234" s="20">
        <v>0</v>
      </c>
      <c r="O1234" s="20">
        <f>H1234-L1234</f>
        <v>-1355</v>
      </c>
      <c r="P1234" s="20" t="e">
        <f>#REF!-M1234</f>
        <v>#REF!</v>
      </c>
      <c r="Q1234" s="20" t="e">
        <f>#REF!-N1234</f>
        <v>#REF!</v>
      </c>
      <c r="R1234" s="17" t="str">
        <f t="shared" si="132"/>
        <v>98 1 00 21020000</v>
      </c>
    </row>
    <row r="1235" spans="1:18" s="16" customFormat="1" ht="31.5">
      <c r="A1235" s="14"/>
      <c r="B1235" s="125" t="s">
        <v>28</v>
      </c>
      <c r="C1235" s="109" t="s">
        <v>746</v>
      </c>
      <c r="D1235" s="108" t="s">
        <v>11</v>
      </c>
      <c r="E1235" s="108" t="s">
        <v>51</v>
      </c>
      <c r="F1235" s="14" t="s">
        <v>759</v>
      </c>
      <c r="G1235" s="131" t="s">
        <v>29</v>
      </c>
      <c r="H1235" s="126">
        <f>H1236</f>
        <v>0</v>
      </c>
      <c r="L1235" s="20">
        <v>1355</v>
      </c>
      <c r="M1235" s="20">
        <v>0</v>
      </c>
      <c r="N1235" s="20">
        <v>0</v>
      </c>
      <c r="O1235" s="20">
        <f>H1235-L1235</f>
        <v>-1355</v>
      </c>
      <c r="P1235" s="20" t="e">
        <f>#REF!-M1235</f>
        <v>#REF!</v>
      </c>
      <c r="Q1235" s="20" t="e">
        <f>#REF!-N1235</f>
        <v>#REF!</v>
      </c>
      <c r="R1235" s="17" t="str">
        <f t="shared" si="132"/>
        <v>98 1 00 21020240</v>
      </c>
    </row>
    <row r="1236" spans="1:18" s="16" customFormat="1" ht="15.75">
      <c r="A1236" s="14"/>
      <c r="B1236" s="125" t="s">
        <v>30</v>
      </c>
      <c r="C1236" s="109" t="s">
        <v>746</v>
      </c>
      <c r="D1236" s="108" t="s">
        <v>11</v>
      </c>
      <c r="E1236" s="108" t="s">
        <v>51</v>
      </c>
      <c r="F1236" s="14" t="s">
        <v>759</v>
      </c>
      <c r="G1236" s="131" t="s">
        <v>31</v>
      </c>
      <c r="H1236" s="126"/>
      <c r="L1236" s="20"/>
      <c r="M1236" s="20"/>
      <c r="N1236" s="20"/>
      <c r="O1236" s="20"/>
      <c r="P1236" s="20"/>
      <c r="Q1236" s="20"/>
      <c r="R1236" s="17"/>
    </row>
    <row r="1237" spans="1:18" s="16" customFormat="1" ht="15.75">
      <c r="A1237" s="14"/>
      <c r="B1237" s="117" t="s">
        <v>195</v>
      </c>
      <c r="C1237" s="118" t="s">
        <v>746</v>
      </c>
      <c r="D1237" s="119" t="s">
        <v>73</v>
      </c>
      <c r="E1237" s="119" t="s">
        <v>7</v>
      </c>
      <c r="F1237" s="119" t="s">
        <v>8</v>
      </c>
      <c r="G1237" s="119" t="s">
        <v>9</v>
      </c>
      <c r="H1237" s="120">
        <f t="shared" ref="H1237:H1240" si="137">H1238</f>
        <v>0</v>
      </c>
      <c r="L1237" s="18">
        <v>74504.899999999994</v>
      </c>
      <c r="M1237" s="18">
        <v>81217.409999999989</v>
      </c>
      <c r="N1237" s="18">
        <v>88601.17</v>
      </c>
      <c r="O1237" s="18">
        <f t="shared" ref="O1237:O1243" si="138">H1237-L1237</f>
        <v>-74504.899999999994</v>
      </c>
      <c r="P1237" s="18" t="e">
        <f>#REF!-M1237</f>
        <v>#REF!</v>
      </c>
      <c r="Q1237" s="18" t="e">
        <f>#REF!-N1237</f>
        <v>#REF!</v>
      </c>
      <c r="R1237" s="17" t="str">
        <f t="shared" si="132"/>
        <v>00 0 00 00000000</v>
      </c>
    </row>
    <row r="1238" spans="1:18" s="16" customFormat="1" ht="15.75">
      <c r="A1238" s="14"/>
      <c r="B1238" s="121" t="s">
        <v>760</v>
      </c>
      <c r="C1238" s="122" t="s">
        <v>746</v>
      </c>
      <c r="D1238" s="123" t="s">
        <v>73</v>
      </c>
      <c r="E1238" s="123" t="s">
        <v>471</v>
      </c>
      <c r="F1238" s="123" t="s">
        <v>8</v>
      </c>
      <c r="G1238" s="123" t="s">
        <v>9</v>
      </c>
      <c r="H1238" s="124">
        <f t="shared" si="137"/>
        <v>0</v>
      </c>
      <c r="L1238" s="19">
        <v>74504.899999999994</v>
      </c>
      <c r="M1238" s="19">
        <v>81217.409999999989</v>
      </c>
      <c r="N1238" s="19">
        <v>88601.17</v>
      </c>
      <c r="O1238" s="19">
        <f t="shared" si="138"/>
        <v>-74504.899999999994</v>
      </c>
      <c r="P1238" s="19" t="e">
        <f>#REF!-M1238</f>
        <v>#REF!</v>
      </c>
      <c r="Q1238" s="19" t="e">
        <f>#REF!-N1238</f>
        <v>#REF!</v>
      </c>
      <c r="R1238" s="17" t="str">
        <f t="shared" si="132"/>
        <v>00 0 00 00000000</v>
      </c>
    </row>
    <row r="1239" spans="1:18" s="16" customFormat="1" ht="63">
      <c r="A1239" s="14"/>
      <c r="B1239" s="127" t="s">
        <v>293</v>
      </c>
      <c r="C1239" s="130" t="s">
        <v>746</v>
      </c>
      <c r="D1239" s="131" t="s">
        <v>73</v>
      </c>
      <c r="E1239" s="131" t="s">
        <v>471</v>
      </c>
      <c r="F1239" s="131" t="s">
        <v>294</v>
      </c>
      <c r="G1239" s="131" t="s">
        <v>9</v>
      </c>
      <c r="H1239" s="105">
        <f t="shared" si="137"/>
        <v>0</v>
      </c>
      <c r="L1239" s="26">
        <v>74504.899999999994</v>
      </c>
      <c r="M1239" s="26">
        <v>81217.409999999989</v>
      </c>
      <c r="N1239" s="26">
        <v>88601.17</v>
      </c>
      <c r="O1239" s="26">
        <f t="shared" si="138"/>
        <v>-74504.899999999994</v>
      </c>
      <c r="P1239" s="26" t="e">
        <f>#REF!-M1239</f>
        <v>#REF!</v>
      </c>
      <c r="Q1239" s="26" t="e">
        <f>#REF!-N1239</f>
        <v>#REF!</v>
      </c>
      <c r="R1239" s="17" t="str">
        <f t="shared" si="132"/>
        <v>04 0 00 00000000</v>
      </c>
    </row>
    <row r="1240" spans="1:18" s="16" customFormat="1" ht="63">
      <c r="A1240" s="14"/>
      <c r="B1240" s="140" t="s">
        <v>295</v>
      </c>
      <c r="C1240" s="130" t="s">
        <v>746</v>
      </c>
      <c r="D1240" s="131" t="s">
        <v>73</v>
      </c>
      <c r="E1240" s="131" t="s">
        <v>471</v>
      </c>
      <c r="F1240" s="131" t="s">
        <v>296</v>
      </c>
      <c r="G1240" s="131" t="s">
        <v>9</v>
      </c>
      <c r="H1240" s="105">
        <f t="shared" si="137"/>
        <v>0</v>
      </c>
      <c r="L1240" s="26">
        <v>74504.899999999994</v>
      </c>
      <c r="M1240" s="26">
        <v>81217.409999999989</v>
      </c>
      <c r="N1240" s="26">
        <v>88601.17</v>
      </c>
      <c r="O1240" s="26">
        <f t="shared" si="138"/>
        <v>-74504.899999999994</v>
      </c>
      <c r="P1240" s="26" t="e">
        <f>#REF!-M1240</f>
        <v>#REF!</v>
      </c>
      <c r="Q1240" s="26" t="e">
        <f>#REF!-N1240</f>
        <v>#REF!</v>
      </c>
      <c r="R1240" s="17" t="str">
        <f t="shared" si="132"/>
        <v>04 2 00 00000000</v>
      </c>
    </row>
    <row r="1241" spans="1:18" s="16" customFormat="1" ht="63">
      <c r="A1241" s="14"/>
      <c r="B1241" s="140" t="s">
        <v>297</v>
      </c>
      <c r="C1241" s="130" t="s">
        <v>746</v>
      </c>
      <c r="D1241" s="131" t="s">
        <v>73</v>
      </c>
      <c r="E1241" s="131" t="s">
        <v>471</v>
      </c>
      <c r="F1241" s="131" t="s">
        <v>298</v>
      </c>
      <c r="G1241" s="131" t="s">
        <v>9</v>
      </c>
      <c r="H1241" s="105">
        <f>H1245+H1242</f>
        <v>0</v>
      </c>
      <c r="L1241" s="26">
        <v>74504.899999999994</v>
      </c>
      <c r="M1241" s="26">
        <v>81217.409999999989</v>
      </c>
      <c r="N1241" s="26">
        <v>88601.17</v>
      </c>
      <c r="O1241" s="26">
        <f t="shared" si="138"/>
        <v>-74504.899999999994</v>
      </c>
      <c r="P1241" s="26" t="e">
        <f>#REF!-M1241</f>
        <v>#REF!</v>
      </c>
      <c r="Q1241" s="26" t="e">
        <f>#REF!-N1241</f>
        <v>#REF!</v>
      </c>
      <c r="R1241" s="17" t="str">
        <f t="shared" si="132"/>
        <v>04 2 02 00000000</v>
      </c>
    </row>
    <row r="1242" spans="1:18" s="47" customFormat="1" ht="47.25">
      <c r="A1242" s="46"/>
      <c r="B1242" s="125" t="s">
        <v>761</v>
      </c>
      <c r="C1242" s="109" t="s">
        <v>746</v>
      </c>
      <c r="D1242" s="108" t="s">
        <v>73</v>
      </c>
      <c r="E1242" s="108" t="s">
        <v>471</v>
      </c>
      <c r="F1242" s="108" t="s">
        <v>762</v>
      </c>
      <c r="G1242" s="108" t="s">
        <v>9</v>
      </c>
      <c r="H1242" s="126">
        <f>H1243</f>
        <v>0</v>
      </c>
      <c r="L1242" s="20">
        <v>10379.76</v>
      </c>
      <c r="M1242" s="20">
        <v>10379.76</v>
      </c>
      <c r="N1242" s="20">
        <v>10379.76</v>
      </c>
      <c r="O1242" s="20">
        <f t="shared" si="138"/>
        <v>-10379.76</v>
      </c>
      <c r="P1242" s="20" t="e">
        <f>#REF!-M1242</f>
        <v>#REF!</v>
      </c>
      <c r="Q1242" s="20" t="e">
        <f>#REF!-N1242</f>
        <v>#REF!</v>
      </c>
      <c r="R1242" s="17" t="str">
        <f t="shared" si="132"/>
        <v>04 2 02 20820000</v>
      </c>
    </row>
    <row r="1243" spans="1:18" s="47" customFormat="1" ht="31.5">
      <c r="A1243" s="46"/>
      <c r="B1243" s="125" t="s">
        <v>28</v>
      </c>
      <c r="C1243" s="109" t="s">
        <v>746</v>
      </c>
      <c r="D1243" s="108" t="s">
        <v>73</v>
      </c>
      <c r="E1243" s="108" t="s">
        <v>471</v>
      </c>
      <c r="F1243" s="108" t="s">
        <v>762</v>
      </c>
      <c r="G1243" s="108" t="s">
        <v>29</v>
      </c>
      <c r="H1243" s="126">
        <f>H1244</f>
        <v>0</v>
      </c>
      <c r="L1243" s="20">
        <v>10379.76</v>
      </c>
      <c r="M1243" s="20">
        <v>10379.76</v>
      </c>
      <c r="N1243" s="20">
        <v>10379.76</v>
      </c>
      <c r="O1243" s="20">
        <f t="shared" si="138"/>
        <v>-10379.76</v>
      </c>
      <c r="P1243" s="20" t="e">
        <f>#REF!-M1243</f>
        <v>#REF!</v>
      </c>
      <c r="Q1243" s="20" t="e">
        <f>#REF!-N1243</f>
        <v>#REF!</v>
      </c>
      <c r="R1243" s="17" t="str">
        <f t="shared" si="132"/>
        <v>04 2 02 20820240</v>
      </c>
    </row>
    <row r="1244" spans="1:18" s="47" customFormat="1" ht="15.75">
      <c r="A1244" s="46"/>
      <c r="B1244" s="125" t="s">
        <v>30</v>
      </c>
      <c r="C1244" s="109" t="s">
        <v>746</v>
      </c>
      <c r="D1244" s="108" t="s">
        <v>73</v>
      </c>
      <c r="E1244" s="108" t="s">
        <v>471</v>
      </c>
      <c r="F1244" s="108" t="s">
        <v>762</v>
      </c>
      <c r="G1244" s="108" t="s">
        <v>31</v>
      </c>
      <c r="H1244" s="126"/>
      <c r="L1244" s="20"/>
      <c r="M1244" s="20"/>
      <c r="N1244" s="20"/>
      <c r="O1244" s="20"/>
      <c r="P1244" s="20"/>
      <c r="Q1244" s="20"/>
      <c r="R1244" s="17"/>
    </row>
    <row r="1245" spans="1:18" s="16" customFormat="1" ht="31.5">
      <c r="A1245" s="14"/>
      <c r="B1245" s="125" t="s">
        <v>763</v>
      </c>
      <c r="C1245" s="109" t="s">
        <v>746</v>
      </c>
      <c r="D1245" s="108" t="s">
        <v>73</v>
      </c>
      <c r="E1245" s="108" t="s">
        <v>471</v>
      </c>
      <c r="F1245" s="108" t="s">
        <v>764</v>
      </c>
      <c r="G1245" s="108" t="s">
        <v>9</v>
      </c>
      <c r="H1245" s="126">
        <f>H1246</f>
        <v>0</v>
      </c>
      <c r="L1245" s="20">
        <v>64125.14</v>
      </c>
      <c r="M1245" s="20">
        <v>70837.649999999994</v>
      </c>
      <c r="N1245" s="20">
        <v>78221.41</v>
      </c>
      <c r="O1245" s="20">
        <f>H1245-L1245</f>
        <v>-64125.14</v>
      </c>
      <c r="P1245" s="20" t="e">
        <f>#REF!-M1245</f>
        <v>#REF!</v>
      </c>
      <c r="Q1245" s="20" t="e">
        <f>#REF!-N1245</f>
        <v>#REF!</v>
      </c>
      <c r="R1245" s="17" t="str">
        <f t="shared" si="132"/>
        <v>04 2 02 21090000</v>
      </c>
    </row>
    <row r="1246" spans="1:18" s="16" customFormat="1" ht="31.5">
      <c r="A1246" s="14"/>
      <c r="B1246" s="125" t="s">
        <v>28</v>
      </c>
      <c r="C1246" s="109" t="s">
        <v>746</v>
      </c>
      <c r="D1246" s="108" t="s">
        <v>73</v>
      </c>
      <c r="E1246" s="108" t="s">
        <v>471</v>
      </c>
      <c r="F1246" s="108" t="s">
        <v>764</v>
      </c>
      <c r="G1246" s="108" t="s">
        <v>29</v>
      </c>
      <c r="H1246" s="126">
        <f>H1247</f>
        <v>0</v>
      </c>
      <c r="L1246" s="20">
        <v>64125.14</v>
      </c>
      <c r="M1246" s="20">
        <v>70837.649999999994</v>
      </c>
      <c r="N1246" s="20">
        <v>78221.41</v>
      </c>
      <c r="O1246" s="20">
        <f>H1246-L1246</f>
        <v>-64125.14</v>
      </c>
      <c r="P1246" s="20" t="e">
        <f>#REF!-M1246</f>
        <v>#REF!</v>
      </c>
      <c r="Q1246" s="20" t="e">
        <f>#REF!-N1246</f>
        <v>#REF!</v>
      </c>
      <c r="R1246" s="17" t="str">
        <f t="shared" si="132"/>
        <v>04 2 02 21090240</v>
      </c>
    </row>
    <row r="1247" spans="1:18" s="16" customFormat="1" ht="15.75">
      <c r="A1247" s="14"/>
      <c r="B1247" s="125" t="s">
        <v>30</v>
      </c>
      <c r="C1247" s="109" t="s">
        <v>746</v>
      </c>
      <c r="D1247" s="108" t="s">
        <v>73</v>
      </c>
      <c r="E1247" s="108" t="s">
        <v>471</v>
      </c>
      <c r="F1247" s="108" t="s">
        <v>764</v>
      </c>
      <c r="G1247" s="108" t="s">
        <v>31</v>
      </c>
      <c r="H1247" s="126"/>
      <c r="L1247" s="20"/>
      <c r="M1247" s="20"/>
      <c r="N1247" s="20"/>
      <c r="O1247" s="20"/>
      <c r="P1247" s="20"/>
      <c r="Q1247" s="20"/>
      <c r="R1247" s="17"/>
    </row>
    <row r="1248" spans="1:18" s="16" customFormat="1" ht="15.75">
      <c r="A1248" s="14"/>
      <c r="B1248" s="117" t="s">
        <v>305</v>
      </c>
      <c r="C1248" s="118" t="s">
        <v>746</v>
      </c>
      <c r="D1248" s="119" t="s">
        <v>86</v>
      </c>
      <c r="E1248" s="119" t="s">
        <v>7</v>
      </c>
      <c r="F1248" s="119" t="s">
        <v>8</v>
      </c>
      <c r="G1248" s="119" t="s">
        <v>9</v>
      </c>
      <c r="H1248" s="120">
        <f>H1249+H1257</f>
        <v>0</v>
      </c>
      <c r="L1248" s="18">
        <v>25720.12</v>
      </c>
      <c r="M1248" s="18">
        <v>20216.12</v>
      </c>
      <c r="N1248" s="18">
        <v>20204.12</v>
      </c>
      <c r="O1248" s="18">
        <f t="shared" ref="O1248:O1254" si="139">H1248-L1248</f>
        <v>-25720.12</v>
      </c>
      <c r="P1248" s="18" t="e">
        <f>#REF!-M1248</f>
        <v>#REF!</v>
      </c>
      <c r="Q1248" s="18" t="e">
        <f>#REF!-N1248</f>
        <v>#REF!</v>
      </c>
      <c r="R1248" s="17" t="str">
        <f t="shared" si="132"/>
        <v>00 0 00 00000000</v>
      </c>
    </row>
    <row r="1249" spans="1:18" s="16" customFormat="1" ht="15.75">
      <c r="A1249" s="14"/>
      <c r="B1249" s="121" t="s">
        <v>765</v>
      </c>
      <c r="C1249" s="122" t="s">
        <v>746</v>
      </c>
      <c r="D1249" s="123" t="s">
        <v>86</v>
      </c>
      <c r="E1249" s="123" t="s">
        <v>11</v>
      </c>
      <c r="F1249" s="123" t="s">
        <v>8</v>
      </c>
      <c r="G1249" s="123" t="s">
        <v>9</v>
      </c>
      <c r="H1249" s="124">
        <f>H1250</f>
        <v>0</v>
      </c>
      <c r="L1249" s="19">
        <v>1543</v>
      </c>
      <c r="M1249" s="19">
        <v>1539</v>
      </c>
      <c r="N1249" s="19">
        <v>1527</v>
      </c>
      <c r="O1249" s="19">
        <f t="shared" si="139"/>
        <v>-1543</v>
      </c>
      <c r="P1249" s="19" t="e">
        <f>#REF!-M1249</f>
        <v>#REF!</v>
      </c>
      <c r="Q1249" s="19" t="e">
        <f>#REF!-N1249</f>
        <v>#REF!</v>
      </c>
      <c r="R1249" s="17" t="str">
        <f t="shared" si="132"/>
        <v>00 0 00 00000000</v>
      </c>
    </row>
    <row r="1250" spans="1:18" s="16" customFormat="1" ht="63">
      <c r="A1250" s="14"/>
      <c r="B1250" s="127" t="s">
        <v>293</v>
      </c>
      <c r="C1250" s="130" t="s">
        <v>746</v>
      </c>
      <c r="D1250" s="131" t="s">
        <v>86</v>
      </c>
      <c r="E1250" s="131" t="s">
        <v>11</v>
      </c>
      <c r="F1250" s="131" t="s">
        <v>294</v>
      </c>
      <c r="G1250" s="131" t="s">
        <v>9</v>
      </c>
      <c r="H1250" s="105">
        <f t="shared" ref="H1250:H1253" si="140">H1251</f>
        <v>0</v>
      </c>
      <c r="L1250" s="26">
        <v>1543</v>
      </c>
      <c r="M1250" s="26">
        <v>1539</v>
      </c>
      <c r="N1250" s="26">
        <v>1527</v>
      </c>
      <c r="O1250" s="26">
        <f t="shared" si="139"/>
        <v>-1543</v>
      </c>
      <c r="P1250" s="26" t="e">
        <f>#REF!-M1250</f>
        <v>#REF!</v>
      </c>
      <c r="Q1250" s="26" t="e">
        <f>#REF!-N1250</f>
        <v>#REF!</v>
      </c>
      <c r="R1250" s="17" t="str">
        <f t="shared" si="132"/>
        <v>04 0 00 00000000</v>
      </c>
    </row>
    <row r="1251" spans="1:18" s="16" customFormat="1" ht="31.5">
      <c r="A1251" s="14"/>
      <c r="B1251" s="140" t="s">
        <v>766</v>
      </c>
      <c r="C1251" s="130" t="s">
        <v>746</v>
      </c>
      <c r="D1251" s="131" t="s">
        <v>86</v>
      </c>
      <c r="E1251" s="131" t="s">
        <v>11</v>
      </c>
      <c r="F1251" s="131" t="s">
        <v>767</v>
      </c>
      <c r="G1251" s="131" t="s">
        <v>9</v>
      </c>
      <c r="H1251" s="105">
        <f t="shared" si="140"/>
        <v>0</v>
      </c>
      <c r="L1251" s="26">
        <v>1543</v>
      </c>
      <c r="M1251" s="26">
        <v>1539</v>
      </c>
      <c r="N1251" s="26">
        <v>1527</v>
      </c>
      <c r="O1251" s="26">
        <f t="shared" si="139"/>
        <v>-1543</v>
      </c>
      <c r="P1251" s="26" t="e">
        <f>#REF!-M1251</f>
        <v>#REF!</v>
      </c>
      <c r="Q1251" s="26" t="e">
        <f>#REF!-N1251</f>
        <v>#REF!</v>
      </c>
      <c r="R1251" s="17" t="str">
        <f t="shared" si="132"/>
        <v>04 1 00 00000000</v>
      </c>
    </row>
    <row r="1252" spans="1:18" s="16" customFormat="1" ht="47.25">
      <c r="A1252" s="14"/>
      <c r="B1252" s="140" t="s">
        <v>768</v>
      </c>
      <c r="C1252" s="130" t="s">
        <v>746</v>
      </c>
      <c r="D1252" s="131" t="s">
        <v>86</v>
      </c>
      <c r="E1252" s="131" t="s">
        <v>11</v>
      </c>
      <c r="F1252" s="131" t="s">
        <v>769</v>
      </c>
      <c r="G1252" s="131" t="s">
        <v>9</v>
      </c>
      <c r="H1252" s="105">
        <f>H1253</f>
        <v>0</v>
      </c>
      <c r="L1252" s="26">
        <v>1543</v>
      </c>
      <c r="M1252" s="26">
        <v>1539</v>
      </c>
      <c r="N1252" s="26">
        <v>1527</v>
      </c>
      <c r="O1252" s="26">
        <f t="shared" si="139"/>
        <v>-1543</v>
      </c>
      <c r="P1252" s="26" t="e">
        <f>#REF!-M1252</f>
        <v>#REF!</v>
      </c>
      <c r="Q1252" s="26" t="e">
        <f>#REF!-N1252</f>
        <v>#REF!</v>
      </c>
      <c r="R1252" s="17" t="str">
        <f t="shared" si="132"/>
        <v>04 1 01 00000000</v>
      </c>
    </row>
    <row r="1253" spans="1:18" s="16" customFormat="1" ht="31.5">
      <c r="A1253" s="14"/>
      <c r="B1253" s="125" t="s">
        <v>770</v>
      </c>
      <c r="C1253" s="130" t="s">
        <v>746</v>
      </c>
      <c r="D1253" s="131" t="s">
        <v>86</v>
      </c>
      <c r="E1253" s="131" t="s">
        <v>11</v>
      </c>
      <c r="F1253" s="131" t="s">
        <v>771</v>
      </c>
      <c r="G1253" s="131" t="s">
        <v>9</v>
      </c>
      <c r="H1253" s="105">
        <f t="shared" si="140"/>
        <v>0</v>
      </c>
      <c r="L1253" s="26">
        <v>1543</v>
      </c>
      <c r="M1253" s="26">
        <v>1539</v>
      </c>
      <c r="N1253" s="26">
        <v>1527</v>
      </c>
      <c r="O1253" s="26">
        <f t="shared" si="139"/>
        <v>-1543</v>
      </c>
      <c r="P1253" s="26" t="e">
        <f>#REF!-M1253</f>
        <v>#REF!</v>
      </c>
      <c r="Q1253" s="26" t="e">
        <f>#REF!-N1253</f>
        <v>#REF!</v>
      </c>
      <c r="R1253" s="17" t="str">
        <f t="shared" si="132"/>
        <v>04 1 01 20190000</v>
      </c>
    </row>
    <row r="1254" spans="1:18" s="16" customFormat="1" ht="31.5">
      <c r="A1254" s="14"/>
      <c r="B1254" s="125" t="s">
        <v>28</v>
      </c>
      <c r="C1254" s="130" t="s">
        <v>746</v>
      </c>
      <c r="D1254" s="131" t="s">
        <v>86</v>
      </c>
      <c r="E1254" s="131" t="s">
        <v>11</v>
      </c>
      <c r="F1254" s="131" t="s">
        <v>771</v>
      </c>
      <c r="G1254" s="131" t="s">
        <v>29</v>
      </c>
      <c r="H1254" s="126">
        <f>SUM(H1255:H1256)</f>
        <v>0</v>
      </c>
      <c r="L1254" s="26">
        <v>1543</v>
      </c>
      <c r="M1254" s="26">
        <v>1539</v>
      </c>
      <c r="N1254" s="26">
        <v>1527</v>
      </c>
      <c r="O1254" s="26">
        <f t="shared" si="139"/>
        <v>-1543</v>
      </c>
      <c r="P1254" s="26" t="e">
        <f>#REF!-M1254</f>
        <v>#REF!</v>
      </c>
      <c r="Q1254" s="26" t="e">
        <f>#REF!-N1254</f>
        <v>#REF!</v>
      </c>
      <c r="R1254" s="17" t="str">
        <f t="shared" si="132"/>
        <v>04 1 01 20190240</v>
      </c>
    </row>
    <row r="1255" spans="1:18" s="16" customFormat="1" ht="47.25">
      <c r="A1255" s="14"/>
      <c r="B1255" s="127" t="s">
        <v>772</v>
      </c>
      <c r="C1255" s="109" t="s">
        <v>746</v>
      </c>
      <c r="D1255" s="108" t="s">
        <v>86</v>
      </c>
      <c r="E1255" s="108" t="s">
        <v>11</v>
      </c>
      <c r="F1255" s="108" t="s">
        <v>771</v>
      </c>
      <c r="G1255" s="108" t="s">
        <v>773</v>
      </c>
      <c r="H1255" s="126"/>
      <c r="L1255" s="26"/>
      <c r="M1255" s="26"/>
      <c r="N1255" s="26"/>
      <c r="O1255" s="26"/>
      <c r="P1255" s="26"/>
      <c r="Q1255" s="26"/>
      <c r="R1255" s="17"/>
    </row>
    <row r="1256" spans="1:18" s="16" customFormat="1" ht="15.75">
      <c r="A1256" s="14"/>
      <c r="B1256" s="125" t="s">
        <v>30</v>
      </c>
      <c r="C1256" s="109" t="s">
        <v>746</v>
      </c>
      <c r="D1256" s="108" t="s">
        <v>86</v>
      </c>
      <c r="E1256" s="108" t="s">
        <v>11</v>
      </c>
      <c r="F1256" s="108" t="s">
        <v>771</v>
      </c>
      <c r="G1256" s="108" t="s">
        <v>31</v>
      </c>
      <c r="H1256" s="126"/>
      <c r="L1256" s="26"/>
      <c r="M1256" s="26"/>
      <c r="N1256" s="26"/>
      <c r="O1256" s="26"/>
      <c r="P1256" s="26"/>
      <c r="Q1256" s="26"/>
      <c r="R1256" s="17"/>
    </row>
    <row r="1257" spans="1:18" s="16" customFormat="1" ht="15.75">
      <c r="A1257" s="14"/>
      <c r="B1257" s="121" t="s">
        <v>306</v>
      </c>
      <c r="C1257" s="122" t="s">
        <v>746</v>
      </c>
      <c r="D1257" s="123" t="s">
        <v>86</v>
      </c>
      <c r="E1257" s="123" t="s">
        <v>13</v>
      </c>
      <c r="F1257" s="123" t="s">
        <v>8</v>
      </c>
      <c r="G1257" s="123" t="s">
        <v>9</v>
      </c>
      <c r="H1257" s="124">
        <f>H1258+H1270</f>
        <v>0</v>
      </c>
      <c r="L1257" s="19">
        <v>24177.119999999999</v>
      </c>
      <c r="M1257" s="19">
        <v>18677.12</v>
      </c>
      <c r="N1257" s="19">
        <v>18677.12</v>
      </c>
      <c r="O1257" s="19">
        <f t="shared" ref="O1257:O1262" si="141">H1257-L1257</f>
        <v>-24177.119999999999</v>
      </c>
      <c r="P1257" s="19" t="e">
        <f>#REF!-M1257</f>
        <v>#REF!</v>
      </c>
      <c r="Q1257" s="19" t="e">
        <f>#REF!-N1257</f>
        <v>#REF!</v>
      </c>
      <c r="R1257" s="17" t="str">
        <f t="shared" si="132"/>
        <v>00 0 00 00000000</v>
      </c>
    </row>
    <row r="1258" spans="1:18" s="16" customFormat="1" ht="63">
      <c r="A1258" s="14"/>
      <c r="B1258" s="127" t="s">
        <v>293</v>
      </c>
      <c r="C1258" s="130" t="s">
        <v>746</v>
      </c>
      <c r="D1258" s="131" t="s">
        <v>86</v>
      </c>
      <c r="E1258" s="131" t="s">
        <v>13</v>
      </c>
      <c r="F1258" s="131" t="s">
        <v>294</v>
      </c>
      <c r="G1258" s="131" t="s">
        <v>9</v>
      </c>
      <c r="H1258" s="105">
        <f t="shared" ref="H1258:H1259" si="142">H1259</f>
        <v>0</v>
      </c>
      <c r="L1258" s="26">
        <v>21677.119999999999</v>
      </c>
      <c r="M1258" s="26">
        <v>18677.12</v>
      </c>
      <c r="N1258" s="26">
        <v>18677.12</v>
      </c>
      <c r="O1258" s="26">
        <f t="shared" si="141"/>
        <v>-21677.119999999999</v>
      </c>
      <c r="P1258" s="26" t="e">
        <f>#REF!-M1258</f>
        <v>#REF!</v>
      </c>
      <c r="Q1258" s="26" t="e">
        <f>#REF!-N1258</f>
        <v>#REF!</v>
      </c>
      <c r="R1258" s="17" t="str">
        <f t="shared" si="132"/>
        <v>04 0 00 00000000</v>
      </c>
    </row>
    <row r="1259" spans="1:18" s="16" customFormat="1" ht="31.5">
      <c r="A1259" s="14"/>
      <c r="B1259" s="125" t="s">
        <v>307</v>
      </c>
      <c r="C1259" s="130" t="s">
        <v>746</v>
      </c>
      <c r="D1259" s="131" t="s">
        <v>86</v>
      </c>
      <c r="E1259" s="131" t="s">
        <v>13</v>
      </c>
      <c r="F1259" s="131" t="s">
        <v>308</v>
      </c>
      <c r="G1259" s="131" t="s">
        <v>9</v>
      </c>
      <c r="H1259" s="105">
        <f t="shared" si="142"/>
        <v>0</v>
      </c>
      <c r="L1259" s="26">
        <v>21677.119999999999</v>
      </c>
      <c r="M1259" s="26">
        <v>18677.12</v>
      </c>
      <c r="N1259" s="26">
        <v>18677.12</v>
      </c>
      <c r="O1259" s="26">
        <f t="shared" si="141"/>
        <v>-21677.119999999999</v>
      </c>
      <c r="P1259" s="26" t="e">
        <f>#REF!-M1259</f>
        <v>#REF!</v>
      </c>
      <c r="Q1259" s="26" t="e">
        <f>#REF!-N1259</f>
        <v>#REF!</v>
      </c>
      <c r="R1259" s="17" t="str">
        <f t="shared" si="132"/>
        <v>04 3 00 00000000</v>
      </c>
    </row>
    <row r="1260" spans="1:18" s="16" customFormat="1" ht="31.5">
      <c r="A1260" s="14"/>
      <c r="B1260" s="138" t="s">
        <v>309</v>
      </c>
      <c r="C1260" s="130" t="s">
        <v>746</v>
      </c>
      <c r="D1260" s="131" t="s">
        <v>86</v>
      </c>
      <c r="E1260" s="131" t="s">
        <v>13</v>
      </c>
      <c r="F1260" s="108" t="s">
        <v>310</v>
      </c>
      <c r="G1260" s="131" t="s">
        <v>9</v>
      </c>
      <c r="H1260" s="105">
        <f>H1261+H1264+H1267</f>
        <v>0</v>
      </c>
      <c r="L1260" s="26">
        <v>21677.119999999999</v>
      </c>
      <c r="M1260" s="26">
        <v>18677.12</v>
      </c>
      <c r="N1260" s="26">
        <v>18677.12</v>
      </c>
      <c r="O1260" s="26">
        <f t="shared" si="141"/>
        <v>-21677.119999999999</v>
      </c>
      <c r="P1260" s="26" t="e">
        <f>#REF!-M1260</f>
        <v>#REF!</v>
      </c>
      <c r="Q1260" s="26" t="e">
        <f>#REF!-N1260</f>
        <v>#REF!</v>
      </c>
      <c r="R1260" s="17" t="str">
        <f t="shared" si="132"/>
        <v>04 3 04 00000000</v>
      </c>
    </row>
    <row r="1261" spans="1:18" s="16" customFormat="1" ht="31.5">
      <c r="A1261" s="14"/>
      <c r="B1261" s="125" t="s">
        <v>542</v>
      </c>
      <c r="C1261" s="130" t="s">
        <v>746</v>
      </c>
      <c r="D1261" s="131" t="s">
        <v>86</v>
      </c>
      <c r="E1261" s="131" t="s">
        <v>13</v>
      </c>
      <c r="F1261" s="131" t="s">
        <v>543</v>
      </c>
      <c r="G1261" s="131" t="s">
        <v>9</v>
      </c>
      <c r="H1261" s="105">
        <f>H1262</f>
        <v>0</v>
      </c>
      <c r="L1261" s="26">
        <v>8259.32</v>
      </c>
      <c r="M1261" s="26">
        <v>8259.32</v>
      </c>
      <c r="N1261" s="26">
        <v>8259.32</v>
      </c>
      <c r="O1261" s="26">
        <f t="shared" si="141"/>
        <v>-8259.32</v>
      </c>
      <c r="P1261" s="26" t="e">
        <f>#REF!-M1261</f>
        <v>#REF!</v>
      </c>
      <c r="Q1261" s="26" t="e">
        <f>#REF!-N1261</f>
        <v>#REF!</v>
      </c>
      <c r="R1261" s="17" t="str">
        <f t="shared" si="132"/>
        <v>04 3 04 20300000</v>
      </c>
    </row>
    <row r="1262" spans="1:18" s="16" customFormat="1" ht="31.5">
      <c r="A1262" s="14"/>
      <c r="B1262" s="125" t="s">
        <v>28</v>
      </c>
      <c r="C1262" s="130" t="s">
        <v>746</v>
      </c>
      <c r="D1262" s="131" t="s">
        <v>86</v>
      </c>
      <c r="E1262" s="131" t="s">
        <v>13</v>
      </c>
      <c r="F1262" s="131" t="s">
        <v>543</v>
      </c>
      <c r="G1262" s="131" t="s">
        <v>29</v>
      </c>
      <c r="H1262" s="126">
        <f>H1263</f>
        <v>0</v>
      </c>
      <c r="L1262" s="26">
        <v>8259.32</v>
      </c>
      <c r="M1262" s="26">
        <v>8259.32</v>
      </c>
      <c r="N1262" s="26">
        <v>8259.32</v>
      </c>
      <c r="O1262" s="26">
        <f t="shared" si="141"/>
        <v>-8259.32</v>
      </c>
      <c r="P1262" s="26" t="e">
        <f>#REF!-M1262</f>
        <v>#REF!</v>
      </c>
      <c r="Q1262" s="26" t="e">
        <f>#REF!-N1262</f>
        <v>#REF!</v>
      </c>
      <c r="R1262" s="17" t="str">
        <f t="shared" si="132"/>
        <v>04 3 04 20300240</v>
      </c>
    </row>
    <row r="1263" spans="1:18" s="16" customFormat="1" ht="15.75">
      <c r="A1263" s="14"/>
      <c r="B1263" s="125" t="s">
        <v>30</v>
      </c>
      <c r="C1263" s="130" t="s">
        <v>746</v>
      </c>
      <c r="D1263" s="131" t="s">
        <v>86</v>
      </c>
      <c r="E1263" s="131" t="s">
        <v>13</v>
      </c>
      <c r="F1263" s="131" t="s">
        <v>543</v>
      </c>
      <c r="G1263" s="131" t="s">
        <v>31</v>
      </c>
      <c r="H1263" s="126"/>
      <c r="L1263" s="26"/>
      <c r="M1263" s="26"/>
      <c r="N1263" s="26"/>
      <c r="O1263" s="26"/>
      <c r="P1263" s="26"/>
      <c r="Q1263" s="26"/>
      <c r="R1263" s="17"/>
    </row>
    <row r="1264" spans="1:18" s="16" customFormat="1" ht="31.5">
      <c r="A1264" s="14"/>
      <c r="B1264" s="127" t="s">
        <v>774</v>
      </c>
      <c r="C1264" s="130" t="s">
        <v>746</v>
      </c>
      <c r="D1264" s="131" t="s">
        <v>86</v>
      </c>
      <c r="E1264" s="131" t="s">
        <v>13</v>
      </c>
      <c r="F1264" s="131" t="s">
        <v>775</v>
      </c>
      <c r="G1264" s="131" t="s">
        <v>9</v>
      </c>
      <c r="H1264" s="105">
        <f>H1265</f>
        <v>0</v>
      </c>
      <c r="L1264" s="26">
        <v>941.72</v>
      </c>
      <c r="M1264" s="26">
        <v>941.72</v>
      </c>
      <c r="N1264" s="26">
        <v>941.72</v>
      </c>
      <c r="O1264" s="26">
        <f>H1264-L1264</f>
        <v>-941.72</v>
      </c>
      <c r="P1264" s="26" t="e">
        <f>#REF!-M1264</f>
        <v>#REF!</v>
      </c>
      <c r="Q1264" s="26" t="e">
        <f>#REF!-N1264</f>
        <v>#REF!</v>
      </c>
      <c r="R1264" s="17" t="str">
        <f t="shared" si="132"/>
        <v>04 3 04 21070000</v>
      </c>
    </row>
    <row r="1265" spans="1:18" s="16" customFormat="1" ht="31.5">
      <c r="A1265" s="14"/>
      <c r="B1265" s="125" t="s">
        <v>28</v>
      </c>
      <c r="C1265" s="130" t="s">
        <v>746</v>
      </c>
      <c r="D1265" s="131" t="s">
        <v>86</v>
      </c>
      <c r="E1265" s="131" t="s">
        <v>13</v>
      </c>
      <c r="F1265" s="131" t="s">
        <v>775</v>
      </c>
      <c r="G1265" s="131" t="s">
        <v>29</v>
      </c>
      <c r="H1265" s="126">
        <f>H1266</f>
        <v>0</v>
      </c>
      <c r="L1265" s="26">
        <v>941.72</v>
      </c>
      <c r="M1265" s="26">
        <v>941.72</v>
      </c>
      <c r="N1265" s="26">
        <v>941.72</v>
      </c>
      <c r="O1265" s="26">
        <f>H1265-L1265</f>
        <v>-941.72</v>
      </c>
      <c r="P1265" s="26" t="e">
        <f>#REF!-M1265</f>
        <v>#REF!</v>
      </c>
      <c r="Q1265" s="26" t="e">
        <f>#REF!-N1265</f>
        <v>#REF!</v>
      </c>
      <c r="R1265" s="17" t="str">
        <f t="shared" si="132"/>
        <v>04 3 04 21070240</v>
      </c>
    </row>
    <row r="1266" spans="1:18" s="16" customFormat="1" ht="15.75">
      <c r="A1266" s="14"/>
      <c r="B1266" s="125" t="s">
        <v>30</v>
      </c>
      <c r="C1266" s="130" t="s">
        <v>746</v>
      </c>
      <c r="D1266" s="131" t="s">
        <v>86</v>
      </c>
      <c r="E1266" s="131" t="s">
        <v>13</v>
      </c>
      <c r="F1266" s="131" t="s">
        <v>775</v>
      </c>
      <c r="G1266" s="131" t="s">
        <v>31</v>
      </c>
      <c r="H1266" s="126"/>
      <c r="L1266" s="26"/>
      <c r="M1266" s="26"/>
      <c r="N1266" s="26"/>
      <c r="O1266" s="26"/>
      <c r="P1266" s="26"/>
      <c r="Q1266" s="26"/>
      <c r="R1266" s="17"/>
    </row>
    <row r="1267" spans="1:18" s="16" customFormat="1" ht="78.75">
      <c r="A1267" s="14" t="s">
        <v>80</v>
      </c>
      <c r="B1267" s="127" t="s">
        <v>776</v>
      </c>
      <c r="C1267" s="130" t="s">
        <v>746</v>
      </c>
      <c r="D1267" s="131" t="s">
        <v>86</v>
      </c>
      <c r="E1267" s="131" t="s">
        <v>13</v>
      </c>
      <c r="F1267" s="131" t="s">
        <v>777</v>
      </c>
      <c r="G1267" s="131" t="s">
        <v>9</v>
      </c>
      <c r="H1267" s="105">
        <f>H1268</f>
        <v>0</v>
      </c>
      <c r="L1267" s="26">
        <v>12476.08</v>
      </c>
      <c r="M1267" s="26">
        <v>9476.08</v>
      </c>
      <c r="N1267" s="26">
        <v>9476.08</v>
      </c>
      <c r="O1267" s="26">
        <f>H1267-L1267</f>
        <v>-12476.08</v>
      </c>
      <c r="P1267" s="26" t="e">
        <f>#REF!-M1267</f>
        <v>#REF!</v>
      </c>
      <c r="Q1267" s="26" t="e">
        <f>#REF!-N1267</f>
        <v>#REF!</v>
      </c>
      <c r="R1267" s="17" t="str">
        <f t="shared" si="132"/>
        <v>04 3 04 21080000</v>
      </c>
    </row>
    <row r="1268" spans="1:18" s="16" customFormat="1" ht="31.5">
      <c r="A1268" s="14"/>
      <c r="B1268" s="125" t="s">
        <v>28</v>
      </c>
      <c r="C1268" s="130" t="s">
        <v>746</v>
      </c>
      <c r="D1268" s="131" t="s">
        <v>86</v>
      </c>
      <c r="E1268" s="131" t="s">
        <v>13</v>
      </c>
      <c r="F1268" s="131" t="s">
        <v>777</v>
      </c>
      <c r="G1268" s="131" t="s">
        <v>29</v>
      </c>
      <c r="H1268" s="126">
        <f>H1269</f>
        <v>0</v>
      </c>
      <c r="L1268" s="26">
        <v>12476.08</v>
      </c>
      <c r="M1268" s="26">
        <v>9476.08</v>
      </c>
      <c r="N1268" s="26">
        <v>9476.08</v>
      </c>
      <c r="O1268" s="26">
        <f>H1268-L1268</f>
        <v>-12476.08</v>
      </c>
      <c r="P1268" s="26" t="e">
        <f>#REF!-M1268</f>
        <v>#REF!</v>
      </c>
      <c r="Q1268" s="26" t="e">
        <f>#REF!-N1268</f>
        <v>#REF!</v>
      </c>
      <c r="R1268" s="17" t="str">
        <f t="shared" si="132"/>
        <v>04 3 04 21080240</v>
      </c>
    </row>
    <row r="1269" spans="1:18" s="16" customFormat="1" ht="15.75">
      <c r="A1269" s="14"/>
      <c r="B1269" s="125" t="s">
        <v>30</v>
      </c>
      <c r="C1269" s="130" t="s">
        <v>746</v>
      </c>
      <c r="D1269" s="131" t="s">
        <v>86</v>
      </c>
      <c r="E1269" s="131" t="s">
        <v>13</v>
      </c>
      <c r="F1269" s="131" t="s">
        <v>777</v>
      </c>
      <c r="G1269" s="131" t="s">
        <v>31</v>
      </c>
      <c r="H1269" s="126"/>
      <c r="L1269" s="26"/>
      <c r="M1269" s="26"/>
      <c r="N1269" s="26"/>
      <c r="O1269" s="26"/>
      <c r="P1269" s="26"/>
      <c r="Q1269" s="26"/>
      <c r="R1269" s="17"/>
    </row>
    <row r="1270" spans="1:18" s="16" customFormat="1" ht="63">
      <c r="A1270" s="14"/>
      <c r="B1270" s="140" t="s">
        <v>87</v>
      </c>
      <c r="C1270" s="130" t="s">
        <v>746</v>
      </c>
      <c r="D1270" s="131" t="s">
        <v>86</v>
      </c>
      <c r="E1270" s="131" t="s">
        <v>13</v>
      </c>
      <c r="F1270" s="131" t="s">
        <v>88</v>
      </c>
      <c r="G1270" s="131" t="s">
        <v>9</v>
      </c>
      <c r="H1270" s="105">
        <f>H1271</f>
        <v>0</v>
      </c>
      <c r="L1270" s="26">
        <v>2500</v>
      </c>
      <c r="M1270" s="26">
        <v>0</v>
      </c>
      <c r="N1270" s="26">
        <v>0</v>
      </c>
      <c r="O1270" s="26">
        <f>H1270-L1270</f>
        <v>-2500</v>
      </c>
      <c r="P1270" s="26" t="e">
        <f>#REF!-M1270</f>
        <v>#REF!</v>
      </c>
      <c r="Q1270" s="26" t="e">
        <f>#REF!-N1270</f>
        <v>#REF!</v>
      </c>
      <c r="R1270" s="17" t="str">
        <f t="shared" si="132"/>
        <v>98 0 00 00000000</v>
      </c>
    </row>
    <row r="1271" spans="1:18" s="16" customFormat="1" ht="15.75">
      <c r="A1271" s="14"/>
      <c r="B1271" s="140" t="s">
        <v>89</v>
      </c>
      <c r="C1271" s="130" t="s">
        <v>746</v>
      </c>
      <c r="D1271" s="131" t="s">
        <v>86</v>
      </c>
      <c r="E1271" s="131" t="s">
        <v>13</v>
      </c>
      <c r="F1271" s="131" t="s">
        <v>90</v>
      </c>
      <c r="G1271" s="131" t="s">
        <v>9</v>
      </c>
      <c r="H1271" s="105">
        <f>H1272</f>
        <v>0</v>
      </c>
      <c r="L1271" s="26">
        <v>2500</v>
      </c>
      <c r="M1271" s="26">
        <v>0</v>
      </c>
      <c r="N1271" s="26">
        <v>0</v>
      </c>
      <c r="O1271" s="26">
        <f>H1271-L1271</f>
        <v>-2500</v>
      </c>
      <c r="P1271" s="26" t="e">
        <f>#REF!-M1271</f>
        <v>#REF!</v>
      </c>
      <c r="Q1271" s="26" t="e">
        <f>#REF!-N1271</f>
        <v>#REF!</v>
      </c>
      <c r="R1271" s="17" t="str">
        <f t="shared" si="132"/>
        <v>98 1 00 00000000</v>
      </c>
    </row>
    <row r="1272" spans="1:18" s="16" customFormat="1" ht="31.5">
      <c r="A1272" s="14"/>
      <c r="B1272" s="125" t="s">
        <v>778</v>
      </c>
      <c r="C1272" s="130" t="s">
        <v>746</v>
      </c>
      <c r="D1272" s="131" t="s">
        <v>86</v>
      </c>
      <c r="E1272" s="131" t="s">
        <v>13</v>
      </c>
      <c r="F1272" s="131" t="s">
        <v>779</v>
      </c>
      <c r="G1272" s="131" t="s">
        <v>9</v>
      </c>
      <c r="H1272" s="105">
        <f>H1273</f>
        <v>0</v>
      </c>
      <c r="L1272" s="26">
        <v>2500</v>
      </c>
      <c r="M1272" s="26">
        <v>0</v>
      </c>
      <c r="N1272" s="26">
        <v>0</v>
      </c>
      <c r="O1272" s="26">
        <f>H1272-L1272</f>
        <v>-2500</v>
      </c>
      <c r="P1272" s="26" t="e">
        <f>#REF!-M1272</f>
        <v>#REF!</v>
      </c>
      <c r="Q1272" s="26" t="e">
        <f>#REF!-N1272</f>
        <v>#REF!</v>
      </c>
      <c r="R1272" s="17" t="str">
        <f t="shared" si="132"/>
        <v>98 1 00 21450000</v>
      </c>
    </row>
    <row r="1273" spans="1:18" s="16" customFormat="1" ht="31.5">
      <c r="A1273" s="14"/>
      <c r="B1273" s="125" t="s">
        <v>28</v>
      </c>
      <c r="C1273" s="130" t="s">
        <v>746</v>
      </c>
      <c r="D1273" s="131" t="s">
        <v>86</v>
      </c>
      <c r="E1273" s="131" t="s">
        <v>13</v>
      </c>
      <c r="F1273" s="131" t="s">
        <v>779</v>
      </c>
      <c r="G1273" s="131" t="s">
        <v>29</v>
      </c>
      <c r="H1273" s="126">
        <f>H1274</f>
        <v>0</v>
      </c>
      <c r="L1273" s="26">
        <v>2500</v>
      </c>
      <c r="M1273" s="26">
        <v>0</v>
      </c>
      <c r="N1273" s="26">
        <v>0</v>
      </c>
      <c r="O1273" s="26">
        <f>H1273-L1273</f>
        <v>-2500</v>
      </c>
      <c r="P1273" s="26" t="e">
        <f>#REF!-M1273</f>
        <v>#REF!</v>
      </c>
      <c r="Q1273" s="26" t="e">
        <f>#REF!-N1273</f>
        <v>#REF!</v>
      </c>
      <c r="R1273" s="17" t="str">
        <f t="shared" si="132"/>
        <v>98 1 00 21450240</v>
      </c>
    </row>
    <row r="1274" spans="1:18" s="16" customFormat="1" ht="15.75">
      <c r="A1274" s="14"/>
      <c r="B1274" s="125" t="s">
        <v>30</v>
      </c>
      <c r="C1274" s="130" t="s">
        <v>746</v>
      </c>
      <c r="D1274" s="131" t="s">
        <v>86</v>
      </c>
      <c r="E1274" s="131" t="s">
        <v>13</v>
      </c>
      <c r="F1274" s="131" t="s">
        <v>779</v>
      </c>
      <c r="G1274" s="131" t="s">
        <v>31</v>
      </c>
      <c r="H1274" s="126"/>
      <c r="L1274" s="26"/>
      <c r="M1274" s="26"/>
      <c r="N1274" s="26"/>
      <c r="O1274" s="26"/>
      <c r="P1274" s="26"/>
      <c r="Q1274" s="26"/>
      <c r="R1274" s="17"/>
    </row>
    <row r="1275" spans="1:18" s="16" customFormat="1" ht="15.75">
      <c r="A1275" s="14"/>
      <c r="B1275" s="117" t="s">
        <v>237</v>
      </c>
      <c r="C1275" s="118" t="s">
        <v>746</v>
      </c>
      <c r="D1275" s="119" t="s">
        <v>238</v>
      </c>
      <c r="E1275" s="119" t="s">
        <v>7</v>
      </c>
      <c r="F1275" s="119" t="s">
        <v>8</v>
      </c>
      <c r="G1275" s="119" t="s">
        <v>9</v>
      </c>
      <c r="H1275" s="120">
        <f t="shared" ref="H1275:H1278" si="143">H1276</f>
        <v>0</v>
      </c>
      <c r="L1275" s="18">
        <v>1591</v>
      </c>
      <c r="M1275" s="18">
        <v>1591</v>
      </c>
      <c r="N1275" s="18">
        <v>1591</v>
      </c>
      <c r="O1275" s="18">
        <f t="shared" ref="O1275:O1281" si="144">H1275-L1275</f>
        <v>-1591</v>
      </c>
      <c r="P1275" s="18" t="e">
        <f>#REF!-M1275</f>
        <v>#REF!</v>
      </c>
      <c r="Q1275" s="18" t="e">
        <f>#REF!-N1275</f>
        <v>#REF!</v>
      </c>
      <c r="R1275" s="17" t="str">
        <f t="shared" si="132"/>
        <v>00 0 00 00000000</v>
      </c>
    </row>
    <row r="1276" spans="1:18" s="16" customFormat="1" ht="15.75">
      <c r="A1276" s="14"/>
      <c r="B1276" s="121" t="s">
        <v>239</v>
      </c>
      <c r="C1276" s="122" t="s">
        <v>746</v>
      </c>
      <c r="D1276" s="123" t="s">
        <v>238</v>
      </c>
      <c r="E1276" s="123" t="s">
        <v>11</v>
      </c>
      <c r="F1276" s="123" t="s">
        <v>8</v>
      </c>
      <c r="G1276" s="123" t="s">
        <v>9</v>
      </c>
      <c r="H1276" s="124">
        <f t="shared" si="143"/>
        <v>0</v>
      </c>
      <c r="L1276" s="19">
        <v>1591</v>
      </c>
      <c r="M1276" s="19">
        <v>1591</v>
      </c>
      <c r="N1276" s="19">
        <v>1591</v>
      </c>
      <c r="O1276" s="19">
        <f t="shared" si="144"/>
        <v>-1591</v>
      </c>
      <c r="P1276" s="19" t="e">
        <f>#REF!-M1276</f>
        <v>#REF!</v>
      </c>
      <c r="Q1276" s="19" t="e">
        <f>#REF!-N1276</f>
        <v>#REF!</v>
      </c>
      <c r="R1276" s="17" t="str">
        <f t="shared" si="132"/>
        <v>00 0 00 00000000</v>
      </c>
    </row>
    <row r="1277" spans="1:18" s="16" customFormat="1" ht="31.5">
      <c r="A1277" s="14"/>
      <c r="B1277" s="125" t="s">
        <v>240</v>
      </c>
      <c r="C1277" s="130" t="s">
        <v>746</v>
      </c>
      <c r="D1277" s="131" t="s">
        <v>238</v>
      </c>
      <c r="E1277" s="131" t="s">
        <v>11</v>
      </c>
      <c r="F1277" s="131" t="s">
        <v>241</v>
      </c>
      <c r="G1277" s="131" t="s">
        <v>9</v>
      </c>
      <c r="H1277" s="105">
        <f t="shared" si="143"/>
        <v>0</v>
      </c>
      <c r="L1277" s="26">
        <v>1591</v>
      </c>
      <c r="M1277" s="26">
        <v>1591</v>
      </c>
      <c r="N1277" s="26">
        <v>1591</v>
      </c>
      <c r="O1277" s="26">
        <f t="shared" si="144"/>
        <v>-1591</v>
      </c>
      <c r="P1277" s="26" t="e">
        <f>#REF!-M1277</f>
        <v>#REF!</v>
      </c>
      <c r="Q1277" s="26" t="e">
        <f>#REF!-N1277</f>
        <v>#REF!</v>
      </c>
      <c r="R1277" s="17" t="str">
        <f t="shared" si="132"/>
        <v>07 0 00 00000000</v>
      </c>
    </row>
    <row r="1278" spans="1:18" s="16" customFormat="1" ht="78.75">
      <c r="A1278" s="14"/>
      <c r="B1278" s="140" t="s">
        <v>242</v>
      </c>
      <c r="C1278" s="130" t="s">
        <v>746</v>
      </c>
      <c r="D1278" s="131" t="s">
        <v>238</v>
      </c>
      <c r="E1278" s="131" t="s">
        <v>11</v>
      </c>
      <c r="F1278" s="131" t="s">
        <v>243</v>
      </c>
      <c r="G1278" s="131" t="s">
        <v>9</v>
      </c>
      <c r="H1278" s="105">
        <f t="shared" si="143"/>
        <v>0</v>
      </c>
      <c r="L1278" s="26">
        <v>1591</v>
      </c>
      <c r="M1278" s="26">
        <v>1591</v>
      </c>
      <c r="N1278" s="26">
        <v>1591</v>
      </c>
      <c r="O1278" s="26">
        <f t="shared" si="144"/>
        <v>-1591</v>
      </c>
      <c r="P1278" s="26" t="e">
        <f>#REF!-M1278</f>
        <v>#REF!</v>
      </c>
      <c r="Q1278" s="26" t="e">
        <f>#REF!-N1278</f>
        <v>#REF!</v>
      </c>
      <c r="R1278" s="17" t="str">
        <f t="shared" si="132"/>
        <v>07 1 00 00000000</v>
      </c>
    </row>
    <row r="1279" spans="1:18" s="16" customFormat="1" ht="110.25">
      <c r="A1279" s="14"/>
      <c r="B1279" s="140" t="s">
        <v>244</v>
      </c>
      <c r="C1279" s="130" t="s">
        <v>746</v>
      </c>
      <c r="D1279" s="131" t="s">
        <v>238</v>
      </c>
      <c r="E1279" s="131" t="s">
        <v>11</v>
      </c>
      <c r="F1279" s="131" t="s">
        <v>245</v>
      </c>
      <c r="G1279" s="131" t="s">
        <v>9</v>
      </c>
      <c r="H1279" s="105">
        <f>H1280+H1283</f>
        <v>0</v>
      </c>
      <c r="L1279" s="26">
        <v>1591</v>
      </c>
      <c r="M1279" s="26">
        <v>1591</v>
      </c>
      <c r="N1279" s="26">
        <v>1591</v>
      </c>
      <c r="O1279" s="26">
        <f t="shared" si="144"/>
        <v>-1591</v>
      </c>
      <c r="P1279" s="26" t="e">
        <f>#REF!-M1279</f>
        <v>#REF!</v>
      </c>
      <c r="Q1279" s="26" t="e">
        <f>#REF!-N1279</f>
        <v>#REF!</v>
      </c>
      <c r="R1279" s="17" t="str">
        <f t="shared" si="132"/>
        <v>07 1 01 00000000</v>
      </c>
    </row>
    <row r="1280" spans="1:18" s="16" customFormat="1" ht="31.5">
      <c r="A1280" s="14"/>
      <c r="B1280" s="125" t="s">
        <v>246</v>
      </c>
      <c r="C1280" s="130" t="s">
        <v>746</v>
      </c>
      <c r="D1280" s="131" t="s">
        <v>238</v>
      </c>
      <c r="E1280" s="131" t="s">
        <v>11</v>
      </c>
      <c r="F1280" s="131" t="s">
        <v>247</v>
      </c>
      <c r="G1280" s="131" t="s">
        <v>9</v>
      </c>
      <c r="H1280" s="105">
        <f>H1281</f>
        <v>0</v>
      </c>
      <c r="L1280" s="26">
        <v>1095.45</v>
      </c>
      <c r="M1280" s="26">
        <v>1095.45</v>
      </c>
      <c r="N1280" s="26">
        <v>1095.45</v>
      </c>
      <c r="O1280" s="26">
        <f t="shared" si="144"/>
        <v>-1095.45</v>
      </c>
      <c r="P1280" s="26" t="e">
        <f>#REF!-M1280</f>
        <v>#REF!</v>
      </c>
      <c r="Q1280" s="26" t="e">
        <f>#REF!-N1280</f>
        <v>#REF!</v>
      </c>
      <c r="R1280" s="17" t="str">
        <f t="shared" si="132"/>
        <v>07 1 01 20060000</v>
      </c>
    </row>
    <row r="1281" spans="1:18" s="16" customFormat="1" ht="31.5">
      <c r="A1281" s="14"/>
      <c r="B1281" s="125" t="s">
        <v>28</v>
      </c>
      <c r="C1281" s="130" t="s">
        <v>746</v>
      </c>
      <c r="D1281" s="131" t="s">
        <v>238</v>
      </c>
      <c r="E1281" s="131" t="s">
        <v>11</v>
      </c>
      <c r="F1281" s="131" t="s">
        <v>247</v>
      </c>
      <c r="G1281" s="131" t="s">
        <v>29</v>
      </c>
      <c r="H1281" s="126">
        <f>H1282</f>
        <v>0</v>
      </c>
      <c r="L1281" s="26">
        <v>1095.45</v>
      </c>
      <c r="M1281" s="26">
        <v>1095.45</v>
      </c>
      <c r="N1281" s="26">
        <v>1095.45</v>
      </c>
      <c r="O1281" s="26">
        <f t="shared" si="144"/>
        <v>-1095.45</v>
      </c>
      <c r="P1281" s="26" t="e">
        <f>#REF!-M1281</f>
        <v>#REF!</v>
      </c>
      <c r="Q1281" s="26" t="e">
        <f>#REF!-N1281</f>
        <v>#REF!</v>
      </c>
      <c r="R1281" s="17" t="str">
        <f t="shared" si="132"/>
        <v>07 1 01 20060240</v>
      </c>
    </row>
    <row r="1282" spans="1:18" s="16" customFormat="1" ht="15.75">
      <c r="A1282" s="14"/>
      <c r="B1282" s="125" t="s">
        <v>30</v>
      </c>
      <c r="C1282" s="130" t="s">
        <v>746</v>
      </c>
      <c r="D1282" s="131" t="s">
        <v>238</v>
      </c>
      <c r="E1282" s="131" t="s">
        <v>11</v>
      </c>
      <c r="F1282" s="131" t="s">
        <v>247</v>
      </c>
      <c r="G1282" s="131" t="s">
        <v>31</v>
      </c>
      <c r="H1282" s="126"/>
      <c r="L1282" s="26"/>
      <c r="M1282" s="26"/>
      <c r="N1282" s="26"/>
      <c r="O1282" s="26"/>
      <c r="P1282" s="26"/>
      <c r="Q1282" s="26"/>
      <c r="R1282" s="17"/>
    </row>
    <row r="1283" spans="1:18" s="16" customFormat="1" ht="47.25">
      <c r="A1283" s="14"/>
      <c r="B1283" s="127" t="s">
        <v>780</v>
      </c>
      <c r="C1283" s="130" t="s">
        <v>746</v>
      </c>
      <c r="D1283" s="131" t="s">
        <v>238</v>
      </c>
      <c r="E1283" s="131" t="s">
        <v>11</v>
      </c>
      <c r="F1283" s="131" t="s">
        <v>781</v>
      </c>
      <c r="G1283" s="131" t="s">
        <v>9</v>
      </c>
      <c r="H1283" s="105">
        <f>H1284</f>
        <v>0</v>
      </c>
      <c r="L1283" s="26">
        <v>495.55</v>
      </c>
      <c r="M1283" s="26">
        <v>495.55</v>
      </c>
      <c r="N1283" s="26">
        <v>495.55</v>
      </c>
      <c r="O1283" s="26">
        <f>H1283-L1283</f>
        <v>-495.55</v>
      </c>
      <c r="P1283" s="26" t="e">
        <f>#REF!-M1283</f>
        <v>#REF!</v>
      </c>
      <c r="Q1283" s="26" t="e">
        <f>#REF!-N1283</f>
        <v>#REF!</v>
      </c>
      <c r="R1283" s="17" t="str">
        <f t="shared" ref="R1283:R1369" si="145">CONCATENATE(F1283,G1283)</f>
        <v>07 1 01 21130000</v>
      </c>
    </row>
    <row r="1284" spans="1:18" ht="31.5">
      <c r="B1284" s="125" t="s">
        <v>28</v>
      </c>
      <c r="C1284" s="130" t="s">
        <v>746</v>
      </c>
      <c r="D1284" s="131" t="s">
        <v>238</v>
      </c>
      <c r="E1284" s="131" t="s">
        <v>11</v>
      </c>
      <c r="F1284" s="131" t="s">
        <v>781</v>
      </c>
      <c r="G1284" s="131" t="s">
        <v>29</v>
      </c>
      <c r="H1284" s="126">
        <f>H1285</f>
        <v>0</v>
      </c>
      <c r="L1284" s="26">
        <v>495.55</v>
      </c>
      <c r="M1284" s="26">
        <v>495.55</v>
      </c>
      <c r="N1284" s="26">
        <v>495.55</v>
      </c>
      <c r="O1284" s="26">
        <f>H1284-L1284</f>
        <v>-495.55</v>
      </c>
      <c r="P1284" s="26" t="e">
        <f>#REF!-M1284</f>
        <v>#REF!</v>
      </c>
      <c r="Q1284" s="26" t="e">
        <f>#REF!-N1284</f>
        <v>#REF!</v>
      </c>
      <c r="R1284" s="17" t="str">
        <f t="shared" si="145"/>
        <v>07 1 01 21130240</v>
      </c>
    </row>
    <row r="1285" spans="1:18">
      <c r="B1285" s="125" t="s">
        <v>30</v>
      </c>
      <c r="C1285" s="130" t="s">
        <v>746</v>
      </c>
      <c r="D1285" s="131" t="s">
        <v>238</v>
      </c>
      <c r="E1285" s="131" t="s">
        <v>11</v>
      </c>
      <c r="F1285" s="131" t="s">
        <v>781</v>
      </c>
      <c r="G1285" s="131" t="s">
        <v>31</v>
      </c>
      <c r="H1285" s="126"/>
      <c r="L1285" s="26"/>
      <c r="M1285" s="26"/>
      <c r="N1285" s="26"/>
      <c r="O1285" s="26"/>
      <c r="P1285" s="26"/>
      <c r="Q1285" s="26"/>
      <c r="R1285" s="17"/>
    </row>
    <row r="1286" spans="1:18">
      <c r="B1286" s="125"/>
      <c r="C1286" s="130"/>
      <c r="D1286" s="131"/>
      <c r="E1286" s="131"/>
      <c r="F1286" s="131"/>
      <c r="G1286" s="131"/>
      <c r="H1286" s="105"/>
      <c r="L1286" s="26"/>
      <c r="M1286" s="26"/>
      <c r="N1286" s="26"/>
      <c r="O1286" s="26">
        <f t="shared" ref="O1286:O1293" si="146">H1286-L1286</f>
        <v>0</v>
      </c>
      <c r="P1286" s="26" t="e">
        <f>#REF!-M1286</f>
        <v>#REF!</v>
      </c>
      <c r="Q1286" s="26" t="e">
        <f>#REF!-N1286</f>
        <v>#REF!</v>
      </c>
      <c r="R1286" s="17" t="str">
        <f t="shared" si="145"/>
        <v/>
      </c>
    </row>
    <row r="1287" spans="1:18" s="16" customFormat="1" ht="31.5">
      <c r="A1287" s="14"/>
      <c r="B1287" s="67" t="s">
        <v>782</v>
      </c>
      <c r="C1287" s="116" t="s">
        <v>783</v>
      </c>
      <c r="D1287" s="69" t="s">
        <v>7</v>
      </c>
      <c r="E1287" s="69" t="s">
        <v>7</v>
      </c>
      <c r="F1287" s="69" t="s">
        <v>8</v>
      </c>
      <c r="G1287" s="69" t="s">
        <v>9</v>
      </c>
      <c r="H1287" s="70">
        <f>H1288+H1322+H1333+H1360</f>
        <v>0</v>
      </c>
      <c r="L1287" s="25">
        <v>123389.62</v>
      </c>
      <c r="M1287" s="25">
        <v>116997.78</v>
      </c>
      <c r="N1287" s="25">
        <v>122066.77</v>
      </c>
      <c r="O1287" s="25">
        <f t="shared" si="146"/>
        <v>-123389.62</v>
      </c>
      <c r="P1287" s="25" t="e">
        <f>#REF!-M1287</f>
        <v>#REF!</v>
      </c>
      <c r="Q1287" s="25" t="e">
        <f>#REF!-N1287</f>
        <v>#REF!</v>
      </c>
      <c r="R1287" s="17" t="str">
        <f t="shared" si="145"/>
        <v>00 0 00 00000000</v>
      </c>
    </row>
    <row r="1288" spans="1:18" s="16" customFormat="1" ht="15.75">
      <c r="A1288" s="14"/>
      <c r="B1288" s="117" t="s">
        <v>10</v>
      </c>
      <c r="C1288" s="118" t="s">
        <v>783</v>
      </c>
      <c r="D1288" s="119" t="s">
        <v>11</v>
      </c>
      <c r="E1288" s="119" t="s">
        <v>7</v>
      </c>
      <c r="F1288" s="119" t="s">
        <v>8</v>
      </c>
      <c r="G1288" s="119" t="s">
        <v>9</v>
      </c>
      <c r="H1288" s="120">
        <f>H1289+H1315</f>
        <v>0</v>
      </c>
      <c r="L1288" s="18">
        <v>31479.460000000003</v>
      </c>
      <c r="M1288" s="18">
        <v>31479.460000000003</v>
      </c>
      <c r="N1288" s="18">
        <v>31479.460000000003</v>
      </c>
      <c r="O1288" s="18">
        <f t="shared" si="146"/>
        <v>-31479.460000000003</v>
      </c>
      <c r="P1288" s="18" t="e">
        <f>#REF!-M1288</f>
        <v>#REF!</v>
      </c>
      <c r="Q1288" s="18" t="e">
        <f>#REF!-N1288</f>
        <v>#REF!</v>
      </c>
      <c r="R1288" s="17" t="str">
        <f t="shared" si="145"/>
        <v>00 0 00 00000000</v>
      </c>
    </row>
    <row r="1289" spans="1:18" s="16" customFormat="1" ht="63">
      <c r="A1289" s="14"/>
      <c r="B1289" s="121" t="s">
        <v>72</v>
      </c>
      <c r="C1289" s="122" t="s">
        <v>783</v>
      </c>
      <c r="D1289" s="123" t="s">
        <v>11</v>
      </c>
      <c r="E1289" s="123" t="s">
        <v>73</v>
      </c>
      <c r="F1289" s="123" t="s">
        <v>8</v>
      </c>
      <c r="G1289" s="123" t="s">
        <v>9</v>
      </c>
      <c r="H1289" s="124">
        <f t="shared" ref="H1289:H1290" si="147">H1290</f>
        <v>0</v>
      </c>
      <c r="L1289" s="19">
        <v>31121.610000000004</v>
      </c>
      <c r="M1289" s="19">
        <v>31121.610000000004</v>
      </c>
      <c r="N1289" s="19">
        <v>31121.610000000004</v>
      </c>
      <c r="O1289" s="19">
        <f t="shared" si="146"/>
        <v>-31121.610000000004</v>
      </c>
      <c r="P1289" s="19" t="e">
        <f>#REF!-M1289</f>
        <v>#REF!</v>
      </c>
      <c r="Q1289" s="19" t="e">
        <f>#REF!-N1289</f>
        <v>#REF!</v>
      </c>
      <c r="R1289" s="17" t="str">
        <f t="shared" si="145"/>
        <v>00 0 00 00000000</v>
      </c>
    </row>
    <row r="1290" spans="1:18" s="16" customFormat="1" ht="31.5">
      <c r="A1290" s="14"/>
      <c r="B1290" s="125" t="s">
        <v>784</v>
      </c>
      <c r="C1290" s="109" t="s">
        <v>783</v>
      </c>
      <c r="D1290" s="108" t="s">
        <v>11</v>
      </c>
      <c r="E1290" s="108" t="s">
        <v>73</v>
      </c>
      <c r="F1290" s="108" t="s">
        <v>785</v>
      </c>
      <c r="G1290" s="108" t="s">
        <v>9</v>
      </c>
      <c r="H1290" s="126">
        <f t="shared" si="147"/>
        <v>0</v>
      </c>
      <c r="L1290" s="20">
        <v>31121.610000000004</v>
      </c>
      <c r="M1290" s="20">
        <v>31121.610000000004</v>
      </c>
      <c r="N1290" s="20">
        <v>31121.610000000004</v>
      </c>
      <c r="O1290" s="20">
        <f t="shared" si="146"/>
        <v>-31121.610000000004</v>
      </c>
      <c r="P1290" s="20" t="e">
        <f>#REF!-M1290</f>
        <v>#REF!</v>
      </c>
      <c r="Q1290" s="20" t="e">
        <f>#REF!-N1290</f>
        <v>#REF!</v>
      </c>
      <c r="R1290" s="17" t="str">
        <f t="shared" si="145"/>
        <v>81 0 00 00000000</v>
      </c>
    </row>
    <row r="1291" spans="1:18" s="16" customFormat="1" ht="47.25">
      <c r="A1291" s="14"/>
      <c r="B1291" s="125" t="s">
        <v>786</v>
      </c>
      <c r="C1291" s="109" t="s">
        <v>783</v>
      </c>
      <c r="D1291" s="108" t="s">
        <v>11</v>
      </c>
      <c r="E1291" s="108" t="s">
        <v>73</v>
      </c>
      <c r="F1291" s="108" t="s">
        <v>787</v>
      </c>
      <c r="G1291" s="108" t="s">
        <v>9</v>
      </c>
      <c r="H1291" s="126">
        <f>H1292+H1301+H1305+H1312</f>
        <v>0</v>
      </c>
      <c r="L1291" s="20">
        <v>31121.610000000004</v>
      </c>
      <c r="M1291" s="20">
        <v>31121.610000000004</v>
      </c>
      <c r="N1291" s="20">
        <v>31121.610000000004</v>
      </c>
      <c r="O1291" s="20">
        <f t="shared" si="146"/>
        <v>-31121.610000000004</v>
      </c>
      <c r="P1291" s="20" t="e">
        <f>#REF!-M1291</f>
        <v>#REF!</v>
      </c>
      <c r="Q1291" s="20" t="e">
        <f>#REF!-N1291</f>
        <v>#REF!</v>
      </c>
      <c r="R1291" s="17" t="str">
        <f t="shared" si="145"/>
        <v>81 1 00 00000000</v>
      </c>
    </row>
    <row r="1292" spans="1:18" s="16" customFormat="1" ht="31.5">
      <c r="A1292" s="14"/>
      <c r="B1292" s="125" t="s">
        <v>18</v>
      </c>
      <c r="C1292" s="109" t="s">
        <v>783</v>
      </c>
      <c r="D1292" s="108" t="s">
        <v>11</v>
      </c>
      <c r="E1292" s="108" t="s">
        <v>73</v>
      </c>
      <c r="F1292" s="108" t="s">
        <v>788</v>
      </c>
      <c r="G1292" s="108" t="s">
        <v>9</v>
      </c>
      <c r="H1292" s="126">
        <f>H1293+H1296+H1298</f>
        <v>0</v>
      </c>
      <c r="L1292" s="20">
        <v>4289.08</v>
      </c>
      <c r="M1292" s="20">
        <v>4289.08</v>
      </c>
      <c r="N1292" s="20">
        <v>4289.08</v>
      </c>
      <c r="O1292" s="20">
        <f t="shared" si="146"/>
        <v>-4289.08</v>
      </c>
      <c r="P1292" s="20" t="e">
        <f>#REF!-M1292</f>
        <v>#REF!</v>
      </c>
      <c r="Q1292" s="20" t="e">
        <f>#REF!-N1292</f>
        <v>#REF!</v>
      </c>
      <c r="R1292" s="17" t="str">
        <f t="shared" si="145"/>
        <v>81 1 00 10010000</v>
      </c>
    </row>
    <row r="1293" spans="1:18" s="16" customFormat="1" ht="31.5">
      <c r="A1293" s="14"/>
      <c r="B1293" s="129" t="s">
        <v>20</v>
      </c>
      <c r="C1293" s="109" t="s">
        <v>783</v>
      </c>
      <c r="D1293" s="108" t="s">
        <v>11</v>
      </c>
      <c r="E1293" s="108" t="s">
        <v>73</v>
      </c>
      <c r="F1293" s="108" t="s">
        <v>788</v>
      </c>
      <c r="G1293" s="108" t="s">
        <v>21</v>
      </c>
      <c r="H1293" s="126">
        <f>SUM(H1294:H1295)</f>
        <v>0</v>
      </c>
      <c r="L1293" s="20">
        <v>640.11</v>
      </c>
      <c r="M1293" s="20">
        <v>640.11</v>
      </c>
      <c r="N1293" s="20">
        <v>640.11</v>
      </c>
      <c r="O1293" s="20">
        <f t="shared" si="146"/>
        <v>-640.11</v>
      </c>
      <c r="P1293" s="20" t="e">
        <f>#REF!-M1293</f>
        <v>#REF!</v>
      </c>
      <c r="Q1293" s="20" t="e">
        <f>#REF!-N1293</f>
        <v>#REF!</v>
      </c>
      <c r="R1293" s="17" t="str">
        <f t="shared" si="145"/>
        <v>81 1 00 10010120</v>
      </c>
    </row>
    <row r="1294" spans="1:18" s="23" customFormat="1" ht="47.25">
      <c r="A1294" s="21"/>
      <c r="B1294" s="127" t="s">
        <v>22</v>
      </c>
      <c r="C1294" s="109" t="s">
        <v>783</v>
      </c>
      <c r="D1294" s="108" t="s">
        <v>11</v>
      </c>
      <c r="E1294" s="108" t="s">
        <v>73</v>
      </c>
      <c r="F1294" s="108" t="s">
        <v>788</v>
      </c>
      <c r="G1294" s="108" t="s">
        <v>23</v>
      </c>
      <c r="H1294" s="126"/>
      <c r="L1294" s="22"/>
      <c r="M1294" s="22"/>
      <c r="N1294" s="22"/>
      <c r="O1294" s="22"/>
      <c r="P1294" s="22"/>
      <c r="Q1294" s="22"/>
      <c r="R1294" s="24"/>
    </row>
    <row r="1295" spans="1:18" s="23" customFormat="1" ht="63">
      <c r="A1295" s="21"/>
      <c r="B1295" s="127" t="s">
        <v>26</v>
      </c>
      <c r="C1295" s="109" t="s">
        <v>783</v>
      </c>
      <c r="D1295" s="108" t="s">
        <v>11</v>
      </c>
      <c r="E1295" s="108" t="s">
        <v>73</v>
      </c>
      <c r="F1295" s="108" t="s">
        <v>788</v>
      </c>
      <c r="G1295" s="108" t="s">
        <v>27</v>
      </c>
      <c r="H1295" s="126"/>
      <c r="L1295" s="22"/>
      <c r="M1295" s="22"/>
      <c r="N1295" s="22"/>
      <c r="O1295" s="22"/>
      <c r="P1295" s="22"/>
      <c r="Q1295" s="22"/>
      <c r="R1295" s="24"/>
    </row>
    <row r="1296" spans="1:18" s="16" customFormat="1" ht="31.5">
      <c r="A1296" s="14"/>
      <c r="B1296" s="125" t="s">
        <v>28</v>
      </c>
      <c r="C1296" s="109" t="s">
        <v>783</v>
      </c>
      <c r="D1296" s="108" t="s">
        <v>11</v>
      </c>
      <c r="E1296" s="108" t="s">
        <v>73</v>
      </c>
      <c r="F1296" s="108" t="s">
        <v>788</v>
      </c>
      <c r="G1296" s="108" t="s">
        <v>29</v>
      </c>
      <c r="H1296" s="126">
        <f>H1297</f>
        <v>0</v>
      </c>
      <c r="L1296" s="20">
        <v>3598.47</v>
      </c>
      <c r="M1296" s="20">
        <v>3598.47</v>
      </c>
      <c r="N1296" s="20">
        <v>3598.47</v>
      </c>
      <c r="O1296" s="20">
        <f>H1296-L1296</f>
        <v>-3598.47</v>
      </c>
      <c r="P1296" s="20" t="e">
        <f>#REF!-M1296</f>
        <v>#REF!</v>
      </c>
      <c r="Q1296" s="20" t="e">
        <f>#REF!-N1296</f>
        <v>#REF!</v>
      </c>
      <c r="R1296" s="17" t="str">
        <f t="shared" si="145"/>
        <v>81 1 00 10010240</v>
      </c>
    </row>
    <row r="1297" spans="1:18" s="16" customFormat="1" ht="15.75">
      <c r="A1297" s="14"/>
      <c r="B1297" s="125" t="s">
        <v>30</v>
      </c>
      <c r="C1297" s="109" t="s">
        <v>783</v>
      </c>
      <c r="D1297" s="108" t="s">
        <v>11</v>
      </c>
      <c r="E1297" s="108" t="s">
        <v>73</v>
      </c>
      <c r="F1297" s="108" t="s">
        <v>788</v>
      </c>
      <c r="G1297" s="108" t="s">
        <v>31</v>
      </c>
      <c r="H1297" s="126"/>
      <c r="L1297" s="20"/>
      <c r="M1297" s="20"/>
      <c r="N1297" s="20"/>
      <c r="O1297" s="20"/>
      <c r="P1297" s="20"/>
      <c r="Q1297" s="20"/>
      <c r="R1297" s="17"/>
    </row>
    <row r="1298" spans="1:18" s="16" customFormat="1" ht="15.75">
      <c r="A1298" s="14"/>
      <c r="B1298" s="125" t="s">
        <v>32</v>
      </c>
      <c r="C1298" s="109" t="s">
        <v>783</v>
      </c>
      <c r="D1298" s="108" t="s">
        <v>11</v>
      </c>
      <c r="E1298" s="108" t="s">
        <v>73</v>
      </c>
      <c r="F1298" s="108" t="s">
        <v>788</v>
      </c>
      <c r="G1298" s="108" t="s">
        <v>33</v>
      </c>
      <c r="H1298" s="126">
        <f>SUM(H1299:H1300)</f>
        <v>0</v>
      </c>
      <c r="L1298" s="20">
        <v>50.5</v>
      </c>
      <c r="M1298" s="20">
        <v>50.5</v>
      </c>
      <c r="N1298" s="20">
        <v>50.5</v>
      </c>
      <c r="O1298" s="20">
        <f>H1298-L1298</f>
        <v>-50.5</v>
      </c>
      <c r="P1298" s="20" t="e">
        <f>#REF!-M1298</f>
        <v>#REF!</v>
      </c>
      <c r="Q1298" s="20" t="e">
        <f>#REF!-N1298</f>
        <v>#REF!</v>
      </c>
      <c r="R1298" s="17" t="str">
        <f t="shared" si="145"/>
        <v>81 1 00 10010850</v>
      </c>
    </row>
    <row r="1299" spans="1:18" s="23" customFormat="1" ht="31.5">
      <c r="A1299" s="21"/>
      <c r="B1299" s="127" t="s">
        <v>34</v>
      </c>
      <c r="C1299" s="109" t="s">
        <v>783</v>
      </c>
      <c r="D1299" s="108" t="s">
        <v>11</v>
      </c>
      <c r="E1299" s="108" t="s">
        <v>73</v>
      </c>
      <c r="F1299" s="108" t="s">
        <v>788</v>
      </c>
      <c r="G1299" s="108" t="s">
        <v>35</v>
      </c>
      <c r="H1299" s="126"/>
      <c r="L1299" s="22"/>
      <c r="M1299" s="22"/>
      <c r="N1299" s="22"/>
      <c r="O1299" s="22"/>
      <c r="P1299" s="22"/>
      <c r="Q1299" s="22"/>
      <c r="R1299" s="24"/>
    </row>
    <row r="1300" spans="1:18" s="23" customFormat="1" ht="15.75">
      <c r="A1300" s="21"/>
      <c r="B1300" s="127" t="s">
        <v>36</v>
      </c>
      <c r="C1300" s="109" t="s">
        <v>783</v>
      </c>
      <c r="D1300" s="108" t="s">
        <v>11</v>
      </c>
      <c r="E1300" s="108" t="s">
        <v>73</v>
      </c>
      <c r="F1300" s="108" t="s">
        <v>788</v>
      </c>
      <c r="G1300" s="108" t="s">
        <v>37</v>
      </c>
      <c r="H1300" s="126"/>
      <c r="L1300" s="22"/>
      <c r="M1300" s="22"/>
      <c r="N1300" s="22"/>
      <c r="O1300" s="22"/>
      <c r="P1300" s="22"/>
      <c r="Q1300" s="22"/>
      <c r="R1300" s="24"/>
    </row>
    <row r="1301" spans="1:18" s="16" customFormat="1" ht="31.5">
      <c r="A1301" s="14"/>
      <c r="B1301" s="129" t="s">
        <v>789</v>
      </c>
      <c r="C1301" s="109" t="s">
        <v>783</v>
      </c>
      <c r="D1301" s="108" t="s">
        <v>11</v>
      </c>
      <c r="E1301" s="108" t="s">
        <v>73</v>
      </c>
      <c r="F1301" s="108" t="s">
        <v>790</v>
      </c>
      <c r="G1301" s="108" t="s">
        <v>9</v>
      </c>
      <c r="H1301" s="126">
        <f>H1302</f>
        <v>0</v>
      </c>
      <c r="L1301" s="20">
        <v>25543</v>
      </c>
      <c r="M1301" s="20">
        <v>25543</v>
      </c>
      <c r="N1301" s="20">
        <v>25543</v>
      </c>
      <c r="O1301" s="20">
        <f>H1301-L1301</f>
        <v>-25543</v>
      </c>
      <c r="P1301" s="20" t="e">
        <f>#REF!-M1301</f>
        <v>#REF!</v>
      </c>
      <c r="Q1301" s="20" t="e">
        <f>#REF!-N1301</f>
        <v>#REF!</v>
      </c>
      <c r="R1301" s="17" t="str">
        <f t="shared" si="145"/>
        <v>81 1 00 10020000</v>
      </c>
    </row>
    <row r="1302" spans="1:18" s="16" customFormat="1" ht="31.5">
      <c r="A1302" s="14"/>
      <c r="B1302" s="129" t="s">
        <v>20</v>
      </c>
      <c r="C1302" s="109" t="s">
        <v>783</v>
      </c>
      <c r="D1302" s="108" t="s">
        <v>11</v>
      </c>
      <c r="E1302" s="108" t="s">
        <v>73</v>
      </c>
      <c r="F1302" s="108" t="s">
        <v>790</v>
      </c>
      <c r="G1302" s="108" t="s">
        <v>21</v>
      </c>
      <c r="H1302" s="126">
        <f>SUM(H1303:H1304)</f>
        <v>0</v>
      </c>
      <c r="L1302" s="20">
        <v>25543</v>
      </c>
      <c r="M1302" s="20">
        <v>25543</v>
      </c>
      <c r="N1302" s="20">
        <v>25543</v>
      </c>
      <c r="O1302" s="20">
        <f>H1302-L1302</f>
        <v>-25543</v>
      </c>
      <c r="P1302" s="20" t="e">
        <f>#REF!-M1302</f>
        <v>#REF!</v>
      </c>
      <c r="Q1302" s="20" t="e">
        <f>#REF!-N1302</f>
        <v>#REF!</v>
      </c>
      <c r="R1302" s="17" t="str">
        <f t="shared" si="145"/>
        <v>81 1 00 10020120</v>
      </c>
    </row>
    <row r="1303" spans="1:18" s="23" customFormat="1" ht="31.5">
      <c r="A1303" s="21"/>
      <c r="B1303" s="127" t="s">
        <v>40</v>
      </c>
      <c r="C1303" s="109" t="s">
        <v>783</v>
      </c>
      <c r="D1303" s="108" t="s">
        <v>11</v>
      </c>
      <c r="E1303" s="108" t="s">
        <v>73</v>
      </c>
      <c r="F1303" s="108" t="s">
        <v>790</v>
      </c>
      <c r="G1303" s="108" t="s">
        <v>41</v>
      </c>
      <c r="H1303" s="126"/>
      <c r="L1303" s="22"/>
      <c r="M1303" s="22"/>
      <c r="N1303" s="22"/>
      <c r="O1303" s="22"/>
      <c r="P1303" s="22"/>
      <c r="Q1303" s="22"/>
      <c r="R1303" s="24"/>
    </row>
    <row r="1304" spans="1:18" s="23" customFormat="1" ht="63">
      <c r="A1304" s="21"/>
      <c r="B1304" s="127" t="s">
        <v>26</v>
      </c>
      <c r="C1304" s="109" t="s">
        <v>783</v>
      </c>
      <c r="D1304" s="108" t="s">
        <v>11</v>
      </c>
      <c r="E1304" s="108" t="s">
        <v>73</v>
      </c>
      <c r="F1304" s="108" t="s">
        <v>790</v>
      </c>
      <c r="G1304" s="108" t="s">
        <v>27</v>
      </c>
      <c r="H1304" s="126"/>
      <c r="L1304" s="22"/>
      <c r="M1304" s="22"/>
      <c r="N1304" s="22"/>
      <c r="O1304" s="22"/>
      <c r="P1304" s="22"/>
      <c r="Q1304" s="22"/>
      <c r="R1304" s="24"/>
    </row>
    <row r="1305" spans="1:18" s="16" customFormat="1" ht="63">
      <c r="A1305" s="14" t="s">
        <v>80</v>
      </c>
      <c r="B1305" s="150" t="s">
        <v>488</v>
      </c>
      <c r="C1305" s="109" t="s">
        <v>783</v>
      </c>
      <c r="D1305" s="108" t="s">
        <v>11</v>
      </c>
      <c r="E1305" s="108" t="s">
        <v>73</v>
      </c>
      <c r="F1305" s="108" t="s">
        <v>791</v>
      </c>
      <c r="G1305" s="108" t="s">
        <v>9</v>
      </c>
      <c r="H1305" s="126">
        <f>H1306+H1310</f>
        <v>0</v>
      </c>
      <c r="L1305" s="20">
        <v>1218.6300000000001</v>
      </c>
      <c r="M1305" s="20">
        <v>1218.6300000000001</v>
      </c>
      <c r="N1305" s="20">
        <v>1218.6300000000001</v>
      </c>
      <c r="O1305" s="20">
        <f>H1305-L1305</f>
        <v>-1218.6300000000001</v>
      </c>
      <c r="P1305" s="20" t="e">
        <f>#REF!-M1305</f>
        <v>#REF!</v>
      </c>
      <c r="Q1305" s="20" t="e">
        <f>#REF!-N1305</f>
        <v>#REF!</v>
      </c>
      <c r="R1305" s="17" t="str">
        <f t="shared" si="145"/>
        <v>81 1 00 76200000</v>
      </c>
    </row>
    <row r="1306" spans="1:18" s="16" customFormat="1" ht="31.5">
      <c r="A1306" s="14"/>
      <c r="B1306" s="129" t="s">
        <v>20</v>
      </c>
      <c r="C1306" s="109" t="s">
        <v>783</v>
      </c>
      <c r="D1306" s="108" t="s">
        <v>11</v>
      </c>
      <c r="E1306" s="108" t="s">
        <v>73</v>
      </c>
      <c r="F1306" s="108" t="s">
        <v>791</v>
      </c>
      <c r="G1306" s="108" t="s">
        <v>21</v>
      </c>
      <c r="H1306" s="126">
        <f>SUM(H1307:H1309)</f>
        <v>0</v>
      </c>
      <c r="L1306" s="20">
        <v>1059.71</v>
      </c>
      <c r="M1306" s="20">
        <v>1059.71</v>
      </c>
      <c r="N1306" s="20">
        <v>1059.71</v>
      </c>
      <c r="O1306" s="20">
        <f>H1306-L1306</f>
        <v>-1059.71</v>
      </c>
      <c r="P1306" s="20" t="e">
        <f>#REF!-M1306</f>
        <v>#REF!</v>
      </c>
      <c r="Q1306" s="20" t="e">
        <f>#REF!-N1306</f>
        <v>#REF!</v>
      </c>
      <c r="R1306" s="17" t="str">
        <f t="shared" si="145"/>
        <v>81 1 00 76200120</v>
      </c>
    </row>
    <row r="1307" spans="1:18" s="16" customFormat="1" ht="31.5">
      <c r="A1307" s="14"/>
      <c r="B1307" s="127" t="s">
        <v>40</v>
      </c>
      <c r="C1307" s="109" t="s">
        <v>783</v>
      </c>
      <c r="D1307" s="108" t="s">
        <v>11</v>
      </c>
      <c r="E1307" s="108" t="s">
        <v>73</v>
      </c>
      <c r="F1307" s="108" t="s">
        <v>791</v>
      </c>
      <c r="G1307" s="108" t="s">
        <v>41</v>
      </c>
      <c r="H1307" s="126"/>
      <c r="L1307" s="20"/>
      <c r="M1307" s="20"/>
      <c r="N1307" s="20"/>
      <c r="O1307" s="20"/>
      <c r="P1307" s="20"/>
      <c r="Q1307" s="20"/>
      <c r="R1307" s="17"/>
    </row>
    <row r="1308" spans="1:18" s="23" customFormat="1" ht="47.25">
      <c r="A1308" s="21"/>
      <c r="B1308" s="127" t="s">
        <v>22</v>
      </c>
      <c r="C1308" s="109" t="s">
        <v>783</v>
      </c>
      <c r="D1308" s="108" t="s">
        <v>11</v>
      </c>
      <c r="E1308" s="108" t="s">
        <v>73</v>
      </c>
      <c r="F1308" s="108" t="s">
        <v>791</v>
      </c>
      <c r="G1308" s="108" t="s">
        <v>23</v>
      </c>
      <c r="H1308" s="126"/>
      <c r="L1308" s="22"/>
      <c r="M1308" s="22"/>
      <c r="N1308" s="22"/>
      <c r="O1308" s="22"/>
      <c r="P1308" s="22"/>
      <c r="Q1308" s="22"/>
      <c r="R1308" s="24"/>
    </row>
    <row r="1309" spans="1:18" s="23" customFormat="1" ht="63">
      <c r="A1309" s="21"/>
      <c r="B1309" s="127" t="s">
        <v>26</v>
      </c>
      <c r="C1309" s="109" t="s">
        <v>783</v>
      </c>
      <c r="D1309" s="108" t="s">
        <v>11</v>
      </c>
      <c r="E1309" s="108" t="s">
        <v>73</v>
      </c>
      <c r="F1309" s="108" t="s">
        <v>791</v>
      </c>
      <c r="G1309" s="108" t="s">
        <v>27</v>
      </c>
      <c r="H1309" s="126"/>
      <c r="L1309" s="22"/>
      <c r="M1309" s="22"/>
      <c r="N1309" s="22"/>
      <c r="O1309" s="22"/>
      <c r="P1309" s="22"/>
      <c r="Q1309" s="22"/>
      <c r="R1309" s="24"/>
    </row>
    <row r="1310" spans="1:18" s="16" customFormat="1" ht="31.5">
      <c r="A1310" s="14"/>
      <c r="B1310" s="125" t="s">
        <v>28</v>
      </c>
      <c r="C1310" s="109" t="s">
        <v>783</v>
      </c>
      <c r="D1310" s="108" t="s">
        <v>11</v>
      </c>
      <c r="E1310" s="108" t="s">
        <v>73</v>
      </c>
      <c r="F1310" s="108" t="s">
        <v>791</v>
      </c>
      <c r="G1310" s="108" t="s">
        <v>29</v>
      </c>
      <c r="H1310" s="126">
        <f>H1311</f>
        <v>0</v>
      </c>
      <c r="L1310" s="20">
        <v>158.91999999999999</v>
      </c>
      <c r="M1310" s="20">
        <v>158.91999999999999</v>
      </c>
      <c r="N1310" s="20">
        <v>158.91999999999999</v>
      </c>
      <c r="O1310" s="20">
        <f>H1310-L1310</f>
        <v>-158.91999999999999</v>
      </c>
      <c r="P1310" s="20" t="e">
        <f>#REF!-M1310</f>
        <v>#REF!</v>
      </c>
      <c r="Q1310" s="20" t="e">
        <f>#REF!-N1310</f>
        <v>#REF!</v>
      </c>
      <c r="R1310" s="17" t="str">
        <f t="shared" si="145"/>
        <v>81 1 00 76200240</v>
      </c>
    </row>
    <row r="1311" spans="1:18" s="16" customFormat="1" ht="15.75">
      <c r="A1311" s="14"/>
      <c r="B1311" s="125" t="s">
        <v>30</v>
      </c>
      <c r="C1311" s="109" t="s">
        <v>783</v>
      </c>
      <c r="D1311" s="108" t="s">
        <v>11</v>
      </c>
      <c r="E1311" s="108" t="s">
        <v>73</v>
      </c>
      <c r="F1311" s="108" t="s">
        <v>791</v>
      </c>
      <c r="G1311" s="108" t="s">
        <v>31</v>
      </c>
      <c r="H1311" s="126"/>
      <c r="L1311" s="20"/>
      <c r="M1311" s="20"/>
      <c r="N1311" s="20"/>
      <c r="O1311" s="20"/>
      <c r="P1311" s="20"/>
      <c r="Q1311" s="20"/>
      <c r="R1311" s="17"/>
    </row>
    <row r="1312" spans="1:18" s="16" customFormat="1" ht="63">
      <c r="A1312" s="14" t="s">
        <v>80</v>
      </c>
      <c r="B1312" s="129" t="s">
        <v>754</v>
      </c>
      <c r="C1312" s="109" t="str">
        <f t="shared" ref="C1312:E1313" si="148">C1301</f>
        <v>618</v>
      </c>
      <c r="D1312" s="108" t="str">
        <f t="shared" si="148"/>
        <v>01</v>
      </c>
      <c r="E1312" s="108" t="str">
        <f t="shared" si="148"/>
        <v>04</v>
      </c>
      <c r="F1312" s="108" t="s">
        <v>792</v>
      </c>
      <c r="G1312" s="108" t="s">
        <v>9</v>
      </c>
      <c r="H1312" s="126">
        <f>H1313</f>
        <v>0</v>
      </c>
      <c r="L1312" s="20">
        <v>70.900000000000006</v>
      </c>
      <c r="M1312" s="20">
        <v>70.900000000000006</v>
      </c>
      <c r="N1312" s="20">
        <v>70.900000000000006</v>
      </c>
      <c r="O1312" s="20">
        <f>H1312-L1312</f>
        <v>-70.900000000000006</v>
      </c>
      <c r="P1312" s="20" t="e">
        <f>#REF!-M1312</f>
        <v>#REF!</v>
      </c>
      <c r="Q1312" s="20" t="e">
        <f>#REF!-N1312</f>
        <v>#REF!</v>
      </c>
      <c r="R1312" s="17" t="str">
        <f t="shared" si="145"/>
        <v>81 1 00 76360000</v>
      </c>
    </row>
    <row r="1313" spans="1:18" s="16" customFormat="1" ht="31.5">
      <c r="A1313" s="14"/>
      <c r="B1313" s="125" t="s">
        <v>28</v>
      </c>
      <c r="C1313" s="109" t="str">
        <f t="shared" si="148"/>
        <v>618</v>
      </c>
      <c r="D1313" s="108" t="str">
        <f t="shared" si="148"/>
        <v>01</v>
      </c>
      <c r="E1313" s="108" t="str">
        <f t="shared" si="148"/>
        <v>04</v>
      </c>
      <c r="F1313" s="108" t="s">
        <v>792</v>
      </c>
      <c r="G1313" s="108" t="s">
        <v>29</v>
      </c>
      <c r="H1313" s="126">
        <f>H1314</f>
        <v>0</v>
      </c>
      <c r="L1313" s="20">
        <v>70.900000000000006</v>
      </c>
      <c r="M1313" s="20">
        <v>70.900000000000006</v>
      </c>
      <c r="N1313" s="20">
        <v>70.900000000000006</v>
      </c>
      <c r="O1313" s="20">
        <f>H1313-L1313</f>
        <v>-70.900000000000006</v>
      </c>
      <c r="P1313" s="20" t="e">
        <f>#REF!-M1313</f>
        <v>#REF!</v>
      </c>
      <c r="Q1313" s="20" t="e">
        <f>#REF!-N1313</f>
        <v>#REF!</v>
      </c>
      <c r="R1313" s="17" t="str">
        <f t="shared" si="145"/>
        <v>81 1 00 76360240</v>
      </c>
    </row>
    <row r="1314" spans="1:18" s="16" customFormat="1" ht="15.75">
      <c r="A1314" s="14"/>
      <c r="B1314" s="125" t="s">
        <v>30</v>
      </c>
      <c r="C1314" s="109" t="s">
        <v>783</v>
      </c>
      <c r="D1314" s="108" t="s">
        <v>11</v>
      </c>
      <c r="E1314" s="108" t="s">
        <v>73</v>
      </c>
      <c r="F1314" s="108" t="s">
        <v>792</v>
      </c>
      <c r="G1314" s="108" t="s">
        <v>31</v>
      </c>
      <c r="H1314" s="126"/>
      <c r="L1314" s="20"/>
      <c r="M1314" s="20"/>
      <c r="N1314" s="20"/>
      <c r="O1314" s="20"/>
      <c r="P1314" s="20"/>
      <c r="Q1314" s="20"/>
      <c r="R1314" s="17"/>
    </row>
    <row r="1315" spans="1:18" s="16" customFormat="1" ht="15.75">
      <c r="A1315" s="14"/>
      <c r="B1315" s="121" t="s">
        <v>50</v>
      </c>
      <c r="C1315" s="122" t="s">
        <v>783</v>
      </c>
      <c r="D1315" s="123" t="s">
        <v>11</v>
      </c>
      <c r="E1315" s="123" t="s">
        <v>51</v>
      </c>
      <c r="F1315" s="123" t="s">
        <v>8</v>
      </c>
      <c r="G1315" s="123" t="s">
        <v>9</v>
      </c>
      <c r="H1315" s="124">
        <f>H1316</f>
        <v>0</v>
      </c>
      <c r="L1315" s="19">
        <v>357.85</v>
      </c>
      <c r="M1315" s="19">
        <v>357.85</v>
      </c>
      <c r="N1315" s="19">
        <v>357.85</v>
      </c>
      <c r="O1315" s="19">
        <f t="shared" ref="O1315:O1320" si="149">H1315-L1315</f>
        <v>-357.85</v>
      </c>
      <c r="P1315" s="19" t="e">
        <f>#REF!-M1315</f>
        <v>#REF!</v>
      </c>
      <c r="Q1315" s="19" t="e">
        <f>#REF!-N1315</f>
        <v>#REF!</v>
      </c>
      <c r="R1315" s="17" t="str">
        <f t="shared" si="145"/>
        <v>00 0 00 00000000</v>
      </c>
    </row>
    <row r="1316" spans="1:18" s="16" customFormat="1" ht="63">
      <c r="A1316" s="14"/>
      <c r="B1316" s="132" t="s">
        <v>257</v>
      </c>
      <c r="C1316" s="109" t="s">
        <v>783</v>
      </c>
      <c r="D1316" s="108" t="s">
        <v>11</v>
      </c>
      <c r="E1316" s="108" t="s">
        <v>51</v>
      </c>
      <c r="F1316" s="108" t="s">
        <v>258</v>
      </c>
      <c r="G1316" s="108" t="s">
        <v>9</v>
      </c>
      <c r="H1316" s="126">
        <f t="shared" ref="H1316:H1319" si="150">H1317</f>
        <v>0</v>
      </c>
      <c r="L1316" s="20">
        <v>357.85</v>
      </c>
      <c r="M1316" s="20">
        <v>357.85</v>
      </c>
      <c r="N1316" s="20">
        <v>357.85</v>
      </c>
      <c r="O1316" s="20">
        <f t="shared" si="149"/>
        <v>-357.85</v>
      </c>
      <c r="P1316" s="20" t="e">
        <f>#REF!-M1316</f>
        <v>#REF!</v>
      </c>
      <c r="Q1316" s="20" t="e">
        <f>#REF!-N1316</f>
        <v>#REF!</v>
      </c>
      <c r="R1316" s="17" t="str">
        <f t="shared" si="145"/>
        <v>11 0 00 00000000</v>
      </c>
    </row>
    <row r="1317" spans="1:18" s="16" customFormat="1" ht="63">
      <c r="A1317" s="14"/>
      <c r="B1317" s="132" t="s">
        <v>259</v>
      </c>
      <c r="C1317" s="109" t="s">
        <v>783</v>
      </c>
      <c r="D1317" s="108" t="s">
        <v>11</v>
      </c>
      <c r="E1317" s="108" t="s">
        <v>51</v>
      </c>
      <c r="F1317" s="108" t="s">
        <v>260</v>
      </c>
      <c r="G1317" s="108" t="s">
        <v>9</v>
      </c>
      <c r="H1317" s="126">
        <f t="shared" si="150"/>
        <v>0</v>
      </c>
      <c r="L1317" s="20">
        <v>357.85</v>
      </c>
      <c r="M1317" s="20">
        <v>357.85</v>
      </c>
      <c r="N1317" s="20">
        <v>357.85</v>
      </c>
      <c r="O1317" s="20">
        <f t="shared" si="149"/>
        <v>-357.85</v>
      </c>
      <c r="P1317" s="20" t="e">
        <f>#REF!-M1317</f>
        <v>#REF!</v>
      </c>
      <c r="Q1317" s="20" t="e">
        <f>#REF!-N1317</f>
        <v>#REF!</v>
      </c>
      <c r="R1317" s="17" t="str">
        <f t="shared" si="145"/>
        <v>11 Б 00 00000000</v>
      </c>
    </row>
    <row r="1318" spans="1:18" s="16" customFormat="1" ht="47.25">
      <c r="A1318" s="14"/>
      <c r="B1318" s="155" t="s">
        <v>261</v>
      </c>
      <c r="C1318" s="108" t="s">
        <v>783</v>
      </c>
      <c r="D1318" s="108" t="s">
        <v>11</v>
      </c>
      <c r="E1318" s="108" t="s">
        <v>51</v>
      </c>
      <c r="F1318" s="108" t="s">
        <v>262</v>
      </c>
      <c r="G1318" s="108" t="s">
        <v>9</v>
      </c>
      <c r="H1318" s="126">
        <f t="shared" si="150"/>
        <v>0</v>
      </c>
      <c r="L1318" s="20">
        <v>357.85</v>
      </c>
      <c r="M1318" s="20">
        <v>357.85</v>
      </c>
      <c r="N1318" s="20">
        <v>357.85</v>
      </c>
      <c r="O1318" s="20">
        <f t="shared" si="149"/>
        <v>-357.85</v>
      </c>
      <c r="P1318" s="20" t="e">
        <f>#REF!-M1318</f>
        <v>#REF!</v>
      </c>
      <c r="Q1318" s="20" t="e">
        <f>#REF!-N1318</f>
        <v>#REF!</v>
      </c>
      <c r="R1318" s="17" t="str">
        <f t="shared" si="145"/>
        <v>11 Б 01 00000000</v>
      </c>
    </row>
    <row r="1319" spans="1:18" s="16" customFormat="1" ht="31.5">
      <c r="A1319" s="14"/>
      <c r="B1319" s="125" t="s">
        <v>756</v>
      </c>
      <c r="C1319" s="109" t="s">
        <v>783</v>
      </c>
      <c r="D1319" s="108" t="s">
        <v>11</v>
      </c>
      <c r="E1319" s="108" t="s">
        <v>51</v>
      </c>
      <c r="F1319" s="108" t="s">
        <v>757</v>
      </c>
      <c r="G1319" s="108" t="s">
        <v>9</v>
      </c>
      <c r="H1319" s="126">
        <f t="shared" si="150"/>
        <v>0</v>
      </c>
      <c r="L1319" s="20">
        <v>357.85</v>
      </c>
      <c r="M1319" s="20">
        <v>357.85</v>
      </c>
      <c r="N1319" s="20">
        <v>357.85</v>
      </c>
      <c r="O1319" s="20">
        <f t="shared" si="149"/>
        <v>-357.85</v>
      </c>
      <c r="P1319" s="20" t="e">
        <f>#REF!-M1319</f>
        <v>#REF!</v>
      </c>
      <c r="Q1319" s="20" t="e">
        <f>#REF!-N1319</f>
        <v>#REF!</v>
      </c>
      <c r="R1319" s="17" t="str">
        <f t="shared" si="145"/>
        <v>11 Б 01 20840000</v>
      </c>
    </row>
    <row r="1320" spans="1:18" s="16" customFormat="1" ht="31.5">
      <c r="A1320" s="14"/>
      <c r="B1320" s="125" t="s">
        <v>28</v>
      </c>
      <c r="C1320" s="109" t="s">
        <v>783</v>
      </c>
      <c r="D1320" s="108" t="s">
        <v>11</v>
      </c>
      <c r="E1320" s="108" t="s">
        <v>51</v>
      </c>
      <c r="F1320" s="108" t="s">
        <v>757</v>
      </c>
      <c r="G1320" s="108" t="s">
        <v>29</v>
      </c>
      <c r="H1320" s="126">
        <f>H1321</f>
        <v>0</v>
      </c>
      <c r="L1320" s="20">
        <v>357.85</v>
      </c>
      <c r="M1320" s="20">
        <v>357.85</v>
      </c>
      <c r="N1320" s="20">
        <v>357.85</v>
      </c>
      <c r="O1320" s="20">
        <f t="shared" si="149"/>
        <v>-357.85</v>
      </c>
      <c r="P1320" s="20" t="e">
        <f>#REF!-M1320</f>
        <v>#REF!</v>
      </c>
      <c r="Q1320" s="20" t="e">
        <f>#REF!-N1320</f>
        <v>#REF!</v>
      </c>
      <c r="R1320" s="17" t="str">
        <f t="shared" si="145"/>
        <v>11 Б 01 20840240</v>
      </c>
    </row>
    <row r="1321" spans="1:18" s="16" customFormat="1" ht="15.75">
      <c r="A1321" s="14"/>
      <c r="B1321" s="125" t="s">
        <v>30</v>
      </c>
      <c r="C1321" s="109" t="s">
        <v>783</v>
      </c>
      <c r="D1321" s="108" t="s">
        <v>11</v>
      </c>
      <c r="E1321" s="108" t="s">
        <v>51</v>
      </c>
      <c r="F1321" s="108" t="s">
        <v>757</v>
      </c>
      <c r="G1321" s="108" t="s">
        <v>31</v>
      </c>
      <c r="H1321" s="126"/>
      <c r="L1321" s="20"/>
      <c r="M1321" s="20"/>
      <c r="N1321" s="20"/>
      <c r="O1321" s="20"/>
      <c r="P1321" s="20"/>
      <c r="Q1321" s="20"/>
      <c r="R1321" s="17"/>
    </row>
    <row r="1322" spans="1:18" s="16" customFormat="1" ht="15.75">
      <c r="A1322" s="14"/>
      <c r="B1322" s="117" t="s">
        <v>195</v>
      </c>
      <c r="C1322" s="118" t="s">
        <v>783</v>
      </c>
      <c r="D1322" s="119" t="s">
        <v>73</v>
      </c>
      <c r="E1322" s="119" t="s">
        <v>7</v>
      </c>
      <c r="F1322" s="119" t="s">
        <v>8</v>
      </c>
      <c r="G1322" s="119" t="s">
        <v>9</v>
      </c>
      <c r="H1322" s="120">
        <f t="shared" ref="H1322:H1325" si="151">H1323</f>
        <v>0</v>
      </c>
      <c r="L1322" s="18">
        <v>60223.26</v>
      </c>
      <c r="M1322" s="18">
        <v>64831.42</v>
      </c>
      <c r="N1322" s="18">
        <v>69900.41</v>
      </c>
      <c r="O1322" s="18">
        <f t="shared" ref="O1322:O1328" si="152">H1322-L1322</f>
        <v>-60223.26</v>
      </c>
      <c r="P1322" s="18" t="e">
        <f>#REF!-M1322</f>
        <v>#REF!</v>
      </c>
      <c r="Q1322" s="18" t="e">
        <f>#REF!-N1322</f>
        <v>#REF!</v>
      </c>
      <c r="R1322" s="17" t="str">
        <f t="shared" si="145"/>
        <v>00 0 00 00000000</v>
      </c>
    </row>
    <row r="1323" spans="1:18" s="16" customFormat="1" ht="15.75">
      <c r="A1323" s="14"/>
      <c r="B1323" s="121" t="s">
        <v>760</v>
      </c>
      <c r="C1323" s="122" t="s">
        <v>783</v>
      </c>
      <c r="D1323" s="123" t="s">
        <v>73</v>
      </c>
      <c r="E1323" s="123" t="s">
        <v>471</v>
      </c>
      <c r="F1323" s="123" t="s">
        <v>8</v>
      </c>
      <c r="G1323" s="123" t="s">
        <v>9</v>
      </c>
      <c r="H1323" s="124">
        <f t="shared" si="151"/>
        <v>0</v>
      </c>
      <c r="L1323" s="19">
        <v>60223.26</v>
      </c>
      <c r="M1323" s="19">
        <v>64831.42</v>
      </c>
      <c r="N1323" s="19">
        <v>69900.41</v>
      </c>
      <c r="O1323" s="19">
        <f t="shared" si="152"/>
        <v>-60223.26</v>
      </c>
      <c r="P1323" s="19" t="e">
        <f>#REF!-M1323</f>
        <v>#REF!</v>
      </c>
      <c r="Q1323" s="19" t="e">
        <f>#REF!-N1323</f>
        <v>#REF!</v>
      </c>
      <c r="R1323" s="17" t="str">
        <f t="shared" si="145"/>
        <v>00 0 00 00000000</v>
      </c>
    </row>
    <row r="1324" spans="1:18" s="16" customFormat="1" ht="63">
      <c r="A1324" s="14"/>
      <c r="B1324" s="127" t="s">
        <v>293</v>
      </c>
      <c r="C1324" s="109" t="s">
        <v>783</v>
      </c>
      <c r="D1324" s="108" t="s">
        <v>73</v>
      </c>
      <c r="E1324" s="108" t="s">
        <v>471</v>
      </c>
      <c r="F1324" s="108" t="s">
        <v>294</v>
      </c>
      <c r="G1324" s="108" t="s">
        <v>9</v>
      </c>
      <c r="H1324" s="126">
        <f t="shared" si="151"/>
        <v>0</v>
      </c>
      <c r="L1324" s="20">
        <v>60223.26</v>
      </c>
      <c r="M1324" s="20">
        <v>64831.42</v>
      </c>
      <c r="N1324" s="20">
        <v>69900.41</v>
      </c>
      <c r="O1324" s="20">
        <f t="shared" si="152"/>
        <v>-60223.26</v>
      </c>
      <c r="P1324" s="20" t="e">
        <f>#REF!-M1324</f>
        <v>#REF!</v>
      </c>
      <c r="Q1324" s="20" t="e">
        <f>#REF!-N1324</f>
        <v>#REF!</v>
      </c>
      <c r="R1324" s="17" t="str">
        <f t="shared" si="145"/>
        <v>04 0 00 00000000</v>
      </c>
    </row>
    <row r="1325" spans="1:18" s="16" customFormat="1" ht="63">
      <c r="A1325" s="14"/>
      <c r="B1325" s="140" t="s">
        <v>295</v>
      </c>
      <c r="C1325" s="109" t="s">
        <v>783</v>
      </c>
      <c r="D1325" s="108" t="s">
        <v>73</v>
      </c>
      <c r="E1325" s="108" t="s">
        <v>471</v>
      </c>
      <c r="F1325" s="108" t="s">
        <v>296</v>
      </c>
      <c r="G1325" s="108" t="s">
        <v>9</v>
      </c>
      <c r="H1325" s="126">
        <f t="shared" si="151"/>
        <v>0</v>
      </c>
      <c r="L1325" s="20">
        <v>60223.26</v>
      </c>
      <c r="M1325" s="20">
        <v>64831.42</v>
      </c>
      <c r="N1325" s="20">
        <v>69900.41</v>
      </c>
      <c r="O1325" s="20">
        <f t="shared" si="152"/>
        <v>-60223.26</v>
      </c>
      <c r="P1325" s="20" t="e">
        <f>#REF!-M1325</f>
        <v>#REF!</v>
      </c>
      <c r="Q1325" s="20" t="e">
        <f>#REF!-N1325</f>
        <v>#REF!</v>
      </c>
      <c r="R1325" s="17" t="str">
        <f t="shared" si="145"/>
        <v>04 2 00 00000000</v>
      </c>
    </row>
    <row r="1326" spans="1:18" s="16" customFormat="1" ht="63">
      <c r="A1326" s="14"/>
      <c r="B1326" s="140" t="s">
        <v>297</v>
      </c>
      <c r="C1326" s="109" t="s">
        <v>783</v>
      </c>
      <c r="D1326" s="108" t="s">
        <v>73</v>
      </c>
      <c r="E1326" s="108" t="s">
        <v>471</v>
      </c>
      <c r="F1326" s="108" t="s">
        <v>298</v>
      </c>
      <c r="G1326" s="108" t="s">
        <v>9</v>
      </c>
      <c r="H1326" s="126">
        <f>H1330+H1327</f>
        <v>0</v>
      </c>
      <c r="L1326" s="20">
        <v>60223.26</v>
      </c>
      <c r="M1326" s="20">
        <v>64831.42</v>
      </c>
      <c r="N1326" s="20">
        <v>69900.41</v>
      </c>
      <c r="O1326" s="20">
        <f t="shared" si="152"/>
        <v>-60223.26</v>
      </c>
      <c r="P1326" s="20" t="e">
        <f>#REF!-M1326</f>
        <v>#REF!</v>
      </c>
      <c r="Q1326" s="20" t="e">
        <f>#REF!-N1326</f>
        <v>#REF!</v>
      </c>
      <c r="R1326" s="17" t="str">
        <f t="shared" si="145"/>
        <v>04 2 02 00000000</v>
      </c>
    </row>
    <row r="1327" spans="1:18" s="16" customFormat="1" ht="47.25">
      <c r="A1327" s="14"/>
      <c r="B1327" s="127" t="s">
        <v>761</v>
      </c>
      <c r="C1327" s="109" t="s">
        <v>783</v>
      </c>
      <c r="D1327" s="108" t="s">
        <v>73</v>
      </c>
      <c r="E1327" s="108" t="s">
        <v>471</v>
      </c>
      <c r="F1327" s="108" t="s">
        <v>762</v>
      </c>
      <c r="G1327" s="108" t="s">
        <v>9</v>
      </c>
      <c r="H1327" s="126">
        <f>H1328</f>
        <v>0</v>
      </c>
      <c r="L1327" s="20">
        <v>10087.43</v>
      </c>
      <c r="M1327" s="20">
        <v>10087.43</v>
      </c>
      <c r="N1327" s="20">
        <v>10087.43</v>
      </c>
      <c r="O1327" s="20">
        <f t="shared" si="152"/>
        <v>-10087.43</v>
      </c>
      <c r="P1327" s="20" t="e">
        <f>#REF!-M1327</f>
        <v>#REF!</v>
      </c>
      <c r="Q1327" s="20" t="e">
        <f>#REF!-N1327</f>
        <v>#REF!</v>
      </c>
      <c r="R1327" s="17" t="str">
        <f t="shared" si="145"/>
        <v>04 2 02 20820000</v>
      </c>
    </row>
    <row r="1328" spans="1:18" s="16" customFormat="1" ht="31.5">
      <c r="A1328" s="14"/>
      <c r="B1328" s="125" t="s">
        <v>28</v>
      </c>
      <c r="C1328" s="109" t="s">
        <v>783</v>
      </c>
      <c r="D1328" s="108" t="s">
        <v>73</v>
      </c>
      <c r="E1328" s="108" t="s">
        <v>471</v>
      </c>
      <c r="F1328" s="108" t="s">
        <v>762</v>
      </c>
      <c r="G1328" s="108" t="s">
        <v>29</v>
      </c>
      <c r="H1328" s="126">
        <f>H1329</f>
        <v>0</v>
      </c>
      <c r="L1328" s="20">
        <v>10087.43</v>
      </c>
      <c r="M1328" s="20">
        <v>10087.43</v>
      </c>
      <c r="N1328" s="20">
        <v>10087.43</v>
      </c>
      <c r="O1328" s="20">
        <f t="shared" si="152"/>
        <v>-10087.43</v>
      </c>
      <c r="P1328" s="20" t="e">
        <f>#REF!-M1328</f>
        <v>#REF!</v>
      </c>
      <c r="Q1328" s="20" t="e">
        <f>#REF!-N1328</f>
        <v>#REF!</v>
      </c>
      <c r="R1328" s="17" t="str">
        <f t="shared" si="145"/>
        <v>04 2 02 20820240</v>
      </c>
    </row>
    <row r="1329" spans="1:18" s="16" customFormat="1" ht="15.75">
      <c r="A1329" s="14"/>
      <c r="B1329" s="125" t="s">
        <v>30</v>
      </c>
      <c r="C1329" s="109" t="s">
        <v>783</v>
      </c>
      <c r="D1329" s="108" t="s">
        <v>73</v>
      </c>
      <c r="E1329" s="108" t="s">
        <v>471</v>
      </c>
      <c r="F1329" s="108" t="s">
        <v>762</v>
      </c>
      <c r="G1329" s="108" t="s">
        <v>31</v>
      </c>
      <c r="H1329" s="126"/>
      <c r="L1329" s="20"/>
      <c r="M1329" s="20"/>
      <c r="N1329" s="20"/>
      <c r="O1329" s="20"/>
      <c r="P1329" s="20"/>
      <c r="Q1329" s="20"/>
      <c r="R1329" s="17"/>
    </row>
    <row r="1330" spans="1:18" s="16" customFormat="1" ht="31.5">
      <c r="A1330" s="14"/>
      <c r="B1330" s="125" t="s">
        <v>763</v>
      </c>
      <c r="C1330" s="109" t="s">
        <v>783</v>
      </c>
      <c r="D1330" s="108" t="s">
        <v>73</v>
      </c>
      <c r="E1330" s="108" t="s">
        <v>471</v>
      </c>
      <c r="F1330" s="108" t="s">
        <v>764</v>
      </c>
      <c r="G1330" s="108" t="s">
        <v>9</v>
      </c>
      <c r="H1330" s="126">
        <f>H1331</f>
        <v>0</v>
      </c>
      <c r="L1330" s="20">
        <v>50135.83</v>
      </c>
      <c r="M1330" s="20">
        <v>54743.99</v>
      </c>
      <c r="N1330" s="20">
        <v>59812.98</v>
      </c>
      <c r="O1330" s="20">
        <f>H1330-L1330</f>
        <v>-50135.83</v>
      </c>
      <c r="P1330" s="20" t="e">
        <f>#REF!-M1330</f>
        <v>#REF!</v>
      </c>
      <c r="Q1330" s="20" t="e">
        <f>#REF!-N1330</f>
        <v>#REF!</v>
      </c>
      <c r="R1330" s="17" t="str">
        <f t="shared" si="145"/>
        <v>04 2 02 21090000</v>
      </c>
    </row>
    <row r="1331" spans="1:18" s="16" customFormat="1" ht="31.5">
      <c r="A1331" s="14"/>
      <c r="B1331" s="125" t="s">
        <v>28</v>
      </c>
      <c r="C1331" s="109" t="s">
        <v>783</v>
      </c>
      <c r="D1331" s="108" t="s">
        <v>73</v>
      </c>
      <c r="E1331" s="108" t="s">
        <v>471</v>
      </c>
      <c r="F1331" s="108" t="s">
        <v>764</v>
      </c>
      <c r="G1331" s="108" t="s">
        <v>29</v>
      </c>
      <c r="H1331" s="126">
        <f>H1332</f>
        <v>0</v>
      </c>
      <c r="L1331" s="20">
        <v>50135.83</v>
      </c>
      <c r="M1331" s="20">
        <v>54743.99</v>
      </c>
      <c r="N1331" s="20">
        <v>59812.98</v>
      </c>
      <c r="O1331" s="20">
        <f>H1331-L1331</f>
        <v>-50135.83</v>
      </c>
      <c r="P1331" s="20" t="e">
        <f>#REF!-M1331</f>
        <v>#REF!</v>
      </c>
      <c r="Q1331" s="20" t="e">
        <f>#REF!-N1331</f>
        <v>#REF!</v>
      </c>
      <c r="R1331" s="17" t="str">
        <f t="shared" si="145"/>
        <v>04 2 02 21090240</v>
      </c>
    </row>
    <row r="1332" spans="1:18" s="16" customFormat="1" ht="15.75">
      <c r="A1332" s="14"/>
      <c r="B1332" s="125" t="s">
        <v>30</v>
      </c>
      <c r="C1332" s="109" t="s">
        <v>783</v>
      </c>
      <c r="D1332" s="108" t="s">
        <v>73</v>
      </c>
      <c r="E1332" s="108" t="s">
        <v>471</v>
      </c>
      <c r="F1332" s="108" t="s">
        <v>764</v>
      </c>
      <c r="G1332" s="108" t="s">
        <v>31</v>
      </c>
      <c r="H1332" s="126"/>
      <c r="L1332" s="20"/>
      <c r="M1332" s="20"/>
      <c r="N1332" s="20"/>
      <c r="O1332" s="20"/>
      <c r="P1332" s="20"/>
      <c r="Q1332" s="20"/>
      <c r="R1332" s="17"/>
    </row>
    <row r="1333" spans="1:18" s="16" customFormat="1" ht="15.75">
      <c r="A1333" s="14"/>
      <c r="B1333" s="117" t="s">
        <v>305</v>
      </c>
      <c r="C1333" s="118" t="s">
        <v>783</v>
      </c>
      <c r="D1333" s="119" t="s">
        <v>86</v>
      </c>
      <c r="E1333" s="119" t="s">
        <v>7</v>
      </c>
      <c r="F1333" s="119" t="s">
        <v>8</v>
      </c>
      <c r="G1333" s="119" t="s">
        <v>9</v>
      </c>
      <c r="H1333" s="120">
        <f>H1334+H1342</f>
        <v>0</v>
      </c>
      <c r="L1333" s="18">
        <v>30206.899999999998</v>
      </c>
      <c r="M1333" s="18">
        <v>19206.899999999998</v>
      </c>
      <c r="N1333" s="18">
        <v>19206.899999999998</v>
      </c>
      <c r="O1333" s="18">
        <f t="shared" ref="O1333:O1339" si="153">H1333-L1333</f>
        <v>-30206.899999999998</v>
      </c>
      <c r="P1333" s="18" t="e">
        <f>#REF!-M1333</f>
        <v>#REF!</v>
      </c>
      <c r="Q1333" s="18" t="e">
        <f>#REF!-N1333</f>
        <v>#REF!</v>
      </c>
      <c r="R1333" s="17" t="str">
        <f t="shared" si="145"/>
        <v>00 0 00 00000000</v>
      </c>
    </row>
    <row r="1334" spans="1:18" s="16" customFormat="1" ht="15.75">
      <c r="A1334" s="14"/>
      <c r="B1334" s="121" t="s">
        <v>765</v>
      </c>
      <c r="C1334" s="122" t="s">
        <v>783</v>
      </c>
      <c r="D1334" s="123" t="s">
        <v>86</v>
      </c>
      <c r="E1334" s="123" t="s">
        <v>11</v>
      </c>
      <c r="F1334" s="123" t="s">
        <v>8</v>
      </c>
      <c r="G1334" s="123" t="s">
        <v>9</v>
      </c>
      <c r="H1334" s="124">
        <f>H1335</f>
        <v>0</v>
      </c>
      <c r="L1334" s="19">
        <v>1723.26</v>
      </c>
      <c r="M1334" s="19">
        <v>1723.26</v>
      </c>
      <c r="N1334" s="19">
        <v>1723.26</v>
      </c>
      <c r="O1334" s="19">
        <f t="shared" si="153"/>
        <v>-1723.26</v>
      </c>
      <c r="P1334" s="19" t="e">
        <f>#REF!-M1334</f>
        <v>#REF!</v>
      </c>
      <c r="Q1334" s="19" t="e">
        <f>#REF!-N1334</f>
        <v>#REF!</v>
      </c>
      <c r="R1334" s="17" t="str">
        <f t="shared" si="145"/>
        <v>00 0 00 00000000</v>
      </c>
    </row>
    <row r="1335" spans="1:18" s="16" customFormat="1" ht="63">
      <c r="A1335" s="14"/>
      <c r="B1335" s="127" t="s">
        <v>293</v>
      </c>
      <c r="C1335" s="109" t="s">
        <v>783</v>
      </c>
      <c r="D1335" s="108" t="s">
        <v>86</v>
      </c>
      <c r="E1335" s="108" t="s">
        <v>11</v>
      </c>
      <c r="F1335" s="108" t="s">
        <v>294</v>
      </c>
      <c r="G1335" s="108" t="s">
        <v>9</v>
      </c>
      <c r="H1335" s="126">
        <f t="shared" ref="H1335" si="154">H1336</f>
        <v>0</v>
      </c>
      <c r="L1335" s="20">
        <v>1723.26</v>
      </c>
      <c r="M1335" s="20">
        <v>1723.26</v>
      </c>
      <c r="N1335" s="20">
        <v>1723.26</v>
      </c>
      <c r="O1335" s="20">
        <f t="shared" si="153"/>
        <v>-1723.26</v>
      </c>
      <c r="P1335" s="20" t="e">
        <f>#REF!-M1335</f>
        <v>#REF!</v>
      </c>
      <c r="Q1335" s="20" t="e">
        <f>#REF!-N1335</f>
        <v>#REF!</v>
      </c>
      <c r="R1335" s="17" t="str">
        <f t="shared" si="145"/>
        <v>04 0 00 00000000</v>
      </c>
    </row>
    <row r="1336" spans="1:18" s="16" customFormat="1" ht="31.5">
      <c r="A1336" s="14"/>
      <c r="B1336" s="125" t="s">
        <v>766</v>
      </c>
      <c r="C1336" s="109" t="s">
        <v>783</v>
      </c>
      <c r="D1336" s="108" t="s">
        <v>86</v>
      </c>
      <c r="E1336" s="108" t="s">
        <v>11</v>
      </c>
      <c r="F1336" s="108" t="s">
        <v>767</v>
      </c>
      <c r="G1336" s="108" t="s">
        <v>9</v>
      </c>
      <c r="H1336" s="126">
        <f>H1339</f>
        <v>0</v>
      </c>
      <c r="L1336" s="20">
        <v>1723.26</v>
      </c>
      <c r="M1336" s="20">
        <v>1723.26</v>
      </c>
      <c r="N1336" s="20">
        <v>1723.26</v>
      </c>
      <c r="O1336" s="20">
        <f t="shared" si="153"/>
        <v>-1723.26</v>
      </c>
      <c r="P1336" s="20" t="e">
        <f>#REF!-M1336</f>
        <v>#REF!</v>
      </c>
      <c r="Q1336" s="20" t="e">
        <f>#REF!-N1336</f>
        <v>#REF!</v>
      </c>
      <c r="R1336" s="17" t="str">
        <f t="shared" si="145"/>
        <v>04 1 00 00000000</v>
      </c>
    </row>
    <row r="1337" spans="1:18" s="16" customFormat="1" ht="47.25">
      <c r="A1337" s="14"/>
      <c r="B1337" s="140" t="s">
        <v>793</v>
      </c>
      <c r="C1337" s="130" t="s">
        <v>783</v>
      </c>
      <c r="D1337" s="131" t="s">
        <v>86</v>
      </c>
      <c r="E1337" s="131" t="s">
        <v>11</v>
      </c>
      <c r="F1337" s="131" t="s">
        <v>769</v>
      </c>
      <c r="G1337" s="131" t="s">
        <v>9</v>
      </c>
      <c r="H1337" s="105">
        <f t="shared" ref="H1337:H1338" si="155">H1338</f>
        <v>0</v>
      </c>
      <c r="L1337" s="26">
        <v>1723.26</v>
      </c>
      <c r="M1337" s="26">
        <v>1723.26</v>
      </c>
      <c r="N1337" s="26">
        <v>1723.26</v>
      </c>
      <c r="O1337" s="26">
        <f t="shared" si="153"/>
        <v>-1723.26</v>
      </c>
      <c r="P1337" s="26" t="e">
        <f>#REF!-M1337</f>
        <v>#REF!</v>
      </c>
      <c r="Q1337" s="26" t="e">
        <f>#REF!-N1337</f>
        <v>#REF!</v>
      </c>
      <c r="R1337" s="17" t="str">
        <f t="shared" si="145"/>
        <v>04 1 01 00000000</v>
      </c>
    </row>
    <row r="1338" spans="1:18" s="16" customFormat="1" ht="31.5">
      <c r="A1338" s="14"/>
      <c r="B1338" s="127" t="s">
        <v>770</v>
      </c>
      <c r="C1338" s="109" t="s">
        <v>783</v>
      </c>
      <c r="D1338" s="108" t="s">
        <v>86</v>
      </c>
      <c r="E1338" s="108" t="s">
        <v>11</v>
      </c>
      <c r="F1338" s="108" t="s">
        <v>771</v>
      </c>
      <c r="G1338" s="108" t="s">
        <v>9</v>
      </c>
      <c r="H1338" s="126">
        <f t="shared" si="155"/>
        <v>0</v>
      </c>
      <c r="L1338" s="20">
        <v>1723.26</v>
      </c>
      <c r="M1338" s="20">
        <v>1723.26</v>
      </c>
      <c r="N1338" s="20">
        <v>1723.26</v>
      </c>
      <c r="O1338" s="20">
        <f t="shared" si="153"/>
        <v>-1723.26</v>
      </c>
      <c r="P1338" s="20" t="e">
        <f>#REF!-M1338</f>
        <v>#REF!</v>
      </c>
      <c r="Q1338" s="20" t="e">
        <f>#REF!-N1338</f>
        <v>#REF!</v>
      </c>
      <c r="R1338" s="17" t="str">
        <f t="shared" si="145"/>
        <v>04 1 01 20190000</v>
      </c>
    </row>
    <row r="1339" spans="1:18" s="16" customFormat="1" ht="31.5">
      <c r="A1339" s="14"/>
      <c r="B1339" s="125" t="s">
        <v>28</v>
      </c>
      <c r="C1339" s="109" t="s">
        <v>783</v>
      </c>
      <c r="D1339" s="108" t="s">
        <v>86</v>
      </c>
      <c r="E1339" s="108" t="s">
        <v>11</v>
      </c>
      <c r="F1339" s="108" t="s">
        <v>771</v>
      </c>
      <c r="G1339" s="108" t="s">
        <v>29</v>
      </c>
      <c r="H1339" s="126">
        <f>SUM(H1340:H1341)</f>
        <v>0</v>
      </c>
      <c r="L1339" s="20">
        <v>1723.26</v>
      </c>
      <c r="M1339" s="20">
        <v>1723.26</v>
      </c>
      <c r="N1339" s="20">
        <v>1723.26</v>
      </c>
      <c r="O1339" s="20">
        <f t="shared" si="153"/>
        <v>-1723.26</v>
      </c>
      <c r="P1339" s="20" t="e">
        <f>#REF!-M1339</f>
        <v>#REF!</v>
      </c>
      <c r="Q1339" s="20" t="e">
        <f>#REF!-N1339</f>
        <v>#REF!</v>
      </c>
      <c r="R1339" s="17" t="str">
        <f t="shared" si="145"/>
        <v>04 1 01 20190240</v>
      </c>
    </row>
    <row r="1340" spans="1:18" s="16" customFormat="1" ht="47.25">
      <c r="A1340" s="14"/>
      <c r="B1340" s="127" t="s">
        <v>772</v>
      </c>
      <c r="C1340" s="109" t="s">
        <v>783</v>
      </c>
      <c r="D1340" s="108" t="s">
        <v>86</v>
      </c>
      <c r="E1340" s="108" t="s">
        <v>11</v>
      </c>
      <c r="F1340" s="108" t="s">
        <v>771</v>
      </c>
      <c r="G1340" s="108" t="s">
        <v>773</v>
      </c>
      <c r="H1340" s="126"/>
      <c r="L1340" s="20"/>
      <c r="M1340" s="20"/>
      <c r="N1340" s="20"/>
      <c r="O1340" s="20"/>
      <c r="P1340" s="20"/>
      <c r="Q1340" s="20"/>
      <c r="R1340" s="17"/>
    </row>
    <row r="1341" spans="1:18" s="16" customFormat="1" ht="15.75">
      <c r="A1341" s="14"/>
      <c r="B1341" s="125" t="s">
        <v>30</v>
      </c>
      <c r="C1341" s="109" t="s">
        <v>783</v>
      </c>
      <c r="D1341" s="108" t="s">
        <v>86</v>
      </c>
      <c r="E1341" s="108" t="s">
        <v>11</v>
      </c>
      <c r="F1341" s="108" t="s">
        <v>771</v>
      </c>
      <c r="G1341" s="108" t="s">
        <v>31</v>
      </c>
      <c r="H1341" s="126"/>
      <c r="L1341" s="20"/>
      <c r="M1341" s="20"/>
      <c r="N1341" s="20"/>
      <c r="O1341" s="20"/>
      <c r="P1341" s="20"/>
      <c r="Q1341" s="20"/>
      <c r="R1341" s="17"/>
    </row>
    <row r="1342" spans="1:18" s="16" customFormat="1" ht="15.75">
      <c r="A1342" s="14"/>
      <c r="B1342" s="121" t="s">
        <v>306</v>
      </c>
      <c r="C1342" s="122" t="s">
        <v>783</v>
      </c>
      <c r="D1342" s="123" t="s">
        <v>86</v>
      </c>
      <c r="E1342" s="123" t="s">
        <v>13</v>
      </c>
      <c r="F1342" s="123" t="s">
        <v>8</v>
      </c>
      <c r="G1342" s="123" t="s">
        <v>9</v>
      </c>
      <c r="H1342" s="124">
        <f>H1343+H1355</f>
        <v>0</v>
      </c>
      <c r="L1342" s="19">
        <v>28483.64</v>
      </c>
      <c r="M1342" s="19">
        <v>17483.64</v>
      </c>
      <c r="N1342" s="19">
        <v>17483.64</v>
      </c>
      <c r="O1342" s="19">
        <f t="shared" ref="O1342:O1347" si="156">H1342-L1342</f>
        <v>-28483.64</v>
      </c>
      <c r="P1342" s="19" t="e">
        <f>#REF!-M1342</f>
        <v>#REF!</v>
      </c>
      <c r="Q1342" s="19" t="e">
        <f>#REF!-N1342</f>
        <v>#REF!</v>
      </c>
      <c r="R1342" s="17" t="str">
        <f t="shared" si="145"/>
        <v>00 0 00 00000000</v>
      </c>
    </row>
    <row r="1343" spans="1:18" s="16" customFormat="1" ht="63">
      <c r="A1343" s="14"/>
      <c r="B1343" s="127" t="s">
        <v>293</v>
      </c>
      <c r="C1343" s="109" t="s">
        <v>783</v>
      </c>
      <c r="D1343" s="108" t="s">
        <v>86</v>
      </c>
      <c r="E1343" s="108" t="s">
        <v>13</v>
      </c>
      <c r="F1343" s="108" t="s">
        <v>294</v>
      </c>
      <c r="G1343" s="108" t="s">
        <v>9</v>
      </c>
      <c r="H1343" s="126">
        <f t="shared" ref="H1343:H1344" si="157">H1344</f>
        <v>0</v>
      </c>
      <c r="L1343" s="20">
        <v>26483.64</v>
      </c>
      <c r="M1343" s="20">
        <v>17483.64</v>
      </c>
      <c r="N1343" s="20">
        <v>17483.64</v>
      </c>
      <c r="O1343" s="20">
        <f t="shared" si="156"/>
        <v>-26483.64</v>
      </c>
      <c r="P1343" s="20" t="e">
        <f>#REF!-M1343</f>
        <v>#REF!</v>
      </c>
      <c r="Q1343" s="20" t="e">
        <f>#REF!-N1343</f>
        <v>#REF!</v>
      </c>
      <c r="R1343" s="17" t="str">
        <f t="shared" si="145"/>
        <v>04 0 00 00000000</v>
      </c>
    </row>
    <row r="1344" spans="1:18" s="16" customFormat="1" ht="31.5">
      <c r="A1344" s="14"/>
      <c r="B1344" s="125" t="s">
        <v>307</v>
      </c>
      <c r="C1344" s="109" t="s">
        <v>783</v>
      </c>
      <c r="D1344" s="108" t="s">
        <v>86</v>
      </c>
      <c r="E1344" s="108" t="s">
        <v>13</v>
      </c>
      <c r="F1344" s="108" t="s">
        <v>308</v>
      </c>
      <c r="G1344" s="108" t="s">
        <v>9</v>
      </c>
      <c r="H1344" s="126">
        <f t="shared" si="157"/>
        <v>0</v>
      </c>
      <c r="L1344" s="20">
        <v>26483.64</v>
      </c>
      <c r="M1344" s="20">
        <v>17483.64</v>
      </c>
      <c r="N1344" s="20">
        <v>17483.64</v>
      </c>
      <c r="O1344" s="20">
        <f t="shared" si="156"/>
        <v>-26483.64</v>
      </c>
      <c r="P1344" s="20" t="e">
        <f>#REF!-M1344</f>
        <v>#REF!</v>
      </c>
      <c r="Q1344" s="20" t="e">
        <f>#REF!-N1344</f>
        <v>#REF!</v>
      </c>
      <c r="R1344" s="17" t="str">
        <f t="shared" si="145"/>
        <v>04 3 00 00000000</v>
      </c>
    </row>
    <row r="1345" spans="1:18" s="16" customFormat="1" ht="31.5">
      <c r="A1345" s="14"/>
      <c r="B1345" s="138" t="s">
        <v>309</v>
      </c>
      <c r="C1345" s="130" t="s">
        <v>783</v>
      </c>
      <c r="D1345" s="131" t="s">
        <v>86</v>
      </c>
      <c r="E1345" s="131" t="s">
        <v>13</v>
      </c>
      <c r="F1345" s="108" t="s">
        <v>310</v>
      </c>
      <c r="G1345" s="131" t="s">
        <v>9</v>
      </c>
      <c r="H1345" s="105">
        <f>H1346+H1349+H1352</f>
        <v>0</v>
      </c>
      <c r="L1345" s="26">
        <v>26483.64</v>
      </c>
      <c r="M1345" s="26">
        <v>17483.64</v>
      </c>
      <c r="N1345" s="26">
        <v>17483.64</v>
      </c>
      <c r="O1345" s="26">
        <f t="shared" si="156"/>
        <v>-26483.64</v>
      </c>
      <c r="P1345" s="26" t="e">
        <f>#REF!-M1345</f>
        <v>#REF!</v>
      </c>
      <c r="Q1345" s="26" t="e">
        <f>#REF!-N1345</f>
        <v>#REF!</v>
      </c>
      <c r="R1345" s="17" t="str">
        <f t="shared" si="145"/>
        <v>04 3 04 00000000</v>
      </c>
    </row>
    <row r="1346" spans="1:18" s="16" customFormat="1" ht="31.5">
      <c r="A1346" s="14"/>
      <c r="B1346" s="125" t="s">
        <v>542</v>
      </c>
      <c r="C1346" s="109" t="s">
        <v>783</v>
      </c>
      <c r="D1346" s="108" t="s">
        <v>86</v>
      </c>
      <c r="E1346" s="108" t="s">
        <v>13</v>
      </c>
      <c r="F1346" s="108" t="s">
        <v>543</v>
      </c>
      <c r="G1346" s="108" t="s">
        <v>9</v>
      </c>
      <c r="H1346" s="126">
        <f>H1347</f>
        <v>0</v>
      </c>
      <c r="L1346" s="20">
        <v>9545.0499999999993</v>
      </c>
      <c r="M1346" s="20">
        <v>9545.0499999999993</v>
      </c>
      <c r="N1346" s="20">
        <v>9545.0499999999993</v>
      </c>
      <c r="O1346" s="20">
        <f t="shared" si="156"/>
        <v>-9545.0499999999993</v>
      </c>
      <c r="P1346" s="20" t="e">
        <f>#REF!-M1346</f>
        <v>#REF!</v>
      </c>
      <c r="Q1346" s="20" t="e">
        <f>#REF!-N1346</f>
        <v>#REF!</v>
      </c>
      <c r="R1346" s="17" t="str">
        <f t="shared" si="145"/>
        <v>04 3 04 20300000</v>
      </c>
    </row>
    <row r="1347" spans="1:18" s="16" customFormat="1" ht="31.5">
      <c r="A1347" s="14"/>
      <c r="B1347" s="125" t="s">
        <v>28</v>
      </c>
      <c r="C1347" s="109" t="s">
        <v>783</v>
      </c>
      <c r="D1347" s="108" t="s">
        <v>86</v>
      </c>
      <c r="E1347" s="108" t="s">
        <v>13</v>
      </c>
      <c r="F1347" s="108" t="s">
        <v>543</v>
      </c>
      <c r="G1347" s="108" t="s">
        <v>29</v>
      </c>
      <c r="H1347" s="126">
        <f>H1348</f>
        <v>0</v>
      </c>
      <c r="L1347" s="20">
        <v>9545.0499999999993</v>
      </c>
      <c r="M1347" s="20">
        <v>9545.0499999999993</v>
      </c>
      <c r="N1347" s="20">
        <v>9545.0499999999993</v>
      </c>
      <c r="O1347" s="20">
        <f t="shared" si="156"/>
        <v>-9545.0499999999993</v>
      </c>
      <c r="P1347" s="20" t="e">
        <f>#REF!-M1347</f>
        <v>#REF!</v>
      </c>
      <c r="Q1347" s="20" t="e">
        <f>#REF!-N1347</f>
        <v>#REF!</v>
      </c>
      <c r="R1347" s="17" t="str">
        <f t="shared" si="145"/>
        <v>04 3 04 20300240</v>
      </c>
    </row>
    <row r="1348" spans="1:18" s="16" customFormat="1" ht="15.75">
      <c r="A1348" s="14"/>
      <c r="B1348" s="125" t="s">
        <v>30</v>
      </c>
      <c r="C1348" s="109" t="s">
        <v>783</v>
      </c>
      <c r="D1348" s="108" t="s">
        <v>86</v>
      </c>
      <c r="E1348" s="108" t="s">
        <v>13</v>
      </c>
      <c r="F1348" s="108" t="s">
        <v>543</v>
      </c>
      <c r="G1348" s="108" t="s">
        <v>31</v>
      </c>
      <c r="H1348" s="126"/>
      <c r="L1348" s="20"/>
      <c r="M1348" s="20"/>
      <c r="N1348" s="20"/>
      <c r="O1348" s="20"/>
      <c r="P1348" s="20"/>
      <c r="Q1348" s="20"/>
      <c r="R1348" s="17"/>
    </row>
    <row r="1349" spans="1:18" s="16" customFormat="1" ht="31.5">
      <c r="A1349" s="14"/>
      <c r="B1349" s="127" t="s">
        <v>774</v>
      </c>
      <c r="C1349" s="109" t="s">
        <v>783</v>
      </c>
      <c r="D1349" s="131" t="s">
        <v>86</v>
      </c>
      <c r="E1349" s="131" t="s">
        <v>13</v>
      </c>
      <c r="F1349" s="131" t="s">
        <v>775</v>
      </c>
      <c r="G1349" s="131" t="s">
        <v>9</v>
      </c>
      <c r="H1349" s="126">
        <f>H1350</f>
        <v>0</v>
      </c>
      <c r="L1349" s="20">
        <v>941.72</v>
      </c>
      <c r="M1349" s="20">
        <v>941.72</v>
      </c>
      <c r="N1349" s="20">
        <v>941.72</v>
      </c>
      <c r="O1349" s="20">
        <f>H1349-L1349</f>
        <v>-941.72</v>
      </c>
      <c r="P1349" s="20" t="e">
        <f>#REF!-M1349</f>
        <v>#REF!</v>
      </c>
      <c r="Q1349" s="20" t="e">
        <f>#REF!-N1349</f>
        <v>#REF!</v>
      </c>
      <c r="R1349" s="17" t="str">
        <f t="shared" si="145"/>
        <v>04 3 04 21070000</v>
      </c>
    </row>
    <row r="1350" spans="1:18" s="16" customFormat="1" ht="31.5">
      <c r="A1350" s="14"/>
      <c r="B1350" s="125" t="s">
        <v>28</v>
      </c>
      <c r="C1350" s="109" t="s">
        <v>783</v>
      </c>
      <c r="D1350" s="131" t="s">
        <v>86</v>
      </c>
      <c r="E1350" s="131" t="s">
        <v>13</v>
      </c>
      <c r="F1350" s="131" t="s">
        <v>775</v>
      </c>
      <c r="G1350" s="131" t="s">
        <v>29</v>
      </c>
      <c r="H1350" s="126">
        <f>H1351</f>
        <v>0</v>
      </c>
      <c r="L1350" s="20">
        <v>941.72</v>
      </c>
      <c r="M1350" s="20">
        <v>941.72</v>
      </c>
      <c r="N1350" s="20">
        <v>941.72</v>
      </c>
      <c r="O1350" s="20">
        <f>H1350-L1350</f>
        <v>-941.72</v>
      </c>
      <c r="P1350" s="20" t="e">
        <f>#REF!-M1350</f>
        <v>#REF!</v>
      </c>
      <c r="Q1350" s="20" t="e">
        <f>#REF!-N1350</f>
        <v>#REF!</v>
      </c>
      <c r="R1350" s="17" t="str">
        <f t="shared" si="145"/>
        <v>04 3 04 21070240</v>
      </c>
    </row>
    <row r="1351" spans="1:18" s="16" customFormat="1" ht="15.75">
      <c r="A1351" s="14"/>
      <c r="B1351" s="125" t="s">
        <v>30</v>
      </c>
      <c r="C1351" s="109" t="s">
        <v>783</v>
      </c>
      <c r="D1351" s="131" t="s">
        <v>86</v>
      </c>
      <c r="E1351" s="131" t="s">
        <v>13</v>
      </c>
      <c r="F1351" s="131" t="s">
        <v>775</v>
      </c>
      <c r="G1351" s="131" t="s">
        <v>31</v>
      </c>
      <c r="H1351" s="126"/>
      <c r="L1351" s="20"/>
      <c r="M1351" s="20"/>
      <c r="N1351" s="20"/>
      <c r="O1351" s="20"/>
      <c r="P1351" s="20"/>
      <c r="Q1351" s="20"/>
      <c r="R1351" s="17"/>
    </row>
    <row r="1352" spans="1:18" s="16" customFormat="1" ht="78.75">
      <c r="A1352" s="14" t="s">
        <v>80</v>
      </c>
      <c r="B1352" s="127" t="s">
        <v>776</v>
      </c>
      <c r="C1352" s="130" t="s">
        <v>783</v>
      </c>
      <c r="D1352" s="131" t="s">
        <v>86</v>
      </c>
      <c r="E1352" s="131" t="s">
        <v>13</v>
      </c>
      <c r="F1352" s="108" t="s">
        <v>777</v>
      </c>
      <c r="G1352" s="131" t="s">
        <v>9</v>
      </c>
      <c r="H1352" s="105">
        <f>H1353</f>
        <v>0</v>
      </c>
      <c r="L1352" s="26">
        <v>15996.87</v>
      </c>
      <c r="M1352" s="26">
        <v>6996.87</v>
      </c>
      <c r="N1352" s="26">
        <v>6996.87</v>
      </c>
      <c r="O1352" s="26">
        <f>H1352-L1352</f>
        <v>-15996.87</v>
      </c>
      <c r="P1352" s="26" t="e">
        <f>#REF!-M1352</f>
        <v>#REF!</v>
      </c>
      <c r="Q1352" s="26" t="e">
        <f>#REF!-N1352</f>
        <v>#REF!</v>
      </c>
      <c r="R1352" s="17" t="str">
        <f t="shared" si="145"/>
        <v>04 3 04 21080000</v>
      </c>
    </row>
    <row r="1353" spans="1:18" s="16" customFormat="1" ht="31.5">
      <c r="A1353" s="14"/>
      <c r="B1353" s="125" t="s">
        <v>28</v>
      </c>
      <c r="C1353" s="109" t="s">
        <v>783</v>
      </c>
      <c r="D1353" s="108" t="s">
        <v>86</v>
      </c>
      <c r="E1353" s="108" t="s">
        <v>13</v>
      </c>
      <c r="F1353" s="108" t="s">
        <v>777</v>
      </c>
      <c r="G1353" s="108" t="s">
        <v>29</v>
      </c>
      <c r="H1353" s="126">
        <f>H1354</f>
        <v>0</v>
      </c>
      <c r="L1353" s="20">
        <v>15996.87</v>
      </c>
      <c r="M1353" s="20">
        <v>6996.87</v>
      </c>
      <c r="N1353" s="20">
        <v>6996.87</v>
      </c>
      <c r="O1353" s="20">
        <f>H1353-L1353</f>
        <v>-15996.87</v>
      </c>
      <c r="P1353" s="20" t="e">
        <f>#REF!-M1353</f>
        <v>#REF!</v>
      </c>
      <c r="Q1353" s="20" t="e">
        <f>#REF!-N1353</f>
        <v>#REF!</v>
      </c>
      <c r="R1353" s="17" t="str">
        <f t="shared" si="145"/>
        <v>04 3 04 21080240</v>
      </c>
    </row>
    <row r="1354" spans="1:18" s="16" customFormat="1" ht="15.75">
      <c r="A1354" s="14"/>
      <c r="B1354" s="125" t="s">
        <v>30</v>
      </c>
      <c r="C1354" s="109" t="s">
        <v>783</v>
      </c>
      <c r="D1354" s="108" t="s">
        <v>86</v>
      </c>
      <c r="E1354" s="108" t="s">
        <v>13</v>
      </c>
      <c r="F1354" s="108" t="s">
        <v>777</v>
      </c>
      <c r="G1354" s="108" t="s">
        <v>31</v>
      </c>
      <c r="H1354" s="126"/>
      <c r="L1354" s="20"/>
      <c r="M1354" s="20"/>
      <c r="N1354" s="20"/>
      <c r="O1354" s="20"/>
      <c r="P1354" s="20"/>
      <c r="Q1354" s="20"/>
      <c r="R1354" s="17"/>
    </row>
    <row r="1355" spans="1:18" s="16" customFormat="1" ht="63">
      <c r="A1355" s="14"/>
      <c r="B1355" s="140" t="s">
        <v>87</v>
      </c>
      <c r="C1355" s="109" t="s">
        <v>783</v>
      </c>
      <c r="D1355" s="131" t="s">
        <v>86</v>
      </c>
      <c r="E1355" s="131" t="s">
        <v>13</v>
      </c>
      <c r="F1355" s="131" t="s">
        <v>88</v>
      </c>
      <c r="G1355" s="131" t="s">
        <v>9</v>
      </c>
      <c r="H1355" s="105">
        <f>H1356</f>
        <v>0</v>
      </c>
      <c r="L1355" s="26">
        <v>2000</v>
      </c>
      <c r="M1355" s="26">
        <v>0</v>
      </c>
      <c r="N1355" s="26">
        <v>0</v>
      </c>
      <c r="O1355" s="26">
        <f>H1355-L1355</f>
        <v>-2000</v>
      </c>
      <c r="P1355" s="26" t="e">
        <f>#REF!-M1355</f>
        <v>#REF!</v>
      </c>
      <c r="Q1355" s="26" t="e">
        <f>#REF!-N1355</f>
        <v>#REF!</v>
      </c>
      <c r="R1355" s="17" t="str">
        <f t="shared" si="145"/>
        <v>98 0 00 00000000</v>
      </c>
    </row>
    <row r="1356" spans="1:18" s="16" customFormat="1" ht="15.75">
      <c r="A1356" s="14"/>
      <c r="B1356" s="140" t="s">
        <v>89</v>
      </c>
      <c r="C1356" s="109" t="s">
        <v>783</v>
      </c>
      <c r="D1356" s="131" t="s">
        <v>86</v>
      </c>
      <c r="E1356" s="131" t="s">
        <v>13</v>
      </c>
      <c r="F1356" s="131" t="s">
        <v>90</v>
      </c>
      <c r="G1356" s="131" t="s">
        <v>9</v>
      </c>
      <c r="H1356" s="105">
        <f>H1357</f>
        <v>0</v>
      </c>
      <c r="L1356" s="26">
        <v>2000</v>
      </c>
      <c r="M1356" s="26">
        <v>0</v>
      </c>
      <c r="N1356" s="26">
        <v>0</v>
      </c>
      <c r="O1356" s="26">
        <f>H1356-L1356</f>
        <v>-2000</v>
      </c>
      <c r="P1356" s="26" t="e">
        <f>#REF!-M1356</f>
        <v>#REF!</v>
      </c>
      <c r="Q1356" s="26" t="e">
        <f>#REF!-N1356</f>
        <v>#REF!</v>
      </c>
      <c r="R1356" s="17" t="str">
        <f t="shared" si="145"/>
        <v>98 1 00 00000000</v>
      </c>
    </row>
    <row r="1357" spans="1:18" s="16" customFormat="1" ht="31.5">
      <c r="A1357" s="14"/>
      <c r="B1357" s="125" t="s">
        <v>778</v>
      </c>
      <c r="C1357" s="109" t="s">
        <v>783</v>
      </c>
      <c r="D1357" s="131" t="s">
        <v>86</v>
      </c>
      <c r="E1357" s="131" t="s">
        <v>13</v>
      </c>
      <c r="F1357" s="131" t="s">
        <v>779</v>
      </c>
      <c r="G1357" s="131" t="s">
        <v>9</v>
      </c>
      <c r="H1357" s="105">
        <f>H1358</f>
        <v>0</v>
      </c>
      <c r="L1357" s="26">
        <v>2000</v>
      </c>
      <c r="M1357" s="26">
        <v>0</v>
      </c>
      <c r="N1357" s="26">
        <v>0</v>
      </c>
      <c r="O1357" s="26">
        <f>H1357-L1357</f>
        <v>-2000</v>
      </c>
      <c r="P1357" s="26" t="e">
        <f>#REF!-M1357</f>
        <v>#REF!</v>
      </c>
      <c r="Q1357" s="26" t="e">
        <f>#REF!-N1357</f>
        <v>#REF!</v>
      </c>
      <c r="R1357" s="17" t="str">
        <f t="shared" si="145"/>
        <v>98 1 00 21450000</v>
      </c>
    </row>
    <row r="1358" spans="1:18" s="16" customFormat="1" ht="31.5">
      <c r="A1358" s="14"/>
      <c r="B1358" s="125" t="s">
        <v>28</v>
      </c>
      <c r="C1358" s="109" t="s">
        <v>783</v>
      </c>
      <c r="D1358" s="131" t="s">
        <v>86</v>
      </c>
      <c r="E1358" s="131" t="s">
        <v>13</v>
      </c>
      <c r="F1358" s="131" t="s">
        <v>779</v>
      </c>
      <c r="G1358" s="131" t="s">
        <v>29</v>
      </c>
      <c r="H1358" s="126">
        <f>H1359</f>
        <v>0</v>
      </c>
      <c r="L1358" s="26">
        <v>2000</v>
      </c>
      <c r="M1358" s="26">
        <v>0</v>
      </c>
      <c r="N1358" s="26">
        <v>0</v>
      </c>
      <c r="O1358" s="26">
        <f>H1358-L1358</f>
        <v>-2000</v>
      </c>
      <c r="P1358" s="26" t="e">
        <f>#REF!-M1358</f>
        <v>#REF!</v>
      </c>
      <c r="Q1358" s="26" t="e">
        <f>#REF!-N1358</f>
        <v>#REF!</v>
      </c>
      <c r="R1358" s="17" t="str">
        <f t="shared" si="145"/>
        <v>98 1 00 21450240</v>
      </c>
    </row>
    <row r="1359" spans="1:18" s="16" customFormat="1" ht="15.75">
      <c r="A1359" s="14"/>
      <c r="B1359" s="125" t="s">
        <v>30</v>
      </c>
      <c r="C1359" s="109" t="s">
        <v>783</v>
      </c>
      <c r="D1359" s="131" t="s">
        <v>86</v>
      </c>
      <c r="E1359" s="131" t="s">
        <v>13</v>
      </c>
      <c r="F1359" s="131" t="s">
        <v>779</v>
      </c>
      <c r="G1359" s="131" t="s">
        <v>31</v>
      </c>
      <c r="H1359" s="126"/>
      <c r="L1359" s="26"/>
      <c r="M1359" s="26"/>
      <c r="N1359" s="26"/>
      <c r="O1359" s="26"/>
      <c r="P1359" s="26"/>
      <c r="Q1359" s="26"/>
      <c r="R1359" s="17"/>
    </row>
    <row r="1360" spans="1:18" s="16" customFormat="1" ht="15.75">
      <c r="A1360" s="14"/>
      <c r="B1360" s="117" t="s">
        <v>237</v>
      </c>
      <c r="C1360" s="118" t="s">
        <v>783</v>
      </c>
      <c r="D1360" s="119" t="s">
        <v>238</v>
      </c>
      <c r="E1360" s="119" t="s">
        <v>7</v>
      </c>
      <c r="F1360" s="119" t="s">
        <v>8</v>
      </c>
      <c r="G1360" s="119" t="s">
        <v>9</v>
      </c>
      <c r="H1360" s="120">
        <f t="shared" ref="H1360:H1363" si="158">H1361</f>
        <v>0</v>
      </c>
      <c r="L1360" s="18">
        <v>1480</v>
      </c>
      <c r="M1360" s="18">
        <v>1480</v>
      </c>
      <c r="N1360" s="18">
        <v>1480</v>
      </c>
      <c r="O1360" s="18">
        <f t="shared" ref="O1360:O1366" si="159">H1360-L1360</f>
        <v>-1480</v>
      </c>
      <c r="P1360" s="18" t="e">
        <f>#REF!-M1360</f>
        <v>#REF!</v>
      </c>
      <c r="Q1360" s="18" t="e">
        <f>#REF!-N1360</f>
        <v>#REF!</v>
      </c>
      <c r="R1360" s="17" t="str">
        <f t="shared" si="145"/>
        <v>00 0 00 00000000</v>
      </c>
    </row>
    <row r="1361" spans="1:18" s="16" customFormat="1" ht="15.75">
      <c r="A1361" s="14"/>
      <c r="B1361" s="121" t="s">
        <v>239</v>
      </c>
      <c r="C1361" s="122" t="s">
        <v>783</v>
      </c>
      <c r="D1361" s="123" t="s">
        <v>238</v>
      </c>
      <c r="E1361" s="123" t="s">
        <v>11</v>
      </c>
      <c r="F1361" s="123" t="s">
        <v>8</v>
      </c>
      <c r="G1361" s="123" t="s">
        <v>9</v>
      </c>
      <c r="H1361" s="124">
        <f t="shared" si="158"/>
        <v>0</v>
      </c>
      <c r="L1361" s="19">
        <v>1480</v>
      </c>
      <c r="M1361" s="19">
        <v>1480</v>
      </c>
      <c r="N1361" s="19">
        <v>1480</v>
      </c>
      <c r="O1361" s="19">
        <f t="shared" si="159"/>
        <v>-1480</v>
      </c>
      <c r="P1361" s="19" t="e">
        <f>#REF!-M1361</f>
        <v>#REF!</v>
      </c>
      <c r="Q1361" s="19" t="e">
        <f>#REF!-N1361</f>
        <v>#REF!</v>
      </c>
      <c r="R1361" s="17" t="str">
        <f t="shared" si="145"/>
        <v>00 0 00 00000000</v>
      </c>
    </row>
    <row r="1362" spans="1:18" s="16" customFormat="1" ht="31.5">
      <c r="A1362" s="14"/>
      <c r="B1362" s="125" t="s">
        <v>240</v>
      </c>
      <c r="C1362" s="109" t="s">
        <v>783</v>
      </c>
      <c r="D1362" s="108" t="s">
        <v>238</v>
      </c>
      <c r="E1362" s="108" t="s">
        <v>11</v>
      </c>
      <c r="F1362" s="108" t="s">
        <v>241</v>
      </c>
      <c r="G1362" s="108" t="s">
        <v>9</v>
      </c>
      <c r="H1362" s="126">
        <f t="shared" si="158"/>
        <v>0</v>
      </c>
      <c r="L1362" s="20">
        <v>1480</v>
      </c>
      <c r="M1362" s="20">
        <v>1480</v>
      </c>
      <c r="N1362" s="20">
        <v>1480</v>
      </c>
      <c r="O1362" s="20">
        <f t="shared" si="159"/>
        <v>-1480</v>
      </c>
      <c r="P1362" s="20" t="e">
        <f>#REF!-M1362</f>
        <v>#REF!</v>
      </c>
      <c r="Q1362" s="20" t="e">
        <f>#REF!-N1362</f>
        <v>#REF!</v>
      </c>
      <c r="R1362" s="17" t="str">
        <f t="shared" si="145"/>
        <v>07 0 00 00000000</v>
      </c>
    </row>
    <row r="1363" spans="1:18" s="16" customFormat="1" ht="78.75">
      <c r="A1363" s="14"/>
      <c r="B1363" s="127" t="s">
        <v>384</v>
      </c>
      <c r="C1363" s="109" t="s">
        <v>783</v>
      </c>
      <c r="D1363" s="108" t="s">
        <v>238</v>
      </c>
      <c r="E1363" s="108" t="s">
        <v>11</v>
      </c>
      <c r="F1363" s="108" t="s">
        <v>243</v>
      </c>
      <c r="G1363" s="108" t="s">
        <v>9</v>
      </c>
      <c r="H1363" s="126">
        <f t="shared" si="158"/>
        <v>0</v>
      </c>
      <c r="L1363" s="20">
        <v>1480</v>
      </c>
      <c r="M1363" s="20">
        <v>1480</v>
      </c>
      <c r="N1363" s="20">
        <v>1480</v>
      </c>
      <c r="O1363" s="20">
        <f t="shared" si="159"/>
        <v>-1480</v>
      </c>
      <c r="P1363" s="20" t="e">
        <f>#REF!-M1363</f>
        <v>#REF!</v>
      </c>
      <c r="Q1363" s="20" t="e">
        <f>#REF!-N1363</f>
        <v>#REF!</v>
      </c>
      <c r="R1363" s="17" t="str">
        <f t="shared" si="145"/>
        <v>07 1 00 00000000</v>
      </c>
    </row>
    <row r="1364" spans="1:18" s="16" customFormat="1" ht="110.25">
      <c r="A1364" s="14"/>
      <c r="B1364" s="140" t="s">
        <v>244</v>
      </c>
      <c r="C1364" s="130" t="s">
        <v>783</v>
      </c>
      <c r="D1364" s="131" t="s">
        <v>238</v>
      </c>
      <c r="E1364" s="131" t="s">
        <v>11</v>
      </c>
      <c r="F1364" s="131" t="s">
        <v>245</v>
      </c>
      <c r="G1364" s="131" t="s">
        <v>9</v>
      </c>
      <c r="H1364" s="105">
        <f>H1365+H1368</f>
        <v>0</v>
      </c>
      <c r="L1364" s="26">
        <v>1480</v>
      </c>
      <c r="M1364" s="26">
        <v>1480</v>
      </c>
      <c r="N1364" s="26">
        <v>1480</v>
      </c>
      <c r="O1364" s="26">
        <f t="shared" si="159"/>
        <v>-1480</v>
      </c>
      <c r="P1364" s="26" t="e">
        <f>#REF!-M1364</f>
        <v>#REF!</v>
      </c>
      <c r="Q1364" s="26" t="e">
        <f>#REF!-N1364</f>
        <v>#REF!</v>
      </c>
      <c r="R1364" s="17" t="str">
        <f t="shared" si="145"/>
        <v>07 1 01 00000000</v>
      </c>
    </row>
    <row r="1365" spans="1:18" s="16" customFormat="1" ht="31.5">
      <c r="A1365" s="14"/>
      <c r="B1365" s="125" t="s">
        <v>246</v>
      </c>
      <c r="C1365" s="109" t="s">
        <v>783</v>
      </c>
      <c r="D1365" s="108" t="s">
        <v>238</v>
      </c>
      <c r="E1365" s="108" t="s">
        <v>11</v>
      </c>
      <c r="F1365" s="108" t="s">
        <v>247</v>
      </c>
      <c r="G1365" s="108" t="s">
        <v>9</v>
      </c>
      <c r="H1365" s="126">
        <f>H1366</f>
        <v>0</v>
      </c>
      <c r="L1365" s="20">
        <v>919</v>
      </c>
      <c r="M1365" s="20">
        <v>919</v>
      </c>
      <c r="N1365" s="20">
        <v>919</v>
      </c>
      <c r="O1365" s="20">
        <f t="shared" si="159"/>
        <v>-919</v>
      </c>
      <c r="P1365" s="20" t="e">
        <f>#REF!-M1365</f>
        <v>#REF!</v>
      </c>
      <c r="Q1365" s="20" t="e">
        <f>#REF!-N1365</f>
        <v>#REF!</v>
      </c>
      <c r="R1365" s="17" t="str">
        <f t="shared" si="145"/>
        <v>07 1 01 20060000</v>
      </c>
    </row>
    <row r="1366" spans="1:18" s="16" customFormat="1" ht="31.5">
      <c r="A1366" s="14"/>
      <c r="B1366" s="125" t="s">
        <v>28</v>
      </c>
      <c r="C1366" s="109" t="s">
        <v>783</v>
      </c>
      <c r="D1366" s="108" t="s">
        <v>238</v>
      </c>
      <c r="E1366" s="108" t="s">
        <v>11</v>
      </c>
      <c r="F1366" s="108" t="s">
        <v>247</v>
      </c>
      <c r="G1366" s="108" t="s">
        <v>29</v>
      </c>
      <c r="H1366" s="126">
        <f>H1367</f>
        <v>0</v>
      </c>
      <c r="L1366" s="20">
        <v>919</v>
      </c>
      <c r="M1366" s="20">
        <v>919</v>
      </c>
      <c r="N1366" s="20">
        <v>919</v>
      </c>
      <c r="O1366" s="20">
        <f t="shared" si="159"/>
        <v>-919</v>
      </c>
      <c r="P1366" s="20" t="e">
        <f>#REF!-M1366</f>
        <v>#REF!</v>
      </c>
      <c r="Q1366" s="20" t="e">
        <f>#REF!-N1366</f>
        <v>#REF!</v>
      </c>
      <c r="R1366" s="17" t="str">
        <f t="shared" si="145"/>
        <v>07 1 01 20060240</v>
      </c>
    </row>
    <row r="1367" spans="1:18" s="16" customFormat="1" ht="15.75">
      <c r="A1367" s="14"/>
      <c r="B1367" s="125" t="s">
        <v>30</v>
      </c>
      <c r="C1367" s="109" t="s">
        <v>783</v>
      </c>
      <c r="D1367" s="108" t="s">
        <v>238</v>
      </c>
      <c r="E1367" s="108" t="s">
        <v>11</v>
      </c>
      <c r="F1367" s="108" t="s">
        <v>247</v>
      </c>
      <c r="G1367" s="108" t="s">
        <v>31</v>
      </c>
      <c r="H1367" s="126"/>
      <c r="L1367" s="20"/>
      <c r="M1367" s="20"/>
      <c r="N1367" s="20"/>
      <c r="O1367" s="20"/>
      <c r="P1367" s="20"/>
      <c r="Q1367" s="20"/>
      <c r="R1367" s="17"/>
    </row>
    <row r="1368" spans="1:18" s="16" customFormat="1" ht="47.25">
      <c r="A1368" s="14"/>
      <c r="B1368" s="127" t="s">
        <v>780</v>
      </c>
      <c r="C1368" s="109" t="s">
        <v>783</v>
      </c>
      <c r="D1368" s="108" t="s">
        <v>238</v>
      </c>
      <c r="E1368" s="108" t="s">
        <v>11</v>
      </c>
      <c r="F1368" s="108" t="s">
        <v>781</v>
      </c>
      <c r="G1368" s="108" t="s">
        <v>9</v>
      </c>
      <c r="H1368" s="126">
        <f>H1369</f>
        <v>0</v>
      </c>
      <c r="L1368" s="20">
        <v>561</v>
      </c>
      <c r="M1368" s="20">
        <v>561</v>
      </c>
      <c r="N1368" s="20">
        <v>561</v>
      </c>
      <c r="O1368" s="20">
        <f>H1368-L1368</f>
        <v>-561</v>
      </c>
      <c r="P1368" s="20" t="e">
        <f>#REF!-M1368</f>
        <v>#REF!</v>
      </c>
      <c r="Q1368" s="20" t="e">
        <f>#REF!-N1368</f>
        <v>#REF!</v>
      </c>
      <c r="R1368" s="17" t="str">
        <f t="shared" si="145"/>
        <v>07 1 01 21130000</v>
      </c>
    </row>
    <row r="1369" spans="1:18" s="16" customFormat="1" ht="31.5">
      <c r="A1369" s="14"/>
      <c r="B1369" s="125" t="s">
        <v>28</v>
      </c>
      <c r="C1369" s="109" t="s">
        <v>783</v>
      </c>
      <c r="D1369" s="108" t="s">
        <v>238</v>
      </c>
      <c r="E1369" s="108" t="s">
        <v>11</v>
      </c>
      <c r="F1369" s="108" t="s">
        <v>781</v>
      </c>
      <c r="G1369" s="108" t="s">
        <v>29</v>
      </c>
      <c r="H1369" s="126">
        <f>H1370</f>
        <v>0</v>
      </c>
      <c r="L1369" s="20">
        <v>561</v>
      </c>
      <c r="M1369" s="20">
        <v>561</v>
      </c>
      <c r="N1369" s="20">
        <v>561</v>
      </c>
      <c r="O1369" s="20">
        <f>H1369-L1369</f>
        <v>-561</v>
      </c>
      <c r="P1369" s="20" t="e">
        <f>#REF!-M1369</f>
        <v>#REF!</v>
      </c>
      <c r="Q1369" s="20" t="e">
        <f>#REF!-N1369</f>
        <v>#REF!</v>
      </c>
      <c r="R1369" s="17" t="str">
        <f t="shared" si="145"/>
        <v>07 1 01 21130240</v>
      </c>
    </row>
    <row r="1370" spans="1:18" s="16" customFormat="1" ht="15.75">
      <c r="A1370" s="14"/>
      <c r="B1370" s="125" t="s">
        <v>30</v>
      </c>
      <c r="C1370" s="109" t="s">
        <v>783</v>
      </c>
      <c r="D1370" s="108" t="s">
        <v>238</v>
      </c>
      <c r="E1370" s="108" t="s">
        <v>11</v>
      </c>
      <c r="F1370" s="108" t="s">
        <v>781</v>
      </c>
      <c r="G1370" s="108" t="s">
        <v>31</v>
      </c>
      <c r="H1370" s="126"/>
      <c r="L1370" s="20"/>
      <c r="M1370" s="20"/>
      <c r="N1370" s="20"/>
      <c r="O1370" s="20"/>
      <c r="P1370" s="20"/>
      <c r="Q1370" s="20"/>
      <c r="R1370" s="17"/>
    </row>
    <row r="1371" spans="1:18" s="16" customFormat="1" ht="15.75">
      <c r="A1371" s="14"/>
      <c r="B1371" s="129"/>
      <c r="C1371" s="109"/>
      <c r="D1371" s="108"/>
      <c r="E1371" s="108"/>
      <c r="F1371" s="108"/>
      <c r="G1371" s="108"/>
      <c r="H1371" s="126"/>
      <c r="L1371" s="20"/>
      <c r="M1371" s="20"/>
      <c r="N1371" s="20"/>
      <c r="O1371" s="20">
        <f t="shared" ref="O1371:O1378" si="160">H1371-L1371</f>
        <v>0</v>
      </c>
      <c r="P1371" s="20" t="e">
        <f>#REF!-M1371</f>
        <v>#REF!</v>
      </c>
      <c r="Q1371" s="20" t="e">
        <f>#REF!-N1371</f>
        <v>#REF!</v>
      </c>
      <c r="R1371" s="17" t="str">
        <f t="shared" ref="R1371:R1467" si="161">CONCATENATE(F1371,G1371)</f>
        <v/>
      </c>
    </row>
    <row r="1372" spans="1:18" s="16" customFormat="1" ht="31.5">
      <c r="A1372" s="14"/>
      <c r="B1372" s="67" t="s">
        <v>794</v>
      </c>
      <c r="C1372" s="116" t="s">
        <v>795</v>
      </c>
      <c r="D1372" s="69" t="s">
        <v>7</v>
      </c>
      <c r="E1372" s="69" t="s">
        <v>7</v>
      </c>
      <c r="F1372" s="156" t="s">
        <v>8</v>
      </c>
      <c r="G1372" s="69" t="s">
        <v>9</v>
      </c>
      <c r="H1372" s="70">
        <f>H1373+H1418+H1429+H1453</f>
        <v>0</v>
      </c>
      <c r="L1372" s="25">
        <v>194853.65</v>
      </c>
      <c r="M1372" s="25">
        <v>199261.83000000002</v>
      </c>
      <c r="N1372" s="25">
        <v>211041.97000000003</v>
      </c>
      <c r="O1372" s="25">
        <f t="shared" si="160"/>
        <v>-194853.65</v>
      </c>
      <c r="P1372" s="25" t="e">
        <f>#REF!-M1372</f>
        <v>#REF!</v>
      </c>
      <c r="Q1372" s="25" t="e">
        <f>#REF!-N1372</f>
        <v>#REF!</v>
      </c>
      <c r="R1372" s="17" t="str">
        <f t="shared" si="161"/>
        <v>00 0 00 00000000</v>
      </c>
    </row>
    <row r="1373" spans="1:18" s="16" customFormat="1" ht="15.75">
      <c r="A1373" s="14"/>
      <c r="B1373" s="117" t="s">
        <v>10</v>
      </c>
      <c r="C1373" s="118" t="s">
        <v>795</v>
      </c>
      <c r="D1373" s="119" t="s">
        <v>11</v>
      </c>
      <c r="E1373" s="119" t="s">
        <v>7</v>
      </c>
      <c r="F1373" s="119" t="s">
        <v>8</v>
      </c>
      <c r="G1373" s="119" t="s">
        <v>9</v>
      </c>
      <c r="H1373" s="120">
        <f>H1374+H1400</f>
        <v>0</v>
      </c>
      <c r="L1373" s="18">
        <v>44007.149999999994</v>
      </c>
      <c r="M1373" s="18">
        <v>43253.189999999995</v>
      </c>
      <c r="N1373" s="18">
        <v>43253.189999999995</v>
      </c>
      <c r="O1373" s="18">
        <f t="shared" si="160"/>
        <v>-44007.149999999994</v>
      </c>
      <c r="P1373" s="18" t="e">
        <f>#REF!-M1373</f>
        <v>#REF!</v>
      </c>
      <c r="Q1373" s="18" t="e">
        <f>#REF!-N1373</f>
        <v>#REF!</v>
      </c>
      <c r="R1373" s="17" t="str">
        <f t="shared" si="161"/>
        <v>00 0 00 00000000</v>
      </c>
    </row>
    <row r="1374" spans="1:18" s="16" customFormat="1" ht="63">
      <c r="A1374" s="14"/>
      <c r="B1374" s="121" t="s">
        <v>72</v>
      </c>
      <c r="C1374" s="122" t="s">
        <v>795</v>
      </c>
      <c r="D1374" s="123" t="s">
        <v>11</v>
      </c>
      <c r="E1374" s="123" t="s">
        <v>73</v>
      </c>
      <c r="F1374" s="123" t="s">
        <v>8</v>
      </c>
      <c r="G1374" s="123" t="s">
        <v>9</v>
      </c>
      <c r="H1374" s="124">
        <f t="shared" ref="H1374:H1375" si="162">H1375</f>
        <v>0</v>
      </c>
      <c r="L1374" s="19">
        <v>42676.389999999992</v>
      </c>
      <c r="M1374" s="19">
        <v>42676.389999999992</v>
      </c>
      <c r="N1374" s="19">
        <v>42676.389999999992</v>
      </c>
      <c r="O1374" s="19">
        <f t="shared" si="160"/>
        <v>-42676.389999999992</v>
      </c>
      <c r="P1374" s="19" t="e">
        <f>#REF!-M1374</f>
        <v>#REF!</v>
      </c>
      <c r="Q1374" s="19" t="e">
        <f>#REF!-N1374</f>
        <v>#REF!</v>
      </c>
      <c r="R1374" s="17" t="str">
        <f t="shared" si="161"/>
        <v>00 0 00 00000000</v>
      </c>
    </row>
    <row r="1375" spans="1:18" s="16" customFormat="1" ht="31.5">
      <c r="A1375" s="14"/>
      <c r="B1375" s="125" t="s">
        <v>796</v>
      </c>
      <c r="C1375" s="108" t="s">
        <v>795</v>
      </c>
      <c r="D1375" s="108" t="s">
        <v>11</v>
      </c>
      <c r="E1375" s="108" t="s">
        <v>73</v>
      </c>
      <c r="F1375" s="108" t="s">
        <v>797</v>
      </c>
      <c r="G1375" s="108" t="s">
        <v>9</v>
      </c>
      <c r="H1375" s="126">
        <f t="shared" si="162"/>
        <v>0</v>
      </c>
      <c r="L1375" s="20">
        <v>42676.389999999992</v>
      </c>
      <c r="M1375" s="20">
        <v>42676.389999999992</v>
      </c>
      <c r="N1375" s="20">
        <v>42676.389999999992</v>
      </c>
      <c r="O1375" s="20">
        <f t="shared" si="160"/>
        <v>-42676.389999999992</v>
      </c>
      <c r="P1375" s="20" t="e">
        <f>#REF!-M1375</f>
        <v>#REF!</v>
      </c>
      <c r="Q1375" s="20" t="e">
        <f>#REF!-N1375</f>
        <v>#REF!</v>
      </c>
      <c r="R1375" s="17" t="str">
        <f t="shared" si="161"/>
        <v>82 0 00 00000000</v>
      </c>
    </row>
    <row r="1376" spans="1:18" s="16" customFormat="1" ht="47.25">
      <c r="A1376" s="14"/>
      <c r="B1376" s="125" t="s">
        <v>798</v>
      </c>
      <c r="C1376" s="108" t="s">
        <v>795</v>
      </c>
      <c r="D1376" s="108" t="s">
        <v>11</v>
      </c>
      <c r="E1376" s="108" t="s">
        <v>73</v>
      </c>
      <c r="F1376" s="108" t="s">
        <v>799</v>
      </c>
      <c r="G1376" s="108" t="s">
        <v>9</v>
      </c>
      <c r="H1376" s="105">
        <f>H1397+H1390+H1386+H1377</f>
        <v>0</v>
      </c>
      <c r="L1376" s="26">
        <v>42676.389999999992</v>
      </c>
      <c r="M1376" s="26">
        <v>42676.389999999992</v>
      </c>
      <c r="N1376" s="26">
        <v>42676.389999999992</v>
      </c>
      <c r="O1376" s="26">
        <f t="shared" si="160"/>
        <v>-42676.389999999992</v>
      </c>
      <c r="P1376" s="26" t="e">
        <f>#REF!-M1376</f>
        <v>#REF!</v>
      </c>
      <c r="Q1376" s="26" t="e">
        <f>#REF!-N1376</f>
        <v>#REF!</v>
      </c>
      <c r="R1376" s="17" t="str">
        <f t="shared" si="161"/>
        <v>82 1 00 00000000</v>
      </c>
    </row>
    <row r="1377" spans="1:18" s="16" customFormat="1" ht="31.5">
      <c r="A1377" s="14"/>
      <c r="B1377" s="125" t="s">
        <v>18</v>
      </c>
      <c r="C1377" s="108" t="s">
        <v>795</v>
      </c>
      <c r="D1377" s="108" t="s">
        <v>11</v>
      </c>
      <c r="E1377" s="108" t="s">
        <v>73</v>
      </c>
      <c r="F1377" s="108" t="s">
        <v>800</v>
      </c>
      <c r="G1377" s="108" t="s">
        <v>9</v>
      </c>
      <c r="H1377" s="105">
        <f>H1378+H1381+H1383</f>
        <v>0</v>
      </c>
      <c r="L1377" s="26">
        <v>5112.3100000000004</v>
      </c>
      <c r="M1377" s="26">
        <v>5112.3100000000004</v>
      </c>
      <c r="N1377" s="26">
        <v>5112.3100000000004</v>
      </c>
      <c r="O1377" s="26">
        <f t="shared" si="160"/>
        <v>-5112.3100000000004</v>
      </c>
      <c r="P1377" s="26" t="e">
        <f>#REF!-M1377</f>
        <v>#REF!</v>
      </c>
      <c r="Q1377" s="26" t="e">
        <f>#REF!-N1377</f>
        <v>#REF!</v>
      </c>
      <c r="R1377" s="17" t="str">
        <f t="shared" si="161"/>
        <v>82 1 00 10010000</v>
      </c>
    </row>
    <row r="1378" spans="1:18" s="50" customFormat="1" ht="31.5">
      <c r="A1378" s="49"/>
      <c r="B1378" s="129" t="s">
        <v>20</v>
      </c>
      <c r="C1378" s="131" t="s">
        <v>795</v>
      </c>
      <c r="D1378" s="131" t="s">
        <v>11</v>
      </c>
      <c r="E1378" s="131" t="s">
        <v>73</v>
      </c>
      <c r="F1378" s="108" t="s">
        <v>800</v>
      </c>
      <c r="G1378" s="131" t="s">
        <v>21</v>
      </c>
      <c r="H1378" s="126">
        <f>SUM(H1379:H1380)</f>
        <v>0</v>
      </c>
      <c r="L1378" s="26">
        <v>836.55</v>
      </c>
      <c r="M1378" s="26">
        <v>836.55</v>
      </c>
      <c r="N1378" s="26">
        <v>836.55</v>
      </c>
      <c r="O1378" s="26">
        <f t="shared" si="160"/>
        <v>-836.55</v>
      </c>
      <c r="P1378" s="26" t="e">
        <f>#REF!-M1378</f>
        <v>#REF!</v>
      </c>
      <c r="Q1378" s="26" t="e">
        <f>#REF!-N1378</f>
        <v>#REF!</v>
      </c>
      <c r="R1378" s="17" t="str">
        <f t="shared" si="161"/>
        <v>82 1 00 10010120</v>
      </c>
    </row>
    <row r="1379" spans="1:18" s="23" customFormat="1" ht="47.25">
      <c r="A1379" s="21"/>
      <c r="B1379" s="127" t="s">
        <v>22</v>
      </c>
      <c r="C1379" s="131" t="s">
        <v>795</v>
      </c>
      <c r="D1379" s="131" t="s">
        <v>11</v>
      </c>
      <c r="E1379" s="131" t="s">
        <v>73</v>
      </c>
      <c r="F1379" s="108" t="s">
        <v>800</v>
      </c>
      <c r="G1379" s="108" t="s">
        <v>23</v>
      </c>
      <c r="H1379" s="126"/>
      <c r="L1379" s="22"/>
      <c r="M1379" s="22"/>
      <c r="N1379" s="22"/>
      <c r="O1379" s="22"/>
      <c r="P1379" s="22"/>
      <c r="Q1379" s="22"/>
      <c r="R1379" s="24"/>
    </row>
    <row r="1380" spans="1:18" s="23" customFormat="1" ht="63">
      <c r="A1380" s="21"/>
      <c r="B1380" s="127" t="s">
        <v>26</v>
      </c>
      <c r="C1380" s="131" t="s">
        <v>795</v>
      </c>
      <c r="D1380" s="131" t="s">
        <v>11</v>
      </c>
      <c r="E1380" s="131" t="s">
        <v>73</v>
      </c>
      <c r="F1380" s="108" t="s">
        <v>800</v>
      </c>
      <c r="G1380" s="108" t="s">
        <v>27</v>
      </c>
      <c r="H1380" s="126"/>
      <c r="L1380" s="22"/>
      <c r="M1380" s="22"/>
      <c r="N1380" s="22"/>
      <c r="O1380" s="22"/>
      <c r="P1380" s="22"/>
      <c r="Q1380" s="22"/>
      <c r="R1380" s="24"/>
    </row>
    <row r="1381" spans="1:18" s="16" customFormat="1" ht="31.5">
      <c r="A1381" s="14"/>
      <c r="B1381" s="125" t="s">
        <v>28</v>
      </c>
      <c r="C1381" s="131" t="s">
        <v>795</v>
      </c>
      <c r="D1381" s="131" t="s">
        <v>11</v>
      </c>
      <c r="E1381" s="131" t="s">
        <v>73</v>
      </c>
      <c r="F1381" s="108" t="s">
        <v>800</v>
      </c>
      <c r="G1381" s="108" t="s">
        <v>29</v>
      </c>
      <c r="H1381" s="126">
        <f>H1382</f>
        <v>0</v>
      </c>
      <c r="L1381" s="26">
        <v>3935.76</v>
      </c>
      <c r="M1381" s="26">
        <v>3935.76</v>
      </c>
      <c r="N1381" s="26">
        <v>3935.76</v>
      </c>
      <c r="O1381" s="26">
        <f>H1381-L1381</f>
        <v>-3935.76</v>
      </c>
      <c r="P1381" s="26" t="e">
        <f>#REF!-M1381</f>
        <v>#REF!</v>
      </c>
      <c r="Q1381" s="26" t="e">
        <f>#REF!-N1381</f>
        <v>#REF!</v>
      </c>
      <c r="R1381" s="17" t="str">
        <f t="shared" si="161"/>
        <v>82 1 00 10010240</v>
      </c>
    </row>
    <row r="1382" spans="1:18" s="16" customFormat="1" ht="15.75">
      <c r="A1382" s="14"/>
      <c r="B1382" s="125" t="s">
        <v>30</v>
      </c>
      <c r="C1382" s="131" t="s">
        <v>795</v>
      </c>
      <c r="D1382" s="131" t="s">
        <v>11</v>
      </c>
      <c r="E1382" s="131" t="s">
        <v>73</v>
      </c>
      <c r="F1382" s="108" t="s">
        <v>800</v>
      </c>
      <c r="G1382" s="108" t="s">
        <v>31</v>
      </c>
      <c r="H1382" s="126"/>
      <c r="L1382" s="26"/>
      <c r="M1382" s="26"/>
      <c r="N1382" s="26"/>
      <c r="O1382" s="26"/>
      <c r="P1382" s="26"/>
      <c r="Q1382" s="26"/>
      <c r="R1382" s="17"/>
    </row>
    <row r="1383" spans="1:18" s="16" customFormat="1" ht="15.75">
      <c r="A1383" s="14"/>
      <c r="B1383" s="125" t="s">
        <v>32</v>
      </c>
      <c r="C1383" s="131" t="s">
        <v>795</v>
      </c>
      <c r="D1383" s="131" t="s">
        <v>11</v>
      </c>
      <c r="E1383" s="131" t="s">
        <v>73</v>
      </c>
      <c r="F1383" s="108" t="s">
        <v>800</v>
      </c>
      <c r="G1383" s="131" t="s">
        <v>33</v>
      </c>
      <c r="H1383" s="126">
        <f>SUM(H1384:H1385)</f>
        <v>0</v>
      </c>
      <c r="L1383" s="26">
        <v>340</v>
      </c>
      <c r="M1383" s="26">
        <v>340</v>
      </c>
      <c r="N1383" s="26">
        <v>340</v>
      </c>
      <c r="O1383" s="26">
        <f>H1383-L1383</f>
        <v>-340</v>
      </c>
      <c r="P1383" s="26" t="e">
        <f>#REF!-M1383</f>
        <v>#REF!</v>
      </c>
      <c r="Q1383" s="26" t="e">
        <f>#REF!-N1383</f>
        <v>#REF!</v>
      </c>
      <c r="R1383" s="17" t="str">
        <f t="shared" si="161"/>
        <v>82 1 00 10010850</v>
      </c>
    </row>
    <row r="1384" spans="1:18" s="23" customFormat="1" ht="31.5">
      <c r="A1384" s="21"/>
      <c r="B1384" s="127" t="s">
        <v>34</v>
      </c>
      <c r="C1384" s="131" t="s">
        <v>795</v>
      </c>
      <c r="D1384" s="131" t="s">
        <v>11</v>
      </c>
      <c r="E1384" s="131" t="s">
        <v>73</v>
      </c>
      <c r="F1384" s="108" t="s">
        <v>800</v>
      </c>
      <c r="G1384" s="108" t="s">
        <v>35</v>
      </c>
      <c r="H1384" s="126"/>
      <c r="L1384" s="22"/>
      <c r="M1384" s="22"/>
      <c r="N1384" s="22"/>
      <c r="O1384" s="22"/>
      <c r="P1384" s="22"/>
      <c r="Q1384" s="22"/>
      <c r="R1384" s="24"/>
    </row>
    <row r="1385" spans="1:18" s="23" customFormat="1" ht="15.75">
      <c r="A1385" s="21"/>
      <c r="B1385" s="127" t="s">
        <v>36</v>
      </c>
      <c r="C1385" s="131" t="s">
        <v>795</v>
      </c>
      <c r="D1385" s="131" t="s">
        <v>11</v>
      </c>
      <c r="E1385" s="131" t="s">
        <v>73</v>
      </c>
      <c r="F1385" s="108" t="s">
        <v>800</v>
      </c>
      <c r="G1385" s="108" t="s">
        <v>37</v>
      </c>
      <c r="H1385" s="126"/>
      <c r="L1385" s="22"/>
      <c r="M1385" s="22"/>
      <c r="N1385" s="22"/>
      <c r="O1385" s="22"/>
      <c r="P1385" s="22"/>
      <c r="Q1385" s="22"/>
      <c r="R1385" s="24"/>
    </row>
    <row r="1386" spans="1:18" s="47" customFormat="1" ht="31.5">
      <c r="A1386" s="46"/>
      <c r="B1386" s="129" t="s">
        <v>789</v>
      </c>
      <c r="C1386" s="131" t="s">
        <v>795</v>
      </c>
      <c r="D1386" s="131" t="s">
        <v>11</v>
      </c>
      <c r="E1386" s="131" t="s">
        <v>73</v>
      </c>
      <c r="F1386" s="131" t="s">
        <v>801</v>
      </c>
      <c r="G1386" s="131" t="s">
        <v>9</v>
      </c>
      <c r="H1386" s="105">
        <f>H1387</f>
        <v>0</v>
      </c>
      <c r="L1386" s="26">
        <v>35958.199999999997</v>
      </c>
      <c r="M1386" s="26">
        <v>35958.199999999997</v>
      </c>
      <c r="N1386" s="26">
        <v>35958.199999999997</v>
      </c>
      <c r="O1386" s="26">
        <f>H1386-L1386</f>
        <v>-35958.199999999997</v>
      </c>
      <c r="P1386" s="26" t="e">
        <f>#REF!-M1386</f>
        <v>#REF!</v>
      </c>
      <c r="Q1386" s="26" t="e">
        <f>#REF!-N1386</f>
        <v>#REF!</v>
      </c>
      <c r="R1386" s="17" t="str">
        <f t="shared" si="161"/>
        <v>82 1 00 10020000</v>
      </c>
    </row>
    <row r="1387" spans="1:18" s="50" customFormat="1" ht="31.5">
      <c r="A1387" s="49"/>
      <c r="B1387" s="129" t="s">
        <v>20</v>
      </c>
      <c r="C1387" s="131" t="s">
        <v>795</v>
      </c>
      <c r="D1387" s="131" t="s">
        <v>11</v>
      </c>
      <c r="E1387" s="131" t="s">
        <v>73</v>
      </c>
      <c r="F1387" s="131" t="s">
        <v>801</v>
      </c>
      <c r="G1387" s="131" t="s">
        <v>21</v>
      </c>
      <c r="H1387" s="126">
        <f>SUM(H1388:H1389)</f>
        <v>0</v>
      </c>
      <c r="L1387" s="26">
        <v>35958.199999999997</v>
      </c>
      <c r="M1387" s="26">
        <v>35958.199999999997</v>
      </c>
      <c r="N1387" s="26">
        <v>35958.199999999997</v>
      </c>
      <c r="O1387" s="26">
        <f>H1387-L1387</f>
        <v>-35958.199999999997</v>
      </c>
      <c r="P1387" s="26" t="e">
        <f>#REF!-M1387</f>
        <v>#REF!</v>
      </c>
      <c r="Q1387" s="26" t="e">
        <f>#REF!-N1387</f>
        <v>#REF!</v>
      </c>
      <c r="R1387" s="17" t="str">
        <f t="shared" si="161"/>
        <v>82 1 00 10020120</v>
      </c>
    </row>
    <row r="1388" spans="1:18" s="23" customFormat="1" ht="31.5">
      <c r="A1388" s="21"/>
      <c r="B1388" s="127" t="s">
        <v>40</v>
      </c>
      <c r="C1388" s="131" t="s">
        <v>795</v>
      </c>
      <c r="D1388" s="131" t="s">
        <v>11</v>
      </c>
      <c r="E1388" s="131" t="s">
        <v>73</v>
      </c>
      <c r="F1388" s="131" t="s">
        <v>801</v>
      </c>
      <c r="G1388" s="108" t="s">
        <v>41</v>
      </c>
      <c r="H1388" s="126"/>
      <c r="L1388" s="22"/>
      <c r="M1388" s="22"/>
      <c r="N1388" s="22"/>
      <c r="O1388" s="22"/>
      <c r="P1388" s="22"/>
      <c r="Q1388" s="22"/>
      <c r="R1388" s="24"/>
    </row>
    <row r="1389" spans="1:18" s="23" customFormat="1" ht="63">
      <c r="A1389" s="21"/>
      <c r="B1389" s="127" t="s">
        <v>26</v>
      </c>
      <c r="C1389" s="131" t="s">
        <v>795</v>
      </c>
      <c r="D1389" s="131" t="s">
        <v>11</v>
      </c>
      <c r="E1389" s="131" t="s">
        <v>73</v>
      </c>
      <c r="F1389" s="131" t="s">
        <v>801</v>
      </c>
      <c r="G1389" s="108" t="s">
        <v>27</v>
      </c>
      <c r="H1389" s="126"/>
      <c r="L1389" s="22"/>
      <c r="M1389" s="22"/>
      <c r="N1389" s="22"/>
      <c r="O1389" s="22"/>
      <c r="P1389" s="22"/>
      <c r="Q1389" s="22"/>
      <c r="R1389" s="24"/>
    </row>
    <row r="1390" spans="1:18" s="47" customFormat="1" ht="63">
      <c r="A1390" s="14" t="s">
        <v>80</v>
      </c>
      <c r="B1390" s="150" t="s">
        <v>488</v>
      </c>
      <c r="C1390" s="131" t="s">
        <v>795</v>
      </c>
      <c r="D1390" s="131" t="s">
        <v>11</v>
      </c>
      <c r="E1390" s="131" t="s">
        <v>73</v>
      </c>
      <c r="F1390" s="131" t="s">
        <v>802</v>
      </c>
      <c r="G1390" s="131" t="s">
        <v>9</v>
      </c>
      <c r="H1390" s="105">
        <f>H1391+H1395</f>
        <v>0</v>
      </c>
      <c r="L1390" s="26">
        <v>1534.98</v>
      </c>
      <c r="M1390" s="26">
        <v>1534.98</v>
      </c>
      <c r="N1390" s="26">
        <v>1534.98</v>
      </c>
      <c r="O1390" s="26">
        <f>H1390-L1390</f>
        <v>-1534.98</v>
      </c>
      <c r="P1390" s="26" t="e">
        <f>#REF!-M1390</f>
        <v>#REF!</v>
      </c>
      <c r="Q1390" s="26" t="e">
        <f>#REF!-N1390</f>
        <v>#REF!</v>
      </c>
      <c r="R1390" s="17" t="str">
        <f t="shared" si="161"/>
        <v>82 1 00 76200000</v>
      </c>
    </row>
    <row r="1391" spans="1:18" s="50" customFormat="1" ht="31.5">
      <c r="A1391" s="49"/>
      <c r="B1391" s="129" t="s">
        <v>20</v>
      </c>
      <c r="C1391" s="131" t="s">
        <v>795</v>
      </c>
      <c r="D1391" s="131" t="s">
        <v>11</v>
      </c>
      <c r="E1391" s="131" t="s">
        <v>73</v>
      </c>
      <c r="F1391" s="131" t="s">
        <v>802</v>
      </c>
      <c r="G1391" s="131" t="s">
        <v>21</v>
      </c>
      <c r="H1391" s="126">
        <f>SUM(H1392:H1394)</f>
        <v>0</v>
      </c>
      <c r="L1391" s="26">
        <v>1338.68</v>
      </c>
      <c r="M1391" s="26">
        <v>1338.68</v>
      </c>
      <c r="N1391" s="26">
        <v>1338.68</v>
      </c>
      <c r="O1391" s="26">
        <f>H1391-L1391</f>
        <v>-1338.68</v>
      </c>
      <c r="P1391" s="26" t="e">
        <f>#REF!-M1391</f>
        <v>#REF!</v>
      </c>
      <c r="Q1391" s="26" t="e">
        <f>#REF!-N1391</f>
        <v>#REF!</v>
      </c>
      <c r="R1391" s="17" t="str">
        <f t="shared" si="161"/>
        <v>82 1 00 76200120</v>
      </c>
    </row>
    <row r="1392" spans="1:18" s="23" customFormat="1" ht="31.5">
      <c r="A1392" s="21"/>
      <c r="B1392" s="127" t="s">
        <v>40</v>
      </c>
      <c r="C1392" s="131" t="s">
        <v>795</v>
      </c>
      <c r="D1392" s="131" t="s">
        <v>11</v>
      </c>
      <c r="E1392" s="131" t="s">
        <v>73</v>
      </c>
      <c r="F1392" s="131" t="s">
        <v>802</v>
      </c>
      <c r="G1392" s="108" t="s">
        <v>41</v>
      </c>
      <c r="H1392" s="126"/>
      <c r="L1392" s="22"/>
      <c r="M1392" s="22"/>
      <c r="N1392" s="22"/>
      <c r="O1392" s="22"/>
      <c r="P1392" s="22"/>
      <c r="Q1392" s="22"/>
      <c r="R1392" s="24"/>
    </row>
    <row r="1393" spans="1:18" s="23" customFormat="1" ht="47.25">
      <c r="A1393" s="21"/>
      <c r="B1393" s="127" t="s">
        <v>22</v>
      </c>
      <c r="C1393" s="131" t="s">
        <v>795</v>
      </c>
      <c r="D1393" s="131" t="s">
        <v>11</v>
      </c>
      <c r="E1393" s="131" t="s">
        <v>73</v>
      </c>
      <c r="F1393" s="131" t="s">
        <v>802</v>
      </c>
      <c r="G1393" s="108" t="s">
        <v>23</v>
      </c>
      <c r="H1393" s="126"/>
      <c r="L1393" s="22"/>
      <c r="M1393" s="22"/>
      <c r="N1393" s="22"/>
      <c r="O1393" s="22"/>
      <c r="P1393" s="22"/>
      <c r="Q1393" s="22"/>
      <c r="R1393" s="24"/>
    </row>
    <row r="1394" spans="1:18" s="23" customFormat="1" ht="63">
      <c r="A1394" s="21"/>
      <c r="B1394" s="127" t="s">
        <v>26</v>
      </c>
      <c r="C1394" s="131" t="s">
        <v>795</v>
      </c>
      <c r="D1394" s="131" t="s">
        <v>11</v>
      </c>
      <c r="E1394" s="131" t="s">
        <v>73</v>
      </c>
      <c r="F1394" s="131" t="s">
        <v>802</v>
      </c>
      <c r="G1394" s="108" t="s">
        <v>27</v>
      </c>
      <c r="H1394" s="126"/>
      <c r="L1394" s="22"/>
      <c r="M1394" s="22"/>
      <c r="N1394" s="22"/>
      <c r="O1394" s="22"/>
      <c r="P1394" s="22"/>
      <c r="Q1394" s="22"/>
      <c r="R1394" s="24"/>
    </row>
    <row r="1395" spans="1:18" s="50" customFormat="1" ht="31.5">
      <c r="A1395" s="49"/>
      <c r="B1395" s="125" t="s">
        <v>28</v>
      </c>
      <c r="C1395" s="131" t="s">
        <v>795</v>
      </c>
      <c r="D1395" s="131" t="s">
        <v>11</v>
      </c>
      <c r="E1395" s="131" t="s">
        <v>73</v>
      </c>
      <c r="F1395" s="131" t="s">
        <v>802</v>
      </c>
      <c r="G1395" s="131" t="s">
        <v>29</v>
      </c>
      <c r="H1395" s="126">
        <f>H1396</f>
        <v>0</v>
      </c>
      <c r="L1395" s="26">
        <v>196.3</v>
      </c>
      <c r="M1395" s="26">
        <v>196.3</v>
      </c>
      <c r="N1395" s="26">
        <v>196.3</v>
      </c>
      <c r="O1395" s="26">
        <f>H1395-L1395</f>
        <v>-196.3</v>
      </c>
      <c r="P1395" s="26" t="e">
        <f>#REF!-M1395</f>
        <v>#REF!</v>
      </c>
      <c r="Q1395" s="26" t="e">
        <f>#REF!-N1395</f>
        <v>#REF!</v>
      </c>
      <c r="R1395" s="17" t="str">
        <f t="shared" si="161"/>
        <v>82 1 00 76200240</v>
      </c>
    </row>
    <row r="1396" spans="1:18" s="50" customFormat="1" ht="15.75">
      <c r="A1396" s="49"/>
      <c r="B1396" s="125" t="s">
        <v>30</v>
      </c>
      <c r="C1396" s="131" t="s">
        <v>795</v>
      </c>
      <c r="D1396" s="131" t="s">
        <v>11</v>
      </c>
      <c r="E1396" s="131" t="s">
        <v>73</v>
      </c>
      <c r="F1396" s="131" t="s">
        <v>802</v>
      </c>
      <c r="G1396" s="131" t="s">
        <v>31</v>
      </c>
      <c r="H1396" s="126"/>
      <c r="L1396" s="26"/>
      <c r="M1396" s="26"/>
      <c r="N1396" s="26"/>
      <c r="O1396" s="26"/>
      <c r="P1396" s="26"/>
      <c r="Q1396" s="26"/>
      <c r="R1396" s="17"/>
    </row>
    <row r="1397" spans="1:18" s="47" customFormat="1" ht="63">
      <c r="A1397" s="14" t="s">
        <v>80</v>
      </c>
      <c r="B1397" s="129" t="s">
        <v>754</v>
      </c>
      <c r="C1397" s="131" t="s">
        <v>795</v>
      </c>
      <c r="D1397" s="131" t="s">
        <v>11</v>
      </c>
      <c r="E1397" s="131" t="s">
        <v>73</v>
      </c>
      <c r="F1397" s="131" t="s">
        <v>803</v>
      </c>
      <c r="G1397" s="131" t="s">
        <v>9</v>
      </c>
      <c r="H1397" s="105">
        <f>H1398</f>
        <v>0</v>
      </c>
      <c r="L1397" s="26">
        <v>70.900000000000006</v>
      </c>
      <c r="M1397" s="26">
        <v>70.900000000000006</v>
      </c>
      <c r="N1397" s="26">
        <v>70.900000000000006</v>
      </c>
      <c r="O1397" s="26">
        <f>H1397-L1397</f>
        <v>-70.900000000000006</v>
      </c>
      <c r="P1397" s="26" t="e">
        <f>#REF!-M1397</f>
        <v>#REF!</v>
      </c>
      <c r="Q1397" s="26" t="e">
        <f>#REF!-N1397</f>
        <v>#REF!</v>
      </c>
      <c r="R1397" s="17" t="str">
        <f t="shared" si="161"/>
        <v>82 1 00 76360000</v>
      </c>
    </row>
    <row r="1398" spans="1:18" s="50" customFormat="1" ht="31.5">
      <c r="A1398" s="49"/>
      <c r="B1398" s="125" t="s">
        <v>28</v>
      </c>
      <c r="C1398" s="131" t="s">
        <v>795</v>
      </c>
      <c r="D1398" s="131" t="s">
        <v>11</v>
      </c>
      <c r="E1398" s="131" t="s">
        <v>73</v>
      </c>
      <c r="F1398" s="131" t="s">
        <v>803</v>
      </c>
      <c r="G1398" s="131" t="s">
        <v>29</v>
      </c>
      <c r="H1398" s="126">
        <f>H1399</f>
        <v>0</v>
      </c>
      <c r="L1398" s="26">
        <v>70.900000000000006</v>
      </c>
      <c r="M1398" s="26">
        <v>70.900000000000006</v>
      </c>
      <c r="N1398" s="26">
        <v>70.900000000000006</v>
      </c>
      <c r="O1398" s="26">
        <f>H1398-L1398</f>
        <v>-70.900000000000006</v>
      </c>
      <c r="P1398" s="26" t="e">
        <f>#REF!-M1398</f>
        <v>#REF!</v>
      </c>
      <c r="Q1398" s="26" t="e">
        <f>#REF!-N1398</f>
        <v>#REF!</v>
      </c>
      <c r="R1398" s="17" t="str">
        <f t="shared" si="161"/>
        <v>82 1 00 76360240</v>
      </c>
    </row>
    <row r="1399" spans="1:18" s="50" customFormat="1" ht="15.75">
      <c r="A1399" s="49"/>
      <c r="B1399" s="125" t="s">
        <v>30</v>
      </c>
      <c r="C1399" s="131" t="s">
        <v>795</v>
      </c>
      <c r="D1399" s="131" t="s">
        <v>11</v>
      </c>
      <c r="E1399" s="131" t="s">
        <v>73</v>
      </c>
      <c r="F1399" s="131" t="s">
        <v>803</v>
      </c>
      <c r="G1399" s="131" t="s">
        <v>31</v>
      </c>
      <c r="H1399" s="126"/>
      <c r="L1399" s="26"/>
      <c r="M1399" s="26"/>
      <c r="N1399" s="26"/>
      <c r="O1399" s="26"/>
      <c r="P1399" s="26"/>
      <c r="Q1399" s="26"/>
      <c r="R1399" s="17"/>
    </row>
    <row r="1400" spans="1:18" s="16" customFormat="1" ht="15.75">
      <c r="A1400" s="14"/>
      <c r="B1400" s="157" t="s">
        <v>50</v>
      </c>
      <c r="C1400" s="122" t="s">
        <v>795</v>
      </c>
      <c r="D1400" s="123" t="s">
        <v>11</v>
      </c>
      <c r="E1400" s="123" t="s">
        <v>51</v>
      </c>
      <c r="F1400" s="123" t="s">
        <v>8</v>
      </c>
      <c r="G1400" s="123" t="s">
        <v>9</v>
      </c>
      <c r="H1400" s="124">
        <f>H1401+H1410</f>
        <v>0</v>
      </c>
      <c r="L1400" s="19">
        <v>1330.76</v>
      </c>
      <c r="M1400" s="19">
        <v>576.79999999999995</v>
      </c>
      <c r="N1400" s="19">
        <v>576.79999999999995</v>
      </c>
      <c r="O1400" s="19">
        <f t="shared" ref="O1400:O1405" si="163">H1400-L1400</f>
        <v>-1330.76</v>
      </c>
      <c r="P1400" s="19" t="e">
        <f>#REF!-M1400</f>
        <v>#REF!</v>
      </c>
      <c r="Q1400" s="19" t="e">
        <f>#REF!-N1400</f>
        <v>#REF!</v>
      </c>
      <c r="R1400" s="17" t="str">
        <f t="shared" si="161"/>
        <v>00 0 00 00000000</v>
      </c>
    </row>
    <row r="1401" spans="1:18" s="16" customFormat="1" ht="63">
      <c r="A1401" s="14"/>
      <c r="B1401" s="132" t="s">
        <v>257</v>
      </c>
      <c r="C1401" s="108" t="s">
        <v>795</v>
      </c>
      <c r="D1401" s="108" t="s">
        <v>11</v>
      </c>
      <c r="E1401" s="108" t="s">
        <v>51</v>
      </c>
      <c r="F1401" s="108" t="s">
        <v>258</v>
      </c>
      <c r="G1401" s="108" t="s">
        <v>9</v>
      </c>
      <c r="H1401" s="126">
        <f>H1402</f>
        <v>0</v>
      </c>
      <c r="L1401" s="20">
        <v>576.79999999999995</v>
      </c>
      <c r="M1401" s="20">
        <v>576.79999999999995</v>
      </c>
      <c r="N1401" s="20">
        <v>576.79999999999995</v>
      </c>
      <c r="O1401" s="20">
        <f t="shared" si="163"/>
        <v>-576.79999999999995</v>
      </c>
      <c r="P1401" s="20" t="e">
        <f>#REF!-M1401</f>
        <v>#REF!</v>
      </c>
      <c r="Q1401" s="20" t="e">
        <f>#REF!-N1401</f>
        <v>#REF!</v>
      </c>
      <c r="R1401" s="17" t="str">
        <f t="shared" si="161"/>
        <v>11 0 00 00000000</v>
      </c>
    </row>
    <row r="1402" spans="1:18" s="16" customFormat="1" ht="63">
      <c r="A1402" s="14"/>
      <c r="B1402" s="132" t="s">
        <v>259</v>
      </c>
      <c r="C1402" s="108" t="s">
        <v>795</v>
      </c>
      <c r="D1402" s="108" t="s">
        <v>11</v>
      </c>
      <c r="E1402" s="108" t="s">
        <v>51</v>
      </c>
      <c r="F1402" s="108" t="s">
        <v>260</v>
      </c>
      <c r="G1402" s="108" t="s">
        <v>9</v>
      </c>
      <c r="H1402" s="126">
        <f>H1403</f>
        <v>0</v>
      </c>
      <c r="L1402" s="20">
        <v>576.79999999999995</v>
      </c>
      <c r="M1402" s="20">
        <v>576.79999999999995</v>
      </c>
      <c r="N1402" s="20">
        <v>576.79999999999995</v>
      </c>
      <c r="O1402" s="20">
        <f t="shared" si="163"/>
        <v>-576.79999999999995</v>
      </c>
      <c r="P1402" s="20" t="e">
        <f>#REF!-M1402</f>
        <v>#REF!</v>
      </c>
      <c r="Q1402" s="20" t="e">
        <f>#REF!-N1402</f>
        <v>#REF!</v>
      </c>
      <c r="R1402" s="17" t="str">
        <f t="shared" si="161"/>
        <v>11 Б 00 00000000</v>
      </c>
    </row>
    <row r="1403" spans="1:18" s="16" customFormat="1" ht="47.25">
      <c r="A1403" s="14"/>
      <c r="B1403" s="155" t="s">
        <v>261</v>
      </c>
      <c r="C1403" s="108" t="s">
        <v>795</v>
      </c>
      <c r="D1403" s="108" t="s">
        <v>11</v>
      </c>
      <c r="E1403" s="108" t="s">
        <v>51</v>
      </c>
      <c r="F1403" s="108" t="s">
        <v>262</v>
      </c>
      <c r="G1403" s="108" t="s">
        <v>9</v>
      </c>
      <c r="H1403" s="126">
        <f>H1404+H1407</f>
        <v>0</v>
      </c>
      <c r="L1403" s="20">
        <v>576.79999999999995</v>
      </c>
      <c r="M1403" s="20">
        <v>576.79999999999995</v>
      </c>
      <c r="N1403" s="20">
        <v>576.79999999999995</v>
      </c>
      <c r="O1403" s="20">
        <f t="shared" si="163"/>
        <v>-576.79999999999995</v>
      </c>
      <c r="P1403" s="20" t="e">
        <f>#REF!-M1403</f>
        <v>#REF!</v>
      </c>
      <c r="Q1403" s="20" t="e">
        <f>#REF!-N1403</f>
        <v>#REF!</v>
      </c>
      <c r="R1403" s="17" t="str">
        <f t="shared" si="161"/>
        <v>11 Б 01 00000000</v>
      </c>
    </row>
    <row r="1404" spans="1:18" s="16" customFormat="1" ht="31.5">
      <c r="A1404" s="14"/>
      <c r="B1404" s="147" t="s">
        <v>756</v>
      </c>
      <c r="C1404" s="108" t="s">
        <v>795</v>
      </c>
      <c r="D1404" s="108" t="s">
        <v>11</v>
      </c>
      <c r="E1404" s="108" t="s">
        <v>51</v>
      </c>
      <c r="F1404" s="108" t="s">
        <v>757</v>
      </c>
      <c r="G1404" s="108" t="s">
        <v>9</v>
      </c>
      <c r="H1404" s="126">
        <f>H1405</f>
        <v>0</v>
      </c>
      <c r="L1404" s="20">
        <v>476.64</v>
      </c>
      <c r="M1404" s="20">
        <v>476.64</v>
      </c>
      <c r="N1404" s="20">
        <v>476.64</v>
      </c>
      <c r="O1404" s="20">
        <f t="shared" si="163"/>
        <v>-476.64</v>
      </c>
      <c r="P1404" s="20" t="e">
        <f>#REF!-M1404</f>
        <v>#REF!</v>
      </c>
      <c r="Q1404" s="20" t="e">
        <f>#REF!-N1404</f>
        <v>#REF!</v>
      </c>
      <c r="R1404" s="17" t="str">
        <f t="shared" si="161"/>
        <v>11 Б 01 20840000</v>
      </c>
    </row>
    <row r="1405" spans="1:18" s="16" customFormat="1" ht="31.5">
      <c r="A1405" s="14"/>
      <c r="B1405" s="125" t="s">
        <v>28</v>
      </c>
      <c r="C1405" s="108" t="s">
        <v>795</v>
      </c>
      <c r="D1405" s="108" t="s">
        <v>11</v>
      </c>
      <c r="E1405" s="108" t="s">
        <v>51</v>
      </c>
      <c r="F1405" s="108" t="s">
        <v>757</v>
      </c>
      <c r="G1405" s="108" t="s">
        <v>29</v>
      </c>
      <c r="H1405" s="126">
        <f>H1406</f>
        <v>0</v>
      </c>
      <c r="L1405" s="26">
        <v>476.64</v>
      </c>
      <c r="M1405" s="26">
        <v>476.64</v>
      </c>
      <c r="N1405" s="26">
        <v>476.64</v>
      </c>
      <c r="O1405" s="26">
        <f t="shared" si="163"/>
        <v>-476.64</v>
      </c>
      <c r="P1405" s="26" t="e">
        <f>#REF!-M1405</f>
        <v>#REF!</v>
      </c>
      <c r="Q1405" s="26" t="e">
        <f>#REF!-N1405</f>
        <v>#REF!</v>
      </c>
      <c r="R1405" s="17" t="str">
        <f t="shared" si="161"/>
        <v>11 Б 01 20840240</v>
      </c>
    </row>
    <row r="1406" spans="1:18" s="16" customFormat="1" ht="15.75">
      <c r="A1406" s="14"/>
      <c r="B1406" s="125" t="s">
        <v>30</v>
      </c>
      <c r="C1406" s="108" t="s">
        <v>795</v>
      </c>
      <c r="D1406" s="108" t="s">
        <v>11</v>
      </c>
      <c r="E1406" s="108" t="s">
        <v>51</v>
      </c>
      <c r="F1406" s="108" t="s">
        <v>757</v>
      </c>
      <c r="G1406" s="108" t="s">
        <v>31</v>
      </c>
      <c r="H1406" s="126"/>
      <c r="L1406" s="26"/>
      <c r="M1406" s="26"/>
      <c r="N1406" s="26"/>
      <c r="O1406" s="26"/>
      <c r="P1406" s="26"/>
      <c r="Q1406" s="26"/>
      <c r="R1406" s="17"/>
    </row>
    <row r="1407" spans="1:18" s="16" customFormat="1" ht="31.5">
      <c r="A1407" s="14"/>
      <c r="B1407" s="125" t="s">
        <v>267</v>
      </c>
      <c r="C1407" s="108" t="s">
        <v>795</v>
      </c>
      <c r="D1407" s="131" t="s">
        <v>11</v>
      </c>
      <c r="E1407" s="131" t="s">
        <v>51</v>
      </c>
      <c r="F1407" s="14" t="s">
        <v>268</v>
      </c>
      <c r="G1407" s="108" t="s">
        <v>9</v>
      </c>
      <c r="H1407" s="126">
        <f>H1408</f>
        <v>0</v>
      </c>
      <c r="L1407" s="20">
        <v>100.16</v>
      </c>
      <c r="M1407" s="20">
        <v>100.16</v>
      </c>
      <c r="N1407" s="20">
        <v>100.16</v>
      </c>
      <c r="O1407" s="20">
        <f>H1407-L1407</f>
        <v>-100.16</v>
      </c>
      <c r="P1407" s="20" t="e">
        <f>#REF!-M1407</f>
        <v>#REF!</v>
      </c>
      <c r="Q1407" s="20" t="e">
        <f>#REF!-N1407</f>
        <v>#REF!</v>
      </c>
      <c r="R1407" s="17" t="str">
        <f t="shared" si="161"/>
        <v>11 Б 01 21120000</v>
      </c>
    </row>
    <row r="1408" spans="1:18" s="16" customFormat="1" ht="31.5">
      <c r="A1408" s="14"/>
      <c r="B1408" s="125" t="s">
        <v>28</v>
      </c>
      <c r="C1408" s="108" t="s">
        <v>795</v>
      </c>
      <c r="D1408" s="131" t="s">
        <v>11</v>
      </c>
      <c r="E1408" s="131" t="s">
        <v>51</v>
      </c>
      <c r="F1408" s="14" t="s">
        <v>268</v>
      </c>
      <c r="G1408" s="108" t="s">
        <v>29</v>
      </c>
      <c r="H1408" s="126">
        <f>H1409</f>
        <v>0</v>
      </c>
      <c r="L1408" s="20">
        <v>100.16</v>
      </c>
      <c r="M1408" s="20">
        <v>100.16</v>
      </c>
      <c r="N1408" s="20">
        <v>100.16</v>
      </c>
      <c r="O1408" s="20">
        <f>H1408-L1408</f>
        <v>-100.16</v>
      </c>
      <c r="P1408" s="20" t="e">
        <f>#REF!-M1408</f>
        <v>#REF!</v>
      </c>
      <c r="Q1408" s="20" t="e">
        <f>#REF!-N1408</f>
        <v>#REF!</v>
      </c>
      <c r="R1408" s="17" t="str">
        <f t="shared" si="161"/>
        <v>11 Б 01 21120240</v>
      </c>
    </row>
    <row r="1409" spans="1:18" s="16" customFormat="1" ht="15.75">
      <c r="A1409" s="14"/>
      <c r="B1409" s="125" t="s">
        <v>30</v>
      </c>
      <c r="C1409" s="108" t="s">
        <v>795</v>
      </c>
      <c r="D1409" s="131" t="s">
        <v>11</v>
      </c>
      <c r="E1409" s="131" t="s">
        <v>51</v>
      </c>
      <c r="F1409" s="14" t="s">
        <v>268</v>
      </c>
      <c r="G1409" s="108" t="s">
        <v>31</v>
      </c>
      <c r="H1409" s="126"/>
      <c r="L1409" s="20"/>
      <c r="M1409" s="20"/>
      <c r="N1409" s="20"/>
      <c r="O1409" s="20"/>
      <c r="P1409" s="20"/>
      <c r="Q1409" s="20"/>
      <c r="R1409" s="17"/>
    </row>
    <row r="1410" spans="1:18" s="16" customFormat="1" ht="63">
      <c r="A1410" s="14"/>
      <c r="B1410" s="127" t="s">
        <v>87</v>
      </c>
      <c r="C1410" s="108" t="s">
        <v>795</v>
      </c>
      <c r="D1410" s="108" t="s">
        <v>11</v>
      </c>
      <c r="E1410" s="108" t="s">
        <v>51</v>
      </c>
      <c r="F1410" s="14" t="s">
        <v>88</v>
      </c>
      <c r="G1410" s="108" t="s">
        <v>9</v>
      </c>
      <c r="H1410" s="126">
        <f>H1411</f>
        <v>0</v>
      </c>
      <c r="L1410" s="20">
        <v>753.96</v>
      </c>
      <c r="M1410" s="20">
        <v>0</v>
      </c>
      <c r="N1410" s="20">
        <v>0</v>
      </c>
      <c r="O1410" s="20">
        <f>H1410-L1410</f>
        <v>-753.96</v>
      </c>
      <c r="P1410" s="20" t="e">
        <f>#REF!-M1410</f>
        <v>#REF!</v>
      </c>
      <c r="Q1410" s="20" t="e">
        <f>#REF!-N1410</f>
        <v>#REF!</v>
      </c>
      <c r="R1410" s="17" t="str">
        <f t="shared" si="161"/>
        <v>98 0 00 00000000</v>
      </c>
    </row>
    <row r="1411" spans="1:18" s="16" customFormat="1" ht="15.75">
      <c r="A1411" s="14"/>
      <c r="B1411" s="127" t="s">
        <v>89</v>
      </c>
      <c r="C1411" s="108" t="s">
        <v>795</v>
      </c>
      <c r="D1411" s="108" t="s">
        <v>11</v>
      </c>
      <c r="E1411" s="108" t="s">
        <v>51</v>
      </c>
      <c r="F1411" s="14" t="s">
        <v>90</v>
      </c>
      <c r="G1411" s="108" t="s">
        <v>9</v>
      </c>
      <c r="H1411" s="126">
        <f>H1412+H1415</f>
        <v>0</v>
      </c>
      <c r="L1411" s="20">
        <v>753.96</v>
      </c>
      <c r="M1411" s="20">
        <v>0</v>
      </c>
      <c r="N1411" s="20">
        <v>0</v>
      </c>
      <c r="O1411" s="20">
        <f>H1411-L1411</f>
        <v>-753.96</v>
      </c>
      <c r="P1411" s="20" t="e">
        <f>#REF!-M1411</f>
        <v>#REF!</v>
      </c>
      <c r="Q1411" s="20" t="e">
        <f>#REF!-N1411</f>
        <v>#REF!</v>
      </c>
      <c r="R1411" s="17" t="str">
        <f t="shared" si="161"/>
        <v>98 1 00 00000000</v>
      </c>
    </row>
    <row r="1412" spans="1:18" s="16" customFormat="1" ht="78.75">
      <c r="A1412" s="14"/>
      <c r="B1412" s="127" t="s">
        <v>758</v>
      </c>
      <c r="C1412" s="108" t="s">
        <v>795</v>
      </c>
      <c r="D1412" s="108" t="s">
        <v>11</v>
      </c>
      <c r="E1412" s="108" t="s">
        <v>51</v>
      </c>
      <c r="F1412" s="14" t="s">
        <v>759</v>
      </c>
      <c r="G1412" s="108" t="s">
        <v>9</v>
      </c>
      <c r="H1412" s="126">
        <f>H1413</f>
        <v>0</v>
      </c>
      <c r="L1412" s="20">
        <v>753.96</v>
      </c>
      <c r="M1412" s="20">
        <v>0</v>
      </c>
      <c r="N1412" s="20">
        <v>0</v>
      </c>
      <c r="O1412" s="20">
        <f>H1412-L1412</f>
        <v>-753.96</v>
      </c>
      <c r="P1412" s="20" t="e">
        <f>#REF!-M1412</f>
        <v>#REF!</v>
      </c>
      <c r="Q1412" s="20" t="e">
        <f>#REF!-N1412</f>
        <v>#REF!</v>
      </c>
      <c r="R1412" s="17" t="str">
        <f t="shared" si="161"/>
        <v>98 1 00 21020000</v>
      </c>
    </row>
    <row r="1413" spans="1:18" s="16" customFormat="1" ht="31.5">
      <c r="A1413" s="14"/>
      <c r="B1413" s="125" t="s">
        <v>28</v>
      </c>
      <c r="C1413" s="108" t="s">
        <v>795</v>
      </c>
      <c r="D1413" s="108" t="s">
        <v>11</v>
      </c>
      <c r="E1413" s="108" t="s">
        <v>51</v>
      </c>
      <c r="F1413" s="14" t="s">
        <v>759</v>
      </c>
      <c r="G1413" s="131" t="s">
        <v>29</v>
      </c>
      <c r="H1413" s="126">
        <f>H1414</f>
        <v>0</v>
      </c>
      <c r="L1413" s="20">
        <v>753.96</v>
      </c>
      <c r="M1413" s="20">
        <v>0</v>
      </c>
      <c r="N1413" s="20">
        <v>0</v>
      </c>
      <c r="O1413" s="20">
        <f>H1413-L1413</f>
        <v>-753.96</v>
      </c>
      <c r="P1413" s="20" t="e">
        <f>#REF!-M1413</f>
        <v>#REF!</v>
      </c>
      <c r="Q1413" s="20" t="e">
        <f>#REF!-N1413</f>
        <v>#REF!</v>
      </c>
      <c r="R1413" s="17" t="str">
        <f t="shared" si="161"/>
        <v>98 1 00 21020240</v>
      </c>
    </row>
    <row r="1414" spans="1:18" s="16" customFormat="1" ht="15.75">
      <c r="A1414" s="14"/>
      <c r="B1414" s="125" t="s">
        <v>30</v>
      </c>
      <c r="C1414" s="108" t="s">
        <v>795</v>
      </c>
      <c r="D1414" s="108" t="s">
        <v>11</v>
      </c>
      <c r="E1414" s="108" t="s">
        <v>51</v>
      </c>
      <c r="F1414" s="14" t="s">
        <v>759</v>
      </c>
      <c r="G1414" s="131" t="s">
        <v>31</v>
      </c>
      <c r="H1414" s="126"/>
      <c r="L1414" s="20"/>
      <c r="M1414" s="20"/>
      <c r="N1414" s="20"/>
      <c r="O1414" s="20"/>
      <c r="P1414" s="20"/>
      <c r="Q1414" s="20"/>
      <c r="R1414" s="17"/>
    </row>
    <row r="1415" spans="1:18" s="16" customFormat="1" ht="31.5">
      <c r="A1415" s="14"/>
      <c r="B1415" s="138" t="s">
        <v>282</v>
      </c>
      <c r="C1415" s="108" t="s">
        <v>795</v>
      </c>
      <c r="D1415" s="108" t="s">
        <v>11</v>
      </c>
      <c r="E1415" s="108" t="s">
        <v>51</v>
      </c>
      <c r="F1415" s="108" t="s">
        <v>283</v>
      </c>
      <c r="G1415" s="108" t="s">
        <v>9</v>
      </c>
      <c r="H1415" s="126">
        <f>H1416</f>
        <v>0</v>
      </c>
      <c r="L1415" s="20"/>
      <c r="M1415" s="20"/>
      <c r="N1415" s="20"/>
      <c r="O1415" s="20">
        <f>H1415-L1415</f>
        <v>0</v>
      </c>
      <c r="P1415" s="20" t="e">
        <f>#REF!-M1415</f>
        <v>#REF!</v>
      </c>
      <c r="Q1415" s="20" t="e">
        <f>#REF!-N1415</f>
        <v>#REF!</v>
      </c>
      <c r="R1415" s="17" t="str">
        <f t="shared" si="161"/>
        <v>98 1 00 21350000</v>
      </c>
    </row>
    <row r="1416" spans="1:18" s="16" customFormat="1" ht="31.5">
      <c r="A1416" s="14"/>
      <c r="B1416" s="125" t="s">
        <v>28</v>
      </c>
      <c r="C1416" s="108" t="s">
        <v>795</v>
      </c>
      <c r="D1416" s="108" t="s">
        <v>11</v>
      </c>
      <c r="E1416" s="108" t="s">
        <v>51</v>
      </c>
      <c r="F1416" s="108" t="s">
        <v>283</v>
      </c>
      <c r="G1416" s="131" t="s">
        <v>29</v>
      </c>
      <c r="H1416" s="126">
        <f>H1417</f>
        <v>0</v>
      </c>
      <c r="L1416" s="20"/>
      <c r="M1416" s="20"/>
      <c r="N1416" s="20"/>
      <c r="O1416" s="20">
        <f>H1416-L1416</f>
        <v>0</v>
      </c>
      <c r="P1416" s="20" t="e">
        <f>#REF!-M1416</f>
        <v>#REF!</v>
      </c>
      <c r="Q1416" s="20" t="e">
        <f>#REF!-N1416</f>
        <v>#REF!</v>
      </c>
      <c r="R1416" s="17" t="str">
        <f>CONCATENATE(F1416,G1416)</f>
        <v>98 1 00 21350240</v>
      </c>
    </row>
    <row r="1417" spans="1:18" s="16" customFormat="1" ht="15.75">
      <c r="A1417" s="14"/>
      <c r="B1417" s="125" t="s">
        <v>30</v>
      </c>
      <c r="C1417" s="108" t="s">
        <v>795</v>
      </c>
      <c r="D1417" s="108" t="s">
        <v>11</v>
      </c>
      <c r="E1417" s="108" t="s">
        <v>51</v>
      </c>
      <c r="F1417" s="108" t="s">
        <v>283</v>
      </c>
      <c r="G1417" s="131" t="s">
        <v>31</v>
      </c>
      <c r="H1417" s="126"/>
      <c r="L1417" s="20"/>
      <c r="M1417" s="20"/>
      <c r="N1417" s="20"/>
      <c r="O1417" s="20"/>
      <c r="P1417" s="20"/>
      <c r="Q1417" s="20"/>
      <c r="R1417" s="17"/>
    </row>
    <row r="1418" spans="1:18" s="16" customFormat="1" ht="15.75">
      <c r="A1418" s="14"/>
      <c r="B1418" s="117" t="s">
        <v>195</v>
      </c>
      <c r="C1418" s="118" t="s">
        <v>795</v>
      </c>
      <c r="D1418" s="119" t="s">
        <v>73</v>
      </c>
      <c r="E1418" s="119" t="s">
        <v>7</v>
      </c>
      <c r="F1418" s="119" t="s">
        <v>8</v>
      </c>
      <c r="G1418" s="119" t="s">
        <v>9</v>
      </c>
      <c r="H1418" s="120">
        <f t="shared" ref="H1418:H1420" si="164">H1419</f>
        <v>0</v>
      </c>
      <c r="L1418" s="18">
        <v>118296.83</v>
      </c>
      <c r="M1418" s="18">
        <v>129176.97</v>
      </c>
      <c r="N1418" s="18">
        <v>141145.11000000002</v>
      </c>
      <c r="O1418" s="18">
        <f t="shared" ref="O1418:O1424" si="165">H1418-L1418</f>
        <v>-118296.83</v>
      </c>
      <c r="P1418" s="18" t="e">
        <f>#REF!-M1418</f>
        <v>#REF!</v>
      </c>
      <c r="Q1418" s="18" t="e">
        <f>#REF!-N1418</f>
        <v>#REF!</v>
      </c>
      <c r="R1418" s="17" t="str">
        <f t="shared" si="161"/>
        <v>00 0 00 00000000</v>
      </c>
    </row>
    <row r="1419" spans="1:18" s="16" customFormat="1" ht="15.75">
      <c r="A1419" s="14"/>
      <c r="B1419" s="121" t="s">
        <v>760</v>
      </c>
      <c r="C1419" s="122" t="s">
        <v>795</v>
      </c>
      <c r="D1419" s="123" t="s">
        <v>73</v>
      </c>
      <c r="E1419" s="123" t="s">
        <v>471</v>
      </c>
      <c r="F1419" s="123" t="s">
        <v>8</v>
      </c>
      <c r="G1419" s="123" t="s">
        <v>9</v>
      </c>
      <c r="H1419" s="124">
        <f>H1420</f>
        <v>0</v>
      </c>
      <c r="L1419" s="19">
        <v>118296.83</v>
      </c>
      <c r="M1419" s="19">
        <v>129176.97</v>
      </c>
      <c r="N1419" s="19">
        <v>141145.11000000002</v>
      </c>
      <c r="O1419" s="19">
        <f t="shared" si="165"/>
        <v>-118296.83</v>
      </c>
      <c r="P1419" s="19" t="e">
        <f>#REF!-M1419</f>
        <v>#REF!</v>
      </c>
      <c r="Q1419" s="19" t="e">
        <f>#REF!-N1419</f>
        <v>#REF!</v>
      </c>
      <c r="R1419" s="17" t="str">
        <f t="shared" si="161"/>
        <v>00 0 00 00000000</v>
      </c>
    </row>
    <row r="1420" spans="1:18" s="16" customFormat="1" ht="63">
      <c r="A1420" s="14"/>
      <c r="B1420" s="127" t="s">
        <v>293</v>
      </c>
      <c r="C1420" s="131" t="s">
        <v>795</v>
      </c>
      <c r="D1420" s="130" t="s">
        <v>73</v>
      </c>
      <c r="E1420" s="130" t="s">
        <v>471</v>
      </c>
      <c r="F1420" s="130" t="s">
        <v>294</v>
      </c>
      <c r="G1420" s="131" t="s">
        <v>9</v>
      </c>
      <c r="H1420" s="105">
        <f t="shared" si="164"/>
        <v>0</v>
      </c>
      <c r="L1420" s="51">
        <v>118296.83</v>
      </c>
      <c r="M1420" s="51">
        <v>129176.97</v>
      </c>
      <c r="N1420" s="51">
        <v>141145.11000000002</v>
      </c>
      <c r="O1420" s="51">
        <f t="shared" si="165"/>
        <v>-118296.83</v>
      </c>
      <c r="P1420" s="51" t="e">
        <f>#REF!-M1420</f>
        <v>#REF!</v>
      </c>
      <c r="Q1420" s="51" t="e">
        <f>#REF!-N1420</f>
        <v>#REF!</v>
      </c>
      <c r="R1420" s="17" t="str">
        <f t="shared" si="161"/>
        <v>04 0 00 00000000</v>
      </c>
    </row>
    <row r="1421" spans="1:18" s="16" customFormat="1" ht="63">
      <c r="A1421" s="14"/>
      <c r="B1421" s="140" t="s">
        <v>295</v>
      </c>
      <c r="C1421" s="131" t="s">
        <v>795</v>
      </c>
      <c r="D1421" s="130" t="s">
        <v>73</v>
      </c>
      <c r="E1421" s="130" t="s">
        <v>471</v>
      </c>
      <c r="F1421" s="130" t="s">
        <v>296</v>
      </c>
      <c r="G1421" s="130" t="s">
        <v>9</v>
      </c>
      <c r="H1421" s="105">
        <f>H1422</f>
        <v>0</v>
      </c>
      <c r="L1421" s="26">
        <v>118296.83</v>
      </c>
      <c r="M1421" s="26">
        <v>129176.97</v>
      </c>
      <c r="N1421" s="26">
        <v>141145.11000000002</v>
      </c>
      <c r="O1421" s="26">
        <f t="shared" si="165"/>
        <v>-118296.83</v>
      </c>
      <c r="P1421" s="26" t="e">
        <f>#REF!-M1421</f>
        <v>#REF!</v>
      </c>
      <c r="Q1421" s="26" t="e">
        <f>#REF!-N1421</f>
        <v>#REF!</v>
      </c>
      <c r="R1421" s="17" t="str">
        <f t="shared" si="161"/>
        <v>04 2 00 00000000</v>
      </c>
    </row>
    <row r="1422" spans="1:18" s="16" customFormat="1" ht="63">
      <c r="A1422" s="14"/>
      <c r="B1422" s="129" t="s">
        <v>297</v>
      </c>
      <c r="C1422" s="131" t="s">
        <v>795</v>
      </c>
      <c r="D1422" s="131" t="s">
        <v>73</v>
      </c>
      <c r="E1422" s="131" t="s">
        <v>471</v>
      </c>
      <c r="F1422" s="131" t="s">
        <v>298</v>
      </c>
      <c r="G1422" s="131" t="s">
        <v>9</v>
      </c>
      <c r="H1422" s="105">
        <f>H1426+H1423</f>
        <v>0</v>
      </c>
      <c r="L1422" s="26">
        <v>118296.83</v>
      </c>
      <c r="M1422" s="26">
        <v>129176.97</v>
      </c>
      <c r="N1422" s="26">
        <v>141145.11000000002</v>
      </c>
      <c r="O1422" s="26">
        <f t="shared" si="165"/>
        <v>-118296.83</v>
      </c>
      <c r="P1422" s="26" t="e">
        <f>#REF!-M1422</f>
        <v>#REF!</v>
      </c>
      <c r="Q1422" s="26" t="e">
        <f>#REF!-N1422</f>
        <v>#REF!</v>
      </c>
      <c r="R1422" s="17" t="str">
        <f t="shared" si="161"/>
        <v>04 2 02 00000000</v>
      </c>
    </row>
    <row r="1423" spans="1:18" s="16" customFormat="1" ht="47.25">
      <c r="A1423" s="14"/>
      <c r="B1423" s="143" t="s">
        <v>761</v>
      </c>
      <c r="C1423" s="131" t="s">
        <v>795</v>
      </c>
      <c r="D1423" s="131" t="s">
        <v>73</v>
      </c>
      <c r="E1423" s="131" t="s">
        <v>471</v>
      </c>
      <c r="F1423" s="131" t="s">
        <v>762</v>
      </c>
      <c r="G1423" s="131" t="s">
        <v>9</v>
      </c>
      <c r="H1423" s="105">
        <f>H1424</f>
        <v>0</v>
      </c>
      <c r="L1423" s="26">
        <v>10095.51</v>
      </c>
      <c r="M1423" s="26">
        <v>10095.51</v>
      </c>
      <c r="N1423" s="26">
        <v>10095.51</v>
      </c>
      <c r="O1423" s="26">
        <f t="shared" si="165"/>
        <v>-10095.51</v>
      </c>
      <c r="P1423" s="26" t="e">
        <f>#REF!-M1423</f>
        <v>#REF!</v>
      </c>
      <c r="Q1423" s="26" t="e">
        <f>#REF!-N1423</f>
        <v>#REF!</v>
      </c>
      <c r="R1423" s="17" t="str">
        <f t="shared" si="161"/>
        <v>04 2 02 20820000</v>
      </c>
    </row>
    <row r="1424" spans="1:18" s="47" customFormat="1" ht="31.5">
      <c r="A1424" s="46"/>
      <c r="B1424" s="125" t="s">
        <v>28</v>
      </c>
      <c r="C1424" s="131" t="s">
        <v>795</v>
      </c>
      <c r="D1424" s="131" t="s">
        <v>73</v>
      </c>
      <c r="E1424" s="131" t="s">
        <v>471</v>
      </c>
      <c r="F1424" s="131" t="s">
        <v>762</v>
      </c>
      <c r="G1424" s="131" t="s">
        <v>29</v>
      </c>
      <c r="H1424" s="126">
        <f>H1425</f>
        <v>0</v>
      </c>
      <c r="L1424" s="26">
        <v>10095.51</v>
      </c>
      <c r="M1424" s="26">
        <v>10095.51</v>
      </c>
      <c r="N1424" s="26">
        <v>10095.51</v>
      </c>
      <c r="O1424" s="26">
        <f t="shared" si="165"/>
        <v>-10095.51</v>
      </c>
      <c r="P1424" s="26" t="e">
        <f>#REF!-M1424</f>
        <v>#REF!</v>
      </c>
      <c r="Q1424" s="26" t="e">
        <f>#REF!-N1424</f>
        <v>#REF!</v>
      </c>
      <c r="R1424" s="17" t="str">
        <f t="shared" si="161"/>
        <v>04 2 02 20820240</v>
      </c>
    </row>
    <row r="1425" spans="1:18" s="47" customFormat="1" ht="15.75">
      <c r="A1425" s="46"/>
      <c r="B1425" s="125" t="s">
        <v>30</v>
      </c>
      <c r="C1425" s="131" t="s">
        <v>795</v>
      </c>
      <c r="D1425" s="131" t="s">
        <v>73</v>
      </c>
      <c r="E1425" s="131" t="s">
        <v>471</v>
      </c>
      <c r="F1425" s="131" t="s">
        <v>762</v>
      </c>
      <c r="G1425" s="131" t="s">
        <v>31</v>
      </c>
      <c r="H1425" s="126"/>
      <c r="L1425" s="26"/>
      <c r="M1425" s="26"/>
      <c r="N1425" s="26"/>
      <c r="O1425" s="26"/>
      <c r="P1425" s="26"/>
      <c r="Q1425" s="26"/>
      <c r="R1425" s="17"/>
    </row>
    <row r="1426" spans="1:18" s="16" customFormat="1" ht="31.5">
      <c r="A1426" s="14"/>
      <c r="B1426" s="125" t="s">
        <v>763</v>
      </c>
      <c r="C1426" s="131" t="s">
        <v>795</v>
      </c>
      <c r="D1426" s="131" t="s">
        <v>73</v>
      </c>
      <c r="E1426" s="131" t="s">
        <v>471</v>
      </c>
      <c r="F1426" s="108" t="s">
        <v>764</v>
      </c>
      <c r="G1426" s="131" t="s">
        <v>9</v>
      </c>
      <c r="H1426" s="105">
        <f>H1427</f>
        <v>0</v>
      </c>
      <c r="L1426" s="26">
        <v>108201.32</v>
      </c>
      <c r="M1426" s="26">
        <v>119081.46</v>
      </c>
      <c r="N1426" s="26">
        <v>131049.60000000001</v>
      </c>
      <c r="O1426" s="26">
        <f>H1426-L1426</f>
        <v>-108201.32</v>
      </c>
      <c r="P1426" s="26" t="e">
        <f>#REF!-M1426</f>
        <v>#REF!</v>
      </c>
      <c r="Q1426" s="26" t="e">
        <f>#REF!-N1426</f>
        <v>#REF!</v>
      </c>
      <c r="R1426" s="17" t="str">
        <f t="shared" si="161"/>
        <v>04 2 02 21090000</v>
      </c>
    </row>
    <row r="1427" spans="1:18" s="16" customFormat="1" ht="31.5">
      <c r="A1427" s="14"/>
      <c r="B1427" s="125" t="s">
        <v>28</v>
      </c>
      <c r="C1427" s="131" t="s">
        <v>795</v>
      </c>
      <c r="D1427" s="131" t="s">
        <v>73</v>
      </c>
      <c r="E1427" s="131" t="s">
        <v>471</v>
      </c>
      <c r="F1427" s="108" t="s">
        <v>764</v>
      </c>
      <c r="G1427" s="131" t="s">
        <v>29</v>
      </c>
      <c r="H1427" s="126">
        <f>H1428</f>
        <v>0</v>
      </c>
      <c r="L1427" s="26">
        <v>108201.32</v>
      </c>
      <c r="M1427" s="26">
        <v>119081.46</v>
      </c>
      <c r="N1427" s="26">
        <v>131049.60000000001</v>
      </c>
      <c r="O1427" s="26">
        <f>H1427-L1427</f>
        <v>-108201.32</v>
      </c>
      <c r="P1427" s="26" t="e">
        <f>#REF!-M1427</f>
        <v>#REF!</v>
      </c>
      <c r="Q1427" s="26" t="e">
        <f>#REF!-N1427</f>
        <v>#REF!</v>
      </c>
      <c r="R1427" s="17" t="str">
        <f t="shared" si="161"/>
        <v>04 2 02 21090240</v>
      </c>
    </row>
    <row r="1428" spans="1:18" s="16" customFormat="1" ht="15.75">
      <c r="A1428" s="14"/>
      <c r="B1428" s="125" t="s">
        <v>30</v>
      </c>
      <c r="C1428" s="131" t="s">
        <v>795</v>
      </c>
      <c r="D1428" s="131" t="s">
        <v>73</v>
      </c>
      <c r="E1428" s="131" t="s">
        <v>471</v>
      </c>
      <c r="F1428" s="108" t="s">
        <v>764</v>
      </c>
      <c r="G1428" s="131" t="s">
        <v>31</v>
      </c>
      <c r="H1428" s="126"/>
      <c r="L1428" s="26"/>
      <c r="M1428" s="26"/>
      <c r="N1428" s="26"/>
      <c r="O1428" s="26"/>
      <c r="P1428" s="26"/>
      <c r="Q1428" s="26"/>
      <c r="R1428" s="17"/>
    </row>
    <row r="1429" spans="1:18" s="47" customFormat="1" ht="15.75">
      <c r="A1429" s="46"/>
      <c r="B1429" s="117" t="s">
        <v>305</v>
      </c>
      <c r="C1429" s="118" t="s">
        <v>795</v>
      </c>
      <c r="D1429" s="119" t="s">
        <v>86</v>
      </c>
      <c r="E1429" s="119" t="s">
        <v>7</v>
      </c>
      <c r="F1429" s="119" t="s">
        <v>8</v>
      </c>
      <c r="G1429" s="119" t="s">
        <v>9</v>
      </c>
      <c r="H1429" s="120">
        <f>H1430+H1438</f>
        <v>0</v>
      </c>
      <c r="L1429" s="18">
        <v>31000.670000000002</v>
      </c>
      <c r="M1429" s="18">
        <v>25282.670000000002</v>
      </c>
      <c r="N1429" s="18">
        <v>25094.670000000002</v>
      </c>
      <c r="O1429" s="18">
        <f t="shared" ref="O1429:O1435" si="166">H1429-L1429</f>
        <v>-31000.670000000002</v>
      </c>
      <c r="P1429" s="18" t="e">
        <f>#REF!-M1429</f>
        <v>#REF!</v>
      </c>
      <c r="Q1429" s="18" t="e">
        <f>#REF!-N1429</f>
        <v>#REF!</v>
      </c>
      <c r="R1429" s="17" t="str">
        <f t="shared" si="161"/>
        <v>00 0 00 00000000</v>
      </c>
    </row>
    <row r="1430" spans="1:18" s="16" customFormat="1" ht="15.75">
      <c r="A1430" s="14"/>
      <c r="B1430" s="121" t="s">
        <v>765</v>
      </c>
      <c r="C1430" s="122" t="s">
        <v>795</v>
      </c>
      <c r="D1430" s="123" t="s">
        <v>86</v>
      </c>
      <c r="E1430" s="123" t="s">
        <v>11</v>
      </c>
      <c r="F1430" s="123" t="s">
        <v>8</v>
      </c>
      <c r="G1430" s="123" t="s">
        <v>9</v>
      </c>
      <c r="H1430" s="124">
        <f>H1431</f>
        <v>0</v>
      </c>
      <c r="L1430" s="52">
        <v>4069.93</v>
      </c>
      <c r="M1430" s="52">
        <v>3851.93</v>
      </c>
      <c r="N1430" s="52">
        <v>3663.93</v>
      </c>
      <c r="O1430" s="52">
        <f t="shared" si="166"/>
        <v>-4069.93</v>
      </c>
      <c r="P1430" s="52" t="e">
        <f>#REF!-M1430</f>
        <v>#REF!</v>
      </c>
      <c r="Q1430" s="52" t="e">
        <f>#REF!-N1430</f>
        <v>#REF!</v>
      </c>
      <c r="R1430" s="17" t="str">
        <f t="shared" si="161"/>
        <v>00 0 00 00000000</v>
      </c>
    </row>
    <row r="1431" spans="1:18" s="16" customFormat="1" ht="63">
      <c r="A1431" s="14"/>
      <c r="B1431" s="127" t="s">
        <v>293</v>
      </c>
      <c r="C1431" s="131" t="s">
        <v>795</v>
      </c>
      <c r="D1431" s="131" t="s">
        <v>86</v>
      </c>
      <c r="E1431" s="131" t="s">
        <v>11</v>
      </c>
      <c r="F1431" s="131" t="s">
        <v>294</v>
      </c>
      <c r="G1431" s="131" t="s">
        <v>9</v>
      </c>
      <c r="H1431" s="158">
        <f t="shared" ref="H1431:H1432" si="167">H1432</f>
        <v>0</v>
      </c>
      <c r="L1431" s="53">
        <v>4069.93</v>
      </c>
      <c r="M1431" s="53">
        <v>3851.93</v>
      </c>
      <c r="N1431" s="53">
        <v>3663.93</v>
      </c>
      <c r="O1431" s="53">
        <f t="shared" si="166"/>
        <v>-4069.93</v>
      </c>
      <c r="P1431" s="53" t="e">
        <f>#REF!-M1431</f>
        <v>#REF!</v>
      </c>
      <c r="Q1431" s="53" t="e">
        <f>#REF!-N1431</f>
        <v>#REF!</v>
      </c>
      <c r="R1431" s="17" t="str">
        <f t="shared" si="161"/>
        <v>04 0 00 00000000</v>
      </c>
    </row>
    <row r="1432" spans="1:18" s="47" customFormat="1" ht="31.5">
      <c r="A1432" s="46"/>
      <c r="B1432" s="155" t="s">
        <v>766</v>
      </c>
      <c r="C1432" s="131" t="s">
        <v>795</v>
      </c>
      <c r="D1432" s="131" t="s">
        <v>86</v>
      </c>
      <c r="E1432" s="131" t="s">
        <v>11</v>
      </c>
      <c r="F1432" s="131" t="s">
        <v>767</v>
      </c>
      <c r="G1432" s="131" t="s">
        <v>9</v>
      </c>
      <c r="H1432" s="105">
        <f t="shared" si="167"/>
        <v>0</v>
      </c>
      <c r="L1432" s="54">
        <v>4069.93</v>
      </c>
      <c r="M1432" s="54">
        <v>3851.93</v>
      </c>
      <c r="N1432" s="54">
        <v>3663.93</v>
      </c>
      <c r="O1432" s="54">
        <f t="shared" si="166"/>
        <v>-4069.93</v>
      </c>
      <c r="P1432" s="54" t="e">
        <f>#REF!-M1432</f>
        <v>#REF!</v>
      </c>
      <c r="Q1432" s="54" t="e">
        <f>#REF!-N1432</f>
        <v>#REF!</v>
      </c>
      <c r="R1432" s="17" t="str">
        <f t="shared" si="161"/>
        <v>04 1 00 00000000</v>
      </c>
    </row>
    <row r="1433" spans="1:18" s="16" customFormat="1" ht="47.25">
      <c r="A1433" s="14"/>
      <c r="B1433" s="129" t="s">
        <v>793</v>
      </c>
      <c r="C1433" s="131" t="s">
        <v>795</v>
      </c>
      <c r="D1433" s="131" t="s">
        <v>86</v>
      </c>
      <c r="E1433" s="131" t="s">
        <v>11</v>
      </c>
      <c r="F1433" s="131" t="s">
        <v>769</v>
      </c>
      <c r="G1433" s="131" t="s">
        <v>9</v>
      </c>
      <c r="H1433" s="105">
        <f>H1434</f>
        <v>0</v>
      </c>
      <c r="L1433" s="26">
        <v>4069.93</v>
      </c>
      <c r="M1433" s="26">
        <v>3851.93</v>
      </c>
      <c r="N1433" s="26">
        <v>3663.93</v>
      </c>
      <c r="O1433" s="26">
        <f t="shared" si="166"/>
        <v>-4069.93</v>
      </c>
      <c r="P1433" s="26" t="e">
        <f>#REF!-M1433</f>
        <v>#REF!</v>
      </c>
      <c r="Q1433" s="26" t="e">
        <f>#REF!-N1433</f>
        <v>#REF!</v>
      </c>
      <c r="R1433" s="17" t="str">
        <f t="shared" si="161"/>
        <v>04 1 01 00000000</v>
      </c>
    </row>
    <row r="1434" spans="1:18" s="16" customFormat="1" ht="31.5">
      <c r="A1434" s="14"/>
      <c r="B1434" s="159" t="s">
        <v>770</v>
      </c>
      <c r="C1434" s="131" t="s">
        <v>795</v>
      </c>
      <c r="D1434" s="131" t="s">
        <v>86</v>
      </c>
      <c r="E1434" s="131" t="s">
        <v>11</v>
      </c>
      <c r="F1434" s="131" t="s">
        <v>771</v>
      </c>
      <c r="G1434" s="131" t="s">
        <v>9</v>
      </c>
      <c r="H1434" s="105">
        <f>H1435</f>
        <v>0</v>
      </c>
      <c r="L1434" s="26">
        <v>4069.93</v>
      </c>
      <c r="M1434" s="26">
        <v>3851.93</v>
      </c>
      <c r="N1434" s="26">
        <v>3663.93</v>
      </c>
      <c r="O1434" s="26">
        <f t="shared" si="166"/>
        <v>-4069.93</v>
      </c>
      <c r="P1434" s="26" t="e">
        <f>#REF!-M1434</f>
        <v>#REF!</v>
      </c>
      <c r="Q1434" s="26" t="e">
        <f>#REF!-N1434</f>
        <v>#REF!</v>
      </c>
      <c r="R1434" s="17" t="str">
        <f t="shared" si="161"/>
        <v>04 1 01 20190000</v>
      </c>
    </row>
    <row r="1435" spans="1:18" s="16" customFormat="1" ht="31.5">
      <c r="A1435" s="14"/>
      <c r="B1435" s="125" t="s">
        <v>28</v>
      </c>
      <c r="C1435" s="131" t="s">
        <v>795</v>
      </c>
      <c r="D1435" s="131" t="s">
        <v>86</v>
      </c>
      <c r="E1435" s="131" t="s">
        <v>11</v>
      </c>
      <c r="F1435" s="131" t="s">
        <v>771</v>
      </c>
      <c r="G1435" s="131" t="s">
        <v>29</v>
      </c>
      <c r="H1435" s="126">
        <f>SUM(H1436:H1437)</f>
        <v>0</v>
      </c>
      <c r="L1435" s="26">
        <v>4069.93</v>
      </c>
      <c r="M1435" s="26">
        <v>3851.93</v>
      </c>
      <c r="N1435" s="26">
        <v>3663.93</v>
      </c>
      <c r="O1435" s="26">
        <f t="shared" si="166"/>
        <v>-4069.93</v>
      </c>
      <c r="P1435" s="26" t="e">
        <f>#REF!-M1435</f>
        <v>#REF!</v>
      </c>
      <c r="Q1435" s="26" t="e">
        <f>#REF!-N1435</f>
        <v>#REF!</v>
      </c>
      <c r="R1435" s="17" t="str">
        <f t="shared" si="161"/>
        <v>04 1 01 20190240</v>
      </c>
    </row>
    <row r="1436" spans="1:18" s="16" customFormat="1" ht="47.25">
      <c r="A1436" s="14"/>
      <c r="B1436" s="127" t="s">
        <v>772</v>
      </c>
      <c r="C1436" s="131" t="s">
        <v>795</v>
      </c>
      <c r="D1436" s="131" t="s">
        <v>86</v>
      </c>
      <c r="E1436" s="131" t="s">
        <v>11</v>
      </c>
      <c r="F1436" s="131" t="s">
        <v>771</v>
      </c>
      <c r="G1436" s="131" t="s">
        <v>773</v>
      </c>
      <c r="H1436" s="126"/>
      <c r="L1436" s="26"/>
      <c r="M1436" s="26"/>
      <c r="N1436" s="26"/>
      <c r="O1436" s="26"/>
      <c r="P1436" s="26"/>
      <c r="Q1436" s="26"/>
      <c r="R1436" s="17" t="str">
        <f t="shared" si="161"/>
        <v>04 1 01 20190243</v>
      </c>
    </row>
    <row r="1437" spans="1:18" s="16" customFormat="1" ht="15.75">
      <c r="A1437" s="14"/>
      <c r="B1437" s="125" t="s">
        <v>30</v>
      </c>
      <c r="C1437" s="131" t="s">
        <v>795</v>
      </c>
      <c r="D1437" s="131" t="s">
        <v>86</v>
      </c>
      <c r="E1437" s="131" t="s">
        <v>11</v>
      </c>
      <c r="F1437" s="131" t="s">
        <v>771</v>
      </c>
      <c r="G1437" s="131" t="s">
        <v>31</v>
      </c>
      <c r="H1437" s="126"/>
      <c r="L1437" s="26"/>
      <c r="M1437" s="26"/>
      <c r="N1437" s="26"/>
      <c r="O1437" s="26"/>
      <c r="P1437" s="26"/>
      <c r="Q1437" s="26"/>
      <c r="R1437" s="17"/>
    </row>
    <row r="1438" spans="1:18" s="16" customFormat="1" ht="15.75">
      <c r="A1438" s="14"/>
      <c r="B1438" s="157" t="s">
        <v>306</v>
      </c>
      <c r="C1438" s="122" t="s">
        <v>795</v>
      </c>
      <c r="D1438" s="123" t="s">
        <v>86</v>
      </c>
      <c r="E1438" s="123" t="s">
        <v>13</v>
      </c>
      <c r="F1438" s="123" t="s">
        <v>8</v>
      </c>
      <c r="G1438" s="123" t="s">
        <v>9</v>
      </c>
      <c r="H1438" s="124">
        <f>H1439+H1448</f>
        <v>0</v>
      </c>
      <c r="L1438" s="19">
        <v>26930.74</v>
      </c>
      <c r="M1438" s="19">
        <v>21430.74</v>
      </c>
      <c r="N1438" s="19">
        <v>21430.74</v>
      </c>
      <c r="O1438" s="19">
        <f t="shared" ref="O1438:O1443" si="168">H1438-L1438</f>
        <v>-26930.74</v>
      </c>
      <c r="P1438" s="19" t="e">
        <f>#REF!-M1438</f>
        <v>#REF!</v>
      </c>
      <c r="Q1438" s="19" t="e">
        <f>#REF!-N1438</f>
        <v>#REF!</v>
      </c>
      <c r="R1438" s="17" t="str">
        <f t="shared" si="161"/>
        <v>00 0 00 00000000</v>
      </c>
    </row>
    <row r="1439" spans="1:18" s="16" customFormat="1" ht="63">
      <c r="A1439" s="14"/>
      <c r="B1439" s="127" t="s">
        <v>293</v>
      </c>
      <c r="C1439" s="131" t="s">
        <v>795</v>
      </c>
      <c r="D1439" s="131" t="s">
        <v>86</v>
      </c>
      <c r="E1439" s="131" t="s">
        <v>13</v>
      </c>
      <c r="F1439" s="131" t="s">
        <v>294</v>
      </c>
      <c r="G1439" s="131" t="s">
        <v>9</v>
      </c>
      <c r="H1439" s="105">
        <f t="shared" ref="H1439:H1440" si="169">H1440</f>
        <v>0</v>
      </c>
      <c r="L1439" s="26">
        <v>21430.74</v>
      </c>
      <c r="M1439" s="26">
        <v>21430.74</v>
      </c>
      <c r="N1439" s="26">
        <v>21430.74</v>
      </c>
      <c r="O1439" s="26">
        <f t="shared" si="168"/>
        <v>-21430.74</v>
      </c>
      <c r="P1439" s="26" t="e">
        <f>#REF!-M1439</f>
        <v>#REF!</v>
      </c>
      <c r="Q1439" s="26" t="e">
        <f>#REF!-N1439</f>
        <v>#REF!</v>
      </c>
      <c r="R1439" s="17" t="str">
        <f t="shared" si="161"/>
        <v>04 0 00 00000000</v>
      </c>
    </row>
    <row r="1440" spans="1:18" s="16" customFormat="1" ht="31.5">
      <c r="A1440" s="14"/>
      <c r="B1440" s="125" t="s">
        <v>307</v>
      </c>
      <c r="C1440" s="131" t="s">
        <v>795</v>
      </c>
      <c r="D1440" s="131" t="s">
        <v>86</v>
      </c>
      <c r="E1440" s="131" t="s">
        <v>13</v>
      </c>
      <c r="F1440" s="131" t="s">
        <v>308</v>
      </c>
      <c r="G1440" s="131" t="s">
        <v>9</v>
      </c>
      <c r="H1440" s="105">
        <f t="shared" si="169"/>
        <v>0</v>
      </c>
      <c r="L1440" s="26">
        <v>21430.74</v>
      </c>
      <c r="M1440" s="26">
        <v>21430.74</v>
      </c>
      <c r="N1440" s="26">
        <v>21430.74</v>
      </c>
      <c r="O1440" s="26">
        <f t="shared" si="168"/>
        <v>-21430.74</v>
      </c>
      <c r="P1440" s="26" t="e">
        <f>#REF!-M1440</f>
        <v>#REF!</v>
      </c>
      <c r="Q1440" s="26" t="e">
        <f>#REF!-N1440</f>
        <v>#REF!</v>
      </c>
      <c r="R1440" s="17" t="str">
        <f t="shared" si="161"/>
        <v>04 3 00 00000000</v>
      </c>
    </row>
    <row r="1441" spans="1:18" s="16" customFormat="1" ht="31.5">
      <c r="A1441" s="14"/>
      <c r="B1441" s="138" t="s">
        <v>309</v>
      </c>
      <c r="C1441" s="131" t="s">
        <v>795</v>
      </c>
      <c r="D1441" s="131" t="s">
        <v>86</v>
      </c>
      <c r="E1441" s="131" t="s">
        <v>13</v>
      </c>
      <c r="F1441" s="108" t="s">
        <v>310</v>
      </c>
      <c r="G1441" s="131" t="s">
        <v>9</v>
      </c>
      <c r="H1441" s="105">
        <f>H1442+H1445</f>
        <v>0</v>
      </c>
      <c r="L1441" s="26">
        <v>21430.74</v>
      </c>
      <c r="M1441" s="26">
        <v>21430.74</v>
      </c>
      <c r="N1441" s="26">
        <v>21430.74</v>
      </c>
      <c r="O1441" s="26">
        <f t="shared" si="168"/>
        <v>-21430.74</v>
      </c>
      <c r="P1441" s="26" t="e">
        <f>#REF!-M1441</f>
        <v>#REF!</v>
      </c>
      <c r="Q1441" s="26" t="e">
        <f>#REF!-N1441</f>
        <v>#REF!</v>
      </c>
      <c r="R1441" s="17" t="str">
        <f t="shared" si="161"/>
        <v>04 3 04 00000000</v>
      </c>
    </row>
    <row r="1442" spans="1:18" s="16" customFormat="1" ht="31.5">
      <c r="A1442" s="14"/>
      <c r="B1442" s="160" t="s">
        <v>542</v>
      </c>
      <c r="C1442" s="131" t="s">
        <v>795</v>
      </c>
      <c r="D1442" s="131" t="s">
        <v>86</v>
      </c>
      <c r="E1442" s="131" t="s">
        <v>13</v>
      </c>
      <c r="F1442" s="108" t="s">
        <v>543</v>
      </c>
      <c r="G1442" s="131" t="s">
        <v>9</v>
      </c>
      <c r="H1442" s="105">
        <f>H1443</f>
        <v>0</v>
      </c>
      <c r="L1442" s="26">
        <v>20489.02</v>
      </c>
      <c r="M1442" s="26">
        <v>20489.02</v>
      </c>
      <c r="N1442" s="26">
        <v>20489.02</v>
      </c>
      <c r="O1442" s="26">
        <f t="shared" si="168"/>
        <v>-20489.02</v>
      </c>
      <c r="P1442" s="26" t="e">
        <f>#REF!-M1442</f>
        <v>#REF!</v>
      </c>
      <c r="Q1442" s="26" t="e">
        <f>#REF!-N1442</f>
        <v>#REF!</v>
      </c>
      <c r="R1442" s="17" t="str">
        <f t="shared" si="161"/>
        <v>04 3 04 20300000</v>
      </c>
    </row>
    <row r="1443" spans="1:18" s="16" customFormat="1" ht="31.5">
      <c r="A1443" s="14"/>
      <c r="B1443" s="125" t="s">
        <v>28</v>
      </c>
      <c r="C1443" s="131" t="s">
        <v>795</v>
      </c>
      <c r="D1443" s="131" t="s">
        <v>86</v>
      </c>
      <c r="E1443" s="131" t="s">
        <v>13</v>
      </c>
      <c r="F1443" s="108" t="s">
        <v>543</v>
      </c>
      <c r="G1443" s="131" t="s">
        <v>29</v>
      </c>
      <c r="H1443" s="126">
        <f>H1444</f>
        <v>0</v>
      </c>
      <c r="L1443" s="20">
        <v>20489.02</v>
      </c>
      <c r="M1443" s="20">
        <v>20489.02</v>
      </c>
      <c r="N1443" s="20">
        <v>20489.02</v>
      </c>
      <c r="O1443" s="20">
        <f t="shared" si="168"/>
        <v>-20489.02</v>
      </c>
      <c r="P1443" s="20" t="e">
        <f>#REF!-M1443</f>
        <v>#REF!</v>
      </c>
      <c r="Q1443" s="20" t="e">
        <f>#REF!-N1443</f>
        <v>#REF!</v>
      </c>
      <c r="R1443" s="17" t="str">
        <f t="shared" si="161"/>
        <v>04 3 04 20300240</v>
      </c>
    </row>
    <row r="1444" spans="1:18" s="16" customFormat="1" ht="15.75">
      <c r="A1444" s="14"/>
      <c r="B1444" s="125" t="s">
        <v>30</v>
      </c>
      <c r="C1444" s="131" t="s">
        <v>795</v>
      </c>
      <c r="D1444" s="131" t="s">
        <v>86</v>
      </c>
      <c r="E1444" s="131" t="s">
        <v>13</v>
      </c>
      <c r="F1444" s="108" t="s">
        <v>543</v>
      </c>
      <c r="G1444" s="131" t="s">
        <v>31</v>
      </c>
      <c r="H1444" s="126"/>
      <c r="L1444" s="20"/>
      <c r="M1444" s="20"/>
      <c r="N1444" s="20"/>
      <c r="O1444" s="20"/>
      <c r="P1444" s="20"/>
      <c r="Q1444" s="20"/>
      <c r="R1444" s="17"/>
    </row>
    <row r="1445" spans="1:18" s="16" customFormat="1" ht="31.5">
      <c r="A1445" s="14"/>
      <c r="B1445" s="127" t="s">
        <v>774</v>
      </c>
      <c r="C1445" s="131" t="s">
        <v>795</v>
      </c>
      <c r="D1445" s="131" t="s">
        <v>86</v>
      </c>
      <c r="E1445" s="131" t="s">
        <v>13</v>
      </c>
      <c r="F1445" s="131" t="s">
        <v>775</v>
      </c>
      <c r="G1445" s="131" t="s">
        <v>9</v>
      </c>
      <c r="H1445" s="105">
        <f>H1446</f>
        <v>0</v>
      </c>
      <c r="L1445" s="26">
        <v>941.72</v>
      </c>
      <c r="M1445" s="26">
        <v>941.72</v>
      </c>
      <c r="N1445" s="26">
        <v>941.72</v>
      </c>
      <c r="O1445" s="26">
        <f>H1445-L1445</f>
        <v>-941.72</v>
      </c>
      <c r="P1445" s="26" t="e">
        <f>#REF!-M1445</f>
        <v>#REF!</v>
      </c>
      <c r="Q1445" s="26" t="e">
        <f>#REF!-N1445</f>
        <v>#REF!</v>
      </c>
      <c r="R1445" s="17" t="str">
        <f t="shared" si="161"/>
        <v>04 3 04 21070000</v>
      </c>
    </row>
    <row r="1446" spans="1:18" s="16" customFormat="1" ht="31.5">
      <c r="A1446" s="14"/>
      <c r="B1446" s="125" t="s">
        <v>28</v>
      </c>
      <c r="C1446" s="131" t="s">
        <v>795</v>
      </c>
      <c r="D1446" s="131" t="s">
        <v>86</v>
      </c>
      <c r="E1446" s="131" t="s">
        <v>13</v>
      </c>
      <c r="F1446" s="131" t="s">
        <v>775</v>
      </c>
      <c r="G1446" s="131" t="s">
        <v>29</v>
      </c>
      <c r="H1446" s="126">
        <f>H1447</f>
        <v>0</v>
      </c>
      <c r="L1446" s="20">
        <v>941.72</v>
      </c>
      <c r="M1446" s="20">
        <v>941.72</v>
      </c>
      <c r="N1446" s="20">
        <v>941.72</v>
      </c>
      <c r="O1446" s="20">
        <f>H1446-L1446</f>
        <v>-941.72</v>
      </c>
      <c r="P1446" s="20" t="e">
        <f>#REF!-M1446</f>
        <v>#REF!</v>
      </c>
      <c r="Q1446" s="20" t="e">
        <f>#REF!-N1446</f>
        <v>#REF!</v>
      </c>
      <c r="R1446" s="17" t="str">
        <f t="shared" si="161"/>
        <v>04 3 04 21070240</v>
      </c>
    </row>
    <row r="1447" spans="1:18" s="16" customFormat="1" ht="15.75">
      <c r="A1447" s="14"/>
      <c r="B1447" s="125" t="s">
        <v>30</v>
      </c>
      <c r="C1447" s="131" t="s">
        <v>795</v>
      </c>
      <c r="D1447" s="131" t="s">
        <v>86</v>
      </c>
      <c r="E1447" s="131" t="s">
        <v>13</v>
      </c>
      <c r="F1447" s="131" t="s">
        <v>775</v>
      </c>
      <c r="G1447" s="131" t="s">
        <v>31</v>
      </c>
      <c r="H1447" s="126"/>
      <c r="L1447" s="20"/>
      <c r="M1447" s="20"/>
      <c r="N1447" s="20"/>
      <c r="O1447" s="20"/>
      <c r="P1447" s="20"/>
      <c r="Q1447" s="20"/>
      <c r="R1447" s="17"/>
    </row>
    <row r="1448" spans="1:18" s="16" customFormat="1" ht="63">
      <c r="A1448" s="14"/>
      <c r="B1448" s="140" t="s">
        <v>87</v>
      </c>
      <c r="C1448" s="131" t="s">
        <v>795</v>
      </c>
      <c r="D1448" s="131" t="s">
        <v>86</v>
      </c>
      <c r="E1448" s="131" t="s">
        <v>13</v>
      </c>
      <c r="F1448" s="131" t="s">
        <v>88</v>
      </c>
      <c r="G1448" s="131" t="s">
        <v>9</v>
      </c>
      <c r="H1448" s="105">
        <f>H1449</f>
        <v>0</v>
      </c>
      <c r="L1448" s="26">
        <v>5500</v>
      </c>
      <c r="M1448" s="26">
        <v>0</v>
      </c>
      <c r="N1448" s="26">
        <v>0</v>
      </c>
      <c r="O1448" s="26">
        <f>H1448-L1448</f>
        <v>-5500</v>
      </c>
      <c r="P1448" s="26" t="e">
        <f>#REF!-M1448</f>
        <v>#REF!</v>
      </c>
      <c r="Q1448" s="26" t="e">
        <f>#REF!-N1448</f>
        <v>#REF!</v>
      </c>
      <c r="R1448" s="17" t="str">
        <f t="shared" si="161"/>
        <v>98 0 00 00000000</v>
      </c>
    </row>
    <row r="1449" spans="1:18" s="16" customFormat="1" ht="15.75">
      <c r="A1449" s="14"/>
      <c r="B1449" s="140" t="s">
        <v>89</v>
      </c>
      <c r="C1449" s="131" t="s">
        <v>795</v>
      </c>
      <c r="D1449" s="131" t="s">
        <v>86</v>
      </c>
      <c r="E1449" s="131" t="s">
        <v>13</v>
      </c>
      <c r="F1449" s="131" t="s">
        <v>90</v>
      </c>
      <c r="G1449" s="131" t="s">
        <v>9</v>
      </c>
      <c r="H1449" s="105">
        <f>H1450</f>
        <v>0</v>
      </c>
      <c r="L1449" s="26">
        <v>5500</v>
      </c>
      <c r="M1449" s="26">
        <v>0</v>
      </c>
      <c r="N1449" s="26">
        <v>0</v>
      </c>
      <c r="O1449" s="26">
        <f>H1449-L1449</f>
        <v>-5500</v>
      </c>
      <c r="P1449" s="26" t="e">
        <f>#REF!-M1449</f>
        <v>#REF!</v>
      </c>
      <c r="Q1449" s="26" t="e">
        <f>#REF!-N1449</f>
        <v>#REF!</v>
      </c>
      <c r="R1449" s="17" t="str">
        <f t="shared" si="161"/>
        <v>98 1 00 00000000</v>
      </c>
    </row>
    <row r="1450" spans="1:18" s="16" customFormat="1" ht="31.5">
      <c r="A1450" s="14"/>
      <c r="B1450" s="125" t="s">
        <v>778</v>
      </c>
      <c r="C1450" s="131" t="s">
        <v>795</v>
      </c>
      <c r="D1450" s="131" t="s">
        <v>86</v>
      </c>
      <c r="E1450" s="131" t="s">
        <v>13</v>
      </c>
      <c r="F1450" s="131" t="s">
        <v>779</v>
      </c>
      <c r="G1450" s="131" t="s">
        <v>9</v>
      </c>
      <c r="H1450" s="105">
        <f>H1451</f>
        <v>0</v>
      </c>
      <c r="L1450" s="26">
        <v>5500</v>
      </c>
      <c r="M1450" s="26">
        <v>0</v>
      </c>
      <c r="N1450" s="26">
        <v>0</v>
      </c>
      <c r="O1450" s="26">
        <f>H1450-L1450</f>
        <v>-5500</v>
      </c>
      <c r="P1450" s="26" t="e">
        <f>#REF!-M1450</f>
        <v>#REF!</v>
      </c>
      <c r="Q1450" s="26" t="e">
        <f>#REF!-N1450</f>
        <v>#REF!</v>
      </c>
      <c r="R1450" s="17" t="str">
        <f t="shared" si="161"/>
        <v>98 1 00 21450000</v>
      </c>
    </row>
    <row r="1451" spans="1:18" s="16" customFormat="1" ht="31.5">
      <c r="A1451" s="14"/>
      <c r="B1451" s="125" t="s">
        <v>28</v>
      </c>
      <c r="C1451" s="131" t="s">
        <v>795</v>
      </c>
      <c r="D1451" s="131" t="s">
        <v>86</v>
      </c>
      <c r="E1451" s="131" t="s">
        <v>13</v>
      </c>
      <c r="F1451" s="131" t="s">
        <v>779</v>
      </c>
      <c r="G1451" s="131" t="s">
        <v>29</v>
      </c>
      <c r="H1451" s="126">
        <f>H1452</f>
        <v>0</v>
      </c>
      <c r="L1451" s="26">
        <v>5500</v>
      </c>
      <c r="M1451" s="26">
        <v>0</v>
      </c>
      <c r="N1451" s="26">
        <v>0</v>
      </c>
      <c r="O1451" s="26">
        <f>H1451-L1451</f>
        <v>-5500</v>
      </c>
      <c r="P1451" s="26" t="e">
        <f>#REF!-M1451</f>
        <v>#REF!</v>
      </c>
      <c r="Q1451" s="26" t="e">
        <f>#REF!-N1451</f>
        <v>#REF!</v>
      </c>
      <c r="R1451" s="17" t="str">
        <f t="shared" si="161"/>
        <v>98 1 00 21450240</v>
      </c>
    </row>
    <row r="1452" spans="1:18" s="16" customFormat="1" ht="15.75">
      <c r="A1452" s="14"/>
      <c r="B1452" s="125" t="s">
        <v>30</v>
      </c>
      <c r="C1452" s="131" t="s">
        <v>795</v>
      </c>
      <c r="D1452" s="131" t="s">
        <v>86</v>
      </c>
      <c r="E1452" s="131" t="s">
        <v>13</v>
      </c>
      <c r="F1452" s="131" t="s">
        <v>779</v>
      </c>
      <c r="G1452" s="131" t="s">
        <v>31</v>
      </c>
      <c r="H1452" s="126"/>
      <c r="L1452" s="26"/>
      <c r="M1452" s="26"/>
      <c r="N1452" s="26"/>
      <c r="O1452" s="26"/>
      <c r="P1452" s="26"/>
      <c r="Q1452" s="26"/>
      <c r="R1452" s="17"/>
    </row>
    <row r="1453" spans="1:18" s="16" customFormat="1" ht="15.75">
      <c r="A1453" s="14"/>
      <c r="B1453" s="117" t="s">
        <v>569</v>
      </c>
      <c r="C1453" s="118" t="s">
        <v>795</v>
      </c>
      <c r="D1453" s="119" t="s">
        <v>238</v>
      </c>
      <c r="E1453" s="119" t="s">
        <v>7</v>
      </c>
      <c r="F1453" s="119" t="s">
        <v>8</v>
      </c>
      <c r="G1453" s="119" t="s">
        <v>9</v>
      </c>
      <c r="H1453" s="120">
        <f t="shared" ref="H1453:H1456" si="170">H1454</f>
        <v>0</v>
      </c>
      <c r="L1453" s="18">
        <v>1549</v>
      </c>
      <c r="M1453" s="18">
        <v>1549</v>
      </c>
      <c r="N1453" s="18">
        <v>1549</v>
      </c>
      <c r="O1453" s="18">
        <f t="shared" ref="O1453:O1459" si="171">H1453-L1453</f>
        <v>-1549</v>
      </c>
      <c r="P1453" s="18" t="e">
        <f>#REF!-M1453</f>
        <v>#REF!</v>
      </c>
      <c r="Q1453" s="18" t="e">
        <f>#REF!-N1453</f>
        <v>#REF!</v>
      </c>
      <c r="R1453" s="17" t="str">
        <f t="shared" si="161"/>
        <v>00 0 00 00000000</v>
      </c>
    </row>
    <row r="1454" spans="1:18" s="16" customFormat="1" ht="15.75">
      <c r="A1454" s="14"/>
      <c r="B1454" s="157" t="s">
        <v>239</v>
      </c>
      <c r="C1454" s="122" t="s">
        <v>795</v>
      </c>
      <c r="D1454" s="123" t="s">
        <v>238</v>
      </c>
      <c r="E1454" s="123" t="s">
        <v>11</v>
      </c>
      <c r="F1454" s="123" t="s">
        <v>8</v>
      </c>
      <c r="G1454" s="123" t="s">
        <v>9</v>
      </c>
      <c r="H1454" s="124">
        <f t="shared" si="170"/>
        <v>0</v>
      </c>
      <c r="L1454" s="19">
        <v>1549</v>
      </c>
      <c r="M1454" s="19">
        <v>1549</v>
      </c>
      <c r="N1454" s="19">
        <v>1549</v>
      </c>
      <c r="O1454" s="19">
        <f t="shared" si="171"/>
        <v>-1549</v>
      </c>
      <c r="P1454" s="19" t="e">
        <f>#REF!-M1454</f>
        <v>#REF!</v>
      </c>
      <c r="Q1454" s="19" t="e">
        <f>#REF!-N1454</f>
        <v>#REF!</v>
      </c>
      <c r="R1454" s="17" t="str">
        <f t="shared" si="161"/>
        <v>00 0 00 00000000</v>
      </c>
    </row>
    <row r="1455" spans="1:18" s="16" customFormat="1" ht="31.5">
      <c r="A1455" s="14"/>
      <c r="B1455" s="125" t="s">
        <v>240</v>
      </c>
      <c r="C1455" s="108" t="s">
        <v>795</v>
      </c>
      <c r="D1455" s="108" t="s">
        <v>238</v>
      </c>
      <c r="E1455" s="108" t="s">
        <v>11</v>
      </c>
      <c r="F1455" s="108" t="s">
        <v>241</v>
      </c>
      <c r="G1455" s="108" t="s">
        <v>9</v>
      </c>
      <c r="H1455" s="126">
        <f t="shared" si="170"/>
        <v>0</v>
      </c>
      <c r="L1455" s="20">
        <v>1549</v>
      </c>
      <c r="M1455" s="20">
        <v>1549</v>
      </c>
      <c r="N1455" s="20">
        <v>1549</v>
      </c>
      <c r="O1455" s="20">
        <f t="shared" si="171"/>
        <v>-1549</v>
      </c>
      <c r="P1455" s="20" t="e">
        <f>#REF!-M1455</f>
        <v>#REF!</v>
      </c>
      <c r="Q1455" s="20" t="e">
        <f>#REF!-N1455</f>
        <v>#REF!</v>
      </c>
      <c r="R1455" s="17" t="str">
        <f t="shared" si="161"/>
        <v>07 0 00 00000000</v>
      </c>
    </row>
    <row r="1456" spans="1:18" s="16" customFormat="1" ht="78.75">
      <c r="A1456" s="14"/>
      <c r="B1456" s="129" t="s">
        <v>804</v>
      </c>
      <c r="C1456" s="131" t="s">
        <v>795</v>
      </c>
      <c r="D1456" s="131" t="s">
        <v>238</v>
      </c>
      <c r="E1456" s="131" t="s">
        <v>11</v>
      </c>
      <c r="F1456" s="131" t="s">
        <v>243</v>
      </c>
      <c r="G1456" s="131" t="s">
        <v>9</v>
      </c>
      <c r="H1456" s="105">
        <f t="shared" si="170"/>
        <v>0</v>
      </c>
      <c r="L1456" s="26">
        <v>1549</v>
      </c>
      <c r="M1456" s="26">
        <v>1549</v>
      </c>
      <c r="N1456" s="26">
        <v>1549</v>
      </c>
      <c r="O1456" s="26">
        <f t="shared" si="171"/>
        <v>-1549</v>
      </c>
      <c r="P1456" s="26" t="e">
        <f>#REF!-M1456</f>
        <v>#REF!</v>
      </c>
      <c r="Q1456" s="26" t="e">
        <f>#REF!-N1456</f>
        <v>#REF!</v>
      </c>
      <c r="R1456" s="17" t="str">
        <f t="shared" si="161"/>
        <v>07 1 00 00000000</v>
      </c>
    </row>
    <row r="1457" spans="1:18" s="16" customFormat="1" ht="110.25">
      <c r="A1457" s="14"/>
      <c r="B1457" s="155" t="s">
        <v>244</v>
      </c>
      <c r="C1457" s="131" t="s">
        <v>795</v>
      </c>
      <c r="D1457" s="131" t="s">
        <v>238</v>
      </c>
      <c r="E1457" s="131" t="s">
        <v>11</v>
      </c>
      <c r="F1457" s="131" t="s">
        <v>245</v>
      </c>
      <c r="G1457" s="131" t="s">
        <v>9</v>
      </c>
      <c r="H1457" s="105">
        <f>H1458+H1461</f>
        <v>0</v>
      </c>
      <c r="L1457" s="26">
        <v>1549</v>
      </c>
      <c r="M1457" s="26">
        <v>1549</v>
      </c>
      <c r="N1457" s="26">
        <v>1549</v>
      </c>
      <c r="O1457" s="26">
        <f t="shared" si="171"/>
        <v>-1549</v>
      </c>
      <c r="P1457" s="26" t="e">
        <f>#REF!-M1457</f>
        <v>#REF!</v>
      </c>
      <c r="Q1457" s="26" t="e">
        <f>#REF!-N1457</f>
        <v>#REF!</v>
      </c>
      <c r="R1457" s="17" t="str">
        <f t="shared" si="161"/>
        <v>07 1 01 00000000</v>
      </c>
    </row>
    <row r="1458" spans="1:18" s="16" customFormat="1" ht="31.5">
      <c r="A1458" s="14"/>
      <c r="B1458" s="129" t="s">
        <v>246</v>
      </c>
      <c r="C1458" s="131" t="s">
        <v>795</v>
      </c>
      <c r="D1458" s="131" t="s">
        <v>238</v>
      </c>
      <c r="E1458" s="131" t="s">
        <v>11</v>
      </c>
      <c r="F1458" s="131" t="s">
        <v>247</v>
      </c>
      <c r="G1458" s="131" t="s">
        <v>9</v>
      </c>
      <c r="H1458" s="105">
        <f>H1459</f>
        <v>0</v>
      </c>
      <c r="L1458" s="26">
        <v>911.5</v>
      </c>
      <c r="M1458" s="26">
        <v>911.5</v>
      </c>
      <c r="N1458" s="26">
        <v>911.5</v>
      </c>
      <c r="O1458" s="26">
        <f t="shared" si="171"/>
        <v>-911.5</v>
      </c>
      <c r="P1458" s="26" t="e">
        <f>#REF!-M1458</f>
        <v>#REF!</v>
      </c>
      <c r="Q1458" s="26" t="e">
        <f>#REF!-N1458</f>
        <v>#REF!</v>
      </c>
      <c r="R1458" s="17" t="str">
        <f t="shared" si="161"/>
        <v>07 1 01 20060000</v>
      </c>
    </row>
    <row r="1459" spans="1:18" s="16" customFormat="1" ht="31.5">
      <c r="A1459" s="14"/>
      <c r="B1459" s="125" t="s">
        <v>28</v>
      </c>
      <c r="C1459" s="131" t="s">
        <v>795</v>
      </c>
      <c r="D1459" s="131" t="s">
        <v>238</v>
      </c>
      <c r="E1459" s="131" t="s">
        <v>11</v>
      </c>
      <c r="F1459" s="131" t="s">
        <v>247</v>
      </c>
      <c r="G1459" s="131" t="s">
        <v>29</v>
      </c>
      <c r="H1459" s="126">
        <f>H1460</f>
        <v>0</v>
      </c>
      <c r="L1459" s="20">
        <v>911.5</v>
      </c>
      <c r="M1459" s="20">
        <v>911.5</v>
      </c>
      <c r="N1459" s="20">
        <v>911.5</v>
      </c>
      <c r="O1459" s="20">
        <f t="shared" si="171"/>
        <v>-911.5</v>
      </c>
      <c r="P1459" s="20" t="e">
        <f>#REF!-M1459</f>
        <v>#REF!</v>
      </c>
      <c r="Q1459" s="20" t="e">
        <f>#REF!-N1459</f>
        <v>#REF!</v>
      </c>
      <c r="R1459" s="17" t="str">
        <f t="shared" si="161"/>
        <v>07 1 01 20060240</v>
      </c>
    </row>
    <row r="1460" spans="1:18" s="16" customFormat="1" ht="15.75">
      <c r="A1460" s="14"/>
      <c r="B1460" s="125" t="s">
        <v>30</v>
      </c>
      <c r="C1460" s="131" t="s">
        <v>795</v>
      </c>
      <c r="D1460" s="131" t="s">
        <v>238</v>
      </c>
      <c r="E1460" s="131" t="s">
        <v>11</v>
      </c>
      <c r="F1460" s="131" t="s">
        <v>247</v>
      </c>
      <c r="G1460" s="131" t="s">
        <v>31</v>
      </c>
      <c r="H1460" s="126"/>
      <c r="L1460" s="20"/>
      <c r="M1460" s="20"/>
      <c r="N1460" s="20"/>
      <c r="O1460" s="20"/>
      <c r="P1460" s="20"/>
      <c r="Q1460" s="20"/>
      <c r="R1460" s="17"/>
    </row>
    <row r="1461" spans="1:18" s="16" customFormat="1" ht="47.25">
      <c r="A1461" s="14"/>
      <c r="B1461" s="127" t="s">
        <v>780</v>
      </c>
      <c r="C1461" s="131" t="s">
        <v>795</v>
      </c>
      <c r="D1461" s="131" t="s">
        <v>238</v>
      </c>
      <c r="E1461" s="131" t="s">
        <v>11</v>
      </c>
      <c r="F1461" s="131" t="s">
        <v>781</v>
      </c>
      <c r="G1461" s="131" t="s">
        <v>9</v>
      </c>
      <c r="H1461" s="161">
        <f>H1462</f>
        <v>0</v>
      </c>
      <c r="L1461" s="55">
        <v>637.5</v>
      </c>
      <c r="M1461" s="55">
        <v>637.5</v>
      </c>
      <c r="N1461" s="55">
        <v>637.5</v>
      </c>
      <c r="O1461" s="55">
        <f>H1461-L1461</f>
        <v>-637.5</v>
      </c>
      <c r="P1461" s="55" t="e">
        <f>#REF!-M1461</f>
        <v>#REF!</v>
      </c>
      <c r="Q1461" s="55" t="e">
        <f>#REF!-N1461</f>
        <v>#REF!</v>
      </c>
      <c r="R1461" s="17" t="str">
        <f t="shared" si="161"/>
        <v>07 1 01 21130000</v>
      </c>
    </row>
    <row r="1462" spans="1:18" s="16" customFormat="1" ht="31.5">
      <c r="A1462" s="14"/>
      <c r="B1462" s="125" t="s">
        <v>28</v>
      </c>
      <c r="C1462" s="131" t="s">
        <v>795</v>
      </c>
      <c r="D1462" s="131" t="s">
        <v>238</v>
      </c>
      <c r="E1462" s="131" t="s">
        <v>11</v>
      </c>
      <c r="F1462" s="131" t="s">
        <v>781</v>
      </c>
      <c r="G1462" s="131" t="s">
        <v>29</v>
      </c>
      <c r="H1462" s="126">
        <f>H1463</f>
        <v>0</v>
      </c>
      <c r="L1462" s="20">
        <v>637.5</v>
      </c>
      <c r="M1462" s="20">
        <v>637.5</v>
      </c>
      <c r="N1462" s="20">
        <v>637.5</v>
      </c>
      <c r="O1462" s="20">
        <f>H1462-L1462</f>
        <v>-637.5</v>
      </c>
      <c r="P1462" s="20" t="e">
        <f>#REF!-M1462</f>
        <v>#REF!</v>
      </c>
      <c r="Q1462" s="20" t="e">
        <f>#REF!-N1462</f>
        <v>#REF!</v>
      </c>
      <c r="R1462" s="17" t="str">
        <f t="shared" si="161"/>
        <v>07 1 01 21130240</v>
      </c>
    </row>
    <row r="1463" spans="1:18" s="16" customFormat="1" ht="15.75">
      <c r="A1463" s="14"/>
      <c r="B1463" s="125" t="s">
        <v>30</v>
      </c>
      <c r="C1463" s="131" t="s">
        <v>795</v>
      </c>
      <c r="D1463" s="131" t="s">
        <v>238</v>
      </c>
      <c r="E1463" s="131" t="s">
        <v>11</v>
      </c>
      <c r="F1463" s="131" t="s">
        <v>781</v>
      </c>
      <c r="G1463" s="131" t="s">
        <v>31</v>
      </c>
      <c r="H1463" s="126"/>
      <c r="L1463" s="20"/>
      <c r="M1463" s="20"/>
      <c r="N1463" s="20"/>
      <c r="O1463" s="20"/>
      <c r="P1463" s="20"/>
      <c r="Q1463" s="20"/>
      <c r="R1463" s="17"/>
    </row>
    <row r="1464" spans="1:18" s="16" customFormat="1" ht="15.75">
      <c r="A1464" s="14"/>
      <c r="B1464" s="125"/>
      <c r="C1464" s="131"/>
      <c r="D1464" s="131"/>
      <c r="E1464" s="131"/>
      <c r="F1464" s="131"/>
      <c r="G1464" s="131"/>
      <c r="H1464" s="126"/>
      <c r="L1464" s="20"/>
      <c r="M1464" s="20"/>
      <c r="N1464" s="20"/>
      <c r="O1464" s="20">
        <f t="shared" ref="O1464:O1472" si="172">H1464-L1464</f>
        <v>0</v>
      </c>
      <c r="P1464" s="20" t="e">
        <f>#REF!-M1464</f>
        <v>#REF!</v>
      </c>
      <c r="Q1464" s="20" t="e">
        <f>#REF!-N1464</f>
        <v>#REF!</v>
      </c>
      <c r="R1464" s="17" t="str">
        <f t="shared" si="161"/>
        <v/>
      </c>
    </row>
    <row r="1465" spans="1:18" s="16" customFormat="1" ht="31.5">
      <c r="A1465" s="14"/>
      <c r="B1465" s="67" t="s">
        <v>805</v>
      </c>
      <c r="C1465" s="116" t="s">
        <v>410</v>
      </c>
      <c r="D1465" s="69" t="s">
        <v>7</v>
      </c>
      <c r="E1465" s="69" t="s">
        <v>7</v>
      </c>
      <c r="F1465" s="69" t="s">
        <v>8</v>
      </c>
      <c r="G1465" s="69" t="s">
        <v>9</v>
      </c>
      <c r="H1465" s="162" t="e">
        <f>H1466+H1479+H1554+H1651+H1643</f>
        <v>#REF!</v>
      </c>
      <c r="L1465" s="56">
        <v>613479.86</v>
      </c>
      <c r="M1465" s="56">
        <v>551006.57000000007</v>
      </c>
      <c r="N1465" s="56">
        <v>543634.79</v>
      </c>
      <c r="O1465" s="56" t="e">
        <f t="shared" si="172"/>
        <v>#REF!</v>
      </c>
      <c r="P1465" s="56" t="e">
        <f>#REF!-M1465</f>
        <v>#REF!</v>
      </c>
      <c r="Q1465" s="56" t="e">
        <f>#REF!-N1465</f>
        <v>#REF!</v>
      </c>
      <c r="R1465" s="17" t="str">
        <f t="shared" si="161"/>
        <v>00 0 00 00000000</v>
      </c>
    </row>
    <row r="1466" spans="1:18" s="16" customFormat="1" ht="15.75">
      <c r="A1466" s="14"/>
      <c r="B1466" s="117" t="s">
        <v>10</v>
      </c>
      <c r="C1466" s="118" t="s">
        <v>410</v>
      </c>
      <c r="D1466" s="119" t="s">
        <v>11</v>
      </c>
      <c r="E1466" s="119" t="s">
        <v>7</v>
      </c>
      <c r="F1466" s="119" t="s">
        <v>8</v>
      </c>
      <c r="G1466" s="119" t="s">
        <v>9</v>
      </c>
      <c r="H1466" s="120">
        <f t="shared" ref="H1466:H1474" si="173">H1467</f>
        <v>0</v>
      </c>
      <c r="L1466" s="18">
        <v>571.66</v>
      </c>
      <c r="M1466" s="18">
        <v>571.66</v>
      </c>
      <c r="N1466" s="18">
        <v>571.66</v>
      </c>
      <c r="O1466" s="18">
        <f t="shared" si="172"/>
        <v>-571.66</v>
      </c>
      <c r="P1466" s="18" t="e">
        <f>#REF!-M1466</f>
        <v>#REF!</v>
      </c>
      <c r="Q1466" s="18" t="e">
        <f>#REF!-N1466</f>
        <v>#REF!</v>
      </c>
      <c r="R1466" s="17" t="str">
        <f t="shared" si="161"/>
        <v>00 0 00 00000000</v>
      </c>
    </row>
    <row r="1467" spans="1:18" s="16" customFormat="1" ht="15.75">
      <c r="A1467" s="14"/>
      <c r="B1467" s="121" t="s">
        <v>50</v>
      </c>
      <c r="C1467" s="122" t="s">
        <v>410</v>
      </c>
      <c r="D1467" s="123" t="s">
        <v>11</v>
      </c>
      <c r="E1467" s="123" t="s">
        <v>51</v>
      </c>
      <c r="F1467" s="123" t="s">
        <v>8</v>
      </c>
      <c r="G1467" s="123" t="s">
        <v>9</v>
      </c>
      <c r="H1467" s="124">
        <f>H1474+H1468</f>
        <v>0</v>
      </c>
      <c r="L1467" s="19">
        <v>571.66</v>
      </c>
      <c r="M1467" s="19">
        <v>571.66</v>
      </c>
      <c r="N1467" s="19">
        <v>571.66</v>
      </c>
      <c r="O1467" s="19">
        <f t="shared" si="172"/>
        <v>-571.66</v>
      </c>
      <c r="P1467" s="19" t="e">
        <f>#REF!-M1467</f>
        <v>#REF!</v>
      </c>
      <c r="Q1467" s="19" t="e">
        <f>#REF!-N1467</f>
        <v>#REF!</v>
      </c>
      <c r="R1467" s="17" t="str">
        <f t="shared" si="161"/>
        <v>00 0 00 00000000</v>
      </c>
    </row>
    <row r="1468" spans="1:18" s="16" customFormat="1" ht="63">
      <c r="A1468" s="14"/>
      <c r="B1468" s="125" t="s">
        <v>257</v>
      </c>
      <c r="C1468" s="109" t="s">
        <v>410</v>
      </c>
      <c r="D1468" s="108" t="s">
        <v>11</v>
      </c>
      <c r="E1468" s="108" t="s">
        <v>51</v>
      </c>
      <c r="F1468" s="14" t="s">
        <v>258</v>
      </c>
      <c r="G1468" s="108" t="s">
        <v>9</v>
      </c>
      <c r="H1468" s="126">
        <f>H1469</f>
        <v>0</v>
      </c>
      <c r="L1468" s="20">
        <v>71.66</v>
      </c>
      <c r="M1468" s="20">
        <v>71.66</v>
      </c>
      <c r="N1468" s="20">
        <v>71.66</v>
      </c>
      <c r="O1468" s="20">
        <f t="shared" si="172"/>
        <v>-71.66</v>
      </c>
      <c r="P1468" s="20" t="e">
        <f>#REF!-M1468</f>
        <v>#REF!</v>
      </c>
      <c r="Q1468" s="20" t="e">
        <f>#REF!-N1468</f>
        <v>#REF!</v>
      </c>
      <c r="R1468" s="17" t="str">
        <f t="shared" ref="R1468:R1537" si="174">CONCATENATE(F1468,G1468)</f>
        <v>11 0 00 00000000</v>
      </c>
    </row>
    <row r="1469" spans="1:18" s="16" customFormat="1" ht="63">
      <c r="A1469" s="14"/>
      <c r="B1469" s="125" t="s">
        <v>259</v>
      </c>
      <c r="C1469" s="109" t="s">
        <v>410</v>
      </c>
      <c r="D1469" s="108" t="s">
        <v>11</v>
      </c>
      <c r="E1469" s="108" t="s">
        <v>51</v>
      </c>
      <c r="F1469" s="14" t="s">
        <v>260</v>
      </c>
      <c r="G1469" s="108" t="s">
        <v>9</v>
      </c>
      <c r="H1469" s="126">
        <f>H1470</f>
        <v>0</v>
      </c>
      <c r="L1469" s="20">
        <v>71.66</v>
      </c>
      <c r="M1469" s="20">
        <v>71.66</v>
      </c>
      <c r="N1469" s="20">
        <v>71.66</v>
      </c>
      <c r="O1469" s="20">
        <f t="shared" si="172"/>
        <v>-71.66</v>
      </c>
      <c r="P1469" s="20" t="e">
        <f>#REF!-M1469</f>
        <v>#REF!</v>
      </c>
      <c r="Q1469" s="20" t="e">
        <f>#REF!-N1469</f>
        <v>#REF!</v>
      </c>
      <c r="R1469" s="17" t="str">
        <f t="shared" si="174"/>
        <v>11 Б 00 00000000</v>
      </c>
    </row>
    <row r="1470" spans="1:18" s="16" customFormat="1" ht="47.25">
      <c r="A1470" s="14"/>
      <c r="B1470" s="125" t="s">
        <v>261</v>
      </c>
      <c r="C1470" s="109" t="s">
        <v>410</v>
      </c>
      <c r="D1470" s="108" t="s">
        <v>11</v>
      </c>
      <c r="E1470" s="108" t="s">
        <v>51</v>
      </c>
      <c r="F1470" s="14" t="s">
        <v>262</v>
      </c>
      <c r="G1470" s="108" t="s">
        <v>9</v>
      </c>
      <c r="H1470" s="126">
        <f>H1471</f>
        <v>0</v>
      </c>
      <c r="L1470" s="20">
        <v>71.66</v>
      </c>
      <c r="M1470" s="20">
        <v>71.66</v>
      </c>
      <c r="N1470" s="20">
        <v>71.66</v>
      </c>
      <c r="O1470" s="20">
        <f t="shared" si="172"/>
        <v>-71.66</v>
      </c>
      <c r="P1470" s="20" t="e">
        <f>#REF!-M1470</f>
        <v>#REF!</v>
      </c>
      <c r="Q1470" s="20" t="e">
        <f>#REF!-N1470</f>
        <v>#REF!</v>
      </c>
      <c r="R1470" s="17" t="str">
        <f t="shared" si="174"/>
        <v>11 Б 01 00000000</v>
      </c>
    </row>
    <row r="1471" spans="1:18" s="16" customFormat="1" ht="31.5">
      <c r="A1471" s="14"/>
      <c r="B1471" s="125" t="s">
        <v>267</v>
      </c>
      <c r="C1471" s="109" t="s">
        <v>410</v>
      </c>
      <c r="D1471" s="108" t="s">
        <v>11</v>
      </c>
      <c r="E1471" s="108" t="s">
        <v>51</v>
      </c>
      <c r="F1471" s="14" t="s">
        <v>268</v>
      </c>
      <c r="G1471" s="108" t="s">
        <v>9</v>
      </c>
      <c r="H1471" s="126">
        <f>H1472</f>
        <v>0</v>
      </c>
      <c r="L1471" s="20">
        <v>71.66</v>
      </c>
      <c r="M1471" s="20">
        <v>71.66</v>
      </c>
      <c r="N1471" s="20">
        <v>71.66</v>
      </c>
      <c r="O1471" s="20">
        <f t="shared" si="172"/>
        <v>-71.66</v>
      </c>
      <c r="P1471" s="20" t="e">
        <f>#REF!-M1471</f>
        <v>#REF!</v>
      </c>
      <c r="Q1471" s="20" t="e">
        <f>#REF!-N1471</f>
        <v>#REF!</v>
      </c>
      <c r="R1471" s="17" t="str">
        <f t="shared" si="174"/>
        <v>11 Б 01 21120000</v>
      </c>
    </row>
    <row r="1472" spans="1:18" s="16" customFormat="1" ht="31.5">
      <c r="A1472" s="14"/>
      <c r="B1472" s="125" t="s">
        <v>28</v>
      </c>
      <c r="C1472" s="109" t="s">
        <v>410</v>
      </c>
      <c r="D1472" s="108" t="s">
        <v>11</v>
      </c>
      <c r="E1472" s="108" t="s">
        <v>51</v>
      </c>
      <c r="F1472" s="14" t="s">
        <v>268</v>
      </c>
      <c r="G1472" s="108" t="s">
        <v>29</v>
      </c>
      <c r="H1472" s="126">
        <f>H1473</f>
        <v>0</v>
      </c>
      <c r="L1472" s="20">
        <v>71.66</v>
      </c>
      <c r="M1472" s="20">
        <v>71.66</v>
      </c>
      <c r="N1472" s="20">
        <v>71.66</v>
      </c>
      <c r="O1472" s="20">
        <f t="shared" si="172"/>
        <v>-71.66</v>
      </c>
      <c r="P1472" s="20" t="e">
        <f>#REF!-M1472</f>
        <v>#REF!</v>
      </c>
      <c r="Q1472" s="20" t="e">
        <f>#REF!-N1472</f>
        <v>#REF!</v>
      </c>
      <c r="R1472" s="17" t="str">
        <f t="shared" si="174"/>
        <v>11 Б 01 21120240</v>
      </c>
    </row>
    <row r="1473" spans="1:18" s="16" customFormat="1" ht="15.75">
      <c r="A1473" s="14"/>
      <c r="B1473" s="125" t="s">
        <v>30</v>
      </c>
      <c r="C1473" s="109" t="s">
        <v>410</v>
      </c>
      <c r="D1473" s="108" t="s">
        <v>11</v>
      </c>
      <c r="E1473" s="108" t="s">
        <v>51</v>
      </c>
      <c r="F1473" s="14" t="s">
        <v>268</v>
      </c>
      <c r="G1473" s="108" t="s">
        <v>31</v>
      </c>
      <c r="H1473" s="126"/>
      <c r="L1473" s="20"/>
      <c r="M1473" s="20"/>
      <c r="N1473" s="20"/>
      <c r="O1473" s="20"/>
      <c r="P1473" s="20"/>
      <c r="Q1473" s="20"/>
      <c r="R1473" s="17"/>
    </row>
    <row r="1474" spans="1:18" s="16" customFormat="1" ht="31.5">
      <c r="A1474" s="14"/>
      <c r="B1474" s="125" t="s">
        <v>806</v>
      </c>
      <c r="C1474" s="108" t="s">
        <v>410</v>
      </c>
      <c r="D1474" s="108" t="s">
        <v>11</v>
      </c>
      <c r="E1474" s="108" t="s">
        <v>51</v>
      </c>
      <c r="F1474" s="108" t="s">
        <v>807</v>
      </c>
      <c r="G1474" s="108" t="s">
        <v>9</v>
      </c>
      <c r="H1474" s="126">
        <f t="shared" si="173"/>
        <v>0</v>
      </c>
      <c r="L1474" s="20">
        <v>500</v>
      </c>
      <c r="M1474" s="20">
        <v>500</v>
      </c>
      <c r="N1474" s="20">
        <v>500</v>
      </c>
      <c r="O1474" s="20">
        <f>H1474-L1474</f>
        <v>-500</v>
      </c>
      <c r="P1474" s="20" t="e">
        <f>#REF!-M1474</f>
        <v>#REF!</v>
      </c>
      <c r="Q1474" s="20" t="e">
        <f>#REF!-N1474</f>
        <v>#REF!</v>
      </c>
      <c r="R1474" s="17" t="str">
        <f t="shared" si="174"/>
        <v>83 0 00 00000000</v>
      </c>
    </row>
    <row r="1475" spans="1:18" s="16" customFormat="1" ht="47.25">
      <c r="A1475" s="14"/>
      <c r="B1475" s="125" t="s">
        <v>808</v>
      </c>
      <c r="C1475" s="108" t="s">
        <v>410</v>
      </c>
      <c r="D1475" s="108" t="s">
        <v>11</v>
      </c>
      <c r="E1475" s="108" t="s">
        <v>51</v>
      </c>
      <c r="F1475" s="108" t="s">
        <v>809</v>
      </c>
      <c r="G1475" s="108" t="s">
        <v>9</v>
      </c>
      <c r="H1475" s="126">
        <f>H1476</f>
        <v>0</v>
      </c>
      <c r="L1475" s="20">
        <v>500</v>
      </c>
      <c r="M1475" s="20">
        <v>500</v>
      </c>
      <c r="N1475" s="20">
        <v>500</v>
      </c>
      <c r="O1475" s="20">
        <f>H1475-L1475</f>
        <v>-500</v>
      </c>
      <c r="P1475" s="20" t="e">
        <f>#REF!-M1475</f>
        <v>#REF!</v>
      </c>
      <c r="Q1475" s="20" t="e">
        <f>#REF!-N1475</f>
        <v>#REF!</v>
      </c>
      <c r="R1475" s="17" t="str">
        <f t="shared" si="174"/>
        <v>83 1 00 00000000</v>
      </c>
    </row>
    <row r="1476" spans="1:18" s="16" customFormat="1" ht="31.5">
      <c r="A1476" s="14"/>
      <c r="B1476" s="125" t="s">
        <v>187</v>
      </c>
      <c r="C1476" s="108" t="s">
        <v>410</v>
      </c>
      <c r="D1476" s="108" t="s">
        <v>11</v>
      </c>
      <c r="E1476" s="108" t="s">
        <v>51</v>
      </c>
      <c r="F1476" s="108" t="s">
        <v>810</v>
      </c>
      <c r="G1476" s="108" t="s">
        <v>9</v>
      </c>
      <c r="H1476" s="126">
        <f>H1477</f>
        <v>0</v>
      </c>
      <c r="L1476" s="20">
        <v>500</v>
      </c>
      <c r="M1476" s="20">
        <v>500</v>
      </c>
      <c r="N1476" s="20">
        <v>500</v>
      </c>
      <c r="O1476" s="20">
        <f>H1476-L1476</f>
        <v>-500</v>
      </c>
      <c r="P1476" s="20" t="e">
        <f>#REF!-M1476</f>
        <v>#REF!</v>
      </c>
      <c r="Q1476" s="20" t="e">
        <f>#REF!-N1476</f>
        <v>#REF!</v>
      </c>
      <c r="R1476" s="17" t="str">
        <f t="shared" si="174"/>
        <v>83 1 00 20050000</v>
      </c>
    </row>
    <row r="1477" spans="1:18" s="16" customFormat="1" ht="15.75">
      <c r="A1477" s="14"/>
      <c r="B1477" s="125" t="s">
        <v>189</v>
      </c>
      <c r="C1477" s="108" t="s">
        <v>410</v>
      </c>
      <c r="D1477" s="108" t="s">
        <v>11</v>
      </c>
      <c r="E1477" s="108" t="s">
        <v>51</v>
      </c>
      <c r="F1477" s="108" t="s">
        <v>810</v>
      </c>
      <c r="G1477" s="108" t="s">
        <v>190</v>
      </c>
      <c r="H1477" s="126">
        <f>H1478</f>
        <v>0</v>
      </c>
      <c r="L1477" s="20">
        <v>500</v>
      </c>
      <c r="M1477" s="20">
        <v>500</v>
      </c>
      <c r="N1477" s="20">
        <v>500</v>
      </c>
      <c r="O1477" s="20">
        <f>H1477-L1477</f>
        <v>-500</v>
      </c>
      <c r="P1477" s="20" t="e">
        <f>#REF!-M1477</f>
        <v>#REF!</v>
      </c>
      <c r="Q1477" s="20" t="e">
        <f>#REF!-N1477</f>
        <v>#REF!</v>
      </c>
      <c r="R1477" s="17" t="str">
        <f t="shared" si="174"/>
        <v>83 1 00 20050830</v>
      </c>
    </row>
    <row r="1478" spans="1:18" s="16" customFormat="1" ht="47.25">
      <c r="A1478" s="14"/>
      <c r="B1478" s="125" t="s">
        <v>191</v>
      </c>
      <c r="C1478" s="108" t="s">
        <v>410</v>
      </c>
      <c r="D1478" s="108" t="s">
        <v>11</v>
      </c>
      <c r="E1478" s="108" t="s">
        <v>51</v>
      </c>
      <c r="F1478" s="108" t="s">
        <v>810</v>
      </c>
      <c r="G1478" s="108" t="s">
        <v>192</v>
      </c>
      <c r="H1478" s="126"/>
      <c r="L1478" s="20"/>
      <c r="M1478" s="20"/>
      <c r="N1478" s="20"/>
      <c r="O1478" s="20"/>
      <c r="P1478" s="20"/>
      <c r="Q1478" s="20"/>
      <c r="R1478" s="17"/>
    </row>
    <row r="1479" spans="1:18" s="16" customFormat="1" ht="15.75">
      <c r="A1479" s="14"/>
      <c r="B1479" s="117" t="s">
        <v>195</v>
      </c>
      <c r="C1479" s="118" t="s">
        <v>410</v>
      </c>
      <c r="D1479" s="119" t="s">
        <v>73</v>
      </c>
      <c r="E1479" s="119" t="s">
        <v>7</v>
      </c>
      <c r="F1479" s="119" t="s">
        <v>8</v>
      </c>
      <c r="G1479" s="119" t="s">
        <v>9</v>
      </c>
      <c r="H1479" s="120" t="e">
        <f>H1480+H1488+H1506+H1548</f>
        <v>#REF!</v>
      </c>
      <c r="L1479" s="18">
        <v>307061.11</v>
      </c>
      <c r="M1479" s="18">
        <v>263240.06</v>
      </c>
      <c r="N1479" s="18">
        <v>252044.31999999998</v>
      </c>
      <c r="O1479" s="18" t="e">
        <f t="shared" ref="O1479:O1485" si="175">H1479-L1479</f>
        <v>#REF!</v>
      </c>
      <c r="P1479" s="18" t="e">
        <f>#REF!-M1479</f>
        <v>#REF!</v>
      </c>
      <c r="Q1479" s="18" t="e">
        <f>#REF!-N1479</f>
        <v>#REF!</v>
      </c>
      <c r="R1479" s="17" t="str">
        <f t="shared" si="174"/>
        <v>00 0 00 00000000</v>
      </c>
    </row>
    <row r="1480" spans="1:18" s="16" customFormat="1" ht="15.75">
      <c r="A1480" s="14"/>
      <c r="B1480" s="121" t="s">
        <v>811</v>
      </c>
      <c r="C1480" s="122" t="s">
        <v>410</v>
      </c>
      <c r="D1480" s="123" t="s">
        <v>73</v>
      </c>
      <c r="E1480" s="123" t="s">
        <v>229</v>
      </c>
      <c r="F1480" s="123" t="s">
        <v>8</v>
      </c>
      <c r="G1480" s="123" t="s">
        <v>9</v>
      </c>
      <c r="H1480" s="124">
        <f t="shared" ref="H1480:H1484" si="176">H1481</f>
        <v>0</v>
      </c>
      <c r="L1480" s="19">
        <v>13609.359999999999</v>
      </c>
      <c r="M1480" s="19">
        <v>13609.359999999999</v>
      </c>
      <c r="N1480" s="19">
        <v>13609.359999999999</v>
      </c>
      <c r="O1480" s="19">
        <f t="shared" si="175"/>
        <v>-13609.359999999999</v>
      </c>
      <c r="P1480" s="19" t="e">
        <f>#REF!-M1480</f>
        <v>#REF!</v>
      </c>
      <c r="Q1480" s="19" t="e">
        <f>#REF!-N1480</f>
        <v>#REF!</v>
      </c>
      <c r="R1480" s="17" t="str">
        <f t="shared" si="174"/>
        <v>00 0 00 00000000</v>
      </c>
    </row>
    <row r="1481" spans="1:18" s="16" customFormat="1" ht="63">
      <c r="A1481" s="14"/>
      <c r="B1481" s="127" t="s">
        <v>293</v>
      </c>
      <c r="C1481" s="108" t="s">
        <v>410</v>
      </c>
      <c r="D1481" s="108" t="s">
        <v>73</v>
      </c>
      <c r="E1481" s="108" t="s">
        <v>229</v>
      </c>
      <c r="F1481" s="108" t="s">
        <v>294</v>
      </c>
      <c r="G1481" s="108" t="s">
        <v>9</v>
      </c>
      <c r="H1481" s="126">
        <f t="shared" si="176"/>
        <v>0</v>
      </c>
      <c r="L1481" s="20">
        <v>13609.359999999999</v>
      </c>
      <c r="M1481" s="20">
        <v>13609.359999999999</v>
      </c>
      <c r="N1481" s="20">
        <v>13609.359999999999</v>
      </c>
      <c r="O1481" s="20">
        <f t="shared" si="175"/>
        <v>-13609.359999999999</v>
      </c>
      <c r="P1481" s="20" t="e">
        <f>#REF!-M1481</f>
        <v>#REF!</v>
      </c>
      <c r="Q1481" s="20" t="e">
        <f>#REF!-N1481</f>
        <v>#REF!</v>
      </c>
      <c r="R1481" s="17" t="str">
        <f t="shared" si="174"/>
        <v>04 0 00 00000000</v>
      </c>
    </row>
    <row r="1482" spans="1:18" s="16" customFormat="1" ht="31.5">
      <c r="A1482" s="14"/>
      <c r="B1482" s="125" t="s">
        <v>307</v>
      </c>
      <c r="C1482" s="108" t="s">
        <v>410</v>
      </c>
      <c r="D1482" s="108" t="s">
        <v>73</v>
      </c>
      <c r="E1482" s="108" t="s">
        <v>229</v>
      </c>
      <c r="F1482" s="108" t="s">
        <v>308</v>
      </c>
      <c r="G1482" s="108" t="s">
        <v>9</v>
      </c>
      <c r="H1482" s="126">
        <f>H1483</f>
        <v>0</v>
      </c>
      <c r="L1482" s="20">
        <v>13609.359999999999</v>
      </c>
      <c r="M1482" s="20">
        <v>13609.359999999999</v>
      </c>
      <c r="N1482" s="20">
        <v>13609.359999999999</v>
      </c>
      <c r="O1482" s="20">
        <f t="shared" si="175"/>
        <v>-13609.359999999999</v>
      </c>
      <c r="P1482" s="20" t="e">
        <f>#REF!-M1482</f>
        <v>#REF!</v>
      </c>
      <c r="Q1482" s="20" t="e">
        <f>#REF!-N1482</f>
        <v>#REF!</v>
      </c>
      <c r="R1482" s="17" t="str">
        <f t="shared" si="174"/>
        <v>04 3 00 00000000</v>
      </c>
    </row>
    <row r="1483" spans="1:18" s="16" customFormat="1" ht="47.25">
      <c r="A1483" s="14"/>
      <c r="B1483" s="125" t="s">
        <v>812</v>
      </c>
      <c r="C1483" s="108" t="s">
        <v>410</v>
      </c>
      <c r="D1483" s="108" t="s">
        <v>73</v>
      </c>
      <c r="E1483" s="108" t="s">
        <v>229</v>
      </c>
      <c r="F1483" s="108" t="s">
        <v>813</v>
      </c>
      <c r="G1483" s="108" t="s">
        <v>9</v>
      </c>
      <c r="H1483" s="126">
        <f>H1484</f>
        <v>0</v>
      </c>
      <c r="L1483" s="20">
        <v>13609.359999999999</v>
      </c>
      <c r="M1483" s="20">
        <v>13609.359999999999</v>
      </c>
      <c r="N1483" s="20">
        <v>13609.359999999999</v>
      </c>
      <c r="O1483" s="20">
        <f t="shared" si="175"/>
        <v>-13609.359999999999</v>
      </c>
      <c r="P1483" s="20" t="e">
        <f>#REF!-M1483</f>
        <v>#REF!</v>
      </c>
      <c r="Q1483" s="20" t="e">
        <f>#REF!-N1483</f>
        <v>#REF!</v>
      </c>
      <c r="R1483" s="17" t="str">
        <f t="shared" si="174"/>
        <v>04 3 01 00000000</v>
      </c>
    </row>
    <row r="1484" spans="1:18" s="16" customFormat="1" ht="31.5">
      <c r="A1484" s="14"/>
      <c r="B1484" s="125" t="s">
        <v>136</v>
      </c>
      <c r="C1484" s="108" t="s">
        <v>410</v>
      </c>
      <c r="D1484" s="108" t="s">
        <v>73</v>
      </c>
      <c r="E1484" s="108" t="s">
        <v>229</v>
      </c>
      <c r="F1484" s="108" t="s">
        <v>814</v>
      </c>
      <c r="G1484" s="108" t="s">
        <v>9</v>
      </c>
      <c r="H1484" s="126">
        <f t="shared" si="176"/>
        <v>0</v>
      </c>
      <c r="L1484" s="20">
        <v>13609.359999999999</v>
      </c>
      <c r="M1484" s="20">
        <v>13609.359999999999</v>
      </c>
      <c r="N1484" s="20">
        <v>13609.359999999999</v>
      </c>
      <c r="O1484" s="20">
        <f t="shared" si="175"/>
        <v>-13609.359999999999</v>
      </c>
      <c r="P1484" s="20" t="e">
        <f>#REF!-M1484</f>
        <v>#REF!</v>
      </c>
      <c r="Q1484" s="20" t="e">
        <f>#REF!-N1484</f>
        <v>#REF!</v>
      </c>
      <c r="R1484" s="17" t="str">
        <f t="shared" si="174"/>
        <v>04 3 01 11010000</v>
      </c>
    </row>
    <row r="1485" spans="1:18" s="16" customFormat="1" ht="15.75">
      <c r="A1485" s="14"/>
      <c r="B1485" s="132" t="s">
        <v>403</v>
      </c>
      <c r="C1485" s="108" t="s">
        <v>410</v>
      </c>
      <c r="D1485" s="108" t="s">
        <v>73</v>
      </c>
      <c r="E1485" s="108" t="s">
        <v>229</v>
      </c>
      <c r="F1485" s="108" t="s">
        <v>814</v>
      </c>
      <c r="G1485" s="108" t="s">
        <v>404</v>
      </c>
      <c r="H1485" s="126">
        <f>SUM(H1486:H1487)</f>
        <v>0</v>
      </c>
      <c r="L1485" s="20">
        <v>13609.359999999999</v>
      </c>
      <c r="M1485" s="20">
        <v>13609.359999999999</v>
      </c>
      <c r="N1485" s="20">
        <v>13609.359999999999</v>
      </c>
      <c r="O1485" s="20">
        <f t="shared" si="175"/>
        <v>-13609.359999999999</v>
      </c>
      <c r="P1485" s="20" t="e">
        <f>#REF!-M1485</f>
        <v>#REF!</v>
      </c>
      <c r="Q1485" s="20" t="e">
        <f>#REF!-N1485</f>
        <v>#REF!</v>
      </c>
      <c r="R1485" s="17" t="str">
        <f t="shared" si="174"/>
        <v>04 3 01 11010610</v>
      </c>
    </row>
    <row r="1486" spans="1:18" s="23" customFormat="1" ht="63">
      <c r="A1486" s="21"/>
      <c r="B1486" s="127" t="s">
        <v>405</v>
      </c>
      <c r="C1486" s="108" t="s">
        <v>410</v>
      </c>
      <c r="D1486" s="108" t="s">
        <v>73</v>
      </c>
      <c r="E1486" s="108" t="s">
        <v>229</v>
      </c>
      <c r="F1486" s="108" t="s">
        <v>814</v>
      </c>
      <c r="G1486" s="108" t="s">
        <v>406</v>
      </c>
      <c r="H1486" s="126"/>
      <c r="L1486" s="22"/>
      <c r="M1486" s="22"/>
      <c r="N1486" s="22"/>
      <c r="O1486" s="22"/>
      <c r="P1486" s="22"/>
      <c r="Q1486" s="22"/>
      <c r="R1486" s="24"/>
    </row>
    <row r="1487" spans="1:18" s="23" customFormat="1" ht="15.75">
      <c r="A1487" s="21"/>
      <c r="B1487" s="127" t="s">
        <v>407</v>
      </c>
      <c r="C1487" s="108" t="s">
        <v>410</v>
      </c>
      <c r="D1487" s="108" t="s">
        <v>73</v>
      </c>
      <c r="E1487" s="108" t="s">
        <v>229</v>
      </c>
      <c r="F1487" s="108" t="s">
        <v>814</v>
      </c>
      <c r="G1487" s="108" t="s">
        <v>408</v>
      </c>
      <c r="H1487" s="126"/>
      <c r="L1487" s="22"/>
      <c r="M1487" s="22"/>
      <c r="N1487" s="22"/>
      <c r="O1487" s="22"/>
      <c r="P1487" s="22"/>
      <c r="Q1487" s="22"/>
      <c r="R1487" s="24"/>
    </row>
    <row r="1488" spans="1:18" s="16" customFormat="1" ht="15.75">
      <c r="A1488" s="14"/>
      <c r="B1488" s="121" t="s">
        <v>815</v>
      </c>
      <c r="C1488" s="122" t="s">
        <v>410</v>
      </c>
      <c r="D1488" s="123" t="s">
        <v>73</v>
      </c>
      <c r="E1488" s="123" t="s">
        <v>238</v>
      </c>
      <c r="F1488" s="123" t="s">
        <v>8</v>
      </c>
      <c r="G1488" s="123" t="s">
        <v>9</v>
      </c>
      <c r="H1488" s="124">
        <f>H1489+H1501</f>
        <v>0</v>
      </c>
      <c r="L1488" s="19">
        <v>52490.759999999995</v>
      </c>
      <c r="M1488" s="19">
        <v>55046.320000000007</v>
      </c>
      <c r="N1488" s="19">
        <v>25587.94</v>
      </c>
      <c r="O1488" s="19">
        <f t="shared" ref="O1488:O1493" si="177">H1488-L1488</f>
        <v>-52490.759999999995</v>
      </c>
      <c r="P1488" s="19" t="e">
        <f>#REF!-M1488</f>
        <v>#REF!</v>
      </c>
      <c r="Q1488" s="19" t="e">
        <f>#REF!-N1488</f>
        <v>#REF!</v>
      </c>
      <c r="R1488" s="17" t="str">
        <f t="shared" si="174"/>
        <v>00 0 00 00000000</v>
      </c>
    </row>
    <row r="1489" spans="1:18" s="16" customFormat="1" ht="63">
      <c r="A1489" s="14"/>
      <c r="B1489" s="127" t="s">
        <v>293</v>
      </c>
      <c r="C1489" s="108" t="s">
        <v>410</v>
      </c>
      <c r="D1489" s="108" t="s">
        <v>73</v>
      </c>
      <c r="E1489" s="108" t="s">
        <v>238</v>
      </c>
      <c r="F1489" s="108" t="s">
        <v>294</v>
      </c>
      <c r="G1489" s="108" t="s">
        <v>9</v>
      </c>
      <c r="H1489" s="126">
        <f>H1490</f>
        <v>0</v>
      </c>
      <c r="L1489" s="20">
        <v>52490.759999999995</v>
      </c>
      <c r="M1489" s="20">
        <v>55046.320000000007</v>
      </c>
      <c r="N1489" s="20">
        <v>25587.94</v>
      </c>
      <c r="O1489" s="20">
        <f t="shared" si="177"/>
        <v>-52490.759999999995</v>
      </c>
      <c r="P1489" s="20" t="e">
        <f>#REF!-M1489</f>
        <v>#REF!</v>
      </c>
      <c r="Q1489" s="20" t="e">
        <f>#REF!-N1489</f>
        <v>#REF!</v>
      </c>
      <c r="R1489" s="17" t="str">
        <f t="shared" si="174"/>
        <v>04 0 00 00000000</v>
      </c>
    </row>
    <row r="1490" spans="1:18" s="16" customFormat="1" ht="63">
      <c r="A1490" s="14"/>
      <c r="B1490" s="140" t="s">
        <v>295</v>
      </c>
      <c r="C1490" s="108" t="s">
        <v>410</v>
      </c>
      <c r="D1490" s="108" t="s">
        <v>73</v>
      </c>
      <c r="E1490" s="108" t="s">
        <v>238</v>
      </c>
      <c r="F1490" s="108" t="s">
        <v>296</v>
      </c>
      <c r="G1490" s="108" t="s">
        <v>9</v>
      </c>
      <c r="H1490" s="126">
        <f t="shared" ref="H1490" si="178">H1491</f>
        <v>0</v>
      </c>
      <c r="L1490" s="20">
        <v>52490.759999999995</v>
      </c>
      <c r="M1490" s="20">
        <v>55046.320000000007</v>
      </c>
      <c r="N1490" s="20">
        <v>25587.94</v>
      </c>
      <c r="O1490" s="20">
        <f t="shared" si="177"/>
        <v>-52490.759999999995</v>
      </c>
      <c r="P1490" s="20" t="e">
        <f>#REF!-M1490</f>
        <v>#REF!</v>
      </c>
      <c r="Q1490" s="20" t="e">
        <f>#REF!-N1490</f>
        <v>#REF!</v>
      </c>
      <c r="R1490" s="17" t="str">
        <f t="shared" si="174"/>
        <v>04 2 00 00000000</v>
      </c>
    </row>
    <row r="1491" spans="1:18" s="16" customFormat="1" ht="63">
      <c r="A1491" s="14"/>
      <c r="B1491" s="135" t="s">
        <v>816</v>
      </c>
      <c r="C1491" s="108" t="s">
        <v>410</v>
      </c>
      <c r="D1491" s="108" t="s">
        <v>73</v>
      </c>
      <c r="E1491" s="108" t="s">
        <v>238</v>
      </c>
      <c r="F1491" s="108" t="s">
        <v>817</v>
      </c>
      <c r="G1491" s="108" t="s">
        <v>9</v>
      </c>
      <c r="H1491" s="126">
        <f>H1492+H1495+H1498</f>
        <v>0</v>
      </c>
      <c r="L1491" s="20">
        <v>52490.759999999995</v>
      </c>
      <c r="M1491" s="20">
        <v>55046.320000000007</v>
      </c>
      <c r="N1491" s="20">
        <v>25587.94</v>
      </c>
      <c r="O1491" s="20">
        <f t="shared" si="177"/>
        <v>-52490.759999999995</v>
      </c>
      <c r="P1491" s="20" t="e">
        <f>#REF!-M1491</f>
        <v>#REF!</v>
      </c>
      <c r="Q1491" s="20" t="e">
        <f>#REF!-N1491</f>
        <v>#REF!</v>
      </c>
      <c r="R1491" s="17" t="str">
        <f t="shared" si="174"/>
        <v>04 2 01 00000000</v>
      </c>
    </row>
    <row r="1492" spans="1:18" s="16" customFormat="1" ht="31.5">
      <c r="A1492" s="14"/>
      <c r="B1492" s="135" t="s">
        <v>136</v>
      </c>
      <c r="C1492" s="108" t="s">
        <v>410</v>
      </c>
      <c r="D1492" s="108" t="s">
        <v>73</v>
      </c>
      <c r="E1492" s="108" t="s">
        <v>238</v>
      </c>
      <c r="F1492" s="108" t="s">
        <v>818</v>
      </c>
      <c r="G1492" s="108" t="s">
        <v>9</v>
      </c>
      <c r="H1492" s="126">
        <f>H1493</f>
        <v>0</v>
      </c>
      <c r="L1492" s="20">
        <v>4023.94</v>
      </c>
      <c r="M1492" s="20">
        <v>4023.94</v>
      </c>
      <c r="N1492" s="20">
        <v>4023.94</v>
      </c>
      <c r="O1492" s="20">
        <f t="shared" si="177"/>
        <v>-4023.94</v>
      </c>
      <c r="P1492" s="20" t="e">
        <f>#REF!-M1492</f>
        <v>#REF!</v>
      </c>
      <c r="Q1492" s="20" t="e">
        <f>#REF!-N1492</f>
        <v>#REF!</v>
      </c>
      <c r="R1492" s="17" t="str">
        <f t="shared" si="174"/>
        <v>04 2 01 11010000</v>
      </c>
    </row>
    <row r="1493" spans="1:18" s="16" customFormat="1" ht="15.75">
      <c r="A1493" s="14"/>
      <c r="B1493" s="132" t="s">
        <v>403</v>
      </c>
      <c r="C1493" s="108" t="s">
        <v>410</v>
      </c>
      <c r="D1493" s="108" t="s">
        <v>73</v>
      </c>
      <c r="E1493" s="108" t="s">
        <v>238</v>
      </c>
      <c r="F1493" s="108" t="s">
        <v>818</v>
      </c>
      <c r="G1493" s="108" t="s">
        <v>404</v>
      </c>
      <c r="H1493" s="126">
        <f>H1494</f>
        <v>0</v>
      </c>
      <c r="L1493" s="20">
        <v>4023.94</v>
      </c>
      <c r="M1493" s="20">
        <v>4023.94</v>
      </c>
      <c r="N1493" s="20">
        <v>4023.94</v>
      </c>
      <c r="O1493" s="20">
        <f t="shared" si="177"/>
        <v>-4023.94</v>
      </c>
      <c r="P1493" s="20" t="e">
        <f>#REF!-M1493</f>
        <v>#REF!</v>
      </c>
      <c r="Q1493" s="20" t="e">
        <f>#REF!-N1493</f>
        <v>#REF!</v>
      </c>
      <c r="R1493" s="17" t="str">
        <f t="shared" si="174"/>
        <v>04 2 01 11010610</v>
      </c>
    </row>
    <row r="1494" spans="1:18" s="23" customFormat="1" ht="63">
      <c r="A1494" s="21"/>
      <c r="B1494" s="127" t="s">
        <v>405</v>
      </c>
      <c r="C1494" s="108" t="s">
        <v>410</v>
      </c>
      <c r="D1494" s="108" t="s">
        <v>73</v>
      </c>
      <c r="E1494" s="108" t="s">
        <v>238</v>
      </c>
      <c r="F1494" s="108" t="s">
        <v>818</v>
      </c>
      <c r="G1494" s="108" t="s">
        <v>406</v>
      </c>
      <c r="H1494" s="126"/>
      <c r="L1494" s="22"/>
      <c r="M1494" s="22"/>
      <c r="N1494" s="22"/>
      <c r="O1494" s="22"/>
      <c r="P1494" s="22"/>
      <c r="Q1494" s="22"/>
      <c r="R1494" s="24"/>
    </row>
    <row r="1495" spans="1:18" s="16" customFormat="1" ht="31.5">
      <c r="A1495" s="14"/>
      <c r="B1495" s="135" t="s">
        <v>819</v>
      </c>
      <c r="C1495" s="108" t="s">
        <v>410</v>
      </c>
      <c r="D1495" s="108" t="s">
        <v>73</v>
      </c>
      <c r="E1495" s="108" t="s">
        <v>238</v>
      </c>
      <c r="F1495" s="108" t="s">
        <v>820</v>
      </c>
      <c r="G1495" s="108" t="s">
        <v>9</v>
      </c>
      <c r="H1495" s="126">
        <f>H1496</f>
        <v>0</v>
      </c>
      <c r="L1495" s="20">
        <v>11796.87</v>
      </c>
      <c r="M1495" s="20">
        <v>11796.87</v>
      </c>
      <c r="N1495" s="20">
        <v>21564</v>
      </c>
      <c r="O1495" s="20">
        <f>H1495-L1495</f>
        <v>-11796.87</v>
      </c>
      <c r="P1495" s="20" t="e">
        <f>#REF!-M1495</f>
        <v>#REF!</v>
      </c>
      <c r="Q1495" s="20" t="e">
        <f>#REF!-N1495</f>
        <v>#REF!</v>
      </c>
      <c r="R1495" s="17" t="str">
        <f t="shared" si="174"/>
        <v>04 2 01 60020000</v>
      </c>
    </row>
    <row r="1496" spans="1:18" s="16" customFormat="1" ht="63">
      <c r="A1496" s="14"/>
      <c r="B1496" s="129" t="s">
        <v>203</v>
      </c>
      <c r="C1496" s="108" t="s">
        <v>410</v>
      </c>
      <c r="D1496" s="108" t="s">
        <v>73</v>
      </c>
      <c r="E1496" s="108" t="s">
        <v>238</v>
      </c>
      <c r="F1496" s="108" t="s">
        <v>820</v>
      </c>
      <c r="G1496" s="108" t="s">
        <v>204</v>
      </c>
      <c r="H1496" s="126">
        <f>H1497</f>
        <v>0</v>
      </c>
      <c r="L1496" s="57">
        <v>11796.87</v>
      </c>
      <c r="M1496" s="57">
        <v>11796.87</v>
      </c>
      <c r="N1496" s="57">
        <v>21564</v>
      </c>
      <c r="O1496" s="57">
        <f>H1496-L1496</f>
        <v>-11796.87</v>
      </c>
      <c r="P1496" s="57" t="e">
        <f>#REF!-M1496</f>
        <v>#REF!</v>
      </c>
      <c r="Q1496" s="57" t="e">
        <f>#REF!-N1496</f>
        <v>#REF!</v>
      </c>
      <c r="R1496" s="17" t="str">
        <f t="shared" si="174"/>
        <v>04 2 01 60020810</v>
      </c>
    </row>
    <row r="1497" spans="1:18" s="23" customFormat="1" ht="110.25">
      <c r="A1497" s="21"/>
      <c r="B1497" s="127" t="s">
        <v>207</v>
      </c>
      <c r="C1497" s="108" t="s">
        <v>410</v>
      </c>
      <c r="D1497" s="108" t="s">
        <v>73</v>
      </c>
      <c r="E1497" s="108" t="s">
        <v>238</v>
      </c>
      <c r="F1497" s="108" t="s">
        <v>820</v>
      </c>
      <c r="G1497" s="108" t="s">
        <v>208</v>
      </c>
      <c r="H1497" s="126"/>
      <c r="L1497" s="58"/>
      <c r="M1497" s="58"/>
      <c r="N1497" s="58"/>
      <c r="O1497" s="58"/>
      <c r="P1497" s="58"/>
      <c r="Q1497" s="58"/>
      <c r="R1497" s="24"/>
    </row>
    <row r="1498" spans="1:18" s="59" customFormat="1" ht="157.5">
      <c r="A1498" s="92"/>
      <c r="B1498" s="129" t="s">
        <v>821</v>
      </c>
      <c r="C1498" s="108" t="s">
        <v>410</v>
      </c>
      <c r="D1498" s="108" t="s">
        <v>73</v>
      </c>
      <c r="E1498" s="108" t="s">
        <v>238</v>
      </c>
      <c r="F1498" s="108" t="s">
        <v>822</v>
      </c>
      <c r="G1498" s="108" t="s">
        <v>9</v>
      </c>
      <c r="H1498" s="126">
        <f>H1499</f>
        <v>0</v>
      </c>
      <c r="L1498" s="20">
        <v>36669.949999999997</v>
      </c>
      <c r="M1498" s="20">
        <v>39225.51</v>
      </c>
      <c r="N1498" s="20">
        <v>0</v>
      </c>
      <c r="O1498" s="20">
        <f>H1498-L1498</f>
        <v>-36669.949999999997</v>
      </c>
      <c r="P1498" s="20" t="e">
        <f>#REF!-M1498</f>
        <v>#REF!</v>
      </c>
      <c r="Q1498" s="20" t="e">
        <f>#REF!-N1498</f>
        <v>#REF!</v>
      </c>
      <c r="R1498" s="17" t="str">
        <f t="shared" si="174"/>
        <v>04 2 01 60070000</v>
      </c>
    </row>
    <row r="1499" spans="1:18" s="59" customFormat="1" ht="63">
      <c r="A1499" s="92"/>
      <c r="B1499" s="129" t="s">
        <v>203</v>
      </c>
      <c r="C1499" s="108" t="s">
        <v>410</v>
      </c>
      <c r="D1499" s="108" t="s">
        <v>73</v>
      </c>
      <c r="E1499" s="108" t="s">
        <v>238</v>
      </c>
      <c r="F1499" s="108" t="s">
        <v>822</v>
      </c>
      <c r="G1499" s="108" t="s">
        <v>204</v>
      </c>
      <c r="H1499" s="126">
        <f>H1500</f>
        <v>0</v>
      </c>
      <c r="L1499" s="20">
        <v>36669.949999999997</v>
      </c>
      <c r="M1499" s="20">
        <v>39225.51</v>
      </c>
      <c r="N1499" s="20">
        <v>0</v>
      </c>
      <c r="O1499" s="20">
        <f>H1499-L1499</f>
        <v>-36669.949999999997</v>
      </c>
      <c r="P1499" s="20" t="e">
        <f>#REF!-M1499</f>
        <v>#REF!</v>
      </c>
      <c r="Q1499" s="20" t="e">
        <f>#REF!-N1499</f>
        <v>#REF!</v>
      </c>
      <c r="R1499" s="17" t="str">
        <f t="shared" si="174"/>
        <v>04 2 01 60070810</v>
      </c>
    </row>
    <row r="1500" spans="1:18" s="59" customFormat="1" ht="110.25">
      <c r="A1500" s="92"/>
      <c r="B1500" s="125" t="s">
        <v>207</v>
      </c>
      <c r="C1500" s="108" t="s">
        <v>410</v>
      </c>
      <c r="D1500" s="108" t="s">
        <v>73</v>
      </c>
      <c r="E1500" s="108" t="s">
        <v>238</v>
      </c>
      <c r="F1500" s="108" t="s">
        <v>822</v>
      </c>
      <c r="G1500" s="108" t="s">
        <v>208</v>
      </c>
      <c r="H1500" s="126"/>
      <c r="L1500" s="20"/>
      <c r="M1500" s="20"/>
      <c r="N1500" s="20"/>
      <c r="O1500" s="20"/>
      <c r="P1500" s="20"/>
      <c r="Q1500" s="20"/>
      <c r="R1500" s="17"/>
    </row>
    <row r="1501" spans="1:18" s="59" customFormat="1" ht="63">
      <c r="A1501" s="92"/>
      <c r="B1501" s="129" t="s">
        <v>87</v>
      </c>
      <c r="C1501" s="108" t="s">
        <v>410</v>
      </c>
      <c r="D1501" s="108" t="s">
        <v>73</v>
      </c>
      <c r="E1501" s="108" t="s">
        <v>238</v>
      </c>
      <c r="F1501" s="108" t="s">
        <v>88</v>
      </c>
      <c r="G1501" s="108" t="s">
        <v>9</v>
      </c>
      <c r="H1501" s="126">
        <f>H1502</f>
        <v>0</v>
      </c>
      <c r="L1501" s="20"/>
      <c r="M1501" s="20"/>
      <c r="N1501" s="20"/>
      <c r="O1501" s="20">
        <f>H1501-L1501</f>
        <v>0</v>
      </c>
      <c r="P1501" s="20" t="e">
        <f>#REF!-M1501</f>
        <v>#REF!</v>
      </c>
      <c r="Q1501" s="20" t="e">
        <f>#REF!-N1501</f>
        <v>#REF!</v>
      </c>
      <c r="R1501" s="17" t="str">
        <f t="shared" si="174"/>
        <v>98 0 00 00000000</v>
      </c>
    </row>
    <row r="1502" spans="1:18" s="59" customFormat="1" ht="15.75">
      <c r="A1502" s="92"/>
      <c r="B1502" s="129" t="s">
        <v>89</v>
      </c>
      <c r="C1502" s="108" t="s">
        <v>410</v>
      </c>
      <c r="D1502" s="108" t="s">
        <v>73</v>
      </c>
      <c r="E1502" s="108" t="s">
        <v>238</v>
      </c>
      <c r="F1502" s="108" t="s">
        <v>90</v>
      </c>
      <c r="G1502" s="108" t="s">
        <v>9</v>
      </c>
      <c r="H1502" s="126">
        <f>H1503</f>
        <v>0</v>
      </c>
      <c r="L1502" s="20"/>
      <c r="M1502" s="20"/>
      <c r="N1502" s="20"/>
      <c r="O1502" s="20">
        <f>H1502-L1502</f>
        <v>0</v>
      </c>
      <c r="P1502" s="20" t="e">
        <f>#REF!-M1502</f>
        <v>#REF!</v>
      </c>
      <c r="Q1502" s="20" t="e">
        <f>#REF!-N1502</f>
        <v>#REF!</v>
      </c>
      <c r="R1502" s="17" t="str">
        <f t="shared" si="174"/>
        <v>98 1 00 00000000</v>
      </c>
    </row>
    <row r="1503" spans="1:18" s="59" customFormat="1" ht="31.5">
      <c r="A1503" s="92"/>
      <c r="B1503" s="129" t="s">
        <v>823</v>
      </c>
      <c r="C1503" s="108" t="s">
        <v>410</v>
      </c>
      <c r="D1503" s="108" t="s">
        <v>73</v>
      </c>
      <c r="E1503" s="108" t="s">
        <v>238</v>
      </c>
      <c r="F1503" s="108" t="s">
        <v>824</v>
      </c>
      <c r="G1503" s="108" t="s">
        <v>9</v>
      </c>
      <c r="H1503" s="126">
        <f>H1504</f>
        <v>0</v>
      </c>
      <c r="L1503" s="20"/>
      <c r="M1503" s="20"/>
      <c r="N1503" s="20"/>
      <c r="O1503" s="20">
        <f>H1503-L1503</f>
        <v>0</v>
      </c>
      <c r="P1503" s="20" t="e">
        <f>#REF!-M1503</f>
        <v>#REF!</v>
      </c>
      <c r="Q1503" s="20" t="e">
        <f>#REF!-N1503</f>
        <v>#REF!</v>
      </c>
      <c r="R1503" s="17" t="str">
        <f t="shared" si="174"/>
        <v>98 1 00 21170000</v>
      </c>
    </row>
    <row r="1504" spans="1:18" s="16" customFormat="1" ht="31.5">
      <c r="A1504" s="14"/>
      <c r="B1504" s="125" t="s">
        <v>28</v>
      </c>
      <c r="C1504" s="108" t="s">
        <v>410</v>
      </c>
      <c r="D1504" s="108" t="s">
        <v>73</v>
      </c>
      <c r="E1504" s="108" t="s">
        <v>238</v>
      </c>
      <c r="F1504" s="108" t="s">
        <v>824</v>
      </c>
      <c r="G1504" s="108" t="s">
        <v>29</v>
      </c>
      <c r="H1504" s="126">
        <f>H1505</f>
        <v>0</v>
      </c>
      <c r="L1504" s="20"/>
      <c r="M1504" s="20"/>
      <c r="N1504" s="20"/>
      <c r="O1504" s="20">
        <f>H1504-L1504</f>
        <v>0</v>
      </c>
      <c r="P1504" s="20" t="e">
        <f>#REF!-M1504</f>
        <v>#REF!</v>
      </c>
      <c r="Q1504" s="20" t="e">
        <f>#REF!-N1504</f>
        <v>#REF!</v>
      </c>
      <c r="R1504" s="17" t="str">
        <f t="shared" si="174"/>
        <v>98 1 00 21170240</v>
      </c>
    </row>
    <row r="1505" spans="1:18" s="16" customFormat="1" ht="15.75">
      <c r="A1505" s="14"/>
      <c r="B1505" s="125" t="s">
        <v>30</v>
      </c>
      <c r="C1505" s="108" t="s">
        <v>410</v>
      </c>
      <c r="D1505" s="108" t="s">
        <v>73</v>
      </c>
      <c r="E1505" s="108" t="s">
        <v>238</v>
      </c>
      <c r="F1505" s="108" t="s">
        <v>824</v>
      </c>
      <c r="G1505" s="108" t="s">
        <v>31</v>
      </c>
      <c r="H1505" s="126"/>
      <c r="L1505" s="60"/>
      <c r="M1505" s="60"/>
      <c r="N1505" s="60"/>
      <c r="O1505" s="60"/>
      <c r="P1505" s="60"/>
      <c r="Q1505" s="60"/>
      <c r="R1505" s="17"/>
    </row>
    <row r="1506" spans="1:18" s="16" customFormat="1" ht="15.75">
      <c r="A1506" s="14"/>
      <c r="B1506" s="121" t="s">
        <v>760</v>
      </c>
      <c r="C1506" s="122" t="s">
        <v>410</v>
      </c>
      <c r="D1506" s="123" t="s">
        <v>73</v>
      </c>
      <c r="E1506" s="123" t="s">
        <v>471</v>
      </c>
      <c r="F1506" s="123" t="s">
        <v>8</v>
      </c>
      <c r="G1506" s="123" t="s">
        <v>9</v>
      </c>
      <c r="H1506" s="124" t="e">
        <f>H1507+H1513</f>
        <v>#REF!</v>
      </c>
      <c r="L1506" s="61">
        <v>240960.98999999996</v>
      </c>
      <c r="M1506" s="61">
        <v>194584.37999999998</v>
      </c>
      <c r="N1506" s="61">
        <v>212847.02</v>
      </c>
      <c r="O1506" s="61" t="e">
        <f t="shared" ref="O1506:O1511" si="179">H1506-L1506</f>
        <v>#REF!</v>
      </c>
      <c r="P1506" s="61" t="e">
        <f>#REF!-M1506</f>
        <v>#REF!</v>
      </c>
      <c r="Q1506" s="61" t="e">
        <f>#REF!-N1506</f>
        <v>#REF!</v>
      </c>
      <c r="R1506" s="17" t="str">
        <f t="shared" si="174"/>
        <v>00 0 00 00000000</v>
      </c>
    </row>
    <row r="1507" spans="1:18" s="16" customFormat="1" ht="63">
      <c r="A1507" s="14"/>
      <c r="B1507" s="135" t="s">
        <v>285</v>
      </c>
      <c r="C1507" s="109" t="s">
        <v>410</v>
      </c>
      <c r="D1507" s="109" t="s">
        <v>73</v>
      </c>
      <c r="E1507" s="109" t="s">
        <v>471</v>
      </c>
      <c r="F1507" s="109" t="s">
        <v>286</v>
      </c>
      <c r="G1507" s="109" t="s">
        <v>9</v>
      </c>
      <c r="H1507" s="141">
        <f t="shared" ref="H1507:H1510" si="180">H1508</f>
        <v>0</v>
      </c>
      <c r="L1507" s="32">
        <v>7251.46</v>
      </c>
      <c r="M1507" s="32">
        <v>5251.46</v>
      </c>
      <c r="N1507" s="32">
        <v>5251.46</v>
      </c>
      <c r="O1507" s="32">
        <f t="shared" si="179"/>
        <v>-7251.46</v>
      </c>
      <c r="P1507" s="32" t="e">
        <f>#REF!-M1507</f>
        <v>#REF!</v>
      </c>
      <c r="Q1507" s="32" t="e">
        <f>#REF!-N1507</f>
        <v>#REF!</v>
      </c>
      <c r="R1507" s="17" t="str">
        <f t="shared" si="174"/>
        <v>02 0 00 00000000</v>
      </c>
    </row>
    <row r="1508" spans="1:18" s="16" customFormat="1" ht="78.75">
      <c r="A1508" s="14"/>
      <c r="B1508" s="125" t="s">
        <v>287</v>
      </c>
      <c r="C1508" s="109" t="s">
        <v>410</v>
      </c>
      <c r="D1508" s="109" t="s">
        <v>73</v>
      </c>
      <c r="E1508" s="109" t="s">
        <v>471</v>
      </c>
      <c r="F1508" s="109" t="s">
        <v>288</v>
      </c>
      <c r="G1508" s="109" t="s">
        <v>9</v>
      </c>
      <c r="H1508" s="141">
        <f t="shared" si="180"/>
        <v>0</v>
      </c>
      <c r="L1508" s="32">
        <v>7251.46</v>
      </c>
      <c r="M1508" s="32">
        <v>5251.46</v>
      </c>
      <c r="N1508" s="32">
        <v>5251.46</v>
      </c>
      <c r="O1508" s="32">
        <f t="shared" si="179"/>
        <v>-7251.46</v>
      </c>
      <c r="P1508" s="32" t="e">
        <f>#REF!-M1508</f>
        <v>#REF!</v>
      </c>
      <c r="Q1508" s="32" t="e">
        <f>#REF!-N1508</f>
        <v>#REF!</v>
      </c>
      <c r="R1508" s="17" t="str">
        <f t="shared" si="174"/>
        <v>02 Б 00 00000000</v>
      </c>
    </row>
    <row r="1509" spans="1:18" s="16" customFormat="1" ht="78.75">
      <c r="A1509" s="14"/>
      <c r="B1509" s="127" t="s">
        <v>825</v>
      </c>
      <c r="C1509" s="109" t="s">
        <v>410</v>
      </c>
      <c r="D1509" s="109" t="s">
        <v>73</v>
      </c>
      <c r="E1509" s="109" t="s">
        <v>471</v>
      </c>
      <c r="F1509" s="109" t="s">
        <v>826</v>
      </c>
      <c r="G1509" s="109" t="s">
        <v>9</v>
      </c>
      <c r="H1509" s="141">
        <f t="shared" si="180"/>
        <v>0</v>
      </c>
      <c r="L1509" s="32">
        <v>7251.46</v>
      </c>
      <c r="M1509" s="32">
        <v>5251.46</v>
      </c>
      <c r="N1509" s="32">
        <v>5251.46</v>
      </c>
      <c r="O1509" s="32">
        <f t="shared" si="179"/>
        <v>-7251.46</v>
      </c>
      <c r="P1509" s="32" t="e">
        <f>#REF!-M1509</f>
        <v>#REF!</v>
      </c>
      <c r="Q1509" s="32" t="e">
        <f>#REF!-N1509</f>
        <v>#REF!</v>
      </c>
      <c r="R1509" s="17" t="str">
        <f t="shared" si="174"/>
        <v>02 Б 02 00000000</v>
      </c>
    </row>
    <row r="1510" spans="1:18" s="16" customFormat="1" ht="78.75">
      <c r="A1510" s="14"/>
      <c r="B1510" s="127" t="s">
        <v>827</v>
      </c>
      <c r="C1510" s="109" t="s">
        <v>410</v>
      </c>
      <c r="D1510" s="109" t="s">
        <v>73</v>
      </c>
      <c r="E1510" s="109" t="s">
        <v>471</v>
      </c>
      <c r="F1510" s="109" t="s">
        <v>828</v>
      </c>
      <c r="G1510" s="109" t="s">
        <v>9</v>
      </c>
      <c r="H1510" s="141">
        <f t="shared" si="180"/>
        <v>0</v>
      </c>
      <c r="L1510" s="32">
        <v>7251.46</v>
      </c>
      <c r="M1510" s="32">
        <v>5251.46</v>
      </c>
      <c r="N1510" s="32">
        <v>5251.46</v>
      </c>
      <c r="O1510" s="32">
        <f t="shared" si="179"/>
        <v>-7251.46</v>
      </c>
      <c r="P1510" s="32" t="e">
        <f>#REF!-M1510</f>
        <v>#REF!</v>
      </c>
      <c r="Q1510" s="32" t="e">
        <f>#REF!-N1510</f>
        <v>#REF!</v>
      </c>
      <c r="R1510" s="17" t="str">
        <f t="shared" si="174"/>
        <v>02 Б 02 20560000</v>
      </c>
    </row>
    <row r="1511" spans="1:18" s="16" customFormat="1" ht="31.5">
      <c r="A1511" s="14"/>
      <c r="B1511" s="125" t="s">
        <v>28</v>
      </c>
      <c r="C1511" s="109" t="s">
        <v>410</v>
      </c>
      <c r="D1511" s="109" t="s">
        <v>73</v>
      </c>
      <c r="E1511" s="109" t="s">
        <v>471</v>
      </c>
      <c r="F1511" s="109" t="s">
        <v>828</v>
      </c>
      <c r="G1511" s="109" t="s">
        <v>29</v>
      </c>
      <c r="H1511" s="126">
        <f>H1512</f>
        <v>0</v>
      </c>
      <c r="L1511" s="32">
        <v>7251.46</v>
      </c>
      <c r="M1511" s="32">
        <v>5251.46</v>
      </c>
      <c r="N1511" s="32">
        <v>5251.46</v>
      </c>
      <c r="O1511" s="32">
        <f t="shared" si="179"/>
        <v>-7251.46</v>
      </c>
      <c r="P1511" s="32" t="e">
        <f>#REF!-M1511</f>
        <v>#REF!</v>
      </c>
      <c r="Q1511" s="32" t="e">
        <f>#REF!-N1511</f>
        <v>#REF!</v>
      </c>
      <c r="R1511" s="17" t="str">
        <f t="shared" si="174"/>
        <v>02 Б 02 20560240</v>
      </c>
    </row>
    <row r="1512" spans="1:18" s="16" customFormat="1" ht="15.75">
      <c r="A1512" s="14"/>
      <c r="B1512" s="125" t="s">
        <v>30</v>
      </c>
      <c r="C1512" s="109" t="s">
        <v>410</v>
      </c>
      <c r="D1512" s="109" t="s">
        <v>73</v>
      </c>
      <c r="E1512" s="109" t="s">
        <v>471</v>
      </c>
      <c r="F1512" s="109" t="s">
        <v>828</v>
      </c>
      <c r="G1512" s="109" t="s">
        <v>31</v>
      </c>
      <c r="H1512" s="126"/>
      <c r="L1512" s="32"/>
      <c r="M1512" s="32"/>
      <c r="N1512" s="32"/>
      <c r="O1512" s="32"/>
      <c r="P1512" s="32"/>
      <c r="Q1512" s="32"/>
      <c r="R1512" s="17"/>
    </row>
    <row r="1513" spans="1:18" s="16" customFormat="1" ht="63">
      <c r="A1513" s="14"/>
      <c r="B1513" s="127" t="s">
        <v>293</v>
      </c>
      <c r="C1513" s="108" t="s">
        <v>410</v>
      </c>
      <c r="D1513" s="108" t="s">
        <v>73</v>
      </c>
      <c r="E1513" s="108" t="s">
        <v>471</v>
      </c>
      <c r="F1513" s="108" t="s">
        <v>294</v>
      </c>
      <c r="G1513" s="109" t="s">
        <v>9</v>
      </c>
      <c r="H1513" s="141" t="e">
        <f>H1514</f>
        <v>#REF!</v>
      </c>
      <c r="L1513" s="32">
        <v>233709.52999999997</v>
      </c>
      <c r="M1513" s="32">
        <v>189332.91999999998</v>
      </c>
      <c r="N1513" s="32">
        <v>207595.56</v>
      </c>
      <c r="O1513" s="32" t="e">
        <f>H1513-L1513</f>
        <v>#REF!</v>
      </c>
      <c r="P1513" s="32" t="e">
        <f>#REF!-M1513</f>
        <v>#REF!</v>
      </c>
      <c r="Q1513" s="32" t="e">
        <f>#REF!-N1513</f>
        <v>#REF!</v>
      </c>
      <c r="R1513" s="17" t="str">
        <f t="shared" si="174"/>
        <v>04 0 00 00000000</v>
      </c>
    </row>
    <row r="1514" spans="1:18" s="16" customFormat="1" ht="63">
      <c r="A1514" s="14"/>
      <c r="B1514" s="140" t="s">
        <v>295</v>
      </c>
      <c r="C1514" s="108" t="s">
        <v>410</v>
      </c>
      <c r="D1514" s="108" t="s">
        <v>73</v>
      </c>
      <c r="E1514" s="108" t="s">
        <v>471</v>
      </c>
      <c r="F1514" s="108" t="s">
        <v>296</v>
      </c>
      <c r="G1514" s="109" t="s">
        <v>9</v>
      </c>
      <c r="H1514" s="141" t="e">
        <f>H1515+H1540</f>
        <v>#REF!</v>
      </c>
      <c r="L1514" s="32">
        <v>233709.52999999997</v>
      </c>
      <c r="M1514" s="32">
        <v>189332.91999999998</v>
      </c>
      <c r="N1514" s="32">
        <v>207595.56</v>
      </c>
      <c r="O1514" s="32" t="e">
        <f>H1514-L1514</f>
        <v>#REF!</v>
      </c>
      <c r="P1514" s="32" t="e">
        <f>#REF!-M1514</f>
        <v>#REF!</v>
      </c>
      <c r="Q1514" s="32" t="e">
        <f>#REF!-N1514</f>
        <v>#REF!</v>
      </c>
      <c r="R1514" s="17" t="str">
        <f t="shared" si="174"/>
        <v>04 2 00 00000000</v>
      </c>
    </row>
    <row r="1515" spans="1:18" s="16" customFormat="1" ht="63">
      <c r="A1515" s="14"/>
      <c r="B1515" s="125" t="s">
        <v>297</v>
      </c>
      <c r="C1515" s="108" t="s">
        <v>410</v>
      </c>
      <c r="D1515" s="108" t="s">
        <v>73</v>
      </c>
      <c r="E1515" s="108" t="s">
        <v>471</v>
      </c>
      <c r="F1515" s="108" t="s">
        <v>298</v>
      </c>
      <c r="G1515" s="109" t="s">
        <v>9</v>
      </c>
      <c r="H1515" s="141" t="e">
        <f>H1516+H1519+H1522+H1534+H1537+H1525+H1528+H1531</f>
        <v>#REF!</v>
      </c>
      <c r="L1515" s="32">
        <v>177184.91999999998</v>
      </c>
      <c r="M1515" s="32">
        <v>137808.31</v>
      </c>
      <c r="N1515" s="32">
        <v>156070.95000000001</v>
      </c>
      <c r="O1515" s="32" t="e">
        <f>H1515-L1515</f>
        <v>#REF!</v>
      </c>
      <c r="P1515" s="32" t="e">
        <f>#REF!-M1515</f>
        <v>#REF!</v>
      </c>
      <c r="Q1515" s="32" t="e">
        <f>#REF!-N1515</f>
        <v>#REF!</v>
      </c>
      <c r="R1515" s="17" t="str">
        <f t="shared" si="174"/>
        <v>04 2 02 00000000</v>
      </c>
    </row>
    <row r="1516" spans="1:18" s="16" customFormat="1" ht="31.5">
      <c r="A1516" s="14"/>
      <c r="B1516" s="125" t="s">
        <v>829</v>
      </c>
      <c r="C1516" s="108" t="s">
        <v>410</v>
      </c>
      <c r="D1516" s="108" t="s">
        <v>73</v>
      </c>
      <c r="E1516" s="108" t="s">
        <v>471</v>
      </c>
      <c r="F1516" s="108" t="s">
        <v>830</v>
      </c>
      <c r="G1516" s="109" t="s">
        <v>9</v>
      </c>
      <c r="H1516" s="141">
        <f>H1517</f>
        <v>0</v>
      </c>
      <c r="L1516" s="32">
        <v>78131.709999999992</v>
      </c>
      <c r="M1516" s="32">
        <v>72051.709999999992</v>
      </c>
      <c r="N1516" s="32">
        <v>72051.709999999992</v>
      </c>
      <c r="O1516" s="32">
        <f>H1516-L1516</f>
        <v>-78131.709999999992</v>
      </c>
      <c r="P1516" s="32" t="e">
        <f>#REF!-M1516</f>
        <v>#REF!</v>
      </c>
      <c r="Q1516" s="32" t="e">
        <f>#REF!-N1516</f>
        <v>#REF!</v>
      </c>
      <c r="R1516" s="17" t="str">
        <f t="shared" si="174"/>
        <v>04 2 02 20130000</v>
      </c>
    </row>
    <row r="1517" spans="1:18" s="16" customFormat="1" ht="31.5">
      <c r="A1517" s="14"/>
      <c r="B1517" s="125" t="s">
        <v>28</v>
      </c>
      <c r="C1517" s="108" t="s">
        <v>410</v>
      </c>
      <c r="D1517" s="108" t="s">
        <v>73</v>
      </c>
      <c r="E1517" s="108" t="s">
        <v>471</v>
      </c>
      <c r="F1517" s="108" t="s">
        <v>830</v>
      </c>
      <c r="G1517" s="109" t="s">
        <v>29</v>
      </c>
      <c r="H1517" s="126">
        <f>H1518</f>
        <v>0</v>
      </c>
      <c r="L1517" s="32">
        <v>78131.709999999992</v>
      </c>
      <c r="M1517" s="32">
        <v>72051.709999999992</v>
      </c>
      <c r="N1517" s="32">
        <v>72051.709999999992</v>
      </c>
      <c r="O1517" s="32">
        <f>H1517-L1517</f>
        <v>-78131.709999999992</v>
      </c>
      <c r="P1517" s="32" t="e">
        <f>#REF!-M1517</f>
        <v>#REF!</v>
      </c>
      <c r="Q1517" s="32" t="e">
        <f>#REF!-N1517</f>
        <v>#REF!</v>
      </c>
      <c r="R1517" s="17" t="str">
        <f t="shared" si="174"/>
        <v>04 2 02 20130240</v>
      </c>
    </row>
    <row r="1518" spans="1:18" s="16" customFormat="1" ht="15.75">
      <c r="A1518" s="14"/>
      <c r="B1518" s="125" t="s">
        <v>30</v>
      </c>
      <c r="C1518" s="108" t="s">
        <v>410</v>
      </c>
      <c r="D1518" s="108" t="s">
        <v>73</v>
      </c>
      <c r="E1518" s="108" t="s">
        <v>471</v>
      </c>
      <c r="F1518" s="108" t="s">
        <v>830</v>
      </c>
      <c r="G1518" s="109" t="s">
        <v>31</v>
      </c>
      <c r="H1518" s="126"/>
      <c r="L1518" s="32"/>
      <c r="M1518" s="32"/>
      <c r="N1518" s="32"/>
      <c r="O1518" s="32"/>
      <c r="P1518" s="32"/>
      <c r="Q1518" s="32"/>
      <c r="R1518" s="17"/>
    </row>
    <row r="1519" spans="1:18" s="16" customFormat="1" ht="126">
      <c r="A1519" s="14" t="s">
        <v>80</v>
      </c>
      <c r="B1519" s="125" t="s">
        <v>831</v>
      </c>
      <c r="C1519" s="108" t="s">
        <v>410</v>
      </c>
      <c r="D1519" s="108" t="s">
        <v>73</v>
      </c>
      <c r="E1519" s="108" t="s">
        <v>471</v>
      </c>
      <c r="F1519" s="108" t="s">
        <v>832</v>
      </c>
      <c r="G1519" s="109" t="s">
        <v>9</v>
      </c>
      <c r="H1519" s="141">
        <f>H1520</f>
        <v>0</v>
      </c>
      <c r="L1519" s="32">
        <v>18688.990000000002</v>
      </c>
      <c r="M1519" s="32">
        <v>18688.990000000002</v>
      </c>
      <c r="N1519" s="32">
        <v>18688.990000000002</v>
      </c>
      <c r="O1519" s="32">
        <f>H1519-L1519</f>
        <v>-18688.990000000002</v>
      </c>
      <c r="P1519" s="32" t="e">
        <f>#REF!-M1519</f>
        <v>#REF!</v>
      </c>
      <c r="Q1519" s="32" t="e">
        <f>#REF!-N1519</f>
        <v>#REF!</v>
      </c>
      <c r="R1519" s="17" t="str">
        <f t="shared" si="174"/>
        <v>04 2 02 20810000</v>
      </c>
    </row>
    <row r="1520" spans="1:18" s="16" customFormat="1" ht="31.5">
      <c r="A1520" s="14"/>
      <c r="B1520" s="125" t="s">
        <v>28</v>
      </c>
      <c r="C1520" s="108" t="s">
        <v>410</v>
      </c>
      <c r="D1520" s="108" t="s">
        <v>73</v>
      </c>
      <c r="E1520" s="108" t="s">
        <v>471</v>
      </c>
      <c r="F1520" s="108" t="s">
        <v>832</v>
      </c>
      <c r="G1520" s="109" t="s">
        <v>29</v>
      </c>
      <c r="H1520" s="126">
        <f>H1521</f>
        <v>0</v>
      </c>
      <c r="L1520" s="32">
        <v>18688.990000000002</v>
      </c>
      <c r="M1520" s="32">
        <v>18688.990000000002</v>
      </c>
      <c r="N1520" s="32">
        <v>18688.990000000002</v>
      </c>
      <c r="O1520" s="32">
        <f>H1520-L1520</f>
        <v>-18688.990000000002</v>
      </c>
      <c r="P1520" s="32" t="e">
        <f>#REF!-M1520</f>
        <v>#REF!</v>
      </c>
      <c r="Q1520" s="32" t="e">
        <f>#REF!-N1520</f>
        <v>#REF!</v>
      </c>
      <c r="R1520" s="17" t="str">
        <f t="shared" si="174"/>
        <v>04 2 02 20810240</v>
      </c>
    </row>
    <row r="1521" spans="1:18" s="16" customFormat="1" ht="15.75">
      <c r="A1521" s="14"/>
      <c r="B1521" s="125" t="s">
        <v>30</v>
      </c>
      <c r="C1521" s="108" t="s">
        <v>410</v>
      </c>
      <c r="D1521" s="108" t="s">
        <v>73</v>
      </c>
      <c r="E1521" s="108" t="s">
        <v>471</v>
      </c>
      <c r="F1521" s="108" t="s">
        <v>832</v>
      </c>
      <c r="G1521" s="109" t="s">
        <v>31</v>
      </c>
      <c r="H1521" s="126"/>
      <c r="L1521" s="32"/>
      <c r="M1521" s="32"/>
      <c r="N1521" s="32"/>
      <c r="O1521" s="32"/>
      <c r="P1521" s="32"/>
      <c r="Q1521" s="32"/>
      <c r="R1521" s="17"/>
    </row>
    <row r="1522" spans="1:18" s="16" customFormat="1" ht="31.5">
      <c r="A1522" s="14"/>
      <c r="B1522" s="125" t="s">
        <v>833</v>
      </c>
      <c r="C1522" s="108" t="s">
        <v>410</v>
      </c>
      <c r="D1522" s="108" t="s">
        <v>73</v>
      </c>
      <c r="E1522" s="108" t="s">
        <v>471</v>
      </c>
      <c r="F1522" s="108" t="s">
        <v>834</v>
      </c>
      <c r="G1522" s="109" t="s">
        <v>9</v>
      </c>
      <c r="H1522" s="141">
        <f>H1523</f>
        <v>0</v>
      </c>
      <c r="L1522" s="32">
        <v>1350</v>
      </c>
      <c r="M1522" s="32">
        <v>1350</v>
      </c>
      <c r="N1522" s="32">
        <v>1350</v>
      </c>
      <c r="O1522" s="32">
        <f>H1522-L1522</f>
        <v>-1350</v>
      </c>
      <c r="P1522" s="32" t="e">
        <f>#REF!-M1522</f>
        <v>#REF!</v>
      </c>
      <c r="Q1522" s="32" t="e">
        <f>#REF!-N1522</f>
        <v>#REF!</v>
      </c>
      <c r="R1522" s="17" t="str">
        <f t="shared" si="174"/>
        <v>04 2 02 20830000</v>
      </c>
    </row>
    <row r="1523" spans="1:18" s="16" customFormat="1" ht="31.5">
      <c r="A1523" s="14"/>
      <c r="B1523" s="125" t="s">
        <v>28</v>
      </c>
      <c r="C1523" s="108" t="s">
        <v>410</v>
      </c>
      <c r="D1523" s="108" t="s">
        <v>73</v>
      </c>
      <c r="E1523" s="108" t="s">
        <v>471</v>
      </c>
      <c r="F1523" s="108" t="s">
        <v>834</v>
      </c>
      <c r="G1523" s="109" t="s">
        <v>29</v>
      </c>
      <c r="H1523" s="126">
        <f>H1524</f>
        <v>0</v>
      </c>
      <c r="L1523" s="32">
        <v>1350</v>
      </c>
      <c r="M1523" s="32">
        <v>1350</v>
      </c>
      <c r="N1523" s="32">
        <v>1350</v>
      </c>
      <c r="O1523" s="32">
        <f>H1523-L1523</f>
        <v>-1350</v>
      </c>
      <c r="P1523" s="32" t="e">
        <f>#REF!-M1523</f>
        <v>#REF!</v>
      </c>
      <c r="Q1523" s="32" t="e">
        <f>#REF!-N1523</f>
        <v>#REF!</v>
      </c>
      <c r="R1523" s="17" t="str">
        <f t="shared" si="174"/>
        <v>04 2 02 20830240</v>
      </c>
    </row>
    <row r="1524" spans="1:18" s="16" customFormat="1" ht="15.75">
      <c r="A1524" s="14"/>
      <c r="B1524" s="125" t="s">
        <v>30</v>
      </c>
      <c r="C1524" s="108" t="s">
        <v>410</v>
      </c>
      <c r="D1524" s="108" t="s">
        <v>73</v>
      </c>
      <c r="E1524" s="108" t="s">
        <v>471</v>
      </c>
      <c r="F1524" s="108" t="s">
        <v>834</v>
      </c>
      <c r="G1524" s="109" t="s">
        <v>31</v>
      </c>
      <c r="H1524" s="126"/>
      <c r="L1524" s="32"/>
      <c r="M1524" s="32"/>
      <c r="N1524" s="32"/>
      <c r="O1524" s="32"/>
      <c r="P1524" s="32"/>
      <c r="Q1524" s="32"/>
      <c r="R1524" s="17"/>
    </row>
    <row r="1525" spans="1:18" s="16" customFormat="1" ht="47.25">
      <c r="A1525" s="14"/>
      <c r="B1525" s="125" t="s">
        <v>835</v>
      </c>
      <c r="C1525" s="108" t="s">
        <v>410</v>
      </c>
      <c r="D1525" s="108" t="s">
        <v>73</v>
      </c>
      <c r="E1525" s="108" t="s">
        <v>471</v>
      </c>
      <c r="F1525" s="108" t="s">
        <v>836</v>
      </c>
      <c r="G1525" s="109" t="s">
        <v>9</v>
      </c>
      <c r="H1525" s="141">
        <f>H1526</f>
        <v>0</v>
      </c>
      <c r="L1525" s="32">
        <v>21274.62</v>
      </c>
      <c r="M1525" s="32">
        <v>4435.2800000000007</v>
      </c>
      <c r="N1525" s="32">
        <v>22697.919999999998</v>
      </c>
      <c r="O1525" s="32">
        <f>H1525-L1525</f>
        <v>-21274.62</v>
      </c>
      <c r="P1525" s="32" t="e">
        <f>#REF!-M1525</f>
        <v>#REF!</v>
      </c>
      <c r="Q1525" s="32" t="e">
        <f>#REF!-N1525</f>
        <v>#REF!</v>
      </c>
      <c r="R1525" s="17" t="str">
        <f t="shared" si="174"/>
        <v>04 2 02 21180000</v>
      </c>
    </row>
    <row r="1526" spans="1:18" s="16" customFormat="1" ht="15.75">
      <c r="A1526" s="14"/>
      <c r="B1526" s="125" t="s">
        <v>837</v>
      </c>
      <c r="C1526" s="108" t="s">
        <v>410</v>
      </c>
      <c r="D1526" s="108" t="s">
        <v>73</v>
      </c>
      <c r="E1526" s="108" t="s">
        <v>471</v>
      </c>
      <c r="F1526" s="108" t="s">
        <v>836</v>
      </c>
      <c r="G1526" s="109" t="s">
        <v>838</v>
      </c>
      <c r="H1526" s="126">
        <f>H1527</f>
        <v>0</v>
      </c>
      <c r="L1526" s="32">
        <v>21274.62</v>
      </c>
      <c r="M1526" s="32">
        <v>4435.2800000000007</v>
      </c>
      <c r="N1526" s="32">
        <v>22697.919999999998</v>
      </c>
      <c r="O1526" s="32">
        <f>H1526-L1526</f>
        <v>-21274.62</v>
      </c>
      <c r="P1526" s="32" t="e">
        <f>#REF!-M1526</f>
        <v>#REF!</v>
      </c>
      <c r="Q1526" s="32" t="e">
        <f>#REF!-N1526</f>
        <v>#REF!</v>
      </c>
      <c r="R1526" s="17" t="str">
        <f t="shared" si="174"/>
        <v>04 2 02 21180410</v>
      </c>
    </row>
    <row r="1527" spans="1:18" s="16" customFormat="1" ht="47.25">
      <c r="A1527" s="14"/>
      <c r="B1527" s="125" t="s">
        <v>839</v>
      </c>
      <c r="C1527" s="108" t="s">
        <v>410</v>
      </c>
      <c r="D1527" s="108" t="s">
        <v>73</v>
      </c>
      <c r="E1527" s="108" t="s">
        <v>471</v>
      </c>
      <c r="F1527" s="108" t="s">
        <v>836</v>
      </c>
      <c r="G1527" s="109" t="s">
        <v>840</v>
      </c>
      <c r="H1527" s="126"/>
      <c r="L1527" s="32"/>
      <c r="M1527" s="32"/>
      <c r="N1527" s="32"/>
      <c r="O1527" s="32"/>
      <c r="P1527" s="32"/>
      <c r="Q1527" s="32"/>
      <c r="R1527" s="17" t="str">
        <f t="shared" si="174"/>
        <v>04 2 02 21180414</v>
      </c>
    </row>
    <row r="1528" spans="1:18" s="16" customFormat="1" ht="236.25">
      <c r="A1528" s="14"/>
      <c r="B1528" s="125" t="s">
        <v>841</v>
      </c>
      <c r="C1528" s="108" t="s">
        <v>410</v>
      </c>
      <c r="D1528" s="108" t="s">
        <v>73</v>
      </c>
      <c r="E1528" s="108" t="s">
        <v>471</v>
      </c>
      <c r="F1528" s="108" t="s">
        <v>842</v>
      </c>
      <c r="G1528" s="109" t="s">
        <v>9</v>
      </c>
      <c r="H1528" s="141">
        <f>H1529</f>
        <v>0</v>
      </c>
      <c r="L1528" s="32">
        <v>19287.71</v>
      </c>
      <c r="M1528" s="32">
        <v>0</v>
      </c>
      <c r="N1528" s="32">
        <v>0</v>
      </c>
      <c r="O1528" s="32">
        <f>H1528-L1528</f>
        <v>-19287.71</v>
      </c>
      <c r="P1528" s="32" t="e">
        <f>#REF!-M1528</f>
        <v>#REF!</v>
      </c>
      <c r="Q1528" s="32" t="e">
        <f>#REF!-N1528</f>
        <v>#REF!</v>
      </c>
      <c r="R1528" s="62" t="str">
        <f t="shared" si="174"/>
        <v>04 2 02 21460000</v>
      </c>
    </row>
    <row r="1529" spans="1:18" s="16" customFormat="1" ht="31.5">
      <c r="A1529" s="14"/>
      <c r="B1529" s="125" t="s">
        <v>28</v>
      </c>
      <c r="C1529" s="108" t="s">
        <v>410</v>
      </c>
      <c r="D1529" s="108" t="s">
        <v>73</v>
      </c>
      <c r="E1529" s="108" t="s">
        <v>471</v>
      </c>
      <c r="F1529" s="108" t="s">
        <v>842</v>
      </c>
      <c r="G1529" s="109" t="s">
        <v>29</v>
      </c>
      <c r="H1529" s="126">
        <f>H1530</f>
        <v>0</v>
      </c>
      <c r="L1529" s="32">
        <v>19287.71</v>
      </c>
      <c r="M1529" s="32">
        <v>0</v>
      </c>
      <c r="N1529" s="32">
        <v>0</v>
      </c>
      <c r="O1529" s="32">
        <f>H1529-L1529</f>
        <v>-19287.71</v>
      </c>
      <c r="P1529" s="32" t="e">
        <f>#REF!-M1529</f>
        <v>#REF!</v>
      </c>
      <c r="Q1529" s="32" t="e">
        <f>#REF!-N1529</f>
        <v>#REF!</v>
      </c>
      <c r="R1529" s="62" t="str">
        <f t="shared" si="174"/>
        <v>04 2 02 21460240</v>
      </c>
    </row>
    <row r="1530" spans="1:18" s="16" customFormat="1" ht="15.75">
      <c r="A1530" s="14"/>
      <c r="B1530" s="125" t="s">
        <v>30</v>
      </c>
      <c r="C1530" s="108" t="s">
        <v>410</v>
      </c>
      <c r="D1530" s="108" t="s">
        <v>73</v>
      </c>
      <c r="E1530" s="108" t="s">
        <v>471</v>
      </c>
      <c r="F1530" s="108" t="s">
        <v>842</v>
      </c>
      <c r="G1530" s="109" t="s">
        <v>31</v>
      </c>
      <c r="H1530" s="126"/>
      <c r="L1530" s="32"/>
      <c r="M1530" s="32"/>
      <c r="N1530" s="32"/>
      <c r="O1530" s="32"/>
      <c r="P1530" s="32"/>
      <c r="Q1530" s="32"/>
      <c r="R1530" s="62"/>
    </row>
    <row r="1531" spans="1:18" s="16" customFormat="1" ht="78.75">
      <c r="A1531" s="14"/>
      <c r="B1531" s="125" t="s">
        <v>843</v>
      </c>
      <c r="C1531" s="108" t="s">
        <v>410</v>
      </c>
      <c r="D1531" s="108" t="s">
        <v>73</v>
      </c>
      <c r="E1531" s="108" t="s">
        <v>471</v>
      </c>
      <c r="F1531" s="108" t="s">
        <v>844</v>
      </c>
      <c r="G1531" s="109" t="s">
        <v>9</v>
      </c>
      <c r="H1531" s="141">
        <f>H1532</f>
        <v>0</v>
      </c>
      <c r="L1531" s="32">
        <v>6350</v>
      </c>
      <c r="M1531" s="32">
        <v>0</v>
      </c>
      <c r="N1531" s="32">
        <v>0</v>
      </c>
      <c r="O1531" s="32">
        <f>H1531-L1531</f>
        <v>-6350</v>
      </c>
      <c r="P1531" s="32" t="e">
        <f>#REF!-M1531</f>
        <v>#REF!</v>
      </c>
      <c r="Q1531" s="32" t="e">
        <f>#REF!-N1531</f>
        <v>#REF!</v>
      </c>
      <c r="R1531" s="62" t="str">
        <f t="shared" si="174"/>
        <v>04 2 02 21490000</v>
      </c>
    </row>
    <row r="1532" spans="1:18" s="16" customFormat="1" ht="31.5">
      <c r="A1532" s="14"/>
      <c r="B1532" s="125" t="s">
        <v>28</v>
      </c>
      <c r="C1532" s="108" t="s">
        <v>410</v>
      </c>
      <c r="D1532" s="108" t="s">
        <v>73</v>
      </c>
      <c r="E1532" s="108" t="s">
        <v>471</v>
      </c>
      <c r="F1532" s="108" t="s">
        <v>844</v>
      </c>
      <c r="G1532" s="109" t="s">
        <v>29</v>
      </c>
      <c r="H1532" s="126">
        <f>H1533</f>
        <v>0</v>
      </c>
      <c r="L1532" s="32">
        <v>6350</v>
      </c>
      <c r="M1532" s="32">
        <v>0</v>
      </c>
      <c r="N1532" s="32">
        <v>0</v>
      </c>
      <c r="O1532" s="32">
        <f>H1532-L1532</f>
        <v>-6350</v>
      </c>
      <c r="P1532" s="32" t="e">
        <f>#REF!-M1532</f>
        <v>#REF!</v>
      </c>
      <c r="Q1532" s="32" t="e">
        <f>#REF!-N1532</f>
        <v>#REF!</v>
      </c>
      <c r="R1532" s="62" t="str">
        <f t="shared" si="174"/>
        <v>04 2 02 21490240</v>
      </c>
    </row>
    <row r="1533" spans="1:18" s="16" customFormat="1" ht="15.75">
      <c r="A1533" s="14"/>
      <c r="B1533" s="125" t="s">
        <v>30</v>
      </c>
      <c r="C1533" s="108" t="s">
        <v>410</v>
      </c>
      <c r="D1533" s="108" t="s">
        <v>73</v>
      </c>
      <c r="E1533" s="108" t="s">
        <v>471</v>
      </c>
      <c r="F1533" s="108" t="s">
        <v>844</v>
      </c>
      <c r="G1533" s="109" t="s">
        <v>31</v>
      </c>
      <c r="H1533" s="126"/>
      <c r="L1533" s="32"/>
      <c r="M1533" s="32"/>
      <c r="N1533" s="32"/>
      <c r="O1533" s="32"/>
      <c r="P1533" s="32"/>
      <c r="Q1533" s="32"/>
      <c r="R1533" s="62"/>
    </row>
    <row r="1534" spans="1:18" s="16" customFormat="1" ht="94.5">
      <c r="A1534" s="14"/>
      <c r="B1534" s="125" t="s">
        <v>845</v>
      </c>
      <c r="C1534" s="109" t="s">
        <v>410</v>
      </c>
      <c r="D1534" s="108" t="s">
        <v>73</v>
      </c>
      <c r="E1534" s="108" t="s">
        <v>471</v>
      </c>
      <c r="F1534" s="14" t="s">
        <v>846</v>
      </c>
      <c r="G1534" s="109" t="s">
        <v>9</v>
      </c>
      <c r="H1534" s="141" t="e">
        <f>H1535</f>
        <v>#REF!</v>
      </c>
      <c r="L1534" s="32">
        <v>17260.62</v>
      </c>
      <c r="M1534" s="32">
        <v>26441.059999999998</v>
      </c>
      <c r="N1534" s="32">
        <v>26441.059999999998</v>
      </c>
      <c r="O1534" s="32" t="e">
        <f>H1534-L1534</f>
        <v>#REF!</v>
      </c>
      <c r="P1534" s="32" t="e">
        <f>#REF!-M1534</f>
        <v>#REF!</v>
      </c>
      <c r="Q1534" s="32" t="e">
        <f>#REF!-N1534</f>
        <v>#REF!</v>
      </c>
      <c r="R1534" s="17" t="str">
        <f t="shared" si="174"/>
        <v>04 2 02 60090000</v>
      </c>
    </row>
    <row r="1535" spans="1:18" s="16" customFormat="1" ht="63">
      <c r="A1535" s="14"/>
      <c r="B1535" s="129" t="s">
        <v>203</v>
      </c>
      <c r="C1535" s="109" t="s">
        <v>410</v>
      </c>
      <c r="D1535" s="108" t="s">
        <v>73</v>
      </c>
      <c r="E1535" s="108" t="s">
        <v>471</v>
      </c>
      <c r="F1535" s="14" t="s">
        <v>846</v>
      </c>
      <c r="G1535" s="109" t="s">
        <v>204</v>
      </c>
      <c r="H1535" s="126" t="e">
        <f>ROUND(#REF!*1000,2)</f>
        <v>#REF!</v>
      </c>
      <c r="L1535" s="32">
        <v>17260.62</v>
      </c>
      <c r="M1535" s="32">
        <v>26441.059999999998</v>
      </c>
      <c r="N1535" s="32">
        <v>26441.059999999998</v>
      </c>
      <c r="O1535" s="32" t="e">
        <f>H1535-L1535</f>
        <v>#REF!</v>
      </c>
      <c r="P1535" s="32" t="e">
        <f>#REF!-M1535</f>
        <v>#REF!</v>
      </c>
      <c r="Q1535" s="32" t="e">
        <f>#REF!-N1535</f>
        <v>#REF!</v>
      </c>
      <c r="R1535" s="17" t="str">
        <f t="shared" si="174"/>
        <v>04 2 02 60090810</v>
      </c>
    </row>
    <row r="1536" spans="1:18" s="16" customFormat="1" ht="63">
      <c r="A1536" s="14"/>
      <c r="B1536" s="125" t="s">
        <v>205</v>
      </c>
      <c r="C1536" s="109" t="s">
        <v>410</v>
      </c>
      <c r="D1536" s="108" t="s">
        <v>73</v>
      </c>
      <c r="E1536" s="108" t="s">
        <v>471</v>
      </c>
      <c r="F1536" s="14" t="s">
        <v>846</v>
      </c>
      <c r="G1536" s="109" t="s">
        <v>206</v>
      </c>
      <c r="H1536" s="126"/>
      <c r="L1536" s="32"/>
      <c r="M1536" s="32"/>
      <c r="N1536" s="32"/>
      <c r="O1536" s="32"/>
      <c r="P1536" s="32"/>
      <c r="Q1536" s="32"/>
      <c r="R1536" s="17"/>
    </row>
    <row r="1537" spans="1:18" s="16" customFormat="1" ht="47.25">
      <c r="A1537" s="14"/>
      <c r="B1537" s="125" t="s">
        <v>847</v>
      </c>
      <c r="C1537" s="109" t="s">
        <v>410</v>
      </c>
      <c r="D1537" s="108" t="s">
        <v>73</v>
      </c>
      <c r="E1537" s="108" t="s">
        <v>471</v>
      </c>
      <c r="F1537" s="14" t="s">
        <v>848</v>
      </c>
      <c r="G1537" s="109" t="s">
        <v>9</v>
      </c>
      <c r="H1537" s="141">
        <f>H1538</f>
        <v>0</v>
      </c>
      <c r="L1537" s="32">
        <v>14841.27</v>
      </c>
      <c r="M1537" s="32">
        <v>14841.27</v>
      </c>
      <c r="N1537" s="32">
        <v>14841.27</v>
      </c>
      <c r="O1537" s="32">
        <f>H1537-L1537</f>
        <v>-14841.27</v>
      </c>
      <c r="P1537" s="32" t="e">
        <f>#REF!-M1537</f>
        <v>#REF!</v>
      </c>
      <c r="Q1537" s="32" t="e">
        <f>#REF!-N1537</f>
        <v>#REF!</v>
      </c>
      <c r="R1537" s="17" t="str">
        <f t="shared" si="174"/>
        <v>04 2 02 S6460000</v>
      </c>
    </row>
    <row r="1538" spans="1:18" s="16" customFormat="1" ht="31.5">
      <c r="A1538" s="14"/>
      <c r="B1538" s="125" t="s">
        <v>28</v>
      </c>
      <c r="C1538" s="109" t="s">
        <v>410</v>
      </c>
      <c r="D1538" s="108" t="s">
        <v>73</v>
      </c>
      <c r="E1538" s="108" t="s">
        <v>471</v>
      </c>
      <c r="F1538" s="14" t="s">
        <v>848</v>
      </c>
      <c r="G1538" s="109" t="s">
        <v>29</v>
      </c>
      <c r="H1538" s="126">
        <f>H1539</f>
        <v>0</v>
      </c>
      <c r="L1538" s="32">
        <v>14841.27</v>
      </c>
      <c r="M1538" s="32">
        <v>14841.27</v>
      </c>
      <c r="N1538" s="32">
        <v>14841.27</v>
      </c>
      <c r="O1538" s="32">
        <f>H1538-L1538</f>
        <v>-14841.27</v>
      </c>
      <c r="P1538" s="32" t="e">
        <f>#REF!-M1538</f>
        <v>#REF!</v>
      </c>
      <c r="Q1538" s="32" t="e">
        <f>#REF!-N1538</f>
        <v>#REF!</v>
      </c>
      <c r="R1538" s="17" t="str">
        <f t="shared" ref="R1538:R1640" si="181">CONCATENATE(F1538,G1538)</f>
        <v>04 2 02 S6460240</v>
      </c>
    </row>
    <row r="1539" spans="1:18" s="16" customFormat="1" ht="15.75">
      <c r="A1539" s="14"/>
      <c r="B1539" s="125" t="s">
        <v>30</v>
      </c>
      <c r="C1539" s="109" t="s">
        <v>410</v>
      </c>
      <c r="D1539" s="108" t="s">
        <v>73</v>
      </c>
      <c r="E1539" s="108" t="s">
        <v>471</v>
      </c>
      <c r="F1539" s="14" t="s">
        <v>848</v>
      </c>
      <c r="G1539" s="109" t="s">
        <v>31</v>
      </c>
      <c r="H1539" s="126"/>
      <c r="L1539" s="32"/>
      <c r="M1539" s="32"/>
      <c r="N1539" s="32"/>
      <c r="O1539" s="32"/>
      <c r="P1539" s="32"/>
      <c r="Q1539" s="32"/>
      <c r="R1539" s="17"/>
    </row>
    <row r="1540" spans="1:18" s="16" customFormat="1" ht="47.25">
      <c r="A1540" s="14"/>
      <c r="B1540" s="125" t="s">
        <v>849</v>
      </c>
      <c r="C1540" s="108" t="s">
        <v>410</v>
      </c>
      <c r="D1540" s="108" t="s">
        <v>73</v>
      </c>
      <c r="E1540" s="108" t="s">
        <v>471</v>
      </c>
      <c r="F1540" s="108" t="s">
        <v>850</v>
      </c>
      <c r="G1540" s="109" t="s">
        <v>9</v>
      </c>
      <c r="H1540" s="141">
        <f>H1545+H1541</f>
        <v>0</v>
      </c>
      <c r="L1540" s="32">
        <v>56524.61</v>
      </c>
      <c r="M1540" s="32">
        <v>51524.61</v>
      </c>
      <c r="N1540" s="32">
        <v>51524.61</v>
      </c>
      <c r="O1540" s="32">
        <f>H1540-L1540</f>
        <v>-56524.61</v>
      </c>
      <c r="P1540" s="32" t="e">
        <f>#REF!-M1540</f>
        <v>#REF!</v>
      </c>
      <c r="Q1540" s="32" t="e">
        <f>#REF!-N1540</f>
        <v>#REF!</v>
      </c>
      <c r="R1540" s="17" t="str">
        <f t="shared" si="181"/>
        <v>04 2 03 00000000</v>
      </c>
    </row>
    <row r="1541" spans="1:18" s="16" customFormat="1" ht="31.5">
      <c r="A1541" s="14"/>
      <c r="B1541" s="135" t="s">
        <v>136</v>
      </c>
      <c r="C1541" s="108" t="s">
        <v>410</v>
      </c>
      <c r="D1541" s="108" t="s">
        <v>73</v>
      </c>
      <c r="E1541" s="108" t="s">
        <v>471</v>
      </c>
      <c r="F1541" s="108" t="s">
        <v>851</v>
      </c>
      <c r="G1541" s="108" t="s">
        <v>9</v>
      </c>
      <c r="H1541" s="126">
        <f>H1542</f>
        <v>0</v>
      </c>
      <c r="L1541" s="20">
        <v>42580.75</v>
      </c>
      <c r="M1541" s="20">
        <v>42580.75</v>
      </c>
      <c r="N1541" s="20">
        <v>42580.75</v>
      </c>
      <c r="O1541" s="20">
        <f>H1541-L1541</f>
        <v>-42580.75</v>
      </c>
      <c r="P1541" s="20" t="e">
        <f>#REF!-M1541</f>
        <v>#REF!</v>
      </c>
      <c r="Q1541" s="20" t="e">
        <f>#REF!-N1541</f>
        <v>#REF!</v>
      </c>
      <c r="R1541" s="17" t="str">
        <f t="shared" si="181"/>
        <v>04 2 03 11010000</v>
      </c>
    </row>
    <row r="1542" spans="1:18" s="16" customFormat="1" ht="15.75">
      <c r="A1542" s="14"/>
      <c r="B1542" s="132" t="s">
        <v>403</v>
      </c>
      <c r="C1542" s="108" t="s">
        <v>410</v>
      </c>
      <c r="D1542" s="108" t="s">
        <v>73</v>
      </c>
      <c r="E1542" s="108" t="s">
        <v>471</v>
      </c>
      <c r="F1542" s="108" t="s">
        <v>851</v>
      </c>
      <c r="G1542" s="108" t="s">
        <v>404</v>
      </c>
      <c r="H1542" s="126">
        <f>SUM(H1543:H1544)</f>
        <v>0</v>
      </c>
      <c r="L1542" s="20">
        <v>42580.75</v>
      </c>
      <c r="M1542" s="20">
        <v>42580.75</v>
      </c>
      <c r="N1542" s="20">
        <v>42580.75</v>
      </c>
      <c r="O1542" s="20">
        <f>H1542-L1542</f>
        <v>-42580.75</v>
      </c>
      <c r="P1542" s="20" t="e">
        <f>#REF!-M1542</f>
        <v>#REF!</v>
      </c>
      <c r="Q1542" s="20" t="e">
        <f>#REF!-N1542</f>
        <v>#REF!</v>
      </c>
      <c r="R1542" s="17" t="str">
        <f t="shared" si="181"/>
        <v>04 2 03 11010610</v>
      </c>
    </row>
    <row r="1543" spans="1:18" s="23" customFormat="1" ht="63">
      <c r="A1543" s="21"/>
      <c r="B1543" s="127" t="s">
        <v>405</v>
      </c>
      <c r="C1543" s="108" t="s">
        <v>410</v>
      </c>
      <c r="D1543" s="108" t="s">
        <v>73</v>
      </c>
      <c r="E1543" s="108" t="s">
        <v>471</v>
      </c>
      <c r="F1543" s="108" t="s">
        <v>851</v>
      </c>
      <c r="G1543" s="108" t="s">
        <v>406</v>
      </c>
      <c r="H1543" s="126"/>
      <c r="L1543" s="22"/>
      <c r="M1543" s="22"/>
      <c r="N1543" s="22"/>
      <c r="O1543" s="22"/>
      <c r="P1543" s="22"/>
      <c r="Q1543" s="22"/>
      <c r="R1543" s="24"/>
    </row>
    <row r="1544" spans="1:18" s="23" customFormat="1" ht="15.75">
      <c r="A1544" s="21"/>
      <c r="B1544" s="127" t="s">
        <v>407</v>
      </c>
      <c r="C1544" s="108" t="s">
        <v>410</v>
      </c>
      <c r="D1544" s="108" t="s">
        <v>73</v>
      </c>
      <c r="E1544" s="108" t="s">
        <v>471</v>
      </c>
      <c r="F1544" s="108" t="s">
        <v>851</v>
      </c>
      <c r="G1544" s="108" t="s">
        <v>408</v>
      </c>
      <c r="H1544" s="126"/>
      <c r="L1544" s="22"/>
      <c r="M1544" s="22"/>
      <c r="N1544" s="22"/>
      <c r="O1544" s="22"/>
      <c r="P1544" s="22"/>
      <c r="Q1544" s="22"/>
      <c r="R1544" s="24"/>
    </row>
    <row r="1545" spans="1:18" s="16" customFormat="1" ht="63">
      <c r="A1545" s="14"/>
      <c r="B1545" s="125" t="s">
        <v>852</v>
      </c>
      <c r="C1545" s="108" t="s">
        <v>410</v>
      </c>
      <c r="D1545" s="108" t="s">
        <v>73</v>
      </c>
      <c r="E1545" s="108" t="s">
        <v>471</v>
      </c>
      <c r="F1545" s="108" t="s">
        <v>853</v>
      </c>
      <c r="G1545" s="109" t="s">
        <v>9</v>
      </c>
      <c r="H1545" s="141">
        <f>H1546</f>
        <v>0</v>
      </c>
      <c r="L1545" s="32">
        <v>13943.86</v>
      </c>
      <c r="M1545" s="32">
        <v>8943.86</v>
      </c>
      <c r="N1545" s="32">
        <v>8943.86</v>
      </c>
      <c r="O1545" s="32">
        <f>H1545-L1545</f>
        <v>-13943.86</v>
      </c>
      <c r="P1545" s="32" t="e">
        <f>#REF!-M1545</f>
        <v>#REF!</v>
      </c>
      <c r="Q1545" s="32" t="e">
        <f>#REF!-N1545</f>
        <v>#REF!</v>
      </c>
      <c r="R1545" s="17" t="str">
        <f t="shared" si="181"/>
        <v>04 2 03 20570000</v>
      </c>
    </row>
    <row r="1546" spans="1:18" s="16" customFormat="1" ht="31.5">
      <c r="A1546" s="14"/>
      <c r="B1546" s="125" t="s">
        <v>28</v>
      </c>
      <c r="C1546" s="108" t="s">
        <v>410</v>
      </c>
      <c r="D1546" s="108" t="s">
        <v>73</v>
      </c>
      <c r="E1546" s="108" t="s">
        <v>471</v>
      </c>
      <c r="F1546" s="108" t="s">
        <v>853</v>
      </c>
      <c r="G1546" s="109" t="s">
        <v>29</v>
      </c>
      <c r="H1546" s="126">
        <f>H1547</f>
        <v>0</v>
      </c>
      <c r="L1546" s="32">
        <v>13943.86</v>
      </c>
      <c r="M1546" s="32">
        <v>8943.86</v>
      </c>
      <c r="N1546" s="32">
        <v>8943.86</v>
      </c>
      <c r="O1546" s="32">
        <f>H1546-L1546</f>
        <v>-13943.86</v>
      </c>
      <c r="P1546" s="32" t="e">
        <f>#REF!-M1546</f>
        <v>#REF!</v>
      </c>
      <c r="Q1546" s="32" t="e">
        <f>#REF!-N1546</f>
        <v>#REF!</v>
      </c>
      <c r="R1546" s="17" t="str">
        <f t="shared" si="181"/>
        <v>04 2 03 20570240</v>
      </c>
    </row>
    <row r="1547" spans="1:18" s="16" customFormat="1" ht="15.75">
      <c r="A1547" s="14"/>
      <c r="B1547" s="125" t="s">
        <v>30</v>
      </c>
      <c r="C1547" s="108" t="s">
        <v>410</v>
      </c>
      <c r="D1547" s="108" t="s">
        <v>73</v>
      </c>
      <c r="E1547" s="108" t="s">
        <v>471</v>
      </c>
      <c r="F1547" s="108" t="s">
        <v>853</v>
      </c>
      <c r="G1547" s="109" t="s">
        <v>31</v>
      </c>
      <c r="H1547" s="126"/>
      <c r="L1547" s="32"/>
      <c r="M1547" s="32"/>
      <c r="N1547" s="32"/>
      <c r="O1547" s="32"/>
      <c r="P1547" s="32"/>
      <c r="Q1547" s="32"/>
      <c r="R1547" s="17"/>
    </row>
    <row r="1548" spans="1:18" s="16" customFormat="1" ht="15.75">
      <c r="A1548" s="14"/>
      <c r="B1548" s="121" t="s">
        <v>284</v>
      </c>
      <c r="C1548" s="122" t="s">
        <v>410</v>
      </c>
      <c r="D1548" s="123" t="s">
        <v>73</v>
      </c>
      <c r="E1548" s="123" t="s">
        <v>57</v>
      </c>
      <c r="F1548" s="123" t="s">
        <v>8</v>
      </c>
      <c r="G1548" s="123" t="s">
        <v>9</v>
      </c>
      <c r="H1548" s="124">
        <f>H1549</f>
        <v>0</v>
      </c>
      <c r="L1548" s="19"/>
      <c r="M1548" s="19"/>
      <c r="N1548" s="19"/>
      <c r="O1548" s="32">
        <f>H1548-L1548</f>
        <v>0</v>
      </c>
      <c r="P1548" s="32" t="e">
        <f>#REF!-M1548</f>
        <v>#REF!</v>
      </c>
      <c r="Q1548" s="32" t="e">
        <f>#REF!-N1548</f>
        <v>#REF!</v>
      </c>
      <c r="R1548" s="17" t="str">
        <f t="shared" si="181"/>
        <v>00 0 00 00000000</v>
      </c>
    </row>
    <row r="1549" spans="1:18" s="16" customFormat="1" ht="63">
      <c r="A1549" s="14"/>
      <c r="B1549" s="125" t="s">
        <v>87</v>
      </c>
      <c r="C1549" s="108" t="s">
        <v>410</v>
      </c>
      <c r="D1549" s="108" t="s">
        <v>73</v>
      </c>
      <c r="E1549" s="108" t="s">
        <v>57</v>
      </c>
      <c r="F1549" s="108" t="s">
        <v>88</v>
      </c>
      <c r="G1549" s="109" t="s">
        <v>9</v>
      </c>
      <c r="H1549" s="141">
        <f>H1550</f>
        <v>0</v>
      </c>
      <c r="L1549" s="32"/>
      <c r="M1549" s="32"/>
      <c r="N1549" s="32"/>
      <c r="O1549" s="32">
        <f>H1549-L1549</f>
        <v>0</v>
      </c>
      <c r="P1549" s="32" t="e">
        <f>#REF!-M1549</f>
        <v>#REF!</v>
      </c>
      <c r="Q1549" s="32" t="e">
        <f>#REF!-N1549</f>
        <v>#REF!</v>
      </c>
      <c r="R1549" s="17" t="str">
        <f t="shared" si="181"/>
        <v>98 0 00 00000000</v>
      </c>
    </row>
    <row r="1550" spans="1:18" s="16" customFormat="1" ht="15.75">
      <c r="A1550" s="14"/>
      <c r="B1550" s="125" t="s">
        <v>89</v>
      </c>
      <c r="C1550" s="108" t="s">
        <v>410</v>
      </c>
      <c r="D1550" s="108" t="s">
        <v>73</v>
      </c>
      <c r="E1550" s="108" t="s">
        <v>57</v>
      </c>
      <c r="F1550" s="108" t="s">
        <v>90</v>
      </c>
      <c r="G1550" s="109" t="s">
        <v>9</v>
      </c>
      <c r="H1550" s="141">
        <f>H1551</f>
        <v>0</v>
      </c>
      <c r="L1550" s="32"/>
      <c r="M1550" s="32"/>
      <c r="N1550" s="32"/>
      <c r="O1550" s="32">
        <f>H1550-L1550</f>
        <v>0</v>
      </c>
      <c r="P1550" s="32" t="e">
        <f>#REF!-M1550</f>
        <v>#REF!</v>
      </c>
      <c r="Q1550" s="32" t="e">
        <f>#REF!-N1550</f>
        <v>#REF!</v>
      </c>
      <c r="R1550" s="17" t="str">
        <f t="shared" si="181"/>
        <v>98 1 00 00000000</v>
      </c>
    </row>
    <row r="1551" spans="1:18" s="16" customFormat="1" ht="31.5">
      <c r="A1551" s="14"/>
      <c r="B1551" s="125" t="s">
        <v>854</v>
      </c>
      <c r="C1551" s="108" t="s">
        <v>410</v>
      </c>
      <c r="D1551" s="108" t="s">
        <v>73</v>
      </c>
      <c r="E1551" s="108" t="s">
        <v>57</v>
      </c>
      <c r="F1551" s="108" t="s">
        <v>855</v>
      </c>
      <c r="G1551" s="109" t="s">
        <v>9</v>
      </c>
      <c r="H1551" s="141">
        <f>H1552</f>
        <v>0</v>
      </c>
      <c r="L1551" s="32"/>
      <c r="M1551" s="32"/>
      <c r="N1551" s="32"/>
      <c r="O1551" s="32">
        <f>H1551-L1551</f>
        <v>0</v>
      </c>
      <c r="P1551" s="32" t="e">
        <f>#REF!-M1551</f>
        <v>#REF!</v>
      </c>
      <c r="Q1551" s="32" t="e">
        <f>#REF!-N1551</f>
        <v>#REF!</v>
      </c>
      <c r="R1551" s="17" t="str">
        <f t="shared" si="181"/>
        <v>98 1 00 21540000</v>
      </c>
    </row>
    <row r="1552" spans="1:18" s="16" customFormat="1" ht="31.5">
      <c r="A1552" s="14"/>
      <c r="B1552" s="125" t="s">
        <v>28</v>
      </c>
      <c r="C1552" s="108" t="s">
        <v>410</v>
      </c>
      <c r="D1552" s="108" t="s">
        <v>73</v>
      </c>
      <c r="E1552" s="108" t="s">
        <v>57</v>
      </c>
      <c r="F1552" s="108" t="s">
        <v>855</v>
      </c>
      <c r="G1552" s="109" t="s">
        <v>29</v>
      </c>
      <c r="H1552" s="126">
        <f>H1553</f>
        <v>0</v>
      </c>
      <c r="L1552" s="32"/>
      <c r="M1552" s="32"/>
      <c r="N1552" s="32"/>
      <c r="O1552" s="32">
        <f>H1552-L1552</f>
        <v>0</v>
      </c>
      <c r="P1552" s="32" t="e">
        <f>#REF!-M1552</f>
        <v>#REF!</v>
      </c>
      <c r="Q1552" s="32" t="e">
        <f>#REF!-N1552</f>
        <v>#REF!</v>
      </c>
      <c r="R1552" s="17" t="str">
        <f t="shared" si="181"/>
        <v>98 1 00 21540240</v>
      </c>
    </row>
    <row r="1553" spans="1:18" s="16" customFormat="1" ht="15.75">
      <c r="A1553" s="14"/>
      <c r="B1553" s="125" t="s">
        <v>30</v>
      </c>
      <c r="C1553" s="108" t="s">
        <v>410</v>
      </c>
      <c r="D1553" s="108" t="s">
        <v>73</v>
      </c>
      <c r="E1553" s="108" t="s">
        <v>57</v>
      </c>
      <c r="F1553" s="108" t="s">
        <v>855</v>
      </c>
      <c r="G1553" s="109" t="s">
        <v>31</v>
      </c>
      <c r="H1553" s="126"/>
      <c r="L1553" s="32"/>
      <c r="M1553" s="32"/>
      <c r="N1553" s="32"/>
      <c r="O1553" s="32"/>
      <c r="P1553" s="32"/>
      <c r="Q1553" s="32"/>
      <c r="R1553" s="17"/>
    </row>
    <row r="1554" spans="1:18" s="16" customFormat="1" ht="15.75">
      <c r="A1554" s="14"/>
      <c r="B1554" s="117" t="s">
        <v>305</v>
      </c>
      <c r="C1554" s="118" t="s">
        <v>410</v>
      </c>
      <c r="D1554" s="119" t="s">
        <v>86</v>
      </c>
      <c r="E1554" s="119" t="s">
        <v>7</v>
      </c>
      <c r="F1554" s="119" t="s">
        <v>8</v>
      </c>
      <c r="G1554" s="119" t="s">
        <v>9</v>
      </c>
      <c r="H1554" s="120">
        <f>H1555+H1562+H1573+H1627</f>
        <v>0</v>
      </c>
      <c r="L1554" s="18">
        <v>281198.81</v>
      </c>
      <c r="M1554" s="18">
        <v>262546.57</v>
      </c>
      <c r="N1554" s="18">
        <v>265456.62</v>
      </c>
      <c r="O1554" s="18">
        <f t="shared" ref="O1554:O1560" si="182">H1554-L1554</f>
        <v>-281198.81</v>
      </c>
      <c r="P1554" s="18" t="e">
        <f>#REF!-M1554</f>
        <v>#REF!</v>
      </c>
      <c r="Q1554" s="18" t="e">
        <f>#REF!-N1554</f>
        <v>#REF!</v>
      </c>
      <c r="R1554" s="17" t="str">
        <f t="shared" si="181"/>
        <v>00 0 00 00000000</v>
      </c>
    </row>
    <row r="1555" spans="1:18" s="16" customFormat="1" ht="15.75">
      <c r="A1555" s="14"/>
      <c r="B1555" s="121" t="s">
        <v>765</v>
      </c>
      <c r="C1555" s="122" t="s">
        <v>410</v>
      </c>
      <c r="D1555" s="123" t="s">
        <v>86</v>
      </c>
      <c r="E1555" s="123" t="s">
        <v>11</v>
      </c>
      <c r="F1555" s="123" t="s">
        <v>8</v>
      </c>
      <c r="G1555" s="123" t="s">
        <v>9</v>
      </c>
      <c r="H1555" s="124">
        <f>H1556</f>
        <v>0</v>
      </c>
      <c r="L1555" s="19">
        <v>90</v>
      </c>
      <c r="M1555" s="19">
        <v>90</v>
      </c>
      <c r="N1555" s="19">
        <v>90</v>
      </c>
      <c r="O1555" s="19">
        <f t="shared" si="182"/>
        <v>-90</v>
      </c>
      <c r="P1555" s="19" t="e">
        <f>#REF!-M1555</f>
        <v>#REF!</v>
      </c>
      <c r="Q1555" s="19" t="e">
        <f>#REF!-N1555</f>
        <v>#REF!</v>
      </c>
      <c r="R1555" s="17" t="str">
        <f t="shared" si="181"/>
        <v>00 0 00 00000000</v>
      </c>
    </row>
    <row r="1556" spans="1:18" s="16" customFormat="1" ht="63">
      <c r="A1556" s="14"/>
      <c r="B1556" s="127" t="s">
        <v>293</v>
      </c>
      <c r="C1556" s="109" t="s">
        <v>410</v>
      </c>
      <c r="D1556" s="108" t="s">
        <v>86</v>
      </c>
      <c r="E1556" s="108" t="s">
        <v>11</v>
      </c>
      <c r="F1556" s="14" t="s">
        <v>294</v>
      </c>
      <c r="G1556" s="108" t="s">
        <v>9</v>
      </c>
      <c r="H1556" s="141">
        <f t="shared" ref="H1556:H1557" si="183">H1557</f>
        <v>0</v>
      </c>
      <c r="L1556" s="32">
        <v>90</v>
      </c>
      <c r="M1556" s="32">
        <v>90</v>
      </c>
      <c r="N1556" s="32">
        <v>90</v>
      </c>
      <c r="O1556" s="32">
        <f t="shared" si="182"/>
        <v>-90</v>
      </c>
      <c r="P1556" s="32" t="e">
        <f>#REF!-M1556</f>
        <v>#REF!</v>
      </c>
      <c r="Q1556" s="32" t="e">
        <f>#REF!-N1556</f>
        <v>#REF!</v>
      </c>
      <c r="R1556" s="17" t="str">
        <f t="shared" si="181"/>
        <v>04 0 00 00000000</v>
      </c>
    </row>
    <row r="1557" spans="1:18" s="16" customFormat="1" ht="31.5">
      <c r="A1557" s="14"/>
      <c r="B1557" s="125" t="s">
        <v>766</v>
      </c>
      <c r="C1557" s="109" t="s">
        <v>410</v>
      </c>
      <c r="D1557" s="108" t="s">
        <v>86</v>
      </c>
      <c r="E1557" s="108" t="s">
        <v>11</v>
      </c>
      <c r="F1557" s="14" t="s">
        <v>767</v>
      </c>
      <c r="G1557" s="108" t="s">
        <v>9</v>
      </c>
      <c r="H1557" s="141">
        <f t="shared" si="183"/>
        <v>0</v>
      </c>
      <c r="L1557" s="32">
        <v>90</v>
      </c>
      <c r="M1557" s="32">
        <v>90</v>
      </c>
      <c r="N1557" s="32">
        <v>90</v>
      </c>
      <c r="O1557" s="32">
        <f t="shared" si="182"/>
        <v>-90</v>
      </c>
      <c r="P1557" s="32" t="e">
        <f>#REF!-M1557</f>
        <v>#REF!</v>
      </c>
      <c r="Q1557" s="32" t="e">
        <f>#REF!-N1557</f>
        <v>#REF!</v>
      </c>
      <c r="R1557" s="17" t="str">
        <f t="shared" si="181"/>
        <v>04 1 00 00000000</v>
      </c>
    </row>
    <row r="1558" spans="1:18" s="16" customFormat="1" ht="47.25">
      <c r="A1558" s="14"/>
      <c r="B1558" s="125" t="s">
        <v>793</v>
      </c>
      <c r="C1558" s="109" t="s">
        <v>410</v>
      </c>
      <c r="D1558" s="108" t="s">
        <v>86</v>
      </c>
      <c r="E1558" s="108" t="s">
        <v>11</v>
      </c>
      <c r="F1558" s="14" t="s">
        <v>769</v>
      </c>
      <c r="G1558" s="108" t="s">
        <v>9</v>
      </c>
      <c r="H1558" s="141">
        <f>H1559</f>
        <v>0</v>
      </c>
      <c r="L1558" s="32">
        <v>90</v>
      </c>
      <c r="M1558" s="32">
        <v>90</v>
      </c>
      <c r="N1558" s="32">
        <v>90</v>
      </c>
      <c r="O1558" s="32">
        <f t="shared" si="182"/>
        <v>-90</v>
      </c>
      <c r="P1558" s="32" t="e">
        <f>#REF!-M1558</f>
        <v>#REF!</v>
      </c>
      <c r="Q1558" s="32" t="e">
        <f>#REF!-N1558</f>
        <v>#REF!</v>
      </c>
      <c r="R1558" s="17" t="str">
        <f t="shared" si="181"/>
        <v>04 1 01 00000000</v>
      </c>
    </row>
    <row r="1559" spans="1:18" s="16" customFormat="1" ht="31.5">
      <c r="A1559" s="14"/>
      <c r="B1559" s="125" t="s">
        <v>856</v>
      </c>
      <c r="C1559" s="109" t="s">
        <v>410</v>
      </c>
      <c r="D1559" s="108" t="s">
        <v>86</v>
      </c>
      <c r="E1559" s="108" t="s">
        <v>11</v>
      </c>
      <c r="F1559" s="14" t="s">
        <v>857</v>
      </c>
      <c r="G1559" s="108" t="s">
        <v>9</v>
      </c>
      <c r="H1559" s="141">
        <f>H1560</f>
        <v>0</v>
      </c>
      <c r="L1559" s="32">
        <v>90</v>
      </c>
      <c r="M1559" s="32">
        <v>90</v>
      </c>
      <c r="N1559" s="32">
        <v>90</v>
      </c>
      <c r="O1559" s="32">
        <f t="shared" si="182"/>
        <v>-90</v>
      </c>
      <c r="P1559" s="32" t="e">
        <f>#REF!-M1559</f>
        <v>#REF!</v>
      </c>
      <c r="Q1559" s="32" t="e">
        <f>#REF!-N1559</f>
        <v>#REF!</v>
      </c>
      <c r="R1559" s="17" t="str">
        <f t="shared" si="181"/>
        <v>04 1 01 20200000</v>
      </c>
    </row>
    <row r="1560" spans="1:18" s="16" customFormat="1" ht="31.5">
      <c r="A1560" s="14"/>
      <c r="B1560" s="125" t="s">
        <v>28</v>
      </c>
      <c r="C1560" s="108" t="s">
        <v>410</v>
      </c>
      <c r="D1560" s="108" t="s">
        <v>86</v>
      </c>
      <c r="E1560" s="108" t="s">
        <v>11</v>
      </c>
      <c r="F1560" s="14" t="s">
        <v>857</v>
      </c>
      <c r="G1560" s="108" t="s">
        <v>29</v>
      </c>
      <c r="H1560" s="126">
        <f>H1561</f>
        <v>0</v>
      </c>
      <c r="L1560" s="32">
        <v>90</v>
      </c>
      <c r="M1560" s="32">
        <v>90</v>
      </c>
      <c r="N1560" s="32">
        <v>90</v>
      </c>
      <c r="O1560" s="32">
        <f t="shared" si="182"/>
        <v>-90</v>
      </c>
      <c r="P1560" s="32" t="e">
        <f>#REF!-M1560</f>
        <v>#REF!</v>
      </c>
      <c r="Q1560" s="32" t="e">
        <f>#REF!-N1560</f>
        <v>#REF!</v>
      </c>
      <c r="R1560" s="17" t="str">
        <f t="shared" si="181"/>
        <v>04 1 01 20200240</v>
      </c>
    </row>
    <row r="1561" spans="1:18" s="16" customFormat="1" ht="15.75">
      <c r="A1561" s="14"/>
      <c r="B1561" s="125" t="s">
        <v>30</v>
      </c>
      <c r="C1561" s="108" t="s">
        <v>410</v>
      </c>
      <c r="D1561" s="108" t="s">
        <v>86</v>
      </c>
      <c r="E1561" s="108" t="s">
        <v>11</v>
      </c>
      <c r="F1561" s="14" t="s">
        <v>857</v>
      </c>
      <c r="G1561" s="108" t="s">
        <v>31</v>
      </c>
      <c r="H1561" s="126"/>
      <c r="L1561" s="32"/>
      <c r="M1561" s="32"/>
      <c r="N1561" s="32"/>
      <c r="O1561" s="32"/>
      <c r="P1561" s="32"/>
      <c r="Q1561" s="32"/>
      <c r="R1561" s="17"/>
    </row>
    <row r="1562" spans="1:18" s="16" customFormat="1" ht="15.75">
      <c r="A1562" s="14"/>
      <c r="B1562" s="121" t="s">
        <v>858</v>
      </c>
      <c r="C1562" s="122">
        <v>620</v>
      </c>
      <c r="D1562" s="123" t="s">
        <v>86</v>
      </c>
      <c r="E1562" s="123" t="s">
        <v>62</v>
      </c>
      <c r="F1562" s="123" t="s">
        <v>8</v>
      </c>
      <c r="G1562" s="123" t="s">
        <v>9</v>
      </c>
      <c r="H1562" s="124">
        <f t="shared" ref="H1562:H1565" si="184">H1563</f>
        <v>0</v>
      </c>
      <c r="L1562" s="19">
        <v>120</v>
      </c>
      <c r="M1562" s="19">
        <v>20</v>
      </c>
      <c r="N1562" s="19">
        <v>20</v>
      </c>
      <c r="O1562" s="19">
        <f t="shared" ref="O1562:O1567" si="185">H1562-L1562</f>
        <v>-120</v>
      </c>
      <c r="P1562" s="19" t="e">
        <f>#REF!-M1562</f>
        <v>#REF!</v>
      </c>
      <c r="Q1562" s="19" t="e">
        <f>#REF!-N1562</f>
        <v>#REF!</v>
      </c>
      <c r="R1562" s="17" t="str">
        <f t="shared" si="181"/>
        <v>00 0 00 00000000</v>
      </c>
    </row>
    <row r="1563" spans="1:18" s="16" customFormat="1" ht="63">
      <c r="A1563" s="14"/>
      <c r="B1563" s="127" t="s">
        <v>293</v>
      </c>
      <c r="C1563" s="133">
        <v>620</v>
      </c>
      <c r="D1563" s="108" t="s">
        <v>86</v>
      </c>
      <c r="E1563" s="108" t="s">
        <v>62</v>
      </c>
      <c r="F1563" s="14" t="s">
        <v>294</v>
      </c>
      <c r="G1563" s="108" t="s">
        <v>9</v>
      </c>
      <c r="H1563" s="141">
        <f t="shared" si="184"/>
        <v>0</v>
      </c>
      <c r="L1563" s="32">
        <v>120</v>
      </c>
      <c r="M1563" s="32">
        <v>20</v>
      </c>
      <c r="N1563" s="32">
        <v>20</v>
      </c>
      <c r="O1563" s="32">
        <f t="shared" si="185"/>
        <v>-120</v>
      </c>
      <c r="P1563" s="32" t="e">
        <f>#REF!-M1563</f>
        <v>#REF!</v>
      </c>
      <c r="Q1563" s="32" t="e">
        <f>#REF!-N1563</f>
        <v>#REF!</v>
      </c>
      <c r="R1563" s="17" t="str">
        <f t="shared" si="181"/>
        <v>04 0 00 00000000</v>
      </c>
    </row>
    <row r="1564" spans="1:18" s="16" customFormat="1" ht="31.5">
      <c r="A1564" s="14"/>
      <c r="B1564" s="125" t="s">
        <v>766</v>
      </c>
      <c r="C1564" s="133">
        <v>620</v>
      </c>
      <c r="D1564" s="108" t="s">
        <v>86</v>
      </c>
      <c r="E1564" s="108" t="s">
        <v>62</v>
      </c>
      <c r="F1564" s="14" t="s">
        <v>767</v>
      </c>
      <c r="G1564" s="108" t="s">
        <v>9</v>
      </c>
      <c r="H1564" s="141">
        <f>H1565+H1569</f>
        <v>0</v>
      </c>
      <c r="L1564" s="32">
        <v>120</v>
      </c>
      <c r="M1564" s="32">
        <v>20</v>
      </c>
      <c r="N1564" s="32">
        <v>20</v>
      </c>
      <c r="O1564" s="32">
        <f t="shared" si="185"/>
        <v>-120</v>
      </c>
      <c r="P1564" s="32" t="e">
        <f>#REF!-M1564</f>
        <v>#REF!</v>
      </c>
      <c r="Q1564" s="32" t="e">
        <f>#REF!-N1564</f>
        <v>#REF!</v>
      </c>
      <c r="R1564" s="17" t="str">
        <f t="shared" si="181"/>
        <v>04 1 00 00000000</v>
      </c>
    </row>
    <row r="1565" spans="1:18" s="16" customFormat="1" ht="63">
      <c r="A1565" s="14"/>
      <c r="B1565" s="125" t="s">
        <v>859</v>
      </c>
      <c r="C1565" s="133">
        <v>620</v>
      </c>
      <c r="D1565" s="108" t="s">
        <v>86</v>
      </c>
      <c r="E1565" s="108" t="s">
        <v>62</v>
      </c>
      <c r="F1565" s="14" t="s">
        <v>860</v>
      </c>
      <c r="G1565" s="108" t="s">
        <v>9</v>
      </c>
      <c r="H1565" s="141">
        <f t="shared" si="184"/>
        <v>0</v>
      </c>
      <c r="L1565" s="32">
        <v>20</v>
      </c>
      <c r="M1565" s="32">
        <v>20</v>
      </c>
      <c r="N1565" s="32">
        <v>20</v>
      </c>
      <c r="O1565" s="32">
        <f t="shared" si="185"/>
        <v>-20</v>
      </c>
      <c r="P1565" s="32" t="e">
        <f>#REF!-M1565</f>
        <v>#REF!</v>
      </c>
      <c r="Q1565" s="32" t="e">
        <f>#REF!-N1565</f>
        <v>#REF!</v>
      </c>
      <c r="R1565" s="17" t="str">
        <f t="shared" si="181"/>
        <v>04 1 02 00000000</v>
      </c>
    </row>
    <row r="1566" spans="1:18" s="16" customFormat="1" ht="31.5">
      <c r="A1566" s="14"/>
      <c r="B1566" s="125" t="s">
        <v>861</v>
      </c>
      <c r="C1566" s="133">
        <v>620</v>
      </c>
      <c r="D1566" s="108" t="s">
        <v>86</v>
      </c>
      <c r="E1566" s="108" t="s">
        <v>62</v>
      </c>
      <c r="F1566" s="14" t="s">
        <v>862</v>
      </c>
      <c r="G1566" s="108" t="s">
        <v>9</v>
      </c>
      <c r="H1566" s="141">
        <f>H1567</f>
        <v>0</v>
      </c>
      <c r="L1566" s="32">
        <v>20</v>
      </c>
      <c r="M1566" s="32">
        <v>20</v>
      </c>
      <c r="N1566" s="32">
        <v>20</v>
      </c>
      <c r="O1566" s="32">
        <f t="shared" si="185"/>
        <v>-20</v>
      </c>
      <c r="P1566" s="32" t="e">
        <f>#REF!-M1566</f>
        <v>#REF!</v>
      </c>
      <c r="Q1566" s="32" t="e">
        <f>#REF!-N1566</f>
        <v>#REF!</v>
      </c>
      <c r="R1566" s="17" t="str">
        <f t="shared" si="181"/>
        <v>04 1 02 20220000</v>
      </c>
    </row>
    <row r="1567" spans="1:18" s="16" customFormat="1" ht="31.5">
      <c r="A1567" s="14"/>
      <c r="B1567" s="125" t="s">
        <v>28</v>
      </c>
      <c r="C1567" s="108" t="s">
        <v>410</v>
      </c>
      <c r="D1567" s="108" t="s">
        <v>86</v>
      </c>
      <c r="E1567" s="108" t="s">
        <v>62</v>
      </c>
      <c r="F1567" s="14" t="s">
        <v>862</v>
      </c>
      <c r="G1567" s="108" t="s">
        <v>29</v>
      </c>
      <c r="H1567" s="126">
        <f>H1568</f>
        <v>0</v>
      </c>
      <c r="L1567" s="32">
        <v>20</v>
      </c>
      <c r="M1567" s="32">
        <v>20</v>
      </c>
      <c r="N1567" s="32">
        <v>20</v>
      </c>
      <c r="O1567" s="32">
        <f t="shared" si="185"/>
        <v>-20</v>
      </c>
      <c r="P1567" s="32" t="e">
        <f>#REF!-M1567</f>
        <v>#REF!</v>
      </c>
      <c r="Q1567" s="32" t="e">
        <f>#REF!-N1567</f>
        <v>#REF!</v>
      </c>
      <c r="R1567" s="17" t="str">
        <f t="shared" si="181"/>
        <v>04 1 02 20220240</v>
      </c>
    </row>
    <row r="1568" spans="1:18" s="16" customFormat="1" ht="15.75">
      <c r="A1568" s="14"/>
      <c r="B1568" s="125" t="s">
        <v>30</v>
      </c>
      <c r="C1568" s="108" t="s">
        <v>410</v>
      </c>
      <c r="D1568" s="108" t="s">
        <v>86</v>
      </c>
      <c r="E1568" s="108" t="s">
        <v>62</v>
      </c>
      <c r="F1568" s="14" t="s">
        <v>862</v>
      </c>
      <c r="G1568" s="108" t="s">
        <v>31</v>
      </c>
      <c r="H1568" s="126"/>
      <c r="L1568" s="32"/>
      <c r="M1568" s="32"/>
      <c r="N1568" s="32"/>
      <c r="O1568" s="32"/>
      <c r="P1568" s="32"/>
      <c r="Q1568" s="32"/>
      <c r="R1568" s="17"/>
    </row>
    <row r="1569" spans="1:18" s="16" customFormat="1" ht="63">
      <c r="A1569" s="14"/>
      <c r="B1569" s="125" t="s">
        <v>863</v>
      </c>
      <c r="C1569" s="133">
        <v>620</v>
      </c>
      <c r="D1569" s="108" t="s">
        <v>86</v>
      </c>
      <c r="E1569" s="108" t="s">
        <v>62</v>
      </c>
      <c r="F1569" s="14" t="s">
        <v>864</v>
      </c>
      <c r="G1569" s="108" t="s">
        <v>9</v>
      </c>
      <c r="H1569" s="141">
        <f>H1570</f>
        <v>0</v>
      </c>
      <c r="L1569" s="32">
        <v>100</v>
      </c>
      <c r="M1569" s="32">
        <v>0</v>
      </c>
      <c r="N1569" s="32">
        <v>0</v>
      </c>
      <c r="O1569" s="32">
        <f>H1569-L1569</f>
        <v>-100</v>
      </c>
      <c r="P1569" s="32" t="e">
        <f>#REF!-M1569</f>
        <v>#REF!</v>
      </c>
      <c r="Q1569" s="32" t="e">
        <f>#REF!-N1569</f>
        <v>#REF!</v>
      </c>
      <c r="R1569" s="17" t="str">
        <f t="shared" si="181"/>
        <v>04 1 03 00000000</v>
      </c>
    </row>
    <row r="1570" spans="1:18" s="16" customFormat="1" ht="31.5">
      <c r="A1570" s="14"/>
      <c r="B1570" s="125" t="s">
        <v>861</v>
      </c>
      <c r="C1570" s="133">
        <v>620</v>
      </c>
      <c r="D1570" s="108" t="s">
        <v>86</v>
      </c>
      <c r="E1570" s="108" t="s">
        <v>62</v>
      </c>
      <c r="F1570" s="14" t="s">
        <v>865</v>
      </c>
      <c r="G1570" s="108" t="s">
        <v>9</v>
      </c>
      <c r="H1570" s="141">
        <f>H1571</f>
        <v>0</v>
      </c>
      <c r="L1570" s="32">
        <v>100</v>
      </c>
      <c r="M1570" s="32">
        <v>0</v>
      </c>
      <c r="N1570" s="32">
        <v>0</v>
      </c>
      <c r="O1570" s="32">
        <f>H1570-L1570</f>
        <v>-100</v>
      </c>
      <c r="P1570" s="32" t="e">
        <f>#REF!-M1570</f>
        <v>#REF!</v>
      </c>
      <c r="Q1570" s="32" t="e">
        <f>#REF!-N1570</f>
        <v>#REF!</v>
      </c>
      <c r="R1570" s="17" t="str">
        <f t="shared" si="181"/>
        <v>04 1 03 20220000</v>
      </c>
    </row>
    <row r="1571" spans="1:18" s="16" customFormat="1" ht="31.5">
      <c r="A1571" s="14"/>
      <c r="B1571" s="125" t="s">
        <v>28</v>
      </c>
      <c r="C1571" s="133">
        <v>620</v>
      </c>
      <c r="D1571" s="108" t="s">
        <v>86</v>
      </c>
      <c r="E1571" s="108" t="s">
        <v>62</v>
      </c>
      <c r="F1571" s="14" t="s">
        <v>865</v>
      </c>
      <c r="G1571" s="108" t="s">
        <v>29</v>
      </c>
      <c r="H1571" s="126">
        <f>H1572</f>
        <v>0</v>
      </c>
      <c r="L1571" s="32">
        <v>100</v>
      </c>
      <c r="M1571" s="32">
        <v>0</v>
      </c>
      <c r="N1571" s="32">
        <v>0</v>
      </c>
      <c r="O1571" s="32">
        <f>H1571-L1571</f>
        <v>-100</v>
      </c>
      <c r="P1571" s="32" t="e">
        <f>#REF!-M1571</f>
        <v>#REF!</v>
      </c>
      <c r="Q1571" s="32" t="e">
        <f>#REF!-N1571</f>
        <v>#REF!</v>
      </c>
      <c r="R1571" s="17" t="str">
        <f t="shared" si="181"/>
        <v>04 1 03 20220240</v>
      </c>
    </row>
    <row r="1572" spans="1:18" s="16" customFormat="1" ht="15.75">
      <c r="A1572" s="14"/>
      <c r="B1572" s="125" t="s">
        <v>30</v>
      </c>
      <c r="C1572" s="133">
        <v>620</v>
      </c>
      <c r="D1572" s="108" t="s">
        <v>86</v>
      </c>
      <c r="E1572" s="108" t="s">
        <v>62</v>
      </c>
      <c r="F1572" s="14" t="s">
        <v>865</v>
      </c>
      <c r="G1572" s="108" t="s">
        <v>31</v>
      </c>
      <c r="H1572" s="126"/>
      <c r="L1572" s="32"/>
      <c r="M1572" s="32"/>
      <c r="N1572" s="32"/>
      <c r="O1572" s="32"/>
      <c r="P1572" s="32"/>
      <c r="Q1572" s="32"/>
      <c r="R1572" s="17"/>
    </row>
    <row r="1573" spans="1:18" s="16" customFormat="1" ht="15.75">
      <c r="A1573" s="14"/>
      <c r="B1573" s="121" t="s">
        <v>306</v>
      </c>
      <c r="C1573" s="122" t="s">
        <v>410</v>
      </c>
      <c r="D1573" s="123" t="s">
        <v>86</v>
      </c>
      <c r="E1573" s="123" t="s">
        <v>13</v>
      </c>
      <c r="F1573" s="123" t="s">
        <v>8</v>
      </c>
      <c r="G1573" s="123" t="s">
        <v>9</v>
      </c>
      <c r="H1573" s="124">
        <f>H1574+H1607+H1613</f>
        <v>0</v>
      </c>
      <c r="L1573" s="19">
        <v>232730.36</v>
      </c>
      <c r="M1573" s="19">
        <v>214178.12</v>
      </c>
      <c r="N1573" s="19">
        <v>217088.16999999998</v>
      </c>
      <c r="O1573" s="19">
        <f t="shared" ref="O1573:O1578" si="186">H1573-L1573</f>
        <v>-232730.36</v>
      </c>
      <c r="P1573" s="19" t="e">
        <f>#REF!-M1573</f>
        <v>#REF!</v>
      </c>
      <c r="Q1573" s="19" t="e">
        <f>#REF!-N1573</f>
        <v>#REF!</v>
      </c>
      <c r="R1573" s="17" t="str">
        <f t="shared" si="181"/>
        <v>00 0 00 00000000</v>
      </c>
    </row>
    <row r="1574" spans="1:18" s="16" customFormat="1" ht="63">
      <c r="A1574" s="14"/>
      <c r="B1574" s="127" t="s">
        <v>293</v>
      </c>
      <c r="C1574" s="108" t="s">
        <v>410</v>
      </c>
      <c r="D1574" s="108" t="s">
        <v>86</v>
      </c>
      <c r="E1574" s="108" t="s">
        <v>13</v>
      </c>
      <c r="F1574" s="108" t="s">
        <v>294</v>
      </c>
      <c r="G1574" s="108" t="s">
        <v>9</v>
      </c>
      <c r="H1574" s="141">
        <f>H1575</f>
        <v>0</v>
      </c>
      <c r="L1574" s="32">
        <v>223074.72999999998</v>
      </c>
      <c r="M1574" s="32">
        <v>201612.44</v>
      </c>
      <c r="N1574" s="32">
        <v>201612.44</v>
      </c>
      <c r="O1574" s="32">
        <f t="shared" si="186"/>
        <v>-223074.72999999998</v>
      </c>
      <c r="P1574" s="32" t="e">
        <f>#REF!-M1574</f>
        <v>#REF!</v>
      </c>
      <c r="Q1574" s="32" t="e">
        <f>#REF!-N1574</f>
        <v>#REF!</v>
      </c>
      <c r="R1574" s="17" t="str">
        <f t="shared" si="181"/>
        <v>04 0 00 00000000</v>
      </c>
    </row>
    <row r="1575" spans="1:18" s="16" customFormat="1" ht="31.5">
      <c r="A1575" s="14"/>
      <c r="B1575" s="125" t="s">
        <v>307</v>
      </c>
      <c r="C1575" s="108" t="s">
        <v>410</v>
      </c>
      <c r="D1575" s="108" t="s">
        <v>86</v>
      </c>
      <c r="E1575" s="108" t="s">
        <v>13</v>
      </c>
      <c r="F1575" s="108" t="s">
        <v>308</v>
      </c>
      <c r="G1575" s="108" t="s">
        <v>9</v>
      </c>
      <c r="H1575" s="141">
        <f>H1576+H1580+H1584</f>
        <v>0</v>
      </c>
      <c r="L1575" s="32">
        <v>223074.72999999998</v>
      </c>
      <c r="M1575" s="32">
        <v>201612.44</v>
      </c>
      <c r="N1575" s="32">
        <v>201612.44</v>
      </c>
      <c r="O1575" s="32">
        <f t="shared" si="186"/>
        <v>-223074.72999999998</v>
      </c>
      <c r="P1575" s="32" t="e">
        <f>#REF!-M1575</f>
        <v>#REF!</v>
      </c>
      <c r="Q1575" s="32" t="e">
        <f>#REF!-N1575</f>
        <v>#REF!</v>
      </c>
      <c r="R1575" s="17" t="str">
        <f t="shared" si="181"/>
        <v>04 3 00 00000000</v>
      </c>
    </row>
    <row r="1576" spans="1:18" s="16" customFormat="1" ht="47.25">
      <c r="A1576" s="14"/>
      <c r="B1576" s="125" t="s">
        <v>866</v>
      </c>
      <c r="C1576" s="108" t="s">
        <v>410</v>
      </c>
      <c r="D1576" s="108" t="s">
        <v>86</v>
      </c>
      <c r="E1576" s="108" t="s">
        <v>13</v>
      </c>
      <c r="F1576" s="108" t="s">
        <v>867</v>
      </c>
      <c r="G1576" s="108" t="s">
        <v>9</v>
      </c>
      <c r="H1576" s="141">
        <f>H1577</f>
        <v>0</v>
      </c>
      <c r="L1576" s="32">
        <v>21821.77</v>
      </c>
      <c r="M1576" s="32">
        <v>16821.77</v>
      </c>
      <c r="N1576" s="32">
        <v>16821.77</v>
      </c>
      <c r="O1576" s="32">
        <f t="shared" si="186"/>
        <v>-21821.77</v>
      </c>
      <c r="P1576" s="32" t="e">
        <f>#REF!-M1576</f>
        <v>#REF!</v>
      </c>
      <c r="Q1576" s="32" t="e">
        <f>#REF!-N1576</f>
        <v>#REF!</v>
      </c>
      <c r="R1576" s="17" t="str">
        <f t="shared" si="181"/>
        <v>04 3 02 00000000</v>
      </c>
    </row>
    <row r="1577" spans="1:18" s="16" customFormat="1" ht="47.25">
      <c r="A1577" s="14"/>
      <c r="B1577" s="125" t="s">
        <v>868</v>
      </c>
      <c r="C1577" s="108" t="s">
        <v>410</v>
      </c>
      <c r="D1577" s="108" t="s">
        <v>86</v>
      </c>
      <c r="E1577" s="108" t="s">
        <v>13</v>
      </c>
      <c r="F1577" s="108" t="s">
        <v>869</v>
      </c>
      <c r="G1577" s="108" t="s">
        <v>9</v>
      </c>
      <c r="H1577" s="141">
        <f>H1578</f>
        <v>0</v>
      </c>
      <c r="L1577" s="32">
        <v>21821.77</v>
      </c>
      <c r="M1577" s="32">
        <v>16821.77</v>
      </c>
      <c r="N1577" s="32">
        <v>16821.77</v>
      </c>
      <c r="O1577" s="32">
        <f t="shared" si="186"/>
        <v>-21821.77</v>
      </c>
      <c r="P1577" s="32" t="e">
        <f>#REF!-M1577</f>
        <v>#REF!</v>
      </c>
      <c r="Q1577" s="32" t="e">
        <f>#REF!-N1577</f>
        <v>#REF!</v>
      </c>
      <c r="R1577" s="17" t="str">
        <f t="shared" si="181"/>
        <v>04 3 02 20290000</v>
      </c>
    </row>
    <row r="1578" spans="1:18" s="16" customFormat="1" ht="31.5">
      <c r="A1578" s="14"/>
      <c r="B1578" s="125" t="s">
        <v>28</v>
      </c>
      <c r="C1578" s="108" t="s">
        <v>410</v>
      </c>
      <c r="D1578" s="108" t="s">
        <v>86</v>
      </c>
      <c r="E1578" s="108" t="s">
        <v>13</v>
      </c>
      <c r="F1578" s="108" t="s">
        <v>869</v>
      </c>
      <c r="G1578" s="108" t="s">
        <v>29</v>
      </c>
      <c r="H1578" s="126">
        <f>H1579</f>
        <v>0</v>
      </c>
      <c r="L1578" s="32">
        <v>21821.77</v>
      </c>
      <c r="M1578" s="32">
        <v>16821.77</v>
      </c>
      <c r="N1578" s="32">
        <v>16821.77</v>
      </c>
      <c r="O1578" s="32">
        <f t="shared" si="186"/>
        <v>-21821.77</v>
      </c>
      <c r="P1578" s="32" t="e">
        <f>#REF!-M1578</f>
        <v>#REF!</v>
      </c>
      <c r="Q1578" s="32" t="e">
        <f>#REF!-N1578</f>
        <v>#REF!</v>
      </c>
      <c r="R1578" s="17" t="str">
        <f t="shared" si="181"/>
        <v>04 3 02 20290240</v>
      </c>
    </row>
    <row r="1579" spans="1:18" s="16" customFormat="1" ht="15.75">
      <c r="A1579" s="14"/>
      <c r="B1579" s="125" t="s">
        <v>30</v>
      </c>
      <c r="C1579" s="108" t="s">
        <v>410</v>
      </c>
      <c r="D1579" s="108" t="s">
        <v>86</v>
      </c>
      <c r="E1579" s="108" t="s">
        <v>13</v>
      </c>
      <c r="F1579" s="108" t="s">
        <v>869</v>
      </c>
      <c r="G1579" s="108" t="s">
        <v>31</v>
      </c>
      <c r="H1579" s="126"/>
      <c r="L1579" s="32"/>
      <c r="M1579" s="32"/>
      <c r="N1579" s="32"/>
      <c r="O1579" s="32"/>
      <c r="P1579" s="32"/>
      <c r="Q1579" s="32"/>
      <c r="R1579" s="17"/>
    </row>
    <row r="1580" spans="1:18" s="16" customFormat="1" ht="47.25">
      <c r="A1580" s="14"/>
      <c r="B1580" s="125" t="s">
        <v>870</v>
      </c>
      <c r="C1580" s="108" t="s">
        <v>410</v>
      </c>
      <c r="D1580" s="108" t="s">
        <v>86</v>
      </c>
      <c r="E1580" s="108" t="s">
        <v>13</v>
      </c>
      <c r="F1580" s="108" t="s">
        <v>871</v>
      </c>
      <c r="G1580" s="108" t="s">
        <v>9</v>
      </c>
      <c r="H1580" s="141">
        <f t="shared" ref="H1580:H1581" si="187">H1581</f>
        <v>0</v>
      </c>
      <c r="L1580" s="32">
        <v>2284.56</v>
      </c>
      <c r="M1580" s="32">
        <v>2284.56</v>
      </c>
      <c r="N1580" s="32">
        <v>2284.56</v>
      </c>
      <c r="O1580" s="32">
        <f>H1580-L1580</f>
        <v>-2284.56</v>
      </c>
      <c r="P1580" s="32" t="e">
        <f>#REF!-M1580</f>
        <v>#REF!</v>
      </c>
      <c r="Q1580" s="32" t="e">
        <f>#REF!-N1580</f>
        <v>#REF!</v>
      </c>
      <c r="R1580" s="17" t="str">
        <f t="shared" si="181"/>
        <v>04 3 03 00000000</v>
      </c>
    </row>
    <row r="1581" spans="1:18" s="16" customFormat="1" ht="47.25">
      <c r="A1581" s="14" t="s">
        <v>80</v>
      </c>
      <c r="B1581" s="125" t="s">
        <v>872</v>
      </c>
      <c r="C1581" s="108" t="s">
        <v>410</v>
      </c>
      <c r="D1581" s="108" t="s">
        <v>86</v>
      </c>
      <c r="E1581" s="108" t="s">
        <v>13</v>
      </c>
      <c r="F1581" s="108" t="s">
        <v>873</v>
      </c>
      <c r="G1581" s="108" t="s">
        <v>9</v>
      </c>
      <c r="H1581" s="141">
        <f t="shared" si="187"/>
        <v>0</v>
      </c>
      <c r="L1581" s="32">
        <v>2284.56</v>
      </c>
      <c r="M1581" s="32">
        <v>2284.56</v>
      </c>
      <c r="N1581" s="32">
        <v>2284.56</v>
      </c>
      <c r="O1581" s="32">
        <f>H1581-L1581</f>
        <v>-2284.56</v>
      </c>
      <c r="P1581" s="32" t="e">
        <f>#REF!-M1581</f>
        <v>#REF!</v>
      </c>
      <c r="Q1581" s="32" t="e">
        <f>#REF!-N1581</f>
        <v>#REF!</v>
      </c>
      <c r="R1581" s="17" t="str">
        <f t="shared" si="181"/>
        <v>04 3 03 77150000</v>
      </c>
    </row>
    <row r="1582" spans="1:18" s="16" customFormat="1" ht="31.5">
      <c r="A1582" s="14"/>
      <c r="B1582" s="125" t="s">
        <v>28</v>
      </c>
      <c r="C1582" s="108" t="s">
        <v>410</v>
      </c>
      <c r="D1582" s="108" t="s">
        <v>86</v>
      </c>
      <c r="E1582" s="108" t="s">
        <v>13</v>
      </c>
      <c r="F1582" s="108" t="s">
        <v>873</v>
      </c>
      <c r="G1582" s="108" t="s">
        <v>29</v>
      </c>
      <c r="H1582" s="126">
        <f>H1583</f>
        <v>0</v>
      </c>
      <c r="L1582" s="32">
        <v>2284.56</v>
      </c>
      <c r="M1582" s="32">
        <v>2284.56</v>
      </c>
      <c r="N1582" s="32">
        <v>2284.56</v>
      </c>
      <c r="O1582" s="32">
        <f>H1582-L1582</f>
        <v>-2284.56</v>
      </c>
      <c r="P1582" s="32" t="e">
        <f>#REF!-M1582</f>
        <v>#REF!</v>
      </c>
      <c r="Q1582" s="32" t="e">
        <f>#REF!-N1582</f>
        <v>#REF!</v>
      </c>
      <c r="R1582" s="17" t="str">
        <f t="shared" si="181"/>
        <v>04 3 03 77150240</v>
      </c>
    </row>
    <row r="1583" spans="1:18" s="16" customFormat="1" ht="15.75">
      <c r="A1583" s="14"/>
      <c r="B1583" s="125" t="s">
        <v>30</v>
      </c>
      <c r="C1583" s="108" t="s">
        <v>410</v>
      </c>
      <c r="D1583" s="108" t="s">
        <v>86</v>
      </c>
      <c r="E1583" s="108" t="s">
        <v>13</v>
      </c>
      <c r="F1583" s="108" t="s">
        <v>873</v>
      </c>
      <c r="G1583" s="108" t="s">
        <v>31</v>
      </c>
      <c r="H1583" s="126"/>
      <c r="L1583" s="32"/>
      <c r="M1583" s="32"/>
      <c r="N1583" s="32"/>
      <c r="O1583" s="32"/>
      <c r="P1583" s="32"/>
      <c r="Q1583" s="32"/>
      <c r="R1583" s="17"/>
    </row>
    <row r="1584" spans="1:18" s="16" customFormat="1" ht="31.5">
      <c r="A1584" s="14"/>
      <c r="B1584" s="138" t="s">
        <v>309</v>
      </c>
      <c r="C1584" s="108" t="s">
        <v>410</v>
      </c>
      <c r="D1584" s="108" t="s">
        <v>86</v>
      </c>
      <c r="E1584" s="108" t="s">
        <v>13</v>
      </c>
      <c r="F1584" s="108" t="s">
        <v>310</v>
      </c>
      <c r="G1584" s="108" t="s">
        <v>9</v>
      </c>
      <c r="H1584" s="141">
        <f>H1585+H1588+H1591+H1598+H1601+H1604</f>
        <v>0</v>
      </c>
      <c r="L1584" s="32">
        <v>198968.4</v>
      </c>
      <c r="M1584" s="32">
        <v>182506.11</v>
      </c>
      <c r="N1584" s="32">
        <v>182506.11</v>
      </c>
      <c r="O1584" s="32">
        <f>H1584-L1584</f>
        <v>-198968.4</v>
      </c>
      <c r="P1584" s="32" t="e">
        <f>#REF!-M1584</f>
        <v>#REF!</v>
      </c>
      <c r="Q1584" s="32" t="e">
        <f>#REF!-N1584</f>
        <v>#REF!</v>
      </c>
      <c r="R1584" s="17" t="str">
        <f t="shared" si="181"/>
        <v>04 3 04 00000000</v>
      </c>
    </row>
    <row r="1585" spans="1:18" s="16" customFormat="1" ht="31.5">
      <c r="A1585" s="14"/>
      <c r="B1585" s="125" t="s">
        <v>136</v>
      </c>
      <c r="C1585" s="108" t="s">
        <v>410</v>
      </c>
      <c r="D1585" s="108" t="s">
        <v>86</v>
      </c>
      <c r="E1585" s="108" t="s">
        <v>13</v>
      </c>
      <c r="F1585" s="108" t="s">
        <v>874</v>
      </c>
      <c r="G1585" s="108" t="s">
        <v>9</v>
      </c>
      <c r="H1585" s="141">
        <f>H1586</f>
        <v>0</v>
      </c>
      <c r="L1585" s="32">
        <v>17734.23</v>
      </c>
      <c r="M1585" s="32">
        <v>17734.23</v>
      </c>
      <c r="N1585" s="32">
        <v>17734.23</v>
      </c>
      <c r="O1585" s="32">
        <f>H1585-L1585</f>
        <v>-17734.23</v>
      </c>
      <c r="P1585" s="32" t="e">
        <f>#REF!-M1585</f>
        <v>#REF!</v>
      </c>
      <c r="Q1585" s="32" t="e">
        <f>#REF!-N1585</f>
        <v>#REF!</v>
      </c>
      <c r="R1585" s="17" t="str">
        <f t="shared" si="181"/>
        <v>04 3 04 11010000</v>
      </c>
    </row>
    <row r="1586" spans="1:18" s="16" customFormat="1" ht="15.75">
      <c r="A1586" s="14"/>
      <c r="B1586" s="132" t="s">
        <v>403</v>
      </c>
      <c r="C1586" s="108" t="s">
        <v>410</v>
      </c>
      <c r="D1586" s="108" t="s">
        <v>86</v>
      </c>
      <c r="E1586" s="108" t="s">
        <v>13</v>
      </c>
      <c r="F1586" s="108" t="s">
        <v>874</v>
      </c>
      <c r="G1586" s="108" t="s">
        <v>404</v>
      </c>
      <c r="H1586" s="126">
        <f>H1587</f>
        <v>0</v>
      </c>
      <c r="L1586" s="32">
        <v>17734.23</v>
      </c>
      <c r="M1586" s="32">
        <v>17734.23</v>
      </c>
      <c r="N1586" s="32">
        <v>17734.23</v>
      </c>
      <c r="O1586" s="32">
        <f>H1586-L1586</f>
        <v>-17734.23</v>
      </c>
      <c r="P1586" s="32" t="e">
        <f>#REF!-M1586</f>
        <v>#REF!</v>
      </c>
      <c r="Q1586" s="32" t="e">
        <f>#REF!-N1586</f>
        <v>#REF!</v>
      </c>
      <c r="R1586" s="17" t="str">
        <f t="shared" si="181"/>
        <v>04 3 04 11010610</v>
      </c>
    </row>
    <row r="1587" spans="1:18" s="23" customFormat="1" ht="63">
      <c r="A1587" s="21"/>
      <c r="B1587" s="127" t="s">
        <v>405</v>
      </c>
      <c r="C1587" s="108" t="s">
        <v>410</v>
      </c>
      <c r="D1587" s="108" t="s">
        <v>86</v>
      </c>
      <c r="E1587" s="108" t="s">
        <v>13</v>
      </c>
      <c r="F1587" s="108" t="s">
        <v>874</v>
      </c>
      <c r="G1587" s="108" t="s">
        <v>406</v>
      </c>
      <c r="H1587" s="126"/>
      <c r="L1587" s="63"/>
      <c r="M1587" s="63"/>
      <c r="N1587" s="63"/>
      <c r="O1587" s="63"/>
      <c r="P1587" s="63"/>
      <c r="Q1587" s="63"/>
      <c r="R1587" s="24"/>
    </row>
    <row r="1588" spans="1:18" s="16" customFormat="1" ht="31.5">
      <c r="A1588" s="14"/>
      <c r="B1588" s="125" t="s">
        <v>875</v>
      </c>
      <c r="C1588" s="108" t="s">
        <v>410</v>
      </c>
      <c r="D1588" s="108" t="s">
        <v>86</v>
      </c>
      <c r="E1588" s="108" t="s">
        <v>13</v>
      </c>
      <c r="F1588" s="108" t="s">
        <v>876</v>
      </c>
      <c r="G1588" s="108" t="s">
        <v>9</v>
      </c>
      <c r="H1588" s="141">
        <f>H1589</f>
        <v>0</v>
      </c>
      <c r="L1588" s="32">
        <v>108492.62</v>
      </c>
      <c r="M1588" s="32">
        <v>105992.62</v>
      </c>
      <c r="N1588" s="32">
        <v>105992.62</v>
      </c>
      <c r="O1588" s="32">
        <f>H1588-L1588</f>
        <v>-108492.62</v>
      </c>
      <c r="P1588" s="32" t="e">
        <f>#REF!-M1588</f>
        <v>#REF!</v>
      </c>
      <c r="Q1588" s="32" t="e">
        <f>#REF!-N1588</f>
        <v>#REF!</v>
      </c>
      <c r="R1588" s="17" t="str">
        <f t="shared" si="181"/>
        <v>04 3 04 20280000</v>
      </c>
    </row>
    <row r="1589" spans="1:18" s="16" customFormat="1" ht="31.5">
      <c r="A1589" s="14"/>
      <c r="B1589" s="125" t="s">
        <v>28</v>
      </c>
      <c r="C1589" s="108" t="s">
        <v>410</v>
      </c>
      <c r="D1589" s="108" t="s">
        <v>86</v>
      </c>
      <c r="E1589" s="108" t="s">
        <v>13</v>
      </c>
      <c r="F1589" s="108" t="s">
        <v>876</v>
      </c>
      <c r="G1589" s="108" t="s">
        <v>29</v>
      </c>
      <c r="H1589" s="126">
        <f>H1590</f>
        <v>0</v>
      </c>
      <c r="L1589" s="32">
        <v>108492.62</v>
      </c>
      <c r="M1589" s="32">
        <v>105992.62</v>
      </c>
      <c r="N1589" s="32">
        <v>105992.62</v>
      </c>
      <c r="O1589" s="32">
        <f>H1589-L1589</f>
        <v>-108492.62</v>
      </c>
      <c r="P1589" s="32" t="e">
        <f>#REF!-M1589</f>
        <v>#REF!</v>
      </c>
      <c r="Q1589" s="32" t="e">
        <f>#REF!-N1589</f>
        <v>#REF!</v>
      </c>
      <c r="R1589" s="17" t="str">
        <f t="shared" si="181"/>
        <v>04 3 04 20280240</v>
      </c>
    </row>
    <row r="1590" spans="1:18" s="16" customFormat="1" ht="15.75">
      <c r="A1590" s="14"/>
      <c r="B1590" s="125" t="s">
        <v>30</v>
      </c>
      <c r="C1590" s="108" t="s">
        <v>410</v>
      </c>
      <c r="D1590" s="108" t="s">
        <v>86</v>
      </c>
      <c r="E1590" s="108" t="s">
        <v>13</v>
      </c>
      <c r="F1590" s="108" t="s">
        <v>876</v>
      </c>
      <c r="G1590" s="108" t="s">
        <v>31</v>
      </c>
      <c r="H1590" s="126"/>
      <c r="L1590" s="32"/>
      <c r="M1590" s="32"/>
      <c r="N1590" s="32"/>
      <c r="O1590" s="32"/>
      <c r="P1590" s="32"/>
      <c r="Q1590" s="32"/>
      <c r="R1590" s="17"/>
    </row>
    <row r="1591" spans="1:18" s="16" customFormat="1" ht="31.5">
      <c r="A1591" s="14"/>
      <c r="B1591" s="125" t="s">
        <v>542</v>
      </c>
      <c r="C1591" s="108" t="s">
        <v>410</v>
      </c>
      <c r="D1591" s="108" t="s">
        <v>86</v>
      </c>
      <c r="E1591" s="108" t="s">
        <v>13</v>
      </c>
      <c r="F1591" s="108" t="s">
        <v>543</v>
      </c>
      <c r="G1591" s="108" t="s">
        <v>9</v>
      </c>
      <c r="H1591" s="141">
        <f>H1592+H1596+H1594</f>
        <v>0</v>
      </c>
      <c r="L1591" s="32">
        <v>10131.51</v>
      </c>
      <c r="M1591" s="32">
        <v>8531.51</v>
      </c>
      <c r="N1591" s="32">
        <v>8531.51</v>
      </c>
      <c r="O1591" s="32">
        <f>H1591-L1591</f>
        <v>-10131.51</v>
      </c>
      <c r="P1591" s="32" t="e">
        <f>#REF!-M1591</f>
        <v>#REF!</v>
      </c>
      <c r="Q1591" s="32" t="e">
        <f>#REF!-N1591</f>
        <v>#REF!</v>
      </c>
      <c r="R1591" s="17" t="str">
        <f t="shared" si="181"/>
        <v>04 3 04 20300000</v>
      </c>
    </row>
    <row r="1592" spans="1:18" s="16" customFormat="1" ht="31.5">
      <c r="A1592" s="14"/>
      <c r="B1592" s="125" t="s">
        <v>28</v>
      </c>
      <c r="C1592" s="108" t="s">
        <v>410</v>
      </c>
      <c r="D1592" s="108" t="s">
        <v>86</v>
      </c>
      <c r="E1592" s="108" t="s">
        <v>13</v>
      </c>
      <c r="F1592" s="108" t="s">
        <v>543</v>
      </c>
      <c r="G1592" s="108" t="s">
        <v>29</v>
      </c>
      <c r="H1592" s="126">
        <f>H1593</f>
        <v>0</v>
      </c>
      <c r="L1592" s="32">
        <v>9881.51</v>
      </c>
      <c r="M1592" s="32">
        <v>8381.51</v>
      </c>
      <c r="N1592" s="32">
        <v>8381.51</v>
      </c>
      <c r="O1592" s="32">
        <f>H1592-L1592</f>
        <v>-9881.51</v>
      </c>
      <c r="P1592" s="32" t="e">
        <f>#REF!-M1592</f>
        <v>#REF!</v>
      </c>
      <c r="Q1592" s="32" t="e">
        <f>#REF!-N1592</f>
        <v>#REF!</v>
      </c>
      <c r="R1592" s="17" t="str">
        <f t="shared" si="181"/>
        <v>04 3 04 20300240</v>
      </c>
    </row>
    <row r="1593" spans="1:18" s="16" customFormat="1" ht="15.75">
      <c r="A1593" s="14"/>
      <c r="B1593" s="125" t="s">
        <v>30</v>
      </c>
      <c r="C1593" s="108" t="s">
        <v>410</v>
      </c>
      <c r="D1593" s="108" t="s">
        <v>86</v>
      </c>
      <c r="E1593" s="108" t="s">
        <v>13</v>
      </c>
      <c r="F1593" s="108" t="s">
        <v>543</v>
      </c>
      <c r="G1593" s="108" t="s">
        <v>31</v>
      </c>
      <c r="H1593" s="126"/>
      <c r="L1593" s="32"/>
      <c r="M1593" s="32"/>
      <c r="N1593" s="32"/>
      <c r="O1593" s="32"/>
      <c r="P1593" s="32"/>
      <c r="Q1593" s="32"/>
      <c r="R1593" s="17"/>
    </row>
    <row r="1594" spans="1:18" s="16" customFormat="1" ht="15.75">
      <c r="A1594" s="14"/>
      <c r="B1594" s="125" t="s">
        <v>837</v>
      </c>
      <c r="C1594" s="108" t="s">
        <v>410</v>
      </c>
      <c r="D1594" s="108" t="s">
        <v>86</v>
      </c>
      <c r="E1594" s="108" t="s">
        <v>13</v>
      </c>
      <c r="F1594" s="108" t="s">
        <v>543</v>
      </c>
      <c r="G1594" s="109" t="s">
        <v>838</v>
      </c>
      <c r="H1594" s="126">
        <f>H1595</f>
        <v>0</v>
      </c>
      <c r="L1594" s="32">
        <v>100</v>
      </c>
      <c r="M1594" s="32">
        <v>0</v>
      </c>
      <c r="N1594" s="32">
        <v>0</v>
      </c>
      <c r="O1594" s="32">
        <f>H1594-L1594</f>
        <v>-100</v>
      </c>
      <c r="P1594" s="32" t="e">
        <f>#REF!-M1594</f>
        <v>#REF!</v>
      </c>
      <c r="Q1594" s="32" t="e">
        <f>#REF!-N1594</f>
        <v>#REF!</v>
      </c>
      <c r="R1594" s="17" t="str">
        <f t="shared" si="181"/>
        <v>04 3 04 20300410</v>
      </c>
    </row>
    <row r="1595" spans="1:18" s="16" customFormat="1" ht="47.25">
      <c r="A1595" s="14"/>
      <c r="B1595" s="125" t="s">
        <v>839</v>
      </c>
      <c r="C1595" s="108" t="s">
        <v>410</v>
      </c>
      <c r="D1595" s="108" t="s">
        <v>86</v>
      </c>
      <c r="E1595" s="108" t="s">
        <v>13</v>
      </c>
      <c r="F1595" s="108" t="s">
        <v>543</v>
      </c>
      <c r="G1595" s="109" t="s">
        <v>840</v>
      </c>
      <c r="H1595" s="126"/>
      <c r="L1595" s="32"/>
      <c r="M1595" s="32"/>
      <c r="N1595" s="32"/>
      <c r="O1595" s="32"/>
      <c r="P1595" s="32"/>
      <c r="Q1595" s="32"/>
      <c r="R1595" s="17"/>
    </row>
    <row r="1596" spans="1:18" s="16" customFormat="1" ht="63">
      <c r="A1596" s="14"/>
      <c r="B1596" s="125" t="s">
        <v>203</v>
      </c>
      <c r="C1596" s="108" t="s">
        <v>410</v>
      </c>
      <c r="D1596" s="108" t="s">
        <v>86</v>
      </c>
      <c r="E1596" s="108" t="s">
        <v>13</v>
      </c>
      <c r="F1596" s="108" t="s">
        <v>543</v>
      </c>
      <c r="G1596" s="108" t="s">
        <v>204</v>
      </c>
      <c r="H1596" s="126">
        <f>H1597</f>
        <v>0</v>
      </c>
      <c r="L1596" s="32">
        <v>150</v>
      </c>
      <c r="M1596" s="32">
        <v>150</v>
      </c>
      <c r="N1596" s="32">
        <v>150</v>
      </c>
      <c r="O1596" s="32">
        <f>H1596-L1596</f>
        <v>-150</v>
      </c>
      <c r="P1596" s="32" t="e">
        <f>#REF!-M1596</f>
        <v>#REF!</v>
      </c>
      <c r="Q1596" s="32" t="e">
        <f>#REF!-N1596</f>
        <v>#REF!</v>
      </c>
      <c r="R1596" s="17" t="str">
        <f t="shared" si="181"/>
        <v>04 3 04 20300810</v>
      </c>
    </row>
    <row r="1597" spans="1:18" s="16" customFormat="1" ht="110.25">
      <c r="A1597" s="14"/>
      <c r="B1597" s="125" t="s">
        <v>226</v>
      </c>
      <c r="C1597" s="108" t="s">
        <v>410</v>
      </c>
      <c r="D1597" s="108" t="s">
        <v>86</v>
      </c>
      <c r="E1597" s="108" t="s">
        <v>13</v>
      </c>
      <c r="F1597" s="108" t="s">
        <v>543</v>
      </c>
      <c r="G1597" s="108" t="s">
        <v>227</v>
      </c>
      <c r="H1597" s="126"/>
      <c r="L1597" s="32"/>
      <c r="M1597" s="32"/>
      <c r="N1597" s="32"/>
      <c r="O1597" s="32"/>
      <c r="P1597" s="32"/>
      <c r="Q1597" s="32"/>
      <c r="R1597" s="17"/>
    </row>
    <row r="1598" spans="1:18" s="16" customFormat="1" ht="31.5">
      <c r="A1598" s="14"/>
      <c r="B1598" s="135" t="s">
        <v>877</v>
      </c>
      <c r="C1598" s="108" t="s">
        <v>410</v>
      </c>
      <c r="D1598" s="108" t="s">
        <v>86</v>
      </c>
      <c r="E1598" s="108" t="s">
        <v>13</v>
      </c>
      <c r="F1598" s="108" t="s">
        <v>878</v>
      </c>
      <c r="G1598" s="108" t="s">
        <v>9</v>
      </c>
      <c r="H1598" s="141">
        <f>H1599</f>
        <v>0</v>
      </c>
      <c r="L1598" s="32">
        <v>35409.69</v>
      </c>
      <c r="M1598" s="32">
        <v>35409.69</v>
      </c>
      <c r="N1598" s="32">
        <v>35409.69</v>
      </c>
      <c r="O1598" s="32">
        <f>H1598-L1598</f>
        <v>-35409.69</v>
      </c>
      <c r="P1598" s="32" t="e">
        <f>#REF!-M1598</f>
        <v>#REF!</v>
      </c>
      <c r="Q1598" s="32" t="e">
        <f>#REF!-N1598</f>
        <v>#REF!</v>
      </c>
      <c r="R1598" s="17" t="str">
        <f t="shared" si="181"/>
        <v>04 3 04 20780000</v>
      </c>
    </row>
    <row r="1599" spans="1:18" s="16" customFormat="1" ht="31.5">
      <c r="A1599" s="14"/>
      <c r="B1599" s="125" t="s">
        <v>28</v>
      </c>
      <c r="C1599" s="108" t="s">
        <v>410</v>
      </c>
      <c r="D1599" s="108" t="s">
        <v>86</v>
      </c>
      <c r="E1599" s="108" t="s">
        <v>13</v>
      </c>
      <c r="F1599" s="108" t="s">
        <v>878</v>
      </c>
      <c r="G1599" s="108" t="s">
        <v>29</v>
      </c>
      <c r="H1599" s="126">
        <f>H1600</f>
        <v>0</v>
      </c>
      <c r="L1599" s="32">
        <v>35409.69</v>
      </c>
      <c r="M1599" s="32">
        <v>35409.69</v>
      </c>
      <c r="N1599" s="32">
        <v>35409.69</v>
      </c>
      <c r="O1599" s="32">
        <f>H1599-L1599</f>
        <v>-35409.69</v>
      </c>
      <c r="P1599" s="32" t="e">
        <f>#REF!-M1599</f>
        <v>#REF!</v>
      </c>
      <c r="Q1599" s="32" t="e">
        <f>#REF!-N1599</f>
        <v>#REF!</v>
      </c>
      <c r="R1599" s="17" t="str">
        <f t="shared" si="181"/>
        <v>04 3 04 20780240</v>
      </c>
    </row>
    <row r="1600" spans="1:18" s="16" customFormat="1" ht="15.75">
      <c r="A1600" s="14"/>
      <c r="B1600" s="125" t="s">
        <v>30</v>
      </c>
      <c r="C1600" s="108" t="s">
        <v>410</v>
      </c>
      <c r="D1600" s="108" t="s">
        <v>86</v>
      </c>
      <c r="E1600" s="108" t="s">
        <v>13</v>
      </c>
      <c r="F1600" s="108" t="s">
        <v>878</v>
      </c>
      <c r="G1600" s="108" t="s">
        <v>31</v>
      </c>
      <c r="H1600" s="126"/>
      <c r="L1600" s="32"/>
      <c r="M1600" s="32"/>
      <c r="N1600" s="32"/>
      <c r="O1600" s="32"/>
      <c r="P1600" s="32"/>
      <c r="Q1600" s="32"/>
      <c r="R1600" s="17"/>
    </row>
    <row r="1601" spans="1:18" s="16" customFormat="1" ht="94.5">
      <c r="A1601" s="14" t="s">
        <v>80</v>
      </c>
      <c r="B1601" s="125" t="s">
        <v>879</v>
      </c>
      <c r="C1601" s="108" t="s">
        <v>410</v>
      </c>
      <c r="D1601" s="108" t="s">
        <v>86</v>
      </c>
      <c r="E1601" s="108" t="s">
        <v>13</v>
      </c>
      <c r="F1601" s="108" t="s">
        <v>880</v>
      </c>
      <c r="G1601" s="108" t="s">
        <v>9</v>
      </c>
      <c r="H1601" s="141">
        <f>H1602</f>
        <v>0</v>
      </c>
      <c r="L1601" s="32">
        <v>19744.080000000002</v>
      </c>
      <c r="M1601" s="32">
        <v>14838.06</v>
      </c>
      <c r="N1601" s="32">
        <v>14838.06</v>
      </c>
      <c r="O1601" s="32">
        <f>H1601-L1601</f>
        <v>-19744.080000000002</v>
      </c>
      <c r="P1601" s="32" t="e">
        <f>#REF!-M1601</f>
        <v>#REF!</v>
      </c>
      <c r="Q1601" s="32" t="e">
        <f>#REF!-N1601</f>
        <v>#REF!</v>
      </c>
      <c r="R1601" s="17" t="str">
        <f t="shared" si="181"/>
        <v>04 3 04 20790000</v>
      </c>
    </row>
    <row r="1602" spans="1:18" s="16" customFormat="1" ht="31.5">
      <c r="A1602" s="14"/>
      <c r="B1602" s="125" t="s">
        <v>28</v>
      </c>
      <c r="C1602" s="108" t="s">
        <v>410</v>
      </c>
      <c r="D1602" s="108" t="s">
        <v>86</v>
      </c>
      <c r="E1602" s="108" t="s">
        <v>13</v>
      </c>
      <c r="F1602" s="108" t="s">
        <v>880</v>
      </c>
      <c r="G1602" s="108" t="s">
        <v>29</v>
      </c>
      <c r="H1602" s="126">
        <f>H1603</f>
        <v>0</v>
      </c>
      <c r="L1602" s="32">
        <v>19744.080000000002</v>
      </c>
      <c r="M1602" s="32">
        <v>14838.06</v>
      </c>
      <c r="N1602" s="32">
        <v>14838.06</v>
      </c>
      <c r="O1602" s="32">
        <f>H1602-L1602</f>
        <v>-19744.080000000002</v>
      </c>
      <c r="P1602" s="32" t="e">
        <f>#REF!-M1602</f>
        <v>#REF!</v>
      </c>
      <c r="Q1602" s="32" t="e">
        <f>#REF!-N1602</f>
        <v>#REF!</v>
      </c>
      <c r="R1602" s="17" t="str">
        <f t="shared" si="181"/>
        <v>04 3 04 20790240</v>
      </c>
    </row>
    <row r="1603" spans="1:18" s="16" customFormat="1" ht="15.75">
      <c r="A1603" s="14"/>
      <c r="B1603" s="125" t="s">
        <v>30</v>
      </c>
      <c r="C1603" s="108" t="s">
        <v>410</v>
      </c>
      <c r="D1603" s="108" t="s">
        <v>86</v>
      </c>
      <c r="E1603" s="108" t="s">
        <v>13</v>
      </c>
      <c r="F1603" s="108" t="s">
        <v>880</v>
      </c>
      <c r="G1603" s="108" t="s">
        <v>31</v>
      </c>
      <c r="H1603" s="126"/>
      <c r="L1603" s="32"/>
      <c r="M1603" s="32"/>
      <c r="N1603" s="32"/>
      <c r="O1603" s="32"/>
      <c r="P1603" s="32"/>
      <c r="Q1603" s="32"/>
      <c r="R1603" s="17"/>
    </row>
    <row r="1604" spans="1:18" s="16" customFormat="1" ht="141.75">
      <c r="A1604" s="14"/>
      <c r="B1604" s="125" t="s">
        <v>881</v>
      </c>
      <c r="C1604" s="130" t="s">
        <v>410</v>
      </c>
      <c r="D1604" s="131" t="s">
        <v>86</v>
      </c>
      <c r="E1604" s="131" t="s">
        <v>13</v>
      </c>
      <c r="F1604" s="131" t="s">
        <v>882</v>
      </c>
      <c r="G1604" s="131" t="s">
        <v>9</v>
      </c>
      <c r="H1604" s="105">
        <f t="shared" ref="H1604" si="188">H1605</f>
        <v>0</v>
      </c>
      <c r="L1604" s="26">
        <v>7456.27</v>
      </c>
      <c r="M1604" s="26">
        <v>0</v>
      </c>
      <c r="N1604" s="26">
        <v>0</v>
      </c>
      <c r="O1604" s="26">
        <f>H1604-L1604</f>
        <v>-7456.27</v>
      </c>
      <c r="P1604" s="26" t="e">
        <f>#REF!-M1604</f>
        <v>#REF!</v>
      </c>
      <c r="Q1604" s="26" t="e">
        <f>#REF!-N1604</f>
        <v>#REF!</v>
      </c>
      <c r="R1604" s="17" t="str">
        <f t="shared" si="181"/>
        <v>04 3 04 21480000</v>
      </c>
    </row>
    <row r="1605" spans="1:18" s="16" customFormat="1" ht="31.5">
      <c r="A1605" s="14"/>
      <c r="B1605" s="125" t="s">
        <v>28</v>
      </c>
      <c r="C1605" s="130" t="s">
        <v>410</v>
      </c>
      <c r="D1605" s="131" t="s">
        <v>86</v>
      </c>
      <c r="E1605" s="131" t="s">
        <v>13</v>
      </c>
      <c r="F1605" s="131" t="s">
        <v>882</v>
      </c>
      <c r="G1605" s="131" t="s">
        <v>29</v>
      </c>
      <c r="H1605" s="126">
        <f>H1606</f>
        <v>0</v>
      </c>
      <c r="L1605" s="26">
        <v>7456.27</v>
      </c>
      <c r="M1605" s="26">
        <v>0</v>
      </c>
      <c r="N1605" s="26">
        <v>0</v>
      </c>
      <c r="O1605" s="26">
        <f>H1605-L1605</f>
        <v>-7456.27</v>
      </c>
      <c r="P1605" s="26" t="e">
        <f>#REF!-M1605</f>
        <v>#REF!</v>
      </c>
      <c r="Q1605" s="26" t="e">
        <f>#REF!-N1605</f>
        <v>#REF!</v>
      </c>
      <c r="R1605" s="17" t="str">
        <f t="shared" si="181"/>
        <v>04 3 04 21480240</v>
      </c>
    </row>
    <row r="1606" spans="1:18" s="16" customFormat="1" ht="15.75">
      <c r="A1606" s="14"/>
      <c r="B1606" s="125" t="s">
        <v>30</v>
      </c>
      <c r="C1606" s="130" t="s">
        <v>410</v>
      </c>
      <c r="D1606" s="131" t="s">
        <v>86</v>
      </c>
      <c r="E1606" s="131" t="s">
        <v>13</v>
      </c>
      <c r="F1606" s="131" t="s">
        <v>882</v>
      </c>
      <c r="G1606" s="131" t="s">
        <v>31</v>
      </c>
      <c r="H1606" s="126"/>
      <c r="L1606" s="26"/>
      <c r="M1606" s="26"/>
      <c r="N1606" s="26"/>
      <c r="O1606" s="26"/>
      <c r="P1606" s="26"/>
      <c r="Q1606" s="26"/>
      <c r="R1606" s="17"/>
    </row>
    <row r="1607" spans="1:18" s="16" customFormat="1" ht="47.25">
      <c r="A1607" s="14"/>
      <c r="B1607" s="125" t="s">
        <v>430</v>
      </c>
      <c r="C1607" s="131" t="s">
        <v>410</v>
      </c>
      <c r="D1607" s="131" t="s">
        <v>86</v>
      </c>
      <c r="E1607" s="131" t="s">
        <v>13</v>
      </c>
      <c r="F1607" s="131" t="s">
        <v>431</v>
      </c>
      <c r="G1607" s="131" t="s">
        <v>9</v>
      </c>
      <c r="H1607" s="158">
        <f t="shared" ref="H1607:H1610" si="189">H1608</f>
        <v>0</v>
      </c>
      <c r="L1607" s="53">
        <v>3385.52</v>
      </c>
      <c r="M1607" s="53">
        <v>3385.52</v>
      </c>
      <c r="N1607" s="53">
        <v>3385.52</v>
      </c>
      <c r="O1607" s="53">
        <f>H1607-L1607</f>
        <v>-3385.52</v>
      </c>
      <c r="P1607" s="53" t="e">
        <f>#REF!-M1607</f>
        <v>#REF!</v>
      </c>
      <c r="Q1607" s="53" t="e">
        <f>#REF!-N1607</f>
        <v>#REF!</v>
      </c>
      <c r="R1607" s="17" t="str">
        <f t="shared" si="181"/>
        <v>17 0 00 00000000</v>
      </c>
    </row>
    <row r="1608" spans="1:18" s="16" customFormat="1" ht="47.25">
      <c r="A1608" s="14"/>
      <c r="B1608" s="129" t="s">
        <v>432</v>
      </c>
      <c r="C1608" s="131" t="s">
        <v>410</v>
      </c>
      <c r="D1608" s="131" t="s">
        <v>86</v>
      </c>
      <c r="E1608" s="131" t="s">
        <v>13</v>
      </c>
      <c r="F1608" s="131" t="s">
        <v>433</v>
      </c>
      <c r="G1608" s="131" t="s">
        <v>9</v>
      </c>
      <c r="H1608" s="158">
        <f t="shared" si="189"/>
        <v>0</v>
      </c>
      <c r="L1608" s="53">
        <v>3385.52</v>
      </c>
      <c r="M1608" s="53">
        <v>3385.52</v>
      </c>
      <c r="N1608" s="53">
        <v>3385.52</v>
      </c>
      <c r="O1608" s="53">
        <f>H1608-L1608</f>
        <v>-3385.52</v>
      </c>
      <c r="P1608" s="53" t="e">
        <f>#REF!-M1608</f>
        <v>#REF!</v>
      </c>
      <c r="Q1608" s="53" t="e">
        <f>#REF!-N1608</f>
        <v>#REF!</v>
      </c>
      <c r="R1608" s="17" t="str">
        <f t="shared" si="181"/>
        <v>17 Б 00 00000000</v>
      </c>
    </row>
    <row r="1609" spans="1:18" s="16" customFormat="1" ht="47.25">
      <c r="A1609" s="14"/>
      <c r="B1609" s="129" t="s">
        <v>883</v>
      </c>
      <c r="C1609" s="131" t="s">
        <v>410</v>
      </c>
      <c r="D1609" s="131" t="s">
        <v>86</v>
      </c>
      <c r="E1609" s="131" t="s">
        <v>13</v>
      </c>
      <c r="F1609" s="131" t="s">
        <v>884</v>
      </c>
      <c r="G1609" s="131" t="s">
        <v>9</v>
      </c>
      <c r="H1609" s="158">
        <f t="shared" si="189"/>
        <v>0</v>
      </c>
      <c r="L1609" s="53">
        <v>3385.52</v>
      </c>
      <c r="M1609" s="53">
        <v>3385.52</v>
      </c>
      <c r="N1609" s="53">
        <v>3385.52</v>
      </c>
      <c r="O1609" s="53">
        <f>H1609-L1609</f>
        <v>-3385.52</v>
      </c>
      <c r="P1609" s="53" t="e">
        <f>#REF!-M1609</f>
        <v>#REF!</v>
      </c>
      <c r="Q1609" s="53" t="e">
        <f>#REF!-N1609</f>
        <v>#REF!</v>
      </c>
      <c r="R1609" s="17" t="str">
        <f t="shared" si="181"/>
        <v>17 Б 02 00000000</v>
      </c>
    </row>
    <row r="1610" spans="1:18" s="16" customFormat="1" ht="47.25">
      <c r="A1610" s="14"/>
      <c r="B1610" s="132" t="s">
        <v>436</v>
      </c>
      <c r="C1610" s="108" t="s">
        <v>410</v>
      </c>
      <c r="D1610" s="108" t="s">
        <v>86</v>
      </c>
      <c r="E1610" s="108" t="s">
        <v>13</v>
      </c>
      <c r="F1610" s="108" t="s">
        <v>885</v>
      </c>
      <c r="G1610" s="108" t="s">
        <v>9</v>
      </c>
      <c r="H1610" s="163">
        <f t="shared" si="189"/>
        <v>0</v>
      </c>
      <c r="L1610" s="64">
        <v>3385.52</v>
      </c>
      <c r="M1610" s="64">
        <v>3385.52</v>
      </c>
      <c r="N1610" s="64">
        <v>3385.52</v>
      </c>
      <c r="O1610" s="64">
        <f>H1610-L1610</f>
        <v>-3385.52</v>
      </c>
      <c r="P1610" s="64" t="e">
        <f>#REF!-M1610</f>
        <v>#REF!</v>
      </c>
      <c r="Q1610" s="64" t="e">
        <f>#REF!-N1610</f>
        <v>#REF!</v>
      </c>
      <c r="R1610" s="17" t="str">
        <f t="shared" si="181"/>
        <v>17 Б 02 20490000</v>
      </c>
    </row>
    <row r="1611" spans="1:18" s="16" customFormat="1" ht="31.5">
      <c r="A1611" s="14"/>
      <c r="B1611" s="125" t="s">
        <v>28</v>
      </c>
      <c r="C1611" s="108" t="s">
        <v>410</v>
      </c>
      <c r="D1611" s="108" t="s">
        <v>86</v>
      </c>
      <c r="E1611" s="108" t="s">
        <v>13</v>
      </c>
      <c r="F1611" s="108" t="s">
        <v>885</v>
      </c>
      <c r="G1611" s="108" t="s">
        <v>29</v>
      </c>
      <c r="H1611" s="126">
        <f>H1612</f>
        <v>0</v>
      </c>
      <c r="L1611" s="64">
        <v>3385.52</v>
      </c>
      <c r="M1611" s="64">
        <v>3385.52</v>
      </c>
      <c r="N1611" s="64">
        <v>3385.52</v>
      </c>
      <c r="O1611" s="64">
        <f>H1611-L1611</f>
        <v>-3385.52</v>
      </c>
      <c r="P1611" s="64" t="e">
        <f>#REF!-M1611</f>
        <v>#REF!</v>
      </c>
      <c r="Q1611" s="64" t="e">
        <f>#REF!-N1611</f>
        <v>#REF!</v>
      </c>
      <c r="R1611" s="17" t="str">
        <f t="shared" si="181"/>
        <v>17 Б 02 20490240</v>
      </c>
    </row>
    <row r="1612" spans="1:18" s="16" customFormat="1" ht="15.75">
      <c r="A1612" s="14"/>
      <c r="B1612" s="125" t="s">
        <v>30</v>
      </c>
      <c r="C1612" s="108" t="s">
        <v>410</v>
      </c>
      <c r="D1612" s="108" t="s">
        <v>86</v>
      </c>
      <c r="E1612" s="108" t="s">
        <v>13</v>
      </c>
      <c r="F1612" s="108" t="s">
        <v>885</v>
      </c>
      <c r="G1612" s="108" t="s">
        <v>31</v>
      </c>
      <c r="H1612" s="126"/>
      <c r="L1612" s="64"/>
      <c r="M1612" s="64"/>
      <c r="N1612" s="64"/>
      <c r="O1612" s="64"/>
      <c r="P1612" s="64"/>
      <c r="Q1612" s="64"/>
      <c r="R1612" s="17"/>
    </row>
    <row r="1613" spans="1:18" s="16" customFormat="1" ht="47.25">
      <c r="A1613" s="14"/>
      <c r="B1613" s="125" t="s">
        <v>886</v>
      </c>
      <c r="C1613" s="108" t="s">
        <v>410</v>
      </c>
      <c r="D1613" s="108" t="s">
        <v>86</v>
      </c>
      <c r="E1613" s="108" t="s">
        <v>13</v>
      </c>
      <c r="F1613" s="108" t="s">
        <v>887</v>
      </c>
      <c r="G1613" s="108" t="s">
        <v>9</v>
      </c>
      <c r="H1613" s="163">
        <f>H1614</f>
        <v>0</v>
      </c>
      <c r="L1613" s="64">
        <v>6270.1100000000006</v>
      </c>
      <c r="M1613" s="64">
        <v>9180.16</v>
      </c>
      <c r="N1613" s="64">
        <v>12090.21</v>
      </c>
      <c r="O1613" s="64">
        <f>H1613-L1613</f>
        <v>-6270.1100000000006</v>
      </c>
      <c r="P1613" s="64" t="e">
        <f>#REF!-M1613</f>
        <v>#REF!</v>
      </c>
      <c r="Q1613" s="64" t="e">
        <f>#REF!-N1613</f>
        <v>#REF!</v>
      </c>
      <c r="R1613" s="17" t="str">
        <f t="shared" si="181"/>
        <v>20 0 00 00000000</v>
      </c>
    </row>
    <row r="1614" spans="1:18" s="16" customFormat="1" ht="47.25">
      <c r="A1614" s="14"/>
      <c r="B1614" s="125" t="s">
        <v>888</v>
      </c>
      <c r="C1614" s="108" t="s">
        <v>410</v>
      </c>
      <c r="D1614" s="108" t="s">
        <v>86</v>
      </c>
      <c r="E1614" s="108" t="s">
        <v>13</v>
      </c>
      <c r="F1614" s="108" t="s">
        <v>889</v>
      </c>
      <c r="G1614" s="108" t="s">
        <v>9</v>
      </c>
      <c r="H1614" s="163">
        <f>H1615+H1619+H1623</f>
        <v>0</v>
      </c>
      <c r="L1614" s="64">
        <v>6270.1100000000006</v>
      </c>
      <c r="M1614" s="64">
        <v>9180.16</v>
      </c>
      <c r="N1614" s="64">
        <v>12090.21</v>
      </c>
      <c r="O1614" s="64">
        <f>H1614-L1614</f>
        <v>-6270.1100000000006</v>
      </c>
      <c r="P1614" s="64" t="e">
        <f>#REF!-M1614</f>
        <v>#REF!</v>
      </c>
      <c r="Q1614" s="64" t="e">
        <f>#REF!-N1614</f>
        <v>#REF!</v>
      </c>
      <c r="R1614" s="17" t="str">
        <f t="shared" si="181"/>
        <v>20 Б 00 00000000</v>
      </c>
    </row>
    <row r="1615" spans="1:18" s="16" customFormat="1" ht="31.5">
      <c r="A1615" s="14"/>
      <c r="B1615" s="125" t="s">
        <v>890</v>
      </c>
      <c r="C1615" s="108" t="s">
        <v>410</v>
      </c>
      <c r="D1615" s="108" t="s">
        <v>86</v>
      </c>
      <c r="E1615" s="108" t="s">
        <v>13</v>
      </c>
      <c r="F1615" s="108" t="s">
        <v>891</v>
      </c>
      <c r="G1615" s="108" t="s">
        <v>9</v>
      </c>
      <c r="H1615" s="163">
        <f>H1616</f>
        <v>0</v>
      </c>
      <c r="L1615" s="64">
        <v>3880.07</v>
      </c>
      <c r="M1615" s="64">
        <v>5820.1</v>
      </c>
      <c r="N1615" s="64">
        <v>7760.13</v>
      </c>
      <c r="O1615" s="64">
        <f>H1615-L1615</f>
        <v>-3880.07</v>
      </c>
      <c r="P1615" s="64" t="e">
        <f>#REF!-M1615</f>
        <v>#REF!</v>
      </c>
      <c r="Q1615" s="64" t="e">
        <f>#REF!-N1615</f>
        <v>#REF!</v>
      </c>
      <c r="R1615" s="17" t="str">
        <f t="shared" si="181"/>
        <v>20 Б 01 00000000</v>
      </c>
    </row>
    <row r="1616" spans="1:18" s="16" customFormat="1" ht="31.5">
      <c r="A1616" s="14"/>
      <c r="B1616" s="125" t="s">
        <v>892</v>
      </c>
      <c r="C1616" s="108" t="s">
        <v>410</v>
      </c>
      <c r="D1616" s="108" t="s">
        <v>86</v>
      </c>
      <c r="E1616" s="108" t="s">
        <v>13</v>
      </c>
      <c r="F1616" s="108" t="s">
        <v>893</v>
      </c>
      <c r="G1616" s="108" t="s">
        <v>9</v>
      </c>
      <c r="H1616" s="163">
        <f>H1617</f>
        <v>0</v>
      </c>
      <c r="L1616" s="64">
        <v>3880.07</v>
      </c>
      <c r="M1616" s="64">
        <v>5820.1</v>
      </c>
      <c r="N1616" s="64">
        <v>7760.13</v>
      </c>
      <c r="O1616" s="64">
        <f>H1616-L1616</f>
        <v>-3880.07</v>
      </c>
      <c r="P1616" s="64" t="e">
        <f>#REF!-M1616</f>
        <v>#REF!</v>
      </c>
      <c r="Q1616" s="64" t="e">
        <f>#REF!-N1616</f>
        <v>#REF!</v>
      </c>
      <c r="R1616" s="17" t="str">
        <f t="shared" si="181"/>
        <v>20 Б 01 L5550000</v>
      </c>
    </row>
    <row r="1617" spans="1:18" s="16" customFormat="1" ht="31.5">
      <c r="A1617" s="14"/>
      <c r="B1617" s="125" t="s">
        <v>28</v>
      </c>
      <c r="C1617" s="108" t="s">
        <v>410</v>
      </c>
      <c r="D1617" s="108" t="s">
        <v>86</v>
      </c>
      <c r="E1617" s="108" t="s">
        <v>13</v>
      </c>
      <c r="F1617" s="108" t="s">
        <v>893</v>
      </c>
      <c r="G1617" s="108" t="s">
        <v>29</v>
      </c>
      <c r="H1617" s="126">
        <f>H1618</f>
        <v>0</v>
      </c>
      <c r="L1617" s="32">
        <v>3880.07</v>
      </c>
      <c r="M1617" s="32">
        <v>5820.1</v>
      </c>
      <c r="N1617" s="32">
        <v>7760.13</v>
      </c>
      <c r="O1617" s="32">
        <f>H1617-L1617</f>
        <v>-3880.07</v>
      </c>
      <c r="P1617" s="32" t="e">
        <f>#REF!-M1617</f>
        <v>#REF!</v>
      </c>
      <c r="Q1617" s="32" t="e">
        <f>#REF!-N1617</f>
        <v>#REF!</v>
      </c>
      <c r="R1617" s="17" t="str">
        <f t="shared" si="181"/>
        <v>20 Б 01 L5550240</v>
      </c>
    </row>
    <row r="1618" spans="1:18" s="16" customFormat="1" ht="15.75">
      <c r="A1618" s="14"/>
      <c r="B1618" s="125" t="s">
        <v>30</v>
      </c>
      <c r="C1618" s="108" t="s">
        <v>410</v>
      </c>
      <c r="D1618" s="108" t="s">
        <v>86</v>
      </c>
      <c r="E1618" s="108" t="s">
        <v>13</v>
      </c>
      <c r="F1618" s="108" t="s">
        <v>893</v>
      </c>
      <c r="G1618" s="108" t="s">
        <v>31</v>
      </c>
      <c r="H1618" s="126"/>
      <c r="L1618" s="32"/>
      <c r="M1618" s="32"/>
      <c r="N1618" s="32"/>
      <c r="O1618" s="32"/>
      <c r="P1618" s="32"/>
      <c r="Q1618" s="32"/>
      <c r="R1618" s="17"/>
    </row>
    <row r="1619" spans="1:18" s="16" customFormat="1" ht="31.5">
      <c r="A1619" s="14"/>
      <c r="B1619" s="125" t="s">
        <v>894</v>
      </c>
      <c r="C1619" s="108" t="s">
        <v>410</v>
      </c>
      <c r="D1619" s="108" t="s">
        <v>86</v>
      </c>
      <c r="E1619" s="108" t="s">
        <v>13</v>
      </c>
      <c r="F1619" s="108" t="s">
        <v>895</v>
      </c>
      <c r="G1619" s="108" t="s">
        <v>9</v>
      </c>
      <c r="H1619" s="163">
        <f>H1620</f>
        <v>0</v>
      </c>
      <c r="L1619" s="64">
        <v>1940.04</v>
      </c>
      <c r="M1619" s="64">
        <v>2910.06</v>
      </c>
      <c r="N1619" s="64">
        <v>3880.08</v>
      </c>
      <c r="O1619" s="64">
        <f>H1619-L1619</f>
        <v>-1940.04</v>
      </c>
      <c r="P1619" s="64" t="e">
        <f>#REF!-M1619</f>
        <v>#REF!</v>
      </c>
      <c r="Q1619" s="64" t="e">
        <f>#REF!-N1619</f>
        <v>#REF!</v>
      </c>
      <c r="R1619" s="17" t="str">
        <f t="shared" si="181"/>
        <v>20 Б 02 00000000</v>
      </c>
    </row>
    <row r="1620" spans="1:18" s="16" customFormat="1" ht="31.5">
      <c r="A1620" s="14"/>
      <c r="B1620" s="125" t="s">
        <v>892</v>
      </c>
      <c r="C1620" s="108" t="s">
        <v>410</v>
      </c>
      <c r="D1620" s="108" t="s">
        <v>86</v>
      </c>
      <c r="E1620" s="108" t="s">
        <v>13</v>
      </c>
      <c r="F1620" s="108" t="s">
        <v>896</v>
      </c>
      <c r="G1620" s="108" t="s">
        <v>9</v>
      </c>
      <c r="H1620" s="163">
        <f>H1621</f>
        <v>0</v>
      </c>
      <c r="L1620" s="64">
        <v>1940.04</v>
      </c>
      <c r="M1620" s="64">
        <v>2910.06</v>
      </c>
      <c r="N1620" s="64">
        <v>3880.08</v>
      </c>
      <c r="O1620" s="64">
        <f>H1620-L1620</f>
        <v>-1940.04</v>
      </c>
      <c r="P1620" s="64" t="e">
        <f>#REF!-M1620</f>
        <v>#REF!</v>
      </c>
      <c r="Q1620" s="64" t="e">
        <f>#REF!-N1620</f>
        <v>#REF!</v>
      </c>
      <c r="R1620" s="17" t="str">
        <f t="shared" si="181"/>
        <v>20 Б 02 L5550000</v>
      </c>
    </row>
    <row r="1621" spans="1:18" s="16" customFormat="1" ht="31.5">
      <c r="A1621" s="14"/>
      <c r="B1621" s="125" t="s">
        <v>28</v>
      </c>
      <c r="C1621" s="108" t="s">
        <v>410</v>
      </c>
      <c r="D1621" s="108" t="s">
        <v>86</v>
      </c>
      <c r="E1621" s="108" t="s">
        <v>13</v>
      </c>
      <c r="F1621" s="108" t="s">
        <v>896</v>
      </c>
      <c r="G1621" s="108" t="s">
        <v>29</v>
      </c>
      <c r="H1621" s="126">
        <f>H1622</f>
        <v>0</v>
      </c>
      <c r="L1621" s="32">
        <v>1940.04</v>
      </c>
      <c r="M1621" s="32">
        <v>2910.06</v>
      </c>
      <c r="N1621" s="32">
        <v>3880.08</v>
      </c>
      <c r="O1621" s="32">
        <f>H1621-L1621</f>
        <v>-1940.04</v>
      </c>
      <c r="P1621" s="32" t="e">
        <f>#REF!-M1621</f>
        <v>#REF!</v>
      </c>
      <c r="Q1621" s="32" t="e">
        <f>#REF!-N1621</f>
        <v>#REF!</v>
      </c>
      <c r="R1621" s="17" t="str">
        <f t="shared" si="181"/>
        <v>20 Б 02 L5550240</v>
      </c>
    </row>
    <row r="1622" spans="1:18" s="16" customFormat="1" ht="15.75">
      <c r="A1622" s="14"/>
      <c r="B1622" s="125" t="s">
        <v>30</v>
      </c>
      <c r="C1622" s="108" t="s">
        <v>410</v>
      </c>
      <c r="D1622" s="108" t="s">
        <v>86</v>
      </c>
      <c r="E1622" s="108" t="s">
        <v>13</v>
      </c>
      <c r="F1622" s="108" t="s">
        <v>896</v>
      </c>
      <c r="G1622" s="108" t="s">
        <v>31</v>
      </c>
      <c r="H1622" s="126"/>
      <c r="L1622" s="32"/>
      <c r="M1622" s="32"/>
      <c r="N1622" s="32"/>
      <c r="O1622" s="32"/>
      <c r="P1622" s="32"/>
      <c r="Q1622" s="32"/>
      <c r="R1622" s="17"/>
    </row>
    <row r="1623" spans="1:18" s="16" customFormat="1" ht="47.25">
      <c r="A1623" s="14"/>
      <c r="B1623" s="125" t="s">
        <v>897</v>
      </c>
      <c r="C1623" s="108" t="s">
        <v>410</v>
      </c>
      <c r="D1623" s="108" t="s">
        <v>86</v>
      </c>
      <c r="E1623" s="108" t="s">
        <v>13</v>
      </c>
      <c r="F1623" s="108" t="s">
        <v>898</v>
      </c>
      <c r="G1623" s="108" t="s">
        <v>9</v>
      </c>
      <c r="H1623" s="141">
        <f t="shared" ref="H1623:H1624" si="190">H1624</f>
        <v>0</v>
      </c>
      <c r="L1623" s="32">
        <v>450</v>
      </c>
      <c r="M1623" s="32">
        <v>450</v>
      </c>
      <c r="N1623" s="32">
        <v>450</v>
      </c>
      <c r="O1623" s="32">
        <f>H1623-L1623</f>
        <v>-450</v>
      </c>
      <c r="P1623" s="32" t="e">
        <f>#REF!-M1623</f>
        <v>#REF!</v>
      </c>
      <c r="Q1623" s="32" t="e">
        <f>#REF!-N1623</f>
        <v>#REF!</v>
      </c>
      <c r="R1623" s="17" t="str">
        <f t="shared" si="181"/>
        <v>20 Б 03 00000000</v>
      </c>
    </row>
    <row r="1624" spans="1:18" s="16" customFormat="1" ht="31.5">
      <c r="A1624" s="14"/>
      <c r="B1624" s="138" t="s">
        <v>542</v>
      </c>
      <c r="C1624" s="108" t="s">
        <v>410</v>
      </c>
      <c r="D1624" s="108" t="s">
        <v>86</v>
      </c>
      <c r="E1624" s="108" t="s">
        <v>13</v>
      </c>
      <c r="F1624" s="108" t="s">
        <v>899</v>
      </c>
      <c r="G1624" s="108" t="s">
        <v>9</v>
      </c>
      <c r="H1624" s="141">
        <f t="shared" si="190"/>
        <v>0</v>
      </c>
      <c r="L1624" s="32">
        <v>450</v>
      </c>
      <c r="M1624" s="32">
        <v>450</v>
      </c>
      <c r="N1624" s="32">
        <v>450</v>
      </c>
      <c r="O1624" s="32">
        <f>H1624-L1624</f>
        <v>-450</v>
      </c>
      <c r="P1624" s="32" t="e">
        <f>#REF!-M1624</f>
        <v>#REF!</v>
      </c>
      <c r="Q1624" s="32" t="e">
        <f>#REF!-N1624</f>
        <v>#REF!</v>
      </c>
      <c r="R1624" s="17" t="str">
        <f t="shared" si="181"/>
        <v>20 Б 03 20300000</v>
      </c>
    </row>
    <row r="1625" spans="1:18" s="16" customFormat="1" ht="31.5">
      <c r="A1625" s="14"/>
      <c r="B1625" s="138" t="s">
        <v>28</v>
      </c>
      <c r="C1625" s="108" t="s">
        <v>410</v>
      </c>
      <c r="D1625" s="108" t="s">
        <v>86</v>
      </c>
      <c r="E1625" s="108" t="s">
        <v>13</v>
      </c>
      <c r="F1625" s="108" t="s">
        <v>899</v>
      </c>
      <c r="G1625" s="108" t="s">
        <v>29</v>
      </c>
      <c r="H1625" s="126">
        <f>H1626</f>
        <v>0</v>
      </c>
      <c r="L1625" s="32">
        <v>450</v>
      </c>
      <c r="M1625" s="32">
        <v>450</v>
      </c>
      <c r="N1625" s="32">
        <v>450</v>
      </c>
      <c r="O1625" s="32">
        <f>H1625-L1625</f>
        <v>-450</v>
      </c>
      <c r="P1625" s="32" t="e">
        <f>#REF!-M1625</f>
        <v>#REF!</v>
      </c>
      <c r="Q1625" s="32" t="e">
        <f>#REF!-N1625</f>
        <v>#REF!</v>
      </c>
      <c r="R1625" s="17" t="str">
        <f t="shared" si="181"/>
        <v>20 Б 03 20300240</v>
      </c>
    </row>
    <row r="1626" spans="1:18" s="16" customFormat="1" ht="15.75">
      <c r="A1626" s="14"/>
      <c r="B1626" s="125" t="s">
        <v>30</v>
      </c>
      <c r="C1626" s="108" t="s">
        <v>410</v>
      </c>
      <c r="D1626" s="108" t="s">
        <v>86</v>
      </c>
      <c r="E1626" s="108" t="s">
        <v>13</v>
      </c>
      <c r="F1626" s="108" t="s">
        <v>899</v>
      </c>
      <c r="G1626" s="108" t="s">
        <v>31</v>
      </c>
      <c r="H1626" s="126"/>
      <c r="L1626" s="32"/>
      <c r="M1626" s="32"/>
      <c r="N1626" s="32"/>
      <c r="O1626" s="32"/>
      <c r="P1626" s="32"/>
      <c r="Q1626" s="32"/>
      <c r="R1626" s="17"/>
    </row>
    <row r="1627" spans="1:18" s="16" customFormat="1" ht="31.5">
      <c r="A1627" s="14"/>
      <c r="B1627" s="121" t="s">
        <v>313</v>
      </c>
      <c r="C1627" s="122" t="s">
        <v>410</v>
      </c>
      <c r="D1627" s="123" t="s">
        <v>86</v>
      </c>
      <c r="E1627" s="123" t="s">
        <v>86</v>
      </c>
      <c r="F1627" s="123" t="s">
        <v>8</v>
      </c>
      <c r="G1627" s="123" t="s">
        <v>9</v>
      </c>
      <c r="H1627" s="124">
        <f>H1628</f>
        <v>0</v>
      </c>
      <c r="L1627" s="19">
        <v>48258.450000000004</v>
      </c>
      <c r="M1627" s="19">
        <v>48258.450000000004</v>
      </c>
      <c r="N1627" s="19">
        <v>48258.450000000004</v>
      </c>
      <c r="O1627" s="19">
        <f>H1627-L1627</f>
        <v>-48258.450000000004</v>
      </c>
      <c r="P1627" s="19" t="e">
        <f>#REF!-M1627</f>
        <v>#REF!</v>
      </c>
      <c r="Q1627" s="19" t="e">
        <f>#REF!-N1627</f>
        <v>#REF!</v>
      </c>
      <c r="R1627" s="17" t="str">
        <f t="shared" si="181"/>
        <v>00 0 00 00000000</v>
      </c>
    </row>
    <row r="1628" spans="1:18" s="16" customFormat="1" ht="31.5">
      <c r="A1628" s="14"/>
      <c r="B1628" s="125" t="s">
        <v>806</v>
      </c>
      <c r="C1628" s="108" t="s">
        <v>410</v>
      </c>
      <c r="D1628" s="108" t="s">
        <v>86</v>
      </c>
      <c r="E1628" s="108" t="s">
        <v>86</v>
      </c>
      <c r="F1628" s="108" t="s">
        <v>807</v>
      </c>
      <c r="G1628" s="108" t="s">
        <v>9</v>
      </c>
      <c r="H1628" s="163">
        <f>H1629</f>
        <v>0</v>
      </c>
      <c r="L1628" s="64">
        <v>48258.450000000004</v>
      </c>
      <c r="M1628" s="64">
        <v>48258.450000000004</v>
      </c>
      <c r="N1628" s="64">
        <v>48258.450000000004</v>
      </c>
      <c r="O1628" s="64">
        <f>H1628-L1628</f>
        <v>-48258.450000000004</v>
      </c>
      <c r="P1628" s="64" t="e">
        <f>#REF!-M1628</f>
        <v>#REF!</v>
      </c>
      <c r="Q1628" s="64" t="e">
        <f>#REF!-N1628</f>
        <v>#REF!</v>
      </c>
      <c r="R1628" s="17" t="str">
        <f t="shared" si="181"/>
        <v>83 0 00 00000000</v>
      </c>
    </row>
    <row r="1629" spans="1:18" s="16" customFormat="1" ht="47.25">
      <c r="A1629" s="14"/>
      <c r="B1629" s="125" t="s">
        <v>808</v>
      </c>
      <c r="C1629" s="108" t="s">
        <v>410</v>
      </c>
      <c r="D1629" s="108" t="s">
        <v>86</v>
      </c>
      <c r="E1629" s="108" t="s">
        <v>86</v>
      </c>
      <c r="F1629" s="108" t="s">
        <v>809</v>
      </c>
      <c r="G1629" s="108" t="s">
        <v>9</v>
      </c>
      <c r="H1629" s="163">
        <f>H1630+H1639</f>
        <v>0</v>
      </c>
      <c r="L1629" s="64">
        <v>48258.450000000004</v>
      </c>
      <c r="M1629" s="64">
        <v>48258.450000000004</v>
      </c>
      <c r="N1629" s="64">
        <v>48258.450000000004</v>
      </c>
      <c r="O1629" s="64">
        <f>H1629-L1629</f>
        <v>-48258.450000000004</v>
      </c>
      <c r="P1629" s="64" t="e">
        <f>#REF!-M1629</f>
        <v>#REF!</v>
      </c>
      <c r="Q1629" s="64" t="e">
        <f>#REF!-N1629</f>
        <v>#REF!</v>
      </c>
      <c r="R1629" s="17" t="str">
        <f t="shared" si="181"/>
        <v>83 1 00 00000000</v>
      </c>
    </row>
    <row r="1630" spans="1:18" s="16" customFormat="1" ht="31.5">
      <c r="A1630" s="14"/>
      <c r="B1630" s="125" t="s">
        <v>18</v>
      </c>
      <c r="C1630" s="108" t="s">
        <v>410</v>
      </c>
      <c r="D1630" s="108" t="s">
        <v>86</v>
      </c>
      <c r="E1630" s="108" t="s">
        <v>86</v>
      </c>
      <c r="F1630" s="108" t="s">
        <v>900</v>
      </c>
      <c r="G1630" s="108" t="s">
        <v>9</v>
      </c>
      <c r="H1630" s="163">
        <f>H1631+H1634+H1636</f>
        <v>0</v>
      </c>
      <c r="L1630" s="64">
        <v>6747.7300000000005</v>
      </c>
      <c r="M1630" s="64">
        <v>6747.7300000000005</v>
      </c>
      <c r="N1630" s="64">
        <v>6747.7300000000005</v>
      </c>
      <c r="O1630" s="64">
        <f>H1630-L1630</f>
        <v>-6747.7300000000005</v>
      </c>
      <c r="P1630" s="64" t="e">
        <f>#REF!-M1630</f>
        <v>#REF!</v>
      </c>
      <c r="Q1630" s="64" t="e">
        <f>#REF!-N1630</f>
        <v>#REF!</v>
      </c>
      <c r="R1630" s="17" t="str">
        <f t="shared" si="181"/>
        <v>83 1 00 10010000</v>
      </c>
    </row>
    <row r="1631" spans="1:18" s="16" customFormat="1" ht="31.5">
      <c r="A1631" s="14"/>
      <c r="B1631" s="127" t="s">
        <v>20</v>
      </c>
      <c r="C1631" s="108" t="s">
        <v>410</v>
      </c>
      <c r="D1631" s="108" t="s">
        <v>86</v>
      </c>
      <c r="E1631" s="108" t="s">
        <v>86</v>
      </c>
      <c r="F1631" s="108" t="s">
        <v>900</v>
      </c>
      <c r="G1631" s="108" t="s">
        <v>21</v>
      </c>
      <c r="H1631" s="126">
        <f>SUM(H1632:H1633)</f>
        <v>0</v>
      </c>
      <c r="L1631" s="20">
        <v>1182.76</v>
      </c>
      <c r="M1631" s="20">
        <v>1182.76</v>
      </c>
      <c r="N1631" s="20">
        <v>1182.76</v>
      </c>
      <c r="O1631" s="20">
        <f>H1631-L1631</f>
        <v>-1182.76</v>
      </c>
      <c r="P1631" s="20" t="e">
        <f>#REF!-M1631</f>
        <v>#REF!</v>
      </c>
      <c r="Q1631" s="20" t="e">
        <f>#REF!-N1631</f>
        <v>#REF!</v>
      </c>
      <c r="R1631" s="17" t="str">
        <f t="shared" si="181"/>
        <v>83 1 00 10010120</v>
      </c>
    </row>
    <row r="1632" spans="1:18" s="23" customFormat="1" ht="47.25">
      <c r="A1632" s="21"/>
      <c r="B1632" s="127" t="s">
        <v>22</v>
      </c>
      <c r="C1632" s="108" t="s">
        <v>410</v>
      </c>
      <c r="D1632" s="108" t="s">
        <v>86</v>
      </c>
      <c r="E1632" s="108" t="s">
        <v>86</v>
      </c>
      <c r="F1632" s="108" t="s">
        <v>900</v>
      </c>
      <c r="G1632" s="108" t="s">
        <v>23</v>
      </c>
      <c r="H1632" s="126"/>
      <c r="L1632" s="22"/>
      <c r="M1632" s="22"/>
      <c r="N1632" s="22"/>
      <c r="O1632" s="22"/>
      <c r="P1632" s="22"/>
      <c r="Q1632" s="22"/>
      <c r="R1632" s="24"/>
    </row>
    <row r="1633" spans="1:18" s="23" customFormat="1" ht="63">
      <c r="A1633" s="21"/>
      <c r="B1633" s="127" t="s">
        <v>26</v>
      </c>
      <c r="C1633" s="108" t="s">
        <v>410</v>
      </c>
      <c r="D1633" s="108" t="s">
        <v>86</v>
      </c>
      <c r="E1633" s="108" t="s">
        <v>86</v>
      </c>
      <c r="F1633" s="108" t="s">
        <v>900</v>
      </c>
      <c r="G1633" s="108" t="s">
        <v>27</v>
      </c>
      <c r="H1633" s="126"/>
      <c r="L1633" s="22"/>
      <c r="M1633" s="22"/>
      <c r="N1633" s="22"/>
      <c r="O1633" s="22"/>
      <c r="P1633" s="22"/>
      <c r="Q1633" s="22"/>
      <c r="R1633" s="24"/>
    </row>
    <row r="1634" spans="1:18" s="16" customFormat="1" ht="31.5">
      <c r="A1634" s="14"/>
      <c r="B1634" s="125" t="s">
        <v>28</v>
      </c>
      <c r="C1634" s="108" t="s">
        <v>410</v>
      </c>
      <c r="D1634" s="108" t="s">
        <v>86</v>
      </c>
      <c r="E1634" s="108" t="s">
        <v>86</v>
      </c>
      <c r="F1634" s="108" t="s">
        <v>900</v>
      </c>
      <c r="G1634" s="108" t="s">
        <v>29</v>
      </c>
      <c r="H1634" s="126">
        <f>H1635</f>
        <v>0</v>
      </c>
      <c r="L1634" s="20">
        <v>5455.97</v>
      </c>
      <c r="M1634" s="20">
        <v>5455.97</v>
      </c>
      <c r="N1634" s="20">
        <v>5455.97</v>
      </c>
      <c r="O1634" s="20">
        <f>H1634-L1634</f>
        <v>-5455.97</v>
      </c>
      <c r="P1634" s="20" t="e">
        <f>#REF!-M1634</f>
        <v>#REF!</v>
      </c>
      <c r="Q1634" s="20" t="e">
        <f>#REF!-N1634</f>
        <v>#REF!</v>
      </c>
      <c r="R1634" s="17" t="str">
        <f t="shared" si="181"/>
        <v>83 1 00 10010240</v>
      </c>
    </row>
    <row r="1635" spans="1:18" s="16" customFormat="1" ht="15.75">
      <c r="A1635" s="14"/>
      <c r="B1635" s="125" t="s">
        <v>30</v>
      </c>
      <c r="C1635" s="108" t="s">
        <v>410</v>
      </c>
      <c r="D1635" s="108" t="s">
        <v>86</v>
      </c>
      <c r="E1635" s="108" t="s">
        <v>86</v>
      </c>
      <c r="F1635" s="108" t="s">
        <v>900</v>
      </c>
      <c r="G1635" s="108" t="s">
        <v>31</v>
      </c>
      <c r="H1635" s="126"/>
      <c r="L1635" s="20"/>
      <c r="M1635" s="20"/>
      <c r="N1635" s="20"/>
      <c r="O1635" s="20"/>
      <c r="P1635" s="20"/>
      <c r="Q1635" s="20"/>
      <c r="R1635" s="17"/>
    </row>
    <row r="1636" spans="1:18" s="16" customFormat="1" ht="15.75">
      <c r="A1636" s="14"/>
      <c r="B1636" s="125" t="s">
        <v>32</v>
      </c>
      <c r="C1636" s="108" t="s">
        <v>410</v>
      </c>
      <c r="D1636" s="108" t="s">
        <v>86</v>
      </c>
      <c r="E1636" s="108" t="s">
        <v>86</v>
      </c>
      <c r="F1636" s="108" t="s">
        <v>900</v>
      </c>
      <c r="G1636" s="108" t="s">
        <v>33</v>
      </c>
      <c r="H1636" s="126">
        <f>SUM(H1637:H1638)</f>
        <v>0</v>
      </c>
      <c r="L1636" s="20">
        <v>109</v>
      </c>
      <c r="M1636" s="20">
        <v>109</v>
      </c>
      <c r="N1636" s="20">
        <v>109</v>
      </c>
      <c r="O1636" s="20">
        <f>H1636-L1636</f>
        <v>-109</v>
      </c>
      <c r="P1636" s="20" t="e">
        <f>#REF!-M1636</f>
        <v>#REF!</v>
      </c>
      <c r="Q1636" s="20" t="e">
        <f>#REF!-N1636</f>
        <v>#REF!</v>
      </c>
      <c r="R1636" s="17" t="str">
        <f t="shared" si="181"/>
        <v>83 1 00 10010850</v>
      </c>
    </row>
    <row r="1637" spans="1:18" s="23" customFormat="1" ht="31.5">
      <c r="A1637" s="21"/>
      <c r="B1637" s="127" t="s">
        <v>34</v>
      </c>
      <c r="C1637" s="108" t="s">
        <v>410</v>
      </c>
      <c r="D1637" s="108" t="s">
        <v>86</v>
      </c>
      <c r="E1637" s="108" t="s">
        <v>86</v>
      </c>
      <c r="F1637" s="108" t="s">
        <v>900</v>
      </c>
      <c r="G1637" s="108" t="s">
        <v>35</v>
      </c>
      <c r="H1637" s="126"/>
      <c r="L1637" s="22"/>
      <c r="M1637" s="22"/>
      <c r="N1637" s="22"/>
      <c r="O1637" s="22"/>
      <c r="P1637" s="22"/>
      <c r="Q1637" s="22"/>
      <c r="R1637" s="24"/>
    </row>
    <row r="1638" spans="1:18" s="23" customFormat="1" ht="15.75">
      <c r="A1638" s="21"/>
      <c r="B1638" s="127" t="s">
        <v>36</v>
      </c>
      <c r="C1638" s="108" t="s">
        <v>410</v>
      </c>
      <c r="D1638" s="108" t="s">
        <v>86</v>
      </c>
      <c r="E1638" s="108" t="s">
        <v>86</v>
      </c>
      <c r="F1638" s="108" t="s">
        <v>900</v>
      </c>
      <c r="G1638" s="108" t="s">
        <v>37</v>
      </c>
      <c r="H1638" s="126"/>
      <c r="L1638" s="22"/>
      <c r="M1638" s="22"/>
      <c r="N1638" s="22"/>
      <c r="O1638" s="22"/>
      <c r="P1638" s="22"/>
      <c r="Q1638" s="22"/>
      <c r="R1638" s="24"/>
    </row>
    <row r="1639" spans="1:18" s="16" customFormat="1" ht="31.5">
      <c r="A1639" s="14"/>
      <c r="B1639" s="125" t="s">
        <v>38</v>
      </c>
      <c r="C1639" s="108" t="s">
        <v>410</v>
      </c>
      <c r="D1639" s="108" t="s">
        <v>86</v>
      </c>
      <c r="E1639" s="108" t="s">
        <v>86</v>
      </c>
      <c r="F1639" s="108" t="s">
        <v>901</v>
      </c>
      <c r="G1639" s="108" t="s">
        <v>9</v>
      </c>
      <c r="H1639" s="126">
        <f>H1640</f>
        <v>0</v>
      </c>
      <c r="L1639" s="20">
        <v>41510.720000000001</v>
      </c>
      <c r="M1639" s="20">
        <v>41510.720000000001</v>
      </c>
      <c r="N1639" s="20">
        <v>41510.720000000001</v>
      </c>
      <c r="O1639" s="20">
        <f>H1639-L1639</f>
        <v>-41510.720000000001</v>
      </c>
      <c r="P1639" s="20" t="e">
        <f>#REF!-M1639</f>
        <v>#REF!</v>
      </c>
      <c r="Q1639" s="20" t="e">
        <f>#REF!-N1639</f>
        <v>#REF!</v>
      </c>
      <c r="R1639" s="17" t="str">
        <f t="shared" si="181"/>
        <v>83 1 00 10020000</v>
      </c>
    </row>
    <row r="1640" spans="1:18" s="16" customFormat="1" ht="31.5">
      <c r="A1640" s="14"/>
      <c r="B1640" s="127" t="s">
        <v>20</v>
      </c>
      <c r="C1640" s="108" t="s">
        <v>410</v>
      </c>
      <c r="D1640" s="108" t="s">
        <v>86</v>
      </c>
      <c r="E1640" s="108" t="s">
        <v>86</v>
      </c>
      <c r="F1640" s="108" t="s">
        <v>901</v>
      </c>
      <c r="G1640" s="108" t="s">
        <v>21</v>
      </c>
      <c r="H1640" s="126">
        <f>SUM(H1641:H1642)</f>
        <v>0</v>
      </c>
      <c r="L1640" s="20">
        <v>41510.720000000001</v>
      </c>
      <c r="M1640" s="20">
        <v>41510.720000000001</v>
      </c>
      <c r="N1640" s="20">
        <v>41510.720000000001</v>
      </c>
      <c r="O1640" s="20">
        <f>H1640-L1640</f>
        <v>-41510.720000000001</v>
      </c>
      <c r="P1640" s="20" t="e">
        <f>#REF!-M1640</f>
        <v>#REF!</v>
      </c>
      <c r="Q1640" s="20" t="e">
        <f>#REF!-N1640</f>
        <v>#REF!</v>
      </c>
      <c r="R1640" s="17" t="str">
        <f t="shared" si="181"/>
        <v>83 1 00 10020120</v>
      </c>
    </row>
    <row r="1641" spans="1:18" s="23" customFormat="1" ht="31.5">
      <c r="A1641" s="21"/>
      <c r="B1641" s="127" t="s">
        <v>40</v>
      </c>
      <c r="C1641" s="108" t="s">
        <v>410</v>
      </c>
      <c r="D1641" s="108" t="s">
        <v>86</v>
      </c>
      <c r="E1641" s="108" t="s">
        <v>86</v>
      </c>
      <c r="F1641" s="108" t="s">
        <v>901</v>
      </c>
      <c r="G1641" s="108" t="s">
        <v>41</v>
      </c>
      <c r="H1641" s="126"/>
      <c r="L1641" s="22"/>
      <c r="M1641" s="22"/>
      <c r="N1641" s="22"/>
      <c r="O1641" s="22"/>
      <c r="P1641" s="22"/>
      <c r="Q1641" s="22"/>
      <c r="R1641" s="24"/>
    </row>
    <row r="1642" spans="1:18" s="23" customFormat="1" ht="63">
      <c r="A1642" s="21"/>
      <c r="B1642" s="127" t="s">
        <v>26</v>
      </c>
      <c r="C1642" s="108" t="s">
        <v>410</v>
      </c>
      <c r="D1642" s="108" t="s">
        <v>86</v>
      </c>
      <c r="E1642" s="108" t="s">
        <v>86</v>
      </c>
      <c r="F1642" s="108" t="s">
        <v>901</v>
      </c>
      <c r="G1642" s="108" t="s">
        <v>27</v>
      </c>
      <c r="H1642" s="126"/>
      <c r="L1642" s="22"/>
      <c r="M1642" s="22"/>
      <c r="N1642" s="22"/>
      <c r="O1642" s="22"/>
      <c r="P1642" s="22"/>
      <c r="Q1642" s="22"/>
      <c r="R1642" s="24"/>
    </row>
    <row r="1643" spans="1:18" s="16" customFormat="1" ht="15.75">
      <c r="A1643" s="14"/>
      <c r="B1643" s="117" t="s">
        <v>569</v>
      </c>
      <c r="C1643" s="118" t="s">
        <v>410</v>
      </c>
      <c r="D1643" s="119" t="s">
        <v>238</v>
      </c>
      <c r="E1643" s="119" t="s">
        <v>7</v>
      </c>
      <c r="F1643" s="119" t="s">
        <v>8</v>
      </c>
      <c r="G1643" s="119" t="s">
        <v>9</v>
      </c>
      <c r="H1643" s="120">
        <f>H1644</f>
        <v>0</v>
      </c>
      <c r="L1643" s="18">
        <v>1162.5</v>
      </c>
      <c r="M1643" s="18">
        <v>1162.5</v>
      </c>
      <c r="N1643" s="18">
        <v>1162.5</v>
      </c>
      <c r="O1643" s="18">
        <f t="shared" ref="O1643:O1649" si="191">H1643-L1643</f>
        <v>-1162.5</v>
      </c>
      <c r="P1643" s="18" t="e">
        <f>#REF!-M1643</f>
        <v>#REF!</v>
      </c>
      <c r="Q1643" s="18" t="e">
        <f>#REF!-N1643</f>
        <v>#REF!</v>
      </c>
      <c r="R1643" s="17" t="str">
        <f t="shared" ref="R1643:R1709" si="192">CONCATENATE(F1643,G1643)</f>
        <v>00 0 00 00000000</v>
      </c>
    </row>
    <row r="1644" spans="1:18" s="16" customFormat="1" ht="15.75">
      <c r="A1644" s="14"/>
      <c r="B1644" s="121" t="s">
        <v>239</v>
      </c>
      <c r="C1644" s="122" t="s">
        <v>410</v>
      </c>
      <c r="D1644" s="123" t="s">
        <v>238</v>
      </c>
      <c r="E1644" s="123" t="s">
        <v>11</v>
      </c>
      <c r="F1644" s="123" t="s">
        <v>8</v>
      </c>
      <c r="G1644" s="123" t="s">
        <v>9</v>
      </c>
      <c r="H1644" s="124">
        <f>H1645</f>
        <v>0</v>
      </c>
      <c r="L1644" s="19">
        <v>1162.5</v>
      </c>
      <c r="M1644" s="19">
        <v>1162.5</v>
      </c>
      <c r="N1644" s="19">
        <v>1162.5</v>
      </c>
      <c r="O1644" s="19">
        <f t="shared" si="191"/>
        <v>-1162.5</v>
      </c>
      <c r="P1644" s="19" t="e">
        <f>#REF!-M1644</f>
        <v>#REF!</v>
      </c>
      <c r="Q1644" s="19" t="e">
        <f>#REF!-N1644</f>
        <v>#REF!</v>
      </c>
      <c r="R1644" s="17" t="str">
        <f t="shared" si="192"/>
        <v>00 0 00 00000000</v>
      </c>
    </row>
    <row r="1645" spans="1:18" s="16" customFormat="1" ht="31.5">
      <c r="A1645" s="14"/>
      <c r="B1645" s="125" t="s">
        <v>240</v>
      </c>
      <c r="C1645" s="109" t="s">
        <v>410</v>
      </c>
      <c r="D1645" s="108" t="s">
        <v>238</v>
      </c>
      <c r="E1645" s="108" t="s">
        <v>11</v>
      </c>
      <c r="F1645" s="131" t="s">
        <v>241</v>
      </c>
      <c r="G1645" s="108" t="s">
        <v>9</v>
      </c>
      <c r="H1645" s="126">
        <f>H1646</f>
        <v>0</v>
      </c>
      <c r="L1645" s="20">
        <v>1162.5</v>
      </c>
      <c r="M1645" s="20">
        <v>1162.5</v>
      </c>
      <c r="N1645" s="20">
        <v>1162.5</v>
      </c>
      <c r="O1645" s="20">
        <f t="shared" si="191"/>
        <v>-1162.5</v>
      </c>
      <c r="P1645" s="20" t="e">
        <f>#REF!-M1645</f>
        <v>#REF!</v>
      </c>
      <c r="Q1645" s="20" t="e">
        <f>#REF!-N1645</f>
        <v>#REF!</v>
      </c>
      <c r="R1645" s="17" t="str">
        <f t="shared" si="192"/>
        <v>07 0 00 00000000</v>
      </c>
    </row>
    <row r="1646" spans="1:18" s="16" customFormat="1" ht="78.75">
      <c r="A1646" s="14"/>
      <c r="B1646" s="125" t="s">
        <v>384</v>
      </c>
      <c r="C1646" s="109" t="s">
        <v>410</v>
      </c>
      <c r="D1646" s="108" t="s">
        <v>238</v>
      </c>
      <c r="E1646" s="108" t="s">
        <v>11</v>
      </c>
      <c r="F1646" s="131" t="s">
        <v>243</v>
      </c>
      <c r="G1646" s="108" t="s">
        <v>9</v>
      </c>
      <c r="H1646" s="126">
        <f t="shared" ref="H1646:H1648" si="193">H1647</f>
        <v>0</v>
      </c>
      <c r="L1646" s="20">
        <v>1162.5</v>
      </c>
      <c r="M1646" s="20">
        <v>1162.5</v>
      </c>
      <c r="N1646" s="20">
        <v>1162.5</v>
      </c>
      <c r="O1646" s="20">
        <f t="shared" si="191"/>
        <v>-1162.5</v>
      </c>
      <c r="P1646" s="20" t="e">
        <f>#REF!-M1646</f>
        <v>#REF!</v>
      </c>
      <c r="Q1646" s="20" t="e">
        <f>#REF!-N1646</f>
        <v>#REF!</v>
      </c>
      <c r="R1646" s="17" t="str">
        <f t="shared" si="192"/>
        <v>07 1 00 00000000</v>
      </c>
    </row>
    <row r="1647" spans="1:18" s="16" customFormat="1" ht="110.25">
      <c r="A1647" s="14"/>
      <c r="B1647" s="125" t="s">
        <v>244</v>
      </c>
      <c r="C1647" s="109" t="s">
        <v>410</v>
      </c>
      <c r="D1647" s="108" t="s">
        <v>238</v>
      </c>
      <c r="E1647" s="108" t="s">
        <v>11</v>
      </c>
      <c r="F1647" s="131" t="s">
        <v>245</v>
      </c>
      <c r="G1647" s="108" t="s">
        <v>9</v>
      </c>
      <c r="H1647" s="126">
        <f t="shared" si="193"/>
        <v>0</v>
      </c>
      <c r="L1647" s="20">
        <v>1162.5</v>
      </c>
      <c r="M1647" s="20">
        <v>1162.5</v>
      </c>
      <c r="N1647" s="20">
        <v>1162.5</v>
      </c>
      <c r="O1647" s="20">
        <f t="shared" si="191"/>
        <v>-1162.5</v>
      </c>
      <c r="P1647" s="20" t="e">
        <f>#REF!-M1647</f>
        <v>#REF!</v>
      </c>
      <c r="Q1647" s="20" t="e">
        <f>#REF!-N1647</f>
        <v>#REF!</v>
      </c>
      <c r="R1647" s="17" t="str">
        <f t="shared" si="192"/>
        <v>07 1 01 00000000</v>
      </c>
    </row>
    <row r="1648" spans="1:18" s="16" customFormat="1" ht="31.5">
      <c r="A1648" s="14"/>
      <c r="B1648" s="125" t="s">
        <v>246</v>
      </c>
      <c r="C1648" s="109" t="s">
        <v>410</v>
      </c>
      <c r="D1648" s="108" t="s">
        <v>238</v>
      </c>
      <c r="E1648" s="108" t="s">
        <v>11</v>
      </c>
      <c r="F1648" s="131" t="s">
        <v>247</v>
      </c>
      <c r="G1648" s="108" t="s">
        <v>9</v>
      </c>
      <c r="H1648" s="126">
        <f t="shared" si="193"/>
        <v>0</v>
      </c>
      <c r="L1648" s="20">
        <v>1162.5</v>
      </c>
      <c r="M1648" s="20">
        <v>1162.5</v>
      </c>
      <c r="N1648" s="20">
        <v>1162.5</v>
      </c>
      <c r="O1648" s="20">
        <f t="shared" si="191"/>
        <v>-1162.5</v>
      </c>
      <c r="P1648" s="20" t="e">
        <f>#REF!-M1648</f>
        <v>#REF!</v>
      </c>
      <c r="Q1648" s="20" t="e">
        <f>#REF!-N1648</f>
        <v>#REF!</v>
      </c>
      <c r="R1648" s="17" t="str">
        <f t="shared" si="192"/>
        <v>07 1 01 20060000</v>
      </c>
    </row>
    <row r="1649" spans="1:18" s="16" customFormat="1" ht="31.5">
      <c r="A1649" s="14"/>
      <c r="B1649" s="127" t="s">
        <v>28</v>
      </c>
      <c r="C1649" s="109" t="s">
        <v>410</v>
      </c>
      <c r="D1649" s="108" t="s">
        <v>238</v>
      </c>
      <c r="E1649" s="108" t="s">
        <v>11</v>
      </c>
      <c r="F1649" s="131" t="s">
        <v>247</v>
      </c>
      <c r="G1649" s="108" t="s">
        <v>29</v>
      </c>
      <c r="H1649" s="126">
        <f>H1650</f>
        <v>0</v>
      </c>
      <c r="L1649" s="20">
        <v>1162.5</v>
      </c>
      <c r="M1649" s="20">
        <v>1162.5</v>
      </c>
      <c r="N1649" s="20">
        <v>1162.5</v>
      </c>
      <c r="O1649" s="20">
        <f t="shared" si="191"/>
        <v>-1162.5</v>
      </c>
      <c r="P1649" s="20" t="e">
        <f>#REF!-M1649</f>
        <v>#REF!</v>
      </c>
      <c r="Q1649" s="20" t="e">
        <f>#REF!-N1649</f>
        <v>#REF!</v>
      </c>
      <c r="R1649" s="17" t="str">
        <f t="shared" si="192"/>
        <v>07 1 01 20060240</v>
      </c>
    </row>
    <row r="1650" spans="1:18" s="16" customFormat="1" ht="15.75">
      <c r="A1650" s="14"/>
      <c r="B1650" s="125" t="s">
        <v>30</v>
      </c>
      <c r="C1650" s="109" t="s">
        <v>410</v>
      </c>
      <c r="D1650" s="108" t="s">
        <v>238</v>
      </c>
      <c r="E1650" s="108" t="s">
        <v>11</v>
      </c>
      <c r="F1650" s="108" t="s">
        <v>247</v>
      </c>
      <c r="G1650" s="108" t="s">
        <v>31</v>
      </c>
      <c r="H1650" s="126"/>
      <c r="L1650" s="20"/>
      <c r="M1650" s="20"/>
      <c r="N1650" s="20"/>
      <c r="O1650" s="20"/>
      <c r="P1650" s="20"/>
      <c r="Q1650" s="20"/>
      <c r="R1650" s="17"/>
    </row>
    <row r="1651" spans="1:18" s="16" customFormat="1" ht="15.75">
      <c r="A1651" s="14"/>
      <c r="B1651" s="117" t="s">
        <v>316</v>
      </c>
      <c r="C1651" s="118" t="s">
        <v>410</v>
      </c>
      <c r="D1651" s="119" t="s">
        <v>317</v>
      </c>
      <c r="E1651" s="119" t="s">
        <v>7</v>
      </c>
      <c r="F1651" s="119" t="s">
        <v>8</v>
      </c>
      <c r="G1651" s="119" t="s">
        <v>9</v>
      </c>
      <c r="H1651" s="120">
        <f>H1652</f>
        <v>0</v>
      </c>
      <c r="L1651" s="18">
        <v>23485.78</v>
      </c>
      <c r="M1651" s="18">
        <v>23485.78</v>
      </c>
      <c r="N1651" s="18">
        <v>24399.690000000002</v>
      </c>
      <c r="O1651" s="18">
        <f t="shared" ref="O1651:O1657" si="194">H1651-L1651</f>
        <v>-23485.78</v>
      </c>
      <c r="P1651" s="18" t="e">
        <f>#REF!-M1651</f>
        <v>#REF!</v>
      </c>
      <c r="Q1651" s="18" t="e">
        <f>#REF!-N1651</f>
        <v>#REF!</v>
      </c>
      <c r="R1651" s="17" t="str">
        <f t="shared" si="192"/>
        <v>00 0 00 00000000</v>
      </c>
    </row>
    <row r="1652" spans="1:18" s="16" customFormat="1" ht="15.75">
      <c r="A1652" s="14"/>
      <c r="B1652" s="121" t="s">
        <v>318</v>
      </c>
      <c r="C1652" s="122" t="s">
        <v>410</v>
      </c>
      <c r="D1652" s="123">
        <v>10</v>
      </c>
      <c r="E1652" s="123" t="s">
        <v>13</v>
      </c>
      <c r="F1652" s="123" t="s">
        <v>8</v>
      </c>
      <c r="G1652" s="123" t="s">
        <v>9</v>
      </c>
      <c r="H1652" s="124">
        <f>H1653</f>
        <v>0</v>
      </c>
      <c r="L1652" s="19">
        <v>23485.78</v>
      </c>
      <c r="M1652" s="19">
        <v>23485.78</v>
      </c>
      <c r="N1652" s="19">
        <v>24399.690000000002</v>
      </c>
      <c r="O1652" s="19">
        <f t="shared" si="194"/>
        <v>-23485.78</v>
      </c>
      <c r="P1652" s="19" t="e">
        <f>#REF!-M1652</f>
        <v>#REF!</v>
      </c>
      <c r="Q1652" s="19" t="e">
        <f>#REF!-N1652</f>
        <v>#REF!</v>
      </c>
      <c r="R1652" s="17" t="str">
        <f t="shared" si="192"/>
        <v>00 0 00 00000000</v>
      </c>
    </row>
    <row r="1653" spans="1:18" s="16" customFormat="1" ht="31.5">
      <c r="A1653" s="14"/>
      <c r="B1653" s="135" t="s">
        <v>385</v>
      </c>
      <c r="C1653" s="131" t="s">
        <v>410</v>
      </c>
      <c r="D1653" s="131">
        <v>10</v>
      </c>
      <c r="E1653" s="131" t="s">
        <v>13</v>
      </c>
      <c r="F1653" s="131" t="s">
        <v>386</v>
      </c>
      <c r="G1653" s="131" t="s">
        <v>9</v>
      </c>
      <c r="H1653" s="105">
        <f>H1654</f>
        <v>0</v>
      </c>
      <c r="L1653" s="26">
        <v>23485.78</v>
      </c>
      <c r="M1653" s="26">
        <v>23485.78</v>
      </c>
      <c r="N1653" s="26">
        <v>24399.690000000002</v>
      </c>
      <c r="O1653" s="26">
        <f t="shared" si="194"/>
        <v>-23485.78</v>
      </c>
      <c r="P1653" s="26" t="e">
        <f>#REF!-M1653</f>
        <v>#REF!</v>
      </c>
      <c r="Q1653" s="26" t="e">
        <f>#REF!-N1653</f>
        <v>#REF!</v>
      </c>
      <c r="R1653" s="17" t="str">
        <f t="shared" si="192"/>
        <v>03 0 00 00000000</v>
      </c>
    </row>
    <row r="1654" spans="1:18" s="16" customFormat="1" ht="63">
      <c r="A1654" s="14"/>
      <c r="B1654" s="135" t="s">
        <v>387</v>
      </c>
      <c r="C1654" s="131" t="s">
        <v>410</v>
      </c>
      <c r="D1654" s="131">
        <v>10</v>
      </c>
      <c r="E1654" s="131" t="s">
        <v>13</v>
      </c>
      <c r="F1654" s="131" t="s">
        <v>388</v>
      </c>
      <c r="G1654" s="131" t="s">
        <v>9</v>
      </c>
      <c r="H1654" s="105">
        <f>H1655+H1659</f>
        <v>0</v>
      </c>
      <c r="L1654" s="26">
        <v>23485.78</v>
      </c>
      <c r="M1654" s="26">
        <v>23485.78</v>
      </c>
      <c r="N1654" s="26">
        <v>24399.690000000002</v>
      </c>
      <c r="O1654" s="26">
        <f t="shared" si="194"/>
        <v>-23485.78</v>
      </c>
      <c r="P1654" s="26" t="e">
        <f>#REF!-M1654</f>
        <v>#REF!</v>
      </c>
      <c r="Q1654" s="26" t="e">
        <f>#REF!-N1654</f>
        <v>#REF!</v>
      </c>
      <c r="R1654" s="17" t="str">
        <f t="shared" si="192"/>
        <v>03 2 00 00000000</v>
      </c>
    </row>
    <row r="1655" spans="1:18" s="16" customFormat="1" ht="63">
      <c r="A1655" s="14"/>
      <c r="B1655" s="129" t="s">
        <v>902</v>
      </c>
      <c r="C1655" s="131" t="s">
        <v>410</v>
      </c>
      <c r="D1655" s="131">
        <v>10</v>
      </c>
      <c r="E1655" s="131" t="s">
        <v>13</v>
      </c>
      <c r="F1655" s="131" t="s">
        <v>903</v>
      </c>
      <c r="G1655" s="131" t="s">
        <v>9</v>
      </c>
      <c r="H1655" s="105">
        <f t="shared" ref="H1655:H1656" si="195">H1656</f>
        <v>0</v>
      </c>
      <c r="L1655" s="26">
        <v>2109.2600000000002</v>
      </c>
      <c r="M1655" s="26">
        <v>2109.2600000000002</v>
      </c>
      <c r="N1655" s="26">
        <v>2109.2600000000002</v>
      </c>
      <c r="O1655" s="26">
        <f t="shared" si="194"/>
        <v>-2109.2600000000002</v>
      </c>
      <c r="P1655" s="26" t="e">
        <f>#REF!-M1655</f>
        <v>#REF!</v>
      </c>
      <c r="Q1655" s="26" t="e">
        <f>#REF!-N1655</f>
        <v>#REF!</v>
      </c>
      <c r="R1655" s="17" t="str">
        <f t="shared" si="192"/>
        <v>03 2 03 00000000</v>
      </c>
    </row>
    <row r="1656" spans="1:18" s="16" customFormat="1" ht="63">
      <c r="A1656" s="14"/>
      <c r="B1656" s="125" t="s">
        <v>904</v>
      </c>
      <c r="C1656" s="108" t="s">
        <v>410</v>
      </c>
      <c r="D1656" s="108">
        <v>10</v>
      </c>
      <c r="E1656" s="108" t="s">
        <v>13</v>
      </c>
      <c r="F1656" s="108" t="s">
        <v>905</v>
      </c>
      <c r="G1656" s="108" t="s">
        <v>9</v>
      </c>
      <c r="H1656" s="126">
        <f t="shared" si="195"/>
        <v>0</v>
      </c>
      <c r="L1656" s="20">
        <v>2109.2600000000002</v>
      </c>
      <c r="M1656" s="20">
        <v>2109.2600000000002</v>
      </c>
      <c r="N1656" s="20">
        <v>2109.2600000000002</v>
      </c>
      <c r="O1656" s="20">
        <f t="shared" si="194"/>
        <v>-2109.2600000000002</v>
      </c>
      <c r="P1656" s="20" t="e">
        <f>#REF!-M1656</f>
        <v>#REF!</v>
      </c>
      <c r="Q1656" s="20" t="e">
        <f>#REF!-N1656</f>
        <v>#REF!</v>
      </c>
      <c r="R1656" s="17" t="str">
        <f t="shared" si="192"/>
        <v>03 2 03 80020000</v>
      </c>
    </row>
    <row r="1657" spans="1:18" s="16" customFormat="1" ht="63">
      <c r="A1657" s="14"/>
      <c r="B1657" s="125" t="s">
        <v>203</v>
      </c>
      <c r="C1657" s="108" t="s">
        <v>410</v>
      </c>
      <c r="D1657" s="108">
        <v>10</v>
      </c>
      <c r="E1657" s="108" t="s">
        <v>13</v>
      </c>
      <c r="F1657" s="108" t="s">
        <v>905</v>
      </c>
      <c r="G1657" s="108" t="s">
        <v>204</v>
      </c>
      <c r="H1657" s="126">
        <f>H1658</f>
        <v>0</v>
      </c>
      <c r="L1657" s="20">
        <v>2109.2600000000002</v>
      </c>
      <c r="M1657" s="20">
        <v>2109.2600000000002</v>
      </c>
      <c r="N1657" s="20">
        <v>2109.2600000000002</v>
      </c>
      <c r="O1657" s="20">
        <f t="shared" si="194"/>
        <v>-2109.2600000000002</v>
      </c>
      <c r="P1657" s="20" t="e">
        <f>#REF!-M1657</f>
        <v>#REF!</v>
      </c>
      <c r="Q1657" s="20" t="e">
        <f>#REF!-N1657</f>
        <v>#REF!</v>
      </c>
      <c r="R1657" s="17" t="str">
        <f t="shared" si="192"/>
        <v>03 2 03 80020810</v>
      </c>
    </row>
    <row r="1658" spans="1:18" s="16" customFormat="1" ht="63">
      <c r="A1658" s="14"/>
      <c r="B1658" s="125" t="s">
        <v>205</v>
      </c>
      <c r="C1658" s="108" t="s">
        <v>410</v>
      </c>
      <c r="D1658" s="108">
        <v>10</v>
      </c>
      <c r="E1658" s="108" t="s">
        <v>13</v>
      </c>
      <c r="F1658" s="108" t="s">
        <v>905</v>
      </c>
      <c r="G1658" s="108" t="s">
        <v>206</v>
      </c>
      <c r="H1658" s="126"/>
      <c r="L1658" s="20"/>
      <c r="M1658" s="20"/>
      <c r="N1658" s="20"/>
      <c r="O1658" s="20"/>
      <c r="P1658" s="20"/>
      <c r="Q1658" s="20"/>
      <c r="R1658" s="17" t="str">
        <f t="shared" si="192"/>
        <v>03 2 03 80020811</v>
      </c>
    </row>
    <row r="1659" spans="1:18" s="16" customFormat="1" ht="78.75">
      <c r="A1659" s="14"/>
      <c r="B1659" s="129" t="s">
        <v>906</v>
      </c>
      <c r="C1659" s="131" t="s">
        <v>410</v>
      </c>
      <c r="D1659" s="131">
        <v>10</v>
      </c>
      <c r="E1659" s="131" t="s">
        <v>13</v>
      </c>
      <c r="F1659" s="131" t="s">
        <v>907</v>
      </c>
      <c r="G1659" s="131" t="s">
        <v>9</v>
      </c>
      <c r="H1659" s="105">
        <f t="shared" ref="H1659:H1660" si="196">H1660</f>
        <v>0</v>
      </c>
      <c r="L1659" s="26">
        <v>21376.52</v>
      </c>
      <c r="M1659" s="26">
        <v>21376.52</v>
      </c>
      <c r="N1659" s="26">
        <v>22290.43</v>
      </c>
      <c r="O1659" s="26">
        <f>H1659-L1659</f>
        <v>-21376.52</v>
      </c>
      <c r="P1659" s="26" t="e">
        <f>#REF!-M1659</f>
        <v>#REF!</v>
      </c>
      <c r="Q1659" s="26" t="e">
        <f>#REF!-N1659</f>
        <v>#REF!</v>
      </c>
      <c r="R1659" s="17" t="str">
        <f t="shared" si="192"/>
        <v>03 2 04 00000000</v>
      </c>
    </row>
    <row r="1660" spans="1:18" s="16" customFormat="1" ht="63">
      <c r="A1660" s="14"/>
      <c r="B1660" s="125" t="s">
        <v>908</v>
      </c>
      <c r="C1660" s="108" t="s">
        <v>410</v>
      </c>
      <c r="D1660" s="108">
        <v>10</v>
      </c>
      <c r="E1660" s="108" t="s">
        <v>13</v>
      </c>
      <c r="F1660" s="108" t="s">
        <v>909</v>
      </c>
      <c r="G1660" s="108" t="s">
        <v>9</v>
      </c>
      <c r="H1660" s="126">
        <f t="shared" si="196"/>
        <v>0</v>
      </c>
      <c r="L1660" s="20">
        <v>21376.52</v>
      </c>
      <c r="M1660" s="20">
        <v>21376.52</v>
      </c>
      <c r="N1660" s="20">
        <v>22290.43</v>
      </c>
      <c r="O1660" s="20">
        <f>H1660-L1660</f>
        <v>-21376.52</v>
      </c>
      <c r="P1660" s="20" t="e">
        <f>#REF!-M1660</f>
        <v>#REF!</v>
      </c>
      <c r="Q1660" s="20" t="e">
        <f>#REF!-N1660</f>
        <v>#REF!</v>
      </c>
      <c r="R1660" s="17" t="str">
        <f t="shared" si="192"/>
        <v>03 2 04 80220000</v>
      </c>
    </row>
    <row r="1661" spans="1:18" s="16" customFormat="1" ht="63">
      <c r="A1661" s="14"/>
      <c r="B1661" s="125" t="s">
        <v>203</v>
      </c>
      <c r="C1661" s="108" t="s">
        <v>410</v>
      </c>
      <c r="D1661" s="108">
        <v>10</v>
      </c>
      <c r="E1661" s="108" t="s">
        <v>13</v>
      </c>
      <c r="F1661" s="108" t="s">
        <v>909</v>
      </c>
      <c r="G1661" s="108" t="s">
        <v>204</v>
      </c>
      <c r="H1661" s="126">
        <f>H1662</f>
        <v>0</v>
      </c>
      <c r="L1661" s="20">
        <v>21376.52</v>
      </c>
      <c r="M1661" s="20">
        <v>21376.52</v>
      </c>
      <c r="N1661" s="20">
        <v>22290.43</v>
      </c>
      <c r="O1661" s="20">
        <f>H1661-L1661</f>
        <v>-21376.52</v>
      </c>
      <c r="P1661" s="20" t="e">
        <f>#REF!-M1661</f>
        <v>#REF!</v>
      </c>
      <c r="Q1661" s="20" t="e">
        <f>#REF!-N1661</f>
        <v>#REF!</v>
      </c>
      <c r="R1661" s="17" t="str">
        <f t="shared" si="192"/>
        <v>03 2 04 80220810</v>
      </c>
    </row>
    <row r="1662" spans="1:18" s="16" customFormat="1" ht="110.25">
      <c r="A1662" s="14"/>
      <c r="B1662" s="125" t="s">
        <v>207</v>
      </c>
      <c r="C1662" s="108" t="s">
        <v>410</v>
      </c>
      <c r="D1662" s="108">
        <v>10</v>
      </c>
      <c r="E1662" s="108" t="s">
        <v>13</v>
      </c>
      <c r="F1662" s="108" t="s">
        <v>909</v>
      </c>
      <c r="G1662" s="108" t="s">
        <v>208</v>
      </c>
      <c r="H1662" s="126"/>
      <c r="L1662" s="20"/>
      <c r="M1662" s="20"/>
      <c r="N1662" s="20"/>
      <c r="O1662" s="20"/>
      <c r="P1662" s="20"/>
      <c r="Q1662" s="20"/>
      <c r="R1662" s="17" t="str">
        <f t="shared" si="192"/>
        <v>03 2 04 80220812</v>
      </c>
    </row>
    <row r="1663" spans="1:18" s="16" customFormat="1" ht="15.75">
      <c r="A1663" s="14"/>
      <c r="B1663" s="132"/>
      <c r="C1663" s="131"/>
      <c r="D1663" s="131"/>
      <c r="E1663" s="131"/>
      <c r="F1663" s="131"/>
      <c r="G1663" s="131"/>
      <c r="H1663" s="105"/>
      <c r="L1663" s="26"/>
      <c r="M1663" s="26"/>
      <c r="N1663" s="26"/>
      <c r="O1663" s="26">
        <f t="shared" ref="O1663:O1670" si="197">H1663-L1663</f>
        <v>0</v>
      </c>
      <c r="P1663" s="26" t="e">
        <f>#REF!-M1663</f>
        <v>#REF!</v>
      </c>
      <c r="Q1663" s="26" t="e">
        <f>#REF!-N1663</f>
        <v>#REF!</v>
      </c>
      <c r="R1663" s="17" t="str">
        <f t="shared" si="192"/>
        <v/>
      </c>
    </row>
    <row r="1664" spans="1:18" s="16" customFormat="1" ht="31.5">
      <c r="A1664" s="14"/>
      <c r="B1664" s="67" t="s">
        <v>910</v>
      </c>
      <c r="C1664" s="116" t="s">
        <v>412</v>
      </c>
      <c r="D1664" s="69" t="s">
        <v>7</v>
      </c>
      <c r="E1664" s="69" t="s">
        <v>7</v>
      </c>
      <c r="F1664" s="69" t="s">
        <v>8</v>
      </c>
      <c r="G1664" s="69" t="s">
        <v>9</v>
      </c>
      <c r="H1664" s="70">
        <f>H1665+H1692+H1717+H1725+H1709</f>
        <v>0</v>
      </c>
      <c r="L1664" s="25">
        <v>70127.8</v>
      </c>
      <c r="M1664" s="25">
        <v>89106.85</v>
      </c>
      <c r="N1664" s="25">
        <v>80479.070000000007</v>
      </c>
      <c r="O1664" s="25">
        <f t="shared" si="197"/>
        <v>-70127.8</v>
      </c>
      <c r="P1664" s="25" t="e">
        <f>#REF!-M1664</f>
        <v>#REF!</v>
      </c>
      <c r="Q1664" s="25" t="e">
        <f>#REF!-N1664</f>
        <v>#REF!</v>
      </c>
      <c r="R1664" s="17" t="str">
        <f t="shared" si="192"/>
        <v>00 0 00 00000000</v>
      </c>
    </row>
    <row r="1665" spans="1:18" s="16" customFormat="1" ht="15.75">
      <c r="A1665" s="14"/>
      <c r="B1665" s="117" t="s">
        <v>10</v>
      </c>
      <c r="C1665" s="118" t="s">
        <v>412</v>
      </c>
      <c r="D1665" s="119" t="s">
        <v>11</v>
      </c>
      <c r="E1665" s="119" t="s">
        <v>7</v>
      </c>
      <c r="F1665" s="119" t="s">
        <v>8</v>
      </c>
      <c r="G1665" s="119" t="s">
        <v>9</v>
      </c>
      <c r="H1665" s="120">
        <f>H1666</f>
        <v>0</v>
      </c>
      <c r="L1665" s="18">
        <v>51015.950000000004</v>
      </c>
      <c r="M1665" s="18">
        <v>51015.950000000004</v>
      </c>
      <c r="N1665" s="18">
        <v>51015.950000000004</v>
      </c>
      <c r="O1665" s="18">
        <f t="shared" si="197"/>
        <v>-51015.950000000004</v>
      </c>
      <c r="P1665" s="18" t="e">
        <f>#REF!-M1665</f>
        <v>#REF!</v>
      </c>
      <c r="Q1665" s="18" t="e">
        <f>#REF!-N1665</f>
        <v>#REF!</v>
      </c>
      <c r="R1665" s="17" t="str">
        <f t="shared" si="192"/>
        <v>00 0 00 00000000</v>
      </c>
    </row>
    <row r="1666" spans="1:18" s="16" customFormat="1" ht="15.75">
      <c r="A1666" s="14"/>
      <c r="B1666" s="121" t="s">
        <v>50</v>
      </c>
      <c r="C1666" s="122" t="s">
        <v>412</v>
      </c>
      <c r="D1666" s="123" t="s">
        <v>11</v>
      </c>
      <c r="E1666" s="123" t="s">
        <v>51</v>
      </c>
      <c r="F1666" s="123" t="s">
        <v>8</v>
      </c>
      <c r="G1666" s="123" t="s">
        <v>9</v>
      </c>
      <c r="H1666" s="124">
        <f>H1667</f>
        <v>0</v>
      </c>
      <c r="L1666" s="19">
        <v>51015.950000000004</v>
      </c>
      <c r="M1666" s="19">
        <v>51015.950000000004</v>
      </c>
      <c r="N1666" s="19">
        <v>51015.950000000004</v>
      </c>
      <c r="O1666" s="19">
        <f t="shared" si="197"/>
        <v>-51015.950000000004</v>
      </c>
      <c r="P1666" s="19" t="e">
        <f>#REF!-M1666</f>
        <v>#REF!</v>
      </c>
      <c r="Q1666" s="19" t="e">
        <f>#REF!-N1666</f>
        <v>#REF!</v>
      </c>
      <c r="R1666" s="17" t="str">
        <f t="shared" si="192"/>
        <v>00 0 00 00000000</v>
      </c>
    </row>
    <row r="1667" spans="1:18" s="16" customFormat="1" ht="31.5">
      <c r="A1667" s="14"/>
      <c r="B1667" s="164" t="s">
        <v>911</v>
      </c>
      <c r="C1667" s="109" t="s">
        <v>412</v>
      </c>
      <c r="D1667" s="108" t="s">
        <v>11</v>
      </c>
      <c r="E1667" s="108" t="s">
        <v>51</v>
      </c>
      <c r="F1667" s="108" t="s">
        <v>912</v>
      </c>
      <c r="G1667" s="108" t="s">
        <v>9</v>
      </c>
      <c r="H1667" s="126">
        <f>H1668+H1683</f>
        <v>0</v>
      </c>
      <c r="L1667" s="20">
        <v>51015.950000000004</v>
      </c>
      <c r="M1667" s="20">
        <v>51015.950000000004</v>
      </c>
      <c r="N1667" s="20">
        <v>51015.950000000004</v>
      </c>
      <c r="O1667" s="20">
        <f t="shared" si="197"/>
        <v>-51015.950000000004</v>
      </c>
      <c r="P1667" s="20" t="e">
        <f>#REF!-M1667</f>
        <v>#REF!</v>
      </c>
      <c r="Q1667" s="20" t="e">
        <f>#REF!-N1667</f>
        <v>#REF!</v>
      </c>
      <c r="R1667" s="17" t="str">
        <f t="shared" si="192"/>
        <v>84 0 00 00000000</v>
      </c>
    </row>
    <row r="1668" spans="1:18" s="16" customFormat="1" ht="47.25">
      <c r="A1668" s="14"/>
      <c r="B1668" s="164" t="s">
        <v>913</v>
      </c>
      <c r="C1668" s="109" t="s">
        <v>412</v>
      </c>
      <c r="D1668" s="108" t="s">
        <v>11</v>
      </c>
      <c r="E1668" s="108" t="s">
        <v>51</v>
      </c>
      <c r="F1668" s="108" t="s">
        <v>914</v>
      </c>
      <c r="G1668" s="108" t="s">
        <v>9</v>
      </c>
      <c r="H1668" s="126">
        <f>H1669+H1679</f>
        <v>0</v>
      </c>
      <c r="L1668" s="20">
        <v>46915.950000000004</v>
      </c>
      <c r="M1668" s="20">
        <v>46915.950000000004</v>
      </c>
      <c r="N1668" s="20">
        <v>46915.950000000004</v>
      </c>
      <c r="O1668" s="20">
        <f t="shared" si="197"/>
        <v>-46915.950000000004</v>
      </c>
      <c r="P1668" s="20" t="e">
        <f>#REF!-M1668</f>
        <v>#REF!</v>
      </c>
      <c r="Q1668" s="20" t="e">
        <f>#REF!-N1668</f>
        <v>#REF!</v>
      </c>
      <c r="R1668" s="17" t="str">
        <f t="shared" si="192"/>
        <v>84 1 00 00000000</v>
      </c>
    </row>
    <row r="1669" spans="1:18" s="16" customFormat="1" ht="31.5">
      <c r="A1669" s="14"/>
      <c r="B1669" s="164" t="s">
        <v>18</v>
      </c>
      <c r="C1669" s="109" t="s">
        <v>412</v>
      </c>
      <c r="D1669" s="108" t="s">
        <v>11</v>
      </c>
      <c r="E1669" s="108" t="s">
        <v>51</v>
      </c>
      <c r="F1669" s="108" t="s">
        <v>915</v>
      </c>
      <c r="G1669" s="108" t="s">
        <v>9</v>
      </c>
      <c r="H1669" s="126">
        <f>H1670+H1673+H1675</f>
        <v>0</v>
      </c>
      <c r="L1669" s="20">
        <v>4084.58</v>
      </c>
      <c r="M1669" s="20">
        <v>4084.58</v>
      </c>
      <c r="N1669" s="20">
        <v>4084.58</v>
      </c>
      <c r="O1669" s="20">
        <f t="shared" si="197"/>
        <v>-4084.58</v>
      </c>
      <c r="P1669" s="20" t="e">
        <f>#REF!-M1669</f>
        <v>#REF!</v>
      </c>
      <c r="Q1669" s="20" t="e">
        <f>#REF!-N1669</f>
        <v>#REF!</v>
      </c>
      <c r="R1669" s="17" t="str">
        <f t="shared" si="192"/>
        <v>84 1 00 10010000</v>
      </c>
    </row>
    <row r="1670" spans="1:18" s="16" customFormat="1" ht="31.5">
      <c r="A1670" s="14"/>
      <c r="B1670" s="164" t="s">
        <v>20</v>
      </c>
      <c r="C1670" s="109" t="s">
        <v>412</v>
      </c>
      <c r="D1670" s="108" t="s">
        <v>11</v>
      </c>
      <c r="E1670" s="108" t="s">
        <v>51</v>
      </c>
      <c r="F1670" s="108" t="s">
        <v>915</v>
      </c>
      <c r="G1670" s="108" t="s">
        <v>21</v>
      </c>
      <c r="H1670" s="126">
        <f>SUM(H1671:H1672)</f>
        <v>0</v>
      </c>
      <c r="L1670" s="20">
        <v>994.43</v>
      </c>
      <c r="M1670" s="20">
        <v>994.43</v>
      </c>
      <c r="N1670" s="20">
        <v>994.43</v>
      </c>
      <c r="O1670" s="20">
        <f t="shared" si="197"/>
        <v>-994.43</v>
      </c>
      <c r="P1670" s="20" t="e">
        <f>#REF!-M1670</f>
        <v>#REF!</v>
      </c>
      <c r="Q1670" s="20" t="e">
        <f>#REF!-N1670</f>
        <v>#REF!</v>
      </c>
      <c r="R1670" s="17" t="str">
        <f t="shared" si="192"/>
        <v>84 1 00 10010120</v>
      </c>
    </row>
    <row r="1671" spans="1:18" s="23" customFormat="1" ht="47.25">
      <c r="A1671" s="21"/>
      <c r="B1671" s="127" t="s">
        <v>22</v>
      </c>
      <c r="C1671" s="109" t="s">
        <v>412</v>
      </c>
      <c r="D1671" s="108" t="s">
        <v>11</v>
      </c>
      <c r="E1671" s="108" t="s">
        <v>51</v>
      </c>
      <c r="F1671" s="108" t="s">
        <v>915</v>
      </c>
      <c r="G1671" s="108" t="s">
        <v>23</v>
      </c>
      <c r="H1671" s="126"/>
      <c r="L1671" s="22"/>
      <c r="M1671" s="22"/>
      <c r="N1671" s="22"/>
      <c r="O1671" s="22"/>
      <c r="P1671" s="22"/>
      <c r="Q1671" s="22"/>
      <c r="R1671" s="24"/>
    </row>
    <row r="1672" spans="1:18" s="23" customFormat="1" ht="63">
      <c r="A1672" s="21"/>
      <c r="B1672" s="127" t="s">
        <v>26</v>
      </c>
      <c r="C1672" s="109" t="s">
        <v>412</v>
      </c>
      <c r="D1672" s="108" t="s">
        <v>11</v>
      </c>
      <c r="E1672" s="108" t="s">
        <v>51</v>
      </c>
      <c r="F1672" s="108" t="s">
        <v>915</v>
      </c>
      <c r="G1672" s="108" t="s">
        <v>27</v>
      </c>
      <c r="H1672" s="126"/>
      <c r="L1672" s="22"/>
      <c r="M1672" s="22"/>
      <c r="N1672" s="22"/>
      <c r="O1672" s="22"/>
      <c r="P1672" s="22"/>
      <c r="Q1672" s="22"/>
      <c r="R1672" s="24"/>
    </row>
    <row r="1673" spans="1:18" s="16" customFormat="1" ht="31.5">
      <c r="A1673" s="14"/>
      <c r="B1673" s="164" t="s">
        <v>28</v>
      </c>
      <c r="C1673" s="109" t="s">
        <v>412</v>
      </c>
      <c r="D1673" s="108" t="s">
        <v>11</v>
      </c>
      <c r="E1673" s="108" t="s">
        <v>51</v>
      </c>
      <c r="F1673" s="108" t="s">
        <v>915</v>
      </c>
      <c r="G1673" s="108" t="s">
        <v>29</v>
      </c>
      <c r="H1673" s="126">
        <f>H1674</f>
        <v>0</v>
      </c>
      <c r="L1673" s="20">
        <v>2863.85</v>
      </c>
      <c r="M1673" s="20">
        <v>2863.85</v>
      </c>
      <c r="N1673" s="20">
        <v>2863.85</v>
      </c>
      <c r="O1673" s="20">
        <f>H1673-L1673</f>
        <v>-2863.85</v>
      </c>
      <c r="P1673" s="20" t="e">
        <f>#REF!-M1673</f>
        <v>#REF!</v>
      </c>
      <c r="Q1673" s="20" t="e">
        <f>#REF!-N1673</f>
        <v>#REF!</v>
      </c>
      <c r="R1673" s="17" t="str">
        <f t="shared" si="192"/>
        <v>84 1 00 10010240</v>
      </c>
    </row>
    <row r="1674" spans="1:18" s="16" customFormat="1" ht="15.75">
      <c r="A1674" s="14"/>
      <c r="B1674" s="125" t="s">
        <v>30</v>
      </c>
      <c r="C1674" s="109" t="s">
        <v>412</v>
      </c>
      <c r="D1674" s="108" t="s">
        <v>11</v>
      </c>
      <c r="E1674" s="108" t="s">
        <v>51</v>
      </c>
      <c r="F1674" s="108" t="s">
        <v>915</v>
      </c>
      <c r="G1674" s="108" t="s">
        <v>31</v>
      </c>
      <c r="H1674" s="126"/>
      <c r="L1674" s="20"/>
      <c r="M1674" s="20"/>
      <c r="N1674" s="20"/>
      <c r="O1674" s="20"/>
      <c r="P1674" s="20"/>
      <c r="Q1674" s="20"/>
      <c r="R1674" s="17"/>
    </row>
    <row r="1675" spans="1:18" s="16" customFormat="1" ht="15.75">
      <c r="A1675" s="14"/>
      <c r="B1675" s="164" t="s">
        <v>32</v>
      </c>
      <c r="C1675" s="109" t="s">
        <v>412</v>
      </c>
      <c r="D1675" s="108" t="s">
        <v>11</v>
      </c>
      <c r="E1675" s="108" t="s">
        <v>51</v>
      </c>
      <c r="F1675" s="108" t="s">
        <v>915</v>
      </c>
      <c r="G1675" s="108" t="s">
        <v>33</v>
      </c>
      <c r="H1675" s="126">
        <f>SUM(H1676:H1678)</f>
        <v>0</v>
      </c>
      <c r="L1675" s="20">
        <v>226.3</v>
      </c>
      <c r="M1675" s="20">
        <v>226.3</v>
      </c>
      <c r="N1675" s="20">
        <v>226.3</v>
      </c>
      <c r="O1675" s="20">
        <f>H1675-L1675</f>
        <v>-226.3</v>
      </c>
      <c r="P1675" s="20" t="e">
        <f>#REF!-M1675</f>
        <v>#REF!</v>
      </c>
      <c r="Q1675" s="20" t="e">
        <f>#REF!-N1675</f>
        <v>#REF!</v>
      </c>
      <c r="R1675" s="17" t="str">
        <f t="shared" si="192"/>
        <v>84 1 00 10010850</v>
      </c>
    </row>
    <row r="1676" spans="1:18" s="23" customFormat="1" ht="31.5">
      <c r="A1676" s="21"/>
      <c r="B1676" s="127" t="s">
        <v>34</v>
      </c>
      <c r="C1676" s="109" t="s">
        <v>412</v>
      </c>
      <c r="D1676" s="108" t="s">
        <v>11</v>
      </c>
      <c r="E1676" s="108" t="s">
        <v>51</v>
      </c>
      <c r="F1676" s="108" t="s">
        <v>915</v>
      </c>
      <c r="G1676" s="108" t="s">
        <v>35</v>
      </c>
      <c r="H1676" s="126"/>
      <c r="L1676" s="22"/>
      <c r="M1676" s="22"/>
      <c r="N1676" s="22"/>
      <c r="O1676" s="22"/>
      <c r="P1676" s="22"/>
      <c r="Q1676" s="22"/>
      <c r="R1676" s="24"/>
    </row>
    <row r="1677" spans="1:18" s="23" customFormat="1" ht="15.75">
      <c r="A1677" s="21"/>
      <c r="B1677" s="127" t="s">
        <v>36</v>
      </c>
      <c r="C1677" s="109" t="s">
        <v>412</v>
      </c>
      <c r="D1677" s="108" t="s">
        <v>11</v>
      </c>
      <c r="E1677" s="108" t="s">
        <v>51</v>
      </c>
      <c r="F1677" s="108" t="s">
        <v>915</v>
      </c>
      <c r="G1677" s="108" t="s">
        <v>37</v>
      </c>
      <c r="H1677" s="126"/>
      <c r="L1677" s="22"/>
      <c r="M1677" s="22"/>
      <c r="N1677" s="22"/>
      <c r="O1677" s="22"/>
      <c r="P1677" s="22"/>
      <c r="Q1677" s="22"/>
      <c r="R1677" s="24"/>
    </row>
    <row r="1678" spans="1:18" s="23" customFormat="1" ht="15.75">
      <c r="A1678" s="21"/>
      <c r="B1678" s="127" t="s">
        <v>77</v>
      </c>
      <c r="C1678" s="109" t="s">
        <v>412</v>
      </c>
      <c r="D1678" s="108" t="s">
        <v>11</v>
      </c>
      <c r="E1678" s="108" t="s">
        <v>51</v>
      </c>
      <c r="F1678" s="108" t="s">
        <v>915</v>
      </c>
      <c r="G1678" s="108" t="s">
        <v>78</v>
      </c>
      <c r="H1678" s="126"/>
      <c r="L1678" s="22"/>
      <c r="M1678" s="22"/>
      <c r="N1678" s="22"/>
      <c r="O1678" s="22"/>
      <c r="P1678" s="22"/>
      <c r="Q1678" s="22"/>
      <c r="R1678" s="24"/>
    </row>
    <row r="1679" spans="1:18" s="16" customFormat="1" ht="31.5">
      <c r="A1679" s="14"/>
      <c r="B1679" s="164" t="s">
        <v>38</v>
      </c>
      <c r="C1679" s="109" t="s">
        <v>412</v>
      </c>
      <c r="D1679" s="108" t="s">
        <v>11</v>
      </c>
      <c r="E1679" s="108" t="s">
        <v>51</v>
      </c>
      <c r="F1679" s="108" t="s">
        <v>916</v>
      </c>
      <c r="G1679" s="108" t="s">
        <v>9</v>
      </c>
      <c r="H1679" s="126">
        <f>H1680</f>
        <v>0</v>
      </c>
      <c r="L1679" s="20">
        <v>42831.37</v>
      </c>
      <c r="M1679" s="20">
        <v>42831.37</v>
      </c>
      <c r="N1679" s="20">
        <v>42831.37</v>
      </c>
      <c r="O1679" s="20">
        <f>H1679-L1679</f>
        <v>-42831.37</v>
      </c>
      <c r="P1679" s="20" t="e">
        <f>#REF!-M1679</f>
        <v>#REF!</v>
      </c>
      <c r="Q1679" s="20" t="e">
        <f>#REF!-N1679</f>
        <v>#REF!</v>
      </c>
      <c r="R1679" s="17" t="str">
        <f t="shared" si="192"/>
        <v>84 1 00 10020000</v>
      </c>
    </row>
    <row r="1680" spans="1:18" s="16" customFormat="1" ht="31.5">
      <c r="A1680" s="14"/>
      <c r="B1680" s="164" t="s">
        <v>20</v>
      </c>
      <c r="C1680" s="109" t="s">
        <v>412</v>
      </c>
      <c r="D1680" s="108" t="s">
        <v>11</v>
      </c>
      <c r="E1680" s="108" t="s">
        <v>51</v>
      </c>
      <c r="F1680" s="108" t="s">
        <v>916</v>
      </c>
      <c r="G1680" s="108" t="s">
        <v>21</v>
      </c>
      <c r="H1680" s="126">
        <f>SUM(H1681:H1682)</f>
        <v>0</v>
      </c>
      <c r="L1680" s="20">
        <v>42831.37</v>
      </c>
      <c r="M1680" s="20">
        <v>42831.37</v>
      </c>
      <c r="N1680" s="20">
        <v>42831.37</v>
      </c>
      <c r="O1680" s="20">
        <f>H1680-L1680</f>
        <v>-42831.37</v>
      </c>
      <c r="P1680" s="20" t="e">
        <f>#REF!-M1680</f>
        <v>#REF!</v>
      </c>
      <c r="Q1680" s="20" t="e">
        <f>#REF!-N1680</f>
        <v>#REF!</v>
      </c>
      <c r="R1680" s="17" t="str">
        <f t="shared" si="192"/>
        <v>84 1 00 10020120</v>
      </c>
    </row>
    <row r="1681" spans="1:18" s="23" customFormat="1" ht="31.5">
      <c r="A1681" s="21"/>
      <c r="B1681" s="127" t="s">
        <v>40</v>
      </c>
      <c r="C1681" s="109" t="s">
        <v>412</v>
      </c>
      <c r="D1681" s="108" t="s">
        <v>11</v>
      </c>
      <c r="E1681" s="108" t="s">
        <v>51</v>
      </c>
      <c r="F1681" s="108" t="s">
        <v>916</v>
      </c>
      <c r="G1681" s="108" t="s">
        <v>41</v>
      </c>
      <c r="H1681" s="126"/>
      <c r="L1681" s="22"/>
      <c r="M1681" s="22"/>
      <c r="N1681" s="22"/>
      <c r="O1681" s="22"/>
      <c r="P1681" s="22"/>
      <c r="Q1681" s="22"/>
      <c r="R1681" s="24"/>
    </row>
    <row r="1682" spans="1:18" s="23" customFormat="1" ht="63">
      <c r="A1682" s="21"/>
      <c r="B1682" s="127" t="s">
        <v>26</v>
      </c>
      <c r="C1682" s="109" t="s">
        <v>412</v>
      </c>
      <c r="D1682" s="108" t="s">
        <v>11</v>
      </c>
      <c r="E1682" s="108" t="s">
        <v>51</v>
      </c>
      <c r="F1682" s="108" t="s">
        <v>916</v>
      </c>
      <c r="G1682" s="108" t="s">
        <v>27</v>
      </c>
      <c r="H1682" s="126"/>
      <c r="L1682" s="22"/>
      <c r="M1682" s="22"/>
      <c r="N1682" s="22"/>
      <c r="O1682" s="22"/>
      <c r="P1682" s="22"/>
      <c r="Q1682" s="22"/>
      <c r="R1682" s="24"/>
    </row>
    <row r="1683" spans="1:18" s="16" customFormat="1" ht="15.75">
      <c r="A1683" s="14"/>
      <c r="B1683" s="164" t="s">
        <v>52</v>
      </c>
      <c r="C1683" s="109" t="s">
        <v>412</v>
      </c>
      <c r="D1683" s="108" t="s">
        <v>11</v>
      </c>
      <c r="E1683" s="108" t="s">
        <v>51</v>
      </c>
      <c r="F1683" s="108" t="s">
        <v>917</v>
      </c>
      <c r="G1683" s="108" t="s">
        <v>9</v>
      </c>
      <c r="H1683" s="126">
        <f>H1689+H1684</f>
        <v>0</v>
      </c>
      <c r="L1683" s="20">
        <v>4100</v>
      </c>
      <c r="M1683" s="20">
        <v>4100</v>
      </c>
      <c r="N1683" s="20">
        <v>4100</v>
      </c>
      <c r="O1683" s="20">
        <f>H1683-L1683</f>
        <v>-4100</v>
      </c>
      <c r="P1683" s="20" t="e">
        <f>#REF!-M1683</f>
        <v>#REF!</v>
      </c>
      <c r="Q1683" s="20" t="e">
        <f>#REF!-N1683</f>
        <v>#REF!</v>
      </c>
      <c r="R1683" s="17" t="str">
        <f t="shared" si="192"/>
        <v>84 2 00 00000000</v>
      </c>
    </row>
    <row r="1684" spans="1:18" s="16" customFormat="1" ht="47.25">
      <c r="A1684" s="14"/>
      <c r="B1684" s="164" t="s">
        <v>918</v>
      </c>
      <c r="C1684" s="109" t="s">
        <v>412</v>
      </c>
      <c r="D1684" s="108" t="s">
        <v>11</v>
      </c>
      <c r="E1684" s="108" t="s">
        <v>51</v>
      </c>
      <c r="F1684" s="108" t="s">
        <v>919</v>
      </c>
      <c r="G1684" s="108" t="s">
        <v>9</v>
      </c>
      <c r="H1684" s="126">
        <f>H1685+H1687</f>
        <v>0</v>
      </c>
      <c r="L1684" s="20">
        <v>600</v>
      </c>
      <c r="M1684" s="20">
        <v>600</v>
      </c>
      <c r="N1684" s="20">
        <v>600</v>
      </c>
      <c r="O1684" s="20">
        <f>H1684-L1684</f>
        <v>-600</v>
      </c>
      <c r="P1684" s="20" t="e">
        <f>#REF!-M1684</f>
        <v>#REF!</v>
      </c>
      <c r="Q1684" s="20" t="e">
        <f>#REF!-N1684</f>
        <v>#REF!</v>
      </c>
      <c r="R1684" s="17" t="str">
        <f t="shared" si="192"/>
        <v>84 2 00 20740000</v>
      </c>
    </row>
    <row r="1685" spans="1:18" s="16" customFormat="1" ht="31.5">
      <c r="A1685" s="14"/>
      <c r="B1685" s="125" t="s">
        <v>28</v>
      </c>
      <c r="C1685" s="109" t="s">
        <v>412</v>
      </c>
      <c r="D1685" s="108" t="s">
        <v>11</v>
      </c>
      <c r="E1685" s="108" t="s">
        <v>51</v>
      </c>
      <c r="F1685" s="108" t="s">
        <v>919</v>
      </c>
      <c r="G1685" s="108" t="s">
        <v>29</v>
      </c>
      <c r="H1685" s="126">
        <f>H1686</f>
        <v>0</v>
      </c>
      <c r="L1685" s="20">
        <v>150</v>
      </c>
      <c r="M1685" s="20">
        <v>150</v>
      </c>
      <c r="N1685" s="20">
        <v>150</v>
      </c>
      <c r="O1685" s="20">
        <f>H1685-L1685</f>
        <v>-150</v>
      </c>
      <c r="P1685" s="20" t="e">
        <f>#REF!-M1685</f>
        <v>#REF!</v>
      </c>
      <c r="Q1685" s="20" t="e">
        <f>#REF!-N1685</f>
        <v>#REF!</v>
      </c>
      <c r="R1685" s="17" t="str">
        <f t="shared" si="192"/>
        <v>84 2 00 20740240</v>
      </c>
    </row>
    <row r="1686" spans="1:18" s="16" customFormat="1" ht="15.75">
      <c r="A1686" s="14"/>
      <c r="B1686" s="125" t="s">
        <v>30</v>
      </c>
      <c r="C1686" s="109" t="s">
        <v>412</v>
      </c>
      <c r="D1686" s="108" t="s">
        <v>11</v>
      </c>
      <c r="E1686" s="108" t="s">
        <v>51</v>
      </c>
      <c r="F1686" s="108" t="s">
        <v>919</v>
      </c>
      <c r="G1686" s="108" t="s">
        <v>31</v>
      </c>
      <c r="H1686" s="126"/>
      <c r="L1686" s="20"/>
      <c r="M1686" s="20"/>
      <c r="N1686" s="20"/>
      <c r="O1686" s="20"/>
      <c r="P1686" s="20"/>
      <c r="Q1686" s="20"/>
      <c r="R1686" s="17"/>
    </row>
    <row r="1687" spans="1:18" s="16" customFormat="1" ht="15.75">
      <c r="A1687" s="14"/>
      <c r="B1687" s="132" t="s">
        <v>189</v>
      </c>
      <c r="C1687" s="109" t="s">
        <v>412</v>
      </c>
      <c r="D1687" s="108" t="s">
        <v>11</v>
      </c>
      <c r="E1687" s="108" t="s">
        <v>51</v>
      </c>
      <c r="F1687" s="108" t="s">
        <v>919</v>
      </c>
      <c r="G1687" s="108" t="s">
        <v>190</v>
      </c>
      <c r="H1687" s="126">
        <f>H1688</f>
        <v>0</v>
      </c>
      <c r="L1687" s="20">
        <v>450</v>
      </c>
      <c r="M1687" s="20">
        <v>450</v>
      </c>
      <c r="N1687" s="20">
        <v>450</v>
      </c>
      <c r="O1687" s="20">
        <f>H1687-L1687</f>
        <v>-450</v>
      </c>
      <c r="P1687" s="20" t="e">
        <f>#REF!-M1687</f>
        <v>#REF!</v>
      </c>
      <c r="Q1687" s="20" t="e">
        <f>#REF!-N1687</f>
        <v>#REF!</v>
      </c>
      <c r="R1687" s="17" t="str">
        <f t="shared" si="192"/>
        <v>84 2 00 20740830</v>
      </c>
    </row>
    <row r="1688" spans="1:18" s="16" customFormat="1" ht="47.25">
      <c r="A1688" s="14"/>
      <c r="B1688" s="127" t="s">
        <v>191</v>
      </c>
      <c r="C1688" s="109" t="s">
        <v>412</v>
      </c>
      <c r="D1688" s="108" t="s">
        <v>11</v>
      </c>
      <c r="E1688" s="108" t="s">
        <v>51</v>
      </c>
      <c r="F1688" s="108" t="s">
        <v>919</v>
      </c>
      <c r="G1688" s="108" t="s">
        <v>192</v>
      </c>
      <c r="H1688" s="126"/>
      <c r="L1688" s="20"/>
      <c r="M1688" s="20"/>
      <c r="N1688" s="20"/>
      <c r="O1688" s="20"/>
      <c r="P1688" s="20"/>
      <c r="Q1688" s="20"/>
      <c r="R1688" s="17"/>
    </row>
    <row r="1689" spans="1:18" s="16" customFormat="1" ht="47.25">
      <c r="A1689" s="14"/>
      <c r="B1689" s="132" t="s">
        <v>920</v>
      </c>
      <c r="C1689" s="109" t="s">
        <v>412</v>
      </c>
      <c r="D1689" s="108" t="s">
        <v>11</v>
      </c>
      <c r="E1689" s="108" t="s">
        <v>51</v>
      </c>
      <c r="F1689" s="108" t="s">
        <v>921</v>
      </c>
      <c r="G1689" s="108" t="s">
        <v>9</v>
      </c>
      <c r="H1689" s="126">
        <f>H1690</f>
        <v>0</v>
      </c>
      <c r="L1689" s="20">
        <v>3500</v>
      </c>
      <c r="M1689" s="20">
        <v>3500</v>
      </c>
      <c r="N1689" s="20">
        <v>3500</v>
      </c>
      <c r="O1689" s="20">
        <f>H1689-L1689</f>
        <v>-3500</v>
      </c>
      <c r="P1689" s="20" t="e">
        <f>#REF!-M1689</f>
        <v>#REF!</v>
      </c>
      <c r="Q1689" s="20" t="e">
        <f>#REF!-N1689</f>
        <v>#REF!</v>
      </c>
      <c r="R1689" s="17" t="str">
        <f t="shared" si="192"/>
        <v>84 2 00 21100000</v>
      </c>
    </row>
    <row r="1690" spans="1:18" s="16" customFormat="1" ht="31.5">
      <c r="A1690" s="14"/>
      <c r="B1690" s="125" t="s">
        <v>28</v>
      </c>
      <c r="C1690" s="109" t="s">
        <v>412</v>
      </c>
      <c r="D1690" s="108" t="s">
        <v>11</v>
      </c>
      <c r="E1690" s="108" t="s">
        <v>51</v>
      </c>
      <c r="F1690" s="108" t="s">
        <v>921</v>
      </c>
      <c r="G1690" s="108" t="s">
        <v>29</v>
      </c>
      <c r="H1690" s="126">
        <f>H1691</f>
        <v>0</v>
      </c>
      <c r="L1690" s="20">
        <v>3500</v>
      </c>
      <c r="M1690" s="20">
        <v>3500</v>
      </c>
      <c r="N1690" s="20">
        <v>3500</v>
      </c>
      <c r="O1690" s="20">
        <f>H1690-L1690</f>
        <v>-3500</v>
      </c>
      <c r="P1690" s="20" t="e">
        <f>#REF!-M1690</f>
        <v>#REF!</v>
      </c>
      <c r="Q1690" s="20" t="e">
        <f>#REF!-N1690</f>
        <v>#REF!</v>
      </c>
      <c r="R1690" s="17" t="str">
        <f t="shared" si="192"/>
        <v>84 2 00 21100240</v>
      </c>
    </row>
    <row r="1691" spans="1:18" s="16" customFormat="1" ht="15.75">
      <c r="A1691" s="14"/>
      <c r="B1691" s="125" t="s">
        <v>30</v>
      </c>
      <c r="C1691" s="109" t="s">
        <v>412</v>
      </c>
      <c r="D1691" s="108" t="s">
        <v>11</v>
      </c>
      <c r="E1691" s="108" t="s">
        <v>51</v>
      </c>
      <c r="F1691" s="108" t="s">
        <v>921</v>
      </c>
      <c r="G1691" s="108" t="s">
        <v>31</v>
      </c>
      <c r="H1691" s="126"/>
      <c r="L1691" s="20"/>
      <c r="M1691" s="20"/>
      <c r="N1691" s="20"/>
      <c r="O1691" s="20"/>
      <c r="P1691" s="20"/>
      <c r="Q1691" s="20"/>
      <c r="R1691" s="17"/>
    </row>
    <row r="1692" spans="1:18" s="16" customFormat="1" ht="15.75">
      <c r="A1692" s="14"/>
      <c r="B1692" s="117" t="s">
        <v>195</v>
      </c>
      <c r="C1692" s="118" t="s">
        <v>412</v>
      </c>
      <c r="D1692" s="119" t="s">
        <v>73</v>
      </c>
      <c r="E1692" s="119" t="s">
        <v>7</v>
      </c>
      <c r="F1692" s="119" t="s">
        <v>8</v>
      </c>
      <c r="G1692" s="119" t="s">
        <v>9</v>
      </c>
      <c r="H1692" s="120">
        <f>H1693</f>
        <v>0</v>
      </c>
      <c r="L1692" s="18">
        <v>4903</v>
      </c>
      <c r="M1692" s="18">
        <v>9588.2999999999993</v>
      </c>
      <c r="N1692" s="18">
        <v>9588.2999999999993</v>
      </c>
      <c r="O1692" s="18">
        <f t="shared" ref="O1692:O1698" si="198">H1692-L1692</f>
        <v>-4903</v>
      </c>
      <c r="P1692" s="18" t="e">
        <f>#REF!-M1692</f>
        <v>#REF!</v>
      </c>
      <c r="Q1692" s="18" t="e">
        <f>#REF!-N1692</f>
        <v>#REF!</v>
      </c>
      <c r="R1692" s="17" t="str">
        <f t="shared" si="192"/>
        <v>00 0 00 00000000</v>
      </c>
    </row>
    <row r="1693" spans="1:18" s="16" customFormat="1" ht="15.75">
      <c r="A1693" s="14"/>
      <c r="B1693" s="121" t="s">
        <v>284</v>
      </c>
      <c r="C1693" s="122" t="s">
        <v>412</v>
      </c>
      <c r="D1693" s="123" t="s">
        <v>73</v>
      </c>
      <c r="E1693" s="123" t="s">
        <v>57</v>
      </c>
      <c r="F1693" s="123" t="s">
        <v>8</v>
      </c>
      <c r="G1693" s="123" t="s">
        <v>9</v>
      </c>
      <c r="H1693" s="124">
        <f>H1694+H1704</f>
        <v>0</v>
      </c>
      <c r="L1693" s="19">
        <v>4903</v>
      </c>
      <c r="M1693" s="19">
        <v>9588.2999999999993</v>
      </c>
      <c r="N1693" s="19">
        <v>9588.2999999999993</v>
      </c>
      <c r="O1693" s="19">
        <f t="shared" si="198"/>
        <v>-4903</v>
      </c>
      <c r="P1693" s="19" t="e">
        <f>#REF!-M1693</f>
        <v>#REF!</v>
      </c>
      <c r="Q1693" s="19" t="e">
        <f>#REF!-N1693</f>
        <v>#REF!</v>
      </c>
      <c r="R1693" s="17" t="str">
        <f t="shared" si="192"/>
        <v>00 0 00 00000000</v>
      </c>
    </row>
    <row r="1694" spans="1:18" s="16" customFormat="1" ht="31.5">
      <c r="A1694" s="14"/>
      <c r="B1694" s="125" t="s">
        <v>922</v>
      </c>
      <c r="C1694" s="109" t="s">
        <v>412</v>
      </c>
      <c r="D1694" s="109" t="s">
        <v>73</v>
      </c>
      <c r="E1694" s="109" t="s">
        <v>57</v>
      </c>
      <c r="F1694" s="109" t="s">
        <v>923</v>
      </c>
      <c r="G1694" s="109" t="s">
        <v>9</v>
      </c>
      <c r="H1694" s="141">
        <f>H1695</f>
        <v>0</v>
      </c>
      <c r="L1694" s="32">
        <v>4803</v>
      </c>
      <c r="M1694" s="32">
        <v>9488.2999999999993</v>
      </c>
      <c r="N1694" s="32">
        <v>9488.2999999999993</v>
      </c>
      <c r="O1694" s="32">
        <f t="shared" si="198"/>
        <v>-4803</v>
      </c>
      <c r="P1694" s="32" t="e">
        <f>#REF!-M1694</f>
        <v>#REF!</v>
      </c>
      <c r="Q1694" s="32" t="e">
        <f>#REF!-N1694</f>
        <v>#REF!</v>
      </c>
      <c r="R1694" s="17" t="str">
        <f t="shared" si="192"/>
        <v>05 0 00 00000000</v>
      </c>
    </row>
    <row r="1695" spans="1:18" s="16" customFormat="1" ht="47.25">
      <c r="A1695" s="14"/>
      <c r="B1695" s="125" t="s">
        <v>924</v>
      </c>
      <c r="C1695" s="109" t="s">
        <v>412</v>
      </c>
      <c r="D1695" s="109" t="s">
        <v>73</v>
      </c>
      <c r="E1695" s="109" t="s">
        <v>57</v>
      </c>
      <c r="F1695" s="109" t="s">
        <v>925</v>
      </c>
      <c r="G1695" s="109" t="s">
        <v>9</v>
      </c>
      <c r="H1695" s="141">
        <f>H1696+H1700</f>
        <v>0</v>
      </c>
      <c r="L1695" s="32">
        <v>4803</v>
      </c>
      <c r="M1695" s="32">
        <v>9488.2999999999993</v>
      </c>
      <c r="N1695" s="32">
        <v>9488.2999999999993</v>
      </c>
      <c r="O1695" s="32">
        <f t="shared" si="198"/>
        <v>-4803</v>
      </c>
      <c r="P1695" s="32" t="e">
        <f>#REF!-M1695</f>
        <v>#REF!</v>
      </c>
      <c r="Q1695" s="32" t="e">
        <f>#REF!-N1695</f>
        <v>#REF!</v>
      </c>
      <c r="R1695" s="17" t="str">
        <f t="shared" si="192"/>
        <v>05 Б 00 00000000</v>
      </c>
    </row>
    <row r="1696" spans="1:18" s="16" customFormat="1" ht="78.75">
      <c r="A1696" s="14"/>
      <c r="B1696" s="125" t="s">
        <v>926</v>
      </c>
      <c r="C1696" s="109" t="s">
        <v>412</v>
      </c>
      <c r="D1696" s="109" t="s">
        <v>73</v>
      </c>
      <c r="E1696" s="109" t="s">
        <v>57</v>
      </c>
      <c r="F1696" s="109" t="s">
        <v>927</v>
      </c>
      <c r="G1696" s="109" t="s">
        <v>9</v>
      </c>
      <c r="H1696" s="141">
        <f t="shared" ref="H1696:H1697" si="199">H1697</f>
        <v>0</v>
      </c>
      <c r="L1696" s="32">
        <v>4403</v>
      </c>
      <c r="M1696" s="32">
        <v>9488.2999999999993</v>
      </c>
      <c r="N1696" s="32">
        <v>9488.2999999999993</v>
      </c>
      <c r="O1696" s="32">
        <f t="shared" si="198"/>
        <v>-4403</v>
      </c>
      <c r="P1696" s="32" t="e">
        <f>#REF!-M1696</f>
        <v>#REF!</v>
      </c>
      <c r="Q1696" s="32" t="e">
        <f>#REF!-N1696</f>
        <v>#REF!</v>
      </c>
      <c r="R1696" s="17" t="str">
        <f t="shared" si="192"/>
        <v>05 Б 01 00000000</v>
      </c>
    </row>
    <row r="1697" spans="1:18" s="16" customFormat="1" ht="31.5">
      <c r="A1697" s="14"/>
      <c r="B1697" s="127" t="s">
        <v>928</v>
      </c>
      <c r="C1697" s="109" t="s">
        <v>412</v>
      </c>
      <c r="D1697" s="109" t="s">
        <v>73</v>
      </c>
      <c r="E1697" s="109" t="s">
        <v>57</v>
      </c>
      <c r="F1697" s="109" t="s">
        <v>929</v>
      </c>
      <c r="G1697" s="109" t="s">
        <v>9</v>
      </c>
      <c r="H1697" s="141">
        <f t="shared" si="199"/>
        <v>0</v>
      </c>
      <c r="L1697" s="32">
        <v>4403</v>
      </c>
      <c r="M1697" s="32">
        <v>9488.2999999999993</v>
      </c>
      <c r="N1697" s="32">
        <v>9488.2999999999993</v>
      </c>
      <c r="O1697" s="32">
        <f t="shared" si="198"/>
        <v>-4403</v>
      </c>
      <c r="P1697" s="32" t="e">
        <f>#REF!-M1697</f>
        <v>#REF!</v>
      </c>
      <c r="Q1697" s="32" t="e">
        <f>#REF!-N1697</f>
        <v>#REF!</v>
      </c>
      <c r="R1697" s="17" t="str">
        <f t="shared" si="192"/>
        <v>05 Б 01 20390000</v>
      </c>
    </row>
    <row r="1698" spans="1:18" s="16" customFormat="1" ht="31.5">
      <c r="A1698" s="14"/>
      <c r="B1698" s="125" t="s">
        <v>28</v>
      </c>
      <c r="C1698" s="109" t="s">
        <v>412</v>
      </c>
      <c r="D1698" s="109" t="s">
        <v>73</v>
      </c>
      <c r="E1698" s="109" t="s">
        <v>57</v>
      </c>
      <c r="F1698" s="109" t="s">
        <v>929</v>
      </c>
      <c r="G1698" s="109" t="s">
        <v>29</v>
      </c>
      <c r="H1698" s="126">
        <f>H1699</f>
        <v>0</v>
      </c>
      <c r="L1698" s="32">
        <v>4403</v>
      </c>
      <c r="M1698" s="32">
        <v>9488.2999999999993</v>
      </c>
      <c r="N1698" s="32">
        <v>9488.2999999999993</v>
      </c>
      <c r="O1698" s="32">
        <f t="shared" si="198"/>
        <v>-4403</v>
      </c>
      <c r="P1698" s="32" t="e">
        <f>#REF!-M1698</f>
        <v>#REF!</v>
      </c>
      <c r="Q1698" s="32" t="e">
        <f>#REF!-N1698</f>
        <v>#REF!</v>
      </c>
      <c r="R1698" s="17" t="str">
        <f t="shared" si="192"/>
        <v>05 Б 01 20390240</v>
      </c>
    </row>
    <row r="1699" spans="1:18" s="16" customFormat="1" ht="15.75">
      <c r="A1699" s="14"/>
      <c r="B1699" s="125" t="s">
        <v>30</v>
      </c>
      <c r="C1699" s="109" t="s">
        <v>412</v>
      </c>
      <c r="D1699" s="109" t="s">
        <v>73</v>
      </c>
      <c r="E1699" s="109" t="s">
        <v>57</v>
      </c>
      <c r="F1699" s="109" t="s">
        <v>929</v>
      </c>
      <c r="G1699" s="109" t="s">
        <v>31</v>
      </c>
      <c r="H1699" s="126"/>
      <c r="L1699" s="32"/>
      <c r="M1699" s="32"/>
      <c r="N1699" s="32"/>
      <c r="O1699" s="32"/>
      <c r="P1699" s="32"/>
      <c r="Q1699" s="32"/>
      <c r="R1699" s="17"/>
    </row>
    <row r="1700" spans="1:18" s="16" customFormat="1" ht="78.75">
      <c r="A1700" s="14"/>
      <c r="B1700" s="125" t="s">
        <v>930</v>
      </c>
      <c r="C1700" s="109" t="s">
        <v>412</v>
      </c>
      <c r="D1700" s="109" t="s">
        <v>73</v>
      </c>
      <c r="E1700" s="109" t="s">
        <v>57</v>
      </c>
      <c r="F1700" s="109" t="s">
        <v>931</v>
      </c>
      <c r="G1700" s="109" t="s">
        <v>9</v>
      </c>
      <c r="H1700" s="141">
        <f t="shared" ref="H1700:H1701" si="200">H1701</f>
        <v>0</v>
      </c>
      <c r="L1700" s="32">
        <v>400</v>
      </c>
      <c r="M1700" s="32">
        <v>0</v>
      </c>
      <c r="N1700" s="32">
        <v>0</v>
      </c>
      <c r="O1700" s="32">
        <f>H1700-L1700</f>
        <v>-400</v>
      </c>
      <c r="P1700" s="32" t="e">
        <f>#REF!-M1700</f>
        <v>#REF!</v>
      </c>
      <c r="Q1700" s="32" t="e">
        <f>#REF!-N1700</f>
        <v>#REF!</v>
      </c>
      <c r="R1700" s="17" t="str">
        <f t="shared" si="192"/>
        <v>05 Б 02 00000000</v>
      </c>
    </row>
    <row r="1701" spans="1:18" s="16" customFormat="1" ht="31.5">
      <c r="A1701" s="14"/>
      <c r="B1701" s="125" t="s">
        <v>932</v>
      </c>
      <c r="C1701" s="109" t="s">
        <v>412</v>
      </c>
      <c r="D1701" s="109" t="s">
        <v>73</v>
      </c>
      <c r="E1701" s="109" t="s">
        <v>57</v>
      </c>
      <c r="F1701" s="109" t="s">
        <v>933</v>
      </c>
      <c r="G1701" s="109" t="s">
        <v>9</v>
      </c>
      <c r="H1701" s="141">
        <f t="shared" si="200"/>
        <v>0</v>
      </c>
      <c r="L1701" s="32">
        <v>400</v>
      </c>
      <c r="M1701" s="32">
        <v>0</v>
      </c>
      <c r="N1701" s="32">
        <v>0</v>
      </c>
      <c r="O1701" s="32">
        <f>H1701-L1701</f>
        <v>-400</v>
      </c>
      <c r="P1701" s="32" t="e">
        <f>#REF!-M1701</f>
        <v>#REF!</v>
      </c>
      <c r="Q1701" s="32" t="e">
        <f>#REF!-N1701</f>
        <v>#REF!</v>
      </c>
      <c r="R1701" s="17" t="str">
        <f t="shared" si="192"/>
        <v>05 Б 02 21190000</v>
      </c>
    </row>
    <row r="1702" spans="1:18" s="16" customFormat="1" ht="31.5">
      <c r="A1702" s="14"/>
      <c r="B1702" s="125" t="s">
        <v>28</v>
      </c>
      <c r="C1702" s="109" t="s">
        <v>412</v>
      </c>
      <c r="D1702" s="109" t="s">
        <v>73</v>
      </c>
      <c r="E1702" s="109" t="s">
        <v>57</v>
      </c>
      <c r="F1702" s="109" t="s">
        <v>933</v>
      </c>
      <c r="G1702" s="109" t="s">
        <v>29</v>
      </c>
      <c r="H1702" s="126">
        <f>H1703</f>
        <v>0</v>
      </c>
      <c r="L1702" s="32">
        <v>400</v>
      </c>
      <c r="M1702" s="32">
        <v>0</v>
      </c>
      <c r="N1702" s="32">
        <v>0</v>
      </c>
      <c r="O1702" s="32">
        <f>H1702-L1702</f>
        <v>-400</v>
      </c>
      <c r="P1702" s="32" t="e">
        <f>#REF!-M1702</f>
        <v>#REF!</v>
      </c>
      <c r="Q1702" s="32" t="e">
        <f>#REF!-N1702</f>
        <v>#REF!</v>
      </c>
      <c r="R1702" s="17" t="str">
        <f t="shared" si="192"/>
        <v>05 Б 02 21190240</v>
      </c>
    </row>
    <row r="1703" spans="1:18" s="16" customFormat="1" ht="15.75">
      <c r="A1703" s="14"/>
      <c r="B1703" s="125" t="s">
        <v>30</v>
      </c>
      <c r="C1703" s="109" t="s">
        <v>412</v>
      </c>
      <c r="D1703" s="109" t="s">
        <v>73</v>
      </c>
      <c r="E1703" s="109" t="s">
        <v>57</v>
      </c>
      <c r="F1703" s="109" t="s">
        <v>933</v>
      </c>
      <c r="G1703" s="109" t="s">
        <v>31</v>
      </c>
      <c r="H1703" s="126"/>
      <c r="L1703" s="32"/>
      <c r="M1703" s="32"/>
      <c r="N1703" s="32"/>
      <c r="O1703" s="32"/>
      <c r="P1703" s="32"/>
      <c r="Q1703" s="32"/>
      <c r="R1703" s="17"/>
    </row>
    <row r="1704" spans="1:18" s="16" customFormat="1" ht="31.5">
      <c r="A1704" s="14"/>
      <c r="B1704" s="164" t="s">
        <v>911</v>
      </c>
      <c r="C1704" s="109" t="s">
        <v>412</v>
      </c>
      <c r="D1704" s="109" t="s">
        <v>73</v>
      </c>
      <c r="E1704" s="109" t="s">
        <v>57</v>
      </c>
      <c r="F1704" s="108" t="s">
        <v>912</v>
      </c>
      <c r="G1704" s="108" t="s">
        <v>9</v>
      </c>
      <c r="H1704" s="126">
        <f t="shared" ref="H1704:H1705" si="201">H1705</f>
        <v>0</v>
      </c>
      <c r="L1704" s="20">
        <v>100</v>
      </c>
      <c r="M1704" s="20">
        <v>100</v>
      </c>
      <c r="N1704" s="20">
        <v>100</v>
      </c>
      <c r="O1704" s="20">
        <f>H1704-L1704</f>
        <v>-100</v>
      </c>
      <c r="P1704" s="20" t="e">
        <f>#REF!-M1704</f>
        <v>#REF!</v>
      </c>
      <c r="Q1704" s="20" t="e">
        <f>#REF!-N1704</f>
        <v>#REF!</v>
      </c>
      <c r="R1704" s="17" t="str">
        <f t="shared" si="192"/>
        <v>84 0 00 00000000</v>
      </c>
    </row>
    <row r="1705" spans="1:18" s="16" customFormat="1" ht="15.75">
      <c r="A1705" s="14"/>
      <c r="B1705" s="164" t="s">
        <v>52</v>
      </c>
      <c r="C1705" s="109" t="s">
        <v>412</v>
      </c>
      <c r="D1705" s="109" t="s">
        <v>73</v>
      </c>
      <c r="E1705" s="109" t="s">
        <v>57</v>
      </c>
      <c r="F1705" s="108" t="s">
        <v>917</v>
      </c>
      <c r="G1705" s="108" t="s">
        <v>9</v>
      </c>
      <c r="H1705" s="126">
        <f t="shared" si="201"/>
        <v>0</v>
      </c>
      <c r="L1705" s="20">
        <v>100</v>
      </c>
      <c r="M1705" s="20">
        <v>100</v>
      </c>
      <c r="N1705" s="20">
        <v>100</v>
      </c>
      <c r="O1705" s="20">
        <f>H1705-L1705</f>
        <v>-100</v>
      </c>
      <c r="P1705" s="20" t="e">
        <f>#REF!-M1705</f>
        <v>#REF!</v>
      </c>
      <c r="Q1705" s="20" t="e">
        <f>#REF!-N1705</f>
        <v>#REF!</v>
      </c>
      <c r="R1705" s="17" t="str">
        <f t="shared" si="192"/>
        <v>84 2 00 00000000</v>
      </c>
    </row>
    <row r="1706" spans="1:18" s="16" customFormat="1" ht="31.5">
      <c r="A1706" s="14"/>
      <c r="B1706" s="164" t="s">
        <v>934</v>
      </c>
      <c r="C1706" s="109" t="s">
        <v>412</v>
      </c>
      <c r="D1706" s="109" t="s">
        <v>73</v>
      </c>
      <c r="E1706" s="109" t="s">
        <v>57</v>
      </c>
      <c r="F1706" s="108" t="s">
        <v>935</v>
      </c>
      <c r="G1706" s="108" t="s">
        <v>9</v>
      </c>
      <c r="H1706" s="126">
        <f>H1707</f>
        <v>0</v>
      </c>
      <c r="L1706" s="20">
        <v>100</v>
      </c>
      <c r="M1706" s="20">
        <v>100</v>
      </c>
      <c r="N1706" s="20">
        <v>100</v>
      </c>
      <c r="O1706" s="20">
        <f>H1706-L1706</f>
        <v>-100</v>
      </c>
      <c r="P1706" s="20" t="e">
        <f>#REF!-M1706</f>
        <v>#REF!</v>
      </c>
      <c r="Q1706" s="20" t="e">
        <f>#REF!-N1706</f>
        <v>#REF!</v>
      </c>
      <c r="R1706" s="17" t="str">
        <f t="shared" si="192"/>
        <v>84 2 00 21210000</v>
      </c>
    </row>
    <row r="1707" spans="1:18" s="16" customFormat="1" ht="31.5">
      <c r="A1707" s="14"/>
      <c r="B1707" s="125" t="s">
        <v>28</v>
      </c>
      <c r="C1707" s="109" t="s">
        <v>412</v>
      </c>
      <c r="D1707" s="109" t="s">
        <v>73</v>
      </c>
      <c r="E1707" s="109" t="s">
        <v>57</v>
      </c>
      <c r="F1707" s="108" t="s">
        <v>935</v>
      </c>
      <c r="G1707" s="108" t="s">
        <v>29</v>
      </c>
      <c r="H1707" s="126">
        <f>H1708</f>
        <v>0</v>
      </c>
      <c r="L1707" s="20">
        <v>100</v>
      </c>
      <c r="M1707" s="20">
        <v>100</v>
      </c>
      <c r="N1707" s="20">
        <v>100</v>
      </c>
      <c r="O1707" s="20">
        <f>H1707-L1707</f>
        <v>-100</v>
      </c>
      <c r="P1707" s="20" t="e">
        <f>#REF!-M1707</f>
        <v>#REF!</v>
      </c>
      <c r="Q1707" s="20" t="e">
        <f>#REF!-N1707</f>
        <v>#REF!</v>
      </c>
      <c r="R1707" s="17" t="str">
        <f t="shared" si="192"/>
        <v>84 2 00 21210240</v>
      </c>
    </row>
    <row r="1708" spans="1:18" s="16" customFormat="1" ht="15.75">
      <c r="A1708" s="14"/>
      <c r="B1708" s="125" t="s">
        <v>30</v>
      </c>
      <c r="C1708" s="109" t="s">
        <v>412</v>
      </c>
      <c r="D1708" s="109" t="s">
        <v>73</v>
      </c>
      <c r="E1708" s="109" t="s">
        <v>57</v>
      </c>
      <c r="F1708" s="108" t="s">
        <v>935</v>
      </c>
      <c r="G1708" s="108" t="s">
        <v>31</v>
      </c>
      <c r="H1708" s="126"/>
      <c r="L1708" s="20"/>
      <c r="M1708" s="20"/>
      <c r="N1708" s="20"/>
      <c r="O1708" s="20"/>
      <c r="P1708" s="20"/>
      <c r="Q1708" s="20"/>
      <c r="R1708" s="17"/>
    </row>
    <row r="1709" spans="1:18" s="16" customFormat="1" ht="15.75">
      <c r="A1709" s="14"/>
      <c r="B1709" s="117" t="s">
        <v>305</v>
      </c>
      <c r="C1709" s="118" t="s">
        <v>412</v>
      </c>
      <c r="D1709" s="119" t="s">
        <v>86</v>
      </c>
      <c r="E1709" s="119" t="s">
        <v>7</v>
      </c>
      <c r="F1709" s="119" t="s">
        <v>8</v>
      </c>
      <c r="G1709" s="119" t="s">
        <v>9</v>
      </c>
      <c r="H1709" s="120">
        <f t="shared" ref="H1709:H1714" si="202">H1710</f>
        <v>0</v>
      </c>
      <c r="L1709" s="18">
        <v>50</v>
      </c>
      <c r="M1709" s="18">
        <v>0</v>
      </c>
      <c r="N1709" s="18">
        <v>0</v>
      </c>
      <c r="O1709" s="18">
        <f t="shared" ref="O1709:O1715" si="203">H1709-L1709</f>
        <v>-50</v>
      </c>
      <c r="P1709" s="18" t="e">
        <f>#REF!-M1709</f>
        <v>#REF!</v>
      </c>
      <c r="Q1709" s="18" t="e">
        <f>#REF!-N1709</f>
        <v>#REF!</v>
      </c>
      <c r="R1709" s="17" t="str">
        <f t="shared" si="192"/>
        <v>00 0 00 00000000</v>
      </c>
    </row>
    <row r="1710" spans="1:18" s="16" customFormat="1" ht="15.75">
      <c r="A1710" s="14"/>
      <c r="B1710" s="121" t="s">
        <v>306</v>
      </c>
      <c r="C1710" s="122" t="s">
        <v>412</v>
      </c>
      <c r="D1710" s="123" t="s">
        <v>86</v>
      </c>
      <c r="E1710" s="123" t="s">
        <v>13</v>
      </c>
      <c r="F1710" s="123" t="s">
        <v>8</v>
      </c>
      <c r="G1710" s="123" t="s">
        <v>9</v>
      </c>
      <c r="H1710" s="124">
        <f t="shared" si="202"/>
        <v>0</v>
      </c>
      <c r="L1710" s="19">
        <v>50</v>
      </c>
      <c r="M1710" s="19">
        <v>0</v>
      </c>
      <c r="N1710" s="19">
        <v>0</v>
      </c>
      <c r="O1710" s="19">
        <f t="shared" si="203"/>
        <v>-50</v>
      </c>
      <c r="P1710" s="19" t="e">
        <f>#REF!-M1710</f>
        <v>#REF!</v>
      </c>
      <c r="Q1710" s="19" t="e">
        <f>#REF!-N1710</f>
        <v>#REF!</v>
      </c>
      <c r="R1710" s="17" t="str">
        <f t="shared" ref="R1710:R1767" si="204">CONCATENATE(F1710,G1710)</f>
        <v>00 0 00 00000000</v>
      </c>
    </row>
    <row r="1711" spans="1:18" s="16" customFormat="1" ht="63">
      <c r="A1711" s="14"/>
      <c r="B1711" s="127" t="s">
        <v>293</v>
      </c>
      <c r="C1711" s="108" t="s">
        <v>412</v>
      </c>
      <c r="D1711" s="108" t="s">
        <v>86</v>
      </c>
      <c r="E1711" s="108" t="s">
        <v>13</v>
      </c>
      <c r="F1711" s="108" t="s">
        <v>294</v>
      </c>
      <c r="G1711" s="108" t="s">
        <v>9</v>
      </c>
      <c r="H1711" s="141">
        <f t="shared" si="202"/>
        <v>0</v>
      </c>
      <c r="L1711" s="32">
        <v>50</v>
      </c>
      <c r="M1711" s="32">
        <v>0</v>
      </c>
      <c r="N1711" s="32">
        <v>0</v>
      </c>
      <c r="O1711" s="32">
        <f t="shared" si="203"/>
        <v>-50</v>
      </c>
      <c r="P1711" s="32" t="e">
        <f>#REF!-M1711</f>
        <v>#REF!</v>
      </c>
      <c r="Q1711" s="32" t="e">
        <f>#REF!-N1711</f>
        <v>#REF!</v>
      </c>
      <c r="R1711" s="17" t="str">
        <f t="shared" si="204"/>
        <v>04 0 00 00000000</v>
      </c>
    </row>
    <row r="1712" spans="1:18" s="16" customFormat="1" ht="31.5">
      <c r="A1712" s="14"/>
      <c r="B1712" s="125" t="s">
        <v>307</v>
      </c>
      <c r="C1712" s="108" t="s">
        <v>412</v>
      </c>
      <c r="D1712" s="108" t="s">
        <v>86</v>
      </c>
      <c r="E1712" s="108" t="s">
        <v>13</v>
      </c>
      <c r="F1712" s="108" t="s">
        <v>308</v>
      </c>
      <c r="G1712" s="108" t="s">
        <v>9</v>
      </c>
      <c r="H1712" s="141">
        <f t="shared" si="202"/>
        <v>0</v>
      </c>
      <c r="L1712" s="32">
        <v>50</v>
      </c>
      <c r="M1712" s="32">
        <v>0</v>
      </c>
      <c r="N1712" s="32">
        <v>0</v>
      </c>
      <c r="O1712" s="32">
        <f t="shared" si="203"/>
        <v>-50</v>
      </c>
      <c r="P1712" s="32" t="e">
        <f>#REF!-M1712</f>
        <v>#REF!</v>
      </c>
      <c r="Q1712" s="32" t="e">
        <f>#REF!-N1712</f>
        <v>#REF!</v>
      </c>
      <c r="R1712" s="17" t="str">
        <f t="shared" si="204"/>
        <v>04 3 00 00000000</v>
      </c>
    </row>
    <row r="1713" spans="1:18" s="16" customFormat="1" ht="31.5">
      <c r="A1713" s="14"/>
      <c r="B1713" s="138" t="s">
        <v>309</v>
      </c>
      <c r="C1713" s="130" t="s">
        <v>412</v>
      </c>
      <c r="D1713" s="131" t="s">
        <v>86</v>
      </c>
      <c r="E1713" s="131" t="s">
        <v>13</v>
      </c>
      <c r="F1713" s="108" t="s">
        <v>310</v>
      </c>
      <c r="G1713" s="131" t="s">
        <v>9</v>
      </c>
      <c r="H1713" s="105">
        <f t="shared" si="202"/>
        <v>0</v>
      </c>
      <c r="L1713" s="26">
        <v>50</v>
      </c>
      <c r="M1713" s="26">
        <v>0</v>
      </c>
      <c r="N1713" s="26">
        <v>0</v>
      </c>
      <c r="O1713" s="26">
        <f t="shared" si="203"/>
        <v>-50</v>
      </c>
      <c r="P1713" s="26" t="e">
        <f>#REF!-M1713</f>
        <v>#REF!</v>
      </c>
      <c r="Q1713" s="26" t="e">
        <f>#REF!-N1713</f>
        <v>#REF!</v>
      </c>
      <c r="R1713" s="17" t="str">
        <f t="shared" si="204"/>
        <v>04 3 04 00000000</v>
      </c>
    </row>
    <row r="1714" spans="1:18" s="16" customFormat="1" ht="31.5">
      <c r="A1714" s="14"/>
      <c r="B1714" s="138" t="s">
        <v>542</v>
      </c>
      <c r="C1714" s="130" t="s">
        <v>412</v>
      </c>
      <c r="D1714" s="131" t="s">
        <v>86</v>
      </c>
      <c r="E1714" s="131" t="s">
        <v>13</v>
      </c>
      <c r="F1714" s="142" t="s">
        <v>543</v>
      </c>
      <c r="G1714" s="142" t="s">
        <v>9</v>
      </c>
      <c r="H1714" s="126">
        <f t="shared" si="202"/>
        <v>0</v>
      </c>
      <c r="L1714" s="20">
        <v>50</v>
      </c>
      <c r="M1714" s="20">
        <v>0</v>
      </c>
      <c r="N1714" s="20">
        <v>0</v>
      </c>
      <c r="O1714" s="20">
        <f t="shared" si="203"/>
        <v>-50</v>
      </c>
      <c r="P1714" s="20" t="e">
        <f>#REF!-M1714</f>
        <v>#REF!</v>
      </c>
      <c r="Q1714" s="20" t="e">
        <f>#REF!-N1714</f>
        <v>#REF!</v>
      </c>
      <c r="R1714" s="17" t="str">
        <f t="shared" si="204"/>
        <v>04 3 04 20300000</v>
      </c>
    </row>
    <row r="1715" spans="1:18" s="16" customFormat="1" ht="31.5">
      <c r="A1715" s="14"/>
      <c r="B1715" s="138" t="s">
        <v>28</v>
      </c>
      <c r="C1715" s="130" t="s">
        <v>412</v>
      </c>
      <c r="D1715" s="131" t="s">
        <v>86</v>
      </c>
      <c r="E1715" s="131" t="s">
        <v>13</v>
      </c>
      <c r="F1715" s="142" t="s">
        <v>543</v>
      </c>
      <c r="G1715" s="142" t="s">
        <v>29</v>
      </c>
      <c r="H1715" s="126">
        <f>H1716</f>
        <v>0</v>
      </c>
      <c r="L1715" s="20">
        <v>50</v>
      </c>
      <c r="M1715" s="20">
        <v>0</v>
      </c>
      <c r="N1715" s="20">
        <v>0</v>
      </c>
      <c r="O1715" s="20">
        <f t="shared" si="203"/>
        <v>-50</v>
      </c>
      <c r="P1715" s="20" t="e">
        <f>#REF!-M1715</f>
        <v>#REF!</v>
      </c>
      <c r="Q1715" s="20" t="e">
        <f>#REF!-N1715</f>
        <v>#REF!</v>
      </c>
      <c r="R1715" s="17" t="str">
        <f t="shared" si="204"/>
        <v>04 3 04 20300240</v>
      </c>
    </row>
    <row r="1716" spans="1:18" s="16" customFormat="1" ht="15.75">
      <c r="A1716" s="14"/>
      <c r="B1716" s="125" t="s">
        <v>30</v>
      </c>
      <c r="C1716" s="130" t="s">
        <v>412</v>
      </c>
      <c r="D1716" s="131" t="s">
        <v>86</v>
      </c>
      <c r="E1716" s="131" t="s">
        <v>13</v>
      </c>
      <c r="F1716" s="142" t="s">
        <v>543</v>
      </c>
      <c r="G1716" s="142" t="s">
        <v>31</v>
      </c>
      <c r="H1716" s="126"/>
      <c r="L1716" s="20"/>
      <c r="M1716" s="20"/>
      <c r="N1716" s="20"/>
      <c r="O1716" s="20"/>
      <c r="P1716" s="20"/>
      <c r="Q1716" s="20"/>
      <c r="R1716" s="17"/>
    </row>
    <row r="1717" spans="1:18" s="16" customFormat="1" ht="15.75">
      <c r="A1717" s="14"/>
      <c r="B1717" s="117" t="s">
        <v>228</v>
      </c>
      <c r="C1717" s="118" t="s">
        <v>412</v>
      </c>
      <c r="D1717" s="119" t="s">
        <v>229</v>
      </c>
      <c r="E1717" s="119" t="s">
        <v>7</v>
      </c>
      <c r="F1717" s="119" t="s">
        <v>8</v>
      </c>
      <c r="G1717" s="119" t="s">
        <v>9</v>
      </c>
      <c r="H1717" s="120">
        <f>H1718</f>
        <v>0</v>
      </c>
      <c r="L1717" s="18">
        <v>13358.85</v>
      </c>
      <c r="M1717" s="18">
        <v>27702.6</v>
      </c>
      <c r="N1717" s="18">
        <v>19074.82</v>
      </c>
      <c r="O1717" s="18">
        <f t="shared" ref="O1717:O1723" si="205">H1717-L1717</f>
        <v>-13358.85</v>
      </c>
      <c r="P1717" s="18" t="e">
        <f>#REF!-M1717</f>
        <v>#REF!</v>
      </c>
      <c r="Q1717" s="18" t="e">
        <f>#REF!-N1717</f>
        <v>#REF!</v>
      </c>
      <c r="R1717" s="17" t="str">
        <f t="shared" si="204"/>
        <v>00 0 00 00000000</v>
      </c>
    </row>
    <row r="1718" spans="1:18" s="16" customFormat="1" ht="15.75">
      <c r="A1718" s="14"/>
      <c r="B1718" s="121" t="s">
        <v>438</v>
      </c>
      <c r="C1718" s="122" t="s">
        <v>412</v>
      </c>
      <c r="D1718" s="123" t="s">
        <v>229</v>
      </c>
      <c r="E1718" s="123" t="s">
        <v>62</v>
      </c>
      <c r="F1718" s="123" t="s">
        <v>8</v>
      </c>
      <c r="G1718" s="123" t="s">
        <v>9</v>
      </c>
      <c r="H1718" s="124">
        <f>H1719</f>
        <v>0</v>
      </c>
      <c r="L1718" s="19">
        <v>13358.85</v>
      </c>
      <c r="M1718" s="19">
        <v>7613.02</v>
      </c>
      <c r="N1718" s="19">
        <v>15579.71</v>
      </c>
      <c r="O1718" s="19">
        <f t="shared" si="205"/>
        <v>-13358.85</v>
      </c>
      <c r="P1718" s="19" t="e">
        <f>#REF!-M1718</f>
        <v>#REF!</v>
      </c>
      <c r="Q1718" s="19" t="e">
        <f>#REF!-N1718</f>
        <v>#REF!</v>
      </c>
      <c r="R1718" s="17" t="str">
        <f t="shared" si="204"/>
        <v>00 0 00 00000000</v>
      </c>
    </row>
    <row r="1719" spans="1:18" s="16" customFormat="1" ht="31.5">
      <c r="A1719" s="14"/>
      <c r="B1719" s="132" t="s">
        <v>396</v>
      </c>
      <c r="C1719" s="109" t="s">
        <v>412</v>
      </c>
      <c r="D1719" s="108" t="s">
        <v>229</v>
      </c>
      <c r="E1719" s="108" t="s">
        <v>62</v>
      </c>
      <c r="F1719" s="108" t="s">
        <v>397</v>
      </c>
      <c r="G1719" s="108" t="s">
        <v>9</v>
      </c>
      <c r="H1719" s="126">
        <f t="shared" ref="H1719:H1720" si="206">H1720</f>
        <v>0</v>
      </c>
      <c r="L1719" s="20">
        <v>13358.85</v>
      </c>
      <c r="M1719" s="20">
        <v>7613.02</v>
      </c>
      <c r="N1719" s="20">
        <v>15579.71</v>
      </c>
      <c r="O1719" s="20">
        <f t="shared" si="205"/>
        <v>-13358.85</v>
      </c>
      <c r="P1719" s="20" t="e">
        <f>#REF!-M1719</f>
        <v>#REF!</v>
      </c>
      <c r="Q1719" s="20" t="e">
        <f>#REF!-N1719</f>
        <v>#REF!</v>
      </c>
      <c r="R1719" s="17" t="str">
        <f t="shared" si="204"/>
        <v>01 0 00 00000000</v>
      </c>
    </row>
    <row r="1720" spans="1:18" s="16" customFormat="1" ht="47.25">
      <c r="A1720" s="14"/>
      <c r="B1720" s="125" t="s">
        <v>444</v>
      </c>
      <c r="C1720" s="109" t="s">
        <v>412</v>
      </c>
      <c r="D1720" s="108" t="s">
        <v>229</v>
      </c>
      <c r="E1720" s="108" t="s">
        <v>62</v>
      </c>
      <c r="F1720" s="108" t="s">
        <v>445</v>
      </c>
      <c r="G1720" s="108" t="s">
        <v>9</v>
      </c>
      <c r="H1720" s="126">
        <f t="shared" si="206"/>
        <v>0</v>
      </c>
      <c r="L1720" s="20">
        <v>13358.85</v>
      </c>
      <c r="M1720" s="20">
        <v>7613.02</v>
      </c>
      <c r="N1720" s="20">
        <v>15579.71</v>
      </c>
      <c r="O1720" s="20">
        <f t="shared" si="205"/>
        <v>-13358.85</v>
      </c>
      <c r="P1720" s="20" t="e">
        <f>#REF!-M1720</f>
        <v>#REF!</v>
      </c>
      <c r="Q1720" s="20" t="e">
        <f>#REF!-N1720</f>
        <v>#REF!</v>
      </c>
      <c r="R1720" s="17" t="str">
        <f t="shared" si="204"/>
        <v>01 2 00 00000000</v>
      </c>
    </row>
    <row r="1721" spans="1:18" s="16" customFormat="1" ht="63">
      <c r="A1721" s="14"/>
      <c r="B1721" s="125" t="s">
        <v>936</v>
      </c>
      <c r="C1721" s="109" t="s">
        <v>412</v>
      </c>
      <c r="D1721" s="108" t="s">
        <v>229</v>
      </c>
      <c r="E1721" s="108" t="s">
        <v>62</v>
      </c>
      <c r="F1721" s="108" t="s">
        <v>447</v>
      </c>
      <c r="G1721" s="108" t="s">
        <v>9</v>
      </c>
      <c r="H1721" s="126">
        <f>H1722</f>
        <v>0</v>
      </c>
      <c r="L1721" s="20">
        <v>13358.85</v>
      </c>
      <c r="M1721" s="20">
        <v>7613.02</v>
      </c>
      <c r="N1721" s="20">
        <v>15579.71</v>
      </c>
      <c r="O1721" s="20">
        <f t="shared" si="205"/>
        <v>-13358.85</v>
      </c>
      <c r="P1721" s="20" t="e">
        <f>#REF!-M1721</f>
        <v>#REF!</v>
      </c>
      <c r="Q1721" s="20" t="e">
        <f>#REF!-N1721</f>
        <v>#REF!</v>
      </c>
      <c r="R1721" s="17" t="str">
        <f t="shared" si="204"/>
        <v>01 2 01 00000000</v>
      </c>
    </row>
    <row r="1722" spans="1:18" s="16" customFormat="1" ht="47.25">
      <c r="A1722" s="14"/>
      <c r="B1722" s="125" t="s">
        <v>448</v>
      </c>
      <c r="C1722" s="109" t="s">
        <v>412</v>
      </c>
      <c r="D1722" s="108" t="s">
        <v>229</v>
      </c>
      <c r="E1722" s="108" t="s">
        <v>62</v>
      </c>
      <c r="F1722" s="108" t="s">
        <v>449</v>
      </c>
      <c r="G1722" s="108" t="s">
        <v>9</v>
      </c>
      <c r="H1722" s="126">
        <f>H1723</f>
        <v>0</v>
      </c>
      <c r="L1722" s="20">
        <v>13358.85</v>
      </c>
      <c r="M1722" s="20">
        <v>7613.02</v>
      </c>
      <c r="N1722" s="20">
        <v>15579.71</v>
      </c>
      <c r="O1722" s="20">
        <f t="shared" si="205"/>
        <v>-13358.85</v>
      </c>
      <c r="P1722" s="20" t="e">
        <f>#REF!-M1722</f>
        <v>#REF!</v>
      </c>
      <c r="Q1722" s="20" t="e">
        <f>#REF!-N1722</f>
        <v>#REF!</v>
      </c>
      <c r="R1722" s="17" t="str">
        <f t="shared" si="204"/>
        <v>01 2 01 40010000</v>
      </c>
    </row>
    <row r="1723" spans="1:18" s="16" customFormat="1" ht="15.75">
      <c r="A1723" s="14"/>
      <c r="B1723" s="125" t="s">
        <v>937</v>
      </c>
      <c r="C1723" s="109" t="s">
        <v>412</v>
      </c>
      <c r="D1723" s="108" t="s">
        <v>229</v>
      </c>
      <c r="E1723" s="108" t="s">
        <v>62</v>
      </c>
      <c r="F1723" s="108" t="s">
        <v>449</v>
      </c>
      <c r="G1723" s="108" t="s">
        <v>838</v>
      </c>
      <c r="H1723" s="126">
        <f>H1724</f>
        <v>0</v>
      </c>
      <c r="L1723" s="20">
        <v>13358.85</v>
      </c>
      <c r="M1723" s="20">
        <v>7613.02</v>
      </c>
      <c r="N1723" s="20">
        <v>15579.71</v>
      </c>
      <c r="O1723" s="20">
        <f t="shared" si="205"/>
        <v>-13358.85</v>
      </c>
      <c r="P1723" s="20" t="e">
        <f>#REF!-M1723</f>
        <v>#REF!</v>
      </c>
      <c r="Q1723" s="20" t="e">
        <f>#REF!-N1723</f>
        <v>#REF!</v>
      </c>
      <c r="R1723" s="17" t="str">
        <f t="shared" si="204"/>
        <v>01 2 01 40010410</v>
      </c>
    </row>
    <row r="1724" spans="1:18" s="16" customFormat="1" ht="47.25">
      <c r="A1724" s="14"/>
      <c r="B1724" s="125" t="s">
        <v>839</v>
      </c>
      <c r="C1724" s="109" t="s">
        <v>412</v>
      </c>
      <c r="D1724" s="108" t="s">
        <v>229</v>
      </c>
      <c r="E1724" s="108" t="s">
        <v>62</v>
      </c>
      <c r="F1724" s="108" t="s">
        <v>449</v>
      </c>
      <c r="G1724" s="108" t="s">
        <v>840</v>
      </c>
      <c r="H1724" s="126"/>
      <c r="L1724" s="20"/>
      <c r="M1724" s="20"/>
      <c r="N1724" s="20"/>
      <c r="O1724" s="20"/>
      <c r="P1724" s="20"/>
      <c r="Q1724" s="20"/>
      <c r="R1724" s="17" t="str">
        <f t="shared" si="204"/>
        <v>01 2 01 40010414</v>
      </c>
    </row>
    <row r="1725" spans="1:18" s="16" customFormat="1" ht="15.75">
      <c r="A1725" s="14"/>
      <c r="B1725" s="117" t="s">
        <v>569</v>
      </c>
      <c r="C1725" s="118" t="s">
        <v>412</v>
      </c>
      <c r="D1725" s="119" t="s">
        <v>238</v>
      </c>
      <c r="E1725" s="119" t="s">
        <v>7</v>
      </c>
      <c r="F1725" s="119" t="s">
        <v>8</v>
      </c>
      <c r="G1725" s="119" t="s">
        <v>9</v>
      </c>
      <c r="H1725" s="120">
        <f t="shared" ref="H1725" si="207">H1726</f>
        <v>0</v>
      </c>
      <c r="L1725" s="18">
        <v>800</v>
      </c>
      <c r="M1725" s="18">
        <v>800</v>
      </c>
      <c r="N1725" s="18">
        <v>800</v>
      </c>
      <c r="O1725" s="18">
        <f t="shared" ref="O1725:O1731" si="208">H1725-L1725</f>
        <v>-800</v>
      </c>
      <c r="P1725" s="18" t="e">
        <f>#REF!-M1725</f>
        <v>#REF!</v>
      </c>
      <c r="Q1725" s="18" t="e">
        <f>#REF!-N1725</f>
        <v>#REF!</v>
      </c>
      <c r="R1725" s="17" t="str">
        <f t="shared" si="204"/>
        <v>00 0 00 00000000</v>
      </c>
    </row>
    <row r="1726" spans="1:18" s="16" customFormat="1" ht="15.75">
      <c r="A1726" s="14"/>
      <c r="B1726" s="121" t="s">
        <v>239</v>
      </c>
      <c r="C1726" s="122" t="s">
        <v>412</v>
      </c>
      <c r="D1726" s="123" t="s">
        <v>238</v>
      </c>
      <c r="E1726" s="123" t="s">
        <v>11</v>
      </c>
      <c r="F1726" s="123" t="s">
        <v>8</v>
      </c>
      <c r="G1726" s="123" t="s">
        <v>9</v>
      </c>
      <c r="H1726" s="124">
        <f>H1727</f>
        <v>0</v>
      </c>
      <c r="L1726" s="19">
        <v>800</v>
      </c>
      <c r="M1726" s="19">
        <v>800</v>
      </c>
      <c r="N1726" s="19">
        <v>800</v>
      </c>
      <c r="O1726" s="19">
        <f t="shared" si="208"/>
        <v>-800</v>
      </c>
      <c r="P1726" s="19" t="e">
        <f>#REF!-M1726</f>
        <v>#REF!</v>
      </c>
      <c r="Q1726" s="19" t="e">
        <f>#REF!-N1726</f>
        <v>#REF!</v>
      </c>
      <c r="R1726" s="17" t="str">
        <f t="shared" si="204"/>
        <v>00 0 00 00000000</v>
      </c>
    </row>
    <row r="1727" spans="1:18" s="16" customFormat="1" ht="31.5">
      <c r="A1727" s="14"/>
      <c r="B1727" s="125" t="s">
        <v>240</v>
      </c>
      <c r="C1727" s="109" t="s">
        <v>412</v>
      </c>
      <c r="D1727" s="108" t="s">
        <v>238</v>
      </c>
      <c r="E1727" s="108" t="s">
        <v>11</v>
      </c>
      <c r="F1727" s="131" t="s">
        <v>241</v>
      </c>
      <c r="G1727" s="108" t="s">
        <v>9</v>
      </c>
      <c r="H1727" s="126">
        <f>H1728</f>
        <v>0</v>
      </c>
      <c r="L1727" s="20">
        <v>800</v>
      </c>
      <c r="M1727" s="20">
        <v>800</v>
      </c>
      <c r="N1727" s="20">
        <v>800</v>
      </c>
      <c r="O1727" s="20">
        <f t="shared" si="208"/>
        <v>-800</v>
      </c>
      <c r="P1727" s="20" t="e">
        <f>#REF!-M1727</f>
        <v>#REF!</v>
      </c>
      <c r="Q1727" s="20" t="e">
        <f>#REF!-N1727</f>
        <v>#REF!</v>
      </c>
      <c r="R1727" s="17" t="str">
        <f t="shared" si="204"/>
        <v>07 0 00 00000000</v>
      </c>
    </row>
    <row r="1728" spans="1:18" s="16" customFormat="1" ht="78.75">
      <c r="A1728" s="14"/>
      <c r="B1728" s="125" t="s">
        <v>384</v>
      </c>
      <c r="C1728" s="109" t="s">
        <v>412</v>
      </c>
      <c r="D1728" s="108" t="s">
        <v>238</v>
      </c>
      <c r="E1728" s="108" t="s">
        <v>11</v>
      </c>
      <c r="F1728" s="131" t="s">
        <v>243</v>
      </c>
      <c r="G1728" s="108" t="s">
        <v>9</v>
      </c>
      <c r="H1728" s="126">
        <f t="shared" ref="H1728:H1730" si="209">H1729</f>
        <v>0</v>
      </c>
      <c r="L1728" s="20">
        <v>800</v>
      </c>
      <c r="M1728" s="20">
        <v>800</v>
      </c>
      <c r="N1728" s="20">
        <v>800</v>
      </c>
      <c r="O1728" s="20">
        <f t="shared" si="208"/>
        <v>-800</v>
      </c>
      <c r="P1728" s="20" t="e">
        <f>#REF!-M1728</f>
        <v>#REF!</v>
      </c>
      <c r="Q1728" s="20" t="e">
        <f>#REF!-N1728</f>
        <v>#REF!</v>
      </c>
      <c r="R1728" s="17" t="str">
        <f t="shared" si="204"/>
        <v>07 1 00 00000000</v>
      </c>
    </row>
    <row r="1729" spans="1:18" s="16" customFormat="1" ht="110.25">
      <c r="A1729" s="14"/>
      <c r="B1729" s="125" t="s">
        <v>244</v>
      </c>
      <c r="C1729" s="109" t="s">
        <v>412</v>
      </c>
      <c r="D1729" s="108" t="s">
        <v>238</v>
      </c>
      <c r="E1729" s="108" t="s">
        <v>11</v>
      </c>
      <c r="F1729" s="131" t="s">
        <v>245</v>
      </c>
      <c r="G1729" s="108" t="s">
        <v>9</v>
      </c>
      <c r="H1729" s="126">
        <f t="shared" si="209"/>
        <v>0</v>
      </c>
      <c r="L1729" s="20">
        <v>800</v>
      </c>
      <c r="M1729" s="20">
        <v>800</v>
      </c>
      <c r="N1729" s="20">
        <v>800</v>
      </c>
      <c r="O1729" s="20">
        <f t="shared" si="208"/>
        <v>-800</v>
      </c>
      <c r="P1729" s="20" t="e">
        <f>#REF!-M1729</f>
        <v>#REF!</v>
      </c>
      <c r="Q1729" s="20" t="e">
        <f>#REF!-N1729</f>
        <v>#REF!</v>
      </c>
      <c r="R1729" s="17" t="str">
        <f t="shared" si="204"/>
        <v>07 1 01 00000000</v>
      </c>
    </row>
    <row r="1730" spans="1:18" s="16" customFormat="1" ht="31.5">
      <c r="A1730" s="14"/>
      <c r="B1730" s="125" t="s">
        <v>246</v>
      </c>
      <c r="C1730" s="109" t="s">
        <v>412</v>
      </c>
      <c r="D1730" s="108" t="s">
        <v>238</v>
      </c>
      <c r="E1730" s="108" t="s">
        <v>11</v>
      </c>
      <c r="F1730" s="131" t="s">
        <v>247</v>
      </c>
      <c r="G1730" s="108" t="s">
        <v>9</v>
      </c>
      <c r="H1730" s="126">
        <f t="shared" si="209"/>
        <v>0</v>
      </c>
      <c r="L1730" s="20">
        <v>800</v>
      </c>
      <c r="M1730" s="20">
        <v>800</v>
      </c>
      <c r="N1730" s="20">
        <v>800</v>
      </c>
      <c r="O1730" s="20">
        <f t="shared" si="208"/>
        <v>-800</v>
      </c>
      <c r="P1730" s="20" t="e">
        <f>#REF!-M1730</f>
        <v>#REF!</v>
      </c>
      <c r="Q1730" s="20" t="e">
        <f>#REF!-N1730</f>
        <v>#REF!</v>
      </c>
      <c r="R1730" s="17" t="str">
        <f t="shared" si="204"/>
        <v>07 1 01 20060000</v>
      </c>
    </row>
    <row r="1731" spans="1:18" s="16" customFormat="1" ht="31.5">
      <c r="A1731" s="14"/>
      <c r="B1731" s="127" t="s">
        <v>28</v>
      </c>
      <c r="C1731" s="109" t="s">
        <v>412</v>
      </c>
      <c r="D1731" s="108" t="s">
        <v>238</v>
      </c>
      <c r="E1731" s="108" t="s">
        <v>11</v>
      </c>
      <c r="F1731" s="131" t="s">
        <v>247</v>
      </c>
      <c r="G1731" s="108" t="s">
        <v>29</v>
      </c>
      <c r="H1731" s="126">
        <f>H1732</f>
        <v>0</v>
      </c>
      <c r="L1731" s="20">
        <v>800</v>
      </c>
      <c r="M1731" s="20">
        <v>800</v>
      </c>
      <c r="N1731" s="20">
        <v>800</v>
      </c>
      <c r="O1731" s="20">
        <f t="shared" si="208"/>
        <v>-800</v>
      </c>
      <c r="P1731" s="20" t="e">
        <f>#REF!-M1731</f>
        <v>#REF!</v>
      </c>
      <c r="Q1731" s="20" t="e">
        <f>#REF!-N1731</f>
        <v>#REF!</v>
      </c>
      <c r="R1731" s="17" t="str">
        <f t="shared" si="204"/>
        <v>07 1 01 20060240</v>
      </c>
    </row>
    <row r="1732" spans="1:18" s="16" customFormat="1" ht="15.75">
      <c r="A1732" s="14"/>
      <c r="B1732" s="125" t="s">
        <v>30</v>
      </c>
      <c r="C1732" s="109" t="s">
        <v>412</v>
      </c>
      <c r="D1732" s="108" t="s">
        <v>238</v>
      </c>
      <c r="E1732" s="108" t="s">
        <v>11</v>
      </c>
      <c r="F1732" s="131" t="s">
        <v>247</v>
      </c>
      <c r="G1732" s="108" t="s">
        <v>31</v>
      </c>
      <c r="H1732" s="126"/>
      <c r="L1732" s="20"/>
      <c r="M1732" s="20"/>
      <c r="N1732" s="20"/>
      <c r="O1732" s="20"/>
      <c r="P1732" s="20"/>
      <c r="Q1732" s="20"/>
      <c r="R1732" s="17"/>
    </row>
    <row r="1733" spans="1:18" s="16" customFormat="1" ht="15.75">
      <c r="A1733" s="14"/>
      <c r="B1733" s="125"/>
      <c r="C1733" s="109"/>
      <c r="D1733" s="108"/>
      <c r="E1733" s="108"/>
      <c r="F1733" s="108"/>
      <c r="G1733" s="108"/>
      <c r="H1733" s="126"/>
      <c r="L1733" s="20"/>
      <c r="M1733" s="20"/>
      <c r="N1733" s="20"/>
      <c r="O1733" s="20">
        <f t="shared" ref="O1733:O1741" si="210">H1733-L1733</f>
        <v>0</v>
      </c>
      <c r="P1733" s="20" t="e">
        <f>#REF!-M1733</f>
        <v>#REF!</v>
      </c>
      <c r="Q1733" s="20" t="e">
        <f>#REF!-N1733</f>
        <v>#REF!</v>
      </c>
      <c r="R1733" s="17" t="str">
        <f t="shared" si="204"/>
        <v/>
      </c>
    </row>
    <row r="1734" spans="1:18" s="16" customFormat="1" ht="47.25">
      <c r="A1734" s="14"/>
      <c r="B1734" s="67" t="s">
        <v>938</v>
      </c>
      <c r="C1734" s="116" t="s">
        <v>939</v>
      </c>
      <c r="D1734" s="69" t="s">
        <v>7</v>
      </c>
      <c r="E1734" s="69" t="s">
        <v>7</v>
      </c>
      <c r="F1734" s="69" t="s">
        <v>8</v>
      </c>
      <c r="G1734" s="69" t="s">
        <v>9</v>
      </c>
      <c r="H1734" s="70">
        <f>H1735</f>
        <v>0</v>
      </c>
      <c r="L1734" s="25">
        <v>71663.040000000008</v>
      </c>
      <c r="M1734" s="25">
        <v>71312.98000000001</v>
      </c>
      <c r="N1734" s="25">
        <v>71312.98000000001</v>
      </c>
      <c r="O1734" s="25">
        <f t="shared" si="210"/>
        <v>-71663.040000000008</v>
      </c>
      <c r="P1734" s="25" t="e">
        <f>#REF!-M1734</f>
        <v>#REF!</v>
      </c>
      <c r="Q1734" s="25" t="e">
        <f>#REF!-N1734</f>
        <v>#REF!</v>
      </c>
      <c r="R1734" s="17" t="str">
        <f t="shared" si="204"/>
        <v>00 0 00 00000000</v>
      </c>
    </row>
    <row r="1735" spans="1:18" s="16" customFormat="1" ht="31.5">
      <c r="A1735" s="14"/>
      <c r="B1735" s="117" t="s">
        <v>940</v>
      </c>
      <c r="C1735" s="118" t="s">
        <v>939</v>
      </c>
      <c r="D1735" s="119" t="s">
        <v>13</v>
      </c>
      <c r="E1735" s="119" t="s">
        <v>7</v>
      </c>
      <c r="F1735" s="119" t="s">
        <v>8</v>
      </c>
      <c r="G1735" s="119" t="s">
        <v>9</v>
      </c>
      <c r="H1735" s="120">
        <f t="shared" ref="H1735" si="211">H1736</f>
        <v>0</v>
      </c>
      <c r="L1735" s="18">
        <v>71663.040000000008</v>
      </c>
      <c r="M1735" s="18">
        <v>71312.98000000001</v>
      </c>
      <c r="N1735" s="18">
        <v>71312.98000000001</v>
      </c>
      <c r="O1735" s="18">
        <f t="shared" si="210"/>
        <v>-71663.040000000008</v>
      </c>
      <c r="P1735" s="18" t="e">
        <f>#REF!-M1735</f>
        <v>#REF!</v>
      </c>
      <c r="Q1735" s="18" t="e">
        <f>#REF!-N1735</f>
        <v>#REF!</v>
      </c>
      <c r="R1735" s="17" t="str">
        <f t="shared" si="204"/>
        <v>00 0 00 00000000</v>
      </c>
    </row>
    <row r="1736" spans="1:18" s="16" customFormat="1" ht="47.25">
      <c r="A1736" s="14"/>
      <c r="B1736" s="121" t="s">
        <v>941</v>
      </c>
      <c r="C1736" s="122" t="s">
        <v>939</v>
      </c>
      <c r="D1736" s="123" t="s">
        <v>13</v>
      </c>
      <c r="E1736" s="123" t="s">
        <v>471</v>
      </c>
      <c r="F1736" s="123" t="s">
        <v>8</v>
      </c>
      <c r="G1736" s="123" t="s">
        <v>9</v>
      </c>
      <c r="H1736" s="124">
        <f>H1737+H1743+H1795</f>
        <v>0</v>
      </c>
      <c r="L1736" s="19">
        <v>71663.040000000008</v>
      </c>
      <c r="M1736" s="19">
        <v>71312.98000000001</v>
      </c>
      <c r="N1736" s="19">
        <v>71312.98000000001</v>
      </c>
      <c r="O1736" s="19">
        <f t="shared" si="210"/>
        <v>-71663.040000000008</v>
      </c>
      <c r="P1736" s="19" t="e">
        <f>#REF!-M1736</f>
        <v>#REF!</v>
      </c>
      <c r="Q1736" s="19" t="e">
        <f>#REF!-N1736</f>
        <v>#REF!</v>
      </c>
      <c r="R1736" s="17" t="str">
        <f t="shared" si="204"/>
        <v>00 0 00 00000000</v>
      </c>
    </row>
    <row r="1737" spans="1:18" s="16" customFormat="1" ht="47.25">
      <c r="A1737" s="14"/>
      <c r="B1737" s="148" t="s">
        <v>146</v>
      </c>
      <c r="C1737" s="109" t="s">
        <v>939</v>
      </c>
      <c r="D1737" s="108" t="s">
        <v>13</v>
      </c>
      <c r="E1737" s="108" t="s">
        <v>471</v>
      </c>
      <c r="F1737" s="108" t="s">
        <v>147</v>
      </c>
      <c r="G1737" s="108" t="s">
        <v>9</v>
      </c>
      <c r="H1737" s="126">
        <f>H1738</f>
        <v>0</v>
      </c>
      <c r="L1737" s="20">
        <v>22.95</v>
      </c>
      <c r="M1737" s="20">
        <v>22.95</v>
      </c>
      <c r="N1737" s="20">
        <v>22.95</v>
      </c>
      <c r="O1737" s="20">
        <f t="shared" si="210"/>
        <v>-22.95</v>
      </c>
      <c r="P1737" s="20" t="e">
        <f>#REF!-M1737</f>
        <v>#REF!</v>
      </c>
      <c r="Q1737" s="20" t="e">
        <f>#REF!-N1737</f>
        <v>#REF!</v>
      </c>
      <c r="R1737" s="17" t="str">
        <f t="shared" si="204"/>
        <v>15 0 00 00000000</v>
      </c>
    </row>
    <row r="1738" spans="1:18" s="66" customFormat="1" ht="31.5">
      <c r="A1738" s="65"/>
      <c r="B1738" s="125" t="s">
        <v>168</v>
      </c>
      <c r="C1738" s="109" t="s">
        <v>939</v>
      </c>
      <c r="D1738" s="108" t="s">
        <v>13</v>
      </c>
      <c r="E1738" s="108" t="s">
        <v>471</v>
      </c>
      <c r="F1738" s="108" t="s">
        <v>169</v>
      </c>
      <c r="G1738" s="108" t="s">
        <v>9</v>
      </c>
      <c r="H1738" s="126">
        <f t="shared" ref="H1738:H1740" si="212">H1739</f>
        <v>0</v>
      </c>
      <c r="L1738" s="20">
        <v>22.95</v>
      </c>
      <c r="M1738" s="20">
        <v>22.95</v>
      </c>
      <c r="N1738" s="20">
        <v>22.95</v>
      </c>
      <c r="O1738" s="20">
        <f t="shared" si="210"/>
        <v>-22.95</v>
      </c>
      <c r="P1738" s="20" t="e">
        <f>#REF!-M1738</f>
        <v>#REF!</v>
      </c>
      <c r="Q1738" s="20" t="e">
        <f>#REF!-N1738</f>
        <v>#REF!</v>
      </c>
      <c r="R1738" s="17" t="str">
        <f t="shared" si="204"/>
        <v>15 3 00 00000000</v>
      </c>
    </row>
    <row r="1739" spans="1:18" s="16" customFormat="1" ht="31.5">
      <c r="A1739" s="14"/>
      <c r="B1739" s="148" t="s">
        <v>942</v>
      </c>
      <c r="C1739" s="109" t="s">
        <v>939</v>
      </c>
      <c r="D1739" s="108" t="s">
        <v>13</v>
      </c>
      <c r="E1739" s="108" t="s">
        <v>471</v>
      </c>
      <c r="F1739" s="108" t="s">
        <v>943</v>
      </c>
      <c r="G1739" s="108" t="s">
        <v>9</v>
      </c>
      <c r="H1739" s="126">
        <f t="shared" si="212"/>
        <v>0</v>
      </c>
      <c r="L1739" s="20">
        <v>22.95</v>
      </c>
      <c r="M1739" s="20">
        <v>22.95</v>
      </c>
      <c r="N1739" s="20">
        <v>22.95</v>
      </c>
      <c r="O1739" s="20">
        <f t="shared" si="210"/>
        <v>-22.95</v>
      </c>
      <c r="P1739" s="20" t="e">
        <f>#REF!-M1739</f>
        <v>#REF!</v>
      </c>
      <c r="Q1739" s="20" t="e">
        <f>#REF!-N1739</f>
        <v>#REF!</v>
      </c>
      <c r="R1739" s="17" t="str">
        <f t="shared" si="204"/>
        <v>15 3 02 00000000</v>
      </c>
    </row>
    <row r="1740" spans="1:18" s="16" customFormat="1" ht="47.25">
      <c r="A1740" s="14"/>
      <c r="B1740" s="148" t="s">
        <v>944</v>
      </c>
      <c r="C1740" s="109" t="s">
        <v>939</v>
      </c>
      <c r="D1740" s="108" t="s">
        <v>13</v>
      </c>
      <c r="E1740" s="108" t="s">
        <v>471</v>
      </c>
      <c r="F1740" s="108" t="s">
        <v>945</v>
      </c>
      <c r="G1740" s="108" t="s">
        <v>9</v>
      </c>
      <c r="H1740" s="126">
        <f t="shared" si="212"/>
        <v>0</v>
      </c>
      <c r="L1740" s="20">
        <v>22.95</v>
      </c>
      <c r="M1740" s="20">
        <v>22.95</v>
      </c>
      <c r="N1740" s="20">
        <v>22.95</v>
      </c>
      <c r="O1740" s="20">
        <f t="shared" si="210"/>
        <v>-22.95</v>
      </c>
      <c r="P1740" s="20" t="e">
        <f>#REF!-M1740</f>
        <v>#REF!</v>
      </c>
      <c r="Q1740" s="20" t="e">
        <f>#REF!-N1740</f>
        <v>#REF!</v>
      </c>
      <c r="R1740" s="17" t="str">
        <f t="shared" si="204"/>
        <v>15 3 02 21290000</v>
      </c>
    </row>
    <row r="1741" spans="1:18" s="16" customFormat="1" ht="31.5">
      <c r="A1741" s="14"/>
      <c r="B1741" s="148" t="s">
        <v>28</v>
      </c>
      <c r="C1741" s="109" t="s">
        <v>939</v>
      </c>
      <c r="D1741" s="108" t="s">
        <v>13</v>
      </c>
      <c r="E1741" s="108" t="s">
        <v>471</v>
      </c>
      <c r="F1741" s="108" t="s">
        <v>945</v>
      </c>
      <c r="G1741" s="108" t="s">
        <v>29</v>
      </c>
      <c r="H1741" s="126">
        <f>H1742</f>
        <v>0</v>
      </c>
      <c r="L1741" s="20">
        <v>22.95</v>
      </c>
      <c r="M1741" s="20">
        <v>22.95</v>
      </c>
      <c r="N1741" s="20">
        <v>22.95</v>
      </c>
      <c r="O1741" s="20">
        <f t="shared" si="210"/>
        <v>-22.95</v>
      </c>
      <c r="P1741" s="20" t="e">
        <f>#REF!-M1741</f>
        <v>#REF!</v>
      </c>
      <c r="Q1741" s="20" t="e">
        <f>#REF!-N1741</f>
        <v>#REF!</v>
      </c>
      <c r="R1741" s="17" t="str">
        <f t="shared" si="204"/>
        <v>15 3 02 21290240</v>
      </c>
    </row>
    <row r="1742" spans="1:18" s="16" customFormat="1" ht="15.75">
      <c r="A1742" s="14"/>
      <c r="B1742" s="125" t="s">
        <v>30</v>
      </c>
      <c r="C1742" s="109" t="s">
        <v>939</v>
      </c>
      <c r="D1742" s="108" t="s">
        <v>13</v>
      </c>
      <c r="E1742" s="108" t="s">
        <v>471</v>
      </c>
      <c r="F1742" s="108" t="s">
        <v>945</v>
      </c>
      <c r="G1742" s="108" t="s">
        <v>31</v>
      </c>
      <c r="H1742" s="126"/>
      <c r="L1742" s="20"/>
      <c r="M1742" s="20"/>
      <c r="N1742" s="20"/>
      <c r="O1742" s="20"/>
      <c r="P1742" s="20"/>
      <c r="Q1742" s="20"/>
      <c r="R1742" s="17"/>
    </row>
    <row r="1743" spans="1:18" s="16" customFormat="1" ht="94.5">
      <c r="A1743" s="14"/>
      <c r="B1743" s="125" t="s">
        <v>420</v>
      </c>
      <c r="C1743" s="109" t="s">
        <v>939</v>
      </c>
      <c r="D1743" s="108" t="s">
        <v>13</v>
      </c>
      <c r="E1743" s="108" t="s">
        <v>471</v>
      </c>
      <c r="F1743" s="108" t="s">
        <v>421</v>
      </c>
      <c r="G1743" s="108" t="s">
        <v>9</v>
      </c>
      <c r="H1743" s="126">
        <f>H1744+H1764+H1771</f>
        <v>0</v>
      </c>
      <c r="L1743" s="20">
        <v>56290.600000000006</v>
      </c>
      <c r="M1743" s="20">
        <v>55940.540000000008</v>
      </c>
      <c r="N1743" s="20">
        <v>55940.540000000008</v>
      </c>
      <c r="O1743" s="20">
        <f>H1743-L1743</f>
        <v>-56290.600000000006</v>
      </c>
      <c r="P1743" s="20" t="e">
        <f>#REF!-M1743</f>
        <v>#REF!</v>
      </c>
      <c r="Q1743" s="20" t="e">
        <f>#REF!-N1743</f>
        <v>#REF!</v>
      </c>
      <c r="R1743" s="17" t="str">
        <f t="shared" si="204"/>
        <v>16 0 00 00000000</v>
      </c>
    </row>
    <row r="1744" spans="1:18" s="66" customFormat="1" ht="47.25">
      <c r="A1744" s="65"/>
      <c r="B1744" s="125" t="s">
        <v>946</v>
      </c>
      <c r="C1744" s="109" t="s">
        <v>939</v>
      </c>
      <c r="D1744" s="108" t="s">
        <v>13</v>
      </c>
      <c r="E1744" s="108" t="s">
        <v>471</v>
      </c>
      <c r="F1744" s="108" t="s">
        <v>947</v>
      </c>
      <c r="G1744" s="108" t="s">
        <v>9</v>
      </c>
      <c r="H1744" s="126">
        <f>H1745+H1749+H1760</f>
        <v>0</v>
      </c>
      <c r="L1744" s="20">
        <v>31046.15</v>
      </c>
      <c r="M1744" s="20">
        <v>31046.15</v>
      </c>
      <c r="N1744" s="20">
        <v>31046.15</v>
      </c>
      <c r="O1744" s="20">
        <f>H1744-L1744</f>
        <v>-31046.15</v>
      </c>
      <c r="P1744" s="20" t="e">
        <f>#REF!-M1744</f>
        <v>#REF!</v>
      </c>
      <c r="Q1744" s="20" t="e">
        <f>#REF!-N1744</f>
        <v>#REF!</v>
      </c>
      <c r="R1744" s="17" t="str">
        <f t="shared" si="204"/>
        <v>16 1 00 00000000</v>
      </c>
    </row>
    <row r="1745" spans="1:18" s="16" customFormat="1" ht="63">
      <c r="A1745" s="14"/>
      <c r="B1745" s="125" t="s">
        <v>948</v>
      </c>
      <c r="C1745" s="109" t="s">
        <v>939</v>
      </c>
      <c r="D1745" s="108" t="s">
        <v>13</v>
      </c>
      <c r="E1745" s="108" t="s">
        <v>471</v>
      </c>
      <c r="F1745" s="108" t="s">
        <v>949</v>
      </c>
      <c r="G1745" s="108" t="s">
        <v>9</v>
      </c>
      <c r="H1745" s="126">
        <f t="shared" ref="H1745:H1746" si="213">H1746</f>
        <v>0</v>
      </c>
      <c r="L1745" s="20">
        <v>100</v>
      </c>
      <c r="M1745" s="20">
        <v>100</v>
      </c>
      <c r="N1745" s="20">
        <v>100</v>
      </c>
      <c r="O1745" s="20">
        <f>H1745-L1745</f>
        <v>-100</v>
      </c>
      <c r="P1745" s="20" t="e">
        <f>#REF!-M1745</f>
        <v>#REF!</v>
      </c>
      <c r="Q1745" s="20" t="e">
        <f>#REF!-N1745</f>
        <v>#REF!</v>
      </c>
      <c r="R1745" s="17" t="str">
        <f t="shared" si="204"/>
        <v>16 1 01 00000000</v>
      </c>
    </row>
    <row r="1746" spans="1:18" s="16" customFormat="1" ht="78.75">
      <c r="A1746" s="14"/>
      <c r="B1746" s="148" t="s">
        <v>950</v>
      </c>
      <c r="C1746" s="109" t="s">
        <v>939</v>
      </c>
      <c r="D1746" s="108" t="s">
        <v>13</v>
      </c>
      <c r="E1746" s="108" t="s">
        <v>471</v>
      </c>
      <c r="F1746" s="108" t="s">
        <v>951</v>
      </c>
      <c r="G1746" s="108" t="s">
        <v>9</v>
      </c>
      <c r="H1746" s="126">
        <f t="shared" si="213"/>
        <v>0</v>
      </c>
      <c r="L1746" s="20">
        <v>100</v>
      </c>
      <c r="M1746" s="20">
        <v>100</v>
      </c>
      <c r="N1746" s="20">
        <v>100</v>
      </c>
      <c r="O1746" s="20">
        <f>H1746-L1746</f>
        <v>-100</v>
      </c>
      <c r="P1746" s="20" t="e">
        <f>#REF!-M1746</f>
        <v>#REF!</v>
      </c>
      <c r="Q1746" s="20" t="e">
        <f>#REF!-N1746</f>
        <v>#REF!</v>
      </c>
      <c r="R1746" s="17" t="str">
        <f t="shared" si="204"/>
        <v>16 1 01 20120000</v>
      </c>
    </row>
    <row r="1747" spans="1:18" s="16" customFormat="1" ht="31.5">
      <c r="A1747" s="14"/>
      <c r="B1747" s="125" t="s">
        <v>28</v>
      </c>
      <c r="C1747" s="109" t="s">
        <v>939</v>
      </c>
      <c r="D1747" s="108" t="s">
        <v>13</v>
      </c>
      <c r="E1747" s="108" t="s">
        <v>471</v>
      </c>
      <c r="F1747" s="108" t="s">
        <v>951</v>
      </c>
      <c r="G1747" s="108" t="s">
        <v>29</v>
      </c>
      <c r="H1747" s="126">
        <f>H1748</f>
        <v>0</v>
      </c>
      <c r="L1747" s="20">
        <v>100</v>
      </c>
      <c r="M1747" s="20">
        <v>100</v>
      </c>
      <c r="N1747" s="20">
        <v>100</v>
      </c>
      <c r="O1747" s="20">
        <f>H1747-L1747</f>
        <v>-100</v>
      </c>
      <c r="P1747" s="20" t="e">
        <f>#REF!-M1747</f>
        <v>#REF!</v>
      </c>
      <c r="Q1747" s="20" t="e">
        <f>#REF!-N1747</f>
        <v>#REF!</v>
      </c>
      <c r="R1747" s="17" t="str">
        <f t="shared" si="204"/>
        <v>16 1 01 20120240</v>
      </c>
    </row>
    <row r="1748" spans="1:18" s="16" customFormat="1" ht="15.75">
      <c r="A1748" s="14"/>
      <c r="B1748" s="125" t="s">
        <v>30</v>
      </c>
      <c r="C1748" s="109" t="s">
        <v>939</v>
      </c>
      <c r="D1748" s="108" t="s">
        <v>13</v>
      </c>
      <c r="E1748" s="108" t="s">
        <v>471</v>
      </c>
      <c r="F1748" s="108" t="s">
        <v>951</v>
      </c>
      <c r="G1748" s="108" t="s">
        <v>31</v>
      </c>
      <c r="H1748" s="126"/>
      <c r="L1748" s="20"/>
      <c r="M1748" s="20"/>
      <c r="N1748" s="20"/>
      <c r="O1748" s="20"/>
      <c r="P1748" s="20"/>
      <c r="Q1748" s="20"/>
      <c r="R1748" s="17"/>
    </row>
    <row r="1749" spans="1:18" s="16" customFormat="1" ht="47.25">
      <c r="A1749" s="14"/>
      <c r="B1749" s="148" t="s">
        <v>952</v>
      </c>
      <c r="C1749" s="109" t="s">
        <v>939</v>
      </c>
      <c r="D1749" s="108" t="s">
        <v>13</v>
      </c>
      <c r="E1749" s="108" t="s">
        <v>471</v>
      </c>
      <c r="F1749" s="108" t="s">
        <v>953</v>
      </c>
      <c r="G1749" s="108" t="s">
        <v>9</v>
      </c>
      <c r="H1749" s="126">
        <f>H1750</f>
        <v>0</v>
      </c>
      <c r="L1749" s="20">
        <v>30516.15</v>
      </c>
      <c r="M1749" s="20">
        <v>30516.15</v>
      </c>
      <c r="N1749" s="20">
        <v>30516.15</v>
      </c>
      <c r="O1749" s="20">
        <f>H1749-L1749</f>
        <v>-30516.15</v>
      </c>
      <c r="P1749" s="20" t="e">
        <f>#REF!-M1749</f>
        <v>#REF!</v>
      </c>
      <c r="Q1749" s="20" t="e">
        <f>#REF!-N1749</f>
        <v>#REF!</v>
      </c>
      <c r="R1749" s="17" t="str">
        <f t="shared" si="204"/>
        <v>16 1 02 00000000</v>
      </c>
    </row>
    <row r="1750" spans="1:18" s="16" customFormat="1" ht="31.5">
      <c r="A1750" s="14"/>
      <c r="B1750" s="148" t="s">
        <v>136</v>
      </c>
      <c r="C1750" s="109" t="s">
        <v>939</v>
      </c>
      <c r="D1750" s="108" t="s">
        <v>13</v>
      </c>
      <c r="E1750" s="108" t="s">
        <v>471</v>
      </c>
      <c r="F1750" s="108" t="s">
        <v>954</v>
      </c>
      <c r="G1750" s="108" t="s">
        <v>9</v>
      </c>
      <c r="H1750" s="126">
        <f>H1751+H1754+H1756</f>
        <v>0</v>
      </c>
      <c r="L1750" s="20">
        <v>30516.15</v>
      </c>
      <c r="M1750" s="20">
        <v>30516.15</v>
      </c>
      <c r="N1750" s="20">
        <v>30516.15</v>
      </c>
      <c r="O1750" s="20">
        <f>H1750-L1750</f>
        <v>-30516.15</v>
      </c>
      <c r="P1750" s="20" t="e">
        <f>#REF!-M1750</f>
        <v>#REF!</v>
      </c>
      <c r="Q1750" s="20" t="e">
        <f>#REF!-N1750</f>
        <v>#REF!</v>
      </c>
      <c r="R1750" s="17" t="str">
        <f t="shared" si="204"/>
        <v>16 1 02 11010000</v>
      </c>
    </row>
    <row r="1751" spans="1:18" s="16" customFormat="1" ht="15.75">
      <c r="A1751" s="14"/>
      <c r="B1751" s="125" t="s">
        <v>138</v>
      </c>
      <c r="C1751" s="109" t="s">
        <v>939</v>
      </c>
      <c r="D1751" s="108" t="s">
        <v>13</v>
      </c>
      <c r="E1751" s="108" t="s">
        <v>471</v>
      </c>
      <c r="F1751" s="108" t="s">
        <v>954</v>
      </c>
      <c r="G1751" s="108" t="s">
        <v>139</v>
      </c>
      <c r="H1751" s="126">
        <f>SUM(H1752:H1753)</f>
        <v>0</v>
      </c>
      <c r="L1751" s="20">
        <v>25310.93</v>
      </c>
      <c r="M1751" s="20">
        <v>25310.93</v>
      </c>
      <c r="N1751" s="20">
        <v>25310.93</v>
      </c>
      <c r="O1751" s="20">
        <f>H1751-L1751</f>
        <v>-25310.93</v>
      </c>
      <c r="P1751" s="20" t="e">
        <f>#REF!-M1751</f>
        <v>#REF!</v>
      </c>
      <c r="Q1751" s="20" t="e">
        <f>#REF!-N1751</f>
        <v>#REF!</v>
      </c>
      <c r="R1751" s="17" t="str">
        <f t="shared" si="204"/>
        <v>16 1 02 11010110</v>
      </c>
    </row>
    <row r="1752" spans="1:18" s="23" customFormat="1" ht="15.75">
      <c r="A1752" s="21"/>
      <c r="B1752" s="127" t="s">
        <v>140</v>
      </c>
      <c r="C1752" s="109" t="s">
        <v>939</v>
      </c>
      <c r="D1752" s="108" t="s">
        <v>13</v>
      </c>
      <c r="E1752" s="108" t="s">
        <v>471</v>
      </c>
      <c r="F1752" s="108" t="s">
        <v>954</v>
      </c>
      <c r="G1752" s="108" t="s">
        <v>141</v>
      </c>
      <c r="H1752" s="126"/>
      <c r="L1752" s="22"/>
      <c r="M1752" s="22"/>
      <c r="N1752" s="22"/>
      <c r="O1752" s="22"/>
      <c r="P1752" s="22"/>
      <c r="Q1752" s="22"/>
      <c r="R1752" s="24"/>
    </row>
    <row r="1753" spans="1:18" s="23" customFormat="1" ht="47.25">
      <c r="A1753" s="21"/>
      <c r="B1753" s="127" t="s">
        <v>487</v>
      </c>
      <c r="C1753" s="109" t="s">
        <v>939</v>
      </c>
      <c r="D1753" s="108" t="s">
        <v>13</v>
      </c>
      <c r="E1753" s="108" t="s">
        <v>471</v>
      </c>
      <c r="F1753" s="108" t="s">
        <v>954</v>
      </c>
      <c r="G1753" s="108" t="s">
        <v>145</v>
      </c>
      <c r="H1753" s="126"/>
      <c r="L1753" s="22"/>
      <c r="M1753" s="22"/>
      <c r="N1753" s="22"/>
      <c r="O1753" s="22"/>
      <c r="P1753" s="22"/>
      <c r="Q1753" s="22"/>
      <c r="R1753" s="24"/>
    </row>
    <row r="1754" spans="1:18" s="16" customFormat="1" ht="31.5">
      <c r="A1754" s="14"/>
      <c r="B1754" s="148" t="s">
        <v>28</v>
      </c>
      <c r="C1754" s="109" t="s">
        <v>939</v>
      </c>
      <c r="D1754" s="108" t="s">
        <v>13</v>
      </c>
      <c r="E1754" s="108" t="s">
        <v>471</v>
      </c>
      <c r="F1754" s="108" t="s">
        <v>954</v>
      </c>
      <c r="G1754" s="108" t="s">
        <v>29</v>
      </c>
      <c r="H1754" s="126">
        <f>H1755</f>
        <v>0</v>
      </c>
      <c r="L1754" s="20">
        <v>4264.22</v>
      </c>
      <c r="M1754" s="20">
        <v>4264.22</v>
      </c>
      <c r="N1754" s="20">
        <v>4264.22</v>
      </c>
      <c r="O1754" s="20">
        <f>H1754-L1754</f>
        <v>-4264.22</v>
      </c>
      <c r="P1754" s="20" t="e">
        <f>#REF!-M1754</f>
        <v>#REF!</v>
      </c>
      <c r="Q1754" s="20" t="e">
        <f>#REF!-N1754</f>
        <v>#REF!</v>
      </c>
      <c r="R1754" s="17" t="str">
        <f t="shared" si="204"/>
        <v>16 1 02 11010240</v>
      </c>
    </row>
    <row r="1755" spans="1:18" s="16" customFormat="1" ht="15.75">
      <c r="A1755" s="14"/>
      <c r="B1755" s="125" t="s">
        <v>30</v>
      </c>
      <c r="C1755" s="109" t="s">
        <v>939</v>
      </c>
      <c r="D1755" s="108" t="s">
        <v>13</v>
      </c>
      <c r="E1755" s="108" t="s">
        <v>471</v>
      </c>
      <c r="F1755" s="108" t="s">
        <v>954</v>
      </c>
      <c r="G1755" s="108" t="s">
        <v>31</v>
      </c>
      <c r="H1755" s="126"/>
      <c r="L1755" s="20"/>
      <c r="M1755" s="20"/>
      <c r="N1755" s="20"/>
      <c r="O1755" s="20"/>
      <c r="P1755" s="20"/>
      <c r="Q1755" s="20"/>
      <c r="R1755" s="17"/>
    </row>
    <row r="1756" spans="1:18" s="16" customFormat="1" ht="15.75">
      <c r="A1756" s="14"/>
      <c r="B1756" s="148" t="s">
        <v>32</v>
      </c>
      <c r="C1756" s="109" t="s">
        <v>939</v>
      </c>
      <c r="D1756" s="108" t="s">
        <v>13</v>
      </c>
      <c r="E1756" s="108" t="s">
        <v>471</v>
      </c>
      <c r="F1756" s="108" t="s">
        <v>954</v>
      </c>
      <c r="G1756" s="108" t="s">
        <v>33</v>
      </c>
      <c r="H1756" s="126">
        <f>SUM(H1757:H1759)</f>
        <v>0</v>
      </c>
      <c r="L1756" s="20">
        <v>941</v>
      </c>
      <c r="M1756" s="20">
        <v>941</v>
      </c>
      <c r="N1756" s="20">
        <v>941</v>
      </c>
      <c r="O1756" s="20">
        <f>H1756-L1756</f>
        <v>-941</v>
      </c>
      <c r="P1756" s="20" t="e">
        <f>#REF!-M1756</f>
        <v>#REF!</v>
      </c>
      <c r="Q1756" s="20" t="e">
        <f>#REF!-N1756</f>
        <v>#REF!</v>
      </c>
      <c r="R1756" s="17" t="str">
        <f t="shared" si="204"/>
        <v>16 1 02 11010850</v>
      </c>
    </row>
    <row r="1757" spans="1:18" s="23" customFormat="1" ht="31.5">
      <c r="A1757" s="21"/>
      <c r="B1757" s="127" t="s">
        <v>34</v>
      </c>
      <c r="C1757" s="109" t="s">
        <v>939</v>
      </c>
      <c r="D1757" s="108" t="s">
        <v>13</v>
      </c>
      <c r="E1757" s="108" t="s">
        <v>471</v>
      </c>
      <c r="F1757" s="108" t="s">
        <v>954</v>
      </c>
      <c r="G1757" s="108">
        <v>851</v>
      </c>
      <c r="H1757" s="126"/>
      <c r="L1757" s="22"/>
      <c r="M1757" s="22"/>
      <c r="N1757" s="22"/>
      <c r="O1757" s="22"/>
      <c r="P1757" s="22"/>
      <c r="Q1757" s="22"/>
      <c r="R1757" s="24"/>
    </row>
    <row r="1758" spans="1:18" s="23" customFormat="1" ht="15.75">
      <c r="A1758" s="21"/>
      <c r="B1758" s="127" t="s">
        <v>36</v>
      </c>
      <c r="C1758" s="109" t="s">
        <v>939</v>
      </c>
      <c r="D1758" s="108" t="s">
        <v>13</v>
      </c>
      <c r="E1758" s="108" t="s">
        <v>471</v>
      </c>
      <c r="F1758" s="108" t="s">
        <v>954</v>
      </c>
      <c r="G1758" s="108" t="s">
        <v>37</v>
      </c>
      <c r="H1758" s="126"/>
      <c r="L1758" s="22"/>
      <c r="M1758" s="22"/>
      <c r="N1758" s="22"/>
      <c r="O1758" s="22"/>
      <c r="P1758" s="22"/>
      <c r="Q1758" s="22"/>
      <c r="R1758" s="24"/>
    </row>
    <row r="1759" spans="1:18" s="23" customFormat="1" ht="15.75">
      <c r="A1759" s="21"/>
      <c r="B1759" s="127" t="s">
        <v>77</v>
      </c>
      <c r="C1759" s="109" t="s">
        <v>939</v>
      </c>
      <c r="D1759" s="108" t="s">
        <v>13</v>
      </c>
      <c r="E1759" s="108" t="s">
        <v>471</v>
      </c>
      <c r="F1759" s="108" t="s">
        <v>954</v>
      </c>
      <c r="G1759" s="108" t="s">
        <v>78</v>
      </c>
      <c r="H1759" s="126"/>
      <c r="L1759" s="22"/>
      <c r="M1759" s="22"/>
      <c r="N1759" s="22"/>
      <c r="O1759" s="22"/>
      <c r="P1759" s="22"/>
      <c r="Q1759" s="22"/>
      <c r="R1759" s="24"/>
    </row>
    <row r="1760" spans="1:18" s="16" customFormat="1" ht="31.5">
      <c r="A1760" s="14"/>
      <c r="B1760" s="148" t="s">
        <v>942</v>
      </c>
      <c r="C1760" s="109" t="s">
        <v>939</v>
      </c>
      <c r="D1760" s="108" t="s">
        <v>13</v>
      </c>
      <c r="E1760" s="108" t="s">
        <v>471</v>
      </c>
      <c r="F1760" s="108" t="s">
        <v>955</v>
      </c>
      <c r="G1760" s="108" t="s">
        <v>9</v>
      </c>
      <c r="H1760" s="126">
        <f t="shared" ref="H1760" si="214">H1761</f>
        <v>0</v>
      </c>
      <c r="L1760" s="20">
        <v>430</v>
      </c>
      <c r="M1760" s="20">
        <v>430</v>
      </c>
      <c r="N1760" s="20">
        <v>430</v>
      </c>
      <c r="O1760" s="20">
        <f>H1760-L1760</f>
        <v>-430</v>
      </c>
      <c r="P1760" s="20" t="e">
        <f>#REF!-M1760</f>
        <v>#REF!</v>
      </c>
      <c r="Q1760" s="20" t="e">
        <f>#REF!-N1760</f>
        <v>#REF!</v>
      </c>
      <c r="R1760" s="17" t="str">
        <f t="shared" si="204"/>
        <v>16 1 03 00000000</v>
      </c>
    </row>
    <row r="1761" spans="1:18" s="16" customFormat="1" ht="78.75">
      <c r="A1761" s="14"/>
      <c r="B1761" s="125" t="s">
        <v>950</v>
      </c>
      <c r="C1761" s="109" t="s">
        <v>939</v>
      </c>
      <c r="D1761" s="108" t="s">
        <v>13</v>
      </c>
      <c r="E1761" s="108" t="s">
        <v>471</v>
      </c>
      <c r="F1761" s="108" t="s">
        <v>956</v>
      </c>
      <c r="G1761" s="108" t="s">
        <v>9</v>
      </c>
      <c r="H1761" s="126">
        <f>H1762</f>
        <v>0</v>
      </c>
      <c r="L1761" s="20">
        <v>430</v>
      </c>
      <c r="M1761" s="20">
        <v>430</v>
      </c>
      <c r="N1761" s="20">
        <v>430</v>
      </c>
      <c r="O1761" s="20">
        <f>H1761-L1761</f>
        <v>-430</v>
      </c>
      <c r="P1761" s="20" t="e">
        <f>#REF!-M1761</f>
        <v>#REF!</v>
      </c>
      <c r="Q1761" s="20" t="e">
        <f>#REF!-N1761</f>
        <v>#REF!</v>
      </c>
      <c r="R1761" s="17" t="str">
        <f t="shared" si="204"/>
        <v>16 1 03 20120000</v>
      </c>
    </row>
    <row r="1762" spans="1:18" s="16" customFormat="1" ht="31.5">
      <c r="A1762" s="14"/>
      <c r="B1762" s="148" t="s">
        <v>28</v>
      </c>
      <c r="C1762" s="109" t="s">
        <v>939</v>
      </c>
      <c r="D1762" s="108" t="s">
        <v>13</v>
      </c>
      <c r="E1762" s="108" t="s">
        <v>471</v>
      </c>
      <c r="F1762" s="108" t="s">
        <v>956</v>
      </c>
      <c r="G1762" s="108" t="s">
        <v>29</v>
      </c>
      <c r="H1762" s="126">
        <f>H1763</f>
        <v>0</v>
      </c>
      <c r="L1762" s="20">
        <v>430</v>
      </c>
      <c r="M1762" s="20">
        <v>430</v>
      </c>
      <c r="N1762" s="20">
        <v>430</v>
      </c>
      <c r="O1762" s="20">
        <f>H1762-L1762</f>
        <v>-430</v>
      </c>
      <c r="P1762" s="20" t="e">
        <f>#REF!-M1762</f>
        <v>#REF!</v>
      </c>
      <c r="Q1762" s="20" t="e">
        <f>#REF!-N1762</f>
        <v>#REF!</v>
      </c>
      <c r="R1762" s="17" t="str">
        <f t="shared" si="204"/>
        <v>16 1 03 20120240</v>
      </c>
    </row>
    <row r="1763" spans="1:18" s="16" customFormat="1" ht="15.75">
      <c r="A1763" s="14"/>
      <c r="B1763" s="125" t="s">
        <v>30</v>
      </c>
      <c r="C1763" s="109" t="s">
        <v>939</v>
      </c>
      <c r="D1763" s="108" t="s">
        <v>13</v>
      </c>
      <c r="E1763" s="108" t="s">
        <v>471</v>
      </c>
      <c r="F1763" s="108" t="s">
        <v>956</v>
      </c>
      <c r="G1763" s="108" t="s">
        <v>31</v>
      </c>
      <c r="H1763" s="126"/>
      <c r="L1763" s="20"/>
      <c r="M1763" s="20"/>
      <c r="N1763" s="20"/>
      <c r="O1763" s="20"/>
      <c r="P1763" s="20"/>
      <c r="Q1763" s="20"/>
      <c r="R1763" s="17"/>
    </row>
    <row r="1764" spans="1:18" s="66" customFormat="1" ht="31.5">
      <c r="A1764" s="65"/>
      <c r="B1764" s="125" t="s">
        <v>422</v>
      </c>
      <c r="C1764" s="109" t="s">
        <v>939</v>
      </c>
      <c r="D1764" s="108" t="s">
        <v>13</v>
      </c>
      <c r="E1764" s="108" t="s">
        <v>471</v>
      </c>
      <c r="F1764" s="108" t="s">
        <v>423</v>
      </c>
      <c r="G1764" s="108" t="s">
        <v>9</v>
      </c>
      <c r="H1764" s="126">
        <f t="shared" ref="H1764:H1765" si="215">H1765</f>
        <v>0</v>
      </c>
      <c r="L1764" s="20">
        <v>535</v>
      </c>
      <c r="M1764" s="20">
        <v>535</v>
      </c>
      <c r="N1764" s="20">
        <v>535</v>
      </c>
      <c r="O1764" s="20">
        <f>H1764-L1764</f>
        <v>-535</v>
      </c>
      <c r="P1764" s="20" t="e">
        <f>#REF!-M1764</f>
        <v>#REF!</v>
      </c>
      <c r="Q1764" s="20" t="e">
        <f>#REF!-N1764</f>
        <v>#REF!</v>
      </c>
      <c r="R1764" s="17" t="str">
        <f t="shared" si="204"/>
        <v>16 2 00 00000000</v>
      </c>
    </row>
    <row r="1765" spans="1:18" s="16" customFormat="1" ht="31.5">
      <c r="A1765" s="14"/>
      <c r="B1765" s="148" t="s">
        <v>957</v>
      </c>
      <c r="C1765" s="109" t="s">
        <v>939</v>
      </c>
      <c r="D1765" s="108" t="s">
        <v>13</v>
      </c>
      <c r="E1765" s="108" t="s">
        <v>471</v>
      </c>
      <c r="F1765" s="108" t="s">
        <v>958</v>
      </c>
      <c r="G1765" s="108" t="s">
        <v>9</v>
      </c>
      <c r="H1765" s="126">
        <f t="shared" si="215"/>
        <v>0</v>
      </c>
      <c r="L1765" s="20">
        <v>535</v>
      </c>
      <c r="M1765" s="20">
        <v>535</v>
      </c>
      <c r="N1765" s="20">
        <v>535</v>
      </c>
      <c r="O1765" s="20">
        <f>H1765-L1765</f>
        <v>-535</v>
      </c>
      <c r="P1765" s="20" t="e">
        <f>#REF!-M1765</f>
        <v>#REF!</v>
      </c>
      <c r="Q1765" s="20" t="e">
        <f>#REF!-N1765</f>
        <v>#REF!</v>
      </c>
      <c r="R1765" s="17" t="str">
        <f t="shared" si="204"/>
        <v>16 2 01 00000000</v>
      </c>
    </row>
    <row r="1766" spans="1:18" s="16" customFormat="1" ht="31.5">
      <c r="A1766" s="14"/>
      <c r="B1766" s="148" t="s">
        <v>959</v>
      </c>
      <c r="C1766" s="109" t="s">
        <v>939</v>
      </c>
      <c r="D1766" s="108" t="s">
        <v>13</v>
      </c>
      <c r="E1766" s="108" t="s">
        <v>471</v>
      </c>
      <c r="F1766" s="108" t="s">
        <v>960</v>
      </c>
      <c r="G1766" s="108" t="s">
        <v>9</v>
      </c>
      <c r="H1766" s="126">
        <f>H1767+H1769</f>
        <v>0</v>
      </c>
      <c r="L1766" s="20">
        <v>535</v>
      </c>
      <c r="M1766" s="20">
        <v>535</v>
      </c>
      <c r="N1766" s="20">
        <v>535</v>
      </c>
      <c r="O1766" s="20">
        <f>H1766-L1766</f>
        <v>-535</v>
      </c>
      <c r="P1766" s="20" t="e">
        <f>#REF!-M1766</f>
        <v>#REF!</v>
      </c>
      <c r="Q1766" s="20" t="e">
        <f>#REF!-N1766</f>
        <v>#REF!</v>
      </c>
      <c r="R1766" s="17" t="str">
        <f t="shared" si="204"/>
        <v>16 2 01 20540000</v>
      </c>
    </row>
    <row r="1767" spans="1:18" s="16" customFormat="1" ht="31.5">
      <c r="A1767" s="14"/>
      <c r="B1767" s="125" t="s">
        <v>28</v>
      </c>
      <c r="C1767" s="109" t="s">
        <v>939</v>
      </c>
      <c r="D1767" s="108" t="s">
        <v>13</v>
      </c>
      <c r="E1767" s="108" t="s">
        <v>471</v>
      </c>
      <c r="F1767" s="108" t="s">
        <v>960</v>
      </c>
      <c r="G1767" s="108" t="s">
        <v>29</v>
      </c>
      <c r="H1767" s="126">
        <f>H1768</f>
        <v>0</v>
      </c>
      <c r="L1767" s="20">
        <v>488</v>
      </c>
      <c r="M1767" s="20">
        <v>488</v>
      </c>
      <c r="N1767" s="20">
        <v>488</v>
      </c>
      <c r="O1767" s="20">
        <f>H1767-L1767</f>
        <v>-488</v>
      </c>
      <c r="P1767" s="20" t="e">
        <f>#REF!-M1767</f>
        <v>#REF!</v>
      </c>
      <c r="Q1767" s="20" t="e">
        <f>#REF!-N1767</f>
        <v>#REF!</v>
      </c>
      <c r="R1767" s="17" t="str">
        <f t="shared" si="204"/>
        <v>16 2 01 20540240</v>
      </c>
    </row>
    <row r="1768" spans="1:18" s="16" customFormat="1" ht="15.75">
      <c r="A1768" s="14"/>
      <c r="B1768" s="125" t="s">
        <v>30</v>
      </c>
      <c r="C1768" s="109" t="s">
        <v>939</v>
      </c>
      <c r="D1768" s="108" t="s">
        <v>13</v>
      </c>
      <c r="E1768" s="108" t="s">
        <v>471</v>
      </c>
      <c r="F1768" s="108" t="s">
        <v>960</v>
      </c>
      <c r="G1768" s="108" t="s">
        <v>31</v>
      </c>
      <c r="H1768" s="126"/>
      <c r="L1768" s="20"/>
      <c r="M1768" s="20"/>
      <c r="N1768" s="20"/>
      <c r="O1768" s="20"/>
      <c r="P1768" s="20"/>
      <c r="Q1768" s="20"/>
      <c r="R1768" s="17"/>
    </row>
    <row r="1769" spans="1:18" s="16" customFormat="1" ht="63">
      <c r="A1769" s="14"/>
      <c r="B1769" s="125" t="s">
        <v>203</v>
      </c>
      <c r="C1769" s="109" t="s">
        <v>939</v>
      </c>
      <c r="D1769" s="108" t="s">
        <v>13</v>
      </c>
      <c r="E1769" s="108" t="s">
        <v>471</v>
      </c>
      <c r="F1769" s="108" t="s">
        <v>960</v>
      </c>
      <c r="G1769" s="108" t="s">
        <v>204</v>
      </c>
      <c r="H1769" s="126">
        <f>H1770</f>
        <v>0</v>
      </c>
      <c r="L1769" s="20">
        <v>47</v>
      </c>
      <c r="M1769" s="20">
        <v>47</v>
      </c>
      <c r="N1769" s="20">
        <v>47</v>
      </c>
      <c r="O1769" s="20">
        <f>H1769-L1769</f>
        <v>-47</v>
      </c>
      <c r="P1769" s="20" t="e">
        <f>#REF!-M1769</f>
        <v>#REF!</v>
      </c>
      <c r="Q1769" s="20" t="e">
        <f>#REF!-N1769</f>
        <v>#REF!</v>
      </c>
      <c r="R1769" s="17" t="str">
        <f t="shared" ref="R1769:R1867" si="216">CONCATENATE(F1769,G1769)</f>
        <v>16 2 01 20540810</v>
      </c>
    </row>
    <row r="1770" spans="1:18" s="16" customFormat="1" ht="110.25">
      <c r="A1770" s="14"/>
      <c r="B1770" s="125" t="s">
        <v>226</v>
      </c>
      <c r="C1770" s="109" t="s">
        <v>939</v>
      </c>
      <c r="D1770" s="108" t="s">
        <v>13</v>
      </c>
      <c r="E1770" s="108" t="s">
        <v>471</v>
      </c>
      <c r="F1770" s="108" t="s">
        <v>960</v>
      </c>
      <c r="G1770" s="108" t="s">
        <v>227</v>
      </c>
      <c r="H1770" s="126"/>
      <c r="L1770" s="20"/>
      <c r="M1770" s="20"/>
      <c r="N1770" s="20"/>
      <c r="O1770" s="20"/>
      <c r="P1770" s="20"/>
      <c r="Q1770" s="20"/>
      <c r="R1770" s="17"/>
    </row>
    <row r="1771" spans="1:18" s="16" customFormat="1" ht="47.25">
      <c r="A1771" s="14"/>
      <c r="B1771" s="125" t="s">
        <v>961</v>
      </c>
      <c r="C1771" s="109" t="s">
        <v>939</v>
      </c>
      <c r="D1771" s="108" t="s">
        <v>13</v>
      </c>
      <c r="E1771" s="108" t="s">
        <v>471</v>
      </c>
      <c r="F1771" s="108" t="s">
        <v>962</v>
      </c>
      <c r="G1771" s="108" t="s">
        <v>9</v>
      </c>
      <c r="H1771" s="126">
        <f>H1772+H1783+H1787+H1791</f>
        <v>0</v>
      </c>
      <c r="L1771" s="20">
        <v>24709.450000000004</v>
      </c>
      <c r="M1771" s="20">
        <v>24359.390000000003</v>
      </c>
      <c r="N1771" s="20">
        <v>24359.390000000003</v>
      </c>
      <c r="O1771" s="20">
        <f>H1771-L1771</f>
        <v>-24709.450000000004</v>
      </c>
      <c r="P1771" s="20" t="e">
        <f>#REF!-M1771</f>
        <v>#REF!</v>
      </c>
      <c r="Q1771" s="20" t="e">
        <f>#REF!-N1771</f>
        <v>#REF!</v>
      </c>
      <c r="R1771" s="17" t="str">
        <f t="shared" si="216"/>
        <v>16 3 00 00000000</v>
      </c>
    </row>
    <row r="1772" spans="1:18" s="16" customFormat="1" ht="63">
      <c r="A1772" s="14"/>
      <c r="B1772" s="125" t="s">
        <v>963</v>
      </c>
      <c r="C1772" s="109" t="s">
        <v>939</v>
      </c>
      <c r="D1772" s="108" t="s">
        <v>13</v>
      </c>
      <c r="E1772" s="108" t="s">
        <v>471</v>
      </c>
      <c r="F1772" s="108" t="s">
        <v>964</v>
      </c>
      <c r="G1772" s="108" t="s">
        <v>9</v>
      </c>
      <c r="H1772" s="126">
        <f>H1773</f>
        <v>0</v>
      </c>
      <c r="L1772" s="20">
        <v>19042.640000000003</v>
      </c>
      <c r="M1772" s="20">
        <v>18692.580000000002</v>
      </c>
      <c r="N1772" s="20">
        <v>18692.580000000002</v>
      </c>
      <c r="O1772" s="20">
        <f>H1772-L1772</f>
        <v>-19042.640000000003</v>
      </c>
      <c r="P1772" s="20" t="e">
        <f>#REF!-M1772</f>
        <v>#REF!</v>
      </c>
      <c r="Q1772" s="20" t="e">
        <f>#REF!-N1772</f>
        <v>#REF!</v>
      </c>
      <c r="R1772" s="17" t="str">
        <f t="shared" si="216"/>
        <v>16 3 01 00000000</v>
      </c>
    </row>
    <row r="1773" spans="1:18" s="16" customFormat="1" ht="31.5">
      <c r="A1773" s="14"/>
      <c r="B1773" s="148" t="s">
        <v>136</v>
      </c>
      <c r="C1773" s="109" t="s">
        <v>939</v>
      </c>
      <c r="D1773" s="108" t="s">
        <v>13</v>
      </c>
      <c r="E1773" s="108" t="s">
        <v>471</v>
      </c>
      <c r="F1773" s="108" t="s">
        <v>965</v>
      </c>
      <c r="G1773" s="108" t="s">
        <v>9</v>
      </c>
      <c r="H1773" s="126">
        <f>H1774+H1777+H1779</f>
        <v>0</v>
      </c>
      <c r="L1773" s="20">
        <v>19042.640000000003</v>
      </c>
      <c r="M1773" s="20">
        <v>18692.580000000002</v>
      </c>
      <c r="N1773" s="20">
        <v>18692.580000000002</v>
      </c>
      <c r="O1773" s="20">
        <f>H1773-L1773</f>
        <v>-19042.640000000003</v>
      </c>
      <c r="P1773" s="20" t="e">
        <f>#REF!-M1773</f>
        <v>#REF!</v>
      </c>
      <c r="Q1773" s="20" t="e">
        <f>#REF!-N1773</f>
        <v>#REF!</v>
      </c>
      <c r="R1773" s="17" t="str">
        <f t="shared" si="216"/>
        <v>16 3 01 11010000</v>
      </c>
    </row>
    <row r="1774" spans="1:18" s="16" customFormat="1" ht="15.75">
      <c r="A1774" s="14"/>
      <c r="B1774" s="148" t="s">
        <v>138</v>
      </c>
      <c r="C1774" s="109" t="s">
        <v>939</v>
      </c>
      <c r="D1774" s="108" t="s">
        <v>13</v>
      </c>
      <c r="E1774" s="108" t="s">
        <v>471</v>
      </c>
      <c r="F1774" s="108" t="s">
        <v>965</v>
      </c>
      <c r="G1774" s="108" t="s">
        <v>139</v>
      </c>
      <c r="H1774" s="126">
        <f>SUM(H1775:H1776)</f>
        <v>0</v>
      </c>
      <c r="L1774" s="20">
        <v>16997.420000000002</v>
      </c>
      <c r="M1774" s="20">
        <v>16997.420000000002</v>
      </c>
      <c r="N1774" s="20">
        <v>16997.420000000002</v>
      </c>
      <c r="O1774" s="20">
        <f>H1774-L1774</f>
        <v>-16997.420000000002</v>
      </c>
      <c r="P1774" s="20" t="e">
        <f>#REF!-M1774</f>
        <v>#REF!</v>
      </c>
      <c r="Q1774" s="20" t="e">
        <f>#REF!-N1774</f>
        <v>#REF!</v>
      </c>
      <c r="R1774" s="17" t="str">
        <f t="shared" si="216"/>
        <v>16 3 01 11010110</v>
      </c>
    </row>
    <row r="1775" spans="1:18" s="23" customFormat="1" ht="15.75">
      <c r="A1775" s="21"/>
      <c r="B1775" s="127" t="s">
        <v>140</v>
      </c>
      <c r="C1775" s="109" t="s">
        <v>939</v>
      </c>
      <c r="D1775" s="108" t="s">
        <v>13</v>
      </c>
      <c r="E1775" s="108" t="s">
        <v>471</v>
      </c>
      <c r="F1775" s="108" t="s">
        <v>965</v>
      </c>
      <c r="G1775" s="108" t="s">
        <v>141</v>
      </c>
      <c r="H1775" s="126"/>
      <c r="L1775" s="22"/>
      <c r="M1775" s="22"/>
      <c r="N1775" s="22"/>
      <c r="O1775" s="22"/>
      <c r="P1775" s="22"/>
      <c r="Q1775" s="22"/>
      <c r="R1775" s="24"/>
    </row>
    <row r="1776" spans="1:18" s="23" customFormat="1" ht="47.25">
      <c r="A1776" s="21"/>
      <c r="B1776" s="127" t="s">
        <v>487</v>
      </c>
      <c r="C1776" s="109" t="s">
        <v>939</v>
      </c>
      <c r="D1776" s="108" t="s">
        <v>13</v>
      </c>
      <c r="E1776" s="108" t="s">
        <v>471</v>
      </c>
      <c r="F1776" s="108" t="s">
        <v>965</v>
      </c>
      <c r="G1776" s="108" t="s">
        <v>145</v>
      </c>
      <c r="H1776" s="126"/>
      <c r="L1776" s="22"/>
      <c r="M1776" s="22"/>
      <c r="N1776" s="22"/>
      <c r="O1776" s="22"/>
      <c r="P1776" s="22"/>
      <c r="Q1776" s="22"/>
      <c r="R1776" s="24"/>
    </row>
    <row r="1777" spans="1:18" s="16" customFormat="1" ht="31.5">
      <c r="A1777" s="14"/>
      <c r="B1777" s="125" t="s">
        <v>28</v>
      </c>
      <c r="C1777" s="109" t="s">
        <v>939</v>
      </c>
      <c r="D1777" s="108" t="s">
        <v>13</v>
      </c>
      <c r="E1777" s="108" t="s">
        <v>471</v>
      </c>
      <c r="F1777" s="108" t="s">
        <v>965</v>
      </c>
      <c r="G1777" s="108" t="s">
        <v>29</v>
      </c>
      <c r="H1777" s="126">
        <f>H1778</f>
        <v>0</v>
      </c>
      <c r="L1777" s="20">
        <v>1688.22</v>
      </c>
      <c r="M1777" s="20">
        <v>1338.16</v>
      </c>
      <c r="N1777" s="20">
        <v>1338.16</v>
      </c>
      <c r="O1777" s="20">
        <f>H1777-L1777</f>
        <v>-1688.22</v>
      </c>
      <c r="P1777" s="20" t="e">
        <f>#REF!-M1777</f>
        <v>#REF!</v>
      </c>
      <c r="Q1777" s="20" t="e">
        <f>#REF!-N1777</f>
        <v>#REF!</v>
      </c>
      <c r="R1777" s="17" t="str">
        <f t="shared" si="216"/>
        <v>16 3 01 11010240</v>
      </c>
    </row>
    <row r="1778" spans="1:18" s="16" customFormat="1" ht="15.75">
      <c r="A1778" s="14"/>
      <c r="B1778" s="125" t="s">
        <v>30</v>
      </c>
      <c r="C1778" s="109" t="s">
        <v>939</v>
      </c>
      <c r="D1778" s="108" t="s">
        <v>13</v>
      </c>
      <c r="E1778" s="108" t="s">
        <v>471</v>
      </c>
      <c r="F1778" s="108" t="s">
        <v>965</v>
      </c>
      <c r="G1778" s="108" t="s">
        <v>31</v>
      </c>
      <c r="H1778" s="126"/>
      <c r="L1778" s="20"/>
      <c r="M1778" s="20"/>
      <c r="N1778" s="20"/>
      <c r="O1778" s="20"/>
      <c r="P1778" s="20"/>
      <c r="Q1778" s="20"/>
      <c r="R1778" s="17"/>
    </row>
    <row r="1779" spans="1:18" s="16" customFormat="1" ht="15.75">
      <c r="A1779" s="14"/>
      <c r="B1779" s="148" t="s">
        <v>32</v>
      </c>
      <c r="C1779" s="109" t="s">
        <v>939</v>
      </c>
      <c r="D1779" s="108" t="s">
        <v>13</v>
      </c>
      <c r="E1779" s="108" t="s">
        <v>471</v>
      </c>
      <c r="F1779" s="108" t="s">
        <v>965</v>
      </c>
      <c r="G1779" s="108" t="s">
        <v>33</v>
      </c>
      <c r="H1779" s="126">
        <f>SUM(H1780:H1782)</f>
        <v>0</v>
      </c>
      <c r="L1779" s="20">
        <v>357</v>
      </c>
      <c r="M1779" s="20">
        <v>357</v>
      </c>
      <c r="N1779" s="20">
        <v>357</v>
      </c>
      <c r="O1779" s="20">
        <f>H1779-L1779</f>
        <v>-357</v>
      </c>
      <c r="P1779" s="20" t="e">
        <f>#REF!-M1779</f>
        <v>#REF!</v>
      </c>
      <c r="Q1779" s="20" t="e">
        <f>#REF!-N1779</f>
        <v>#REF!</v>
      </c>
      <c r="R1779" s="17" t="str">
        <f t="shared" si="216"/>
        <v>16 3 01 11010850</v>
      </c>
    </row>
    <row r="1780" spans="1:18" s="23" customFormat="1" ht="31.5">
      <c r="A1780" s="21"/>
      <c r="B1780" s="127" t="s">
        <v>34</v>
      </c>
      <c r="C1780" s="109" t="s">
        <v>939</v>
      </c>
      <c r="D1780" s="108" t="s">
        <v>13</v>
      </c>
      <c r="E1780" s="108" t="s">
        <v>471</v>
      </c>
      <c r="F1780" s="108" t="s">
        <v>965</v>
      </c>
      <c r="G1780" s="108">
        <v>851</v>
      </c>
      <c r="H1780" s="126"/>
      <c r="L1780" s="22"/>
      <c r="M1780" s="22"/>
      <c r="N1780" s="22"/>
      <c r="O1780" s="22"/>
      <c r="P1780" s="22"/>
      <c r="Q1780" s="22"/>
      <c r="R1780" s="24"/>
    </row>
    <row r="1781" spans="1:18" s="23" customFormat="1" ht="15.75">
      <c r="A1781" s="21"/>
      <c r="B1781" s="127" t="s">
        <v>36</v>
      </c>
      <c r="C1781" s="109" t="s">
        <v>939</v>
      </c>
      <c r="D1781" s="108" t="s">
        <v>13</v>
      </c>
      <c r="E1781" s="108" t="s">
        <v>471</v>
      </c>
      <c r="F1781" s="108" t="s">
        <v>965</v>
      </c>
      <c r="G1781" s="108" t="s">
        <v>37</v>
      </c>
      <c r="H1781" s="126"/>
      <c r="L1781" s="22"/>
      <c r="M1781" s="22"/>
      <c r="N1781" s="22"/>
      <c r="O1781" s="22"/>
      <c r="P1781" s="22"/>
      <c r="Q1781" s="22"/>
      <c r="R1781" s="24"/>
    </row>
    <row r="1782" spans="1:18" s="23" customFormat="1" ht="15.75">
      <c r="A1782" s="21"/>
      <c r="B1782" s="127" t="s">
        <v>77</v>
      </c>
      <c r="C1782" s="109" t="s">
        <v>939</v>
      </c>
      <c r="D1782" s="108" t="s">
        <v>13</v>
      </c>
      <c r="E1782" s="108" t="s">
        <v>471</v>
      </c>
      <c r="F1782" s="108" t="s">
        <v>965</v>
      </c>
      <c r="G1782" s="108" t="s">
        <v>78</v>
      </c>
      <c r="H1782" s="126"/>
      <c r="L1782" s="22"/>
      <c r="M1782" s="22"/>
      <c r="N1782" s="22"/>
      <c r="O1782" s="22"/>
      <c r="P1782" s="22"/>
      <c r="Q1782" s="22"/>
      <c r="R1782" s="24"/>
    </row>
    <row r="1783" spans="1:18" s="16" customFormat="1" ht="94.5">
      <c r="A1783" s="14"/>
      <c r="B1783" s="148" t="s">
        <v>966</v>
      </c>
      <c r="C1783" s="109" t="s">
        <v>939</v>
      </c>
      <c r="D1783" s="108" t="s">
        <v>13</v>
      </c>
      <c r="E1783" s="108" t="s">
        <v>471</v>
      </c>
      <c r="F1783" s="108" t="s">
        <v>967</v>
      </c>
      <c r="G1783" s="108" t="s">
        <v>9</v>
      </c>
      <c r="H1783" s="126">
        <f>H1784</f>
        <v>0</v>
      </c>
      <c r="L1783" s="20">
        <v>2201.81</v>
      </c>
      <c r="M1783" s="20">
        <v>2201.81</v>
      </c>
      <c r="N1783" s="20">
        <v>2201.81</v>
      </c>
      <c r="O1783" s="20">
        <f>H1783-L1783</f>
        <v>-2201.81</v>
      </c>
      <c r="P1783" s="20" t="e">
        <f>#REF!-M1783</f>
        <v>#REF!</v>
      </c>
      <c r="Q1783" s="20" t="e">
        <f>#REF!-N1783</f>
        <v>#REF!</v>
      </c>
      <c r="R1783" s="17" t="str">
        <f t="shared" si="216"/>
        <v>16 3 02 00000000</v>
      </c>
    </row>
    <row r="1784" spans="1:18" s="16" customFormat="1" ht="63">
      <c r="A1784" s="14"/>
      <c r="B1784" s="148" t="s">
        <v>968</v>
      </c>
      <c r="C1784" s="109" t="s">
        <v>939</v>
      </c>
      <c r="D1784" s="108" t="s">
        <v>13</v>
      </c>
      <c r="E1784" s="108" t="s">
        <v>471</v>
      </c>
      <c r="F1784" s="108" t="s">
        <v>969</v>
      </c>
      <c r="G1784" s="108" t="s">
        <v>9</v>
      </c>
      <c r="H1784" s="126">
        <f>H1785</f>
        <v>0</v>
      </c>
      <c r="L1784" s="20">
        <v>2201.81</v>
      </c>
      <c r="M1784" s="20">
        <v>2201.81</v>
      </c>
      <c r="N1784" s="20">
        <v>2201.81</v>
      </c>
      <c r="O1784" s="20">
        <f>H1784-L1784</f>
        <v>-2201.81</v>
      </c>
      <c r="P1784" s="20" t="e">
        <f>#REF!-M1784</f>
        <v>#REF!</v>
      </c>
      <c r="Q1784" s="20" t="e">
        <f>#REF!-N1784</f>
        <v>#REF!</v>
      </c>
      <c r="R1784" s="17" t="str">
        <f t="shared" si="216"/>
        <v>16 3 02 20690000</v>
      </c>
    </row>
    <row r="1785" spans="1:18" s="16" customFormat="1" ht="31.5">
      <c r="A1785" s="14"/>
      <c r="B1785" s="125" t="s">
        <v>28</v>
      </c>
      <c r="C1785" s="109" t="s">
        <v>939</v>
      </c>
      <c r="D1785" s="108" t="s">
        <v>13</v>
      </c>
      <c r="E1785" s="108" t="s">
        <v>471</v>
      </c>
      <c r="F1785" s="108" t="s">
        <v>969</v>
      </c>
      <c r="G1785" s="108" t="s">
        <v>29</v>
      </c>
      <c r="H1785" s="126">
        <f>H1786</f>
        <v>0</v>
      </c>
      <c r="L1785" s="20">
        <v>2201.81</v>
      </c>
      <c r="M1785" s="20">
        <v>2201.81</v>
      </c>
      <c r="N1785" s="20">
        <v>2201.81</v>
      </c>
      <c r="O1785" s="20">
        <f>H1785-L1785</f>
        <v>-2201.81</v>
      </c>
      <c r="P1785" s="20" t="e">
        <f>#REF!-M1785</f>
        <v>#REF!</v>
      </c>
      <c r="Q1785" s="20" t="e">
        <f>#REF!-N1785</f>
        <v>#REF!</v>
      </c>
      <c r="R1785" s="17" t="str">
        <f t="shared" si="216"/>
        <v>16 3 02 20690240</v>
      </c>
    </row>
    <row r="1786" spans="1:18" s="16" customFormat="1" ht="15.75">
      <c r="A1786" s="14"/>
      <c r="B1786" s="125" t="s">
        <v>30</v>
      </c>
      <c r="C1786" s="109" t="s">
        <v>939</v>
      </c>
      <c r="D1786" s="108" t="s">
        <v>13</v>
      </c>
      <c r="E1786" s="108" t="s">
        <v>471</v>
      </c>
      <c r="F1786" s="108" t="s">
        <v>969</v>
      </c>
      <c r="G1786" s="108" t="s">
        <v>31</v>
      </c>
      <c r="H1786" s="126"/>
      <c r="L1786" s="20"/>
      <c r="M1786" s="20"/>
      <c r="N1786" s="20"/>
      <c r="O1786" s="20"/>
      <c r="P1786" s="20"/>
      <c r="Q1786" s="20"/>
      <c r="R1786" s="17"/>
    </row>
    <row r="1787" spans="1:18" s="16" customFormat="1" ht="94.5">
      <c r="A1787" s="14"/>
      <c r="B1787" s="148" t="s">
        <v>970</v>
      </c>
      <c r="C1787" s="109" t="s">
        <v>939</v>
      </c>
      <c r="D1787" s="108" t="s">
        <v>13</v>
      </c>
      <c r="E1787" s="108" t="s">
        <v>471</v>
      </c>
      <c r="F1787" s="108" t="s">
        <v>971</v>
      </c>
      <c r="G1787" s="108" t="s">
        <v>9</v>
      </c>
      <c r="H1787" s="126">
        <f>H1788</f>
        <v>0</v>
      </c>
      <c r="L1787" s="20">
        <v>2700</v>
      </c>
      <c r="M1787" s="20">
        <v>2700</v>
      </c>
      <c r="N1787" s="20">
        <v>2700</v>
      </c>
      <c r="O1787" s="20">
        <f>H1787-L1787</f>
        <v>-2700</v>
      </c>
      <c r="P1787" s="20" t="e">
        <f>#REF!-M1787</f>
        <v>#REF!</v>
      </c>
      <c r="Q1787" s="20" t="e">
        <f>#REF!-N1787</f>
        <v>#REF!</v>
      </c>
      <c r="R1787" s="17" t="str">
        <f t="shared" si="216"/>
        <v>16 3 03 00000000</v>
      </c>
    </row>
    <row r="1788" spans="1:18" s="16" customFormat="1" ht="47.25">
      <c r="A1788" s="14"/>
      <c r="B1788" s="148" t="s">
        <v>152</v>
      </c>
      <c r="C1788" s="109" t="s">
        <v>939</v>
      </c>
      <c r="D1788" s="108" t="s">
        <v>13</v>
      </c>
      <c r="E1788" s="108" t="s">
        <v>471</v>
      </c>
      <c r="F1788" s="108" t="s">
        <v>972</v>
      </c>
      <c r="G1788" s="108" t="s">
        <v>9</v>
      </c>
      <c r="H1788" s="126">
        <f>H1789</f>
        <v>0</v>
      </c>
      <c r="L1788" s="20">
        <v>2700</v>
      </c>
      <c r="M1788" s="20">
        <v>2700</v>
      </c>
      <c r="N1788" s="20">
        <v>2700</v>
      </c>
      <c r="O1788" s="20">
        <f>H1788-L1788</f>
        <v>-2700</v>
      </c>
      <c r="P1788" s="20" t="e">
        <f>#REF!-M1788</f>
        <v>#REF!</v>
      </c>
      <c r="Q1788" s="20" t="e">
        <f>#REF!-N1788</f>
        <v>#REF!</v>
      </c>
      <c r="R1788" s="17" t="str">
        <f t="shared" si="216"/>
        <v>16 3 03 20350000</v>
      </c>
    </row>
    <row r="1789" spans="1:18" s="16" customFormat="1" ht="31.5">
      <c r="A1789" s="14"/>
      <c r="B1789" s="148" t="s">
        <v>28</v>
      </c>
      <c r="C1789" s="109" t="s">
        <v>939</v>
      </c>
      <c r="D1789" s="108" t="s">
        <v>13</v>
      </c>
      <c r="E1789" s="108" t="s">
        <v>471</v>
      </c>
      <c r="F1789" s="108" t="s">
        <v>972</v>
      </c>
      <c r="G1789" s="108" t="s">
        <v>29</v>
      </c>
      <c r="H1789" s="126">
        <f>H1790</f>
        <v>0</v>
      </c>
      <c r="L1789" s="20">
        <v>2700</v>
      </c>
      <c r="M1789" s="20">
        <v>2700</v>
      </c>
      <c r="N1789" s="20">
        <v>2700</v>
      </c>
      <c r="O1789" s="20">
        <f>H1789-L1789</f>
        <v>-2700</v>
      </c>
      <c r="P1789" s="20" t="e">
        <f>#REF!-M1789</f>
        <v>#REF!</v>
      </c>
      <c r="Q1789" s="20" t="e">
        <f>#REF!-N1789</f>
        <v>#REF!</v>
      </c>
      <c r="R1789" s="17" t="str">
        <f t="shared" si="216"/>
        <v>16 3 03 20350240</v>
      </c>
    </row>
    <row r="1790" spans="1:18" s="16" customFormat="1" ht="15.75">
      <c r="A1790" s="14"/>
      <c r="B1790" s="125" t="s">
        <v>30</v>
      </c>
      <c r="C1790" s="109" t="s">
        <v>939</v>
      </c>
      <c r="D1790" s="108" t="s">
        <v>13</v>
      </c>
      <c r="E1790" s="108" t="s">
        <v>471</v>
      </c>
      <c r="F1790" s="108" t="s">
        <v>972</v>
      </c>
      <c r="G1790" s="108" t="s">
        <v>31</v>
      </c>
      <c r="H1790" s="126"/>
      <c r="L1790" s="20"/>
      <c r="M1790" s="20"/>
      <c r="N1790" s="20"/>
      <c r="O1790" s="20"/>
      <c r="P1790" s="20"/>
      <c r="Q1790" s="20"/>
      <c r="R1790" s="17"/>
    </row>
    <row r="1791" spans="1:18" s="16" customFormat="1" ht="78.75">
      <c r="A1791" s="14"/>
      <c r="B1791" s="148" t="s">
        <v>973</v>
      </c>
      <c r="C1791" s="109" t="s">
        <v>939</v>
      </c>
      <c r="D1791" s="108" t="s">
        <v>13</v>
      </c>
      <c r="E1791" s="108" t="s">
        <v>471</v>
      </c>
      <c r="F1791" s="108" t="s">
        <v>974</v>
      </c>
      <c r="G1791" s="108" t="s">
        <v>9</v>
      </c>
      <c r="H1791" s="126">
        <f>H1792</f>
        <v>0</v>
      </c>
      <c r="L1791" s="20">
        <v>765</v>
      </c>
      <c r="M1791" s="20">
        <v>765</v>
      </c>
      <c r="N1791" s="20">
        <v>765</v>
      </c>
      <c r="O1791" s="20">
        <f>H1791-L1791</f>
        <v>-765</v>
      </c>
      <c r="P1791" s="20" t="e">
        <f>#REF!-M1791</f>
        <v>#REF!</v>
      </c>
      <c r="Q1791" s="20" t="e">
        <f>#REF!-N1791</f>
        <v>#REF!</v>
      </c>
      <c r="R1791" s="17" t="str">
        <f t="shared" si="216"/>
        <v>16 3 04 00000000</v>
      </c>
    </row>
    <row r="1792" spans="1:18" s="16" customFormat="1" ht="47.25">
      <c r="A1792" s="14"/>
      <c r="B1792" s="148" t="s">
        <v>152</v>
      </c>
      <c r="C1792" s="109" t="s">
        <v>939</v>
      </c>
      <c r="D1792" s="108" t="s">
        <v>13</v>
      </c>
      <c r="E1792" s="108" t="s">
        <v>471</v>
      </c>
      <c r="F1792" s="108" t="s">
        <v>975</v>
      </c>
      <c r="G1792" s="108" t="s">
        <v>9</v>
      </c>
      <c r="H1792" s="126">
        <f>H1793</f>
        <v>0</v>
      </c>
      <c r="L1792" s="20">
        <v>765</v>
      </c>
      <c r="M1792" s="20">
        <v>765</v>
      </c>
      <c r="N1792" s="20">
        <v>765</v>
      </c>
      <c r="O1792" s="20">
        <f>H1792-L1792</f>
        <v>-765</v>
      </c>
      <c r="P1792" s="20" t="e">
        <f>#REF!-M1792</f>
        <v>#REF!</v>
      </c>
      <c r="Q1792" s="20" t="e">
        <f>#REF!-N1792</f>
        <v>#REF!</v>
      </c>
      <c r="R1792" s="17" t="str">
        <f t="shared" si="216"/>
        <v>16 3 04 20350000</v>
      </c>
    </row>
    <row r="1793" spans="1:18" s="16" customFormat="1" ht="31.5">
      <c r="A1793" s="14"/>
      <c r="B1793" s="148" t="s">
        <v>28</v>
      </c>
      <c r="C1793" s="109" t="s">
        <v>939</v>
      </c>
      <c r="D1793" s="108" t="s">
        <v>13</v>
      </c>
      <c r="E1793" s="108" t="s">
        <v>471</v>
      </c>
      <c r="F1793" s="108" t="s">
        <v>975</v>
      </c>
      <c r="G1793" s="108" t="s">
        <v>29</v>
      </c>
      <c r="H1793" s="126">
        <f>H1794</f>
        <v>0</v>
      </c>
      <c r="L1793" s="20">
        <v>765</v>
      </c>
      <c r="M1793" s="20">
        <v>765</v>
      </c>
      <c r="N1793" s="20">
        <v>765</v>
      </c>
      <c r="O1793" s="20">
        <f>H1793-L1793</f>
        <v>-765</v>
      </c>
      <c r="P1793" s="20" t="e">
        <f>#REF!-M1793</f>
        <v>#REF!</v>
      </c>
      <c r="Q1793" s="20" t="e">
        <f>#REF!-N1793</f>
        <v>#REF!</v>
      </c>
      <c r="R1793" s="17" t="str">
        <f t="shared" si="216"/>
        <v>16 3 04 20350240</v>
      </c>
    </row>
    <row r="1794" spans="1:18" s="16" customFormat="1" ht="15.75">
      <c r="A1794" s="14"/>
      <c r="B1794" s="125" t="s">
        <v>30</v>
      </c>
      <c r="C1794" s="109" t="s">
        <v>939</v>
      </c>
      <c r="D1794" s="108" t="s">
        <v>13</v>
      </c>
      <c r="E1794" s="108" t="s">
        <v>471</v>
      </c>
      <c r="F1794" s="108" t="s">
        <v>975</v>
      </c>
      <c r="G1794" s="108" t="s">
        <v>31</v>
      </c>
      <c r="H1794" s="126"/>
      <c r="L1794" s="20"/>
      <c r="M1794" s="20"/>
      <c r="N1794" s="20"/>
      <c r="O1794" s="20"/>
      <c r="P1794" s="20"/>
      <c r="Q1794" s="20"/>
      <c r="R1794" s="17"/>
    </row>
    <row r="1795" spans="1:18" s="16" customFormat="1" ht="47.25">
      <c r="A1795" s="14"/>
      <c r="B1795" s="147" t="s">
        <v>976</v>
      </c>
      <c r="C1795" s="109" t="s">
        <v>939</v>
      </c>
      <c r="D1795" s="108" t="s">
        <v>13</v>
      </c>
      <c r="E1795" s="108" t="s">
        <v>471</v>
      </c>
      <c r="F1795" s="108" t="s">
        <v>977</v>
      </c>
      <c r="G1795" s="108" t="s">
        <v>9</v>
      </c>
      <c r="H1795" s="126">
        <f>H1796</f>
        <v>0</v>
      </c>
      <c r="L1795" s="20">
        <v>15349.49</v>
      </c>
      <c r="M1795" s="20">
        <v>15349.49</v>
      </c>
      <c r="N1795" s="20">
        <v>15349.49</v>
      </c>
      <c r="O1795" s="20">
        <f>H1795-L1795</f>
        <v>-15349.49</v>
      </c>
      <c r="P1795" s="20" t="e">
        <f>#REF!-M1795</f>
        <v>#REF!</v>
      </c>
      <c r="Q1795" s="20" t="e">
        <f>#REF!-N1795</f>
        <v>#REF!</v>
      </c>
      <c r="R1795" s="17" t="str">
        <f t="shared" si="216"/>
        <v>85 0 00 00000000</v>
      </c>
    </row>
    <row r="1796" spans="1:18" s="66" customFormat="1" ht="63">
      <c r="A1796" s="65"/>
      <c r="B1796" s="125" t="s">
        <v>978</v>
      </c>
      <c r="C1796" s="109" t="s">
        <v>939</v>
      </c>
      <c r="D1796" s="108" t="s">
        <v>13</v>
      </c>
      <c r="E1796" s="108" t="s">
        <v>471</v>
      </c>
      <c r="F1796" s="108" t="s">
        <v>979</v>
      </c>
      <c r="G1796" s="108" t="s">
        <v>9</v>
      </c>
      <c r="H1796" s="126">
        <f>H1797+H1806</f>
        <v>0</v>
      </c>
      <c r="L1796" s="20">
        <v>15349.49</v>
      </c>
      <c r="M1796" s="20">
        <v>15349.49</v>
      </c>
      <c r="N1796" s="20">
        <v>15349.49</v>
      </c>
      <c r="O1796" s="20">
        <f>H1796-L1796</f>
        <v>-15349.49</v>
      </c>
      <c r="P1796" s="20" t="e">
        <f>#REF!-M1796</f>
        <v>#REF!</v>
      </c>
      <c r="Q1796" s="20" t="e">
        <f>#REF!-N1796</f>
        <v>#REF!</v>
      </c>
      <c r="R1796" s="17" t="str">
        <f t="shared" si="216"/>
        <v>85 1 00 00000000</v>
      </c>
    </row>
    <row r="1797" spans="1:18" s="16" customFormat="1" ht="31.5">
      <c r="A1797" s="14"/>
      <c r="B1797" s="148" t="s">
        <v>18</v>
      </c>
      <c r="C1797" s="109" t="s">
        <v>939</v>
      </c>
      <c r="D1797" s="108" t="s">
        <v>13</v>
      </c>
      <c r="E1797" s="108" t="s">
        <v>471</v>
      </c>
      <c r="F1797" s="108" t="s">
        <v>980</v>
      </c>
      <c r="G1797" s="108" t="s">
        <v>9</v>
      </c>
      <c r="H1797" s="126">
        <f>H1798+H1801+H1803</f>
        <v>0</v>
      </c>
      <c r="L1797" s="20">
        <v>1772.94</v>
      </c>
      <c r="M1797" s="20">
        <v>1772.94</v>
      </c>
      <c r="N1797" s="20">
        <v>1772.94</v>
      </c>
      <c r="O1797" s="20">
        <f>H1797-L1797</f>
        <v>-1772.94</v>
      </c>
      <c r="P1797" s="20" t="e">
        <f>#REF!-M1797</f>
        <v>#REF!</v>
      </c>
      <c r="Q1797" s="20" t="e">
        <f>#REF!-N1797</f>
        <v>#REF!</v>
      </c>
      <c r="R1797" s="17" t="str">
        <f t="shared" si="216"/>
        <v>85 1 00 10010000</v>
      </c>
    </row>
    <row r="1798" spans="1:18" s="16" customFormat="1" ht="31.5">
      <c r="A1798" s="14"/>
      <c r="B1798" s="125" t="s">
        <v>20</v>
      </c>
      <c r="C1798" s="109" t="s">
        <v>939</v>
      </c>
      <c r="D1798" s="108" t="s">
        <v>13</v>
      </c>
      <c r="E1798" s="108" t="s">
        <v>471</v>
      </c>
      <c r="F1798" s="108" t="s">
        <v>980</v>
      </c>
      <c r="G1798" s="108" t="s">
        <v>21</v>
      </c>
      <c r="H1798" s="126">
        <f>SUM(H1799:H1800)</f>
        <v>0</v>
      </c>
      <c r="L1798" s="20">
        <v>387.25</v>
      </c>
      <c r="M1798" s="20">
        <v>387.25</v>
      </c>
      <c r="N1798" s="20">
        <v>387.25</v>
      </c>
      <c r="O1798" s="20">
        <f>H1798-L1798</f>
        <v>-387.25</v>
      </c>
      <c r="P1798" s="20" t="e">
        <f>#REF!-M1798</f>
        <v>#REF!</v>
      </c>
      <c r="Q1798" s="20" t="e">
        <f>#REF!-N1798</f>
        <v>#REF!</v>
      </c>
      <c r="R1798" s="17" t="str">
        <f t="shared" si="216"/>
        <v>85 1 00 10010120</v>
      </c>
    </row>
    <row r="1799" spans="1:18" s="16" customFormat="1" ht="47.25">
      <c r="A1799" s="14"/>
      <c r="B1799" s="125" t="s">
        <v>22</v>
      </c>
      <c r="C1799" s="109" t="s">
        <v>939</v>
      </c>
      <c r="D1799" s="108" t="s">
        <v>13</v>
      </c>
      <c r="E1799" s="108" t="s">
        <v>471</v>
      </c>
      <c r="F1799" s="108" t="s">
        <v>980</v>
      </c>
      <c r="G1799" s="108" t="s">
        <v>23</v>
      </c>
      <c r="H1799" s="126"/>
      <c r="L1799" s="20"/>
      <c r="M1799" s="20"/>
      <c r="N1799" s="20"/>
      <c r="O1799" s="20"/>
      <c r="P1799" s="20"/>
      <c r="Q1799" s="20"/>
      <c r="R1799" s="17"/>
    </row>
    <row r="1800" spans="1:18" s="16" customFormat="1" ht="63">
      <c r="A1800" s="14"/>
      <c r="B1800" s="125" t="s">
        <v>26</v>
      </c>
      <c r="C1800" s="109" t="s">
        <v>939</v>
      </c>
      <c r="D1800" s="108" t="s">
        <v>13</v>
      </c>
      <c r="E1800" s="108" t="s">
        <v>471</v>
      </c>
      <c r="F1800" s="108" t="s">
        <v>980</v>
      </c>
      <c r="G1800" s="108" t="s">
        <v>27</v>
      </c>
      <c r="H1800" s="126"/>
      <c r="L1800" s="20"/>
      <c r="M1800" s="20"/>
      <c r="N1800" s="20"/>
      <c r="O1800" s="20"/>
      <c r="P1800" s="20"/>
      <c r="Q1800" s="20"/>
      <c r="R1800" s="17"/>
    </row>
    <row r="1801" spans="1:18" s="16" customFormat="1" ht="31.5">
      <c r="A1801" s="14"/>
      <c r="B1801" s="125" t="s">
        <v>28</v>
      </c>
      <c r="C1801" s="109" t="s">
        <v>939</v>
      </c>
      <c r="D1801" s="108" t="s">
        <v>13</v>
      </c>
      <c r="E1801" s="108" t="s">
        <v>471</v>
      </c>
      <c r="F1801" s="108" t="s">
        <v>980</v>
      </c>
      <c r="G1801" s="108" t="s">
        <v>29</v>
      </c>
      <c r="H1801" s="126">
        <f>H1802</f>
        <v>0</v>
      </c>
      <c r="L1801" s="20">
        <v>1183.98</v>
      </c>
      <c r="M1801" s="20">
        <v>1183.98</v>
      </c>
      <c r="N1801" s="20">
        <v>1183.98</v>
      </c>
      <c r="O1801" s="20">
        <f>H1801-L1801</f>
        <v>-1183.98</v>
      </c>
      <c r="P1801" s="20" t="e">
        <f>#REF!-M1801</f>
        <v>#REF!</v>
      </c>
      <c r="Q1801" s="20" t="e">
        <f>#REF!-N1801</f>
        <v>#REF!</v>
      </c>
      <c r="R1801" s="17" t="str">
        <f t="shared" si="216"/>
        <v>85 1 00 10010240</v>
      </c>
    </row>
    <row r="1802" spans="1:18" s="16" customFormat="1" ht="15.75">
      <c r="A1802" s="14"/>
      <c r="B1802" s="125" t="s">
        <v>30</v>
      </c>
      <c r="C1802" s="109" t="s">
        <v>939</v>
      </c>
      <c r="D1802" s="108" t="s">
        <v>13</v>
      </c>
      <c r="E1802" s="108" t="s">
        <v>471</v>
      </c>
      <c r="F1802" s="108" t="s">
        <v>980</v>
      </c>
      <c r="G1802" s="108" t="s">
        <v>31</v>
      </c>
      <c r="H1802" s="126"/>
      <c r="L1802" s="20"/>
      <c r="M1802" s="20"/>
      <c r="N1802" s="20"/>
      <c r="O1802" s="20"/>
      <c r="P1802" s="20"/>
      <c r="Q1802" s="20"/>
      <c r="R1802" s="17"/>
    </row>
    <row r="1803" spans="1:18" s="16" customFormat="1" ht="15.75">
      <c r="A1803" s="14"/>
      <c r="B1803" s="125" t="s">
        <v>32</v>
      </c>
      <c r="C1803" s="109" t="s">
        <v>939</v>
      </c>
      <c r="D1803" s="108" t="s">
        <v>13</v>
      </c>
      <c r="E1803" s="108" t="s">
        <v>471</v>
      </c>
      <c r="F1803" s="108" t="s">
        <v>980</v>
      </c>
      <c r="G1803" s="108" t="s">
        <v>33</v>
      </c>
      <c r="H1803" s="126">
        <f>SUM(H1804:H1805)</f>
        <v>0</v>
      </c>
      <c r="L1803" s="20">
        <v>201.71</v>
      </c>
      <c r="M1803" s="20">
        <v>201.71</v>
      </c>
      <c r="N1803" s="20">
        <v>201.71</v>
      </c>
      <c r="O1803" s="20">
        <f>H1803-L1803</f>
        <v>-201.71</v>
      </c>
      <c r="P1803" s="20" t="e">
        <f>#REF!-M1803</f>
        <v>#REF!</v>
      </c>
      <c r="Q1803" s="20" t="e">
        <f>#REF!-N1803</f>
        <v>#REF!</v>
      </c>
      <c r="R1803" s="17" t="str">
        <f t="shared" si="216"/>
        <v>85 1 00 10010850</v>
      </c>
    </row>
    <row r="1804" spans="1:18" s="16" customFormat="1" ht="31.5">
      <c r="A1804" s="14"/>
      <c r="B1804" s="125" t="s">
        <v>34</v>
      </c>
      <c r="C1804" s="109" t="s">
        <v>939</v>
      </c>
      <c r="D1804" s="108" t="s">
        <v>13</v>
      </c>
      <c r="E1804" s="108" t="s">
        <v>471</v>
      </c>
      <c r="F1804" s="108" t="s">
        <v>980</v>
      </c>
      <c r="G1804" s="108">
        <v>851</v>
      </c>
      <c r="H1804" s="126"/>
      <c r="L1804" s="20"/>
      <c r="M1804" s="20"/>
      <c r="N1804" s="20"/>
      <c r="O1804" s="20"/>
      <c r="P1804" s="20"/>
      <c r="Q1804" s="20"/>
      <c r="R1804" s="17"/>
    </row>
    <row r="1805" spans="1:18" s="16" customFormat="1" ht="15.75">
      <c r="A1805" s="14"/>
      <c r="B1805" s="125" t="s">
        <v>77</v>
      </c>
      <c r="C1805" s="109" t="s">
        <v>939</v>
      </c>
      <c r="D1805" s="108" t="s">
        <v>13</v>
      </c>
      <c r="E1805" s="108" t="s">
        <v>471</v>
      </c>
      <c r="F1805" s="108" t="s">
        <v>980</v>
      </c>
      <c r="G1805" s="108" t="s">
        <v>78</v>
      </c>
      <c r="H1805" s="126"/>
      <c r="L1805" s="20"/>
      <c r="M1805" s="20"/>
      <c r="N1805" s="20"/>
      <c r="O1805" s="20"/>
      <c r="P1805" s="20"/>
      <c r="Q1805" s="20"/>
      <c r="R1805" s="17"/>
    </row>
    <row r="1806" spans="1:18" s="16" customFormat="1" ht="31.5">
      <c r="A1806" s="14"/>
      <c r="B1806" s="148" t="s">
        <v>38</v>
      </c>
      <c r="C1806" s="109" t="s">
        <v>939</v>
      </c>
      <c r="D1806" s="108" t="s">
        <v>13</v>
      </c>
      <c r="E1806" s="108" t="s">
        <v>471</v>
      </c>
      <c r="F1806" s="108" t="s">
        <v>981</v>
      </c>
      <c r="G1806" s="108" t="s">
        <v>9</v>
      </c>
      <c r="H1806" s="126">
        <f>H1807</f>
        <v>0</v>
      </c>
      <c r="L1806" s="20">
        <v>13576.55</v>
      </c>
      <c r="M1806" s="20">
        <v>13576.55</v>
      </c>
      <c r="N1806" s="20">
        <v>13576.55</v>
      </c>
      <c r="O1806" s="20">
        <f>H1806-L1806</f>
        <v>-13576.55</v>
      </c>
      <c r="P1806" s="20" t="e">
        <f>#REF!-M1806</f>
        <v>#REF!</v>
      </c>
      <c r="Q1806" s="20" t="e">
        <f>#REF!-N1806</f>
        <v>#REF!</v>
      </c>
      <c r="R1806" s="17" t="str">
        <f t="shared" si="216"/>
        <v>85 1 00 10020000</v>
      </c>
    </row>
    <row r="1807" spans="1:18" s="16" customFormat="1" ht="31.5">
      <c r="A1807" s="14"/>
      <c r="B1807" s="125" t="s">
        <v>20</v>
      </c>
      <c r="C1807" s="109" t="s">
        <v>939</v>
      </c>
      <c r="D1807" s="108" t="s">
        <v>13</v>
      </c>
      <c r="E1807" s="108" t="s">
        <v>471</v>
      </c>
      <c r="F1807" s="108" t="s">
        <v>981</v>
      </c>
      <c r="G1807" s="108" t="s">
        <v>21</v>
      </c>
      <c r="H1807" s="126">
        <f>SUM(H1808:H1809)</f>
        <v>0</v>
      </c>
      <c r="L1807" s="20">
        <v>13576.55</v>
      </c>
      <c r="M1807" s="20">
        <v>13576.55</v>
      </c>
      <c r="N1807" s="20">
        <v>13576.55</v>
      </c>
      <c r="O1807" s="20">
        <f>H1807-L1807</f>
        <v>-13576.55</v>
      </c>
      <c r="P1807" s="20" t="e">
        <f>#REF!-M1807</f>
        <v>#REF!</v>
      </c>
      <c r="Q1807" s="20" t="e">
        <f>#REF!-N1807</f>
        <v>#REF!</v>
      </c>
      <c r="R1807" s="17" t="str">
        <f t="shared" si="216"/>
        <v>85 1 00 10020120</v>
      </c>
    </row>
    <row r="1808" spans="1:18" s="23" customFormat="1" ht="31.5">
      <c r="A1808" s="21"/>
      <c r="B1808" s="127" t="s">
        <v>40</v>
      </c>
      <c r="C1808" s="109" t="s">
        <v>939</v>
      </c>
      <c r="D1808" s="108" t="s">
        <v>13</v>
      </c>
      <c r="E1808" s="108" t="s">
        <v>471</v>
      </c>
      <c r="F1808" s="108" t="s">
        <v>981</v>
      </c>
      <c r="G1808" s="108" t="s">
        <v>41</v>
      </c>
      <c r="H1808" s="126"/>
      <c r="L1808" s="22"/>
      <c r="M1808" s="22"/>
      <c r="N1808" s="22"/>
      <c r="O1808" s="22"/>
      <c r="P1808" s="22"/>
      <c r="Q1808" s="22"/>
      <c r="R1808" s="24"/>
    </row>
    <row r="1809" spans="1:18" s="23" customFormat="1" ht="63">
      <c r="A1809" s="21"/>
      <c r="B1809" s="127" t="s">
        <v>26</v>
      </c>
      <c r="C1809" s="109" t="s">
        <v>939</v>
      </c>
      <c r="D1809" s="108" t="s">
        <v>13</v>
      </c>
      <c r="E1809" s="108" t="s">
        <v>471</v>
      </c>
      <c r="F1809" s="108" t="s">
        <v>981</v>
      </c>
      <c r="G1809" s="108" t="s">
        <v>27</v>
      </c>
      <c r="H1809" s="126"/>
      <c r="L1809" s="22"/>
      <c r="M1809" s="22"/>
      <c r="N1809" s="22"/>
      <c r="O1809" s="22"/>
      <c r="P1809" s="22"/>
      <c r="Q1809" s="22"/>
      <c r="R1809" s="24"/>
    </row>
    <row r="1810" spans="1:18" s="16" customFormat="1" ht="15.75">
      <c r="A1810" s="14"/>
      <c r="B1810" s="125"/>
      <c r="C1810" s="109"/>
      <c r="D1810" s="108"/>
      <c r="E1810" s="108"/>
      <c r="F1810" s="108"/>
      <c r="G1810" s="108"/>
      <c r="H1810" s="126"/>
      <c r="L1810" s="20"/>
      <c r="M1810" s="20"/>
      <c r="N1810" s="20"/>
      <c r="O1810" s="20">
        <f t="shared" ref="O1810:O1817" si="217">H1810-L1810</f>
        <v>0</v>
      </c>
      <c r="P1810" s="20" t="e">
        <f>#REF!-M1810</f>
        <v>#REF!</v>
      </c>
      <c r="Q1810" s="20" t="e">
        <f>#REF!-N1810</f>
        <v>#REF!</v>
      </c>
      <c r="R1810" s="17" t="str">
        <f t="shared" si="216"/>
        <v/>
      </c>
    </row>
    <row r="1811" spans="1:18" s="16" customFormat="1" ht="15.75">
      <c r="A1811" s="14"/>
      <c r="B1811" s="67" t="s">
        <v>982</v>
      </c>
      <c r="C1811" s="116" t="s">
        <v>983</v>
      </c>
      <c r="D1811" s="69" t="s">
        <v>7</v>
      </c>
      <c r="E1811" s="69" t="s">
        <v>7</v>
      </c>
      <c r="F1811" s="69" t="s">
        <v>8</v>
      </c>
      <c r="G1811" s="69" t="s">
        <v>9</v>
      </c>
      <c r="H1811" s="70">
        <f t="shared" ref="H1811:H1814" si="218">H1812</f>
        <v>0</v>
      </c>
      <c r="L1811" s="25">
        <v>14384</v>
      </c>
      <c r="M1811" s="25">
        <v>14384</v>
      </c>
      <c r="N1811" s="25">
        <v>14384</v>
      </c>
      <c r="O1811" s="25">
        <f t="shared" si="217"/>
        <v>-14384</v>
      </c>
      <c r="P1811" s="25" t="e">
        <f>#REF!-M1811</f>
        <v>#REF!</v>
      </c>
      <c r="Q1811" s="25" t="e">
        <f>#REF!-N1811</f>
        <v>#REF!</v>
      </c>
      <c r="R1811" s="17" t="str">
        <f t="shared" si="216"/>
        <v>00 0 00 00000000</v>
      </c>
    </row>
    <row r="1812" spans="1:18" s="16" customFormat="1" ht="15.75">
      <c r="A1812" s="14"/>
      <c r="B1812" s="117" t="s">
        <v>10</v>
      </c>
      <c r="C1812" s="118" t="s">
        <v>983</v>
      </c>
      <c r="D1812" s="119" t="s">
        <v>11</v>
      </c>
      <c r="E1812" s="119" t="s">
        <v>7</v>
      </c>
      <c r="F1812" s="119" t="s">
        <v>8</v>
      </c>
      <c r="G1812" s="119" t="s">
        <v>9</v>
      </c>
      <c r="H1812" s="120">
        <f t="shared" si="218"/>
        <v>0</v>
      </c>
      <c r="L1812" s="18">
        <v>14384</v>
      </c>
      <c r="M1812" s="18">
        <v>14384</v>
      </c>
      <c r="N1812" s="18">
        <v>14384</v>
      </c>
      <c r="O1812" s="18">
        <f t="shared" si="217"/>
        <v>-14384</v>
      </c>
      <c r="P1812" s="18" t="e">
        <f>#REF!-M1812</f>
        <v>#REF!</v>
      </c>
      <c r="Q1812" s="18" t="e">
        <f>#REF!-N1812</f>
        <v>#REF!</v>
      </c>
      <c r="R1812" s="17" t="str">
        <f t="shared" si="216"/>
        <v>00 0 00 00000000</v>
      </c>
    </row>
    <row r="1813" spans="1:18" s="16" customFormat="1" ht="47.25">
      <c r="A1813" s="14"/>
      <c r="B1813" s="121" t="s">
        <v>333</v>
      </c>
      <c r="C1813" s="122" t="s">
        <v>983</v>
      </c>
      <c r="D1813" s="123" t="s">
        <v>11</v>
      </c>
      <c r="E1813" s="123" t="s">
        <v>334</v>
      </c>
      <c r="F1813" s="123" t="s">
        <v>8</v>
      </c>
      <c r="G1813" s="123" t="s">
        <v>9</v>
      </c>
      <c r="H1813" s="124">
        <f t="shared" si="218"/>
        <v>0</v>
      </c>
      <c r="L1813" s="19">
        <v>14384</v>
      </c>
      <c r="M1813" s="19">
        <v>14384</v>
      </c>
      <c r="N1813" s="19">
        <v>14384</v>
      </c>
      <c r="O1813" s="19">
        <f t="shared" si="217"/>
        <v>-14384</v>
      </c>
      <c r="P1813" s="19" t="e">
        <f>#REF!-M1813</f>
        <v>#REF!</v>
      </c>
      <c r="Q1813" s="19" t="e">
        <f>#REF!-N1813</f>
        <v>#REF!</v>
      </c>
      <c r="R1813" s="17" t="str">
        <f t="shared" si="216"/>
        <v>00 0 00 00000000</v>
      </c>
    </row>
    <row r="1814" spans="1:18" s="16" customFormat="1" ht="31.5">
      <c r="A1814" s="14"/>
      <c r="B1814" s="129" t="s">
        <v>984</v>
      </c>
      <c r="C1814" s="109" t="s">
        <v>983</v>
      </c>
      <c r="D1814" s="108" t="s">
        <v>11</v>
      </c>
      <c r="E1814" s="108" t="s">
        <v>334</v>
      </c>
      <c r="F1814" s="108" t="s">
        <v>985</v>
      </c>
      <c r="G1814" s="108" t="s">
        <v>9</v>
      </c>
      <c r="H1814" s="126">
        <f t="shared" si="218"/>
        <v>0</v>
      </c>
      <c r="L1814" s="20">
        <v>14384</v>
      </c>
      <c r="M1814" s="20">
        <v>14384</v>
      </c>
      <c r="N1814" s="20">
        <v>14384</v>
      </c>
      <c r="O1814" s="20">
        <f t="shared" si="217"/>
        <v>-14384</v>
      </c>
      <c r="P1814" s="20" t="e">
        <f>#REF!-M1814</f>
        <v>#REF!</v>
      </c>
      <c r="Q1814" s="20" t="e">
        <f>#REF!-N1814</f>
        <v>#REF!</v>
      </c>
      <c r="R1814" s="17" t="str">
        <f t="shared" si="216"/>
        <v>86 0 00 00000000</v>
      </c>
    </row>
    <row r="1815" spans="1:18" s="16" customFormat="1" ht="47.25">
      <c r="A1815" s="14"/>
      <c r="B1815" s="129" t="s">
        <v>986</v>
      </c>
      <c r="C1815" s="109" t="s">
        <v>983</v>
      </c>
      <c r="D1815" s="108" t="s">
        <v>11</v>
      </c>
      <c r="E1815" s="108" t="s">
        <v>334</v>
      </c>
      <c r="F1815" s="108" t="s">
        <v>987</v>
      </c>
      <c r="G1815" s="108" t="s">
        <v>9</v>
      </c>
      <c r="H1815" s="126">
        <f>H1816+H1826</f>
        <v>0</v>
      </c>
      <c r="L1815" s="20">
        <v>14384</v>
      </c>
      <c r="M1815" s="20">
        <v>14384</v>
      </c>
      <c r="N1815" s="20">
        <v>14384</v>
      </c>
      <c r="O1815" s="20">
        <f t="shared" si="217"/>
        <v>-14384</v>
      </c>
      <c r="P1815" s="20" t="e">
        <f>#REF!-M1815</f>
        <v>#REF!</v>
      </c>
      <c r="Q1815" s="20" t="e">
        <f>#REF!-N1815</f>
        <v>#REF!</v>
      </c>
      <c r="R1815" s="17" t="str">
        <f t="shared" si="216"/>
        <v>86 1 00 00000000</v>
      </c>
    </row>
    <row r="1816" spans="1:18" s="16" customFormat="1" ht="31.5">
      <c r="A1816" s="14"/>
      <c r="B1816" s="125" t="s">
        <v>18</v>
      </c>
      <c r="C1816" s="109" t="s">
        <v>983</v>
      </c>
      <c r="D1816" s="108" t="s">
        <v>11</v>
      </c>
      <c r="E1816" s="108" t="s">
        <v>334</v>
      </c>
      <c r="F1816" s="108" t="s">
        <v>988</v>
      </c>
      <c r="G1816" s="108" t="s">
        <v>9</v>
      </c>
      <c r="H1816" s="126">
        <f>H1817+H1820+H1822</f>
        <v>0</v>
      </c>
      <c r="L1816" s="20">
        <v>3916.21</v>
      </c>
      <c r="M1816" s="20">
        <v>3916.21</v>
      </c>
      <c r="N1816" s="20">
        <v>3916.21</v>
      </c>
      <c r="O1816" s="20">
        <f t="shared" si="217"/>
        <v>-3916.21</v>
      </c>
      <c r="P1816" s="20" t="e">
        <f>#REF!-M1816</f>
        <v>#REF!</v>
      </c>
      <c r="Q1816" s="20" t="e">
        <f>#REF!-N1816</f>
        <v>#REF!</v>
      </c>
      <c r="R1816" s="17" t="str">
        <f t="shared" si="216"/>
        <v>86 1 00 10010000</v>
      </c>
    </row>
    <row r="1817" spans="1:18" s="16" customFormat="1" ht="31.5">
      <c r="A1817" s="14"/>
      <c r="B1817" s="127" t="s">
        <v>20</v>
      </c>
      <c r="C1817" s="109" t="s">
        <v>983</v>
      </c>
      <c r="D1817" s="108" t="s">
        <v>11</v>
      </c>
      <c r="E1817" s="108" t="s">
        <v>334</v>
      </c>
      <c r="F1817" s="108" t="s">
        <v>988</v>
      </c>
      <c r="G1817" s="108" t="s">
        <v>21</v>
      </c>
      <c r="H1817" s="126">
        <f>SUM(H1818:H1819)</f>
        <v>0</v>
      </c>
      <c r="L1817" s="20">
        <v>546.53</v>
      </c>
      <c r="M1817" s="20">
        <v>546.53</v>
      </c>
      <c r="N1817" s="20">
        <v>546.53</v>
      </c>
      <c r="O1817" s="20">
        <f t="shared" si="217"/>
        <v>-546.53</v>
      </c>
      <c r="P1817" s="20" t="e">
        <f>#REF!-M1817</f>
        <v>#REF!</v>
      </c>
      <c r="Q1817" s="20" t="e">
        <f>#REF!-N1817</f>
        <v>#REF!</v>
      </c>
      <c r="R1817" s="17" t="str">
        <f t="shared" si="216"/>
        <v>86 1 00 10010120</v>
      </c>
    </row>
    <row r="1818" spans="1:18" s="23" customFormat="1" ht="47.25">
      <c r="A1818" s="21"/>
      <c r="B1818" s="127" t="s">
        <v>22</v>
      </c>
      <c r="C1818" s="109" t="s">
        <v>983</v>
      </c>
      <c r="D1818" s="108" t="s">
        <v>11</v>
      </c>
      <c r="E1818" s="108" t="s">
        <v>334</v>
      </c>
      <c r="F1818" s="108" t="s">
        <v>988</v>
      </c>
      <c r="G1818" s="108">
        <v>122</v>
      </c>
      <c r="H1818" s="126"/>
      <c r="L1818" s="22"/>
      <c r="M1818" s="22"/>
      <c r="N1818" s="22"/>
      <c r="O1818" s="22"/>
      <c r="P1818" s="22"/>
      <c r="Q1818" s="22"/>
      <c r="R1818" s="24"/>
    </row>
    <row r="1819" spans="1:18" s="23" customFormat="1" ht="63">
      <c r="A1819" s="21"/>
      <c r="B1819" s="127" t="s">
        <v>26</v>
      </c>
      <c r="C1819" s="109" t="s">
        <v>983</v>
      </c>
      <c r="D1819" s="108" t="s">
        <v>11</v>
      </c>
      <c r="E1819" s="108" t="s">
        <v>334</v>
      </c>
      <c r="F1819" s="108" t="s">
        <v>988</v>
      </c>
      <c r="G1819" s="108" t="s">
        <v>27</v>
      </c>
      <c r="H1819" s="126"/>
      <c r="L1819" s="22"/>
      <c r="M1819" s="22"/>
      <c r="N1819" s="22"/>
      <c r="O1819" s="22"/>
      <c r="P1819" s="22"/>
      <c r="Q1819" s="22"/>
      <c r="R1819" s="24"/>
    </row>
    <row r="1820" spans="1:18" s="16" customFormat="1" ht="31.5">
      <c r="A1820" s="14"/>
      <c r="B1820" s="125" t="s">
        <v>28</v>
      </c>
      <c r="C1820" s="109" t="s">
        <v>983</v>
      </c>
      <c r="D1820" s="108" t="s">
        <v>11</v>
      </c>
      <c r="E1820" s="108" t="s">
        <v>334</v>
      </c>
      <c r="F1820" s="108" t="s">
        <v>988</v>
      </c>
      <c r="G1820" s="108" t="s">
        <v>29</v>
      </c>
      <c r="H1820" s="126">
        <f>H1821</f>
        <v>0</v>
      </c>
      <c r="L1820" s="20">
        <v>3257.98</v>
      </c>
      <c r="M1820" s="20">
        <v>3257.98</v>
      </c>
      <c r="N1820" s="20">
        <v>3257.98</v>
      </c>
      <c r="O1820" s="20">
        <f>H1820-L1820</f>
        <v>-3257.98</v>
      </c>
      <c r="P1820" s="20" t="e">
        <f>#REF!-M1820</f>
        <v>#REF!</v>
      </c>
      <c r="Q1820" s="20" t="e">
        <f>#REF!-N1820</f>
        <v>#REF!</v>
      </c>
      <c r="R1820" s="17" t="str">
        <f t="shared" si="216"/>
        <v>86 1 00 10010240</v>
      </c>
    </row>
    <row r="1821" spans="1:18" s="16" customFormat="1" ht="15.75">
      <c r="A1821" s="14"/>
      <c r="B1821" s="125" t="s">
        <v>30</v>
      </c>
      <c r="C1821" s="109" t="s">
        <v>983</v>
      </c>
      <c r="D1821" s="108" t="s">
        <v>11</v>
      </c>
      <c r="E1821" s="108" t="s">
        <v>334</v>
      </c>
      <c r="F1821" s="108" t="s">
        <v>988</v>
      </c>
      <c r="G1821" s="108" t="s">
        <v>31</v>
      </c>
      <c r="H1821" s="126"/>
      <c r="L1821" s="20"/>
      <c r="M1821" s="20"/>
      <c r="N1821" s="20"/>
      <c r="O1821" s="20"/>
      <c r="P1821" s="20"/>
      <c r="Q1821" s="20"/>
      <c r="R1821" s="17"/>
    </row>
    <row r="1822" spans="1:18" s="16" customFormat="1" ht="15.75">
      <c r="A1822" s="14"/>
      <c r="B1822" s="125" t="s">
        <v>32</v>
      </c>
      <c r="C1822" s="109" t="s">
        <v>983</v>
      </c>
      <c r="D1822" s="108" t="s">
        <v>11</v>
      </c>
      <c r="E1822" s="108" t="s">
        <v>334</v>
      </c>
      <c r="F1822" s="108" t="s">
        <v>988</v>
      </c>
      <c r="G1822" s="108" t="s">
        <v>33</v>
      </c>
      <c r="H1822" s="126">
        <f>SUM(H1823:H1825)</f>
        <v>0</v>
      </c>
      <c r="L1822" s="20">
        <v>111.69999999999999</v>
      </c>
      <c r="M1822" s="20">
        <v>111.69999999999999</v>
      </c>
      <c r="N1822" s="20">
        <v>111.69999999999999</v>
      </c>
      <c r="O1822" s="20">
        <f>H1822-L1822</f>
        <v>-111.69999999999999</v>
      </c>
      <c r="P1822" s="20" t="e">
        <f>#REF!-M1822</f>
        <v>#REF!</v>
      </c>
      <c r="Q1822" s="20" t="e">
        <f>#REF!-N1822</f>
        <v>#REF!</v>
      </c>
      <c r="R1822" s="17" t="str">
        <f t="shared" si="216"/>
        <v>86 1 00 10010850</v>
      </c>
    </row>
    <row r="1823" spans="1:18" s="23" customFormat="1" ht="31.5">
      <c r="A1823" s="21"/>
      <c r="B1823" s="127" t="s">
        <v>34</v>
      </c>
      <c r="C1823" s="109" t="s">
        <v>983</v>
      </c>
      <c r="D1823" s="108" t="s">
        <v>11</v>
      </c>
      <c r="E1823" s="108" t="s">
        <v>334</v>
      </c>
      <c r="F1823" s="108" t="s">
        <v>988</v>
      </c>
      <c r="G1823" s="108" t="s">
        <v>35</v>
      </c>
      <c r="H1823" s="126"/>
      <c r="L1823" s="22"/>
      <c r="M1823" s="22"/>
      <c r="N1823" s="22"/>
      <c r="O1823" s="22"/>
      <c r="P1823" s="22"/>
      <c r="Q1823" s="22"/>
      <c r="R1823" s="24"/>
    </row>
    <row r="1824" spans="1:18" s="23" customFormat="1" ht="15.75">
      <c r="A1824" s="21"/>
      <c r="B1824" s="127" t="s">
        <v>36</v>
      </c>
      <c r="C1824" s="109" t="s">
        <v>983</v>
      </c>
      <c r="D1824" s="108" t="s">
        <v>11</v>
      </c>
      <c r="E1824" s="108" t="s">
        <v>334</v>
      </c>
      <c r="F1824" s="108" t="s">
        <v>988</v>
      </c>
      <c r="G1824" s="108" t="s">
        <v>37</v>
      </c>
      <c r="H1824" s="126"/>
      <c r="L1824" s="22"/>
      <c r="M1824" s="22"/>
      <c r="N1824" s="22"/>
      <c r="O1824" s="22"/>
      <c r="P1824" s="22"/>
      <c r="Q1824" s="22"/>
      <c r="R1824" s="24"/>
    </row>
    <row r="1825" spans="1:18" s="23" customFormat="1" ht="15.75">
      <c r="A1825" s="21"/>
      <c r="B1825" s="127" t="s">
        <v>77</v>
      </c>
      <c r="C1825" s="109" t="s">
        <v>983</v>
      </c>
      <c r="D1825" s="108" t="s">
        <v>11</v>
      </c>
      <c r="E1825" s="108" t="s">
        <v>334</v>
      </c>
      <c r="F1825" s="108" t="s">
        <v>988</v>
      </c>
      <c r="G1825" s="108" t="s">
        <v>78</v>
      </c>
      <c r="H1825" s="126"/>
      <c r="L1825" s="22"/>
      <c r="M1825" s="22"/>
      <c r="N1825" s="22"/>
      <c r="O1825" s="22"/>
      <c r="P1825" s="22"/>
      <c r="Q1825" s="22"/>
      <c r="R1825" s="24"/>
    </row>
    <row r="1826" spans="1:18" s="16" customFormat="1" ht="31.5">
      <c r="A1826" s="14"/>
      <c r="B1826" s="127" t="s">
        <v>38</v>
      </c>
      <c r="C1826" s="109" t="s">
        <v>983</v>
      </c>
      <c r="D1826" s="108" t="s">
        <v>11</v>
      </c>
      <c r="E1826" s="108" t="s">
        <v>334</v>
      </c>
      <c r="F1826" s="108" t="s">
        <v>989</v>
      </c>
      <c r="G1826" s="108" t="s">
        <v>9</v>
      </c>
      <c r="H1826" s="126">
        <f>H1827</f>
        <v>0</v>
      </c>
      <c r="L1826" s="20">
        <v>10467.790000000001</v>
      </c>
      <c r="M1826" s="20">
        <v>10467.790000000001</v>
      </c>
      <c r="N1826" s="20">
        <v>10467.790000000001</v>
      </c>
      <c r="O1826" s="20">
        <f>H1826-L1826</f>
        <v>-10467.790000000001</v>
      </c>
      <c r="P1826" s="20" t="e">
        <f>#REF!-M1826</f>
        <v>#REF!</v>
      </c>
      <c r="Q1826" s="20" t="e">
        <f>#REF!-N1826</f>
        <v>#REF!</v>
      </c>
      <c r="R1826" s="17" t="str">
        <f t="shared" si="216"/>
        <v>86 1 00 10020000</v>
      </c>
    </row>
    <row r="1827" spans="1:18" s="16" customFormat="1" ht="31.5">
      <c r="A1827" s="14"/>
      <c r="B1827" s="127" t="s">
        <v>20</v>
      </c>
      <c r="C1827" s="109" t="s">
        <v>983</v>
      </c>
      <c r="D1827" s="108" t="s">
        <v>11</v>
      </c>
      <c r="E1827" s="108" t="s">
        <v>334</v>
      </c>
      <c r="F1827" s="108" t="s">
        <v>989</v>
      </c>
      <c r="G1827" s="108" t="s">
        <v>21</v>
      </c>
      <c r="H1827" s="126">
        <f>SUM(H1828:H1829)</f>
        <v>0</v>
      </c>
      <c r="L1827" s="20">
        <v>10467.790000000001</v>
      </c>
      <c r="M1827" s="20">
        <v>10467.790000000001</v>
      </c>
      <c r="N1827" s="20">
        <v>10467.790000000001</v>
      </c>
      <c r="O1827" s="20">
        <f>H1827-L1827</f>
        <v>-10467.790000000001</v>
      </c>
      <c r="P1827" s="20" t="e">
        <f>#REF!-M1827</f>
        <v>#REF!</v>
      </c>
      <c r="Q1827" s="20" t="e">
        <f>#REF!-N1827</f>
        <v>#REF!</v>
      </c>
      <c r="R1827" s="17" t="str">
        <f t="shared" si="216"/>
        <v>86 1 00 10020120</v>
      </c>
    </row>
    <row r="1828" spans="1:18" s="23" customFormat="1" ht="31.5">
      <c r="A1828" s="21"/>
      <c r="B1828" s="127" t="s">
        <v>40</v>
      </c>
      <c r="C1828" s="109" t="s">
        <v>983</v>
      </c>
      <c r="D1828" s="108" t="s">
        <v>11</v>
      </c>
      <c r="E1828" s="108" t="s">
        <v>334</v>
      </c>
      <c r="F1828" s="108" t="s">
        <v>989</v>
      </c>
      <c r="G1828" s="108" t="s">
        <v>41</v>
      </c>
      <c r="H1828" s="126"/>
      <c r="L1828" s="22"/>
      <c r="M1828" s="22"/>
      <c r="N1828" s="22"/>
      <c r="O1828" s="22"/>
      <c r="P1828" s="22"/>
      <c r="Q1828" s="22"/>
      <c r="R1828" s="24"/>
    </row>
    <row r="1829" spans="1:18" s="23" customFormat="1" ht="63">
      <c r="A1829" s="21"/>
      <c r="B1829" s="127" t="s">
        <v>26</v>
      </c>
      <c r="C1829" s="109" t="s">
        <v>983</v>
      </c>
      <c r="D1829" s="108" t="s">
        <v>11</v>
      </c>
      <c r="E1829" s="108" t="s">
        <v>334</v>
      </c>
      <c r="F1829" s="108" t="s">
        <v>989</v>
      </c>
      <c r="G1829" s="108" t="s">
        <v>27</v>
      </c>
      <c r="H1829" s="126"/>
      <c r="L1829" s="22"/>
      <c r="M1829" s="22"/>
      <c r="N1829" s="22"/>
      <c r="O1829" s="22"/>
      <c r="P1829" s="22"/>
      <c r="Q1829" s="22"/>
      <c r="R1829" s="24"/>
    </row>
    <row r="1830" spans="1:18" s="16" customFormat="1" ht="15.75">
      <c r="A1830" s="14"/>
      <c r="B1830" s="129"/>
      <c r="C1830" s="109"/>
      <c r="D1830" s="108"/>
      <c r="E1830" s="108"/>
      <c r="F1830" s="108"/>
      <c r="G1830" s="108"/>
      <c r="H1830" s="126"/>
      <c r="L1830" s="20"/>
      <c r="M1830" s="20"/>
      <c r="N1830" s="20"/>
      <c r="O1830" s="20">
        <f>H1830-L1830</f>
        <v>0</v>
      </c>
      <c r="P1830" s="20" t="e">
        <f>#REF!-M1830</f>
        <v>#REF!</v>
      </c>
      <c r="Q1830" s="20" t="e">
        <f>#REF!-N1830</f>
        <v>#REF!</v>
      </c>
      <c r="R1830" s="17" t="str">
        <f t="shared" si="216"/>
        <v/>
      </c>
    </row>
    <row r="1831" spans="1:18">
      <c r="B1831" s="67" t="s">
        <v>990</v>
      </c>
      <c r="C1831" s="68"/>
      <c r="D1831" s="69"/>
      <c r="E1831" s="69"/>
      <c r="F1831" s="69"/>
      <c r="G1831" s="69"/>
      <c r="H1831" s="70" t="e">
        <f>H20+H77+H291+H382+H429+H471+H708+H902+H1119+H1194+H1287+H1372+H1465+H1734+H1664+H1811</f>
        <v>#REF!</v>
      </c>
      <c r="L1831" s="25">
        <v>8029027.2400000012</v>
      </c>
      <c r="M1831" s="25">
        <v>8006432.7300000004</v>
      </c>
      <c r="N1831" s="25">
        <v>8125650.7400000002</v>
      </c>
      <c r="O1831" s="25" t="e">
        <f>H1831-L1831</f>
        <v>#REF!</v>
      </c>
      <c r="P1831" s="25" t="e">
        <f>#REF!-M1831</f>
        <v>#REF!</v>
      </c>
      <c r="Q1831" s="25" t="e">
        <f>#REF!-N1831</f>
        <v>#REF!</v>
      </c>
      <c r="R1831" s="17"/>
    </row>
    <row r="1832" spans="1:18">
      <c r="B1832" s="67"/>
      <c r="C1832" s="68"/>
      <c r="D1832" s="69"/>
      <c r="E1832" s="69"/>
      <c r="F1832" s="69"/>
      <c r="G1832" s="69"/>
      <c r="H1832" s="70"/>
      <c r="L1832" s="71"/>
      <c r="M1832" s="71"/>
      <c r="N1832" s="25"/>
      <c r="O1832" s="71"/>
      <c r="P1832" s="71"/>
      <c r="Q1832" s="25"/>
      <c r="R1832" s="17"/>
    </row>
    <row r="1833" spans="1:18">
      <c r="B1833" s="103" t="s">
        <v>1009</v>
      </c>
      <c r="C1833" s="104"/>
      <c r="D1833" s="105"/>
      <c r="E1833" s="105"/>
      <c r="F1833" s="106"/>
      <c r="G1833" s="106"/>
      <c r="H1833" s="105"/>
      <c r="L1833" s="71"/>
      <c r="M1833" s="71"/>
      <c r="N1833" s="25"/>
      <c r="O1833" s="71"/>
      <c r="P1833" s="71"/>
      <c r="Q1833" s="25"/>
      <c r="R1833" s="17"/>
    </row>
    <row r="1834" spans="1:18">
      <c r="B1834" s="103" t="s">
        <v>1004</v>
      </c>
      <c r="C1834" s="104"/>
      <c r="D1834" s="105"/>
      <c r="E1834" s="105"/>
      <c r="F1834" s="106"/>
      <c r="G1834" s="106"/>
      <c r="H1834" s="105"/>
      <c r="L1834" s="71"/>
      <c r="M1834" s="71"/>
      <c r="N1834" s="25"/>
      <c r="O1834" s="71"/>
      <c r="P1834" s="71"/>
      <c r="Q1834" s="25"/>
      <c r="R1834" s="17"/>
    </row>
    <row r="1835" spans="1:18">
      <c r="B1835" s="103" t="s">
        <v>1005</v>
      </c>
      <c r="C1835" s="104"/>
      <c r="D1835" s="105"/>
      <c r="E1835" s="105"/>
      <c r="F1835" s="106"/>
      <c r="G1835" s="106"/>
      <c r="H1835" s="105"/>
      <c r="L1835" s="71"/>
      <c r="M1835" s="71"/>
      <c r="N1835" s="25"/>
      <c r="O1835" s="71"/>
      <c r="P1835" s="71"/>
      <c r="Q1835" s="25"/>
      <c r="R1835" s="17"/>
    </row>
    <row r="1836" spans="1:18">
      <c r="B1836" s="103" t="s">
        <v>992</v>
      </c>
      <c r="C1836" s="104"/>
      <c r="D1836" s="107"/>
      <c r="E1836" s="107"/>
      <c r="F1836" s="106"/>
      <c r="G1836" s="106"/>
      <c r="H1836" s="6"/>
      <c r="L1836" s="71"/>
      <c r="M1836" s="71"/>
      <c r="N1836" s="25"/>
      <c r="O1836" s="71"/>
      <c r="P1836" s="71"/>
      <c r="Q1836" s="25"/>
      <c r="R1836" s="17"/>
    </row>
    <row r="1837" spans="1:18">
      <c r="B1837" s="103" t="s">
        <v>1010</v>
      </c>
      <c r="C1837" s="3"/>
      <c r="D1837" s="97"/>
      <c r="E1837" s="97"/>
      <c r="F1837" s="97"/>
      <c r="G1837" s="97"/>
      <c r="H1837" s="100"/>
      <c r="L1837" s="71"/>
      <c r="M1837" s="71"/>
      <c r="N1837" s="25"/>
      <c r="O1837" s="71"/>
      <c r="P1837" s="71"/>
      <c r="Q1837" s="25"/>
      <c r="R1837" s="17"/>
    </row>
    <row r="1838" spans="1:18">
      <c r="B1838" s="103" t="s">
        <v>1007</v>
      </c>
      <c r="C1838" s="3"/>
      <c r="D1838" s="97"/>
      <c r="E1838" s="97"/>
      <c r="F1838" s="108"/>
      <c r="G1838" s="109"/>
      <c r="H1838" s="5" t="s">
        <v>1011</v>
      </c>
      <c r="L1838" s="71"/>
      <c r="M1838" s="71"/>
      <c r="N1838" s="25"/>
      <c r="O1838" s="71"/>
      <c r="P1838" s="71"/>
      <c r="Q1838" s="25"/>
      <c r="R1838" s="17"/>
    </row>
    <row r="1839" spans="1:18">
      <c r="B1839" s="67"/>
      <c r="C1839" s="68"/>
      <c r="D1839" s="69"/>
      <c r="E1839" s="69"/>
      <c r="F1839" s="69"/>
      <c r="G1839" s="69"/>
      <c r="H1839" s="70"/>
      <c r="L1839" s="71"/>
      <c r="M1839" s="71"/>
      <c r="N1839" s="25"/>
      <c r="O1839" s="71"/>
      <c r="P1839" s="71"/>
      <c r="Q1839" s="25"/>
      <c r="R1839" s="17"/>
    </row>
    <row r="1840" spans="1:18">
      <c r="B1840" s="67"/>
      <c r="C1840" s="68"/>
      <c r="D1840" s="69"/>
      <c r="E1840" s="69"/>
      <c r="F1840" s="69"/>
      <c r="G1840" s="69"/>
      <c r="H1840" s="70"/>
      <c r="L1840" s="71"/>
      <c r="M1840" s="71"/>
      <c r="N1840" s="25"/>
      <c r="O1840" s="71"/>
      <c r="P1840" s="71"/>
      <c r="Q1840" s="25"/>
      <c r="R1840" s="17"/>
    </row>
    <row r="1841" spans="1:18">
      <c r="B1841" s="67"/>
      <c r="C1841" s="68"/>
      <c r="D1841" s="69"/>
      <c r="E1841" s="69"/>
      <c r="F1841" s="69"/>
      <c r="G1841" s="69"/>
      <c r="H1841" s="70"/>
      <c r="L1841" s="70"/>
      <c r="M1841" s="70"/>
      <c r="N1841" s="18"/>
      <c r="O1841" s="70"/>
      <c r="P1841" s="70"/>
      <c r="Q1841" s="18"/>
      <c r="R1841" s="17"/>
    </row>
    <row r="1842" spans="1:18">
      <c r="B1842" s="93"/>
      <c r="C1842" s="94"/>
      <c r="D1842" s="90"/>
      <c r="E1842" s="90"/>
      <c r="F1842" s="90"/>
      <c r="G1842" s="90"/>
      <c r="H1842" s="77"/>
      <c r="M1842" s="76"/>
      <c r="N1842" s="18"/>
      <c r="P1842" s="76"/>
      <c r="Q1842" s="18"/>
      <c r="R1842" s="17"/>
    </row>
    <row r="1843" spans="1:18">
      <c r="B1843" s="93"/>
      <c r="C1843" s="94"/>
      <c r="D1843" s="90"/>
      <c r="E1843" s="90"/>
      <c r="F1843" s="90"/>
      <c r="G1843" s="90"/>
      <c r="H1843" s="77"/>
      <c r="M1843" s="76"/>
      <c r="N1843" s="18"/>
      <c r="P1843" s="76"/>
      <c r="Q1843" s="18"/>
      <c r="R1843" s="17"/>
    </row>
    <row r="1844" spans="1:18" s="81" customFormat="1" ht="15.75">
      <c r="A1844" s="78"/>
      <c r="B1844" s="95"/>
      <c r="C1844" s="83"/>
      <c r="D1844" s="79"/>
      <c r="E1844" s="79"/>
      <c r="F1844" s="79"/>
      <c r="G1844" s="79"/>
      <c r="H1844" s="80">
        <v>8029027240</v>
      </c>
      <c r="L1844" s="82"/>
      <c r="M1844" s="82"/>
      <c r="N1844" s="82"/>
      <c r="O1844" s="82"/>
      <c r="P1844" s="82"/>
      <c r="Q1844" s="82"/>
      <c r="R1844" s="17"/>
    </row>
    <row r="1845" spans="1:18" s="81" customFormat="1" ht="15.75">
      <c r="A1845" s="78"/>
      <c r="B1845" s="95"/>
      <c r="C1845" s="83"/>
      <c r="D1845" s="79"/>
      <c r="E1845" s="79"/>
      <c r="F1845" s="83" t="s">
        <v>991</v>
      </c>
      <c r="G1845" s="83"/>
      <c r="H1845" s="80">
        <v>-2</v>
      </c>
      <c r="L1845" s="82"/>
      <c r="M1845" s="82"/>
      <c r="N1845" s="82"/>
      <c r="O1845" s="82"/>
      <c r="P1845" s="82"/>
      <c r="Q1845" s="82"/>
      <c r="R1845" s="17"/>
    </row>
    <row r="1846" spans="1:18" s="81" customFormat="1" ht="15.75">
      <c r="A1846" s="78"/>
      <c r="B1846" s="95"/>
      <c r="C1846" s="83"/>
      <c r="D1846" s="79"/>
      <c r="E1846" s="79"/>
      <c r="F1846" s="79"/>
      <c r="G1846" s="79"/>
      <c r="H1846" s="80" t="e">
        <f>H1831-H1844-H1845</f>
        <v>#REF!</v>
      </c>
      <c r="L1846" s="82"/>
      <c r="M1846" s="82"/>
      <c r="N1846" s="82"/>
      <c r="O1846" s="82"/>
      <c r="P1846" s="82"/>
      <c r="Q1846" s="82"/>
      <c r="R1846" s="17"/>
    </row>
    <row r="1847" spans="1:18" s="81" customFormat="1" ht="15.75">
      <c r="A1847" s="78"/>
      <c r="B1847" s="95"/>
      <c r="C1847" s="83"/>
      <c r="D1847" s="79"/>
      <c r="E1847" s="79"/>
      <c r="F1847" s="79"/>
      <c r="G1847" s="79"/>
      <c r="H1847" s="80"/>
      <c r="L1847" s="82"/>
      <c r="M1847" s="82"/>
      <c r="N1847" s="82"/>
      <c r="O1847" s="82"/>
      <c r="P1847" s="82"/>
      <c r="Q1847" s="82"/>
      <c r="R1847" s="17"/>
    </row>
    <row r="1848" spans="1:18" s="81" customFormat="1" ht="15.75">
      <c r="A1848" s="78"/>
      <c r="B1848" s="95"/>
      <c r="C1848" s="83"/>
      <c r="D1848" s="79"/>
      <c r="E1848" s="79"/>
      <c r="F1848" s="79"/>
      <c r="G1848" s="79"/>
      <c r="H1848" s="80"/>
      <c r="L1848" s="82"/>
      <c r="M1848" s="82"/>
      <c r="N1848" s="82"/>
      <c r="O1848" s="82"/>
      <c r="P1848" s="82"/>
      <c r="Q1848" s="82"/>
      <c r="R1848" s="17"/>
    </row>
    <row r="1849" spans="1:18" s="81" customFormat="1" ht="15.75">
      <c r="A1849" s="78"/>
      <c r="B1849" s="95"/>
      <c r="C1849" s="83"/>
      <c r="D1849" s="79"/>
      <c r="E1849" s="79"/>
      <c r="F1849" s="79"/>
      <c r="G1849" s="79"/>
      <c r="H1849" s="80"/>
      <c r="L1849" s="82"/>
      <c r="M1849" s="82"/>
      <c r="N1849" s="82"/>
      <c r="O1849" s="82"/>
      <c r="P1849" s="82"/>
      <c r="Q1849" s="82"/>
      <c r="R1849" s="17"/>
    </row>
    <row r="1850" spans="1:18" s="81" customFormat="1" ht="15.75">
      <c r="A1850" s="78"/>
      <c r="B1850" s="95"/>
      <c r="C1850" s="83"/>
      <c r="D1850" s="79"/>
      <c r="E1850" s="79"/>
      <c r="F1850" s="79"/>
      <c r="G1850" s="79"/>
      <c r="H1850" s="80"/>
      <c r="L1850" s="82"/>
      <c r="M1850" s="82"/>
      <c r="N1850" s="82"/>
      <c r="O1850" s="82"/>
      <c r="P1850" s="82"/>
      <c r="Q1850" s="82"/>
      <c r="R1850" s="17"/>
    </row>
    <row r="1851" spans="1:18">
      <c r="B1851" s="93"/>
      <c r="C1851" s="94"/>
      <c r="D1851" s="90"/>
      <c r="E1851" s="90"/>
      <c r="F1851" s="90"/>
      <c r="G1851" s="90"/>
      <c r="H1851" s="77"/>
      <c r="R1851" s="17"/>
    </row>
    <row r="1852" spans="1:18">
      <c r="B1852" s="93"/>
      <c r="C1852" s="94"/>
      <c r="D1852" s="90"/>
      <c r="E1852" s="90"/>
      <c r="F1852" s="90"/>
      <c r="G1852" s="90"/>
      <c r="H1852" s="77"/>
      <c r="R1852" s="17"/>
    </row>
    <row r="1853" spans="1:18" s="86" customFormat="1" ht="15.75">
      <c r="A1853" s="85"/>
      <c r="B1853" s="96"/>
      <c r="C1853" s="87"/>
      <c r="D1853" s="87"/>
      <c r="E1853" s="87"/>
      <c r="F1853" s="165"/>
      <c r="G1853" s="88"/>
      <c r="H1853" s="89"/>
      <c r="L1853" s="89"/>
      <c r="M1853" s="87"/>
      <c r="O1853" s="89"/>
      <c r="P1853" s="87"/>
      <c r="R1853" s="17"/>
    </row>
    <row r="1854" spans="1:18">
      <c r="B1854" s="24"/>
      <c r="C1854" s="23"/>
      <c r="D1854" s="23"/>
      <c r="E1854" s="23"/>
      <c r="F1854" s="94"/>
      <c r="G1854" s="90"/>
      <c r="H1854" s="89"/>
      <c r="L1854" s="89"/>
      <c r="M1854" s="23"/>
      <c r="N1854" s="48"/>
      <c r="O1854" s="89"/>
      <c r="P1854" s="23"/>
      <c r="Q1854" s="48"/>
      <c r="R1854" s="17"/>
    </row>
    <row r="1855" spans="1:18">
      <c r="B1855" s="24"/>
      <c r="C1855" s="23"/>
      <c r="D1855" s="23"/>
      <c r="E1855" s="23"/>
      <c r="F1855" s="94"/>
      <c r="G1855" s="90"/>
      <c r="H1855" s="89"/>
      <c r="L1855" s="89"/>
      <c r="M1855" s="23"/>
      <c r="N1855" s="48"/>
      <c r="O1855" s="89"/>
      <c r="P1855" s="23"/>
      <c r="Q1855" s="48"/>
      <c r="R1855" s="17"/>
    </row>
    <row r="1856" spans="1:18">
      <c r="B1856" s="24"/>
      <c r="C1856" s="23"/>
      <c r="D1856" s="23"/>
      <c r="E1856" s="23"/>
      <c r="F1856" s="90"/>
      <c r="G1856" s="90"/>
      <c r="H1856" s="89"/>
      <c r="L1856" s="89"/>
      <c r="M1856" s="23"/>
      <c r="N1856" s="48"/>
      <c r="O1856" s="89"/>
      <c r="P1856" s="23"/>
      <c r="Q1856" s="48"/>
      <c r="R1856" s="17"/>
    </row>
    <row r="1857" spans="2:18">
      <c r="B1857" s="93"/>
      <c r="C1857" s="94"/>
      <c r="D1857" s="90"/>
      <c r="E1857" s="90"/>
      <c r="F1857" s="94"/>
      <c r="G1857" s="90"/>
      <c r="H1857" s="89"/>
      <c r="L1857" s="89"/>
      <c r="M1857" s="77"/>
      <c r="O1857" s="89"/>
      <c r="P1857" s="77"/>
      <c r="R1857" s="17"/>
    </row>
    <row r="1858" spans="2:18">
      <c r="B1858" s="93"/>
      <c r="C1858" s="94"/>
      <c r="D1858" s="90"/>
      <c r="E1858" s="90"/>
      <c r="F1858" s="94"/>
      <c r="G1858" s="90"/>
      <c r="H1858" s="89"/>
      <c r="L1858" s="89"/>
      <c r="M1858" s="77"/>
      <c r="O1858" s="89"/>
      <c r="P1858" s="77"/>
      <c r="R1858" s="17"/>
    </row>
    <row r="1859" spans="2:18">
      <c r="B1859" s="93"/>
      <c r="C1859" s="94"/>
      <c r="D1859" s="90"/>
      <c r="E1859" s="90"/>
      <c r="F1859" s="94"/>
      <c r="G1859" s="90"/>
      <c r="H1859" s="89"/>
      <c r="L1859" s="89"/>
      <c r="M1859" s="77"/>
      <c r="O1859" s="89"/>
      <c r="P1859" s="77"/>
      <c r="R1859" s="17"/>
    </row>
    <row r="1860" spans="2:18">
      <c r="B1860" s="93"/>
      <c r="C1860" s="94"/>
      <c r="D1860" s="90"/>
      <c r="E1860" s="90"/>
      <c r="F1860" s="90"/>
      <c r="G1860" s="90"/>
      <c r="H1860" s="77"/>
      <c r="L1860" s="77"/>
      <c r="M1860" s="77"/>
      <c r="O1860" s="77"/>
      <c r="P1860" s="77"/>
      <c r="R1860" s="17"/>
    </row>
    <row r="1861" spans="2:18">
      <c r="B1861" s="93"/>
      <c r="C1861" s="94"/>
      <c r="D1861" s="90"/>
      <c r="E1861" s="90"/>
      <c r="F1861" s="90"/>
      <c r="G1861" s="90"/>
      <c r="H1861" s="77"/>
      <c r="R1861" s="17" t="str">
        <f t="shared" si="216"/>
        <v/>
      </c>
    </row>
    <row r="1862" spans="2:18">
      <c r="B1862" s="93"/>
      <c r="C1862" s="94"/>
      <c r="D1862" s="90"/>
      <c r="E1862" s="90"/>
      <c r="F1862" s="90"/>
      <c r="G1862" s="90"/>
      <c r="H1862" s="77"/>
      <c r="L1862" s="77"/>
      <c r="M1862" s="77"/>
      <c r="N1862" s="91"/>
      <c r="O1862" s="77"/>
      <c r="P1862" s="77"/>
      <c r="Q1862" s="91"/>
      <c r="R1862" s="17" t="str">
        <f t="shared" si="216"/>
        <v/>
      </c>
    </row>
    <row r="1863" spans="2:18">
      <c r="B1863" s="93"/>
      <c r="C1863" s="94"/>
      <c r="D1863" s="90"/>
      <c r="E1863" s="90"/>
      <c r="F1863" s="90"/>
      <c r="G1863" s="90"/>
      <c r="H1863" s="77"/>
      <c r="L1863" s="77"/>
      <c r="M1863" s="77"/>
      <c r="N1863" s="91"/>
      <c r="O1863" s="77"/>
      <c r="P1863" s="77"/>
      <c r="Q1863" s="91"/>
      <c r="R1863" s="17" t="str">
        <f t="shared" si="216"/>
        <v/>
      </c>
    </row>
    <row r="1864" spans="2:18">
      <c r="B1864" s="93"/>
      <c r="C1864" s="94"/>
      <c r="D1864" s="90"/>
      <c r="E1864" s="90"/>
      <c r="F1864" s="90"/>
      <c r="G1864" s="90"/>
      <c r="H1864" s="77"/>
      <c r="L1864" s="77"/>
      <c r="M1864" s="77"/>
      <c r="N1864" s="91"/>
      <c r="O1864" s="77"/>
      <c r="P1864" s="77"/>
      <c r="Q1864" s="91"/>
      <c r="R1864" s="17" t="str">
        <f t="shared" si="216"/>
        <v/>
      </c>
    </row>
    <row r="1865" spans="2:18">
      <c r="B1865" s="93"/>
      <c r="C1865" s="94"/>
      <c r="D1865" s="90"/>
      <c r="E1865" s="90"/>
      <c r="F1865" s="90"/>
      <c r="G1865" s="90"/>
      <c r="H1865" s="76"/>
      <c r="L1865" s="76"/>
      <c r="M1865" s="77"/>
      <c r="N1865" s="77"/>
      <c r="O1865" s="76"/>
      <c r="P1865" s="77"/>
      <c r="Q1865" s="77"/>
      <c r="R1865" s="17" t="str">
        <f t="shared" si="216"/>
        <v/>
      </c>
    </row>
    <row r="1866" spans="2:18">
      <c r="B1866" s="93"/>
      <c r="C1866" s="94"/>
      <c r="D1866" s="90"/>
      <c r="E1866" s="90"/>
      <c r="F1866" s="90"/>
      <c r="G1866" s="90"/>
      <c r="H1866" s="76"/>
      <c r="L1866" s="76"/>
      <c r="M1866" s="77"/>
      <c r="N1866" s="77"/>
      <c r="O1866" s="76"/>
      <c r="P1866" s="77"/>
      <c r="Q1866" s="77"/>
      <c r="R1866" s="17" t="str">
        <f t="shared" si="216"/>
        <v/>
      </c>
    </row>
    <row r="1867" spans="2:18">
      <c r="B1867" s="93"/>
      <c r="C1867" s="94"/>
      <c r="D1867" s="90"/>
      <c r="E1867" s="90"/>
      <c r="F1867" s="90"/>
      <c r="G1867" s="90"/>
      <c r="H1867" s="76"/>
      <c r="L1867" s="76"/>
      <c r="M1867" s="77"/>
      <c r="N1867" s="77"/>
      <c r="O1867" s="76"/>
      <c r="P1867" s="77"/>
      <c r="Q1867" s="77"/>
      <c r="R1867" s="17" t="str">
        <f t="shared" si="216"/>
        <v/>
      </c>
    </row>
    <row r="1868" spans="2:18">
      <c r="B1868" s="93"/>
      <c r="C1868" s="94"/>
      <c r="D1868" s="90"/>
      <c r="E1868" s="90"/>
      <c r="F1868" s="90"/>
      <c r="G1868" s="90"/>
      <c r="H1868" s="76"/>
      <c r="L1868" s="76"/>
      <c r="M1868" s="77"/>
      <c r="N1868" s="77"/>
      <c r="O1868" s="76"/>
      <c r="P1868" s="77"/>
      <c r="Q1868" s="77"/>
      <c r="R1868" s="17" t="str">
        <f t="shared" ref="R1868:R1918" si="219">CONCATENATE(F1868,G1868)</f>
        <v/>
      </c>
    </row>
    <row r="1869" spans="2:18">
      <c r="B1869" s="93"/>
      <c r="C1869" s="94"/>
      <c r="D1869" s="90"/>
      <c r="E1869" s="90"/>
      <c r="F1869" s="90"/>
      <c r="G1869" s="90"/>
      <c r="H1869" s="77"/>
      <c r="L1869" s="77"/>
      <c r="M1869" s="77"/>
      <c r="N1869" s="91"/>
      <c r="O1869" s="77"/>
      <c r="P1869" s="77"/>
      <c r="Q1869" s="91"/>
      <c r="R1869" s="17" t="str">
        <f t="shared" si="219"/>
        <v/>
      </c>
    </row>
    <row r="1870" spans="2:18">
      <c r="B1870" s="93"/>
      <c r="C1870" s="94"/>
      <c r="D1870" s="90"/>
      <c r="E1870" s="90"/>
      <c r="F1870" s="90"/>
      <c r="G1870" s="90"/>
      <c r="H1870" s="77"/>
      <c r="L1870" s="77"/>
      <c r="M1870" s="77"/>
      <c r="N1870" s="91"/>
      <c r="O1870" s="77"/>
      <c r="P1870" s="77"/>
      <c r="Q1870" s="91"/>
      <c r="R1870" s="17" t="str">
        <f t="shared" si="219"/>
        <v/>
      </c>
    </row>
    <row r="1871" spans="2:18">
      <c r="B1871" s="93"/>
      <c r="C1871" s="94"/>
      <c r="D1871" s="90"/>
      <c r="E1871" s="90"/>
      <c r="F1871" s="90"/>
      <c r="G1871" s="90"/>
      <c r="H1871" s="77"/>
      <c r="L1871" s="77"/>
      <c r="M1871" s="77"/>
      <c r="N1871" s="91"/>
      <c r="O1871" s="77"/>
      <c r="P1871" s="77"/>
      <c r="Q1871" s="91"/>
      <c r="R1871" s="17" t="str">
        <f t="shared" si="219"/>
        <v/>
      </c>
    </row>
    <row r="1872" spans="2:18">
      <c r="B1872" s="93"/>
      <c r="C1872" s="94"/>
      <c r="D1872" s="90"/>
      <c r="E1872" s="90"/>
      <c r="F1872" s="90"/>
      <c r="G1872" s="90"/>
      <c r="H1872" s="77"/>
      <c r="L1872" s="77"/>
      <c r="M1872" s="77"/>
      <c r="N1872" s="91"/>
      <c r="O1872" s="77"/>
      <c r="P1872" s="77"/>
      <c r="Q1872" s="91"/>
      <c r="R1872" s="17" t="str">
        <f t="shared" si="219"/>
        <v/>
      </c>
    </row>
    <row r="1873" spans="2:18">
      <c r="B1873" s="93"/>
      <c r="C1873" s="94"/>
      <c r="D1873" s="90"/>
      <c r="E1873" s="90"/>
      <c r="F1873" s="90"/>
      <c r="G1873" s="90"/>
      <c r="H1873" s="77"/>
      <c r="L1873" s="77"/>
      <c r="M1873" s="77"/>
      <c r="N1873" s="91"/>
      <c r="O1873" s="77"/>
      <c r="P1873" s="77"/>
      <c r="Q1873" s="91"/>
      <c r="R1873" s="17" t="str">
        <f t="shared" si="219"/>
        <v/>
      </c>
    </row>
    <row r="1874" spans="2:18">
      <c r="B1874" s="93"/>
      <c r="C1874" s="94"/>
      <c r="D1874" s="90"/>
      <c r="E1874" s="90"/>
      <c r="F1874" s="90"/>
      <c r="G1874" s="90"/>
      <c r="H1874" s="77"/>
      <c r="R1874" s="17" t="str">
        <f t="shared" si="219"/>
        <v/>
      </c>
    </row>
    <row r="1875" spans="2:18">
      <c r="B1875" s="93"/>
      <c r="C1875" s="94"/>
      <c r="D1875" s="90"/>
      <c r="E1875" s="90"/>
      <c r="F1875" s="90"/>
      <c r="G1875" s="90"/>
      <c r="H1875" s="77"/>
      <c r="R1875" s="17" t="str">
        <f t="shared" si="219"/>
        <v/>
      </c>
    </row>
    <row r="1876" spans="2:18">
      <c r="B1876" s="93"/>
      <c r="C1876" s="94"/>
      <c r="D1876" s="90"/>
      <c r="E1876" s="90"/>
      <c r="F1876" s="90"/>
      <c r="G1876" s="90"/>
      <c r="H1876" s="77"/>
      <c r="R1876" s="17" t="str">
        <f t="shared" si="219"/>
        <v/>
      </c>
    </row>
    <row r="1877" spans="2:18">
      <c r="B1877" s="93"/>
      <c r="C1877" s="94"/>
      <c r="D1877" s="90"/>
      <c r="E1877" s="90"/>
      <c r="F1877" s="90"/>
      <c r="G1877" s="90"/>
      <c r="H1877" s="77"/>
      <c r="R1877" s="17" t="str">
        <f t="shared" si="219"/>
        <v/>
      </c>
    </row>
    <row r="1878" spans="2:18">
      <c r="B1878" s="93"/>
      <c r="C1878" s="94"/>
      <c r="D1878" s="90"/>
      <c r="E1878" s="90"/>
      <c r="F1878" s="90"/>
      <c r="G1878" s="90"/>
      <c r="H1878" s="77"/>
      <c r="R1878" s="17" t="str">
        <f t="shared" si="219"/>
        <v/>
      </c>
    </row>
    <row r="1879" spans="2:18">
      <c r="B1879" s="93"/>
      <c r="C1879" s="94"/>
      <c r="D1879" s="90"/>
      <c r="E1879" s="90"/>
      <c r="F1879" s="90"/>
      <c r="G1879" s="90"/>
      <c r="H1879" s="77"/>
      <c r="R1879" s="17" t="str">
        <f t="shared" si="219"/>
        <v/>
      </c>
    </row>
    <row r="1880" spans="2:18">
      <c r="B1880" s="93"/>
      <c r="C1880" s="94"/>
      <c r="D1880" s="90"/>
      <c r="E1880" s="90"/>
      <c r="F1880" s="90"/>
      <c r="G1880" s="90"/>
      <c r="H1880" s="77"/>
      <c r="R1880" s="17" t="str">
        <f t="shared" si="219"/>
        <v/>
      </c>
    </row>
    <row r="1881" spans="2:18">
      <c r="B1881" s="93"/>
      <c r="C1881" s="94"/>
      <c r="D1881" s="90"/>
      <c r="E1881" s="90"/>
      <c r="F1881" s="90"/>
      <c r="G1881" s="90"/>
      <c r="H1881" s="77"/>
      <c r="R1881" s="17" t="str">
        <f t="shared" si="219"/>
        <v/>
      </c>
    </row>
    <row r="1882" spans="2:18">
      <c r="B1882" s="93"/>
      <c r="C1882" s="94"/>
      <c r="D1882" s="90"/>
      <c r="E1882" s="90"/>
      <c r="F1882" s="90"/>
      <c r="G1882" s="90"/>
      <c r="H1882" s="77"/>
      <c r="R1882" s="17" t="str">
        <f t="shared" si="219"/>
        <v/>
      </c>
    </row>
    <row r="1883" spans="2:18">
      <c r="B1883" s="93"/>
      <c r="C1883" s="94"/>
      <c r="D1883" s="90"/>
      <c r="E1883" s="90"/>
      <c r="F1883" s="90"/>
      <c r="G1883" s="90"/>
      <c r="H1883" s="77"/>
      <c r="R1883" s="17" t="str">
        <f t="shared" si="219"/>
        <v/>
      </c>
    </row>
    <row r="1884" spans="2:18">
      <c r="B1884" s="93"/>
      <c r="C1884" s="94"/>
      <c r="D1884" s="90"/>
      <c r="E1884" s="90"/>
      <c r="F1884" s="90"/>
      <c r="G1884" s="90"/>
      <c r="H1884" s="77"/>
      <c r="R1884" s="17" t="str">
        <f t="shared" si="219"/>
        <v/>
      </c>
    </row>
    <row r="1885" spans="2:18">
      <c r="B1885" s="93"/>
      <c r="C1885" s="94"/>
      <c r="D1885" s="90"/>
      <c r="E1885" s="90"/>
      <c r="F1885" s="90"/>
      <c r="G1885" s="90"/>
      <c r="H1885" s="77"/>
      <c r="R1885" s="17" t="str">
        <f t="shared" si="219"/>
        <v/>
      </c>
    </row>
    <row r="1886" spans="2:18">
      <c r="B1886" s="93"/>
      <c r="C1886" s="94"/>
      <c r="D1886" s="90"/>
      <c r="E1886" s="90"/>
      <c r="F1886" s="90"/>
      <c r="G1886" s="90"/>
      <c r="H1886" s="77"/>
      <c r="R1886" s="17" t="str">
        <f t="shared" si="219"/>
        <v/>
      </c>
    </row>
    <row r="1887" spans="2:18">
      <c r="B1887" s="93"/>
      <c r="C1887" s="94"/>
      <c r="D1887" s="90"/>
      <c r="E1887" s="90"/>
      <c r="F1887" s="90"/>
      <c r="G1887" s="90"/>
      <c r="H1887" s="77"/>
      <c r="R1887" s="17" t="str">
        <f t="shared" si="219"/>
        <v/>
      </c>
    </row>
    <row r="1888" spans="2:18">
      <c r="B1888" s="93"/>
      <c r="C1888" s="94"/>
      <c r="D1888" s="90"/>
      <c r="E1888" s="90"/>
      <c r="F1888" s="90"/>
      <c r="G1888" s="90"/>
      <c r="H1888" s="77"/>
      <c r="R1888" s="17" t="str">
        <f t="shared" si="219"/>
        <v/>
      </c>
    </row>
    <row r="1889" spans="2:18">
      <c r="B1889" s="93"/>
      <c r="C1889" s="94"/>
      <c r="D1889" s="90"/>
      <c r="E1889" s="90"/>
      <c r="F1889" s="90"/>
      <c r="G1889" s="90"/>
      <c r="H1889" s="77"/>
      <c r="R1889" s="17" t="str">
        <f t="shared" si="219"/>
        <v/>
      </c>
    </row>
    <row r="1890" spans="2:18">
      <c r="B1890" s="93"/>
      <c r="C1890" s="94"/>
      <c r="D1890" s="90"/>
      <c r="E1890" s="90"/>
      <c r="F1890" s="90"/>
      <c r="G1890" s="90"/>
      <c r="H1890" s="77"/>
      <c r="R1890" s="17" t="str">
        <f t="shared" si="219"/>
        <v/>
      </c>
    </row>
    <row r="1891" spans="2:18">
      <c r="B1891" s="93"/>
      <c r="C1891" s="94"/>
      <c r="D1891" s="90"/>
      <c r="E1891" s="90"/>
      <c r="F1891" s="90"/>
      <c r="G1891" s="90"/>
      <c r="H1891" s="77"/>
      <c r="R1891" s="17" t="str">
        <f t="shared" si="219"/>
        <v/>
      </c>
    </row>
    <row r="1892" spans="2:18">
      <c r="B1892" s="93"/>
      <c r="C1892" s="94"/>
      <c r="D1892" s="90"/>
      <c r="E1892" s="90"/>
      <c r="F1892" s="90"/>
      <c r="G1892" s="90"/>
      <c r="H1892" s="77"/>
      <c r="R1892" s="17" t="str">
        <f t="shared" si="219"/>
        <v/>
      </c>
    </row>
    <row r="1893" spans="2:18">
      <c r="B1893" s="93"/>
      <c r="C1893" s="94"/>
      <c r="D1893" s="90"/>
      <c r="E1893" s="90"/>
      <c r="F1893" s="90"/>
      <c r="G1893" s="90"/>
      <c r="H1893" s="77"/>
      <c r="R1893" s="17" t="str">
        <f t="shared" si="219"/>
        <v/>
      </c>
    </row>
    <row r="1894" spans="2:18">
      <c r="B1894" s="93"/>
      <c r="C1894" s="94"/>
      <c r="D1894" s="90"/>
      <c r="E1894" s="90"/>
      <c r="F1894" s="90"/>
      <c r="G1894" s="90"/>
      <c r="H1894" s="77"/>
      <c r="R1894" s="17" t="str">
        <f t="shared" si="219"/>
        <v/>
      </c>
    </row>
    <row r="1895" spans="2:18">
      <c r="B1895" s="93"/>
      <c r="C1895" s="94"/>
      <c r="D1895" s="90"/>
      <c r="E1895" s="90"/>
      <c r="F1895" s="90"/>
      <c r="G1895" s="90"/>
      <c r="H1895" s="77"/>
      <c r="R1895" s="17" t="str">
        <f t="shared" si="219"/>
        <v/>
      </c>
    </row>
    <row r="1896" spans="2:18">
      <c r="B1896" s="93"/>
      <c r="C1896" s="94"/>
      <c r="D1896" s="90"/>
      <c r="E1896" s="90"/>
      <c r="F1896" s="90"/>
      <c r="G1896" s="90"/>
      <c r="H1896" s="77"/>
      <c r="R1896" s="17" t="str">
        <f t="shared" si="219"/>
        <v/>
      </c>
    </row>
    <row r="1897" spans="2:18">
      <c r="B1897" s="93"/>
      <c r="C1897" s="94"/>
      <c r="D1897" s="90"/>
      <c r="E1897" s="90"/>
      <c r="F1897" s="90"/>
      <c r="G1897" s="90"/>
      <c r="H1897" s="77"/>
      <c r="R1897" s="17" t="str">
        <f t="shared" si="219"/>
        <v/>
      </c>
    </row>
    <row r="1898" spans="2:18">
      <c r="B1898" s="93"/>
      <c r="C1898" s="94"/>
      <c r="D1898" s="90"/>
      <c r="E1898" s="90"/>
      <c r="F1898" s="90"/>
      <c r="G1898" s="90"/>
      <c r="H1898" s="77"/>
      <c r="R1898" s="17" t="str">
        <f t="shared" si="219"/>
        <v/>
      </c>
    </row>
    <row r="1899" spans="2:18">
      <c r="B1899" s="93"/>
      <c r="C1899" s="94"/>
      <c r="D1899" s="90"/>
      <c r="E1899" s="90"/>
      <c r="F1899" s="90"/>
      <c r="G1899" s="90"/>
      <c r="H1899" s="77"/>
      <c r="R1899" s="17" t="str">
        <f t="shared" si="219"/>
        <v/>
      </c>
    </row>
    <row r="1900" spans="2:18">
      <c r="B1900" s="93"/>
      <c r="C1900" s="94"/>
      <c r="D1900" s="90"/>
      <c r="E1900" s="90"/>
      <c r="F1900" s="90"/>
      <c r="G1900" s="90"/>
      <c r="H1900" s="77"/>
      <c r="R1900" s="17" t="str">
        <f t="shared" si="219"/>
        <v/>
      </c>
    </row>
    <row r="1901" spans="2:18">
      <c r="B1901" s="93"/>
      <c r="C1901" s="94"/>
      <c r="D1901" s="90"/>
      <c r="E1901" s="90"/>
      <c r="F1901" s="90"/>
      <c r="G1901" s="90"/>
      <c r="H1901" s="77"/>
      <c r="R1901" s="17" t="str">
        <f t="shared" si="219"/>
        <v/>
      </c>
    </row>
    <row r="1902" spans="2:18">
      <c r="B1902" s="93"/>
      <c r="C1902" s="94"/>
      <c r="D1902" s="90"/>
      <c r="E1902" s="90"/>
      <c r="F1902" s="90"/>
      <c r="G1902" s="90"/>
      <c r="H1902" s="77"/>
      <c r="R1902" s="17" t="str">
        <f t="shared" si="219"/>
        <v/>
      </c>
    </row>
    <row r="1903" spans="2:18">
      <c r="B1903" s="93"/>
      <c r="C1903" s="94"/>
      <c r="D1903" s="90"/>
      <c r="E1903" s="90"/>
      <c r="F1903" s="90"/>
      <c r="G1903" s="90"/>
      <c r="H1903" s="77"/>
      <c r="R1903" s="17" t="str">
        <f t="shared" si="219"/>
        <v/>
      </c>
    </row>
    <row r="1904" spans="2:18">
      <c r="B1904" s="93"/>
      <c r="C1904" s="94"/>
      <c r="D1904" s="90"/>
      <c r="E1904" s="90"/>
      <c r="F1904" s="90"/>
      <c r="G1904" s="90"/>
      <c r="H1904" s="77"/>
      <c r="R1904" s="17" t="str">
        <f t="shared" si="219"/>
        <v/>
      </c>
    </row>
    <row r="1905" spans="2:18">
      <c r="B1905" s="93"/>
      <c r="C1905" s="94"/>
      <c r="D1905" s="90"/>
      <c r="E1905" s="90"/>
      <c r="F1905" s="90"/>
      <c r="G1905" s="90"/>
      <c r="H1905" s="77"/>
      <c r="R1905" s="17" t="str">
        <f t="shared" si="219"/>
        <v/>
      </c>
    </row>
    <row r="1906" spans="2:18">
      <c r="B1906" s="93"/>
      <c r="C1906" s="94"/>
      <c r="D1906" s="90"/>
      <c r="E1906" s="90"/>
      <c r="F1906" s="90"/>
      <c r="G1906" s="90"/>
      <c r="H1906" s="77"/>
      <c r="R1906" s="17" t="str">
        <f t="shared" si="219"/>
        <v/>
      </c>
    </row>
    <row r="1907" spans="2:18">
      <c r="B1907" s="93"/>
      <c r="C1907" s="94"/>
      <c r="D1907" s="90"/>
      <c r="E1907" s="90"/>
      <c r="F1907" s="90"/>
      <c r="G1907" s="90"/>
      <c r="H1907" s="77"/>
      <c r="R1907" s="17" t="str">
        <f t="shared" si="219"/>
        <v/>
      </c>
    </row>
    <row r="1908" spans="2:18">
      <c r="B1908" s="93"/>
      <c r="C1908" s="94"/>
      <c r="D1908" s="90"/>
      <c r="E1908" s="90"/>
      <c r="F1908" s="90"/>
      <c r="G1908" s="90"/>
      <c r="H1908" s="77"/>
      <c r="R1908" s="17" t="str">
        <f t="shared" si="219"/>
        <v/>
      </c>
    </row>
    <row r="1909" spans="2:18">
      <c r="B1909" s="93"/>
      <c r="C1909" s="94"/>
      <c r="D1909" s="90"/>
      <c r="E1909" s="90"/>
      <c r="F1909" s="90"/>
      <c r="G1909" s="90"/>
      <c r="H1909" s="77"/>
      <c r="R1909" s="17" t="str">
        <f t="shared" si="219"/>
        <v/>
      </c>
    </row>
    <row r="1910" spans="2:18">
      <c r="B1910" s="93"/>
      <c r="C1910" s="94"/>
      <c r="D1910" s="90"/>
      <c r="E1910" s="90"/>
      <c r="F1910" s="90"/>
      <c r="G1910" s="90"/>
      <c r="H1910" s="77"/>
      <c r="R1910" s="17" t="str">
        <f t="shared" si="219"/>
        <v/>
      </c>
    </row>
    <row r="1911" spans="2:18">
      <c r="B1911" s="93"/>
      <c r="C1911" s="94"/>
      <c r="D1911" s="90"/>
      <c r="E1911" s="90"/>
      <c r="F1911" s="90"/>
      <c r="G1911" s="90"/>
      <c r="H1911" s="77"/>
      <c r="R1911" s="17" t="str">
        <f t="shared" si="219"/>
        <v/>
      </c>
    </row>
    <row r="1912" spans="2:18">
      <c r="B1912" s="93"/>
      <c r="C1912" s="94"/>
      <c r="D1912" s="90"/>
      <c r="E1912" s="90"/>
      <c r="F1912" s="90"/>
      <c r="G1912" s="90"/>
      <c r="H1912" s="77"/>
      <c r="R1912" s="17" t="str">
        <f t="shared" si="219"/>
        <v/>
      </c>
    </row>
    <row r="1913" spans="2:18">
      <c r="B1913" s="93"/>
      <c r="C1913" s="94"/>
      <c r="D1913" s="90"/>
      <c r="E1913" s="90"/>
      <c r="F1913" s="90"/>
      <c r="G1913" s="90"/>
      <c r="H1913" s="77"/>
      <c r="R1913" s="17" t="str">
        <f t="shared" si="219"/>
        <v/>
      </c>
    </row>
    <row r="1914" spans="2:18">
      <c r="B1914" s="93"/>
      <c r="C1914" s="94"/>
      <c r="D1914" s="90"/>
      <c r="E1914" s="90"/>
      <c r="F1914" s="90"/>
      <c r="G1914" s="90"/>
      <c r="H1914" s="77"/>
      <c r="R1914" s="17" t="str">
        <f t="shared" si="219"/>
        <v/>
      </c>
    </row>
    <row r="1915" spans="2:18">
      <c r="B1915" s="93"/>
      <c r="C1915" s="94"/>
      <c r="D1915" s="90"/>
      <c r="E1915" s="90"/>
      <c r="F1915" s="90"/>
      <c r="G1915" s="90"/>
      <c r="H1915" s="77"/>
      <c r="R1915" s="17" t="str">
        <f t="shared" si="219"/>
        <v/>
      </c>
    </row>
    <row r="1916" spans="2:18">
      <c r="B1916" s="93"/>
      <c r="C1916" s="94"/>
      <c r="D1916" s="90"/>
      <c r="E1916" s="90"/>
      <c r="F1916" s="90"/>
      <c r="G1916" s="90"/>
      <c r="H1916" s="77"/>
      <c r="R1916" s="17" t="str">
        <f t="shared" si="219"/>
        <v/>
      </c>
    </row>
    <row r="1917" spans="2:18">
      <c r="B1917" s="93"/>
      <c r="C1917" s="94"/>
      <c r="D1917" s="90"/>
      <c r="E1917" s="90"/>
      <c r="F1917" s="90"/>
      <c r="G1917" s="90"/>
      <c r="H1917" s="77"/>
      <c r="R1917" s="17" t="str">
        <f t="shared" si="219"/>
        <v/>
      </c>
    </row>
    <row r="1918" spans="2:18">
      <c r="B1918" s="93"/>
      <c r="C1918" s="94"/>
      <c r="D1918" s="90"/>
      <c r="E1918" s="90"/>
      <c r="F1918" s="90"/>
      <c r="G1918" s="90"/>
      <c r="H1918" s="77"/>
      <c r="R1918" s="17" t="str">
        <f t="shared" si="219"/>
        <v/>
      </c>
    </row>
    <row r="1919" spans="2:18">
      <c r="B1919" s="93"/>
      <c r="C1919" s="94"/>
      <c r="D1919" s="90"/>
      <c r="E1919" s="90"/>
      <c r="F1919" s="90"/>
      <c r="G1919" s="90"/>
      <c r="H1919" s="77"/>
    </row>
    <row r="1920" spans="2:18">
      <c r="B1920" s="93"/>
      <c r="C1920" s="94"/>
      <c r="D1920" s="90"/>
      <c r="E1920" s="90"/>
      <c r="F1920" s="90"/>
      <c r="G1920" s="90"/>
      <c r="H1920" s="77"/>
    </row>
    <row r="1921" spans="2:8">
      <c r="B1921" s="93"/>
      <c r="C1921" s="94"/>
      <c r="D1921" s="90"/>
      <c r="E1921" s="90"/>
      <c r="F1921" s="90"/>
      <c r="G1921" s="90"/>
      <c r="H1921" s="77"/>
    </row>
    <row r="1922" spans="2:8">
      <c r="B1922" s="93"/>
      <c r="C1922" s="94"/>
      <c r="D1922" s="90"/>
      <c r="E1922" s="90"/>
      <c r="F1922" s="90"/>
      <c r="G1922" s="90"/>
      <c r="H1922" s="77"/>
    </row>
    <row r="1923" spans="2:8">
      <c r="B1923" s="93"/>
      <c r="C1923" s="94"/>
      <c r="D1923" s="90"/>
      <c r="E1923" s="90"/>
      <c r="F1923" s="90"/>
      <c r="G1923" s="90"/>
      <c r="H1923" s="77"/>
    </row>
    <row r="1924" spans="2:8">
      <c r="B1924" s="93"/>
      <c r="C1924" s="94"/>
      <c r="D1924" s="90"/>
      <c r="E1924" s="90"/>
      <c r="F1924" s="90"/>
      <c r="G1924" s="90"/>
      <c r="H1924" s="77"/>
    </row>
    <row r="1925" spans="2:8">
      <c r="B1925" s="93"/>
      <c r="C1925" s="94"/>
      <c r="D1925" s="90"/>
      <c r="E1925" s="90"/>
      <c r="F1925" s="90"/>
      <c r="G1925" s="90"/>
      <c r="H1925" s="77"/>
    </row>
    <row r="1926" spans="2:8">
      <c r="B1926" s="93"/>
      <c r="C1926" s="94"/>
      <c r="D1926" s="90"/>
      <c r="E1926" s="90"/>
      <c r="F1926" s="90"/>
      <c r="G1926" s="90"/>
      <c r="H1926" s="77"/>
    </row>
    <row r="1927" spans="2:8">
      <c r="B1927" s="93"/>
      <c r="C1927" s="94"/>
      <c r="D1927" s="90"/>
      <c r="E1927" s="90"/>
      <c r="F1927" s="90"/>
      <c r="G1927" s="90"/>
      <c r="H1927" s="77"/>
    </row>
    <row r="1928" spans="2:8">
      <c r="B1928" s="93"/>
      <c r="C1928" s="94"/>
      <c r="D1928" s="90"/>
      <c r="E1928" s="90"/>
      <c r="F1928" s="90"/>
      <c r="G1928" s="90"/>
      <c r="H1928" s="77"/>
    </row>
    <row r="1929" spans="2:8">
      <c r="B1929" s="93"/>
      <c r="C1929" s="94"/>
      <c r="D1929" s="90"/>
      <c r="E1929" s="90"/>
      <c r="F1929" s="90"/>
      <c r="G1929" s="90"/>
      <c r="H1929" s="77"/>
    </row>
    <row r="1930" spans="2:8">
      <c r="B1930" s="93"/>
      <c r="C1930" s="94"/>
      <c r="D1930" s="90"/>
      <c r="E1930" s="90"/>
      <c r="F1930" s="90"/>
      <c r="G1930" s="90"/>
      <c r="H1930" s="77"/>
    </row>
    <row r="1931" spans="2:8">
      <c r="B1931" s="93"/>
      <c r="C1931" s="94"/>
      <c r="D1931" s="90"/>
      <c r="E1931" s="90"/>
      <c r="F1931" s="90"/>
      <c r="G1931" s="90"/>
      <c r="H1931" s="77"/>
    </row>
    <row r="1932" spans="2:8">
      <c r="B1932" s="93"/>
      <c r="C1932" s="94"/>
      <c r="D1932" s="90"/>
      <c r="E1932" s="90"/>
      <c r="F1932" s="90"/>
      <c r="G1932" s="90"/>
      <c r="H1932" s="77"/>
    </row>
    <row r="1933" spans="2:8">
      <c r="B1933" s="93"/>
      <c r="C1933" s="94"/>
      <c r="D1933" s="90"/>
      <c r="E1933" s="90"/>
      <c r="F1933" s="90"/>
      <c r="G1933" s="90"/>
      <c r="H1933" s="77"/>
    </row>
    <row r="1934" spans="2:8">
      <c r="B1934" s="93"/>
      <c r="C1934" s="94"/>
      <c r="D1934" s="90"/>
      <c r="E1934" s="90"/>
      <c r="F1934" s="90"/>
      <c r="G1934" s="90"/>
      <c r="H1934" s="77"/>
    </row>
    <row r="1935" spans="2:8">
      <c r="B1935" s="93"/>
      <c r="C1935" s="94"/>
      <c r="D1935" s="90"/>
      <c r="E1935" s="90"/>
      <c r="F1935" s="90"/>
      <c r="G1935" s="90"/>
      <c r="H1935" s="77"/>
    </row>
    <row r="1936" spans="2:8">
      <c r="B1936" s="93"/>
      <c r="C1936" s="94"/>
      <c r="D1936" s="90"/>
      <c r="E1936" s="90"/>
      <c r="F1936" s="90"/>
      <c r="G1936" s="90"/>
      <c r="H1936" s="77"/>
    </row>
    <row r="1937" spans="2:8">
      <c r="B1937" s="93"/>
      <c r="C1937" s="94"/>
      <c r="D1937" s="90"/>
      <c r="E1937" s="90"/>
      <c r="F1937" s="90"/>
      <c r="G1937" s="90"/>
      <c r="H1937" s="77"/>
    </row>
    <row r="1938" spans="2:8">
      <c r="B1938" s="93"/>
      <c r="C1938" s="94"/>
      <c r="D1938" s="90"/>
      <c r="E1938" s="90"/>
      <c r="F1938" s="90"/>
      <c r="G1938" s="90"/>
      <c r="H1938" s="77"/>
    </row>
    <row r="1939" spans="2:8">
      <c r="B1939" s="93"/>
      <c r="C1939" s="94"/>
      <c r="D1939" s="90"/>
      <c r="E1939" s="90"/>
      <c r="F1939" s="90"/>
      <c r="G1939" s="90"/>
      <c r="H1939" s="77"/>
    </row>
    <row r="1940" spans="2:8">
      <c r="B1940" s="93"/>
      <c r="C1940" s="94"/>
      <c r="D1940" s="90"/>
      <c r="E1940" s="90"/>
      <c r="F1940" s="90"/>
      <c r="G1940" s="90"/>
      <c r="H1940" s="77"/>
    </row>
    <row r="1941" spans="2:8">
      <c r="B1941" s="93"/>
      <c r="C1941" s="94"/>
      <c r="D1941" s="90"/>
      <c r="E1941" s="90"/>
      <c r="F1941" s="90"/>
      <c r="G1941" s="90"/>
      <c r="H1941" s="77"/>
    </row>
    <row r="1942" spans="2:8">
      <c r="B1942" s="93"/>
      <c r="C1942" s="94"/>
      <c r="D1942" s="90"/>
      <c r="E1942" s="90"/>
      <c r="F1942" s="90"/>
      <c r="G1942" s="90"/>
      <c r="H1942" s="77"/>
    </row>
    <row r="1943" spans="2:8">
      <c r="B1943" s="93"/>
      <c r="C1943" s="94"/>
      <c r="D1943" s="90"/>
      <c r="E1943" s="90"/>
      <c r="F1943" s="90"/>
      <c r="G1943" s="90"/>
      <c r="H1943" s="77"/>
    </row>
    <row r="1944" spans="2:8">
      <c r="B1944" s="93"/>
      <c r="C1944" s="94"/>
      <c r="D1944" s="90"/>
      <c r="E1944" s="90"/>
      <c r="F1944" s="90"/>
      <c r="G1944" s="90"/>
      <c r="H1944" s="77"/>
    </row>
    <row r="1945" spans="2:8">
      <c r="B1945" s="93"/>
      <c r="C1945" s="94"/>
      <c r="D1945" s="90"/>
      <c r="E1945" s="90"/>
      <c r="F1945" s="90"/>
      <c r="G1945" s="90"/>
      <c r="H1945" s="77"/>
    </row>
    <row r="1946" spans="2:8">
      <c r="B1946" s="93"/>
      <c r="C1946" s="94"/>
      <c r="D1946" s="90"/>
      <c r="E1946" s="90"/>
      <c r="F1946" s="90"/>
      <c r="G1946" s="90"/>
      <c r="H1946" s="77"/>
    </row>
    <row r="1947" spans="2:8">
      <c r="B1947" s="93"/>
      <c r="C1947" s="94"/>
      <c r="D1947" s="90"/>
      <c r="E1947" s="90"/>
      <c r="F1947" s="90"/>
      <c r="G1947" s="90"/>
      <c r="H1947" s="77"/>
    </row>
    <row r="1948" spans="2:8">
      <c r="B1948" s="93"/>
      <c r="C1948" s="94"/>
      <c r="D1948" s="90"/>
      <c r="E1948" s="90"/>
      <c r="F1948" s="90"/>
      <c r="G1948" s="90"/>
      <c r="H1948" s="77"/>
    </row>
    <row r="1949" spans="2:8">
      <c r="B1949" s="93"/>
      <c r="C1949" s="94"/>
      <c r="D1949" s="90"/>
      <c r="E1949" s="90"/>
      <c r="F1949" s="90"/>
      <c r="G1949" s="90"/>
      <c r="H1949" s="77"/>
    </row>
    <row r="1950" spans="2:8">
      <c r="B1950" s="93"/>
      <c r="C1950" s="94"/>
      <c r="D1950" s="90"/>
      <c r="E1950" s="90"/>
      <c r="F1950" s="90"/>
      <c r="G1950" s="90"/>
      <c r="H1950" s="77"/>
    </row>
    <row r="1951" spans="2:8">
      <c r="B1951" s="93"/>
      <c r="C1951" s="94"/>
      <c r="D1951" s="90"/>
      <c r="E1951" s="90"/>
      <c r="F1951" s="90"/>
      <c r="G1951" s="90"/>
      <c r="H1951" s="77"/>
    </row>
    <row r="1952" spans="2:8">
      <c r="B1952" s="93"/>
      <c r="C1952" s="94"/>
      <c r="D1952" s="90"/>
      <c r="E1952" s="90"/>
      <c r="F1952" s="90"/>
      <c r="G1952" s="90"/>
      <c r="H1952" s="77"/>
    </row>
    <row r="1953" spans="2:8">
      <c r="B1953" s="93"/>
      <c r="C1953" s="94"/>
      <c r="D1953" s="90"/>
      <c r="E1953" s="90"/>
      <c r="F1953" s="90"/>
      <c r="G1953" s="90"/>
      <c r="H1953" s="77"/>
    </row>
    <row r="1954" spans="2:8">
      <c r="B1954" s="93"/>
      <c r="C1954" s="94"/>
      <c r="D1954" s="90"/>
      <c r="E1954" s="90"/>
      <c r="F1954" s="90"/>
      <c r="G1954" s="90"/>
      <c r="H1954" s="77"/>
    </row>
    <row r="1955" spans="2:8">
      <c r="B1955" s="93"/>
      <c r="C1955" s="94"/>
      <c r="D1955" s="90"/>
      <c r="E1955" s="90"/>
      <c r="F1955" s="90"/>
      <c r="G1955" s="90"/>
      <c r="H1955" s="77"/>
    </row>
    <row r="1956" spans="2:8">
      <c r="B1956" s="93"/>
      <c r="C1956" s="94"/>
      <c r="D1956" s="90"/>
      <c r="E1956" s="90"/>
      <c r="F1956" s="90"/>
      <c r="G1956" s="90"/>
      <c r="H1956" s="77"/>
    </row>
    <row r="1957" spans="2:8">
      <c r="B1957" s="93"/>
      <c r="C1957" s="94"/>
      <c r="D1957" s="90"/>
      <c r="E1957" s="90"/>
      <c r="F1957" s="90"/>
      <c r="G1957" s="90"/>
      <c r="H1957" s="77"/>
    </row>
    <row r="1958" spans="2:8">
      <c r="B1958" s="93"/>
      <c r="C1958" s="94"/>
      <c r="D1958" s="90"/>
      <c r="E1958" s="90"/>
      <c r="F1958" s="90"/>
      <c r="G1958" s="90"/>
      <c r="H1958" s="77"/>
    </row>
    <row r="1959" spans="2:8">
      <c r="B1959" s="93"/>
      <c r="C1959" s="94"/>
      <c r="D1959" s="90"/>
      <c r="E1959" s="90"/>
      <c r="F1959" s="90"/>
      <c r="G1959" s="90"/>
      <c r="H1959" s="77"/>
    </row>
    <row r="1960" spans="2:8">
      <c r="B1960" s="93"/>
      <c r="C1960" s="94"/>
      <c r="D1960" s="90"/>
      <c r="E1960" s="90"/>
      <c r="F1960" s="90"/>
      <c r="G1960" s="90"/>
      <c r="H1960" s="77"/>
    </row>
    <row r="1961" spans="2:8">
      <c r="B1961" s="93"/>
      <c r="C1961" s="94"/>
      <c r="D1961" s="90"/>
      <c r="E1961" s="90"/>
      <c r="F1961" s="90"/>
      <c r="G1961" s="90"/>
      <c r="H1961" s="77"/>
    </row>
    <row r="1962" spans="2:8">
      <c r="B1962" s="93"/>
      <c r="C1962" s="94"/>
      <c r="D1962" s="90"/>
      <c r="E1962" s="90"/>
      <c r="F1962" s="90"/>
      <c r="G1962" s="90"/>
      <c r="H1962" s="77"/>
    </row>
    <row r="1963" spans="2:8">
      <c r="B1963" s="93"/>
      <c r="C1963" s="94"/>
      <c r="D1963" s="90"/>
      <c r="E1963" s="90"/>
      <c r="F1963" s="90"/>
      <c r="G1963" s="90"/>
      <c r="H1963" s="77"/>
    </row>
    <row r="1964" spans="2:8">
      <c r="B1964" s="93"/>
      <c r="C1964" s="94"/>
      <c r="D1964" s="90"/>
      <c r="E1964" s="90"/>
      <c r="F1964" s="90"/>
      <c r="G1964" s="90"/>
      <c r="H1964" s="77"/>
    </row>
    <row r="1965" spans="2:8">
      <c r="B1965" s="93"/>
      <c r="C1965" s="94"/>
      <c r="D1965" s="90"/>
      <c r="E1965" s="90"/>
      <c r="F1965" s="90"/>
      <c r="G1965" s="90"/>
      <c r="H1965" s="77"/>
    </row>
    <row r="1966" spans="2:8">
      <c r="B1966" s="93"/>
      <c r="C1966" s="94"/>
      <c r="D1966" s="90"/>
      <c r="E1966" s="90"/>
      <c r="F1966" s="90"/>
      <c r="G1966" s="90"/>
      <c r="H1966" s="77"/>
    </row>
    <row r="1967" spans="2:8">
      <c r="B1967" s="93"/>
      <c r="C1967" s="94"/>
      <c r="D1967" s="90"/>
      <c r="E1967" s="90"/>
      <c r="F1967" s="90"/>
      <c r="G1967" s="90"/>
      <c r="H1967" s="77"/>
    </row>
    <row r="1968" spans="2:8">
      <c r="B1968" s="93"/>
      <c r="C1968" s="94"/>
      <c r="D1968" s="90"/>
      <c r="E1968" s="90"/>
      <c r="F1968" s="90"/>
      <c r="G1968" s="90"/>
      <c r="H1968" s="77"/>
    </row>
    <row r="1969" spans="2:8">
      <c r="B1969" s="93"/>
      <c r="C1969" s="94"/>
      <c r="D1969" s="90"/>
      <c r="E1969" s="90"/>
      <c r="F1969" s="90"/>
      <c r="G1969" s="90"/>
      <c r="H1969" s="77"/>
    </row>
    <row r="1970" spans="2:8">
      <c r="B1970" s="93"/>
      <c r="C1970" s="94"/>
      <c r="D1970" s="90"/>
      <c r="E1970" s="90"/>
      <c r="F1970" s="90"/>
      <c r="G1970" s="90"/>
      <c r="H1970" s="77"/>
    </row>
    <row r="1971" spans="2:8">
      <c r="B1971" s="93"/>
      <c r="C1971" s="94"/>
      <c r="D1971" s="90"/>
      <c r="E1971" s="90"/>
      <c r="F1971" s="90"/>
      <c r="G1971" s="90"/>
      <c r="H1971" s="77"/>
    </row>
    <row r="1972" spans="2:8">
      <c r="B1972" s="93"/>
      <c r="C1972" s="94"/>
      <c r="D1972" s="90"/>
      <c r="E1972" s="90"/>
      <c r="F1972" s="90"/>
      <c r="G1972" s="90"/>
      <c r="H1972" s="77"/>
    </row>
    <row r="1973" spans="2:8">
      <c r="B1973" s="93"/>
      <c r="C1973" s="94"/>
      <c r="D1973" s="90"/>
      <c r="E1973" s="90"/>
      <c r="F1973" s="90"/>
      <c r="G1973" s="90"/>
      <c r="H1973" s="77"/>
    </row>
    <row r="1974" spans="2:8">
      <c r="B1974" s="93"/>
      <c r="C1974" s="94"/>
      <c r="D1974" s="90"/>
      <c r="E1974" s="90"/>
      <c r="F1974" s="90"/>
      <c r="G1974" s="90"/>
      <c r="H1974" s="77"/>
    </row>
    <row r="1975" spans="2:8">
      <c r="B1975" s="93"/>
      <c r="C1975" s="94"/>
      <c r="D1975" s="90"/>
      <c r="E1975" s="90"/>
      <c r="F1975" s="90"/>
      <c r="G1975" s="90"/>
      <c r="H1975" s="77"/>
    </row>
    <row r="1976" spans="2:8">
      <c r="B1976" s="93"/>
      <c r="C1976" s="94"/>
      <c r="D1976" s="90"/>
      <c r="E1976" s="90"/>
      <c r="F1976" s="90"/>
      <c r="G1976" s="90"/>
      <c r="H1976" s="77"/>
    </row>
    <row r="1977" spans="2:8">
      <c r="B1977" s="93"/>
      <c r="C1977" s="94"/>
      <c r="D1977" s="90"/>
      <c r="E1977" s="90"/>
      <c r="F1977" s="90"/>
      <c r="G1977" s="90"/>
      <c r="H1977" s="77"/>
    </row>
    <row r="1978" spans="2:8">
      <c r="B1978" s="93"/>
      <c r="C1978" s="94"/>
      <c r="D1978" s="90"/>
      <c r="E1978" s="90"/>
      <c r="F1978" s="90"/>
      <c r="G1978" s="90"/>
      <c r="H1978" s="77"/>
    </row>
    <row r="1979" spans="2:8">
      <c r="B1979" s="93"/>
      <c r="C1979" s="94"/>
      <c r="D1979" s="90"/>
      <c r="E1979" s="90"/>
      <c r="F1979" s="90"/>
      <c r="G1979" s="90"/>
      <c r="H1979" s="77"/>
    </row>
    <row r="1980" spans="2:8">
      <c r="B1980" s="93"/>
      <c r="C1980" s="94"/>
      <c r="D1980" s="90"/>
      <c r="E1980" s="90"/>
      <c r="F1980" s="90"/>
      <c r="G1980" s="90"/>
      <c r="H1980" s="77"/>
    </row>
    <row r="1981" spans="2:8">
      <c r="B1981" s="93"/>
      <c r="C1981" s="94"/>
      <c r="D1981" s="90"/>
      <c r="E1981" s="90"/>
      <c r="F1981" s="90"/>
      <c r="G1981" s="90"/>
      <c r="H1981" s="77"/>
    </row>
    <row r="1982" spans="2:8">
      <c r="B1982" s="93"/>
      <c r="C1982" s="94"/>
      <c r="D1982" s="90"/>
      <c r="E1982" s="90"/>
      <c r="F1982" s="90"/>
      <c r="G1982" s="90"/>
      <c r="H1982" s="77"/>
    </row>
  </sheetData>
  <mergeCells count="8">
    <mergeCell ref="B17:B18"/>
    <mergeCell ref="C17:G17"/>
    <mergeCell ref="H17:H18"/>
    <mergeCell ref="B10:H10"/>
    <mergeCell ref="B11:H11"/>
    <mergeCell ref="B13:H13"/>
    <mergeCell ref="B14:H14"/>
    <mergeCell ref="B15:H15"/>
  </mergeCells>
  <pageMargins left="0.59055118110236227" right="0.15748031496062992" top="0.51181102362204722" bottom="0.27559055118110237" header="0.19685039370078741" footer="0.15748031496062992"/>
  <pageSetup paperSize="9" scale="95" fitToHeight="2" orientation="portrait" r:id="rId1"/>
  <headerFooter differentFirst="1" alignWithMargins="0">
    <oddHeader>&amp;C&amp;"Times New Roman,обычный"&amp;P</oddHeader>
  </headerFooter>
</worksheet>
</file>

<file path=xl/worksheets/sheet10.xml><?xml version="1.0" encoding="utf-8"?>
<worksheet xmlns="http://schemas.openxmlformats.org/spreadsheetml/2006/main" xmlns:r="http://schemas.openxmlformats.org/officeDocument/2006/relationships">
  <sheetPr>
    <tabColor rgb="FFFFFF00"/>
  </sheetPr>
  <dimension ref="A1:N2525"/>
  <sheetViews>
    <sheetView tabSelected="1" view="pageBreakPreview" zoomScale="75" zoomScaleNormal="100" zoomScaleSheetLayoutView="75" workbookViewId="0">
      <selection activeCell="B4" sqref="B4"/>
    </sheetView>
  </sheetViews>
  <sheetFormatPr defaultColWidth="8.7265625" defaultRowHeight="18"/>
  <cols>
    <col min="1" max="1" width="6.81640625" style="40" customWidth="1"/>
    <col min="2" max="2" width="35.90625" style="72" customWidth="1"/>
    <col min="3" max="3" width="4.90625" style="73" customWidth="1"/>
    <col min="4" max="4" width="3.36328125" style="74" customWidth="1"/>
    <col min="5" max="5" width="3" style="74" customWidth="1"/>
    <col min="6" max="6" width="10" style="74" customWidth="1"/>
    <col min="7" max="7" width="4" style="74" customWidth="1"/>
    <col min="8" max="9" width="12.6328125" style="75" bestFit="1" customWidth="1"/>
    <col min="10" max="11" width="10" style="74" hidden="1" customWidth="1"/>
    <col min="12" max="12" width="17.6328125" style="294" hidden="1" customWidth="1"/>
    <col min="13" max="13" width="35.08984375" style="292" hidden="1" customWidth="1"/>
    <col min="14" max="14" width="8.7265625" style="41" hidden="1" customWidth="1"/>
    <col min="15" max="15" width="0" style="48" hidden="1" customWidth="1"/>
    <col min="16" max="16384" width="8.7265625" style="48"/>
  </cols>
  <sheetData>
    <row r="1" spans="1:14" s="6" customFormat="1" ht="18.75">
      <c r="A1" s="1"/>
      <c r="B1" s="525" t="s">
        <v>993</v>
      </c>
      <c r="C1" s="525"/>
      <c r="D1" s="525"/>
      <c r="E1" s="525"/>
      <c r="F1" s="525"/>
      <c r="G1" s="525"/>
      <c r="H1" s="525"/>
      <c r="I1" s="525"/>
      <c r="J1" s="349"/>
      <c r="K1" s="349"/>
      <c r="L1" s="293"/>
      <c r="M1" s="4"/>
      <c r="N1" s="4"/>
    </row>
    <row r="2" spans="1:14" s="6" customFormat="1" ht="18.75">
      <c r="A2" s="1"/>
      <c r="B2" s="526" t="s">
        <v>2312</v>
      </c>
      <c r="C2" s="526"/>
      <c r="D2" s="526"/>
      <c r="E2" s="526"/>
      <c r="F2" s="526"/>
      <c r="G2" s="526"/>
      <c r="H2" s="526"/>
      <c r="I2" s="526"/>
      <c r="J2" s="350"/>
      <c r="K2" s="350"/>
      <c r="L2" s="4"/>
      <c r="M2" s="4"/>
      <c r="N2" s="4"/>
    </row>
    <row r="3" spans="1:14" s="6" customFormat="1" ht="18.75" customHeight="1">
      <c r="A3" s="1"/>
      <c r="B3" s="526" t="s">
        <v>2438</v>
      </c>
      <c r="C3" s="526"/>
      <c r="D3" s="526"/>
      <c r="E3" s="526"/>
      <c r="F3" s="526"/>
      <c r="G3" s="526"/>
      <c r="H3" s="526"/>
      <c r="I3" s="526"/>
      <c r="J3" s="350"/>
      <c r="K3" s="350"/>
      <c r="L3" s="4"/>
      <c r="M3" s="4"/>
      <c r="N3" s="4"/>
    </row>
    <row r="4" spans="1:14" s="6" customFormat="1" ht="18.75">
      <c r="A4" s="1"/>
      <c r="B4" s="420"/>
      <c r="C4" s="420"/>
      <c r="D4" s="420"/>
      <c r="E4" s="420"/>
      <c r="F4" s="420"/>
      <c r="G4" s="420"/>
      <c r="H4" s="420"/>
      <c r="I4" s="420"/>
      <c r="J4" s="350"/>
      <c r="K4" s="350"/>
      <c r="L4" s="4"/>
      <c r="M4" s="4"/>
      <c r="N4" s="4"/>
    </row>
    <row r="5" spans="1:14" s="6" customFormat="1" ht="15.75">
      <c r="A5" s="1"/>
      <c r="B5" s="512" t="s">
        <v>994</v>
      </c>
      <c r="C5" s="512"/>
      <c r="D5" s="512"/>
      <c r="E5" s="512"/>
      <c r="F5" s="512"/>
      <c r="G5" s="512"/>
      <c r="H5" s="512"/>
      <c r="I5" s="512"/>
      <c r="J5" s="350"/>
      <c r="K5" s="350"/>
      <c r="L5" s="4"/>
      <c r="M5" s="4"/>
      <c r="N5" s="4"/>
    </row>
    <row r="6" spans="1:14" s="6" customFormat="1" ht="15.75">
      <c r="A6" s="1"/>
      <c r="B6" s="512" t="s">
        <v>995</v>
      </c>
      <c r="C6" s="512"/>
      <c r="D6" s="512"/>
      <c r="E6" s="512"/>
      <c r="F6" s="512"/>
      <c r="G6" s="512"/>
      <c r="H6" s="512"/>
      <c r="I6" s="512"/>
      <c r="J6" s="350"/>
      <c r="K6" s="350"/>
      <c r="L6" s="4"/>
      <c r="M6" s="4"/>
      <c r="N6" s="4"/>
    </row>
    <row r="7" spans="1:14" s="6" customFormat="1" ht="15.75">
      <c r="A7" s="1"/>
      <c r="B7" s="99"/>
      <c r="C7" s="7"/>
      <c r="D7" s="8"/>
      <c r="E7" s="8"/>
      <c r="G7" s="421"/>
      <c r="I7" s="422" t="s">
        <v>996</v>
      </c>
      <c r="J7" s="351"/>
      <c r="K7" s="351"/>
      <c r="L7" s="4"/>
      <c r="M7" s="4"/>
      <c r="N7" s="4"/>
    </row>
    <row r="8" spans="1:14" s="6" customFormat="1" ht="39" customHeight="1">
      <c r="A8" s="1"/>
      <c r="B8" s="508" t="s">
        <v>997</v>
      </c>
      <c r="C8" s="508" t="s">
        <v>998</v>
      </c>
      <c r="D8" s="508"/>
      <c r="E8" s="508"/>
      <c r="F8" s="508"/>
      <c r="G8" s="508"/>
      <c r="H8" s="524" t="s">
        <v>999</v>
      </c>
      <c r="I8" s="524"/>
      <c r="J8" s="350"/>
      <c r="K8" s="350"/>
      <c r="L8" s="4"/>
      <c r="M8" s="4"/>
      <c r="N8" s="4"/>
    </row>
    <row r="9" spans="1:14" s="6" customFormat="1" ht="31.5" customHeight="1">
      <c r="A9" s="1"/>
      <c r="B9" s="508"/>
      <c r="C9" s="348" t="s">
        <v>1000</v>
      </c>
      <c r="D9" s="348" t="s">
        <v>0</v>
      </c>
      <c r="E9" s="348" t="s">
        <v>1</v>
      </c>
      <c r="F9" s="348" t="s">
        <v>2</v>
      </c>
      <c r="G9" s="423" t="s">
        <v>3</v>
      </c>
      <c r="H9" s="424" t="s">
        <v>1094</v>
      </c>
      <c r="I9" s="424" t="s">
        <v>1095</v>
      </c>
      <c r="J9" s="351"/>
      <c r="K9" s="351"/>
      <c r="L9" s="4"/>
      <c r="M9" s="4"/>
      <c r="N9" s="4"/>
    </row>
    <row r="10" spans="1:14" s="6" customFormat="1" ht="15.75">
      <c r="A10" s="1"/>
      <c r="B10" s="425">
        <v>1</v>
      </c>
      <c r="C10" s="425">
        <v>2</v>
      </c>
      <c r="D10" s="425">
        <v>3</v>
      </c>
      <c r="E10" s="425">
        <v>4</v>
      </c>
      <c r="F10" s="425">
        <v>5</v>
      </c>
      <c r="G10" s="425">
        <v>6</v>
      </c>
      <c r="H10" s="426" t="s">
        <v>2313</v>
      </c>
      <c r="I10" s="426" t="s">
        <v>2314</v>
      </c>
      <c r="J10" s="347" t="s">
        <v>2</v>
      </c>
      <c r="K10" s="347"/>
      <c r="L10" s="4"/>
      <c r="M10" s="4"/>
      <c r="N10" s="4"/>
    </row>
    <row r="11" spans="1:14" s="16" customFormat="1" ht="15.75">
      <c r="A11" s="14"/>
      <c r="B11" s="67" t="s">
        <v>5</v>
      </c>
      <c r="C11" s="116" t="s">
        <v>6</v>
      </c>
      <c r="D11" s="69" t="s">
        <v>7</v>
      </c>
      <c r="E11" s="69" t="s">
        <v>7</v>
      </c>
      <c r="F11" s="69" t="s">
        <v>8</v>
      </c>
      <c r="G11" s="69" t="s">
        <v>9</v>
      </c>
      <c r="H11" s="70">
        <v>0</v>
      </c>
      <c r="I11" s="70">
        <v>0</v>
      </c>
      <c r="J11" s="69">
        <v>0</v>
      </c>
      <c r="K11" s="108" t="str">
        <f t="shared" ref="K11:K74" si="0">TEXT(J11,"0000000000")</f>
        <v>0000000000</v>
      </c>
      <c r="L11" s="303" t="str">
        <f>C11&amp;D11&amp;E11&amp;K11&amp;G11</f>
        <v>60000000000000000000</v>
      </c>
      <c r="M11" s="132" t="str">
        <f>INDEX('реш СГД № 265'!$A:$N,MATCH('БА расх 2019-2020'!$L11,'реш СГД № 265'!$N:$N,0),3)</f>
        <v xml:space="preserve">Ставропольская городская Дума </v>
      </c>
      <c r="N11" s="17">
        <f>IF(B11=M11,1,0)</f>
        <v>1</v>
      </c>
    </row>
    <row r="12" spans="1:14" s="16" customFormat="1" ht="15.75">
      <c r="A12" s="14"/>
      <c r="B12" s="117" t="s">
        <v>10</v>
      </c>
      <c r="C12" s="118" t="s">
        <v>6</v>
      </c>
      <c r="D12" s="119" t="s">
        <v>11</v>
      </c>
      <c r="E12" s="119" t="s">
        <v>7</v>
      </c>
      <c r="F12" s="119" t="s">
        <v>8</v>
      </c>
      <c r="G12" s="119" t="s">
        <v>9</v>
      </c>
      <c r="H12" s="120">
        <v>0</v>
      </c>
      <c r="I12" s="120">
        <v>0</v>
      </c>
      <c r="J12" s="119">
        <v>0</v>
      </c>
      <c r="K12" s="108" t="str">
        <f t="shared" si="0"/>
        <v>0000000000</v>
      </c>
      <c r="L12" s="303" t="str">
        <f t="shared" ref="L12:L75" si="1">C12&amp;D12&amp;E12&amp;K12&amp;G12</f>
        <v>60001000000000000000</v>
      </c>
      <c r="M12" s="132" t="str">
        <f>INDEX('реш СГД № 265'!$A:$N,MATCH('БА расх 2019-2020'!$L12,'реш СГД № 265'!$N:$N,0),3)</f>
        <v>Общегосударственные вопросы</v>
      </c>
      <c r="N12" s="17">
        <f t="shared" ref="N12:N75" si="2">IF(B12=M12,1,0)</f>
        <v>1</v>
      </c>
    </row>
    <row r="13" spans="1:14" s="16" customFormat="1" ht="63">
      <c r="A13" s="14"/>
      <c r="B13" s="121" t="s">
        <v>12</v>
      </c>
      <c r="C13" s="122" t="s">
        <v>6</v>
      </c>
      <c r="D13" s="123" t="s">
        <v>11</v>
      </c>
      <c r="E13" s="123" t="s">
        <v>13</v>
      </c>
      <c r="F13" s="123" t="s">
        <v>8</v>
      </c>
      <c r="G13" s="123" t="s">
        <v>9</v>
      </c>
      <c r="H13" s="124">
        <v>0</v>
      </c>
      <c r="I13" s="124">
        <v>0</v>
      </c>
      <c r="J13" s="123">
        <v>0</v>
      </c>
      <c r="K13" s="108" t="str">
        <f t="shared" si="0"/>
        <v>0000000000</v>
      </c>
      <c r="L13" s="303" t="str">
        <f t="shared" si="1"/>
        <v>60001030000000000000</v>
      </c>
      <c r="M13" s="132" t="str">
        <f>INDEX('реш СГД № 265'!$A:$N,MATCH('БА расх 2019-2020'!$L13,'реш СГД № 265'!$N:$N,0),3)</f>
        <v>Функционирование законодательных (представительных) органов государственной власти и представительных органов муниципальных образований</v>
      </c>
      <c r="N13" s="17">
        <f t="shared" si="2"/>
        <v>1</v>
      </c>
    </row>
    <row r="14" spans="1:14" s="16" customFormat="1" ht="31.5">
      <c r="A14" s="14"/>
      <c r="B14" s="125" t="s">
        <v>14</v>
      </c>
      <c r="C14" s="109" t="s">
        <v>6</v>
      </c>
      <c r="D14" s="108" t="s">
        <v>11</v>
      </c>
      <c r="E14" s="108" t="s">
        <v>13</v>
      </c>
      <c r="F14" s="108" t="s">
        <v>15</v>
      </c>
      <c r="G14" s="108" t="s">
        <v>9</v>
      </c>
      <c r="H14" s="126">
        <v>0</v>
      </c>
      <c r="I14" s="126">
        <v>0</v>
      </c>
      <c r="J14" s="108">
        <v>7000000000</v>
      </c>
      <c r="K14" s="108" t="str">
        <f t="shared" si="0"/>
        <v>7000000000</v>
      </c>
      <c r="L14" s="303" t="str">
        <f t="shared" si="1"/>
        <v>60001037000000000000</v>
      </c>
      <c r="M14" s="132" t="str">
        <f>INDEX('реш СГД № 265'!$A:$N,MATCH('БА расх 2019-2020'!$L14,'реш СГД № 265'!$N:$N,0),3)</f>
        <v>Обеспечение деятельности Ставропольской городской Думы</v>
      </c>
      <c r="N14" s="17">
        <f t="shared" si="2"/>
        <v>1</v>
      </c>
    </row>
    <row r="15" spans="1:14" s="16" customFormat="1" ht="31.5">
      <c r="A15" s="14"/>
      <c r="B15" s="125" t="s">
        <v>16</v>
      </c>
      <c r="C15" s="109" t="s">
        <v>6</v>
      </c>
      <c r="D15" s="108" t="s">
        <v>11</v>
      </c>
      <c r="E15" s="108" t="s">
        <v>13</v>
      </c>
      <c r="F15" s="108" t="s">
        <v>17</v>
      </c>
      <c r="G15" s="108" t="s">
        <v>9</v>
      </c>
      <c r="H15" s="126">
        <v>0</v>
      </c>
      <c r="I15" s="126">
        <v>0</v>
      </c>
      <c r="J15" s="108">
        <v>7010000000</v>
      </c>
      <c r="K15" s="108" t="str">
        <f t="shared" si="0"/>
        <v>7010000000</v>
      </c>
      <c r="L15" s="303" t="str">
        <f t="shared" si="1"/>
        <v>60001037010000000000</v>
      </c>
      <c r="M15" s="132" t="str">
        <f>INDEX('реш СГД № 265'!$A:$N,MATCH('БА расх 2019-2020'!$L15,'реш СГД № 265'!$N:$N,0),3)</f>
        <v>Непрограммные расходы в рамках обеспечения деятельности Ставропольской городской Думы</v>
      </c>
      <c r="N15" s="17">
        <f t="shared" si="2"/>
        <v>1</v>
      </c>
    </row>
    <row r="16" spans="1:14" s="16" customFormat="1" ht="31.5">
      <c r="A16" s="14"/>
      <c r="B16" s="125" t="s">
        <v>18</v>
      </c>
      <c r="C16" s="109" t="s">
        <v>6</v>
      </c>
      <c r="D16" s="108" t="s">
        <v>11</v>
      </c>
      <c r="E16" s="108" t="s">
        <v>13</v>
      </c>
      <c r="F16" s="108" t="s">
        <v>19</v>
      </c>
      <c r="G16" s="108" t="s">
        <v>9</v>
      </c>
      <c r="H16" s="126">
        <v>0</v>
      </c>
      <c r="I16" s="126">
        <v>0</v>
      </c>
      <c r="J16" s="108">
        <v>7010010010</v>
      </c>
      <c r="K16" s="108" t="str">
        <f t="shared" si="0"/>
        <v>7010010010</v>
      </c>
      <c r="L16" s="303" t="str">
        <f t="shared" si="1"/>
        <v>60001037010010010000</v>
      </c>
      <c r="M16" s="132" t="str">
        <f>INDEX('реш СГД № 265'!$A:$N,MATCH('БА расх 2019-2020'!$L16,'реш СГД № 265'!$N:$N,0),3)</f>
        <v>Расходы на обеспечение функций органов местного самоуправления города Ставрополя</v>
      </c>
      <c r="N16" s="17">
        <f t="shared" si="2"/>
        <v>1</v>
      </c>
    </row>
    <row r="17" spans="1:14" s="16" customFormat="1" ht="31.5">
      <c r="A17" s="14"/>
      <c r="B17" s="127" t="s">
        <v>20</v>
      </c>
      <c r="C17" s="109" t="s">
        <v>6</v>
      </c>
      <c r="D17" s="108" t="s">
        <v>11</v>
      </c>
      <c r="E17" s="108" t="s">
        <v>13</v>
      </c>
      <c r="F17" s="108" t="s">
        <v>19</v>
      </c>
      <c r="G17" s="108" t="s">
        <v>21</v>
      </c>
      <c r="H17" s="126">
        <v>0</v>
      </c>
      <c r="I17" s="126">
        <v>0</v>
      </c>
      <c r="J17" s="108">
        <v>7010010010</v>
      </c>
      <c r="K17" s="108" t="str">
        <f t="shared" si="0"/>
        <v>7010010010</v>
      </c>
      <c r="L17" s="303" t="str">
        <f t="shared" si="1"/>
        <v>60001037010010010120</v>
      </c>
      <c r="M17" s="132" t="str">
        <f>INDEX('реш СГД № 265'!$A:$N,MATCH('БА расх 2019-2020'!$L17,'реш СГД № 265'!$N:$N,0),3)</f>
        <v>Расходы на выплаты персоналу государственных (муниципальных) органов</v>
      </c>
      <c r="N17" s="17">
        <f t="shared" si="2"/>
        <v>1</v>
      </c>
    </row>
    <row r="18" spans="1:14" s="23" customFormat="1" ht="47.25">
      <c r="A18" s="21"/>
      <c r="B18" s="127" t="s">
        <v>22</v>
      </c>
      <c r="C18" s="109" t="s">
        <v>6</v>
      </c>
      <c r="D18" s="108" t="s">
        <v>11</v>
      </c>
      <c r="E18" s="108" t="s">
        <v>13</v>
      </c>
      <c r="F18" s="108" t="s">
        <v>19</v>
      </c>
      <c r="G18" s="108" t="s">
        <v>23</v>
      </c>
      <c r="H18" s="126">
        <v>0</v>
      </c>
      <c r="I18" s="126">
        <v>0</v>
      </c>
      <c r="J18" s="108">
        <v>7010010010</v>
      </c>
      <c r="K18" s="108" t="str">
        <f t="shared" si="0"/>
        <v>7010010010</v>
      </c>
      <c r="L18" s="303" t="str">
        <f t="shared" si="1"/>
        <v>60001037010010010122</v>
      </c>
      <c r="M18" s="132"/>
      <c r="N18" s="17">
        <f t="shared" si="2"/>
        <v>0</v>
      </c>
    </row>
    <row r="19" spans="1:14" s="23" customFormat="1" ht="63">
      <c r="A19" s="21"/>
      <c r="B19" s="127" t="s">
        <v>24</v>
      </c>
      <c r="C19" s="109" t="s">
        <v>6</v>
      </c>
      <c r="D19" s="108" t="s">
        <v>11</v>
      </c>
      <c r="E19" s="108" t="s">
        <v>13</v>
      </c>
      <c r="F19" s="108" t="s">
        <v>19</v>
      </c>
      <c r="G19" s="108" t="s">
        <v>25</v>
      </c>
      <c r="H19" s="126">
        <v>0</v>
      </c>
      <c r="I19" s="126">
        <v>0</v>
      </c>
      <c r="J19" s="108">
        <v>7010010010</v>
      </c>
      <c r="K19" s="108" t="str">
        <f t="shared" si="0"/>
        <v>7010010010</v>
      </c>
      <c r="L19" s="303" t="str">
        <f t="shared" si="1"/>
        <v>60001037010010010123</v>
      </c>
      <c r="M19" s="132"/>
      <c r="N19" s="17">
        <f t="shared" si="2"/>
        <v>0</v>
      </c>
    </row>
    <row r="20" spans="1:14" s="23" customFormat="1" ht="63">
      <c r="A20" s="21"/>
      <c r="B20" s="127" t="s">
        <v>26</v>
      </c>
      <c r="C20" s="109" t="s">
        <v>6</v>
      </c>
      <c r="D20" s="108" t="s">
        <v>11</v>
      </c>
      <c r="E20" s="108" t="s">
        <v>13</v>
      </c>
      <c r="F20" s="108" t="s">
        <v>19</v>
      </c>
      <c r="G20" s="108" t="s">
        <v>27</v>
      </c>
      <c r="H20" s="126">
        <v>0</v>
      </c>
      <c r="I20" s="126">
        <v>0</v>
      </c>
      <c r="J20" s="108">
        <v>7010010010</v>
      </c>
      <c r="K20" s="108" t="str">
        <f t="shared" si="0"/>
        <v>7010010010</v>
      </c>
      <c r="L20" s="303" t="str">
        <f t="shared" si="1"/>
        <v>60001037010010010129</v>
      </c>
      <c r="M20" s="132"/>
      <c r="N20" s="17">
        <f t="shared" si="2"/>
        <v>0</v>
      </c>
    </row>
    <row r="21" spans="1:14" s="16" customFormat="1" ht="31.5">
      <c r="A21" s="14"/>
      <c r="B21" s="125" t="s">
        <v>28</v>
      </c>
      <c r="C21" s="109" t="s">
        <v>6</v>
      </c>
      <c r="D21" s="108" t="s">
        <v>11</v>
      </c>
      <c r="E21" s="108" t="s">
        <v>13</v>
      </c>
      <c r="F21" s="108" t="s">
        <v>19</v>
      </c>
      <c r="G21" s="108" t="s">
        <v>29</v>
      </c>
      <c r="H21" s="126">
        <v>0</v>
      </c>
      <c r="I21" s="126">
        <v>0</v>
      </c>
      <c r="J21" s="108">
        <v>7010010010</v>
      </c>
      <c r="K21" s="108" t="str">
        <f t="shared" si="0"/>
        <v>7010010010</v>
      </c>
      <c r="L21" s="303" t="str">
        <f t="shared" si="1"/>
        <v>60001037010010010240</v>
      </c>
      <c r="M21" s="132" t="str">
        <f>INDEX('реш СГД № 265'!$A:$N,MATCH('БА расх 2019-2020'!$L21,'реш СГД № 265'!$N:$N,0),3)</f>
        <v>Иные закупки товаров, работ и услуг для обеспечения государственных (муниципальных) нужд</v>
      </c>
      <c r="N21" s="17">
        <f t="shared" si="2"/>
        <v>1</v>
      </c>
    </row>
    <row r="22" spans="1:14" s="16" customFormat="1" ht="15.75">
      <c r="A22" s="14"/>
      <c r="B22" s="125" t="s">
        <v>30</v>
      </c>
      <c r="C22" s="109" t="s">
        <v>6</v>
      </c>
      <c r="D22" s="108" t="s">
        <v>11</v>
      </c>
      <c r="E22" s="108" t="s">
        <v>13</v>
      </c>
      <c r="F22" s="108" t="s">
        <v>19</v>
      </c>
      <c r="G22" s="108" t="s">
        <v>31</v>
      </c>
      <c r="H22" s="126">
        <v>0</v>
      </c>
      <c r="I22" s="126">
        <v>0</v>
      </c>
      <c r="J22" s="108">
        <v>7010010010</v>
      </c>
      <c r="K22" s="108" t="str">
        <f t="shared" si="0"/>
        <v>7010010010</v>
      </c>
      <c r="L22" s="303" t="str">
        <f t="shared" si="1"/>
        <v>60001037010010010244</v>
      </c>
      <c r="M22" s="132"/>
      <c r="N22" s="17">
        <f t="shared" si="2"/>
        <v>0</v>
      </c>
    </row>
    <row r="23" spans="1:14" s="16" customFormat="1" ht="15.75">
      <c r="A23" s="14"/>
      <c r="B23" s="125" t="s">
        <v>32</v>
      </c>
      <c r="C23" s="109" t="s">
        <v>6</v>
      </c>
      <c r="D23" s="108" t="s">
        <v>11</v>
      </c>
      <c r="E23" s="108" t="s">
        <v>13</v>
      </c>
      <c r="F23" s="108" t="s">
        <v>19</v>
      </c>
      <c r="G23" s="108" t="s">
        <v>33</v>
      </c>
      <c r="H23" s="126">
        <v>0</v>
      </c>
      <c r="I23" s="126">
        <v>0</v>
      </c>
      <c r="J23" s="108">
        <v>7010010010</v>
      </c>
      <c r="K23" s="108" t="str">
        <f t="shared" si="0"/>
        <v>7010010010</v>
      </c>
      <c r="L23" s="303" t="str">
        <f t="shared" si="1"/>
        <v>60001037010010010850</v>
      </c>
      <c r="M23" s="132" t="str">
        <f>INDEX('реш СГД № 265'!$A:$N,MATCH('БА расх 2019-2020'!$L23,'реш СГД № 265'!$N:$N,0),3)</f>
        <v>Уплата налогов, сборов и иных платежей</v>
      </c>
      <c r="N23" s="17">
        <f t="shared" si="2"/>
        <v>1</v>
      </c>
    </row>
    <row r="24" spans="1:14" s="23" customFormat="1" ht="31.5">
      <c r="A24" s="21"/>
      <c r="B24" s="127" t="s">
        <v>34</v>
      </c>
      <c r="C24" s="109" t="s">
        <v>6</v>
      </c>
      <c r="D24" s="108" t="s">
        <v>11</v>
      </c>
      <c r="E24" s="108" t="s">
        <v>13</v>
      </c>
      <c r="F24" s="108" t="s">
        <v>19</v>
      </c>
      <c r="G24" s="108" t="s">
        <v>35</v>
      </c>
      <c r="H24" s="126">
        <v>0</v>
      </c>
      <c r="I24" s="126">
        <v>0</v>
      </c>
      <c r="J24" s="108">
        <v>7010010010</v>
      </c>
      <c r="K24" s="108" t="str">
        <f t="shared" si="0"/>
        <v>7010010010</v>
      </c>
      <c r="L24" s="303" t="str">
        <f t="shared" si="1"/>
        <v>60001037010010010851</v>
      </c>
      <c r="M24" s="132"/>
      <c r="N24" s="17">
        <f t="shared" si="2"/>
        <v>0</v>
      </c>
    </row>
    <row r="25" spans="1:14" s="23" customFormat="1" ht="15.75">
      <c r="A25" s="21"/>
      <c r="B25" s="127" t="s">
        <v>36</v>
      </c>
      <c r="C25" s="109" t="s">
        <v>6</v>
      </c>
      <c r="D25" s="108" t="s">
        <v>11</v>
      </c>
      <c r="E25" s="108" t="s">
        <v>13</v>
      </c>
      <c r="F25" s="108" t="s">
        <v>19</v>
      </c>
      <c r="G25" s="108" t="s">
        <v>37</v>
      </c>
      <c r="H25" s="126">
        <v>0</v>
      </c>
      <c r="I25" s="126">
        <v>0</v>
      </c>
      <c r="J25" s="108">
        <v>7010010010</v>
      </c>
      <c r="K25" s="108" t="str">
        <f t="shared" si="0"/>
        <v>7010010010</v>
      </c>
      <c r="L25" s="303" t="str">
        <f t="shared" si="1"/>
        <v>60001037010010010852</v>
      </c>
      <c r="M25" s="132"/>
      <c r="N25" s="17">
        <f t="shared" si="2"/>
        <v>0</v>
      </c>
    </row>
    <row r="26" spans="1:14" s="16" customFormat="1" ht="31.5">
      <c r="A26" s="14"/>
      <c r="B26" s="127" t="s">
        <v>38</v>
      </c>
      <c r="C26" s="109" t="s">
        <v>6</v>
      </c>
      <c r="D26" s="108" t="s">
        <v>11</v>
      </c>
      <c r="E26" s="108" t="s">
        <v>13</v>
      </c>
      <c r="F26" s="108" t="s">
        <v>39</v>
      </c>
      <c r="G26" s="108" t="s">
        <v>9</v>
      </c>
      <c r="H26" s="126">
        <v>0</v>
      </c>
      <c r="I26" s="126">
        <v>0</v>
      </c>
      <c r="J26" s="108">
        <v>7010010020</v>
      </c>
      <c r="K26" s="108" t="str">
        <f t="shared" si="0"/>
        <v>7010010020</v>
      </c>
      <c r="L26" s="303" t="str">
        <f t="shared" si="1"/>
        <v>60001037010010020000</v>
      </c>
      <c r="M26" s="132" t="str">
        <f>INDEX('реш СГД № 265'!$A:$N,MATCH('БА расх 2019-2020'!$L26,'реш СГД № 265'!$N:$N,0),3)</f>
        <v>Расходы на выплаты по оплате труда работников органов местного самоуправления города Ставрополя</v>
      </c>
      <c r="N26" s="17">
        <f t="shared" si="2"/>
        <v>1</v>
      </c>
    </row>
    <row r="27" spans="1:14" s="16" customFormat="1" ht="31.5">
      <c r="A27" s="14"/>
      <c r="B27" s="127" t="s">
        <v>20</v>
      </c>
      <c r="C27" s="109" t="s">
        <v>6</v>
      </c>
      <c r="D27" s="108" t="s">
        <v>11</v>
      </c>
      <c r="E27" s="108" t="s">
        <v>13</v>
      </c>
      <c r="F27" s="108" t="s">
        <v>39</v>
      </c>
      <c r="G27" s="108" t="s">
        <v>21</v>
      </c>
      <c r="H27" s="126">
        <v>0</v>
      </c>
      <c r="I27" s="126">
        <v>0</v>
      </c>
      <c r="J27" s="108">
        <v>7010010020</v>
      </c>
      <c r="K27" s="108" t="str">
        <f t="shared" si="0"/>
        <v>7010010020</v>
      </c>
      <c r="L27" s="303" t="str">
        <f t="shared" si="1"/>
        <v>60001037010010020120</v>
      </c>
      <c r="M27" s="132" t="str">
        <f>INDEX('реш СГД № 265'!$A:$N,MATCH('БА расх 2019-2020'!$L27,'реш СГД № 265'!$N:$N,0),3)</f>
        <v>Расходы на выплаты персоналу государственных (муниципальных) органов</v>
      </c>
      <c r="N27" s="17">
        <f t="shared" si="2"/>
        <v>1</v>
      </c>
    </row>
    <row r="28" spans="1:14" s="23" customFormat="1" ht="31.5">
      <c r="A28" s="21"/>
      <c r="B28" s="127" t="s">
        <v>40</v>
      </c>
      <c r="C28" s="109" t="s">
        <v>6</v>
      </c>
      <c r="D28" s="108" t="s">
        <v>11</v>
      </c>
      <c r="E28" s="108" t="s">
        <v>13</v>
      </c>
      <c r="F28" s="108" t="s">
        <v>39</v>
      </c>
      <c r="G28" s="108" t="s">
        <v>41</v>
      </c>
      <c r="H28" s="126">
        <v>0</v>
      </c>
      <c r="I28" s="126">
        <v>0</v>
      </c>
      <c r="J28" s="108">
        <v>7010010020</v>
      </c>
      <c r="K28" s="108" t="str">
        <f t="shared" si="0"/>
        <v>7010010020</v>
      </c>
      <c r="L28" s="303" t="str">
        <f t="shared" si="1"/>
        <v>60001037010010020121</v>
      </c>
      <c r="M28" s="132"/>
      <c r="N28" s="17">
        <f t="shared" si="2"/>
        <v>0</v>
      </c>
    </row>
    <row r="29" spans="1:14" s="23" customFormat="1" ht="63">
      <c r="A29" s="21"/>
      <c r="B29" s="127" t="s">
        <v>26</v>
      </c>
      <c r="C29" s="109" t="s">
        <v>6</v>
      </c>
      <c r="D29" s="108" t="s">
        <v>11</v>
      </c>
      <c r="E29" s="108" t="s">
        <v>13</v>
      </c>
      <c r="F29" s="108" t="s">
        <v>39</v>
      </c>
      <c r="G29" s="108" t="s">
        <v>27</v>
      </c>
      <c r="H29" s="126">
        <v>0</v>
      </c>
      <c r="I29" s="126">
        <v>0</v>
      </c>
      <c r="J29" s="108">
        <v>7010010020</v>
      </c>
      <c r="K29" s="108" t="str">
        <f t="shared" si="0"/>
        <v>7010010020</v>
      </c>
      <c r="L29" s="303" t="str">
        <f t="shared" si="1"/>
        <v>60001037010010020129</v>
      </c>
      <c r="M29" s="132"/>
      <c r="N29" s="17">
        <f t="shared" si="2"/>
        <v>0</v>
      </c>
    </row>
    <row r="30" spans="1:14" s="16" customFormat="1" ht="31.5">
      <c r="A30" s="14"/>
      <c r="B30" s="127" t="s">
        <v>42</v>
      </c>
      <c r="C30" s="109" t="s">
        <v>6</v>
      </c>
      <c r="D30" s="108" t="s">
        <v>11</v>
      </c>
      <c r="E30" s="108" t="s">
        <v>13</v>
      </c>
      <c r="F30" s="108" t="s">
        <v>43</v>
      </c>
      <c r="G30" s="108" t="s">
        <v>9</v>
      </c>
      <c r="H30" s="126">
        <v>0</v>
      </c>
      <c r="I30" s="126">
        <v>0</v>
      </c>
      <c r="J30" s="108">
        <v>7020000000</v>
      </c>
      <c r="K30" s="108" t="str">
        <f t="shared" si="0"/>
        <v>7020000000</v>
      </c>
      <c r="L30" s="303" t="str">
        <f t="shared" si="1"/>
        <v>60001037020000000000</v>
      </c>
      <c r="M30" s="132" t="str">
        <f>INDEX('реш СГД № 265'!$A:$N,MATCH('БА расх 2019-2020'!$L30,'реш СГД № 265'!$N:$N,0),3)</f>
        <v>Председатель представительного органа муниципального образования</v>
      </c>
      <c r="N30" s="17">
        <f t="shared" si="2"/>
        <v>1</v>
      </c>
    </row>
    <row r="31" spans="1:14" s="16" customFormat="1" ht="31.5">
      <c r="A31" s="14"/>
      <c r="B31" s="125" t="s">
        <v>18</v>
      </c>
      <c r="C31" s="109" t="s">
        <v>6</v>
      </c>
      <c r="D31" s="108" t="s">
        <v>11</v>
      </c>
      <c r="E31" s="108" t="s">
        <v>13</v>
      </c>
      <c r="F31" s="108" t="s">
        <v>44</v>
      </c>
      <c r="G31" s="108" t="s">
        <v>9</v>
      </c>
      <c r="H31" s="126">
        <v>0</v>
      </c>
      <c r="I31" s="126">
        <v>0</v>
      </c>
      <c r="J31" s="108">
        <v>7020010010</v>
      </c>
      <c r="K31" s="108" t="str">
        <f t="shared" si="0"/>
        <v>7020010010</v>
      </c>
      <c r="L31" s="303" t="str">
        <f t="shared" si="1"/>
        <v>60001037020010010000</v>
      </c>
      <c r="M31" s="132" t="str">
        <f>INDEX('реш СГД № 265'!$A:$N,MATCH('БА расх 2019-2020'!$L31,'реш СГД № 265'!$N:$N,0),3)</f>
        <v>Расходы на обеспечение функций органов местного самоуправления города Ставрополя</v>
      </c>
      <c r="N31" s="17">
        <f t="shared" si="2"/>
        <v>1</v>
      </c>
    </row>
    <row r="32" spans="1:14" s="16" customFormat="1" ht="31.5">
      <c r="A32" s="14"/>
      <c r="B32" s="127" t="s">
        <v>20</v>
      </c>
      <c r="C32" s="109" t="s">
        <v>6</v>
      </c>
      <c r="D32" s="108" t="s">
        <v>11</v>
      </c>
      <c r="E32" s="108" t="s">
        <v>13</v>
      </c>
      <c r="F32" s="108" t="s">
        <v>44</v>
      </c>
      <c r="G32" s="108" t="s">
        <v>21</v>
      </c>
      <c r="H32" s="126">
        <v>0</v>
      </c>
      <c r="I32" s="126">
        <v>0</v>
      </c>
      <c r="J32" s="108">
        <v>7020010010</v>
      </c>
      <c r="K32" s="108" t="str">
        <f t="shared" si="0"/>
        <v>7020010010</v>
      </c>
      <c r="L32" s="303" t="str">
        <f t="shared" si="1"/>
        <v>60001037020010010120</v>
      </c>
      <c r="M32" s="132" t="str">
        <f>INDEX('реш СГД № 265'!$A:$N,MATCH('БА расх 2019-2020'!$L32,'реш СГД № 265'!$N:$N,0),3)</f>
        <v>Расходы на выплаты персоналу государственных (муниципальных) органов</v>
      </c>
      <c r="N32" s="17">
        <f t="shared" si="2"/>
        <v>1</v>
      </c>
    </row>
    <row r="33" spans="1:14" s="23" customFormat="1" ht="47.25">
      <c r="A33" s="21"/>
      <c r="B33" s="127" t="s">
        <v>22</v>
      </c>
      <c r="C33" s="109" t="s">
        <v>6</v>
      </c>
      <c r="D33" s="108" t="s">
        <v>11</v>
      </c>
      <c r="E33" s="108" t="s">
        <v>13</v>
      </c>
      <c r="F33" s="108" t="s">
        <v>44</v>
      </c>
      <c r="G33" s="108" t="s">
        <v>23</v>
      </c>
      <c r="H33" s="126">
        <v>0</v>
      </c>
      <c r="I33" s="126">
        <v>0</v>
      </c>
      <c r="J33" s="108">
        <v>7020010010</v>
      </c>
      <c r="K33" s="108" t="str">
        <f t="shared" si="0"/>
        <v>7020010010</v>
      </c>
      <c r="L33" s="303" t="str">
        <f t="shared" si="1"/>
        <v>60001037020010010122</v>
      </c>
      <c r="M33" s="132"/>
      <c r="N33" s="17">
        <f t="shared" si="2"/>
        <v>0</v>
      </c>
    </row>
    <row r="34" spans="1:14" s="23" customFormat="1" ht="63">
      <c r="A34" s="21"/>
      <c r="B34" s="127" t="s">
        <v>26</v>
      </c>
      <c r="C34" s="109" t="s">
        <v>6</v>
      </c>
      <c r="D34" s="108" t="s">
        <v>11</v>
      </c>
      <c r="E34" s="108" t="s">
        <v>13</v>
      </c>
      <c r="F34" s="108" t="s">
        <v>44</v>
      </c>
      <c r="G34" s="108" t="s">
        <v>27</v>
      </c>
      <c r="H34" s="126">
        <v>0</v>
      </c>
      <c r="I34" s="126">
        <v>0</v>
      </c>
      <c r="J34" s="108">
        <v>7020010010</v>
      </c>
      <c r="K34" s="108" t="str">
        <f t="shared" si="0"/>
        <v>7020010010</v>
      </c>
      <c r="L34" s="303" t="str">
        <f t="shared" si="1"/>
        <v>60001037020010010129</v>
      </c>
      <c r="M34" s="132"/>
      <c r="N34" s="17">
        <f t="shared" si="2"/>
        <v>0</v>
      </c>
    </row>
    <row r="35" spans="1:14" s="16" customFormat="1" ht="31.5">
      <c r="A35" s="14"/>
      <c r="B35" s="127" t="s">
        <v>38</v>
      </c>
      <c r="C35" s="109" t="s">
        <v>6</v>
      </c>
      <c r="D35" s="108" t="s">
        <v>11</v>
      </c>
      <c r="E35" s="108" t="s">
        <v>13</v>
      </c>
      <c r="F35" s="108" t="s">
        <v>45</v>
      </c>
      <c r="G35" s="108" t="s">
        <v>9</v>
      </c>
      <c r="H35" s="126">
        <v>0</v>
      </c>
      <c r="I35" s="126">
        <v>0</v>
      </c>
      <c r="J35" s="108">
        <v>7020010020</v>
      </c>
      <c r="K35" s="108" t="str">
        <f t="shared" si="0"/>
        <v>7020010020</v>
      </c>
      <c r="L35" s="303" t="str">
        <f t="shared" si="1"/>
        <v>60001037020010020000</v>
      </c>
      <c r="M35" s="132" t="str">
        <f>INDEX('реш СГД № 265'!$A:$N,MATCH('БА расх 2019-2020'!$L35,'реш СГД № 265'!$N:$N,0),3)</f>
        <v>Расходы на выплаты по оплате труда работников органов местного самоуправления города Ставрополя</v>
      </c>
      <c r="N35" s="17">
        <f t="shared" si="2"/>
        <v>1</v>
      </c>
    </row>
    <row r="36" spans="1:14" s="16" customFormat="1" ht="31.5">
      <c r="A36" s="14"/>
      <c r="B36" s="127" t="s">
        <v>20</v>
      </c>
      <c r="C36" s="109" t="s">
        <v>6</v>
      </c>
      <c r="D36" s="108" t="s">
        <v>11</v>
      </c>
      <c r="E36" s="108" t="s">
        <v>13</v>
      </c>
      <c r="F36" s="108" t="s">
        <v>45</v>
      </c>
      <c r="G36" s="108" t="s">
        <v>21</v>
      </c>
      <c r="H36" s="126">
        <v>0</v>
      </c>
      <c r="I36" s="126">
        <v>0</v>
      </c>
      <c r="J36" s="108">
        <v>7020010020</v>
      </c>
      <c r="K36" s="108" t="str">
        <f t="shared" si="0"/>
        <v>7020010020</v>
      </c>
      <c r="L36" s="303" t="str">
        <f t="shared" si="1"/>
        <v>60001037020010020120</v>
      </c>
      <c r="M36" s="132" t="str">
        <f>INDEX('реш СГД № 265'!$A:$N,MATCH('БА расх 2019-2020'!$L36,'реш СГД № 265'!$N:$N,0),3)</f>
        <v>Расходы на выплаты персоналу государственных (муниципальных) органов</v>
      </c>
      <c r="N36" s="17">
        <f t="shared" si="2"/>
        <v>1</v>
      </c>
    </row>
    <row r="37" spans="1:14" s="16" customFormat="1" ht="31.5">
      <c r="A37" s="14"/>
      <c r="B37" s="125" t="s">
        <v>40</v>
      </c>
      <c r="C37" s="109" t="s">
        <v>6</v>
      </c>
      <c r="D37" s="108" t="s">
        <v>11</v>
      </c>
      <c r="E37" s="108" t="s">
        <v>13</v>
      </c>
      <c r="F37" s="108" t="s">
        <v>45</v>
      </c>
      <c r="G37" s="108" t="s">
        <v>41</v>
      </c>
      <c r="H37" s="126">
        <v>0</v>
      </c>
      <c r="I37" s="126">
        <v>0</v>
      </c>
      <c r="J37" s="108">
        <v>7020010020</v>
      </c>
      <c r="K37" s="108" t="str">
        <f t="shared" si="0"/>
        <v>7020010020</v>
      </c>
      <c r="L37" s="303" t="str">
        <f t="shared" si="1"/>
        <v>60001037020010020121</v>
      </c>
      <c r="M37" s="132"/>
      <c r="N37" s="17">
        <f t="shared" si="2"/>
        <v>0</v>
      </c>
    </row>
    <row r="38" spans="1:14" s="16" customFormat="1" ht="63">
      <c r="A38" s="14"/>
      <c r="B38" s="125" t="s">
        <v>26</v>
      </c>
      <c r="C38" s="109" t="s">
        <v>6</v>
      </c>
      <c r="D38" s="108" t="s">
        <v>11</v>
      </c>
      <c r="E38" s="108" t="s">
        <v>13</v>
      </c>
      <c r="F38" s="108" t="s">
        <v>45</v>
      </c>
      <c r="G38" s="108" t="s">
        <v>27</v>
      </c>
      <c r="H38" s="126">
        <v>0</v>
      </c>
      <c r="I38" s="126">
        <v>0</v>
      </c>
      <c r="J38" s="108">
        <v>7020010020</v>
      </c>
      <c r="K38" s="108" t="str">
        <f t="shared" si="0"/>
        <v>7020010020</v>
      </c>
      <c r="L38" s="303" t="str">
        <f t="shared" si="1"/>
        <v>60001037020010020129</v>
      </c>
      <c r="M38" s="132"/>
      <c r="N38" s="17">
        <f t="shared" si="2"/>
        <v>0</v>
      </c>
    </row>
    <row r="39" spans="1:14" s="16" customFormat="1" ht="31.5">
      <c r="A39" s="14"/>
      <c r="B39" s="127" t="s">
        <v>46</v>
      </c>
      <c r="C39" s="109" t="s">
        <v>6</v>
      </c>
      <c r="D39" s="108" t="s">
        <v>11</v>
      </c>
      <c r="E39" s="108" t="s">
        <v>13</v>
      </c>
      <c r="F39" s="108" t="s">
        <v>47</v>
      </c>
      <c r="G39" s="108" t="s">
        <v>9</v>
      </c>
      <c r="H39" s="126">
        <v>0</v>
      </c>
      <c r="I39" s="126">
        <v>0</v>
      </c>
      <c r="J39" s="108">
        <v>7030000000</v>
      </c>
      <c r="K39" s="108" t="str">
        <f t="shared" si="0"/>
        <v>7030000000</v>
      </c>
      <c r="L39" s="303" t="str">
        <f t="shared" si="1"/>
        <v>60001037030000000000</v>
      </c>
      <c r="M39" s="132" t="str">
        <f>INDEX('реш СГД № 265'!$A:$N,MATCH('БА расх 2019-2020'!$L39,'реш СГД № 265'!$N:$N,0),3)</f>
        <v>Депутаты представительного органа муниципального образования</v>
      </c>
      <c r="N39" s="17">
        <f t="shared" si="2"/>
        <v>1</v>
      </c>
    </row>
    <row r="40" spans="1:14" s="16" customFormat="1" ht="31.5">
      <c r="A40" s="14"/>
      <c r="B40" s="125" t="s">
        <v>18</v>
      </c>
      <c r="C40" s="109" t="s">
        <v>6</v>
      </c>
      <c r="D40" s="108" t="s">
        <v>11</v>
      </c>
      <c r="E40" s="108" t="s">
        <v>13</v>
      </c>
      <c r="F40" s="108" t="s">
        <v>48</v>
      </c>
      <c r="G40" s="108" t="s">
        <v>9</v>
      </c>
      <c r="H40" s="126">
        <v>0</v>
      </c>
      <c r="I40" s="126">
        <v>0</v>
      </c>
      <c r="J40" s="108">
        <v>7030010010</v>
      </c>
      <c r="K40" s="108" t="str">
        <f t="shared" si="0"/>
        <v>7030010010</v>
      </c>
      <c r="L40" s="303" t="str">
        <f t="shared" si="1"/>
        <v>60001037030010010000</v>
      </c>
      <c r="M40" s="132" t="str">
        <f>INDEX('реш СГД № 265'!$A:$N,MATCH('БА расх 2019-2020'!$L40,'реш СГД № 265'!$N:$N,0),3)</f>
        <v>Расходы на обеспечение функций органов местного самоуправления города Ставрополя</v>
      </c>
      <c r="N40" s="17">
        <f t="shared" si="2"/>
        <v>1</v>
      </c>
    </row>
    <row r="41" spans="1:14" s="16" customFormat="1" ht="31.5">
      <c r="A41" s="14"/>
      <c r="B41" s="127" t="s">
        <v>20</v>
      </c>
      <c r="C41" s="109" t="s">
        <v>6</v>
      </c>
      <c r="D41" s="108" t="s">
        <v>11</v>
      </c>
      <c r="E41" s="108" t="s">
        <v>13</v>
      </c>
      <c r="F41" s="108" t="s">
        <v>48</v>
      </c>
      <c r="G41" s="108" t="s">
        <v>21</v>
      </c>
      <c r="H41" s="126">
        <v>0</v>
      </c>
      <c r="I41" s="126">
        <v>0</v>
      </c>
      <c r="J41" s="108">
        <v>7030010010</v>
      </c>
      <c r="K41" s="108" t="str">
        <f t="shared" si="0"/>
        <v>7030010010</v>
      </c>
      <c r="L41" s="303" t="str">
        <f t="shared" si="1"/>
        <v>60001037030010010120</v>
      </c>
      <c r="M41" s="132" t="str">
        <f>INDEX('реш СГД № 265'!$A:$N,MATCH('БА расх 2019-2020'!$L41,'реш СГД № 265'!$N:$N,0),3)</f>
        <v>Расходы на выплаты персоналу государственных (муниципальных) органов</v>
      </c>
      <c r="N41" s="17">
        <f t="shared" si="2"/>
        <v>1</v>
      </c>
    </row>
    <row r="42" spans="1:14" s="16" customFormat="1" ht="47.25">
      <c r="A42" s="14"/>
      <c r="B42" s="127" t="s">
        <v>22</v>
      </c>
      <c r="C42" s="109" t="s">
        <v>6</v>
      </c>
      <c r="D42" s="108" t="s">
        <v>11</v>
      </c>
      <c r="E42" s="108" t="s">
        <v>13</v>
      </c>
      <c r="F42" s="108" t="s">
        <v>48</v>
      </c>
      <c r="G42" s="108" t="s">
        <v>23</v>
      </c>
      <c r="H42" s="126">
        <v>0</v>
      </c>
      <c r="I42" s="126">
        <v>0</v>
      </c>
      <c r="J42" s="108">
        <v>7030010010</v>
      </c>
      <c r="K42" s="108" t="str">
        <f t="shared" si="0"/>
        <v>7030010010</v>
      </c>
      <c r="L42" s="303" t="str">
        <f t="shared" si="1"/>
        <v>60001037030010010122</v>
      </c>
      <c r="M42" s="132"/>
      <c r="N42" s="17">
        <f t="shared" si="2"/>
        <v>0</v>
      </c>
    </row>
    <row r="43" spans="1:14" s="16" customFormat="1" ht="63">
      <c r="A43" s="14"/>
      <c r="B43" s="127" t="s">
        <v>26</v>
      </c>
      <c r="C43" s="109" t="s">
        <v>6</v>
      </c>
      <c r="D43" s="108" t="s">
        <v>11</v>
      </c>
      <c r="E43" s="108" t="s">
        <v>13</v>
      </c>
      <c r="F43" s="108" t="s">
        <v>48</v>
      </c>
      <c r="G43" s="108" t="s">
        <v>27</v>
      </c>
      <c r="H43" s="126">
        <v>0</v>
      </c>
      <c r="I43" s="126">
        <v>0</v>
      </c>
      <c r="J43" s="108">
        <v>7030010010</v>
      </c>
      <c r="K43" s="108" t="str">
        <f t="shared" si="0"/>
        <v>7030010010</v>
      </c>
      <c r="L43" s="303" t="str">
        <f t="shared" si="1"/>
        <v>60001037030010010129</v>
      </c>
      <c r="M43" s="132"/>
      <c r="N43" s="17">
        <f t="shared" si="2"/>
        <v>0</v>
      </c>
    </row>
    <row r="44" spans="1:14" s="16" customFormat="1" ht="31.5">
      <c r="A44" s="14"/>
      <c r="B44" s="127" t="s">
        <v>38</v>
      </c>
      <c r="C44" s="109" t="s">
        <v>6</v>
      </c>
      <c r="D44" s="108" t="s">
        <v>11</v>
      </c>
      <c r="E44" s="108" t="s">
        <v>13</v>
      </c>
      <c r="F44" s="108" t="s">
        <v>49</v>
      </c>
      <c r="G44" s="108" t="s">
        <v>9</v>
      </c>
      <c r="H44" s="126">
        <v>0</v>
      </c>
      <c r="I44" s="126">
        <v>0</v>
      </c>
      <c r="J44" s="108">
        <v>7030010020</v>
      </c>
      <c r="K44" s="108" t="str">
        <f t="shared" si="0"/>
        <v>7030010020</v>
      </c>
      <c r="L44" s="303" t="str">
        <f t="shared" si="1"/>
        <v>60001037030010020000</v>
      </c>
      <c r="M44" s="132" t="str">
        <f>INDEX('реш СГД № 265'!$A:$N,MATCH('БА расх 2019-2020'!$L44,'реш СГД № 265'!$N:$N,0),3)</f>
        <v>Расходы на выплаты по оплате труда работников органов местного самоуправления города Ставрополя</v>
      </c>
      <c r="N44" s="17">
        <f t="shared" si="2"/>
        <v>1</v>
      </c>
    </row>
    <row r="45" spans="1:14" s="16" customFormat="1" ht="31.5">
      <c r="A45" s="14"/>
      <c r="B45" s="127" t="s">
        <v>20</v>
      </c>
      <c r="C45" s="109" t="s">
        <v>6</v>
      </c>
      <c r="D45" s="108" t="s">
        <v>11</v>
      </c>
      <c r="E45" s="108" t="s">
        <v>13</v>
      </c>
      <c r="F45" s="108" t="s">
        <v>49</v>
      </c>
      <c r="G45" s="108" t="s">
        <v>21</v>
      </c>
      <c r="H45" s="126">
        <v>0</v>
      </c>
      <c r="I45" s="126">
        <v>0</v>
      </c>
      <c r="J45" s="108">
        <v>7030010020</v>
      </c>
      <c r="K45" s="108" t="str">
        <f t="shared" si="0"/>
        <v>7030010020</v>
      </c>
      <c r="L45" s="303" t="str">
        <f t="shared" si="1"/>
        <v>60001037030010020120</v>
      </c>
      <c r="M45" s="132" t="str">
        <f>INDEX('реш СГД № 265'!$A:$N,MATCH('БА расх 2019-2020'!$L45,'реш СГД № 265'!$N:$N,0),3)</f>
        <v>Расходы на выплаты персоналу государственных (муниципальных) органов</v>
      </c>
      <c r="N45" s="17">
        <f t="shared" si="2"/>
        <v>1</v>
      </c>
    </row>
    <row r="46" spans="1:14" s="16" customFormat="1" ht="31.5">
      <c r="A46" s="14"/>
      <c r="B46" s="127" t="s">
        <v>40</v>
      </c>
      <c r="C46" s="109" t="s">
        <v>6</v>
      </c>
      <c r="D46" s="108" t="s">
        <v>11</v>
      </c>
      <c r="E46" s="108" t="s">
        <v>13</v>
      </c>
      <c r="F46" s="108" t="s">
        <v>49</v>
      </c>
      <c r="G46" s="108" t="s">
        <v>41</v>
      </c>
      <c r="H46" s="126">
        <v>0</v>
      </c>
      <c r="I46" s="126">
        <v>0</v>
      </c>
      <c r="J46" s="108">
        <v>7030010020</v>
      </c>
      <c r="K46" s="108" t="str">
        <f t="shared" si="0"/>
        <v>7030010020</v>
      </c>
      <c r="L46" s="303" t="str">
        <f t="shared" si="1"/>
        <v>60001037030010020121</v>
      </c>
      <c r="M46" s="132"/>
      <c r="N46" s="17">
        <f t="shared" si="2"/>
        <v>0</v>
      </c>
    </row>
    <row r="47" spans="1:14" s="16" customFormat="1" ht="63">
      <c r="A47" s="14"/>
      <c r="B47" s="127" t="s">
        <v>26</v>
      </c>
      <c r="C47" s="109" t="s">
        <v>6</v>
      </c>
      <c r="D47" s="108" t="s">
        <v>11</v>
      </c>
      <c r="E47" s="108" t="s">
        <v>13</v>
      </c>
      <c r="F47" s="108" t="s">
        <v>49</v>
      </c>
      <c r="G47" s="108" t="s">
        <v>27</v>
      </c>
      <c r="H47" s="126">
        <v>0</v>
      </c>
      <c r="I47" s="126">
        <v>0</v>
      </c>
      <c r="J47" s="108">
        <v>7030010020</v>
      </c>
      <c r="K47" s="108" t="str">
        <f t="shared" si="0"/>
        <v>7030010020</v>
      </c>
      <c r="L47" s="303" t="str">
        <f t="shared" si="1"/>
        <v>60001037030010020129</v>
      </c>
      <c r="M47" s="132"/>
      <c r="N47" s="17">
        <f t="shared" si="2"/>
        <v>0</v>
      </c>
    </row>
    <row r="48" spans="1:14" s="16" customFormat="1" ht="15.75">
      <c r="A48" s="14"/>
      <c r="B48" s="121" t="s">
        <v>50</v>
      </c>
      <c r="C48" s="122" t="s">
        <v>6</v>
      </c>
      <c r="D48" s="123" t="s">
        <v>11</v>
      </c>
      <c r="E48" s="123" t="s">
        <v>51</v>
      </c>
      <c r="F48" s="123" t="s">
        <v>8</v>
      </c>
      <c r="G48" s="123" t="s">
        <v>9</v>
      </c>
      <c r="H48" s="124">
        <v>0</v>
      </c>
      <c r="I48" s="124">
        <v>0</v>
      </c>
      <c r="J48" s="123">
        <v>0</v>
      </c>
      <c r="K48" s="108" t="str">
        <f t="shared" si="0"/>
        <v>0000000000</v>
      </c>
      <c r="L48" s="303" t="str">
        <f t="shared" si="1"/>
        <v>60001130000000000000</v>
      </c>
      <c r="M48" s="132" t="str">
        <f>INDEX('реш СГД № 265'!$A:$N,MATCH('БА расх 2019-2020'!$L48,'реш СГД № 265'!$N:$N,0),3)</f>
        <v>Другие общегосударственные вопросы</v>
      </c>
      <c r="N48" s="17">
        <f t="shared" si="2"/>
        <v>1</v>
      </c>
    </row>
    <row r="49" spans="1:14" s="16" customFormat="1" ht="31.5">
      <c r="A49" s="14"/>
      <c r="B49" s="125" t="s">
        <v>14</v>
      </c>
      <c r="C49" s="109" t="s">
        <v>6</v>
      </c>
      <c r="D49" s="108" t="s">
        <v>11</v>
      </c>
      <c r="E49" s="108" t="s">
        <v>51</v>
      </c>
      <c r="F49" s="108" t="s">
        <v>15</v>
      </c>
      <c r="G49" s="108" t="s">
        <v>9</v>
      </c>
      <c r="H49" s="126">
        <v>0</v>
      </c>
      <c r="I49" s="126">
        <v>0</v>
      </c>
      <c r="J49" s="108">
        <v>7000000000</v>
      </c>
      <c r="K49" s="108" t="str">
        <f t="shared" si="0"/>
        <v>7000000000</v>
      </c>
      <c r="L49" s="303" t="str">
        <f t="shared" si="1"/>
        <v>60001137000000000000</v>
      </c>
      <c r="M49" s="132" t="str">
        <f>INDEX('реш СГД № 265'!$A:$N,MATCH('БА расх 2019-2020'!$L49,'реш СГД № 265'!$N:$N,0),3)</f>
        <v>Обеспечение деятельности Ставропольской городской Думы</v>
      </c>
      <c r="N49" s="17">
        <f t="shared" si="2"/>
        <v>1</v>
      </c>
    </row>
    <row r="50" spans="1:14" s="16" customFormat="1" ht="15.75">
      <c r="A50" s="14"/>
      <c r="B50" s="125" t="s">
        <v>52</v>
      </c>
      <c r="C50" s="109" t="s">
        <v>6</v>
      </c>
      <c r="D50" s="108" t="s">
        <v>11</v>
      </c>
      <c r="E50" s="108" t="s">
        <v>51</v>
      </c>
      <c r="F50" s="108" t="s">
        <v>53</v>
      </c>
      <c r="G50" s="108" t="s">
        <v>9</v>
      </c>
      <c r="H50" s="126">
        <v>0</v>
      </c>
      <c r="I50" s="126">
        <v>0</v>
      </c>
      <c r="J50" s="108">
        <v>7040000000</v>
      </c>
      <c r="K50" s="108" t="str">
        <f t="shared" si="0"/>
        <v>7040000000</v>
      </c>
      <c r="L50" s="303" t="str">
        <f t="shared" si="1"/>
        <v>60001137040000000000</v>
      </c>
      <c r="M50" s="132" t="str">
        <f>INDEX('реш СГД № 265'!$A:$N,MATCH('БА расх 2019-2020'!$L50,'реш СГД № 265'!$N:$N,0),3)</f>
        <v>Расходы, предусмотренные на иные цели</v>
      </c>
      <c r="N50" s="17">
        <f t="shared" si="2"/>
        <v>1</v>
      </c>
    </row>
    <row r="51" spans="1:14" s="16" customFormat="1" ht="94.5">
      <c r="A51" s="14"/>
      <c r="B51" s="129" t="s">
        <v>54</v>
      </c>
      <c r="C51" s="109" t="s">
        <v>6</v>
      </c>
      <c r="D51" s="108" t="s">
        <v>11</v>
      </c>
      <c r="E51" s="108" t="s">
        <v>51</v>
      </c>
      <c r="F51" s="108" t="s">
        <v>55</v>
      </c>
      <c r="G51" s="108" t="s">
        <v>9</v>
      </c>
      <c r="H51" s="126">
        <v>0</v>
      </c>
      <c r="I51" s="126">
        <v>0</v>
      </c>
      <c r="J51" s="108">
        <v>7040020090</v>
      </c>
      <c r="K51" s="108" t="str">
        <f t="shared" si="0"/>
        <v>7040020090</v>
      </c>
      <c r="L51" s="303" t="str">
        <f t="shared" si="1"/>
        <v>60001137040020090000</v>
      </c>
      <c r="M51" s="132" t="str">
        <f>INDEX('реш СГД № 265'!$A:$N,MATCH('БА расх 2019-2020'!$L51,'реш СГД № 265'!$N:$N,0),3)</f>
        <v>Организация приема и обслуживание официальных лиц и делегаций городов стран дальнего и ближнего зарубежья, регионов Российской Федерации, представителей иностранных посольств и консульств и проведение официальных мероприятий (представительские расходы)</v>
      </c>
      <c r="N51" s="17">
        <f t="shared" si="2"/>
        <v>1</v>
      </c>
    </row>
    <row r="52" spans="1:14" s="16" customFormat="1" ht="31.5">
      <c r="A52" s="14"/>
      <c r="B52" s="125" t="s">
        <v>28</v>
      </c>
      <c r="C52" s="109" t="s">
        <v>6</v>
      </c>
      <c r="D52" s="108" t="s">
        <v>11</v>
      </c>
      <c r="E52" s="108" t="s">
        <v>51</v>
      </c>
      <c r="F52" s="108" t="s">
        <v>55</v>
      </c>
      <c r="G52" s="108" t="s">
        <v>29</v>
      </c>
      <c r="H52" s="126">
        <v>0</v>
      </c>
      <c r="I52" s="126">
        <v>0</v>
      </c>
      <c r="J52" s="108">
        <v>7040020090</v>
      </c>
      <c r="K52" s="108" t="str">
        <f t="shared" si="0"/>
        <v>7040020090</v>
      </c>
      <c r="L52" s="303" t="str">
        <f t="shared" si="1"/>
        <v>60001137040020090240</v>
      </c>
      <c r="M52" s="132" t="str">
        <f>INDEX('реш СГД № 265'!$A:$N,MATCH('БА расх 2019-2020'!$L52,'реш СГД № 265'!$N:$N,0),3)</f>
        <v>Иные закупки товаров, работ и услуг для обеспечения государственных (муниципальных) нужд</v>
      </c>
      <c r="N52" s="17">
        <f t="shared" si="2"/>
        <v>1</v>
      </c>
    </row>
    <row r="53" spans="1:14" s="16" customFormat="1" ht="15.75">
      <c r="A53" s="14"/>
      <c r="B53" s="125" t="s">
        <v>30</v>
      </c>
      <c r="C53" s="109" t="s">
        <v>6</v>
      </c>
      <c r="D53" s="108" t="s">
        <v>11</v>
      </c>
      <c r="E53" s="108" t="s">
        <v>51</v>
      </c>
      <c r="F53" s="108" t="s">
        <v>55</v>
      </c>
      <c r="G53" s="108" t="s">
        <v>31</v>
      </c>
      <c r="H53" s="126">
        <v>0</v>
      </c>
      <c r="I53" s="126">
        <v>0</v>
      </c>
      <c r="J53" s="108">
        <v>7040020090</v>
      </c>
      <c r="K53" s="108" t="str">
        <f t="shared" si="0"/>
        <v>7040020090</v>
      </c>
      <c r="L53" s="303" t="str">
        <f t="shared" si="1"/>
        <v>60001137040020090244</v>
      </c>
      <c r="M53" s="132"/>
      <c r="N53" s="17">
        <f t="shared" si="2"/>
        <v>0</v>
      </c>
    </row>
    <row r="54" spans="1:14" s="6" customFormat="1" ht="15.75">
      <c r="A54" s="1"/>
      <c r="B54" s="117" t="s">
        <v>56</v>
      </c>
      <c r="C54" s="118" t="s">
        <v>6</v>
      </c>
      <c r="D54" s="119" t="s">
        <v>57</v>
      </c>
      <c r="E54" s="119" t="s">
        <v>7</v>
      </c>
      <c r="F54" s="119" t="s">
        <v>8</v>
      </c>
      <c r="G54" s="119" t="s">
        <v>9</v>
      </c>
      <c r="H54" s="120">
        <v>0</v>
      </c>
      <c r="I54" s="120">
        <v>0</v>
      </c>
      <c r="J54" s="119">
        <v>0</v>
      </c>
      <c r="K54" s="108" t="str">
        <f t="shared" si="0"/>
        <v>0000000000</v>
      </c>
      <c r="L54" s="303" t="str">
        <f t="shared" si="1"/>
        <v>60012000000000000000</v>
      </c>
      <c r="M54" s="132" t="str">
        <f>INDEX('реш СГД № 265'!$A:$N,MATCH('БА расх 2019-2020'!$L54,'реш СГД № 265'!$N:$N,0),3)</f>
        <v>Средства массовой информации</v>
      </c>
      <c r="N54" s="17">
        <f t="shared" si="2"/>
        <v>1</v>
      </c>
    </row>
    <row r="55" spans="1:14" s="6" customFormat="1" ht="15.75">
      <c r="A55" s="1"/>
      <c r="B55" s="121" t="s">
        <v>58</v>
      </c>
      <c r="C55" s="122" t="s">
        <v>6</v>
      </c>
      <c r="D55" s="123" t="s">
        <v>57</v>
      </c>
      <c r="E55" s="123" t="s">
        <v>11</v>
      </c>
      <c r="F55" s="123" t="s">
        <v>8</v>
      </c>
      <c r="G55" s="123" t="s">
        <v>9</v>
      </c>
      <c r="H55" s="124">
        <v>0</v>
      </c>
      <c r="I55" s="124">
        <v>0</v>
      </c>
      <c r="J55" s="123">
        <v>0</v>
      </c>
      <c r="K55" s="108" t="str">
        <f t="shared" si="0"/>
        <v>0000000000</v>
      </c>
      <c r="L55" s="303" t="str">
        <f t="shared" si="1"/>
        <v>60012010000000000000</v>
      </c>
      <c r="M55" s="132" t="str">
        <f>INDEX('реш СГД № 265'!$A:$N,MATCH('БА расх 2019-2020'!$L55,'реш СГД № 265'!$N:$N,0),3)</f>
        <v>Телевидение и радиовещание</v>
      </c>
      <c r="N55" s="17">
        <f t="shared" si="2"/>
        <v>1</v>
      </c>
    </row>
    <row r="56" spans="1:14" s="16" customFormat="1" ht="31.5">
      <c r="A56" s="14"/>
      <c r="B56" s="125" t="s">
        <v>14</v>
      </c>
      <c r="C56" s="109" t="s">
        <v>6</v>
      </c>
      <c r="D56" s="108" t="s">
        <v>57</v>
      </c>
      <c r="E56" s="108" t="s">
        <v>11</v>
      </c>
      <c r="F56" s="108" t="s">
        <v>15</v>
      </c>
      <c r="G56" s="108" t="s">
        <v>9</v>
      </c>
      <c r="H56" s="126">
        <v>0</v>
      </c>
      <c r="I56" s="126">
        <v>0</v>
      </c>
      <c r="J56" s="108">
        <v>7000000000</v>
      </c>
      <c r="K56" s="108" t="str">
        <f t="shared" si="0"/>
        <v>7000000000</v>
      </c>
      <c r="L56" s="303" t="str">
        <f t="shared" si="1"/>
        <v>60012017000000000000</v>
      </c>
      <c r="M56" s="132" t="str">
        <f>INDEX('реш СГД № 265'!$A:$N,MATCH('БА расх 2019-2020'!$L56,'реш СГД № 265'!$N:$N,0),3)</f>
        <v>Обеспечение деятельности Ставропольской городской Думы</v>
      </c>
      <c r="N56" s="17">
        <f t="shared" si="2"/>
        <v>1</v>
      </c>
    </row>
    <row r="57" spans="1:14" s="16" customFormat="1" ht="15.75">
      <c r="A57" s="14"/>
      <c r="B57" s="125" t="s">
        <v>52</v>
      </c>
      <c r="C57" s="109" t="s">
        <v>6</v>
      </c>
      <c r="D57" s="108" t="s">
        <v>57</v>
      </c>
      <c r="E57" s="108" t="s">
        <v>11</v>
      </c>
      <c r="F57" s="108" t="s">
        <v>53</v>
      </c>
      <c r="G57" s="108" t="s">
        <v>9</v>
      </c>
      <c r="H57" s="126">
        <v>0</v>
      </c>
      <c r="I57" s="126">
        <v>0</v>
      </c>
      <c r="J57" s="108">
        <v>7040000000</v>
      </c>
      <c r="K57" s="108" t="str">
        <f t="shared" si="0"/>
        <v>7040000000</v>
      </c>
      <c r="L57" s="303" t="str">
        <f t="shared" si="1"/>
        <v>60012017040000000000</v>
      </c>
      <c r="M57" s="132" t="str">
        <f>INDEX('реш СГД № 265'!$A:$N,MATCH('БА расх 2019-2020'!$L57,'реш СГД № 265'!$N:$N,0),3)</f>
        <v>Расходы, предусмотренные на иные цели</v>
      </c>
      <c r="N57" s="17">
        <f t="shared" si="2"/>
        <v>1</v>
      </c>
    </row>
    <row r="58" spans="1:14" s="16" customFormat="1" ht="31.5">
      <c r="A58" s="14"/>
      <c r="B58" s="125" t="s">
        <v>59</v>
      </c>
      <c r="C58" s="109" t="s">
        <v>6</v>
      </c>
      <c r="D58" s="108" t="s">
        <v>57</v>
      </c>
      <c r="E58" s="108" t="s">
        <v>11</v>
      </c>
      <c r="F58" s="108" t="s">
        <v>60</v>
      </c>
      <c r="G58" s="108" t="s">
        <v>9</v>
      </c>
      <c r="H58" s="126">
        <v>0</v>
      </c>
      <c r="I58" s="126">
        <v>0</v>
      </c>
      <c r="J58" s="108">
        <v>7040098710</v>
      </c>
      <c r="K58" s="108" t="str">
        <f t="shared" si="0"/>
        <v>7040098710</v>
      </c>
      <c r="L58" s="303" t="str">
        <f t="shared" si="1"/>
        <v>60012017040098710000</v>
      </c>
      <c r="M58" s="132" t="str">
        <f>INDEX('реш СГД № 265'!$A:$N,MATCH('БА расх 2019-2020'!$L58,'реш СГД № 265'!$N:$N,0),3)</f>
        <v>Расходы на оказание информационных услуг средствами массовой информации</v>
      </c>
      <c r="N58" s="17">
        <f t="shared" si="2"/>
        <v>1</v>
      </c>
    </row>
    <row r="59" spans="1:14" s="16" customFormat="1" ht="31.5">
      <c r="A59" s="14"/>
      <c r="B59" s="125" t="s">
        <v>28</v>
      </c>
      <c r="C59" s="109" t="s">
        <v>6</v>
      </c>
      <c r="D59" s="108" t="s">
        <v>57</v>
      </c>
      <c r="E59" s="108" t="s">
        <v>11</v>
      </c>
      <c r="F59" s="108" t="s">
        <v>60</v>
      </c>
      <c r="G59" s="108" t="s">
        <v>29</v>
      </c>
      <c r="H59" s="126">
        <v>0</v>
      </c>
      <c r="I59" s="126">
        <v>0</v>
      </c>
      <c r="J59" s="108">
        <v>7040098710</v>
      </c>
      <c r="K59" s="108" t="str">
        <f t="shared" si="0"/>
        <v>7040098710</v>
      </c>
      <c r="L59" s="303" t="str">
        <f t="shared" si="1"/>
        <v>60012017040098710240</v>
      </c>
      <c r="M59" s="132" t="str">
        <f>INDEX('реш СГД № 265'!$A:$N,MATCH('БА расх 2019-2020'!$L59,'реш СГД № 265'!$N:$N,0),3)</f>
        <v>Иные закупки товаров, работ и услуг для обеспечения государственных (муниципальных) нужд</v>
      </c>
      <c r="N59" s="17">
        <f t="shared" si="2"/>
        <v>1</v>
      </c>
    </row>
    <row r="60" spans="1:14" s="16" customFormat="1" ht="15.75">
      <c r="A60" s="14"/>
      <c r="B60" s="125" t="s">
        <v>30</v>
      </c>
      <c r="C60" s="109" t="s">
        <v>6</v>
      </c>
      <c r="D60" s="108" t="s">
        <v>57</v>
      </c>
      <c r="E60" s="108" t="s">
        <v>11</v>
      </c>
      <c r="F60" s="108" t="s">
        <v>60</v>
      </c>
      <c r="G60" s="108" t="s">
        <v>31</v>
      </c>
      <c r="H60" s="126">
        <v>0</v>
      </c>
      <c r="I60" s="126">
        <v>0</v>
      </c>
      <c r="J60" s="108">
        <v>7040098710</v>
      </c>
      <c r="K60" s="108" t="str">
        <f t="shared" si="0"/>
        <v>7040098710</v>
      </c>
      <c r="L60" s="303" t="str">
        <f t="shared" si="1"/>
        <v>60012017040098710244</v>
      </c>
      <c r="M60" s="132"/>
      <c r="N60" s="17">
        <f t="shared" si="2"/>
        <v>0</v>
      </c>
    </row>
    <row r="61" spans="1:14" s="16" customFormat="1" ht="15.75">
      <c r="A61" s="14"/>
      <c r="B61" s="121" t="s">
        <v>61</v>
      </c>
      <c r="C61" s="122" t="s">
        <v>6</v>
      </c>
      <c r="D61" s="123" t="s">
        <v>57</v>
      </c>
      <c r="E61" s="123" t="s">
        <v>62</v>
      </c>
      <c r="F61" s="123" t="s">
        <v>8</v>
      </c>
      <c r="G61" s="123" t="s">
        <v>9</v>
      </c>
      <c r="H61" s="124">
        <v>0</v>
      </c>
      <c r="I61" s="124">
        <v>0</v>
      </c>
      <c r="J61" s="123">
        <v>0</v>
      </c>
      <c r="K61" s="108" t="str">
        <f t="shared" si="0"/>
        <v>0000000000</v>
      </c>
      <c r="L61" s="303" t="str">
        <f t="shared" si="1"/>
        <v>60012020000000000000</v>
      </c>
      <c r="M61" s="132" t="str">
        <f>INDEX('реш СГД № 265'!$A:$N,MATCH('БА расх 2019-2020'!$L61,'реш СГД № 265'!$N:$N,0),3)</f>
        <v>Периодическая печать и издательства</v>
      </c>
      <c r="N61" s="17">
        <f t="shared" si="2"/>
        <v>1</v>
      </c>
    </row>
    <row r="62" spans="1:14" s="16" customFormat="1" ht="31.5">
      <c r="A62" s="14"/>
      <c r="B62" s="125" t="s">
        <v>14</v>
      </c>
      <c r="C62" s="109" t="s">
        <v>6</v>
      </c>
      <c r="D62" s="108" t="s">
        <v>57</v>
      </c>
      <c r="E62" s="108" t="s">
        <v>62</v>
      </c>
      <c r="F62" s="108" t="s">
        <v>15</v>
      </c>
      <c r="G62" s="108" t="s">
        <v>9</v>
      </c>
      <c r="H62" s="126">
        <v>0</v>
      </c>
      <c r="I62" s="126">
        <v>0</v>
      </c>
      <c r="J62" s="108">
        <v>7000000000</v>
      </c>
      <c r="K62" s="108" t="str">
        <f t="shared" si="0"/>
        <v>7000000000</v>
      </c>
      <c r="L62" s="303" t="str">
        <f t="shared" si="1"/>
        <v>60012027000000000000</v>
      </c>
      <c r="M62" s="132" t="str">
        <f>INDEX('реш СГД № 265'!$A:$N,MATCH('БА расх 2019-2020'!$L62,'реш СГД № 265'!$N:$N,0),3)</f>
        <v>Обеспечение деятельности Ставропольской городской Думы</v>
      </c>
      <c r="N62" s="17">
        <f t="shared" si="2"/>
        <v>1</v>
      </c>
    </row>
    <row r="63" spans="1:14" s="16" customFormat="1" ht="15.75">
      <c r="A63" s="14"/>
      <c r="B63" s="125" t="s">
        <v>52</v>
      </c>
      <c r="C63" s="109" t="s">
        <v>6</v>
      </c>
      <c r="D63" s="108" t="s">
        <v>57</v>
      </c>
      <c r="E63" s="108" t="s">
        <v>62</v>
      </c>
      <c r="F63" s="108" t="s">
        <v>53</v>
      </c>
      <c r="G63" s="108" t="s">
        <v>9</v>
      </c>
      <c r="H63" s="126">
        <v>0</v>
      </c>
      <c r="I63" s="126">
        <v>0</v>
      </c>
      <c r="J63" s="108">
        <v>7040000000</v>
      </c>
      <c r="K63" s="108" t="str">
        <f t="shared" si="0"/>
        <v>7040000000</v>
      </c>
      <c r="L63" s="303" t="str">
        <f t="shared" si="1"/>
        <v>60012027040000000000</v>
      </c>
      <c r="M63" s="132" t="str">
        <f>INDEX('реш СГД № 265'!$A:$N,MATCH('БА расх 2019-2020'!$L63,'реш СГД № 265'!$N:$N,0),3)</f>
        <v>Расходы, предусмотренные на иные цели</v>
      </c>
      <c r="N63" s="17">
        <f t="shared" si="2"/>
        <v>1</v>
      </c>
    </row>
    <row r="64" spans="1:14" s="16" customFormat="1" ht="31.5">
      <c r="A64" s="14"/>
      <c r="B64" s="125" t="s">
        <v>59</v>
      </c>
      <c r="C64" s="109" t="s">
        <v>6</v>
      </c>
      <c r="D64" s="108" t="s">
        <v>57</v>
      </c>
      <c r="E64" s="108" t="s">
        <v>62</v>
      </c>
      <c r="F64" s="108" t="s">
        <v>60</v>
      </c>
      <c r="G64" s="108" t="s">
        <v>9</v>
      </c>
      <c r="H64" s="126">
        <v>0</v>
      </c>
      <c r="I64" s="126">
        <v>0</v>
      </c>
      <c r="J64" s="108">
        <v>7040098710</v>
      </c>
      <c r="K64" s="108" t="str">
        <f t="shared" si="0"/>
        <v>7040098710</v>
      </c>
      <c r="L64" s="303" t="str">
        <f t="shared" si="1"/>
        <v>60012027040098710000</v>
      </c>
      <c r="M64" s="132" t="str">
        <f>INDEX('реш СГД № 265'!$A:$N,MATCH('БА расх 2019-2020'!$L64,'реш СГД № 265'!$N:$N,0),3)</f>
        <v>Расходы на оказание информационных услуг средствами массовой информации</v>
      </c>
      <c r="N64" s="17">
        <f t="shared" si="2"/>
        <v>1</v>
      </c>
    </row>
    <row r="65" spans="1:14" s="16" customFormat="1" ht="31.5">
      <c r="A65" s="14"/>
      <c r="B65" s="125" t="s">
        <v>28</v>
      </c>
      <c r="C65" s="109" t="s">
        <v>6</v>
      </c>
      <c r="D65" s="108" t="s">
        <v>57</v>
      </c>
      <c r="E65" s="108" t="s">
        <v>62</v>
      </c>
      <c r="F65" s="108" t="s">
        <v>60</v>
      </c>
      <c r="G65" s="108" t="s">
        <v>29</v>
      </c>
      <c r="H65" s="126">
        <v>0</v>
      </c>
      <c r="I65" s="126">
        <v>0</v>
      </c>
      <c r="J65" s="108">
        <v>7040098710</v>
      </c>
      <c r="K65" s="108" t="str">
        <f t="shared" si="0"/>
        <v>7040098710</v>
      </c>
      <c r="L65" s="303" t="str">
        <f t="shared" si="1"/>
        <v>60012027040098710240</v>
      </c>
      <c r="M65" s="132" t="str">
        <f>INDEX('реш СГД № 265'!$A:$N,MATCH('БА расх 2019-2020'!$L65,'реш СГД № 265'!$N:$N,0),3)</f>
        <v>Иные закупки товаров, работ и услуг для обеспечения государственных (муниципальных) нужд</v>
      </c>
      <c r="N65" s="17">
        <f t="shared" si="2"/>
        <v>1</v>
      </c>
    </row>
    <row r="66" spans="1:14" s="16" customFormat="1" ht="15.75">
      <c r="A66" s="14"/>
      <c r="B66" s="125" t="s">
        <v>30</v>
      </c>
      <c r="C66" s="109" t="s">
        <v>6</v>
      </c>
      <c r="D66" s="108" t="s">
        <v>57</v>
      </c>
      <c r="E66" s="108" t="s">
        <v>62</v>
      </c>
      <c r="F66" s="108" t="s">
        <v>60</v>
      </c>
      <c r="G66" s="108" t="s">
        <v>31</v>
      </c>
      <c r="H66" s="126">
        <v>0</v>
      </c>
      <c r="I66" s="126">
        <v>0</v>
      </c>
      <c r="J66" s="108">
        <v>7040098710</v>
      </c>
      <c r="K66" s="108" t="str">
        <f t="shared" si="0"/>
        <v>7040098710</v>
      </c>
      <c r="L66" s="303" t="str">
        <f t="shared" si="1"/>
        <v>60012027040098710244</v>
      </c>
      <c r="M66" s="132"/>
      <c r="N66" s="17">
        <f t="shared" si="2"/>
        <v>0</v>
      </c>
    </row>
    <row r="67" spans="1:14" s="16" customFormat="1" ht="15.75">
      <c r="A67" s="14"/>
      <c r="B67" s="125"/>
      <c r="C67" s="109"/>
      <c r="D67" s="108"/>
      <c r="E67" s="108"/>
      <c r="F67" s="108"/>
      <c r="G67" s="108"/>
      <c r="H67" s="126"/>
      <c r="I67" s="126"/>
      <c r="J67" s="108"/>
      <c r="K67" s="108" t="str">
        <f t="shared" si="0"/>
        <v>0000000000</v>
      </c>
      <c r="L67" s="303" t="str">
        <f t="shared" si="1"/>
        <v>0000000000</v>
      </c>
      <c r="M67" s="132">
        <f>INDEX('реш СГД № 265'!$A:$N,MATCH('БА расх 2019-2020'!$L67,'реш СГД № 265'!$N:$N,0),3)</f>
        <v>0</v>
      </c>
      <c r="N67" s="17">
        <f t="shared" si="2"/>
        <v>1</v>
      </c>
    </row>
    <row r="68" spans="1:14" s="16" customFormat="1" ht="15.75">
      <c r="A68" s="14"/>
      <c r="B68" s="67" t="s">
        <v>63</v>
      </c>
      <c r="C68" s="116" t="s">
        <v>64</v>
      </c>
      <c r="D68" s="69" t="s">
        <v>7</v>
      </c>
      <c r="E68" s="69" t="s">
        <v>7</v>
      </c>
      <c r="F68" s="69" t="s">
        <v>8</v>
      </c>
      <c r="G68" s="69" t="s">
        <v>9</v>
      </c>
      <c r="H68" s="70">
        <v>0</v>
      </c>
      <c r="I68" s="70">
        <v>0</v>
      </c>
      <c r="J68" s="69">
        <v>0</v>
      </c>
      <c r="K68" s="108" t="str">
        <f t="shared" si="0"/>
        <v>0000000000</v>
      </c>
      <c r="L68" s="303" t="str">
        <f t="shared" si="1"/>
        <v>60100000000000000000</v>
      </c>
      <c r="M68" s="132" t="str">
        <f>INDEX('реш СГД № 265'!$A:$N,MATCH('БА расх 2019-2020'!$L68,'реш СГД № 265'!$N:$N,0),3)</f>
        <v>Администрация города Ставрополя</v>
      </c>
      <c r="N68" s="17">
        <f t="shared" si="2"/>
        <v>1</v>
      </c>
    </row>
    <row r="69" spans="1:14" s="16" customFormat="1" ht="15.75">
      <c r="A69" s="14"/>
      <c r="B69" s="117" t="s">
        <v>10</v>
      </c>
      <c r="C69" s="118" t="s">
        <v>64</v>
      </c>
      <c r="D69" s="119" t="s">
        <v>11</v>
      </c>
      <c r="E69" s="119" t="s">
        <v>7</v>
      </c>
      <c r="F69" s="119" t="s">
        <v>8</v>
      </c>
      <c r="G69" s="119" t="s">
        <v>9</v>
      </c>
      <c r="H69" s="120">
        <v>0</v>
      </c>
      <c r="I69" s="120">
        <v>0</v>
      </c>
      <c r="J69" s="119">
        <v>0</v>
      </c>
      <c r="K69" s="108" t="str">
        <f t="shared" si="0"/>
        <v>0000000000</v>
      </c>
      <c r="L69" s="303" t="str">
        <f t="shared" si="1"/>
        <v>60101000000000000000</v>
      </c>
      <c r="M69" s="132" t="str">
        <f>INDEX('реш СГД № 265'!$A:$N,MATCH('БА расх 2019-2020'!$L69,'реш СГД № 265'!$N:$N,0),3)</f>
        <v>Общегосударственные вопросы</v>
      </c>
      <c r="N69" s="17">
        <f t="shared" si="2"/>
        <v>1</v>
      </c>
    </row>
    <row r="70" spans="1:14" s="16" customFormat="1" ht="47.25">
      <c r="A70" s="14"/>
      <c r="B70" s="121" t="s">
        <v>65</v>
      </c>
      <c r="C70" s="122" t="s">
        <v>64</v>
      </c>
      <c r="D70" s="123" t="s">
        <v>11</v>
      </c>
      <c r="E70" s="123" t="s">
        <v>62</v>
      </c>
      <c r="F70" s="123" t="s">
        <v>8</v>
      </c>
      <c r="G70" s="123" t="s">
        <v>9</v>
      </c>
      <c r="H70" s="124">
        <v>0</v>
      </c>
      <c r="I70" s="124">
        <v>0</v>
      </c>
      <c r="J70" s="123">
        <v>0</v>
      </c>
      <c r="K70" s="108" t="str">
        <f t="shared" si="0"/>
        <v>0000000000</v>
      </c>
      <c r="L70" s="303" t="str">
        <f t="shared" si="1"/>
        <v>60101020000000000000</v>
      </c>
      <c r="M70" s="132" t="str">
        <f>INDEX('реш СГД № 265'!$A:$N,MATCH('БА расх 2019-2020'!$L70,'реш СГД № 265'!$N:$N,0),3)</f>
        <v>Функционирование высшего должностного лица субъекта Российской Федерации и муниципального образования</v>
      </c>
      <c r="N70" s="17">
        <f t="shared" si="2"/>
        <v>1</v>
      </c>
    </row>
    <row r="71" spans="1:14" s="16" customFormat="1" ht="31.5">
      <c r="A71" s="14"/>
      <c r="B71" s="129" t="s">
        <v>66</v>
      </c>
      <c r="C71" s="109" t="s">
        <v>64</v>
      </c>
      <c r="D71" s="108" t="s">
        <v>11</v>
      </c>
      <c r="E71" s="108" t="s">
        <v>62</v>
      </c>
      <c r="F71" s="108" t="s">
        <v>67</v>
      </c>
      <c r="G71" s="108" t="s">
        <v>9</v>
      </c>
      <c r="H71" s="126">
        <v>0</v>
      </c>
      <c r="I71" s="126">
        <v>0</v>
      </c>
      <c r="J71" s="108">
        <v>7100000000</v>
      </c>
      <c r="K71" s="108" t="str">
        <f t="shared" si="0"/>
        <v>7100000000</v>
      </c>
      <c r="L71" s="303" t="str">
        <f t="shared" si="1"/>
        <v>60101027100000000000</v>
      </c>
      <c r="M71" s="132" t="str">
        <f>INDEX('реш СГД № 265'!$A:$N,MATCH('БА расх 2019-2020'!$L71,'реш СГД № 265'!$N:$N,0),3)</f>
        <v>Обеспечение деятельности администрации города Ставрополя</v>
      </c>
      <c r="N71" s="17">
        <f t="shared" si="2"/>
        <v>1</v>
      </c>
    </row>
    <row r="72" spans="1:14" s="16" customFormat="1" ht="15.75">
      <c r="A72" s="14"/>
      <c r="B72" s="125" t="s">
        <v>68</v>
      </c>
      <c r="C72" s="109" t="s">
        <v>64</v>
      </c>
      <c r="D72" s="108" t="s">
        <v>11</v>
      </c>
      <c r="E72" s="108" t="s">
        <v>62</v>
      </c>
      <c r="F72" s="108" t="s">
        <v>69</v>
      </c>
      <c r="G72" s="108" t="s">
        <v>9</v>
      </c>
      <c r="H72" s="126">
        <v>0</v>
      </c>
      <c r="I72" s="126">
        <v>0</v>
      </c>
      <c r="J72" s="108">
        <v>7120000000</v>
      </c>
      <c r="K72" s="108" t="str">
        <f t="shared" si="0"/>
        <v>7120000000</v>
      </c>
      <c r="L72" s="303" t="str">
        <f t="shared" si="1"/>
        <v>60101027120000000000</v>
      </c>
      <c r="M72" s="132" t="str">
        <f>INDEX('реш СГД № 265'!$A:$N,MATCH('БА расх 2019-2020'!$L72,'реш СГД № 265'!$N:$N,0),3)</f>
        <v>Глава муниципального образования</v>
      </c>
      <c r="N72" s="17">
        <f t="shared" si="2"/>
        <v>1</v>
      </c>
    </row>
    <row r="73" spans="1:14" s="16" customFormat="1" ht="31.5">
      <c r="A73" s="14"/>
      <c r="B73" s="125" t="s">
        <v>18</v>
      </c>
      <c r="C73" s="109" t="s">
        <v>64</v>
      </c>
      <c r="D73" s="108" t="s">
        <v>11</v>
      </c>
      <c r="E73" s="108" t="s">
        <v>62</v>
      </c>
      <c r="F73" s="108" t="s">
        <v>70</v>
      </c>
      <c r="G73" s="108" t="s">
        <v>9</v>
      </c>
      <c r="H73" s="126">
        <v>0</v>
      </c>
      <c r="I73" s="126">
        <v>0</v>
      </c>
      <c r="J73" s="108">
        <v>7120010010</v>
      </c>
      <c r="K73" s="108" t="str">
        <f t="shared" si="0"/>
        <v>7120010010</v>
      </c>
      <c r="L73" s="303" t="str">
        <f t="shared" si="1"/>
        <v>60101027120010010000</v>
      </c>
      <c r="M73" s="132" t="str">
        <f>INDEX('реш СГД № 265'!$A:$N,MATCH('БА расх 2019-2020'!$L73,'реш СГД № 265'!$N:$N,0),3)</f>
        <v>Расходы на обеспечение функций органов местного самоуправления города Ставрополя</v>
      </c>
      <c r="N73" s="17">
        <f t="shared" si="2"/>
        <v>1</v>
      </c>
    </row>
    <row r="74" spans="1:14" s="16" customFormat="1" ht="31.5">
      <c r="A74" s="14"/>
      <c r="B74" s="127" t="s">
        <v>20</v>
      </c>
      <c r="C74" s="109" t="s">
        <v>64</v>
      </c>
      <c r="D74" s="108" t="s">
        <v>11</v>
      </c>
      <c r="E74" s="108" t="s">
        <v>62</v>
      </c>
      <c r="F74" s="108" t="s">
        <v>70</v>
      </c>
      <c r="G74" s="108" t="s">
        <v>21</v>
      </c>
      <c r="H74" s="126">
        <v>0</v>
      </c>
      <c r="I74" s="126">
        <v>0</v>
      </c>
      <c r="J74" s="108">
        <v>7120010010</v>
      </c>
      <c r="K74" s="108" t="str">
        <f t="shared" si="0"/>
        <v>7120010010</v>
      </c>
      <c r="L74" s="303" t="str">
        <f t="shared" si="1"/>
        <v>60101027120010010120</v>
      </c>
      <c r="M74" s="132" t="str">
        <f>INDEX('реш СГД № 265'!$A:$N,MATCH('БА расх 2019-2020'!$L74,'реш СГД № 265'!$N:$N,0),3)</f>
        <v>Расходы на выплаты персоналу государственных (муниципальных) органов</v>
      </c>
      <c r="N74" s="17">
        <f t="shared" si="2"/>
        <v>1</v>
      </c>
    </row>
    <row r="75" spans="1:14" s="23" customFormat="1" ht="47.25">
      <c r="A75" s="21"/>
      <c r="B75" s="127" t="s">
        <v>22</v>
      </c>
      <c r="C75" s="109" t="s">
        <v>64</v>
      </c>
      <c r="D75" s="108" t="s">
        <v>11</v>
      </c>
      <c r="E75" s="108" t="s">
        <v>62</v>
      </c>
      <c r="F75" s="108" t="s">
        <v>70</v>
      </c>
      <c r="G75" s="108" t="s">
        <v>23</v>
      </c>
      <c r="H75" s="126">
        <v>0</v>
      </c>
      <c r="I75" s="126">
        <v>0</v>
      </c>
      <c r="J75" s="108">
        <v>7120010010</v>
      </c>
      <c r="K75" s="108" t="str">
        <f t="shared" ref="K75:K138" si="3">TEXT(J75,"0000000000")</f>
        <v>7120010010</v>
      </c>
      <c r="L75" s="303" t="str">
        <f t="shared" si="1"/>
        <v>60101027120010010122</v>
      </c>
      <c r="M75" s="132"/>
      <c r="N75" s="17">
        <f t="shared" si="2"/>
        <v>0</v>
      </c>
    </row>
    <row r="76" spans="1:14" s="23" customFormat="1" ht="63">
      <c r="A76" s="21"/>
      <c r="B76" s="127" t="s">
        <v>26</v>
      </c>
      <c r="C76" s="109" t="s">
        <v>64</v>
      </c>
      <c r="D76" s="108" t="s">
        <v>11</v>
      </c>
      <c r="E76" s="108" t="s">
        <v>62</v>
      </c>
      <c r="F76" s="108" t="s">
        <v>70</v>
      </c>
      <c r="G76" s="108" t="s">
        <v>27</v>
      </c>
      <c r="H76" s="126">
        <v>0</v>
      </c>
      <c r="I76" s="126">
        <v>0</v>
      </c>
      <c r="J76" s="108">
        <v>7120010010</v>
      </c>
      <c r="K76" s="108" t="str">
        <f t="shared" si="3"/>
        <v>7120010010</v>
      </c>
      <c r="L76" s="303" t="str">
        <f t="shared" ref="L76:L139" si="4">C76&amp;D76&amp;E76&amp;K76&amp;G76</f>
        <v>60101027120010010129</v>
      </c>
      <c r="M76" s="132"/>
      <c r="N76" s="17">
        <f t="shared" ref="N76:N139" si="5">IF(B76=M76,1,0)</f>
        <v>0</v>
      </c>
    </row>
    <row r="77" spans="1:14" s="16" customFormat="1" ht="31.5">
      <c r="A77" s="14"/>
      <c r="B77" s="125" t="s">
        <v>38</v>
      </c>
      <c r="C77" s="109" t="s">
        <v>64</v>
      </c>
      <c r="D77" s="108" t="s">
        <v>11</v>
      </c>
      <c r="E77" s="108" t="s">
        <v>62</v>
      </c>
      <c r="F77" s="108" t="s">
        <v>71</v>
      </c>
      <c r="G77" s="108" t="s">
        <v>9</v>
      </c>
      <c r="H77" s="126">
        <v>0</v>
      </c>
      <c r="I77" s="126">
        <v>0</v>
      </c>
      <c r="J77" s="108">
        <v>7120010020</v>
      </c>
      <c r="K77" s="108" t="str">
        <f t="shared" si="3"/>
        <v>7120010020</v>
      </c>
      <c r="L77" s="303" t="str">
        <f t="shared" si="4"/>
        <v>60101027120010020000</v>
      </c>
      <c r="M77" s="132" t="str">
        <f>INDEX('реш СГД № 265'!$A:$N,MATCH('БА расх 2019-2020'!$L77,'реш СГД № 265'!$N:$N,0),3)</f>
        <v>Расходы на выплаты по оплате труда работников органов местного самоуправления города Ставрополя</v>
      </c>
      <c r="N77" s="17">
        <f t="shared" si="5"/>
        <v>1</v>
      </c>
    </row>
    <row r="78" spans="1:14" s="16" customFormat="1" ht="31.5">
      <c r="A78" s="14"/>
      <c r="B78" s="127" t="s">
        <v>20</v>
      </c>
      <c r="C78" s="109" t="s">
        <v>64</v>
      </c>
      <c r="D78" s="108" t="s">
        <v>11</v>
      </c>
      <c r="E78" s="108" t="s">
        <v>62</v>
      </c>
      <c r="F78" s="108" t="s">
        <v>71</v>
      </c>
      <c r="G78" s="108" t="s">
        <v>21</v>
      </c>
      <c r="H78" s="126">
        <v>0</v>
      </c>
      <c r="I78" s="126">
        <v>0</v>
      </c>
      <c r="J78" s="108">
        <v>7120010020</v>
      </c>
      <c r="K78" s="108" t="str">
        <f t="shared" si="3"/>
        <v>7120010020</v>
      </c>
      <c r="L78" s="303" t="str">
        <f t="shared" si="4"/>
        <v>60101027120010020120</v>
      </c>
      <c r="M78" s="132" t="str">
        <f>INDEX('реш СГД № 265'!$A:$N,MATCH('БА расх 2019-2020'!$L78,'реш СГД № 265'!$N:$N,0),3)</f>
        <v>Расходы на выплаты персоналу государственных (муниципальных) органов</v>
      </c>
      <c r="N78" s="17">
        <f t="shared" si="5"/>
        <v>1</v>
      </c>
    </row>
    <row r="79" spans="1:14" s="23" customFormat="1" ht="31.5">
      <c r="A79" s="21"/>
      <c r="B79" s="127" t="s">
        <v>40</v>
      </c>
      <c r="C79" s="109" t="s">
        <v>64</v>
      </c>
      <c r="D79" s="108" t="s">
        <v>11</v>
      </c>
      <c r="E79" s="108" t="s">
        <v>62</v>
      </c>
      <c r="F79" s="108" t="s">
        <v>71</v>
      </c>
      <c r="G79" s="108" t="s">
        <v>41</v>
      </c>
      <c r="H79" s="126">
        <v>0</v>
      </c>
      <c r="I79" s="126">
        <v>0</v>
      </c>
      <c r="J79" s="108">
        <v>7120010020</v>
      </c>
      <c r="K79" s="108" t="str">
        <f t="shared" si="3"/>
        <v>7120010020</v>
      </c>
      <c r="L79" s="303" t="str">
        <f t="shared" si="4"/>
        <v>60101027120010020121</v>
      </c>
      <c r="M79" s="132"/>
      <c r="N79" s="17">
        <f t="shared" si="5"/>
        <v>0</v>
      </c>
    </row>
    <row r="80" spans="1:14" s="23" customFormat="1" ht="63">
      <c r="A80" s="21"/>
      <c r="B80" s="127" t="s">
        <v>26</v>
      </c>
      <c r="C80" s="109" t="s">
        <v>64</v>
      </c>
      <c r="D80" s="108" t="s">
        <v>11</v>
      </c>
      <c r="E80" s="108" t="s">
        <v>62</v>
      </c>
      <c r="F80" s="108" t="s">
        <v>71</v>
      </c>
      <c r="G80" s="108" t="s">
        <v>27</v>
      </c>
      <c r="H80" s="126">
        <v>0</v>
      </c>
      <c r="I80" s="126">
        <v>0</v>
      </c>
      <c r="J80" s="108">
        <v>7120010020</v>
      </c>
      <c r="K80" s="108" t="str">
        <f t="shared" si="3"/>
        <v>7120010020</v>
      </c>
      <c r="L80" s="303" t="str">
        <f t="shared" si="4"/>
        <v>60101027120010020129</v>
      </c>
      <c r="M80" s="132"/>
      <c r="N80" s="17">
        <f t="shared" si="5"/>
        <v>0</v>
      </c>
    </row>
    <row r="81" spans="1:14" s="16" customFormat="1" ht="63">
      <c r="A81" s="14"/>
      <c r="B81" s="121" t="s">
        <v>72</v>
      </c>
      <c r="C81" s="122" t="s">
        <v>64</v>
      </c>
      <c r="D81" s="123" t="s">
        <v>11</v>
      </c>
      <c r="E81" s="123" t="s">
        <v>73</v>
      </c>
      <c r="F81" s="123" t="s">
        <v>8</v>
      </c>
      <c r="G81" s="123" t="s">
        <v>9</v>
      </c>
      <c r="H81" s="124">
        <v>0</v>
      </c>
      <c r="I81" s="124">
        <v>0</v>
      </c>
      <c r="J81" s="123">
        <v>0</v>
      </c>
      <c r="K81" s="108" t="str">
        <f t="shared" si="3"/>
        <v>0000000000</v>
      </c>
      <c r="L81" s="303" t="str">
        <f t="shared" si="4"/>
        <v>60101040000000000000</v>
      </c>
      <c r="M81" s="132" t="str">
        <f>INDEX('реш СГД № 265'!$A:$N,MATCH('БА расх 2019-2020'!$L81,'реш СГД № 265'!$N:$N,0),3)</f>
        <v>Функционирование Правительства Российской Федерации, высших исполнительных органов государственной власти субъектов Российской Федерации, местных администраций</v>
      </c>
      <c r="N81" s="17">
        <f t="shared" si="5"/>
        <v>1</v>
      </c>
    </row>
    <row r="82" spans="1:14" s="16" customFormat="1" ht="31.5">
      <c r="A82" s="14"/>
      <c r="B82" s="129" t="s">
        <v>66</v>
      </c>
      <c r="C82" s="109" t="s">
        <v>64</v>
      </c>
      <c r="D82" s="108" t="s">
        <v>11</v>
      </c>
      <c r="E82" s="108" t="s">
        <v>73</v>
      </c>
      <c r="F82" s="108" t="s">
        <v>67</v>
      </c>
      <c r="G82" s="108" t="s">
        <v>9</v>
      </c>
      <c r="H82" s="126">
        <v>0</v>
      </c>
      <c r="I82" s="126">
        <v>0</v>
      </c>
      <c r="J82" s="108">
        <v>7100000000</v>
      </c>
      <c r="K82" s="108" t="str">
        <f t="shared" si="3"/>
        <v>7100000000</v>
      </c>
      <c r="L82" s="303" t="str">
        <f t="shared" si="4"/>
        <v>60101047100000000000</v>
      </c>
      <c r="M82" s="132" t="str">
        <f>INDEX('реш СГД № 265'!$A:$N,MATCH('БА расх 2019-2020'!$L82,'реш СГД № 265'!$N:$N,0),3)</f>
        <v>Обеспечение деятельности администрации города Ставрополя</v>
      </c>
      <c r="N82" s="17">
        <f t="shared" si="5"/>
        <v>1</v>
      </c>
    </row>
    <row r="83" spans="1:14" s="16" customFormat="1" ht="31.5">
      <c r="A83" s="14"/>
      <c r="B83" s="129" t="s">
        <v>74</v>
      </c>
      <c r="C83" s="109" t="s">
        <v>64</v>
      </c>
      <c r="D83" s="108" t="s">
        <v>11</v>
      </c>
      <c r="E83" s="108" t="s">
        <v>73</v>
      </c>
      <c r="F83" s="108" t="s">
        <v>75</v>
      </c>
      <c r="G83" s="108" t="s">
        <v>9</v>
      </c>
      <c r="H83" s="126">
        <v>0</v>
      </c>
      <c r="I83" s="126">
        <v>0</v>
      </c>
      <c r="J83" s="108">
        <v>7110000000</v>
      </c>
      <c r="K83" s="108" t="str">
        <f t="shared" si="3"/>
        <v>7110000000</v>
      </c>
      <c r="L83" s="303" t="str">
        <f t="shared" si="4"/>
        <v>60101047110000000000</v>
      </c>
      <c r="M83" s="132" t="str">
        <f>INDEX('реш СГД № 265'!$A:$N,MATCH('БА расх 2019-2020'!$L83,'реш СГД № 265'!$N:$N,0),3)</f>
        <v>Непрограммные расходы в рамках обеспечения деятельности администрации города Ставрополя</v>
      </c>
      <c r="N83" s="17">
        <f t="shared" si="5"/>
        <v>1</v>
      </c>
    </row>
    <row r="84" spans="1:14" s="16" customFormat="1" ht="31.5">
      <c r="A84" s="14"/>
      <c r="B84" s="129" t="s">
        <v>18</v>
      </c>
      <c r="C84" s="130" t="s">
        <v>64</v>
      </c>
      <c r="D84" s="131" t="s">
        <v>11</v>
      </c>
      <c r="E84" s="131" t="s">
        <v>73</v>
      </c>
      <c r="F84" s="131" t="s">
        <v>76</v>
      </c>
      <c r="G84" s="131" t="s">
        <v>9</v>
      </c>
      <c r="H84" s="105">
        <v>0</v>
      </c>
      <c r="I84" s="105">
        <v>0</v>
      </c>
      <c r="J84" s="131">
        <v>7110010010</v>
      </c>
      <c r="K84" s="108" t="str">
        <f t="shared" si="3"/>
        <v>7110010010</v>
      </c>
      <c r="L84" s="303" t="str">
        <f t="shared" si="4"/>
        <v>60101047110010010000</v>
      </c>
      <c r="M84" s="132" t="str">
        <f>INDEX('реш СГД № 265'!$A:$N,MATCH('БА расх 2019-2020'!$L84,'реш СГД № 265'!$N:$N,0),3)</f>
        <v>Расходы на обеспечение функций органов местного самоуправления города Ставрополя</v>
      </c>
      <c r="N84" s="17">
        <f t="shared" si="5"/>
        <v>1</v>
      </c>
    </row>
    <row r="85" spans="1:14" s="16" customFormat="1" ht="31.5">
      <c r="A85" s="14"/>
      <c r="B85" s="127" t="s">
        <v>20</v>
      </c>
      <c r="C85" s="130" t="s">
        <v>64</v>
      </c>
      <c r="D85" s="131" t="s">
        <v>11</v>
      </c>
      <c r="E85" s="131" t="s">
        <v>73</v>
      </c>
      <c r="F85" s="131" t="s">
        <v>76</v>
      </c>
      <c r="G85" s="108" t="s">
        <v>21</v>
      </c>
      <c r="H85" s="126">
        <v>0</v>
      </c>
      <c r="I85" s="126">
        <v>0</v>
      </c>
      <c r="J85" s="131">
        <v>7110010010</v>
      </c>
      <c r="K85" s="108" t="str">
        <f t="shared" si="3"/>
        <v>7110010010</v>
      </c>
      <c r="L85" s="303" t="str">
        <f t="shared" si="4"/>
        <v>60101047110010010120</v>
      </c>
      <c r="M85" s="132" t="str">
        <f>INDEX('реш СГД № 265'!$A:$N,MATCH('БА расх 2019-2020'!$L85,'реш СГД № 265'!$N:$N,0),3)</f>
        <v>Расходы на выплаты персоналу государственных (муниципальных) органов</v>
      </c>
      <c r="N85" s="17">
        <f t="shared" si="5"/>
        <v>1</v>
      </c>
    </row>
    <row r="86" spans="1:14" s="23" customFormat="1" ht="47.25">
      <c r="A86" s="21"/>
      <c r="B86" s="127" t="s">
        <v>22</v>
      </c>
      <c r="C86" s="130" t="s">
        <v>64</v>
      </c>
      <c r="D86" s="131" t="s">
        <v>11</v>
      </c>
      <c r="E86" s="131" t="s">
        <v>73</v>
      </c>
      <c r="F86" s="131" t="s">
        <v>76</v>
      </c>
      <c r="G86" s="108" t="s">
        <v>23</v>
      </c>
      <c r="H86" s="126">
        <v>0</v>
      </c>
      <c r="I86" s="126">
        <v>0</v>
      </c>
      <c r="J86" s="131">
        <v>7110010010</v>
      </c>
      <c r="K86" s="108" t="str">
        <f t="shared" si="3"/>
        <v>7110010010</v>
      </c>
      <c r="L86" s="303" t="str">
        <f t="shared" si="4"/>
        <v>60101047110010010122</v>
      </c>
      <c r="M86" s="132"/>
      <c r="N86" s="17">
        <f t="shared" si="5"/>
        <v>0</v>
      </c>
    </row>
    <row r="87" spans="1:14" s="23" customFormat="1" ht="63">
      <c r="A87" s="21"/>
      <c r="B87" s="127" t="s">
        <v>26</v>
      </c>
      <c r="C87" s="130" t="s">
        <v>64</v>
      </c>
      <c r="D87" s="131" t="s">
        <v>11</v>
      </c>
      <c r="E87" s="131" t="s">
        <v>73</v>
      </c>
      <c r="F87" s="131" t="s">
        <v>76</v>
      </c>
      <c r="G87" s="108" t="s">
        <v>27</v>
      </c>
      <c r="H87" s="126">
        <v>0</v>
      </c>
      <c r="I87" s="126">
        <v>0</v>
      </c>
      <c r="J87" s="131">
        <v>7110010010</v>
      </c>
      <c r="K87" s="108" t="str">
        <f t="shared" si="3"/>
        <v>7110010010</v>
      </c>
      <c r="L87" s="303" t="str">
        <f t="shared" si="4"/>
        <v>60101047110010010129</v>
      </c>
      <c r="M87" s="132"/>
      <c r="N87" s="17">
        <f t="shared" si="5"/>
        <v>0</v>
      </c>
    </row>
    <row r="88" spans="1:14" s="16" customFormat="1" ht="31.5">
      <c r="A88" s="14"/>
      <c r="B88" s="125" t="s">
        <v>28</v>
      </c>
      <c r="C88" s="130" t="s">
        <v>64</v>
      </c>
      <c r="D88" s="131" t="s">
        <v>11</v>
      </c>
      <c r="E88" s="131" t="s">
        <v>73</v>
      </c>
      <c r="F88" s="131" t="s">
        <v>76</v>
      </c>
      <c r="G88" s="108" t="s">
        <v>29</v>
      </c>
      <c r="H88" s="126">
        <v>0</v>
      </c>
      <c r="I88" s="126">
        <v>0</v>
      </c>
      <c r="J88" s="131">
        <v>7110010010</v>
      </c>
      <c r="K88" s="108" t="str">
        <f t="shared" si="3"/>
        <v>7110010010</v>
      </c>
      <c r="L88" s="303" t="str">
        <f t="shared" si="4"/>
        <v>60101047110010010240</v>
      </c>
      <c r="M88" s="132" t="str">
        <f>INDEX('реш СГД № 265'!$A:$N,MATCH('БА расх 2019-2020'!$L88,'реш СГД № 265'!$N:$N,0),3)</f>
        <v>Иные закупки товаров, работ и услуг для обеспечения государственных (муниципальных) нужд</v>
      </c>
      <c r="N88" s="17">
        <f t="shared" si="5"/>
        <v>1</v>
      </c>
    </row>
    <row r="89" spans="1:14" s="16" customFormat="1" ht="15.75">
      <c r="A89" s="14"/>
      <c r="B89" s="125" t="s">
        <v>30</v>
      </c>
      <c r="C89" s="130" t="s">
        <v>64</v>
      </c>
      <c r="D89" s="131" t="s">
        <v>11</v>
      </c>
      <c r="E89" s="131" t="s">
        <v>73</v>
      </c>
      <c r="F89" s="131" t="s">
        <v>76</v>
      </c>
      <c r="G89" s="108" t="s">
        <v>31</v>
      </c>
      <c r="H89" s="126">
        <v>0</v>
      </c>
      <c r="I89" s="126">
        <v>0</v>
      </c>
      <c r="J89" s="131">
        <v>7110010010</v>
      </c>
      <c r="K89" s="108" t="str">
        <f t="shared" si="3"/>
        <v>7110010010</v>
      </c>
      <c r="L89" s="303" t="str">
        <f t="shared" si="4"/>
        <v>60101047110010010244</v>
      </c>
      <c r="M89" s="132"/>
      <c r="N89" s="17">
        <f t="shared" si="5"/>
        <v>0</v>
      </c>
    </row>
    <row r="90" spans="1:14" s="16" customFormat="1" ht="15.75">
      <c r="A90" s="14"/>
      <c r="B90" s="125" t="s">
        <v>32</v>
      </c>
      <c r="C90" s="130" t="s">
        <v>64</v>
      </c>
      <c r="D90" s="131" t="s">
        <v>11</v>
      </c>
      <c r="E90" s="131" t="s">
        <v>73</v>
      </c>
      <c r="F90" s="131" t="s">
        <v>76</v>
      </c>
      <c r="G90" s="108" t="s">
        <v>33</v>
      </c>
      <c r="H90" s="126">
        <v>0</v>
      </c>
      <c r="I90" s="126">
        <v>0</v>
      </c>
      <c r="J90" s="131">
        <v>7110010010</v>
      </c>
      <c r="K90" s="108" t="str">
        <f t="shared" si="3"/>
        <v>7110010010</v>
      </c>
      <c r="L90" s="303" t="str">
        <f t="shared" si="4"/>
        <v>60101047110010010850</v>
      </c>
      <c r="M90" s="132" t="str">
        <f>INDEX('реш СГД № 265'!$A:$N,MATCH('БА расх 2019-2020'!$L90,'реш СГД № 265'!$N:$N,0),3)</f>
        <v>Уплата налогов, сборов и иных платежей</v>
      </c>
      <c r="N90" s="17">
        <f t="shared" si="5"/>
        <v>1</v>
      </c>
    </row>
    <row r="91" spans="1:14" s="16" customFormat="1" ht="15.75">
      <c r="A91" s="14"/>
      <c r="B91" s="125" t="s">
        <v>36</v>
      </c>
      <c r="C91" s="109" t="s">
        <v>64</v>
      </c>
      <c r="D91" s="108" t="s">
        <v>11</v>
      </c>
      <c r="E91" s="108" t="s">
        <v>73</v>
      </c>
      <c r="F91" s="108" t="s">
        <v>76</v>
      </c>
      <c r="G91" s="108" t="s">
        <v>37</v>
      </c>
      <c r="H91" s="126">
        <v>0</v>
      </c>
      <c r="I91" s="126">
        <v>0</v>
      </c>
      <c r="J91" s="108">
        <v>7110010010</v>
      </c>
      <c r="K91" s="108" t="str">
        <f t="shared" si="3"/>
        <v>7110010010</v>
      </c>
      <c r="L91" s="303" t="str">
        <f t="shared" si="4"/>
        <v>60101047110010010852</v>
      </c>
      <c r="M91" s="132"/>
      <c r="N91" s="17">
        <f t="shared" si="5"/>
        <v>0</v>
      </c>
    </row>
    <row r="92" spans="1:14" s="16" customFormat="1" ht="15.75">
      <c r="A92" s="14"/>
      <c r="B92" s="125" t="s">
        <v>77</v>
      </c>
      <c r="C92" s="109" t="s">
        <v>64</v>
      </c>
      <c r="D92" s="108" t="s">
        <v>11</v>
      </c>
      <c r="E92" s="108" t="s">
        <v>73</v>
      </c>
      <c r="F92" s="108" t="s">
        <v>76</v>
      </c>
      <c r="G92" s="108" t="s">
        <v>78</v>
      </c>
      <c r="H92" s="126">
        <v>0</v>
      </c>
      <c r="I92" s="126">
        <v>0</v>
      </c>
      <c r="J92" s="108">
        <v>7110010010</v>
      </c>
      <c r="K92" s="108" t="str">
        <f t="shared" si="3"/>
        <v>7110010010</v>
      </c>
      <c r="L92" s="303" t="str">
        <f t="shared" si="4"/>
        <v>60101047110010010853</v>
      </c>
      <c r="M92" s="132"/>
      <c r="N92" s="17">
        <f t="shared" si="5"/>
        <v>0</v>
      </c>
    </row>
    <row r="93" spans="1:14" s="16" customFormat="1" ht="31.5">
      <c r="A93" s="14"/>
      <c r="B93" s="129" t="s">
        <v>38</v>
      </c>
      <c r="C93" s="109" t="s">
        <v>64</v>
      </c>
      <c r="D93" s="108" t="s">
        <v>11</v>
      </c>
      <c r="E93" s="108" t="s">
        <v>73</v>
      </c>
      <c r="F93" s="108" t="s">
        <v>79</v>
      </c>
      <c r="G93" s="131" t="s">
        <v>9</v>
      </c>
      <c r="H93" s="126">
        <v>0</v>
      </c>
      <c r="I93" s="126">
        <v>0</v>
      </c>
      <c r="J93" s="108">
        <v>7110010020</v>
      </c>
      <c r="K93" s="108" t="str">
        <f t="shared" si="3"/>
        <v>7110010020</v>
      </c>
      <c r="L93" s="303" t="str">
        <f t="shared" si="4"/>
        <v>60101047110010020000</v>
      </c>
      <c r="M93" s="132" t="str">
        <f>INDEX('реш СГД № 265'!$A:$N,MATCH('БА расх 2019-2020'!$L93,'реш СГД № 265'!$N:$N,0),3)</f>
        <v>Расходы на выплаты по оплате труда работников органов местного самоуправления города Ставрополя</v>
      </c>
      <c r="N93" s="17">
        <f t="shared" si="5"/>
        <v>1</v>
      </c>
    </row>
    <row r="94" spans="1:14" s="16" customFormat="1" ht="31.5">
      <c r="A94" s="14"/>
      <c r="B94" s="127" t="s">
        <v>20</v>
      </c>
      <c r="C94" s="109" t="s">
        <v>64</v>
      </c>
      <c r="D94" s="108" t="s">
        <v>11</v>
      </c>
      <c r="E94" s="108" t="s">
        <v>73</v>
      </c>
      <c r="F94" s="108" t="s">
        <v>79</v>
      </c>
      <c r="G94" s="131" t="s">
        <v>21</v>
      </c>
      <c r="H94" s="126">
        <v>0</v>
      </c>
      <c r="I94" s="126">
        <v>0</v>
      </c>
      <c r="J94" s="108">
        <v>7110010020</v>
      </c>
      <c r="K94" s="108" t="str">
        <f t="shared" si="3"/>
        <v>7110010020</v>
      </c>
      <c r="L94" s="303" t="str">
        <f t="shared" si="4"/>
        <v>60101047110010020120</v>
      </c>
      <c r="M94" s="132" t="str">
        <f>INDEX('реш СГД № 265'!$A:$N,MATCH('БА расх 2019-2020'!$L94,'реш СГД № 265'!$N:$N,0),3)</f>
        <v>Расходы на выплаты персоналу государственных (муниципальных) органов</v>
      </c>
      <c r="N94" s="17">
        <f t="shared" si="5"/>
        <v>1</v>
      </c>
    </row>
    <row r="95" spans="1:14" s="16" customFormat="1" ht="31.5">
      <c r="A95" s="14"/>
      <c r="B95" s="125" t="s">
        <v>40</v>
      </c>
      <c r="C95" s="109" t="s">
        <v>64</v>
      </c>
      <c r="D95" s="108" t="s">
        <v>11</v>
      </c>
      <c r="E95" s="108" t="s">
        <v>73</v>
      </c>
      <c r="F95" s="108" t="s">
        <v>79</v>
      </c>
      <c r="G95" s="108" t="s">
        <v>41</v>
      </c>
      <c r="H95" s="126">
        <v>0</v>
      </c>
      <c r="I95" s="126">
        <v>0</v>
      </c>
      <c r="J95" s="108">
        <v>7110010020</v>
      </c>
      <c r="K95" s="108" t="str">
        <f t="shared" si="3"/>
        <v>7110010020</v>
      </c>
      <c r="L95" s="303" t="str">
        <f t="shared" si="4"/>
        <v>60101047110010020121</v>
      </c>
      <c r="M95" s="132"/>
      <c r="N95" s="17">
        <f t="shared" si="5"/>
        <v>0</v>
      </c>
    </row>
    <row r="96" spans="1:14" s="16" customFormat="1" ht="63">
      <c r="A96" s="14"/>
      <c r="B96" s="125" t="s">
        <v>26</v>
      </c>
      <c r="C96" s="109" t="s">
        <v>64</v>
      </c>
      <c r="D96" s="108" t="s">
        <v>11</v>
      </c>
      <c r="E96" s="108" t="s">
        <v>73</v>
      </c>
      <c r="F96" s="108" t="s">
        <v>79</v>
      </c>
      <c r="G96" s="108" t="s">
        <v>27</v>
      </c>
      <c r="H96" s="126">
        <v>0</v>
      </c>
      <c r="I96" s="126">
        <v>0</v>
      </c>
      <c r="J96" s="108">
        <v>7110010020</v>
      </c>
      <c r="K96" s="108" t="str">
        <f t="shared" si="3"/>
        <v>7110010020</v>
      </c>
      <c r="L96" s="303" t="str">
        <f t="shared" si="4"/>
        <v>60101047110010020129</v>
      </c>
      <c r="M96" s="132"/>
      <c r="N96" s="17">
        <f t="shared" si="5"/>
        <v>0</v>
      </c>
    </row>
    <row r="97" spans="1:14" s="16" customFormat="1" ht="63">
      <c r="A97" s="14" t="s">
        <v>80</v>
      </c>
      <c r="B97" s="125" t="s">
        <v>81</v>
      </c>
      <c r="C97" s="130" t="s">
        <v>64</v>
      </c>
      <c r="D97" s="131" t="s">
        <v>11</v>
      </c>
      <c r="E97" s="131" t="s">
        <v>73</v>
      </c>
      <c r="F97" s="131" t="s">
        <v>82</v>
      </c>
      <c r="G97" s="131" t="s">
        <v>9</v>
      </c>
      <c r="H97" s="126">
        <v>0</v>
      </c>
      <c r="I97" s="126">
        <v>0</v>
      </c>
      <c r="J97" s="131">
        <v>7110076630</v>
      </c>
      <c r="K97" s="108" t="str">
        <f t="shared" si="3"/>
        <v>7110076630</v>
      </c>
      <c r="L97" s="303" t="str">
        <f t="shared" si="4"/>
        <v>60101047110076630000</v>
      </c>
      <c r="M97" s="132" t="str">
        <f>INDEX('реш СГД № 265'!$A:$N,MATCH('БА расх 2019-2020'!$L97,'реш СГД № 265'!$N:$N,0),3)</f>
        <v>Расходы на осуществление переданных государственных полномочий Ставропольского края по формированию, содержанию и использованию Архивного фонда Ставропольского края</v>
      </c>
      <c r="N97" s="17">
        <f t="shared" si="5"/>
        <v>1</v>
      </c>
    </row>
    <row r="98" spans="1:14" s="16" customFormat="1" ht="31.5">
      <c r="A98" s="14"/>
      <c r="B98" s="127" t="s">
        <v>20</v>
      </c>
      <c r="C98" s="130" t="s">
        <v>64</v>
      </c>
      <c r="D98" s="131" t="s">
        <v>11</v>
      </c>
      <c r="E98" s="131" t="s">
        <v>73</v>
      </c>
      <c r="F98" s="131" t="s">
        <v>82</v>
      </c>
      <c r="G98" s="131" t="s">
        <v>21</v>
      </c>
      <c r="H98" s="126">
        <v>0</v>
      </c>
      <c r="I98" s="126">
        <v>0</v>
      </c>
      <c r="J98" s="131">
        <v>7110076630</v>
      </c>
      <c r="K98" s="108" t="str">
        <f t="shared" si="3"/>
        <v>7110076630</v>
      </c>
      <c r="L98" s="303" t="str">
        <f t="shared" si="4"/>
        <v>60101047110076630120</v>
      </c>
      <c r="M98" s="132" t="str">
        <f>INDEX('реш СГД № 265'!$A:$N,MATCH('БА расх 2019-2020'!$L98,'реш СГД № 265'!$N:$N,0),3)</f>
        <v>Расходы на выплаты персоналу государственных (муниципальных) органов</v>
      </c>
      <c r="N98" s="17">
        <f t="shared" si="5"/>
        <v>1</v>
      </c>
    </row>
    <row r="99" spans="1:14" s="23" customFormat="1" ht="31.5">
      <c r="A99" s="21"/>
      <c r="B99" s="127" t="s">
        <v>40</v>
      </c>
      <c r="C99" s="109" t="s">
        <v>64</v>
      </c>
      <c r="D99" s="108" t="s">
        <v>11</v>
      </c>
      <c r="E99" s="108" t="s">
        <v>73</v>
      </c>
      <c r="F99" s="108" t="s">
        <v>82</v>
      </c>
      <c r="G99" s="108" t="s">
        <v>41</v>
      </c>
      <c r="H99" s="126">
        <v>0</v>
      </c>
      <c r="I99" s="126">
        <v>0</v>
      </c>
      <c r="J99" s="108">
        <v>7110076630</v>
      </c>
      <c r="K99" s="108" t="str">
        <f t="shared" si="3"/>
        <v>7110076630</v>
      </c>
      <c r="L99" s="303" t="str">
        <f t="shared" si="4"/>
        <v>60101047110076630121</v>
      </c>
      <c r="M99" s="132"/>
      <c r="N99" s="17">
        <f t="shared" si="5"/>
        <v>0</v>
      </c>
    </row>
    <row r="100" spans="1:14" s="23" customFormat="1" ht="63">
      <c r="A100" s="21"/>
      <c r="B100" s="127" t="s">
        <v>26</v>
      </c>
      <c r="C100" s="109" t="s">
        <v>64</v>
      </c>
      <c r="D100" s="108" t="s">
        <v>11</v>
      </c>
      <c r="E100" s="108" t="s">
        <v>73</v>
      </c>
      <c r="F100" s="108" t="s">
        <v>82</v>
      </c>
      <c r="G100" s="108" t="s">
        <v>27</v>
      </c>
      <c r="H100" s="126">
        <v>0</v>
      </c>
      <c r="I100" s="126">
        <v>0</v>
      </c>
      <c r="J100" s="108">
        <v>7110076630</v>
      </c>
      <c r="K100" s="108" t="str">
        <f t="shared" si="3"/>
        <v>7110076630</v>
      </c>
      <c r="L100" s="303" t="str">
        <f t="shared" si="4"/>
        <v>60101047110076630129</v>
      </c>
      <c r="M100" s="132"/>
      <c r="N100" s="17">
        <f t="shared" si="5"/>
        <v>0</v>
      </c>
    </row>
    <row r="101" spans="1:14" s="16" customFormat="1" ht="31.5">
      <c r="A101" s="14"/>
      <c r="B101" s="125" t="s">
        <v>28</v>
      </c>
      <c r="C101" s="130" t="s">
        <v>64</v>
      </c>
      <c r="D101" s="131" t="s">
        <v>11</v>
      </c>
      <c r="E101" s="131" t="s">
        <v>73</v>
      </c>
      <c r="F101" s="131" t="s">
        <v>82</v>
      </c>
      <c r="G101" s="131" t="s">
        <v>29</v>
      </c>
      <c r="H101" s="126">
        <v>0</v>
      </c>
      <c r="I101" s="126">
        <v>0</v>
      </c>
      <c r="J101" s="131">
        <v>7110076630</v>
      </c>
      <c r="K101" s="108" t="str">
        <f t="shared" si="3"/>
        <v>7110076630</v>
      </c>
      <c r="L101" s="303" t="str">
        <f t="shared" si="4"/>
        <v>60101047110076630240</v>
      </c>
      <c r="M101" s="132" t="str">
        <f>INDEX('реш СГД № 265'!$A:$N,MATCH('БА расх 2019-2020'!$L101,'реш СГД № 265'!$N:$N,0),3)</f>
        <v>Иные закупки товаров, работ и услуг для обеспечения государственных (муниципальных) нужд</v>
      </c>
      <c r="N101" s="17">
        <f t="shared" si="5"/>
        <v>1</v>
      </c>
    </row>
    <row r="102" spans="1:14" s="16" customFormat="1" ht="15.75">
      <c r="A102" s="14"/>
      <c r="B102" s="125" t="s">
        <v>30</v>
      </c>
      <c r="C102" s="130" t="s">
        <v>64</v>
      </c>
      <c r="D102" s="131" t="s">
        <v>11</v>
      </c>
      <c r="E102" s="131" t="s">
        <v>73</v>
      </c>
      <c r="F102" s="131" t="s">
        <v>82</v>
      </c>
      <c r="G102" s="131" t="s">
        <v>31</v>
      </c>
      <c r="H102" s="126">
        <v>0</v>
      </c>
      <c r="I102" s="126">
        <v>0</v>
      </c>
      <c r="J102" s="131">
        <v>7110076630</v>
      </c>
      <c r="K102" s="108" t="str">
        <f t="shared" si="3"/>
        <v>7110076630</v>
      </c>
      <c r="L102" s="303" t="str">
        <f t="shared" si="4"/>
        <v>60101047110076630244</v>
      </c>
      <c r="M102" s="132"/>
      <c r="N102" s="17">
        <f t="shared" si="5"/>
        <v>0</v>
      </c>
    </row>
    <row r="103" spans="1:14" s="16" customFormat="1" ht="47.25">
      <c r="A103" s="14" t="s">
        <v>80</v>
      </c>
      <c r="B103" s="129" t="s">
        <v>83</v>
      </c>
      <c r="C103" s="130" t="s">
        <v>64</v>
      </c>
      <c r="D103" s="131" t="s">
        <v>11</v>
      </c>
      <c r="E103" s="131" t="s">
        <v>73</v>
      </c>
      <c r="F103" s="131" t="s">
        <v>84</v>
      </c>
      <c r="G103" s="131" t="s">
        <v>9</v>
      </c>
      <c r="H103" s="105">
        <v>0</v>
      </c>
      <c r="I103" s="105">
        <v>0</v>
      </c>
      <c r="J103" s="131">
        <v>7110076930</v>
      </c>
      <c r="K103" s="108" t="str">
        <f t="shared" si="3"/>
        <v>7110076930</v>
      </c>
      <c r="L103" s="303" t="str">
        <f t="shared" si="4"/>
        <v>60101047110076930000</v>
      </c>
      <c r="M103" s="132" t="str">
        <f>INDEX('реш СГД № 265'!$A:$N,MATCH('БА расх 2019-2020'!$L103,'реш СГД № 265'!$N:$N,0),3)</f>
        <v>Расходы на осуществление переданных государственных полномочий Ставропольского края по созданию административных комиссий</v>
      </c>
      <c r="N103" s="17">
        <f t="shared" si="5"/>
        <v>1</v>
      </c>
    </row>
    <row r="104" spans="1:14" s="16" customFormat="1" ht="31.5">
      <c r="A104" s="14"/>
      <c r="B104" s="125" t="s">
        <v>28</v>
      </c>
      <c r="C104" s="130" t="s">
        <v>64</v>
      </c>
      <c r="D104" s="131" t="s">
        <v>11</v>
      </c>
      <c r="E104" s="131" t="s">
        <v>73</v>
      </c>
      <c r="F104" s="131" t="s">
        <v>84</v>
      </c>
      <c r="G104" s="131" t="s">
        <v>29</v>
      </c>
      <c r="H104" s="126">
        <v>0</v>
      </c>
      <c r="I104" s="126">
        <v>0</v>
      </c>
      <c r="J104" s="131">
        <v>7110076930</v>
      </c>
      <c r="K104" s="108" t="str">
        <f t="shared" si="3"/>
        <v>7110076930</v>
      </c>
      <c r="L104" s="303" t="str">
        <f t="shared" si="4"/>
        <v>60101047110076930240</v>
      </c>
      <c r="M104" s="132" t="str">
        <f>INDEX('реш СГД № 265'!$A:$N,MATCH('БА расх 2019-2020'!$L104,'реш СГД № 265'!$N:$N,0),3)</f>
        <v>Иные закупки товаров, работ и услуг для обеспечения государственных (муниципальных) нужд</v>
      </c>
      <c r="N104" s="17">
        <f t="shared" si="5"/>
        <v>1</v>
      </c>
    </row>
    <row r="105" spans="1:14" s="16" customFormat="1" ht="15.75">
      <c r="A105" s="14"/>
      <c r="B105" s="125" t="s">
        <v>30</v>
      </c>
      <c r="C105" s="130" t="s">
        <v>64</v>
      </c>
      <c r="D105" s="131" t="s">
        <v>11</v>
      </c>
      <c r="E105" s="131" t="s">
        <v>73</v>
      </c>
      <c r="F105" s="131" t="s">
        <v>84</v>
      </c>
      <c r="G105" s="131" t="s">
        <v>31</v>
      </c>
      <c r="H105" s="126">
        <v>0</v>
      </c>
      <c r="I105" s="126">
        <v>0</v>
      </c>
      <c r="J105" s="131">
        <v>7110076930</v>
      </c>
      <c r="K105" s="108" t="str">
        <f t="shared" si="3"/>
        <v>7110076930</v>
      </c>
      <c r="L105" s="303" t="str">
        <f t="shared" si="4"/>
        <v>60101047110076930244</v>
      </c>
      <c r="M105" s="132"/>
      <c r="N105" s="17">
        <f t="shared" si="5"/>
        <v>0</v>
      </c>
    </row>
    <row r="106" spans="1:14" s="16" customFormat="1" ht="15.75">
      <c r="A106" s="14"/>
      <c r="B106" s="121" t="s">
        <v>85</v>
      </c>
      <c r="C106" s="122" t="s">
        <v>64</v>
      </c>
      <c r="D106" s="123" t="s">
        <v>11</v>
      </c>
      <c r="E106" s="123" t="s">
        <v>86</v>
      </c>
      <c r="F106" s="123" t="s">
        <v>8</v>
      </c>
      <c r="G106" s="123" t="s">
        <v>9</v>
      </c>
      <c r="H106" s="124">
        <v>0</v>
      </c>
      <c r="I106" s="124">
        <v>0</v>
      </c>
      <c r="J106" s="123">
        <v>0</v>
      </c>
      <c r="K106" s="108" t="str">
        <f t="shared" si="3"/>
        <v>0000000000</v>
      </c>
      <c r="L106" s="303" t="str">
        <f t="shared" si="4"/>
        <v>60101050000000000000</v>
      </c>
      <c r="M106" s="132" t="str">
        <f>INDEX('реш СГД № 265'!$A:$N,MATCH('БА расх 2019-2020'!$L106,'реш СГД № 265'!$N:$N,0),3)</f>
        <v>Судебная система</v>
      </c>
      <c r="N106" s="17">
        <f t="shared" si="5"/>
        <v>1</v>
      </c>
    </row>
    <row r="107" spans="1:14" s="16" customFormat="1" ht="63">
      <c r="A107" s="14"/>
      <c r="B107" s="125" t="s">
        <v>87</v>
      </c>
      <c r="C107" s="109" t="s">
        <v>64</v>
      </c>
      <c r="D107" s="108" t="s">
        <v>11</v>
      </c>
      <c r="E107" s="131" t="s">
        <v>86</v>
      </c>
      <c r="F107" s="108" t="s">
        <v>88</v>
      </c>
      <c r="G107" s="108" t="s">
        <v>9</v>
      </c>
      <c r="H107" s="126">
        <v>0</v>
      </c>
      <c r="I107" s="126">
        <v>0</v>
      </c>
      <c r="J107" s="108">
        <v>9800000000</v>
      </c>
      <c r="K107" s="108" t="str">
        <f t="shared" si="3"/>
        <v>9800000000</v>
      </c>
      <c r="L107" s="303" t="str">
        <f t="shared" si="4"/>
        <v>60101059800000000000</v>
      </c>
      <c r="M107" s="132" t="str">
        <f>INDEX('реш СГД № 265'!$A:$N,MATCH('БА расх 2019-2020'!$L107,'реш СГД № 265'!$N:$N,0),3)</f>
        <v>Реализация иных функций Ставропольской городской Думы, администрации города Ставрополя, ее отраслевых (функциональных) и территориальных органов</v>
      </c>
      <c r="N107" s="17">
        <f t="shared" si="5"/>
        <v>1</v>
      </c>
    </row>
    <row r="108" spans="1:14" s="16" customFormat="1" ht="15.75">
      <c r="A108" s="14"/>
      <c r="B108" s="125" t="s">
        <v>89</v>
      </c>
      <c r="C108" s="109" t="s">
        <v>64</v>
      </c>
      <c r="D108" s="108" t="s">
        <v>11</v>
      </c>
      <c r="E108" s="131" t="s">
        <v>86</v>
      </c>
      <c r="F108" s="108" t="s">
        <v>90</v>
      </c>
      <c r="G108" s="108" t="s">
        <v>9</v>
      </c>
      <c r="H108" s="126">
        <v>0</v>
      </c>
      <c r="I108" s="126">
        <v>0</v>
      </c>
      <c r="J108" s="108">
        <v>9810000000</v>
      </c>
      <c r="K108" s="108" t="str">
        <f t="shared" si="3"/>
        <v>9810000000</v>
      </c>
      <c r="L108" s="303" t="str">
        <f t="shared" si="4"/>
        <v>60101059810000000000</v>
      </c>
      <c r="M108" s="132" t="str">
        <f>INDEX('реш СГД № 265'!$A:$N,MATCH('БА расх 2019-2020'!$L108,'реш СГД № 265'!$N:$N,0),3)</f>
        <v>Иные непрограммные мероприятия</v>
      </c>
      <c r="N108" s="17">
        <f t="shared" si="5"/>
        <v>1</v>
      </c>
    </row>
    <row r="109" spans="1:14" s="16" customFormat="1" ht="63">
      <c r="A109" s="14" t="s">
        <v>91</v>
      </c>
      <c r="B109" s="129" t="s">
        <v>92</v>
      </c>
      <c r="C109" s="130" t="s">
        <v>64</v>
      </c>
      <c r="D109" s="131" t="s">
        <v>11</v>
      </c>
      <c r="E109" s="131" t="s">
        <v>86</v>
      </c>
      <c r="F109" s="131" t="s">
        <v>93</v>
      </c>
      <c r="G109" s="131" t="s">
        <v>9</v>
      </c>
      <c r="H109" s="105">
        <v>0</v>
      </c>
      <c r="I109" s="105">
        <v>0</v>
      </c>
      <c r="J109" s="131">
        <v>9810051200</v>
      </c>
      <c r="K109" s="108" t="str">
        <f t="shared" si="3"/>
        <v>9810051200</v>
      </c>
      <c r="L109" s="303" t="str">
        <f t="shared" si="4"/>
        <v>60101059810051200000</v>
      </c>
      <c r="M109" s="132" t="str">
        <f>INDEX('реш СГД № 265'!$A:$N,MATCH('БА расх 2019-2020'!$L109,'реш СГД № 265'!$N:$N,0),3)</f>
        <v>Расходы на 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v>
      </c>
      <c r="N109" s="17">
        <f t="shared" si="5"/>
        <v>1</v>
      </c>
    </row>
    <row r="110" spans="1:14" s="16" customFormat="1" ht="31.5">
      <c r="A110" s="14"/>
      <c r="B110" s="125" t="s">
        <v>28</v>
      </c>
      <c r="C110" s="130" t="s">
        <v>64</v>
      </c>
      <c r="D110" s="131" t="s">
        <v>11</v>
      </c>
      <c r="E110" s="131" t="s">
        <v>86</v>
      </c>
      <c r="F110" s="131" t="s">
        <v>93</v>
      </c>
      <c r="G110" s="131" t="s">
        <v>29</v>
      </c>
      <c r="H110" s="126">
        <v>0</v>
      </c>
      <c r="I110" s="126">
        <v>0</v>
      </c>
      <c r="J110" s="131">
        <v>9810051200</v>
      </c>
      <c r="K110" s="108" t="str">
        <f t="shared" si="3"/>
        <v>9810051200</v>
      </c>
      <c r="L110" s="303" t="str">
        <f t="shared" si="4"/>
        <v>60101059810051200240</v>
      </c>
      <c r="M110" s="132" t="str">
        <f>INDEX('реш СГД № 265'!$A:$N,MATCH('БА расх 2019-2020'!$L110,'реш СГД № 265'!$N:$N,0),3)</f>
        <v>Иные закупки товаров, работ и услуг для обеспечения государственных (муниципальных) нужд</v>
      </c>
      <c r="N110" s="17">
        <f t="shared" si="5"/>
        <v>1</v>
      </c>
    </row>
    <row r="111" spans="1:14" s="16" customFormat="1" ht="15.75">
      <c r="A111" s="14"/>
      <c r="B111" s="125" t="s">
        <v>30</v>
      </c>
      <c r="C111" s="130" t="s">
        <v>64</v>
      </c>
      <c r="D111" s="131" t="s">
        <v>11</v>
      </c>
      <c r="E111" s="131" t="s">
        <v>86</v>
      </c>
      <c r="F111" s="131" t="s">
        <v>93</v>
      </c>
      <c r="G111" s="131" t="s">
        <v>31</v>
      </c>
      <c r="H111" s="126">
        <v>0</v>
      </c>
      <c r="I111" s="126">
        <v>0</v>
      </c>
      <c r="J111" s="131">
        <v>9810051200</v>
      </c>
      <c r="K111" s="108" t="str">
        <f t="shared" si="3"/>
        <v>9810051200</v>
      </c>
      <c r="L111" s="303" t="str">
        <f t="shared" si="4"/>
        <v>60101059810051200244</v>
      </c>
      <c r="M111" s="132"/>
      <c r="N111" s="17">
        <f t="shared" si="5"/>
        <v>0</v>
      </c>
    </row>
    <row r="112" spans="1:14" s="16" customFormat="1" ht="15.75">
      <c r="A112" s="14"/>
      <c r="B112" s="121" t="s">
        <v>50</v>
      </c>
      <c r="C112" s="122" t="s">
        <v>64</v>
      </c>
      <c r="D112" s="123" t="s">
        <v>11</v>
      </c>
      <c r="E112" s="123" t="s">
        <v>51</v>
      </c>
      <c r="F112" s="123" t="s">
        <v>8</v>
      </c>
      <c r="G112" s="123" t="s">
        <v>9</v>
      </c>
      <c r="H112" s="124">
        <v>0</v>
      </c>
      <c r="I112" s="124">
        <v>0</v>
      </c>
      <c r="J112" s="123">
        <v>0</v>
      </c>
      <c r="K112" s="108" t="str">
        <f t="shared" si="3"/>
        <v>0000000000</v>
      </c>
      <c r="L112" s="303" t="str">
        <f t="shared" si="4"/>
        <v>60101130000000000000</v>
      </c>
      <c r="M112" s="132" t="str">
        <f>INDEX('реш СГД № 265'!$A:$N,MATCH('БА расх 2019-2020'!$L112,'реш СГД № 265'!$N:$N,0),3)</f>
        <v>Другие общегосударственные вопросы</v>
      </c>
      <c r="N112" s="17">
        <f t="shared" si="5"/>
        <v>1</v>
      </c>
    </row>
    <row r="113" spans="1:14" s="16" customFormat="1" ht="31.5">
      <c r="A113" s="14"/>
      <c r="B113" s="129" t="s">
        <v>94</v>
      </c>
      <c r="C113" s="109" t="s">
        <v>64</v>
      </c>
      <c r="D113" s="108" t="s">
        <v>11</v>
      </c>
      <c r="E113" s="108" t="s">
        <v>51</v>
      </c>
      <c r="F113" s="108" t="s">
        <v>95</v>
      </c>
      <c r="G113" s="108" t="s">
        <v>9</v>
      </c>
      <c r="H113" s="126">
        <v>0</v>
      </c>
      <c r="I113" s="126">
        <v>0</v>
      </c>
      <c r="J113" s="108">
        <v>1200000000</v>
      </c>
      <c r="K113" s="108" t="str">
        <f t="shared" si="3"/>
        <v>1200000000</v>
      </c>
      <c r="L113" s="303" t="str">
        <f t="shared" si="4"/>
        <v>60101131200000000000</v>
      </c>
      <c r="M113" s="132" t="str">
        <f>INDEX('реш СГД № 265'!$A:$N,MATCH('БА расх 2019-2020'!$L113,'реш СГД № 265'!$N:$N,0),3)</f>
        <v>Муниципальная программа «Экономическое развитие города Ставрополя»</v>
      </c>
      <c r="N113" s="17">
        <f t="shared" si="5"/>
        <v>1</v>
      </c>
    </row>
    <row r="114" spans="1:14" s="16" customFormat="1" ht="31.5">
      <c r="A114" s="14"/>
      <c r="B114" s="129" t="s">
        <v>96</v>
      </c>
      <c r="C114" s="109" t="s">
        <v>64</v>
      </c>
      <c r="D114" s="108" t="s">
        <v>11</v>
      </c>
      <c r="E114" s="108" t="s">
        <v>51</v>
      </c>
      <c r="F114" s="108" t="s">
        <v>97</v>
      </c>
      <c r="G114" s="108" t="s">
        <v>9</v>
      </c>
      <c r="H114" s="126">
        <v>0</v>
      </c>
      <c r="I114" s="126">
        <v>0</v>
      </c>
      <c r="J114" s="108">
        <v>1220000000</v>
      </c>
      <c r="K114" s="108" t="str">
        <f t="shared" si="3"/>
        <v>1220000000</v>
      </c>
      <c r="L114" s="303" t="str">
        <f t="shared" si="4"/>
        <v>60101131220000000000</v>
      </c>
      <c r="M114" s="132" t="str">
        <f>INDEX('реш СГД № 265'!$A:$N,MATCH('БА расх 2019-2020'!$L114,'реш СГД № 265'!$N:$N,0),3)</f>
        <v>Подпрограмма «Создание благоприятных условий для экономического развития города Ставрополя»</v>
      </c>
      <c r="N114" s="17">
        <f t="shared" si="5"/>
        <v>1</v>
      </c>
    </row>
    <row r="115" spans="1:14" s="16" customFormat="1" ht="47.25">
      <c r="A115" s="14"/>
      <c r="B115" s="129" t="s">
        <v>98</v>
      </c>
      <c r="C115" s="109" t="s">
        <v>64</v>
      </c>
      <c r="D115" s="108" t="s">
        <v>11</v>
      </c>
      <c r="E115" s="108" t="s">
        <v>51</v>
      </c>
      <c r="F115" s="108" t="s">
        <v>99</v>
      </c>
      <c r="G115" s="108" t="s">
        <v>9</v>
      </c>
      <c r="H115" s="126">
        <v>0</v>
      </c>
      <c r="I115" s="126">
        <v>0</v>
      </c>
      <c r="J115" s="108">
        <v>1220300000</v>
      </c>
      <c r="K115" s="108" t="str">
        <f t="shared" si="3"/>
        <v>1220300000</v>
      </c>
      <c r="L115" s="303" t="str">
        <f t="shared" si="4"/>
        <v>60101131220300000000</v>
      </c>
      <c r="M115" s="132" t="str">
        <f>INDEX('реш СГД № 265'!$A:$N,MATCH('БА расх 2019-2020'!$L115,'реш СГД № 265'!$N:$N,0),3)</f>
        <v>Основное мероприятие «Развитие международного, межрегионального и межмуниципального сотрудничества города Ставрополя»</v>
      </c>
      <c r="N115" s="17">
        <f t="shared" si="5"/>
        <v>1</v>
      </c>
    </row>
    <row r="116" spans="1:14" s="16" customFormat="1" ht="63">
      <c r="A116" s="14"/>
      <c r="B116" s="129" t="s">
        <v>100</v>
      </c>
      <c r="C116" s="109" t="s">
        <v>64</v>
      </c>
      <c r="D116" s="108" t="s">
        <v>11</v>
      </c>
      <c r="E116" s="108" t="s">
        <v>51</v>
      </c>
      <c r="F116" s="108" t="s">
        <v>101</v>
      </c>
      <c r="G116" s="108" t="s">
        <v>9</v>
      </c>
      <c r="H116" s="126">
        <v>0</v>
      </c>
      <c r="I116" s="126">
        <v>0</v>
      </c>
      <c r="J116" s="108">
        <v>1220320040</v>
      </c>
      <c r="K116" s="108" t="str">
        <f t="shared" si="3"/>
        <v>1220320040</v>
      </c>
      <c r="L116" s="303" t="str">
        <f t="shared" si="4"/>
        <v>60101131220320040000</v>
      </c>
      <c r="M116" s="132" t="str">
        <f>INDEX('реш СГД № 265'!$A:$N,MATCH('БА расх 2019-2020'!$L116,'реш СГД № 265'!$N:$N,0),3)</f>
        <v>Обеспечение членства в международных, общероссийских и региональных объединениях муниципальных образований (оплата членских взносов)</v>
      </c>
      <c r="N116" s="17">
        <f t="shared" si="5"/>
        <v>1</v>
      </c>
    </row>
    <row r="117" spans="1:14" s="16" customFormat="1" ht="15.75">
      <c r="A117" s="14"/>
      <c r="B117" s="125" t="s">
        <v>32</v>
      </c>
      <c r="C117" s="109" t="s">
        <v>64</v>
      </c>
      <c r="D117" s="108" t="s">
        <v>11</v>
      </c>
      <c r="E117" s="108" t="s">
        <v>51</v>
      </c>
      <c r="F117" s="108" t="s">
        <v>101</v>
      </c>
      <c r="G117" s="108" t="s">
        <v>33</v>
      </c>
      <c r="H117" s="126">
        <v>0</v>
      </c>
      <c r="I117" s="126">
        <v>0</v>
      </c>
      <c r="J117" s="108">
        <v>1220320040</v>
      </c>
      <c r="K117" s="108" t="str">
        <f t="shared" si="3"/>
        <v>1220320040</v>
      </c>
      <c r="L117" s="303" t="str">
        <f t="shared" si="4"/>
        <v>60101131220320040850</v>
      </c>
      <c r="M117" s="132" t="str">
        <f>INDEX('реш СГД № 265'!$A:$N,MATCH('БА расх 2019-2020'!$L117,'реш СГД № 265'!$N:$N,0),3)</f>
        <v>Уплата налогов, сборов и иных платежей</v>
      </c>
      <c r="N117" s="17">
        <f t="shared" si="5"/>
        <v>1</v>
      </c>
    </row>
    <row r="118" spans="1:14" s="23" customFormat="1" ht="15.75">
      <c r="A118" s="21"/>
      <c r="B118" s="127" t="s">
        <v>77</v>
      </c>
      <c r="C118" s="109" t="s">
        <v>64</v>
      </c>
      <c r="D118" s="108" t="s">
        <v>11</v>
      </c>
      <c r="E118" s="108" t="s">
        <v>51</v>
      </c>
      <c r="F118" s="108" t="s">
        <v>101</v>
      </c>
      <c r="G118" s="108" t="s">
        <v>78</v>
      </c>
      <c r="H118" s="126">
        <v>0</v>
      </c>
      <c r="I118" s="126">
        <v>0</v>
      </c>
      <c r="J118" s="108">
        <v>1220320040</v>
      </c>
      <c r="K118" s="108" t="str">
        <f t="shared" si="3"/>
        <v>1220320040</v>
      </c>
      <c r="L118" s="303" t="str">
        <f t="shared" si="4"/>
        <v>60101131220320040853</v>
      </c>
      <c r="M118" s="132"/>
      <c r="N118" s="17">
        <f t="shared" si="5"/>
        <v>0</v>
      </c>
    </row>
    <row r="119" spans="1:14" s="16" customFormat="1" ht="94.5">
      <c r="A119" s="14"/>
      <c r="B119" s="129" t="s">
        <v>54</v>
      </c>
      <c r="C119" s="109" t="s">
        <v>64</v>
      </c>
      <c r="D119" s="108" t="s">
        <v>11</v>
      </c>
      <c r="E119" s="108" t="s">
        <v>51</v>
      </c>
      <c r="F119" s="108" t="s">
        <v>102</v>
      </c>
      <c r="G119" s="108" t="s">
        <v>9</v>
      </c>
      <c r="H119" s="126">
        <v>0</v>
      </c>
      <c r="I119" s="126">
        <v>0</v>
      </c>
      <c r="J119" s="108">
        <v>1220320090</v>
      </c>
      <c r="K119" s="108" t="str">
        <f t="shared" si="3"/>
        <v>1220320090</v>
      </c>
      <c r="L119" s="303" t="str">
        <f t="shared" si="4"/>
        <v>60101131220320090000</v>
      </c>
      <c r="M119" s="132" t="str">
        <f>INDEX('реш СГД № 265'!$A:$N,MATCH('БА расх 2019-2020'!$L119,'реш СГД № 265'!$N:$N,0),3)</f>
        <v>Организация приема и обслуживание официальных лиц и делегаций городов стран дальнего и ближнего зарубежья, регионов Российской Федерации, представителей иностранных посольств и консульств и проведение официальных мероприятий (представительские расходы)</v>
      </c>
      <c r="N119" s="17">
        <f t="shared" si="5"/>
        <v>1</v>
      </c>
    </row>
    <row r="120" spans="1:14" s="16" customFormat="1" ht="31.5">
      <c r="A120" s="14"/>
      <c r="B120" s="125" t="s">
        <v>28</v>
      </c>
      <c r="C120" s="109" t="s">
        <v>64</v>
      </c>
      <c r="D120" s="108" t="s">
        <v>11</v>
      </c>
      <c r="E120" s="108" t="s">
        <v>51</v>
      </c>
      <c r="F120" s="108" t="s">
        <v>102</v>
      </c>
      <c r="G120" s="108" t="s">
        <v>29</v>
      </c>
      <c r="H120" s="126">
        <v>0</v>
      </c>
      <c r="I120" s="126">
        <v>0</v>
      </c>
      <c r="J120" s="108">
        <v>1220320090</v>
      </c>
      <c r="K120" s="108" t="str">
        <f t="shared" si="3"/>
        <v>1220320090</v>
      </c>
      <c r="L120" s="303" t="str">
        <f t="shared" si="4"/>
        <v>60101131220320090240</v>
      </c>
      <c r="M120" s="132" t="str">
        <f>INDEX('реш СГД № 265'!$A:$N,MATCH('БА расх 2019-2020'!$L120,'реш СГД № 265'!$N:$N,0),3)</f>
        <v>Иные закупки товаров, работ и услуг для обеспечения государственных (муниципальных) нужд</v>
      </c>
      <c r="N120" s="17">
        <f t="shared" si="5"/>
        <v>1</v>
      </c>
    </row>
    <row r="121" spans="1:14" s="16" customFormat="1" ht="15.75">
      <c r="A121" s="14"/>
      <c r="B121" s="125" t="s">
        <v>30</v>
      </c>
      <c r="C121" s="109" t="s">
        <v>64</v>
      </c>
      <c r="D121" s="108" t="s">
        <v>11</v>
      </c>
      <c r="E121" s="108" t="s">
        <v>51</v>
      </c>
      <c r="F121" s="108" t="s">
        <v>102</v>
      </c>
      <c r="G121" s="108" t="s">
        <v>31</v>
      </c>
      <c r="H121" s="126">
        <v>0</v>
      </c>
      <c r="I121" s="126">
        <v>0</v>
      </c>
      <c r="J121" s="108">
        <v>1220320090</v>
      </c>
      <c r="K121" s="108" t="str">
        <f t="shared" si="3"/>
        <v>1220320090</v>
      </c>
      <c r="L121" s="303" t="str">
        <f t="shared" si="4"/>
        <v>60101131220320090244</v>
      </c>
      <c r="M121" s="132"/>
      <c r="N121" s="17">
        <f t="shared" si="5"/>
        <v>0</v>
      </c>
    </row>
    <row r="122" spans="1:14" s="16" customFormat="1" ht="47.25">
      <c r="A122" s="14"/>
      <c r="B122" s="129" t="s">
        <v>103</v>
      </c>
      <c r="C122" s="109" t="s">
        <v>64</v>
      </c>
      <c r="D122" s="108" t="s">
        <v>11</v>
      </c>
      <c r="E122" s="108" t="s">
        <v>51</v>
      </c>
      <c r="F122" s="108" t="s">
        <v>104</v>
      </c>
      <c r="G122" s="108" t="s">
        <v>9</v>
      </c>
      <c r="H122" s="126">
        <v>0</v>
      </c>
      <c r="I122" s="126">
        <v>0</v>
      </c>
      <c r="J122" s="108">
        <v>1300000000</v>
      </c>
      <c r="K122" s="108" t="str">
        <f t="shared" si="3"/>
        <v>1300000000</v>
      </c>
      <c r="L122" s="303" t="str">
        <f t="shared" si="4"/>
        <v>60101131300000000000</v>
      </c>
      <c r="M122" s="132" t="str">
        <f>INDEX('реш СГД № 265'!$A:$N,MATCH('БА расх 2019-2020'!$L122,'реш СГД № 265'!$N:$N,0),3)</f>
        <v>Муниципальная программа «Развитие муниципальной службы и противодействие коррупции в городе Ставрополе»</v>
      </c>
      <c r="N122" s="17">
        <f t="shared" si="5"/>
        <v>1</v>
      </c>
    </row>
    <row r="123" spans="1:14" s="16" customFormat="1" ht="47.25">
      <c r="A123" s="14"/>
      <c r="B123" s="125" t="s">
        <v>105</v>
      </c>
      <c r="C123" s="109" t="s">
        <v>64</v>
      </c>
      <c r="D123" s="108" t="s">
        <v>11</v>
      </c>
      <c r="E123" s="108" t="s">
        <v>51</v>
      </c>
      <c r="F123" s="108" t="s">
        <v>106</v>
      </c>
      <c r="G123" s="108" t="s">
        <v>9</v>
      </c>
      <c r="H123" s="126">
        <v>0</v>
      </c>
      <c r="I123" s="126">
        <v>0</v>
      </c>
      <c r="J123" s="108">
        <v>1320000000</v>
      </c>
      <c r="K123" s="108" t="str">
        <f t="shared" si="3"/>
        <v>1320000000</v>
      </c>
      <c r="L123" s="303" t="str">
        <f t="shared" si="4"/>
        <v>60101131320000000000</v>
      </c>
      <c r="M123" s="132" t="str">
        <f>INDEX('реш СГД № 265'!$A:$N,MATCH('БА расх 2019-2020'!$L123,'реш СГД № 265'!$N:$N,0),3)</f>
        <v>Подпрограмма «Противодействие коррупции в сфере деятельности администрации города Ставрополя и ее органах»</v>
      </c>
      <c r="N123" s="17">
        <f t="shared" si="5"/>
        <v>1</v>
      </c>
    </row>
    <row r="124" spans="1:14" s="16" customFormat="1" ht="31.5">
      <c r="A124" s="14"/>
      <c r="B124" s="129" t="s">
        <v>107</v>
      </c>
      <c r="C124" s="109" t="s">
        <v>64</v>
      </c>
      <c r="D124" s="108" t="s">
        <v>11</v>
      </c>
      <c r="E124" s="108" t="s">
        <v>51</v>
      </c>
      <c r="F124" s="108" t="s">
        <v>108</v>
      </c>
      <c r="G124" s="108" t="s">
        <v>9</v>
      </c>
      <c r="H124" s="126">
        <v>0</v>
      </c>
      <c r="I124" s="126">
        <v>0</v>
      </c>
      <c r="J124" s="108">
        <v>1320100000</v>
      </c>
      <c r="K124" s="108" t="str">
        <f t="shared" si="3"/>
        <v>1320100000</v>
      </c>
      <c r="L124" s="303" t="str">
        <f t="shared" si="4"/>
        <v>60101131320100000000</v>
      </c>
      <c r="M124" s="132" t="str">
        <f>INDEX('реш СГД № 265'!$A:$N,MATCH('БА расх 2019-2020'!$L124,'реш СГД № 265'!$N:$N,0),3)</f>
        <v>Основное мероприятие «Профилактика коррупции, антикоррупционное просвещение и пропаганда»</v>
      </c>
      <c r="N124" s="17">
        <f t="shared" si="5"/>
        <v>1</v>
      </c>
    </row>
    <row r="125" spans="1:14" s="16" customFormat="1" ht="47.25">
      <c r="A125" s="14"/>
      <c r="B125" s="129" t="s">
        <v>109</v>
      </c>
      <c r="C125" s="109" t="s">
        <v>64</v>
      </c>
      <c r="D125" s="108" t="s">
        <v>11</v>
      </c>
      <c r="E125" s="108" t="s">
        <v>51</v>
      </c>
      <c r="F125" s="108" t="s">
        <v>110</v>
      </c>
      <c r="G125" s="108" t="s">
        <v>9</v>
      </c>
      <c r="H125" s="126">
        <v>0</v>
      </c>
      <c r="I125" s="126">
        <v>0</v>
      </c>
      <c r="J125" s="108">
        <v>1320120620</v>
      </c>
      <c r="K125" s="108" t="str">
        <f t="shared" si="3"/>
        <v>1320120620</v>
      </c>
      <c r="L125" s="303" t="str">
        <f t="shared" si="4"/>
        <v>60101131320120620000</v>
      </c>
      <c r="M125" s="132" t="str">
        <f>INDEX('реш СГД № 265'!$A:$N,MATCH('БА расх 2019-2020'!$L125,'реш СГД № 265'!$N:$N,0),3)</f>
        <v>Расходы на реализацию мероприятий, направленных на противодействие коррупции в сфере деятельности администрации города Ставрополя и ее органов</v>
      </c>
      <c r="N125" s="17">
        <f t="shared" si="5"/>
        <v>1</v>
      </c>
    </row>
    <row r="126" spans="1:14" s="16" customFormat="1" ht="31.5">
      <c r="A126" s="14"/>
      <c r="B126" s="125" t="s">
        <v>28</v>
      </c>
      <c r="C126" s="109" t="s">
        <v>64</v>
      </c>
      <c r="D126" s="108" t="s">
        <v>11</v>
      </c>
      <c r="E126" s="108" t="s">
        <v>51</v>
      </c>
      <c r="F126" s="108" t="s">
        <v>110</v>
      </c>
      <c r="G126" s="108" t="s">
        <v>29</v>
      </c>
      <c r="H126" s="126">
        <v>0</v>
      </c>
      <c r="I126" s="126">
        <v>0</v>
      </c>
      <c r="J126" s="108">
        <v>1320120620</v>
      </c>
      <c r="K126" s="108" t="str">
        <f t="shared" si="3"/>
        <v>1320120620</v>
      </c>
      <c r="L126" s="303" t="str">
        <f t="shared" si="4"/>
        <v>60101131320120620240</v>
      </c>
      <c r="M126" s="132" t="str">
        <f>INDEX('реш СГД № 265'!$A:$N,MATCH('БА расх 2019-2020'!$L126,'реш СГД № 265'!$N:$N,0),3)</f>
        <v>Иные закупки товаров, работ и услуг для обеспечения государственных (муниципальных) нужд</v>
      </c>
      <c r="N126" s="17">
        <f t="shared" si="5"/>
        <v>1</v>
      </c>
    </row>
    <row r="127" spans="1:14" s="16" customFormat="1" ht="15.75">
      <c r="A127" s="14"/>
      <c r="B127" s="125" t="s">
        <v>30</v>
      </c>
      <c r="C127" s="109" t="s">
        <v>64</v>
      </c>
      <c r="D127" s="108" t="s">
        <v>11</v>
      </c>
      <c r="E127" s="108" t="s">
        <v>51</v>
      </c>
      <c r="F127" s="108" t="s">
        <v>110</v>
      </c>
      <c r="G127" s="108" t="s">
        <v>31</v>
      </c>
      <c r="H127" s="126">
        <v>0</v>
      </c>
      <c r="I127" s="126">
        <v>0</v>
      </c>
      <c r="J127" s="108">
        <v>1320120620</v>
      </c>
      <c r="K127" s="108" t="str">
        <f t="shared" si="3"/>
        <v>1320120620</v>
      </c>
      <c r="L127" s="303" t="str">
        <f t="shared" si="4"/>
        <v>60101131320120620244</v>
      </c>
      <c r="M127" s="132"/>
      <c r="N127" s="17">
        <f t="shared" si="5"/>
        <v>0</v>
      </c>
    </row>
    <row r="128" spans="1:14" s="16" customFormat="1" ht="78.75">
      <c r="A128" s="14"/>
      <c r="B128" s="129" t="s">
        <v>111</v>
      </c>
      <c r="C128" s="109" t="s">
        <v>64</v>
      </c>
      <c r="D128" s="108" t="s">
        <v>11</v>
      </c>
      <c r="E128" s="108" t="s">
        <v>51</v>
      </c>
      <c r="F128" s="108" t="s">
        <v>112</v>
      </c>
      <c r="G128" s="108" t="s">
        <v>9</v>
      </c>
      <c r="H128" s="126">
        <v>0</v>
      </c>
      <c r="I128" s="126">
        <v>0</v>
      </c>
      <c r="J128" s="108">
        <v>1400000000</v>
      </c>
      <c r="K128" s="108" t="str">
        <f t="shared" si="3"/>
        <v>1400000000</v>
      </c>
      <c r="L128" s="303" t="str">
        <f t="shared" si="4"/>
        <v>60101131400000000000</v>
      </c>
      <c r="M128" s="132" t="str">
        <f>INDEX('реш СГД № 265'!$A:$N,MATCH('БА расх 2019-2020'!$L128,'реш СГД № 265'!$N:$N,0),3)</f>
        <v>Муниципальная программа «Развитие информационного общества, оптимизация и повышение качества предоставления государственных и муниципальных услуг в городе Ставрополе»</v>
      </c>
      <c r="N128" s="17">
        <f t="shared" si="5"/>
        <v>1</v>
      </c>
    </row>
    <row r="129" spans="1:14" s="16" customFormat="1" ht="31.5">
      <c r="A129" s="14"/>
      <c r="B129" s="129" t="s">
        <v>113</v>
      </c>
      <c r="C129" s="109" t="s">
        <v>64</v>
      </c>
      <c r="D129" s="108" t="s">
        <v>11</v>
      </c>
      <c r="E129" s="108" t="s">
        <v>51</v>
      </c>
      <c r="F129" s="108" t="s">
        <v>114</v>
      </c>
      <c r="G129" s="108" t="s">
        <v>9</v>
      </c>
      <c r="H129" s="126">
        <v>0</v>
      </c>
      <c r="I129" s="126">
        <v>0</v>
      </c>
      <c r="J129" s="108">
        <v>1410000000</v>
      </c>
      <c r="K129" s="108" t="str">
        <f t="shared" si="3"/>
        <v>1410000000</v>
      </c>
      <c r="L129" s="303" t="str">
        <f t="shared" si="4"/>
        <v>60101131410000000000</v>
      </c>
      <c r="M129" s="132" t="str">
        <f>INDEX('реш СГД № 265'!$A:$N,MATCH('БА расх 2019-2020'!$L129,'реш СГД № 265'!$N:$N,0),3)</f>
        <v>Подпрограмма «Развитие информационного общества в городе Ставрополе»</v>
      </c>
      <c r="N129" s="17">
        <f t="shared" si="5"/>
        <v>1</v>
      </c>
    </row>
    <row r="130" spans="1:14" s="16" customFormat="1" ht="47.25">
      <c r="A130" s="14"/>
      <c r="B130" s="129" t="s">
        <v>115</v>
      </c>
      <c r="C130" s="109" t="s">
        <v>64</v>
      </c>
      <c r="D130" s="108" t="s">
        <v>11</v>
      </c>
      <c r="E130" s="108" t="s">
        <v>51</v>
      </c>
      <c r="F130" s="108" t="s">
        <v>116</v>
      </c>
      <c r="G130" s="108" t="s">
        <v>9</v>
      </c>
      <c r="H130" s="126">
        <v>0</v>
      </c>
      <c r="I130" s="126">
        <v>0</v>
      </c>
      <c r="J130" s="108">
        <v>1410100000</v>
      </c>
      <c r="K130" s="108" t="str">
        <f t="shared" si="3"/>
        <v>1410100000</v>
      </c>
      <c r="L130" s="303" t="str">
        <f t="shared" si="4"/>
        <v>60101131410100000000</v>
      </c>
      <c r="M130" s="132" t="str">
        <f>INDEX('реш СГД № 265'!$A:$N,MATCH('БА расх 2019-2020'!$L130,'реш СГД № 265'!$N:$N,0),3)</f>
        <v>Основное мероприятие «Развитие и обеспечение функционирования инфраструктуры информационного общества в городе Ставрополе»</v>
      </c>
      <c r="N130" s="17">
        <f t="shared" si="5"/>
        <v>1</v>
      </c>
    </row>
    <row r="131" spans="1:14" s="16" customFormat="1" ht="47.25">
      <c r="A131" s="14"/>
      <c r="B131" s="129" t="s">
        <v>117</v>
      </c>
      <c r="C131" s="109" t="s">
        <v>64</v>
      </c>
      <c r="D131" s="108" t="s">
        <v>11</v>
      </c>
      <c r="E131" s="108" t="s">
        <v>51</v>
      </c>
      <c r="F131" s="108" t="s">
        <v>118</v>
      </c>
      <c r="G131" s="108" t="s">
        <v>9</v>
      </c>
      <c r="H131" s="126">
        <v>0</v>
      </c>
      <c r="I131" s="126">
        <v>0</v>
      </c>
      <c r="J131" s="108">
        <v>1410120630</v>
      </c>
      <c r="K131" s="108" t="str">
        <f t="shared" si="3"/>
        <v>1410120630</v>
      </c>
      <c r="L131" s="303" t="str">
        <f t="shared" si="4"/>
        <v>60101131410120630000</v>
      </c>
      <c r="M131" s="132" t="str">
        <f>INDEX('реш СГД № 265'!$A:$N,MATCH('БА расх 2019-2020'!$L131,'реш СГД № 265'!$N:$N,0),3)</f>
        <v>Расходы на развитие и обеспечение функционирования информационного общества в городе Ставрополе</v>
      </c>
      <c r="N131" s="17">
        <f t="shared" si="5"/>
        <v>1</v>
      </c>
    </row>
    <row r="132" spans="1:14" s="16" customFormat="1" ht="31.5">
      <c r="A132" s="14"/>
      <c r="B132" s="125" t="s">
        <v>28</v>
      </c>
      <c r="C132" s="109" t="s">
        <v>64</v>
      </c>
      <c r="D132" s="108" t="s">
        <v>11</v>
      </c>
      <c r="E132" s="108" t="s">
        <v>51</v>
      </c>
      <c r="F132" s="108" t="s">
        <v>118</v>
      </c>
      <c r="G132" s="108" t="s">
        <v>29</v>
      </c>
      <c r="H132" s="126">
        <v>0</v>
      </c>
      <c r="I132" s="126">
        <v>0</v>
      </c>
      <c r="J132" s="108">
        <v>1410120630</v>
      </c>
      <c r="K132" s="108" t="str">
        <f t="shared" si="3"/>
        <v>1410120630</v>
      </c>
      <c r="L132" s="303" t="str">
        <f t="shared" si="4"/>
        <v>60101131410120630240</v>
      </c>
      <c r="M132" s="132" t="str">
        <f>INDEX('реш СГД № 265'!$A:$N,MATCH('БА расх 2019-2020'!$L132,'реш СГД № 265'!$N:$N,0),3)</f>
        <v>Иные закупки товаров, работ и услуг для обеспечения государственных (муниципальных) нужд</v>
      </c>
      <c r="N132" s="17">
        <f t="shared" si="5"/>
        <v>1</v>
      </c>
    </row>
    <row r="133" spans="1:14" s="16" customFormat="1" ht="15.75">
      <c r="A133" s="14"/>
      <c r="B133" s="125" t="s">
        <v>30</v>
      </c>
      <c r="C133" s="109" t="s">
        <v>64</v>
      </c>
      <c r="D133" s="108" t="s">
        <v>11</v>
      </c>
      <c r="E133" s="108" t="s">
        <v>51</v>
      </c>
      <c r="F133" s="108" t="s">
        <v>118</v>
      </c>
      <c r="G133" s="108" t="s">
        <v>31</v>
      </c>
      <c r="H133" s="126">
        <v>0</v>
      </c>
      <c r="I133" s="126">
        <v>0</v>
      </c>
      <c r="J133" s="108">
        <v>1410120630</v>
      </c>
      <c r="K133" s="108" t="str">
        <f t="shared" si="3"/>
        <v>1410120630</v>
      </c>
      <c r="L133" s="303" t="str">
        <f t="shared" si="4"/>
        <v>60101131410120630244</v>
      </c>
      <c r="M133" s="132"/>
      <c r="N133" s="17">
        <f t="shared" si="5"/>
        <v>0</v>
      </c>
    </row>
    <row r="134" spans="1:14" s="16" customFormat="1" ht="63">
      <c r="A134" s="14"/>
      <c r="B134" s="129" t="s">
        <v>119</v>
      </c>
      <c r="C134" s="109" t="s">
        <v>64</v>
      </c>
      <c r="D134" s="108" t="s">
        <v>11</v>
      </c>
      <c r="E134" s="108" t="s">
        <v>51</v>
      </c>
      <c r="F134" s="108" t="s">
        <v>120</v>
      </c>
      <c r="G134" s="108" t="s">
        <v>9</v>
      </c>
      <c r="H134" s="126">
        <v>0</v>
      </c>
      <c r="I134" s="126">
        <v>0</v>
      </c>
      <c r="J134" s="108">
        <v>1410200000</v>
      </c>
      <c r="K134" s="108" t="str">
        <f t="shared" si="3"/>
        <v>1410200000</v>
      </c>
      <c r="L134" s="303" t="str">
        <f t="shared" si="4"/>
        <v>60101131410200000000</v>
      </c>
      <c r="M134" s="132" t="str">
        <f>INDEX('реш СГД № 265'!$A:$N,MATCH('БА расх 2019-2020'!$L134,'реш СГД № 265'!$N:$N,0),3)</f>
        <v>Основное мероприятие «Развитие и обеспечение функционирования межведомственного электронного взаимодействия и муниципальных информационных систем»</v>
      </c>
      <c r="N134" s="17">
        <f t="shared" si="5"/>
        <v>1</v>
      </c>
    </row>
    <row r="135" spans="1:14" s="16" customFormat="1" ht="47.25">
      <c r="A135" s="14"/>
      <c r="B135" s="129" t="s">
        <v>117</v>
      </c>
      <c r="C135" s="109" t="s">
        <v>64</v>
      </c>
      <c r="D135" s="108" t="s">
        <v>11</v>
      </c>
      <c r="E135" s="108" t="s">
        <v>51</v>
      </c>
      <c r="F135" s="108" t="s">
        <v>121</v>
      </c>
      <c r="G135" s="108" t="s">
        <v>9</v>
      </c>
      <c r="H135" s="126">
        <v>0</v>
      </c>
      <c r="I135" s="126">
        <v>0</v>
      </c>
      <c r="J135" s="108">
        <v>1410220630</v>
      </c>
      <c r="K135" s="108" t="str">
        <f t="shared" si="3"/>
        <v>1410220630</v>
      </c>
      <c r="L135" s="303" t="str">
        <f t="shared" si="4"/>
        <v>60101131410220630000</v>
      </c>
      <c r="M135" s="132" t="str">
        <f>INDEX('реш СГД № 265'!$A:$N,MATCH('БА расх 2019-2020'!$L135,'реш СГД № 265'!$N:$N,0),3)</f>
        <v>Расходы на развитие и обеспечение функционирования информационного общества в городе Ставрополе</v>
      </c>
      <c r="N135" s="17">
        <f t="shared" si="5"/>
        <v>1</v>
      </c>
    </row>
    <row r="136" spans="1:14" s="16" customFormat="1" ht="31.5">
      <c r="A136" s="14"/>
      <c r="B136" s="125" t="s">
        <v>28</v>
      </c>
      <c r="C136" s="109" t="s">
        <v>64</v>
      </c>
      <c r="D136" s="108" t="s">
        <v>11</v>
      </c>
      <c r="E136" s="108" t="s">
        <v>51</v>
      </c>
      <c r="F136" s="108" t="s">
        <v>121</v>
      </c>
      <c r="G136" s="108" t="s">
        <v>29</v>
      </c>
      <c r="H136" s="126">
        <v>0</v>
      </c>
      <c r="I136" s="126">
        <v>0</v>
      </c>
      <c r="J136" s="108">
        <v>1410220630</v>
      </c>
      <c r="K136" s="108" t="str">
        <f t="shared" si="3"/>
        <v>1410220630</v>
      </c>
      <c r="L136" s="303" t="str">
        <f t="shared" si="4"/>
        <v>60101131410220630240</v>
      </c>
      <c r="M136" s="132" t="str">
        <f>INDEX('реш СГД № 265'!$A:$N,MATCH('БА расх 2019-2020'!$L136,'реш СГД № 265'!$N:$N,0),3)</f>
        <v>Иные закупки товаров, работ и услуг для обеспечения государственных (муниципальных) нужд</v>
      </c>
      <c r="N136" s="17">
        <f t="shared" si="5"/>
        <v>1</v>
      </c>
    </row>
    <row r="137" spans="1:14" s="16" customFormat="1" ht="15.75">
      <c r="A137" s="14"/>
      <c r="B137" s="125" t="s">
        <v>30</v>
      </c>
      <c r="C137" s="109" t="s">
        <v>64</v>
      </c>
      <c r="D137" s="108" t="s">
        <v>11</v>
      </c>
      <c r="E137" s="108" t="s">
        <v>51</v>
      </c>
      <c r="F137" s="108" t="s">
        <v>121</v>
      </c>
      <c r="G137" s="108" t="s">
        <v>31</v>
      </c>
      <c r="H137" s="126">
        <v>0</v>
      </c>
      <c r="I137" s="126">
        <v>0</v>
      </c>
      <c r="J137" s="108">
        <v>1410220630</v>
      </c>
      <c r="K137" s="108" t="str">
        <f t="shared" si="3"/>
        <v>1410220630</v>
      </c>
      <c r="L137" s="303" t="str">
        <f t="shared" si="4"/>
        <v>60101131410220630244</v>
      </c>
      <c r="M137" s="132"/>
      <c r="N137" s="17">
        <f t="shared" si="5"/>
        <v>0</v>
      </c>
    </row>
    <row r="138" spans="1:14" s="16" customFormat="1" ht="47.25">
      <c r="A138" s="14"/>
      <c r="B138" s="129" t="s">
        <v>122</v>
      </c>
      <c r="C138" s="109" t="s">
        <v>64</v>
      </c>
      <c r="D138" s="108" t="s">
        <v>11</v>
      </c>
      <c r="E138" s="108" t="s">
        <v>51</v>
      </c>
      <c r="F138" s="108" t="s">
        <v>123</v>
      </c>
      <c r="G138" s="108" t="s">
        <v>9</v>
      </c>
      <c r="H138" s="126">
        <v>0</v>
      </c>
      <c r="I138" s="126">
        <v>0</v>
      </c>
      <c r="J138" s="108">
        <v>1420000000</v>
      </c>
      <c r="K138" s="108" t="str">
        <f t="shared" si="3"/>
        <v>1420000000</v>
      </c>
      <c r="L138" s="303" t="str">
        <f t="shared" si="4"/>
        <v>60101131420000000000</v>
      </c>
      <c r="M138" s="132" t="str">
        <f>INDEX('реш СГД № 265'!$A:$N,MATCH('БА расх 2019-2020'!$L138,'реш СГД № 265'!$N:$N,0),3)</f>
        <v>Подпрограмма «Оптимизация и повышение качества предоставления государственных и муниципальных услуг в городе Ставрополе»</v>
      </c>
      <c r="N138" s="17">
        <f t="shared" si="5"/>
        <v>1</v>
      </c>
    </row>
    <row r="139" spans="1:14" s="16" customFormat="1" ht="47.25">
      <c r="A139" s="14"/>
      <c r="B139" s="129" t="s">
        <v>124</v>
      </c>
      <c r="C139" s="109" t="s">
        <v>64</v>
      </c>
      <c r="D139" s="108" t="s">
        <v>11</v>
      </c>
      <c r="E139" s="108" t="s">
        <v>51</v>
      </c>
      <c r="F139" s="108" t="s">
        <v>125</v>
      </c>
      <c r="G139" s="108" t="s">
        <v>9</v>
      </c>
      <c r="H139" s="126">
        <v>0</v>
      </c>
      <c r="I139" s="126">
        <v>0</v>
      </c>
      <c r="J139" s="108">
        <v>1420100000</v>
      </c>
      <c r="K139" s="108" t="str">
        <f t="shared" ref="K139:K202" si="6">TEXT(J139,"0000000000")</f>
        <v>1420100000</v>
      </c>
      <c r="L139" s="303" t="str">
        <f t="shared" si="4"/>
        <v>60101131420100000000</v>
      </c>
      <c r="M139" s="132" t="str">
        <f>INDEX('реш СГД № 265'!$A:$N,MATCH('БА расх 2019-2020'!$L139,'реш СГД № 265'!$N:$N,0),3)</f>
        <v>Основное мероприятие «Организация и предоставление муниципальных услуг в городе Ставрополе в электронном виде»</v>
      </c>
      <c r="N139" s="17">
        <f t="shared" si="5"/>
        <v>1</v>
      </c>
    </row>
    <row r="140" spans="1:14" s="16" customFormat="1" ht="63">
      <c r="A140" s="14"/>
      <c r="B140" s="129" t="s">
        <v>126</v>
      </c>
      <c r="C140" s="109" t="s">
        <v>64</v>
      </c>
      <c r="D140" s="108" t="s">
        <v>11</v>
      </c>
      <c r="E140" s="108" t="s">
        <v>51</v>
      </c>
      <c r="F140" s="108" t="s">
        <v>127</v>
      </c>
      <c r="G140" s="108" t="s">
        <v>9</v>
      </c>
      <c r="H140" s="126">
        <v>0</v>
      </c>
      <c r="I140" s="126">
        <v>0</v>
      </c>
      <c r="J140" s="108">
        <v>1420120710</v>
      </c>
      <c r="K140" s="108" t="str">
        <f t="shared" si="6"/>
        <v>1420120710</v>
      </c>
      <c r="L140" s="303" t="str">
        <f t="shared" ref="L140:L203" si="7">C140&amp;D140&amp;E140&amp;K140&amp;G140</f>
        <v>60101131420120710000</v>
      </c>
      <c r="M140" s="132" t="str">
        <f>INDEX('реш СГД № 265'!$A:$N,MATCH('БА расх 2019-2020'!$L140,'реш СГД № 265'!$N:$N,0),3)</f>
        <v>Расходы на реализацию мероприятий, направленных на оптимизацию и повышение качества предоставления государственных и муниципальных услуг в городе Ставрополе</v>
      </c>
      <c r="N140" s="17">
        <f t="shared" ref="N140:N203" si="8">IF(B140=M140,1,0)</f>
        <v>1</v>
      </c>
    </row>
    <row r="141" spans="1:14" s="16" customFormat="1" ht="31.5">
      <c r="A141" s="14"/>
      <c r="B141" s="125" t="s">
        <v>28</v>
      </c>
      <c r="C141" s="109" t="s">
        <v>64</v>
      </c>
      <c r="D141" s="108" t="s">
        <v>11</v>
      </c>
      <c r="E141" s="108" t="s">
        <v>51</v>
      </c>
      <c r="F141" s="108" t="s">
        <v>127</v>
      </c>
      <c r="G141" s="108" t="s">
        <v>29</v>
      </c>
      <c r="H141" s="126">
        <v>0</v>
      </c>
      <c r="I141" s="126">
        <v>0</v>
      </c>
      <c r="J141" s="108">
        <v>1420120710</v>
      </c>
      <c r="K141" s="108" t="str">
        <f t="shared" si="6"/>
        <v>1420120710</v>
      </c>
      <c r="L141" s="303" t="str">
        <f t="shared" si="7"/>
        <v>60101131420120710240</v>
      </c>
      <c r="M141" s="132" t="str">
        <f>INDEX('реш СГД № 265'!$A:$N,MATCH('БА расх 2019-2020'!$L141,'реш СГД № 265'!$N:$N,0),3)</f>
        <v>Иные закупки товаров, работ и услуг для обеспечения государственных (муниципальных) нужд</v>
      </c>
      <c r="N141" s="17">
        <f t="shared" si="8"/>
        <v>1</v>
      </c>
    </row>
    <row r="142" spans="1:14" s="16" customFormat="1" ht="15.75">
      <c r="A142" s="14"/>
      <c r="B142" s="125" t="s">
        <v>30</v>
      </c>
      <c r="C142" s="109" t="s">
        <v>64</v>
      </c>
      <c r="D142" s="108" t="s">
        <v>11</v>
      </c>
      <c r="E142" s="108" t="s">
        <v>51</v>
      </c>
      <c r="F142" s="108" t="s">
        <v>127</v>
      </c>
      <c r="G142" s="108" t="s">
        <v>31</v>
      </c>
      <c r="H142" s="126">
        <v>0</v>
      </c>
      <c r="I142" s="126">
        <v>0</v>
      </c>
      <c r="J142" s="108">
        <v>1420120710</v>
      </c>
      <c r="K142" s="108" t="str">
        <f t="shared" si="6"/>
        <v>1420120710</v>
      </c>
      <c r="L142" s="303" t="str">
        <f t="shared" si="7"/>
        <v>60101131420120710244</v>
      </c>
      <c r="M142" s="132"/>
      <c r="N142" s="17">
        <f t="shared" si="8"/>
        <v>0</v>
      </c>
    </row>
    <row r="143" spans="1:14" s="16" customFormat="1" ht="78.75">
      <c r="A143" s="14"/>
      <c r="B143" s="129" t="s">
        <v>128</v>
      </c>
      <c r="C143" s="109" t="s">
        <v>64</v>
      </c>
      <c r="D143" s="108" t="s">
        <v>11</v>
      </c>
      <c r="E143" s="108" t="s">
        <v>51</v>
      </c>
      <c r="F143" s="108" t="s">
        <v>129</v>
      </c>
      <c r="G143" s="108" t="s">
        <v>9</v>
      </c>
      <c r="H143" s="126">
        <v>0</v>
      </c>
      <c r="I143" s="126">
        <v>0</v>
      </c>
      <c r="J143" s="108">
        <v>1420200000</v>
      </c>
      <c r="K143" s="108" t="str">
        <f t="shared" si="6"/>
        <v>1420200000</v>
      </c>
      <c r="L143" s="303" t="str">
        <f t="shared" si="7"/>
        <v>60101131420200000000</v>
      </c>
      <c r="M143" s="132" t="str">
        <f>INDEX('реш СГД № 265'!$A:$N,MATCH('БА расх 2019-2020'!$L143,'реш СГД № 265'!$N:$N,0),3)</f>
        <v>Основное мероприятие «Проведение мониторинга удовлетворенности населения качеством и доступностью государственных и муниципальных услуг, предоставляемых органами местного самоуправления города Ставрополя»</v>
      </c>
      <c r="N143" s="17">
        <f t="shared" si="8"/>
        <v>1</v>
      </c>
    </row>
    <row r="144" spans="1:14" s="16" customFormat="1" ht="63">
      <c r="A144" s="14"/>
      <c r="B144" s="129" t="s">
        <v>126</v>
      </c>
      <c r="C144" s="109" t="s">
        <v>64</v>
      </c>
      <c r="D144" s="108" t="s">
        <v>11</v>
      </c>
      <c r="E144" s="108" t="s">
        <v>51</v>
      </c>
      <c r="F144" s="108" t="s">
        <v>130</v>
      </c>
      <c r="G144" s="108" t="s">
        <v>9</v>
      </c>
      <c r="H144" s="126">
        <v>0</v>
      </c>
      <c r="I144" s="126">
        <v>0</v>
      </c>
      <c r="J144" s="108">
        <v>1420220710</v>
      </c>
      <c r="K144" s="108" t="str">
        <f t="shared" si="6"/>
        <v>1420220710</v>
      </c>
      <c r="L144" s="303" t="str">
        <f t="shared" si="7"/>
        <v>60101131420220710000</v>
      </c>
      <c r="M144" s="132" t="str">
        <f>INDEX('реш СГД № 265'!$A:$N,MATCH('БА расх 2019-2020'!$L144,'реш СГД № 265'!$N:$N,0),3)</f>
        <v>Расходы на реализацию мероприятий, направленных на оптимизацию и повышение качества предоставления государственных и муниципальных услуг в городе Ставрополе</v>
      </c>
      <c r="N144" s="17">
        <f t="shared" si="8"/>
        <v>1</v>
      </c>
    </row>
    <row r="145" spans="1:14" s="16" customFormat="1" ht="31.5">
      <c r="A145" s="14"/>
      <c r="B145" s="125" t="s">
        <v>28</v>
      </c>
      <c r="C145" s="109" t="s">
        <v>64</v>
      </c>
      <c r="D145" s="108" t="s">
        <v>11</v>
      </c>
      <c r="E145" s="108" t="s">
        <v>51</v>
      </c>
      <c r="F145" s="108" t="s">
        <v>130</v>
      </c>
      <c r="G145" s="108" t="s">
        <v>29</v>
      </c>
      <c r="H145" s="126">
        <v>0</v>
      </c>
      <c r="I145" s="126">
        <v>0</v>
      </c>
      <c r="J145" s="108">
        <v>1420220710</v>
      </c>
      <c r="K145" s="108" t="str">
        <f t="shared" si="6"/>
        <v>1420220710</v>
      </c>
      <c r="L145" s="303" t="str">
        <f t="shared" si="7"/>
        <v>60101131420220710240</v>
      </c>
      <c r="M145" s="132" t="str">
        <f>INDEX('реш СГД № 265'!$A:$N,MATCH('БА расх 2019-2020'!$L145,'реш СГД № 265'!$N:$N,0),3)</f>
        <v>Иные закупки товаров, работ и услуг для обеспечения государственных (муниципальных) нужд</v>
      </c>
      <c r="N145" s="17">
        <f t="shared" si="8"/>
        <v>1</v>
      </c>
    </row>
    <row r="146" spans="1:14" s="16" customFormat="1" ht="15.75">
      <c r="A146" s="14"/>
      <c r="B146" s="125" t="s">
        <v>30</v>
      </c>
      <c r="C146" s="109" t="s">
        <v>64</v>
      </c>
      <c r="D146" s="108" t="s">
        <v>11</v>
      </c>
      <c r="E146" s="108" t="s">
        <v>51</v>
      </c>
      <c r="F146" s="108" t="s">
        <v>130</v>
      </c>
      <c r="G146" s="108" t="s">
        <v>31</v>
      </c>
      <c r="H146" s="126">
        <v>0</v>
      </c>
      <c r="I146" s="126">
        <v>0</v>
      </c>
      <c r="J146" s="108">
        <v>1420220710</v>
      </c>
      <c r="K146" s="108" t="str">
        <f t="shared" si="6"/>
        <v>1420220710</v>
      </c>
      <c r="L146" s="303" t="str">
        <f t="shared" si="7"/>
        <v>60101131420220710244</v>
      </c>
      <c r="M146" s="132"/>
      <c r="N146" s="17">
        <f t="shared" si="8"/>
        <v>0</v>
      </c>
    </row>
    <row r="147" spans="1:14" s="16" customFormat="1" ht="78.75">
      <c r="A147" s="14"/>
      <c r="B147" s="129" t="s">
        <v>131</v>
      </c>
      <c r="C147" s="109" t="s">
        <v>64</v>
      </c>
      <c r="D147" s="108" t="s">
        <v>11</v>
      </c>
      <c r="E147" s="108" t="s">
        <v>51</v>
      </c>
      <c r="F147" s="108" t="s">
        <v>132</v>
      </c>
      <c r="G147" s="108" t="s">
        <v>9</v>
      </c>
      <c r="H147" s="126">
        <v>0</v>
      </c>
      <c r="I147" s="126">
        <v>0</v>
      </c>
      <c r="J147" s="108">
        <v>1420300000</v>
      </c>
      <c r="K147" s="108" t="str">
        <f t="shared" si="6"/>
        <v>1420300000</v>
      </c>
      <c r="L147" s="303" t="str">
        <f t="shared" si="7"/>
        <v>60101131420300000000</v>
      </c>
      <c r="M147" s="132" t="str">
        <f>INDEX('реш СГД № 265'!$A:$N,MATCH('БА расх 2019-2020'!$L147,'реш СГД № 265'!$N:$N,0),3)</f>
        <v>Основное мероприятие «Организация, проведение и участие в семинарах, круглых столах и конференциях по вопросам оптимизации и повышения качества предоставления государственных и муниципальных услуг в городе Ставрополе»</v>
      </c>
      <c r="N147" s="17">
        <f t="shared" si="8"/>
        <v>1</v>
      </c>
    </row>
    <row r="148" spans="1:14" s="16" customFormat="1" ht="63">
      <c r="A148" s="14"/>
      <c r="B148" s="129" t="s">
        <v>126</v>
      </c>
      <c r="C148" s="109" t="s">
        <v>64</v>
      </c>
      <c r="D148" s="108" t="s">
        <v>11</v>
      </c>
      <c r="E148" s="108" t="s">
        <v>51</v>
      </c>
      <c r="F148" s="108" t="s">
        <v>133</v>
      </c>
      <c r="G148" s="108" t="s">
        <v>9</v>
      </c>
      <c r="H148" s="126">
        <v>0</v>
      </c>
      <c r="I148" s="126">
        <v>0</v>
      </c>
      <c r="J148" s="108">
        <v>1420320710</v>
      </c>
      <c r="K148" s="108" t="str">
        <f t="shared" si="6"/>
        <v>1420320710</v>
      </c>
      <c r="L148" s="303" t="str">
        <f t="shared" si="7"/>
        <v>60101131420320710000</v>
      </c>
      <c r="M148" s="132" t="str">
        <f>INDEX('реш СГД № 265'!$A:$N,MATCH('БА расх 2019-2020'!$L148,'реш СГД № 265'!$N:$N,0),3)</f>
        <v>Расходы на реализацию мероприятий, направленных на оптимизацию и повышение качества предоставления государственных и муниципальных услуг в городе Ставрополе</v>
      </c>
      <c r="N148" s="17">
        <f t="shared" si="8"/>
        <v>1</v>
      </c>
    </row>
    <row r="149" spans="1:14" s="16" customFormat="1" ht="31.5">
      <c r="A149" s="14"/>
      <c r="B149" s="125" t="s">
        <v>28</v>
      </c>
      <c r="C149" s="109" t="s">
        <v>64</v>
      </c>
      <c r="D149" s="108" t="s">
        <v>11</v>
      </c>
      <c r="E149" s="108" t="s">
        <v>51</v>
      </c>
      <c r="F149" s="108" t="s">
        <v>133</v>
      </c>
      <c r="G149" s="108" t="s">
        <v>29</v>
      </c>
      <c r="H149" s="126">
        <v>0</v>
      </c>
      <c r="I149" s="126">
        <v>0</v>
      </c>
      <c r="J149" s="108">
        <v>1420320710</v>
      </c>
      <c r="K149" s="108" t="str">
        <f t="shared" si="6"/>
        <v>1420320710</v>
      </c>
      <c r="L149" s="303" t="str">
        <f t="shared" si="7"/>
        <v>60101131420320710240</v>
      </c>
      <c r="M149" s="132" t="str">
        <f>INDEX('реш СГД № 265'!$A:$N,MATCH('БА расх 2019-2020'!$L149,'реш СГД № 265'!$N:$N,0),3)</f>
        <v>Иные закупки товаров, работ и услуг для обеспечения государственных (муниципальных) нужд</v>
      </c>
      <c r="N149" s="17">
        <f t="shared" si="8"/>
        <v>1</v>
      </c>
    </row>
    <row r="150" spans="1:14" s="16" customFormat="1" ht="15.75">
      <c r="A150" s="14"/>
      <c r="B150" s="125" t="s">
        <v>30</v>
      </c>
      <c r="C150" s="109" t="s">
        <v>64</v>
      </c>
      <c r="D150" s="108" t="s">
        <v>11</v>
      </c>
      <c r="E150" s="108" t="s">
        <v>51</v>
      </c>
      <c r="F150" s="108" t="s">
        <v>133</v>
      </c>
      <c r="G150" s="108" t="s">
        <v>31</v>
      </c>
      <c r="H150" s="126">
        <v>0</v>
      </c>
      <c r="I150" s="126">
        <v>0</v>
      </c>
      <c r="J150" s="108">
        <v>1420320710</v>
      </c>
      <c r="K150" s="108" t="str">
        <f t="shared" si="6"/>
        <v>1420320710</v>
      </c>
      <c r="L150" s="303" t="str">
        <f t="shared" si="7"/>
        <v>60101131420320710244</v>
      </c>
      <c r="M150" s="132"/>
      <c r="N150" s="17">
        <f t="shared" si="8"/>
        <v>0</v>
      </c>
    </row>
    <row r="151" spans="1:14" s="16" customFormat="1" ht="63">
      <c r="A151" s="14"/>
      <c r="B151" s="125" t="s">
        <v>134</v>
      </c>
      <c r="C151" s="109" t="s">
        <v>64</v>
      </c>
      <c r="D151" s="108" t="s">
        <v>11</v>
      </c>
      <c r="E151" s="108" t="s">
        <v>51</v>
      </c>
      <c r="F151" s="108" t="s">
        <v>135</v>
      </c>
      <c r="G151" s="108" t="s">
        <v>9</v>
      </c>
      <c r="H151" s="126">
        <v>0</v>
      </c>
      <c r="I151" s="126">
        <v>0</v>
      </c>
      <c r="J151" s="108">
        <v>1420400000</v>
      </c>
      <c r="K151" s="108" t="str">
        <f t="shared" si="6"/>
        <v>1420400000</v>
      </c>
      <c r="L151" s="303" t="str">
        <f t="shared" si="7"/>
        <v>60101131420400000000</v>
      </c>
      <c r="M151" s="132" t="str">
        <f>INDEX('реш СГД № 265'!$A:$N,MATCH('БА расх 2019-2020'!$L151,'реш СГД № 265'!$N:$N,0),3)</f>
        <v>Основное мероприятие «Обеспечение деятельности многофункционального центра предоставления государственных и муниципальных услуг в городе Ставрополе»</v>
      </c>
      <c r="N151" s="17">
        <f t="shared" si="8"/>
        <v>1</v>
      </c>
    </row>
    <row r="152" spans="1:14" s="16" customFormat="1" ht="31.5">
      <c r="A152" s="14"/>
      <c r="B152" s="125" t="s">
        <v>136</v>
      </c>
      <c r="C152" s="109" t="s">
        <v>64</v>
      </c>
      <c r="D152" s="108" t="s">
        <v>11</v>
      </c>
      <c r="E152" s="108" t="s">
        <v>51</v>
      </c>
      <c r="F152" s="108" t="s">
        <v>137</v>
      </c>
      <c r="G152" s="108" t="s">
        <v>9</v>
      </c>
      <c r="H152" s="126">
        <v>0</v>
      </c>
      <c r="I152" s="126">
        <v>0</v>
      </c>
      <c r="J152" s="108">
        <v>1420411010</v>
      </c>
      <c r="K152" s="108" t="str">
        <f t="shared" si="6"/>
        <v>1420411010</v>
      </c>
      <c r="L152" s="303" t="str">
        <f t="shared" si="7"/>
        <v>60101131420411010000</v>
      </c>
      <c r="M152" s="132" t="str">
        <f>INDEX('реш СГД № 265'!$A:$N,MATCH('БА расх 2019-2020'!$L152,'реш СГД № 265'!$N:$N,0),3)</f>
        <v>Расходы на обеспечение деятельности (оказание услуг) муниципальных учреждений</v>
      </c>
      <c r="N152" s="17">
        <f t="shared" si="8"/>
        <v>1</v>
      </c>
    </row>
    <row r="153" spans="1:14" s="16" customFormat="1" ht="15.75">
      <c r="A153" s="14"/>
      <c r="B153" s="132" t="s">
        <v>138</v>
      </c>
      <c r="C153" s="109" t="s">
        <v>64</v>
      </c>
      <c r="D153" s="108" t="s">
        <v>11</v>
      </c>
      <c r="E153" s="108" t="s">
        <v>51</v>
      </c>
      <c r="F153" s="108" t="s">
        <v>137</v>
      </c>
      <c r="G153" s="108" t="s">
        <v>139</v>
      </c>
      <c r="H153" s="126">
        <v>0</v>
      </c>
      <c r="I153" s="126">
        <v>0</v>
      </c>
      <c r="J153" s="108">
        <v>1420411010</v>
      </c>
      <c r="K153" s="108" t="str">
        <f t="shared" si="6"/>
        <v>1420411010</v>
      </c>
      <c r="L153" s="303" t="str">
        <f t="shared" si="7"/>
        <v>60101131420411010110</v>
      </c>
      <c r="M153" s="132" t="str">
        <f>INDEX('реш СГД № 265'!$A:$N,MATCH('БА расх 2019-2020'!$L153,'реш СГД № 265'!$N:$N,0),3)</f>
        <v>Расходы на выплаты персоналу казенных учреждений</v>
      </c>
      <c r="N153" s="17">
        <f t="shared" si="8"/>
        <v>1</v>
      </c>
    </row>
    <row r="154" spans="1:14" s="23" customFormat="1" ht="15.75">
      <c r="A154" s="21"/>
      <c r="B154" s="127" t="s">
        <v>140</v>
      </c>
      <c r="C154" s="109" t="s">
        <v>64</v>
      </c>
      <c r="D154" s="108" t="s">
        <v>11</v>
      </c>
      <c r="E154" s="108" t="s">
        <v>51</v>
      </c>
      <c r="F154" s="108" t="s">
        <v>137</v>
      </c>
      <c r="G154" s="108" t="s">
        <v>141</v>
      </c>
      <c r="H154" s="126">
        <v>0</v>
      </c>
      <c r="I154" s="126">
        <v>0</v>
      </c>
      <c r="J154" s="108">
        <v>1420411010</v>
      </c>
      <c r="K154" s="108" t="str">
        <f t="shared" si="6"/>
        <v>1420411010</v>
      </c>
      <c r="L154" s="303" t="str">
        <f t="shared" si="7"/>
        <v>60101131420411010111</v>
      </c>
      <c r="M154" s="132"/>
      <c r="N154" s="17">
        <f t="shared" si="8"/>
        <v>0</v>
      </c>
    </row>
    <row r="155" spans="1:14" s="23" customFormat="1" ht="31.5">
      <c r="A155" s="21"/>
      <c r="B155" s="127" t="s">
        <v>142</v>
      </c>
      <c r="C155" s="109" t="s">
        <v>64</v>
      </c>
      <c r="D155" s="108" t="s">
        <v>11</v>
      </c>
      <c r="E155" s="108" t="s">
        <v>51</v>
      </c>
      <c r="F155" s="108" t="s">
        <v>137</v>
      </c>
      <c r="G155" s="108" t="s">
        <v>143</v>
      </c>
      <c r="H155" s="126">
        <v>0</v>
      </c>
      <c r="I155" s="126">
        <v>0</v>
      </c>
      <c r="J155" s="108">
        <v>1420411010</v>
      </c>
      <c r="K155" s="108" t="str">
        <f t="shared" si="6"/>
        <v>1420411010</v>
      </c>
      <c r="L155" s="303" t="str">
        <f t="shared" si="7"/>
        <v>60101131420411010112</v>
      </c>
      <c r="M155" s="132"/>
      <c r="N155" s="17">
        <f t="shared" si="8"/>
        <v>0</v>
      </c>
    </row>
    <row r="156" spans="1:14" s="23" customFormat="1" ht="63">
      <c r="A156" s="21"/>
      <c r="B156" s="127" t="s">
        <v>144</v>
      </c>
      <c r="C156" s="109" t="s">
        <v>64</v>
      </c>
      <c r="D156" s="108" t="s">
        <v>11</v>
      </c>
      <c r="E156" s="108" t="s">
        <v>51</v>
      </c>
      <c r="F156" s="108" t="s">
        <v>137</v>
      </c>
      <c r="G156" s="108" t="s">
        <v>145</v>
      </c>
      <c r="H156" s="126">
        <v>0</v>
      </c>
      <c r="I156" s="126">
        <v>0</v>
      </c>
      <c r="J156" s="108">
        <v>1420411010</v>
      </c>
      <c r="K156" s="108" t="str">
        <f t="shared" si="6"/>
        <v>1420411010</v>
      </c>
      <c r="L156" s="303" t="str">
        <f t="shared" si="7"/>
        <v>60101131420411010119</v>
      </c>
      <c r="M156" s="132"/>
      <c r="N156" s="17">
        <f t="shared" si="8"/>
        <v>0</v>
      </c>
    </row>
    <row r="157" spans="1:14" s="16" customFormat="1" ht="31.5">
      <c r="A157" s="14"/>
      <c r="B157" s="125" t="s">
        <v>28</v>
      </c>
      <c r="C157" s="109" t="s">
        <v>64</v>
      </c>
      <c r="D157" s="108" t="s">
        <v>11</v>
      </c>
      <c r="E157" s="108" t="s">
        <v>51</v>
      </c>
      <c r="F157" s="108" t="s">
        <v>137</v>
      </c>
      <c r="G157" s="108" t="s">
        <v>29</v>
      </c>
      <c r="H157" s="126">
        <v>0</v>
      </c>
      <c r="I157" s="126">
        <v>0</v>
      </c>
      <c r="J157" s="108">
        <v>1420411010</v>
      </c>
      <c r="K157" s="108" t="str">
        <f t="shared" si="6"/>
        <v>1420411010</v>
      </c>
      <c r="L157" s="303" t="str">
        <f t="shared" si="7"/>
        <v>60101131420411010240</v>
      </c>
      <c r="M157" s="132" t="str">
        <f>INDEX('реш СГД № 265'!$A:$N,MATCH('БА расх 2019-2020'!$L157,'реш СГД № 265'!$N:$N,0),3)</f>
        <v>Иные закупки товаров, работ и услуг для обеспечения государственных (муниципальных) нужд</v>
      </c>
      <c r="N157" s="17">
        <f t="shared" si="8"/>
        <v>1</v>
      </c>
    </row>
    <row r="158" spans="1:14" s="16" customFormat="1" ht="15.75">
      <c r="A158" s="14"/>
      <c r="B158" s="125" t="s">
        <v>30</v>
      </c>
      <c r="C158" s="109" t="s">
        <v>64</v>
      </c>
      <c r="D158" s="108" t="s">
        <v>11</v>
      </c>
      <c r="E158" s="108" t="s">
        <v>51</v>
      </c>
      <c r="F158" s="108" t="s">
        <v>137</v>
      </c>
      <c r="G158" s="108" t="s">
        <v>31</v>
      </c>
      <c r="H158" s="126">
        <v>0</v>
      </c>
      <c r="I158" s="126">
        <v>0</v>
      </c>
      <c r="J158" s="108">
        <v>1420411010</v>
      </c>
      <c r="K158" s="108" t="str">
        <f t="shared" si="6"/>
        <v>1420411010</v>
      </c>
      <c r="L158" s="303" t="str">
        <f t="shared" si="7"/>
        <v>60101131420411010244</v>
      </c>
      <c r="M158" s="132"/>
      <c r="N158" s="17">
        <f t="shared" si="8"/>
        <v>0</v>
      </c>
    </row>
    <row r="159" spans="1:14" s="16" customFormat="1" ht="15.75">
      <c r="A159" s="14"/>
      <c r="B159" s="125" t="s">
        <v>32</v>
      </c>
      <c r="C159" s="109" t="s">
        <v>64</v>
      </c>
      <c r="D159" s="108" t="s">
        <v>11</v>
      </c>
      <c r="E159" s="108" t="s">
        <v>51</v>
      </c>
      <c r="F159" s="108" t="s">
        <v>137</v>
      </c>
      <c r="G159" s="133">
        <v>850</v>
      </c>
      <c r="H159" s="126">
        <v>0</v>
      </c>
      <c r="I159" s="126">
        <v>0</v>
      </c>
      <c r="J159" s="108">
        <v>1420411010</v>
      </c>
      <c r="K159" s="108" t="str">
        <f t="shared" si="6"/>
        <v>1420411010</v>
      </c>
      <c r="L159" s="303" t="str">
        <f t="shared" si="7"/>
        <v>60101131420411010850</v>
      </c>
      <c r="M159" s="132" t="str">
        <f>INDEX('реш СГД № 265'!$A:$N,MATCH('БА расх 2019-2020'!$L159,'реш СГД № 265'!$N:$N,0),3)</f>
        <v>Уплата налогов, сборов и иных платежей</v>
      </c>
      <c r="N159" s="17">
        <f t="shared" si="8"/>
        <v>1</v>
      </c>
    </row>
    <row r="160" spans="1:14" s="23" customFormat="1" ht="31.5">
      <c r="A160" s="21"/>
      <c r="B160" s="127" t="s">
        <v>34</v>
      </c>
      <c r="C160" s="109" t="s">
        <v>64</v>
      </c>
      <c r="D160" s="108" t="s">
        <v>11</v>
      </c>
      <c r="E160" s="108" t="s">
        <v>51</v>
      </c>
      <c r="F160" s="108" t="s">
        <v>137</v>
      </c>
      <c r="G160" s="133">
        <v>851</v>
      </c>
      <c r="H160" s="126">
        <v>0</v>
      </c>
      <c r="I160" s="126">
        <v>0</v>
      </c>
      <c r="J160" s="108">
        <v>1420411010</v>
      </c>
      <c r="K160" s="108" t="str">
        <f t="shared" si="6"/>
        <v>1420411010</v>
      </c>
      <c r="L160" s="303" t="str">
        <f t="shared" si="7"/>
        <v>60101131420411010851</v>
      </c>
      <c r="M160" s="132"/>
      <c r="N160" s="17">
        <f t="shared" si="8"/>
        <v>0</v>
      </c>
    </row>
    <row r="161" spans="1:14" s="23" customFormat="1" ht="15.75">
      <c r="A161" s="21"/>
      <c r="B161" s="127" t="s">
        <v>36</v>
      </c>
      <c r="C161" s="109" t="s">
        <v>64</v>
      </c>
      <c r="D161" s="108" t="s">
        <v>11</v>
      </c>
      <c r="E161" s="108" t="s">
        <v>51</v>
      </c>
      <c r="F161" s="108" t="s">
        <v>137</v>
      </c>
      <c r="G161" s="133">
        <v>852</v>
      </c>
      <c r="H161" s="126">
        <v>0</v>
      </c>
      <c r="I161" s="126">
        <v>0</v>
      </c>
      <c r="J161" s="108">
        <v>1420411010</v>
      </c>
      <c r="K161" s="108" t="str">
        <f t="shared" si="6"/>
        <v>1420411010</v>
      </c>
      <c r="L161" s="303" t="str">
        <f t="shared" si="7"/>
        <v>60101131420411010852</v>
      </c>
      <c r="M161" s="132"/>
      <c r="N161" s="17">
        <f t="shared" si="8"/>
        <v>0</v>
      </c>
    </row>
    <row r="162" spans="1:14" s="23" customFormat="1" ht="15.75">
      <c r="A162" s="21"/>
      <c r="B162" s="127" t="s">
        <v>77</v>
      </c>
      <c r="C162" s="109" t="s">
        <v>64</v>
      </c>
      <c r="D162" s="108" t="s">
        <v>11</v>
      </c>
      <c r="E162" s="108" t="s">
        <v>51</v>
      </c>
      <c r="F162" s="108" t="s">
        <v>137</v>
      </c>
      <c r="G162" s="133">
        <v>853</v>
      </c>
      <c r="H162" s="126">
        <v>0</v>
      </c>
      <c r="I162" s="126">
        <v>0</v>
      </c>
      <c r="J162" s="108">
        <v>1420411010</v>
      </c>
      <c r="K162" s="108" t="str">
        <f t="shared" si="6"/>
        <v>1420411010</v>
      </c>
      <c r="L162" s="303" t="str">
        <f t="shared" si="7"/>
        <v>60101131420411010853</v>
      </c>
      <c r="M162" s="132"/>
      <c r="N162" s="17">
        <f t="shared" si="8"/>
        <v>0</v>
      </c>
    </row>
    <row r="163" spans="1:14" s="16" customFormat="1" ht="47.25">
      <c r="A163" s="14"/>
      <c r="B163" s="127" t="s">
        <v>146</v>
      </c>
      <c r="C163" s="130">
        <v>601</v>
      </c>
      <c r="D163" s="130" t="s">
        <v>11</v>
      </c>
      <c r="E163" s="130">
        <v>13</v>
      </c>
      <c r="F163" s="130" t="s">
        <v>147</v>
      </c>
      <c r="G163" s="130" t="s">
        <v>9</v>
      </c>
      <c r="H163" s="134">
        <v>0</v>
      </c>
      <c r="I163" s="134">
        <v>0</v>
      </c>
      <c r="J163" s="130">
        <v>1500000000</v>
      </c>
      <c r="K163" s="108" t="str">
        <f t="shared" si="6"/>
        <v>1500000000</v>
      </c>
      <c r="L163" s="303" t="str">
        <f t="shared" si="7"/>
        <v>60101131500000000000</v>
      </c>
      <c r="M163" s="132" t="str">
        <f>INDEX('реш СГД № 265'!$A:$N,MATCH('БА расх 2019-2020'!$L163,'реш СГД № 265'!$N:$N,0),3)</f>
        <v>Муниципальная программа «Обеспечение безопасности, общественного порядка и профилактика правонарушений в городе Ставрополе»</v>
      </c>
      <c r="N163" s="17">
        <f t="shared" si="8"/>
        <v>1</v>
      </c>
    </row>
    <row r="164" spans="1:14" s="16" customFormat="1" ht="47.25">
      <c r="A164" s="14"/>
      <c r="B164" s="125" t="s">
        <v>1065</v>
      </c>
      <c r="C164" s="130">
        <v>601</v>
      </c>
      <c r="D164" s="130" t="s">
        <v>11</v>
      </c>
      <c r="E164" s="130">
        <v>13</v>
      </c>
      <c r="F164" s="130" t="s">
        <v>149</v>
      </c>
      <c r="G164" s="130" t="s">
        <v>9</v>
      </c>
      <c r="H164" s="134">
        <v>0</v>
      </c>
      <c r="I164" s="134">
        <v>0</v>
      </c>
      <c r="J164" s="130">
        <v>1510000000</v>
      </c>
      <c r="K164" s="108" t="str">
        <f t="shared" si="6"/>
        <v>1510000000</v>
      </c>
      <c r="L164" s="303" t="str">
        <f t="shared" si="7"/>
        <v>60101131510000000000</v>
      </c>
      <c r="M164" s="132" t="str">
        <f>INDEX('реш СГД № 265'!$A:$N,MATCH('БА расх 2019-2020'!$L164,'реш СГД № 265'!$N:$N,0),3)</f>
        <v>Подпрограмма «Профилактика терроризма, экстремизма, межнациональных (межэтнических) конфликтов в городе Ставрополе»</v>
      </c>
      <c r="N164" s="17">
        <f t="shared" si="8"/>
        <v>1</v>
      </c>
    </row>
    <row r="165" spans="1:14" s="16" customFormat="1" ht="63">
      <c r="A165" s="14"/>
      <c r="B165" s="125" t="s">
        <v>1066</v>
      </c>
      <c r="C165" s="130">
        <v>601</v>
      </c>
      <c r="D165" s="130" t="s">
        <v>11</v>
      </c>
      <c r="E165" s="130">
        <v>13</v>
      </c>
      <c r="F165" s="130" t="s">
        <v>151</v>
      </c>
      <c r="G165" s="130" t="s">
        <v>9</v>
      </c>
      <c r="H165" s="134">
        <v>0</v>
      </c>
      <c r="I165" s="134">
        <v>0</v>
      </c>
      <c r="J165" s="130">
        <v>1510100000</v>
      </c>
      <c r="K165" s="108" t="str">
        <f t="shared" si="6"/>
        <v>1510100000</v>
      </c>
      <c r="L165" s="303" t="str">
        <f t="shared" si="7"/>
        <v>60101131510100000000</v>
      </c>
      <c r="M165" s="132" t="str">
        <f>INDEX('реш СГД № 265'!$A:$N,MATCH('БА расх 2019-2020'!$L165,'реш СГД № 265'!$N:$N,0),3)</f>
        <v>Основное мероприятие «Сбор и анализ информации о состоянии  этноконфессиональных отношений и межнациональной напряженности, распространения идеологии терроризма в городе Ставрополе»</v>
      </c>
      <c r="N165" s="17">
        <f t="shared" si="8"/>
        <v>1</v>
      </c>
    </row>
    <row r="166" spans="1:14" s="16" customFormat="1" ht="47.25">
      <c r="A166" s="14"/>
      <c r="B166" s="129" t="s">
        <v>152</v>
      </c>
      <c r="C166" s="130">
        <v>601</v>
      </c>
      <c r="D166" s="130" t="s">
        <v>11</v>
      </c>
      <c r="E166" s="130">
        <v>13</v>
      </c>
      <c r="F166" s="130" t="s">
        <v>153</v>
      </c>
      <c r="G166" s="130" t="s">
        <v>9</v>
      </c>
      <c r="H166" s="134">
        <v>0</v>
      </c>
      <c r="I166" s="134">
        <v>0</v>
      </c>
      <c r="J166" s="130">
        <v>1510120350</v>
      </c>
      <c r="K166" s="108" t="str">
        <f t="shared" si="6"/>
        <v>1510120350</v>
      </c>
      <c r="L166" s="303" t="str">
        <f t="shared" si="7"/>
        <v>60101131510120350000</v>
      </c>
      <c r="M166" s="132" t="str">
        <f>INDEX('реш СГД № 265'!$A:$N,MATCH('БА расх 2019-2020'!$L166,'реш СГД № 265'!$N:$N,0),3)</f>
        <v>Расходы на реализацию мероприятий, направленных на повышение уровня безопасности жизнедеятельности города Ставрополя</v>
      </c>
      <c r="N166" s="17">
        <f t="shared" si="8"/>
        <v>1</v>
      </c>
    </row>
    <row r="167" spans="1:14" s="16" customFormat="1" ht="31.5">
      <c r="A167" s="14"/>
      <c r="B167" s="135" t="s">
        <v>28</v>
      </c>
      <c r="C167" s="130">
        <v>601</v>
      </c>
      <c r="D167" s="130" t="s">
        <v>11</v>
      </c>
      <c r="E167" s="130">
        <v>13</v>
      </c>
      <c r="F167" s="130" t="s">
        <v>153</v>
      </c>
      <c r="G167" s="130" t="s">
        <v>29</v>
      </c>
      <c r="H167" s="126">
        <v>0</v>
      </c>
      <c r="I167" s="126">
        <v>0</v>
      </c>
      <c r="J167" s="130">
        <v>1510120350</v>
      </c>
      <c r="K167" s="108" t="str">
        <f t="shared" si="6"/>
        <v>1510120350</v>
      </c>
      <c r="L167" s="303" t="str">
        <f t="shared" si="7"/>
        <v>60101131510120350240</v>
      </c>
      <c r="M167" s="132" t="str">
        <f>INDEX('реш СГД № 265'!$A:$N,MATCH('БА расх 2019-2020'!$L167,'реш СГД № 265'!$N:$N,0),3)</f>
        <v>Иные закупки товаров, работ и услуг для обеспечения государственных (муниципальных) нужд</v>
      </c>
      <c r="N167" s="17">
        <f t="shared" si="8"/>
        <v>1</v>
      </c>
    </row>
    <row r="168" spans="1:14" s="16" customFormat="1" ht="15.75">
      <c r="A168" s="14"/>
      <c r="B168" s="125" t="s">
        <v>30</v>
      </c>
      <c r="C168" s="130">
        <v>601</v>
      </c>
      <c r="D168" s="130" t="s">
        <v>11</v>
      </c>
      <c r="E168" s="130">
        <v>13</v>
      </c>
      <c r="F168" s="130" t="s">
        <v>153</v>
      </c>
      <c r="G168" s="130" t="s">
        <v>31</v>
      </c>
      <c r="H168" s="126">
        <v>0</v>
      </c>
      <c r="I168" s="126">
        <v>0</v>
      </c>
      <c r="J168" s="130">
        <v>1510120350</v>
      </c>
      <c r="K168" s="108" t="str">
        <f t="shared" si="6"/>
        <v>1510120350</v>
      </c>
      <c r="L168" s="303" t="str">
        <f t="shared" si="7"/>
        <v>60101131510120350244</v>
      </c>
      <c r="M168" s="132"/>
      <c r="N168" s="17">
        <f t="shared" si="8"/>
        <v>0</v>
      </c>
    </row>
    <row r="169" spans="1:14" s="16" customFormat="1" ht="63">
      <c r="A169" s="14"/>
      <c r="B169" s="125" t="s">
        <v>1071</v>
      </c>
      <c r="C169" s="130">
        <v>601</v>
      </c>
      <c r="D169" s="130" t="s">
        <v>11</v>
      </c>
      <c r="E169" s="130">
        <v>13</v>
      </c>
      <c r="F169" s="130" t="s">
        <v>274</v>
      </c>
      <c r="G169" s="130" t="s">
        <v>9</v>
      </c>
      <c r="H169" s="126">
        <v>0</v>
      </c>
      <c r="I169" s="126">
        <v>0</v>
      </c>
      <c r="J169" s="130">
        <v>1510200000</v>
      </c>
      <c r="K169" s="108" t="str">
        <f t="shared" si="6"/>
        <v>1510200000</v>
      </c>
      <c r="L169" s="303" t="str">
        <f t="shared" si="7"/>
        <v>60101131510200000000</v>
      </c>
      <c r="M169" s="132" t="str">
        <f>INDEX('реш СГД № 265'!$A:$N,MATCH('БА расх 2019-2020'!$L169,'реш СГД № 265'!$N:$N,0),3)</f>
        <v>Основное мероприятие «Организация и проведение информационно-пропагандистских мероприятий по разъяснению сущности терроризма и экстремизма, их общественной опасности»</v>
      </c>
      <c r="N169" s="17">
        <f t="shared" si="8"/>
        <v>1</v>
      </c>
    </row>
    <row r="170" spans="1:14" s="16" customFormat="1" ht="47.25">
      <c r="A170" s="14"/>
      <c r="B170" s="129" t="s">
        <v>152</v>
      </c>
      <c r="C170" s="130">
        <v>601</v>
      </c>
      <c r="D170" s="130" t="s">
        <v>11</v>
      </c>
      <c r="E170" s="130">
        <v>13</v>
      </c>
      <c r="F170" s="130" t="s">
        <v>275</v>
      </c>
      <c r="G170" s="130" t="s">
        <v>9</v>
      </c>
      <c r="H170" s="126">
        <v>0</v>
      </c>
      <c r="I170" s="126">
        <v>0</v>
      </c>
      <c r="J170" s="130">
        <v>1510220350</v>
      </c>
      <c r="K170" s="108" t="str">
        <f t="shared" si="6"/>
        <v>1510220350</v>
      </c>
      <c r="L170" s="303" t="str">
        <f t="shared" si="7"/>
        <v>60101131510220350000</v>
      </c>
      <c r="M170" s="132" t="str">
        <f>INDEX('реш СГД № 265'!$A:$N,MATCH('БА расх 2019-2020'!$L170,'реш СГД № 265'!$N:$N,0),3)</f>
        <v>Расходы на реализацию мероприятий, направленных на повышение уровня безопасности жизнедеятельности города Ставрополя</v>
      </c>
      <c r="N170" s="17">
        <f t="shared" si="8"/>
        <v>1</v>
      </c>
    </row>
    <row r="171" spans="1:14" s="16" customFormat="1" ht="31.5">
      <c r="A171" s="14"/>
      <c r="B171" s="129" t="s">
        <v>28</v>
      </c>
      <c r="C171" s="130">
        <v>601</v>
      </c>
      <c r="D171" s="130" t="s">
        <v>11</v>
      </c>
      <c r="E171" s="130">
        <v>13</v>
      </c>
      <c r="F171" s="130" t="s">
        <v>275</v>
      </c>
      <c r="G171" s="130" t="s">
        <v>29</v>
      </c>
      <c r="H171" s="126">
        <v>0</v>
      </c>
      <c r="I171" s="126">
        <v>0</v>
      </c>
      <c r="J171" s="130">
        <v>1510220350</v>
      </c>
      <c r="K171" s="108" t="str">
        <f t="shared" si="6"/>
        <v>1510220350</v>
      </c>
      <c r="L171" s="303" t="str">
        <f t="shared" si="7"/>
        <v>60101131510220350240</v>
      </c>
      <c r="M171" s="132" t="str">
        <f>INDEX('реш СГД № 265'!$A:$N,MATCH('БА расх 2019-2020'!$L171,'реш СГД № 265'!$N:$N,0),3)</f>
        <v>Иные закупки товаров, работ и услуг для обеспечения государственных (муниципальных) нужд</v>
      </c>
      <c r="N171" s="17">
        <f t="shared" si="8"/>
        <v>1</v>
      </c>
    </row>
    <row r="172" spans="1:14" s="16" customFormat="1" ht="15.75">
      <c r="A172" s="14"/>
      <c r="B172" s="129" t="s">
        <v>30</v>
      </c>
      <c r="C172" s="130">
        <v>601</v>
      </c>
      <c r="D172" s="130" t="s">
        <v>11</v>
      </c>
      <c r="E172" s="130">
        <v>13</v>
      </c>
      <c r="F172" s="130" t="s">
        <v>275</v>
      </c>
      <c r="G172" s="130" t="s">
        <v>31</v>
      </c>
      <c r="H172" s="126">
        <v>0</v>
      </c>
      <c r="I172" s="126">
        <v>0</v>
      </c>
      <c r="J172" s="130">
        <v>1510220350</v>
      </c>
      <c r="K172" s="108" t="str">
        <f t="shared" si="6"/>
        <v>1510220350</v>
      </c>
      <c r="L172" s="303" t="str">
        <f t="shared" si="7"/>
        <v>60101131510220350244</v>
      </c>
      <c r="M172" s="132"/>
      <c r="N172" s="17">
        <f t="shared" si="8"/>
        <v>0</v>
      </c>
    </row>
    <row r="173" spans="1:14" s="16" customFormat="1" ht="47.25">
      <c r="A173" s="14"/>
      <c r="B173" s="125" t="s">
        <v>1072</v>
      </c>
      <c r="C173" s="130">
        <v>601</v>
      </c>
      <c r="D173" s="130" t="s">
        <v>11</v>
      </c>
      <c r="E173" s="130">
        <v>13</v>
      </c>
      <c r="F173" s="130" t="s">
        <v>1073</v>
      </c>
      <c r="G173" s="130" t="s">
        <v>9</v>
      </c>
      <c r="H173" s="126">
        <v>0</v>
      </c>
      <c r="I173" s="126">
        <v>0</v>
      </c>
      <c r="J173" s="130">
        <v>1510300000</v>
      </c>
      <c r="K173" s="108" t="str">
        <f t="shared" si="6"/>
        <v>1510300000</v>
      </c>
      <c r="L173" s="303" t="str">
        <f t="shared" si="7"/>
        <v>60101131510300000000</v>
      </c>
      <c r="M173" s="132" t="str">
        <f>INDEX('реш СГД № 265'!$A:$N,MATCH('БА расх 2019-2020'!$L173,'реш СГД № 265'!$N:$N,0),3)</f>
        <v>Основное мероприятие «Реализация профилактических мер, направленных на предупреждение экстремистской деятельности»</v>
      </c>
      <c r="N173" s="17">
        <f t="shared" si="8"/>
        <v>1</v>
      </c>
    </row>
    <row r="174" spans="1:14" s="16" customFormat="1" ht="47.25">
      <c r="A174" s="14"/>
      <c r="B174" s="129" t="s">
        <v>152</v>
      </c>
      <c r="C174" s="130">
        <v>601</v>
      </c>
      <c r="D174" s="130" t="s">
        <v>11</v>
      </c>
      <c r="E174" s="130">
        <v>13</v>
      </c>
      <c r="F174" s="130" t="s">
        <v>1074</v>
      </c>
      <c r="G174" s="130" t="s">
        <v>9</v>
      </c>
      <c r="H174" s="126">
        <v>0</v>
      </c>
      <c r="I174" s="126">
        <v>0</v>
      </c>
      <c r="J174" s="130">
        <v>1510320350</v>
      </c>
      <c r="K174" s="108" t="str">
        <f t="shared" si="6"/>
        <v>1510320350</v>
      </c>
      <c r="L174" s="303" t="str">
        <f t="shared" si="7"/>
        <v>60101131510320350000</v>
      </c>
      <c r="M174" s="132" t="str">
        <f>INDEX('реш СГД № 265'!$A:$N,MATCH('БА расх 2019-2020'!$L174,'реш СГД № 265'!$N:$N,0),3)</f>
        <v>Расходы на реализацию мероприятий, направленных на повышение уровня безопасности жизнедеятельности города Ставрополя</v>
      </c>
      <c r="N174" s="17">
        <f t="shared" si="8"/>
        <v>1</v>
      </c>
    </row>
    <row r="175" spans="1:14" s="16" customFormat="1" ht="31.5">
      <c r="A175" s="14"/>
      <c r="B175" s="135" t="s">
        <v>28</v>
      </c>
      <c r="C175" s="130">
        <v>601</v>
      </c>
      <c r="D175" s="130" t="s">
        <v>11</v>
      </c>
      <c r="E175" s="130">
        <v>13</v>
      </c>
      <c r="F175" s="130" t="s">
        <v>1074</v>
      </c>
      <c r="G175" s="130" t="s">
        <v>29</v>
      </c>
      <c r="H175" s="126">
        <v>0</v>
      </c>
      <c r="I175" s="126">
        <v>0</v>
      </c>
      <c r="J175" s="130">
        <v>1510320350</v>
      </c>
      <c r="K175" s="108" t="str">
        <f t="shared" si="6"/>
        <v>1510320350</v>
      </c>
      <c r="L175" s="303" t="str">
        <f t="shared" si="7"/>
        <v>60101131510320350240</v>
      </c>
      <c r="M175" s="132" t="str">
        <f>INDEX('реш СГД № 265'!$A:$N,MATCH('БА расх 2019-2020'!$L175,'реш СГД № 265'!$N:$N,0),3)</f>
        <v>Иные закупки товаров, работ и услуг для обеспечения государственных (муниципальных) нужд</v>
      </c>
      <c r="N175" s="17">
        <f t="shared" si="8"/>
        <v>1</v>
      </c>
    </row>
    <row r="176" spans="1:14" s="16" customFormat="1" ht="15.75">
      <c r="A176" s="14"/>
      <c r="B176" s="129" t="s">
        <v>30</v>
      </c>
      <c r="C176" s="130">
        <v>601</v>
      </c>
      <c r="D176" s="130" t="s">
        <v>11</v>
      </c>
      <c r="E176" s="130">
        <v>13</v>
      </c>
      <c r="F176" s="130" t="s">
        <v>1074</v>
      </c>
      <c r="G176" s="130" t="s">
        <v>31</v>
      </c>
      <c r="H176" s="126">
        <v>0</v>
      </c>
      <c r="I176" s="126">
        <v>0</v>
      </c>
      <c r="J176" s="130">
        <v>1510320350</v>
      </c>
      <c r="K176" s="108" t="str">
        <f t="shared" si="6"/>
        <v>1510320350</v>
      </c>
      <c r="L176" s="303" t="str">
        <f t="shared" si="7"/>
        <v>60101131510320350244</v>
      </c>
      <c r="M176" s="132"/>
      <c r="N176" s="17">
        <f t="shared" si="8"/>
        <v>0</v>
      </c>
    </row>
    <row r="177" spans="1:14" s="16" customFormat="1" ht="15.75">
      <c r="A177" s="14"/>
      <c r="B177" s="127" t="s">
        <v>154</v>
      </c>
      <c r="C177" s="136">
        <v>601</v>
      </c>
      <c r="D177" s="130" t="s">
        <v>11</v>
      </c>
      <c r="E177" s="130">
        <v>13</v>
      </c>
      <c r="F177" s="130" t="s">
        <v>155</v>
      </c>
      <c r="G177" s="130" t="s">
        <v>9</v>
      </c>
      <c r="H177" s="134">
        <v>0</v>
      </c>
      <c r="I177" s="134">
        <v>0</v>
      </c>
      <c r="J177" s="130">
        <v>1520000000</v>
      </c>
      <c r="K177" s="108" t="str">
        <f t="shared" si="6"/>
        <v>1520000000</v>
      </c>
      <c r="L177" s="303" t="str">
        <f t="shared" si="7"/>
        <v>60101131520000000000</v>
      </c>
      <c r="M177" s="132" t="str">
        <f>INDEX('реш СГД № 265'!$A:$N,MATCH('БА расх 2019-2020'!$L177,'реш СГД № 265'!$N:$N,0),3)</f>
        <v xml:space="preserve">Подпрограмма «НЕзависимость» </v>
      </c>
      <c r="N177" s="17">
        <f t="shared" si="8"/>
        <v>1</v>
      </c>
    </row>
    <row r="178" spans="1:14" s="16" customFormat="1" ht="47.25">
      <c r="A178" s="14"/>
      <c r="B178" s="129" t="s">
        <v>156</v>
      </c>
      <c r="C178" s="136">
        <v>601</v>
      </c>
      <c r="D178" s="130" t="s">
        <v>11</v>
      </c>
      <c r="E178" s="130">
        <v>13</v>
      </c>
      <c r="F178" s="130" t="s">
        <v>157</v>
      </c>
      <c r="G178" s="130" t="s">
        <v>9</v>
      </c>
      <c r="H178" s="134">
        <v>0</v>
      </c>
      <c r="I178" s="134">
        <v>0</v>
      </c>
      <c r="J178" s="130">
        <v>1520100000</v>
      </c>
      <c r="K178" s="108" t="str">
        <f t="shared" si="6"/>
        <v>1520100000</v>
      </c>
      <c r="L178" s="303" t="str">
        <f t="shared" si="7"/>
        <v>60101131520100000000</v>
      </c>
      <c r="M178" s="132" t="str">
        <f>INDEX('реш СГД № 265'!$A:$N,MATCH('БА расх 2019-2020'!$L178,'реш СГД № 265'!$N:$N,0),3)</f>
        <v>Основное мероприятие «Мониторинг наркоситуации в городе Ставрополе на основе социологических исследований и статистических данных»</v>
      </c>
      <c r="N178" s="17">
        <f t="shared" si="8"/>
        <v>1</v>
      </c>
    </row>
    <row r="179" spans="1:14" s="16" customFormat="1" ht="78.75">
      <c r="A179" s="14"/>
      <c r="B179" s="129" t="s">
        <v>158</v>
      </c>
      <c r="C179" s="136">
        <v>601</v>
      </c>
      <c r="D179" s="130" t="s">
        <v>11</v>
      </c>
      <c r="E179" s="130">
        <v>13</v>
      </c>
      <c r="F179" s="130" t="s">
        <v>159</v>
      </c>
      <c r="G179" s="130" t="s">
        <v>9</v>
      </c>
      <c r="H179" s="126">
        <v>0</v>
      </c>
      <c r="I179" s="126">
        <v>0</v>
      </c>
      <c r="J179" s="130">
        <v>1520120370</v>
      </c>
      <c r="K179" s="108" t="str">
        <f t="shared" si="6"/>
        <v>1520120370</v>
      </c>
      <c r="L179" s="303" t="str">
        <f t="shared" si="7"/>
        <v>60101131520120370000</v>
      </c>
      <c r="M179" s="132" t="str">
        <f>INDEX('реш СГД № 265'!$A:$N,MATCH('БА расх 2019-2020'!$L179,'реш СГД № 265'!$N:$N,0),3)</f>
        <v>Расходы на реализацию мероприятий по профилактике незаконного потребления наркотических средств и психотропных веществ, наркомании и снижение их потребления среди подростков и молодежи города Ставрополя</v>
      </c>
      <c r="N179" s="17">
        <f t="shared" si="8"/>
        <v>1</v>
      </c>
    </row>
    <row r="180" spans="1:14" s="16" customFormat="1" ht="31.5">
      <c r="A180" s="14"/>
      <c r="B180" s="125" t="s">
        <v>28</v>
      </c>
      <c r="C180" s="136">
        <v>601</v>
      </c>
      <c r="D180" s="130" t="s">
        <v>11</v>
      </c>
      <c r="E180" s="130">
        <v>13</v>
      </c>
      <c r="F180" s="130" t="s">
        <v>159</v>
      </c>
      <c r="G180" s="130" t="s">
        <v>29</v>
      </c>
      <c r="H180" s="126">
        <v>0</v>
      </c>
      <c r="I180" s="126">
        <v>0</v>
      </c>
      <c r="J180" s="130">
        <v>1520120370</v>
      </c>
      <c r="K180" s="108" t="str">
        <f t="shared" si="6"/>
        <v>1520120370</v>
      </c>
      <c r="L180" s="303" t="str">
        <f t="shared" si="7"/>
        <v>60101131520120370240</v>
      </c>
      <c r="M180" s="132" t="str">
        <f>INDEX('реш СГД № 265'!$A:$N,MATCH('БА расх 2019-2020'!$L180,'реш СГД № 265'!$N:$N,0),3)</f>
        <v>Иные закупки товаров, работ и услуг для обеспечения государственных (муниципальных) нужд</v>
      </c>
      <c r="N180" s="17">
        <f t="shared" si="8"/>
        <v>1</v>
      </c>
    </row>
    <row r="181" spans="1:14" s="16" customFormat="1" ht="15.75">
      <c r="A181" s="14"/>
      <c r="B181" s="125" t="s">
        <v>30</v>
      </c>
      <c r="C181" s="136">
        <v>601</v>
      </c>
      <c r="D181" s="130" t="s">
        <v>11</v>
      </c>
      <c r="E181" s="130">
        <v>13</v>
      </c>
      <c r="F181" s="130" t="s">
        <v>159</v>
      </c>
      <c r="G181" s="130" t="s">
        <v>31</v>
      </c>
      <c r="H181" s="126">
        <v>0</v>
      </c>
      <c r="I181" s="126">
        <v>0</v>
      </c>
      <c r="J181" s="130">
        <v>1520120370</v>
      </c>
      <c r="K181" s="108" t="str">
        <f t="shared" si="6"/>
        <v>1520120370</v>
      </c>
      <c r="L181" s="303" t="str">
        <f t="shared" si="7"/>
        <v>60101131520120370244</v>
      </c>
      <c r="M181" s="132"/>
      <c r="N181" s="17">
        <f t="shared" si="8"/>
        <v>0</v>
      </c>
    </row>
    <row r="182" spans="1:14" s="16" customFormat="1" ht="47.25">
      <c r="A182" s="14"/>
      <c r="B182" s="129" t="s">
        <v>160</v>
      </c>
      <c r="C182" s="136">
        <v>601</v>
      </c>
      <c r="D182" s="130" t="s">
        <v>11</v>
      </c>
      <c r="E182" s="130">
        <v>13</v>
      </c>
      <c r="F182" s="130" t="s">
        <v>161</v>
      </c>
      <c r="G182" s="108" t="s">
        <v>9</v>
      </c>
      <c r="H182" s="126">
        <v>0</v>
      </c>
      <c r="I182" s="126">
        <v>0</v>
      </c>
      <c r="J182" s="130">
        <v>1520200000</v>
      </c>
      <c r="K182" s="108" t="str">
        <f t="shared" si="6"/>
        <v>1520200000</v>
      </c>
      <c r="L182" s="303" t="str">
        <f t="shared" si="7"/>
        <v>60101131520200000000</v>
      </c>
      <c r="M182" s="132" t="str">
        <f>INDEX('реш СГД № 265'!$A:$N,MATCH('БА расх 2019-2020'!$L182,'реш СГД № 265'!$N:$N,0),3)</f>
        <v>Основное мероприятие «Профилактика зависимости от наркотических и других психоактивных веществ среди детей и молодежи»</v>
      </c>
      <c r="N182" s="17">
        <f t="shared" si="8"/>
        <v>1</v>
      </c>
    </row>
    <row r="183" spans="1:14" s="16" customFormat="1" ht="78.75">
      <c r="A183" s="14"/>
      <c r="B183" s="129" t="s">
        <v>158</v>
      </c>
      <c r="C183" s="136">
        <v>601</v>
      </c>
      <c r="D183" s="130" t="s">
        <v>11</v>
      </c>
      <c r="E183" s="130">
        <v>13</v>
      </c>
      <c r="F183" s="130" t="s">
        <v>162</v>
      </c>
      <c r="G183" s="108" t="s">
        <v>9</v>
      </c>
      <c r="H183" s="126">
        <v>0</v>
      </c>
      <c r="I183" s="126">
        <v>0</v>
      </c>
      <c r="J183" s="130">
        <v>1520220370</v>
      </c>
      <c r="K183" s="108" t="str">
        <f t="shared" si="6"/>
        <v>1520220370</v>
      </c>
      <c r="L183" s="303" t="str">
        <f t="shared" si="7"/>
        <v>60101131520220370000</v>
      </c>
      <c r="M183" s="132" t="str">
        <f>INDEX('реш СГД № 265'!$A:$N,MATCH('БА расх 2019-2020'!$L183,'реш СГД № 265'!$N:$N,0),3)</f>
        <v>Расходы на реализацию мероприятий по профилактике незаконного потребления наркотических средств и психотропных веществ, наркомании и снижение их потребления среди подростков и молодежи города Ставрополя</v>
      </c>
      <c r="N183" s="17">
        <f t="shared" si="8"/>
        <v>1</v>
      </c>
    </row>
    <row r="184" spans="1:14" s="16" customFormat="1" ht="31.5">
      <c r="A184" s="14"/>
      <c r="B184" s="125" t="s">
        <v>28</v>
      </c>
      <c r="C184" s="136">
        <v>601</v>
      </c>
      <c r="D184" s="130" t="s">
        <v>11</v>
      </c>
      <c r="E184" s="130">
        <v>13</v>
      </c>
      <c r="F184" s="130" t="s">
        <v>162</v>
      </c>
      <c r="G184" s="108" t="s">
        <v>29</v>
      </c>
      <c r="H184" s="126">
        <v>0</v>
      </c>
      <c r="I184" s="126">
        <v>0</v>
      </c>
      <c r="J184" s="130">
        <v>1520220370</v>
      </c>
      <c r="K184" s="108" t="str">
        <f t="shared" si="6"/>
        <v>1520220370</v>
      </c>
      <c r="L184" s="303" t="str">
        <f t="shared" si="7"/>
        <v>60101131520220370240</v>
      </c>
      <c r="M184" s="132" t="str">
        <f>INDEX('реш СГД № 265'!$A:$N,MATCH('БА расх 2019-2020'!$L184,'реш СГД № 265'!$N:$N,0),3)</f>
        <v>Иные закупки товаров, работ и услуг для обеспечения государственных (муниципальных) нужд</v>
      </c>
      <c r="N184" s="17">
        <f t="shared" si="8"/>
        <v>1</v>
      </c>
    </row>
    <row r="185" spans="1:14" s="16" customFormat="1" ht="15.75">
      <c r="A185" s="14"/>
      <c r="B185" s="125" t="s">
        <v>30</v>
      </c>
      <c r="C185" s="136">
        <v>601</v>
      </c>
      <c r="D185" s="130" t="s">
        <v>11</v>
      </c>
      <c r="E185" s="130">
        <v>13</v>
      </c>
      <c r="F185" s="130" t="s">
        <v>162</v>
      </c>
      <c r="G185" s="108" t="s">
        <v>31</v>
      </c>
      <c r="H185" s="126">
        <v>0</v>
      </c>
      <c r="I185" s="126">
        <v>0</v>
      </c>
      <c r="J185" s="130">
        <v>1520220370</v>
      </c>
      <c r="K185" s="108" t="str">
        <f t="shared" si="6"/>
        <v>1520220370</v>
      </c>
      <c r="L185" s="303" t="str">
        <f t="shared" si="7"/>
        <v>60101131520220370244</v>
      </c>
      <c r="M185" s="132"/>
      <c r="N185" s="17">
        <f t="shared" si="8"/>
        <v>0</v>
      </c>
    </row>
    <row r="186" spans="1:14" s="16" customFormat="1" ht="15.75">
      <c r="A186" s="14"/>
      <c r="B186" s="125" t="s">
        <v>163</v>
      </c>
      <c r="C186" s="136">
        <v>601</v>
      </c>
      <c r="D186" s="130" t="s">
        <v>11</v>
      </c>
      <c r="E186" s="130">
        <v>13</v>
      </c>
      <c r="F186" s="130" t="s">
        <v>162</v>
      </c>
      <c r="G186" s="108" t="s">
        <v>164</v>
      </c>
      <c r="H186" s="126">
        <v>0</v>
      </c>
      <c r="I186" s="126">
        <v>0</v>
      </c>
      <c r="J186" s="130">
        <v>1520220370</v>
      </c>
      <c r="K186" s="108" t="str">
        <f t="shared" si="6"/>
        <v>1520220370</v>
      </c>
      <c r="L186" s="303" t="str">
        <f t="shared" si="7"/>
        <v>60101131520220370350</v>
      </c>
      <c r="M186" s="132"/>
      <c r="N186" s="17">
        <f t="shared" si="8"/>
        <v>0</v>
      </c>
    </row>
    <row r="187" spans="1:14" s="16" customFormat="1" ht="47.25">
      <c r="A187" s="14"/>
      <c r="B187" s="129" t="s">
        <v>165</v>
      </c>
      <c r="C187" s="136">
        <v>601</v>
      </c>
      <c r="D187" s="130" t="s">
        <v>11</v>
      </c>
      <c r="E187" s="130">
        <v>13</v>
      </c>
      <c r="F187" s="130" t="s">
        <v>166</v>
      </c>
      <c r="G187" s="108" t="s">
        <v>9</v>
      </c>
      <c r="H187" s="126">
        <v>0</v>
      </c>
      <c r="I187" s="126">
        <v>0</v>
      </c>
      <c r="J187" s="130">
        <v>1520300000</v>
      </c>
      <c r="K187" s="108" t="str">
        <f t="shared" si="6"/>
        <v>1520300000</v>
      </c>
      <c r="L187" s="303" t="str">
        <f t="shared" si="7"/>
        <v>60101131520300000000</v>
      </c>
      <c r="M187" s="132" t="str">
        <f>INDEX('реш СГД № 265'!$A:$N,MATCH('БА расх 2019-2020'!$L187,'реш СГД № 265'!$N:$N,0),3)</f>
        <v>Основное мероприятие «Профилактика зависимого (аддиктивного) поведения и пропаганда здорового образа жизни»</v>
      </c>
      <c r="N187" s="17">
        <f t="shared" si="8"/>
        <v>1</v>
      </c>
    </row>
    <row r="188" spans="1:14" s="16" customFormat="1" ht="78.75">
      <c r="A188" s="14"/>
      <c r="B188" s="129" t="s">
        <v>158</v>
      </c>
      <c r="C188" s="136">
        <v>601</v>
      </c>
      <c r="D188" s="130" t="s">
        <v>11</v>
      </c>
      <c r="E188" s="130">
        <v>13</v>
      </c>
      <c r="F188" s="130" t="s">
        <v>167</v>
      </c>
      <c r="G188" s="108" t="s">
        <v>9</v>
      </c>
      <c r="H188" s="126">
        <v>0</v>
      </c>
      <c r="I188" s="126">
        <v>0</v>
      </c>
      <c r="J188" s="130">
        <v>1520320370</v>
      </c>
      <c r="K188" s="108" t="str">
        <f t="shared" si="6"/>
        <v>1520320370</v>
      </c>
      <c r="L188" s="303" t="str">
        <f t="shared" si="7"/>
        <v>60101131520320370000</v>
      </c>
      <c r="M188" s="132" t="str">
        <f>INDEX('реш СГД № 265'!$A:$N,MATCH('БА расх 2019-2020'!$L188,'реш СГД № 265'!$N:$N,0),3)</f>
        <v>Расходы на реализацию мероприятий по профилактике незаконного потребления наркотических средств и психотропных веществ, наркомании и снижение их потребления среди подростков и молодежи города Ставрополя</v>
      </c>
      <c r="N188" s="17">
        <f t="shared" si="8"/>
        <v>1</v>
      </c>
    </row>
    <row r="189" spans="1:14" s="16" customFormat="1" ht="31.5">
      <c r="A189" s="14"/>
      <c r="B189" s="125" t="s">
        <v>28</v>
      </c>
      <c r="C189" s="136">
        <v>601</v>
      </c>
      <c r="D189" s="130" t="s">
        <v>11</v>
      </c>
      <c r="E189" s="130">
        <v>13</v>
      </c>
      <c r="F189" s="130" t="s">
        <v>167</v>
      </c>
      <c r="G189" s="108" t="s">
        <v>29</v>
      </c>
      <c r="H189" s="126">
        <v>0</v>
      </c>
      <c r="I189" s="126">
        <v>0</v>
      </c>
      <c r="J189" s="130">
        <v>1520320370</v>
      </c>
      <c r="K189" s="108" t="str">
        <f t="shared" si="6"/>
        <v>1520320370</v>
      </c>
      <c r="L189" s="303" t="str">
        <f t="shared" si="7"/>
        <v>60101131520320370240</v>
      </c>
      <c r="M189" s="132" t="str">
        <f>INDEX('реш СГД № 265'!$A:$N,MATCH('БА расх 2019-2020'!$L189,'реш СГД № 265'!$N:$N,0),3)</f>
        <v>Иные закупки товаров, работ и услуг для обеспечения государственных (муниципальных) нужд</v>
      </c>
      <c r="N189" s="17">
        <f t="shared" si="8"/>
        <v>1</v>
      </c>
    </row>
    <row r="190" spans="1:14" s="16" customFormat="1" ht="15.75">
      <c r="A190" s="14"/>
      <c r="B190" s="125" t="s">
        <v>30</v>
      </c>
      <c r="C190" s="136">
        <v>601</v>
      </c>
      <c r="D190" s="130" t="s">
        <v>11</v>
      </c>
      <c r="E190" s="130">
        <v>13</v>
      </c>
      <c r="F190" s="130" t="s">
        <v>167</v>
      </c>
      <c r="G190" s="108" t="s">
        <v>31</v>
      </c>
      <c r="H190" s="126">
        <v>0</v>
      </c>
      <c r="I190" s="126">
        <v>0</v>
      </c>
      <c r="J190" s="130">
        <v>1520320370</v>
      </c>
      <c r="K190" s="108" t="str">
        <f t="shared" si="6"/>
        <v>1520320370</v>
      </c>
      <c r="L190" s="303" t="str">
        <f t="shared" si="7"/>
        <v>60101131520320370244</v>
      </c>
      <c r="M190" s="132"/>
      <c r="N190" s="17">
        <f t="shared" si="8"/>
        <v>0</v>
      </c>
    </row>
    <row r="191" spans="1:14" s="16" customFormat="1" ht="15.75">
      <c r="A191" s="14"/>
      <c r="B191" s="125" t="s">
        <v>163</v>
      </c>
      <c r="C191" s="136">
        <v>601</v>
      </c>
      <c r="D191" s="130" t="s">
        <v>11</v>
      </c>
      <c r="E191" s="130">
        <v>13</v>
      </c>
      <c r="F191" s="130" t="s">
        <v>167</v>
      </c>
      <c r="G191" s="108" t="s">
        <v>164</v>
      </c>
      <c r="H191" s="126">
        <v>0</v>
      </c>
      <c r="I191" s="126">
        <v>0</v>
      </c>
      <c r="J191" s="130">
        <v>1520320370</v>
      </c>
      <c r="K191" s="108" t="str">
        <f t="shared" si="6"/>
        <v>1520320370</v>
      </c>
      <c r="L191" s="303" t="str">
        <f t="shared" si="7"/>
        <v>60101131520320370350</v>
      </c>
      <c r="M191" s="132"/>
      <c r="N191" s="17">
        <f t="shared" si="8"/>
        <v>0</v>
      </c>
    </row>
    <row r="192" spans="1:14" s="16" customFormat="1" ht="31.5">
      <c r="A192" s="14"/>
      <c r="B192" s="125" t="s">
        <v>168</v>
      </c>
      <c r="C192" s="136">
        <v>601</v>
      </c>
      <c r="D192" s="130" t="s">
        <v>11</v>
      </c>
      <c r="E192" s="130">
        <v>13</v>
      </c>
      <c r="F192" s="130" t="s">
        <v>169</v>
      </c>
      <c r="G192" s="108" t="s">
        <v>9</v>
      </c>
      <c r="H192" s="126">
        <v>0</v>
      </c>
      <c r="I192" s="126">
        <v>0</v>
      </c>
      <c r="J192" s="130">
        <v>1530000000</v>
      </c>
      <c r="K192" s="108" t="str">
        <f t="shared" si="6"/>
        <v>1530000000</v>
      </c>
      <c r="L192" s="303" t="str">
        <f t="shared" si="7"/>
        <v>60101131530000000000</v>
      </c>
      <c r="M192" s="132" t="str">
        <f>INDEX('реш СГД № 265'!$A:$N,MATCH('БА расх 2019-2020'!$L192,'реш СГД № 265'!$N:$N,0),3)</f>
        <v xml:space="preserve">Подпрограмма «Профилактика правонарушений в городе Ставрополе» </v>
      </c>
      <c r="N192" s="17">
        <f t="shared" si="8"/>
        <v>1</v>
      </c>
    </row>
    <row r="193" spans="1:14" s="16" customFormat="1" ht="47.25">
      <c r="A193" s="14"/>
      <c r="B193" s="125" t="s">
        <v>170</v>
      </c>
      <c r="C193" s="136">
        <v>601</v>
      </c>
      <c r="D193" s="130" t="s">
        <v>11</v>
      </c>
      <c r="E193" s="130">
        <v>13</v>
      </c>
      <c r="F193" s="130" t="s">
        <v>171</v>
      </c>
      <c r="G193" s="108" t="s">
        <v>9</v>
      </c>
      <c r="H193" s="126">
        <v>0</v>
      </c>
      <c r="I193" s="126">
        <v>0</v>
      </c>
      <c r="J193" s="130">
        <v>1530300000</v>
      </c>
      <c r="K193" s="108" t="str">
        <f t="shared" si="6"/>
        <v>1530300000</v>
      </c>
      <c r="L193" s="303" t="str">
        <f t="shared" si="7"/>
        <v>60101131530300000000</v>
      </c>
      <c r="M193" s="132" t="str">
        <f>INDEX('реш СГД № 265'!$A:$N,MATCH('БА расх 2019-2020'!$L193,'реш СГД № 265'!$N:$N,0),3)</f>
        <v>Основное мероприятие «Организация материально-технического обеспечения деятельности народной дружины города Ставрополя»</v>
      </c>
      <c r="N193" s="17">
        <f t="shared" si="8"/>
        <v>1</v>
      </c>
    </row>
    <row r="194" spans="1:14" s="16" customFormat="1" ht="63">
      <c r="A194" s="14"/>
      <c r="B194" s="125" t="s">
        <v>172</v>
      </c>
      <c r="C194" s="136">
        <v>601</v>
      </c>
      <c r="D194" s="130" t="s">
        <v>11</v>
      </c>
      <c r="E194" s="130">
        <v>13</v>
      </c>
      <c r="F194" s="130" t="s">
        <v>173</v>
      </c>
      <c r="G194" s="108" t="s">
        <v>9</v>
      </c>
      <c r="H194" s="126">
        <v>0</v>
      </c>
      <c r="I194" s="126">
        <v>0</v>
      </c>
      <c r="J194" s="130">
        <v>1530320100</v>
      </c>
      <c r="K194" s="108" t="str">
        <f t="shared" si="6"/>
        <v>1530320100</v>
      </c>
      <c r="L194" s="303" t="str">
        <f t="shared" si="7"/>
        <v>60101131530320100000</v>
      </c>
      <c r="M194" s="132" t="str">
        <f>INDEX('реш СГД № 265'!$A:$N,MATCH('БА расх 2019-2020'!$L194,'реш СГД № 265'!$N:$N,0),3)</f>
        <v>Расходы на организацию материально-технического обеспечения деятельности народной дружины города Ставрополя, в том числе материальное стимулирование ее членов</v>
      </c>
      <c r="N194" s="17">
        <f t="shared" si="8"/>
        <v>1</v>
      </c>
    </row>
    <row r="195" spans="1:14" s="16" customFormat="1" ht="15.75">
      <c r="A195" s="14"/>
      <c r="B195" s="125" t="s">
        <v>163</v>
      </c>
      <c r="C195" s="136">
        <v>601</v>
      </c>
      <c r="D195" s="130" t="s">
        <v>11</v>
      </c>
      <c r="E195" s="130">
        <v>13</v>
      </c>
      <c r="F195" s="130" t="s">
        <v>173</v>
      </c>
      <c r="G195" s="108" t="s">
        <v>164</v>
      </c>
      <c r="H195" s="126">
        <v>0</v>
      </c>
      <c r="I195" s="126">
        <v>0</v>
      </c>
      <c r="J195" s="130">
        <v>1530320100</v>
      </c>
      <c r="K195" s="108" t="str">
        <f t="shared" si="6"/>
        <v>1530320100</v>
      </c>
      <c r="L195" s="303" t="str">
        <f t="shared" si="7"/>
        <v>60101131530320100350</v>
      </c>
      <c r="M195" s="132"/>
      <c r="N195" s="17">
        <f t="shared" si="8"/>
        <v>0</v>
      </c>
    </row>
    <row r="196" spans="1:14" s="16" customFormat="1" ht="31.5">
      <c r="A196" s="14"/>
      <c r="B196" s="125" t="s">
        <v>174</v>
      </c>
      <c r="C196" s="109" t="s">
        <v>64</v>
      </c>
      <c r="D196" s="108" t="s">
        <v>11</v>
      </c>
      <c r="E196" s="108" t="s">
        <v>51</v>
      </c>
      <c r="F196" s="108" t="s">
        <v>175</v>
      </c>
      <c r="G196" s="108" t="s">
        <v>9</v>
      </c>
      <c r="H196" s="126">
        <v>0</v>
      </c>
      <c r="I196" s="126">
        <v>0</v>
      </c>
      <c r="J196" s="108">
        <v>1800000000</v>
      </c>
      <c r="K196" s="108" t="str">
        <f t="shared" si="6"/>
        <v>1800000000</v>
      </c>
      <c r="L196" s="303" t="str">
        <f t="shared" si="7"/>
        <v>60101131800000000000</v>
      </c>
      <c r="M196" s="132" t="str">
        <f>INDEX('реш СГД № 265'!$A:$N,MATCH('БА расх 2019-2020'!$L196,'реш СГД № 265'!$N:$N,0),3)</f>
        <v>Муниципальная программа «Развитие казачества в городе Ставрополе»</v>
      </c>
      <c r="N196" s="17">
        <f t="shared" si="8"/>
        <v>1</v>
      </c>
    </row>
    <row r="197" spans="1:14" s="16" customFormat="1" ht="47.25">
      <c r="A197" s="14"/>
      <c r="B197" s="125" t="s">
        <v>176</v>
      </c>
      <c r="C197" s="109" t="s">
        <v>64</v>
      </c>
      <c r="D197" s="108" t="s">
        <v>11</v>
      </c>
      <c r="E197" s="108" t="s">
        <v>51</v>
      </c>
      <c r="F197" s="108" t="s">
        <v>177</v>
      </c>
      <c r="G197" s="108" t="s">
        <v>9</v>
      </c>
      <c r="H197" s="126">
        <v>0</v>
      </c>
      <c r="I197" s="126">
        <v>0</v>
      </c>
      <c r="J197" s="108" t="s">
        <v>1167</v>
      </c>
      <c r="K197" s="108" t="str">
        <f t="shared" si="6"/>
        <v>18Б0000000</v>
      </c>
      <c r="L197" s="303" t="str">
        <f t="shared" si="7"/>
        <v>601011318Б0000000000</v>
      </c>
      <c r="M197" s="132" t="str">
        <f>INDEX('реш СГД № 265'!$A:$N,MATCH('БА расх 2019-2020'!$L197,'реш СГД № 265'!$N:$N,0),3)</f>
        <v>Расходы в рамках реализации муниципальной программы «Развитие казачества в городе Ставрополе»</v>
      </c>
      <c r="N197" s="17">
        <f t="shared" si="8"/>
        <v>1</v>
      </c>
    </row>
    <row r="198" spans="1:14" s="16" customFormat="1" ht="63">
      <c r="A198" s="14"/>
      <c r="B198" s="129" t="s">
        <v>178</v>
      </c>
      <c r="C198" s="109" t="s">
        <v>64</v>
      </c>
      <c r="D198" s="108" t="s">
        <v>11</v>
      </c>
      <c r="E198" s="108" t="s">
        <v>51</v>
      </c>
      <c r="F198" s="108" t="s">
        <v>179</v>
      </c>
      <c r="G198" s="108" t="s">
        <v>9</v>
      </c>
      <c r="H198" s="126">
        <v>0</v>
      </c>
      <c r="I198" s="126">
        <v>0</v>
      </c>
      <c r="J198" s="108" t="s">
        <v>1168</v>
      </c>
      <c r="K198" s="108" t="str">
        <f t="shared" si="6"/>
        <v>18Б0100000</v>
      </c>
      <c r="L198" s="303" t="str">
        <f t="shared" si="7"/>
        <v>601011318Б0100000000</v>
      </c>
      <c r="M198" s="132" t="str">
        <f>INDEX('реш СГД № 265'!$A:$N,MATCH('БА расх 2019-2020'!$L198,'реш СГД № 265'!$N:$N,0),3)</f>
        <v>Основное мероприятие «Создание условий для развития казачества, привлечения членов казачьих обществ к несению службы по охране общественного порядка на территории города Ставрополя»</v>
      </c>
      <c r="N198" s="17">
        <f t="shared" si="8"/>
        <v>1</v>
      </c>
    </row>
    <row r="199" spans="1:14" s="16" customFormat="1" ht="126">
      <c r="A199" s="14"/>
      <c r="B199" s="125" t="s">
        <v>180</v>
      </c>
      <c r="C199" s="109" t="s">
        <v>64</v>
      </c>
      <c r="D199" s="108" t="s">
        <v>11</v>
      </c>
      <c r="E199" s="108" t="s">
        <v>51</v>
      </c>
      <c r="F199" s="108" t="s">
        <v>181</v>
      </c>
      <c r="G199" s="108" t="s">
        <v>9</v>
      </c>
      <c r="H199" s="126">
        <v>0</v>
      </c>
      <c r="I199" s="126">
        <v>0</v>
      </c>
      <c r="J199" s="108" t="s">
        <v>1169</v>
      </c>
      <c r="K199" s="108" t="str">
        <f t="shared" si="6"/>
        <v>18Б0160080</v>
      </c>
      <c r="L199" s="303" t="str">
        <f t="shared" si="7"/>
        <v>601011318Б0160080000</v>
      </c>
      <c r="M199" s="132" t="str">
        <f>INDEX('реш СГД № 265'!$A:$N,MATCH('БА расх 2019-2020'!$L199,'реш СГД № 265'!$N:$N,0),3)</f>
        <v>Предоставление субсидии казачьим обществам, внесенным в государственный реестр казачьих обществ в Российской Федерации и взявшим на себя обязательства по несению службы в целях обеспечения охраны общественного порядка на территории города Ставрополя, на финансирование расходов, связанных с организацией деятельности народных дружин из числа членов казачьих обществ</v>
      </c>
      <c r="N199" s="17">
        <f t="shared" si="8"/>
        <v>1</v>
      </c>
    </row>
    <row r="200" spans="1:14" s="16" customFormat="1" ht="47.25">
      <c r="A200" s="14"/>
      <c r="B200" s="125" t="s">
        <v>182</v>
      </c>
      <c r="C200" s="109" t="s">
        <v>64</v>
      </c>
      <c r="D200" s="108" t="s">
        <v>11</v>
      </c>
      <c r="E200" s="108" t="s">
        <v>51</v>
      </c>
      <c r="F200" s="108" t="s">
        <v>181</v>
      </c>
      <c r="G200" s="108" t="s">
        <v>183</v>
      </c>
      <c r="H200" s="126">
        <v>0</v>
      </c>
      <c r="I200" s="126">
        <v>0</v>
      </c>
      <c r="J200" s="108" t="s">
        <v>1169</v>
      </c>
      <c r="K200" s="108" t="str">
        <f t="shared" si="6"/>
        <v>18Б0160080</v>
      </c>
      <c r="L200" s="303" t="str">
        <f t="shared" si="7"/>
        <v>601011318Б0160080630</v>
      </c>
      <c r="M200" s="132" t="str">
        <f>INDEX('реш СГД № 265'!$A:$N,MATCH('БА расх 2019-2020'!$L200,'реш СГД № 265'!$N:$N,0),3)</f>
        <v>Субсидии некоммерческим организациям (за исключением государственных (муниципальных) учреждений)</v>
      </c>
      <c r="N200" s="17">
        <f t="shared" si="8"/>
        <v>1</v>
      </c>
    </row>
    <row r="201" spans="1:14" s="16" customFormat="1" ht="31.5">
      <c r="A201" s="14"/>
      <c r="B201" s="125" t="s">
        <v>1037</v>
      </c>
      <c r="C201" s="109" t="s">
        <v>64</v>
      </c>
      <c r="D201" s="108" t="s">
        <v>11</v>
      </c>
      <c r="E201" s="108" t="s">
        <v>51</v>
      </c>
      <c r="F201" s="108" t="s">
        <v>181</v>
      </c>
      <c r="G201" s="108" t="s">
        <v>185</v>
      </c>
      <c r="H201" s="126">
        <v>0</v>
      </c>
      <c r="I201" s="126">
        <v>0</v>
      </c>
      <c r="J201" s="108" t="s">
        <v>1169</v>
      </c>
      <c r="K201" s="108" t="str">
        <f t="shared" si="6"/>
        <v>18Б0160080</v>
      </c>
      <c r="L201" s="303" t="str">
        <f t="shared" si="7"/>
        <v>601011318Б0160080631</v>
      </c>
      <c r="M201" s="132"/>
      <c r="N201" s="17">
        <f t="shared" si="8"/>
        <v>0</v>
      </c>
    </row>
    <row r="202" spans="1:14" s="16" customFormat="1" ht="31.5">
      <c r="A202" s="14"/>
      <c r="B202" s="129" t="s">
        <v>66</v>
      </c>
      <c r="C202" s="130" t="s">
        <v>64</v>
      </c>
      <c r="D202" s="131" t="s">
        <v>11</v>
      </c>
      <c r="E202" s="131" t="s">
        <v>51</v>
      </c>
      <c r="F202" s="131" t="s">
        <v>67</v>
      </c>
      <c r="G202" s="131" t="s">
        <v>9</v>
      </c>
      <c r="H202" s="126">
        <v>0</v>
      </c>
      <c r="I202" s="126">
        <v>0</v>
      </c>
      <c r="J202" s="131">
        <v>7100000000</v>
      </c>
      <c r="K202" s="108" t="str">
        <f t="shared" si="6"/>
        <v>7100000000</v>
      </c>
      <c r="L202" s="303" t="str">
        <f t="shared" si="7"/>
        <v>60101137100000000000</v>
      </c>
      <c r="M202" s="132" t="str">
        <f>INDEX('реш СГД № 265'!$A:$N,MATCH('БА расх 2019-2020'!$L202,'реш СГД № 265'!$N:$N,0),3)</f>
        <v>Обеспечение деятельности администрации города Ставрополя</v>
      </c>
      <c r="N202" s="17">
        <f t="shared" si="8"/>
        <v>1</v>
      </c>
    </row>
    <row r="203" spans="1:14" s="16" customFormat="1" ht="31.5">
      <c r="A203" s="14"/>
      <c r="B203" s="129" t="s">
        <v>74</v>
      </c>
      <c r="C203" s="130" t="s">
        <v>64</v>
      </c>
      <c r="D203" s="131" t="s">
        <v>11</v>
      </c>
      <c r="E203" s="131" t="s">
        <v>51</v>
      </c>
      <c r="F203" s="131" t="s">
        <v>75</v>
      </c>
      <c r="G203" s="131" t="s">
        <v>9</v>
      </c>
      <c r="H203" s="126">
        <v>0</v>
      </c>
      <c r="I203" s="126">
        <v>0</v>
      </c>
      <c r="J203" s="131">
        <v>7110000000</v>
      </c>
      <c r="K203" s="108" t="str">
        <f t="shared" ref="K203:K266" si="9">TEXT(J203,"0000000000")</f>
        <v>7110000000</v>
      </c>
      <c r="L203" s="303" t="str">
        <f t="shared" si="7"/>
        <v>60101137110000000000</v>
      </c>
      <c r="M203" s="132" t="str">
        <f>INDEX('реш СГД № 265'!$A:$N,MATCH('БА расх 2019-2020'!$L203,'реш СГД № 265'!$N:$N,0),3)</f>
        <v>Непрограммные расходы в рамках обеспечения деятельности администрации города Ставрополя</v>
      </c>
      <c r="N203" s="17">
        <f t="shared" si="8"/>
        <v>1</v>
      </c>
    </row>
    <row r="204" spans="1:14" s="16" customFormat="1" ht="31.5">
      <c r="A204" s="14"/>
      <c r="B204" s="125" t="s">
        <v>136</v>
      </c>
      <c r="C204" s="109" t="s">
        <v>64</v>
      </c>
      <c r="D204" s="108" t="s">
        <v>11</v>
      </c>
      <c r="E204" s="108" t="s">
        <v>51</v>
      </c>
      <c r="F204" s="108" t="s">
        <v>186</v>
      </c>
      <c r="G204" s="108" t="s">
        <v>9</v>
      </c>
      <c r="H204" s="126">
        <v>0</v>
      </c>
      <c r="I204" s="126">
        <v>0</v>
      </c>
      <c r="J204" s="108">
        <v>7110011010</v>
      </c>
      <c r="K204" s="108" t="str">
        <f t="shared" si="9"/>
        <v>7110011010</v>
      </c>
      <c r="L204" s="303" t="str">
        <f t="shared" ref="L204:L267" si="10">C204&amp;D204&amp;E204&amp;K204&amp;G204</f>
        <v>60101137110011010000</v>
      </c>
      <c r="M204" s="132" t="str">
        <f>INDEX('реш СГД № 265'!$A:$N,MATCH('БА расх 2019-2020'!$L204,'реш СГД № 265'!$N:$N,0),3)</f>
        <v>Расходы на обеспечение деятельности (оказание услуг) муниципальных учреждений</v>
      </c>
      <c r="N204" s="17">
        <f t="shared" ref="N204:N267" si="11">IF(B204=M204,1,0)</f>
        <v>1</v>
      </c>
    </row>
    <row r="205" spans="1:14" s="16" customFormat="1" ht="15.75">
      <c r="A205" s="14"/>
      <c r="B205" s="132" t="s">
        <v>138</v>
      </c>
      <c r="C205" s="109" t="s">
        <v>64</v>
      </c>
      <c r="D205" s="108" t="s">
        <v>11</v>
      </c>
      <c r="E205" s="108" t="s">
        <v>51</v>
      </c>
      <c r="F205" s="108" t="s">
        <v>186</v>
      </c>
      <c r="G205" s="108" t="s">
        <v>139</v>
      </c>
      <c r="H205" s="126">
        <v>0</v>
      </c>
      <c r="I205" s="126">
        <v>0</v>
      </c>
      <c r="J205" s="108">
        <v>7110011010</v>
      </c>
      <c r="K205" s="108" t="str">
        <f t="shared" si="9"/>
        <v>7110011010</v>
      </c>
      <c r="L205" s="303" t="str">
        <f t="shared" si="10"/>
        <v>60101137110011010110</v>
      </c>
      <c r="M205" s="132" t="str">
        <f>INDEX('реш СГД № 265'!$A:$N,MATCH('БА расх 2019-2020'!$L205,'реш СГД № 265'!$N:$N,0),3)</f>
        <v>Расходы на выплаты персоналу казенных учреждений</v>
      </c>
      <c r="N205" s="17">
        <f t="shared" si="11"/>
        <v>1</v>
      </c>
    </row>
    <row r="206" spans="1:14" s="23" customFormat="1" ht="15.75">
      <c r="A206" s="21"/>
      <c r="B206" s="127" t="s">
        <v>140</v>
      </c>
      <c r="C206" s="109" t="s">
        <v>64</v>
      </c>
      <c r="D206" s="108" t="s">
        <v>11</v>
      </c>
      <c r="E206" s="108" t="s">
        <v>51</v>
      </c>
      <c r="F206" s="108" t="s">
        <v>186</v>
      </c>
      <c r="G206" s="108" t="s">
        <v>141</v>
      </c>
      <c r="H206" s="126">
        <v>0</v>
      </c>
      <c r="I206" s="126">
        <v>0</v>
      </c>
      <c r="J206" s="108">
        <v>7110011010</v>
      </c>
      <c r="K206" s="108" t="str">
        <f t="shared" si="9"/>
        <v>7110011010</v>
      </c>
      <c r="L206" s="303" t="str">
        <f t="shared" si="10"/>
        <v>60101137110011010111</v>
      </c>
      <c r="M206" s="132"/>
      <c r="N206" s="17">
        <f t="shared" si="11"/>
        <v>0</v>
      </c>
    </row>
    <row r="207" spans="1:14" s="23" customFormat="1" ht="31.5">
      <c r="A207" s="21"/>
      <c r="B207" s="127" t="s">
        <v>142</v>
      </c>
      <c r="C207" s="109" t="s">
        <v>64</v>
      </c>
      <c r="D207" s="108" t="s">
        <v>11</v>
      </c>
      <c r="E207" s="108" t="s">
        <v>51</v>
      </c>
      <c r="F207" s="108" t="s">
        <v>186</v>
      </c>
      <c r="G207" s="108" t="s">
        <v>143</v>
      </c>
      <c r="H207" s="126">
        <v>0</v>
      </c>
      <c r="I207" s="126">
        <v>0</v>
      </c>
      <c r="J207" s="108">
        <v>7110011010</v>
      </c>
      <c r="K207" s="108" t="str">
        <f t="shared" si="9"/>
        <v>7110011010</v>
      </c>
      <c r="L207" s="303" t="str">
        <f t="shared" si="10"/>
        <v>60101137110011010112</v>
      </c>
      <c r="M207" s="132"/>
      <c r="N207" s="17">
        <f t="shared" si="11"/>
        <v>0</v>
      </c>
    </row>
    <row r="208" spans="1:14" s="23" customFormat="1" ht="63">
      <c r="A208" s="21"/>
      <c r="B208" s="127" t="s">
        <v>144</v>
      </c>
      <c r="C208" s="109" t="s">
        <v>64</v>
      </c>
      <c r="D208" s="108" t="s">
        <v>11</v>
      </c>
      <c r="E208" s="108" t="s">
        <v>51</v>
      </c>
      <c r="F208" s="108" t="s">
        <v>186</v>
      </c>
      <c r="G208" s="108" t="s">
        <v>145</v>
      </c>
      <c r="H208" s="126">
        <v>0</v>
      </c>
      <c r="I208" s="126">
        <v>0</v>
      </c>
      <c r="J208" s="108">
        <v>7110011010</v>
      </c>
      <c r="K208" s="108" t="str">
        <f t="shared" si="9"/>
        <v>7110011010</v>
      </c>
      <c r="L208" s="303" t="str">
        <f t="shared" si="10"/>
        <v>60101137110011010119</v>
      </c>
      <c r="M208" s="132"/>
      <c r="N208" s="17">
        <f t="shared" si="11"/>
        <v>0</v>
      </c>
    </row>
    <row r="209" spans="1:14" s="16" customFormat="1" ht="31.5">
      <c r="A209" s="14"/>
      <c r="B209" s="125" t="s">
        <v>28</v>
      </c>
      <c r="C209" s="109" t="s">
        <v>64</v>
      </c>
      <c r="D209" s="108" t="s">
        <v>11</v>
      </c>
      <c r="E209" s="108" t="s">
        <v>51</v>
      </c>
      <c r="F209" s="108" t="s">
        <v>186</v>
      </c>
      <c r="G209" s="108" t="s">
        <v>29</v>
      </c>
      <c r="H209" s="126">
        <v>0</v>
      </c>
      <c r="I209" s="126">
        <v>0</v>
      </c>
      <c r="J209" s="108">
        <v>7110011010</v>
      </c>
      <c r="K209" s="108" t="str">
        <f t="shared" si="9"/>
        <v>7110011010</v>
      </c>
      <c r="L209" s="303" t="str">
        <f t="shared" si="10"/>
        <v>60101137110011010240</v>
      </c>
      <c r="M209" s="132" t="str">
        <f>INDEX('реш СГД № 265'!$A:$N,MATCH('БА расх 2019-2020'!$L209,'реш СГД № 265'!$N:$N,0),3)</f>
        <v>Иные закупки товаров, работ и услуг для обеспечения государственных (муниципальных) нужд</v>
      </c>
      <c r="N209" s="17">
        <f t="shared" si="11"/>
        <v>1</v>
      </c>
    </row>
    <row r="210" spans="1:14" s="16" customFormat="1" ht="15.75">
      <c r="A210" s="14"/>
      <c r="B210" s="125" t="s">
        <v>30</v>
      </c>
      <c r="C210" s="109" t="s">
        <v>64</v>
      </c>
      <c r="D210" s="108" t="s">
        <v>11</v>
      </c>
      <c r="E210" s="108" t="s">
        <v>51</v>
      </c>
      <c r="F210" s="108" t="s">
        <v>186</v>
      </c>
      <c r="G210" s="108" t="s">
        <v>31</v>
      </c>
      <c r="H210" s="126">
        <v>0</v>
      </c>
      <c r="I210" s="126">
        <v>0</v>
      </c>
      <c r="J210" s="108">
        <v>7110011010</v>
      </c>
      <c r="K210" s="108" t="str">
        <f t="shared" si="9"/>
        <v>7110011010</v>
      </c>
      <c r="L210" s="303" t="str">
        <f t="shared" si="10"/>
        <v>60101137110011010244</v>
      </c>
      <c r="M210" s="132"/>
      <c r="N210" s="17">
        <f t="shared" si="11"/>
        <v>0</v>
      </c>
    </row>
    <row r="211" spans="1:14" s="16" customFormat="1" ht="15.75">
      <c r="A211" s="14"/>
      <c r="B211" s="125" t="s">
        <v>32</v>
      </c>
      <c r="C211" s="109" t="s">
        <v>64</v>
      </c>
      <c r="D211" s="108" t="s">
        <v>11</v>
      </c>
      <c r="E211" s="108" t="s">
        <v>51</v>
      </c>
      <c r="F211" s="108" t="s">
        <v>186</v>
      </c>
      <c r="G211" s="108" t="s">
        <v>33</v>
      </c>
      <c r="H211" s="126">
        <v>0</v>
      </c>
      <c r="I211" s="126">
        <v>0</v>
      </c>
      <c r="J211" s="108">
        <v>7110011010</v>
      </c>
      <c r="K211" s="108" t="str">
        <f t="shared" si="9"/>
        <v>7110011010</v>
      </c>
      <c r="L211" s="303" t="str">
        <f t="shared" si="10"/>
        <v>60101137110011010850</v>
      </c>
      <c r="M211" s="132" t="str">
        <f>INDEX('реш СГД № 265'!$A:$N,MATCH('БА расх 2019-2020'!$L211,'реш СГД № 265'!$N:$N,0),3)</f>
        <v>Уплата налогов, сборов и иных платежей</v>
      </c>
      <c r="N211" s="17">
        <f t="shared" si="11"/>
        <v>1</v>
      </c>
    </row>
    <row r="212" spans="1:14" s="23" customFormat="1" ht="31.5">
      <c r="A212" s="21"/>
      <c r="B212" s="127" t="s">
        <v>34</v>
      </c>
      <c r="C212" s="109" t="s">
        <v>64</v>
      </c>
      <c r="D212" s="108" t="s">
        <v>11</v>
      </c>
      <c r="E212" s="108" t="s">
        <v>51</v>
      </c>
      <c r="F212" s="108" t="s">
        <v>186</v>
      </c>
      <c r="G212" s="108" t="s">
        <v>35</v>
      </c>
      <c r="H212" s="126">
        <v>0</v>
      </c>
      <c r="I212" s="126">
        <v>0</v>
      </c>
      <c r="J212" s="108">
        <v>7110011010</v>
      </c>
      <c r="K212" s="108" t="str">
        <f t="shared" si="9"/>
        <v>7110011010</v>
      </c>
      <c r="L212" s="303" t="str">
        <f t="shared" si="10"/>
        <v>60101137110011010851</v>
      </c>
      <c r="M212" s="132"/>
      <c r="N212" s="17">
        <f t="shared" si="11"/>
        <v>0</v>
      </c>
    </row>
    <row r="213" spans="1:14" s="23" customFormat="1" ht="15.75">
      <c r="A213" s="21"/>
      <c r="B213" s="127" t="s">
        <v>36</v>
      </c>
      <c r="C213" s="109" t="s">
        <v>64</v>
      </c>
      <c r="D213" s="108" t="s">
        <v>11</v>
      </c>
      <c r="E213" s="108" t="s">
        <v>51</v>
      </c>
      <c r="F213" s="108" t="s">
        <v>186</v>
      </c>
      <c r="G213" s="108" t="s">
        <v>37</v>
      </c>
      <c r="H213" s="126">
        <v>0</v>
      </c>
      <c r="I213" s="126">
        <v>0</v>
      </c>
      <c r="J213" s="108">
        <v>7110011010</v>
      </c>
      <c r="K213" s="108" t="str">
        <f t="shared" si="9"/>
        <v>7110011010</v>
      </c>
      <c r="L213" s="303" t="str">
        <f t="shared" si="10"/>
        <v>60101137110011010852</v>
      </c>
      <c r="M213" s="132"/>
      <c r="N213" s="17">
        <f t="shared" si="11"/>
        <v>0</v>
      </c>
    </row>
    <row r="214" spans="1:14" s="23" customFormat="1" ht="15.75">
      <c r="A214" s="21"/>
      <c r="B214" s="127" t="s">
        <v>77</v>
      </c>
      <c r="C214" s="109" t="s">
        <v>64</v>
      </c>
      <c r="D214" s="108" t="s">
        <v>11</v>
      </c>
      <c r="E214" s="108" t="s">
        <v>51</v>
      </c>
      <c r="F214" s="108" t="s">
        <v>186</v>
      </c>
      <c r="G214" s="108" t="s">
        <v>78</v>
      </c>
      <c r="H214" s="126">
        <v>0</v>
      </c>
      <c r="I214" s="126">
        <v>0</v>
      </c>
      <c r="J214" s="108">
        <v>7110011010</v>
      </c>
      <c r="K214" s="108" t="str">
        <f t="shared" si="9"/>
        <v>7110011010</v>
      </c>
      <c r="L214" s="303" t="str">
        <f t="shared" si="10"/>
        <v>60101137110011010853</v>
      </c>
      <c r="M214" s="132"/>
      <c r="N214" s="17">
        <f t="shared" si="11"/>
        <v>0</v>
      </c>
    </row>
    <row r="215" spans="1:14" s="16" customFormat="1" ht="31.5">
      <c r="A215" s="14"/>
      <c r="B215" s="129" t="s">
        <v>187</v>
      </c>
      <c r="C215" s="130" t="s">
        <v>64</v>
      </c>
      <c r="D215" s="131" t="s">
        <v>11</v>
      </c>
      <c r="E215" s="131" t="s">
        <v>51</v>
      </c>
      <c r="F215" s="131" t="s">
        <v>188</v>
      </c>
      <c r="G215" s="131" t="s">
        <v>9</v>
      </c>
      <c r="H215" s="126">
        <v>0</v>
      </c>
      <c r="I215" s="126">
        <v>0</v>
      </c>
      <c r="J215" s="131">
        <v>7110020050</v>
      </c>
      <c r="K215" s="108" t="str">
        <f t="shared" si="9"/>
        <v>7110020050</v>
      </c>
      <c r="L215" s="303" t="str">
        <f t="shared" si="10"/>
        <v>60101137110020050000</v>
      </c>
      <c r="M215" s="132" t="str">
        <f>INDEX('реш СГД № 265'!$A:$N,MATCH('БА расх 2019-2020'!$L215,'реш СГД № 265'!$N:$N,0),3)</f>
        <v>Расходы на выплаты на основании исполнительных листов судебных органов</v>
      </c>
      <c r="N215" s="17">
        <f t="shared" si="11"/>
        <v>1</v>
      </c>
    </row>
    <row r="216" spans="1:14" s="16" customFormat="1" ht="15.75">
      <c r="A216" s="14"/>
      <c r="B216" s="125" t="s">
        <v>189</v>
      </c>
      <c r="C216" s="130" t="s">
        <v>64</v>
      </c>
      <c r="D216" s="131" t="s">
        <v>11</v>
      </c>
      <c r="E216" s="131" t="s">
        <v>51</v>
      </c>
      <c r="F216" s="131" t="s">
        <v>188</v>
      </c>
      <c r="G216" s="131" t="s">
        <v>190</v>
      </c>
      <c r="H216" s="126">
        <v>0</v>
      </c>
      <c r="I216" s="126">
        <v>0</v>
      </c>
      <c r="J216" s="131">
        <v>7110020050</v>
      </c>
      <c r="K216" s="108" t="str">
        <f t="shared" si="9"/>
        <v>7110020050</v>
      </c>
      <c r="L216" s="303" t="str">
        <f t="shared" si="10"/>
        <v>60101137110020050830</v>
      </c>
      <c r="M216" s="132" t="str">
        <f>INDEX('реш СГД № 265'!$A:$N,MATCH('БА расх 2019-2020'!$L216,'реш СГД № 265'!$N:$N,0),3)</f>
        <v>Исполнение судебных актов</v>
      </c>
      <c r="N216" s="17">
        <f t="shared" si="11"/>
        <v>1</v>
      </c>
    </row>
    <row r="217" spans="1:14" s="16" customFormat="1" ht="47.25">
      <c r="A217" s="14"/>
      <c r="B217" s="129" t="s">
        <v>191</v>
      </c>
      <c r="C217" s="130" t="s">
        <v>64</v>
      </c>
      <c r="D217" s="131" t="s">
        <v>11</v>
      </c>
      <c r="E217" s="131" t="s">
        <v>51</v>
      </c>
      <c r="F217" s="131" t="s">
        <v>188</v>
      </c>
      <c r="G217" s="131" t="s">
        <v>192</v>
      </c>
      <c r="H217" s="126">
        <v>0</v>
      </c>
      <c r="I217" s="126">
        <v>0</v>
      </c>
      <c r="J217" s="131">
        <v>7110020050</v>
      </c>
      <c r="K217" s="108" t="str">
        <f t="shared" si="9"/>
        <v>7110020050</v>
      </c>
      <c r="L217" s="303" t="str">
        <f t="shared" si="10"/>
        <v>60101137110020050831</v>
      </c>
      <c r="M217" s="132"/>
      <c r="N217" s="17">
        <f t="shared" si="11"/>
        <v>0</v>
      </c>
    </row>
    <row r="218" spans="1:14" s="16" customFormat="1" ht="63">
      <c r="A218" s="14"/>
      <c r="B218" s="125" t="s">
        <v>87</v>
      </c>
      <c r="C218" s="130" t="s">
        <v>64</v>
      </c>
      <c r="D218" s="131" t="s">
        <v>11</v>
      </c>
      <c r="E218" s="131" t="s">
        <v>51</v>
      </c>
      <c r="F218" s="131" t="s">
        <v>88</v>
      </c>
      <c r="G218" s="131" t="s">
        <v>9</v>
      </c>
      <c r="H218" s="126">
        <v>0</v>
      </c>
      <c r="I218" s="126">
        <v>0</v>
      </c>
      <c r="J218" s="131">
        <v>9800000000</v>
      </c>
      <c r="K218" s="108" t="str">
        <f t="shared" si="9"/>
        <v>9800000000</v>
      </c>
      <c r="L218" s="303" t="str">
        <f t="shared" si="10"/>
        <v>60101139800000000000</v>
      </c>
      <c r="M218" s="132" t="str">
        <f>INDEX('реш СГД № 265'!$A:$N,MATCH('БА расх 2019-2020'!$L218,'реш СГД № 265'!$N:$N,0),3)</f>
        <v>Реализация иных функций Ставропольской городской Думы, администрации города Ставрополя, ее отраслевых (функциональных) и территориальных органов</v>
      </c>
      <c r="N218" s="17">
        <f t="shared" si="11"/>
        <v>1</v>
      </c>
    </row>
    <row r="219" spans="1:14" s="16" customFormat="1" ht="15.75">
      <c r="A219" s="14"/>
      <c r="B219" s="125" t="s">
        <v>89</v>
      </c>
      <c r="C219" s="130" t="s">
        <v>64</v>
      </c>
      <c r="D219" s="131" t="s">
        <v>11</v>
      </c>
      <c r="E219" s="131" t="s">
        <v>51</v>
      </c>
      <c r="F219" s="131" t="s">
        <v>90</v>
      </c>
      <c r="G219" s="131" t="s">
        <v>9</v>
      </c>
      <c r="H219" s="126">
        <v>0</v>
      </c>
      <c r="I219" s="126">
        <v>0</v>
      </c>
      <c r="J219" s="131">
        <v>9810000000</v>
      </c>
      <c r="K219" s="108" t="str">
        <f t="shared" si="9"/>
        <v>9810000000</v>
      </c>
      <c r="L219" s="303" t="str">
        <f t="shared" si="10"/>
        <v>60101139810000000000</v>
      </c>
      <c r="M219" s="132" t="str">
        <f>INDEX('реш СГД № 265'!$A:$N,MATCH('БА расх 2019-2020'!$L219,'реш СГД № 265'!$N:$N,0),3)</f>
        <v>Иные непрограммные мероприятия</v>
      </c>
      <c r="N219" s="17">
        <f t="shared" si="11"/>
        <v>1</v>
      </c>
    </row>
    <row r="220" spans="1:14" s="16" customFormat="1" ht="63">
      <c r="A220" s="14" t="s">
        <v>80</v>
      </c>
      <c r="B220" s="129" t="s">
        <v>193</v>
      </c>
      <c r="C220" s="130" t="s">
        <v>64</v>
      </c>
      <c r="D220" s="131" t="s">
        <v>11</v>
      </c>
      <c r="E220" s="131" t="s">
        <v>51</v>
      </c>
      <c r="F220" s="131" t="s">
        <v>194</v>
      </c>
      <c r="G220" s="131" t="s">
        <v>9</v>
      </c>
      <c r="H220" s="126">
        <v>0</v>
      </c>
      <c r="I220" s="126">
        <v>0</v>
      </c>
      <c r="J220" s="131">
        <v>9810076610</v>
      </c>
      <c r="K220" s="108" t="str">
        <f t="shared" si="9"/>
        <v>9810076610</v>
      </c>
      <c r="L220" s="303" t="str">
        <f t="shared" si="10"/>
        <v>60101139810076610000</v>
      </c>
      <c r="M220" s="132" t="str">
        <f>INDEX('реш СГД № 265'!$A:$N,MATCH('БА расх 2019-2020'!$L220,'реш СГД № 265'!$N:$N,0),3)</f>
        <v>Возмещение расходов, связанных с материальным обеспечением деятельности депутатов Думы Ставропольского края и их помощников в Ставропольском крае</v>
      </c>
      <c r="N220" s="17">
        <f t="shared" si="11"/>
        <v>1</v>
      </c>
    </row>
    <row r="221" spans="1:14" s="16" customFormat="1" ht="31.5">
      <c r="A221" s="14"/>
      <c r="B221" s="127" t="s">
        <v>20</v>
      </c>
      <c r="C221" s="130" t="s">
        <v>64</v>
      </c>
      <c r="D221" s="131" t="s">
        <v>11</v>
      </c>
      <c r="E221" s="131" t="s">
        <v>51</v>
      </c>
      <c r="F221" s="131" t="s">
        <v>194</v>
      </c>
      <c r="G221" s="131" t="s">
        <v>21</v>
      </c>
      <c r="H221" s="126">
        <v>0</v>
      </c>
      <c r="I221" s="126">
        <v>0</v>
      </c>
      <c r="J221" s="131">
        <v>9810076610</v>
      </c>
      <c r="K221" s="108" t="str">
        <f t="shared" si="9"/>
        <v>9810076610</v>
      </c>
      <c r="L221" s="303" t="str">
        <f t="shared" si="10"/>
        <v>60101139810076610120</v>
      </c>
      <c r="M221" s="132" t="str">
        <f>INDEX('реш СГД № 265'!$A:$N,MATCH('БА расх 2019-2020'!$L221,'реш СГД № 265'!$N:$N,0),3)</f>
        <v>Расходы на выплаты персоналу государственных (муниципальных) органов</v>
      </c>
      <c r="N221" s="17">
        <f t="shared" si="11"/>
        <v>1</v>
      </c>
    </row>
    <row r="222" spans="1:14" s="23" customFormat="1" ht="31.5">
      <c r="A222" s="21"/>
      <c r="B222" s="127" t="s">
        <v>40</v>
      </c>
      <c r="C222" s="130" t="s">
        <v>64</v>
      </c>
      <c r="D222" s="131" t="s">
        <v>11</v>
      </c>
      <c r="E222" s="131" t="s">
        <v>51</v>
      </c>
      <c r="F222" s="131" t="s">
        <v>194</v>
      </c>
      <c r="G222" s="108" t="s">
        <v>41</v>
      </c>
      <c r="H222" s="126">
        <v>0</v>
      </c>
      <c r="I222" s="126">
        <v>0</v>
      </c>
      <c r="J222" s="131">
        <v>9810076610</v>
      </c>
      <c r="K222" s="108" t="str">
        <f t="shared" si="9"/>
        <v>9810076610</v>
      </c>
      <c r="L222" s="303" t="str">
        <f t="shared" si="10"/>
        <v>60101139810076610121</v>
      </c>
      <c r="M222" s="132"/>
      <c r="N222" s="17">
        <f t="shared" si="11"/>
        <v>0</v>
      </c>
    </row>
    <row r="223" spans="1:14" s="23" customFormat="1" ht="63">
      <c r="A223" s="21"/>
      <c r="B223" s="127" t="s">
        <v>26</v>
      </c>
      <c r="C223" s="130" t="s">
        <v>64</v>
      </c>
      <c r="D223" s="131" t="s">
        <v>11</v>
      </c>
      <c r="E223" s="131" t="s">
        <v>51</v>
      </c>
      <c r="F223" s="131" t="s">
        <v>194</v>
      </c>
      <c r="G223" s="108" t="s">
        <v>27</v>
      </c>
      <c r="H223" s="126">
        <v>0</v>
      </c>
      <c r="I223" s="126">
        <v>0</v>
      </c>
      <c r="J223" s="131">
        <v>9810076610</v>
      </c>
      <c r="K223" s="108" t="str">
        <f t="shared" si="9"/>
        <v>9810076610</v>
      </c>
      <c r="L223" s="303" t="str">
        <f t="shared" si="10"/>
        <v>60101139810076610129</v>
      </c>
      <c r="M223" s="132"/>
      <c r="N223" s="17">
        <f t="shared" si="11"/>
        <v>0</v>
      </c>
    </row>
    <row r="224" spans="1:14" s="16" customFormat="1" ht="15.75">
      <c r="A224" s="14"/>
      <c r="B224" s="117" t="s">
        <v>195</v>
      </c>
      <c r="C224" s="118" t="s">
        <v>64</v>
      </c>
      <c r="D224" s="119" t="s">
        <v>73</v>
      </c>
      <c r="E224" s="119" t="s">
        <v>7</v>
      </c>
      <c r="F224" s="119" t="s">
        <v>8</v>
      </c>
      <c r="G224" s="119" t="s">
        <v>9</v>
      </c>
      <c r="H224" s="120">
        <v>0</v>
      </c>
      <c r="I224" s="120">
        <v>0</v>
      </c>
      <c r="J224" s="119">
        <v>0</v>
      </c>
      <c r="K224" s="108" t="str">
        <f t="shared" si="9"/>
        <v>0000000000</v>
      </c>
      <c r="L224" s="303" t="str">
        <f t="shared" si="10"/>
        <v>60104000000000000000</v>
      </c>
      <c r="M224" s="132" t="str">
        <f>INDEX('реш СГД № 265'!$A:$N,MATCH('БА расх 2019-2020'!$L224,'реш СГД № 265'!$N:$N,0),3)</f>
        <v>Национальная экономика</v>
      </c>
      <c r="N224" s="17">
        <f t="shared" si="11"/>
        <v>1</v>
      </c>
    </row>
    <row r="225" spans="1:14" s="16" customFormat="1" ht="15.75">
      <c r="A225" s="14"/>
      <c r="B225" s="121" t="s">
        <v>196</v>
      </c>
      <c r="C225" s="122" t="s">
        <v>64</v>
      </c>
      <c r="D225" s="123" t="s">
        <v>73</v>
      </c>
      <c r="E225" s="123" t="s">
        <v>57</v>
      </c>
      <c r="F225" s="123" t="s">
        <v>8</v>
      </c>
      <c r="G225" s="123" t="s">
        <v>9</v>
      </c>
      <c r="H225" s="124">
        <v>0</v>
      </c>
      <c r="I225" s="124">
        <v>0</v>
      </c>
      <c r="J225" s="123">
        <v>0</v>
      </c>
      <c r="K225" s="108" t="str">
        <f t="shared" si="9"/>
        <v>0000000000</v>
      </c>
      <c r="L225" s="303" t="str">
        <f t="shared" si="10"/>
        <v>60104120000000000000</v>
      </c>
      <c r="M225" s="132" t="str">
        <f>INDEX('реш СГД № 265'!$A:$N,MATCH('БА расх 2019-2020'!$L225,'реш СГД № 265'!$N:$N,0),3)</f>
        <v xml:space="preserve">Другие вопросы в области национальной экономики </v>
      </c>
      <c r="N225" s="17">
        <f t="shared" si="11"/>
        <v>1</v>
      </c>
    </row>
    <row r="226" spans="1:14" s="16" customFormat="1" ht="31.5">
      <c r="A226" s="14"/>
      <c r="B226" s="129" t="s">
        <v>94</v>
      </c>
      <c r="C226" s="109" t="s">
        <v>64</v>
      </c>
      <c r="D226" s="108" t="s">
        <v>73</v>
      </c>
      <c r="E226" s="108" t="s">
        <v>57</v>
      </c>
      <c r="F226" s="108" t="s">
        <v>95</v>
      </c>
      <c r="G226" s="108" t="s">
        <v>9</v>
      </c>
      <c r="H226" s="126">
        <v>0</v>
      </c>
      <c r="I226" s="126">
        <v>0</v>
      </c>
      <c r="J226" s="108">
        <v>1200000000</v>
      </c>
      <c r="K226" s="108" t="str">
        <f t="shared" si="9"/>
        <v>1200000000</v>
      </c>
      <c r="L226" s="303" t="str">
        <f t="shared" si="10"/>
        <v>60104121200000000000</v>
      </c>
      <c r="M226" s="132" t="str">
        <f>INDEX('реш СГД № 265'!$A:$N,MATCH('БА расх 2019-2020'!$L226,'реш СГД № 265'!$N:$N,0),3)</f>
        <v>Муниципальная программа «Экономическое развитие города Ставрополя»</v>
      </c>
      <c r="N226" s="17">
        <f t="shared" si="11"/>
        <v>1</v>
      </c>
    </row>
    <row r="227" spans="1:14" s="16" customFormat="1" ht="31.5">
      <c r="A227" s="14"/>
      <c r="B227" s="129" t="s">
        <v>197</v>
      </c>
      <c r="C227" s="109" t="s">
        <v>64</v>
      </c>
      <c r="D227" s="108" t="s">
        <v>73</v>
      </c>
      <c r="E227" s="108" t="s">
        <v>57</v>
      </c>
      <c r="F227" s="108" t="s">
        <v>198</v>
      </c>
      <c r="G227" s="108" t="s">
        <v>9</v>
      </c>
      <c r="H227" s="126">
        <v>0</v>
      </c>
      <c r="I227" s="126">
        <v>0</v>
      </c>
      <c r="J227" s="108">
        <v>1210000000</v>
      </c>
      <c r="K227" s="108" t="str">
        <f t="shared" si="9"/>
        <v>1210000000</v>
      </c>
      <c r="L227" s="303" t="str">
        <f t="shared" si="10"/>
        <v>60104121210000000000</v>
      </c>
      <c r="M227" s="132" t="str">
        <f>INDEX('реш СГД № 265'!$A:$N,MATCH('БА расх 2019-2020'!$L227,'реш СГД № 265'!$N:$N,0),3)</f>
        <v>Подпрограмма «Развитие малого и среднего предпринимательства в городе Ставрополе»</v>
      </c>
      <c r="N227" s="17">
        <f t="shared" si="11"/>
        <v>1</v>
      </c>
    </row>
    <row r="228" spans="1:14" s="16" customFormat="1" ht="47.25">
      <c r="A228" s="14"/>
      <c r="B228" s="129" t="s">
        <v>199</v>
      </c>
      <c r="C228" s="109" t="s">
        <v>64</v>
      </c>
      <c r="D228" s="108" t="s">
        <v>73</v>
      </c>
      <c r="E228" s="108" t="s">
        <v>57</v>
      </c>
      <c r="F228" s="108" t="s">
        <v>200</v>
      </c>
      <c r="G228" s="108" t="s">
        <v>9</v>
      </c>
      <c r="H228" s="126">
        <v>0</v>
      </c>
      <c r="I228" s="126">
        <v>0</v>
      </c>
      <c r="J228" s="108">
        <v>1210100000</v>
      </c>
      <c r="K228" s="108" t="str">
        <f t="shared" si="9"/>
        <v>1210100000</v>
      </c>
      <c r="L228" s="303" t="str">
        <f t="shared" si="10"/>
        <v>60104121210100000000</v>
      </c>
      <c r="M228" s="132" t="str">
        <f>INDEX('реш СГД № 265'!$A:$N,MATCH('БА расх 2019-2020'!$L228,'реш СГД № 265'!$N:$N,0),3)</f>
        <v>Основное мероприятие «Финансовая поддержка субъектов малого и среднего предпринимательства в городе Ставрополе»</v>
      </c>
      <c r="N228" s="17">
        <f t="shared" si="11"/>
        <v>1</v>
      </c>
    </row>
    <row r="229" spans="1:14" s="16" customFormat="1" ht="47.25">
      <c r="A229" s="14"/>
      <c r="B229" s="129" t="s">
        <v>201</v>
      </c>
      <c r="C229" s="109" t="s">
        <v>64</v>
      </c>
      <c r="D229" s="108" t="s">
        <v>73</v>
      </c>
      <c r="E229" s="108" t="s">
        <v>57</v>
      </c>
      <c r="F229" s="108" t="s">
        <v>202</v>
      </c>
      <c r="G229" s="108" t="s">
        <v>9</v>
      </c>
      <c r="H229" s="126">
        <v>0</v>
      </c>
      <c r="I229" s="126">
        <v>0</v>
      </c>
      <c r="J229" s="108">
        <v>1210160130</v>
      </c>
      <c r="K229" s="108" t="str">
        <f t="shared" si="9"/>
        <v>1210160130</v>
      </c>
      <c r="L229" s="303" t="str">
        <f t="shared" si="10"/>
        <v>60104121210160130000</v>
      </c>
      <c r="M229" s="132" t="str">
        <f>INDEX('реш СГД № 265'!$A:$N,MATCH('БА расх 2019-2020'!$L229,'реш СГД № 265'!$N:$N,0),3)</f>
        <v>Предоставление субсидий субъектам малого и среднего предпринимательства, осуществляющим деятельность на территории города Ставрополя</v>
      </c>
      <c r="N229" s="17">
        <f t="shared" si="11"/>
        <v>1</v>
      </c>
    </row>
    <row r="230" spans="1:14" s="16" customFormat="1" ht="63">
      <c r="A230" s="14"/>
      <c r="B230" s="129" t="s">
        <v>203</v>
      </c>
      <c r="C230" s="109" t="s">
        <v>64</v>
      </c>
      <c r="D230" s="108" t="s">
        <v>73</v>
      </c>
      <c r="E230" s="108" t="s">
        <v>57</v>
      </c>
      <c r="F230" s="108" t="s">
        <v>202</v>
      </c>
      <c r="G230" s="108" t="s">
        <v>204</v>
      </c>
      <c r="H230" s="126">
        <v>0</v>
      </c>
      <c r="I230" s="126">
        <v>0</v>
      </c>
      <c r="J230" s="108">
        <v>1210160130</v>
      </c>
      <c r="K230" s="108" t="str">
        <f t="shared" si="9"/>
        <v>1210160130</v>
      </c>
      <c r="L230" s="303" t="str">
        <f t="shared" si="10"/>
        <v>60104121210160130810</v>
      </c>
      <c r="M230" s="132" t="str">
        <f>INDEX('реш СГД № 265'!$A:$N,MATCH('БА расх 2019-2020'!$L230,'реш СГД № 265'!$N:$N,0),3)</f>
        <v>Субсидии юридическим лицам (кроме некоммерческих организаций), индивидуальным предпринимателям, физическим лицам - производителям товаров, работ, услуг</v>
      </c>
      <c r="N230" s="17">
        <f t="shared" si="11"/>
        <v>1</v>
      </c>
    </row>
    <row r="231" spans="1:14" s="23" customFormat="1" ht="63">
      <c r="A231" s="21"/>
      <c r="B231" s="127" t="s">
        <v>205</v>
      </c>
      <c r="C231" s="109" t="s">
        <v>64</v>
      </c>
      <c r="D231" s="108" t="s">
        <v>73</v>
      </c>
      <c r="E231" s="108" t="s">
        <v>57</v>
      </c>
      <c r="F231" s="108" t="s">
        <v>202</v>
      </c>
      <c r="G231" s="108" t="s">
        <v>206</v>
      </c>
      <c r="H231" s="126">
        <v>0</v>
      </c>
      <c r="I231" s="126">
        <v>0</v>
      </c>
      <c r="J231" s="108">
        <v>1210160130</v>
      </c>
      <c r="K231" s="108" t="str">
        <f t="shared" si="9"/>
        <v>1210160130</v>
      </c>
      <c r="L231" s="303" t="str">
        <f t="shared" si="10"/>
        <v>60104121210160130811</v>
      </c>
      <c r="M231" s="132"/>
      <c r="N231" s="17">
        <f t="shared" si="11"/>
        <v>0</v>
      </c>
    </row>
    <row r="232" spans="1:14" s="23" customFormat="1" ht="110.25">
      <c r="A232" s="21"/>
      <c r="B232" s="127" t="s">
        <v>207</v>
      </c>
      <c r="C232" s="109" t="s">
        <v>64</v>
      </c>
      <c r="D232" s="108" t="s">
        <v>73</v>
      </c>
      <c r="E232" s="108" t="s">
        <v>57</v>
      </c>
      <c r="F232" s="108" t="s">
        <v>202</v>
      </c>
      <c r="G232" s="108" t="s">
        <v>208</v>
      </c>
      <c r="H232" s="126">
        <v>0</v>
      </c>
      <c r="I232" s="126">
        <v>0</v>
      </c>
      <c r="J232" s="108">
        <v>1210160130</v>
      </c>
      <c r="K232" s="108" t="str">
        <f t="shared" si="9"/>
        <v>1210160130</v>
      </c>
      <c r="L232" s="303" t="str">
        <f t="shared" si="10"/>
        <v>60104121210160130812</v>
      </c>
      <c r="M232" s="132"/>
      <c r="N232" s="17">
        <f t="shared" si="11"/>
        <v>0</v>
      </c>
    </row>
    <row r="233" spans="1:14" s="16" customFormat="1" ht="63">
      <c r="A233" s="14"/>
      <c r="B233" s="129" t="s">
        <v>209</v>
      </c>
      <c r="C233" s="109" t="s">
        <v>64</v>
      </c>
      <c r="D233" s="108" t="s">
        <v>73</v>
      </c>
      <c r="E233" s="108" t="s">
        <v>57</v>
      </c>
      <c r="F233" s="108" t="s">
        <v>210</v>
      </c>
      <c r="G233" s="108" t="s">
        <v>9</v>
      </c>
      <c r="H233" s="126">
        <v>0</v>
      </c>
      <c r="I233" s="126">
        <v>0</v>
      </c>
      <c r="J233" s="108">
        <v>1210200000</v>
      </c>
      <c r="K233" s="108" t="str">
        <f t="shared" si="9"/>
        <v>1210200000</v>
      </c>
      <c r="L233" s="303" t="str">
        <f t="shared" si="10"/>
        <v>60104121210200000000</v>
      </c>
      <c r="M233" s="132" t="str">
        <f>INDEX('реш СГД № 265'!$A:$N,MATCH('БА расх 2019-2020'!$L233,'реш СГД № 265'!$N:$N,0),3)</f>
        <v>Основное мероприятие «Развитие и обеспечение деятельности инфраструктуры поддержки субъектов малого и среднего предпринимательства в городе Ставрополе»</v>
      </c>
      <c r="N233" s="17">
        <f t="shared" si="11"/>
        <v>1</v>
      </c>
    </row>
    <row r="234" spans="1:14" s="16" customFormat="1" ht="47.25">
      <c r="A234" s="14"/>
      <c r="B234" s="129" t="s">
        <v>211</v>
      </c>
      <c r="C234" s="109" t="s">
        <v>64</v>
      </c>
      <c r="D234" s="108" t="s">
        <v>73</v>
      </c>
      <c r="E234" s="108" t="s">
        <v>57</v>
      </c>
      <c r="F234" s="108" t="s">
        <v>212</v>
      </c>
      <c r="G234" s="108" t="s">
        <v>9</v>
      </c>
      <c r="H234" s="126">
        <v>0</v>
      </c>
      <c r="I234" s="126">
        <v>0</v>
      </c>
      <c r="J234" s="108">
        <v>1210220480</v>
      </c>
      <c r="K234" s="108" t="str">
        <f t="shared" si="9"/>
        <v>1210220480</v>
      </c>
      <c r="L234" s="303" t="str">
        <f t="shared" si="10"/>
        <v>60104121210220480000</v>
      </c>
      <c r="M234" s="132" t="str">
        <f>INDEX('реш СГД № 265'!$A:$N,MATCH('БА расх 2019-2020'!$L234,'реш СГД № 265'!$N:$N,0),3)</f>
        <v>Расходы на реализацию мероприятий, направленных на развитие малого и среднего предпринимательства на территории города Ставрополя</v>
      </c>
      <c r="N234" s="17">
        <f t="shared" si="11"/>
        <v>1</v>
      </c>
    </row>
    <row r="235" spans="1:14" s="16" customFormat="1" ht="31.5">
      <c r="A235" s="14"/>
      <c r="B235" s="125" t="s">
        <v>28</v>
      </c>
      <c r="C235" s="109" t="s">
        <v>64</v>
      </c>
      <c r="D235" s="108" t="s">
        <v>73</v>
      </c>
      <c r="E235" s="108" t="s">
        <v>57</v>
      </c>
      <c r="F235" s="108" t="s">
        <v>212</v>
      </c>
      <c r="G235" s="108" t="s">
        <v>29</v>
      </c>
      <c r="H235" s="126">
        <v>0</v>
      </c>
      <c r="I235" s="126">
        <v>0</v>
      </c>
      <c r="J235" s="108">
        <v>1210220480</v>
      </c>
      <c r="K235" s="108" t="str">
        <f t="shared" si="9"/>
        <v>1210220480</v>
      </c>
      <c r="L235" s="303" t="str">
        <f t="shared" si="10"/>
        <v>60104121210220480240</v>
      </c>
      <c r="M235" s="132" t="str">
        <f>INDEX('реш СГД № 265'!$A:$N,MATCH('БА расх 2019-2020'!$L235,'реш СГД № 265'!$N:$N,0),3)</f>
        <v>Иные закупки товаров, работ и услуг для обеспечения государственных (муниципальных) нужд</v>
      </c>
      <c r="N235" s="17">
        <f t="shared" si="11"/>
        <v>1</v>
      </c>
    </row>
    <row r="236" spans="1:14" s="16" customFormat="1" ht="15.75">
      <c r="A236" s="14"/>
      <c r="B236" s="125" t="s">
        <v>30</v>
      </c>
      <c r="C236" s="109" t="s">
        <v>64</v>
      </c>
      <c r="D236" s="108" t="s">
        <v>73</v>
      </c>
      <c r="E236" s="108" t="s">
        <v>57</v>
      </c>
      <c r="F236" s="108" t="s">
        <v>212</v>
      </c>
      <c r="G236" s="108" t="s">
        <v>31</v>
      </c>
      <c r="H236" s="126">
        <v>0</v>
      </c>
      <c r="I236" s="126">
        <v>0</v>
      </c>
      <c r="J236" s="108">
        <v>1210220480</v>
      </c>
      <c r="K236" s="108" t="str">
        <f t="shared" si="9"/>
        <v>1210220480</v>
      </c>
      <c r="L236" s="303" t="str">
        <f t="shared" si="10"/>
        <v>60104121210220480244</v>
      </c>
      <c r="M236" s="132"/>
      <c r="N236" s="17">
        <f t="shared" si="11"/>
        <v>0</v>
      </c>
    </row>
    <row r="237" spans="1:14" s="16" customFormat="1" ht="47.25">
      <c r="A237" s="14"/>
      <c r="B237" s="427" t="s">
        <v>182</v>
      </c>
      <c r="C237" s="109" t="s">
        <v>64</v>
      </c>
      <c r="D237" s="108" t="s">
        <v>73</v>
      </c>
      <c r="E237" s="108" t="s">
        <v>57</v>
      </c>
      <c r="F237" s="108" t="s">
        <v>212</v>
      </c>
      <c r="G237" s="108" t="s">
        <v>183</v>
      </c>
      <c r="H237" s="126">
        <v>0</v>
      </c>
      <c r="I237" s="126">
        <v>0</v>
      </c>
      <c r="J237" s="108">
        <v>1210220480</v>
      </c>
      <c r="K237" s="108" t="str">
        <f t="shared" si="9"/>
        <v>1210220480</v>
      </c>
      <c r="L237" s="303" t="str">
        <f t="shared" si="10"/>
        <v>60104121210220480630</v>
      </c>
      <c r="M237" s="132" t="str">
        <f>INDEX('реш СГД № 265'!$A:$N,MATCH('БА расх 2019-2020'!$L237,'реш СГД № 265'!$N:$N,0),3)</f>
        <v>Субсидии некоммерческим организациям (за исключением государственных (муниципальных) учреждений)</v>
      </c>
      <c r="N237" s="17">
        <f t="shared" si="11"/>
        <v>1</v>
      </c>
    </row>
    <row r="238" spans="1:14" s="16" customFormat="1" ht="47.25">
      <c r="A238" s="14"/>
      <c r="B238" s="125" t="s">
        <v>213</v>
      </c>
      <c r="C238" s="109" t="s">
        <v>64</v>
      </c>
      <c r="D238" s="108" t="s">
        <v>73</v>
      </c>
      <c r="E238" s="108" t="s">
        <v>57</v>
      </c>
      <c r="F238" s="108" t="s">
        <v>212</v>
      </c>
      <c r="G238" s="108" t="s">
        <v>214</v>
      </c>
      <c r="H238" s="126">
        <v>0</v>
      </c>
      <c r="I238" s="126">
        <v>0</v>
      </c>
      <c r="J238" s="108">
        <v>1210220480</v>
      </c>
      <c r="K238" s="108" t="str">
        <f t="shared" si="9"/>
        <v>1210220480</v>
      </c>
      <c r="L238" s="303" t="str">
        <f t="shared" si="10"/>
        <v>60104121210220480634</v>
      </c>
      <c r="M238" s="132"/>
      <c r="N238" s="17">
        <f t="shared" si="11"/>
        <v>0</v>
      </c>
    </row>
    <row r="239" spans="1:14" s="16" customFormat="1" ht="63">
      <c r="A239" s="14"/>
      <c r="B239" s="129" t="s">
        <v>215</v>
      </c>
      <c r="C239" s="109" t="s">
        <v>64</v>
      </c>
      <c r="D239" s="108" t="s">
        <v>73</v>
      </c>
      <c r="E239" s="108" t="s">
        <v>57</v>
      </c>
      <c r="F239" s="108" t="s">
        <v>216</v>
      </c>
      <c r="G239" s="108" t="s">
        <v>9</v>
      </c>
      <c r="H239" s="126">
        <v>0</v>
      </c>
      <c r="I239" s="126">
        <v>0</v>
      </c>
      <c r="J239" s="108">
        <v>1210300000</v>
      </c>
      <c r="K239" s="108" t="str">
        <f t="shared" si="9"/>
        <v>1210300000</v>
      </c>
      <c r="L239" s="303" t="str">
        <f t="shared" si="10"/>
        <v>60104121210300000000</v>
      </c>
      <c r="M239" s="132" t="str">
        <f>INDEX('реш СГД № 265'!$A:$N,MATCH('БА расх 2019-2020'!$L239,'реш СГД № 265'!$N:$N,0),3)</f>
        <v>Основное мероприятие «Обеспечение благоприятных условий для развития малого и среднего предпринимательства на территории города Ставрополя»</v>
      </c>
      <c r="N239" s="17">
        <f t="shared" si="11"/>
        <v>1</v>
      </c>
    </row>
    <row r="240" spans="1:14" s="16" customFormat="1" ht="47.25">
      <c r="A240" s="14"/>
      <c r="B240" s="129" t="s">
        <v>211</v>
      </c>
      <c r="C240" s="109" t="s">
        <v>64</v>
      </c>
      <c r="D240" s="108" t="s">
        <v>73</v>
      </c>
      <c r="E240" s="108" t="s">
        <v>57</v>
      </c>
      <c r="F240" s="108" t="s">
        <v>217</v>
      </c>
      <c r="G240" s="108" t="s">
        <v>9</v>
      </c>
      <c r="H240" s="126">
        <v>0</v>
      </c>
      <c r="I240" s="126">
        <v>0</v>
      </c>
      <c r="J240" s="108">
        <v>1210320480</v>
      </c>
      <c r="K240" s="108" t="str">
        <f t="shared" si="9"/>
        <v>1210320480</v>
      </c>
      <c r="L240" s="303" t="str">
        <f t="shared" si="10"/>
        <v>60104121210320480000</v>
      </c>
      <c r="M240" s="132" t="str">
        <f>INDEX('реш СГД № 265'!$A:$N,MATCH('БА расх 2019-2020'!$L240,'реш СГД № 265'!$N:$N,0),3)</f>
        <v>Расходы на реализацию мероприятий, направленных на развитие малого и среднего предпринимательства на территории города Ставрополя</v>
      </c>
      <c r="N240" s="17">
        <f t="shared" si="11"/>
        <v>1</v>
      </c>
    </row>
    <row r="241" spans="1:14" s="16" customFormat="1" ht="31.5">
      <c r="A241" s="14"/>
      <c r="B241" s="125" t="s">
        <v>28</v>
      </c>
      <c r="C241" s="109" t="s">
        <v>64</v>
      </c>
      <c r="D241" s="108" t="s">
        <v>73</v>
      </c>
      <c r="E241" s="108" t="s">
        <v>57</v>
      </c>
      <c r="F241" s="108" t="s">
        <v>217</v>
      </c>
      <c r="G241" s="108" t="s">
        <v>29</v>
      </c>
      <c r="H241" s="126">
        <v>0</v>
      </c>
      <c r="I241" s="126">
        <v>0</v>
      </c>
      <c r="J241" s="108">
        <v>1210320480</v>
      </c>
      <c r="K241" s="108" t="str">
        <f t="shared" si="9"/>
        <v>1210320480</v>
      </c>
      <c r="L241" s="303" t="str">
        <f t="shared" si="10"/>
        <v>60104121210320480240</v>
      </c>
      <c r="M241" s="132" t="str">
        <f>INDEX('реш СГД № 265'!$A:$N,MATCH('БА расх 2019-2020'!$L241,'реш СГД № 265'!$N:$N,0),3)</f>
        <v>Иные закупки товаров, работ и услуг для обеспечения государственных (муниципальных) нужд</v>
      </c>
      <c r="N241" s="17">
        <f t="shared" si="11"/>
        <v>1</v>
      </c>
    </row>
    <row r="242" spans="1:14" s="16" customFormat="1" ht="15.75">
      <c r="A242" s="14"/>
      <c r="B242" s="125" t="s">
        <v>30</v>
      </c>
      <c r="C242" s="109" t="s">
        <v>64</v>
      </c>
      <c r="D242" s="108" t="s">
        <v>73</v>
      </c>
      <c r="E242" s="108" t="s">
        <v>57</v>
      </c>
      <c r="F242" s="108" t="s">
        <v>217</v>
      </c>
      <c r="G242" s="108" t="s">
        <v>31</v>
      </c>
      <c r="H242" s="126">
        <v>0</v>
      </c>
      <c r="I242" s="126">
        <v>0</v>
      </c>
      <c r="J242" s="108">
        <v>1210320480</v>
      </c>
      <c r="K242" s="108" t="str">
        <f t="shared" si="9"/>
        <v>1210320480</v>
      </c>
      <c r="L242" s="303" t="str">
        <f t="shared" si="10"/>
        <v>60104121210320480244</v>
      </c>
      <c r="M242" s="132"/>
      <c r="N242" s="17">
        <f t="shared" si="11"/>
        <v>0</v>
      </c>
    </row>
    <row r="243" spans="1:14" s="16" customFormat="1" ht="31.5">
      <c r="A243" s="14"/>
      <c r="B243" s="125" t="s">
        <v>96</v>
      </c>
      <c r="C243" s="109" t="s">
        <v>64</v>
      </c>
      <c r="D243" s="108" t="s">
        <v>73</v>
      </c>
      <c r="E243" s="108" t="s">
        <v>57</v>
      </c>
      <c r="F243" s="108" t="s">
        <v>97</v>
      </c>
      <c r="G243" s="108" t="s">
        <v>9</v>
      </c>
      <c r="H243" s="126">
        <v>0</v>
      </c>
      <c r="I243" s="126">
        <v>0</v>
      </c>
      <c r="J243" s="108">
        <v>1220000000</v>
      </c>
      <c r="K243" s="108" t="str">
        <f t="shared" si="9"/>
        <v>1220000000</v>
      </c>
      <c r="L243" s="303" t="str">
        <f t="shared" si="10"/>
        <v>60104121220000000000</v>
      </c>
      <c r="M243" s="132" t="str">
        <f>INDEX('реш СГД № 265'!$A:$N,MATCH('БА расх 2019-2020'!$L243,'реш СГД № 265'!$N:$N,0),3)</f>
        <v>Подпрограмма «Создание благоприятных условий для экономического развития города Ставрополя»</v>
      </c>
      <c r="N243" s="17">
        <f t="shared" si="11"/>
        <v>1</v>
      </c>
    </row>
    <row r="244" spans="1:14" s="16" customFormat="1" ht="31.5">
      <c r="A244" s="14"/>
      <c r="B244" s="129" t="s">
        <v>218</v>
      </c>
      <c r="C244" s="109" t="s">
        <v>64</v>
      </c>
      <c r="D244" s="108" t="s">
        <v>73</v>
      </c>
      <c r="E244" s="108" t="s">
        <v>57</v>
      </c>
      <c r="F244" s="108" t="s">
        <v>219</v>
      </c>
      <c r="G244" s="108" t="s">
        <v>9</v>
      </c>
      <c r="H244" s="126">
        <v>0</v>
      </c>
      <c r="I244" s="126">
        <v>0</v>
      </c>
      <c r="J244" s="108">
        <v>1220100000</v>
      </c>
      <c r="K244" s="108" t="str">
        <f t="shared" si="9"/>
        <v>1220100000</v>
      </c>
      <c r="L244" s="303" t="str">
        <f t="shared" si="10"/>
        <v>60104121220100000000</v>
      </c>
      <c r="M244" s="132" t="str">
        <f>INDEX('реш СГД № 265'!$A:$N,MATCH('БА расх 2019-2020'!$L244,'реш СГД № 265'!$N:$N,0),3)</f>
        <v>Основное мероприятие «Создание благоприятных условий для развития инвестиционной деятельности»</v>
      </c>
      <c r="N244" s="17">
        <f t="shared" si="11"/>
        <v>1</v>
      </c>
    </row>
    <row r="245" spans="1:14" s="16" customFormat="1" ht="31.5">
      <c r="A245" s="14"/>
      <c r="B245" s="129" t="s">
        <v>220</v>
      </c>
      <c r="C245" s="109" t="s">
        <v>64</v>
      </c>
      <c r="D245" s="108" t="s">
        <v>73</v>
      </c>
      <c r="E245" s="108" t="s">
        <v>57</v>
      </c>
      <c r="F245" s="108" t="s">
        <v>221</v>
      </c>
      <c r="G245" s="108" t="s">
        <v>9</v>
      </c>
      <c r="H245" s="126">
        <v>0</v>
      </c>
      <c r="I245" s="126">
        <v>0</v>
      </c>
      <c r="J245" s="108">
        <v>1220120650</v>
      </c>
      <c r="K245" s="108" t="str">
        <f t="shared" si="9"/>
        <v>1220120650</v>
      </c>
      <c r="L245" s="303" t="str">
        <f t="shared" si="10"/>
        <v>60104121220120650000</v>
      </c>
      <c r="M245" s="132" t="str">
        <f>INDEX('реш СГД № 265'!$A:$N,MATCH('БА расх 2019-2020'!$L245,'реш СГД № 265'!$N:$N,0),3)</f>
        <v>Расходы на информирование об инвестиционных возможностях города Ставрополя</v>
      </c>
      <c r="N245" s="17">
        <f t="shared" si="11"/>
        <v>1</v>
      </c>
    </row>
    <row r="246" spans="1:14" s="16" customFormat="1" ht="31.5">
      <c r="A246" s="14"/>
      <c r="B246" s="125" t="s">
        <v>28</v>
      </c>
      <c r="C246" s="109" t="s">
        <v>64</v>
      </c>
      <c r="D246" s="108" t="s">
        <v>73</v>
      </c>
      <c r="E246" s="108" t="s">
        <v>57</v>
      </c>
      <c r="F246" s="108" t="s">
        <v>221</v>
      </c>
      <c r="G246" s="108" t="s">
        <v>29</v>
      </c>
      <c r="H246" s="126">
        <v>0</v>
      </c>
      <c r="I246" s="126">
        <v>0</v>
      </c>
      <c r="J246" s="108">
        <v>1220120650</v>
      </c>
      <c r="K246" s="108" t="str">
        <f t="shared" si="9"/>
        <v>1220120650</v>
      </c>
      <c r="L246" s="303" t="str">
        <f t="shared" si="10"/>
        <v>60104121220120650240</v>
      </c>
      <c r="M246" s="132" t="str">
        <f>INDEX('реш СГД № 265'!$A:$N,MATCH('БА расх 2019-2020'!$L246,'реш СГД № 265'!$N:$N,0),3)</f>
        <v>Иные закупки товаров, работ и услуг для обеспечения государственных (муниципальных) нужд</v>
      </c>
      <c r="N246" s="17">
        <f t="shared" si="11"/>
        <v>1</v>
      </c>
    </row>
    <row r="247" spans="1:14" s="16" customFormat="1" ht="15.75">
      <c r="A247" s="14"/>
      <c r="B247" s="125" t="s">
        <v>30</v>
      </c>
      <c r="C247" s="109" t="s">
        <v>64</v>
      </c>
      <c r="D247" s="108" t="s">
        <v>73</v>
      </c>
      <c r="E247" s="108" t="s">
        <v>57</v>
      </c>
      <c r="F247" s="108" t="s">
        <v>221</v>
      </c>
      <c r="G247" s="108" t="s">
        <v>31</v>
      </c>
      <c r="H247" s="126">
        <v>0</v>
      </c>
      <c r="I247" s="126">
        <v>0</v>
      </c>
      <c r="J247" s="108">
        <v>1220120650</v>
      </c>
      <c r="K247" s="108" t="str">
        <f t="shared" si="9"/>
        <v>1220120650</v>
      </c>
      <c r="L247" s="303" t="str">
        <f t="shared" si="10"/>
        <v>60104121220120650244</v>
      </c>
      <c r="M247" s="132"/>
      <c r="N247" s="17">
        <f t="shared" si="11"/>
        <v>0</v>
      </c>
    </row>
    <row r="248" spans="1:14" s="16" customFormat="1" ht="31.5">
      <c r="A248" s="14"/>
      <c r="B248" s="125" t="s">
        <v>222</v>
      </c>
      <c r="C248" s="109" t="s">
        <v>64</v>
      </c>
      <c r="D248" s="108" t="s">
        <v>73</v>
      </c>
      <c r="E248" s="108" t="s">
        <v>57</v>
      </c>
      <c r="F248" s="108" t="s">
        <v>223</v>
      </c>
      <c r="G248" s="108" t="s">
        <v>9</v>
      </c>
      <c r="H248" s="126">
        <v>0</v>
      </c>
      <c r="I248" s="126">
        <v>0</v>
      </c>
      <c r="J248" s="108">
        <v>1220200000</v>
      </c>
      <c r="K248" s="108" t="str">
        <f t="shared" si="9"/>
        <v>1220200000</v>
      </c>
      <c r="L248" s="303" t="str">
        <f t="shared" si="10"/>
        <v>60104121220200000000</v>
      </c>
      <c r="M248" s="132" t="str">
        <f>INDEX('реш СГД № 265'!$A:$N,MATCH('БА расх 2019-2020'!$L248,'реш СГД № 265'!$N:$N,0),3)</f>
        <v>Основное мероприятие «Создание условий для развития туризма на территории города Ставрополя»</v>
      </c>
      <c r="N248" s="17">
        <f t="shared" si="11"/>
        <v>1</v>
      </c>
    </row>
    <row r="249" spans="1:14" s="16" customFormat="1" ht="63">
      <c r="A249" s="14"/>
      <c r="B249" s="129" t="s">
        <v>224</v>
      </c>
      <c r="C249" s="109" t="s">
        <v>64</v>
      </c>
      <c r="D249" s="108" t="s">
        <v>73</v>
      </c>
      <c r="E249" s="108" t="s">
        <v>57</v>
      </c>
      <c r="F249" s="108" t="s">
        <v>225</v>
      </c>
      <c r="G249" s="108" t="s">
        <v>9</v>
      </c>
      <c r="H249" s="126">
        <v>0</v>
      </c>
      <c r="I249" s="126">
        <v>0</v>
      </c>
      <c r="J249" s="108">
        <v>1220220640</v>
      </c>
      <c r="K249" s="108" t="str">
        <f t="shared" si="9"/>
        <v>1220220640</v>
      </c>
      <c r="L249" s="303" t="str">
        <f t="shared" si="10"/>
        <v>60104121220220640000</v>
      </c>
      <c r="M249" s="132" t="str">
        <f>INDEX('реш СГД № 265'!$A:$N,MATCH('БА расх 2019-2020'!$L249,'реш СГД № 265'!$N:$N,0),3)</f>
        <v>Расходы на повышение туристической привлекательности города Ставрополя, развитие внутреннего и въездного туризма в городе Ставрополе</v>
      </c>
      <c r="N249" s="17">
        <f t="shared" si="11"/>
        <v>1</v>
      </c>
    </row>
    <row r="250" spans="1:14" s="16" customFormat="1" ht="31.5">
      <c r="A250" s="14"/>
      <c r="B250" s="125" t="s">
        <v>28</v>
      </c>
      <c r="C250" s="109" t="s">
        <v>64</v>
      </c>
      <c r="D250" s="108" t="s">
        <v>73</v>
      </c>
      <c r="E250" s="108" t="s">
        <v>57</v>
      </c>
      <c r="F250" s="108" t="s">
        <v>225</v>
      </c>
      <c r="G250" s="108" t="s">
        <v>29</v>
      </c>
      <c r="H250" s="126">
        <v>0</v>
      </c>
      <c r="I250" s="126">
        <v>0</v>
      </c>
      <c r="J250" s="108">
        <v>1220220640</v>
      </c>
      <c r="K250" s="108" t="str">
        <f t="shared" si="9"/>
        <v>1220220640</v>
      </c>
      <c r="L250" s="303" t="str">
        <f t="shared" si="10"/>
        <v>60104121220220640240</v>
      </c>
      <c r="M250" s="132" t="str">
        <f>INDEX('реш СГД № 265'!$A:$N,MATCH('БА расх 2019-2020'!$L250,'реш СГД № 265'!$N:$N,0),3)</f>
        <v>Иные закупки товаров, работ и услуг для обеспечения государственных (муниципальных) нужд</v>
      </c>
      <c r="N250" s="17">
        <f t="shared" si="11"/>
        <v>1</v>
      </c>
    </row>
    <row r="251" spans="1:14" s="16" customFormat="1" ht="15.75">
      <c r="A251" s="14"/>
      <c r="B251" s="125" t="s">
        <v>30</v>
      </c>
      <c r="C251" s="109" t="s">
        <v>64</v>
      </c>
      <c r="D251" s="108" t="s">
        <v>73</v>
      </c>
      <c r="E251" s="108" t="s">
        <v>57</v>
      </c>
      <c r="F251" s="108" t="s">
        <v>225</v>
      </c>
      <c r="G251" s="108" t="s">
        <v>31</v>
      </c>
      <c r="H251" s="126">
        <v>0</v>
      </c>
      <c r="I251" s="126">
        <v>0</v>
      </c>
      <c r="J251" s="108">
        <v>1220220640</v>
      </c>
      <c r="K251" s="108" t="str">
        <f t="shared" si="9"/>
        <v>1220220640</v>
      </c>
      <c r="L251" s="303" t="str">
        <f t="shared" si="10"/>
        <v>60104121220220640244</v>
      </c>
      <c r="M251" s="132"/>
      <c r="N251" s="17">
        <f t="shared" si="11"/>
        <v>0</v>
      </c>
    </row>
    <row r="252" spans="1:14" s="16" customFormat="1" ht="63">
      <c r="A252" s="14"/>
      <c r="B252" s="125" t="s">
        <v>203</v>
      </c>
      <c r="C252" s="109" t="s">
        <v>64</v>
      </c>
      <c r="D252" s="108" t="s">
        <v>73</v>
      </c>
      <c r="E252" s="108" t="s">
        <v>57</v>
      </c>
      <c r="F252" s="108" t="s">
        <v>225</v>
      </c>
      <c r="G252" s="108" t="s">
        <v>204</v>
      </c>
      <c r="H252" s="126">
        <v>0</v>
      </c>
      <c r="I252" s="126">
        <v>0</v>
      </c>
      <c r="J252" s="108">
        <v>1220220640</v>
      </c>
      <c r="K252" s="108" t="str">
        <f t="shared" si="9"/>
        <v>1220220640</v>
      </c>
      <c r="L252" s="303" t="str">
        <f t="shared" si="10"/>
        <v>60104121220220640810</v>
      </c>
      <c r="M252" s="132" t="str">
        <f>INDEX('реш СГД № 265'!$A:$N,MATCH('БА расх 2019-2020'!$L252,'реш СГД № 265'!$N:$N,0),3)</f>
        <v>Субсидии юридическим лицам (кроме некоммерческих организаций), индивидуальным предпринимателям, физическим лицам - производителям товаров, работ, услуг</v>
      </c>
      <c r="N252" s="17">
        <f t="shared" si="11"/>
        <v>1</v>
      </c>
    </row>
    <row r="253" spans="1:14" s="23" customFormat="1" ht="110.25">
      <c r="A253" s="21"/>
      <c r="B253" s="127" t="s">
        <v>226</v>
      </c>
      <c r="C253" s="109" t="s">
        <v>64</v>
      </c>
      <c r="D253" s="108" t="s">
        <v>73</v>
      </c>
      <c r="E253" s="108" t="s">
        <v>57</v>
      </c>
      <c r="F253" s="108" t="s">
        <v>225</v>
      </c>
      <c r="G253" s="108" t="s">
        <v>227</v>
      </c>
      <c r="H253" s="126">
        <v>0</v>
      </c>
      <c r="I253" s="126">
        <v>0</v>
      </c>
      <c r="J253" s="108">
        <v>1220220640</v>
      </c>
      <c r="K253" s="108" t="str">
        <f t="shared" si="9"/>
        <v>1220220640</v>
      </c>
      <c r="L253" s="303" t="str">
        <f t="shared" si="10"/>
        <v>60104121220220640813</v>
      </c>
      <c r="M253" s="132"/>
      <c r="N253" s="17">
        <f t="shared" si="11"/>
        <v>0</v>
      </c>
    </row>
    <row r="254" spans="1:14" s="16" customFormat="1" ht="15.75">
      <c r="A254" s="14"/>
      <c r="B254" s="117" t="s">
        <v>228</v>
      </c>
      <c r="C254" s="118" t="s">
        <v>64</v>
      </c>
      <c r="D254" s="119" t="s">
        <v>229</v>
      </c>
      <c r="E254" s="119" t="s">
        <v>7</v>
      </c>
      <c r="F254" s="119" t="s">
        <v>8</v>
      </c>
      <c r="G254" s="119" t="s">
        <v>9</v>
      </c>
      <c r="H254" s="120">
        <v>0</v>
      </c>
      <c r="I254" s="120">
        <v>0</v>
      </c>
      <c r="J254" s="119">
        <v>0</v>
      </c>
      <c r="K254" s="108" t="str">
        <f t="shared" si="9"/>
        <v>0000000000</v>
      </c>
      <c r="L254" s="303" t="str">
        <f t="shared" si="10"/>
        <v>60107000000000000000</v>
      </c>
      <c r="M254" s="132" t="str">
        <f>INDEX('реш СГД № 265'!$A:$N,MATCH('БА расх 2019-2020'!$L254,'реш СГД № 265'!$N:$N,0),3)</f>
        <v>Образование</v>
      </c>
      <c r="N254" s="17">
        <f t="shared" si="11"/>
        <v>1</v>
      </c>
    </row>
    <row r="255" spans="1:14" s="16" customFormat="1" ht="31.5">
      <c r="A255" s="14"/>
      <c r="B255" s="121" t="s">
        <v>230</v>
      </c>
      <c r="C255" s="122" t="s">
        <v>64</v>
      </c>
      <c r="D255" s="123" t="s">
        <v>229</v>
      </c>
      <c r="E255" s="123" t="s">
        <v>86</v>
      </c>
      <c r="F255" s="123" t="s">
        <v>8</v>
      </c>
      <c r="G255" s="123" t="s">
        <v>9</v>
      </c>
      <c r="H255" s="124">
        <v>0</v>
      </c>
      <c r="I255" s="124">
        <v>0</v>
      </c>
      <c r="J255" s="123">
        <v>0</v>
      </c>
      <c r="K255" s="108" t="str">
        <f t="shared" si="9"/>
        <v>0000000000</v>
      </c>
      <c r="L255" s="303" t="str">
        <f t="shared" si="10"/>
        <v>60107050000000000000</v>
      </c>
      <c r="M255" s="132" t="str">
        <f>INDEX('реш СГД № 265'!$A:$N,MATCH('БА расх 2019-2020'!$L255,'реш СГД № 265'!$N:$N,0),3)</f>
        <v>Профессиональная подготовка, переподготовка и повышение квалификации</v>
      </c>
      <c r="N255" s="17">
        <f t="shared" si="11"/>
        <v>1</v>
      </c>
    </row>
    <row r="256" spans="1:14" s="16" customFormat="1" ht="47.25">
      <c r="A256" s="14"/>
      <c r="B256" s="129" t="s">
        <v>103</v>
      </c>
      <c r="C256" s="109" t="s">
        <v>64</v>
      </c>
      <c r="D256" s="108" t="s">
        <v>229</v>
      </c>
      <c r="E256" s="108" t="s">
        <v>86</v>
      </c>
      <c r="F256" s="108" t="s">
        <v>104</v>
      </c>
      <c r="G256" s="108" t="s">
        <v>9</v>
      </c>
      <c r="H256" s="126">
        <v>0</v>
      </c>
      <c r="I256" s="126">
        <v>0</v>
      </c>
      <c r="J256" s="108">
        <v>1300000000</v>
      </c>
      <c r="K256" s="108" t="str">
        <f t="shared" si="9"/>
        <v>1300000000</v>
      </c>
      <c r="L256" s="303" t="str">
        <f t="shared" si="10"/>
        <v>60107051300000000000</v>
      </c>
      <c r="M256" s="132" t="str">
        <f>INDEX('реш СГД № 265'!$A:$N,MATCH('БА расх 2019-2020'!$L256,'реш СГД № 265'!$N:$N,0),3)</f>
        <v>Муниципальная программа «Развитие муниципальной службы и противодействие коррупции в городе Ставрополе»</v>
      </c>
      <c r="N256" s="17">
        <f t="shared" si="11"/>
        <v>1</v>
      </c>
    </row>
    <row r="257" spans="1:14" s="16" customFormat="1" ht="31.5">
      <c r="A257" s="14"/>
      <c r="B257" s="129" t="s">
        <v>231</v>
      </c>
      <c r="C257" s="109" t="s">
        <v>64</v>
      </c>
      <c r="D257" s="108" t="s">
        <v>229</v>
      </c>
      <c r="E257" s="108" t="s">
        <v>86</v>
      </c>
      <c r="F257" s="108" t="s">
        <v>232</v>
      </c>
      <c r="G257" s="108" t="s">
        <v>9</v>
      </c>
      <c r="H257" s="126">
        <v>0</v>
      </c>
      <c r="I257" s="126">
        <v>0</v>
      </c>
      <c r="J257" s="108">
        <v>1310000000</v>
      </c>
      <c r="K257" s="108" t="str">
        <f t="shared" si="9"/>
        <v>1310000000</v>
      </c>
      <c r="L257" s="303" t="str">
        <f t="shared" si="10"/>
        <v>60107051310000000000</v>
      </c>
      <c r="M257" s="132" t="str">
        <f>INDEX('реш СГД № 265'!$A:$N,MATCH('БА расх 2019-2020'!$L257,'реш СГД № 265'!$N:$N,0),3)</f>
        <v xml:space="preserve">Подпрограмма «Развитие муниципальной службы в городе Ставрополе» </v>
      </c>
      <c r="N257" s="17">
        <f t="shared" si="11"/>
        <v>1</v>
      </c>
    </row>
    <row r="258" spans="1:14" s="16" customFormat="1" ht="63">
      <c r="A258" s="14"/>
      <c r="B258" s="129" t="s">
        <v>233</v>
      </c>
      <c r="C258" s="109" t="s">
        <v>64</v>
      </c>
      <c r="D258" s="108" t="s">
        <v>229</v>
      </c>
      <c r="E258" s="108" t="s">
        <v>86</v>
      </c>
      <c r="F258" s="108" t="s">
        <v>234</v>
      </c>
      <c r="G258" s="108" t="s">
        <v>9</v>
      </c>
      <c r="H258" s="126">
        <v>0</v>
      </c>
      <c r="I258" s="126">
        <v>0</v>
      </c>
      <c r="J258" s="108">
        <v>1310100000</v>
      </c>
      <c r="K258" s="108" t="str">
        <f t="shared" si="9"/>
        <v>1310100000</v>
      </c>
      <c r="L258" s="303" t="str">
        <f t="shared" si="10"/>
        <v>60107051310100000000</v>
      </c>
      <c r="M258" s="132" t="str">
        <f>INDEX('реш СГД № 265'!$A:$N,MATCH('БА расх 2019-2020'!$L258,'реш СГД № 265'!$N:$N,0),3)</f>
        <v>Основное мероприятие «Создание условий для профессионального развития и подготовки кадров в органах местного самоуправления города Ставрополя»</v>
      </c>
      <c r="N258" s="17">
        <f t="shared" si="11"/>
        <v>1</v>
      </c>
    </row>
    <row r="259" spans="1:14" s="16" customFormat="1" ht="47.25">
      <c r="A259" s="14"/>
      <c r="B259" s="129" t="s">
        <v>235</v>
      </c>
      <c r="C259" s="109" t="s">
        <v>64</v>
      </c>
      <c r="D259" s="108" t="s">
        <v>229</v>
      </c>
      <c r="E259" s="108" t="s">
        <v>86</v>
      </c>
      <c r="F259" s="108" t="s">
        <v>236</v>
      </c>
      <c r="G259" s="108" t="s">
        <v>9</v>
      </c>
      <c r="H259" s="126">
        <v>0</v>
      </c>
      <c r="I259" s="126">
        <v>0</v>
      </c>
      <c r="J259" s="108">
        <v>1310120450</v>
      </c>
      <c r="K259" s="108" t="str">
        <f t="shared" si="9"/>
        <v>1310120450</v>
      </c>
      <c r="L259" s="303" t="str">
        <f t="shared" si="10"/>
        <v>60107051310120450000</v>
      </c>
      <c r="M259" s="132" t="str">
        <f>INDEX('реш СГД № 265'!$A:$N,MATCH('БА расх 2019-2020'!$L259,'реш СГД № 265'!$N:$N,0),3)</f>
        <v>Расходы на реализацию мероприятий, направленных на повышение профессионального уровня муниципальных служащих</v>
      </c>
      <c r="N259" s="17">
        <f t="shared" si="11"/>
        <v>1</v>
      </c>
    </row>
    <row r="260" spans="1:14" s="16" customFormat="1" ht="31.5">
      <c r="A260" s="14"/>
      <c r="B260" s="125" t="s">
        <v>28</v>
      </c>
      <c r="C260" s="109" t="s">
        <v>64</v>
      </c>
      <c r="D260" s="108" t="s">
        <v>229</v>
      </c>
      <c r="E260" s="108" t="s">
        <v>86</v>
      </c>
      <c r="F260" s="108" t="s">
        <v>236</v>
      </c>
      <c r="G260" s="108" t="s">
        <v>29</v>
      </c>
      <c r="H260" s="126">
        <v>0</v>
      </c>
      <c r="I260" s="126">
        <v>0</v>
      </c>
      <c r="J260" s="108">
        <v>1310120450</v>
      </c>
      <c r="K260" s="108" t="str">
        <f t="shared" si="9"/>
        <v>1310120450</v>
      </c>
      <c r="L260" s="303" t="str">
        <f t="shared" si="10"/>
        <v>60107051310120450240</v>
      </c>
      <c r="M260" s="132" t="str">
        <f>INDEX('реш СГД № 265'!$A:$N,MATCH('БА расх 2019-2020'!$L260,'реш СГД № 265'!$N:$N,0),3)</f>
        <v>Иные закупки товаров, работ и услуг для обеспечения государственных (муниципальных) нужд</v>
      </c>
      <c r="N260" s="17">
        <f t="shared" si="11"/>
        <v>1</v>
      </c>
    </row>
    <row r="261" spans="1:14" s="16" customFormat="1" ht="15.75">
      <c r="A261" s="14"/>
      <c r="B261" s="125" t="s">
        <v>30</v>
      </c>
      <c r="C261" s="109" t="s">
        <v>64</v>
      </c>
      <c r="D261" s="108" t="s">
        <v>229</v>
      </c>
      <c r="E261" s="108" t="s">
        <v>86</v>
      </c>
      <c r="F261" s="108" t="s">
        <v>236</v>
      </c>
      <c r="G261" s="108" t="s">
        <v>31</v>
      </c>
      <c r="H261" s="126">
        <v>0</v>
      </c>
      <c r="I261" s="126">
        <v>0</v>
      </c>
      <c r="J261" s="108">
        <v>1310120450</v>
      </c>
      <c r="K261" s="108" t="str">
        <f t="shared" si="9"/>
        <v>1310120450</v>
      </c>
      <c r="L261" s="303" t="str">
        <f t="shared" si="10"/>
        <v>60107051310120450244</v>
      </c>
      <c r="M261" s="132"/>
      <c r="N261" s="17">
        <f t="shared" si="11"/>
        <v>0</v>
      </c>
    </row>
    <row r="262" spans="1:14" s="16" customFormat="1" ht="15.75">
      <c r="A262" s="14"/>
      <c r="B262" s="117" t="s">
        <v>237</v>
      </c>
      <c r="C262" s="118" t="s">
        <v>64</v>
      </c>
      <c r="D262" s="119" t="s">
        <v>238</v>
      </c>
      <c r="E262" s="119" t="s">
        <v>7</v>
      </c>
      <c r="F262" s="119" t="s">
        <v>8</v>
      </c>
      <c r="G262" s="119" t="s">
        <v>9</v>
      </c>
      <c r="H262" s="120">
        <v>0</v>
      </c>
      <c r="I262" s="120">
        <v>0</v>
      </c>
      <c r="J262" s="119">
        <v>0</v>
      </c>
      <c r="K262" s="108" t="str">
        <f t="shared" si="9"/>
        <v>0000000000</v>
      </c>
      <c r="L262" s="303" t="str">
        <f t="shared" si="10"/>
        <v>60108000000000000000</v>
      </c>
      <c r="M262" s="132" t="str">
        <f>INDEX('реш СГД № 265'!$A:$N,MATCH('БА расх 2019-2020'!$L262,'реш СГД № 265'!$N:$N,0),3)</f>
        <v xml:space="preserve">Культура, кинематография </v>
      </c>
      <c r="N262" s="17">
        <f t="shared" si="11"/>
        <v>1</v>
      </c>
    </row>
    <row r="263" spans="1:14" s="16" customFormat="1" ht="15.75">
      <c r="A263" s="14"/>
      <c r="B263" s="121" t="s">
        <v>239</v>
      </c>
      <c r="C263" s="122" t="s">
        <v>64</v>
      </c>
      <c r="D263" s="123" t="s">
        <v>238</v>
      </c>
      <c r="E263" s="123" t="s">
        <v>11</v>
      </c>
      <c r="F263" s="123" t="s">
        <v>8</v>
      </c>
      <c r="G263" s="123" t="s">
        <v>9</v>
      </c>
      <c r="H263" s="124">
        <v>0</v>
      </c>
      <c r="I263" s="124">
        <v>0</v>
      </c>
      <c r="J263" s="123">
        <v>0</v>
      </c>
      <c r="K263" s="108" t="str">
        <f t="shared" si="9"/>
        <v>0000000000</v>
      </c>
      <c r="L263" s="303" t="str">
        <f t="shared" si="10"/>
        <v>60108010000000000000</v>
      </c>
      <c r="M263" s="132" t="str">
        <f>INDEX('реш СГД № 265'!$A:$N,MATCH('БА расх 2019-2020'!$L263,'реш СГД № 265'!$N:$N,0),3)</f>
        <v>Культура</v>
      </c>
      <c r="N263" s="17">
        <f t="shared" si="11"/>
        <v>1</v>
      </c>
    </row>
    <row r="264" spans="1:14" s="16" customFormat="1" ht="31.5">
      <c r="A264" s="14"/>
      <c r="B264" s="125" t="s">
        <v>240</v>
      </c>
      <c r="C264" s="109" t="s">
        <v>64</v>
      </c>
      <c r="D264" s="108" t="s">
        <v>238</v>
      </c>
      <c r="E264" s="108" t="s">
        <v>11</v>
      </c>
      <c r="F264" s="108" t="s">
        <v>241</v>
      </c>
      <c r="G264" s="108" t="s">
        <v>9</v>
      </c>
      <c r="H264" s="126">
        <v>0</v>
      </c>
      <c r="I264" s="126">
        <v>0</v>
      </c>
      <c r="J264" s="108">
        <v>700000000</v>
      </c>
      <c r="K264" s="108" t="str">
        <f t="shared" si="9"/>
        <v>0700000000</v>
      </c>
      <c r="L264" s="303" t="str">
        <f t="shared" si="10"/>
        <v>60108010700000000000</v>
      </c>
      <c r="M264" s="132" t="str">
        <f>INDEX('реш СГД № 265'!$A:$N,MATCH('БА расх 2019-2020'!$L264,'реш СГД № 265'!$N:$N,0),3)</f>
        <v>Муниципальная программа «Культура города Ставрополя»</v>
      </c>
      <c r="N264" s="17">
        <f t="shared" si="11"/>
        <v>1</v>
      </c>
    </row>
    <row r="265" spans="1:14" s="16" customFormat="1" ht="78.75">
      <c r="A265" s="14"/>
      <c r="B265" s="129" t="s">
        <v>242</v>
      </c>
      <c r="C265" s="109" t="s">
        <v>64</v>
      </c>
      <c r="D265" s="108" t="s">
        <v>238</v>
      </c>
      <c r="E265" s="108" t="s">
        <v>11</v>
      </c>
      <c r="F265" s="108" t="s">
        <v>243</v>
      </c>
      <c r="G265" s="108" t="s">
        <v>9</v>
      </c>
      <c r="H265" s="126">
        <v>0</v>
      </c>
      <c r="I265" s="126">
        <v>0</v>
      </c>
      <c r="J265" s="108">
        <v>710000000</v>
      </c>
      <c r="K265" s="108" t="str">
        <f t="shared" si="9"/>
        <v>0710000000</v>
      </c>
      <c r="L265" s="303" t="str">
        <f t="shared" si="10"/>
        <v>60108010710000000000</v>
      </c>
      <c r="M265" s="132" t="str">
        <f>INDEX('реш СГД № 265'!$A:$N,MATCH('БА расх 2019-2020'!$L265,'реш СГД № 265'!$N:$N,0),3)</f>
        <v xml:space="preserve">Подпрограмма «Проведение городских и краевых культурно-массовых мероприятий, посвященных памятным, знаменательным и юбилейным датам в истории России, Ставропольского края, города Ставрополя» </v>
      </c>
      <c r="N265" s="17">
        <f t="shared" si="11"/>
        <v>1</v>
      </c>
    </row>
    <row r="266" spans="1:14" s="16" customFormat="1" ht="110.25">
      <c r="A266" s="14"/>
      <c r="B266" s="129" t="s">
        <v>244</v>
      </c>
      <c r="C266" s="109" t="s">
        <v>64</v>
      </c>
      <c r="D266" s="108" t="s">
        <v>238</v>
      </c>
      <c r="E266" s="108" t="s">
        <v>11</v>
      </c>
      <c r="F266" s="108" t="s">
        <v>245</v>
      </c>
      <c r="G266" s="108" t="s">
        <v>9</v>
      </c>
      <c r="H266" s="126">
        <v>0</v>
      </c>
      <c r="I266" s="126">
        <v>0</v>
      </c>
      <c r="J266" s="108">
        <v>710100000</v>
      </c>
      <c r="K266" s="108" t="str">
        <f t="shared" si="9"/>
        <v>0710100000</v>
      </c>
      <c r="L266" s="303" t="str">
        <f t="shared" si="10"/>
        <v>60108010710100000000</v>
      </c>
      <c r="M266" s="132" t="str">
        <f>INDEX('реш СГД № 265'!$A:$N,MATCH('БА расх 2019-2020'!$L266,'реш СГД № 265'!$N:$N,0),3)</f>
        <v>Основное мероприятие «Обеспечение доступности к культурным ценностям и права на участие в культурной жизни для всех групп населения города Ставрополя, популяризация объектов культурного наследия города Ставрополя, формирование имиджа города Ставрополя как культурного центра Ставропольского края»</v>
      </c>
      <c r="N266" s="17">
        <f t="shared" si="11"/>
        <v>1</v>
      </c>
    </row>
    <row r="267" spans="1:14" s="16" customFormat="1" ht="31.5">
      <c r="A267" s="14"/>
      <c r="B267" s="129" t="s">
        <v>246</v>
      </c>
      <c r="C267" s="109" t="s">
        <v>64</v>
      </c>
      <c r="D267" s="108" t="s">
        <v>238</v>
      </c>
      <c r="E267" s="108" t="s">
        <v>11</v>
      </c>
      <c r="F267" s="108" t="s">
        <v>247</v>
      </c>
      <c r="G267" s="108" t="s">
        <v>9</v>
      </c>
      <c r="H267" s="126">
        <v>0</v>
      </c>
      <c r="I267" s="126">
        <v>0</v>
      </c>
      <c r="J267" s="108">
        <v>710120060</v>
      </c>
      <c r="K267" s="108" t="str">
        <f t="shared" ref="K267:K330" si="12">TEXT(J267,"0000000000")</f>
        <v>0710120060</v>
      </c>
      <c r="L267" s="303" t="str">
        <f t="shared" si="10"/>
        <v>60108010710120060000</v>
      </c>
      <c r="M267" s="132" t="str">
        <f>INDEX('реш СГД № 265'!$A:$N,MATCH('БА расх 2019-2020'!$L267,'реш СГД № 265'!$N:$N,0),3)</f>
        <v>Расходы на проведение культурно-массовых мероприятий в городе Ставрополе</v>
      </c>
      <c r="N267" s="17">
        <f t="shared" si="11"/>
        <v>1</v>
      </c>
    </row>
    <row r="268" spans="1:14" s="16" customFormat="1" ht="31.5">
      <c r="A268" s="14"/>
      <c r="B268" s="125" t="s">
        <v>28</v>
      </c>
      <c r="C268" s="109" t="s">
        <v>64</v>
      </c>
      <c r="D268" s="108" t="s">
        <v>238</v>
      </c>
      <c r="E268" s="108" t="s">
        <v>11</v>
      </c>
      <c r="F268" s="108" t="s">
        <v>247</v>
      </c>
      <c r="G268" s="108" t="s">
        <v>29</v>
      </c>
      <c r="H268" s="126">
        <v>0</v>
      </c>
      <c r="I268" s="126">
        <v>0</v>
      </c>
      <c r="J268" s="108">
        <v>710120060</v>
      </c>
      <c r="K268" s="108" t="str">
        <f t="shared" si="12"/>
        <v>0710120060</v>
      </c>
      <c r="L268" s="303" t="str">
        <f t="shared" ref="L268:L331" si="13">C268&amp;D268&amp;E268&amp;K268&amp;G268</f>
        <v>60108010710120060240</v>
      </c>
      <c r="M268" s="132" t="str">
        <f>INDEX('реш СГД № 265'!$A:$N,MATCH('БА расх 2019-2020'!$L268,'реш СГД № 265'!$N:$N,0),3)</f>
        <v>Иные закупки товаров, работ и услуг для обеспечения государственных (муниципальных) нужд</v>
      </c>
      <c r="N268" s="17">
        <f t="shared" ref="N268:N331" si="14">IF(B268=M268,1,0)</f>
        <v>1</v>
      </c>
    </row>
    <row r="269" spans="1:14" s="16" customFormat="1" ht="15.75">
      <c r="A269" s="14"/>
      <c r="B269" s="125" t="s">
        <v>30</v>
      </c>
      <c r="C269" s="109" t="s">
        <v>64</v>
      </c>
      <c r="D269" s="108" t="s">
        <v>238</v>
      </c>
      <c r="E269" s="108" t="s">
        <v>11</v>
      </c>
      <c r="F269" s="108" t="s">
        <v>247</v>
      </c>
      <c r="G269" s="108" t="s">
        <v>31</v>
      </c>
      <c r="H269" s="126">
        <v>0</v>
      </c>
      <c r="I269" s="126">
        <v>0</v>
      </c>
      <c r="J269" s="108">
        <v>710120060</v>
      </c>
      <c r="K269" s="108" t="str">
        <f t="shared" si="12"/>
        <v>0710120060</v>
      </c>
      <c r="L269" s="303" t="str">
        <f t="shared" si="13"/>
        <v>60108010710120060244</v>
      </c>
      <c r="M269" s="132"/>
      <c r="N269" s="17">
        <f t="shared" si="14"/>
        <v>0</v>
      </c>
    </row>
    <row r="270" spans="1:14" s="6" customFormat="1" ht="15.75">
      <c r="A270" s="1"/>
      <c r="B270" s="117" t="s">
        <v>56</v>
      </c>
      <c r="C270" s="118" t="s">
        <v>64</v>
      </c>
      <c r="D270" s="119" t="s">
        <v>57</v>
      </c>
      <c r="E270" s="119" t="s">
        <v>7</v>
      </c>
      <c r="F270" s="119" t="s">
        <v>8</v>
      </c>
      <c r="G270" s="119" t="s">
        <v>9</v>
      </c>
      <c r="H270" s="120">
        <v>0</v>
      </c>
      <c r="I270" s="120">
        <v>0</v>
      </c>
      <c r="J270" s="119">
        <v>0</v>
      </c>
      <c r="K270" s="108" t="str">
        <f t="shared" si="12"/>
        <v>0000000000</v>
      </c>
      <c r="L270" s="303" t="str">
        <f t="shared" si="13"/>
        <v>60112000000000000000</v>
      </c>
      <c r="M270" s="132" t="str">
        <f>INDEX('реш СГД № 265'!$A:$N,MATCH('БА расх 2019-2020'!$L270,'реш СГД № 265'!$N:$N,0),3)</f>
        <v>Средства массовой информации</v>
      </c>
      <c r="N270" s="17">
        <f t="shared" si="14"/>
        <v>1</v>
      </c>
    </row>
    <row r="271" spans="1:14" s="6" customFormat="1" ht="15.75">
      <c r="A271" s="1"/>
      <c r="B271" s="121" t="s">
        <v>58</v>
      </c>
      <c r="C271" s="122" t="s">
        <v>64</v>
      </c>
      <c r="D271" s="123" t="s">
        <v>57</v>
      </c>
      <c r="E271" s="123" t="s">
        <v>11</v>
      </c>
      <c r="F271" s="123" t="s">
        <v>8</v>
      </c>
      <c r="G271" s="123" t="s">
        <v>9</v>
      </c>
      <c r="H271" s="124">
        <v>0</v>
      </c>
      <c r="I271" s="124">
        <v>0</v>
      </c>
      <c r="J271" s="123">
        <v>0</v>
      </c>
      <c r="K271" s="108" t="str">
        <f t="shared" si="12"/>
        <v>0000000000</v>
      </c>
      <c r="L271" s="303" t="str">
        <f t="shared" si="13"/>
        <v>60112010000000000000</v>
      </c>
      <c r="M271" s="132" t="str">
        <f>INDEX('реш СГД № 265'!$A:$N,MATCH('БА расх 2019-2020'!$L271,'реш СГД № 265'!$N:$N,0),3)</f>
        <v>Телевидение и радиовещание</v>
      </c>
      <c r="N271" s="17">
        <f t="shared" si="14"/>
        <v>1</v>
      </c>
    </row>
    <row r="272" spans="1:14" s="6" customFormat="1" ht="78.75">
      <c r="A272" s="1"/>
      <c r="B272" s="129" t="s">
        <v>111</v>
      </c>
      <c r="C272" s="109" t="s">
        <v>64</v>
      </c>
      <c r="D272" s="108" t="s">
        <v>57</v>
      </c>
      <c r="E272" s="108" t="s">
        <v>11</v>
      </c>
      <c r="F272" s="108" t="s">
        <v>112</v>
      </c>
      <c r="G272" s="108" t="s">
        <v>9</v>
      </c>
      <c r="H272" s="126">
        <v>0</v>
      </c>
      <c r="I272" s="126">
        <v>0</v>
      </c>
      <c r="J272" s="108">
        <v>1400000000</v>
      </c>
      <c r="K272" s="108" t="str">
        <f t="shared" si="12"/>
        <v>1400000000</v>
      </c>
      <c r="L272" s="303" t="str">
        <f t="shared" si="13"/>
        <v>60112011400000000000</v>
      </c>
      <c r="M272" s="132" t="str">
        <f>INDEX('реш СГД № 265'!$A:$N,MATCH('БА расх 2019-2020'!$L272,'реш СГД № 265'!$N:$N,0),3)</f>
        <v>Муниципальная программа «Развитие информационного общества, оптимизация и повышение качества предоставления государственных и муниципальных услуг в городе Ставрополе»</v>
      </c>
      <c r="N272" s="17">
        <f t="shared" si="14"/>
        <v>1</v>
      </c>
    </row>
    <row r="273" spans="1:14" s="6" customFormat="1" ht="31.5">
      <c r="A273" s="1"/>
      <c r="B273" s="129" t="s">
        <v>113</v>
      </c>
      <c r="C273" s="109" t="s">
        <v>64</v>
      </c>
      <c r="D273" s="108" t="s">
        <v>57</v>
      </c>
      <c r="E273" s="108" t="s">
        <v>11</v>
      </c>
      <c r="F273" s="108" t="s">
        <v>114</v>
      </c>
      <c r="G273" s="108" t="s">
        <v>9</v>
      </c>
      <c r="H273" s="126">
        <v>0</v>
      </c>
      <c r="I273" s="126">
        <v>0</v>
      </c>
      <c r="J273" s="108">
        <v>1410000000</v>
      </c>
      <c r="K273" s="108" t="str">
        <f t="shared" si="12"/>
        <v>1410000000</v>
      </c>
      <c r="L273" s="303" t="str">
        <f t="shared" si="13"/>
        <v>60112011410000000000</v>
      </c>
      <c r="M273" s="132" t="str">
        <f>INDEX('реш СГД № 265'!$A:$N,MATCH('БА расх 2019-2020'!$L273,'реш СГД № 265'!$N:$N,0),3)</f>
        <v>Подпрограмма «Развитие информационного общества в городе Ставрополе»</v>
      </c>
      <c r="N273" s="17">
        <f t="shared" si="14"/>
        <v>1</v>
      </c>
    </row>
    <row r="274" spans="1:14" s="6" customFormat="1" ht="63">
      <c r="A274" s="1"/>
      <c r="B274" s="129" t="s">
        <v>248</v>
      </c>
      <c r="C274" s="109" t="s">
        <v>64</v>
      </c>
      <c r="D274" s="108" t="s">
        <v>57</v>
      </c>
      <c r="E274" s="108" t="s">
        <v>11</v>
      </c>
      <c r="F274" s="108" t="s">
        <v>249</v>
      </c>
      <c r="G274" s="108" t="s">
        <v>9</v>
      </c>
      <c r="H274" s="126">
        <v>0</v>
      </c>
      <c r="I274" s="126">
        <v>0</v>
      </c>
      <c r="J274" s="108">
        <v>1410300000</v>
      </c>
      <c r="K274" s="108" t="str">
        <f t="shared" si="12"/>
        <v>1410300000</v>
      </c>
      <c r="L274" s="303" t="str">
        <f t="shared" si="13"/>
        <v>60112011410300000000</v>
      </c>
      <c r="M274" s="132" t="str">
        <f>INDEX('реш СГД № 265'!$A:$N,MATCH('БА расх 2019-2020'!$L274,'реш СГД № 265'!$N:$N,0),3)</f>
        <v>Основное мероприятие «Информирование населения города Ставрополя о деятельности администрации города Ставрополя через средства массовой информации»</v>
      </c>
      <c r="N274" s="17">
        <f t="shared" si="14"/>
        <v>1</v>
      </c>
    </row>
    <row r="275" spans="1:14" s="6" customFormat="1" ht="31.5">
      <c r="A275" s="1"/>
      <c r="B275" s="129" t="s">
        <v>59</v>
      </c>
      <c r="C275" s="109" t="s">
        <v>64</v>
      </c>
      <c r="D275" s="108" t="s">
        <v>57</v>
      </c>
      <c r="E275" s="108" t="s">
        <v>11</v>
      </c>
      <c r="F275" s="108" t="s">
        <v>250</v>
      </c>
      <c r="G275" s="108" t="s">
        <v>9</v>
      </c>
      <c r="H275" s="126">
        <v>0</v>
      </c>
      <c r="I275" s="126">
        <v>0</v>
      </c>
      <c r="J275" s="108">
        <v>1410398710</v>
      </c>
      <c r="K275" s="108" t="str">
        <f t="shared" si="12"/>
        <v>1410398710</v>
      </c>
      <c r="L275" s="303" t="str">
        <f t="shared" si="13"/>
        <v>60112011410398710000</v>
      </c>
      <c r="M275" s="132" t="str">
        <f>INDEX('реш СГД № 265'!$A:$N,MATCH('БА расх 2019-2020'!$L275,'реш СГД № 265'!$N:$N,0),3)</f>
        <v>Расходы на оказание информационных услуг средствами массовой информации</v>
      </c>
      <c r="N275" s="17">
        <f t="shared" si="14"/>
        <v>1</v>
      </c>
    </row>
    <row r="276" spans="1:14" s="6" customFormat="1" ht="31.5">
      <c r="A276" s="1"/>
      <c r="B276" s="125" t="s">
        <v>28</v>
      </c>
      <c r="C276" s="109" t="s">
        <v>64</v>
      </c>
      <c r="D276" s="108" t="s">
        <v>57</v>
      </c>
      <c r="E276" s="108" t="s">
        <v>11</v>
      </c>
      <c r="F276" s="108" t="s">
        <v>250</v>
      </c>
      <c r="G276" s="108" t="s">
        <v>29</v>
      </c>
      <c r="H276" s="126">
        <v>0</v>
      </c>
      <c r="I276" s="126">
        <v>0</v>
      </c>
      <c r="J276" s="108">
        <v>1410398710</v>
      </c>
      <c r="K276" s="108" t="str">
        <f t="shared" si="12"/>
        <v>1410398710</v>
      </c>
      <c r="L276" s="303" t="str">
        <f t="shared" si="13"/>
        <v>60112011410398710240</v>
      </c>
      <c r="M276" s="132" t="str">
        <f>INDEX('реш СГД № 265'!$A:$N,MATCH('БА расх 2019-2020'!$L276,'реш СГД № 265'!$N:$N,0),3)</f>
        <v>Иные закупки товаров, работ и услуг для обеспечения государственных (муниципальных) нужд</v>
      </c>
      <c r="N276" s="17">
        <f t="shared" si="14"/>
        <v>1</v>
      </c>
    </row>
    <row r="277" spans="1:14" s="6" customFormat="1" ht="15.75">
      <c r="A277" s="1"/>
      <c r="B277" s="125" t="s">
        <v>30</v>
      </c>
      <c r="C277" s="109" t="s">
        <v>64</v>
      </c>
      <c r="D277" s="108" t="s">
        <v>57</v>
      </c>
      <c r="E277" s="108" t="s">
        <v>11</v>
      </c>
      <c r="F277" s="108" t="s">
        <v>250</v>
      </c>
      <c r="G277" s="108" t="s">
        <v>31</v>
      </c>
      <c r="H277" s="126">
        <v>0</v>
      </c>
      <c r="I277" s="126">
        <v>0</v>
      </c>
      <c r="J277" s="108">
        <v>1410398710</v>
      </c>
      <c r="K277" s="108" t="str">
        <f t="shared" si="12"/>
        <v>1410398710</v>
      </c>
      <c r="L277" s="303" t="str">
        <f t="shared" si="13"/>
        <v>60112011410398710244</v>
      </c>
      <c r="M277" s="132"/>
      <c r="N277" s="17">
        <f t="shared" si="14"/>
        <v>0</v>
      </c>
    </row>
    <row r="278" spans="1:14" s="6" customFormat="1" ht="15.75">
      <c r="A278" s="1"/>
      <c r="B278" s="121" t="s">
        <v>61</v>
      </c>
      <c r="C278" s="122" t="s">
        <v>64</v>
      </c>
      <c r="D278" s="123" t="s">
        <v>57</v>
      </c>
      <c r="E278" s="123" t="s">
        <v>62</v>
      </c>
      <c r="F278" s="123" t="s">
        <v>8</v>
      </c>
      <c r="G278" s="123" t="s">
        <v>9</v>
      </c>
      <c r="H278" s="124">
        <v>0</v>
      </c>
      <c r="I278" s="124">
        <v>0</v>
      </c>
      <c r="J278" s="123">
        <v>0</v>
      </c>
      <c r="K278" s="108" t="str">
        <f t="shared" si="12"/>
        <v>0000000000</v>
      </c>
      <c r="L278" s="303" t="str">
        <f t="shared" si="13"/>
        <v>60112020000000000000</v>
      </c>
      <c r="M278" s="132" t="str">
        <f>INDEX('реш СГД № 265'!$A:$N,MATCH('БА расх 2019-2020'!$L278,'реш СГД № 265'!$N:$N,0),3)</f>
        <v>Периодическая печать и издательства</v>
      </c>
      <c r="N278" s="17">
        <f t="shared" si="14"/>
        <v>1</v>
      </c>
    </row>
    <row r="279" spans="1:14" s="16" customFormat="1" ht="78.75">
      <c r="A279" s="14"/>
      <c r="B279" s="129" t="s">
        <v>111</v>
      </c>
      <c r="C279" s="109" t="s">
        <v>64</v>
      </c>
      <c r="D279" s="108" t="s">
        <v>57</v>
      </c>
      <c r="E279" s="108" t="s">
        <v>62</v>
      </c>
      <c r="F279" s="108" t="s">
        <v>112</v>
      </c>
      <c r="G279" s="108" t="s">
        <v>9</v>
      </c>
      <c r="H279" s="126">
        <v>0</v>
      </c>
      <c r="I279" s="126">
        <v>0</v>
      </c>
      <c r="J279" s="108">
        <v>1400000000</v>
      </c>
      <c r="K279" s="108" t="str">
        <f t="shared" si="12"/>
        <v>1400000000</v>
      </c>
      <c r="L279" s="303" t="str">
        <f t="shared" si="13"/>
        <v>60112021400000000000</v>
      </c>
      <c r="M279" s="132" t="str">
        <f>INDEX('реш СГД № 265'!$A:$N,MATCH('БА расх 2019-2020'!$L279,'реш СГД № 265'!$N:$N,0),3)</f>
        <v>Муниципальная программа «Развитие информационного общества, оптимизация и повышение качества предоставления государственных и муниципальных услуг в городе Ставрополе»</v>
      </c>
      <c r="N279" s="17">
        <f t="shared" si="14"/>
        <v>1</v>
      </c>
    </row>
    <row r="280" spans="1:14" s="16" customFormat="1" ht="31.5">
      <c r="A280" s="14"/>
      <c r="B280" s="129" t="s">
        <v>113</v>
      </c>
      <c r="C280" s="109" t="s">
        <v>64</v>
      </c>
      <c r="D280" s="108" t="s">
        <v>57</v>
      </c>
      <c r="E280" s="108" t="s">
        <v>62</v>
      </c>
      <c r="F280" s="108" t="s">
        <v>114</v>
      </c>
      <c r="G280" s="108" t="s">
        <v>9</v>
      </c>
      <c r="H280" s="126">
        <v>0</v>
      </c>
      <c r="I280" s="126">
        <v>0</v>
      </c>
      <c r="J280" s="108">
        <v>1410000000</v>
      </c>
      <c r="K280" s="108" t="str">
        <f t="shared" si="12"/>
        <v>1410000000</v>
      </c>
      <c r="L280" s="303" t="str">
        <f t="shared" si="13"/>
        <v>60112021410000000000</v>
      </c>
      <c r="M280" s="132" t="str">
        <f>INDEX('реш СГД № 265'!$A:$N,MATCH('БА расх 2019-2020'!$L280,'реш СГД № 265'!$N:$N,0),3)</f>
        <v>Подпрограмма «Развитие информационного общества в городе Ставрополе»</v>
      </c>
      <c r="N280" s="17">
        <f t="shared" si="14"/>
        <v>1</v>
      </c>
    </row>
    <row r="281" spans="1:14" s="6" customFormat="1" ht="63">
      <c r="A281" s="1"/>
      <c r="B281" s="129" t="s">
        <v>248</v>
      </c>
      <c r="C281" s="109" t="s">
        <v>64</v>
      </c>
      <c r="D281" s="108" t="s">
        <v>57</v>
      </c>
      <c r="E281" s="108" t="s">
        <v>62</v>
      </c>
      <c r="F281" s="108" t="s">
        <v>249</v>
      </c>
      <c r="G281" s="108" t="s">
        <v>9</v>
      </c>
      <c r="H281" s="126">
        <v>0</v>
      </c>
      <c r="I281" s="126">
        <v>0</v>
      </c>
      <c r="J281" s="108">
        <v>1410300000</v>
      </c>
      <c r="K281" s="108" t="str">
        <f t="shared" si="12"/>
        <v>1410300000</v>
      </c>
      <c r="L281" s="303" t="str">
        <f t="shared" si="13"/>
        <v>60112021410300000000</v>
      </c>
      <c r="M281" s="132" t="str">
        <f>INDEX('реш СГД № 265'!$A:$N,MATCH('БА расх 2019-2020'!$L281,'реш СГД № 265'!$N:$N,0),3)</f>
        <v>Основное мероприятие «Информирование населения города Ставрополя о деятельности администрации города Ставрополя через средства массовой информации»</v>
      </c>
      <c r="N281" s="17">
        <f t="shared" si="14"/>
        <v>1</v>
      </c>
    </row>
    <row r="282" spans="1:14" s="6" customFormat="1" ht="31.5">
      <c r="A282" s="1"/>
      <c r="B282" s="129" t="s">
        <v>59</v>
      </c>
      <c r="C282" s="109" t="s">
        <v>64</v>
      </c>
      <c r="D282" s="108" t="s">
        <v>57</v>
      </c>
      <c r="E282" s="108" t="s">
        <v>62</v>
      </c>
      <c r="F282" s="108" t="s">
        <v>250</v>
      </c>
      <c r="G282" s="108" t="s">
        <v>9</v>
      </c>
      <c r="H282" s="126">
        <v>0</v>
      </c>
      <c r="I282" s="126">
        <v>0</v>
      </c>
      <c r="J282" s="108">
        <v>1410398710</v>
      </c>
      <c r="K282" s="108" t="str">
        <f t="shared" si="12"/>
        <v>1410398710</v>
      </c>
      <c r="L282" s="303" t="str">
        <f t="shared" si="13"/>
        <v>60112021410398710000</v>
      </c>
      <c r="M282" s="132" t="str">
        <f>INDEX('реш СГД № 265'!$A:$N,MATCH('БА расх 2019-2020'!$L282,'реш СГД № 265'!$N:$N,0),3)</f>
        <v>Расходы на оказание информационных услуг средствами массовой информации</v>
      </c>
      <c r="N282" s="17">
        <f t="shared" si="14"/>
        <v>1</v>
      </c>
    </row>
    <row r="283" spans="1:14" s="6" customFormat="1" ht="31.5">
      <c r="A283" s="1"/>
      <c r="B283" s="125" t="s">
        <v>28</v>
      </c>
      <c r="C283" s="109" t="s">
        <v>64</v>
      </c>
      <c r="D283" s="108" t="s">
        <v>57</v>
      </c>
      <c r="E283" s="108" t="s">
        <v>62</v>
      </c>
      <c r="F283" s="108" t="s">
        <v>250</v>
      </c>
      <c r="G283" s="108" t="s">
        <v>29</v>
      </c>
      <c r="H283" s="126">
        <v>0</v>
      </c>
      <c r="I283" s="126">
        <v>0</v>
      </c>
      <c r="J283" s="108">
        <v>1410398710</v>
      </c>
      <c r="K283" s="108" t="str">
        <f t="shared" si="12"/>
        <v>1410398710</v>
      </c>
      <c r="L283" s="303" t="str">
        <f t="shared" si="13"/>
        <v>60112021410398710240</v>
      </c>
      <c r="M283" s="132" t="str">
        <f>INDEX('реш СГД № 265'!$A:$N,MATCH('БА расх 2019-2020'!$L283,'реш СГД № 265'!$N:$N,0),3)</f>
        <v>Иные закупки товаров, работ и услуг для обеспечения государственных (муниципальных) нужд</v>
      </c>
      <c r="N283" s="17">
        <f t="shared" si="14"/>
        <v>1</v>
      </c>
    </row>
    <row r="284" spans="1:14" s="6" customFormat="1" ht="15.75">
      <c r="A284" s="1"/>
      <c r="B284" s="125" t="s">
        <v>30</v>
      </c>
      <c r="C284" s="109" t="s">
        <v>64</v>
      </c>
      <c r="D284" s="108" t="s">
        <v>57</v>
      </c>
      <c r="E284" s="108" t="s">
        <v>62</v>
      </c>
      <c r="F284" s="108" t="s">
        <v>250</v>
      </c>
      <c r="G284" s="108" t="s">
        <v>31</v>
      </c>
      <c r="H284" s="126">
        <v>0</v>
      </c>
      <c r="I284" s="126">
        <v>0</v>
      </c>
      <c r="J284" s="108">
        <v>1410398710</v>
      </c>
      <c r="K284" s="108" t="str">
        <f t="shared" si="12"/>
        <v>1410398710</v>
      </c>
      <c r="L284" s="303" t="str">
        <f t="shared" si="13"/>
        <v>60112021410398710244</v>
      </c>
      <c r="M284" s="132"/>
      <c r="N284" s="17">
        <f t="shared" si="14"/>
        <v>0</v>
      </c>
    </row>
    <row r="285" spans="1:14" s="16" customFormat="1" ht="47.25">
      <c r="A285" s="14"/>
      <c r="B285" s="129" t="s">
        <v>251</v>
      </c>
      <c r="C285" s="109" t="s">
        <v>64</v>
      </c>
      <c r="D285" s="108" t="s">
        <v>57</v>
      </c>
      <c r="E285" s="108" t="s">
        <v>62</v>
      </c>
      <c r="F285" s="108" t="s">
        <v>252</v>
      </c>
      <c r="G285" s="108" t="s">
        <v>9</v>
      </c>
      <c r="H285" s="126">
        <v>0</v>
      </c>
      <c r="I285" s="126">
        <v>0</v>
      </c>
      <c r="J285" s="108">
        <v>1410400000</v>
      </c>
      <c r="K285" s="108" t="str">
        <f t="shared" si="12"/>
        <v>1410400000</v>
      </c>
      <c r="L285" s="303" t="str">
        <f t="shared" si="13"/>
        <v>60112021410400000000</v>
      </c>
      <c r="M285" s="132" t="str">
        <f>INDEX('реш СГД № 265'!$A:$N,MATCH('БА расх 2019-2020'!$L285,'реш СГД № 265'!$N:$N,0),3)</f>
        <v>Основное мероприятие «Официальное опубликование муниципальных правовых актов города Ставрополя в газете «Вечерний Ставрополь»</v>
      </c>
      <c r="N285" s="17">
        <f t="shared" si="14"/>
        <v>1</v>
      </c>
    </row>
    <row r="286" spans="1:14" s="16" customFormat="1" ht="47.25">
      <c r="A286" s="14"/>
      <c r="B286" s="129" t="s">
        <v>253</v>
      </c>
      <c r="C286" s="109" t="s">
        <v>64</v>
      </c>
      <c r="D286" s="108" t="s">
        <v>57</v>
      </c>
      <c r="E286" s="108" t="s">
        <v>62</v>
      </c>
      <c r="F286" s="108" t="s">
        <v>254</v>
      </c>
      <c r="G286" s="108" t="s">
        <v>9</v>
      </c>
      <c r="H286" s="126">
        <v>0</v>
      </c>
      <c r="I286" s="126">
        <v>0</v>
      </c>
      <c r="J286" s="108">
        <v>1410498720</v>
      </c>
      <c r="K286" s="108" t="str">
        <f t="shared" si="12"/>
        <v>1410498720</v>
      </c>
      <c r="L286" s="303" t="str">
        <f t="shared" si="13"/>
        <v>60112021410498720000</v>
      </c>
      <c r="M286" s="132" t="str">
        <f>INDEX('реш СГД № 265'!$A:$N,MATCH('БА расх 2019-2020'!$L286,'реш СГД № 265'!$N:$N,0),3)</f>
        <v>Расходы на официальное опубликование муниципальных правовых актов города Ставрополя в газете «Вечерний Ставрополь»</v>
      </c>
      <c r="N286" s="17">
        <f t="shared" si="14"/>
        <v>1</v>
      </c>
    </row>
    <row r="287" spans="1:14" s="16" customFormat="1" ht="63">
      <c r="A287" s="14"/>
      <c r="B287" s="129" t="s">
        <v>203</v>
      </c>
      <c r="C287" s="109" t="s">
        <v>64</v>
      </c>
      <c r="D287" s="108" t="s">
        <v>57</v>
      </c>
      <c r="E287" s="108" t="s">
        <v>62</v>
      </c>
      <c r="F287" s="108" t="s">
        <v>254</v>
      </c>
      <c r="G287" s="108" t="s">
        <v>204</v>
      </c>
      <c r="H287" s="126">
        <v>0</v>
      </c>
      <c r="I287" s="126">
        <v>0</v>
      </c>
      <c r="J287" s="108">
        <v>1410498720</v>
      </c>
      <c r="K287" s="108" t="str">
        <f t="shared" si="12"/>
        <v>1410498720</v>
      </c>
      <c r="L287" s="303" t="str">
        <f t="shared" si="13"/>
        <v>60112021410498720810</v>
      </c>
      <c r="M287" s="132" t="str">
        <f>INDEX('реш СГД № 265'!$A:$N,MATCH('БА расх 2019-2020'!$L287,'реш СГД № 265'!$N:$N,0),3)</f>
        <v>Субсидии юридическим лицам (кроме некоммерческих организаций), индивидуальным предпринимателям, физическим лицам - производителям товаров, работ, услуг</v>
      </c>
      <c r="N287" s="17">
        <f t="shared" si="14"/>
        <v>1</v>
      </c>
    </row>
    <row r="288" spans="1:14" s="23" customFormat="1" ht="63">
      <c r="A288" s="21"/>
      <c r="B288" s="127" t="s">
        <v>205</v>
      </c>
      <c r="C288" s="109" t="s">
        <v>64</v>
      </c>
      <c r="D288" s="108" t="s">
        <v>57</v>
      </c>
      <c r="E288" s="108" t="s">
        <v>62</v>
      </c>
      <c r="F288" s="108" t="s">
        <v>254</v>
      </c>
      <c r="G288" s="108" t="s">
        <v>206</v>
      </c>
      <c r="H288" s="126">
        <v>0</v>
      </c>
      <c r="I288" s="126">
        <v>0</v>
      </c>
      <c r="J288" s="108">
        <v>1410498720</v>
      </c>
      <c r="K288" s="108" t="str">
        <f t="shared" si="12"/>
        <v>1410498720</v>
      </c>
      <c r="L288" s="303" t="str">
        <f t="shared" si="13"/>
        <v>60112021410498720811</v>
      </c>
      <c r="M288" s="132"/>
      <c r="N288" s="17">
        <f t="shared" si="14"/>
        <v>0</v>
      </c>
    </row>
    <row r="289" spans="1:14" s="16" customFormat="1" ht="15.75">
      <c r="A289" s="14"/>
      <c r="B289" s="129"/>
      <c r="C289" s="109"/>
      <c r="D289" s="108"/>
      <c r="E289" s="108"/>
      <c r="F289" s="108"/>
      <c r="G289" s="108"/>
      <c r="H289" s="126"/>
      <c r="I289" s="126"/>
      <c r="J289" s="108"/>
      <c r="K289" s="108" t="str">
        <f t="shared" si="12"/>
        <v>0000000000</v>
      </c>
      <c r="L289" s="303" t="str">
        <f t="shared" si="13"/>
        <v>0000000000</v>
      </c>
      <c r="M289" s="132">
        <f>INDEX('реш СГД № 265'!$A:$N,MATCH('БА расх 2019-2020'!$L289,'реш СГД № 265'!$N:$N,0),3)</f>
        <v>0</v>
      </c>
      <c r="N289" s="17">
        <f t="shared" si="14"/>
        <v>1</v>
      </c>
    </row>
    <row r="290" spans="1:14" s="29" customFormat="1" ht="31.5">
      <c r="A290" s="28"/>
      <c r="B290" s="67" t="s">
        <v>255</v>
      </c>
      <c r="C290" s="116" t="s">
        <v>256</v>
      </c>
      <c r="D290" s="69" t="s">
        <v>7</v>
      </c>
      <c r="E290" s="69" t="s">
        <v>7</v>
      </c>
      <c r="F290" s="69" t="s">
        <v>8</v>
      </c>
      <c r="G290" s="69" t="s">
        <v>9</v>
      </c>
      <c r="H290" s="70">
        <v>0</v>
      </c>
      <c r="I290" s="70">
        <v>0</v>
      </c>
      <c r="J290" s="69">
        <v>0</v>
      </c>
      <c r="K290" s="108" t="str">
        <f t="shared" si="12"/>
        <v>0000000000</v>
      </c>
      <c r="L290" s="303" t="str">
        <f t="shared" si="13"/>
        <v>60200000000000000000</v>
      </c>
      <c r="M290" s="132" t="str">
        <f>INDEX('реш СГД № 265'!$A:$N,MATCH('БА расх 2019-2020'!$L290,'реш СГД № 265'!$N:$N,0),3)</f>
        <v>Комитет по управлению муниципальным имуществом города Ставрополя</v>
      </c>
      <c r="N290" s="17">
        <f t="shared" si="14"/>
        <v>1</v>
      </c>
    </row>
    <row r="291" spans="1:14" s="29" customFormat="1" ht="15.75">
      <c r="A291" s="28"/>
      <c r="B291" s="117" t="s">
        <v>10</v>
      </c>
      <c r="C291" s="118" t="s">
        <v>256</v>
      </c>
      <c r="D291" s="119" t="s">
        <v>11</v>
      </c>
      <c r="E291" s="119" t="s">
        <v>7</v>
      </c>
      <c r="F291" s="119" t="s">
        <v>8</v>
      </c>
      <c r="G291" s="119" t="s">
        <v>9</v>
      </c>
      <c r="H291" s="120">
        <v>0</v>
      </c>
      <c r="I291" s="120">
        <v>0</v>
      </c>
      <c r="J291" s="119">
        <v>0</v>
      </c>
      <c r="K291" s="108" t="str">
        <f t="shared" si="12"/>
        <v>0000000000</v>
      </c>
      <c r="L291" s="303" t="str">
        <f t="shared" si="13"/>
        <v>60201000000000000000</v>
      </c>
      <c r="M291" s="132" t="str">
        <f>INDEX('реш СГД № 265'!$A:$N,MATCH('БА расх 2019-2020'!$L291,'реш СГД № 265'!$N:$N,0),3)</f>
        <v>Общегосударственные вопросы</v>
      </c>
      <c r="N291" s="17">
        <f t="shared" si="14"/>
        <v>1</v>
      </c>
    </row>
    <row r="292" spans="1:14" s="29" customFormat="1" ht="15.75">
      <c r="A292" s="28"/>
      <c r="B292" s="121" t="s">
        <v>50</v>
      </c>
      <c r="C292" s="122" t="s">
        <v>256</v>
      </c>
      <c r="D292" s="123" t="s">
        <v>11</v>
      </c>
      <c r="E292" s="123" t="s">
        <v>51</v>
      </c>
      <c r="F292" s="123" t="s">
        <v>8</v>
      </c>
      <c r="G292" s="123" t="s">
        <v>9</v>
      </c>
      <c r="H292" s="124">
        <v>0</v>
      </c>
      <c r="I292" s="124">
        <v>0</v>
      </c>
      <c r="J292" s="123">
        <v>0</v>
      </c>
      <c r="K292" s="108" t="str">
        <f t="shared" si="12"/>
        <v>0000000000</v>
      </c>
      <c r="L292" s="303" t="str">
        <f t="shared" si="13"/>
        <v>60201130000000000000</v>
      </c>
      <c r="M292" s="132" t="str">
        <f>INDEX('реш СГД № 265'!$A:$N,MATCH('БА расх 2019-2020'!$L292,'реш СГД № 265'!$N:$N,0),3)</f>
        <v>Другие общегосударственные вопросы</v>
      </c>
      <c r="N292" s="17">
        <f t="shared" si="14"/>
        <v>1</v>
      </c>
    </row>
    <row r="293" spans="1:14" s="29" customFormat="1" ht="63">
      <c r="A293" s="28"/>
      <c r="B293" s="132" t="s">
        <v>257</v>
      </c>
      <c r="C293" s="109" t="s">
        <v>256</v>
      </c>
      <c r="D293" s="108" t="s">
        <v>11</v>
      </c>
      <c r="E293" s="108" t="s">
        <v>51</v>
      </c>
      <c r="F293" s="108" t="s">
        <v>258</v>
      </c>
      <c r="G293" s="108" t="s">
        <v>9</v>
      </c>
      <c r="H293" s="126">
        <v>0</v>
      </c>
      <c r="I293" s="126">
        <v>0</v>
      </c>
      <c r="J293" s="108">
        <v>1100000000</v>
      </c>
      <c r="K293" s="108" t="str">
        <f t="shared" si="12"/>
        <v>1100000000</v>
      </c>
      <c r="L293" s="303" t="str">
        <f t="shared" si="13"/>
        <v>60201131100000000000</v>
      </c>
      <c r="M293" s="132" t="str">
        <f>INDEX('реш СГД № 265'!$A:$N,MATCH('БА расх 2019-2020'!$L293,'реш СГД № 265'!$N:$N,0),3)</f>
        <v>Муниципальная программа  «Управление и распоряжение имуществом, находящимся в муниципальной собственности города Ставрополя, в том числе земельными ресурсами»</v>
      </c>
      <c r="N293" s="17">
        <f t="shared" si="14"/>
        <v>1</v>
      </c>
    </row>
    <row r="294" spans="1:14" s="29" customFormat="1" ht="78.75">
      <c r="A294" s="28"/>
      <c r="B294" s="132" t="s">
        <v>259</v>
      </c>
      <c r="C294" s="109" t="s">
        <v>256</v>
      </c>
      <c r="D294" s="108" t="s">
        <v>11</v>
      </c>
      <c r="E294" s="108" t="s">
        <v>51</v>
      </c>
      <c r="F294" s="108" t="s">
        <v>260</v>
      </c>
      <c r="G294" s="108" t="s">
        <v>9</v>
      </c>
      <c r="H294" s="126">
        <v>0</v>
      </c>
      <c r="I294" s="126">
        <v>0</v>
      </c>
      <c r="J294" s="108" t="s">
        <v>1171</v>
      </c>
      <c r="K294" s="108" t="str">
        <f t="shared" si="12"/>
        <v>11Б0000000</v>
      </c>
      <c r="L294" s="303" t="str">
        <f t="shared" si="13"/>
        <v>602011311Б0000000000</v>
      </c>
      <c r="M294" s="132" t="str">
        <f>INDEX('реш СГД № 265'!$A:$N,MATCH('БА расх 2019-2020'!$L294,'реш СГД № 265'!$N:$N,0),3)</f>
        <v>Расходы в рамках реализации муниципальной программы «Управление и распоряжение  имуществом, находящимся в муниципальной собственности города Ставрополя, в том числе земельными ресурсами»</v>
      </c>
      <c r="N294" s="17">
        <f t="shared" si="14"/>
        <v>1</v>
      </c>
    </row>
    <row r="295" spans="1:14" s="29" customFormat="1" ht="47.25">
      <c r="A295" s="28"/>
      <c r="B295" s="125" t="s">
        <v>261</v>
      </c>
      <c r="C295" s="109" t="s">
        <v>256</v>
      </c>
      <c r="D295" s="108" t="s">
        <v>11</v>
      </c>
      <c r="E295" s="108" t="s">
        <v>51</v>
      </c>
      <c r="F295" s="108" t="s">
        <v>262</v>
      </c>
      <c r="G295" s="108" t="s">
        <v>9</v>
      </c>
      <c r="H295" s="126">
        <v>0</v>
      </c>
      <c r="I295" s="126">
        <v>0</v>
      </c>
      <c r="J295" s="108" t="s">
        <v>1172</v>
      </c>
      <c r="K295" s="108" t="str">
        <f t="shared" si="12"/>
        <v>11Б0100000</v>
      </c>
      <c r="L295" s="303" t="str">
        <f t="shared" si="13"/>
        <v>602011311Б0100000000</v>
      </c>
      <c r="M295" s="132" t="str">
        <f>INDEX('реш СГД № 265'!$A:$N,MATCH('БА расх 2019-2020'!$L295,'реш СГД № 265'!$N:$N,0),3)</f>
        <v>Основное мероприятие «Управление и распоряжение объектами недвижимого имущества, находящимися в муниципальной собственности города Ставрополя»</v>
      </c>
      <c r="N295" s="17">
        <f t="shared" si="14"/>
        <v>1</v>
      </c>
    </row>
    <row r="296" spans="1:14" s="29" customFormat="1" ht="78.75">
      <c r="A296" s="28"/>
      <c r="B296" s="125" t="s">
        <v>263</v>
      </c>
      <c r="C296" s="109" t="s">
        <v>256</v>
      </c>
      <c r="D296" s="108" t="s">
        <v>11</v>
      </c>
      <c r="E296" s="108" t="s">
        <v>51</v>
      </c>
      <c r="F296" s="108" t="s">
        <v>264</v>
      </c>
      <c r="G296" s="108" t="s">
        <v>9</v>
      </c>
      <c r="H296" s="126">
        <v>0</v>
      </c>
      <c r="I296" s="126">
        <v>0</v>
      </c>
      <c r="J296" s="108" t="s">
        <v>1173</v>
      </c>
      <c r="K296" s="108" t="str">
        <f t="shared" si="12"/>
        <v>11Б0120030</v>
      </c>
      <c r="L296" s="303" t="str">
        <f t="shared" si="13"/>
        <v>602011311Б0120030000</v>
      </c>
      <c r="M296" s="132" t="str">
        <f>INDEX('реш СГД № 265'!$A:$N,MATCH('БА расх 2019-2020'!$L296,'реш СГД № 265'!$N:$N,0),3)</f>
        <v>Расходы на получение рыночной оценки стоимости недвижимого имущества, находящегося в муниципальной собственности города Ставрополя, и подготовку технической документации на объекты недвижимого имущества</v>
      </c>
      <c r="N296" s="17">
        <f t="shared" si="14"/>
        <v>1</v>
      </c>
    </row>
    <row r="297" spans="1:14" s="29" customFormat="1" ht="31.5">
      <c r="A297" s="28"/>
      <c r="B297" s="125" t="s">
        <v>28</v>
      </c>
      <c r="C297" s="109" t="s">
        <v>256</v>
      </c>
      <c r="D297" s="108" t="s">
        <v>11</v>
      </c>
      <c r="E297" s="108" t="s">
        <v>51</v>
      </c>
      <c r="F297" s="108" t="s">
        <v>264</v>
      </c>
      <c r="G297" s="108" t="s">
        <v>29</v>
      </c>
      <c r="H297" s="126">
        <v>0</v>
      </c>
      <c r="I297" s="126">
        <v>0</v>
      </c>
      <c r="J297" s="108" t="s">
        <v>1173</v>
      </c>
      <c r="K297" s="108" t="str">
        <f t="shared" si="12"/>
        <v>11Б0120030</v>
      </c>
      <c r="L297" s="303" t="str">
        <f t="shared" si="13"/>
        <v>602011311Б0120030240</v>
      </c>
      <c r="M297" s="132" t="str">
        <f>INDEX('реш СГД № 265'!$A:$N,MATCH('БА расх 2019-2020'!$L297,'реш СГД № 265'!$N:$N,0),3)</f>
        <v>Иные закупки товаров, работ и услуг для обеспечения государственных (муниципальных) нужд</v>
      </c>
      <c r="N297" s="17">
        <f t="shared" si="14"/>
        <v>1</v>
      </c>
    </row>
    <row r="298" spans="1:14" s="29" customFormat="1" ht="15.75">
      <c r="A298" s="28"/>
      <c r="B298" s="125" t="s">
        <v>30</v>
      </c>
      <c r="C298" s="109" t="s">
        <v>256</v>
      </c>
      <c r="D298" s="108" t="s">
        <v>11</v>
      </c>
      <c r="E298" s="108" t="s">
        <v>51</v>
      </c>
      <c r="F298" s="108" t="s">
        <v>264</v>
      </c>
      <c r="G298" s="108" t="s">
        <v>31</v>
      </c>
      <c r="H298" s="126">
        <v>0</v>
      </c>
      <c r="I298" s="126">
        <v>0</v>
      </c>
      <c r="J298" s="108" t="s">
        <v>1173</v>
      </c>
      <c r="K298" s="108" t="str">
        <f t="shared" si="12"/>
        <v>11Б0120030</v>
      </c>
      <c r="L298" s="303" t="str">
        <f t="shared" si="13"/>
        <v>602011311Б0120030244</v>
      </c>
      <c r="M298" s="132"/>
      <c r="N298" s="17">
        <f t="shared" si="14"/>
        <v>0</v>
      </c>
    </row>
    <row r="299" spans="1:14" s="29" customFormat="1" ht="15.75">
      <c r="A299" s="28"/>
      <c r="B299" s="125" t="s">
        <v>32</v>
      </c>
      <c r="C299" s="109" t="s">
        <v>256</v>
      </c>
      <c r="D299" s="108" t="s">
        <v>11</v>
      </c>
      <c r="E299" s="108" t="s">
        <v>51</v>
      </c>
      <c r="F299" s="108" t="s">
        <v>264</v>
      </c>
      <c r="G299" s="108" t="s">
        <v>33</v>
      </c>
      <c r="H299" s="126">
        <v>0</v>
      </c>
      <c r="I299" s="126">
        <v>0</v>
      </c>
      <c r="J299" s="108" t="s">
        <v>1173</v>
      </c>
      <c r="K299" s="108" t="str">
        <f t="shared" si="12"/>
        <v>11Б0120030</v>
      </c>
      <c r="L299" s="303" t="str">
        <f t="shared" si="13"/>
        <v>602011311Б0120030850</v>
      </c>
      <c r="M299" s="132" t="str">
        <f>INDEX('реш СГД № 265'!$A:$N,MATCH('БА расх 2019-2020'!$L299,'реш СГД № 265'!$N:$N,0),3)</f>
        <v>Уплата налогов, сборов и иных платежей</v>
      </c>
      <c r="N299" s="17">
        <f t="shared" si="14"/>
        <v>1</v>
      </c>
    </row>
    <row r="300" spans="1:14" s="31" customFormat="1" ht="15.75">
      <c r="A300" s="30"/>
      <c r="B300" s="127" t="s">
        <v>36</v>
      </c>
      <c r="C300" s="109" t="s">
        <v>256</v>
      </c>
      <c r="D300" s="108" t="s">
        <v>11</v>
      </c>
      <c r="E300" s="108" t="s">
        <v>51</v>
      </c>
      <c r="F300" s="108" t="s">
        <v>264</v>
      </c>
      <c r="G300" s="108" t="s">
        <v>37</v>
      </c>
      <c r="H300" s="126">
        <v>0</v>
      </c>
      <c r="I300" s="126">
        <v>0</v>
      </c>
      <c r="J300" s="108" t="s">
        <v>1173</v>
      </c>
      <c r="K300" s="108" t="str">
        <f t="shared" si="12"/>
        <v>11Б0120030</v>
      </c>
      <c r="L300" s="303" t="str">
        <f t="shared" si="13"/>
        <v>602011311Б0120030852</v>
      </c>
      <c r="M300" s="132"/>
      <c r="N300" s="17">
        <f t="shared" si="14"/>
        <v>0</v>
      </c>
    </row>
    <row r="301" spans="1:14" s="29" customFormat="1" ht="47.25">
      <c r="A301" s="28"/>
      <c r="B301" s="125" t="s">
        <v>265</v>
      </c>
      <c r="C301" s="109" t="s">
        <v>256</v>
      </c>
      <c r="D301" s="108" t="s">
        <v>11</v>
      </c>
      <c r="E301" s="108" t="s">
        <v>51</v>
      </c>
      <c r="F301" s="108" t="s">
        <v>266</v>
      </c>
      <c r="G301" s="108" t="s">
        <v>9</v>
      </c>
      <c r="H301" s="126">
        <v>0</v>
      </c>
      <c r="I301" s="126">
        <v>0</v>
      </c>
      <c r="J301" s="108" t="s">
        <v>1174</v>
      </c>
      <c r="K301" s="108" t="str">
        <f t="shared" si="12"/>
        <v>11Б0120070</v>
      </c>
      <c r="L301" s="303" t="str">
        <f t="shared" si="13"/>
        <v>602011311Б0120070000</v>
      </c>
      <c r="M301" s="132" t="str">
        <f>INDEX('реш СГД № 265'!$A:$N,MATCH('БА расх 2019-2020'!$L301,'реш СГД № 265'!$N:$N,0),3)</f>
        <v xml:space="preserve">Расходы на содержание объектов муниципальной казны города Ставрополя в части нежилых помещений </v>
      </c>
      <c r="N301" s="17">
        <f t="shared" si="14"/>
        <v>1</v>
      </c>
    </row>
    <row r="302" spans="1:14" s="29" customFormat="1" ht="31.5">
      <c r="A302" s="28"/>
      <c r="B302" s="125" t="s">
        <v>28</v>
      </c>
      <c r="C302" s="109" t="s">
        <v>256</v>
      </c>
      <c r="D302" s="108" t="s">
        <v>11</v>
      </c>
      <c r="E302" s="108" t="s">
        <v>51</v>
      </c>
      <c r="F302" s="108" t="s">
        <v>266</v>
      </c>
      <c r="G302" s="108" t="s">
        <v>29</v>
      </c>
      <c r="H302" s="126">
        <v>0</v>
      </c>
      <c r="I302" s="126">
        <v>0</v>
      </c>
      <c r="J302" s="108" t="s">
        <v>1174</v>
      </c>
      <c r="K302" s="108" t="str">
        <f t="shared" si="12"/>
        <v>11Б0120070</v>
      </c>
      <c r="L302" s="303" t="str">
        <f t="shared" si="13"/>
        <v>602011311Б0120070240</v>
      </c>
      <c r="M302" s="132" t="str">
        <f>INDEX('реш СГД № 265'!$A:$N,MATCH('БА расх 2019-2020'!$L302,'реш СГД № 265'!$N:$N,0),3)</f>
        <v>Иные закупки товаров, работ и услуг для обеспечения государственных (муниципальных) нужд</v>
      </c>
      <c r="N302" s="17">
        <f t="shared" si="14"/>
        <v>1</v>
      </c>
    </row>
    <row r="303" spans="1:14" s="29" customFormat="1" ht="15.75">
      <c r="A303" s="28"/>
      <c r="B303" s="125" t="s">
        <v>30</v>
      </c>
      <c r="C303" s="109" t="s">
        <v>256</v>
      </c>
      <c r="D303" s="108" t="s">
        <v>11</v>
      </c>
      <c r="E303" s="108" t="s">
        <v>51</v>
      </c>
      <c r="F303" s="108" t="s">
        <v>266</v>
      </c>
      <c r="G303" s="108" t="s">
        <v>31</v>
      </c>
      <c r="H303" s="126">
        <v>0</v>
      </c>
      <c r="I303" s="126">
        <v>0</v>
      </c>
      <c r="J303" s="108" t="s">
        <v>1174</v>
      </c>
      <c r="K303" s="108" t="str">
        <f t="shared" si="12"/>
        <v>11Б0120070</v>
      </c>
      <c r="L303" s="303" t="str">
        <f t="shared" si="13"/>
        <v>602011311Б0120070244</v>
      </c>
      <c r="M303" s="132"/>
      <c r="N303" s="17">
        <f t="shared" si="14"/>
        <v>0</v>
      </c>
    </row>
    <row r="304" spans="1:14" s="29" customFormat="1" ht="31.5">
      <c r="A304" s="28"/>
      <c r="B304" s="125" t="s">
        <v>267</v>
      </c>
      <c r="C304" s="109" t="s">
        <v>256</v>
      </c>
      <c r="D304" s="108" t="s">
        <v>11</v>
      </c>
      <c r="E304" s="108" t="s">
        <v>51</v>
      </c>
      <c r="F304" s="108" t="s">
        <v>268</v>
      </c>
      <c r="G304" s="108" t="s">
        <v>9</v>
      </c>
      <c r="H304" s="126">
        <v>0</v>
      </c>
      <c r="I304" s="126">
        <v>0</v>
      </c>
      <c r="J304" s="108" t="s">
        <v>1175</v>
      </c>
      <c r="K304" s="108" t="str">
        <f t="shared" si="12"/>
        <v>11Б0121120</v>
      </c>
      <c r="L304" s="303" t="str">
        <f t="shared" si="13"/>
        <v>602011311Б0121120000</v>
      </c>
      <c r="M304" s="132" t="str">
        <f>INDEX('реш СГД № 265'!$A:$N,MATCH('БА расх 2019-2020'!$L304,'реш СГД № 265'!$N:$N,0),3)</f>
        <v>Расходы на уплату взносов на капитальный ремонт общего имущества в многоквартирных домах</v>
      </c>
      <c r="N304" s="17">
        <f t="shared" si="14"/>
        <v>1</v>
      </c>
    </row>
    <row r="305" spans="1:14" s="29" customFormat="1" ht="31.5">
      <c r="A305" s="28"/>
      <c r="B305" s="125" t="s">
        <v>28</v>
      </c>
      <c r="C305" s="109" t="s">
        <v>256</v>
      </c>
      <c r="D305" s="108" t="s">
        <v>11</v>
      </c>
      <c r="E305" s="108" t="s">
        <v>51</v>
      </c>
      <c r="F305" s="108" t="s">
        <v>268</v>
      </c>
      <c r="G305" s="108" t="s">
        <v>29</v>
      </c>
      <c r="H305" s="126">
        <v>0</v>
      </c>
      <c r="I305" s="126">
        <v>0</v>
      </c>
      <c r="J305" s="108" t="s">
        <v>1175</v>
      </c>
      <c r="K305" s="108" t="str">
        <f t="shared" si="12"/>
        <v>11Б0121120</v>
      </c>
      <c r="L305" s="303" t="str">
        <f t="shared" si="13"/>
        <v>602011311Б0121120240</v>
      </c>
      <c r="M305" s="132" t="str">
        <f>INDEX('реш СГД № 265'!$A:$N,MATCH('БА расх 2019-2020'!$L305,'реш СГД № 265'!$N:$N,0),3)</f>
        <v>Иные закупки товаров, работ и услуг для обеспечения государственных (муниципальных) нужд</v>
      </c>
      <c r="N305" s="17">
        <f t="shared" si="14"/>
        <v>1</v>
      </c>
    </row>
    <row r="306" spans="1:14" s="29" customFormat="1" ht="15.75">
      <c r="A306" s="28"/>
      <c r="B306" s="125" t="s">
        <v>30</v>
      </c>
      <c r="C306" s="109" t="s">
        <v>256</v>
      </c>
      <c r="D306" s="108" t="s">
        <v>11</v>
      </c>
      <c r="E306" s="108" t="s">
        <v>51</v>
      </c>
      <c r="F306" s="108" t="s">
        <v>268</v>
      </c>
      <c r="G306" s="108" t="s">
        <v>31</v>
      </c>
      <c r="H306" s="126">
        <v>0</v>
      </c>
      <c r="I306" s="126">
        <v>0</v>
      </c>
      <c r="J306" s="108" t="s">
        <v>1175</v>
      </c>
      <c r="K306" s="108" t="str">
        <f t="shared" si="12"/>
        <v>11Б0121120</v>
      </c>
      <c r="L306" s="303" t="str">
        <f t="shared" si="13"/>
        <v>602011311Б0121120244</v>
      </c>
      <c r="M306" s="132"/>
      <c r="N306" s="17">
        <f t="shared" si="14"/>
        <v>0</v>
      </c>
    </row>
    <row r="307" spans="1:14" s="29" customFormat="1" ht="78.75">
      <c r="A307" s="28"/>
      <c r="B307" s="401" t="s">
        <v>269</v>
      </c>
      <c r="C307" s="109" t="s">
        <v>256</v>
      </c>
      <c r="D307" s="108" t="s">
        <v>11</v>
      </c>
      <c r="E307" s="108" t="s">
        <v>51</v>
      </c>
      <c r="F307" s="108" t="s">
        <v>270</v>
      </c>
      <c r="G307" s="108" t="s">
        <v>9</v>
      </c>
      <c r="H307" s="126">
        <v>0</v>
      </c>
      <c r="I307" s="126">
        <v>0</v>
      </c>
      <c r="J307" s="108" t="s">
        <v>1176</v>
      </c>
      <c r="K307" s="108" t="str">
        <f t="shared" si="12"/>
        <v>11Б0300000</v>
      </c>
      <c r="L307" s="303" t="str">
        <f t="shared" si="13"/>
        <v>602011311Б0300000000</v>
      </c>
      <c r="M307" s="132" t="str">
        <f>INDEX('реш СГД № 265'!$A:$N,MATCH('БА расх 2019-2020'!$L307,'реш СГД № 265'!$N:$N,0),3)</f>
        <v>Основное мероприятие «Создание условий для эффективного выполнения полномочий по управлению и распоряжению имуществом, находящимся в муниципальной собственности города Ставрополя, в том числе земельными ресурсами»</v>
      </c>
      <c r="N307" s="17">
        <f t="shared" si="14"/>
        <v>1</v>
      </c>
    </row>
    <row r="308" spans="1:14" s="29" customFormat="1" ht="78.75">
      <c r="A308" s="28"/>
      <c r="B308" s="125" t="s">
        <v>271</v>
      </c>
      <c r="C308" s="109" t="s">
        <v>256</v>
      </c>
      <c r="D308" s="108" t="s">
        <v>11</v>
      </c>
      <c r="E308" s="108" t="s">
        <v>51</v>
      </c>
      <c r="F308" s="108" t="s">
        <v>272</v>
      </c>
      <c r="G308" s="108" t="s">
        <v>9</v>
      </c>
      <c r="H308" s="126">
        <v>0</v>
      </c>
      <c r="I308" s="126">
        <v>0</v>
      </c>
      <c r="J308" s="108" t="s">
        <v>1177</v>
      </c>
      <c r="K308" s="108" t="str">
        <f t="shared" si="12"/>
        <v>11Б0320340</v>
      </c>
      <c r="L308" s="303" t="str">
        <f t="shared" si="13"/>
        <v>602011311Б0320340000</v>
      </c>
      <c r="M308" s="132" t="str">
        <f>INDEX('реш СГД № 265'!$A:$N,MATCH('БА расх 2019-2020'!$L308,'реш СГД № 265'!$N:$N,0),3)</f>
        <v>Расходы на создание условий для эффективного выполнения полномочий по управлению и распоряжению муниципальной собственностью города Ставрополя в области имущественных и земельных отношений</v>
      </c>
      <c r="N308" s="17">
        <f t="shared" si="14"/>
        <v>1</v>
      </c>
    </row>
    <row r="309" spans="1:14" s="29" customFormat="1" ht="31.5">
      <c r="A309" s="28"/>
      <c r="B309" s="125" t="s">
        <v>28</v>
      </c>
      <c r="C309" s="109" t="s">
        <v>256</v>
      </c>
      <c r="D309" s="108" t="s">
        <v>11</v>
      </c>
      <c r="E309" s="108" t="s">
        <v>51</v>
      </c>
      <c r="F309" s="108" t="s">
        <v>272</v>
      </c>
      <c r="G309" s="108" t="s">
        <v>29</v>
      </c>
      <c r="H309" s="126">
        <v>0</v>
      </c>
      <c r="I309" s="126">
        <v>0</v>
      </c>
      <c r="J309" s="108" t="s">
        <v>1177</v>
      </c>
      <c r="K309" s="108" t="str">
        <f t="shared" si="12"/>
        <v>11Б0320340</v>
      </c>
      <c r="L309" s="303" t="str">
        <f t="shared" si="13"/>
        <v>602011311Б0320340240</v>
      </c>
      <c r="M309" s="132" t="str">
        <f>INDEX('реш СГД № 265'!$A:$N,MATCH('БА расх 2019-2020'!$L309,'реш СГД № 265'!$N:$N,0),3)</f>
        <v>Иные закупки товаров, работ и услуг для обеспечения государственных (муниципальных) нужд</v>
      </c>
      <c r="N309" s="17">
        <f t="shared" si="14"/>
        <v>1</v>
      </c>
    </row>
    <row r="310" spans="1:14" s="29" customFormat="1" ht="15.75">
      <c r="A310" s="28"/>
      <c r="B310" s="125" t="s">
        <v>30</v>
      </c>
      <c r="C310" s="109" t="s">
        <v>256</v>
      </c>
      <c r="D310" s="108" t="s">
        <v>11</v>
      </c>
      <c r="E310" s="108" t="s">
        <v>51</v>
      </c>
      <c r="F310" s="108" t="s">
        <v>272</v>
      </c>
      <c r="G310" s="108" t="s">
        <v>31</v>
      </c>
      <c r="H310" s="126">
        <v>0</v>
      </c>
      <c r="I310" s="126">
        <v>0</v>
      </c>
      <c r="J310" s="108" t="s">
        <v>1177</v>
      </c>
      <c r="K310" s="108" t="str">
        <f t="shared" si="12"/>
        <v>11Б0320340</v>
      </c>
      <c r="L310" s="303" t="str">
        <f t="shared" si="13"/>
        <v>602011311Б0320340244</v>
      </c>
      <c r="M310" s="132"/>
      <c r="N310" s="17">
        <f t="shared" si="14"/>
        <v>0</v>
      </c>
    </row>
    <row r="311" spans="1:14" s="29" customFormat="1" ht="31.5">
      <c r="A311" s="28"/>
      <c r="B311" s="125" t="s">
        <v>276</v>
      </c>
      <c r="C311" s="109" t="s">
        <v>256</v>
      </c>
      <c r="D311" s="108" t="s">
        <v>11</v>
      </c>
      <c r="E311" s="108" t="s">
        <v>51</v>
      </c>
      <c r="F311" s="108" t="s">
        <v>277</v>
      </c>
      <c r="G311" s="108" t="s">
        <v>9</v>
      </c>
      <c r="H311" s="126">
        <v>0</v>
      </c>
      <c r="I311" s="126">
        <v>0</v>
      </c>
      <c r="J311" s="108">
        <v>7200000000</v>
      </c>
      <c r="K311" s="108" t="str">
        <f t="shared" si="12"/>
        <v>7200000000</v>
      </c>
      <c r="L311" s="303" t="str">
        <f t="shared" si="13"/>
        <v>60201137200000000000</v>
      </c>
      <c r="M311" s="132" t="str">
        <f>INDEX('реш СГД № 265'!$A:$N,MATCH('БА расх 2019-2020'!$L311,'реш СГД № 265'!$N:$N,0),3)</f>
        <v>Обеспечения деятельности комитета по управлению муниципальным имуществом города Ставрополя</v>
      </c>
      <c r="N311" s="17">
        <f t="shared" si="14"/>
        <v>1</v>
      </c>
    </row>
    <row r="312" spans="1:14" s="29" customFormat="1" ht="47.25">
      <c r="A312" s="28"/>
      <c r="B312" s="125" t="s">
        <v>278</v>
      </c>
      <c r="C312" s="109" t="s">
        <v>256</v>
      </c>
      <c r="D312" s="108" t="s">
        <v>11</v>
      </c>
      <c r="E312" s="108" t="s">
        <v>51</v>
      </c>
      <c r="F312" s="108" t="s">
        <v>279</v>
      </c>
      <c r="G312" s="108" t="s">
        <v>9</v>
      </c>
      <c r="H312" s="126">
        <v>0</v>
      </c>
      <c r="I312" s="126">
        <v>0</v>
      </c>
      <c r="J312" s="108">
        <v>7210000000</v>
      </c>
      <c r="K312" s="108" t="str">
        <f t="shared" si="12"/>
        <v>7210000000</v>
      </c>
      <c r="L312" s="303" t="str">
        <f t="shared" si="13"/>
        <v>60201137210000000000</v>
      </c>
      <c r="M312" s="132" t="str">
        <f>INDEX('реш СГД № 265'!$A:$N,MATCH('БА расх 2019-2020'!$L312,'реш СГД № 265'!$N:$N,0),3)</f>
        <v>Непрограммные расходы в рамках обеспечения деятельности комитета по управлению муниципальным имуществом города Ставрополя</v>
      </c>
      <c r="N312" s="17">
        <f t="shared" si="14"/>
        <v>1</v>
      </c>
    </row>
    <row r="313" spans="1:14" s="29" customFormat="1" ht="31.5">
      <c r="A313" s="28"/>
      <c r="B313" s="125" t="s">
        <v>18</v>
      </c>
      <c r="C313" s="109" t="s">
        <v>256</v>
      </c>
      <c r="D313" s="108" t="s">
        <v>11</v>
      </c>
      <c r="E313" s="108" t="s">
        <v>51</v>
      </c>
      <c r="F313" s="108" t="s">
        <v>280</v>
      </c>
      <c r="G313" s="108" t="s">
        <v>9</v>
      </c>
      <c r="H313" s="126">
        <v>0</v>
      </c>
      <c r="I313" s="126">
        <v>0</v>
      </c>
      <c r="J313" s="108">
        <v>7210010010</v>
      </c>
      <c r="K313" s="108" t="str">
        <f t="shared" si="12"/>
        <v>7210010010</v>
      </c>
      <c r="L313" s="303" t="str">
        <f t="shared" si="13"/>
        <v>60201137210010010000</v>
      </c>
      <c r="M313" s="132" t="str">
        <f>INDEX('реш СГД № 265'!$A:$N,MATCH('БА расх 2019-2020'!$L313,'реш СГД № 265'!$N:$N,0),3)</f>
        <v>Расходы на обеспечение функций органов местного самоуправления города Ставрополя</v>
      </c>
      <c r="N313" s="17">
        <f t="shared" si="14"/>
        <v>1</v>
      </c>
    </row>
    <row r="314" spans="1:14" s="29" customFormat="1" ht="31.5">
      <c r="A314" s="28"/>
      <c r="B314" s="127" t="s">
        <v>20</v>
      </c>
      <c r="C314" s="109" t="s">
        <v>256</v>
      </c>
      <c r="D314" s="108" t="s">
        <v>11</v>
      </c>
      <c r="E314" s="108" t="s">
        <v>51</v>
      </c>
      <c r="F314" s="108" t="s">
        <v>280</v>
      </c>
      <c r="G314" s="108" t="s">
        <v>21</v>
      </c>
      <c r="H314" s="126">
        <v>0</v>
      </c>
      <c r="I314" s="126">
        <v>0</v>
      </c>
      <c r="J314" s="108">
        <v>7210010010</v>
      </c>
      <c r="K314" s="108" t="str">
        <f t="shared" si="12"/>
        <v>7210010010</v>
      </c>
      <c r="L314" s="303" t="str">
        <f t="shared" si="13"/>
        <v>60201137210010010120</v>
      </c>
      <c r="M314" s="132" t="str">
        <f>INDEX('реш СГД № 265'!$A:$N,MATCH('БА расх 2019-2020'!$L314,'реш СГД № 265'!$N:$N,0),3)</f>
        <v>Расходы на выплаты персоналу государственных (муниципальных) органов</v>
      </c>
      <c r="N314" s="17">
        <f t="shared" si="14"/>
        <v>1</v>
      </c>
    </row>
    <row r="315" spans="1:14" s="31" customFormat="1" ht="47.25">
      <c r="A315" s="30"/>
      <c r="B315" s="127" t="s">
        <v>22</v>
      </c>
      <c r="C315" s="109" t="s">
        <v>256</v>
      </c>
      <c r="D315" s="108" t="s">
        <v>11</v>
      </c>
      <c r="E315" s="108" t="s">
        <v>51</v>
      </c>
      <c r="F315" s="108" t="s">
        <v>280</v>
      </c>
      <c r="G315" s="108" t="s">
        <v>23</v>
      </c>
      <c r="H315" s="126">
        <v>0</v>
      </c>
      <c r="I315" s="126">
        <v>0</v>
      </c>
      <c r="J315" s="108">
        <v>7210010010</v>
      </c>
      <c r="K315" s="108" t="str">
        <f t="shared" si="12"/>
        <v>7210010010</v>
      </c>
      <c r="L315" s="303" t="str">
        <f t="shared" si="13"/>
        <v>60201137210010010122</v>
      </c>
      <c r="M315" s="132"/>
      <c r="N315" s="17">
        <f t="shared" si="14"/>
        <v>0</v>
      </c>
    </row>
    <row r="316" spans="1:14" s="31" customFormat="1" ht="63">
      <c r="A316" s="30"/>
      <c r="B316" s="127" t="s">
        <v>26</v>
      </c>
      <c r="C316" s="109" t="s">
        <v>256</v>
      </c>
      <c r="D316" s="108" t="s">
        <v>11</v>
      </c>
      <c r="E316" s="108" t="s">
        <v>51</v>
      </c>
      <c r="F316" s="108" t="s">
        <v>280</v>
      </c>
      <c r="G316" s="108" t="s">
        <v>27</v>
      </c>
      <c r="H316" s="126">
        <v>0</v>
      </c>
      <c r="I316" s="126">
        <v>0</v>
      </c>
      <c r="J316" s="108">
        <v>7210010010</v>
      </c>
      <c r="K316" s="108" t="str">
        <f t="shared" si="12"/>
        <v>7210010010</v>
      </c>
      <c r="L316" s="303" t="str">
        <f t="shared" si="13"/>
        <v>60201137210010010129</v>
      </c>
      <c r="M316" s="132"/>
      <c r="N316" s="17">
        <f t="shared" si="14"/>
        <v>0</v>
      </c>
    </row>
    <row r="317" spans="1:14" s="29" customFormat="1" ht="31.5">
      <c r="A317" s="28"/>
      <c r="B317" s="125" t="s">
        <v>28</v>
      </c>
      <c r="C317" s="109" t="s">
        <v>256</v>
      </c>
      <c r="D317" s="108" t="s">
        <v>11</v>
      </c>
      <c r="E317" s="108" t="s">
        <v>51</v>
      </c>
      <c r="F317" s="108" t="s">
        <v>280</v>
      </c>
      <c r="G317" s="108" t="s">
        <v>29</v>
      </c>
      <c r="H317" s="126">
        <v>0</v>
      </c>
      <c r="I317" s="126">
        <v>0</v>
      </c>
      <c r="J317" s="108">
        <v>7210010010</v>
      </c>
      <c r="K317" s="108" t="str">
        <f t="shared" si="12"/>
        <v>7210010010</v>
      </c>
      <c r="L317" s="303" t="str">
        <f t="shared" si="13"/>
        <v>60201137210010010240</v>
      </c>
      <c r="M317" s="132" t="str">
        <f>INDEX('реш СГД № 265'!$A:$N,MATCH('БА расх 2019-2020'!$L317,'реш СГД № 265'!$N:$N,0),3)</f>
        <v>Иные закупки товаров, работ и услуг для обеспечения государственных (муниципальных) нужд</v>
      </c>
      <c r="N317" s="17">
        <f t="shared" si="14"/>
        <v>1</v>
      </c>
    </row>
    <row r="318" spans="1:14" s="29" customFormat="1" ht="15.75">
      <c r="A318" s="28"/>
      <c r="B318" s="125" t="s">
        <v>30</v>
      </c>
      <c r="C318" s="109" t="s">
        <v>256</v>
      </c>
      <c r="D318" s="108" t="s">
        <v>11</v>
      </c>
      <c r="E318" s="108" t="s">
        <v>51</v>
      </c>
      <c r="F318" s="108" t="s">
        <v>280</v>
      </c>
      <c r="G318" s="108" t="s">
        <v>31</v>
      </c>
      <c r="H318" s="126">
        <v>0</v>
      </c>
      <c r="I318" s="126">
        <v>0</v>
      </c>
      <c r="J318" s="108">
        <v>7210010010</v>
      </c>
      <c r="K318" s="108" t="str">
        <f t="shared" si="12"/>
        <v>7210010010</v>
      </c>
      <c r="L318" s="303" t="str">
        <f t="shared" si="13"/>
        <v>60201137210010010244</v>
      </c>
      <c r="M318" s="132"/>
      <c r="N318" s="17">
        <f t="shared" si="14"/>
        <v>0</v>
      </c>
    </row>
    <row r="319" spans="1:14" s="29" customFormat="1" ht="15.75">
      <c r="A319" s="28"/>
      <c r="B319" s="125" t="s">
        <v>32</v>
      </c>
      <c r="C319" s="109" t="s">
        <v>256</v>
      </c>
      <c r="D319" s="108" t="s">
        <v>11</v>
      </c>
      <c r="E319" s="108" t="s">
        <v>51</v>
      </c>
      <c r="F319" s="108" t="s">
        <v>280</v>
      </c>
      <c r="G319" s="108" t="s">
        <v>33</v>
      </c>
      <c r="H319" s="126">
        <v>0</v>
      </c>
      <c r="I319" s="126">
        <v>0</v>
      </c>
      <c r="J319" s="108">
        <v>7210010010</v>
      </c>
      <c r="K319" s="108" t="str">
        <f t="shared" si="12"/>
        <v>7210010010</v>
      </c>
      <c r="L319" s="303" t="str">
        <f t="shared" si="13"/>
        <v>60201137210010010850</v>
      </c>
      <c r="M319" s="132" t="str">
        <f>INDEX('реш СГД № 265'!$A:$N,MATCH('БА расх 2019-2020'!$L319,'реш СГД № 265'!$N:$N,0),3)</f>
        <v>Уплата налогов, сборов и иных платежей</v>
      </c>
      <c r="N319" s="17">
        <f t="shared" si="14"/>
        <v>1</v>
      </c>
    </row>
    <row r="320" spans="1:14" s="31" customFormat="1" ht="31.5">
      <c r="A320" s="30"/>
      <c r="B320" s="127" t="s">
        <v>34</v>
      </c>
      <c r="C320" s="109" t="s">
        <v>256</v>
      </c>
      <c r="D320" s="108" t="s">
        <v>11</v>
      </c>
      <c r="E320" s="108" t="s">
        <v>51</v>
      </c>
      <c r="F320" s="108" t="s">
        <v>280</v>
      </c>
      <c r="G320" s="108" t="s">
        <v>35</v>
      </c>
      <c r="H320" s="126">
        <v>0</v>
      </c>
      <c r="I320" s="126">
        <v>0</v>
      </c>
      <c r="J320" s="108">
        <v>7210010010</v>
      </c>
      <c r="K320" s="108" t="str">
        <f t="shared" si="12"/>
        <v>7210010010</v>
      </c>
      <c r="L320" s="303" t="str">
        <f t="shared" si="13"/>
        <v>60201137210010010851</v>
      </c>
      <c r="M320" s="132"/>
      <c r="N320" s="17">
        <f t="shared" si="14"/>
        <v>0</v>
      </c>
    </row>
    <row r="321" spans="1:14" s="31" customFormat="1" ht="15.75">
      <c r="A321" s="30"/>
      <c r="B321" s="127" t="s">
        <v>36</v>
      </c>
      <c r="C321" s="109" t="s">
        <v>256</v>
      </c>
      <c r="D321" s="108" t="s">
        <v>11</v>
      </c>
      <c r="E321" s="108" t="s">
        <v>51</v>
      </c>
      <c r="F321" s="108" t="s">
        <v>280</v>
      </c>
      <c r="G321" s="108" t="s">
        <v>37</v>
      </c>
      <c r="H321" s="126">
        <v>0</v>
      </c>
      <c r="I321" s="126">
        <v>0</v>
      </c>
      <c r="J321" s="108">
        <v>7210010010</v>
      </c>
      <c r="K321" s="108" t="str">
        <f t="shared" si="12"/>
        <v>7210010010</v>
      </c>
      <c r="L321" s="303" t="str">
        <f t="shared" si="13"/>
        <v>60201137210010010852</v>
      </c>
      <c r="M321" s="132"/>
      <c r="N321" s="17">
        <f t="shared" si="14"/>
        <v>0</v>
      </c>
    </row>
    <row r="322" spans="1:14" s="31" customFormat="1" ht="15.75">
      <c r="A322" s="30"/>
      <c r="B322" s="127" t="s">
        <v>77</v>
      </c>
      <c r="C322" s="109" t="s">
        <v>256</v>
      </c>
      <c r="D322" s="108" t="s">
        <v>11</v>
      </c>
      <c r="E322" s="108" t="s">
        <v>51</v>
      </c>
      <c r="F322" s="108" t="s">
        <v>280</v>
      </c>
      <c r="G322" s="108" t="s">
        <v>78</v>
      </c>
      <c r="H322" s="126">
        <v>0</v>
      </c>
      <c r="I322" s="126">
        <v>0</v>
      </c>
      <c r="J322" s="108">
        <v>7210010010</v>
      </c>
      <c r="K322" s="108" t="str">
        <f t="shared" si="12"/>
        <v>7210010010</v>
      </c>
      <c r="L322" s="303" t="str">
        <f t="shared" si="13"/>
        <v>60201137210010010853</v>
      </c>
      <c r="M322" s="132"/>
      <c r="N322" s="17">
        <f t="shared" si="14"/>
        <v>0</v>
      </c>
    </row>
    <row r="323" spans="1:14" s="29" customFormat="1" ht="31.5">
      <c r="A323" s="28"/>
      <c r="B323" s="125" t="s">
        <v>38</v>
      </c>
      <c r="C323" s="109" t="s">
        <v>256</v>
      </c>
      <c r="D323" s="108" t="s">
        <v>11</v>
      </c>
      <c r="E323" s="108" t="s">
        <v>51</v>
      </c>
      <c r="F323" s="108" t="s">
        <v>281</v>
      </c>
      <c r="G323" s="108" t="s">
        <v>9</v>
      </c>
      <c r="H323" s="126">
        <v>0</v>
      </c>
      <c r="I323" s="126">
        <v>0</v>
      </c>
      <c r="J323" s="108">
        <v>7210010020</v>
      </c>
      <c r="K323" s="108" t="str">
        <f t="shared" si="12"/>
        <v>7210010020</v>
      </c>
      <c r="L323" s="303" t="str">
        <f t="shared" si="13"/>
        <v>60201137210010020000</v>
      </c>
      <c r="M323" s="132" t="str">
        <f>INDEX('реш СГД № 265'!$A:$N,MATCH('БА расх 2019-2020'!$L323,'реш СГД № 265'!$N:$N,0),3)</f>
        <v>Расходы на выплаты по оплате труда работников органов местного самоуправления города Ставрополя</v>
      </c>
      <c r="N323" s="17">
        <f t="shared" si="14"/>
        <v>1</v>
      </c>
    </row>
    <row r="324" spans="1:14" s="29" customFormat="1" ht="31.5">
      <c r="A324" s="28"/>
      <c r="B324" s="127" t="s">
        <v>20</v>
      </c>
      <c r="C324" s="109" t="s">
        <v>256</v>
      </c>
      <c r="D324" s="108" t="s">
        <v>11</v>
      </c>
      <c r="E324" s="108" t="s">
        <v>51</v>
      </c>
      <c r="F324" s="108" t="s">
        <v>281</v>
      </c>
      <c r="G324" s="108" t="s">
        <v>21</v>
      </c>
      <c r="H324" s="126">
        <v>0</v>
      </c>
      <c r="I324" s="126">
        <v>0</v>
      </c>
      <c r="J324" s="108">
        <v>7210010020</v>
      </c>
      <c r="K324" s="108" t="str">
        <f t="shared" si="12"/>
        <v>7210010020</v>
      </c>
      <c r="L324" s="303" t="str">
        <f t="shared" si="13"/>
        <v>60201137210010020120</v>
      </c>
      <c r="M324" s="132" t="str">
        <f>INDEX('реш СГД № 265'!$A:$N,MATCH('БА расх 2019-2020'!$L324,'реш СГД № 265'!$N:$N,0),3)</f>
        <v>Расходы на выплаты персоналу государственных (муниципальных) органов</v>
      </c>
      <c r="N324" s="17">
        <f t="shared" si="14"/>
        <v>1</v>
      </c>
    </row>
    <row r="325" spans="1:14" s="31" customFormat="1" ht="31.5">
      <c r="A325" s="30"/>
      <c r="B325" s="127" t="s">
        <v>40</v>
      </c>
      <c r="C325" s="109" t="s">
        <v>256</v>
      </c>
      <c r="D325" s="108" t="s">
        <v>11</v>
      </c>
      <c r="E325" s="108" t="s">
        <v>51</v>
      </c>
      <c r="F325" s="108" t="s">
        <v>281</v>
      </c>
      <c r="G325" s="108" t="s">
        <v>41</v>
      </c>
      <c r="H325" s="126">
        <v>0</v>
      </c>
      <c r="I325" s="126">
        <v>0</v>
      </c>
      <c r="J325" s="108">
        <v>7210010020</v>
      </c>
      <c r="K325" s="108" t="str">
        <f t="shared" si="12"/>
        <v>7210010020</v>
      </c>
      <c r="L325" s="303" t="str">
        <f t="shared" si="13"/>
        <v>60201137210010020121</v>
      </c>
      <c r="M325" s="132"/>
      <c r="N325" s="17">
        <f t="shared" si="14"/>
        <v>0</v>
      </c>
    </row>
    <row r="326" spans="1:14" s="31" customFormat="1" ht="63">
      <c r="A326" s="30"/>
      <c r="B326" s="127" t="s">
        <v>26</v>
      </c>
      <c r="C326" s="109" t="s">
        <v>256</v>
      </c>
      <c r="D326" s="108" t="s">
        <v>11</v>
      </c>
      <c r="E326" s="108" t="s">
        <v>51</v>
      </c>
      <c r="F326" s="108" t="s">
        <v>281</v>
      </c>
      <c r="G326" s="108" t="s">
        <v>27</v>
      </c>
      <c r="H326" s="126">
        <v>0</v>
      </c>
      <c r="I326" s="126">
        <v>0</v>
      </c>
      <c r="J326" s="108">
        <v>7210010020</v>
      </c>
      <c r="K326" s="108" t="str">
        <f t="shared" si="12"/>
        <v>7210010020</v>
      </c>
      <c r="L326" s="303" t="str">
        <f t="shared" si="13"/>
        <v>60201137210010020129</v>
      </c>
      <c r="M326" s="132"/>
      <c r="N326" s="17">
        <f t="shared" si="14"/>
        <v>0</v>
      </c>
    </row>
    <row r="327" spans="1:14" s="29" customFormat="1" ht="15.75">
      <c r="A327" s="28"/>
      <c r="B327" s="117" t="s">
        <v>195</v>
      </c>
      <c r="C327" s="118" t="s">
        <v>256</v>
      </c>
      <c r="D327" s="119" t="s">
        <v>73</v>
      </c>
      <c r="E327" s="119" t="s">
        <v>7</v>
      </c>
      <c r="F327" s="119" t="s">
        <v>8</v>
      </c>
      <c r="G327" s="119" t="s">
        <v>9</v>
      </c>
      <c r="H327" s="120">
        <v>0</v>
      </c>
      <c r="I327" s="120">
        <v>0</v>
      </c>
      <c r="J327" s="119">
        <v>0</v>
      </c>
      <c r="K327" s="108" t="str">
        <f t="shared" si="12"/>
        <v>0000000000</v>
      </c>
      <c r="L327" s="303" t="str">
        <f t="shared" si="13"/>
        <v>60204000000000000000</v>
      </c>
      <c r="M327" s="132" t="str">
        <f>INDEX('реш СГД № 265'!$A:$N,MATCH('БА расх 2019-2020'!$L327,'реш СГД № 265'!$N:$N,0),3)</f>
        <v>Национальная экономика</v>
      </c>
      <c r="N327" s="17">
        <f t="shared" si="14"/>
        <v>1</v>
      </c>
    </row>
    <row r="328" spans="1:14" s="29" customFormat="1" ht="15.75">
      <c r="A328" s="28"/>
      <c r="B328" s="121" t="s">
        <v>284</v>
      </c>
      <c r="C328" s="122" t="s">
        <v>256</v>
      </c>
      <c r="D328" s="123" t="s">
        <v>73</v>
      </c>
      <c r="E328" s="123" t="s">
        <v>57</v>
      </c>
      <c r="F328" s="139" t="s">
        <v>8</v>
      </c>
      <c r="G328" s="139" t="s">
        <v>9</v>
      </c>
      <c r="H328" s="124">
        <v>0</v>
      </c>
      <c r="I328" s="124">
        <v>0</v>
      </c>
      <c r="J328" s="139">
        <v>0</v>
      </c>
      <c r="K328" s="108" t="str">
        <f t="shared" si="12"/>
        <v>0000000000</v>
      </c>
      <c r="L328" s="303" t="str">
        <f t="shared" si="13"/>
        <v>60204120000000000000</v>
      </c>
      <c r="M328" s="132" t="str">
        <f>INDEX('реш СГД № 265'!$A:$N,MATCH('БА расх 2019-2020'!$L328,'реш СГД № 265'!$N:$N,0),3)</f>
        <v>Другие вопросы в области национальной экономики</v>
      </c>
      <c r="N328" s="17">
        <f t="shared" si="14"/>
        <v>1</v>
      </c>
    </row>
    <row r="329" spans="1:14" s="29" customFormat="1" ht="63">
      <c r="A329" s="28"/>
      <c r="B329" s="135" t="s">
        <v>285</v>
      </c>
      <c r="C329" s="109" t="s">
        <v>256</v>
      </c>
      <c r="D329" s="108" t="s">
        <v>73</v>
      </c>
      <c r="E329" s="108" t="s">
        <v>57</v>
      </c>
      <c r="F329" s="108" t="s">
        <v>286</v>
      </c>
      <c r="G329" s="108" t="s">
        <v>9</v>
      </c>
      <c r="H329" s="126">
        <v>0</v>
      </c>
      <c r="I329" s="126">
        <v>0</v>
      </c>
      <c r="J329" s="108">
        <v>200000000</v>
      </c>
      <c r="K329" s="108" t="str">
        <f t="shared" si="12"/>
        <v>0200000000</v>
      </c>
      <c r="L329" s="303" t="str">
        <f t="shared" si="13"/>
        <v>60204120200000000000</v>
      </c>
      <c r="M329" s="132" t="str">
        <f>INDEX('реш СГД № 265'!$A:$N,MATCH('БА расх 2019-2020'!$L329,'реш СГД № 265'!$N:$N,0),3)</f>
        <v>Муниципальная программа «Поддержка садоводческих, огороднических и дачных некоммерческих объединений граждан, расположенных на территории города Ставрополя»</v>
      </c>
      <c r="N329" s="17">
        <f t="shared" si="14"/>
        <v>1</v>
      </c>
    </row>
    <row r="330" spans="1:14" s="29" customFormat="1" ht="78.75">
      <c r="A330" s="28"/>
      <c r="B330" s="125" t="s">
        <v>287</v>
      </c>
      <c r="C330" s="109" t="s">
        <v>256</v>
      </c>
      <c r="D330" s="108" t="s">
        <v>73</v>
      </c>
      <c r="E330" s="108" t="s">
        <v>57</v>
      </c>
      <c r="F330" s="108" t="s">
        <v>288</v>
      </c>
      <c r="G330" s="108" t="s">
        <v>9</v>
      </c>
      <c r="H330" s="126">
        <v>0</v>
      </c>
      <c r="I330" s="126">
        <v>0</v>
      </c>
      <c r="J330" s="108" t="s">
        <v>1182</v>
      </c>
      <c r="K330" s="108" t="str">
        <f t="shared" si="12"/>
        <v>02Б0000000</v>
      </c>
      <c r="L330" s="303" t="str">
        <f t="shared" si="13"/>
        <v>602041202Б0000000000</v>
      </c>
      <c r="M330" s="132" t="str">
        <f>INDEX('реш СГД № 265'!$A:$N,MATCH('БА расх 2019-2020'!$L330,'реш СГД № 265'!$N:$N,0),3)</f>
        <v>Расходы в рамках реализации муниципальной программы «Поддержка садоводческих, огороднических и дачных некоммерческих объединений граждан, расположенных на территории города Ставрополя»</v>
      </c>
      <c r="N330" s="17">
        <f t="shared" si="14"/>
        <v>1</v>
      </c>
    </row>
    <row r="331" spans="1:14" s="29" customFormat="1" ht="78.75">
      <c r="A331" s="28"/>
      <c r="B331" s="125" t="s">
        <v>289</v>
      </c>
      <c r="C331" s="109" t="s">
        <v>256</v>
      </c>
      <c r="D331" s="108" t="s">
        <v>73</v>
      </c>
      <c r="E331" s="108" t="s">
        <v>57</v>
      </c>
      <c r="F331" s="108" t="s">
        <v>290</v>
      </c>
      <c r="G331" s="108" t="s">
        <v>9</v>
      </c>
      <c r="H331" s="126">
        <v>0</v>
      </c>
      <c r="I331" s="126">
        <v>0</v>
      </c>
      <c r="J331" s="108" t="s">
        <v>1183</v>
      </c>
      <c r="K331" s="108" t="str">
        <f t="shared" ref="K331:K394" si="15">TEXT(J331,"0000000000")</f>
        <v>02Б0100000</v>
      </c>
      <c r="L331" s="303" t="str">
        <f t="shared" si="13"/>
        <v>602041202Б0100000000</v>
      </c>
      <c r="M331" s="132" t="str">
        <f>INDEX('реш СГД № 265'!$A:$N,MATCH('БА расх 2019-2020'!$L331,'реш СГД № 265'!$N:$N,0),3)</f>
        <v>Основное мероприятие «Благоустройство  и инженерное обеспечение территорий садоводческих, огороднических и дачных некоммерческих объединений граждан, расположенных на территории города Ставрополя»</v>
      </c>
      <c r="N331" s="17">
        <f t="shared" si="14"/>
        <v>1</v>
      </c>
    </row>
    <row r="332" spans="1:14" s="29" customFormat="1" ht="78.75">
      <c r="A332" s="28"/>
      <c r="B332" s="125" t="s">
        <v>291</v>
      </c>
      <c r="C332" s="109" t="s">
        <v>256</v>
      </c>
      <c r="D332" s="108" t="s">
        <v>73</v>
      </c>
      <c r="E332" s="108" t="s">
        <v>57</v>
      </c>
      <c r="F332" s="108" t="s">
        <v>292</v>
      </c>
      <c r="G332" s="108" t="s">
        <v>9</v>
      </c>
      <c r="H332" s="126">
        <v>0</v>
      </c>
      <c r="I332" s="126">
        <v>0</v>
      </c>
      <c r="J332" s="108" t="s">
        <v>1184</v>
      </c>
      <c r="K332" s="108" t="str">
        <f t="shared" si="15"/>
        <v>02Б0120160</v>
      </c>
      <c r="L332" s="303" t="str">
        <f t="shared" ref="L332:L395" si="16">C332&amp;D332&amp;E332&amp;K332&amp;G332</f>
        <v>602041202Б0120160000</v>
      </c>
      <c r="M332" s="132" t="str">
        <f>INDEX('реш СГД № 265'!$A:$N,MATCH('БА расх 2019-2020'!$L332,'реш СГД № 265'!$N:$N,0),3)</f>
        <v>Расходы на проведение землеустройства (кадастровых работ) по формированию территорий общего пользования садоводческих, огороднических и дачных некоммерческих объединений граждан, расположенных на территории города Ставрополя</v>
      </c>
      <c r="N332" s="17">
        <f t="shared" ref="N332:N395" si="17">IF(B332=M332,1,0)</f>
        <v>1</v>
      </c>
    </row>
    <row r="333" spans="1:14" s="29" customFormat="1" ht="31.5">
      <c r="A333" s="28"/>
      <c r="B333" s="125" t="s">
        <v>28</v>
      </c>
      <c r="C333" s="109" t="s">
        <v>256</v>
      </c>
      <c r="D333" s="108" t="s">
        <v>73</v>
      </c>
      <c r="E333" s="108" t="s">
        <v>57</v>
      </c>
      <c r="F333" s="108" t="s">
        <v>292</v>
      </c>
      <c r="G333" s="108" t="s">
        <v>29</v>
      </c>
      <c r="H333" s="126">
        <v>0</v>
      </c>
      <c r="I333" s="126">
        <v>0</v>
      </c>
      <c r="J333" s="108" t="s">
        <v>1184</v>
      </c>
      <c r="K333" s="108" t="str">
        <f t="shared" si="15"/>
        <v>02Б0120160</v>
      </c>
      <c r="L333" s="303" t="str">
        <f t="shared" si="16"/>
        <v>602041202Б0120160240</v>
      </c>
      <c r="M333" s="132" t="str">
        <f>INDEX('реш СГД № 265'!$A:$N,MATCH('БА расх 2019-2020'!$L333,'реш СГД № 265'!$N:$N,0),3)</f>
        <v>Иные закупки товаров, работ и услуг для обеспечения государственных (муниципальных) нужд</v>
      </c>
      <c r="N333" s="17">
        <f t="shared" si="17"/>
        <v>1</v>
      </c>
    </row>
    <row r="334" spans="1:14" s="29" customFormat="1" ht="15.75">
      <c r="A334" s="28"/>
      <c r="B334" s="125" t="s">
        <v>30</v>
      </c>
      <c r="C334" s="109" t="s">
        <v>256</v>
      </c>
      <c r="D334" s="108" t="s">
        <v>73</v>
      </c>
      <c r="E334" s="108" t="s">
        <v>57</v>
      </c>
      <c r="F334" s="108" t="s">
        <v>292</v>
      </c>
      <c r="G334" s="108" t="s">
        <v>31</v>
      </c>
      <c r="H334" s="126">
        <v>0</v>
      </c>
      <c r="I334" s="126">
        <v>0</v>
      </c>
      <c r="J334" s="108" t="s">
        <v>1184</v>
      </c>
      <c r="K334" s="108" t="str">
        <f t="shared" si="15"/>
        <v>02Б0120160</v>
      </c>
      <c r="L334" s="303" t="str">
        <f t="shared" si="16"/>
        <v>602041202Б0120160244</v>
      </c>
      <c r="M334" s="132"/>
      <c r="N334" s="17">
        <f t="shared" si="17"/>
        <v>0</v>
      </c>
    </row>
    <row r="335" spans="1:14" s="29" customFormat="1" ht="63">
      <c r="A335" s="28"/>
      <c r="B335" s="132" t="s">
        <v>257</v>
      </c>
      <c r="C335" s="109" t="s">
        <v>256</v>
      </c>
      <c r="D335" s="108" t="s">
        <v>73</v>
      </c>
      <c r="E335" s="108" t="s">
        <v>57</v>
      </c>
      <c r="F335" s="108" t="s">
        <v>258</v>
      </c>
      <c r="G335" s="108" t="s">
        <v>9</v>
      </c>
      <c r="H335" s="126">
        <v>0</v>
      </c>
      <c r="I335" s="126">
        <v>0</v>
      </c>
      <c r="J335" s="108">
        <v>1100000000</v>
      </c>
      <c r="K335" s="108" t="str">
        <f t="shared" si="15"/>
        <v>1100000000</v>
      </c>
      <c r="L335" s="303" t="str">
        <f t="shared" si="16"/>
        <v>60204121100000000000</v>
      </c>
      <c r="M335" s="132" t="str">
        <f>INDEX('реш СГД № 265'!$A:$N,MATCH('БА расх 2019-2020'!$L335,'реш СГД № 265'!$N:$N,0),3)</f>
        <v>Муниципальная программа  «Управление и распоряжение имуществом, находящимся в муниципальной собственности города Ставрополя, в том числе земельными ресурсами»</v>
      </c>
      <c r="N335" s="17">
        <f t="shared" si="17"/>
        <v>1</v>
      </c>
    </row>
    <row r="336" spans="1:14" s="29" customFormat="1" ht="78.75">
      <c r="A336" s="28"/>
      <c r="B336" s="132" t="s">
        <v>259</v>
      </c>
      <c r="C336" s="109" t="s">
        <v>256</v>
      </c>
      <c r="D336" s="108" t="s">
        <v>73</v>
      </c>
      <c r="E336" s="108" t="s">
        <v>57</v>
      </c>
      <c r="F336" s="108" t="s">
        <v>260</v>
      </c>
      <c r="G336" s="108" t="s">
        <v>9</v>
      </c>
      <c r="H336" s="126">
        <v>0</v>
      </c>
      <c r="I336" s="126">
        <v>0</v>
      </c>
      <c r="J336" s="108" t="s">
        <v>1171</v>
      </c>
      <c r="K336" s="108" t="str">
        <f t="shared" si="15"/>
        <v>11Б0000000</v>
      </c>
      <c r="L336" s="303" t="str">
        <f t="shared" si="16"/>
        <v>602041211Б0000000000</v>
      </c>
      <c r="M336" s="132" t="str">
        <f>INDEX('реш СГД № 265'!$A:$N,MATCH('БА расх 2019-2020'!$L336,'реш СГД № 265'!$N:$N,0),3)</f>
        <v>Расходы в рамках реализации муниципальной программы «Управление и распоряжение  имуществом, находящимся в муниципальной собственности города Ставрополя, в том числе земельными ресурсами»</v>
      </c>
      <c r="N336" s="17">
        <f t="shared" si="17"/>
        <v>1</v>
      </c>
    </row>
    <row r="337" spans="1:14" s="29" customFormat="1" ht="47.25">
      <c r="A337" s="28"/>
      <c r="B337" s="125" t="s">
        <v>301</v>
      </c>
      <c r="C337" s="109" t="s">
        <v>256</v>
      </c>
      <c r="D337" s="108" t="s">
        <v>73</v>
      </c>
      <c r="E337" s="108" t="s">
        <v>57</v>
      </c>
      <c r="F337" s="108" t="s">
        <v>302</v>
      </c>
      <c r="G337" s="108" t="s">
        <v>9</v>
      </c>
      <c r="H337" s="126">
        <v>0</v>
      </c>
      <c r="I337" s="126">
        <v>0</v>
      </c>
      <c r="J337" s="108" t="s">
        <v>1185</v>
      </c>
      <c r="K337" s="108" t="str">
        <f t="shared" si="15"/>
        <v>11Б0200000</v>
      </c>
      <c r="L337" s="303" t="str">
        <f t="shared" si="16"/>
        <v>602041211Б0200000000</v>
      </c>
      <c r="M337" s="132" t="str">
        <f>INDEX('реш СГД № 265'!$A:$N,MATCH('БА расх 2019-2020'!$L337,'реш СГД № 265'!$N:$N,0),3)</f>
        <v>Основное мероприятие «Управление и распоряжение земельными участками, расположенными на территории города Ставрополя»</v>
      </c>
      <c r="N337" s="17">
        <f t="shared" si="17"/>
        <v>1</v>
      </c>
    </row>
    <row r="338" spans="1:14" s="29" customFormat="1" ht="63">
      <c r="A338" s="28"/>
      <c r="B338" s="125" t="s">
        <v>303</v>
      </c>
      <c r="C338" s="109" t="s">
        <v>256</v>
      </c>
      <c r="D338" s="108" t="s">
        <v>73</v>
      </c>
      <c r="E338" s="108" t="s">
        <v>57</v>
      </c>
      <c r="F338" s="108" t="s">
        <v>304</v>
      </c>
      <c r="G338" s="108" t="s">
        <v>9</v>
      </c>
      <c r="H338" s="126">
        <v>0</v>
      </c>
      <c r="I338" s="126">
        <v>0</v>
      </c>
      <c r="J338" s="108" t="s">
        <v>1186</v>
      </c>
      <c r="K338" s="108" t="str">
        <f t="shared" si="15"/>
        <v>11Б0220180</v>
      </c>
      <c r="L338" s="303" t="str">
        <f t="shared" si="16"/>
        <v>602041211Б0220180000</v>
      </c>
      <c r="M338" s="132" t="str">
        <f>INDEX('реш СГД № 265'!$A:$N,MATCH('БА расх 2019-2020'!$L338,'реш СГД № 265'!$N:$N,0),3)</f>
        <v>Расходы на проведение кадастровых работ, необходимых для постановки на государственный кадастровый учет земельных участков, расположенных на территории города Ставрополя</v>
      </c>
      <c r="N338" s="17">
        <f t="shared" si="17"/>
        <v>1</v>
      </c>
    </row>
    <row r="339" spans="1:14" s="29" customFormat="1" ht="31.5">
      <c r="A339" s="28"/>
      <c r="B339" s="125" t="s">
        <v>28</v>
      </c>
      <c r="C339" s="109" t="s">
        <v>256</v>
      </c>
      <c r="D339" s="108" t="s">
        <v>73</v>
      </c>
      <c r="E339" s="108" t="s">
        <v>57</v>
      </c>
      <c r="F339" s="108" t="s">
        <v>304</v>
      </c>
      <c r="G339" s="108" t="s">
        <v>29</v>
      </c>
      <c r="H339" s="126">
        <v>0</v>
      </c>
      <c r="I339" s="126">
        <v>0</v>
      </c>
      <c r="J339" s="108" t="s">
        <v>1186</v>
      </c>
      <c r="K339" s="108" t="str">
        <f t="shared" si="15"/>
        <v>11Б0220180</v>
      </c>
      <c r="L339" s="303" t="str">
        <f t="shared" si="16"/>
        <v>602041211Б0220180240</v>
      </c>
      <c r="M339" s="132" t="str">
        <f>INDEX('реш СГД № 265'!$A:$N,MATCH('БА расх 2019-2020'!$L339,'реш СГД № 265'!$N:$N,0),3)</f>
        <v>Иные закупки товаров, работ и услуг для обеспечения государственных (муниципальных) нужд</v>
      </c>
      <c r="N339" s="17">
        <f t="shared" si="17"/>
        <v>1</v>
      </c>
    </row>
    <row r="340" spans="1:14" s="29" customFormat="1" ht="15.75">
      <c r="A340" s="28"/>
      <c r="B340" s="125" t="s">
        <v>30</v>
      </c>
      <c r="C340" s="109" t="s">
        <v>256</v>
      </c>
      <c r="D340" s="108" t="s">
        <v>73</v>
      </c>
      <c r="E340" s="108" t="s">
        <v>57</v>
      </c>
      <c r="F340" s="108" t="s">
        <v>304</v>
      </c>
      <c r="G340" s="108" t="s">
        <v>31</v>
      </c>
      <c r="H340" s="126">
        <v>0</v>
      </c>
      <c r="I340" s="126">
        <v>0</v>
      </c>
      <c r="J340" s="108" t="s">
        <v>1186</v>
      </c>
      <c r="K340" s="108" t="str">
        <f t="shared" si="15"/>
        <v>11Б0220180</v>
      </c>
      <c r="L340" s="303" t="str">
        <f t="shared" si="16"/>
        <v>602041211Б0220180244</v>
      </c>
      <c r="M340" s="132"/>
      <c r="N340" s="17">
        <f t="shared" si="17"/>
        <v>0</v>
      </c>
    </row>
    <row r="341" spans="1:14" s="29" customFormat="1" ht="94.5">
      <c r="A341" s="28"/>
      <c r="B341" s="428" t="s">
        <v>1106</v>
      </c>
      <c r="C341" s="109" t="s">
        <v>256</v>
      </c>
      <c r="D341" s="108" t="s">
        <v>73</v>
      </c>
      <c r="E341" s="108" t="s">
        <v>57</v>
      </c>
      <c r="F341" s="108" t="s">
        <v>1107</v>
      </c>
      <c r="G341" s="108" t="s">
        <v>9</v>
      </c>
      <c r="H341" s="126">
        <v>0</v>
      </c>
      <c r="I341" s="126">
        <v>0</v>
      </c>
      <c r="J341" s="108" t="s">
        <v>1962</v>
      </c>
      <c r="K341" s="108" t="str">
        <f t="shared" si="15"/>
        <v>11Б0221550</v>
      </c>
      <c r="L341" s="303" t="str">
        <f t="shared" si="16"/>
        <v>602041211Б0221550000</v>
      </c>
      <c r="M341" s="132" t="str">
        <f>INDEX('реш СГД № 265'!$A:$N,MATCH('БА расх 2019-2020'!$L341,'реш СГД № 265'!$N:$N,0),3)</f>
        <v>Проведение мероприятий по внесению сведений о границах муниципального образования города Ставрополя Ставропольского края в Единый государственный реестр недвижимости (в том числе проведение кадастровых работ, подготовка карты-плана территории)</v>
      </c>
      <c r="N341" s="17">
        <f t="shared" si="17"/>
        <v>1</v>
      </c>
    </row>
    <row r="342" spans="1:14" s="29" customFormat="1" ht="31.5">
      <c r="A342" s="28"/>
      <c r="B342" s="125" t="s">
        <v>28</v>
      </c>
      <c r="C342" s="109" t="s">
        <v>256</v>
      </c>
      <c r="D342" s="108" t="s">
        <v>73</v>
      </c>
      <c r="E342" s="108" t="s">
        <v>57</v>
      </c>
      <c r="F342" s="108" t="s">
        <v>1107</v>
      </c>
      <c r="G342" s="108" t="s">
        <v>29</v>
      </c>
      <c r="H342" s="126">
        <v>0</v>
      </c>
      <c r="I342" s="126">
        <v>0</v>
      </c>
      <c r="J342" s="108" t="s">
        <v>1962</v>
      </c>
      <c r="K342" s="108" t="str">
        <f t="shared" si="15"/>
        <v>11Б0221550</v>
      </c>
      <c r="L342" s="303" t="str">
        <f t="shared" si="16"/>
        <v>602041211Б0221550240</v>
      </c>
      <c r="M342" s="132" t="str">
        <f>INDEX('реш СГД № 265'!$A:$N,MATCH('БА расх 2019-2020'!$L342,'реш СГД № 265'!$N:$N,0),3)</f>
        <v>Иные закупки товаров, работ и услуг для обеспечения государственных (муниципальных) нужд</v>
      </c>
      <c r="N342" s="17">
        <f t="shared" si="17"/>
        <v>1</v>
      </c>
    </row>
    <row r="343" spans="1:14" s="29" customFormat="1" ht="15.75">
      <c r="A343" s="28"/>
      <c r="B343" s="125" t="s">
        <v>30</v>
      </c>
      <c r="C343" s="109" t="s">
        <v>256</v>
      </c>
      <c r="D343" s="108" t="s">
        <v>73</v>
      </c>
      <c r="E343" s="108" t="s">
        <v>57</v>
      </c>
      <c r="F343" s="108" t="s">
        <v>1107</v>
      </c>
      <c r="G343" s="108" t="s">
        <v>31</v>
      </c>
      <c r="H343" s="126">
        <v>0</v>
      </c>
      <c r="I343" s="126">
        <v>0</v>
      </c>
      <c r="J343" s="108" t="s">
        <v>1962</v>
      </c>
      <c r="K343" s="108" t="str">
        <f t="shared" si="15"/>
        <v>11Б0221550</v>
      </c>
      <c r="L343" s="303" t="str">
        <f t="shared" si="16"/>
        <v>602041211Б0221550244</v>
      </c>
      <c r="M343" s="132"/>
      <c r="N343" s="17">
        <f t="shared" si="17"/>
        <v>0</v>
      </c>
    </row>
    <row r="344" spans="1:14" s="29" customFormat="1" ht="15.75">
      <c r="A344" s="28"/>
      <c r="B344" s="117" t="s">
        <v>316</v>
      </c>
      <c r="C344" s="118" t="s">
        <v>256</v>
      </c>
      <c r="D344" s="119" t="s">
        <v>317</v>
      </c>
      <c r="E344" s="119" t="s">
        <v>7</v>
      </c>
      <c r="F344" s="119" t="s">
        <v>8</v>
      </c>
      <c r="G344" s="119" t="s">
        <v>9</v>
      </c>
      <c r="H344" s="120">
        <v>0</v>
      </c>
      <c r="I344" s="120">
        <v>0</v>
      </c>
      <c r="J344" s="119">
        <v>0</v>
      </c>
      <c r="K344" s="108" t="str">
        <f t="shared" si="15"/>
        <v>0000000000</v>
      </c>
      <c r="L344" s="303" t="str">
        <f t="shared" si="16"/>
        <v>60210000000000000000</v>
      </c>
      <c r="M344" s="132" t="str">
        <f>INDEX('реш СГД № 265'!$A:$N,MATCH('БА расх 2019-2020'!$L344,'реш СГД № 265'!$N:$N,0),3)</f>
        <v>Социальная политика</v>
      </c>
      <c r="N344" s="17">
        <f t="shared" si="17"/>
        <v>1</v>
      </c>
    </row>
    <row r="345" spans="1:14" s="29" customFormat="1" ht="15.75">
      <c r="A345" s="28"/>
      <c r="B345" s="121" t="s">
        <v>318</v>
      </c>
      <c r="C345" s="122" t="s">
        <v>256</v>
      </c>
      <c r="D345" s="123">
        <v>10</v>
      </c>
      <c r="E345" s="123" t="s">
        <v>13</v>
      </c>
      <c r="F345" s="123" t="s">
        <v>8</v>
      </c>
      <c r="G345" s="123" t="s">
        <v>9</v>
      </c>
      <c r="H345" s="124">
        <v>0</v>
      </c>
      <c r="I345" s="124">
        <v>0</v>
      </c>
      <c r="J345" s="123">
        <v>0</v>
      </c>
      <c r="K345" s="108" t="str">
        <f t="shared" si="15"/>
        <v>0000000000</v>
      </c>
      <c r="L345" s="303" t="str">
        <f t="shared" si="16"/>
        <v>60210030000000000000</v>
      </c>
      <c r="M345" s="132" t="str">
        <f>INDEX('реш СГД № 265'!$A:$N,MATCH('БА расх 2019-2020'!$L345,'реш СГД № 265'!$N:$N,0),3)</f>
        <v>Социальное обеспечение населения</v>
      </c>
      <c r="N345" s="17">
        <f t="shared" si="17"/>
        <v>1</v>
      </c>
    </row>
    <row r="346" spans="1:14" s="29" customFormat="1" ht="31.5">
      <c r="A346" s="28"/>
      <c r="B346" s="125" t="s">
        <v>319</v>
      </c>
      <c r="C346" s="131" t="s">
        <v>256</v>
      </c>
      <c r="D346" s="131" t="s">
        <v>317</v>
      </c>
      <c r="E346" s="131" t="s">
        <v>13</v>
      </c>
      <c r="F346" s="131" t="s">
        <v>320</v>
      </c>
      <c r="G346" s="131" t="s">
        <v>9</v>
      </c>
      <c r="H346" s="105">
        <v>0</v>
      </c>
      <c r="I346" s="105">
        <v>0</v>
      </c>
      <c r="J346" s="131">
        <v>600000000</v>
      </c>
      <c r="K346" s="108" t="str">
        <f t="shared" si="15"/>
        <v>0600000000</v>
      </c>
      <c r="L346" s="303" t="str">
        <f t="shared" si="16"/>
        <v>60210030600000000000</v>
      </c>
      <c r="M346" s="132" t="str">
        <f>INDEX('реш СГД № 265'!$A:$N,MATCH('БА расх 2019-2020'!$L346,'реш СГД № 265'!$N:$N,0),3)</f>
        <v>Муниципальная программа «Обеспечение жильем молодых семей в городе Ставрополе»</v>
      </c>
      <c r="N346" s="17">
        <f t="shared" si="17"/>
        <v>1</v>
      </c>
    </row>
    <row r="347" spans="1:14" s="29" customFormat="1" ht="47.25">
      <c r="A347" s="28"/>
      <c r="B347" s="129" t="s">
        <v>321</v>
      </c>
      <c r="C347" s="131" t="s">
        <v>256</v>
      </c>
      <c r="D347" s="131" t="s">
        <v>317</v>
      </c>
      <c r="E347" s="131" t="s">
        <v>13</v>
      </c>
      <c r="F347" s="131" t="s">
        <v>322</v>
      </c>
      <c r="G347" s="131" t="s">
        <v>9</v>
      </c>
      <c r="H347" s="105">
        <v>0</v>
      </c>
      <c r="I347" s="105">
        <v>0</v>
      </c>
      <c r="J347" s="131" t="s">
        <v>1188</v>
      </c>
      <c r="K347" s="108" t="str">
        <f t="shared" si="15"/>
        <v>06Б0000000</v>
      </c>
      <c r="L347" s="303" t="str">
        <f t="shared" si="16"/>
        <v>602100306Б0000000000</v>
      </c>
      <c r="M347" s="132" t="str">
        <f>INDEX('реш СГД № 265'!$A:$N,MATCH('БА расх 2019-2020'!$L347,'реш СГД № 265'!$N:$N,0),3)</f>
        <v xml:space="preserve">Расходы в рамках реализации муниципальной программы «Обеспечение жильем молодых семей в городе Ставрополе»  </v>
      </c>
      <c r="N347" s="17">
        <f t="shared" si="17"/>
        <v>1</v>
      </c>
    </row>
    <row r="348" spans="1:14" s="29" customFormat="1" ht="31.5">
      <c r="A348" s="28"/>
      <c r="B348" s="129" t="s">
        <v>323</v>
      </c>
      <c r="C348" s="131" t="s">
        <v>256</v>
      </c>
      <c r="D348" s="131" t="s">
        <v>317</v>
      </c>
      <c r="E348" s="131" t="s">
        <v>13</v>
      </c>
      <c r="F348" s="131" t="s">
        <v>324</v>
      </c>
      <c r="G348" s="131" t="s">
        <v>9</v>
      </c>
      <c r="H348" s="105">
        <v>0</v>
      </c>
      <c r="I348" s="105">
        <v>0</v>
      </c>
      <c r="J348" s="131" t="s">
        <v>1189</v>
      </c>
      <c r="K348" s="108" t="str">
        <f t="shared" si="15"/>
        <v>06Б0100000</v>
      </c>
      <c r="L348" s="303" t="str">
        <f t="shared" si="16"/>
        <v>602100306Б0100000000</v>
      </c>
      <c r="M348" s="132" t="str">
        <f>INDEX('реш СГД № 265'!$A:$N,MATCH('БА расх 2019-2020'!$L348,'реш СГД № 265'!$N:$N,0),3)</f>
        <v>Основное мероприятие «Предоставление молодым семьям социальных выплат»</v>
      </c>
      <c r="N348" s="17">
        <f t="shared" si="17"/>
        <v>1</v>
      </c>
    </row>
    <row r="349" spans="1:14" s="29" customFormat="1" ht="110.25">
      <c r="A349" s="28"/>
      <c r="B349" s="129" t="s">
        <v>2286</v>
      </c>
      <c r="C349" s="131" t="s">
        <v>256</v>
      </c>
      <c r="D349" s="131" t="s">
        <v>317</v>
      </c>
      <c r="E349" s="131" t="s">
        <v>13</v>
      </c>
      <c r="F349" s="131" t="s">
        <v>1274</v>
      </c>
      <c r="G349" s="131" t="s">
        <v>9</v>
      </c>
      <c r="H349" s="105">
        <v>0</v>
      </c>
      <c r="I349" s="105">
        <v>0</v>
      </c>
      <c r="J349" s="131" t="s">
        <v>1855</v>
      </c>
      <c r="K349" s="108" t="str">
        <f t="shared" si="15"/>
        <v>06Б01S4970</v>
      </c>
      <c r="L349" s="303" t="str">
        <f t="shared" si="16"/>
        <v>602100306Б01S4970000</v>
      </c>
      <c r="M349" s="132" t="str">
        <f>INDEX('реш СГД № 265'!$A:$N,MATCH('БА расх 2019-2020'!$L349,'реш СГД № 265'!$N:$N,0),3)</f>
        <v>Предоставление молодым семьям социальных выплат на приобретение (строительство) жилья, нуждающимся в улучшении жилищных условий, имеющим одного или двух детей, а также не имеющим детей, социальных выплат на приобретение (строительство) жилья в 2018 году, за счет средств местного бюджета</v>
      </c>
      <c r="N349" s="17">
        <f t="shared" si="17"/>
        <v>1</v>
      </c>
    </row>
    <row r="350" spans="1:14" s="29" customFormat="1" ht="31.5">
      <c r="A350" s="28"/>
      <c r="B350" s="129" t="s">
        <v>327</v>
      </c>
      <c r="C350" s="131" t="s">
        <v>256</v>
      </c>
      <c r="D350" s="131" t="s">
        <v>317</v>
      </c>
      <c r="E350" s="131" t="s">
        <v>13</v>
      </c>
      <c r="F350" s="131" t="s">
        <v>1274</v>
      </c>
      <c r="G350" s="131" t="s">
        <v>328</v>
      </c>
      <c r="H350" s="126">
        <v>0</v>
      </c>
      <c r="I350" s="126">
        <v>0</v>
      </c>
      <c r="J350" s="131" t="s">
        <v>1855</v>
      </c>
      <c r="K350" s="108" t="str">
        <f t="shared" si="15"/>
        <v>06Б01S4970</v>
      </c>
      <c r="L350" s="303" t="str">
        <f t="shared" si="16"/>
        <v>602100306Б01S4970320</v>
      </c>
      <c r="M350" s="132" t="str">
        <f>INDEX('реш СГД № 265'!$A:$N,MATCH('БА расх 2019-2020'!$L350,'реш СГД № 265'!$N:$N,0),3)</f>
        <v>Социальные выплаты гражданам, кроме публичных нормативных социальных выплат</v>
      </c>
      <c r="N350" s="17">
        <f t="shared" si="17"/>
        <v>1</v>
      </c>
    </row>
    <row r="351" spans="1:14" s="29" customFormat="1" ht="15.75">
      <c r="A351" s="28"/>
      <c r="B351" s="127" t="s">
        <v>329</v>
      </c>
      <c r="C351" s="108" t="s">
        <v>256</v>
      </c>
      <c r="D351" s="108" t="s">
        <v>317</v>
      </c>
      <c r="E351" s="108" t="s">
        <v>13</v>
      </c>
      <c r="F351" s="131" t="s">
        <v>1274</v>
      </c>
      <c r="G351" s="108" t="s">
        <v>330</v>
      </c>
      <c r="H351" s="126">
        <v>0</v>
      </c>
      <c r="I351" s="126">
        <v>0</v>
      </c>
      <c r="J351" s="131" t="s">
        <v>1855</v>
      </c>
      <c r="K351" s="108" t="str">
        <f t="shared" si="15"/>
        <v>06Б01S4970</v>
      </c>
      <c r="L351" s="303" t="str">
        <f t="shared" si="16"/>
        <v>602100306Б01S4970322</v>
      </c>
      <c r="M351" s="132"/>
      <c r="N351" s="17">
        <f t="shared" si="17"/>
        <v>0</v>
      </c>
    </row>
    <row r="352" spans="1:14" s="29" customFormat="1" ht="15.75">
      <c r="A352" s="28"/>
      <c r="B352" s="125"/>
      <c r="C352" s="109"/>
      <c r="D352" s="108"/>
      <c r="E352" s="108"/>
      <c r="F352" s="108"/>
      <c r="G352" s="108"/>
      <c r="H352" s="126"/>
      <c r="I352" s="126"/>
      <c r="J352" s="108"/>
      <c r="K352" s="108" t="str">
        <f t="shared" si="15"/>
        <v>0000000000</v>
      </c>
      <c r="L352" s="303" t="str">
        <f t="shared" si="16"/>
        <v>0000000000</v>
      </c>
      <c r="M352" s="132">
        <f>INDEX('реш СГД № 265'!$A:$N,MATCH('БА расх 2019-2020'!$L352,'реш СГД № 265'!$N:$N,0),3)</f>
        <v>0</v>
      </c>
      <c r="N352" s="17">
        <f t="shared" si="17"/>
        <v>1</v>
      </c>
    </row>
    <row r="353" spans="1:14" s="29" customFormat="1" ht="31.5">
      <c r="A353" s="28"/>
      <c r="B353" s="67" t="s">
        <v>331</v>
      </c>
      <c r="C353" s="116" t="s">
        <v>332</v>
      </c>
      <c r="D353" s="69" t="s">
        <v>7</v>
      </c>
      <c r="E353" s="69" t="s">
        <v>7</v>
      </c>
      <c r="F353" s="69" t="s">
        <v>8</v>
      </c>
      <c r="G353" s="69" t="s">
        <v>9</v>
      </c>
      <c r="H353" s="70">
        <v>0</v>
      </c>
      <c r="I353" s="70">
        <v>0</v>
      </c>
      <c r="J353" s="69">
        <v>0</v>
      </c>
      <c r="K353" s="108" t="str">
        <f t="shared" si="15"/>
        <v>0000000000</v>
      </c>
      <c r="L353" s="303" t="str">
        <f t="shared" si="16"/>
        <v>60400000000000000000</v>
      </c>
      <c r="M353" s="132" t="str">
        <f>INDEX('реш СГД № 265'!$A:$N,MATCH('БА расх 2019-2020'!$L353,'реш СГД № 265'!$N:$N,0),3)</f>
        <v>Комитет финансов и бюджета администрации города Ставрополя</v>
      </c>
      <c r="N353" s="17">
        <f t="shared" si="17"/>
        <v>1</v>
      </c>
    </row>
    <row r="354" spans="1:14" s="29" customFormat="1" ht="15.75">
      <c r="A354" s="28"/>
      <c r="B354" s="117" t="s">
        <v>10</v>
      </c>
      <c r="C354" s="118" t="s">
        <v>332</v>
      </c>
      <c r="D354" s="119" t="s">
        <v>11</v>
      </c>
      <c r="E354" s="119" t="s">
        <v>7</v>
      </c>
      <c r="F354" s="119" t="s">
        <v>8</v>
      </c>
      <c r="G354" s="119" t="s">
        <v>9</v>
      </c>
      <c r="H354" s="120">
        <v>0</v>
      </c>
      <c r="I354" s="120">
        <v>0</v>
      </c>
      <c r="J354" s="119">
        <v>0</v>
      </c>
      <c r="K354" s="108" t="str">
        <f t="shared" si="15"/>
        <v>0000000000</v>
      </c>
      <c r="L354" s="303" t="str">
        <f t="shared" si="16"/>
        <v>60401000000000000000</v>
      </c>
      <c r="M354" s="132" t="str">
        <f>INDEX('реш СГД № 265'!$A:$N,MATCH('БА расх 2019-2020'!$L354,'реш СГД № 265'!$N:$N,0),3)</f>
        <v>Общегосударственные вопросы</v>
      </c>
      <c r="N354" s="17">
        <f t="shared" si="17"/>
        <v>1</v>
      </c>
    </row>
    <row r="355" spans="1:14" s="29" customFormat="1" ht="47.25">
      <c r="A355" s="28"/>
      <c r="B355" s="121" t="s">
        <v>333</v>
      </c>
      <c r="C355" s="122" t="s">
        <v>332</v>
      </c>
      <c r="D355" s="123" t="s">
        <v>11</v>
      </c>
      <c r="E355" s="123" t="s">
        <v>334</v>
      </c>
      <c r="F355" s="123" t="s">
        <v>8</v>
      </c>
      <c r="G355" s="123" t="s">
        <v>9</v>
      </c>
      <c r="H355" s="124">
        <v>0</v>
      </c>
      <c r="I355" s="124">
        <v>0</v>
      </c>
      <c r="J355" s="123">
        <v>0</v>
      </c>
      <c r="K355" s="108" t="str">
        <f t="shared" si="15"/>
        <v>0000000000</v>
      </c>
      <c r="L355" s="303" t="str">
        <f t="shared" si="16"/>
        <v>60401060000000000000</v>
      </c>
      <c r="M355" s="132" t="str">
        <f>INDEX('реш СГД № 265'!$A:$N,MATCH('БА расх 2019-2020'!$L355,'реш СГД № 265'!$N:$N,0),3)</f>
        <v>Обеспечение деятельности финансовых, налоговых и таможенных органов и органов финансового (финансово-бюджетного) надзора</v>
      </c>
      <c r="N355" s="17">
        <f t="shared" si="17"/>
        <v>1</v>
      </c>
    </row>
    <row r="356" spans="1:14" s="29" customFormat="1" ht="31.5">
      <c r="A356" s="28"/>
      <c r="B356" s="143" t="s">
        <v>335</v>
      </c>
      <c r="C356" s="109" t="s">
        <v>332</v>
      </c>
      <c r="D356" s="108" t="s">
        <v>11</v>
      </c>
      <c r="E356" s="108" t="s">
        <v>334</v>
      </c>
      <c r="F356" s="108" t="s">
        <v>336</v>
      </c>
      <c r="G356" s="108" t="s">
        <v>9</v>
      </c>
      <c r="H356" s="126">
        <v>0</v>
      </c>
      <c r="I356" s="126">
        <v>0</v>
      </c>
      <c r="J356" s="108">
        <v>7300000000</v>
      </c>
      <c r="K356" s="108" t="str">
        <f t="shared" si="15"/>
        <v>7300000000</v>
      </c>
      <c r="L356" s="303" t="str">
        <f t="shared" si="16"/>
        <v>60401067300000000000</v>
      </c>
      <c r="M356" s="132" t="str">
        <f>INDEX('реш СГД № 265'!$A:$N,MATCH('БА расх 2019-2020'!$L356,'реш СГД № 265'!$N:$N,0),3)</f>
        <v>Обеспечение деятельности комитета финансов и бюджета администрации города Ставрополя</v>
      </c>
      <c r="N356" s="17">
        <f t="shared" si="17"/>
        <v>1</v>
      </c>
    </row>
    <row r="357" spans="1:14" s="29" customFormat="1" ht="47.25">
      <c r="A357" s="28"/>
      <c r="B357" s="143" t="s">
        <v>337</v>
      </c>
      <c r="C357" s="109" t="s">
        <v>332</v>
      </c>
      <c r="D357" s="108" t="s">
        <v>11</v>
      </c>
      <c r="E357" s="108" t="s">
        <v>334</v>
      </c>
      <c r="F357" s="108" t="s">
        <v>338</v>
      </c>
      <c r="G357" s="108" t="s">
        <v>9</v>
      </c>
      <c r="H357" s="126">
        <v>0</v>
      </c>
      <c r="I357" s="126">
        <v>0</v>
      </c>
      <c r="J357" s="108">
        <v>7310000000</v>
      </c>
      <c r="K357" s="108" t="str">
        <f t="shared" si="15"/>
        <v>7310000000</v>
      </c>
      <c r="L357" s="303" t="str">
        <f t="shared" si="16"/>
        <v>60401067310000000000</v>
      </c>
      <c r="M357" s="132" t="str">
        <f>INDEX('реш СГД № 265'!$A:$N,MATCH('БА расх 2019-2020'!$L357,'реш СГД № 265'!$N:$N,0),3)</f>
        <v>Непрограммные расходы в рамках обеспечения деятельности комитета финансов и бюджета администрации города Ставрополя</v>
      </c>
      <c r="N357" s="17">
        <f t="shared" si="17"/>
        <v>1</v>
      </c>
    </row>
    <row r="358" spans="1:14" s="29" customFormat="1" ht="31.5">
      <c r="A358" s="28"/>
      <c r="B358" s="144" t="s">
        <v>18</v>
      </c>
      <c r="C358" s="109" t="s">
        <v>332</v>
      </c>
      <c r="D358" s="108" t="s">
        <v>11</v>
      </c>
      <c r="E358" s="108" t="s">
        <v>334</v>
      </c>
      <c r="F358" s="108" t="s">
        <v>339</v>
      </c>
      <c r="G358" s="108" t="s">
        <v>9</v>
      </c>
      <c r="H358" s="126">
        <v>0</v>
      </c>
      <c r="I358" s="126">
        <v>0</v>
      </c>
      <c r="J358" s="108">
        <v>7310010010</v>
      </c>
      <c r="K358" s="108" t="str">
        <f t="shared" si="15"/>
        <v>7310010010</v>
      </c>
      <c r="L358" s="303" t="str">
        <f t="shared" si="16"/>
        <v>60401067310010010000</v>
      </c>
      <c r="M358" s="132" t="str">
        <f>INDEX('реш СГД № 265'!$A:$N,MATCH('БА расх 2019-2020'!$L358,'реш СГД № 265'!$N:$N,0),3)</f>
        <v>Расходы на обеспечение функций органов местного самоуправления города Ставрополя</v>
      </c>
      <c r="N358" s="17">
        <f t="shared" si="17"/>
        <v>1</v>
      </c>
    </row>
    <row r="359" spans="1:14" s="29" customFormat="1" ht="31.5">
      <c r="A359" s="28"/>
      <c r="B359" s="127" t="s">
        <v>20</v>
      </c>
      <c r="C359" s="109" t="s">
        <v>332</v>
      </c>
      <c r="D359" s="108" t="s">
        <v>11</v>
      </c>
      <c r="E359" s="108" t="s">
        <v>334</v>
      </c>
      <c r="F359" s="108" t="s">
        <v>339</v>
      </c>
      <c r="G359" s="108" t="s">
        <v>21</v>
      </c>
      <c r="H359" s="126">
        <v>0</v>
      </c>
      <c r="I359" s="126">
        <v>0</v>
      </c>
      <c r="J359" s="108">
        <v>7310010010</v>
      </c>
      <c r="K359" s="108" t="str">
        <f t="shared" si="15"/>
        <v>7310010010</v>
      </c>
      <c r="L359" s="303" t="str">
        <f t="shared" si="16"/>
        <v>60401067310010010120</v>
      </c>
      <c r="M359" s="132" t="str">
        <f>INDEX('реш СГД № 265'!$A:$N,MATCH('БА расх 2019-2020'!$L359,'реш СГД № 265'!$N:$N,0),3)</f>
        <v>Расходы на выплаты персоналу государственных (муниципальных) органов</v>
      </c>
      <c r="N359" s="17">
        <f t="shared" si="17"/>
        <v>1</v>
      </c>
    </row>
    <row r="360" spans="1:14" s="31" customFormat="1" ht="47.25">
      <c r="A360" s="30"/>
      <c r="B360" s="127" t="s">
        <v>22</v>
      </c>
      <c r="C360" s="109" t="s">
        <v>332</v>
      </c>
      <c r="D360" s="108" t="s">
        <v>11</v>
      </c>
      <c r="E360" s="108" t="s">
        <v>334</v>
      </c>
      <c r="F360" s="108" t="s">
        <v>339</v>
      </c>
      <c r="G360" s="108" t="s">
        <v>23</v>
      </c>
      <c r="H360" s="126">
        <v>0</v>
      </c>
      <c r="I360" s="126">
        <v>0</v>
      </c>
      <c r="J360" s="108">
        <v>7310010010</v>
      </c>
      <c r="K360" s="108" t="str">
        <f t="shared" si="15"/>
        <v>7310010010</v>
      </c>
      <c r="L360" s="303" t="str">
        <f t="shared" si="16"/>
        <v>60401067310010010122</v>
      </c>
      <c r="M360" s="132"/>
      <c r="N360" s="17">
        <f t="shared" si="17"/>
        <v>0</v>
      </c>
    </row>
    <row r="361" spans="1:14" s="31" customFormat="1" ht="63">
      <c r="A361" s="30"/>
      <c r="B361" s="127" t="s">
        <v>26</v>
      </c>
      <c r="C361" s="109" t="s">
        <v>332</v>
      </c>
      <c r="D361" s="108" t="s">
        <v>11</v>
      </c>
      <c r="E361" s="108" t="s">
        <v>334</v>
      </c>
      <c r="F361" s="108" t="s">
        <v>339</v>
      </c>
      <c r="G361" s="108" t="s">
        <v>27</v>
      </c>
      <c r="H361" s="126">
        <v>0</v>
      </c>
      <c r="I361" s="126">
        <v>0</v>
      </c>
      <c r="J361" s="108">
        <v>7310010010</v>
      </c>
      <c r="K361" s="108" t="str">
        <f t="shared" si="15"/>
        <v>7310010010</v>
      </c>
      <c r="L361" s="303" t="str">
        <f t="shared" si="16"/>
        <v>60401067310010010129</v>
      </c>
      <c r="M361" s="132"/>
      <c r="N361" s="17">
        <f t="shared" si="17"/>
        <v>0</v>
      </c>
    </row>
    <row r="362" spans="1:14" s="29" customFormat="1" ht="31.5">
      <c r="A362" s="28"/>
      <c r="B362" s="125" t="s">
        <v>28</v>
      </c>
      <c r="C362" s="109" t="s">
        <v>332</v>
      </c>
      <c r="D362" s="108" t="s">
        <v>11</v>
      </c>
      <c r="E362" s="108" t="s">
        <v>334</v>
      </c>
      <c r="F362" s="108" t="s">
        <v>339</v>
      </c>
      <c r="G362" s="108" t="s">
        <v>29</v>
      </c>
      <c r="H362" s="126">
        <v>0</v>
      </c>
      <c r="I362" s="126">
        <v>0</v>
      </c>
      <c r="J362" s="108">
        <v>7310010010</v>
      </c>
      <c r="K362" s="108" t="str">
        <f t="shared" si="15"/>
        <v>7310010010</v>
      </c>
      <c r="L362" s="303" t="str">
        <f t="shared" si="16"/>
        <v>60401067310010010240</v>
      </c>
      <c r="M362" s="132" t="str">
        <f>INDEX('реш СГД № 265'!$A:$N,MATCH('БА расх 2019-2020'!$L362,'реш СГД № 265'!$N:$N,0),3)</f>
        <v>Иные закупки товаров, работ и услуг для обеспечения государственных (муниципальных) нужд</v>
      </c>
      <c r="N362" s="17">
        <f t="shared" si="17"/>
        <v>1</v>
      </c>
    </row>
    <row r="363" spans="1:14" s="29" customFormat="1" ht="15.75">
      <c r="A363" s="28"/>
      <c r="B363" s="125" t="s">
        <v>30</v>
      </c>
      <c r="C363" s="109" t="s">
        <v>332</v>
      </c>
      <c r="D363" s="108" t="s">
        <v>11</v>
      </c>
      <c r="E363" s="108" t="s">
        <v>334</v>
      </c>
      <c r="F363" s="108" t="s">
        <v>339</v>
      </c>
      <c r="G363" s="108" t="s">
        <v>31</v>
      </c>
      <c r="H363" s="126">
        <v>0</v>
      </c>
      <c r="I363" s="126">
        <v>0</v>
      </c>
      <c r="J363" s="108">
        <v>7310010010</v>
      </c>
      <c r="K363" s="108" t="str">
        <f t="shared" si="15"/>
        <v>7310010010</v>
      </c>
      <c r="L363" s="303" t="str">
        <f t="shared" si="16"/>
        <v>60401067310010010244</v>
      </c>
      <c r="M363" s="132"/>
      <c r="N363" s="17">
        <f t="shared" si="17"/>
        <v>0</v>
      </c>
    </row>
    <row r="364" spans="1:14" s="29" customFormat="1" ht="15.75">
      <c r="A364" s="28"/>
      <c r="B364" s="125" t="s">
        <v>32</v>
      </c>
      <c r="C364" s="109" t="s">
        <v>332</v>
      </c>
      <c r="D364" s="108" t="s">
        <v>11</v>
      </c>
      <c r="E364" s="108" t="s">
        <v>334</v>
      </c>
      <c r="F364" s="108" t="s">
        <v>339</v>
      </c>
      <c r="G364" s="108" t="s">
        <v>33</v>
      </c>
      <c r="H364" s="126">
        <v>0</v>
      </c>
      <c r="I364" s="126">
        <v>0</v>
      </c>
      <c r="J364" s="108">
        <v>7310010010</v>
      </c>
      <c r="K364" s="108" t="str">
        <f t="shared" si="15"/>
        <v>7310010010</v>
      </c>
      <c r="L364" s="303" t="str">
        <f t="shared" si="16"/>
        <v>60401067310010010850</v>
      </c>
      <c r="M364" s="132" t="str">
        <f>INDEX('реш СГД № 265'!$A:$N,MATCH('БА расх 2019-2020'!$L364,'реш СГД № 265'!$N:$N,0),3)</f>
        <v>Уплата налогов, сборов и иных платежей</v>
      </c>
      <c r="N364" s="17">
        <f t="shared" si="17"/>
        <v>1</v>
      </c>
    </row>
    <row r="365" spans="1:14" s="31" customFormat="1" ht="31.5">
      <c r="A365" s="30"/>
      <c r="B365" s="127" t="s">
        <v>34</v>
      </c>
      <c r="C365" s="109" t="s">
        <v>332</v>
      </c>
      <c r="D365" s="108" t="s">
        <v>11</v>
      </c>
      <c r="E365" s="108" t="s">
        <v>334</v>
      </c>
      <c r="F365" s="108" t="s">
        <v>339</v>
      </c>
      <c r="G365" s="108" t="s">
        <v>35</v>
      </c>
      <c r="H365" s="126">
        <v>0</v>
      </c>
      <c r="I365" s="126">
        <v>0</v>
      </c>
      <c r="J365" s="108">
        <v>7310010010</v>
      </c>
      <c r="K365" s="108" t="str">
        <f t="shared" si="15"/>
        <v>7310010010</v>
      </c>
      <c r="L365" s="303" t="str">
        <f t="shared" si="16"/>
        <v>60401067310010010851</v>
      </c>
      <c r="M365" s="132"/>
      <c r="N365" s="17">
        <f t="shared" si="17"/>
        <v>0</v>
      </c>
    </row>
    <row r="366" spans="1:14" s="31" customFormat="1" ht="15.75">
      <c r="A366" s="30"/>
      <c r="B366" s="127" t="s">
        <v>36</v>
      </c>
      <c r="C366" s="109" t="s">
        <v>332</v>
      </c>
      <c r="D366" s="108" t="s">
        <v>11</v>
      </c>
      <c r="E366" s="108" t="s">
        <v>334</v>
      </c>
      <c r="F366" s="108" t="s">
        <v>339</v>
      </c>
      <c r="G366" s="108" t="s">
        <v>37</v>
      </c>
      <c r="H366" s="126">
        <v>0</v>
      </c>
      <c r="I366" s="126">
        <v>0</v>
      </c>
      <c r="J366" s="108">
        <v>7310010010</v>
      </c>
      <c r="K366" s="108" t="str">
        <f t="shared" si="15"/>
        <v>7310010010</v>
      </c>
      <c r="L366" s="303" t="str">
        <f t="shared" si="16"/>
        <v>60401067310010010852</v>
      </c>
      <c r="M366" s="132"/>
      <c r="N366" s="17">
        <f t="shared" si="17"/>
        <v>0</v>
      </c>
    </row>
    <row r="367" spans="1:14" s="31" customFormat="1" ht="15.75">
      <c r="A367" s="30"/>
      <c r="B367" s="127" t="s">
        <v>77</v>
      </c>
      <c r="C367" s="109" t="s">
        <v>332</v>
      </c>
      <c r="D367" s="108" t="s">
        <v>11</v>
      </c>
      <c r="E367" s="108" t="s">
        <v>334</v>
      </c>
      <c r="F367" s="108" t="s">
        <v>339</v>
      </c>
      <c r="G367" s="108" t="s">
        <v>78</v>
      </c>
      <c r="H367" s="126">
        <v>0</v>
      </c>
      <c r="I367" s="126">
        <v>0</v>
      </c>
      <c r="J367" s="108">
        <v>7310010010</v>
      </c>
      <c r="K367" s="108" t="str">
        <f t="shared" si="15"/>
        <v>7310010010</v>
      </c>
      <c r="L367" s="303" t="str">
        <f t="shared" si="16"/>
        <v>60401067310010010853</v>
      </c>
      <c r="M367" s="132"/>
      <c r="N367" s="17">
        <f t="shared" si="17"/>
        <v>0</v>
      </c>
    </row>
    <row r="368" spans="1:14" s="29" customFormat="1" ht="31.5">
      <c r="A368" s="28"/>
      <c r="B368" s="144" t="s">
        <v>38</v>
      </c>
      <c r="C368" s="109" t="s">
        <v>332</v>
      </c>
      <c r="D368" s="108" t="s">
        <v>11</v>
      </c>
      <c r="E368" s="108" t="s">
        <v>334</v>
      </c>
      <c r="F368" s="108" t="s">
        <v>340</v>
      </c>
      <c r="G368" s="108" t="s">
        <v>9</v>
      </c>
      <c r="H368" s="126">
        <v>0</v>
      </c>
      <c r="I368" s="126">
        <v>0</v>
      </c>
      <c r="J368" s="108">
        <v>7310010020</v>
      </c>
      <c r="K368" s="108" t="str">
        <f t="shared" si="15"/>
        <v>7310010020</v>
      </c>
      <c r="L368" s="303" t="str">
        <f t="shared" si="16"/>
        <v>60401067310010020000</v>
      </c>
      <c r="M368" s="132" t="str">
        <f>INDEX('реш СГД № 265'!$A:$N,MATCH('БА расх 2019-2020'!$L368,'реш СГД № 265'!$N:$N,0),3)</f>
        <v>Расходы на выплаты по оплате труда работников органов местного самоуправления города Ставрополя</v>
      </c>
      <c r="N368" s="17">
        <f t="shared" si="17"/>
        <v>1</v>
      </c>
    </row>
    <row r="369" spans="1:14" s="29" customFormat="1" ht="31.5">
      <c r="A369" s="28"/>
      <c r="B369" s="127" t="s">
        <v>20</v>
      </c>
      <c r="C369" s="109" t="s">
        <v>332</v>
      </c>
      <c r="D369" s="108" t="s">
        <v>11</v>
      </c>
      <c r="E369" s="108" t="s">
        <v>334</v>
      </c>
      <c r="F369" s="108" t="s">
        <v>340</v>
      </c>
      <c r="G369" s="108" t="s">
        <v>21</v>
      </c>
      <c r="H369" s="126">
        <v>0</v>
      </c>
      <c r="I369" s="126">
        <v>0</v>
      </c>
      <c r="J369" s="108">
        <v>7310010020</v>
      </c>
      <c r="K369" s="108" t="str">
        <f t="shared" si="15"/>
        <v>7310010020</v>
      </c>
      <c r="L369" s="303" t="str">
        <f t="shared" si="16"/>
        <v>60401067310010020120</v>
      </c>
      <c r="M369" s="132" t="str">
        <f>INDEX('реш СГД № 265'!$A:$N,MATCH('БА расх 2019-2020'!$L369,'реш СГД № 265'!$N:$N,0),3)</f>
        <v>Расходы на выплаты персоналу государственных (муниципальных) органов</v>
      </c>
      <c r="N369" s="17">
        <f t="shared" si="17"/>
        <v>1</v>
      </c>
    </row>
    <row r="370" spans="1:14" s="31" customFormat="1" ht="31.5">
      <c r="A370" s="30"/>
      <c r="B370" s="127" t="s">
        <v>40</v>
      </c>
      <c r="C370" s="109" t="s">
        <v>332</v>
      </c>
      <c r="D370" s="108" t="s">
        <v>11</v>
      </c>
      <c r="E370" s="108" t="s">
        <v>334</v>
      </c>
      <c r="F370" s="108" t="s">
        <v>340</v>
      </c>
      <c r="G370" s="108" t="s">
        <v>41</v>
      </c>
      <c r="H370" s="126">
        <v>0</v>
      </c>
      <c r="I370" s="126">
        <v>0</v>
      </c>
      <c r="J370" s="108">
        <v>7310010020</v>
      </c>
      <c r="K370" s="108" t="str">
        <f t="shared" si="15"/>
        <v>7310010020</v>
      </c>
      <c r="L370" s="303" t="str">
        <f t="shared" si="16"/>
        <v>60401067310010020121</v>
      </c>
      <c r="M370" s="132"/>
      <c r="N370" s="17">
        <f t="shared" si="17"/>
        <v>0</v>
      </c>
    </row>
    <row r="371" spans="1:14" s="31" customFormat="1" ht="63">
      <c r="A371" s="30"/>
      <c r="B371" s="127" t="s">
        <v>26</v>
      </c>
      <c r="C371" s="109" t="s">
        <v>332</v>
      </c>
      <c r="D371" s="108" t="s">
        <v>11</v>
      </c>
      <c r="E371" s="108" t="s">
        <v>334</v>
      </c>
      <c r="F371" s="108" t="s">
        <v>340</v>
      </c>
      <c r="G371" s="108" t="s">
        <v>27</v>
      </c>
      <c r="H371" s="126">
        <v>0</v>
      </c>
      <c r="I371" s="126">
        <v>0</v>
      </c>
      <c r="J371" s="108">
        <v>7310010020</v>
      </c>
      <c r="K371" s="108" t="str">
        <f t="shared" si="15"/>
        <v>7310010020</v>
      </c>
      <c r="L371" s="303" t="str">
        <f t="shared" si="16"/>
        <v>60401067310010020129</v>
      </c>
      <c r="M371" s="132"/>
      <c r="N371" s="17">
        <f t="shared" si="17"/>
        <v>0</v>
      </c>
    </row>
    <row r="372" spans="1:14" s="29" customFormat="1" ht="15.75">
      <c r="A372" s="28"/>
      <c r="B372" s="121" t="s">
        <v>341</v>
      </c>
      <c r="C372" s="122" t="s">
        <v>332</v>
      </c>
      <c r="D372" s="123" t="s">
        <v>11</v>
      </c>
      <c r="E372" s="123" t="s">
        <v>342</v>
      </c>
      <c r="F372" s="123" t="s">
        <v>8</v>
      </c>
      <c r="G372" s="123" t="s">
        <v>343</v>
      </c>
      <c r="H372" s="124">
        <v>0</v>
      </c>
      <c r="I372" s="124">
        <v>0</v>
      </c>
      <c r="J372" s="123">
        <v>0</v>
      </c>
      <c r="K372" s="108" t="str">
        <f t="shared" si="15"/>
        <v>0000000000</v>
      </c>
      <c r="L372" s="303" t="str">
        <f t="shared" si="16"/>
        <v xml:space="preserve">60401110000000000000 </v>
      </c>
      <c r="M372" s="132" t="str">
        <f>INDEX('реш СГД № 265'!$A:$N,MATCH('БА расх 2019-2020'!$L372,'реш СГД № 265'!$N:$N,0),3)</f>
        <v>Резервный фонд</v>
      </c>
      <c r="N372" s="17">
        <f t="shared" si="17"/>
        <v>1</v>
      </c>
    </row>
    <row r="373" spans="1:14" s="29" customFormat="1" ht="63">
      <c r="A373" s="28"/>
      <c r="B373" s="125" t="s">
        <v>87</v>
      </c>
      <c r="C373" s="109" t="s">
        <v>332</v>
      </c>
      <c r="D373" s="108" t="s">
        <v>11</v>
      </c>
      <c r="E373" s="108" t="s">
        <v>342</v>
      </c>
      <c r="F373" s="108" t="s">
        <v>88</v>
      </c>
      <c r="G373" s="108" t="s">
        <v>9</v>
      </c>
      <c r="H373" s="126">
        <v>0</v>
      </c>
      <c r="I373" s="126">
        <v>0</v>
      </c>
      <c r="J373" s="108">
        <v>9800000000</v>
      </c>
      <c r="K373" s="108" t="str">
        <f t="shared" si="15"/>
        <v>9800000000</v>
      </c>
      <c r="L373" s="303" t="str">
        <f t="shared" si="16"/>
        <v>60401119800000000000</v>
      </c>
      <c r="M373" s="132" t="str">
        <f>INDEX('реш СГД № 265'!$A:$N,MATCH('БА расх 2019-2020'!$L373,'реш СГД № 265'!$N:$N,0),3)</f>
        <v>Реализация иных функций Ставропольской городской Думы, администрации города Ставрополя, ее отраслевых (функциональных) и территориальных органов</v>
      </c>
      <c r="N373" s="17">
        <f t="shared" si="17"/>
        <v>1</v>
      </c>
    </row>
    <row r="374" spans="1:14" s="29" customFormat="1" ht="15.75">
      <c r="A374" s="28"/>
      <c r="B374" s="125" t="s">
        <v>89</v>
      </c>
      <c r="C374" s="109" t="s">
        <v>332</v>
      </c>
      <c r="D374" s="108" t="s">
        <v>11</v>
      </c>
      <c r="E374" s="108" t="s">
        <v>342</v>
      </c>
      <c r="F374" s="108" t="s">
        <v>90</v>
      </c>
      <c r="G374" s="108" t="s">
        <v>9</v>
      </c>
      <c r="H374" s="126">
        <v>0</v>
      </c>
      <c r="I374" s="126">
        <v>0</v>
      </c>
      <c r="J374" s="108">
        <v>9810000000</v>
      </c>
      <c r="K374" s="108" t="str">
        <f t="shared" si="15"/>
        <v>9810000000</v>
      </c>
      <c r="L374" s="303" t="str">
        <f t="shared" si="16"/>
        <v>60401119810000000000</v>
      </c>
      <c r="M374" s="132" t="str">
        <f>INDEX('реш СГД № 265'!$A:$N,MATCH('БА расх 2019-2020'!$L374,'реш СГД № 265'!$N:$N,0),3)</f>
        <v>Иные непрограммные мероприятия</v>
      </c>
      <c r="N374" s="17">
        <f t="shared" si="17"/>
        <v>1</v>
      </c>
    </row>
    <row r="375" spans="1:14" s="29" customFormat="1" ht="15.75">
      <c r="A375" s="28"/>
      <c r="B375" s="125" t="s">
        <v>344</v>
      </c>
      <c r="C375" s="109" t="s">
        <v>332</v>
      </c>
      <c r="D375" s="108" t="s">
        <v>11</v>
      </c>
      <c r="E375" s="108" t="s">
        <v>342</v>
      </c>
      <c r="F375" s="108" t="s">
        <v>345</v>
      </c>
      <c r="G375" s="108" t="s">
        <v>9</v>
      </c>
      <c r="H375" s="126">
        <v>0</v>
      </c>
      <c r="I375" s="126">
        <v>0</v>
      </c>
      <c r="J375" s="108">
        <v>9810020020</v>
      </c>
      <c r="K375" s="108" t="str">
        <f t="shared" si="15"/>
        <v>9810020020</v>
      </c>
      <c r="L375" s="303" t="str">
        <f t="shared" si="16"/>
        <v>60401119810020020000</v>
      </c>
      <c r="M375" s="132" t="str">
        <f>INDEX('реш СГД № 265'!$A:$N,MATCH('БА расх 2019-2020'!$L375,'реш СГД № 265'!$N:$N,0),3)</f>
        <v>Резервный фонд администрации города Ставрополя</v>
      </c>
      <c r="N375" s="17">
        <f t="shared" si="17"/>
        <v>1</v>
      </c>
    </row>
    <row r="376" spans="1:14" s="29" customFormat="1" ht="15.75">
      <c r="A376" s="28"/>
      <c r="B376" s="125" t="s">
        <v>346</v>
      </c>
      <c r="C376" s="109" t="s">
        <v>332</v>
      </c>
      <c r="D376" s="108" t="s">
        <v>11</v>
      </c>
      <c r="E376" s="108" t="s">
        <v>342</v>
      </c>
      <c r="F376" s="108" t="s">
        <v>345</v>
      </c>
      <c r="G376" s="108" t="s">
        <v>347</v>
      </c>
      <c r="H376" s="126">
        <v>0</v>
      </c>
      <c r="I376" s="126">
        <v>0</v>
      </c>
      <c r="J376" s="108">
        <v>9810020020</v>
      </c>
      <c r="K376" s="108" t="str">
        <f t="shared" si="15"/>
        <v>9810020020</v>
      </c>
      <c r="L376" s="303" t="str">
        <f t="shared" si="16"/>
        <v>60401119810020020870</v>
      </c>
      <c r="M376" s="132"/>
      <c r="N376" s="17">
        <f t="shared" si="17"/>
        <v>0</v>
      </c>
    </row>
    <row r="377" spans="1:14" s="29" customFormat="1" ht="15.75">
      <c r="A377" s="28"/>
      <c r="B377" s="121" t="s">
        <v>50</v>
      </c>
      <c r="C377" s="122" t="s">
        <v>332</v>
      </c>
      <c r="D377" s="123" t="s">
        <v>11</v>
      </c>
      <c r="E377" s="123" t="s">
        <v>51</v>
      </c>
      <c r="F377" s="123" t="s">
        <v>8</v>
      </c>
      <c r="G377" s="123" t="s">
        <v>9</v>
      </c>
      <c r="H377" s="124">
        <v>0</v>
      </c>
      <c r="I377" s="124">
        <v>0</v>
      </c>
      <c r="J377" s="123">
        <v>0</v>
      </c>
      <c r="K377" s="108" t="str">
        <f t="shared" si="15"/>
        <v>0000000000</v>
      </c>
      <c r="L377" s="303" t="str">
        <f t="shared" si="16"/>
        <v>60401130000000000000</v>
      </c>
      <c r="M377" s="132" t="str">
        <f>INDEX('реш СГД № 265'!$A:$N,MATCH('БА расх 2019-2020'!$L377,'реш СГД № 265'!$N:$N,0),3)</f>
        <v>Другие общегосударственные вопросы</v>
      </c>
      <c r="N377" s="17">
        <f t="shared" si="17"/>
        <v>1</v>
      </c>
    </row>
    <row r="378" spans="1:14" s="29" customFormat="1" ht="47.25">
      <c r="A378" s="28"/>
      <c r="B378" s="127" t="s">
        <v>348</v>
      </c>
      <c r="C378" s="109" t="s">
        <v>332</v>
      </c>
      <c r="D378" s="108" t="s">
        <v>11</v>
      </c>
      <c r="E378" s="108" t="s">
        <v>51</v>
      </c>
      <c r="F378" s="108" t="s">
        <v>349</v>
      </c>
      <c r="G378" s="108" t="s">
        <v>9</v>
      </c>
      <c r="H378" s="126">
        <v>0</v>
      </c>
      <c r="I378" s="126">
        <v>0</v>
      </c>
      <c r="J378" s="108">
        <v>1000000000</v>
      </c>
      <c r="K378" s="108" t="str">
        <f t="shared" si="15"/>
        <v>1000000000</v>
      </c>
      <c r="L378" s="303" t="str">
        <f t="shared" si="16"/>
        <v>60401131000000000000</v>
      </c>
      <c r="M378" s="132" t="str">
        <f>INDEX('реш СГД № 265'!$A:$N,MATCH('БА расх 2019-2020'!$L378,'реш СГД № 265'!$N:$N,0),3)</f>
        <v>Муниципальная программа «Управление муниципальными финансами и муниципальным долгом города Ставрополя»</v>
      </c>
      <c r="N378" s="17">
        <f t="shared" si="17"/>
        <v>1</v>
      </c>
    </row>
    <row r="379" spans="1:14" s="29" customFormat="1" ht="63">
      <c r="A379" s="28"/>
      <c r="B379" s="127" t="s">
        <v>350</v>
      </c>
      <c r="C379" s="109" t="s">
        <v>332</v>
      </c>
      <c r="D379" s="108" t="s">
        <v>11</v>
      </c>
      <c r="E379" s="108" t="s">
        <v>51</v>
      </c>
      <c r="F379" s="108" t="s">
        <v>351</v>
      </c>
      <c r="G379" s="108" t="s">
        <v>9</v>
      </c>
      <c r="H379" s="126">
        <v>0</v>
      </c>
      <c r="I379" s="126">
        <v>0</v>
      </c>
      <c r="J379" s="108" t="s">
        <v>1193</v>
      </c>
      <c r="K379" s="108" t="str">
        <f t="shared" si="15"/>
        <v>10Б0000000</v>
      </c>
      <c r="L379" s="303" t="str">
        <f t="shared" si="16"/>
        <v>604011310Б0000000000</v>
      </c>
      <c r="M379" s="132" t="str">
        <f>INDEX('реш СГД № 265'!$A:$N,MATCH('БА расх 2019-2020'!$L379,'реш СГД № 265'!$N:$N,0),3)</f>
        <v>Расходы в рамках реализации муниципальной программы «Управление муниципальными финансами и муниципальным долгом города Ставрополя»</v>
      </c>
      <c r="N379" s="17">
        <f t="shared" si="17"/>
        <v>1</v>
      </c>
    </row>
    <row r="380" spans="1:14" s="29" customFormat="1" ht="78.75">
      <c r="A380" s="28"/>
      <c r="B380" s="127" t="s">
        <v>352</v>
      </c>
      <c r="C380" s="109" t="s">
        <v>332</v>
      </c>
      <c r="D380" s="108" t="s">
        <v>11</v>
      </c>
      <c r="E380" s="108" t="s">
        <v>51</v>
      </c>
      <c r="F380" s="108" t="s">
        <v>353</v>
      </c>
      <c r="G380" s="108" t="s">
        <v>9</v>
      </c>
      <c r="H380" s="126">
        <v>0</v>
      </c>
      <c r="I380" s="126">
        <v>0</v>
      </c>
      <c r="J380" s="108" t="s">
        <v>1194</v>
      </c>
      <c r="K380" s="108" t="str">
        <f t="shared" si="15"/>
        <v>10Б0100000</v>
      </c>
      <c r="L380" s="303" t="str">
        <f t="shared" si="16"/>
        <v>604011310Б0100000000</v>
      </c>
      <c r="M380" s="132" t="str">
        <f>INDEX('реш СГД № 265'!$A:$N,MATCH('БА расх 2019-2020'!$L380,'реш СГД № 265'!$N:$N,0),3)</f>
        <v>Основное мероприятие «Резервирование средств на выплаты на основании исполнительных листов судебных органов по искам к муниципальному образованию городу Ставрополю Ставропольского края»</v>
      </c>
      <c r="N380" s="17">
        <f t="shared" si="17"/>
        <v>1</v>
      </c>
    </row>
    <row r="381" spans="1:14" s="29" customFormat="1" ht="31.5">
      <c r="A381" s="28"/>
      <c r="B381" s="125" t="s">
        <v>187</v>
      </c>
      <c r="C381" s="109" t="s">
        <v>332</v>
      </c>
      <c r="D381" s="108" t="s">
        <v>11</v>
      </c>
      <c r="E381" s="108" t="s">
        <v>51</v>
      </c>
      <c r="F381" s="108" t="s">
        <v>354</v>
      </c>
      <c r="G381" s="108" t="s">
        <v>9</v>
      </c>
      <c r="H381" s="126">
        <v>0</v>
      </c>
      <c r="I381" s="126">
        <v>0</v>
      </c>
      <c r="J381" s="108" t="s">
        <v>1195</v>
      </c>
      <c r="K381" s="108" t="str">
        <f t="shared" si="15"/>
        <v>10Б0120050</v>
      </c>
      <c r="L381" s="303" t="str">
        <f t="shared" si="16"/>
        <v>604011310Б0120050000</v>
      </c>
      <c r="M381" s="132" t="str">
        <f>INDEX('реш СГД № 265'!$A:$N,MATCH('БА расх 2019-2020'!$L381,'реш СГД № 265'!$N:$N,0),3)</f>
        <v>Расходы на выплаты на основании исполнительных листов судебных органов</v>
      </c>
      <c r="N381" s="17">
        <f t="shared" si="17"/>
        <v>1</v>
      </c>
    </row>
    <row r="382" spans="1:14" s="29" customFormat="1" ht="15.75">
      <c r="A382" s="28"/>
      <c r="B382" s="125" t="s">
        <v>189</v>
      </c>
      <c r="C382" s="109" t="s">
        <v>332</v>
      </c>
      <c r="D382" s="108" t="s">
        <v>11</v>
      </c>
      <c r="E382" s="108" t="s">
        <v>51</v>
      </c>
      <c r="F382" s="108" t="s">
        <v>354</v>
      </c>
      <c r="G382" s="108" t="s">
        <v>190</v>
      </c>
      <c r="H382" s="126">
        <v>0</v>
      </c>
      <c r="I382" s="126">
        <v>0</v>
      </c>
      <c r="J382" s="108" t="s">
        <v>1195</v>
      </c>
      <c r="K382" s="108" t="str">
        <f t="shared" si="15"/>
        <v>10Б0120050</v>
      </c>
      <c r="L382" s="303" t="str">
        <f t="shared" si="16"/>
        <v>604011310Б0120050830</v>
      </c>
      <c r="M382" s="132" t="str">
        <f>INDEX('реш СГД № 265'!$A:$N,MATCH('БА расх 2019-2020'!$L382,'реш СГД № 265'!$N:$N,0),3)</f>
        <v>Исполнение судебных актов</v>
      </c>
      <c r="N382" s="17">
        <f t="shared" si="17"/>
        <v>1</v>
      </c>
    </row>
    <row r="383" spans="1:14" s="29" customFormat="1" ht="47.25">
      <c r="A383" s="28"/>
      <c r="B383" s="125" t="s">
        <v>191</v>
      </c>
      <c r="C383" s="109" t="s">
        <v>332</v>
      </c>
      <c r="D383" s="108" t="s">
        <v>11</v>
      </c>
      <c r="E383" s="108" t="s">
        <v>51</v>
      </c>
      <c r="F383" s="108" t="s">
        <v>354</v>
      </c>
      <c r="G383" s="108" t="s">
        <v>192</v>
      </c>
      <c r="H383" s="126">
        <v>0</v>
      </c>
      <c r="I383" s="126">
        <v>0</v>
      </c>
      <c r="J383" s="108" t="s">
        <v>1195</v>
      </c>
      <c r="K383" s="108" t="str">
        <f t="shared" si="15"/>
        <v>10Б0120050</v>
      </c>
      <c r="L383" s="303" t="str">
        <f t="shared" si="16"/>
        <v>604011310Б0120050831</v>
      </c>
      <c r="M383" s="132"/>
      <c r="N383" s="17">
        <f t="shared" si="17"/>
        <v>0</v>
      </c>
    </row>
    <row r="384" spans="1:14" s="29" customFormat="1" ht="63">
      <c r="A384" s="28"/>
      <c r="B384" s="125" t="s">
        <v>87</v>
      </c>
      <c r="C384" s="109" t="s">
        <v>332</v>
      </c>
      <c r="D384" s="108" t="s">
        <v>11</v>
      </c>
      <c r="E384" s="108" t="s">
        <v>51</v>
      </c>
      <c r="F384" s="108" t="s">
        <v>88</v>
      </c>
      <c r="G384" s="108" t="s">
        <v>9</v>
      </c>
      <c r="H384" s="126">
        <v>0</v>
      </c>
      <c r="I384" s="126">
        <v>0</v>
      </c>
      <c r="J384" s="108">
        <v>9800000000</v>
      </c>
      <c r="K384" s="108" t="str">
        <f t="shared" si="15"/>
        <v>9800000000</v>
      </c>
      <c r="L384" s="303" t="str">
        <f t="shared" si="16"/>
        <v>60401139800000000000</v>
      </c>
      <c r="M384" s="132" t="str">
        <f>INDEX('реш СГД № 265'!$A:$N,MATCH('БА расх 2019-2020'!$L384,'реш СГД № 265'!$N:$N,0),3)</f>
        <v>Реализация иных функций Ставропольской городской Думы, администрации города Ставрополя, ее отраслевых (функциональных) и территориальных органов</v>
      </c>
      <c r="N384" s="17">
        <f t="shared" si="17"/>
        <v>1</v>
      </c>
    </row>
    <row r="385" spans="1:14" s="29" customFormat="1" ht="15.75">
      <c r="A385" s="28"/>
      <c r="B385" s="125" t="s">
        <v>89</v>
      </c>
      <c r="C385" s="109" t="s">
        <v>332</v>
      </c>
      <c r="D385" s="108" t="s">
        <v>11</v>
      </c>
      <c r="E385" s="108" t="s">
        <v>51</v>
      </c>
      <c r="F385" s="108" t="s">
        <v>90</v>
      </c>
      <c r="G385" s="108" t="s">
        <v>9</v>
      </c>
      <c r="H385" s="126">
        <v>0</v>
      </c>
      <c r="I385" s="126">
        <v>0</v>
      </c>
      <c r="J385" s="108">
        <v>9810000000</v>
      </c>
      <c r="K385" s="108" t="str">
        <f t="shared" si="15"/>
        <v>9810000000</v>
      </c>
      <c r="L385" s="303" t="str">
        <f t="shared" si="16"/>
        <v>60401139810000000000</v>
      </c>
      <c r="M385" s="132" t="str">
        <f>INDEX('реш СГД № 265'!$A:$N,MATCH('БА расх 2019-2020'!$L385,'реш СГД № 265'!$N:$N,0),3)</f>
        <v>Иные непрограммные мероприятия</v>
      </c>
      <c r="N385" s="17">
        <f t="shared" si="17"/>
        <v>1</v>
      </c>
    </row>
    <row r="386" spans="1:14" s="29" customFormat="1" ht="47.25">
      <c r="A386" s="28"/>
      <c r="B386" s="125" t="s">
        <v>355</v>
      </c>
      <c r="C386" s="109" t="s">
        <v>332</v>
      </c>
      <c r="D386" s="108" t="s">
        <v>11</v>
      </c>
      <c r="E386" s="108" t="s">
        <v>51</v>
      </c>
      <c r="F386" s="108" t="s">
        <v>356</v>
      </c>
      <c r="G386" s="108" t="s">
        <v>9</v>
      </c>
      <c r="H386" s="126">
        <v>0</v>
      </c>
      <c r="I386" s="126">
        <v>0</v>
      </c>
      <c r="J386" s="108">
        <v>9810010050</v>
      </c>
      <c r="K386" s="108" t="str">
        <f t="shared" si="15"/>
        <v>9810010050</v>
      </c>
      <c r="L386" s="303" t="str">
        <f t="shared" si="16"/>
        <v>60401139810010050000</v>
      </c>
      <c r="M386" s="132" t="str">
        <f>INDEX('реш СГД № 265'!$A:$N,MATCH('БА расх 2019-2020'!$L386,'реш СГД № 265'!$N:$N,0),3)</f>
        <v>Поощрение муниципального служащего в связи с выходом на страховую пенсию по старости (инвалидности)</v>
      </c>
      <c r="N386" s="17">
        <f t="shared" si="17"/>
        <v>1</v>
      </c>
    </row>
    <row r="387" spans="1:14" s="29" customFormat="1" ht="15.75">
      <c r="A387" s="28"/>
      <c r="B387" s="129" t="s">
        <v>357</v>
      </c>
      <c r="C387" s="109" t="s">
        <v>332</v>
      </c>
      <c r="D387" s="108" t="s">
        <v>11</v>
      </c>
      <c r="E387" s="108" t="s">
        <v>51</v>
      </c>
      <c r="F387" s="108" t="s">
        <v>356</v>
      </c>
      <c r="G387" s="108" t="s">
        <v>358</v>
      </c>
      <c r="H387" s="126">
        <v>0</v>
      </c>
      <c r="I387" s="126">
        <v>0</v>
      </c>
      <c r="J387" s="108">
        <v>9810010050</v>
      </c>
      <c r="K387" s="108" t="str">
        <f t="shared" si="15"/>
        <v>9810010050</v>
      </c>
      <c r="L387" s="303" t="str">
        <f t="shared" si="16"/>
        <v>60401139810010050880</v>
      </c>
      <c r="M387" s="132"/>
      <c r="N387" s="17">
        <f t="shared" si="17"/>
        <v>0</v>
      </c>
    </row>
    <row r="388" spans="1:14" s="29" customFormat="1" ht="63">
      <c r="A388" s="28"/>
      <c r="B388" s="135" t="s">
        <v>359</v>
      </c>
      <c r="C388" s="109" t="s">
        <v>332</v>
      </c>
      <c r="D388" s="108" t="s">
        <v>11</v>
      </c>
      <c r="E388" s="108" t="s">
        <v>51</v>
      </c>
      <c r="F388" s="108" t="s">
        <v>360</v>
      </c>
      <c r="G388" s="108" t="s">
        <v>9</v>
      </c>
      <c r="H388" s="126">
        <v>0</v>
      </c>
      <c r="I388" s="126">
        <v>0</v>
      </c>
      <c r="J388" s="108">
        <v>9810021440</v>
      </c>
      <c r="K388" s="108" t="str">
        <f t="shared" si="15"/>
        <v>9810021440</v>
      </c>
      <c r="L388" s="303" t="str">
        <f t="shared" si="16"/>
        <v>60401139810021440000</v>
      </c>
      <c r="M388" s="132" t="str">
        <f>INDEX('реш СГД № 265'!$A:$N,MATCH('БА расх 2019-2020'!$L388,'реш СГД № 265'!$N:$N,0),3)</f>
        <v>Расходы на обеспечение выплаты работникам организаций минимального размера оплаты труда, установленного законодательством Российской Федерации</v>
      </c>
      <c r="N388" s="17">
        <f t="shared" si="17"/>
        <v>1</v>
      </c>
    </row>
    <row r="389" spans="1:14" s="29" customFormat="1" ht="15.75">
      <c r="A389" s="28"/>
      <c r="B389" s="129" t="s">
        <v>357</v>
      </c>
      <c r="C389" s="109" t="s">
        <v>332</v>
      </c>
      <c r="D389" s="108" t="s">
        <v>11</v>
      </c>
      <c r="E389" s="108" t="s">
        <v>51</v>
      </c>
      <c r="F389" s="108" t="s">
        <v>360</v>
      </c>
      <c r="G389" s="108" t="s">
        <v>358</v>
      </c>
      <c r="H389" s="126">
        <v>0</v>
      </c>
      <c r="I389" s="126">
        <v>0</v>
      </c>
      <c r="J389" s="108">
        <v>9810021440</v>
      </c>
      <c r="K389" s="108" t="str">
        <f t="shared" si="15"/>
        <v>9810021440</v>
      </c>
      <c r="L389" s="303" t="str">
        <f t="shared" si="16"/>
        <v>60401139810021440880</v>
      </c>
      <c r="M389" s="132"/>
      <c r="N389" s="17">
        <f t="shared" si="17"/>
        <v>0</v>
      </c>
    </row>
    <row r="390" spans="1:14" s="29" customFormat="1" ht="78.75">
      <c r="A390" s="28"/>
      <c r="B390" s="428" t="s">
        <v>1116</v>
      </c>
      <c r="C390" s="109" t="s">
        <v>332</v>
      </c>
      <c r="D390" s="108" t="s">
        <v>11</v>
      </c>
      <c r="E390" s="108" t="s">
        <v>51</v>
      </c>
      <c r="F390" s="108" t="s">
        <v>1117</v>
      </c>
      <c r="G390" s="108" t="s">
        <v>9</v>
      </c>
      <c r="H390" s="126">
        <v>0</v>
      </c>
      <c r="I390" s="126">
        <v>0</v>
      </c>
      <c r="J390" s="108">
        <v>9810021520</v>
      </c>
      <c r="K390" s="108" t="str">
        <f t="shared" si="15"/>
        <v>9810021520</v>
      </c>
      <c r="L390" s="303" t="str">
        <f t="shared" si="16"/>
        <v>60401139810021520000</v>
      </c>
      <c r="M390" s="132" t="str">
        <f>INDEX('реш СГД № 265'!$A:$N,MATCH('БА расх 2019-2020'!$L390,'реш СГД № 265'!$N:$N,0),3)</f>
        <v>Расходы на повышение заработной платы работников муниципальных учреждений культуры города Ставрополя, педагогических работников муниципальных учреждений дополнительного образования детей города Ставрополя</v>
      </c>
      <c r="N390" s="17">
        <f t="shared" si="17"/>
        <v>1</v>
      </c>
    </row>
    <row r="391" spans="1:14" s="29" customFormat="1" ht="15.75">
      <c r="A391" s="28"/>
      <c r="B391" s="129" t="s">
        <v>357</v>
      </c>
      <c r="C391" s="109" t="s">
        <v>332</v>
      </c>
      <c r="D391" s="108" t="s">
        <v>11</v>
      </c>
      <c r="E391" s="108" t="s">
        <v>51</v>
      </c>
      <c r="F391" s="108" t="s">
        <v>1117</v>
      </c>
      <c r="G391" s="108" t="s">
        <v>358</v>
      </c>
      <c r="H391" s="126">
        <v>0</v>
      </c>
      <c r="I391" s="126">
        <v>0</v>
      </c>
      <c r="J391" s="108">
        <v>9810021520</v>
      </c>
      <c r="K391" s="108" t="str">
        <f t="shared" si="15"/>
        <v>9810021520</v>
      </c>
      <c r="L391" s="303" t="str">
        <f t="shared" si="16"/>
        <v>60401139810021520880</v>
      </c>
      <c r="M391" s="132"/>
      <c r="N391" s="17">
        <f t="shared" si="17"/>
        <v>0</v>
      </c>
    </row>
    <row r="392" spans="1:14" s="29" customFormat="1" ht="31.5">
      <c r="A392" s="28"/>
      <c r="B392" s="117" t="s">
        <v>363</v>
      </c>
      <c r="C392" s="118" t="s">
        <v>332</v>
      </c>
      <c r="D392" s="119" t="s">
        <v>51</v>
      </c>
      <c r="E392" s="119" t="s">
        <v>7</v>
      </c>
      <c r="F392" s="119" t="s">
        <v>8</v>
      </c>
      <c r="G392" s="119" t="s">
        <v>9</v>
      </c>
      <c r="H392" s="120">
        <v>0</v>
      </c>
      <c r="I392" s="120">
        <v>0</v>
      </c>
      <c r="J392" s="119">
        <v>0</v>
      </c>
      <c r="K392" s="108" t="str">
        <f t="shared" si="15"/>
        <v>0000000000</v>
      </c>
      <c r="L392" s="303" t="str">
        <f t="shared" si="16"/>
        <v>60413000000000000000</v>
      </c>
      <c r="M392" s="132" t="str">
        <f>INDEX('реш СГД № 265'!$A:$N,MATCH('БА расх 2019-2020'!$L392,'реш СГД № 265'!$N:$N,0),3)</f>
        <v>Обслуживание государственного и муниципального долга</v>
      </c>
      <c r="N392" s="17">
        <f t="shared" si="17"/>
        <v>1</v>
      </c>
    </row>
    <row r="393" spans="1:14" s="29" customFormat="1" ht="31.5">
      <c r="A393" s="28"/>
      <c r="B393" s="121" t="s">
        <v>364</v>
      </c>
      <c r="C393" s="122" t="s">
        <v>332</v>
      </c>
      <c r="D393" s="123" t="s">
        <v>51</v>
      </c>
      <c r="E393" s="123" t="s">
        <v>11</v>
      </c>
      <c r="F393" s="123" t="s">
        <v>8</v>
      </c>
      <c r="G393" s="123" t="s">
        <v>9</v>
      </c>
      <c r="H393" s="124">
        <v>0</v>
      </c>
      <c r="I393" s="124">
        <v>0</v>
      </c>
      <c r="J393" s="123">
        <v>0</v>
      </c>
      <c r="K393" s="108" t="str">
        <f t="shared" si="15"/>
        <v>0000000000</v>
      </c>
      <c r="L393" s="303" t="str">
        <f t="shared" si="16"/>
        <v>60413010000000000000</v>
      </c>
      <c r="M393" s="132" t="str">
        <f>INDEX('реш СГД № 265'!$A:$N,MATCH('БА расх 2019-2020'!$L393,'реш СГД № 265'!$N:$N,0),3)</f>
        <v>Обслуживание государственного внутреннего и муниципального долга</v>
      </c>
      <c r="N393" s="17">
        <f t="shared" si="17"/>
        <v>1</v>
      </c>
    </row>
    <row r="394" spans="1:14" s="29" customFormat="1" ht="47.25">
      <c r="A394" s="28"/>
      <c r="B394" s="127" t="s">
        <v>348</v>
      </c>
      <c r="C394" s="109" t="s">
        <v>332</v>
      </c>
      <c r="D394" s="108" t="s">
        <v>51</v>
      </c>
      <c r="E394" s="108" t="s">
        <v>11</v>
      </c>
      <c r="F394" s="108" t="s">
        <v>349</v>
      </c>
      <c r="G394" s="108" t="s">
        <v>9</v>
      </c>
      <c r="H394" s="126">
        <v>0</v>
      </c>
      <c r="I394" s="126">
        <v>0</v>
      </c>
      <c r="J394" s="108">
        <v>1000000000</v>
      </c>
      <c r="K394" s="108" t="str">
        <f t="shared" si="15"/>
        <v>1000000000</v>
      </c>
      <c r="L394" s="303" t="str">
        <f t="shared" si="16"/>
        <v>60413011000000000000</v>
      </c>
      <c r="M394" s="132" t="str">
        <f>INDEX('реш СГД № 265'!$A:$N,MATCH('БА расх 2019-2020'!$L394,'реш СГД № 265'!$N:$N,0),3)</f>
        <v>Муниципальная программа «Управление муниципальными финансами и муниципальным долгом города Ставрополя»</v>
      </c>
      <c r="N394" s="17">
        <f t="shared" si="17"/>
        <v>1</v>
      </c>
    </row>
    <row r="395" spans="1:14" s="29" customFormat="1" ht="63">
      <c r="A395" s="28"/>
      <c r="B395" s="127" t="s">
        <v>350</v>
      </c>
      <c r="C395" s="109" t="s">
        <v>332</v>
      </c>
      <c r="D395" s="108" t="s">
        <v>51</v>
      </c>
      <c r="E395" s="108" t="s">
        <v>11</v>
      </c>
      <c r="F395" s="108" t="s">
        <v>351</v>
      </c>
      <c r="G395" s="108" t="s">
        <v>9</v>
      </c>
      <c r="H395" s="126">
        <v>0</v>
      </c>
      <c r="I395" s="126">
        <v>0</v>
      </c>
      <c r="J395" s="108" t="s">
        <v>1193</v>
      </c>
      <c r="K395" s="108" t="str">
        <f t="shared" ref="K395:K458" si="18">TEXT(J395,"0000000000")</f>
        <v>10Б0000000</v>
      </c>
      <c r="L395" s="303" t="str">
        <f t="shared" si="16"/>
        <v>604130110Б0000000000</v>
      </c>
      <c r="M395" s="132" t="str">
        <f>INDEX('реш СГД № 265'!$A:$N,MATCH('БА расх 2019-2020'!$L395,'реш СГД № 265'!$N:$N,0),3)</f>
        <v>Расходы в рамках реализации муниципальной программы «Управление муниципальными финансами и муниципальным долгом города Ставрополя»</v>
      </c>
      <c r="N395" s="17">
        <f t="shared" si="17"/>
        <v>1</v>
      </c>
    </row>
    <row r="396" spans="1:14" s="29" customFormat="1" ht="63">
      <c r="A396" s="28"/>
      <c r="B396" s="127" t="s">
        <v>365</v>
      </c>
      <c r="C396" s="109" t="s">
        <v>332</v>
      </c>
      <c r="D396" s="108" t="s">
        <v>51</v>
      </c>
      <c r="E396" s="108" t="s">
        <v>11</v>
      </c>
      <c r="F396" s="108" t="s">
        <v>366</v>
      </c>
      <c r="G396" s="108" t="s">
        <v>9</v>
      </c>
      <c r="H396" s="126">
        <v>0</v>
      </c>
      <c r="I396" s="126">
        <v>0</v>
      </c>
      <c r="J396" s="108" t="s">
        <v>1196</v>
      </c>
      <c r="K396" s="108" t="str">
        <f t="shared" si="18"/>
        <v>10Б0200000</v>
      </c>
      <c r="L396" s="303" t="str">
        <f t="shared" ref="L396:L459" si="19">C396&amp;D396&amp;E396&amp;K396&amp;G396</f>
        <v>604130110Б0200000000</v>
      </c>
      <c r="M396" s="132" t="str">
        <f>INDEX('реш СГД № 265'!$A:$N,MATCH('БА расх 2019-2020'!$L396,'реш СГД № 265'!$N:$N,0),3)</f>
        <v>Основное мероприятие «Своевременное исполнение обязательств по обслуживанию и погашению муниципального долга города Ставрополя, принятие мер по его реструктуризации»</v>
      </c>
      <c r="N396" s="17">
        <f t="shared" ref="N396:N459" si="20">IF(B396=M396,1,0)</f>
        <v>1</v>
      </c>
    </row>
    <row r="397" spans="1:14" s="29" customFormat="1" ht="31.5">
      <c r="A397" s="28"/>
      <c r="B397" s="127" t="s">
        <v>367</v>
      </c>
      <c r="C397" s="109" t="s">
        <v>332</v>
      </c>
      <c r="D397" s="108" t="s">
        <v>51</v>
      </c>
      <c r="E397" s="108" t="s">
        <v>11</v>
      </c>
      <c r="F397" s="108" t="s">
        <v>368</v>
      </c>
      <c r="G397" s="108" t="s">
        <v>9</v>
      </c>
      <c r="H397" s="126">
        <v>0</v>
      </c>
      <c r="I397" s="126">
        <v>0</v>
      </c>
      <c r="J397" s="108" t="s">
        <v>1197</v>
      </c>
      <c r="K397" s="108" t="str">
        <f t="shared" si="18"/>
        <v>10Б0220010</v>
      </c>
      <c r="L397" s="303" t="str">
        <f t="shared" si="19"/>
        <v>604130110Б0220010000</v>
      </c>
      <c r="M397" s="132" t="str">
        <f>INDEX('реш СГД № 265'!$A:$N,MATCH('БА расх 2019-2020'!$L397,'реш СГД № 265'!$N:$N,0),3)</f>
        <v>Обслуживание муниципального долга города Ставрополя</v>
      </c>
      <c r="N397" s="17">
        <f t="shared" si="20"/>
        <v>1</v>
      </c>
    </row>
    <row r="398" spans="1:14" s="29" customFormat="1" ht="15.75">
      <c r="A398" s="28"/>
      <c r="B398" s="127" t="s">
        <v>369</v>
      </c>
      <c r="C398" s="109" t="s">
        <v>332</v>
      </c>
      <c r="D398" s="108" t="s">
        <v>51</v>
      </c>
      <c r="E398" s="108" t="s">
        <v>11</v>
      </c>
      <c r="F398" s="108" t="s">
        <v>368</v>
      </c>
      <c r="G398" s="108" t="s">
        <v>370</v>
      </c>
      <c r="H398" s="126">
        <v>0</v>
      </c>
      <c r="I398" s="126">
        <v>0</v>
      </c>
      <c r="J398" s="108" t="s">
        <v>1197</v>
      </c>
      <c r="K398" s="108" t="str">
        <f t="shared" si="18"/>
        <v>10Б0220010</v>
      </c>
      <c r="L398" s="303" t="str">
        <f t="shared" si="19"/>
        <v>604130110Б0220010730</v>
      </c>
      <c r="M398" s="132"/>
      <c r="N398" s="17">
        <f t="shared" si="20"/>
        <v>0</v>
      </c>
    </row>
    <row r="399" spans="1:14" s="29" customFormat="1" ht="15.75">
      <c r="A399" s="28"/>
      <c r="B399" s="127"/>
      <c r="C399" s="109"/>
      <c r="D399" s="108"/>
      <c r="E399" s="108"/>
      <c r="F399" s="108"/>
      <c r="G399" s="108"/>
      <c r="H399" s="126"/>
      <c r="I399" s="126"/>
      <c r="J399" s="108"/>
      <c r="K399" s="108" t="str">
        <f t="shared" si="18"/>
        <v>0000000000</v>
      </c>
      <c r="L399" s="303" t="str">
        <f t="shared" si="19"/>
        <v>0000000000</v>
      </c>
      <c r="M399" s="132">
        <f>INDEX('реш СГД № 265'!$A:$N,MATCH('БА расх 2019-2020'!$L399,'реш СГД № 265'!$N:$N,0),3)</f>
        <v>0</v>
      </c>
      <c r="N399" s="17">
        <f t="shared" si="20"/>
        <v>1</v>
      </c>
    </row>
    <row r="400" spans="1:14" s="16" customFormat="1" ht="31.5">
      <c r="A400" s="14"/>
      <c r="B400" s="67" t="s">
        <v>371</v>
      </c>
      <c r="C400" s="116" t="s">
        <v>372</v>
      </c>
      <c r="D400" s="69" t="s">
        <v>7</v>
      </c>
      <c r="E400" s="69" t="s">
        <v>7</v>
      </c>
      <c r="F400" s="69" t="s">
        <v>8</v>
      </c>
      <c r="G400" s="69" t="s">
        <v>9</v>
      </c>
      <c r="H400" s="70">
        <v>0</v>
      </c>
      <c r="I400" s="70">
        <v>0</v>
      </c>
      <c r="J400" s="69">
        <v>0</v>
      </c>
      <c r="K400" s="108" t="str">
        <f t="shared" si="18"/>
        <v>0000000000</v>
      </c>
      <c r="L400" s="303" t="str">
        <f t="shared" si="19"/>
        <v>60500000000000000000</v>
      </c>
      <c r="M400" s="132" t="str">
        <f>INDEX('реш СГД № 265'!$A:$N,MATCH('БА расх 2019-2020'!$L400,'реш СГД № 265'!$N:$N,0),3)</f>
        <v>Комитет муниципального заказа и торговли администрации города Ставрополя</v>
      </c>
      <c r="N400" s="17">
        <f t="shared" si="20"/>
        <v>1</v>
      </c>
    </row>
    <row r="401" spans="1:14" s="34" customFormat="1" ht="15.75">
      <c r="A401" s="33"/>
      <c r="B401" s="117" t="s">
        <v>10</v>
      </c>
      <c r="C401" s="118" t="s">
        <v>372</v>
      </c>
      <c r="D401" s="119" t="s">
        <v>11</v>
      </c>
      <c r="E401" s="119" t="s">
        <v>7</v>
      </c>
      <c r="F401" s="119" t="s">
        <v>8</v>
      </c>
      <c r="G401" s="119" t="s">
        <v>9</v>
      </c>
      <c r="H401" s="120">
        <v>0</v>
      </c>
      <c r="I401" s="120">
        <v>0</v>
      </c>
      <c r="J401" s="119">
        <v>0</v>
      </c>
      <c r="K401" s="108" t="str">
        <f t="shared" si="18"/>
        <v>0000000000</v>
      </c>
      <c r="L401" s="303" t="str">
        <f t="shared" si="19"/>
        <v>60501000000000000000</v>
      </c>
      <c r="M401" s="132" t="str">
        <f>INDEX('реш СГД № 265'!$A:$N,MATCH('БА расх 2019-2020'!$L401,'реш СГД № 265'!$N:$N,0),3)</f>
        <v>Общегосударственные вопросы</v>
      </c>
      <c r="N401" s="17">
        <f t="shared" si="20"/>
        <v>1</v>
      </c>
    </row>
    <row r="402" spans="1:14" s="23" customFormat="1" ht="15.75">
      <c r="A402" s="21"/>
      <c r="B402" s="121" t="s">
        <v>50</v>
      </c>
      <c r="C402" s="122" t="s">
        <v>372</v>
      </c>
      <c r="D402" s="123" t="s">
        <v>11</v>
      </c>
      <c r="E402" s="123" t="s">
        <v>51</v>
      </c>
      <c r="F402" s="123" t="s">
        <v>8</v>
      </c>
      <c r="G402" s="123" t="s">
        <v>9</v>
      </c>
      <c r="H402" s="124">
        <v>0</v>
      </c>
      <c r="I402" s="124">
        <v>0</v>
      </c>
      <c r="J402" s="123">
        <v>0</v>
      </c>
      <c r="K402" s="108" t="str">
        <f t="shared" si="18"/>
        <v>0000000000</v>
      </c>
      <c r="L402" s="303" t="str">
        <f t="shared" si="19"/>
        <v>60501130000000000000</v>
      </c>
      <c r="M402" s="132" t="str">
        <f>INDEX('реш СГД № 265'!$A:$N,MATCH('БА расх 2019-2020'!$L402,'реш СГД № 265'!$N:$N,0),3)</f>
        <v>Другие общегосударственные вопросы</v>
      </c>
      <c r="N402" s="17">
        <f t="shared" si="20"/>
        <v>1</v>
      </c>
    </row>
    <row r="403" spans="1:14" s="16" customFormat="1" ht="47.25">
      <c r="A403" s="14"/>
      <c r="B403" s="125" t="s">
        <v>146</v>
      </c>
      <c r="C403" s="109" t="s">
        <v>372</v>
      </c>
      <c r="D403" s="108" t="s">
        <v>11</v>
      </c>
      <c r="E403" s="108" t="s">
        <v>51</v>
      </c>
      <c r="F403" s="108" t="s">
        <v>147</v>
      </c>
      <c r="G403" s="108" t="s">
        <v>9</v>
      </c>
      <c r="H403" s="126">
        <v>0</v>
      </c>
      <c r="I403" s="126">
        <v>0</v>
      </c>
      <c r="J403" s="108">
        <v>1500000000</v>
      </c>
      <c r="K403" s="108" t="str">
        <f t="shared" si="18"/>
        <v>1500000000</v>
      </c>
      <c r="L403" s="303" t="str">
        <f t="shared" si="19"/>
        <v>60501131500000000000</v>
      </c>
      <c r="M403" s="132" t="str">
        <f>INDEX('реш СГД № 265'!$A:$N,MATCH('БА расх 2019-2020'!$L403,'реш СГД № 265'!$N:$N,0),3)</f>
        <v>Муниципальная программа «Обеспечение безопасности, общественного порядка и профилактика правонарушений в городе Ставрополе»</v>
      </c>
      <c r="N403" s="17">
        <f t="shared" si="20"/>
        <v>1</v>
      </c>
    </row>
    <row r="404" spans="1:14" s="16" customFormat="1" ht="31.5">
      <c r="A404" s="14"/>
      <c r="B404" s="125" t="s">
        <v>373</v>
      </c>
      <c r="C404" s="109" t="s">
        <v>372</v>
      </c>
      <c r="D404" s="108" t="s">
        <v>11</v>
      </c>
      <c r="E404" s="108" t="s">
        <v>51</v>
      </c>
      <c r="F404" s="108" t="s">
        <v>169</v>
      </c>
      <c r="G404" s="108" t="s">
        <v>9</v>
      </c>
      <c r="H404" s="126">
        <v>0</v>
      </c>
      <c r="I404" s="126">
        <v>0</v>
      </c>
      <c r="J404" s="108">
        <v>1530000000</v>
      </c>
      <c r="K404" s="108" t="str">
        <f t="shared" si="18"/>
        <v>1530000000</v>
      </c>
      <c r="L404" s="303" t="str">
        <f t="shared" si="19"/>
        <v>60501131530000000000</v>
      </c>
      <c r="M404" s="132" t="str">
        <f>INDEX('реш СГД № 265'!$A:$N,MATCH('БА расх 2019-2020'!$L404,'реш СГД № 265'!$N:$N,0),3)</f>
        <v>Подпрограмма «Профилактика правонарушений в городе Ставрополе»</v>
      </c>
      <c r="N404" s="17">
        <f t="shared" si="20"/>
        <v>1</v>
      </c>
    </row>
    <row r="405" spans="1:14" s="16" customFormat="1" ht="31.5">
      <c r="A405" s="14"/>
      <c r="B405" s="125" t="s">
        <v>374</v>
      </c>
      <c r="C405" s="109" t="s">
        <v>372</v>
      </c>
      <c r="D405" s="108" t="s">
        <v>11</v>
      </c>
      <c r="E405" s="108" t="s">
        <v>51</v>
      </c>
      <c r="F405" s="108" t="s">
        <v>375</v>
      </c>
      <c r="G405" s="108" t="s">
        <v>9</v>
      </c>
      <c r="H405" s="126">
        <v>0</v>
      </c>
      <c r="I405" s="126">
        <v>0</v>
      </c>
      <c r="J405" s="108">
        <v>1530100000</v>
      </c>
      <c r="K405" s="108" t="str">
        <f t="shared" si="18"/>
        <v>1530100000</v>
      </c>
      <c r="L405" s="303" t="str">
        <f t="shared" si="19"/>
        <v>60501131530100000000</v>
      </c>
      <c r="M405" s="132" t="str">
        <f>INDEX('реш СГД № 265'!$A:$N,MATCH('БА расх 2019-2020'!$L405,'реш СГД № 265'!$N:$N,0),3)</f>
        <v>Основное мероприятие «Профилактика правонарушений несовершеннолетних»</v>
      </c>
      <c r="N405" s="17">
        <f t="shared" si="20"/>
        <v>1</v>
      </c>
    </row>
    <row r="406" spans="1:14" s="16" customFormat="1" ht="47.25">
      <c r="A406" s="14"/>
      <c r="B406" s="125" t="s">
        <v>376</v>
      </c>
      <c r="C406" s="109" t="s">
        <v>372</v>
      </c>
      <c r="D406" s="108" t="s">
        <v>11</v>
      </c>
      <c r="E406" s="108" t="s">
        <v>51</v>
      </c>
      <c r="F406" s="108" t="s">
        <v>377</v>
      </c>
      <c r="G406" s="108" t="s">
        <v>9</v>
      </c>
      <c r="H406" s="126">
        <v>0</v>
      </c>
      <c r="I406" s="126">
        <v>0</v>
      </c>
      <c r="J406" s="108">
        <v>1530120660</v>
      </c>
      <c r="K406" s="108" t="str">
        <f t="shared" si="18"/>
        <v>1530120660</v>
      </c>
      <c r="L406" s="303" t="str">
        <f t="shared" si="19"/>
        <v>60501131530120660000</v>
      </c>
      <c r="M406" s="132" t="str">
        <f>INDEX('реш СГД № 265'!$A:$N,MATCH('БА расх 2019-2020'!$L406,'реш СГД № 265'!$N:$N,0),3)</f>
        <v>Расходы на реализацию мероприятий, направленных на профилактику правонарушений в городе Ставрополе</v>
      </c>
      <c r="N406" s="17">
        <f t="shared" si="20"/>
        <v>1</v>
      </c>
    </row>
    <row r="407" spans="1:14" s="16" customFormat="1" ht="31.5">
      <c r="A407" s="14"/>
      <c r="B407" s="125" t="s">
        <v>28</v>
      </c>
      <c r="C407" s="109" t="s">
        <v>372</v>
      </c>
      <c r="D407" s="108" t="s">
        <v>11</v>
      </c>
      <c r="E407" s="108" t="s">
        <v>51</v>
      </c>
      <c r="F407" s="108" t="s">
        <v>377</v>
      </c>
      <c r="G407" s="108" t="s">
        <v>29</v>
      </c>
      <c r="H407" s="126">
        <v>0</v>
      </c>
      <c r="I407" s="126">
        <v>0</v>
      </c>
      <c r="J407" s="108">
        <v>1530120660</v>
      </c>
      <c r="K407" s="108" t="str">
        <f t="shared" si="18"/>
        <v>1530120660</v>
      </c>
      <c r="L407" s="303" t="str">
        <f t="shared" si="19"/>
        <v>60501131530120660240</v>
      </c>
      <c r="M407" s="132" t="str">
        <f>INDEX('реш СГД № 265'!$A:$N,MATCH('БА расх 2019-2020'!$L407,'реш СГД № 265'!$N:$N,0),3)</f>
        <v>Иные закупки товаров, работ и услуг для обеспечения государственных (муниципальных) нужд</v>
      </c>
      <c r="N407" s="17">
        <f t="shared" si="20"/>
        <v>1</v>
      </c>
    </row>
    <row r="408" spans="1:14" s="16" customFormat="1" ht="15.75">
      <c r="A408" s="14"/>
      <c r="B408" s="125" t="s">
        <v>30</v>
      </c>
      <c r="C408" s="109" t="s">
        <v>372</v>
      </c>
      <c r="D408" s="108" t="s">
        <v>11</v>
      </c>
      <c r="E408" s="108" t="s">
        <v>51</v>
      </c>
      <c r="F408" s="108" t="s">
        <v>377</v>
      </c>
      <c r="G408" s="108" t="s">
        <v>31</v>
      </c>
      <c r="H408" s="126">
        <v>0</v>
      </c>
      <c r="I408" s="126">
        <v>0</v>
      </c>
      <c r="J408" s="108">
        <v>1530120660</v>
      </c>
      <c r="K408" s="108" t="str">
        <f t="shared" si="18"/>
        <v>1530120660</v>
      </c>
      <c r="L408" s="303" t="str">
        <f t="shared" si="19"/>
        <v>60501131530120660244</v>
      </c>
      <c r="M408" s="132"/>
      <c r="N408" s="17">
        <f t="shared" si="20"/>
        <v>0</v>
      </c>
    </row>
    <row r="409" spans="1:14" s="16" customFormat="1" ht="31.5">
      <c r="A409" s="14"/>
      <c r="B409" s="125" t="s">
        <v>378</v>
      </c>
      <c r="C409" s="109" t="s">
        <v>372</v>
      </c>
      <c r="D409" s="108" t="s">
        <v>11</v>
      </c>
      <c r="E409" s="108" t="s">
        <v>51</v>
      </c>
      <c r="F409" s="108" t="s">
        <v>379</v>
      </c>
      <c r="G409" s="108" t="s">
        <v>9</v>
      </c>
      <c r="H409" s="126">
        <v>0</v>
      </c>
      <c r="I409" s="126">
        <v>0</v>
      </c>
      <c r="J409" s="108">
        <v>7400000000</v>
      </c>
      <c r="K409" s="108" t="str">
        <f t="shared" si="18"/>
        <v>7400000000</v>
      </c>
      <c r="L409" s="303" t="str">
        <f t="shared" si="19"/>
        <v>60501137400000000000</v>
      </c>
      <c r="M409" s="132" t="str">
        <f>INDEX('реш СГД № 265'!$A:$N,MATCH('БА расх 2019-2020'!$L409,'реш СГД № 265'!$N:$N,0),3)</f>
        <v>Обеспечение деятельности комитета муниципального заказа и торговли администрации города Ставрополя</v>
      </c>
      <c r="N409" s="17">
        <f t="shared" si="20"/>
        <v>1</v>
      </c>
    </row>
    <row r="410" spans="1:14" s="16" customFormat="1" ht="47.25">
      <c r="A410" s="14"/>
      <c r="B410" s="125" t="s">
        <v>380</v>
      </c>
      <c r="C410" s="109" t="s">
        <v>372</v>
      </c>
      <c r="D410" s="108" t="s">
        <v>11</v>
      </c>
      <c r="E410" s="108" t="s">
        <v>51</v>
      </c>
      <c r="F410" s="108" t="s">
        <v>381</v>
      </c>
      <c r="G410" s="108" t="s">
        <v>9</v>
      </c>
      <c r="H410" s="126">
        <v>0</v>
      </c>
      <c r="I410" s="126">
        <v>0</v>
      </c>
      <c r="J410" s="108">
        <v>7410000000</v>
      </c>
      <c r="K410" s="108" t="str">
        <f t="shared" si="18"/>
        <v>7410000000</v>
      </c>
      <c r="L410" s="303" t="str">
        <f t="shared" si="19"/>
        <v>60501137410000000000</v>
      </c>
      <c r="M410" s="132" t="str">
        <f>INDEX('реш СГД № 265'!$A:$N,MATCH('БА расх 2019-2020'!$L410,'реш СГД № 265'!$N:$N,0),3)</f>
        <v>Непрограммные расходы в рамках обеспечения деятельности комитета муниципального заказа и торговли администрации города Ставрополя</v>
      </c>
      <c r="N410" s="17">
        <f t="shared" si="20"/>
        <v>1</v>
      </c>
    </row>
    <row r="411" spans="1:14" s="16" customFormat="1" ht="31.5">
      <c r="A411" s="14"/>
      <c r="B411" s="125" t="s">
        <v>18</v>
      </c>
      <c r="C411" s="109" t="s">
        <v>372</v>
      </c>
      <c r="D411" s="108" t="s">
        <v>11</v>
      </c>
      <c r="E411" s="108" t="s">
        <v>51</v>
      </c>
      <c r="F411" s="108" t="s">
        <v>382</v>
      </c>
      <c r="G411" s="108" t="s">
        <v>9</v>
      </c>
      <c r="H411" s="126">
        <v>0</v>
      </c>
      <c r="I411" s="126">
        <v>0</v>
      </c>
      <c r="J411" s="108">
        <v>7410010010</v>
      </c>
      <c r="K411" s="108" t="str">
        <f t="shared" si="18"/>
        <v>7410010010</v>
      </c>
      <c r="L411" s="303" t="str">
        <f t="shared" si="19"/>
        <v>60501137410010010000</v>
      </c>
      <c r="M411" s="132" t="str">
        <f>INDEX('реш СГД № 265'!$A:$N,MATCH('БА расх 2019-2020'!$L411,'реш СГД № 265'!$N:$N,0),3)</f>
        <v>Расходы на обеспечение функций органов местного самоуправления города Ставрополя</v>
      </c>
      <c r="N411" s="17">
        <f t="shared" si="20"/>
        <v>1</v>
      </c>
    </row>
    <row r="412" spans="1:14" s="16" customFormat="1" ht="31.5">
      <c r="A412" s="14"/>
      <c r="B412" s="127" t="s">
        <v>20</v>
      </c>
      <c r="C412" s="109" t="s">
        <v>372</v>
      </c>
      <c r="D412" s="108" t="s">
        <v>11</v>
      </c>
      <c r="E412" s="108" t="s">
        <v>51</v>
      </c>
      <c r="F412" s="108" t="s">
        <v>382</v>
      </c>
      <c r="G412" s="108" t="s">
        <v>21</v>
      </c>
      <c r="H412" s="126">
        <v>0</v>
      </c>
      <c r="I412" s="126">
        <v>0</v>
      </c>
      <c r="J412" s="108">
        <v>7410010010</v>
      </c>
      <c r="K412" s="108" t="str">
        <f t="shared" si="18"/>
        <v>7410010010</v>
      </c>
      <c r="L412" s="303" t="str">
        <f t="shared" si="19"/>
        <v>60501137410010010120</v>
      </c>
      <c r="M412" s="132" t="str">
        <f>INDEX('реш СГД № 265'!$A:$N,MATCH('БА расх 2019-2020'!$L412,'реш СГД № 265'!$N:$N,0),3)</f>
        <v>Расходы на выплаты персоналу государственных (муниципальных) органов</v>
      </c>
      <c r="N412" s="17">
        <f t="shared" si="20"/>
        <v>1</v>
      </c>
    </row>
    <row r="413" spans="1:14" s="23" customFormat="1" ht="47.25">
      <c r="A413" s="21"/>
      <c r="B413" s="127" t="s">
        <v>22</v>
      </c>
      <c r="C413" s="109" t="s">
        <v>372</v>
      </c>
      <c r="D413" s="108" t="s">
        <v>11</v>
      </c>
      <c r="E413" s="108" t="s">
        <v>51</v>
      </c>
      <c r="F413" s="108" t="s">
        <v>382</v>
      </c>
      <c r="G413" s="108" t="s">
        <v>23</v>
      </c>
      <c r="H413" s="126">
        <v>0</v>
      </c>
      <c r="I413" s="126">
        <v>0</v>
      </c>
      <c r="J413" s="108">
        <v>7410010010</v>
      </c>
      <c r="K413" s="108" t="str">
        <f t="shared" si="18"/>
        <v>7410010010</v>
      </c>
      <c r="L413" s="303" t="str">
        <f t="shared" si="19"/>
        <v>60501137410010010122</v>
      </c>
      <c r="M413" s="132"/>
      <c r="N413" s="17">
        <f t="shared" si="20"/>
        <v>0</v>
      </c>
    </row>
    <row r="414" spans="1:14" s="23" customFormat="1" ht="63">
      <c r="A414" s="21"/>
      <c r="B414" s="127" t="s">
        <v>26</v>
      </c>
      <c r="C414" s="109" t="s">
        <v>372</v>
      </c>
      <c r="D414" s="108" t="s">
        <v>11</v>
      </c>
      <c r="E414" s="108" t="s">
        <v>51</v>
      </c>
      <c r="F414" s="108" t="s">
        <v>382</v>
      </c>
      <c r="G414" s="108" t="s">
        <v>27</v>
      </c>
      <c r="H414" s="126">
        <v>0</v>
      </c>
      <c r="I414" s="126">
        <v>0</v>
      </c>
      <c r="J414" s="108">
        <v>7410010010</v>
      </c>
      <c r="K414" s="108" t="str">
        <f t="shared" si="18"/>
        <v>7410010010</v>
      </c>
      <c r="L414" s="303" t="str">
        <f t="shared" si="19"/>
        <v>60501137410010010129</v>
      </c>
      <c r="M414" s="132"/>
      <c r="N414" s="17">
        <f t="shared" si="20"/>
        <v>0</v>
      </c>
    </row>
    <row r="415" spans="1:14" s="16" customFormat="1" ht="31.5">
      <c r="A415" s="14"/>
      <c r="B415" s="125" t="s">
        <v>28</v>
      </c>
      <c r="C415" s="109" t="s">
        <v>372</v>
      </c>
      <c r="D415" s="108" t="s">
        <v>11</v>
      </c>
      <c r="E415" s="108" t="s">
        <v>51</v>
      </c>
      <c r="F415" s="108" t="s">
        <v>382</v>
      </c>
      <c r="G415" s="108" t="s">
        <v>29</v>
      </c>
      <c r="H415" s="126">
        <v>0</v>
      </c>
      <c r="I415" s="126">
        <v>0</v>
      </c>
      <c r="J415" s="108">
        <v>7410010010</v>
      </c>
      <c r="K415" s="108" t="str">
        <f t="shared" si="18"/>
        <v>7410010010</v>
      </c>
      <c r="L415" s="303" t="str">
        <f t="shared" si="19"/>
        <v>60501137410010010240</v>
      </c>
      <c r="M415" s="132" t="str">
        <f>INDEX('реш СГД № 265'!$A:$N,MATCH('БА расх 2019-2020'!$L415,'реш СГД № 265'!$N:$N,0),3)</f>
        <v>Иные закупки товаров, работ и услуг для обеспечения государственных (муниципальных) нужд</v>
      </c>
      <c r="N415" s="17">
        <f t="shared" si="20"/>
        <v>1</v>
      </c>
    </row>
    <row r="416" spans="1:14" s="16" customFormat="1" ht="15.75">
      <c r="A416" s="14"/>
      <c r="B416" s="125" t="s">
        <v>30</v>
      </c>
      <c r="C416" s="109" t="s">
        <v>372</v>
      </c>
      <c r="D416" s="108" t="s">
        <v>11</v>
      </c>
      <c r="E416" s="108" t="s">
        <v>51</v>
      </c>
      <c r="F416" s="108" t="s">
        <v>382</v>
      </c>
      <c r="G416" s="108" t="s">
        <v>31</v>
      </c>
      <c r="H416" s="126">
        <v>0</v>
      </c>
      <c r="I416" s="126">
        <v>0</v>
      </c>
      <c r="J416" s="108">
        <v>7410010010</v>
      </c>
      <c r="K416" s="108" t="str">
        <f t="shared" si="18"/>
        <v>7410010010</v>
      </c>
      <c r="L416" s="303" t="str">
        <f t="shared" si="19"/>
        <v>60501137410010010244</v>
      </c>
      <c r="M416" s="132"/>
      <c r="N416" s="17">
        <f t="shared" si="20"/>
        <v>0</v>
      </c>
    </row>
    <row r="417" spans="1:14" s="16" customFormat="1" ht="15.75">
      <c r="A417" s="14"/>
      <c r="B417" s="125" t="s">
        <v>32</v>
      </c>
      <c r="C417" s="109" t="s">
        <v>372</v>
      </c>
      <c r="D417" s="108" t="s">
        <v>11</v>
      </c>
      <c r="E417" s="108" t="s">
        <v>51</v>
      </c>
      <c r="F417" s="108" t="s">
        <v>382</v>
      </c>
      <c r="G417" s="108" t="s">
        <v>33</v>
      </c>
      <c r="H417" s="126">
        <v>0</v>
      </c>
      <c r="I417" s="126">
        <v>0</v>
      </c>
      <c r="J417" s="108">
        <v>7410010010</v>
      </c>
      <c r="K417" s="108" t="str">
        <f t="shared" si="18"/>
        <v>7410010010</v>
      </c>
      <c r="L417" s="303" t="str">
        <f t="shared" si="19"/>
        <v>60501137410010010850</v>
      </c>
      <c r="M417" s="132" t="str">
        <f>INDEX('реш СГД № 265'!$A:$N,MATCH('БА расх 2019-2020'!$L417,'реш СГД № 265'!$N:$N,0),3)</f>
        <v>Уплата налогов, сборов и иных платежей</v>
      </c>
      <c r="N417" s="17">
        <f t="shared" si="20"/>
        <v>1</v>
      </c>
    </row>
    <row r="418" spans="1:14" s="23" customFormat="1" ht="31.5">
      <c r="A418" s="21"/>
      <c r="B418" s="127" t="s">
        <v>34</v>
      </c>
      <c r="C418" s="109" t="s">
        <v>372</v>
      </c>
      <c r="D418" s="108" t="s">
        <v>11</v>
      </c>
      <c r="E418" s="108" t="s">
        <v>51</v>
      </c>
      <c r="F418" s="108" t="s">
        <v>382</v>
      </c>
      <c r="G418" s="108" t="s">
        <v>35</v>
      </c>
      <c r="H418" s="126">
        <v>0</v>
      </c>
      <c r="I418" s="126">
        <v>0</v>
      </c>
      <c r="J418" s="108">
        <v>7410010010</v>
      </c>
      <c r="K418" s="108" t="str">
        <f t="shared" si="18"/>
        <v>7410010010</v>
      </c>
      <c r="L418" s="303" t="str">
        <f t="shared" si="19"/>
        <v>60501137410010010851</v>
      </c>
      <c r="M418" s="132"/>
      <c r="N418" s="17">
        <f t="shared" si="20"/>
        <v>0</v>
      </c>
    </row>
    <row r="419" spans="1:14" s="23" customFormat="1" ht="15.75">
      <c r="A419" s="21"/>
      <c r="B419" s="127" t="s">
        <v>36</v>
      </c>
      <c r="C419" s="109" t="s">
        <v>372</v>
      </c>
      <c r="D419" s="108" t="s">
        <v>11</v>
      </c>
      <c r="E419" s="108" t="s">
        <v>51</v>
      </c>
      <c r="F419" s="108" t="s">
        <v>382</v>
      </c>
      <c r="G419" s="108" t="s">
        <v>37</v>
      </c>
      <c r="H419" s="126">
        <v>0</v>
      </c>
      <c r="I419" s="126">
        <v>0</v>
      </c>
      <c r="J419" s="108">
        <v>7410010010</v>
      </c>
      <c r="K419" s="108" t="str">
        <f t="shared" si="18"/>
        <v>7410010010</v>
      </c>
      <c r="L419" s="303" t="str">
        <f t="shared" si="19"/>
        <v>60501137410010010852</v>
      </c>
      <c r="M419" s="132"/>
      <c r="N419" s="17">
        <f t="shared" si="20"/>
        <v>0</v>
      </c>
    </row>
    <row r="420" spans="1:14" s="23" customFormat="1" ht="15.75">
      <c r="A420" s="21"/>
      <c r="B420" s="127" t="s">
        <v>77</v>
      </c>
      <c r="C420" s="109" t="s">
        <v>372</v>
      </c>
      <c r="D420" s="108" t="s">
        <v>11</v>
      </c>
      <c r="E420" s="108" t="s">
        <v>51</v>
      </c>
      <c r="F420" s="108" t="s">
        <v>382</v>
      </c>
      <c r="G420" s="108" t="s">
        <v>78</v>
      </c>
      <c r="H420" s="126">
        <v>0</v>
      </c>
      <c r="I420" s="126">
        <v>0</v>
      </c>
      <c r="J420" s="108">
        <v>7410010010</v>
      </c>
      <c r="K420" s="108" t="str">
        <f t="shared" si="18"/>
        <v>7410010010</v>
      </c>
      <c r="L420" s="303" t="str">
        <f t="shared" si="19"/>
        <v>60501137410010010853</v>
      </c>
      <c r="M420" s="132"/>
      <c r="N420" s="17">
        <f t="shared" si="20"/>
        <v>0</v>
      </c>
    </row>
    <row r="421" spans="1:14" s="16" customFormat="1" ht="31.5">
      <c r="A421" s="14"/>
      <c r="B421" s="125" t="s">
        <v>38</v>
      </c>
      <c r="C421" s="109" t="s">
        <v>372</v>
      </c>
      <c r="D421" s="108" t="s">
        <v>11</v>
      </c>
      <c r="E421" s="108" t="s">
        <v>51</v>
      </c>
      <c r="F421" s="108" t="s">
        <v>383</v>
      </c>
      <c r="G421" s="108" t="s">
        <v>9</v>
      </c>
      <c r="H421" s="126">
        <v>0</v>
      </c>
      <c r="I421" s="126">
        <v>0</v>
      </c>
      <c r="J421" s="108">
        <v>7410010020</v>
      </c>
      <c r="K421" s="108" t="str">
        <f t="shared" si="18"/>
        <v>7410010020</v>
      </c>
      <c r="L421" s="303" t="str">
        <f t="shared" si="19"/>
        <v>60501137410010020000</v>
      </c>
      <c r="M421" s="132" t="str">
        <f>INDEX('реш СГД № 265'!$A:$N,MATCH('БА расх 2019-2020'!$L421,'реш СГД № 265'!$N:$N,0),3)</f>
        <v>Расходы на выплаты по оплате труда работников органов местного самоуправления города Ставрополя</v>
      </c>
      <c r="N421" s="17">
        <f t="shared" si="20"/>
        <v>1</v>
      </c>
    </row>
    <row r="422" spans="1:14" s="16" customFormat="1" ht="31.5">
      <c r="A422" s="14"/>
      <c r="B422" s="127" t="s">
        <v>20</v>
      </c>
      <c r="C422" s="109" t="s">
        <v>372</v>
      </c>
      <c r="D422" s="108" t="s">
        <v>11</v>
      </c>
      <c r="E422" s="108" t="s">
        <v>51</v>
      </c>
      <c r="F422" s="108" t="s">
        <v>383</v>
      </c>
      <c r="G422" s="108" t="s">
        <v>21</v>
      </c>
      <c r="H422" s="126">
        <v>0</v>
      </c>
      <c r="I422" s="126">
        <v>0</v>
      </c>
      <c r="J422" s="108">
        <v>7410010020</v>
      </c>
      <c r="K422" s="108" t="str">
        <f t="shared" si="18"/>
        <v>7410010020</v>
      </c>
      <c r="L422" s="303" t="str">
        <f t="shared" si="19"/>
        <v>60501137410010020120</v>
      </c>
      <c r="M422" s="132" t="str">
        <f>INDEX('реш СГД № 265'!$A:$N,MATCH('БА расх 2019-2020'!$L422,'реш СГД № 265'!$N:$N,0),3)</f>
        <v>Расходы на выплаты персоналу государственных (муниципальных) органов</v>
      </c>
      <c r="N422" s="17">
        <f t="shared" si="20"/>
        <v>1</v>
      </c>
    </row>
    <row r="423" spans="1:14" s="23" customFormat="1" ht="31.5">
      <c r="A423" s="21"/>
      <c r="B423" s="127" t="s">
        <v>40</v>
      </c>
      <c r="C423" s="109" t="s">
        <v>372</v>
      </c>
      <c r="D423" s="108" t="s">
        <v>11</v>
      </c>
      <c r="E423" s="108" t="s">
        <v>51</v>
      </c>
      <c r="F423" s="108" t="s">
        <v>383</v>
      </c>
      <c r="G423" s="108" t="s">
        <v>41</v>
      </c>
      <c r="H423" s="126">
        <v>0</v>
      </c>
      <c r="I423" s="126">
        <v>0</v>
      </c>
      <c r="J423" s="108">
        <v>7410010020</v>
      </c>
      <c r="K423" s="108" t="str">
        <f t="shared" si="18"/>
        <v>7410010020</v>
      </c>
      <c r="L423" s="303" t="str">
        <f t="shared" si="19"/>
        <v>60501137410010020121</v>
      </c>
      <c r="M423" s="132"/>
      <c r="N423" s="17">
        <f t="shared" si="20"/>
        <v>0</v>
      </c>
    </row>
    <row r="424" spans="1:14" s="23" customFormat="1" ht="63">
      <c r="A424" s="21"/>
      <c r="B424" s="127" t="s">
        <v>26</v>
      </c>
      <c r="C424" s="109" t="s">
        <v>372</v>
      </c>
      <c r="D424" s="108" t="s">
        <v>11</v>
      </c>
      <c r="E424" s="108" t="s">
        <v>51</v>
      </c>
      <c r="F424" s="108" t="s">
        <v>383</v>
      </c>
      <c r="G424" s="108" t="s">
        <v>27</v>
      </c>
      <c r="H424" s="126">
        <v>0</v>
      </c>
      <c r="I424" s="126">
        <v>0</v>
      </c>
      <c r="J424" s="108">
        <v>7410010020</v>
      </c>
      <c r="K424" s="108" t="str">
        <f t="shared" si="18"/>
        <v>7410010020</v>
      </c>
      <c r="L424" s="303" t="str">
        <f t="shared" si="19"/>
        <v>60501137410010020129</v>
      </c>
      <c r="M424" s="132"/>
      <c r="N424" s="17">
        <f t="shared" si="20"/>
        <v>0</v>
      </c>
    </row>
    <row r="425" spans="1:14" s="16" customFormat="1" ht="15.75">
      <c r="A425" s="14"/>
      <c r="B425" s="117" t="s">
        <v>237</v>
      </c>
      <c r="C425" s="118" t="s">
        <v>372</v>
      </c>
      <c r="D425" s="119" t="s">
        <v>238</v>
      </c>
      <c r="E425" s="119" t="s">
        <v>7</v>
      </c>
      <c r="F425" s="119" t="s">
        <v>8</v>
      </c>
      <c r="G425" s="119" t="s">
        <v>9</v>
      </c>
      <c r="H425" s="120">
        <v>0</v>
      </c>
      <c r="I425" s="120">
        <v>0</v>
      </c>
      <c r="J425" s="119">
        <v>0</v>
      </c>
      <c r="K425" s="108" t="str">
        <f t="shared" si="18"/>
        <v>0000000000</v>
      </c>
      <c r="L425" s="303" t="str">
        <f t="shared" si="19"/>
        <v>60508000000000000000</v>
      </c>
      <c r="M425" s="132" t="str">
        <f>INDEX('реш СГД № 265'!$A:$N,MATCH('БА расх 2019-2020'!$L425,'реш СГД № 265'!$N:$N,0),3)</f>
        <v xml:space="preserve">Культура, кинематография </v>
      </c>
      <c r="N425" s="17">
        <f t="shared" si="20"/>
        <v>1</v>
      </c>
    </row>
    <row r="426" spans="1:14" s="16" customFormat="1" ht="15.75">
      <c r="A426" s="14"/>
      <c r="B426" s="121" t="s">
        <v>239</v>
      </c>
      <c r="C426" s="122" t="s">
        <v>372</v>
      </c>
      <c r="D426" s="123" t="s">
        <v>238</v>
      </c>
      <c r="E426" s="123" t="s">
        <v>11</v>
      </c>
      <c r="F426" s="123" t="s">
        <v>8</v>
      </c>
      <c r="G426" s="123" t="s">
        <v>9</v>
      </c>
      <c r="H426" s="124">
        <v>0</v>
      </c>
      <c r="I426" s="124">
        <v>0</v>
      </c>
      <c r="J426" s="123">
        <v>0</v>
      </c>
      <c r="K426" s="108" t="str">
        <f t="shared" si="18"/>
        <v>0000000000</v>
      </c>
      <c r="L426" s="303" t="str">
        <f t="shared" si="19"/>
        <v>60508010000000000000</v>
      </c>
      <c r="M426" s="132" t="str">
        <f>INDEX('реш СГД № 265'!$A:$N,MATCH('БА расх 2019-2020'!$L426,'реш СГД № 265'!$N:$N,0),3)</f>
        <v>Культура</v>
      </c>
      <c r="N426" s="17">
        <f t="shared" si="20"/>
        <v>1</v>
      </c>
    </row>
    <row r="427" spans="1:14" s="16" customFormat="1" ht="31.5">
      <c r="A427" s="14"/>
      <c r="B427" s="125" t="s">
        <v>240</v>
      </c>
      <c r="C427" s="130" t="s">
        <v>372</v>
      </c>
      <c r="D427" s="131" t="s">
        <v>238</v>
      </c>
      <c r="E427" s="131" t="s">
        <v>11</v>
      </c>
      <c r="F427" s="131" t="s">
        <v>241</v>
      </c>
      <c r="G427" s="131" t="s">
        <v>9</v>
      </c>
      <c r="H427" s="105">
        <v>0</v>
      </c>
      <c r="I427" s="105">
        <v>0</v>
      </c>
      <c r="J427" s="131">
        <v>700000000</v>
      </c>
      <c r="K427" s="108" t="str">
        <f t="shared" si="18"/>
        <v>0700000000</v>
      </c>
      <c r="L427" s="303" t="str">
        <f t="shared" si="19"/>
        <v>60508010700000000000</v>
      </c>
      <c r="M427" s="132" t="str">
        <f>INDEX('реш СГД № 265'!$A:$N,MATCH('БА расх 2019-2020'!$L427,'реш СГД № 265'!$N:$N,0),3)</f>
        <v>Муниципальная программа «Культура города Ставрополя»</v>
      </c>
      <c r="N427" s="17">
        <f t="shared" si="20"/>
        <v>1</v>
      </c>
    </row>
    <row r="428" spans="1:14" s="16" customFormat="1" ht="78.75">
      <c r="A428" s="14"/>
      <c r="B428" s="125" t="s">
        <v>384</v>
      </c>
      <c r="C428" s="130" t="s">
        <v>372</v>
      </c>
      <c r="D428" s="131" t="s">
        <v>238</v>
      </c>
      <c r="E428" s="131" t="s">
        <v>11</v>
      </c>
      <c r="F428" s="131" t="s">
        <v>243</v>
      </c>
      <c r="G428" s="131" t="s">
        <v>9</v>
      </c>
      <c r="H428" s="105">
        <v>0</v>
      </c>
      <c r="I428" s="105">
        <v>0</v>
      </c>
      <c r="J428" s="131">
        <v>710000000</v>
      </c>
      <c r="K428" s="108" t="str">
        <f t="shared" si="18"/>
        <v>0710000000</v>
      </c>
      <c r="L428" s="303" t="str">
        <f t="shared" si="19"/>
        <v>60508010710000000000</v>
      </c>
      <c r="M428" s="132" t="str">
        <f>INDEX('реш СГД № 265'!$A:$N,MATCH('БА расх 2019-2020'!$L428,'реш СГД № 265'!$N:$N,0),3)</f>
        <v>Подпрограмма «Проведение городских и краевых культурно-массовых мероприятий, посвященных памятным, знаменательным и юбилейным датам в истории России, Ставропольского края, города Ставрополя»</v>
      </c>
      <c r="N428" s="17">
        <f t="shared" si="20"/>
        <v>1</v>
      </c>
    </row>
    <row r="429" spans="1:14" s="16" customFormat="1" ht="110.25">
      <c r="A429" s="14"/>
      <c r="B429" s="125" t="s">
        <v>244</v>
      </c>
      <c r="C429" s="130" t="s">
        <v>372</v>
      </c>
      <c r="D429" s="131" t="s">
        <v>238</v>
      </c>
      <c r="E429" s="131" t="s">
        <v>11</v>
      </c>
      <c r="F429" s="131" t="s">
        <v>245</v>
      </c>
      <c r="G429" s="131" t="s">
        <v>9</v>
      </c>
      <c r="H429" s="105">
        <v>0</v>
      </c>
      <c r="I429" s="105">
        <v>0</v>
      </c>
      <c r="J429" s="131">
        <v>710100000</v>
      </c>
      <c r="K429" s="108" t="str">
        <f t="shared" si="18"/>
        <v>0710100000</v>
      </c>
      <c r="L429" s="303" t="str">
        <f t="shared" si="19"/>
        <v>60508010710100000000</v>
      </c>
      <c r="M429" s="132" t="str">
        <f>INDEX('реш СГД № 265'!$A:$N,MATCH('БА расх 2019-2020'!$L429,'реш СГД № 265'!$N:$N,0),3)</f>
        <v>Основное мероприятие «Обеспечение доступности к культурным ценностям и права на участие в культурной жизни для всех групп населения города Ставрополя, популяризация объектов культурного наследия города Ставрополя, формирование имиджа города Ставрополя как культурного центра Ставропольского края»</v>
      </c>
      <c r="N429" s="17">
        <f t="shared" si="20"/>
        <v>1</v>
      </c>
    </row>
    <row r="430" spans="1:14" s="16" customFormat="1" ht="31.5">
      <c r="A430" s="14"/>
      <c r="B430" s="125" t="s">
        <v>246</v>
      </c>
      <c r="C430" s="130" t="s">
        <v>372</v>
      </c>
      <c r="D430" s="131" t="s">
        <v>238</v>
      </c>
      <c r="E430" s="131" t="s">
        <v>11</v>
      </c>
      <c r="F430" s="131" t="s">
        <v>247</v>
      </c>
      <c r="G430" s="131" t="s">
        <v>9</v>
      </c>
      <c r="H430" s="105">
        <v>0</v>
      </c>
      <c r="I430" s="105">
        <v>0</v>
      </c>
      <c r="J430" s="131">
        <v>710120060</v>
      </c>
      <c r="K430" s="108" t="str">
        <f t="shared" si="18"/>
        <v>0710120060</v>
      </c>
      <c r="L430" s="303" t="str">
        <f t="shared" si="19"/>
        <v>60508010710120060000</v>
      </c>
      <c r="M430" s="132" t="str">
        <f>INDEX('реш СГД № 265'!$A:$N,MATCH('БА расх 2019-2020'!$L430,'реш СГД № 265'!$N:$N,0),3)</f>
        <v>Расходы на проведение культурно-массовых мероприятий в городе Ставрополе</v>
      </c>
      <c r="N430" s="17">
        <f t="shared" si="20"/>
        <v>1</v>
      </c>
    </row>
    <row r="431" spans="1:14" s="16" customFormat="1" ht="31.5">
      <c r="A431" s="14"/>
      <c r="B431" s="125" t="s">
        <v>28</v>
      </c>
      <c r="C431" s="130" t="s">
        <v>372</v>
      </c>
      <c r="D431" s="131" t="s">
        <v>238</v>
      </c>
      <c r="E431" s="131" t="s">
        <v>11</v>
      </c>
      <c r="F431" s="131" t="s">
        <v>247</v>
      </c>
      <c r="G431" s="131" t="s">
        <v>29</v>
      </c>
      <c r="H431" s="126">
        <v>0</v>
      </c>
      <c r="I431" s="126">
        <v>0</v>
      </c>
      <c r="J431" s="131">
        <v>710120060</v>
      </c>
      <c r="K431" s="108" t="str">
        <f t="shared" si="18"/>
        <v>0710120060</v>
      </c>
      <c r="L431" s="303" t="str">
        <f t="shared" si="19"/>
        <v>60508010710120060240</v>
      </c>
      <c r="M431" s="132" t="str">
        <f>INDEX('реш СГД № 265'!$A:$N,MATCH('БА расх 2019-2020'!$L431,'реш СГД № 265'!$N:$N,0),3)</f>
        <v>Иные закупки товаров, работ и услуг для обеспечения государственных (муниципальных) нужд</v>
      </c>
      <c r="N431" s="17">
        <f t="shared" si="20"/>
        <v>1</v>
      </c>
    </row>
    <row r="432" spans="1:14" s="16" customFormat="1" ht="15.75">
      <c r="A432" s="14"/>
      <c r="B432" s="125" t="s">
        <v>30</v>
      </c>
      <c r="C432" s="130" t="s">
        <v>372</v>
      </c>
      <c r="D432" s="131" t="s">
        <v>238</v>
      </c>
      <c r="E432" s="131" t="s">
        <v>11</v>
      </c>
      <c r="F432" s="131" t="s">
        <v>247</v>
      </c>
      <c r="G432" s="131" t="s">
        <v>31</v>
      </c>
      <c r="H432" s="126">
        <v>0</v>
      </c>
      <c r="I432" s="126">
        <v>0</v>
      </c>
      <c r="J432" s="131">
        <v>710120060</v>
      </c>
      <c r="K432" s="108" t="str">
        <f t="shared" si="18"/>
        <v>0710120060</v>
      </c>
      <c r="L432" s="303" t="str">
        <f t="shared" si="19"/>
        <v>60508010710120060244</v>
      </c>
      <c r="M432" s="132"/>
      <c r="N432" s="17">
        <f t="shared" si="20"/>
        <v>0</v>
      </c>
    </row>
    <row r="433" spans="1:14" s="34" customFormat="1" ht="15.75">
      <c r="A433" s="33"/>
      <c r="B433" s="117" t="s">
        <v>316</v>
      </c>
      <c r="C433" s="118" t="s">
        <v>372</v>
      </c>
      <c r="D433" s="119" t="s">
        <v>317</v>
      </c>
      <c r="E433" s="119" t="s">
        <v>7</v>
      </c>
      <c r="F433" s="119" t="s">
        <v>8</v>
      </c>
      <c r="G433" s="119" t="s">
        <v>9</v>
      </c>
      <c r="H433" s="120">
        <v>0</v>
      </c>
      <c r="I433" s="120">
        <v>0</v>
      </c>
      <c r="J433" s="119">
        <v>0</v>
      </c>
      <c r="K433" s="108" t="str">
        <f t="shared" si="18"/>
        <v>0000000000</v>
      </c>
      <c r="L433" s="303" t="str">
        <f t="shared" si="19"/>
        <v>60510000000000000000</v>
      </c>
      <c r="M433" s="132" t="str">
        <f>INDEX('реш СГД № 265'!$A:$N,MATCH('БА расх 2019-2020'!$L433,'реш СГД № 265'!$N:$N,0),3)</f>
        <v>Социальная политика</v>
      </c>
      <c r="N433" s="17">
        <f t="shared" si="20"/>
        <v>1</v>
      </c>
    </row>
    <row r="434" spans="1:14" s="23" customFormat="1" ht="15.75">
      <c r="A434" s="21"/>
      <c r="B434" s="121" t="s">
        <v>318</v>
      </c>
      <c r="C434" s="122" t="s">
        <v>372</v>
      </c>
      <c r="D434" s="123" t="s">
        <v>317</v>
      </c>
      <c r="E434" s="123" t="s">
        <v>13</v>
      </c>
      <c r="F434" s="123" t="s">
        <v>8</v>
      </c>
      <c r="G434" s="123" t="s">
        <v>9</v>
      </c>
      <c r="H434" s="124">
        <v>0</v>
      </c>
      <c r="I434" s="124">
        <v>0</v>
      </c>
      <c r="J434" s="123">
        <v>0</v>
      </c>
      <c r="K434" s="108" t="str">
        <f t="shared" si="18"/>
        <v>0000000000</v>
      </c>
      <c r="L434" s="303" t="str">
        <f t="shared" si="19"/>
        <v>60510030000000000000</v>
      </c>
      <c r="M434" s="132" t="str">
        <f>INDEX('реш СГД № 265'!$A:$N,MATCH('БА расх 2019-2020'!$L434,'реш СГД № 265'!$N:$N,0),3)</f>
        <v>Социальное обеспечение населения</v>
      </c>
      <c r="N434" s="17">
        <f t="shared" si="20"/>
        <v>1</v>
      </c>
    </row>
    <row r="435" spans="1:14" s="16" customFormat="1" ht="31.5">
      <c r="A435" s="14"/>
      <c r="B435" s="135" t="s">
        <v>385</v>
      </c>
      <c r="C435" s="109" t="s">
        <v>372</v>
      </c>
      <c r="D435" s="108" t="s">
        <v>317</v>
      </c>
      <c r="E435" s="108" t="s">
        <v>13</v>
      </c>
      <c r="F435" s="108" t="s">
        <v>386</v>
      </c>
      <c r="G435" s="108" t="s">
        <v>9</v>
      </c>
      <c r="H435" s="126">
        <v>0</v>
      </c>
      <c r="I435" s="126">
        <v>0</v>
      </c>
      <c r="J435" s="108">
        <v>300000000</v>
      </c>
      <c r="K435" s="108" t="str">
        <f t="shared" si="18"/>
        <v>0300000000</v>
      </c>
      <c r="L435" s="303" t="str">
        <f t="shared" si="19"/>
        <v>60510030300000000000</v>
      </c>
      <c r="M435" s="132" t="str">
        <f>INDEX('реш СГД № 265'!$A:$N,MATCH('БА расх 2019-2020'!$L435,'реш СГД № 265'!$N:$N,0),3)</f>
        <v>Муниципальная программа «Социальная поддержка населения города Ставрополя»</v>
      </c>
      <c r="N435" s="17">
        <f t="shared" si="20"/>
        <v>1</v>
      </c>
    </row>
    <row r="436" spans="1:14" s="16" customFormat="1" ht="63">
      <c r="A436" s="14"/>
      <c r="B436" s="135" t="s">
        <v>387</v>
      </c>
      <c r="C436" s="109" t="s">
        <v>372</v>
      </c>
      <c r="D436" s="108" t="s">
        <v>317</v>
      </c>
      <c r="E436" s="108" t="s">
        <v>13</v>
      </c>
      <c r="F436" s="108" t="s">
        <v>388</v>
      </c>
      <c r="G436" s="108" t="s">
        <v>9</v>
      </c>
      <c r="H436" s="126">
        <v>0</v>
      </c>
      <c r="I436" s="126">
        <v>0</v>
      </c>
      <c r="J436" s="108">
        <v>320000000</v>
      </c>
      <c r="K436" s="108" t="str">
        <f t="shared" si="18"/>
        <v>0320000000</v>
      </c>
      <c r="L436" s="303" t="str">
        <f t="shared" si="19"/>
        <v>60510030320000000000</v>
      </c>
      <c r="M436" s="132" t="str">
        <f>INDEX('реш СГД № 265'!$A:$N,MATCH('БА расх 2019-2020'!$L436,'реш СГД № 265'!$N:$N,0),3)</f>
        <v>Подпрограмма «Дополнительные меры социальной поддержки для отдельных категорий граждан, поддержка социально ориентированных некоммерческих организаций»</v>
      </c>
      <c r="N436" s="17">
        <f t="shared" si="20"/>
        <v>1</v>
      </c>
    </row>
    <row r="437" spans="1:14" s="16" customFormat="1" ht="47.25">
      <c r="A437" s="14"/>
      <c r="B437" s="125" t="s">
        <v>389</v>
      </c>
      <c r="C437" s="109" t="s">
        <v>372</v>
      </c>
      <c r="D437" s="108" t="s">
        <v>317</v>
      </c>
      <c r="E437" s="108" t="s">
        <v>13</v>
      </c>
      <c r="F437" s="108" t="s">
        <v>390</v>
      </c>
      <c r="G437" s="108" t="s">
        <v>9</v>
      </c>
      <c r="H437" s="126">
        <v>0</v>
      </c>
      <c r="I437" s="126">
        <v>0</v>
      </c>
      <c r="J437" s="108">
        <v>320200000</v>
      </c>
      <c r="K437" s="108" t="str">
        <f t="shared" si="18"/>
        <v>0320200000</v>
      </c>
      <c r="L437" s="303" t="str">
        <f t="shared" si="19"/>
        <v>60510030320200000000</v>
      </c>
      <c r="M437" s="132" t="str">
        <f>INDEX('реш СГД № 265'!$A:$N,MATCH('БА расх 2019-2020'!$L437,'реш СГД № 265'!$N:$N,0),3)</f>
        <v>Основное мероприятие «Предоставление льгот на бытовые услуги по помывке в общем отделении бань отдельным категориям граждан»</v>
      </c>
      <c r="N437" s="17">
        <f t="shared" si="20"/>
        <v>1</v>
      </c>
    </row>
    <row r="438" spans="1:14" s="16" customFormat="1" ht="47.25">
      <c r="A438" s="14"/>
      <c r="B438" s="125" t="s">
        <v>391</v>
      </c>
      <c r="C438" s="109" t="s">
        <v>372</v>
      </c>
      <c r="D438" s="108" t="s">
        <v>317</v>
      </c>
      <c r="E438" s="108" t="s">
        <v>13</v>
      </c>
      <c r="F438" s="108" t="s">
        <v>392</v>
      </c>
      <c r="G438" s="108" t="s">
        <v>9</v>
      </c>
      <c r="H438" s="126">
        <v>0</v>
      </c>
      <c r="I438" s="126">
        <v>0</v>
      </c>
      <c r="J438" s="108">
        <v>320280240</v>
      </c>
      <c r="K438" s="108" t="str">
        <f t="shared" si="18"/>
        <v>0320280240</v>
      </c>
      <c r="L438" s="303" t="str">
        <f t="shared" si="19"/>
        <v>60510030320280240000</v>
      </c>
      <c r="M438" s="132" t="str">
        <f>INDEX('реш СГД № 265'!$A:$N,MATCH('БА расх 2019-2020'!$L438,'реш СГД № 265'!$N:$N,0),3)</f>
        <v>Предоставление льгот на бытовые услуги по помывке в общем отделении бань отдельным категориям граждан</v>
      </c>
      <c r="N438" s="17">
        <f t="shared" si="20"/>
        <v>1</v>
      </c>
    </row>
    <row r="439" spans="1:14" s="16" customFormat="1" ht="63">
      <c r="A439" s="14"/>
      <c r="B439" s="129" t="s">
        <v>203</v>
      </c>
      <c r="C439" s="109" t="s">
        <v>372</v>
      </c>
      <c r="D439" s="108" t="s">
        <v>317</v>
      </c>
      <c r="E439" s="108" t="s">
        <v>13</v>
      </c>
      <c r="F439" s="108" t="s">
        <v>392</v>
      </c>
      <c r="G439" s="108" t="s">
        <v>204</v>
      </c>
      <c r="H439" s="126">
        <v>0</v>
      </c>
      <c r="I439" s="126">
        <v>0</v>
      </c>
      <c r="J439" s="108">
        <v>320280240</v>
      </c>
      <c r="K439" s="108" t="str">
        <f t="shared" si="18"/>
        <v>0320280240</v>
      </c>
      <c r="L439" s="303" t="str">
        <f t="shared" si="19"/>
        <v>60510030320280240810</v>
      </c>
      <c r="M439" s="132" t="str">
        <f>INDEX('реш СГД № 265'!$A:$N,MATCH('БА расх 2019-2020'!$L439,'реш СГД № 265'!$N:$N,0),3)</f>
        <v>Субсидии юридическим лицам (кроме некоммерческих организаций), индивидуальным предпринимателям, физическим лицам - производителям товаров, работ, услуг</v>
      </c>
      <c r="N439" s="17">
        <f t="shared" si="20"/>
        <v>1</v>
      </c>
    </row>
    <row r="440" spans="1:14" s="16" customFormat="1" ht="63">
      <c r="A440" s="14"/>
      <c r="B440" s="125" t="s">
        <v>205</v>
      </c>
      <c r="C440" s="109" t="s">
        <v>372</v>
      </c>
      <c r="D440" s="108" t="s">
        <v>317</v>
      </c>
      <c r="E440" s="108" t="s">
        <v>13</v>
      </c>
      <c r="F440" s="108" t="s">
        <v>392</v>
      </c>
      <c r="G440" s="108" t="s">
        <v>206</v>
      </c>
      <c r="H440" s="126">
        <v>0</v>
      </c>
      <c r="I440" s="126">
        <v>0</v>
      </c>
      <c r="J440" s="108">
        <v>320280240</v>
      </c>
      <c r="K440" s="108" t="str">
        <f t="shared" si="18"/>
        <v>0320280240</v>
      </c>
      <c r="L440" s="303" t="str">
        <f t="shared" si="19"/>
        <v>60510030320280240811</v>
      </c>
      <c r="M440" s="132"/>
      <c r="N440" s="17">
        <f t="shared" si="20"/>
        <v>0</v>
      </c>
    </row>
    <row r="441" spans="1:14" s="16" customFormat="1" ht="15.75">
      <c r="A441" s="14"/>
      <c r="B441" s="129"/>
      <c r="C441" s="109"/>
      <c r="D441" s="108"/>
      <c r="E441" s="108"/>
      <c r="F441" s="108"/>
      <c r="G441" s="108"/>
      <c r="H441" s="126"/>
      <c r="I441" s="126"/>
      <c r="J441" s="108"/>
      <c r="K441" s="108" t="str">
        <f t="shared" si="18"/>
        <v>0000000000</v>
      </c>
      <c r="L441" s="303" t="str">
        <f t="shared" si="19"/>
        <v>0000000000</v>
      </c>
      <c r="M441" s="132">
        <f>INDEX('реш СГД № 265'!$A:$N,MATCH('БА расх 2019-2020'!$L441,'реш СГД № 265'!$N:$N,0),3)</f>
        <v>0</v>
      </c>
      <c r="N441" s="17">
        <f t="shared" si="20"/>
        <v>1</v>
      </c>
    </row>
    <row r="442" spans="1:14" s="17" customFormat="1" ht="31.5">
      <c r="A442" s="14"/>
      <c r="B442" s="67" t="s">
        <v>393</v>
      </c>
      <c r="C442" s="116" t="s">
        <v>394</v>
      </c>
      <c r="D442" s="69" t="s">
        <v>7</v>
      </c>
      <c r="E442" s="69" t="s">
        <v>7</v>
      </c>
      <c r="F442" s="69" t="s">
        <v>8</v>
      </c>
      <c r="G442" s="69" t="s">
        <v>9</v>
      </c>
      <c r="H442" s="70">
        <v>0</v>
      </c>
      <c r="I442" s="70">
        <v>0</v>
      </c>
      <c r="J442" s="69">
        <v>0</v>
      </c>
      <c r="K442" s="108" t="str">
        <f t="shared" si="18"/>
        <v>0000000000</v>
      </c>
      <c r="L442" s="303" t="str">
        <f t="shared" si="19"/>
        <v>60600000000000000000</v>
      </c>
      <c r="M442" s="132" t="str">
        <f>INDEX('реш СГД № 265'!$A:$N,MATCH('БА расх 2019-2020'!$L442,'реш СГД № 265'!$N:$N,0),3)</f>
        <v>Комитет образования администрации города Ставрополя</v>
      </c>
      <c r="N442" s="17">
        <f t="shared" si="20"/>
        <v>1</v>
      </c>
    </row>
    <row r="443" spans="1:14" s="17" customFormat="1" ht="15.75">
      <c r="A443" s="14"/>
      <c r="B443" s="117" t="s">
        <v>228</v>
      </c>
      <c r="C443" s="118" t="s">
        <v>394</v>
      </c>
      <c r="D443" s="119" t="s">
        <v>229</v>
      </c>
      <c r="E443" s="119" t="s">
        <v>7</v>
      </c>
      <c r="F443" s="119" t="s">
        <v>8</v>
      </c>
      <c r="G443" s="119" t="s">
        <v>9</v>
      </c>
      <c r="H443" s="120">
        <v>0</v>
      </c>
      <c r="I443" s="120">
        <v>0</v>
      </c>
      <c r="J443" s="119">
        <v>0</v>
      </c>
      <c r="K443" s="108" t="str">
        <f t="shared" si="18"/>
        <v>0000000000</v>
      </c>
      <c r="L443" s="303" t="str">
        <f t="shared" si="19"/>
        <v>60607000000000000000</v>
      </c>
      <c r="M443" s="132" t="str">
        <f>INDEX('реш СГД № 265'!$A:$N,MATCH('БА расх 2019-2020'!$L443,'реш СГД № 265'!$N:$N,0),3)</f>
        <v>Образование</v>
      </c>
      <c r="N443" s="17">
        <f t="shared" si="20"/>
        <v>1</v>
      </c>
    </row>
    <row r="444" spans="1:14" s="17" customFormat="1" ht="15.75">
      <c r="A444" s="14"/>
      <c r="B444" s="121" t="s">
        <v>395</v>
      </c>
      <c r="C444" s="122" t="s">
        <v>394</v>
      </c>
      <c r="D444" s="123" t="s">
        <v>229</v>
      </c>
      <c r="E444" s="123" t="s">
        <v>11</v>
      </c>
      <c r="F444" s="123" t="s">
        <v>8</v>
      </c>
      <c r="G444" s="123" t="s">
        <v>9</v>
      </c>
      <c r="H444" s="124">
        <v>0</v>
      </c>
      <c r="I444" s="124">
        <v>0</v>
      </c>
      <c r="J444" s="123">
        <v>0</v>
      </c>
      <c r="K444" s="108" t="str">
        <f t="shared" si="18"/>
        <v>0000000000</v>
      </c>
      <c r="L444" s="303" t="str">
        <f t="shared" si="19"/>
        <v>60607010000000000000</v>
      </c>
      <c r="M444" s="132" t="str">
        <f>INDEX('реш СГД № 265'!$A:$N,MATCH('БА расх 2019-2020'!$L444,'реш СГД № 265'!$N:$N,0),3)</f>
        <v>Дошкольное образование</v>
      </c>
      <c r="N444" s="17">
        <f t="shared" si="20"/>
        <v>1</v>
      </c>
    </row>
    <row r="445" spans="1:14" s="17" customFormat="1" ht="31.5">
      <c r="A445" s="14"/>
      <c r="B445" s="132" t="s">
        <v>396</v>
      </c>
      <c r="C445" s="109" t="s">
        <v>394</v>
      </c>
      <c r="D445" s="108" t="s">
        <v>229</v>
      </c>
      <c r="E445" s="108" t="s">
        <v>11</v>
      </c>
      <c r="F445" s="108" t="s">
        <v>397</v>
      </c>
      <c r="G445" s="108" t="s">
        <v>9</v>
      </c>
      <c r="H445" s="126">
        <v>0</v>
      </c>
      <c r="I445" s="126">
        <v>0</v>
      </c>
      <c r="J445" s="108">
        <v>100000000</v>
      </c>
      <c r="K445" s="108" t="str">
        <f t="shared" si="18"/>
        <v>0100000000</v>
      </c>
      <c r="L445" s="303" t="str">
        <f t="shared" si="19"/>
        <v>60607010100000000000</v>
      </c>
      <c r="M445" s="132" t="str">
        <f>INDEX('реш СГД № 265'!$A:$N,MATCH('БА расх 2019-2020'!$L445,'реш СГД № 265'!$N:$N,0),3)</f>
        <v>Муниципальная программа «Развитие образования в городе Ставрополе»</v>
      </c>
      <c r="N445" s="17">
        <f t="shared" si="20"/>
        <v>1</v>
      </c>
    </row>
    <row r="446" spans="1:14" s="17" customFormat="1" ht="31.5">
      <c r="A446" s="14"/>
      <c r="B446" s="132" t="s">
        <v>398</v>
      </c>
      <c r="C446" s="109" t="s">
        <v>394</v>
      </c>
      <c r="D446" s="108" t="s">
        <v>229</v>
      </c>
      <c r="E446" s="108" t="s">
        <v>11</v>
      </c>
      <c r="F446" s="108" t="s">
        <v>399</v>
      </c>
      <c r="G446" s="108" t="s">
        <v>9</v>
      </c>
      <c r="H446" s="126">
        <v>0</v>
      </c>
      <c r="I446" s="126">
        <v>0</v>
      </c>
      <c r="J446" s="108">
        <v>110000000</v>
      </c>
      <c r="K446" s="108" t="str">
        <f t="shared" si="18"/>
        <v>0110000000</v>
      </c>
      <c r="L446" s="303" t="str">
        <f t="shared" si="19"/>
        <v>60607010110000000000</v>
      </c>
      <c r="M446" s="132" t="str">
        <f>INDEX('реш СГД № 265'!$A:$N,MATCH('БА расх 2019-2020'!$L446,'реш СГД № 265'!$N:$N,0),3)</f>
        <v>Подпрограмма «Организация дошкольного, общего и дополнительного образования»</v>
      </c>
      <c r="N446" s="17">
        <f t="shared" si="20"/>
        <v>1</v>
      </c>
    </row>
    <row r="447" spans="1:14" s="17" customFormat="1" ht="47.25">
      <c r="A447" s="14"/>
      <c r="B447" s="132" t="s">
        <v>400</v>
      </c>
      <c r="C447" s="109" t="s">
        <v>394</v>
      </c>
      <c r="D447" s="108" t="s">
        <v>229</v>
      </c>
      <c r="E447" s="108" t="s">
        <v>11</v>
      </c>
      <c r="F447" s="108" t="s">
        <v>401</v>
      </c>
      <c r="G447" s="108" t="s">
        <v>9</v>
      </c>
      <c r="H447" s="126">
        <v>0</v>
      </c>
      <c r="I447" s="126">
        <v>0</v>
      </c>
      <c r="J447" s="108">
        <v>110100000</v>
      </c>
      <c r="K447" s="108" t="str">
        <f t="shared" si="18"/>
        <v>0110100000</v>
      </c>
      <c r="L447" s="303" t="str">
        <f t="shared" si="19"/>
        <v>60607010110100000000</v>
      </c>
      <c r="M447" s="132" t="str">
        <f>INDEX('реш СГД № 265'!$A:$N,MATCH('БА расх 2019-2020'!$L447,'реш СГД № 265'!$N:$N,0),3)</f>
        <v>Основное мероприятие «Организация предоставления общедоступного и бесплатного дошкольного образования»</v>
      </c>
      <c r="N447" s="17">
        <f t="shared" si="20"/>
        <v>1</v>
      </c>
    </row>
    <row r="448" spans="1:14" s="17" customFormat="1" ht="31.5">
      <c r="A448" s="14"/>
      <c r="B448" s="132" t="s">
        <v>136</v>
      </c>
      <c r="C448" s="109" t="s">
        <v>394</v>
      </c>
      <c r="D448" s="108" t="s">
        <v>229</v>
      </c>
      <c r="E448" s="108" t="s">
        <v>11</v>
      </c>
      <c r="F448" s="108" t="s">
        <v>402</v>
      </c>
      <c r="G448" s="108" t="s">
        <v>9</v>
      </c>
      <c r="H448" s="126">
        <v>0</v>
      </c>
      <c r="I448" s="126">
        <v>0</v>
      </c>
      <c r="J448" s="108">
        <v>110111010</v>
      </c>
      <c r="K448" s="108" t="str">
        <f t="shared" si="18"/>
        <v>0110111010</v>
      </c>
      <c r="L448" s="303" t="str">
        <f t="shared" si="19"/>
        <v>60607010110111010000</v>
      </c>
      <c r="M448" s="132" t="str">
        <f>INDEX('реш СГД № 265'!$A:$N,MATCH('БА расх 2019-2020'!$L448,'реш СГД № 265'!$N:$N,0),3)</f>
        <v>Расходы на обеспечение деятельности (оказание услуг) муниципальных учреждений</v>
      </c>
      <c r="N448" s="17">
        <f t="shared" si="20"/>
        <v>1</v>
      </c>
    </row>
    <row r="449" spans="1:14" s="17" customFormat="1" ht="15.75">
      <c r="A449" s="14"/>
      <c r="B449" s="132" t="s">
        <v>403</v>
      </c>
      <c r="C449" s="109" t="s">
        <v>394</v>
      </c>
      <c r="D449" s="108" t="s">
        <v>229</v>
      </c>
      <c r="E449" s="108" t="s">
        <v>11</v>
      </c>
      <c r="F449" s="108" t="s">
        <v>402</v>
      </c>
      <c r="G449" s="108" t="s">
        <v>404</v>
      </c>
      <c r="H449" s="126">
        <v>0</v>
      </c>
      <c r="I449" s="126">
        <v>0</v>
      </c>
      <c r="J449" s="108">
        <v>110111010</v>
      </c>
      <c r="K449" s="108" t="str">
        <f t="shared" si="18"/>
        <v>0110111010</v>
      </c>
      <c r="L449" s="303" t="str">
        <f t="shared" si="19"/>
        <v>60607010110111010610</v>
      </c>
      <c r="M449" s="132" t="str">
        <f>INDEX('реш СГД № 265'!$A:$N,MATCH('БА расх 2019-2020'!$L449,'реш СГД № 265'!$N:$N,0),3)</f>
        <v>Субсидии бюджетным учреждениям</v>
      </c>
      <c r="N449" s="17">
        <f t="shared" si="20"/>
        <v>1</v>
      </c>
    </row>
    <row r="450" spans="1:14" s="24" customFormat="1" ht="63">
      <c r="A450" s="21"/>
      <c r="B450" s="127" t="s">
        <v>405</v>
      </c>
      <c r="C450" s="109" t="s">
        <v>394</v>
      </c>
      <c r="D450" s="108" t="s">
        <v>229</v>
      </c>
      <c r="E450" s="108" t="s">
        <v>11</v>
      </c>
      <c r="F450" s="108" t="s">
        <v>402</v>
      </c>
      <c r="G450" s="108" t="s">
        <v>406</v>
      </c>
      <c r="H450" s="126">
        <v>0</v>
      </c>
      <c r="I450" s="126">
        <v>0</v>
      </c>
      <c r="J450" s="108">
        <v>110111010</v>
      </c>
      <c r="K450" s="108" t="str">
        <f t="shared" si="18"/>
        <v>0110111010</v>
      </c>
      <c r="L450" s="303" t="str">
        <f t="shared" si="19"/>
        <v>60607010110111010611</v>
      </c>
      <c r="M450" s="132"/>
      <c r="N450" s="17">
        <f t="shared" si="20"/>
        <v>0</v>
      </c>
    </row>
    <row r="451" spans="1:14" s="24" customFormat="1" ht="15.75">
      <c r="A451" s="21"/>
      <c r="B451" s="127" t="s">
        <v>407</v>
      </c>
      <c r="C451" s="109" t="s">
        <v>394</v>
      </c>
      <c r="D451" s="108" t="s">
        <v>229</v>
      </c>
      <c r="E451" s="108" t="s">
        <v>11</v>
      </c>
      <c r="F451" s="108" t="s">
        <v>402</v>
      </c>
      <c r="G451" s="108" t="s">
        <v>408</v>
      </c>
      <c r="H451" s="126">
        <v>0</v>
      </c>
      <c r="I451" s="126">
        <v>0</v>
      </c>
      <c r="J451" s="108">
        <v>110111010</v>
      </c>
      <c r="K451" s="108" t="str">
        <f t="shared" si="18"/>
        <v>0110111010</v>
      </c>
      <c r="L451" s="303" t="str">
        <f t="shared" si="19"/>
        <v>60607010110111010612</v>
      </c>
      <c r="M451" s="132"/>
      <c r="N451" s="17">
        <f t="shared" si="20"/>
        <v>0</v>
      </c>
    </row>
    <row r="452" spans="1:14" s="17" customFormat="1" ht="15.75">
      <c r="A452" s="14"/>
      <c r="B452" s="132" t="s">
        <v>409</v>
      </c>
      <c r="C452" s="109" t="s">
        <v>394</v>
      </c>
      <c r="D452" s="108" t="s">
        <v>229</v>
      </c>
      <c r="E452" s="108" t="s">
        <v>11</v>
      </c>
      <c r="F452" s="108" t="s">
        <v>402</v>
      </c>
      <c r="G452" s="108" t="s">
        <v>410</v>
      </c>
      <c r="H452" s="126">
        <v>0</v>
      </c>
      <c r="I452" s="126">
        <v>0</v>
      </c>
      <c r="J452" s="108">
        <v>110111010</v>
      </c>
      <c r="K452" s="108" t="str">
        <f t="shared" si="18"/>
        <v>0110111010</v>
      </c>
      <c r="L452" s="303" t="str">
        <f t="shared" si="19"/>
        <v>60607010110111010620</v>
      </c>
      <c r="M452" s="132" t="str">
        <f>INDEX('реш СГД № 265'!$A:$N,MATCH('БА расх 2019-2020'!$L452,'реш СГД № 265'!$N:$N,0),3)</f>
        <v>Субсидии автономным учреждениям</v>
      </c>
      <c r="N452" s="17">
        <f t="shared" si="20"/>
        <v>1</v>
      </c>
    </row>
    <row r="453" spans="1:14" s="24" customFormat="1" ht="63">
      <c r="A453" s="21"/>
      <c r="B453" s="127" t="s">
        <v>411</v>
      </c>
      <c r="C453" s="109" t="s">
        <v>394</v>
      </c>
      <c r="D453" s="108" t="s">
        <v>229</v>
      </c>
      <c r="E453" s="108" t="s">
        <v>11</v>
      </c>
      <c r="F453" s="108" t="s">
        <v>402</v>
      </c>
      <c r="G453" s="108" t="s">
        <v>412</v>
      </c>
      <c r="H453" s="126">
        <v>0</v>
      </c>
      <c r="I453" s="126">
        <v>0</v>
      </c>
      <c r="J453" s="108">
        <v>110111010</v>
      </c>
      <c r="K453" s="108" t="str">
        <f t="shared" si="18"/>
        <v>0110111010</v>
      </c>
      <c r="L453" s="303" t="str">
        <f t="shared" si="19"/>
        <v>60607010110111010621</v>
      </c>
      <c r="M453" s="132"/>
      <c r="N453" s="17">
        <f t="shared" si="20"/>
        <v>0</v>
      </c>
    </row>
    <row r="454" spans="1:14" s="17" customFormat="1" ht="126">
      <c r="A454" s="14" t="s">
        <v>80</v>
      </c>
      <c r="B454" s="125" t="s">
        <v>413</v>
      </c>
      <c r="C454" s="109" t="s">
        <v>394</v>
      </c>
      <c r="D454" s="108" t="s">
        <v>229</v>
      </c>
      <c r="E454" s="108" t="s">
        <v>11</v>
      </c>
      <c r="F454" s="108" t="s">
        <v>414</v>
      </c>
      <c r="G454" s="108" t="s">
        <v>9</v>
      </c>
      <c r="H454" s="126">
        <v>0</v>
      </c>
      <c r="I454" s="126">
        <v>0</v>
      </c>
      <c r="J454" s="108">
        <v>110177170</v>
      </c>
      <c r="K454" s="108" t="str">
        <f t="shared" si="18"/>
        <v>0110177170</v>
      </c>
      <c r="L454" s="303" t="str">
        <f t="shared" si="19"/>
        <v>60607010110177170000</v>
      </c>
      <c r="M454" s="132" t="str">
        <f>INDEX('реш СГД № 265'!$A:$N,MATCH('БА расх 2019-2020'!$L454,'реш СГД № 265'!$N:$N,0),3)</f>
        <v>Расходы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и общеобразовательных организациях и на финансовое обеспечение получения дошкольного образования в частных дошкольных и частных общеобразовательных организациях</v>
      </c>
      <c r="N454" s="17">
        <f t="shared" si="20"/>
        <v>1</v>
      </c>
    </row>
    <row r="455" spans="1:14" s="17" customFormat="1" ht="15.75">
      <c r="A455" s="14"/>
      <c r="B455" s="132" t="s">
        <v>403</v>
      </c>
      <c r="C455" s="109" t="s">
        <v>394</v>
      </c>
      <c r="D455" s="108" t="s">
        <v>229</v>
      </c>
      <c r="E455" s="108" t="s">
        <v>11</v>
      </c>
      <c r="F455" s="108" t="s">
        <v>414</v>
      </c>
      <c r="G455" s="108" t="s">
        <v>404</v>
      </c>
      <c r="H455" s="126">
        <v>0</v>
      </c>
      <c r="I455" s="126">
        <v>0</v>
      </c>
      <c r="J455" s="108">
        <v>110177170</v>
      </c>
      <c r="K455" s="108" t="str">
        <f t="shared" si="18"/>
        <v>0110177170</v>
      </c>
      <c r="L455" s="303" t="str">
        <f t="shared" si="19"/>
        <v>60607010110177170610</v>
      </c>
      <c r="M455" s="132" t="str">
        <f>INDEX('реш СГД № 265'!$A:$N,MATCH('БА расх 2019-2020'!$L455,'реш СГД № 265'!$N:$N,0),3)</f>
        <v>Субсидии бюджетным учреждениям</v>
      </c>
      <c r="N455" s="17">
        <f t="shared" si="20"/>
        <v>1</v>
      </c>
    </row>
    <row r="456" spans="1:14" s="24" customFormat="1" ht="63">
      <c r="A456" s="21"/>
      <c r="B456" s="127" t="s">
        <v>405</v>
      </c>
      <c r="C456" s="109" t="s">
        <v>394</v>
      </c>
      <c r="D456" s="108" t="s">
        <v>229</v>
      </c>
      <c r="E456" s="108" t="s">
        <v>11</v>
      </c>
      <c r="F456" s="108" t="s">
        <v>414</v>
      </c>
      <c r="G456" s="108" t="s">
        <v>406</v>
      </c>
      <c r="H456" s="126">
        <v>0</v>
      </c>
      <c r="I456" s="126">
        <v>0</v>
      </c>
      <c r="J456" s="108">
        <v>110177170</v>
      </c>
      <c r="K456" s="108" t="str">
        <f t="shared" si="18"/>
        <v>0110177170</v>
      </c>
      <c r="L456" s="303" t="str">
        <f t="shared" si="19"/>
        <v>60607010110177170611</v>
      </c>
      <c r="M456" s="132"/>
      <c r="N456" s="17">
        <f t="shared" si="20"/>
        <v>0</v>
      </c>
    </row>
    <row r="457" spans="1:14" s="17" customFormat="1" ht="15.75">
      <c r="A457" s="14"/>
      <c r="B457" s="132" t="s">
        <v>409</v>
      </c>
      <c r="C457" s="109" t="s">
        <v>394</v>
      </c>
      <c r="D457" s="108" t="s">
        <v>229</v>
      </c>
      <c r="E457" s="108" t="s">
        <v>11</v>
      </c>
      <c r="F457" s="108" t="s">
        <v>414</v>
      </c>
      <c r="G457" s="108" t="s">
        <v>410</v>
      </c>
      <c r="H457" s="126">
        <v>0</v>
      </c>
      <c r="I457" s="126">
        <v>0</v>
      </c>
      <c r="J457" s="108">
        <v>110177170</v>
      </c>
      <c r="K457" s="108" t="str">
        <f t="shared" si="18"/>
        <v>0110177170</v>
      </c>
      <c r="L457" s="303" t="str">
        <f t="shared" si="19"/>
        <v>60607010110177170620</v>
      </c>
      <c r="M457" s="132" t="str">
        <f>INDEX('реш СГД № 265'!$A:$N,MATCH('БА расх 2019-2020'!$L457,'реш СГД № 265'!$N:$N,0),3)</f>
        <v>Субсидии автономным учреждениям</v>
      </c>
      <c r="N457" s="17">
        <f t="shared" si="20"/>
        <v>1</v>
      </c>
    </row>
    <row r="458" spans="1:14" s="24" customFormat="1" ht="63">
      <c r="A458" s="21"/>
      <c r="B458" s="127" t="s">
        <v>411</v>
      </c>
      <c r="C458" s="109" t="s">
        <v>394</v>
      </c>
      <c r="D458" s="108" t="s">
        <v>229</v>
      </c>
      <c r="E458" s="108" t="s">
        <v>11</v>
      </c>
      <c r="F458" s="108" t="s">
        <v>414</v>
      </c>
      <c r="G458" s="108" t="s">
        <v>412</v>
      </c>
      <c r="H458" s="126">
        <v>0</v>
      </c>
      <c r="I458" s="126">
        <v>0</v>
      </c>
      <c r="J458" s="108">
        <v>110177170</v>
      </c>
      <c r="K458" s="108" t="str">
        <f t="shared" si="18"/>
        <v>0110177170</v>
      </c>
      <c r="L458" s="303" t="str">
        <f t="shared" si="19"/>
        <v>60607010110177170621</v>
      </c>
      <c r="M458" s="132"/>
      <c r="N458" s="17">
        <f t="shared" si="20"/>
        <v>0</v>
      </c>
    </row>
    <row r="459" spans="1:14" s="17" customFormat="1" ht="47.25">
      <c r="A459" s="14"/>
      <c r="B459" s="125" t="s">
        <v>182</v>
      </c>
      <c r="C459" s="109" t="s">
        <v>394</v>
      </c>
      <c r="D459" s="108" t="s">
        <v>229</v>
      </c>
      <c r="E459" s="108" t="s">
        <v>11</v>
      </c>
      <c r="F459" s="108" t="s">
        <v>414</v>
      </c>
      <c r="G459" s="108" t="s">
        <v>183</v>
      </c>
      <c r="H459" s="126">
        <v>0</v>
      </c>
      <c r="I459" s="126">
        <v>0</v>
      </c>
      <c r="J459" s="108">
        <v>110177170</v>
      </c>
      <c r="K459" s="108" t="str">
        <f t="shared" ref="K459:K522" si="21">TEXT(J459,"0000000000")</f>
        <v>0110177170</v>
      </c>
      <c r="L459" s="303" t="str">
        <f t="shared" si="19"/>
        <v>60607010110177170630</v>
      </c>
      <c r="M459" s="132" t="str">
        <f>INDEX('реш СГД № 265'!$A:$N,MATCH('БА расх 2019-2020'!$L459,'реш СГД № 265'!$N:$N,0),3)</f>
        <v>Субсидии некоммерческим организациям (за исключением государственных (муниципальных) учреждений)</v>
      </c>
      <c r="N459" s="17">
        <f t="shared" si="20"/>
        <v>1</v>
      </c>
    </row>
    <row r="460" spans="1:14" s="24" customFormat="1" ht="94.5">
      <c r="A460" s="21"/>
      <c r="B460" s="127" t="s">
        <v>1038</v>
      </c>
      <c r="C460" s="109" t="s">
        <v>394</v>
      </c>
      <c r="D460" s="108" t="s">
        <v>229</v>
      </c>
      <c r="E460" s="108" t="s">
        <v>11</v>
      </c>
      <c r="F460" s="108" t="s">
        <v>414</v>
      </c>
      <c r="G460" s="108" t="s">
        <v>416</v>
      </c>
      <c r="H460" s="126">
        <v>0</v>
      </c>
      <c r="I460" s="126">
        <v>0</v>
      </c>
      <c r="J460" s="108">
        <v>110177170</v>
      </c>
      <c r="K460" s="108" t="str">
        <f t="shared" si="21"/>
        <v>0110177170</v>
      </c>
      <c r="L460" s="303" t="str">
        <f t="shared" ref="L460:L523" si="22">C460&amp;D460&amp;E460&amp;K460&amp;G460</f>
        <v>60607010110177170632</v>
      </c>
      <c r="M460" s="132"/>
      <c r="N460" s="17">
        <f t="shared" ref="N460:N523" si="23">IF(B460=M460,1,0)</f>
        <v>0</v>
      </c>
    </row>
    <row r="461" spans="1:14" s="17" customFormat="1" ht="78.75">
      <c r="A461" s="14"/>
      <c r="B461" s="125" t="s">
        <v>417</v>
      </c>
      <c r="C461" s="109" t="s">
        <v>394</v>
      </c>
      <c r="D461" s="108" t="s">
        <v>229</v>
      </c>
      <c r="E461" s="108" t="s">
        <v>11</v>
      </c>
      <c r="F461" s="108" t="s">
        <v>418</v>
      </c>
      <c r="G461" s="108" t="s">
        <v>9</v>
      </c>
      <c r="H461" s="126">
        <v>0</v>
      </c>
      <c r="I461" s="126">
        <v>0</v>
      </c>
      <c r="J461" s="108">
        <v>110600000</v>
      </c>
      <c r="K461" s="108" t="str">
        <f t="shared" si="21"/>
        <v>0110600000</v>
      </c>
      <c r="L461" s="303" t="str">
        <f t="shared" si="22"/>
        <v>60607010110600000000</v>
      </c>
      <c r="M461" s="132" t="str">
        <f>INDEX('реш СГД № 265'!$A:$N,MATCH('БА расх 2019-2020'!$L461,'реш СГД № 265'!$N:$N,0),3)</f>
        <v>Основное мероприятие «Модернизация образовательных организаций, совершенствование материально-технической базы, проведение ремонтных работ, создание условий для повышения качества образовательного процесса»</v>
      </c>
      <c r="N461" s="17">
        <f t="shared" si="23"/>
        <v>1</v>
      </c>
    </row>
    <row r="462" spans="1:14" s="17" customFormat="1" ht="31.5">
      <c r="A462" s="14"/>
      <c r="B462" s="132" t="s">
        <v>136</v>
      </c>
      <c r="C462" s="109" t="s">
        <v>394</v>
      </c>
      <c r="D462" s="108" t="s">
        <v>229</v>
      </c>
      <c r="E462" s="108" t="s">
        <v>11</v>
      </c>
      <c r="F462" s="108" t="s">
        <v>419</v>
      </c>
      <c r="G462" s="108" t="s">
        <v>9</v>
      </c>
      <c r="H462" s="126">
        <v>0</v>
      </c>
      <c r="I462" s="126">
        <v>0</v>
      </c>
      <c r="J462" s="108">
        <v>110611010</v>
      </c>
      <c r="K462" s="108" t="str">
        <f t="shared" si="21"/>
        <v>0110611010</v>
      </c>
      <c r="L462" s="303" t="str">
        <f t="shared" si="22"/>
        <v>60607010110611010000</v>
      </c>
      <c r="M462" s="132" t="str">
        <f>INDEX('реш СГД № 265'!$A:$N,MATCH('БА расх 2019-2020'!$L462,'реш СГД № 265'!$N:$N,0),3)</f>
        <v>Расходы на обеспечение деятельности (оказание услуг) муниципальных учреждений</v>
      </c>
      <c r="N462" s="17">
        <f t="shared" si="23"/>
        <v>1</v>
      </c>
    </row>
    <row r="463" spans="1:14" s="17" customFormat="1" ht="15.75">
      <c r="A463" s="14"/>
      <c r="B463" s="132" t="s">
        <v>403</v>
      </c>
      <c r="C463" s="109" t="s">
        <v>394</v>
      </c>
      <c r="D463" s="108" t="s">
        <v>229</v>
      </c>
      <c r="E463" s="108" t="s">
        <v>11</v>
      </c>
      <c r="F463" s="108" t="s">
        <v>419</v>
      </c>
      <c r="G463" s="108" t="s">
        <v>404</v>
      </c>
      <c r="H463" s="126">
        <v>0</v>
      </c>
      <c r="I463" s="126">
        <v>0</v>
      </c>
      <c r="J463" s="108">
        <v>110611010</v>
      </c>
      <c r="K463" s="108" t="str">
        <f t="shared" si="21"/>
        <v>0110611010</v>
      </c>
      <c r="L463" s="303" t="str">
        <f t="shared" si="22"/>
        <v>60607010110611010610</v>
      </c>
      <c r="M463" s="132" t="str">
        <f>INDEX('реш СГД № 265'!$A:$N,MATCH('БА расх 2019-2020'!$L463,'реш СГД № 265'!$N:$N,0),3)</f>
        <v>Субсидии бюджетным учреждениям</v>
      </c>
      <c r="N463" s="17">
        <f t="shared" si="23"/>
        <v>1</v>
      </c>
    </row>
    <row r="464" spans="1:14" s="24" customFormat="1" ht="15.75">
      <c r="A464" s="21"/>
      <c r="B464" s="127" t="s">
        <v>407</v>
      </c>
      <c r="C464" s="109" t="s">
        <v>394</v>
      </c>
      <c r="D464" s="108" t="s">
        <v>229</v>
      </c>
      <c r="E464" s="108" t="s">
        <v>11</v>
      </c>
      <c r="F464" s="108" t="s">
        <v>419</v>
      </c>
      <c r="G464" s="108" t="s">
        <v>408</v>
      </c>
      <c r="H464" s="126">
        <v>0</v>
      </c>
      <c r="I464" s="126">
        <v>0</v>
      </c>
      <c r="J464" s="108">
        <v>110611010</v>
      </c>
      <c r="K464" s="108" t="str">
        <f t="shared" si="21"/>
        <v>0110611010</v>
      </c>
      <c r="L464" s="303" t="str">
        <f t="shared" si="22"/>
        <v>60607010110611010612</v>
      </c>
      <c r="M464" s="132"/>
      <c r="N464" s="17">
        <f t="shared" si="23"/>
        <v>0</v>
      </c>
    </row>
    <row r="465" spans="1:14" s="17" customFormat="1" ht="47.25">
      <c r="A465" s="14"/>
      <c r="B465" s="132" t="s">
        <v>146</v>
      </c>
      <c r="C465" s="109" t="s">
        <v>394</v>
      </c>
      <c r="D465" s="108" t="s">
        <v>229</v>
      </c>
      <c r="E465" s="108" t="s">
        <v>11</v>
      </c>
      <c r="F465" s="108" t="s">
        <v>147</v>
      </c>
      <c r="G465" s="108" t="s">
        <v>9</v>
      </c>
      <c r="H465" s="126">
        <v>0</v>
      </c>
      <c r="I465" s="126">
        <v>0</v>
      </c>
      <c r="J465" s="108">
        <v>1500000000</v>
      </c>
      <c r="K465" s="108" t="str">
        <f t="shared" si="21"/>
        <v>1500000000</v>
      </c>
      <c r="L465" s="303" t="str">
        <f t="shared" si="22"/>
        <v>60607011500000000000</v>
      </c>
      <c r="M465" s="132" t="str">
        <f>INDEX('реш СГД № 265'!$A:$N,MATCH('БА расх 2019-2020'!$L465,'реш СГД № 265'!$N:$N,0),3)</f>
        <v>Муниципальная программа «Обеспечение безопасности, общественного порядка и профилактика правонарушений в городе Ставрополе»</v>
      </c>
      <c r="N465" s="17">
        <f t="shared" si="23"/>
        <v>1</v>
      </c>
    </row>
    <row r="466" spans="1:14" s="17" customFormat="1" ht="47.25">
      <c r="A466" s="14"/>
      <c r="B466" s="125" t="s">
        <v>1065</v>
      </c>
      <c r="C466" s="109" t="s">
        <v>394</v>
      </c>
      <c r="D466" s="108" t="s">
        <v>229</v>
      </c>
      <c r="E466" s="108" t="s">
        <v>11</v>
      </c>
      <c r="F466" s="108" t="s">
        <v>149</v>
      </c>
      <c r="G466" s="108" t="s">
        <v>9</v>
      </c>
      <c r="H466" s="126">
        <v>0</v>
      </c>
      <c r="I466" s="126">
        <v>0</v>
      </c>
      <c r="J466" s="108">
        <v>1510000000</v>
      </c>
      <c r="K466" s="108" t="str">
        <f t="shared" si="21"/>
        <v>1510000000</v>
      </c>
      <c r="L466" s="303" t="str">
        <f t="shared" si="22"/>
        <v>60607011510000000000</v>
      </c>
      <c r="M466" s="132" t="str">
        <f>INDEX('реш СГД № 265'!$A:$N,MATCH('БА расх 2019-2020'!$L466,'реш СГД № 265'!$N:$N,0),3)</f>
        <v>Подпрограмма «Профилактика терроризма, экстремизма, межнациональных (межэтнических) конфликтов в городе Ставрополе»</v>
      </c>
      <c r="N466" s="17">
        <f t="shared" si="23"/>
        <v>1</v>
      </c>
    </row>
    <row r="467" spans="1:14" s="17" customFormat="1" ht="63">
      <c r="A467" s="14"/>
      <c r="B467" s="132" t="s">
        <v>1068</v>
      </c>
      <c r="C467" s="109" t="s">
        <v>394</v>
      </c>
      <c r="D467" s="108" t="s">
        <v>229</v>
      </c>
      <c r="E467" s="108" t="s">
        <v>11</v>
      </c>
      <c r="F467" s="108" t="s">
        <v>1069</v>
      </c>
      <c r="G467" s="108" t="s">
        <v>9</v>
      </c>
      <c r="H467" s="126">
        <v>0</v>
      </c>
      <c r="I467" s="126">
        <v>0</v>
      </c>
      <c r="J467" s="108">
        <v>1510400000</v>
      </c>
      <c r="K467" s="108" t="str">
        <f t="shared" si="21"/>
        <v>1510400000</v>
      </c>
      <c r="L467" s="303" t="str">
        <f t="shared" si="22"/>
        <v>60607011510400000000</v>
      </c>
      <c r="M467" s="132" t="str">
        <f>INDEX('реш СГД № 265'!$A:$N,MATCH('БА расх 2019-2020'!$L467,'реш СГД № 265'!$N:$N,0),3)</f>
        <v>Основное мероприятие «Повышение уровня антитеррористической защищенности мест массового пребывания людей на территории города Ставрополя и муниципальных учреждений города Ставрополя»</v>
      </c>
      <c r="N467" s="17">
        <f t="shared" si="23"/>
        <v>1</v>
      </c>
    </row>
    <row r="468" spans="1:14" s="17" customFormat="1" ht="47.25">
      <c r="A468" s="14"/>
      <c r="B468" s="132" t="s">
        <v>152</v>
      </c>
      <c r="C468" s="109" t="s">
        <v>394</v>
      </c>
      <c r="D468" s="108" t="s">
        <v>229</v>
      </c>
      <c r="E468" s="108" t="s">
        <v>11</v>
      </c>
      <c r="F468" s="108" t="s">
        <v>1070</v>
      </c>
      <c r="G468" s="108" t="s">
        <v>9</v>
      </c>
      <c r="H468" s="126">
        <v>0</v>
      </c>
      <c r="I468" s="126">
        <v>0</v>
      </c>
      <c r="J468" s="108">
        <v>1510420350</v>
      </c>
      <c r="K468" s="108" t="str">
        <f t="shared" si="21"/>
        <v>1510420350</v>
      </c>
      <c r="L468" s="303" t="str">
        <f t="shared" si="22"/>
        <v>60607011510420350000</v>
      </c>
      <c r="M468" s="132" t="str">
        <f>INDEX('реш СГД № 265'!$A:$N,MATCH('БА расх 2019-2020'!$L468,'реш СГД № 265'!$N:$N,0),3)</f>
        <v>Расходы на реализацию мероприятий, направленных на повышение уровня безопасности жизнедеятельности города Ставрополя</v>
      </c>
      <c r="N468" s="17">
        <f t="shared" si="23"/>
        <v>1</v>
      </c>
    </row>
    <row r="469" spans="1:14" s="17" customFormat="1" ht="15.75">
      <c r="A469" s="14"/>
      <c r="B469" s="132" t="s">
        <v>403</v>
      </c>
      <c r="C469" s="109" t="s">
        <v>394</v>
      </c>
      <c r="D469" s="108" t="s">
        <v>229</v>
      </c>
      <c r="E469" s="108" t="s">
        <v>11</v>
      </c>
      <c r="F469" s="108" t="s">
        <v>1070</v>
      </c>
      <c r="G469" s="108" t="s">
        <v>404</v>
      </c>
      <c r="H469" s="126">
        <v>0</v>
      </c>
      <c r="I469" s="126">
        <v>0</v>
      </c>
      <c r="J469" s="108">
        <v>1510420350</v>
      </c>
      <c r="K469" s="108" t="str">
        <f t="shared" si="21"/>
        <v>1510420350</v>
      </c>
      <c r="L469" s="303" t="str">
        <f t="shared" si="22"/>
        <v>60607011510420350610</v>
      </c>
      <c r="M469" s="132" t="str">
        <f>INDEX('реш СГД № 265'!$A:$N,MATCH('БА расх 2019-2020'!$L469,'реш СГД № 265'!$N:$N,0),3)</f>
        <v>Субсидии бюджетным учреждениям</v>
      </c>
      <c r="N469" s="17">
        <f t="shared" si="23"/>
        <v>1</v>
      </c>
    </row>
    <row r="470" spans="1:14" s="24" customFormat="1" ht="15.75">
      <c r="A470" s="21"/>
      <c r="B470" s="127" t="s">
        <v>407</v>
      </c>
      <c r="C470" s="109" t="s">
        <v>394</v>
      </c>
      <c r="D470" s="108" t="s">
        <v>229</v>
      </c>
      <c r="E470" s="108" t="s">
        <v>11</v>
      </c>
      <c r="F470" s="108" t="s">
        <v>1070</v>
      </c>
      <c r="G470" s="108" t="s">
        <v>408</v>
      </c>
      <c r="H470" s="126">
        <v>0</v>
      </c>
      <c r="I470" s="126">
        <v>0</v>
      </c>
      <c r="J470" s="108">
        <v>1510420350</v>
      </c>
      <c r="K470" s="108" t="str">
        <f t="shared" si="21"/>
        <v>1510420350</v>
      </c>
      <c r="L470" s="303" t="str">
        <f t="shared" si="22"/>
        <v>60607011510420350612</v>
      </c>
      <c r="M470" s="132"/>
      <c r="N470" s="17">
        <f t="shared" si="23"/>
        <v>0</v>
      </c>
    </row>
    <row r="471" spans="1:14" s="17" customFormat="1" ht="94.5">
      <c r="A471" s="14"/>
      <c r="B471" s="125" t="s">
        <v>420</v>
      </c>
      <c r="C471" s="109" t="s">
        <v>394</v>
      </c>
      <c r="D471" s="108" t="s">
        <v>229</v>
      </c>
      <c r="E471" s="108" t="s">
        <v>11</v>
      </c>
      <c r="F471" s="108" t="s">
        <v>421</v>
      </c>
      <c r="G471" s="108" t="s">
        <v>9</v>
      </c>
      <c r="H471" s="126">
        <v>0</v>
      </c>
      <c r="I471" s="126">
        <v>0</v>
      </c>
      <c r="J471" s="108">
        <v>1600000000</v>
      </c>
      <c r="K471" s="108" t="str">
        <f t="shared" si="21"/>
        <v>1600000000</v>
      </c>
      <c r="L471" s="303" t="str">
        <f t="shared" si="22"/>
        <v>60607011600000000000</v>
      </c>
      <c r="M471" s="132" t="str">
        <f>INDEX('реш СГД № 265'!$A:$N,MATCH('БА расх 2019-2020'!$L471,'реш СГД № 265'!$N:$N,0),3)</f>
        <v>Муниципальная программа «Обеспечение гражданской обороны, пожарной безопасности, безопасности людей на водных объектах, организация деятельности аварийно-спасательных служб, защита населения и территории города Ставрополя от чрезвычайных ситуаций»</v>
      </c>
      <c r="N471" s="17">
        <f t="shared" si="23"/>
        <v>1</v>
      </c>
    </row>
    <row r="472" spans="1:14" s="17" customFormat="1" ht="31.5">
      <c r="A472" s="14"/>
      <c r="B472" s="125" t="s">
        <v>422</v>
      </c>
      <c r="C472" s="109" t="s">
        <v>394</v>
      </c>
      <c r="D472" s="108" t="s">
        <v>229</v>
      </c>
      <c r="E472" s="108" t="s">
        <v>11</v>
      </c>
      <c r="F472" s="108" t="s">
        <v>423</v>
      </c>
      <c r="G472" s="108" t="s">
        <v>9</v>
      </c>
      <c r="H472" s="126">
        <v>0</v>
      </c>
      <c r="I472" s="126">
        <v>0</v>
      </c>
      <c r="J472" s="108">
        <v>1620000000</v>
      </c>
      <c r="K472" s="108" t="str">
        <f t="shared" si="21"/>
        <v>1620000000</v>
      </c>
      <c r="L472" s="303" t="str">
        <f t="shared" si="22"/>
        <v>60607011620000000000</v>
      </c>
      <c r="M472" s="132" t="str">
        <f>INDEX('реш СГД № 265'!$A:$N,MATCH('БА расх 2019-2020'!$L472,'реш СГД № 265'!$N:$N,0),3)</f>
        <v>Подпрограмма «Обеспечение пожарной безопасности в границах города Ставрополя»</v>
      </c>
      <c r="N472" s="17">
        <f t="shared" si="23"/>
        <v>1</v>
      </c>
    </row>
    <row r="473" spans="1:14" s="17" customFormat="1" ht="47.25">
      <c r="A473" s="14"/>
      <c r="B473" s="125" t="s">
        <v>424</v>
      </c>
      <c r="C473" s="109" t="s">
        <v>394</v>
      </c>
      <c r="D473" s="108" t="s">
        <v>229</v>
      </c>
      <c r="E473" s="108" t="s">
        <v>11</v>
      </c>
      <c r="F473" s="108" t="s">
        <v>425</v>
      </c>
      <c r="G473" s="108" t="s">
        <v>9</v>
      </c>
      <c r="H473" s="126">
        <v>0</v>
      </c>
      <c r="I473" s="126">
        <v>0</v>
      </c>
      <c r="J473" s="108">
        <v>1620200000</v>
      </c>
      <c r="K473" s="108" t="str">
        <f t="shared" si="21"/>
        <v>1620200000</v>
      </c>
      <c r="L473" s="303" t="str">
        <f t="shared" si="22"/>
        <v>60607011620200000000</v>
      </c>
      <c r="M473" s="132" t="str">
        <f>INDEX('реш СГД № 265'!$A:$N,MATCH('БА расх 2019-2020'!$L473,'реш СГД № 265'!$N:$N,0),3)</f>
        <v>Основное мероприятие «Выполнение противопожарных мероприятий в муниципальных учреждениях города Ставрополя»</v>
      </c>
      <c r="N473" s="17">
        <f t="shared" si="23"/>
        <v>1</v>
      </c>
    </row>
    <row r="474" spans="1:14" s="17" customFormat="1" ht="47.25">
      <c r="A474" s="14"/>
      <c r="B474" s="125" t="s">
        <v>426</v>
      </c>
      <c r="C474" s="109" t="s">
        <v>394</v>
      </c>
      <c r="D474" s="108" t="s">
        <v>229</v>
      </c>
      <c r="E474" s="108" t="s">
        <v>11</v>
      </c>
      <c r="F474" s="108" t="s">
        <v>427</v>
      </c>
      <c r="G474" s="108" t="s">
        <v>9</v>
      </c>
      <c r="H474" s="126">
        <v>0</v>
      </c>
      <c r="I474" s="126">
        <v>0</v>
      </c>
      <c r="J474" s="108">
        <v>1620220550</v>
      </c>
      <c r="K474" s="108" t="str">
        <f t="shared" si="21"/>
        <v>1620220550</v>
      </c>
      <c r="L474" s="303" t="str">
        <f t="shared" si="22"/>
        <v>60607011620220550000</v>
      </c>
      <c r="M474" s="132" t="str">
        <f>INDEX('реш СГД № 265'!$A:$N,MATCH('БА расх 2019-2020'!$L474,'реш СГД № 265'!$N:$N,0),3)</f>
        <v>Обеспечение пожарной безопасности в муниципальных учреждениях образования, культуры, физической культуры и спорта города Ставрополя</v>
      </c>
      <c r="N474" s="17">
        <f t="shared" si="23"/>
        <v>1</v>
      </c>
    </row>
    <row r="475" spans="1:14" s="17" customFormat="1" ht="15.75">
      <c r="A475" s="14"/>
      <c r="B475" s="132" t="s">
        <v>403</v>
      </c>
      <c r="C475" s="109" t="s">
        <v>394</v>
      </c>
      <c r="D475" s="108" t="s">
        <v>229</v>
      </c>
      <c r="E475" s="108" t="s">
        <v>11</v>
      </c>
      <c r="F475" s="108" t="s">
        <v>427</v>
      </c>
      <c r="G475" s="108" t="s">
        <v>404</v>
      </c>
      <c r="H475" s="126">
        <v>0</v>
      </c>
      <c r="I475" s="126">
        <v>0</v>
      </c>
      <c r="J475" s="108">
        <v>1620220550</v>
      </c>
      <c r="K475" s="108" t="str">
        <f t="shared" si="21"/>
        <v>1620220550</v>
      </c>
      <c r="L475" s="303" t="str">
        <f t="shared" si="22"/>
        <v>60607011620220550610</v>
      </c>
      <c r="M475" s="132" t="str">
        <f>INDEX('реш СГД № 265'!$A:$N,MATCH('БА расх 2019-2020'!$L475,'реш СГД № 265'!$N:$N,0),3)</f>
        <v>Субсидии бюджетным учреждениям</v>
      </c>
      <c r="N475" s="17">
        <f t="shared" si="23"/>
        <v>1</v>
      </c>
    </row>
    <row r="476" spans="1:14" s="24" customFormat="1" ht="15.75">
      <c r="A476" s="21"/>
      <c r="B476" s="127" t="s">
        <v>407</v>
      </c>
      <c r="C476" s="109" t="s">
        <v>394</v>
      </c>
      <c r="D476" s="108" t="s">
        <v>229</v>
      </c>
      <c r="E476" s="108" t="s">
        <v>11</v>
      </c>
      <c r="F476" s="108" t="s">
        <v>427</v>
      </c>
      <c r="G476" s="108" t="s">
        <v>408</v>
      </c>
      <c r="H476" s="126">
        <v>0</v>
      </c>
      <c r="I476" s="126">
        <v>0</v>
      </c>
      <c r="J476" s="108">
        <v>1620220550</v>
      </c>
      <c r="K476" s="108" t="str">
        <f t="shared" si="21"/>
        <v>1620220550</v>
      </c>
      <c r="L476" s="303" t="str">
        <f t="shared" si="22"/>
        <v>60607011620220550612</v>
      </c>
      <c r="M476" s="132"/>
      <c r="N476" s="17">
        <f t="shared" si="23"/>
        <v>0</v>
      </c>
    </row>
    <row r="477" spans="1:14" s="17" customFormat="1" ht="15.75">
      <c r="A477" s="14"/>
      <c r="B477" s="132" t="s">
        <v>409</v>
      </c>
      <c r="C477" s="109" t="s">
        <v>394</v>
      </c>
      <c r="D477" s="108" t="s">
        <v>229</v>
      </c>
      <c r="E477" s="108" t="s">
        <v>11</v>
      </c>
      <c r="F477" s="108" t="s">
        <v>427</v>
      </c>
      <c r="G477" s="108" t="s">
        <v>410</v>
      </c>
      <c r="H477" s="126">
        <v>0</v>
      </c>
      <c r="I477" s="126">
        <v>0</v>
      </c>
      <c r="J477" s="108">
        <v>1620220550</v>
      </c>
      <c r="K477" s="108" t="str">
        <f t="shared" si="21"/>
        <v>1620220550</v>
      </c>
      <c r="L477" s="303" t="str">
        <f t="shared" si="22"/>
        <v>60607011620220550620</v>
      </c>
      <c r="M477" s="132" t="str">
        <f>INDEX('реш СГД № 265'!$A:$N,MATCH('БА расх 2019-2020'!$L477,'реш СГД № 265'!$N:$N,0),3)</f>
        <v>Субсидии автономным учреждениям</v>
      </c>
      <c r="N477" s="17">
        <f t="shared" si="23"/>
        <v>1</v>
      </c>
    </row>
    <row r="478" spans="1:14" s="24" customFormat="1" ht="15.75">
      <c r="A478" s="21"/>
      <c r="B478" s="127" t="s">
        <v>428</v>
      </c>
      <c r="C478" s="109" t="s">
        <v>394</v>
      </c>
      <c r="D478" s="108" t="s">
        <v>229</v>
      </c>
      <c r="E478" s="108" t="s">
        <v>11</v>
      </c>
      <c r="F478" s="108" t="s">
        <v>427</v>
      </c>
      <c r="G478" s="108" t="s">
        <v>429</v>
      </c>
      <c r="H478" s="126">
        <v>0</v>
      </c>
      <c r="I478" s="126">
        <v>0</v>
      </c>
      <c r="J478" s="108">
        <v>1620220550</v>
      </c>
      <c r="K478" s="108" t="str">
        <f t="shared" si="21"/>
        <v>1620220550</v>
      </c>
      <c r="L478" s="303" t="str">
        <f t="shared" si="22"/>
        <v>60607011620220550622</v>
      </c>
      <c r="M478" s="132"/>
      <c r="N478" s="17">
        <f t="shared" si="23"/>
        <v>0</v>
      </c>
    </row>
    <row r="479" spans="1:14" s="17" customFormat="1" ht="47.25">
      <c r="A479" s="14"/>
      <c r="B479" s="125" t="s">
        <v>430</v>
      </c>
      <c r="C479" s="109" t="s">
        <v>394</v>
      </c>
      <c r="D479" s="108" t="s">
        <v>229</v>
      </c>
      <c r="E479" s="108" t="s">
        <v>11</v>
      </c>
      <c r="F479" s="108" t="s">
        <v>431</v>
      </c>
      <c r="G479" s="108" t="s">
        <v>9</v>
      </c>
      <c r="H479" s="126">
        <v>0</v>
      </c>
      <c r="I479" s="126">
        <v>0</v>
      </c>
      <c r="J479" s="108">
        <v>1700000000</v>
      </c>
      <c r="K479" s="108" t="str">
        <f t="shared" si="21"/>
        <v>1700000000</v>
      </c>
      <c r="L479" s="303" t="str">
        <f t="shared" si="22"/>
        <v>60607011700000000000</v>
      </c>
      <c r="M479" s="132" t="str">
        <f>INDEX('реш СГД № 265'!$A:$N,MATCH('БА расх 2019-2020'!$L479,'реш СГД № 265'!$N:$N,0),3)</f>
        <v>Муниципальная программа «Энергосбережение и повышение энергетической эффективности в городе Ставрополе»</v>
      </c>
      <c r="N479" s="17">
        <f t="shared" si="23"/>
        <v>1</v>
      </c>
    </row>
    <row r="480" spans="1:14" s="17" customFormat="1" ht="47.25">
      <c r="A480" s="14"/>
      <c r="B480" s="129" t="s">
        <v>432</v>
      </c>
      <c r="C480" s="109" t="s">
        <v>394</v>
      </c>
      <c r="D480" s="108" t="s">
        <v>229</v>
      </c>
      <c r="E480" s="108" t="s">
        <v>11</v>
      </c>
      <c r="F480" s="108" t="s">
        <v>433</v>
      </c>
      <c r="G480" s="108" t="s">
        <v>9</v>
      </c>
      <c r="H480" s="126">
        <v>0</v>
      </c>
      <c r="I480" s="126">
        <v>0</v>
      </c>
      <c r="J480" s="108" t="s">
        <v>1198</v>
      </c>
      <c r="K480" s="108" t="str">
        <f t="shared" si="21"/>
        <v>17Б0000000</v>
      </c>
      <c r="L480" s="303" t="str">
        <f t="shared" si="22"/>
        <v>606070117Б0000000000</v>
      </c>
      <c r="M480" s="132" t="str">
        <f>INDEX('реш СГД № 265'!$A:$N,MATCH('БА расх 2019-2020'!$L480,'реш СГД № 265'!$N:$N,0),3)</f>
        <v>Расходы в рамках реализации муниципальной программы «Энергосбережение и повышение энергетической эффективности в городе Ставрополе»</v>
      </c>
      <c r="N480" s="17">
        <f t="shared" si="23"/>
        <v>1</v>
      </c>
    </row>
    <row r="481" spans="1:14" s="17" customFormat="1" ht="31.5">
      <c r="A481" s="14"/>
      <c r="B481" s="125" t="s">
        <v>434</v>
      </c>
      <c r="C481" s="109" t="s">
        <v>394</v>
      </c>
      <c r="D481" s="108" t="s">
        <v>229</v>
      </c>
      <c r="E481" s="108" t="s">
        <v>11</v>
      </c>
      <c r="F481" s="108" t="s">
        <v>435</v>
      </c>
      <c r="G481" s="108" t="s">
        <v>9</v>
      </c>
      <c r="H481" s="126">
        <v>0</v>
      </c>
      <c r="I481" s="126">
        <v>0</v>
      </c>
      <c r="J481" s="108" t="s">
        <v>1199</v>
      </c>
      <c r="K481" s="108" t="str">
        <f t="shared" si="21"/>
        <v>17Б0100000</v>
      </c>
      <c r="L481" s="303" t="str">
        <f t="shared" si="22"/>
        <v>606070117Б0100000000</v>
      </c>
      <c r="M481" s="132" t="str">
        <f>INDEX('реш СГД № 265'!$A:$N,MATCH('БА расх 2019-2020'!$L481,'реш СГД № 265'!$N:$N,0),3)</f>
        <v>Основное мероприятие «Энергосбережение и энергоэффективность в бюджетном секторе»</v>
      </c>
      <c r="N481" s="17">
        <f t="shared" si="23"/>
        <v>1</v>
      </c>
    </row>
    <row r="482" spans="1:14" s="17" customFormat="1" ht="47.25">
      <c r="A482" s="14"/>
      <c r="B482" s="132" t="s">
        <v>436</v>
      </c>
      <c r="C482" s="109" t="s">
        <v>394</v>
      </c>
      <c r="D482" s="108" t="s">
        <v>229</v>
      </c>
      <c r="E482" s="108" t="s">
        <v>11</v>
      </c>
      <c r="F482" s="108" t="s">
        <v>437</v>
      </c>
      <c r="G482" s="108" t="s">
        <v>9</v>
      </c>
      <c r="H482" s="126">
        <v>0</v>
      </c>
      <c r="I482" s="126">
        <v>0</v>
      </c>
      <c r="J482" s="108" t="s">
        <v>1200</v>
      </c>
      <c r="K482" s="108" t="str">
        <f t="shared" si="21"/>
        <v>17Б0120490</v>
      </c>
      <c r="L482" s="303" t="str">
        <f t="shared" si="22"/>
        <v>606070117Б0120490000</v>
      </c>
      <c r="M482" s="132" t="str">
        <f>INDEX('реш СГД № 265'!$A:$N,MATCH('БА расх 2019-2020'!$L482,'реш СГД № 265'!$N:$N,0),3)</f>
        <v>Расходы на проведение мероприятий по энергосбережению и повышению энергетической эффективности</v>
      </c>
      <c r="N482" s="17">
        <f t="shared" si="23"/>
        <v>1</v>
      </c>
    </row>
    <row r="483" spans="1:14" s="17" customFormat="1" ht="15.75">
      <c r="A483" s="14"/>
      <c r="B483" s="132" t="s">
        <v>403</v>
      </c>
      <c r="C483" s="109" t="s">
        <v>394</v>
      </c>
      <c r="D483" s="108" t="s">
        <v>229</v>
      </c>
      <c r="E483" s="108" t="s">
        <v>11</v>
      </c>
      <c r="F483" s="108" t="s">
        <v>437</v>
      </c>
      <c r="G483" s="108" t="s">
        <v>404</v>
      </c>
      <c r="H483" s="126">
        <v>0</v>
      </c>
      <c r="I483" s="126">
        <v>0</v>
      </c>
      <c r="J483" s="108" t="s">
        <v>1200</v>
      </c>
      <c r="K483" s="108" t="str">
        <f t="shared" si="21"/>
        <v>17Б0120490</v>
      </c>
      <c r="L483" s="303" t="str">
        <f t="shared" si="22"/>
        <v>606070117Б0120490610</v>
      </c>
      <c r="M483" s="132" t="str">
        <f>INDEX('реш СГД № 265'!$A:$N,MATCH('БА расх 2019-2020'!$L483,'реш СГД № 265'!$N:$N,0),3)</f>
        <v>Субсидии бюджетным учреждениям</v>
      </c>
      <c r="N483" s="17">
        <f t="shared" si="23"/>
        <v>1</v>
      </c>
    </row>
    <row r="484" spans="1:14" s="24" customFormat="1" ht="15.75">
      <c r="A484" s="21"/>
      <c r="B484" s="127" t="s">
        <v>407</v>
      </c>
      <c r="C484" s="109" t="s">
        <v>394</v>
      </c>
      <c r="D484" s="108" t="s">
        <v>229</v>
      </c>
      <c r="E484" s="108" t="s">
        <v>11</v>
      </c>
      <c r="F484" s="108" t="s">
        <v>437</v>
      </c>
      <c r="G484" s="108" t="s">
        <v>408</v>
      </c>
      <c r="H484" s="126">
        <v>0</v>
      </c>
      <c r="I484" s="126">
        <v>0</v>
      </c>
      <c r="J484" s="108" t="s">
        <v>1200</v>
      </c>
      <c r="K484" s="108" t="str">
        <f t="shared" si="21"/>
        <v>17Б0120490</v>
      </c>
      <c r="L484" s="303" t="str">
        <f t="shared" si="22"/>
        <v>606070117Б0120490612</v>
      </c>
      <c r="M484" s="132"/>
      <c r="N484" s="17">
        <f t="shared" si="23"/>
        <v>0</v>
      </c>
    </row>
    <row r="485" spans="1:14" s="17" customFormat="1" ht="15.75">
      <c r="A485" s="14"/>
      <c r="B485" s="121" t="s">
        <v>438</v>
      </c>
      <c r="C485" s="122" t="s">
        <v>394</v>
      </c>
      <c r="D485" s="123" t="s">
        <v>229</v>
      </c>
      <c r="E485" s="123" t="s">
        <v>62</v>
      </c>
      <c r="F485" s="123" t="s">
        <v>8</v>
      </c>
      <c r="G485" s="123" t="s">
        <v>9</v>
      </c>
      <c r="H485" s="124">
        <v>0</v>
      </c>
      <c r="I485" s="124">
        <v>0</v>
      </c>
      <c r="J485" s="123">
        <v>0</v>
      </c>
      <c r="K485" s="108" t="str">
        <f t="shared" si="21"/>
        <v>0000000000</v>
      </c>
      <c r="L485" s="303" t="str">
        <f t="shared" si="22"/>
        <v>60607020000000000000</v>
      </c>
      <c r="M485" s="132" t="str">
        <f>INDEX('реш СГД № 265'!$A:$N,MATCH('БА расх 2019-2020'!$L485,'реш СГД № 265'!$N:$N,0),3)</f>
        <v>Общее образование</v>
      </c>
      <c r="N485" s="17">
        <f t="shared" si="23"/>
        <v>1</v>
      </c>
    </row>
    <row r="486" spans="1:14" s="17" customFormat="1" ht="31.5">
      <c r="A486" s="14"/>
      <c r="B486" s="132" t="s">
        <v>396</v>
      </c>
      <c r="C486" s="109" t="s">
        <v>394</v>
      </c>
      <c r="D486" s="108" t="s">
        <v>229</v>
      </c>
      <c r="E486" s="108" t="s">
        <v>62</v>
      </c>
      <c r="F486" s="108" t="s">
        <v>397</v>
      </c>
      <c r="G486" s="108" t="s">
        <v>9</v>
      </c>
      <c r="H486" s="126">
        <v>0</v>
      </c>
      <c r="I486" s="126">
        <v>0</v>
      </c>
      <c r="J486" s="108">
        <v>100000000</v>
      </c>
      <c r="K486" s="108" t="str">
        <f t="shared" si="21"/>
        <v>0100000000</v>
      </c>
      <c r="L486" s="303" t="str">
        <f t="shared" si="22"/>
        <v>60607020100000000000</v>
      </c>
      <c r="M486" s="132" t="str">
        <f>INDEX('реш СГД № 265'!$A:$N,MATCH('БА расх 2019-2020'!$L486,'реш СГД № 265'!$N:$N,0),3)</f>
        <v>Муниципальная программа «Развитие образования в городе Ставрополе»</v>
      </c>
      <c r="N486" s="17">
        <f t="shared" si="23"/>
        <v>1</v>
      </c>
    </row>
    <row r="487" spans="1:14" s="17" customFormat="1" ht="31.5">
      <c r="A487" s="14"/>
      <c r="B487" s="132" t="s">
        <v>398</v>
      </c>
      <c r="C487" s="109" t="s">
        <v>394</v>
      </c>
      <c r="D487" s="108" t="s">
        <v>229</v>
      </c>
      <c r="E487" s="108" t="s">
        <v>62</v>
      </c>
      <c r="F487" s="108" t="s">
        <v>399</v>
      </c>
      <c r="G487" s="108" t="s">
        <v>9</v>
      </c>
      <c r="H487" s="126">
        <v>0</v>
      </c>
      <c r="I487" s="126">
        <v>0</v>
      </c>
      <c r="J487" s="108">
        <v>110000000</v>
      </c>
      <c r="K487" s="108" t="str">
        <f t="shared" si="21"/>
        <v>0110000000</v>
      </c>
      <c r="L487" s="303" t="str">
        <f t="shared" si="22"/>
        <v>60607020110000000000</v>
      </c>
      <c r="M487" s="132" t="str">
        <f>INDEX('реш СГД № 265'!$A:$N,MATCH('БА расх 2019-2020'!$L487,'реш СГД № 265'!$N:$N,0),3)</f>
        <v>Подпрограмма «Организация дошкольного, общего и дополнительного образования»</v>
      </c>
      <c r="N487" s="17">
        <f t="shared" si="23"/>
        <v>1</v>
      </c>
    </row>
    <row r="488" spans="1:14" s="17" customFormat="1" ht="63">
      <c r="A488" s="14"/>
      <c r="B488" s="132" t="s">
        <v>439</v>
      </c>
      <c r="C488" s="109" t="s">
        <v>394</v>
      </c>
      <c r="D488" s="108" t="s">
        <v>229</v>
      </c>
      <c r="E488" s="108" t="s">
        <v>62</v>
      </c>
      <c r="F488" s="108" t="s">
        <v>440</v>
      </c>
      <c r="G488" s="108" t="s">
        <v>9</v>
      </c>
      <c r="H488" s="126">
        <v>0</v>
      </c>
      <c r="I488" s="126">
        <v>0</v>
      </c>
      <c r="J488" s="108">
        <v>110200000</v>
      </c>
      <c r="K488" s="108" t="str">
        <f t="shared" si="21"/>
        <v>0110200000</v>
      </c>
      <c r="L488" s="303" t="str">
        <f t="shared" si="22"/>
        <v>60607020110200000000</v>
      </c>
      <c r="M488" s="132" t="str">
        <f>INDEX('реш СГД № 265'!$A:$N,MATCH('БА расх 2019-2020'!$L488,'реш СГД № 265'!$N:$N,0),3)</f>
        <v>Основное мероприятие «Организация предоставления общедоступного и бесплатного общего образования и организация предоставления дополнительного образования детей»</v>
      </c>
      <c r="N488" s="17">
        <f t="shared" si="23"/>
        <v>1</v>
      </c>
    </row>
    <row r="489" spans="1:14" s="17" customFormat="1" ht="31.5">
      <c r="A489" s="14"/>
      <c r="B489" s="132" t="s">
        <v>136</v>
      </c>
      <c r="C489" s="109" t="s">
        <v>394</v>
      </c>
      <c r="D489" s="108" t="s">
        <v>229</v>
      </c>
      <c r="E489" s="108" t="s">
        <v>62</v>
      </c>
      <c r="F489" s="108" t="s">
        <v>441</v>
      </c>
      <c r="G489" s="108" t="s">
        <v>9</v>
      </c>
      <c r="H489" s="126">
        <v>0</v>
      </c>
      <c r="I489" s="126">
        <v>0</v>
      </c>
      <c r="J489" s="108">
        <v>110211010</v>
      </c>
      <c r="K489" s="108" t="str">
        <f t="shared" si="21"/>
        <v>0110211010</v>
      </c>
      <c r="L489" s="303" t="str">
        <f t="shared" si="22"/>
        <v>60607020110211010000</v>
      </c>
      <c r="M489" s="132" t="str">
        <f>INDEX('реш СГД № 265'!$A:$N,MATCH('БА расх 2019-2020'!$L489,'реш СГД № 265'!$N:$N,0),3)</f>
        <v>Расходы на обеспечение деятельности (оказание услуг) муниципальных учреждений</v>
      </c>
      <c r="N489" s="17">
        <f t="shared" si="23"/>
        <v>1</v>
      </c>
    </row>
    <row r="490" spans="1:14" s="17" customFormat="1" ht="15.75">
      <c r="A490" s="14"/>
      <c r="B490" s="132" t="s">
        <v>403</v>
      </c>
      <c r="C490" s="109" t="s">
        <v>394</v>
      </c>
      <c r="D490" s="108" t="s">
        <v>229</v>
      </c>
      <c r="E490" s="108" t="s">
        <v>62</v>
      </c>
      <c r="F490" s="108" t="s">
        <v>441</v>
      </c>
      <c r="G490" s="108" t="s">
        <v>404</v>
      </c>
      <c r="H490" s="126">
        <v>0</v>
      </c>
      <c r="I490" s="126">
        <v>0</v>
      </c>
      <c r="J490" s="108">
        <v>110211010</v>
      </c>
      <c r="K490" s="108" t="str">
        <f t="shared" si="21"/>
        <v>0110211010</v>
      </c>
      <c r="L490" s="303" t="str">
        <f t="shared" si="22"/>
        <v>60607020110211010610</v>
      </c>
      <c r="M490" s="132" t="str">
        <f>INDEX('реш СГД № 265'!$A:$N,MATCH('БА расх 2019-2020'!$L490,'реш СГД № 265'!$N:$N,0),3)</f>
        <v>Субсидии бюджетным учреждениям</v>
      </c>
      <c r="N490" s="17">
        <f t="shared" si="23"/>
        <v>1</v>
      </c>
    </row>
    <row r="491" spans="1:14" s="24" customFormat="1" ht="63">
      <c r="A491" s="21"/>
      <c r="B491" s="127" t="s">
        <v>405</v>
      </c>
      <c r="C491" s="109" t="s">
        <v>394</v>
      </c>
      <c r="D491" s="108" t="s">
        <v>229</v>
      </c>
      <c r="E491" s="108" t="s">
        <v>62</v>
      </c>
      <c r="F491" s="108" t="s">
        <v>441</v>
      </c>
      <c r="G491" s="108" t="s">
        <v>406</v>
      </c>
      <c r="H491" s="126">
        <v>0</v>
      </c>
      <c r="I491" s="126">
        <v>0</v>
      </c>
      <c r="J491" s="108">
        <v>110211010</v>
      </c>
      <c r="K491" s="108" t="str">
        <f t="shared" si="21"/>
        <v>0110211010</v>
      </c>
      <c r="L491" s="303" t="str">
        <f t="shared" si="22"/>
        <v>60607020110211010611</v>
      </c>
      <c r="M491" s="132"/>
      <c r="N491" s="17">
        <f t="shared" si="23"/>
        <v>0</v>
      </c>
    </row>
    <row r="492" spans="1:14" s="24" customFormat="1" ht="15.75">
      <c r="A492" s="21"/>
      <c r="B492" s="127" t="s">
        <v>407</v>
      </c>
      <c r="C492" s="109" t="s">
        <v>394</v>
      </c>
      <c r="D492" s="108" t="s">
        <v>229</v>
      </c>
      <c r="E492" s="108" t="s">
        <v>62</v>
      </c>
      <c r="F492" s="108" t="s">
        <v>441</v>
      </c>
      <c r="G492" s="108" t="s">
        <v>408</v>
      </c>
      <c r="H492" s="126">
        <v>0</v>
      </c>
      <c r="I492" s="126">
        <v>0</v>
      </c>
      <c r="J492" s="108">
        <v>110211010</v>
      </c>
      <c r="K492" s="108" t="str">
        <f t="shared" si="21"/>
        <v>0110211010</v>
      </c>
      <c r="L492" s="303" t="str">
        <f t="shared" si="22"/>
        <v>60607020110211010612</v>
      </c>
      <c r="M492" s="132"/>
      <c r="N492" s="17">
        <f t="shared" si="23"/>
        <v>0</v>
      </c>
    </row>
    <row r="493" spans="1:14" s="17" customFormat="1" ht="15.75">
      <c r="A493" s="14"/>
      <c r="B493" s="132" t="s">
        <v>409</v>
      </c>
      <c r="C493" s="109" t="s">
        <v>394</v>
      </c>
      <c r="D493" s="108" t="s">
        <v>229</v>
      </c>
      <c r="E493" s="108" t="s">
        <v>62</v>
      </c>
      <c r="F493" s="108" t="s">
        <v>441</v>
      </c>
      <c r="G493" s="108" t="s">
        <v>410</v>
      </c>
      <c r="H493" s="126">
        <v>0</v>
      </c>
      <c r="I493" s="126">
        <v>0</v>
      </c>
      <c r="J493" s="108">
        <v>110211010</v>
      </c>
      <c r="K493" s="108" t="str">
        <f t="shared" si="21"/>
        <v>0110211010</v>
      </c>
      <c r="L493" s="303" t="str">
        <f t="shared" si="22"/>
        <v>60607020110211010620</v>
      </c>
      <c r="M493" s="132" t="str">
        <f>INDEX('реш СГД № 265'!$A:$N,MATCH('БА расх 2019-2020'!$L493,'реш СГД № 265'!$N:$N,0),3)</f>
        <v>Субсидии автономным учреждениям</v>
      </c>
      <c r="N493" s="17">
        <f t="shared" si="23"/>
        <v>1</v>
      </c>
    </row>
    <row r="494" spans="1:14" s="24" customFormat="1" ht="63">
      <c r="A494" s="21"/>
      <c r="B494" s="127" t="s">
        <v>411</v>
      </c>
      <c r="C494" s="109" t="s">
        <v>394</v>
      </c>
      <c r="D494" s="108" t="s">
        <v>229</v>
      </c>
      <c r="E494" s="108" t="s">
        <v>62</v>
      </c>
      <c r="F494" s="108" t="s">
        <v>441</v>
      </c>
      <c r="G494" s="108" t="s">
        <v>412</v>
      </c>
      <c r="H494" s="126">
        <v>0</v>
      </c>
      <c r="I494" s="126">
        <v>0</v>
      </c>
      <c r="J494" s="108">
        <v>110211010</v>
      </c>
      <c r="K494" s="108" t="str">
        <f t="shared" si="21"/>
        <v>0110211010</v>
      </c>
      <c r="L494" s="303" t="str">
        <f t="shared" si="22"/>
        <v>60607020110211010621</v>
      </c>
      <c r="M494" s="132"/>
      <c r="N494" s="17">
        <f t="shared" si="23"/>
        <v>0</v>
      </c>
    </row>
    <row r="495" spans="1:14" s="24" customFormat="1" ht="15.75">
      <c r="A495" s="21"/>
      <c r="B495" s="127" t="s">
        <v>428</v>
      </c>
      <c r="C495" s="109" t="s">
        <v>394</v>
      </c>
      <c r="D495" s="108" t="s">
        <v>229</v>
      </c>
      <c r="E495" s="108" t="s">
        <v>62</v>
      </c>
      <c r="F495" s="108" t="s">
        <v>441</v>
      </c>
      <c r="G495" s="108" t="s">
        <v>429</v>
      </c>
      <c r="H495" s="126">
        <v>0</v>
      </c>
      <c r="I495" s="126">
        <v>0</v>
      </c>
      <c r="J495" s="108">
        <v>110211010</v>
      </c>
      <c r="K495" s="108" t="str">
        <f t="shared" si="21"/>
        <v>0110211010</v>
      </c>
      <c r="L495" s="303" t="str">
        <f t="shared" si="22"/>
        <v>60607020110211010622</v>
      </c>
      <c r="M495" s="132"/>
      <c r="N495" s="17">
        <f t="shared" si="23"/>
        <v>0</v>
      </c>
    </row>
    <row r="496" spans="1:14" s="17" customFormat="1" ht="47.25">
      <c r="A496" s="14"/>
      <c r="B496" s="125" t="s">
        <v>182</v>
      </c>
      <c r="C496" s="109" t="s">
        <v>394</v>
      </c>
      <c r="D496" s="108" t="s">
        <v>229</v>
      </c>
      <c r="E496" s="108" t="s">
        <v>62</v>
      </c>
      <c r="F496" s="108" t="s">
        <v>441</v>
      </c>
      <c r="G496" s="108" t="s">
        <v>183</v>
      </c>
      <c r="H496" s="126">
        <v>0</v>
      </c>
      <c r="I496" s="126">
        <v>0</v>
      </c>
      <c r="J496" s="108">
        <v>110211010</v>
      </c>
      <c r="K496" s="108" t="str">
        <f t="shared" si="21"/>
        <v>0110211010</v>
      </c>
      <c r="L496" s="303" t="str">
        <f t="shared" si="22"/>
        <v>60607020110211010630</v>
      </c>
      <c r="M496" s="132" t="str">
        <f>INDEX('реш СГД № 265'!$A:$N,MATCH('БА расх 2019-2020'!$L496,'реш СГД № 265'!$N:$N,0),3)</f>
        <v>Субсидии некоммерческим организациям (за исключением государственных (муниципальных) учреждений)</v>
      </c>
      <c r="N496" s="17">
        <f t="shared" si="23"/>
        <v>1</v>
      </c>
    </row>
    <row r="497" spans="1:14" s="24" customFormat="1" ht="94.5">
      <c r="A497" s="21"/>
      <c r="B497" s="127" t="s">
        <v>1038</v>
      </c>
      <c r="C497" s="109" t="s">
        <v>394</v>
      </c>
      <c r="D497" s="108" t="s">
        <v>229</v>
      </c>
      <c r="E497" s="108" t="s">
        <v>62</v>
      </c>
      <c r="F497" s="108" t="s">
        <v>441</v>
      </c>
      <c r="G497" s="108" t="s">
        <v>416</v>
      </c>
      <c r="H497" s="126">
        <v>0</v>
      </c>
      <c r="I497" s="126">
        <v>0</v>
      </c>
      <c r="J497" s="108">
        <v>110211010</v>
      </c>
      <c r="K497" s="108" t="str">
        <f t="shared" si="21"/>
        <v>0110211010</v>
      </c>
      <c r="L497" s="303" t="str">
        <f t="shared" si="22"/>
        <v>60607020110211010632</v>
      </c>
      <c r="M497" s="132"/>
      <c r="N497" s="17">
        <f t="shared" si="23"/>
        <v>0</v>
      </c>
    </row>
    <row r="498" spans="1:14" s="17" customFormat="1" ht="173.25">
      <c r="A498" s="14" t="s">
        <v>80</v>
      </c>
      <c r="B498" s="127" t="s">
        <v>442</v>
      </c>
      <c r="C498" s="109" t="s">
        <v>394</v>
      </c>
      <c r="D498" s="108" t="s">
        <v>229</v>
      </c>
      <c r="E498" s="108" t="s">
        <v>62</v>
      </c>
      <c r="F498" s="108" t="s">
        <v>443</v>
      </c>
      <c r="G498" s="108" t="s">
        <v>9</v>
      </c>
      <c r="H498" s="126">
        <v>0</v>
      </c>
      <c r="I498" s="126">
        <v>0</v>
      </c>
      <c r="J498" s="108">
        <v>110277160</v>
      </c>
      <c r="K498" s="108" t="str">
        <f t="shared" si="21"/>
        <v>0110277160</v>
      </c>
      <c r="L498" s="303" t="str">
        <f t="shared" si="22"/>
        <v>60607020110277160000</v>
      </c>
      <c r="M498" s="132" t="str">
        <f>INDEX('реш СГД № 265'!$A:$N,MATCH('БА расх 2019-2020'!$L498,'реш СГД № 265'!$N:$N,0),3)</f>
        <v>Расходы на обеспечение государственных гарантий реализации прав на получение общедоступного и бесплатного начального общего, основного общего, среднего общего образования в муниципальных общеобразовательных организациях, а также обеспечение дополнительного образования детей в муниципальных общеобразовательных организациях и на финансовое обеспечение получения начального общего, основного общего, среднего общего образования в частных общеобразовательных организациях</v>
      </c>
      <c r="N498" s="17">
        <f t="shared" si="23"/>
        <v>1</v>
      </c>
    </row>
    <row r="499" spans="1:14" s="17" customFormat="1" ht="15.75">
      <c r="A499" s="14"/>
      <c r="B499" s="132" t="s">
        <v>403</v>
      </c>
      <c r="C499" s="109" t="s">
        <v>394</v>
      </c>
      <c r="D499" s="108" t="s">
        <v>229</v>
      </c>
      <c r="E499" s="108" t="s">
        <v>62</v>
      </c>
      <c r="F499" s="108" t="s">
        <v>443</v>
      </c>
      <c r="G499" s="108" t="s">
        <v>404</v>
      </c>
      <c r="H499" s="126">
        <v>0</v>
      </c>
      <c r="I499" s="126">
        <v>0</v>
      </c>
      <c r="J499" s="108">
        <v>110277160</v>
      </c>
      <c r="K499" s="108" t="str">
        <f t="shared" si="21"/>
        <v>0110277160</v>
      </c>
      <c r="L499" s="303" t="str">
        <f t="shared" si="22"/>
        <v>60607020110277160610</v>
      </c>
      <c r="M499" s="132" t="str">
        <f>INDEX('реш СГД № 265'!$A:$N,MATCH('БА расх 2019-2020'!$L499,'реш СГД № 265'!$N:$N,0),3)</f>
        <v>Субсидии бюджетным учреждениям</v>
      </c>
      <c r="N499" s="17">
        <f t="shared" si="23"/>
        <v>1</v>
      </c>
    </row>
    <row r="500" spans="1:14" s="24" customFormat="1" ht="63">
      <c r="A500" s="21"/>
      <c r="B500" s="127" t="s">
        <v>405</v>
      </c>
      <c r="C500" s="109" t="s">
        <v>394</v>
      </c>
      <c r="D500" s="108" t="s">
        <v>229</v>
      </c>
      <c r="E500" s="108" t="s">
        <v>62</v>
      </c>
      <c r="F500" s="108" t="s">
        <v>443</v>
      </c>
      <c r="G500" s="108" t="s">
        <v>406</v>
      </c>
      <c r="H500" s="126">
        <v>0</v>
      </c>
      <c r="I500" s="126">
        <v>0</v>
      </c>
      <c r="J500" s="108">
        <v>110277160</v>
      </c>
      <c r="K500" s="108" t="str">
        <f t="shared" si="21"/>
        <v>0110277160</v>
      </c>
      <c r="L500" s="303" t="str">
        <f t="shared" si="22"/>
        <v>60607020110277160611</v>
      </c>
      <c r="M500" s="132"/>
      <c r="N500" s="17">
        <f t="shared" si="23"/>
        <v>0</v>
      </c>
    </row>
    <row r="501" spans="1:14" s="17" customFormat="1" ht="15.75">
      <c r="A501" s="14"/>
      <c r="B501" s="132" t="s">
        <v>409</v>
      </c>
      <c r="C501" s="109" t="s">
        <v>394</v>
      </c>
      <c r="D501" s="108" t="s">
        <v>229</v>
      </c>
      <c r="E501" s="108" t="s">
        <v>62</v>
      </c>
      <c r="F501" s="108" t="s">
        <v>443</v>
      </c>
      <c r="G501" s="108" t="s">
        <v>410</v>
      </c>
      <c r="H501" s="126">
        <v>0</v>
      </c>
      <c r="I501" s="126">
        <v>0</v>
      </c>
      <c r="J501" s="108">
        <v>110277160</v>
      </c>
      <c r="K501" s="108" t="str">
        <f t="shared" si="21"/>
        <v>0110277160</v>
      </c>
      <c r="L501" s="303" t="str">
        <f t="shared" si="22"/>
        <v>60607020110277160620</v>
      </c>
      <c r="M501" s="132" t="str">
        <f>INDEX('реш СГД № 265'!$A:$N,MATCH('БА расх 2019-2020'!$L501,'реш СГД № 265'!$N:$N,0),3)</f>
        <v>Субсидии автономным учреждениям</v>
      </c>
      <c r="N501" s="17">
        <f t="shared" si="23"/>
        <v>1</v>
      </c>
    </row>
    <row r="502" spans="1:14" s="24" customFormat="1" ht="63">
      <c r="A502" s="21"/>
      <c r="B502" s="127" t="s">
        <v>411</v>
      </c>
      <c r="C502" s="109" t="s">
        <v>394</v>
      </c>
      <c r="D502" s="108" t="s">
        <v>229</v>
      </c>
      <c r="E502" s="108" t="s">
        <v>62</v>
      </c>
      <c r="F502" s="108" t="s">
        <v>443</v>
      </c>
      <c r="G502" s="108" t="s">
        <v>412</v>
      </c>
      <c r="H502" s="126">
        <v>0</v>
      </c>
      <c r="I502" s="126">
        <v>0</v>
      </c>
      <c r="J502" s="108">
        <v>110277160</v>
      </c>
      <c r="K502" s="108" t="str">
        <f t="shared" si="21"/>
        <v>0110277160</v>
      </c>
      <c r="L502" s="303" t="str">
        <f t="shared" si="22"/>
        <v>60607020110277160621</v>
      </c>
      <c r="M502" s="132"/>
      <c r="N502" s="17">
        <f t="shared" si="23"/>
        <v>0</v>
      </c>
    </row>
    <row r="503" spans="1:14" s="17" customFormat="1" ht="47.25">
      <c r="A503" s="14"/>
      <c r="B503" s="125" t="s">
        <v>182</v>
      </c>
      <c r="C503" s="109" t="s">
        <v>394</v>
      </c>
      <c r="D503" s="108" t="s">
        <v>229</v>
      </c>
      <c r="E503" s="108" t="s">
        <v>62</v>
      </c>
      <c r="F503" s="108" t="s">
        <v>443</v>
      </c>
      <c r="G503" s="108" t="s">
        <v>183</v>
      </c>
      <c r="H503" s="126">
        <v>0</v>
      </c>
      <c r="I503" s="126">
        <v>0</v>
      </c>
      <c r="J503" s="108">
        <v>110277160</v>
      </c>
      <c r="K503" s="108" t="str">
        <f t="shared" si="21"/>
        <v>0110277160</v>
      </c>
      <c r="L503" s="303" t="str">
        <f t="shared" si="22"/>
        <v>60607020110277160630</v>
      </c>
      <c r="M503" s="132" t="str">
        <f>INDEX('реш СГД № 265'!$A:$N,MATCH('БА расх 2019-2020'!$L503,'реш СГД № 265'!$N:$N,0),3)</f>
        <v>Субсидии некоммерческим организациям (за исключением государственных (муниципальных) учреждений)</v>
      </c>
      <c r="N503" s="17">
        <f t="shared" si="23"/>
        <v>1</v>
      </c>
    </row>
    <row r="504" spans="1:14" s="24" customFormat="1" ht="94.5">
      <c r="A504" s="21"/>
      <c r="B504" s="127" t="s">
        <v>1038</v>
      </c>
      <c r="C504" s="109" t="s">
        <v>394</v>
      </c>
      <c r="D504" s="108" t="s">
        <v>229</v>
      </c>
      <c r="E504" s="108" t="s">
        <v>62</v>
      </c>
      <c r="F504" s="108" t="s">
        <v>443</v>
      </c>
      <c r="G504" s="108" t="s">
        <v>416</v>
      </c>
      <c r="H504" s="126">
        <v>0</v>
      </c>
      <c r="I504" s="126">
        <v>0</v>
      </c>
      <c r="J504" s="108">
        <v>110277160</v>
      </c>
      <c r="K504" s="108" t="str">
        <f t="shared" si="21"/>
        <v>0110277160</v>
      </c>
      <c r="L504" s="303" t="str">
        <f t="shared" si="22"/>
        <v>60607020110277160632</v>
      </c>
      <c r="M504" s="132"/>
      <c r="N504" s="17">
        <f t="shared" si="23"/>
        <v>0</v>
      </c>
    </row>
    <row r="505" spans="1:14" s="17" customFormat="1" ht="78.75">
      <c r="A505" s="14"/>
      <c r="B505" s="125" t="s">
        <v>417</v>
      </c>
      <c r="C505" s="109" t="s">
        <v>394</v>
      </c>
      <c r="D505" s="108" t="s">
        <v>229</v>
      </c>
      <c r="E505" s="108" t="s">
        <v>62</v>
      </c>
      <c r="F505" s="108" t="s">
        <v>418</v>
      </c>
      <c r="G505" s="108" t="s">
        <v>9</v>
      </c>
      <c r="H505" s="126">
        <v>0</v>
      </c>
      <c r="I505" s="126">
        <v>0</v>
      </c>
      <c r="J505" s="108">
        <v>110600000</v>
      </c>
      <c r="K505" s="108" t="str">
        <f t="shared" si="21"/>
        <v>0110600000</v>
      </c>
      <c r="L505" s="303" t="str">
        <f t="shared" si="22"/>
        <v>60607020110600000000</v>
      </c>
      <c r="M505" s="132" t="str">
        <f>INDEX('реш СГД № 265'!$A:$N,MATCH('БА расх 2019-2020'!$L505,'реш СГД № 265'!$N:$N,0),3)</f>
        <v>Основное мероприятие «Модернизация образовательных организаций, совершенствование материально-технической базы, проведение ремонтных работ, создание условий для повышения качества образовательного процесса»</v>
      </c>
      <c r="N505" s="17">
        <f t="shared" si="23"/>
        <v>1</v>
      </c>
    </row>
    <row r="506" spans="1:14" s="17" customFormat="1" ht="31.5">
      <c r="A506" s="14"/>
      <c r="B506" s="132" t="s">
        <v>136</v>
      </c>
      <c r="C506" s="109" t="s">
        <v>394</v>
      </c>
      <c r="D506" s="108" t="s">
        <v>229</v>
      </c>
      <c r="E506" s="108" t="s">
        <v>62</v>
      </c>
      <c r="F506" s="108" t="s">
        <v>419</v>
      </c>
      <c r="G506" s="108" t="s">
        <v>9</v>
      </c>
      <c r="H506" s="126">
        <v>0</v>
      </c>
      <c r="I506" s="126">
        <v>0</v>
      </c>
      <c r="J506" s="108">
        <v>110611010</v>
      </c>
      <c r="K506" s="108" t="str">
        <f t="shared" si="21"/>
        <v>0110611010</v>
      </c>
      <c r="L506" s="303" t="str">
        <f t="shared" si="22"/>
        <v>60607020110611010000</v>
      </c>
      <c r="M506" s="132" t="str">
        <f>INDEX('реш СГД № 265'!$A:$N,MATCH('БА расх 2019-2020'!$L506,'реш СГД № 265'!$N:$N,0),3)</f>
        <v>Расходы на обеспечение деятельности (оказание услуг) муниципальных учреждений</v>
      </c>
      <c r="N506" s="17">
        <f t="shared" si="23"/>
        <v>1</v>
      </c>
    </row>
    <row r="507" spans="1:14" s="17" customFormat="1" ht="15.75">
      <c r="A507" s="14"/>
      <c r="B507" s="132" t="s">
        <v>403</v>
      </c>
      <c r="C507" s="109" t="s">
        <v>394</v>
      </c>
      <c r="D507" s="108" t="s">
        <v>229</v>
      </c>
      <c r="E507" s="108" t="s">
        <v>62</v>
      </c>
      <c r="F507" s="108" t="s">
        <v>419</v>
      </c>
      <c r="G507" s="108" t="s">
        <v>404</v>
      </c>
      <c r="H507" s="126">
        <v>0</v>
      </c>
      <c r="I507" s="126">
        <v>0</v>
      </c>
      <c r="J507" s="108">
        <v>110611010</v>
      </c>
      <c r="K507" s="108" t="str">
        <f t="shared" si="21"/>
        <v>0110611010</v>
      </c>
      <c r="L507" s="303" t="str">
        <f t="shared" si="22"/>
        <v>60607020110611010610</v>
      </c>
      <c r="M507" s="132" t="str">
        <f>INDEX('реш СГД № 265'!$A:$N,MATCH('БА расх 2019-2020'!$L507,'реш СГД № 265'!$N:$N,0),3)</f>
        <v>Субсидии бюджетным учреждениям</v>
      </c>
      <c r="N507" s="17">
        <f t="shared" si="23"/>
        <v>1</v>
      </c>
    </row>
    <row r="508" spans="1:14" s="24" customFormat="1" ht="15.75">
      <c r="A508" s="21"/>
      <c r="B508" s="127" t="s">
        <v>407</v>
      </c>
      <c r="C508" s="109" t="s">
        <v>394</v>
      </c>
      <c r="D508" s="108" t="s">
        <v>229</v>
      </c>
      <c r="E508" s="108" t="s">
        <v>62</v>
      </c>
      <c r="F508" s="108" t="s">
        <v>419</v>
      </c>
      <c r="G508" s="108" t="s">
        <v>408</v>
      </c>
      <c r="H508" s="126">
        <v>0</v>
      </c>
      <c r="I508" s="126">
        <v>0</v>
      </c>
      <c r="J508" s="108">
        <v>110611010</v>
      </c>
      <c r="K508" s="108" t="str">
        <f t="shared" si="21"/>
        <v>0110611010</v>
      </c>
      <c r="L508" s="303" t="str">
        <f t="shared" si="22"/>
        <v>60607020110611010612</v>
      </c>
      <c r="M508" s="132"/>
      <c r="N508" s="17">
        <f t="shared" si="23"/>
        <v>0</v>
      </c>
    </row>
    <row r="509" spans="1:14" s="17" customFormat="1" ht="47.25">
      <c r="A509" s="14"/>
      <c r="B509" s="132" t="s">
        <v>444</v>
      </c>
      <c r="C509" s="109" t="s">
        <v>394</v>
      </c>
      <c r="D509" s="108" t="s">
        <v>229</v>
      </c>
      <c r="E509" s="108" t="s">
        <v>62</v>
      </c>
      <c r="F509" s="108" t="s">
        <v>445</v>
      </c>
      <c r="G509" s="108" t="s">
        <v>9</v>
      </c>
      <c r="H509" s="126">
        <v>0</v>
      </c>
      <c r="I509" s="126">
        <v>0</v>
      </c>
      <c r="J509" s="108">
        <v>120000000</v>
      </c>
      <c r="K509" s="108" t="str">
        <f t="shared" si="21"/>
        <v>0120000000</v>
      </c>
      <c r="L509" s="303" t="str">
        <f t="shared" si="22"/>
        <v>60607020120000000000</v>
      </c>
      <c r="M509" s="132" t="str">
        <f>INDEX('реш СГД № 265'!$A:$N,MATCH('БА расх 2019-2020'!$L509,'реш СГД № 265'!$N:$N,0),3)</f>
        <v>Подпрограмма «Расширение и усовершенствование сети муниципальных дошкольных и общеобразовательных учреждений»</v>
      </c>
      <c r="N509" s="17">
        <f t="shared" si="23"/>
        <v>1</v>
      </c>
    </row>
    <row r="510" spans="1:14" s="17" customFormat="1" ht="63">
      <c r="A510" s="14"/>
      <c r="B510" s="132" t="s">
        <v>446</v>
      </c>
      <c r="C510" s="109" t="s">
        <v>394</v>
      </c>
      <c r="D510" s="108" t="s">
        <v>229</v>
      </c>
      <c r="E510" s="108" t="s">
        <v>62</v>
      </c>
      <c r="F510" s="108" t="s">
        <v>447</v>
      </c>
      <c r="G510" s="108" t="s">
        <v>9</v>
      </c>
      <c r="H510" s="126">
        <v>0</v>
      </c>
      <c r="I510" s="126">
        <v>0</v>
      </c>
      <c r="J510" s="108">
        <v>120100000</v>
      </c>
      <c r="K510" s="108" t="str">
        <f t="shared" si="21"/>
        <v>0120100000</v>
      </c>
      <c r="L510" s="303" t="str">
        <f t="shared" si="22"/>
        <v>60607020120100000000</v>
      </c>
      <c r="M510" s="132" t="str">
        <f>INDEX('реш СГД № 265'!$A:$N,MATCH('БА расх 2019-2020'!$L510,'реш СГД № 265'!$N:$N,0),3)</f>
        <v>Основное мероприятие «Строительство и реконструкция зданий муниципальных дошкольных и общеобразовательных учреждений на территории города Ставрополя»</v>
      </c>
      <c r="N510" s="17">
        <f t="shared" si="23"/>
        <v>1</v>
      </c>
    </row>
    <row r="511" spans="1:14" s="17" customFormat="1" ht="63">
      <c r="A511" s="14"/>
      <c r="B511" s="132" t="s">
        <v>448</v>
      </c>
      <c r="C511" s="109" t="s">
        <v>394</v>
      </c>
      <c r="D511" s="108" t="s">
        <v>229</v>
      </c>
      <c r="E511" s="108" t="s">
        <v>62</v>
      </c>
      <c r="F511" s="108" t="s">
        <v>449</v>
      </c>
      <c r="G511" s="108" t="s">
        <v>9</v>
      </c>
      <c r="H511" s="126">
        <v>0</v>
      </c>
      <c r="I511" s="126">
        <v>0</v>
      </c>
      <c r="J511" s="108">
        <v>120140010</v>
      </c>
      <c r="K511" s="108" t="str">
        <f t="shared" si="21"/>
        <v>0120140010</v>
      </c>
      <c r="L511" s="303" t="str">
        <f t="shared" si="22"/>
        <v>60607020120140010000</v>
      </c>
      <c r="M511" s="132" t="str">
        <f>INDEX('реш СГД № 265'!$A:$N,MATCH('БА расх 2019-2020'!$L511,'реш СГД № 265'!$N:$N,0),3)</f>
        <v>Строительство (реконструкция, техническое перевооружение) объектов капитального строительства муниципальной собственности города Ставрополя</v>
      </c>
      <c r="N511" s="17">
        <f t="shared" si="23"/>
        <v>1</v>
      </c>
    </row>
    <row r="512" spans="1:14" s="17" customFormat="1" ht="126">
      <c r="A512" s="14"/>
      <c r="B512" s="132" t="s">
        <v>1163</v>
      </c>
      <c r="C512" s="109" t="s">
        <v>394</v>
      </c>
      <c r="D512" s="108" t="s">
        <v>229</v>
      </c>
      <c r="E512" s="108" t="s">
        <v>62</v>
      </c>
      <c r="F512" s="108" t="s">
        <v>449</v>
      </c>
      <c r="G512" s="108" t="s">
        <v>451</v>
      </c>
      <c r="H512" s="126">
        <v>0</v>
      </c>
      <c r="I512" s="126">
        <v>0</v>
      </c>
      <c r="J512" s="108">
        <v>120140010</v>
      </c>
      <c r="K512" s="108" t="str">
        <f t="shared" si="21"/>
        <v>0120140010</v>
      </c>
      <c r="L512" s="303" t="str">
        <f t="shared" si="22"/>
        <v>60607020120140010460</v>
      </c>
      <c r="M512" s="132" t="str">
        <f>INDEX('реш СГД № 265'!$A:$N,MATCH('БА расх 2019-2020'!$L512,'реш СГД № 265'!$N:$N,0),3)</f>
        <v>Субсидии бюджетным и автономным учреждениям, государственным (муниципальным) унитарным предприятиям на осуществление капитальных вложений в объекты
капитального строительства государственной
(муниципальной) собственности или приобретение объектов недвижимого имущества в государственную (муниципальную) собственность</v>
      </c>
      <c r="N512" s="17">
        <f t="shared" si="23"/>
        <v>0</v>
      </c>
    </row>
    <row r="513" spans="1:14" s="24" customFormat="1" ht="63">
      <c r="A513" s="21"/>
      <c r="B513" s="127" t="s">
        <v>452</v>
      </c>
      <c r="C513" s="109" t="s">
        <v>394</v>
      </c>
      <c r="D513" s="108" t="s">
        <v>229</v>
      </c>
      <c r="E513" s="108" t="s">
        <v>62</v>
      </c>
      <c r="F513" s="108" t="s">
        <v>449</v>
      </c>
      <c r="G513" s="108" t="s">
        <v>453</v>
      </c>
      <c r="H513" s="126">
        <v>0</v>
      </c>
      <c r="I513" s="126">
        <v>0</v>
      </c>
      <c r="J513" s="108">
        <v>120140010</v>
      </c>
      <c r="K513" s="108" t="str">
        <f t="shared" si="21"/>
        <v>0120140010</v>
      </c>
      <c r="L513" s="303" t="str">
        <f t="shared" si="22"/>
        <v>60607020120140010465</v>
      </c>
      <c r="M513" s="132"/>
      <c r="N513" s="17">
        <f t="shared" si="23"/>
        <v>0</v>
      </c>
    </row>
    <row r="514" spans="1:14" s="17" customFormat="1" ht="47.25">
      <c r="A514" s="14"/>
      <c r="B514" s="127" t="s">
        <v>146</v>
      </c>
      <c r="C514" s="109" t="s">
        <v>394</v>
      </c>
      <c r="D514" s="108" t="s">
        <v>229</v>
      </c>
      <c r="E514" s="108" t="s">
        <v>62</v>
      </c>
      <c r="F514" s="108" t="s">
        <v>147</v>
      </c>
      <c r="G514" s="108" t="s">
        <v>9</v>
      </c>
      <c r="H514" s="126">
        <v>0</v>
      </c>
      <c r="I514" s="126">
        <v>0</v>
      </c>
      <c r="J514" s="108">
        <v>1500000000</v>
      </c>
      <c r="K514" s="108" t="str">
        <f t="shared" si="21"/>
        <v>1500000000</v>
      </c>
      <c r="L514" s="303" t="str">
        <f t="shared" si="22"/>
        <v>60607021500000000000</v>
      </c>
      <c r="M514" s="132" t="str">
        <f>INDEX('реш СГД № 265'!$A:$N,MATCH('БА расх 2019-2020'!$L514,'реш СГД № 265'!$N:$N,0),3)</f>
        <v>Муниципальная программа «Обеспечение безопасности, общественного порядка и профилактика правонарушений в городе Ставрополе»</v>
      </c>
      <c r="N514" s="17">
        <f t="shared" si="23"/>
        <v>1</v>
      </c>
    </row>
    <row r="515" spans="1:14" s="17" customFormat="1" ht="47.25">
      <c r="A515" s="14"/>
      <c r="B515" s="125" t="s">
        <v>1065</v>
      </c>
      <c r="C515" s="109" t="s">
        <v>394</v>
      </c>
      <c r="D515" s="108" t="s">
        <v>229</v>
      </c>
      <c r="E515" s="108" t="s">
        <v>62</v>
      </c>
      <c r="F515" s="108" t="s">
        <v>149</v>
      </c>
      <c r="G515" s="108" t="s">
        <v>9</v>
      </c>
      <c r="H515" s="126">
        <v>0</v>
      </c>
      <c r="I515" s="126">
        <v>0</v>
      </c>
      <c r="J515" s="108">
        <v>1510000000</v>
      </c>
      <c r="K515" s="108" t="str">
        <f t="shared" si="21"/>
        <v>1510000000</v>
      </c>
      <c r="L515" s="303" t="str">
        <f t="shared" si="22"/>
        <v>60607021510000000000</v>
      </c>
      <c r="M515" s="132" t="str">
        <f>INDEX('реш СГД № 265'!$A:$N,MATCH('БА расх 2019-2020'!$L515,'реш СГД № 265'!$N:$N,0),3)</f>
        <v>Подпрограмма «Профилактика терроризма, экстремизма, межнациональных (межэтнических) конфликтов в городе Ставрополе»</v>
      </c>
      <c r="N515" s="17">
        <f t="shared" si="23"/>
        <v>1</v>
      </c>
    </row>
    <row r="516" spans="1:14" s="17" customFormat="1" ht="63">
      <c r="A516" s="14"/>
      <c r="B516" s="132" t="s">
        <v>1068</v>
      </c>
      <c r="C516" s="109" t="s">
        <v>394</v>
      </c>
      <c r="D516" s="108" t="s">
        <v>229</v>
      </c>
      <c r="E516" s="108" t="s">
        <v>62</v>
      </c>
      <c r="F516" s="108" t="s">
        <v>1069</v>
      </c>
      <c r="G516" s="108" t="s">
        <v>9</v>
      </c>
      <c r="H516" s="126">
        <v>0</v>
      </c>
      <c r="I516" s="126">
        <v>0</v>
      </c>
      <c r="J516" s="108">
        <v>1510400000</v>
      </c>
      <c r="K516" s="108" t="str">
        <f t="shared" si="21"/>
        <v>1510400000</v>
      </c>
      <c r="L516" s="303" t="str">
        <f t="shared" si="22"/>
        <v>60607021510400000000</v>
      </c>
      <c r="M516" s="132" t="str">
        <f>INDEX('реш СГД № 265'!$A:$N,MATCH('БА расх 2019-2020'!$L516,'реш СГД № 265'!$N:$N,0),3)</f>
        <v>Основное мероприятие «Повышение уровня антитеррористической защищенности мест массового пребывания людей на территории города Ставрополя и муниципальных учреждений города Ставрополя»</v>
      </c>
      <c r="N516" s="17">
        <f t="shared" si="23"/>
        <v>1</v>
      </c>
    </row>
    <row r="517" spans="1:14" s="17" customFormat="1" ht="47.25">
      <c r="A517" s="14"/>
      <c r="B517" s="132" t="s">
        <v>152</v>
      </c>
      <c r="C517" s="109" t="s">
        <v>394</v>
      </c>
      <c r="D517" s="108" t="s">
        <v>229</v>
      </c>
      <c r="E517" s="108" t="s">
        <v>62</v>
      </c>
      <c r="F517" s="108" t="s">
        <v>1070</v>
      </c>
      <c r="G517" s="108" t="s">
        <v>9</v>
      </c>
      <c r="H517" s="126">
        <v>0</v>
      </c>
      <c r="I517" s="126">
        <v>0</v>
      </c>
      <c r="J517" s="108">
        <v>1510420350</v>
      </c>
      <c r="K517" s="108" t="str">
        <f t="shared" si="21"/>
        <v>1510420350</v>
      </c>
      <c r="L517" s="303" t="str">
        <f t="shared" si="22"/>
        <v>60607021510420350000</v>
      </c>
      <c r="M517" s="132" t="str">
        <f>INDEX('реш СГД № 265'!$A:$N,MATCH('БА расх 2019-2020'!$L517,'реш СГД № 265'!$N:$N,0),3)</f>
        <v>Расходы на реализацию мероприятий, направленных на повышение уровня безопасности жизнедеятельности города Ставрополя</v>
      </c>
      <c r="N517" s="17">
        <f t="shared" si="23"/>
        <v>1</v>
      </c>
    </row>
    <row r="518" spans="1:14" s="17" customFormat="1" ht="15.75">
      <c r="A518" s="14"/>
      <c r="B518" s="132" t="s">
        <v>403</v>
      </c>
      <c r="C518" s="109" t="s">
        <v>394</v>
      </c>
      <c r="D518" s="108" t="s">
        <v>229</v>
      </c>
      <c r="E518" s="108" t="s">
        <v>62</v>
      </c>
      <c r="F518" s="108" t="s">
        <v>1070</v>
      </c>
      <c r="G518" s="108" t="s">
        <v>404</v>
      </c>
      <c r="H518" s="126">
        <v>0</v>
      </c>
      <c r="I518" s="126">
        <v>0</v>
      </c>
      <c r="J518" s="108">
        <v>1510420350</v>
      </c>
      <c r="K518" s="108" t="str">
        <f t="shared" si="21"/>
        <v>1510420350</v>
      </c>
      <c r="L518" s="303" t="str">
        <f t="shared" si="22"/>
        <v>60607021510420350610</v>
      </c>
      <c r="M518" s="132" t="str">
        <f>INDEX('реш СГД № 265'!$A:$N,MATCH('БА расх 2019-2020'!$L518,'реш СГД № 265'!$N:$N,0),3)</f>
        <v>Субсидии бюджетным учреждениям</v>
      </c>
      <c r="N518" s="17">
        <f t="shared" si="23"/>
        <v>1</v>
      </c>
    </row>
    <row r="519" spans="1:14" s="24" customFormat="1" ht="15.75">
      <c r="A519" s="21"/>
      <c r="B519" s="125" t="s">
        <v>407</v>
      </c>
      <c r="C519" s="109" t="s">
        <v>394</v>
      </c>
      <c r="D519" s="108" t="s">
        <v>229</v>
      </c>
      <c r="E519" s="108" t="s">
        <v>62</v>
      </c>
      <c r="F519" s="108" t="s">
        <v>1070</v>
      </c>
      <c r="G519" s="108" t="s">
        <v>408</v>
      </c>
      <c r="H519" s="126">
        <v>0</v>
      </c>
      <c r="I519" s="126">
        <v>0</v>
      </c>
      <c r="J519" s="108">
        <v>1510420350</v>
      </c>
      <c r="K519" s="108" t="str">
        <f t="shared" si="21"/>
        <v>1510420350</v>
      </c>
      <c r="L519" s="303" t="str">
        <f t="shared" si="22"/>
        <v>60607021510420350612</v>
      </c>
      <c r="M519" s="132"/>
      <c r="N519" s="17">
        <f t="shared" si="23"/>
        <v>0</v>
      </c>
    </row>
    <row r="520" spans="1:14" s="17" customFormat="1" ht="15.75">
      <c r="A520" s="14"/>
      <c r="B520" s="127" t="s">
        <v>154</v>
      </c>
      <c r="C520" s="109" t="s">
        <v>394</v>
      </c>
      <c r="D520" s="108" t="s">
        <v>229</v>
      </c>
      <c r="E520" s="108" t="s">
        <v>62</v>
      </c>
      <c r="F520" s="108" t="s">
        <v>155</v>
      </c>
      <c r="G520" s="108" t="s">
        <v>9</v>
      </c>
      <c r="H520" s="126">
        <v>0</v>
      </c>
      <c r="I520" s="126">
        <v>0</v>
      </c>
      <c r="J520" s="108">
        <v>1520000000</v>
      </c>
      <c r="K520" s="108" t="str">
        <f t="shared" si="21"/>
        <v>1520000000</v>
      </c>
      <c r="L520" s="303" t="str">
        <f t="shared" si="22"/>
        <v>60607021520000000000</v>
      </c>
      <c r="M520" s="132" t="str">
        <f>INDEX('реш СГД № 265'!$A:$N,MATCH('БА расх 2019-2020'!$L520,'реш СГД № 265'!$N:$N,0),3)</f>
        <v xml:space="preserve">Подпрограмма «НЕзависимость» </v>
      </c>
      <c r="N520" s="17">
        <f t="shared" si="23"/>
        <v>1</v>
      </c>
    </row>
    <row r="521" spans="1:14" s="17" customFormat="1" ht="47.25">
      <c r="A521" s="14"/>
      <c r="B521" s="127" t="s">
        <v>160</v>
      </c>
      <c r="C521" s="109" t="s">
        <v>394</v>
      </c>
      <c r="D521" s="108" t="s">
        <v>229</v>
      </c>
      <c r="E521" s="108" t="s">
        <v>62</v>
      </c>
      <c r="F521" s="108" t="s">
        <v>161</v>
      </c>
      <c r="G521" s="108" t="s">
        <v>9</v>
      </c>
      <c r="H521" s="126">
        <v>0</v>
      </c>
      <c r="I521" s="126">
        <v>0</v>
      </c>
      <c r="J521" s="108">
        <v>1520200000</v>
      </c>
      <c r="K521" s="108" t="str">
        <f t="shared" si="21"/>
        <v>1520200000</v>
      </c>
      <c r="L521" s="303" t="str">
        <f t="shared" si="22"/>
        <v>60607021520200000000</v>
      </c>
      <c r="M521" s="132" t="str">
        <f>INDEX('реш СГД № 265'!$A:$N,MATCH('БА расх 2019-2020'!$L521,'реш СГД № 265'!$N:$N,0),3)</f>
        <v>Основное мероприятие «Профилактика зависимости от наркотических и других психоактивных веществ среди детей и молодежи»</v>
      </c>
      <c r="N521" s="17">
        <f t="shared" si="23"/>
        <v>1</v>
      </c>
    </row>
    <row r="522" spans="1:14" s="17" customFormat="1" ht="78.75">
      <c r="A522" s="14"/>
      <c r="B522" s="129" t="s">
        <v>158</v>
      </c>
      <c r="C522" s="109" t="s">
        <v>394</v>
      </c>
      <c r="D522" s="108" t="s">
        <v>229</v>
      </c>
      <c r="E522" s="108" t="s">
        <v>62</v>
      </c>
      <c r="F522" s="108" t="s">
        <v>162</v>
      </c>
      <c r="G522" s="108" t="s">
        <v>9</v>
      </c>
      <c r="H522" s="126">
        <v>0</v>
      </c>
      <c r="I522" s="126">
        <v>0</v>
      </c>
      <c r="J522" s="108">
        <v>1520220370</v>
      </c>
      <c r="K522" s="108" t="str">
        <f t="shared" si="21"/>
        <v>1520220370</v>
      </c>
      <c r="L522" s="303" t="str">
        <f t="shared" si="22"/>
        <v>60607021520220370000</v>
      </c>
      <c r="M522" s="132" t="str">
        <f>INDEX('реш СГД № 265'!$A:$N,MATCH('БА расх 2019-2020'!$L522,'реш СГД № 265'!$N:$N,0),3)</f>
        <v>Расходы на реализацию мероприятий по профилактике незаконного потребления наркотических средств и психотропных веществ, наркомании и снижение их потребления среди подростков и молодежи города Ставрополя</v>
      </c>
      <c r="N522" s="17">
        <f t="shared" si="23"/>
        <v>1</v>
      </c>
    </row>
    <row r="523" spans="1:14" s="17" customFormat="1" ht="15.75">
      <c r="A523" s="14"/>
      <c r="B523" s="132" t="s">
        <v>403</v>
      </c>
      <c r="C523" s="109" t="s">
        <v>394</v>
      </c>
      <c r="D523" s="108" t="s">
        <v>229</v>
      </c>
      <c r="E523" s="108" t="s">
        <v>62</v>
      </c>
      <c r="F523" s="108" t="s">
        <v>162</v>
      </c>
      <c r="G523" s="108" t="s">
        <v>404</v>
      </c>
      <c r="H523" s="126">
        <v>0</v>
      </c>
      <c r="I523" s="126">
        <v>0</v>
      </c>
      <c r="J523" s="108">
        <v>1520220370</v>
      </c>
      <c r="K523" s="108" t="str">
        <f t="shared" ref="K523:K586" si="24">TEXT(J523,"0000000000")</f>
        <v>1520220370</v>
      </c>
      <c r="L523" s="303" t="str">
        <f t="shared" si="22"/>
        <v>60607021520220370610</v>
      </c>
      <c r="M523" s="132" t="str">
        <f>INDEX('реш СГД № 265'!$A:$N,MATCH('БА расх 2019-2020'!$L523,'реш СГД № 265'!$N:$N,0),3)</f>
        <v>Субсидии бюджетным учреждениям</v>
      </c>
      <c r="N523" s="17">
        <f t="shared" si="23"/>
        <v>1</v>
      </c>
    </row>
    <row r="524" spans="1:14" s="24" customFormat="1" ht="15.75">
      <c r="A524" s="21"/>
      <c r="B524" s="127" t="s">
        <v>407</v>
      </c>
      <c r="C524" s="109" t="s">
        <v>394</v>
      </c>
      <c r="D524" s="108" t="s">
        <v>229</v>
      </c>
      <c r="E524" s="108" t="s">
        <v>62</v>
      </c>
      <c r="F524" s="108" t="s">
        <v>162</v>
      </c>
      <c r="G524" s="108" t="s">
        <v>408</v>
      </c>
      <c r="H524" s="126">
        <v>0</v>
      </c>
      <c r="I524" s="126">
        <v>0</v>
      </c>
      <c r="J524" s="108">
        <v>1520220370</v>
      </c>
      <c r="K524" s="108" t="str">
        <f t="shared" si="24"/>
        <v>1520220370</v>
      </c>
      <c r="L524" s="303" t="str">
        <f t="shared" ref="L524:L587" si="25">C524&amp;D524&amp;E524&amp;K524&amp;G524</f>
        <v>60607021520220370612</v>
      </c>
      <c r="M524" s="132"/>
      <c r="N524" s="17">
        <f t="shared" ref="N524:N587" si="26">IF(B524=M524,1,0)</f>
        <v>0</v>
      </c>
    </row>
    <row r="525" spans="1:14" s="17" customFormat="1" ht="31.5">
      <c r="A525" s="14"/>
      <c r="B525" s="125" t="s">
        <v>168</v>
      </c>
      <c r="C525" s="109" t="s">
        <v>394</v>
      </c>
      <c r="D525" s="108" t="s">
        <v>229</v>
      </c>
      <c r="E525" s="108" t="s">
        <v>62</v>
      </c>
      <c r="F525" s="108" t="s">
        <v>169</v>
      </c>
      <c r="G525" s="108" t="s">
        <v>9</v>
      </c>
      <c r="H525" s="126">
        <v>0</v>
      </c>
      <c r="I525" s="126">
        <v>0</v>
      </c>
      <c r="J525" s="108">
        <v>1530000000</v>
      </c>
      <c r="K525" s="108" t="str">
        <f t="shared" si="24"/>
        <v>1530000000</v>
      </c>
      <c r="L525" s="303" t="str">
        <f t="shared" si="25"/>
        <v>60607021530000000000</v>
      </c>
      <c r="M525" s="132" t="str">
        <f>INDEX('реш СГД № 265'!$A:$N,MATCH('БА расх 2019-2020'!$L525,'реш СГД № 265'!$N:$N,0),3)</f>
        <v xml:space="preserve">Подпрограмма «Профилактика правонарушений в городе Ставрополе» </v>
      </c>
      <c r="N525" s="17">
        <f t="shared" si="26"/>
        <v>1</v>
      </c>
    </row>
    <row r="526" spans="1:14" s="17" customFormat="1" ht="31.5">
      <c r="A526" s="14"/>
      <c r="B526" s="125" t="s">
        <v>374</v>
      </c>
      <c r="C526" s="109" t="s">
        <v>394</v>
      </c>
      <c r="D526" s="108" t="s">
        <v>229</v>
      </c>
      <c r="E526" s="108" t="s">
        <v>62</v>
      </c>
      <c r="F526" s="108" t="s">
        <v>375</v>
      </c>
      <c r="G526" s="108" t="s">
        <v>9</v>
      </c>
      <c r="H526" s="126">
        <v>0</v>
      </c>
      <c r="I526" s="126">
        <v>0</v>
      </c>
      <c r="J526" s="108">
        <v>1530100000</v>
      </c>
      <c r="K526" s="108" t="str">
        <f t="shared" si="24"/>
        <v>1530100000</v>
      </c>
      <c r="L526" s="303" t="str">
        <f t="shared" si="25"/>
        <v>60607021530100000000</v>
      </c>
      <c r="M526" s="132" t="str">
        <f>INDEX('реш СГД № 265'!$A:$N,MATCH('БА расх 2019-2020'!$L526,'реш СГД № 265'!$N:$N,0),3)</f>
        <v>Основное мероприятие «Профилактика правонарушений несовершеннолетних»</v>
      </c>
      <c r="N526" s="17">
        <f t="shared" si="26"/>
        <v>1</v>
      </c>
    </row>
    <row r="527" spans="1:14" s="17" customFormat="1" ht="47.25">
      <c r="A527" s="14"/>
      <c r="B527" s="125" t="s">
        <v>376</v>
      </c>
      <c r="C527" s="109" t="s">
        <v>394</v>
      </c>
      <c r="D527" s="108" t="s">
        <v>229</v>
      </c>
      <c r="E527" s="108" t="s">
        <v>62</v>
      </c>
      <c r="F527" s="108" t="s">
        <v>377</v>
      </c>
      <c r="G527" s="108" t="s">
        <v>9</v>
      </c>
      <c r="H527" s="126">
        <v>0</v>
      </c>
      <c r="I527" s="126">
        <v>0</v>
      </c>
      <c r="J527" s="108">
        <v>1530120660</v>
      </c>
      <c r="K527" s="108" t="str">
        <f t="shared" si="24"/>
        <v>1530120660</v>
      </c>
      <c r="L527" s="303" t="str">
        <f t="shared" si="25"/>
        <v>60607021530120660000</v>
      </c>
      <c r="M527" s="132" t="str">
        <f>INDEX('реш СГД № 265'!$A:$N,MATCH('БА расх 2019-2020'!$L527,'реш СГД № 265'!$N:$N,0),3)</f>
        <v>Расходы на реализацию мероприятий, направленных на профилактику правонарушений в городе Ставрополе</v>
      </c>
      <c r="N527" s="17">
        <f t="shared" si="26"/>
        <v>1</v>
      </c>
    </row>
    <row r="528" spans="1:14" s="17" customFormat="1" ht="15.75">
      <c r="A528" s="14"/>
      <c r="B528" s="132" t="s">
        <v>403</v>
      </c>
      <c r="C528" s="109" t="s">
        <v>394</v>
      </c>
      <c r="D528" s="108" t="s">
        <v>229</v>
      </c>
      <c r="E528" s="108" t="s">
        <v>62</v>
      </c>
      <c r="F528" s="108" t="s">
        <v>377</v>
      </c>
      <c r="G528" s="108" t="s">
        <v>404</v>
      </c>
      <c r="H528" s="126">
        <v>0</v>
      </c>
      <c r="I528" s="126">
        <v>0</v>
      </c>
      <c r="J528" s="108">
        <v>1530120660</v>
      </c>
      <c r="K528" s="108" t="str">
        <f t="shared" si="24"/>
        <v>1530120660</v>
      </c>
      <c r="L528" s="303" t="str">
        <f t="shared" si="25"/>
        <v>60607021530120660610</v>
      </c>
      <c r="M528" s="132" t="str">
        <f>INDEX('реш СГД № 265'!$A:$N,MATCH('БА расх 2019-2020'!$L528,'реш СГД № 265'!$N:$N,0),3)</f>
        <v>Субсидии бюджетным учреждениям</v>
      </c>
      <c r="N528" s="17">
        <f t="shared" si="26"/>
        <v>1</v>
      </c>
    </row>
    <row r="529" spans="1:14" s="24" customFormat="1" ht="15.75">
      <c r="A529" s="21"/>
      <c r="B529" s="127" t="s">
        <v>407</v>
      </c>
      <c r="C529" s="109" t="s">
        <v>394</v>
      </c>
      <c r="D529" s="108" t="s">
        <v>229</v>
      </c>
      <c r="E529" s="108" t="s">
        <v>62</v>
      </c>
      <c r="F529" s="108" t="s">
        <v>377</v>
      </c>
      <c r="G529" s="108" t="s">
        <v>408</v>
      </c>
      <c r="H529" s="126">
        <v>0</v>
      </c>
      <c r="I529" s="126">
        <v>0</v>
      </c>
      <c r="J529" s="108">
        <v>1530120660</v>
      </c>
      <c r="K529" s="108" t="str">
        <f t="shared" si="24"/>
        <v>1530120660</v>
      </c>
      <c r="L529" s="303" t="str">
        <f t="shared" si="25"/>
        <v>60607021530120660612</v>
      </c>
      <c r="M529" s="132"/>
      <c r="N529" s="17">
        <f t="shared" si="26"/>
        <v>0</v>
      </c>
    </row>
    <row r="530" spans="1:14" s="17" customFormat="1" ht="94.5">
      <c r="A530" s="14"/>
      <c r="B530" s="125" t="s">
        <v>420</v>
      </c>
      <c r="C530" s="109" t="s">
        <v>394</v>
      </c>
      <c r="D530" s="108" t="s">
        <v>229</v>
      </c>
      <c r="E530" s="108" t="s">
        <v>62</v>
      </c>
      <c r="F530" s="108" t="s">
        <v>421</v>
      </c>
      <c r="G530" s="108" t="s">
        <v>9</v>
      </c>
      <c r="H530" s="126">
        <v>0</v>
      </c>
      <c r="I530" s="126">
        <v>0</v>
      </c>
      <c r="J530" s="108">
        <v>1600000000</v>
      </c>
      <c r="K530" s="108" t="str">
        <f t="shared" si="24"/>
        <v>1600000000</v>
      </c>
      <c r="L530" s="303" t="str">
        <f t="shared" si="25"/>
        <v>60607021600000000000</v>
      </c>
      <c r="M530" s="132" t="str">
        <f>INDEX('реш СГД № 265'!$A:$N,MATCH('БА расх 2019-2020'!$L530,'реш СГД № 265'!$N:$N,0),3)</f>
        <v>Муниципальная программа «Обеспечение гражданской обороны, пожарной безопасности, безопасности людей на водных объектах, организация деятельности аварийно-спасательных служб, защита населения и территории города Ставрополя от чрезвычайных ситуаций»</v>
      </c>
      <c r="N530" s="17">
        <f t="shared" si="26"/>
        <v>1</v>
      </c>
    </row>
    <row r="531" spans="1:14" s="17" customFormat="1" ht="31.5">
      <c r="A531" s="14"/>
      <c r="B531" s="125" t="s">
        <v>422</v>
      </c>
      <c r="C531" s="109" t="s">
        <v>394</v>
      </c>
      <c r="D531" s="108" t="s">
        <v>229</v>
      </c>
      <c r="E531" s="108" t="s">
        <v>62</v>
      </c>
      <c r="F531" s="108" t="s">
        <v>423</v>
      </c>
      <c r="G531" s="108" t="s">
        <v>9</v>
      </c>
      <c r="H531" s="126">
        <v>0</v>
      </c>
      <c r="I531" s="126">
        <v>0</v>
      </c>
      <c r="J531" s="108">
        <v>1620000000</v>
      </c>
      <c r="K531" s="108" t="str">
        <f t="shared" si="24"/>
        <v>1620000000</v>
      </c>
      <c r="L531" s="303" t="str">
        <f t="shared" si="25"/>
        <v>60607021620000000000</v>
      </c>
      <c r="M531" s="132" t="str">
        <f>INDEX('реш СГД № 265'!$A:$N,MATCH('БА расх 2019-2020'!$L531,'реш СГД № 265'!$N:$N,0),3)</f>
        <v>Подпрограмма «Обеспечение пожарной безопасности в границах города Ставрополя»</v>
      </c>
      <c r="N531" s="17">
        <f t="shared" si="26"/>
        <v>1</v>
      </c>
    </row>
    <row r="532" spans="1:14" s="17" customFormat="1" ht="47.25">
      <c r="A532" s="14"/>
      <c r="B532" s="125" t="s">
        <v>424</v>
      </c>
      <c r="C532" s="109" t="s">
        <v>394</v>
      </c>
      <c r="D532" s="108" t="s">
        <v>229</v>
      </c>
      <c r="E532" s="108" t="s">
        <v>62</v>
      </c>
      <c r="F532" s="108" t="s">
        <v>425</v>
      </c>
      <c r="G532" s="108" t="s">
        <v>9</v>
      </c>
      <c r="H532" s="126">
        <v>0</v>
      </c>
      <c r="I532" s="126">
        <v>0</v>
      </c>
      <c r="J532" s="108">
        <v>1620200000</v>
      </c>
      <c r="K532" s="108" t="str">
        <f t="shared" si="24"/>
        <v>1620200000</v>
      </c>
      <c r="L532" s="303" t="str">
        <f t="shared" si="25"/>
        <v>60607021620200000000</v>
      </c>
      <c r="M532" s="132" t="str">
        <f>INDEX('реш СГД № 265'!$A:$N,MATCH('БА расх 2019-2020'!$L532,'реш СГД № 265'!$N:$N,0),3)</f>
        <v>Основное мероприятие «Выполнение противопожарных мероприятий в муниципальных учреждениях города Ставрополя»</v>
      </c>
      <c r="N532" s="17">
        <f t="shared" si="26"/>
        <v>1</v>
      </c>
    </row>
    <row r="533" spans="1:14" s="17" customFormat="1" ht="47.25">
      <c r="A533" s="14"/>
      <c r="B533" s="125" t="s">
        <v>426</v>
      </c>
      <c r="C533" s="109" t="s">
        <v>394</v>
      </c>
      <c r="D533" s="108" t="s">
        <v>229</v>
      </c>
      <c r="E533" s="108" t="s">
        <v>62</v>
      </c>
      <c r="F533" s="108" t="s">
        <v>427</v>
      </c>
      <c r="G533" s="108" t="s">
        <v>9</v>
      </c>
      <c r="H533" s="126">
        <v>0</v>
      </c>
      <c r="I533" s="126">
        <v>0</v>
      </c>
      <c r="J533" s="108">
        <v>1620220550</v>
      </c>
      <c r="K533" s="108" t="str">
        <f t="shared" si="24"/>
        <v>1620220550</v>
      </c>
      <c r="L533" s="303" t="str">
        <f t="shared" si="25"/>
        <v>60607021620220550000</v>
      </c>
      <c r="M533" s="132" t="str">
        <f>INDEX('реш СГД № 265'!$A:$N,MATCH('БА расх 2019-2020'!$L533,'реш СГД № 265'!$N:$N,0),3)</f>
        <v>Обеспечение пожарной безопасности в муниципальных учреждениях образования, культуры, физической культуры и спорта города Ставрополя</v>
      </c>
      <c r="N533" s="17">
        <f t="shared" si="26"/>
        <v>1</v>
      </c>
    </row>
    <row r="534" spans="1:14" s="17" customFormat="1" ht="15.75">
      <c r="A534" s="14"/>
      <c r="B534" s="132" t="s">
        <v>403</v>
      </c>
      <c r="C534" s="109" t="s">
        <v>394</v>
      </c>
      <c r="D534" s="108" t="s">
        <v>229</v>
      </c>
      <c r="E534" s="108" t="s">
        <v>62</v>
      </c>
      <c r="F534" s="108" t="s">
        <v>427</v>
      </c>
      <c r="G534" s="108" t="s">
        <v>404</v>
      </c>
      <c r="H534" s="126">
        <v>0</v>
      </c>
      <c r="I534" s="126">
        <v>0</v>
      </c>
      <c r="J534" s="108">
        <v>1620220550</v>
      </c>
      <c r="K534" s="108" t="str">
        <f t="shared" si="24"/>
        <v>1620220550</v>
      </c>
      <c r="L534" s="303" t="str">
        <f t="shared" si="25"/>
        <v>60607021620220550610</v>
      </c>
      <c r="M534" s="132" t="str">
        <f>INDEX('реш СГД № 265'!$A:$N,MATCH('БА расх 2019-2020'!$L534,'реш СГД № 265'!$N:$N,0),3)</f>
        <v>Субсидии бюджетным учреждениям</v>
      </c>
      <c r="N534" s="17">
        <f t="shared" si="26"/>
        <v>1</v>
      </c>
    </row>
    <row r="535" spans="1:14" s="24" customFormat="1" ht="15.75">
      <c r="A535" s="21"/>
      <c r="B535" s="127" t="s">
        <v>407</v>
      </c>
      <c r="C535" s="109" t="s">
        <v>394</v>
      </c>
      <c r="D535" s="108" t="s">
        <v>229</v>
      </c>
      <c r="E535" s="108" t="s">
        <v>62</v>
      </c>
      <c r="F535" s="108" t="s">
        <v>427</v>
      </c>
      <c r="G535" s="108" t="s">
        <v>408</v>
      </c>
      <c r="H535" s="126">
        <v>0</v>
      </c>
      <c r="I535" s="126">
        <v>0</v>
      </c>
      <c r="J535" s="108">
        <v>1620220550</v>
      </c>
      <c r="K535" s="108" t="str">
        <f t="shared" si="24"/>
        <v>1620220550</v>
      </c>
      <c r="L535" s="303" t="str">
        <f t="shared" si="25"/>
        <v>60607021620220550612</v>
      </c>
      <c r="M535" s="132"/>
      <c r="N535" s="17">
        <f t="shared" si="26"/>
        <v>0</v>
      </c>
    </row>
    <row r="536" spans="1:14" s="17" customFormat="1" ht="15.75">
      <c r="A536" s="14"/>
      <c r="B536" s="132" t="s">
        <v>409</v>
      </c>
      <c r="C536" s="109" t="s">
        <v>394</v>
      </c>
      <c r="D536" s="108" t="s">
        <v>229</v>
      </c>
      <c r="E536" s="108" t="s">
        <v>62</v>
      </c>
      <c r="F536" s="108" t="s">
        <v>427</v>
      </c>
      <c r="G536" s="108" t="s">
        <v>410</v>
      </c>
      <c r="H536" s="126">
        <v>0</v>
      </c>
      <c r="I536" s="126">
        <v>0</v>
      </c>
      <c r="J536" s="108">
        <v>1620220550</v>
      </c>
      <c r="K536" s="108" t="str">
        <f t="shared" si="24"/>
        <v>1620220550</v>
      </c>
      <c r="L536" s="303" t="str">
        <f t="shared" si="25"/>
        <v>60607021620220550620</v>
      </c>
      <c r="M536" s="132" t="str">
        <f>INDEX('реш СГД № 265'!$A:$N,MATCH('БА расх 2019-2020'!$L536,'реш СГД № 265'!$N:$N,0),3)</f>
        <v>Субсидии автономным учреждениям</v>
      </c>
      <c r="N536" s="17">
        <f t="shared" si="26"/>
        <v>1</v>
      </c>
    </row>
    <row r="537" spans="1:14" s="24" customFormat="1" ht="15.75">
      <c r="A537" s="21"/>
      <c r="B537" s="127" t="s">
        <v>428</v>
      </c>
      <c r="C537" s="109" t="s">
        <v>394</v>
      </c>
      <c r="D537" s="108" t="s">
        <v>229</v>
      </c>
      <c r="E537" s="108" t="s">
        <v>62</v>
      </c>
      <c r="F537" s="108" t="s">
        <v>427</v>
      </c>
      <c r="G537" s="108" t="s">
        <v>429</v>
      </c>
      <c r="H537" s="126">
        <v>0</v>
      </c>
      <c r="I537" s="126">
        <v>0</v>
      </c>
      <c r="J537" s="108">
        <v>1620220550</v>
      </c>
      <c r="K537" s="108" t="str">
        <f t="shared" si="24"/>
        <v>1620220550</v>
      </c>
      <c r="L537" s="303" t="str">
        <f t="shared" si="25"/>
        <v>60607021620220550622</v>
      </c>
      <c r="M537" s="132"/>
      <c r="N537" s="17">
        <f t="shared" si="26"/>
        <v>0</v>
      </c>
    </row>
    <row r="538" spans="1:14" s="17" customFormat="1" ht="47.25">
      <c r="A538" s="14"/>
      <c r="B538" s="125" t="s">
        <v>430</v>
      </c>
      <c r="C538" s="109" t="s">
        <v>394</v>
      </c>
      <c r="D538" s="108" t="s">
        <v>229</v>
      </c>
      <c r="E538" s="108" t="s">
        <v>62</v>
      </c>
      <c r="F538" s="108" t="s">
        <v>431</v>
      </c>
      <c r="G538" s="108" t="s">
        <v>9</v>
      </c>
      <c r="H538" s="126">
        <v>0</v>
      </c>
      <c r="I538" s="126">
        <v>0</v>
      </c>
      <c r="J538" s="108">
        <v>1700000000</v>
      </c>
      <c r="K538" s="108" t="str">
        <f t="shared" si="24"/>
        <v>1700000000</v>
      </c>
      <c r="L538" s="303" t="str">
        <f t="shared" si="25"/>
        <v>60607021700000000000</v>
      </c>
      <c r="M538" s="132" t="str">
        <f>INDEX('реш СГД № 265'!$A:$N,MATCH('БА расх 2019-2020'!$L538,'реш СГД № 265'!$N:$N,0),3)</f>
        <v>Муниципальная программа «Энергосбережение и повышение энергетической эффективности в городе Ставрополе»</v>
      </c>
      <c r="N538" s="17">
        <f t="shared" si="26"/>
        <v>1</v>
      </c>
    </row>
    <row r="539" spans="1:14" s="17" customFormat="1" ht="47.25">
      <c r="A539" s="14"/>
      <c r="B539" s="129" t="s">
        <v>432</v>
      </c>
      <c r="C539" s="109" t="s">
        <v>394</v>
      </c>
      <c r="D539" s="108" t="s">
        <v>229</v>
      </c>
      <c r="E539" s="108" t="s">
        <v>62</v>
      </c>
      <c r="F539" s="108" t="s">
        <v>433</v>
      </c>
      <c r="G539" s="108" t="s">
        <v>9</v>
      </c>
      <c r="H539" s="126">
        <v>0</v>
      </c>
      <c r="I539" s="126">
        <v>0</v>
      </c>
      <c r="J539" s="108" t="s">
        <v>1198</v>
      </c>
      <c r="K539" s="108" t="str">
        <f t="shared" si="24"/>
        <v>17Б0000000</v>
      </c>
      <c r="L539" s="303" t="str">
        <f t="shared" si="25"/>
        <v>606070217Б0000000000</v>
      </c>
      <c r="M539" s="132" t="str">
        <f>INDEX('реш СГД № 265'!$A:$N,MATCH('БА расх 2019-2020'!$L539,'реш СГД № 265'!$N:$N,0),3)</f>
        <v>Расходы в рамках реализации муниципальной программы «Энергосбережение и повышение энергетической эффективности в городе Ставрополе»</v>
      </c>
      <c r="N539" s="17">
        <f t="shared" si="26"/>
        <v>1</v>
      </c>
    </row>
    <row r="540" spans="1:14" s="17" customFormat="1" ht="31.5">
      <c r="A540" s="14"/>
      <c r="B540" s="125" t="s">
        <v>434</v>
      </c>
      <c r="C540" s="109" t="s">
        <v>394</v>
      </c>
      <c r="D540" s="108" t="s">
        <v>229</v>
      </c>
      <c r="E540" s="108" t="s">
        <v>62</v>
      </c>
      <c r="F540" s="108" t="s">
        <v>435</v>
      </c>
      <c r="G540" s="108" t="s">
        <v>9</v>
      </c>
      <c r="H540" s="126">
        <v>0</v>
      </c>
      <c r="I540" s="126">
        <v>0</v>
      </c>
      <c r="J540" s="108" t="s">
        <v>1199</v>
      </c>
      <c r="K540" s="108" t="str">
        <f t="shared" si="24"/>
        <v>17Б0100000</v>
      </c>
      <c r="L540" s="303" t="str">
        <f t="shared" si="25"/>
        <v>606070217Б0100000000</v>
      </c>
      <c r="M540" s="132" t="str">
        <f>INDEX('реш СГД № 265'!$A:$N,MATCH('БА расх 2019-2020'!$L540,'реш СГД № 265'!$N:$N,0),3)</f>
        <v>Основное мероприятие «Энергосбережение и энергоэффективность в бюджетном секторе»</v>
      </c>
      <c r="N540" s="17">
        <f t="shared" si="26"/>
        <v>1</v>
      </c>
    </row>
    <row r="541" spans="1:14" s="17" customFormat="1" ht="47.25">
      <c r="A541" s="14"/>
      <c r="B541" s="132" t="s">
        <v>436</v>
      </c>
      <c r="C541" s="109" t="s">
        <v>394</v>
      </c>
      <c r="D541" s="108" t="s">
        <v>229</v>
      </c>
      <c r="E541" s="108" t="s">
        <v>62</v>
      </c>
      <c r="F541" s="108" t="s">
        <v>437</v>
      </c>
      <c r="G541" s="108" t="s">
        <v>9</v>
      </c>
      <c r="H541" s="126">
        <v>0</v>
      </c>
      <c r="I541" s="126">
        <v>0</v>
      </c>
      <c r="J541" s="108" t="s">
        <v>1200</v>
      </c>
      <c r="K541" s="108" t="str">
        <f t="shared" si="24"/>
        <v>17Б0120490</v>
      </c>
      <c r="L541" s="303" t="str">
        <f t="shared" si="25"/>
        <v>606070217Б0120490000</v>
      </c>
      <c r="M541" s="132" t="str">
        <f>INDEX('реш СГД № 265'!$A:$N,MATCH('БА расх 2019-2020'!$L541,'реш СГД № 265'!$N:$N,0),3)</f>
        <v>Расходы на проведение мероприятий по энергосбережению и повышению энергетической эффективности</v>
      </c>
      <c r="N541" s="17">
        <f t="shared" si="26"/>
        <v>1</v>
      </c>
    </row>
    <row r="542" spans="1:14" s="17" customFormat="1" ht="15.75">
      <c r="A542" s="14"/>
      <c r="B542" s="132" t="s">
        <v>403</v>
      </c>
      <c r="C542" s="109" t="s">
        <v>394</v>
      </c>
      <c r="D542" s="108" t="s">
        <v>229</v>
      </c>
      <c r="E542" s="108" t="s">
        <v>62</v>
      </c>
      <c r="F542" s="108" t="s">
        <v>437</v>
      </c>
      <c r="G542" s="108" t="s">
        <v>404</v>
      </c>
      <c r="H542" s="126">
        <v>0</v>
      </c>
      <c r="I542" s="126">
        <v>0</v>
      </c>
      <c r="J542" s="108" t="s">
        <v>1200</v>
      </c>
      <c r="K542" s="108" t="str">
        <f t="shared" si="24"/>
        <v>17Б0120490</v>
      </c>
      <c r="L542" s="303" t="str">
        <f t="shared" si="25"/>
        <v>606070217Б0120490610</v>
      </c>
      <c r="M542" s="132" t="str">
        <f>INDEX('реш СГД № 265'!$A:$N,MATCH('БА расх 2019-2020'!$L542,'реш СГД № 265'!$N:$N,0),3)</f>
        <v>Субсидии бюджетным учреждениям</v>
      </c>
      <c r="N542" s="17">
        <f t="shared" si="26"/>
        <v>1</v>
      </c>
    </row>
    <row r="543" spans="1:14" s="24" customFormat="1" ht="15.75">
      <c r="A543" s="21"/>
      <c r="B543" s="127" t="s">
        <v>407</v>
      </c>
      <c r="C543" s="109" t="s">
        <v>394</v>
      </c>
      <c r="D543" s="108" t="s">
        <v>229</v>
      </c>
      <c r="E543" s="108" t="s">
        <v>62</v>
      </c>
      <c r="F543" s="108" t="s">
        <v>437</v>
      </c>
      <c r="G543" s="108" t="s">
        <v>408</v>
      </c>
      <c r="H543" s="126">
        <v>0</v>
      </c>
      <c r="I543" s="126">
        <v>0</v>
      </c>
      <c r="J543" s="108" t="s">
        <v>1200</v>
      </c>
      <c r="K543" s="108" t="str">
        <f t="shared" si="24"/>
        <v>17Б0120490</v>
      </c>
      <c r="L543" s="303" t="str">
        <f t="shared" si="25"/>
        <v>606070217Б0120490612</v>
      </c>
      <c r="M543" s="132"/>
      <c r="N543" s="17">
        <f t="shared" si="26"/>
        <v>0</v>
      </c>
    </row>
    <row r="544" spans="1:14" s="17" customFormat="1" ht="31.5">
      <c r="A544" s="14"/>
      <c r="B544" s="132" t="s">
        <v>174</v>
      </c>
      <c r="C544" s="109" t="s">
        <v>394</v>
      </c>
      <c r="D544" s="108" t="s">
        <v>229</v>
      </c>
      <c r="E544" s="108" t="s">
        <v>62</v>
      </c>
      <c r="F544" s="108" t="s">
        <v>175</v>
      </c>
      <c r="G544" s="108" t="s">
        <v>9</v>
      </c>
      <c r="H544" s="126">
        <v>0</v>
      </c>
      <c r="I544" s="126">
        <v>0</v>
      </c>
      <c r="J544" s="108">
        <v>1800000000</v>
      </c>
      <c r="K544" s="108" t="str">
        <f t="shared" si="24"/>
        <v>1800000000</v>
      </c>
      <c r="L544" s="303" t="str">
        <f t="shared" si="25"/>
        <v>60607021800000000000</v>
      </c>
      <c r="M544" s="132" t="str">
        <f>INDEX('реш СГД № 265'!$A:$N,MATCH('БА расх 2019-2020'!$L544,'реш СГД № 265'!$N:$N,0),3)</f>
        <v>Муниципальная программа «Развитие казачества в городе Ставрополе»</v>
      </c>
      <c r="N544" s="17">
        <f t="shared" si="26"/>
        <v>1</v>
      </c>
    </row>
    <row r="545" spans="1:14" s="17" customFormat="1" ht="47.25">
      <c r="A545" s="14"/>
      <c r="B545" s="132" t="s">
        <v>176</v>
      </c>
      <c r="C545" s="109" t="s">
        <v>394</v>
      </c>
      <c r="D545" s="108" t="s">
        <v>229</v>
      </c>
      <c r="E545" s="108" t="s">
        <v>62</v>
      </c>
      <c r="F545" s="108" t="s">
        <v>177</v>
      </c>
      <c r="G545" s="108" t="s">
        <v>9</v>
      </c>
      <c r="H545" s="126">
        <v>0</v>
      </c>
      <c r="I545" s="126">
        <v>0</v>
      </c>
      <c r="J545" s="108" t="s">
        <v>1167</v>
      </c>
      <c r="K545" s="108" t="str">
        <f t="shared" si="24"/>
        <v>18Б0000000</v>
      </c>
      <c r="L545" s="303" t="str">
        <f t="shared" si="25"/>
        <v>606070218Б0000000000</v>
      </c>
      <c r="M545" s="132" t="str">
        <f>INDEX('реш СГД № 265'!$A:$N,MATCH('БА расх 2019-2020'!$L545,'реш СГД № 265'!$N:$N,0),3)</f>
        <v>Расходы в рамках реализации муниципальной программы «Развитие казачества в городе Ставрополе»</v>
      </c>
      <c r="N545" s="17">
        <f t="shared" si="26"/>
        <v>1</v>
      </c>
    </row>
    <row r="546" spans="1:14" s="17" customFormat="1" ht="78.75">
      <c r="A546" s="14"/>
      <c r="B546" s="125" t="s">
        <v>454</v>
      </c>
      <c r="C546" s="109" t="s">
        <v>394</v>
      </c>
      <c r="D546" s="108" t="s">
        <v>229</v>
      </c>
      <c r="E546" s="108" t="s">
        <v>62</v>
      </c>
      <c r="F546" s="108" t="s">
        <v>455</v>
      </c>
      <c r="G546" s="108" t="s">
        <v>9</v>
      </c>
      <c r="H546" s="126">
        <v>0</v>
      </c>
      <c r="I546" s="126">
        <v>0</v>
      </c>
      <c r="J546" s="108" t="s">
        <v>1204</v>
      </c>
      <c r="K546" s="108" t="str">
        <f t="shared" si="24"/>
        <v>18Б0200000</v>
      </c>
      <c r="L546" s="303" t="str">
        <f t="shared" si="25"/>
        <v>606070218Б0200000000</v>
      </c>
      <c r="M546" s="132" t="str">
        <f>INDEX('реш СГД № 265'!$A:$N,MATCH('БА расх 2019-2020'!$L546,'реш СГД № 265'!$N:$N,0),3)</f>
        <v>Основное мероприятие «Развитие духовно-культурных основ казачества, использование в образовательном процессе культурно-исторических традиций казачества, военно-патриотического воспитания казачьей молодежи в городе Ставрополе»</v>
      </c>
      <c r="N546" s="17">
        <f t="shared" si="26"/>
        <v>1</v>
      </c>
    </row>
    <row r="547" spans="1:14" s="17" customFormat="1" ht="47.25">
      <c r="A547" s="14"/>
      <c r="B547" s="125" t="s">
        <v>456</v>
      </c>
      <c r="C547" s="109" t="s">
        <v>394</v>
      </c>
      <c r="D547" s="108" t="s">
        <v>229</v>
      </c>
      <c r="E547" s="108" t="s">
        <v>62</v>
      </c>
      <c r="F547" s="108" t="s">
        <v>457</v>
      </c>
      <c r="G547" s="108" t="s">
        <v>9</v>
      </c>
      <c r="H547" s="126">
        <v>0</v>
      </c>
      <c r="I547" s="126">
        <v>0</v>
      </c>
      <c r="J547" s="108" t="s">
        <v>1205</v>
      </c>
      <c r="K547" s="108" t="str">
        <f t="shared" si="24"/>
        <v>18Б0220360</v>
      </c>
      <c r="L547" s="303" t="str">
        <f t="shared" si="25"/>
        <v>606070218Б0220360000</v>
      </c>
      <c r="M547" s="132" t="str">
        <f>INDEX('реш СГД № 265'!$A:$N,MATCH('БА расх 2019-2020'!$L547,'реш СГД № 265'!$N:$N,0),3)</f>
        <v xml:space="preserve">Расходы на реализацию мероприятий, направленных на создание условий для развития казачества на территории города Ставрополя </v>
      </c>
      <c r="N547" s="17">
        <f t="shared" si="26"/>
        <v>1</v>
      </c>
    </row>
    <row r="548" spans="1:14" s="17" customFormat="1" ht="15.75">
      <c r="A548" s="14"/>
      <c r="B548" s="132" t="s">
        <v>403</v>
      </c>
      <c r="C548" s="109" t="s">
        <v>394</v>
      </c>
      <c r="D548" s="108" t="s">
        <v>229</v>
      </c>
      <c r="E548" s="108" t="s">
        <v>62</v>
      </c>
      <c r="F548" s="108" t="s">
        <v>457</v>
      </c>
      <c r="G548" s="108" t="s">
        <v>404</v>
      </c>
      <c r="H548" s="126">
        <v>0</v>
      </c>
      <c r="I548" s="126">
        <v>0</v>
      </c>
      <c r="J548" s="108" t="s">
        <v>1205</v>
      </c>
      <c r="K548" s="108" t="str">
        <f t="shared" si="24"/>
        <v>18Б0220360</v>
      </c>
      <c r="L548" s="303" t="str">
        <f t="shared" si="25"/>
        <v>606070218Б0220360610</v>
      </c>
      <c r="M548" s="132" t="str">
        <f>INDEX('реш СГД № 265'!$A:$N,MATCH('БА расх 2019-2020'!$L548,'реш СГД № 265'!$N:$N,0),3)</f>
        <v>Субсидии бюджетным учреждениям</v>
      </c>
      <c r="N548" s="17">
        <f t="shared" si="26"/>
        <v>1</v>
      </c>
    </row>
    <row r="549" spans="1:14" s="24" customFormat="1" ht="15.75">
      <c r="A549" s="21"/>
      <c r="B549" s="127" t="s">
        <v>407</v>
      </c>
      <c r="C549" s="109" t="s">
        <v>394</v>
      </c>
      <c r="D549" s="108" t="s">
        <v>229</v>
      </c>
      <c r="E549" s="108" t="s">
        <v>62</v>
      </c>
      <c r="F549" s="108" t="s">
        <v>457</v>
      </c>
      <c r="G549" s="108" t="s">
        <v>408</v>
      </c>
      <c r="H549" s="126">
        <v>0</v>
      </c>
      <c r="I549" s="126">
        <v>0</v>
      </c>
      <c r="J549" s="108" t="s">
        <v>1205</v>
      </c>
      <c r="K549" s="108" t="str">
        <f t="shared" si="24"/>
        <v>18Б0220360</v>
      </c>
      <c r="L549" s="303" t="str">
        <f t="shared" si="25"/>
        <v>606070218Б0220360612</v>
      </c>
      <c r="M549" s="132"/>
      <c r="N549" s="17">
        <f t="shared" si="26"/>
        <v>0</v>
      </c>
    </row>
    <row r="550" spans="1:14" s="17" customFormat="1" ht="15.75">
      <c r="A550" s="14"/>
      <c r="B550" s="121" t="s">
        <v>458</v>
      </c>
      <c r="C550" s="122" t="s">
        <v>394</v>
      </c>
      <c r="D550" s="123" t="s">
        <v>229</v>
      </c>
      <c r="E550" s="123" t="s">
        <v>13</v>
      </c>
      <c r="F550" s="123" t="s">
        <v>8</v>
      </c>
      <c r="G550" s="123" t="s">
        <v>9</v>
      </c>
      <c r="H550" s="124">
        <v>0</v>
      </c>
      <c r="I550" s="124">
        <v>0</v>
      </c>
      <c r="J550" s="123">
        <v>0</v>
      </c>
      <c r="K550" s="108" t="str">
        <f t="shared" si="24"/>
        <v>0000000000</v>
      </c>
      <c r="L550" s="303" t="str">
        <f t="shared" si="25"/>
        <v>60607030000000000000</v>
      </c>
      <c r="M550" s="132" t="str">
        <f>INDEX('реш СГД № 265'!$A:$N,MATCH('БА расх 2019-2020'!$L550,'реш СГД № 265'!$N:$N,0),3)</f>
        <v>Дополнительное образование детей</v>
      </c>
      <c r="N550" s="17">
        <f t="shared" si="26"/>
        <v>1</v>
      </c>
    </row>
    <row r="551" spans="1:14" s="17" customFormat="1" ht="31.5">
      <c r="A551" s="14"/>
      <c r="B551" s="132" t="s">
        <v>396</v>
      </c>
      <c r="C551" s="109" t="s">
        <v>394</v>
      </c>
      <c r="D551" s="108" t="s">
        <v>229</v>
      </c>
      <c r="E551" s="108" t="s">
        <v>13</v>
      </c>
      <c r="F551" s="108" t="s">
        <v>397</v>
      </c>
      <c r="G551" s="108" t="s">
        <v>9</v>
      </c>
      <c r="H551" s="126">
        <v>0</v>
      </c>
      <c r="I551" s="126">
        <v>0</v>
      </c>
      <c r="J551" s="108">
        <v>100000000</v>
      </c>
      <c r="K551" s="108" t="str">
        <f t="shared" si="24"/>
        <v>0100000000</v>
      </c>
      <c r="L551" s="303" t="str">
        <f t="shared" si="25"/>
        <v>60607030100000000000</v>
      </c>
      <c r="M551" s="132" t="str">
        <f>INDEX('реш СГД № 265'!$A:$N,MATCH('БА расх 2019-2020'!$L551,'реш СГД № 265'!$N:$N,0),3)</f>
        <v>Муниципальная программа «Развитие образования в городе Ставрополе»</v>
      </c>
      <c r="N551" s="17">
        <f t="shared" si="26"/>
        <v>1</v>
      </c>
    </row>
    <row r="552" spans="1:14" s="17" customFormat="1" ht="31.5">
      <c r="A552" s="14"/>
      <c r="B552" s="132" t="s">
        <v>398</v>
      </c>
      <c r="C552" s="109" t="s">
        <v>394</v>
      </c>
      <c r="D552" s="108" t="s">
        <v>229</v>
      </c>
      <c r="E552" s="108" t="s">
        <v>13</v>
      </c>
      <c r="F552" s="108" t="s">
        <v>399</v>
      </c>
      <c r="G552" s="108" t="s">
        <v>9</v>
      </c>
      <c r="H552" s="126">
        <v>0</v>
      </c>
      <c r="I552" s="126">
        <v>0</v>
      </c>
      <c r="J552" s="108">
        <v>110000000</v>
      </c>
      <c r="K552" s="108" t="str">
        <f t="shared" si="24"/>
        <v>0110000000</v>
      </c>
      <c r="L552" s="303" t="str">
        <f t="shared" si="25"/>
        <v>60607030110000000000</v>
      </c>
      <c r="M552" s="132" t="str">
        <f>INDEX('реш СГД № 265'!$A:$N,MATCH('БА расх 2019-2020'!$L552,'реш СГД № 265'!$N:$N,0),3)</f>
        <v>Подпрограмма «Организация дошкольного, общего и дополнительного образования»</v>
      </c>
      <c r="N552" s="17">
        <f t="shared" si="26"/>
        <v>1</v>
      </c>
    </row>
    <row r="553" spans="1:14" s="17" customFormat="1" ht="47.25">
      <c r="A553" s="14"/>
      <c r="B553" s="129" t="s">
        <v>459</v>
      </c>
      <c r="C553" s="130" t="s">
        <v>394</v>
      </c>
      <c r="D553" s="131" t="s">
        <v>229</v>
      </c>
      <c r="E553" s="131" t="s">
        <v>13</v>
      </c>
      <c r="F553" s="131" t="s">
        <v>460</v>
      </c>
      <c r="G553" s="131" t="s">
        <v>9</v>
      </c>
      <c r="H553" s="105">
        <v>0</v>
      </c>
      <c r="I553" s="105">
        <v>0</v>
      </c>
      <c r="J553" s="131">
        <v>110300000</v>
      </c>
      <c r="K553" s="108" t="str">
        <f t="shared" si="24"/>
        <v>0110300000</v>
      </c>
      <c r="L553" s="303" t="str">
        <f t="shared" si="25"/>
        <v>60607030110300000000</v>
      </c>
      <c r="M553" s="132" t="str">
        <f>INDEX('реш СГД № 265'!$A:$N,MATCH('БА расх 2019-2020'!$L553,'реш СГД № 265'!$N:$N,0),3)</f>
        <v>Основное мероприятие «Организация предоставления дополнительного образования детей в муниципальных образовательных учреждениях»</v>
      </c>
      <c r="N553" s="17">
        <f t="shared" si="26"/>
        <v>1</v>
      </c>
    </row>
    <row r="554" spans="1:14" s="17" customFormat="1" ht="31.5">
      <c r="A554" s="14"/>
      <c r="B554" s="140" t="s">
        <v>136</v>
      </c>
      <c r="C554" s="130" t="s">
        <v>394</v>
      </c>
      <c r="D554" s="131" t="s">
        <v>229</v>
      </c>
      <c r="E554" s="131" t="s">
        <v>13</v>
      </c>
      <c r="F554" s="131" t="s">
        <v>461</v>
      </c>
      <c r="G554" s="131" t="s">
        <v>9</v>
      </c>
      <c r="H554" s="105">
        <v>0</v>
      </c>
      <c r="I554" s="105">
        <v>0</v>
      </c>
      <c r="J554" s="131">
        <v>110311010</v>
      </c>
      <c r="K554" s="108" t="str">
        <f t="shared" si="24"/>
        <v>0110311010</v>
      </c>
      <c r="L554" s="303" t="str">
        <f t="shared" si="25"/>
        <v>60607030110311010000</v>
      </c>
      <c r="M554" s="132" t="str">
        <f>INDEX('реш СГД № 265'!$A:$N,MATCH('БА расх 2019-2020'!$L554,'реш СГД № 265'!$N:$N,0),3)</f>
        <v>Расходы на обеспечение деятельности (оказание услуг) муниципальных учреждений</v>
      </c>
      <c r="N554" s="17">
        <f t="shared" si="26"/>
        <v>1</v>
      </c>
    </row>
    <row r="555" spans="1:14" s="17" customFormat="1" ht="15.75">
      <c r="A555" s="14"/>
      <c r="B555" s="140" t="s">
        <v>403</v>
      </c>
      <c r="C555" s="130" t="s">
        <v>394</v>
      </c>
      <c r="D555" s="131" t="s">
        <v>229</v>
      </c>
      <c r="E555" s="131" t="s">
        <v>13</v>
      </c>
      <c r="F555" s="131" t="s">
        <v>461</v>
      </c>
      <c r="G555" s="131" t="s">
        <v>404</v>
      </c>
      <c r="H555" s="126">
        <v>0</v>
      </c>
      <c r="I555" s="126">
        <v>0</v>
      </c>
      <c r="J555" s="131">
        <v>110311010</v>
      </c>
      <c r="K555" s="108" t="str">
        <f t="shared" si="24"/>
        <v>0110311010</v>
      </c>
      <c r="L555" s="303" t="str">
        <f t="shared" si="25"/>
        <v>60607030110311010610</v>
      </c>
      <c r="M555" s="132" t="str">
        <f>INDEX('реш СГД № 265'!$A:$N,MATCH('БА расх 2019-2020'!$L555,'реш СГД № 265'!$N:$N,0),3)</f>
        <v>Субсидии бюджетным учреждениям</v>
      </c>
      <c r="N555" s="17">
        <f t="shared" si="26"/>
        <v>1</v>
      </c>
    </row>
    <row r="556" spans="1:14" s="24" customFormat="1" ht="63">
      <c r="A556" s="21"/>
      <c r="B556" s="127" t="s">
        <v>405</v>
      </c>
      <c r="C556" s="130" t="s">
        <v>394</v>
      </c>
      <c r="D556" s="131" t="s">
        <v>229</v>
      </c>
      <c r="E556" s="131" t="s">
        <v>13</v>
      </c>
      <c r="F556" s="131" t="s">
        <v>461</v>
      </c>
      <c r="G556" s="108" t="s">
        <v>406</v>
      </c>
      <c r="H556" s="126">
        <v>0</v>
      </c>
      <c r="I556" s="126">
        <v>0</v>
      </c>
      <c r="J556" s="131">
        <v>110311010</v>
      </c>
      <c r="K556" s="108" t="str">
        <f t="shared" si="24"/>
        <v>0110311010</v>
      </c>
      <c r="L556" s="303" t="str">
        <f t="shared" si="25"/>
        <v>60607030110311010611</v>
      </c>
      <c r="M556" s="132"/>
      <c r="N556" s="17">
        <f t="shared" si="26"/>
        <v>0</v>
      </c>
    </row>
    <row r="557" spans="1:14" s="17" customFormat="1" ht="15.75">
      <c r="A557" s="14"/>
      <c r="B557" s="140" t="s">
        <v>409</v>
      </c>
      <c r="C557" s="130" t="s">
        <v>394</v>
      </c>
      <c r="D557" s="131" t="s">
        <v>229</v>
      </c>
      <c r="E557" s="131" t="s">
        <v>13</v>
      </c>
      <c r="F557" s="131" t="s">
        <v>461</v>
      </c>
      <c r="G557" s="131" t="s">
        <v>410</v>
      </c>
      <c r="H557" s="126">
        <v>0</v>
      </c>
      <c r="I557" s="126">
        <v>0</v>
      </c>
      <c r="J557" s="131">
        <v>110311010</v>
      </c>
      <c r="K557" s="108" t="str">
        <f t="shared" si="24"/>
        <v>0110311010</v>
      </c>
      <c r="L557" s="303" t="str">
        <f t="shared" si="25"/>
        <v>60607030110311010620</v>
      </c>
      <c r="M557" s="132" t="str">
        <f>INDEX('реш СГД № 265'!$A:$N,MATCH('БА расх 2019-2020'!$L557,'реш СГД № 265'!$N:$N,0),3)</f>
        <v>Субсидии автономным учреждениям</v>
      </c>
      <c r="N557" s="17">
        <f t="shared" si="26"/>
        <v>1</v>
      </c>
    </row>
    <row r="558" spans="1:14" s="24" customFormat="1" ht="63">
      <c r="A558" s="21"/>
      <c r="B558" s="127" t="s">
        <v>411</v>
      </c>
      <c r="C558" s="130" t="s">
        <v>394</v>
      </c>
      <c r="D558" s="131" t="s">
        <v>229</v>
      </c>
      <c r="E558" s="131" t="s">
        <v>13</v>
      </c>
      <c r="F558" s="131" t="s">
        <v>461</v>
      </c>
      <c r="G558" s="108" t="s">
        <v>412</v>
      </c>
      <c r="H558" s="126">
        <v>0</v>
      </c>
      <c r="I558" s="126">
        <v>0</v>
      </c>
      <c r="J558" s="131">
        <v>110311010</v>
      </c>
      <c r="K558" s="108" t="str">
        <f t="shared" si="24"/>
        <v>0110311010</v>
      </c>
      <c r="L558" s="303" t="str">
        <f t="shared" si="25"/>
        <v>60607030110311010621</v>
      </c>
      <c r="M558" s="132"/>
      <c r="N558" s="17">
        <f t="shared" si="26"/>
        <v>0</v>
      </c>
    </row>
    <row r="559" spans="1:14" s="17" customFormat="1" ht="47.25">
      <c r="A559" s="14"/>
      <c r="B559" s="127" t="s">
        <v>146</v>
      </c>
      <c r="C559" s="109" t="s">
        <v>394</v>
      </c>
      <c r="D559" s="108" t="s">
        <v>229</v>
      </c>
      <c r="E559" s="131" t="s">
        <v>13</v>
      </c>
      <c r="F559" s="108" t="s">
        <v>147</v>
      </c>
      <c r="G559" s="108" t="s">
        <v>9</v>
      </c>
      <c r="H559" s="126">
        <v>0</v>
      </c>
      <c r="I559" s="126">
        <v>0</v>
      </c>
      <c r="J559" s="108">
        <v>1500000000</v>
      </c>
      <c r="K559" s="108" t="str">
        <f t="shared" si="24"/>
        <v>1500000000</v>
      </c>
      <c r="L559" s="303" t="str">
        <f t="shared" si="25"/>
        <v>60607031500000000000</v>
      </c>
      <c r="M559" s="132" t="str">
        <f>INDEX('реш СГД № 265'!$A:$N,MATCH('БА расх 2019-2020'!$L559,'реш СГД № 265'!$N:$N,0),3)</f>
        <v>Муниципальная программа «Обеспечение безопасности, общественного порядка и профилактика правонарушений в городе Ставрополе»</v>
      </c>
      <c r="N559" s="17">
        <f t="shared" si="26"/>
        <v>1</v>
      </c>
    </row>
    <row r="560" spans="1:14" s="17" customFormat="1" ht="15.75">
      <c r="A560" s="14"/>
      <c r="B560" s="127" t="s">
        <v>154</v>
      </c>
      <c r="C560" s="109" t="s">
        <v>394</v>
      </c>
      <c r="D560" s="108" t="s">
        <v>229</v>
      </c>
      <c r="E560" s="131" t="s">
        <v>13</v>
      </c>
      <c r="F560" s="108" t="s">
        <v>155</v>
      </c>
      <c r="G560" s="108" t="s">
        <v>9</v>
      </c>
      <c r="H560" s="126">
        <v>0</v>
      </c>
      <c r="I560" s="126">
        <v>0</v>
      </c>
      <c r="J560" s="108">
        <v>1520000000</v>
      </c>
      <c r="K560" s="108" t="str">
        <f t="shared" si="24"/>
        <v>1520000000</v>
      </c>
      <c r="L560" s="303" t="str">
        <f t="shared" si="25"/>
        <v>60607031520000000000</v>
      </c>
      <c r="M560" s="132" t="str">
        <f>INDEX('реш СГД № 265'!$A:$N,MATCH('БА расх 2019-2020'!$L560,'реш СГД № 265'!$N:$N,0),3)</f>
        <v xml:space="preserve">Подпрограмма «НЕзависимость» </v>
      </c>
      <c r="N560" s="17">
        <f t="shared" si="26"/>
        <v>1</v>
      </c>
    </row>
    <row r="561" spans="1:14" s="17" customFormat="1" ht="47.25">
      <c r="A561" s="14"/>
      <c r="B561" s="127" t="s">
        <v>160</v>
      </c>
      <c r="C561" s="109" t="s">
        <v>394</v>
      </c>
      <c r="D561" s="108" t="s">
        <v>229</v>
      </c>
      <c r="E561" s="131" t="s">
        <v>13</v>
      </c>
      <c r="F561" s="108" t="s">
        <v>161</v>
      </c>
      <c r="G561" s="108" t="s">
        <v>9</v>
      </c>
      <c r="H561" s="126">
        <v>0</v>
      </c>
      <c r="I561" s="126">
        <v>0</v>
      </c>
      <c r="J561" s="108">
        <v>1520200000</v>
      </c>
      <c r="K561" s="108" t="str">
        <f t="shared" si="24"/>
        <v>1520200000</v>
      </c>
      <c r="L561" s="303" t="str">
        <f t="shared" si="25"/>
        <v>60607031520200000000</v>
      </c>
      <c r="M561" s="132" t="str">
        <f>INDEX('реш СГД № 265'!$A:$N,MATCH('БА расх 2019-2020'!$L561,'реш СГД № 265'!$N:$N,0),3)</f>
        <v>Основное мероприятие «Профилактика зависимости от наркотических и других психоактивных веществ среди детей и молодежи»</v>
      </c>
      <c r="N561" s="17">
        <f t="shared" si="26"/>
        <v>1</v>
      </c>
    </row>
    <row r="562" spans="1:14" s="17" customFormat="1" ht="78.75">
      <c r="A562" s="14"/>
      <c r="B562" s="129" t="s">
        <v>158</v>
      </c>
      <c r="C562" s="109" t="s">
        <v>394</v>
      </c>
      <c r="D562" s="108" t="s">
        <v>229</v>
      </c>
      <c r="E562" s="131" t="s">
        <v>13</v>
      </c>
      <c r="F562" s="108" t="s">
        <v>162</v>
      </c>
      <c r="G562" s="108" t="s">
        <v>9</v>
      </c>
      <c r="H562" s="126">
        <v>0</v>
      </c>
      <c r="I562" s="126">
        <v>0</v>
      </c>
      <c r="J562" s="108">
        <v>1520220370</v>
      </c>
      <c r="K562" s="108" t="str">
        <f t="shared" si="24"/>
        <v>1520220370</v>
      </c>
      <c r="L562" s="303" t="str">
        <f t="shared" si="25"/>
        <v>60607031520220370000</v>
      </c>
      <c r="M562" s="132" t="str">
        <f>INDEX('реш СГД № 265'!$A:$N,MATCH('БА расх 2019-2020'!$L562,'реш СГД № 265'!$N:$N,0),3)</f>
        <v>Расходы на реализацию мероприятий по профилактике незаконного потребления наркотических средств и психотропных веществ, наркомании и снижение их потребления среди подростков и молодежи города Ставрополя</v>
      </c>
      <c r="N562" s="17">
        <f t="shared" si="26"/>
        <v>1</v>
      </c>
    </row>
    <row r="563" spans="1:14" s="17" customFormat="1" ht="15.75">
      <c r="A563" s="14"/>
      <c r="B563" s="132" t="s">
        <v>403</v>
      </c>
      <c r="C563" s="109" t="s">
        <v>394</v>
      </c>
      <c r="D563" s="108" t="s">
        <v>229</v>
      </c>
      <c r="E563" s="131" t="s">
        <v>13</v>
      </c>
      <c r="F563" s="108" t="s">
        <v>162</v>
      </c>
      <c r="G563" s="108" t="s">
        <v>404</v>
      </c>
      <c r="H563" s="126">
        <v>0</v>
      </c>
      <c r="I563" s="126">
        <v>0</v>
      </c>
      <c r="J563" s="108">
        <v>1520220370</v>
      </c>
      <c r="K563" s="108" t="str">
        <f t="shared" si="24"/>
        <v>1520220370</v>
      </c>
      <c r="L563" s="303" t="str">
        <f t="shared" si="25"/>
        <v>60607031520220370610</v>
      </c>
      <c r="M563" s="132" t="str">
        <f>INDEX('реш СГД № 265'!$A:$N,MATCH('БА расх 2019-2020'!$L563,'реш СГД № 265'!$N:$N,0),3)</f>
        <v>Субсидии бюджетным учреждениям</v>
      </c>
      <c r="N563" s="17">
        <f t="shared" si="26"/>
        <v>1</v>
      </c>
    </row>
    <row r="564" spans="1:14" s="24" customFormat="1" ht="15.75">
      <c r="A564" s="21"/>
      <c r="B564" s="127" t="s">
        <v>407</v>
      </c>
      <c r="C564" s="109" t="s">
        <v>394</v>
      </c>
      <c r="D564" s="108" t="s">
        <v>229</v>
      </c>
      <c r="E564" s="131" t="s">
        <v>13</v>
      </c>
      <c r="F564" s="108" t="s">
        <v>162</v>
      </c>
      <c r="G564" s="108" t="s">
        <v>408</v>
      </c>
      <c r="H564" s="126">
        <v>0</v>
      </c>
      <c r="I564" s="126">
        <v>0</v>
      </c>
      <c r="J564" s="108">
        <v>1520220370</v>
      </c>
      <c r="K564" s="108" t="str">
        <f t="shared" si="24"/>
        <v>1520220370</v>
      </c>
      <c r="L564" s="303" t="str">
        <f t="shared" si="25"/>
        <v>60607031520220370612</v>
      </c>
      <c r="M564" s="132"/>
      <c r="N564" s="17">
        <f t="shared" si="26"/>
        <v>0</v>
      </c>
    </row>
    <row r="565" spans="1:14" s="17" customFormat="1" ht="31.5">
      <c r="A565" s="14"/>
      <c r="B565" s="125" t="s">
        <v>168</v>
      </c>
      <c r="C565" s="109" t="s">
        <v>394</v>
      </c>
      <c r="D565" s="108" t="s">
        <v>229</v>
      </c>
      <c r="E565" s="131" t="s">
        <v>13</v>
      </c>
      <c r="F565" s="108" t="s">
        <v>169</v>
      </c>
      <c r="G565" s="108" t="s">
        <v>9</v>
      </c>
      <c r="H565" s="126">
        <v>0</v>
      </c>
      <c r="I565" s="126">
        <v>0</v>
      </c>
      <c r="J565" s="108">
        <v>1530000000</v>
      </c>
      <c r="K565" s="108" t="str">
        <f t="shared" si="24"/>
        <v>1530000000</v>
      </c>
      <c r="L565" s="303" t="str">
        <f t="shared" si="25"/>
        <v>60607031530000000000</v>
      </c>
      <c r="M565" s="132" t="str">
        <f>INDEX('реш СГД № 265'!$A:$N,MATCH('БА расх 2019-2020'!$L565,'реш СГД № 265'!$N:$N,0),3)</f>
        <v xml:space="preserve">Подпрограмма «Профилактика правонарушений в городе Ставрополе» </v>
      </c>
      <c r="N565" s="17">
        <f t="shared" si="26"/>
        <v>1</v>
      </c>
    </row>
    <row r="566" spans="1:14" s="17" customFormat="1" ht="31.5">
      <c r="A566" s="14"/>
      <c r="B566" s="125" t="s">
        <v>374</v>
      </c>
      <c r="C566" s="109" t="s">
        <v>394</v>
      </c>
      <c r="D566" s="108" t="s">
        <v>229</v>
      </c>
      <c r="E566" s="131" t="s">
        <v>13</v>
      </c>
      <c r="F566" s="108" t="s">
        <v>375</v>
      </c>
      <c r="G566" s="108" t="s">
        <v>9</v>
      </c>
      <c r="H566" s="126">
        <v>0</v>
      </c>
      <c r="I566" s="126">
        <v>0</v>
      </c>
      <c r="J566" s="108">
        <v>1530100000</v>
      </c>
      <c r="K566" s="108" t="str">
        <f t="shared" si="24"/>
        <v>1530100000</v>
      </c>
      <c r="L566" s="303" t="str">
        <f t="shared" si="25"/>
        <v>60607031530100000000</v>
      </c>
      <c r="M566" s="132" t="str">
        <f>INDEX('реш СГД № 265'!$A:$N,MATCH('БА расх 2019-2020'!$L566,'реш СГД № 265'!$N:$N,0),3)</f>
        <v>Основное мероприятие «Профилактика правонарушений несовершеннолетних»</v>
      </c>
      <c r="N566" s="17">
        <f t="shared" si="26"/>
        <v>1</v>
      </c>
    </row>
    <row r="567" spans="1:14" s="17" customFormat="1" ht="47.25">
      <c r="A567" s="14"/>
      <c r="B567" s="125" t="s">
        <v>376</v>
      </c>
      <c r="C567" s="109" t="s">
        <v>394</v>
      </c>
      <c r="D567" s="108" t="s">
        <v>229</v>
      </c>
      <c r="E567" s="131" t="s">
        <v>13</v>
      </c>
      <c r="F567" s="108" t="s">
        <v>377</v>
      </c>
      <c r="G567" s="108" t="s">
        <v>9</v>
      </c>
      <c r="H567" s="126">
        <v>0</v>
      </c>
      <c r="I567" s="126">
        <v>0</v>
      </c>
      <c r="J567" s="108">
        <v>1530120660</v>
      </c>
      <c r="K567" s="108" t="str">
        <f t="shared" si="24"/>
        <v>1530120660</v>
      </c>
      <c r="L567" s="303" t="str">
        <f t="shared" si="25"/>
        <v>60607031530120660000</v>
      </c>
      <c r="M567" s="132" t="str">
        <f>INDEX('реш СГД № 265'!$A:$N,MATCH('БА расх 2019-2020'!$L567,'реш СГД № 265'!$N:$N,0),3)</f>
        <v>Расходы на реализацию мероприятий, направленных на профилактику правонарушений в городе Ставрополе</v>
      </c>
      <c r="N567" s="17">
        <f t="shared" si="26"/>
        <v>1</v>
      </c>
    </row>
    <row r="568" spans="1:14" s="17" customFormat="1" ht="15.75">
      <c r="A568" s="14"/>
      <c r="B568" s="132" t="s">
        <v>403</v>
      </c>
      <c r="C568" s="109" t="s">
        <v>394</v>
      </c>
      <c r="D568" s="108" t="s">
        <v>229</v>
      </c>
      <c r="E568" s="131" t="s">
        <v>13</v>
      </c>
      <c r="F568" s="108" t="s">
        <v>377</v>
      </c>
      <c r="G568" s="108" t="s">
        <v>404</v>
      </c>
      <c r="H568" s="126">
        <v>0</v>
      </c>
      <c r="I568" s="126">
        <v>0</v>
      </c>
      <c r="J568" s="108">
        <v>1530120660</v>
      </c>
      <c r="K568" s="108" t="str">
        <f t="shared" si="24"/>
        <v>1530120660</v>
      </c>
      <c r="L568" s="303" t="str">
        <f t="shared" si="25"/>
        <v>60607031530120660610</v>
      </c>
      <c r="M568" s="132" t="str">
        <f>INDEX('реш СГД № 265'!$A:$N,MATCH('БА расх 2019-2020'!$L568,'реш СГД № 265'!$N:$N,0),3)</f>
        <v>Субсидии бюджетным учреждениям</v>
      </c>
      <c r="N568" s="17">
        <f t="shared" si="26"/>
        <v>1</v>
      </c>
    </row>
    <row r="569" spans="1:14" s="24" customFormat="1" ht="15.75">
      <c r="A569" s="21"/>
      <c r="B569" s="127" t="s">
        <v>407</v>
      </c>
      <c r="C569" s="109" t="s">
        <v>394</v>
      </c>
      <c r="D569" s="108" t="s">
        <v>229</v>
      </c>
      <c r="E569" s="131" t="s">
        <v>13</v>
      </c>
      <c r="F569" s="108" t="s">
        <v>377</v>
      </c>
      <c r="G569" s="108" t="s">
        <v>408</v>
      </c>
      <c r="H569" s="126">
        <v>0</v>
      </c>
      <c r="I569" s="126">
        <v>0</v>
      </c>
      <c r="J569" s="108">
        <v>1530120660</v>
      </c>
      <c r="K569" s="108" t="str">
        <f t="shared" si="24"/>
        <v>1530120660</v>
      </c>
      <c r="L569" s="303" t="str">
        <f t="shared" si="25"/>
        <v>60607031530120660612</v>
      </c>
      <c r="M569" s="132"/>
      <c r="N569" s="17">
        <f t="shared" si="26"/>
        <v>0</v>
      </c>
    </row>
    <row r="570" spans="1:14" s="17" customFormat="1" ht="94.5">
      <c r="A570" s="14"/>
      <c r="B570" s="125" t="s">
        <v>420</v>
      </c>
      <c r="C570" s="109" t="s">
        <v>394</v>
      </c>
      <c r="D570" s="131" t="s">
        <v>229</v>
      </c>
      <c r="E570" s="131" t="s">
        <v>13</v>
      </c>
      <c r="F570" s="108" t="s">
        <v>421</v>
      </c>
      <c r="G570" s="108" t="s">
        <v>9</v>
      </c>
      <c r="H570" s="126">
        <v>0</v>
      </c>
      <c r="I570" s="126">
        <v>0</v>
      </c>
      <c r="J570" s="108">
        <v>1600000000</v>
      </c>
      <c r="K570" s="108" t="str">
        <f t="shared" si="24"/>
        <v>1600000000</v>
      </c>
      <c r="L570" s="303" t="str">
        <f t="shared" si="25"/>
        <v>60607031600000000000</v>
      </c>
      <c r="M570" s="132" t="str">
        <f>INDEX('реш СГД № 265'!$A:$N,MATCH('БА расх 2019-2020'!$L570,'реш СГД № 265'!$N:$N,0),3)</f>
        <v>Муниципальная программа «Обеспечение гражданской обороны, пожарной безопасности, безопасности людей на водных объектах, организация деятельности аварийно-спасательных служб, защита населения и территории города Ставрополя от чрезвычайных ситуаций»</v>
      </c>
      <c r="N570" s="17">
        <f t="shared" si="26"/>
        <v>1</v>
      </c>
    </row>
    <row r="571" spans="1:14" s="17" customFormat="1" ht="31.5">
      <c r="A571" s="14"/>
      <c r="B571" s="125" t="s">
        <v>422</v>
      </c>
      <c r="C571" s="109" t="s">
        <v>394</v>
      </c>
      <c r="D571" s="131" t="s">
        <v>229</v>
      </c>
      <c r="E571" s="131" t="s">
        <v>13</v>
      </c>
      <c r="F571" s="108" t="s">
        <v>423</v>
      </c>
      <c r="G571" s="108" t="s">
        <v>9</v>
      </c>
      <c r="H571" s="126">
        <v>0</v>
      </c>
      <c r="I571" s="126">
        <v>0</v>
      </c>
      <c r="J571" s="108">
        <v>1620000000</v>
      </c>
      <c r="K571" s="108" t="str">
        <f t="shared" si="24"/>
        <v>1620000000</v>
      </c>
      <c r="L571" s="303" t="str">
        <f t="shared" si="25"/>
        <v>60607031620000000000</v>
      </c>
      <c r="M571" s="132" t="str">
        <f>INDEX('реш СГД № 265'!$A:$N,MATCH('БА расх 2019-2020'!$L571,'реш СГД № 265'!$N:$N,0),3)</f>
        <v>Подпрограмма «Обеспечение пожарной безопасности в границах города Ставрополя»</v>
      </c>
      <c r="N571" s="17">
        <f t="shared" si="26"/>
        <v>1</v>
      </c>
    </row>
    <row r="572" spans="1:14" s="17" customFormat="1" ht="47.25">
      <c r="A572" s="14"/>
      <c r="B572" s="125" t="s">
        <v>424</v>
      </c>
      <c r="C572" s="109" t="s">
        <v>394</v>
      </c>
      <c r="D572" s="131" t="s">
        <v>229</v>
      </c>
      <c r="E572" s="131" t="s">
        <v>13</v>
      </c>
      <c r="F572" s="108" t="s">
        <v>425</v>
      </c>
      <c r="G572" s="108" t="s">
        <v>9</v>
      </c>
      <c r="H572" s="126">
        <v>0</v>
      </c>
      <c r="I572" s="126">
        <v>0</v>
      </c>
      <c r="J572" s="108">
        <v>1620200000</v>
      </c>
      <c r="K572" s="108" t="str">
        <f t="shared" si="24"/>
        <v>1620200000</v>
      </c>
      <c r="L572" s="303" t="str">
        <f t="shared" si="25"/>
        <v>60607031620200000000</v>
      </c>
      <c r="M572" s="132" t="str">
        <f>INDEX('реш СГД № 265'!$A:$N,MATCH('БА расх 2019-2020'!$L572,'реш СГД № 265'!$N:$N,0),3)</f>
        <v>Основное мероприятие «Выполнение противопожарных мероприятий в муниципальных учреждениях города Ставрополя»</v>
      </c>
      <c r="N572" s="17">
        <f t="shared" si="26"/>
        <v>1</v>
      </c>
    </row>
    <row r="573" spans="1:14" s="17" customFormat="1" ht="47.25">
      <c r="A573" s="14"/>
      <c r="B573" s="125" t="s">
        <v>426</v>
      </c>
      <c r="C573" s="109" t="s">
        <v>394</v>
      </c>
      <c r="D573" s="131" t="s">
        <v>229</v>
      </c>
      <c r="E573" s="131" t="s">
        <v>13</v>
      </c>
      <c r="F573" s="108" t="s">
        <v>427</v>
      </c>
      <c r="G573" s="108" t="s">
        <v>9</v>
      </c>
      <c r="H573" s="126">
        <v>0</v>
      </c>
      <c r="I573" s="126">
        <v>0</v>
      </c>
      <c r="J573" s="108">
        <v>1620220550</v>
      </c>
      <c r="K573" s="108" t="str">
        <f t="shared" si="24"/>
        <v>1620220550</v>
      </c>
      <c r="L573" s="303" t="str">
        <f t="shared" si="25"/>
        <v>60607031620220550000</v>
      </c>
      <c r="M573" s="132" t="str">
        <f>INDEX('реш СГД № 265'!$A:$N,MATCH('БА расх 2019-2020'!$L573,'реш СГД № 265'!$N:$N,0),3)</f>
        <v>Обеспечение пожарной безопасности в муниципальных учреждениях образования, культуры, физической культуры и спорта города Ставрополя</v>
      </c>
      <c r="N573" s="17">
        <f t="shared" si="26"/>
        <v>1</v>
      </c>
    </row>
    <row r="574" spans="1:14" s="17" customFormat="1" ht="15.75">
      <c r="A574" s="14"/>
      <c r="B574" s="140" t="s">
        <v>403</v>
      </c>
      <c r="C574" s="109" t="s">
        <v>394</v>
      </c>
      <c r="D574" s="131" t="s">
        <v>229</v>
      </c>
      <c r="E574" s="131" t="s">
        <v>13</v>
      </c>
      <c r="F574" s="108" t="s">
        <v>427</v>
      </c>
      <c r="G574" s="108" t="s">
        <v>404</v>
      </c>
      <c r="H574" s="126">
        <v>0</v>
      </c>
      <c r="I574" s="126">
        <v>0</v>
      </c>
      <c r="J574" s="108">
        <v>1620220550</v>
      </c>
      <c r="K574" s="108" t="str">
        <f t="shared" si="24"/>
        <v>1620220550</v>
      </c>
      <c r="L574" s="303" t="str">
        <f t="shared" si="25"/>
        <v>60607031620220550610</v>
      </c>
      <c r="M574" s="132" t="str">
        <f>INDEX('реш СГД № 265'!$A:$N,MATCH('БА расх 2019-2020'!$L574,'реш СГД № 265'!$N:$N,0),3)</f>
        <v>Субсидии бюджетным учреждениям</v>
      </c>
      <c r="N574" s="17">
        <f t="shared" si="26"/>
        <v>1</v>
      </c>
    </row>
    <row r="575" spans="1:14" s="24" customFormat="1" ht="15.75">
      <c r="A575" s="21"/>
      <c r="B575" s="127" t="s">
        <v>407</v>
      </c>
      <c r="C575" s="109" t="s">
        <v>394</v>
      </c>
      <c r="D575" s="131" t="s">
        <v>229</v>
      </c>
      <c r="E575" s="131" t="s">
        <v>13</v>
      </c>
      <c r="F575" s="108" t="s">
        <v>427</v>
      </c>
      <c r="G575" s="108" t="s">
        <v>408</v>
      </c>
      <c r="H575" s="126">
        <v>0</v>
      </c>
      <c r="I575" s="126">
        <v>0</v>
      </c>
      <c r="J575" s="108">
        <v>1620220550</v>
      </c>
      <c r="K575" s="108" t="str">
        <f t="shared" si="24"/>
        <v>1620220550</v>
      </c>
      <c r="L575" s="303" t="str">
        <f t="shared" si="25"/>
        <v>60607031620220550612</v>
      </c>
      <c r="M575" s="132"/>
      <c r="N575" s="17">
        <f t="shared" si="26"/>
        <v>0</v>
      </c>
    </row>
    <row r="576" spans="1:14" s="17" customFormat="1" ht="15.75">
      <c r="A576" s="14"/>
      <c r="B576" s="132" t="s">
        <v>409</v>
      </c>
      <c r="C576" s="109" t="s">
        <v>394</v>
      </c>
      <c r="D576" s="131" t="s">
        <v>229</v>
      </c>
      <c r="E576" s="131" t="s">
        <v>13</v>
      </c>
      <c r="F576" s="108" t="s">
        <v>427</v>
      </c>
      <c r="G576" s="108" t="s">
        <v>410</v>
      </c>
      <c r="H576" s="126">
        <v>0</v>
      </c>
      <c r="I576" s="126">
        <v>0</v>
      </c>
      <c r="J576" s="108">
        <v>1620220550</v>
      </c>
      <c r="K576" s="108" t="str">
        <f t="shared" si="24"/>
        <v>1620220550</v>
      </c>
      <c r="L576" s="303" t="str">
        <f t="shared" si="25"/>
        <v>60607031620220550620</v>
      </c>
      <c r="M576" s="132" t="str">
        <f>INDEX('реш СГД № 265'!$A:$N,MATCH('БА расх 2019-2020'!$L576,'реш СГД № 265'!$N:$N,0),3)</f>
        <v>Субсидии автономным учреждениям</v>
      </c>
      <c r="N576" s="17">
        <f t="shared" si="26"/>
        <v>1</v>
      </c>
    </row>
    <row r="577" spans="1:14" s="24" customFormat="1" ht="15.75">
      <c r="A577" s="21"/>
      <c r="B577" s="127" t="s">
        <v>428</v>
      </c>
      <c r="C577" s="109" t="s">
        <v>394</v>
      </c>
      <c r="D577" s="131" t="s">
        <v>229</v>
      </c>
      <c r="E577" s="131" t="s">
        <v>13</v>
      </c>
      <c r="F577" s="108" t="s">
        <v>427</v>
      </c>
      <c r="G577" s="108" t="s">
        <v>429</v>
      </c>
      <c r="H577" s="126">
        <v>0</v>
      </c>
      <c r="I577" s="126">
        <v>0</v>
      </c>
      <c r="J577" s="108">
        <v>1620220550</v>
      </c>
      <c r="K577" s="108" t="str">
        <f t="shared" si="24"/>
        <v>1620220550</v>
      </c>
      <c r="L577" s="303" t="str">
        <f t="shared" si="25"/>
        <v>60607031620220550622</v>
      </c>
      <c r="M577" s="132"/>
      <c r="N577" s="17">
        <f t="shared" si="26"/>
        <v>0</v>
      </c>
    </row>
    <row r="578" spans="1:14" s="17" customFormat="1" ht="15.75">
      <c r="A578" s="14"/>
      <c r="B578" s="121" t="s">
        <v>464</v>
      </c>
      <c r="C578" s="122" t="s">
        <v>394</v>
      </c>
      <c r="D578" s="123" t="s">
        <v>229</v>
      </c>
      <c r="E578" s="123" t="s">
        <v>229</v>
      </c>
      <c r="F578" s="123" t="s">
        <v>8</v>
      </c>
      <c r="G578" s="123" t="s">
        <v>9</v>
      </c>
      <c r="H578" s="124">
        <v>0</v>
      </c>
      <c r="I578" s="124">
        <v>0</v>
      </c>
      <c r="J578" s="123">
        <v>0</v>
      </c>
      <c r="K578" s="108" t="str">
        <f t="shared" si="24"/>
        <v>0000000000</v>
      </c>
      <c r="L578" s="303" t="str">
        <f t="shared" si="25"/>
        <v>60607070000000000000</v>
      </c>
      <c r="M578" s="132" t="str">
        <f>INDEX('реш СГД № 265'!$A:$N,MATCH('БА расх 2019-2020'!$L578,'реш СГД № 265'!$N:$N,0),3)</f>
        <v>Молодежная политика</v>
      </c>
      <c r="N578" s="17">
        <f t="shared" si="26"/>
        <v>1</v>
      </c>
    </row>
    <row r="579" spans="1:14" s="17" customFormat="1" ht="31.5">
      <c r="A579" s="14"/>
      <c r="B579" s="132" t="s">
        <v>396</v>
      </c>
      <c r="C579" s="109" t="s">
        <v>394</v>
      </c>
      <c r="D579" s="108" t="s">
        <v>229</v>
      </c>
      <c r="E579" s="108" t="s">
        <v>229</v>
      </c>
      <c r="F579" s="108" t="s">
        <v>397</v>
      </c>
      <c r="G579" s="108" t="s">
        <v>9</v>
      </c>
      <c r="H579" s="126">
        <v>0</v>
      </c>
      <c r="I579" s="126">
        <v>0</v>
      </c>
      <c r="J579" s="108">
        <v>100000000</v>
      </c>
      <c r="K579" s="108" t="str">
        <f t="shared" si="24"/>
        <v>0100000000</v>
      </c>
      <c r="L579" s="303" t="str">
        <f t="shared" si="25"/>
        <v>60607070100000000000</v>
      </c>
      <c r="M579" s="132" t="str">
        <f>INDEX('реш СГД № 265'!$A:$N,MATCH('БА расх 2019-2020'!$L579,'реш СГД № 265'!$N:$N,0),3)</f>
        <v>Муниципальная программа «Развитие образования в городе Ставрополе»</v>
      </c>
      <c r="N579" s="17">
        <f t="shared" si="26"/>
        <v>1</v>
      </c>
    </row>
    <row r="580" spans="1:14" s="17" customFormat="1" ht="31.5">
      <c r="A580" s="14"/>
      <c r="B580" s="132" t="s">
        <v>398</v>
      </c>
      <c r="C580" s="109" t="s">
        <v>394</v>
      </c>
      <c r="D580" s="108" t="s">
        <v>229</v>
      </c>
      <c r="E580" s="108" t="s">
        <v>229</v>
      </c>
      <c r="F580" s="108" t="s">
        <v>399</v>
      </c>
      <c r="G580" s="108" t="s">
        <v>9</v>
      </c>
      <c r="H580" s="126">
        <v>0</v>
      </c>
      <c r="I580" s="126">
        <v>0</v>
      </c>
      <c r="J580" s="108">
        <v>110000000</v>
      </c>
      <c r="K580" s="108" t="str">
        <f t="shared" si="24"/>
        <v>0110000000</v>
      </c>
      <c r="L580" s="303" t="str">
        <f t="shared" si="25"/>
        <v>60607070110000000000</v>
      </c>
      <c r="M580" s="132" t="str">
        <f>INDEX('реш СГД № 265'!$A:$N,MATCH('БА расх 2019-2020'!$L580,'реш СГД № 265'!$N:$N,0),3)</f>
        <v>Подпрограмма «Организация дошкольного, общего и дополнительного образования»</v>
      </c>
      <c r="N580" s="17">
        <f t="shared" si="26"/>
        <v>1</v>
      </c>
    </row>
    <row r="581" spans="1:14" s="17" customFormat="1" ht="31.5">
      <c r="A581" s="14"/>
      <c r="B581" s="132" t="s">
        <v>465</v>
      </c>
      <c r="C581" s="109" t="s">
        <v>394</v>
      </c>
      <c r="D581" s="108" t="s">
        <v>229</v>
      </c>
      <c r="E581" s="108" t="s">
        <v>229</v>
      </c>
      <c r="F581" s="108" t="s">
        <v>466</v>
      </c>
      <c r="G581" s="108" t="s">
        <v>9</v>
      </c>
      <c r="H581" s="126">
        <v>0</v>
      </c>
      <c r="I581" s="126">
        <v>0</v>
      </c>
      <c r="J581" s="108">
        <v>110400000</v>
      </c>
      <c r="K581" s="108" t="str">
        <f t="shared" si="24"/>
        <v>0110400000</v>
      </c>
      <c r="L581" s="303" t="str">
        <f t="shared" si="25"/>
        <v>60607070110400000000</v>
      </c>
      <c r="M581" s="132" t="str">
        <f>INDEX('реш СГД № 265'!$A:$N,MATCH('БА расх 2019-2020'!$L581,'реш СГД № 265'!$N:$N,0),3)</f>
        <v>Основное мероприятие «Организация отдыха детей в каникулярное время»</v>
      </c>
      <c r="N581" s="17">
        <f t="shared" si="26"/>
        <v>1</v>
      </c>
    </row>
    <row r="582" spans="1:14" s="17" customFormat="1" ht="31.5">
      <c r="A582" s="14"/>
      <c r="B582" s="132" t="s">
        <v>136</v>
      </c>
      <c r="C582" s="109" t="s">
        <v>394</v>
      </c>
      <c r="D582" s="108" t="s">
        <v>229</v>
      </c>
      <c r="E582" s="108" t="s">
        <v>229</v>
      </c>
      <c r="F582" s="108" t="s">
        <v>467</v>
      </c>
      <c r="G582" s="108" t="s">
        <v>9</v>
      </c>
      <c r="H582" s="126">
        <v>0</v>
      </c>
      <c r="I582" s="126">
        <v>0</v>
      </c>
      <c r="J582" s="108">
        <v>110411010</v>
      </c>
      <c r="K582" s="108" t="str">
        <f t="shared" si="24"/>
        <v>0110411010</v>
      </c>
      <c r="L582" s="303" t="str">
        <f t="shared" si="25"/>
        <v>60607070110411010000</v>
      </c>
      <c r="M582" s="132" t="str">
        <f>INDEX('реш СГД № 265'!$A:$N,MATCH('БА расх 2019-2020'!$L582,'реш СГД № 265'!$N:$N,0),3)</f>
        <v>Расходы на обеспечение деятельности (оказание услуг) муниципальных учреждений</v>
      </c>
      <c r="N582" s="17">
        <f t="shared" si="26"/>
        <v>1</v>
      </c>
    </row>
    <row r="583" spans="1:14" s="17" customFormat="1" ht="15.75">
      <c r="A583" s="14"/>
      <c r="B583" s="132" t="s">
        <v>409</v>
      </c>
      <c r="C583" s="109" t="s">
        <v>394</v>
      </c>
      <c r="D583" s="108" t="s">
        <v>229</v>
      </c>
      <c r="E583" s="108" t="s">
        <v>229</v>
      </c>
      <c r="F583" s="108" t="s">
        <v>467</v>
      </c>
      <c r="G583" s="108" t="s">
        <v>410</v>
      </c>
      <c r="H583" s="126">
        <v>0</v>
      </c>
      <c r="I583" s="126">
        <v>0</v>
      </c>
      <c r="J583" s="108">
        <v>110411010</v>
      </c>
      <c r="K583" s="108" t="str">
        <f t="shared" si="24"/>
        <v>0110411010</v>
      </c>
      <c r="L583" s="303" t="str">
        <f t="shared" si="25"/>
        <v>60607070110411010620</v>
      </c>
      <c r="M583" s="132" t="str">
        <f>INDEX('реш СГД № 265'!$A:$N,MATCH('БА расх 2019-2020'!$L583,'реш СГД № 265'!$N:$N,0),3)</f>
        <v>Субсидии автономным учреждениям</v>
      </c>
      <c r="N583" s="17">
        <f t="shared" si="26"/>
        <v>1</v>
      </c>
    </row>
    <row r="584" spans="1:14" s="24" customFormat="1" ht="63">
      <c r="A584" s="21"/>
      <c r="B584" s="127" t="s">
        <v>411</v>
      </c>
      <c r="C584" s="109" t="s">
        <v>394</v>
      </c>
      <c r="D584" s="108" t="s">
        <v>229</v>
      </c>
      <c r="E584" s="108" t="s">
        <v>229</v>
      </c>
      <c r="F584" s="108" t="s">
        <v>467</v>
      </c>
      <c r="G584" s="108" t="s">
        <v>412</v>
      </c>
      <c r="H584" s="126">
        <v>0</v>
      </c>
      <c r="I584" s="126">
        <v>0</v>
      </c>
      <c r="J584" s="108">
        <v>110411010</v>
      </c>
      <c r="K584" s="108" t="str">
        <f t="shared" si="24"/>
        <v>0110411010</v>
      </c>
      <c r="L584" s="303" t="str">
        <f t="shared" si="25"/>
        <v>60607070110411010621</v>
      </c>
      <c r="M584" s="132"/>
      <c r="N584" s="17">
        <f t="shared" si="26"/>
        <v>0</v>
      </c>
    </row>
    <row r="585" spans="1:14" s="17" customFormat="1" ht="31.5">
      <c r="A585" s="14"/>
      <c r="B585" s="125" t="s">
        <v>468</v>
      </c>
      <c r="C585" s="109" t="s">
        <v>394</v>
      </c>
      <c r="D585" s="108" t="s">
        <v>229</v>
      </c>
      <c r="E585" s="108" t="s">
        <v>229</v>
      </c>
      <c r="F585" s="108" t="s">
        <v>469</v>
      </c>
      <c r="G585" s="108" t="s">
        <v>9</v>
      </c>
      <c r="H585" s="126">
        <v>0</v>
      </c>
      <c r="I585" s="126">
        <v>0</v>
      </c>
      <c r="J585" s="108">
        <v>110420330</v>
      </c>
      <c r="K585" s="108" t="str">
        <f t="shared" si="24"/>
        <v>0110420330</v>
      </c>
      <c r="L585" s="303" t="str">
        <f t="shared" si="25"/>
        <v>60607070110420330000</v>
      </c>
      <c r="M585" s="132" t="str">
        <f>INDEX('реш СГД № 265'!$A:$N,MATCH('БА расх 2019-2020'!$L585,'реш СГД № 265'!$N:$N,0),3)</f>
        <v>Расходы на проведение мероприятий по оздоровлению детей</v>
      </c>
      <c r="N585" s="17">
        <f t="shared" si="26"/>
        <v>1</v>
      </c>
    </row>
    <row r="586" spans="1:14" s="17" customFormat="1" ht="15.75">
      <c r="A586" s="14"/>
      <c r="B586" s="132" t="s">
        <v>403</v>
      </c>
      <c r="C586" s="109" t="s">
        <v>394</v>
      </c>
      <c r="D586" s="108" t="s">
        <v>229</v>
      </c>
      <c r="E586" s="108" t="s">
        <v>229</v>
      </c>
      <c r="F586" s="108" t="s">
        <v>469</v>
      </c>
      <c r="G586" s="108" t="s">
        <v>404</v>
      </c>
      <c r="H586" s="126">
        <v>0</v>
      </c>
      <c r="I586" s="126">
        <v>0</v>
      </c>
      <c r="J586" s="108">
        <v>110420330</v>
      </c>
      <c r="K586" s="108" t="str">
        <f t="shared" si="24"/>
        <v>0110420330</v>
      </c>
      <c r="L586" s="303" t="str">
        <f t="shared" si="25"/>
        <v>60607070110420330610</v>
      </c>
      <c r="M586" s="132" t="str">
        <f>INDEX('реш СГД № 265'!$A:$N,MATCH('БА расх 2019-2020'!$L586,'реш СГД № 265'!$N:$N,0),3)</f>
        <v>Субсидии бюджетным учреждениям</v>
      </c>
      <c r="N586" s="17">
        <f t="shared" si="26"/>
        <v>1</v>
      </c>
    </row>
    <row r="587" spans="1:14" s="24" customFormat="1" ht="15.75">
      <c r="A587" s="21"/>
      <c r="B587" s="127" t="s">
        <v>407</v>
      </c>
      <c r="C587" s="109" t="s">
        <v>394</v>
      </c>
      <c r="D587" s="108" t="s">
        <v>229</v>
      </c>
      <c r="E587" s="108" t="s">
        <v>229</v>
      </c>
      <c r="F587" s="108" t="s">
        <v>469</v>
      </c>
      <c r="G587" s="108" t="s">
        <v>408</v>
      </c>
      <c r="H587" s="126">
        <v>0</v>
      </c>
      <c r="I587" s="126">
        <v>0</v>
      </c>
      <c r="J587" s="108">
        <v>110420330</v>
      </c>
      <c r="K587" s="108" t="str">
        <f t="shared" ref="K587:K652" si="27">TEXT(J587,"0000000000")</f>
        <v>0110420330</v>
      </c>
      <c r="L587" s="303" t="str">
        <f t="shared" si="25"/>
        <v>60607070110420330612</v>
      </c>
      <c r="M587" s="132"/>
      <c r="N587" s="17">
        <f t="shared" si="26"/>
        <v>0</v>
      </c>
    </row>
    <row r="588" spans="1:14" s="17" customFormat="1" ht="94.5">
      <c r="A588" s="14"/>
      <c r="B588" s="125" t="s">
        <v>420</v>
      </c>
      <c r="C588" s="109" t="s">
        <v>394</v>
      </c>
      <c r="D588" s="108" t="s">
        <v>229</v>
      </c>
      <c r="E588" s="108" t="s">
        <v>229</v>
      </c>
      <c r="F588" s="108" t="s">
        <v>421</v>
      </c>
      <c r="G588" s="108" t="s">
        <v>9</v>
      </c>
      <c r="H588" s="126">
        <v>0</v>
      </c>
      <c r="I588" s="126">
        <v>0</v>
      </c>
      <c r="J588" s="108">
        <v>1600000000</v>
      </c>
      <c r="K588" s="108" t="str">
        <f t="shared" si="27"/>
        <v>1600000000</v>
      </c>
      <c r="L588" s="303" t="str">
        <f t="shared" ref="L588:L653" si="28">C588&amp;D588&amp;E588&amp;K588&amp;G588</f>
        <v>60607071600000000000</v>
      </c>
      <c r="M588" s="132" t="str">
        <f>INDEX('реш СГД № 265'!$A:$N,MATCH('БА расх 2019-2020'!$L588,'реш СГД № 265'!$N:$N,0),3)</f>
        <v>Муниципальная программа «Обеспечение гражданской обороны, пожарной безопасности, безопасности людей на водных объектах, организация деятельности аварийно-спасательных служб, защита населения и территории города Ставрополя от чрезвычайных ситуаций»</v>
      </c>
      <c r="N588" s="17">
        <f t="shared" ref="N588:N653" si="29">IF(B588=M588,1,0)</f>
        <v>1</v>
      </c>
    </row>
    <row r="589" spans="1:14" s="17" customFormat="1" ht="31.5">
      <c r="A589" s="14"/>
      <c r="B589" s="125" t="s">
        <v>422</v>
      </c>
      <c r="C589" s="109" t="s">
        <v>394</v>
      </c>
      <c r="D589" s="108" t="s">
        <v>229</v>
      </c>
      <c r="E589" s="108" t="s">
        <v>229</v>
      </c>
      <c r="F589" s="108" t="s">
        <v>423</v>
      </c>
      <c r="G589" s="108" t="s">
        <v>9</v>
      </c>
      <c r="H589" s="126">
        <v>0</v>
      </c>
      <c r="I589" s="126">
        <v>0</v>
      </c>
      <c r="J589" s="108">
        <v>1620000000</v>
      </c>
      <c r="K589" s="108" t="str">
        <f t="shared" si="27"/>
        <v>1620000000</v>
      </c>
      <c r="L589" s="303" t="str">
        <f t="shared" si="28"/>
        <v>60607071620000000000</v>
      </c>
      <c r="M589" s="132" t="str">
        <f>INDEX('реш СГД № 265'!$A:$N,MATCH('БА расх 2019-2020'!$L589,'реш СГД № 265'!$N:$N,0),3)</f>
        <v>Подпрограмма «Обеспечение пожарной безопасности в границах города Ставрополя»</v>
      </c>
      <c r="N589" s="17">
        <f t="shared" si="29"/>
        <v>1</v>
      </c>
    </row>
    <row r="590" spans="1:14" s="17" customFormat="1" ht="47.25">
      <c r="A590" s="14"/>
      <c r="B590" s="125" t="s">
        <v>424</v>
      </c>
      <c r="C590" s="109" t="s">
        <v>394</v>
      </c>
      <c r="D590" s="108" t="s">
        <v>229</v>
      </c>
      <c r="E590" s="108" t="s">
        <v>229</v>
      </c>
      <c r="F590" s="108" t="s">
        <v>425</v>
      </c>
      <c r="G590" s="108" t="s">
        <v>9</v>
      </c>
      <c r="H590" s="126">
        <v>0</v>
      </c>
      <c r="I590" s="126">
        <v>0</v>
      </c>
      <c r="J590" s="108">
        <v>1620200000</v>
      </c>
      <c r="K590" s="108" t="str">
        <f t="shared" si="27"/>
        <v>1620200000</v>
      </c>
      <c r="L590" s="303" t="str">
        <f t="shared" si="28"/>
        <v>60607071620200000000</v>
      </c>
      <c r="M590" s="132" t="str">
        <f>INDEX('реш СГД № 265'!$A:$N,MATCH('БА расх 2019-2020'!$L590,'реш СГД № 265'!$N:$N,0),3)</f>
        <v>Основное мероприятие «Выполнение противопожарных мероприятий в муниципальных учреждениях города Ставрополя»</v>
      </c>
      <c r="N590" s="17">
        <f t="shared" si="29"/>
        <v>1</v>
      </c>
    </row>
    <row r="591" spans="1:14" s="17" customFormat="1" ht="47.25">
      <c r="A591" s="14"/>
      <c r="B591" s="125" t="s">
        <v>426</v>
      </c>
      <c r="C591" s="109" t="s">
        <v>394</v>
      </c>
      <c r="D591" s="108" t="s">
        <v>229</v>
      </c>
      <c r="E591" s="108" t="s">
        <v>229</v>
      </c>
      <c r="F591" s="108" t="s">
        <v>427</v>
      </c>
      <c r="G591" s="108" t="s">
        <v>9</v>
      </c>
      <c r="H591" s="126">
        <v>0</v>
      </c>
      <c r="I591" s="126">
        <v>0</v>
      </c>
      <c r="J591" s="108">
        <v>1620220550</v>
      </c>
      <c r="K591" s="108" t="str">
        <f t="shared" si="27"/>
        <v>1620220550</v>
      </c>
      <c r="L591" s="303" t="str">
        <f t="shared" si="28"/>
        <v>60607071620220550000</v>
      </c>
      <c r="M591" s="132" t="str">
        <f>INDEX('реш СГД № 265'!$A:$N,MATCH('БА расх 2019-2020'!$L591,'реш СГД № 265'!$N:$N,0),3)</f>
        <v>Обеспечение пожарной безопасности в муниципальных учреждениях образования, культуры, физической культуры и спорта города Ставрополя</v>
      </c>
      <c r="N591" s="17">
        <f t="shared" si="29"/>
        <v>1</v>
      </c>
    </row>
    <row r="592" spans="1:14" s="17" customFormat="1" ht="15.75">
      <c r="A592" s="14"/>
      <c r="B592" s="132" t="s">
        <v>409</v>
      </c>
      <c r="C592" s="109" t="s">
        <v>394</v>
      </c>
      <c r="D592" s="108" t="s">
        <v>229</v>
      </c>
      <c r="E592" s="108" t="s">
        <v>229</v>
      </c>
      <c r="F592" s="108" t="s">
        <v>427</v>
      </c>
      <c r="G592" s="108" t="s">
        <v>410</v>
      </c>
      <c r="H592" s="126">
        <v>0</v>
      </c>
      <c r="I592" s="126">
        <v>0</v>
      </c>
      <c r="J592" s="108">
        <v>1620220550</v>
      </c>
      <c r="K592" s="108" t="str">
        <f t="shared" si="27"/>
        <v>1620220550</v>
      </c>
      <c r="L592" s="303" t="str">
        <f t="shared" si="28"/>
        <v>60607071620220550620</v>
      </c>
      <c r="M592" s="132" t="str">
        <f>INDEX('реш СГД № 265'!$A:$N,MATCH('БА расх 2019-2020'!$L592,'реш СГД № 265'!$N:$N,0),3)</f>
        <v>Субсидии автономным учреждениям</v>
      </c>
      <c r="N592" s="17">
        <f t="shared" si="29"/>
        <v>1</v>
      </c>
    </row>
    <row r="593" spans="1:14" s="24" customFormat="1" ht="15.75">
      <c r="A593" s="21"/>
      <c r="B593" s="127" t="s">
        <v>428</v>
      </c>
      <c r="C593" s="109" t="s">
        <v>394</v>
      </c>
      <c r="D593" s="108" t="s">
        <v>229</v>
      </c>
      <c r="E593" s="108" t="s">
        <v>229</v>
      </c>
      <c r="F593" s="108" t="s">
        <v>427</v>
      </c>
      <c r="G593" s="108" t="s">
        <v>429</v>
      </c>
      <c r="H593" s="126">
        <v>0</v>
      </c>
      <c r="I593" s="126">
        <v>0</v>
      </c>
      <c r="J593" s="108">
        <v>1620220550</v>
      </c>
      <c r="K593" s="108" t="str">
        <f t="shared" si="27"/>
        <v>1620220550</v>
      </c>
      <c r="L593" s="303" t="str">
        <f t="shared" si="28"/>
        <v>60607071620220550622</v>
      </c>
      <c r="M593" s="132"/>
      <c r="N593" s="17">
        <f t="shared" si="29"/>
        <v>0</v>
      </c>
    </row>
    <row r="594" spans="1:14" s="17" customFormat="1" ht="15.75">
      <c r="A594" s="14"/>
      <c r="B594" s="121" t="s">
        <v>470</v>
      </c>
      <c r="C594" s="122" t="s">
        <v>394</v>
      </c>
      <c r="D594" s="123" t="s">
        <v>229</v>
      </c>
      <c r="E594" s="123" t="s">
        <v>471</v>
      </c>
      <c r="F594" s="123" t="s">
        <v>8</v>
      </c>
      <c r="G594" s="123" t="s">
        <v>9</v>
      </c>
      <c r="H594" s="124">
        <v>0</v>
      </c>
      <c r="I594" s="124">
        <v>0</v>
      </c>
      <c r="J594" s="123">
        <v>0</v>
      </c>
      <c r="K594" s="108" t="str">
        <f t="shared" si="27"/>
        <v>0000000000</v>
      </c>
      <c r="L594" s="303" t="str">
        <f t="shared" si="28"/>
        <v>60607090000000000000</v>
      </c>
      <c r="M594" s="132" t="str">
        <f>INDEX('реш СГД № 265'!$A:$N,MATCH('БА расх 2019-2020'!$L594,'реш СГД № 265'!$N:$N,0),3)</f>
        <v>Другие вопросы в области образования</v>
      </c>
      <c r="N594" s="17">
        <f t="shared" si="29"/>
        <v>1</v>
      </c>
    </row>
    <row r="595" spans="1:14" s="17" customFormat="1" ht="31.5">
      <c r="A595" s="14"/>
      <c r="B595" s="132" t="s">
        <v>396</v>
      </c>
      <c r="C595" s="109" t="s">
        <v>394</v>
      </c>
      <c r="D595" s="108" t="s">
        <v>229</v>
      </c>
      <c r="E595" s="108" t="s">
        <v>471</v>
      </c>
      <c r="F595" s="108" t="s">
        <v>397</v>
      </c>
      <c r="G595" s="108" t="s">
        <v>9</v>
      </c>
      <c r="H595" s="126">
        <v>0</v>
      </c>
      <c r="I595" s="126">
        <v>0</v>
      </c>
      <c r="J595" s="108">
        <v>100000000</v>
      </c>
      <c r="K595" s="108" t="str">
        <f t="shared" si="27"/>
        <v>0100000000</v>
      </c>
      <c r="L595" s="303" t="str">
        <f t="shared" si="28"/>
        <v>60607090100000000000</v>
      </c>
      <c r="M595" s="132" t="str">
        <f>INDEX('реш СГД № 265'!$A:$N,MATCH('БА расх 2019-2020'!$L595,'реш СГД № 265'!$N:$N,0),3)</f>
        <v>Муниципальная программа «Развитие образования в городе Ставрополе»</v>
      </c>
      <c r="N595" s="17">
        <f t="shared" si="29"/>
        <v>1</v>
      </c>
    </row>
    <row r="596" spans="1:14" s="17" customFormat="1" ht="31.5">
      <c r="A596" s="14"/>
      <c r="B596" s="132" t="s">
        <v>398</v>
      </c>
      <c r="C596" s="109" t="s">
        <v>394</v>
      </c>
      <c r="D596" s="108" t="s">
        <v>229</v>
      </c>
      <c r="E596" s="108" t="s">
        <v>471</v>
      </c>
      <c r="F596" s="108" t="s">
        <v>399</v>
      </c>
      <c r="G596" s="108" t="s">
        <v>9</v>
      </c>
      <c r="H596" s="126">
        <v>0</v>
      </c>
      <c r="I596" s="126">
        <v>0</v>
      </c>
      <c r="J596" s="108">
        <v>110000000</v>
      </c>
      <c r="K596" s="108" t="str">
        <f t="shared" si="27"/>
        <v>0110000000</v>
      </c>
      <c r="L596" s="303" t="str">
        <f t="shared" si="28"/>
        <v>60607090110000000000</v>
      </c>
      <c r="M596" s="132" t="str">
        <f>INDEX('реш СГД № 265'!$A:$N,MATCH('БА расх 2019-2020'!$L596,'реш СГД № 265'!$N:$N,0),3)</f>
        <v>Подпрограмма «Организация дошкольного, общего и дополнительного образования»</v>
      </c>
      <c r="N596" s="17">
        <f t="shared" si="29"/>
        <v>1</v>
      </c>
    </row>
    <row r="597" spans="1:14" s="17" customFormat="1" ht="63">
      <c r="A597" s="14"/>
      <c r="B597" s="132" t="s">
        <v>472</v>
      </c>
      <c r="C597" s="109" t="s">
        <v>394</v>
      </c>
      <c r="D597" s="108" t="s">
        <v>229</v>
      </c>
      <c r="E597" s="108" t="s">
        <v>471</v>
      </c>
      <c r="F597" s="108" t="s">
        <v>473</v>
      </c>
      <c r="G597" s="108" t="s">
        <v>9</v>
      </c>
      <c r="H597" s="126">
        <v>0</v>
      </c>
      <c r="I597" s="126">
        <v>0</v>
      </c>
      <c r="J597" s="108">
        <v>110500000</v>
      </c>
      <c r="K597" s="108" t="str">
        <f t="shared" si="27"/>
        <v>0110500000</v>
      </c>
      <c r="L597" s="303" t="str">
        <f t="shared" si="28"/>
        <v>60607090110500000000</v>
      </c>
      <c r="M597" s="132" t="str">
        <f>INDEX('реш СГД № 265'!$A:$N,MATCH('БА расх 2019-2020'!$L597,'реш СГД № 265'!$N:$N,0),3)</f>
        <v>Основное мероприятие «Проведение мероприятий с обучающимися и воспитанниками муниципальных бюджетных и автономных образовательных учреждений города Ставрополя»</v>
      </c>
      <c r="N597" s="17">
        <f t="shared" si="29"/>
        <v>1</v>
      </c>
    </row>
    <row r="598" spans="1:14" s="17" customFormat="1" ht="31.5">
      <c r="A598" s="14"/>
      <c r="B598" s="132" t="s">
        <v>474</v>
      </c>
      <c r="C598" s="109" t="s">
        <v>394</v>
      </c>
      <c r="D598" s="108" t="s">
        <v>229</v>
      </c>
      <c r="E598" s="108" t="s">
        <v>471</v>
      </c>
      <c r="F598" s="108" t="s">
        <v>475</v>
      </c>
      <c r="G598" s="108" t="s">
        <v>9</v>
      </c>
      <c r="H598" s="126">
        <v>0</v>
      </c>
      <c r="I598" s="126">
        <v>0</v>
      </c>
      <c r="J598" s="108">
        <v>110520240</v>
      </c>
      <c r="K598" s="108" t="str">
        <f t="shared" si="27"/>
        <v>0110520240</v>
      </c>
      <c r="L598" s="303" t="str">
        <f t="shared" si="28"/>
        <v>60607090110520240000</v>
      </c>
      <c r="M598" s="132" t="str">
        <f>INDEX('реш СГД № 265'!$A:$N,MATCH('БА расх 2019-2020'!$L598,'реш СГД № 265'!$N:$N,0),3)</f>
        <v>Расходы на проведение мероприятий для детей и молодежи</v>
      </c>
      <c r="N598" s="17">
        <f t="shared" si="29"/>
        <v>1</v>
      </c>
    </row>
    <row r="599" spans="1:14" s="17" customFormat="1" ht="31.5">
      <c r="A599" s="14"/>
      <c r="B599" s="125" t="s">
        <v>28</v>
      </c>
      <c r="C599" s="109" t="s">
        <v>394</v>
      </c>
      <c r="D599" s="108" t="s">
        <v>229</v>
      </c>
      <c r="E599" s="108" t="s">
        <v>471</v>
      </c>
      <c r="F599" s="108" t="s">
        <v>475</v>
      </c>
      <c r="G599" s="108" t="s">
        <v>29</v>
      </c>
      <c r="H599" s="126">
        <v>0</v>
      </c>
      <c r="I599" s="126">
        <v>0</v>
      </c>
      <c r="J599" s="108">
        <v>110520240</v>
      </c>
      <c r="K599" s="108" t="str">
        <f t="shared" si="27"/>
        <v>0110520240</v>
      </c>
      <c r="L599" s="303" t="str">
        <f t="shared" si="28"/>
        <v>60607090110520240240</v>
      </c>
      <c r="M599" s="132" t="str">
        <f>INDEX('реш СГД № 265'!$A:$N,MATCH('БА расх 2019-2020'!$L599,'реш СГД № 265'!$N:$N,0),3)</f>
        <v>Иные закупки товаров, работ и услуг для обеспечения государственных (муниципальных) нужд</v>
      </c>
      <c r="N599" s="17">
        <f t="shared" si="29"/>
        <v>1</v>
      </c>
    </row>
    <row r="600" spans="1:14" s="17" customFormat="1" ht="15.75">
      <c r="A600" s="14"/>
      <c r="B600" s="125" t="s">
        <v>30</v>
      </c>
      <c r="C600" s="109" t="s">
        <v>394</v>
      </c>
      <c r="D600" s="108" t="s">
        <v>229</v>
      </c>
      <c r="E600" s="108" t="s">
        <v>471</v>
      </c>
      <c r="F600" s="108" t="s">
        <v>475</v>
      </c>
      <c r="G600" s="108" t="s">
        <v>31</v>
      </c>
      <c r="H600" s="126">
        <v>0</v>
      </c>
      <c r="I600" s="126">
        <v>0</v>
      </c>
      <c r="J600" s="108">
        <v>110520240</v>
      </c>
      <c r="K600" s="108" t="str">
        <f t="shared" si="27"/>
        <v>0110520240</v>
      </c>
      <c r="L600" s="303" t="str">
        <f t="shared" si="28"/>
        <v>60607090110520240244</v>
      </c>
      <c r="M600" s="132"/>
      <c r="N600" s="17">
        <f t="shared" si="29"/>
        <v>0</v>
      </c>
    </row>
    <row r="601" spans="1:14" s="17" customFormat="1" ht="15.75">
      <c r="A601" s="14"/>
      <c r="B601" s="132" t="s">
        <v>403</v>
      </c>
      <c r="C601" s="109" t="s">
        <v>394</v>
      </c>
      <c r="D601" s="108" t="s">
        <v>229</v>
      </c>
      <c r="E601" s="108" t="s">
        <v>471</v>
      </c>
      <c r="F601" s="108" t="s">
        <v>475</v>
      </c>
      <c r="G601" s="108" t="s">
        <v>404</v>
      </c>
      <c r="H601" s="126">
        <v>0</v>
      </c>
      <c r="I601" s="126">
        <v>0</v>
      </c>
      <c r="J601" s="108">
        <v>110520240</v>
      </c>
      <c r="K601" s="108" t="str">
        <f t="shared" si="27"/>
        <v>0110520240</v>
      </c>
      <c r="L601" s="303" t="str">
        <f t="shared" si="28"/>
        <v>60607090110520240610</v>
      </c>
      <c r="M601" s="132" t="str">
        <f>INDEX('реш СГД № 265'!$A:$N,MATCH('БА расх 2019-2020'!$L601,'реш СГД № 265'!$N:$N,0),3)</f>
        <v>Субсидии бюджетным учреждениям</v>
      </c>
      <c r="N601" s="17">
        <f t="shared" si="29"/>
        <v>1</v>
      </c>
    </row>
    <row r="602" spans="1:14" s="24" customFormat="1" ht="15.75">
      <c r="A602" s="21"/>
      <c r="B602" s="127" t="s">
        <v>407</v>
      </c>
      <c r="C602" s="109" t="s">
        <v>394</v>
      </c>
      <c r="D602" s="108" t="s">
        <v>229</v>
      </c>
      <c r="E602" s="108" t="s">
        <v>471</v>
      </c>
      <c r="F602" s="108" t="s">
        <v>475</v>
      </c>
      <c r="G602" s="108" t="s">
        <v>408</v>
      </c>
      <c r="H602" s="126">
        <v>0</v>
      </c>
      <c r="I602" s="126">
        <v>0</v>
      </c>
      <c r="J602" s="108">
        <v>110520240</v>
      </c>
      <c r="K602" s="108" t="str">
        <f t="shared" si="27"/>
        <v>0110520240</v>
      </c>
      <c r="L602" s="303" t="str">
        <f t="shared" si="28"/>
        <v>60607090110520240612</v>
      </c>
      <c r="M602" s="132"/>
      <c r="N602" s="17">
        <f t="shared" si="29"/>
        <v>0</v>
      </c>
    </row>
    <row r="603" spans="1:14" s="17" customFormat="1" ht="15.75">
      <c r="A603" s="14"/>
      <c r="B603" s="132" t="s">
        <v>409</v>
      </c>
      <c r="C603" s="109" t="s">
        <v>394</v>
      </c>
      <c r="D603" s="108" t="s">
        <v>229</v>
      </c>
      <c r="E603" s="108" t="s">
        <v>471</v>
      </c>
      <c r="F603" s="108" t="s">
        <v>475</v>
      </c>
      <c r="G603" s="108" t="s">
        <v>410</v>
      </c>
      <c r="H603" s="126">
        <v>0</v>
      </c>
      <c r="I603" s="126">
        <v>0</v>
      </c>
      <c r="J603" s="108">
        <v>110520240</v>
      </c>
      <c r="K603" s="108" t="str">
        <f t="shared" si="27"/>
        <v>0110520240</v>
      </c>
      <c r="L603" s="303" t="str">
        <f t="shared" si="28"/>
        <v>60607090110520240620</v>
      </c>
      <c r="M603" s="132" t="str">
        <f>INDEX('реш СГД № 265'!$A:$N,MATCH('БА расх 2019-2020'!$L603,'реш СГД № 265'!$N:$N,0),3)</f>
        <v>Субсидии автономным учреждениям</v>
      </c>
      <c r="N603" s="17">
        <f t="shared" si="29"/>
        <v>1</v>
      </c>
    </row>
    <row r="604" spans="1:14" s="24" customFormat="1" ht="15.75">
      <c r="A604" s="21"/>
      <c r="B604" s="127" t="s">
        <v>428</v>
      </c>
      <c r="C604" s="109" t="s">
        <v>394</v>
      </c>
      <c r="D604" s="108" t="s">
        <v>229</v>
      </c>
      <c r="E604" s="108" t="s">
        <v>471</v>
      </c>
      <c r="F604" s="108" t="s">
        <v>475</v>
      </c>
      <c r="G604" s="108" t="s">
        <v>429</v>
      </c>
      <c r="H604" s="126">
        <v>0</v>
      </c>
      <c r="I604" s="126">
        <v>0</v>
      </c>
      <c r="J604" s="108">
        <v>110520240</v>
      </c>
      <c r="K604" s="108" t="str">
        <f t="shared" si="27"/>
        <v>0110520240</v>
      </c>
      <c r="L604" s="303" t="str">
        <f t="shared" si="28"/>
        <v>60607090110520240622</v>
      </c>
      <c r="M604" s="132"/>
      <c r="N604" s="17">
        <f t="shared" si="29"/>
        <v>0</v>
      </c>
    </row>
    <row r="605" spans="1:14" s="17" customFormat="1" ht="47.25">
      <c r="A605" s="14"/>
      <c r="B605" s="129" t="s">
        <v>476</v>
      </c>
      <c r="C605" s="130" t="s">
        <v>394</v>
      </c>
      <c r="D605" s="131" t="s">
        <v>229</v>
      </c>
      <c r="E605" s="131" t="s">
        <v>471</v>
      </c>
      <c r="F605" s="131" t="s">
        <v>477</v>
      </c>
      <c r="G605" s="131" t="s">
        <v>9</v>
      </c>
      <c r="H605" s="105">
        <v>0</v>
      </c>
      <c r="I605" s="105">
        <v>0</v>
      </c>
      <c r="J605" s="131">
        <v>110800000</v>
      </c>
      <c r="K605" s="108" t="str">
        <f t="shared" si="27"/>
        <v>0110800000</v>
      </c>
      <c r="L605" s="303" t="str">
        <f t="shared" si="28"/>
        <v>60607090110800000000</v>
      </c>
      <c r="M605" s="132" t="str">
        <f>INDEX('реш СГД № 265'!$A:$N,MATCH('БА расх 2019-2020'!$L605,'реш СГД № 265'!$N:$N,0),3)</f>
        <v>Основное мероприятие «Обеспечение образовательной деятельности, оценки качества образования»</v>
      </c>
      <c r="N605" s="17">
        <f t="shared" si="29"/>
        <v>1</v>
      </c>
    </row>
    <row r="606" spans="1:14" s="17" customFormat="1" ht="31.5">
      <c r="A606" s="14"/>
      <c r="B606" s="140" t="s">
        <v>136</v>
      </c>
      <c r="C606" s="130" t="s">
        <v>394</v>
      </c>
      <c r="D606" s="131" t="s">
        <v>229</v>
      </c>
      <c r="E606" s="131" t="s">
        <v>471</v>
      </c>
      <c r="F606" s="131" t="s">
        <v>478</v>
      </c>
      <c r="G606" s="131" t="s">
        <v>9</v>
      </c>
      <c r="H606" s="105">
        <v>0</v>
      </c>
      <c r="I606" s="105">
        <v>0</v>
      </c>
      <c r="J606" s="131">
        <v>110811010</v>
      </c>
      <c r="K606" s="108" t="str">
        <f t="shared" si="27"/>
        <v>0110811010</v>
      </c>
      <c r="L606" s="303" t="str">
        <f t="shared" si="28"/>
        <v>60607090110811010000</v>
      </c>
      <c r="M606" s="132" t="str">
        <f>INDEX('реш СГД № 265'!$A:$N,MATCH('БА расх 2019-2020'!$L606,'реш СГД № 265'!$N:$N,0),3)</f>
        <v>Расходы на обеспечение деятельности (оказание услуг) муниципальных учреждений</v>
      </c>
      <c r="N606" s="17">
        <f t="shared" si="29"/>
        <v>1</v>
      </c>
    </row>
    <row r="607" spans="1:14" s="17" customFormat="1" ht="15.75">
      <c r="A607" s="14"/>
      <c r="B607" s="140" t="s">
        <v>403</v>
      </c>
      <c r="C607" s="130" t="s">
        <v>394</v>
      </c>
      <c r="D607" s="131" t="s">
        <v>229</v>
      </c>
      <c r="E607" s="131" t="s">
        <v>471</v>
      </c>
      <c r="F607" s="131" t="s">
        <v>478</v>
      </c>
      <c r="G607" s="131" t="s">
        <v>404</v>
      </c>
      <c r="H607" s="126">
        <v>0</v>
      </c>
      <c r="I607" s="126">
        <v>0</v>
      </c>
      <c r="J607" s="131">
        <v>110811010</v>
      </c>
      <c r="K607" s="108" t="str">
        <f t="shared" si="27"/>
        <v>0110811010</v>
      </c>
      <c r="L607" s="303" t="str">
        <f t="shared" si="28"/>
        <v>60607090110811010610</v>
      </c>
      <c r="M607" s="132" t="str">
        <f>INDEX('реш СГД № 265'!$A:$N,MATCH('БА расх 2019-2020'!$L607,'реш СГД № 265'!$N:$N,0),3)</f>
        <v>Субсидии бюджетным учреждениям</v>
      </c>
      <c r="N607" s="17">
        <f t="shared" si="29"/>
        <v>1</v>
      </c>
    </row>
    <row r="608" spans="1:14" s="24" customFormat="1" ht="63">
      <c r="A608" s="21"/>
      <c r="B608" s="127" t="s">
        <v>405</v>
      </c>
      <c r="C608" s="130" t="s">
        <v>394</v>
      </c>
      <c r="D608" s="131" t="s">
        <v>229</v>
      </c>
      <c r="E608" s="131" t="s">
        <v>471</v>
      </c>
      <c r="F608" s="131" t="s">
        <v>478</v>
      </c>
      <c r="G608" s="108" t="s">
        <v>406</v>
      </c>
      <c r="H608" s="126">
        <v>0</v>
      </c>
      <c r="I608" s="126">
        <v>0</v>
      </c>
      <c r="J608" s="131">
        <v>110811010</v>
      </c>
      <c r="K608" s="108" t="str">
        <f t="shared" si="27"/>
        <v>0110811010</v>
      </c>
      <c r="L608" s="303" t="str">
        <f t="shared" si="28"/>
        <v>60607090110811010611</v>
      </c>
      <c r="M608" s="132"/>
      <c r="N608" s="17">
        <f t="shared" si="29"/>
        <v>0</v>
      </c>
    </row>
    <row r="609" spans="1:14" s="17" customFormat="1" ht="94.5">
      <c r="A609" s="14"/>
      <c r="B609" s="125" t="s">
        <v>420</v>
      </c>
      <c r="C609" s="109" t="s">
        <v>394</v>
      </c>
      <c r="D609" s="108" t="s">
        <v>229</v>
      </c>
      <c r="E609" s="108" t="s">
        <v>471</v>
      </c>
      <c r="F609" s="108" t="s">
        <v>421</v>
      </c>
      <c r="G609" s="108" t="s">
        <v>9</v>
      </c>
      <c r="H609" s="126">
        <v>0</v>
      </c>
      <c r="I609" s="126">
        <v>0</v>
      </c>
      <c r="J609" s="108">
        <v>1600000000</v>
      </c>
      <c r="K609" s="108" t="str">
        <f t="shared" si="27"/>
        <v>1600000000</v>
      </c>
      <c r="L609" s="303" t="str">
        <f t="shared" si="28"/>
        <v>60607091600000000000</v>
      </c>
      <c r="M609" s="132" t="str">
        <f>INDEX('реш СГД № 265'!$A:$N,MATCH('БА расх 2019-2020'!$L609,'реш СГД № 265'!$N:$N,0),3)</f>
        <v>Муниципальная программа «Обеспечение гражданской обороны, пожарной безопасности, безопасности людей на водных объектах, организация деятельности аварийно-спасательных служб, защита населения и территории города Ставрополя от чрезвычайных ситуаций»</v>
      </c>
      <c r="N609" s="17">
        <f t="shared" si="29"/>
        <v>1</v>
      </c>
    </row>
    <row r="610" spans="1:14" s="17" customFormat="1" ht="31.5">
      <c r="A610" s="14"/>
      <c r="B610" s="125" t="s">
        <v>422</v>
      </c>
      <c r="C610" s="109" t="s">
        <v>394</v>
      </c>
      <c r="D610" s="108" t="s">
        <v>229</v>
      </c>
      <c r="E610" s="108" t="s">
        <v>471</v>
      </c>
      <c r="F610" s="108" t="s">
        <v>423</v>
      </c>
      <c r="G610" s="108" t="s">
        <v>9</v>
      </c>
      <c r="H610" s="126">
        <v>0</v>
      </c>
      <c r="I610" s="126">
        <v>0</v>
      </c>
      <c r="J610" s="108">
        <v>1620000000</v>
      </c>
      <c r="K610" s="108" t="str">
        <f t="shared" si="27"/>
        <v>1620000000</v>
      </c>
      <c r="L610" s="303" t="str">
        <f t="shared" si="28"/>
        <v>60607091620000000000</v>
      </c>
      <c r="M610" s="132" t="str">
        <f>INDEX('реш СГД № 265'!$A:$N,MATCH('БА расх 2019-2020'!$L610,'реш СГД № 265'!$N:$N,0),3)</f>
        <v>Подпрограмма «Обеспечение пожарной безопасности в границах города Ставрополя»</v>
      </c>
      <c r="N610" s="17">
        <f t="shared" si="29"/>
        <v>1</v>
      </c>
    </row>
    <row r="611" spans="1:14" s="17" customFormat="1" ht="47.25">
      <c r="A611" s="14"/>
      <c r="B611" s="125" t="s">
        <v>424</v>
      </c>
      <c r="C611" s="109" t="s">
        <v>394</v>
      </c>
      <c r="D611" s="108" t="s">
        <v>229</v>
      </c>
      <c r="E611" s="108" t="s">
        <v>471</v>
      </c>
      <c r="F611" s="108" t="s">
        <v>425</v>
      </c>
      <c r="G611" s="108" t="s">
        <v>9</v>
      </c>
      <c r="H611" s="126">
        <v>0</v>
      </c>
      <c r="I611" s="126">
        <v>0</v>
      </c>
      <c r="J611" s="108">
        <v>1620200000</v>
      </c>
      <c r="K611" s="108" t="str">
        <f t="shared" si="27"/>
        <v>1620200000</v>
      </c>
      <c r="L611" s="303" t="str">
        <f t="shared" si="28"/>
        <v>60607091620200000000</v>
      </c>
      <c r="M611" s="132" t="str">
        <f>INDEX('реш СГД № 265'!$A:$N,MATCH('БА расх 2019-2020'!$L611,'реш СГД № 265'!$N:$N,0),3)</f>
        <v>Основное мероприятие «Выполнение противопожарных мероприятий в муниципальных учреждениях города Ставрополя»</v>
      </c>
      <c r="N611" s="17">
        <f t="shared" si="29"/>
        <v>1</v>
      </c>
    </row>
    <row r="612" spans="1:14" s="17" customFormat="1" ht="47.25">
      <c r="A612" s="14"/>
      <c r="B612" s="125" t="s">
        <v>426</v>
      </c>
      <c r="C612" s="109" t="s">
        <v>394</v>
      </c>
      <c r="D612" s="108" t="s">
        <v>229</v>
      </c>
      <c r="E612" s="108" t="s">
        <v>471</v>
      </c>
      <c r="F612" s="108" t="s">
        <v>427</v>
      </c>
      <c r="G612" s="108" t="s">
        <v>9</v>
      </c>
      <c r="H612" s="126">
        <v>0</v>
      </c>
      <c r="I612" s="126">
        <v>0</v>
      </c>
      <c r="J612" s="108">
        <v>1620220550</v>
      </c>
      <c r="K612" s="108" t="str">
        <f t="shared" si="27"/>
        <v>1620220550</v>
      </c>
      <c r="L612" s="303" t="str">
        <f t="shared" si="28"/>
        <v>60607091620220550000</v>
      </c>
      <c r="M612" s="132" t="str">
        <f>INDEX('реш СГД № 265'!$A:$N,MATCH('БА расх 2019-2020'!$L612,'реш СГД № 265'!$N:$N,0),3)</f>
        <v>Обеспечение пожарной безопасности в муниципальных учреждениях образования, культуры, физической культуры и спорта города Ставрополя</v>
      </c>
      <c r="N612" s="17">
        <f t="shared" si="29"/>
        <v>1</v>
      </c>
    </row>
    <row r="613" spans="1:14" s="17" customFormat="1" ht="15.75">
      <c r="A613" s="14"/>
      <c r="B613" s="132" t="s">
        <v>403</v>
      </c>
      <c r="C613" s="109" t="s">
        <v>394</v>
      </c>
      <c r="D613" s="108" t="s">
        <v>229</v>
      </c>
      <c r="E613" s="108" t="s">
        <v>471</v>
      </c>
      <c r="F613" s="108" t="s">
        <v>427</v>
      </c>
      <c r="G613" s="108" t="s">
        <v>404</v>
      </c>
      <c r="H613" s="126">
        <v>0</v>
      </c>
      <c r="I613" s="126">
        <v>0</v>
      </c>
      <c r="J613" s="108">
        <v>1620220550</v>
      </c>
      <c r="K613" s="108" t="str">
        <f t="shared" si="27"/>
        <v>1620220550</v>
      </c>
      <c r="L613" s="303" t="str">
        <f t="shared" si="28"/>
        <v>60607091620220550610</v>
      </c>
      <c r="M613" s="132" t="str">
        <f>INDEX('реш СГД № 265'!$A:$N,MATCH('БА расх 2019-2020'!$L613,'реш СГД № 265'!$N:$N,0),3)</f>
        <v>Субсидии бюджетным учреждениям</v>
      </c>
      <c r="N613" s="17">
        <f t="shared" si="29"/>
        <v>1</v>
      </c>
    </row>
    <row r="614" spans="1:14" s="24" customFormat="1" ht="15.75">
      <c r="A614" s="21"/>
      <c r="B614" s="127" t="s">
        <v>407</v>
      </c>
      <c r="C614" s="109" t="s">
        <v>394</v>
      </c>
      <c r="D614" s="108" t="s">
        <v>229</v>
      </c>
      <c r="E614" s="108" t="s">
        <v>471</v>
      </c>
      <c r="F614" s="108" t="s">
        <v>427</v>
      </c>
      <c r="G614" s="108" t="s">
        <v>408</v>
      </c>
      <c r="H614" s="126">
        <v>0</v>
      </c>
      <c r="I614" s="126">
        <v>0</v>
      </c>
      <c r="J614" s="108">
        <v>1620220550</v>
      </c>
      <c r="K614" s="108" t="str">
        <f t="shared" si="27"/>
        <v>1620220550</v>
      </c>
      <c r="L614" s="303" t="str">
        <f t="shared" si="28"/>
        <v>60607091620220550612</v>
      </c>
      <c r="M614" s="132"/>
      <c r="N614" s="17">
        <f t="shared" si="29"/>
        <v>0</v>
      </c>
    </row>
    <row r="615" spans="1:14" s="17" customFormat="1" ht="31.5">
      <c r="A615" s="14"/>
      <c r="B615" s="125" t="s">
        <v>479</v>
      </c>
      <c r="C615" s="109" t="s">
        <v>394</v>
      </c>
      <c r="D615" s="108" t="s">
        <v>229</v>
      </c>
      <c r="E615" s="108" t="s">
        <v>471</v>
      </c>
      <c r="F615" s="108" t="s">
        <v>480</v>
      </c>
      <c r="G615" s="108" t="s">
        <v>9</v>
      </c>
      <c r="H615" s="126">
        <v>0</v>
      </c>
      <c r="I615" s="126">
        <v>0</v>
      </c>
      <c r="J615" s="108">
        <v>7500000000</v>
      </c>
      <c r="K615" s="108" t="str">
        <f t="shared" si="27"/>
        <v>7500000000</v>
      </c>
      <c r="L615" s="303" t="str">
        <f t="shared" si="28"/>
        <v>60607097500000000000</v>
      </c>
      <c r="M615" s="132" t="str">
        <f>INDEX('реш СГД № 265'!$A:$N,MATCH('БА расх 2019-2020'!$L615,'реш СГД № 265'!$N:$N,0),3)</f>
        <v>Обеспечение деятельности комитета образования администрации города Ставрополя</v>
      </c>
      <c r="N615" s="17">
        <f t="shared" si="29"/>
        <v>1</v>
      </c>
    </row>
    <row r="616" spans="1:14" s="17" customFormat="1" ht="47.25">
      <c r="A616" s="14"/>
      <c r="B616" s="125" t="s">
        <v>481</v>
      </c>
      <c r="C616" s="109" t="s">
        <v>394</v>
      </c>
      <c r="D616" s="108" t="s">
        <v>229</v>
      </c>
      <c r="E616" s="108" t="s">
        <v>471</v>
      </c>
      <c r="F616" s="108" t="s">
        <v>482</v>
      </c>
      <c r="G616" s="108" t="s">
        <v>9</v>
      </c>
      <c r="H616" s="126">
        <v>0</v>
      </c>
      <c r="I616" s="126">
        <v>0</v>
      </c>
      <c r="J616" s="108">
        <v>7510000000</v>
      </c>
      <c r="K616" s="108" t="str">
        <f t="shared" si="27"/>
        <v>7510000000</v>
      </c>
      <c r="L616" s="303" t="str">
        <f t="shared" si="28"/>
        <v>60607097510000000000</v>
      </c>
      <c r="M616" s="132" t="str">
        <f>INDEX('реш СГД № 265'!$A:$N,MATCH('БА расх 2019-2020'!$L616,'реш СГД № 265'!$N:$N,0),3)</f>
        <v>Непрограммные расходы в рамках обеспечения деятельности комитета образования администрации города Ставрополя</v>
      </c>
      <c r="N616" s="17">
        <f t="shared" si="29"/>
        <v>1</v>
      </c>
    </row>
    <row r="617" spans="1:14" s="17" customFormat="1" ht="31.5">
      <c r="A617" s="14"/>
      <c r="B617" s="125" t="s">
        <v>18</v>
      </c>
      <c r="C617" s="109" t="s">
        <v>394</v>
      </c>
      <c r="D617" s="108" t="s">
        <v>229</v>
      </c>
      <c r="E617" s="108" t="s">
        <v>471</v>
      </c>
      <c r="F617" s="108" t="s">
        <v>483</v>
      </c>
      <c r="G617" s="108" t="s">
        <v>9</v>
      </c>
      <c r="H617" s="126">
        <v>0</v>
      </c>
      <c r="I617" s="126">
        <v>0</v>
      </c>
      <c r="J617" s="108">
        <v>7510010010</v>
      </c>
      <c r="K617" s="108" t="str">
        <f t="shared" si="27"/>
        <v>7510010010</v>
      </c>
      <c r="L617" s="303" t="str">
        <f t="shared" si="28"/>
        <v>60607097510010010000</v>
      </c>
      <c r="M617" s="132" t="str">
        <f>INDEX('реш СГД № 265'!$A:$N,MATCH('БА расх 2019-2020'!$L617,'реш СГД № 265'!$N:$N,0),3)</f>
        <v>Расходы на обеспечение функций органов местного самоуправления города Ставрополя</v>
      </c>
      <c r="N617" s="17">
        <f t="shared" si="29"/>
        <v>1</v>
      </c>
    </row>
    <row r="618" spans="1:14" s="17" customFormat="1" ht="31.5">
      <c r="A618" s="14"/>
      <c r="B618" s="125" t="s">
        <v>484</v>
      </c>
      <c r="C618" s="109" t="s">
        <v>394</v>
      </c>
      <c r="D618" s="108" t="s">
        <v>229</v>
      </c>
      <c r="E618" s="108" t="s">
        <v>471</v>
      </c>
      <c r="F618" s="108" t="s">
        <v>483</v>
      </c>
      <c r="G618" s="108" t="s">
        <v>21</v>
      </c>
      <c r="H618" s="126">
        <v>0</v>
      </c>
      <c r="I618" s="126">
        <v>0</v>
      </c>
      <c r="J618" s="108">
        <v>7510010010</v>
      </c>
      <c r="K618" s="108" t="str">
        <f t="shared" si="27"/>
        <v>7510010010</v>
      </c>
      <c r="L618" s="303" t="str">
        <f t="shared" si="28"/>
        <v>60607097510010010120</v>
      </c>
      <c r="M618" s="132" t="str">
        <f>INDEX('реш СГД № 265'!$A:$N,MATCH('БА расх 2019-2020'!$L618,'реш СГД № 265'!$N:$N,0),3)</f>
        <v>Расходы на выплаты персоналу  государственных (муниципальных) органов</v>
      </c>
      <c r="N618" s="17">
        <f t="shared" si="29"/>
        <v>1</v>
      </c>
    </row>
    <row r="619" spans="1:14" s="24" customFormat="1" ht="47.25">
      <c r="A619" s="21"/>
      <c r="B619" s="127" t="s">
        <v>22</v>
      </c>
      <c r="C619" s="109" t="s">
        <v>394</v>
      </c>
      <c r="D619" s="108" t="s">
        <v>229</v>
      </c>
      <c r="E619" s="108" t="s">
        <v>471</v>
      </c>
      <c r="F619" s="108" t="s">
        <v>483</v>
      </c>
      <c r="G619" s="108" t="s">
        <v>23</v>
      </c>
      <c r="H619" s="126">
        <v>0</v>
      </c>
      <c r="I619" s="126">
        <v>0</v>
      </c>
      <c r="J619" s="108">
        <v>7510010010</v>
      </c>
      <c r="K619" s="108" t="str">
        <f t="shared" si="27"/>
        <v>7510010010</v>
      </c>
      <c r="L619" s="303" t="str">
        <f t="shared" si="28"/>
        <v>60607097510010010122</v>
      </c>
      <c r="M619" s="132"/>
      <c r="N619" s="17">
        <f t="shared" si="29"/>
        <v>0</v>
      </c>
    </row>
    <row r="620" spans="1:14" s="24" customFormat="1" ht="63">
      <c r="A620" s="21"/>
      <c r="B620" s="127" t="s">
        <v>26</v>
      </c>
      <c r="C620" s="109" t="s">
        <v>394</v>
      </c>
      <c r="D620" s="108" t="s">
        <v>229</v>
      </c>
      <c r="E620" s="108" t="s">
        <v>471</v>
      </c>
      <c r="F620" s="108" t="s">
        <v>483</v>
      </c>
      <c r="G620" s="108" t="s">
        <v>27</v>
      </c>
      <c r="H620" s="126">
        <v>0</v>
      </c>
      <c r="I620" s="126">
        <v>0</v>
      </c>
      <c r="J620" s="108">
        <v>7510010010</v>
      </c>
      <c r="K620" s="108" t="str">
        <f t="shared" si="27"/>
        <v>7510010010</v>
      </c>
      <c r="L620" s="303" t="str">
        <f t="shared" si="28"/>
        <v>60607097510010010129</v>
      </c>
      <c r="M620" s="132"/>
      <c r="N620" s="17">
        <f t="shared" si="29"/>
        <v>0</v>
      </c>
    </row>
    <row r="621" spans="1:14" s="17" customFormat="1" ht="31.5">
      <c r="A621" s="14"/>
      <c r="B621" s="125" t="s">
        <v>28</v>
      </c>
      <c r="C621" s="109" t="s">
        <v>394</v>
      </c>
      <c r="D621" s="108" t="s">
        <v>229</v>
      </c>
      <c r="E621" s="108" t="s">
        <v>471</v>
      </c>
      <c r="F621" s="108" t="s">
        <v>483</v>
      </c>
      <c r="G621" s="108" t="s">
        <v>29</v>
      </c>
      <c r="H621" s="126">
        <v>0</v>
      </c>
      <c r="I621" s="126">
        <v>0</v>
      </c>
      <c r="J621" s="108">
        <v>7510010010</v>
      </c>
      <c r="K621" s="108" t="str">
        <f t="shared" si="27"/>
        <v>7510010010</v>
      </c>
      <c r="L621" s="303" t="str">
        <f t="shared" si="28"/>
        <v>60607097510010010240</v>
      </c>
      <c r="M621" s="132" t="str">
        <f>INDEX('реш СГД № 265'!$A:$N,MATCH('БА расх 2019-2020'!$L621,'реш СГД № 265'!$N:$N,0),3)</f>
        <v>Иные закупки товаров, работ и услуг для обеспечения государственных (муниципальных) нужд</v>
      </c>
      <c r="N621" s="17">
        <f t="shared" si="29"/>
        <v>1</v>
      </c>
    </row>
    <row r="622" spans="1:14" s="17" customFormat="1" ht="15.75">
      <c r="A622" s="14"/>
      <c r="B622" s="125" t="s">
        <v>30</v>
      </c>
      <c r="C622" s="109" t="s">
        <v>394</v>
      </c>
      <c r="D622" s="108" t="s">
        <v>229</v>
      </c>
      <c r="E622" s="108" t="s">
        <v>471</v>
      </c>
      <c r="F622" s="108" t="s">
        <v>483</v>
      </c>
      <c r="G622" s="108" t="s">
        <v>31</v>
      </c>
      <c r="H622" s="126">
        <v>0</v>
      </c>
      <c r="I622" s="126">
        <v>0</v>
      </c>
      <c r="J622" s="108">
        <v>7510010010</v>
      </c>
      <c r="K622" s="108" t="str">
        <f t="shared" si="27"/>
        <v>7510010010</v>
      </c>
      <c r="L622" s="303" t="str">
        <f t="shared" si="28"/>
        <v>60607097510010010244</v>
      </c>
      <c r="M622" s="132"/>
      <c r="N622" s="17">
        <f t="shared" si="29"/>
        <v>0</v>
      </c>
    </row>
    <row r="623" spans="1:14" s="17" customFormat="1" ht="15.75">
      <c r="A623" s="14"/>
      <c r="B623" s="125" t="s">
        <v>32</v>
      </c>
      <c r="C623" s="109" t="s">
        <v>394</v>
      </c>
      <c r="D623" s="108" t="s">
        <v>229</v>
      </c>
      <c r="E623" s="108" t="s">
        <v>471</v>
      </c>
      <c r="F623" s="108" t="s">
        <v>483</v>
      </c>
      <c r="G623" s="108" t="s">
        <v>33</v>
      </c>
      <c r="H623" s="126">
        <v>0</v>
      </c>
      <c r="I623" s="126">
        <v>0</v>
      </c>
      <c r="J623" s="108">
        <v>7510010010</v>
      </c>
      <c r="K623" s="108" t="str">
        <f t="shared" si="27"/>
        <v>7510010010</v>
      </c>
      <c r="L623" s="303" t="str">
        <f t="shared" si="28"/>
        <v>60607097510010010850</v>
      </c>
      <c r="M623" s="132" t="str">
        <f>INDEX('реш СГД № 265'!$A:$N,MATCH('БА расх 2019-2020'!$L623,'реш СГД № 265'!$N:$N,0),3)</f>
        <v>Уплата налогов, сборов и иных платежей</v>
      </c>
      <c r="N623" s="17">
        <f t="shared" si="29"/>
        <v>1</v>
      </c>
    </row>
    <row r="624" spans="1:14" s="24" customFormat="1" ht="31.5">
      <c r="A624" s="21"/>
      <c r="B624" s="127" t="s">
        <v>34</v>
      </c>
      <c r="C624" s="109" t="s">
        <v>394</v>
      </c>
      <c r="D624" s="108" t="s">
        <v>229</v>
      </c>
      <c r="E624" s="108" t="s">
        <v>471</v>
      </c>
      <c r="F624" s="108" t="s">
        <v>483</v>
      </c>
      <c r="G624" s="108" t="s">
        <v>35</v>
      </c>
      <c r="H624" s="126">
        <v>0</v>
      </c>
      <c r="I624" s="126">
        <v>0</v>
      </c>
      <c r="J624" s="108">
        <v>7510010010</v>
      </c>
      <c r="K624" s="108" t="str">
        <f t="shared" si="27"/>
        <v>7510010010</v>
      </c>
      <c r="L624" s="303" t="str">
        <f t="shared" si="28"/>
        <v>60607097510010010851</v>
      </c>
      <c r="M624" s="132"/>
      <c r="N624" s="17">
        <f t="shared" si="29"/>
        <v>0</v>
      </c>
    </row>
    <row r="625" spans="1:14" s="24" customFormat="1" ht="15.75">
      <c r="A625" s="21"/>
      <c r="B625" s="127" t="s">
        <v>36</v>
      </c>
      <c r="C625" s="109" t="s">
        <v>394</v>
      </c>
      <c r="D625" s="108" t="s">
        <v>229</v>
      </c>
      <c r="E625" s="108" t="s">
        <v>471</v>
      </c>
      <c r="F625" s="108" t="s">
        <v>483</v>
      </c>
      <c r="G625" s="108" t="s">
        <v>37</v>
      </c>
      <c r="H625" s="126">
        <v>0</v>
      </c>
      <c r="I625" s="126">
        <v>0</v>
      </c>
      <c r="J625" s="108">
        <v>7510010010</v>
      </c>
      <c r="K625" s="108" t="str">
        <f t="shared" si="27"/>
        <v>7510010010</v>
      </c>
      <c r="L625" s="303" t="str">
        <f t="shared" si="28"/>
        <v>60607097510010010852</v>
      </c>
      <c r="M625" s="132"/>
      <c r="N625" s="17">
        <f t="shared" si="29"/>
        <v>0</v>
      </c>
    </row>
    <row r="626" spans="1:14" s="24" customFormat="1" ht="15.75">
      <c r="A626" s="21"/>
      <c r="B626" s="127" t="s">
        <v>77</v>
      </c>
      <c r="C626" s="109" t="s">
        <v>394</v>
      </c>
      <c r="D626" s="108" t="s">
        <v>229</v>
      </c>
      <c r="E626" s="108" t="s">
        <v>471</v>
      </c>
      <c r="F626" s="108" t="s">
        <v>483</v>
      </c>
      <c r="G626" s="108" t="s">
        <v>78</v>
      </c>
      <c r="H626" s="126">
        <v>0</v>
      </c>
      <c r="I626" s="126">
        <v>0</v>
      </c>
      <c r="J626" s="108">
        <v>7510010010</v>
      </c>
      <c r="K626" s="108" t="str">
        <f t="shared" si="27"/>
        <v>7510010010</v>
      </c>
      <c r="L626" s="303" t="str">
        <f t="shared" si="28"/>
        <v>60607097510010010853</v>
      </c>
      <c r="M626" s="132"/>
      <c r="N626" s="17">
        <f t="shared" si="29"/>
        <v>0</v>
      </c>
    </row>
    <row r="627" spans="1:14" s="17" customFormat="1" ht="31.5">
      <c r="A627" s="14"/>
      <c r="B627" s="125" t="s">
        <v>38</v>
      </c>
      <c r="C627" s="109" t="s">
        <v>394</v>
      </c>
      <c r="D627" s="108" t="s">
        <v>229</v>
      </c>
      <c r="E627" s="108" t="s">
        <v>471</v>
      </c>
      <c r="F627" s="108" t="s">
        <v>485</v>
      </c>
      <c r="G627" s="108" t="s">
        <v>9</v>
      </c>
      <c r="H627" s="126">
        <v>0</v>
      </c>
      <c r="I627" s="126">
        <v>0</v>
      </c>
      <c r="J627" s="108">
        <v>7510010020</v>
      </c>
      <c r="K627" s="108" t="str">
        <f t="shared" si="27"/>
        <v>7510010020</v>
      </c>
      <c r="L627" s="303" t="str">
        <f t="shared" si="28"/>
        <v>60607097510010020000</v>
      </c>
      <c r="M627" s="132" t="str">
        <f>INDEX('реш СГД № 265'!$A:$N,MATCH('БА расх 2019-2020'!$L627,'реш СГД № 265'!$N:$N,0),3)</f>
        <v>Расходы на выплаты по оплате труда работников органов местного самоуправления города Ставрополя</v>
      </c>
      <c r="N627" s="17">
        <f t="shared" si="29"/>
        <v>1</v>
      </c>
    </row>
    <row r="628" spans="1:14" s="17" customFormat="1" ht="31.5">
      <c r="A628" s="14"/>
      <c r="B628" s="125" t="s">
        <v>484</v>
      </c>
      <c r="C628" s="109" t="s">
        <v>394</v>
      </c>
      <c r="D628" s="108" t="s">
        <v>229</v>
      </c>
      <c r="E628" s="108" t="s">
        <v>471</v>
      </c>
      <c r="F628" s="108" t="s">
        <v>485</v>
      </c>
      <c r="G628" s="108" t="s">
        <v>21</v>
      </c>
      <c r="H628" s="126">
        <v>0</v>
      </c>
      <c r="I628" s="126">
        <v>0</v>
      </c>
      <c r="J628" s="108">
        <v>7510010020</v>
      </c>
      <c r="K628" s="108" t="str">
        <f t="shared" si="27"/>
        <v>7510010020</v>
      </c>
      <c r="L628" s="303" t="str">
        <f t="shared" si="28"/>
        <v>60607097510010020120</v>
      </c>
      <c r="M628" s="132" t="str">
        <f>INDEX('реш СГД № 265'!$A:$N,MATCH('БА расх 2019-2020'!$L628,'реш СГД № 265'!$N:$N,0),3)</f>
        <v>Расходы на выплаты персоналу  государственных (муниципальных) органов</v>
      </c>
      <c r="N628" s="17">
        <f t="shared" si="29"/>
        <v>1</v>
      </c>
    </row>
    <row r="629" spans="1:14" s="24" customFormat="1" ht="31.5">
      <c r="A629" s="21"/>
      <c r="B629" s="127" t="s">
        <v>40</v>
      </c>
      <c r="C629" s="109" t="s">
        <v>394</v>
      </c>
      <c r="D629" s="108" t="s">
        <v>229</v>
      </c>
      <c r="E629" s="108" t="s">
        <v>471</v>
      </c>
      <c r="F629" s="108" t="s">
        <v>485</v>
      </c>
      <c r="G629" s="108" t="s">
        <v>41</v>
      </c>
      <c r="H629" s="126">
        <v>0</v>
      </c>
      <c r="I629" s="126">
        <v>0</v>
      </c>
      <c r="J629" s="108">
        <v>7510010020</v>
      </c>
      <c r="K629" s="108" t="str">
        <f t="shared" si="27"/>
        <v>7510010020</v>
      </c>
      <c r="L629" s="303" t="str">
        <f t="shared" si="28"/>
        <v>60607097510010020121</v>
      </c>
      <c r="M629" s="132"/>
      <c r="N629" s="17">
        <f t="shared" si="29"/>
        <v>0</v>
      </c>
    </row>
    <row r="630" spans="1:14" s="24" customFormat="1" ht="63">
      <c r="A630" s="21"/>
      <c r="B630" s="127" t="s">
        <v>26</v>
      </c>
      <c r="C630" s="109" t="s">
        <v>394</v>
      </c>
      <c r="D630" s="108" t="s">
        <v>229</v>
      </c>
      <c r="E630" s="108" t="s">
        <v>471</v>
      </c>
      <c r="F630" s="108" t="s">
        <v>485</v>
      </c>
      <c r="G630" s="108" t="s">
        <v>27</v>
      </c>
      <c r="H630" s="126">
        <v>0</v>
      </c>
      <c r="I630" s="126">
        <v>0</v>
      </c>
      <c r="J630" s="108">
        <v>7510010020</v>
      </c>
      <c r="K630" s="108" t="str">
        <f t="shared" si="27"/>
        <v>7510010020</v>
      </c>
      <c r="L630" s="303" t="str">
        <f t="shared" si="28"/>
        <v>60607097510010020129</v>
      </c>
      <c r="M630" s="132"/>
      <c r="N630" s="17">
        <f t="shared" si="29"/>
        <v>0</v>
      </c>
    </row>
    <row r="631" spans="1:14" s="17" customFormat="1" ht="31.5">
      <c r="A631" s="14"/>
      <c r="B631" s="401" t="s">
        <v>136</v>
      </c>
      <c r="C631" s="109" t="s">
        <v>394</v>
      </c>
      <c r="D631" s="108" t="s">
        <v>229</v>
      </c>
      <c r="E631" s="108" t="s">
        <v>471</v>
      </c>
      <c r="F631" s="108" t="s">
        <v>486</v>
      </c>
      <c r="G631" s="108" t="s">
        <v>9</v>
      </c>
      <c r="H631" s="126">
        <v>0</v>
      </c>
      <c r="I631" s="126">
        <v>0</v>
      </c>
      <c r="J631" s="108">
        <v>7510011010</v>
      </c>
      <c r="K631" s="108" t="str">
        <f t="shared" si="27"/>
        <v>7510011010</v>
      </c>
      <c r="L631" s="303" t="str">
        <f t="shared" si="28"/>
        <v>60607097510011010000</v>
      </c>
      <c r="M631" s="132" t="str">
        <f>INDEX('реш СГД № 265'!$A:$N,MATCH('БА расх 2019-2020'!$L631,'реш СГД № 265'!$N:$N,0),3)</f>
        <v>Расходы на обеспечение деятельности (оказание услуг) муниципальных учреждений</v>
      </c>
      <c r="N631" s="17">
        <f t="shared" si="29"/>
        <v>1</v>
      </c>
    </row>
    <row r="632" spans="1:14" s="17" customFormat="1" ht="15.75">
      <c r="A632" s="14"/>
      <c r="B632" s="427" t="s">
        <v>138</v>
      </c>
      <c r="C632" s="109" t="s">
        <v>394</v>
      </c>
      <c r="D632" s="108" t="s">
        <v>229</v>
      </c>
      <c r="E632" s="108" t="s">
        <v>471</v>
      </c>
      <c r="F632" s="108" t="s">
        <v>486</v>
      </c>
      <c r="G632" s="108" t="s">
        <v>139</v>
      </c>
      <c r="H632" s="126">
        <v>0</v>
      </c>
      <c r="I632" s="126">
        <v>0</v>
      </c>
      <c r="J632" s="108">
        <v>7510011010</v>
      </c>
      <c r="K632" s="108" t="str">
        <f t="shared" si="27"/>
        <v>7510011010</v>
      </c>
      <c r="L632" s="303" t="str">
        <f t="shared" si="28"/>
        <v>60607097510011010110</v>
      </c>
      <c r="M632" s="132" t="str">
        <f>INDEX('реш СГД № 265'!$A:$N,MATCH('БА расх 2019-2020'!$L632,'реш СГД № 265'!$N:$N,0),3)</f>
        <v>Расходы на выплаты персоналу казенных учреждений</v>
      </c>
      <c r="N632" s="17">
        <f t="shared" si="29"/>
        <v>1</v>
      </c>
    </row>
    <row r="633" spans="1:14" s="24" customFormat="1" ht="15.75">
      <c r="A633" s="21"/>
      <c r="B633" s="127" t="s">
        <v>140</v>
      </c>
      <c r="C633" s="109" t="s">
        <v>394</v>
      </c>
      <c r="D633" s="108" t="s">
        <v>229</v>
      </c>
      <c r="E633" s="108" t="s">
        <v>471</v>
      </c>
      <c r="F633" s="108" t="s">
        <v>486</v>
      </c>
      <c r="G633" s="108" t="s">
        <v>141</v>
      </c>
      <c r="H633" s="126">
        <v>0</v>
      </c>
      <c r="I633" s="126">
        <v>0</v>
      </c>
      <c r="J633" s="108">
        <v>7510011010</v>
      </c>
      <c r="K633" s="108" t="str">
        <f t="shared" si="27"/>
        <v>7510011010</v>
      </c>
      <c r="L633" s="303" t="str">
        <f t="shared" si="28"/>
        <v>60607097510011010111</v>
      </c>
      <c r="M633" s="132"/>
      <c r="N633" s="17">
        <f t="shared" si="29"/>
        <v>0</v>
      </c>
    </row>
    <row r="634" spans="1:14" s="24" customFormat="1" ht="47.25">
      <c r="A634" s="21"/>
      <c r="B634" s="127" t="s">
        <v>487</v>
      </c>
      <c r="C634" s="109" t="s">
        <v>394</v>
      </c>
      <c r="D634" s="108" t="s">
        <v>229</v>
      </c>
      <c r="E634" s="108" t="s">
        <v>471</v>
      </c>
      <c r="F634" s="108" t="s">
        <v>486</v>
      </c>
      <c r="G634" s="108" t="s">
        <v>145</v>
      </c>
      <c r="H634" s="126">
        <v>0</v>
      </c>
      <c r="I634" s="126">
        <v>0</v>
      </c>
      <c r="J634" s="108">
        <v>7510011010</v>
      </c>
      <c r="K634" s="108" t="str">
        <f t="shared" si="27"/>
        <v>7510011010</v>
      </c>
      <c r="L634" s="303" t="str">
        <f t="shared" si="28"/>
        <v>60607097510011010119</v>
      </c>
      <c r="M634" s="132"/>
      <c r="N634" s="17">
        <f t="shared" si="29"/>
        <v>0</v>
      </c>
    </row>
    <row r="635" spans="1:14" s="17" customFormat="1" ht="31.5">
      <c r="A635" s="14"/>
      <c r="B635" s="125" t="s">
        <v>28</v>
      </c>
      <c r="C635" s="109" t="s">
        <v>394</v>
      </c>
      <c r="D635" s="108" t="s">
        <v>229</v>
      </c>
      <c r="E635" s="108" t="s">
        <v>471</v>
      </c>
      <c r="F635" s="108" t="s">
        <v>486</v>
      </c>
      <c r="G635" s="108" t="s">
        <v>29</v>
      </c>
      <c r="H635" s="126">
        <v>0</v>
      </c>
      <c r="I635" s="126">
        <v>0</v>
      </c>
      <c r="J635" s="108">
        <v>7510011010</v>
      </c>
      <c r="K635" s="108" t="str">
        <f t="shared" si="27"/>
        <v>7510011010</v>
      </c>
      <c r="L635" s="303" t="str">
        <f t="shared" si="28"/>
        <v>60607097510011010240</v>
      </c>
      <c r="M635" s="132" t="str">
        <f>INDEX('реш СГД № 265'!$A:$N,MATCH('БА расх 2019-2020'!$L635,'реш СГД № 265'!$N:$N,0),3)</f>
        <v>Иные закупки товаров, работ и услуг для обеспечения государственных (муниципальных) нужд</v>
      </c>
      <c r="N635" s="17">
        <f t="shared" si="29"/>
        <v>1</v>
      </c>
    </row>
    <row r="636" spans="1:14" s="17" customFormat="1" ht="15.75">
      <c r="A636" s="14"/>
      <c r="B636" s="125" t="s">
        <v>30</v>
      </c>
      <c r="C636" s="109" t="s">
        <v>394</v>
      </c>
      <c r="D636" s="108" t="s">
        <v>229</v>
      </c>
      <c r="E636" s="108" t="s">
        <v>471</v>
      </c>
      <c r="F636" s="108" t="s">
        <v>486</v>
      </c>
      <c r="G636" s="108" t="s">
        <v>31</v>
      </c>
      <c r="H636" s="126">
        <v>0</v>
      </c>
      <c r="I636" s="126">
        <v>0</v>
      </c>
      <c r="J636" s="108">
        <v>7510011010</v>
      </c>
      <c r="K636" s="108" t="str">
        <f t="shared" si="27"/>
        <v>7510011010</v>
      </c>
      <c r="L636" s="303" t="str">
        <f t="shared" si="28"/>
        <v>60607097510011010244</v>
      </c>
      <c r="M636" s="132"/>
      <c r="N636" s="17">
        <f t="shared" si="29"/>
        <v>0</v>
      </c>
    </row>
    <row r="637" spans="1:14" s="17" customFormat="1" ht="15.75">
      <c r="A637" s="14"/>
      <c r="B637" s="125" t="s">
        <v>32</v>
      </c>
      <c r="C637" s="109" t="s">
        <v>394</v>
      </c>
      <c r="D637" s="108" t="s">
        <v>229</v>
      </c>
      <c r="E637" s="108" t="s">
        <v>471</v>
      </c>
      <c r="F637" s="108" t="s">
        <v>486</v>
      </c>
      <c r="G637" s="108" t="s">
        <v>33</v>
      </c>
      <c r="H637" s="126">
        <v>0</v>
      </c>
      <c r="I637" s="126">
        <v>0</v>
      </c>
      <c r="J637" s="108">
        <v>7510011010</v>
      </c>
      <c r="K637" s="108" t="str">
        <f t="shared" si="27"/>
        <v>7510011010</v>
      </c>
      <c r="L637" s="303" t="str">
        <f t="shared" si="28"/>
        <v>60607097510011010850</v>
      </c>
      <c r="M637" s="132"/>
    </row>
    <row r="638" spans="1:14" s="17" customFormat="1" ht="31.5">
      <c r="A638" s="14"/>
      <c r="B638" s="127" t="s">
        <v>34</v>
      </c>
      <c r="C638" s="109" t="s">
        <v>394</v>
      </c>
      <c r="D638" s="108" t="s">
        <v>229</v>
      </c>
      <c r="E638" s="108" t="s">
        <v>471</v>
      </c>
      <c r="F638" s="108" t="s">
        <v>486</v>
      </c>
      <c r="G638" s="108" t="s">
        <v>35</v>
      </c>
      <c r="H638" s="126">
        <v>0</v>
      </c>
      <c r="I638" s="126">
        <v>0</v>
      </c>
      <c r="J638" s="108">
        <v>7510011010</v>
      </c>
      <c r="K638" s="108" t="str">
        <f t="shared" si="27"/>
        <v>7510011010</v>
      </c>
      <c r="L638" s="303" t="str">
        <f t="shared" si="28"/>
        <v>60607097510011010851</v>
      </c>
      <c r="M638" s="132"/>
    </row>
    <row r="639" spans="1:14" s="17" customFormat="1" ht="63">
      <c r="A639" s="14" t="s">
        <v>80</v>
      </c>
      <c r="B639" s="125" t="s">
        <v>488</v>
      </c>
      <c r="C639" s="109" t="s">
        <v>394</v>
      </c>
      <c r="D639" s="108" t="s">
        <v>229</v>
      </c>
      <c r="E639" s="108" t="s">
        <v>471</v>
      </c>
      <c r="F639" s="108" t="s">
        <v>489</v>
      </c>
      <c r="G639" s="108" t="s">
        <v>9</v>
      </c>
      <c r="H639" s="126">
        <v>0</v>
      </c>
      <c r="I639" s="126">
        <v>0</v>
      </c>
      <c r="J639" s="108">
        <v>7510076200</v>
      </c>
      <c r="K639" s="108" t="str">
        <f t="shared" si="27"/>
        <v>7510076200</v>
      </c>
      <c r="L639" s="303" t="str">
        <f t="shared" si="28"/>
        <v>60607097510076200000</v>
      </c>
      <c r="M639" s="132" t="str">
        <f>INDEX('реш СГД № 265'!$A:$N,MATCH('БА расх 2019-2020'!$L639,'реш СГД № 265'!$N:$N,0),3)</f>
        <v>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v>
      </c>
      <c r="N639" s="17">
        <f t="shared" si="29"/>
        <v>1</v>
      </c>
    </row>
    <row r="640" spans="1:14" s="17" customFormat="1" ht="31.5">
      <c r="A640" s="14"/>
      <c r="B640" s="125" t="s">
        <v>484</v>
      </c>
      <c r="C640" s="109" t="s">
        <v>394</v>
      </c>
      <c r="D640" s="108" t="s">
        <v>229</v>
      </c>
      <c r="E640" s="108" t="s">
        <v>471</v>
      </c>
      <c r="F640" s="108" t="s">
        <v>489</v>
      </c>
      <c r="G640" s="108" t="s">
        <v>21</v>
      </c>
      <c r="H640" s="126">
        <v>0</v>
      </c>
      <c r="I640" s="126">
        <v>0</v>
      </c>
      <c r="J640" s="108">
        <v>7510076200</v>
      </c>
      <c r="K640" s="108" t="str">
        <f t="shared" si="27"/>
        <v>7510076200</v>
      </c>
      <c r="L640" s="303" t="str">
        <f t="shared" si="28"/>
        <v>60607097510076200120</v>
      </c>
      <c r="M640" s="132" t="str">
        <f>INDEX('реш СГД № 265'!$A:$N,MATCH('БА расх 2019-2020'!$L640,'реш СГД № 265'!$N:$N,0),3)</f>
        <v>Расходы на выплаты персоналу  государственных (муниципальных) органов</v>
      </c>
      <c r="N640" s="17">
        <f t="shared" si="29"/>
        <v>1</v>
      </c>
    </row>
    <row r="641" spans="1:14" s="17" customFormat="1" ht="31.5">
      <c r="A641" s="14"/>
      <c r="B641" s="127" t="s">
        <v>40</v>
      </c>
      <c r="C641" s="109" t="s">
        <v>394</v>
      </c>
      <c r="D641" s="108" t="s">
        <v>229</v>
      </c>
      <c r="E641" s="108" t="s">
        <v>471</v>
      </c>
      <c r="F641" s="108" t="s">
        <v>489</v>
      </c>
      <c r="G641" s="108" t="s">
        <v>41</v>
      </c>
      <c r="H641" s="126">
        <v>0</v>
      </c>
      <c r="I641" s="126">
        <v>0</v>
      </c>
      <c r="J641" s="108">
        <v>7510076200</v>
      </c>
      <c r="K641" s="108" t="str">
        <f t="shared" si="27"/>
        <v>7510076200</v>
      </c>
      <c r="L641" s="303" t="str">
        <f t="shared" si="28"/>
        <v>60607097510076200121</v>
      </c>
      <c r="M641" s="132"/>
      <c r="N641" s="17">
        <f t="shared" si="29"/>
        <v>0</v>
      </c>
    </row>
    <row r="642" spans="1:14" s="24" customFormat="1" ht="47.25">
      <c r="A642" s="21"/>
      <c r="B642" s="127" t="s">
        <v>22</v>
      </c>
      <c r="C642" s="109" t="s">
        <v>394</v>
      </c>
      <c r="D642" s="108" t="s">
        <v>229</v>
      </c>
      <c r="E642" s="108" t="s">
        <v>471</v>
      </c>
      <c r="F642" s="108" t="s">
        <v>489</v>
      </c>
      <c r="G642" s="108" t="s">
        <v>23</v>
      </c>
      <c r="H642" s="126">
        <v>0</v>
      </c>
      <c r="I642" s="126">
        <v>0</v>
      </c>
      <c r="J642" s="108">
        <v>7510076200</v>
      </c>
      <c r="K642" s="108" t="str">
        <f t="shared" si="27"/>
        <v>7510076200</v>
      </c>
      <c r="L642" s="303" t="str">
        <f t="shared" si="28"/>
        <v>60607097510076200122</v>
      </c>
      <c r="M642" s="132"/>
      <c r="N642" s="17">
        <f t="shared" si="29"/>
        <v>0</v>
      </c>
    </row>
    <row r="643" spans="1:14" s="24" customFormat="1" ht="63">
      <c r="A643" s="21"/>
      <c r="B643" s="127" t="s">
        <v>26</v>
      </c>
      <c r="C643" s="109" t="s">
        <v>394</v>
      </c>
      <c r="D643" s="108" t="s">
        <v>229</v>
      </c>
      <c r="E643" s="108" t="s">
        <v>471</v>
      </c>
      <c r="F643" s="108" t="s">
        <v>489</v>
      </c>
      <c r="G643" s="108" t="s">
        <v>27</v>
      </c>
      <c r="H643" s="126">
        <v>0</v>
      </c>
      <c r="I643" s="126">
        <v>0</v>
      </c>
      <c r="J643" s="108">
        <v>7510076200</v>
      </c>
      <c r="K643" s="108" t="str">
        <f t="shared" si="27"/>
        <v>7510076200</v>
      </c>
      <c r="L643" s="303" t="str">
        <f t="shared" si="28"/>
        <v>60607097510076200129</v>
      </c>
      <c r="M643" s="132"/>
      <c r="N643" s="17">
        <f t="shared" si="29"/>
        <v>0</v>
      </c>
    </row>
    <row r="644" spans="1:14" s="17" customFormat="1" ht="31.5">
      <c r="A644" s="14"/>
      <c r="B644" s="125" t="s">
        <v>28</v>
      </c>
      <c r="C644" s="109" t="s">
        <v>394</v>
      </c>
      <c r="D644" s="108" t="s">
        <v>229</v>
      </c>
      <c r="E644" s="108" t="s">
        <v>471</v>
      </c>
      <c r="F644" s="108" t="s">
        <v>489</v>
      </c>
      <c r="G644" s="108" t="s">
        <v>29</v>
      </c>
      <c r="H644" s="126">
        <v>0</v>
      </c>
      <c r="I644" s="126">
        <v>0</v>
      </c>
      <c r="J644" s="108">
        <v>7510076200</v>
      </c>
      <c r="K644" s="108" t="str">
        <f t="shared" si="27"/>
        <v>7510076200</v>
      </c>
      <c r="L644" s="303" t="str">
        <f t="shared" si="28"/>
        <v>60607097510076200240</v>
      </c>
      <c r="M644" s="132" t="str">
        <f>INDEX('реш СГД № 265'!$A:$N,MATCH('БА расх 2019-2020'!$L644,'реш СГД № 265'!$N:$N,0),3)</f>
        <v>Иные закупки товаров, работ и услуг для обеспечения государственных (муниципальных) нужд</v>
      </c>
      <c r="N644" s="17">
        <f t="shared" si="29"/>
        <v>1</v>
      </c>
    </row>
    <row r="645" spans="1:14" s="17" customFormat="1" ht="15.75">
      <c r="A645" s="14"/>
      <c r="B645" s="125" t="s">
        <v>30</v>
      </c>
      <c r="C645" s="109" t="s">
        <v>394</v>
      </c>
      <c r="D645" s="108" t="s">
        <v>229</v>
      </c>
      <c r="E645" s="108" t="s">
        <v>471</v>
      </c>
      <c r="F645" s="108" t="s">
        <v>489</v>
      </c>
      <c r="G645" s="108" t="s">
        <v>31</v>
      </c>
      <c r="H645" s="126">
        <v>0</v>
      </c>
      <c r="I645" s="126">
        <v>0</v>
      </c>
      <c r="J645" s="108">
        <v>7510076200</v>
      </c>
      <c r="K645" s="108" t="str">
        <f t="shared" si="27"/>
        <v>7510076200</v>
      </c>
      <c r="L645" s="303" t="str">
        <f t="shared" si="28"/>
        <v>60607097510076200244</v>
      </c>
      <c r="M645" s="132"/>
      <c r="N645" s="17">
        <f t="shared" si="29"/>
        <v>0</v>
      </c>
    </row>
    <row r="646" spans="1:14" s="17" customFormat="1" ht="15.75">
      <c r="A646" s="14"/>
      <c r="B646" s="117" t="s">
        <v>316</v>
      </c>
      <c r="C646" s="118" t="s">
        <v>394</v>
      </c>
      <c r="D646" s="119" t="s">
        <v>317</v>
      </c>
      <c r="E646" s="119" t="s">
        <v>7</v>
      </c>
      <c r="F646" s="119" t="s">
        <v>8</v>
      </c>
      <c r="G646" s="119" t="s">
        <v>9</v>
      </c>
      <c r="H646" s="120">
        <v>0</v>
      </c>
      <c r="I646" s="120">
        <v>0</v>
      </c>
      <c r="J646" s="119">
        <v>0</v>
      </c>
      <c r="K646" s="108" t="str">
        <f t="shared" si="27"/>
        <v>0000000000</v>
      </c>
      <c r="L646" s="303" t="str">
        <f t="shared" si="28"/>
        <v>60610000000000000000</v>
      </c>
      <c r="M646" s="132" t="str">
        <f>INDEX('реш СГД № 265'!$A:$N,MATCH('БА расх 2019-2020'!$L646,'реш СГД № 265'!$N:$N,0),3)</f>
        <v>Социальная политика</v>
      </c>
      <c r="N646" s="17">
        <f t="shared" si="29"/>
        <v>1</v>
      </c>
    </row>
    <row r="647" spans="1:14" s="17" customFormat="1" ht="15.75">
      <c r="A647" s="14"/>
      <c r="B647" s="121" t="s">
        <v>490</v>
      </c>
      <c r="C647" s="122" t="s">
        <v>394</v>
      </c>
      <c r="D647" s="123" t="s">
        <v>317</v>
      </c>
      <c r="E647" s="123" t="s">
        <v>73</v>
      </c>
      <c r="F647" s="123" t="s">
        <v>8</v>
      </c>
      <c r="G647" s="123" t="s">
        <v>9</v>
      </c>
      <c r="H647" s="124">
        <v>0</v>
      </c>
      <c r="I647" s="124">
        <v>0</v>
      </c>
      <c r="J647" s="123">
        <v>0</v>
      </c>
      <c r="K647" s="108" t="str">
        <f t="shared" si="27"/>
        <v>0000000000</v>
      </c>
      <c r="L647" s="303" t="str">
        <f t="shared" si="28"/>
        <v>60610040000000000000</v>
      </c>
      <c r="M647" s="132" t="str">
        <f>INDEX('реш СГД № 265'!$A:$N,MATCH('БА расх 2019-2020'!$L647,'реш СГД № 265'!$N:$N,0),3)</f>
        <v>Охрана семьи и детства</v>
      </c>
      <c r="N647" s="17">
        <f t="shared" si="29"/>
        <v>1</v>
      </c>
    </row>
    <row r="648" spans="1:14" s="17" customFormat="1" ht="31.5">
      <c r="A648" s="14"/>
      <c r="B648" s="132" t="s">
        <v>396</v>
      </c>
      <c r="C648" s="109" t="s">
        <v>394</v>
      </c>
      <c r="D648" s="108" t="s">
        <v>317</v>
      </c>
      <c r="E648" s="108" t="s">
        <v>73</v>
      </c>
      <c r="F648" s="108" t="s">
        <v>397</v>
      </c>
      <c r="G648" s="108" t="s">
        <v>9</v>
      </c>
      <c r="H648" s="126">
        <v>0</v>
      </c>
      <c r="I648" s="126">
        <v>0</v>
      </c>
      <c r="J648" s="108">
        <v>100000000</v>
      </c>
      <c r="K648" s="108" t="str">
        <f t="shared" si="27"/>
        <v>0100000000</v>
      </c>
      <c r="L648" s="303" t="str">
        <f t="shared" si="28"/>
        <v>60610040100000000000</v>
      </c>
      <c r="M648" s="132" t="str">
        <f>INDEX('реш СГД № 265'!$A:$N,MATCH('БА расх 2019-2020'!$L648,'реш СГД № 265'!$N:$N,0),3)</f>
        <v>Муниципальная программа «Развитие образования в городе Ставрополе»</v>
      </c>
      <c r="N648" s="17">
        <f t="shared" si="29"/>
        <v>1</v>
      </c>
    </row>
    <row r="649" spans="1:14" s="17" customFormat="1" ht="31.5">
      <c r="A649" s="14"/>
      <c r="B649" s="132" t="s">
        <v>398</v>
      </c>
      <c r="C649" s="109" t="s">
        <v>394</v>
      </c>
      <c r="D649" s="108" t="s">
        <v>317</v>
      </c>
      <c r="E649" s="108" t="s">
        <v>73</v>
      </c>
      <c r="F649" s="108" t="s">
        <v>399</v>
      </c>
      <c r="G649" s="108" t="s">
        <v>9</v>
      </c>
      <c r="H649" s="126">
        <v>0</v>
      </c>
      <c r="I649" s="126">
        <v>0</v>
      </c>
      <c r="J649" s="108">
        <v>110000000</v>
      </c>
      <c r="K649" s="108" t="str">
        <f t="shared" si="27"/>
        <v>0110000000</v>
      </c>
      <c r="L649" s="303" t="str">
        <f t="shared" si="28"/>
        <v>60610040110000000000</v>
      </c>
      <c r="M649" s="132" t="str">
        <f>INDEX('реш СГД № 265'!$A:$N,MATCH('БА расх 2019-2020'!$L649,'реш СГД № 265'!$N:$N,0),3)</f>
        <v>Подпрограмма «Организация дошкольного, общего и дополнительного образования»</v>
      </c>
      <c r="N649" s="17">
        <f t="shared" si="29"/>
        <v>1</v>
      </c>
    </row>
    <row r="650" spans="1:14" s="17" customFormat="1" ht="47.25">
      <c r="A650" s="14"/>
      <c r="B650" s="132" t="s">
        <v>400</v>
      </c>
      <c r="C650" s="109" t="s">
        <v>394</v>
      </c>
      <c r="D650" s="108" t="s">
        <v>317</v>
      </c>
      <c r="E650" s="108" t="s">
        <v>73</v>
      </c>
      <c r="F650" s="108" t="s">
        <v>401</v>
      </c>
      <c r="G650" s="108" t="s">
        <v>9</v>
      </c>
      <c r="H650" s="126">
        <v>0</v>
      </c>
      <c r="I650" s="126">
        <v>0</v>
      </c>
      <c r="J650" s="108">
        <v>110100000</v>
      </c>
      <c r="K650" s="108" t="str">
        <f t="shared" si="27"/>
        <v>0110100000</v>
      </c>
      <c r="L650" s="303" t="str">
        <f t="shared" si="28"/>
        <v>60610040110100000000</v>
      </c>
      <c r="M650" s="132" t="str">
        <f>INDEX('реш СГД № 265'!$A:$N,MATCH('БА расх 2019-2020'!$L650,'реш СГД № 265'!$N:$N,0),3)</f>
        <v>Основное мероприятие «Организация предоставления общедоступного и бесплатного дошкольного образования»</v>
      </c>
      <c r="N650" s="17">
        <f t="shared" si="29"/>
        <v>1</v>
      </c>
    </row>
    <row r="651" spans="1:14" s="17" customFormat="1" ht="78.75">
      <c r="A651" s="14" t="s">
        <v>80</v>
      </c>
      <c r="B651" s="132" t="s">
        <v>491</v>
      </c>
      <c r="C651" s="109" t="s">
        <v>394</v>
      </c>
      <c r="D651" s="108" t="s">
        <v>317</v>
      </c>
      <c r="E651" s="108" t="s">
        <v>73</v>
      </c>
      <c r="F651" s="108" t="s">
        <v>492</v>
      </c>
      <c r="G651" s="108" t="s">
        <v>9</v>
      </c>
      <c r="H651" s="126">
        <v>0</v>
      </c>
      <c r="I651" s="126">
        <v>0</v>
      </c>
      <c r="J651" s="108">
        <v>110176140</v>
      </c>
      <c r="K651" s="108" t="str">
        <f t="shared" si="27"/>
        <v>0110176140</v>
      </c>
      <c r="L651" s="303" t="str">
        <f t="shared" si="28"/>
        <v>60610040110176140000</v>
      </c>
      <c r="M651" s="132" t="str">
        <f>INDEX('реш СГД № 265'!$A:$N,MATCH('БА расх 2019-2020'!$L651,'реш СГД № 265'!$N:$N,0),3)</f>
        <v>Расходы на компенсацию части платы, взимаемой с родителей (законных представителей) за присмотр и уход за детьми, посещающими образовательные организации, реализующие образовательные программы дошкольного образования</v>
      </c>
      <c r="N651" s="17">
        <f t="shared" si="29"/>
        <v>1</v>
      </c>
    </row>
    <row r="652" spans="1:14" s="17" customFormat="1" ht="31.5">
      <c r="A652" s="14"/>
      <c r="B652" s="125" t="s">
        <v>28</v>
      </c>
      <c r="C652" s="109" t="s">
        <v>394</v>
      </c>
      <c r="D652" s="108" t="s">
        <v>317</v>
      </c>
      <c r="E652" s="108" t="s">
        <v>73</v>
      </c>
      <c r="F652" s="108" t="s">
        <v>492</v>
      </c>
      <c r="G652" s="108" t="s">
        <v>29</v>
      </c>
      <c r="H652" s="126">
        <v>0</v>
      </c>
      <c r="I652" s="126">
        <v>0</v>
      </c>
      <c r="J652" s="108">
        <v>110176140</v>
      </c>
      <c r="K652" s="108" t="str">
        <f t="shared" si="27"/>
        <v>0110176140</v>
      </c>
      <c r="L652" s="303" t="str">
        <f t="shared" si="28"/>
        <v>60610040110176140240</v>
      </c>
      <c r="M652" s="132" t="str">
        <f>INDEX('реш СГД № 265'!$A:$N,MATCH('БА расх 2019-2020'!$L652,'реш СГД № 265'!$N:$N,0),3)</f>
        <v>Иные закупки товаров, работ и услуг для обеспечения государственных (муниципальных) нужд</v>
      </c>
      <c r="N652" s="17">
        <f t="shared" si="29"/>
        <v>1</v>
      </c>
    </row>
    <row r="653" spans="1:14" s="17" customFormat="1" ht="15.75">
      <c r="A653" s="14"/>
      <c r="B653" s="125" t="s">
        <v>30</v>
      </c>
      <c r="C653" s="109" t="s">
        <v>394</v>
      </c>
      <c r="D653" s="108" t="s">
        <v>317</v>
      </c>
      <c r="E653" s="108" t="s">
        <v>73</v>
      </c>
      <c r="F653" s="108" t="s">
        <v>492</v>
      </c>
      <c r="G653" s="108" t="s">
        <v>31</v>
      </c>
      <c r="H653" s="126">
        <v>0</v>
      </c>
      <c r="I653" s="126">
        <v>0</v>
      </c>
      <c r="J653" s="108">
        <v>110176140</v>
      </c>
      <c r="K653" s="108" t="str">
        <f t="shared" ref="K653:K716" si="30">TEXT(J653,"0000000000")</f>
        <v>0110176140</v>
      </c>
      <c r="L653" s="303" t="str">
        <f t="shared" si="28"/>
        <v>60610040110176140244</v>
      </c>
      <c r="M653" s="132"/>
      <c r="N653" s="17">
        <f t="shared" si="29"/>
        <v>0</v>
      </c>
    </row>
    <row r="654" spans="1:14" s="17" customFormat="1" ht="31.5">
      <c r="A654" s="14"/>
      <c r="B654" s="132" t="s">
        <v>493</v>
      </c>
      <c r="C654" s="109" t="s">
        <v>394</v>
      </c>
      <c r="D654" s="108" t="s">
        <v>317</v>
      </c>
      <c r="E654" s="108" t="s">
        <v>73</v>
      </c>
      <c r="F654" s="108" t="s">
        <v>492</v>
      </c>
      <c r="G654" s="108" t="s">
        <v>494</v>
      </c>
      <c r="H654" s="126">
        <v>0</v>
      </c>
      <c r="I654" s="126">
        <v>0</v>
      </c>
      <c r="J654" s="108">
        <v>110176140</v>
      </c>
      <c r="K654" s="108" t="str">
        <f t="shared" si="30"/>
        <v>0110176140</v>
      </c>
      <c r="L654" s="303" t="str">
        <f t="shared" ref="L654:L717" si="31">C654&amp;D654&amp;E654&amp;K654&amp;G654</f>
        <v>60610040110176140310</v>
      </c>
      <c r="M654" s="132" t="str">
        <f>INDEX('реш СГД № 265'!$A:$N,MATCH('БА расх 2019-2020'!$L654,'реш СГД № 265'!$N:$N,0),3)</f>
        <v>Публичные нормативные социальные выплаты гражданам</v>
      </c>
      <c r="N654" s="17">
        <f t="shared" ref="N654:N717" si="32">IF(B654=M654,1,0)</f>
        <v>1</v>
      </c>
    </row>
    <row r="655" spans="1:14" s="17" customFormat="1" ht="31.5">
      <c r="A655" s="14"/>
      <c r="B655" s="127" t="s">
        <v>495</v>
      </c>
      <c r="C655" s="109" t="s">
        <v>394</v>
      </c>
      <c r="D655" s="108" t="s">
        <v>317</v>
      </c>
      <c r="E655" s="108" t="s">
        <v>73</v>
      </c>
      <c r="F655" s="108" t="s">
        <v>492</v>
      </c>
      <c r="G655" s="108" t="s">
        <v>496</v>
      </c>
      <c r="H655" s="126">
        <v>0</v>
      </c>
      <c r="I655" s="126">
        <v>0</v>
      </c>
      <c r="J655" s="108">
        <v>110176140</v>
      </c>
      <c r="K655" s="108" t="str">
        <f t="shared" si="30"/>
        <v>0110176140</v>
      </c>
      <c r="L655" s="303" t="str">
        <f t="shared" si="31"/>
        <v>60610040110176140313</v>
      </c>
      <c r="M655" s="132"/>
      <c r="N655" s="17">
        <f t="shared" si="32"/>
        <v>0</v>
      </c>
    </row>
    <row r="656" spans="1:14" s="17" customFormat="1" ht="47.25">
      <c r="A656" s="14" t="s">
        <v>80</v>
      </c>
      <c r="B656" s="132" t="s">
        <v>497</v>
      </c>
      <c r="C656" s="109" t="s">
        <v>394</v>
      </c>
      <c r="D656" s="108" t="s">
        <v>317</v>
      </c>
      <c r="E656" s="108" t="s">
        <v>73</v>
      </c>
      <c r="F656" s="108" t="s">
        <v>498</v>
      </c>
      <c r="G656" s="108" t="s">
        <v>9</v>
      </c>
      <c r="H656" s="126">
        <v>0</v>
      </c>
      <c r="I656" s="126">
        <v>0</v>
      </c>
      <c r="J656" s="108">
        <v>110700000</v>
      </c>
      <c r="K656" s="108" t="str">
        <f t="shared" si="30"/>
        <v>0110700000</v>
      </c>
      <c r="L656" s="303" t="str">
        <f t="shared" si="31"/>
        <v>60610040110700000000</v>
      </c>
      <c r="M656" s="132" t="str">
        <f>INDEX('реш СГД № 265'!$A:$N,MATCH('БА расх 2019-2020'!$L656,'реш СГД № 265'!$N:$N,0),3)</f>
        <v>Основное мероприятие «Защита прав и законных интересов детей-сирот и детей, оставшихся без попечения родителей»</v>
      </c>
      <c r="N656" s="17">
        <f t="shared" si="32"/>
        <v>1</v>
      </c>
    </row>
    <row r="657" spans="1:14" s="17" customFormat="1" ht="31.5">
      <c r="A657" s="14"/>
      <c r="B657" s="132" t="s">
        <v>499</v>
      </c>
      <c r="C657" s="109" t="s">
        <v>394</v>
      </c>
      <c r="D657" s="108" t="s">
        <v>317</v>
      </c>
      <c r="E657" s="108" t="s">
        <v>73</v>
      </c>
      <c r="F657" s="108" t="s">
        <v>500</v>
      </c>
      <c r="G657" s="108" t="s">
        <v>9</v>
      </c>
      <c r="H657" s="126">
        <v>0</v>
      </c>
      <c r="I657" s="126">
        <v>0</v>
      </c>
      <c r="J657" s="108">
        <v>110778110</v>
      </c>
      <c r="K657" s="108" t="str">
        <f t="shared" si="30"/>
        <v>0110778110</v>
      </c>
      <c r="L657" s="303" t="str">
        <f t="shared" si="31"/>
        <v>60610040110778110000</v>
      </c>
      <c r="M657" s="132" t="str">
        <f>INDEX('реш СГД № 265'!$A:$N,MATCH('БА расх 2019-2020'!$L657,'реш СГД № 265'!$N:$N,0),3)</f>
        <v>Расходы на выплату денежных средств на содержание ребенка опекуну (попечителю)</v>
      </c>
      <c r="N657" s="17">
        <f t="shared" si="32"/>
        <v>1</v>
      </c>
    </row>
    <row r="658" spans="1:14" s="17" customFormat="1" ht="31.5">
      <c r="A658" s="14"/>
      <c r="B658" s="132" t="s">
        <v>327</v>
      </c>
      <c r="C658" s="109" t="s">
        <v>394</v>
      </c>
      <c r="D658" s="108" t="s">
        <v>317</v>
      </c>
      <c r="E658" s="108" t="s">
        <v>73</v>
      </c>
      <c r="F658" s="108" t="s">
        <v>500</v>
      </c>
      <c r="G658" s="108" t="s">
        <v>328</v>
      </c>
      <c r="H658" s="126">
        <v>0</v>
      </c>
      <c r="I658" s="126">
        <v>0</v>
      </c>
      <c r="J658" s="108">
        <v>110778110</v>
      </c>
      <c r="K658" s="108" t="str">
        <f t="shared" si="30"/>
        <v>0110778110</v>
      </c>
      <c r="L658" s="303" t="str">
        <f t="shared" si="31"/>
        <v>60610040110778110320</v>
      </c>
      <c r="M658" s="132" t="str">
        <f>INDEX('реш СГД № 265'!$A:$N,MATCH('БА расх 2019-2020'!$L658,'реш СГД № 265'!$N:$N,0),3)</f>
        <v>Социальные выплаты гражданам, кроме публичных нормативных социальных выплат</v>
      </c>
      <c r="N658" s="17">
        <f t="shared" si="32"/>
        <v>1</v>
      </c>
    </row>
    <row r="659" spans="1:14" s="17" customFormat="1" ht="31.5">
      <c r="A659" s="14"/>
      <c r="B659" s="125" t="s">
        <v>501</v>
      </c>
      <c r="C659" s="109" t="s">
        <v>394</v>
      </c>
      <c r="D659" s="108" t="s">
        <v>317</v>
      </c>
      <c r="E659" s="108" t="s">
        <v>73</v>
      </c>
      <c r="F659" s="108" t="s">
        <v>500</v>
      </c>
      <c r="G659" s="108" t="s">
        <v>502</v>
      </c>
      <c r="H659" s="126">
        <v>0</v>
      </c>
      <c r="I659" s="126">
        <v>0</v>
      </c>
      <c r="J659" s="108">
        <v>110778110</v>
      </c>
      <c r="K659" s="108" t="str">
        <f t="shared" si="30"/>
        <v>0110778110</v>
      </c>
      <c r="L659" s="303" t="str">
        <f t="shared" si="31"/>
        <v>60610040110778110323</v>
      </c>
      <c r="M659" s="132"/>
      <c r="N659" s="17">
        <f t="shared" si="32"/>
        <v>0</v>
      </c>
    </row>
    <row r="660" spans="1:14" s="17" customFormat="1" ht="78.75">
      <c r="A660" s="14"/>
      <c r="B660" s="125" t="s">
        <v>503</v>
      </c>
      <c r="C660" s="109" t="s">
        <v>394</v>
      </c>
      <c r="D660" s="108" t="s">
        <v>317</v>
      </c>
      <c r="E660" s="108" t="s">
        <v>73</v>
      </c>
      <c r="F660" s="108" t="s">
        <v>504</v>
      </c>
      <c r="G660" s="108" t="s">
        <v>9</v>
      </c>
      <c r="H660" s="126">
        <v>0</v>
      </c>
      <c r="I660" s="126">
        <v>0</v>
      </c>
      <c r="J660" s="108">
        <v>110778120</v>
      </c>
      <c r="K660" s="108" t="str">
        <f t="shared" si="30"/>
        <v>0110778120</v>
      </c>
      <c r="L660" s="303" t="str">
        <f t="shared" si="31"/>
        <v>60610040110778120000</v>
      </c>
      <c r="M660" s="132" t="str">
        <f>INDEX('реш СГД № 265'!$A:$N,MATCH('БА расх 2019-2020'!$L660,'реш СГД № 265'!$N:$N,0),3)</f>
        <v>Расходы на обеспечение бесплатного проезда детей-сирот и детей, оставшихся без попечения родителей, находящихся под опекой (попечительством), обучающихся в муниципальных образовательных учреждениях</v>
      </c>
      <c r="N660" s="17">
        <f t="shared" si="32"/>
        <v>1</v>
      </c>
    </row>
    <row r="661" spans="1:14" s="17" customFormat="1" ht="31.5">
      <c r="A661" s="14"/>
      <c r="B661" s="132" t="s">
        <v>327</v>
      </c>
      <c r="C661" s="109" t="s">
        <v>394</v>
      </c>
      <c r="D661" s="108" t="s">
        <v>317</v>
      </c>
      <c r="E661" s="108" t="s">
        <v>73</v>
      </c>
      <c r="F661" s="108" t="s">
        <v>504</v>
      </c>
      <c r="G661" s="108" t="s">
        <v>328</v>
      </c>
      <c r="H661" s="126">
        <v>0</v>
      </c>
      <c r="I661" s="126">
        <v>0</v>
      </c>
      <c r="J661" s="108">
        <v>110778120</v>
      </c>
      <c r="K661" s="108" t="str">
        <f t="shared" si="30"/>
        <v>0110778120</v>
      </c>
      <c r="L661" s="303" t="str">
        <f t="shared" si="31"/>
        <v>60610040110778120320</v>
      </c>
      <c r="M661" s="132" t="str">
        <f>INDEX('реш СГД № 265'!$A:$N,MATCH('БА расх 2019-2020'!$L661,'реш СГД № 265'!$N:$N,0),3)</f>
        <v>Социальные выплаты гражданам, кроме публичных нормативных социальных выплат</v>
      </c>
      <c r="N661" s="17">
        <f t="shared" si="32"/>
        <v>1</v>
      </c>
    </row>
    <row r="662" spans="1:14" s="17" customFormat="1" ht="31.5">
      <c r="A662" s="14"/>
      <c r="B662" s="125" t="s">
        <v>501</v>
      </c>
      <c r="C662" s="109" t="s">
        <v>394</v>
      </c>
      <c r="D662" s="108" t="s">
        <v>317</v>
      </c>
      <c r="E662" s="108" t="s">
        <v>73</v>
      </c>
      <c r="F662" s="108" t="s">
        <v>504</v>
      </c>
      <c r="G662" s="108" t="s">
        <v>502</v>
      </c>
      <c r="H662" s="126">
        <v>0</v>
      </c>
      <c r="I662" s="126">
        <v>0</v>
      </c>
      <c r="J662" s="108">
        <v>110778120</v>
      </c>
      <c r="K662" s="108" t="str">
        <f t="shared" si="30"/>
        <v>0110778120</v>
      </c>
      <c r="L662" s="303" t="str">
        <f t="shared" si="31"/>
        <v>60610040110778120323</v>
      </c>
      <c r="M662" s="132"/>
      <c r="N662" s="17">
        <f t="shared" si="32"/>
        <v>0</v>
      </c>
    </row>
    <row r="663" spans="1:14" s="17" customFormat="1" ht="63">
      <c r="A663" s="14"/>
      <c r="B663" s="125" t="s">
        <v>505</v>
      </c>
      <c r="C663" s="109" t="s">
        <v>394</v>
      </c>
      <c r="D663" s="108" t="s">
        <v>317</v>
      </c>
      <c r="E663" s="108" t="s">
        <v>73</v>
      </c>
      <c r="F663" s="108" t="s">
        <v>506</v>
      </c>
      <c r="G663" s="108" t="s">
        <v>9</v>
      </c>
      <c r="H663" s="126">
        <v>0</v>
      </c>
      <c r="I663" s="126">
        <v>0</v>
      </c>
      <c r="J663" s="108">
        <v>110778130</v>
      </c>
      <c r="K663" s="108" t="str">
        <f t="shared" si="30"/>
        <v>0110778130</v>
      </c>
      <c r="L663" s="303" t="str">
        <f t="shared" si="31"/>
        <v>60610040110778130000</v>
      </c>
      <c r="M663" s="132" t="str">
        <f>INDEX('реш СГД № 265'!$A:$N,MATCH('БА расх 2019-2020'!$L663,'реш СГД № 265'!$N:$N,0),3)</f>
        <v>Расходы на выплату на содержание детей-сирот и детей, оставшихся без попечения родителей, в приемных семьях, а также на вознаграждение, причитающееся приемным родителям</v>
      </c>
      <c r="N663" s="17">
        <f t="shared" si="32"/>
        <v>1</v>
      </c>
    </row>
    <row r="664" spans="1:14" s="17" customFormat="1" ht="31.5">
      <c r="A664" s="14"/>
      <c r="B664" s="132" t="s">
        <v>327</v>
      </c>
      <c r="C664" s="109" t="s">
        <v>394</v>
      </c>
      <c r="D664" s="108" t="s">
        <v>317</v>
      </c>
      <c r="E664" s="108" t="s">
        <v>73</v>
      </c>
      <c r="F664" s="108" t="s">
        <v>506</v>
      </c>
      <c r="G664" s="108" t="s">
        <v>328</v>
      </c>
      <c r="H664" s="126">
        <v>0</v>
      </c>
      <c r="I664" s="126">
        <v>0</v>
      </c>
      <c r="J664" s="108">
        <v>110778130</v>
      </c>
      <c r="K664" s="108" t="str">
        <f t="shared" si="30"/>
        <v>0110778130</v>
      </c>
      <c r="L664" s="303" t="str">
        <f t="shared" si="31"/>
        <v>60610040110778130320</v>
      </c>
      <c r="M664" s="132" t="str">
        <f>INDEX('реш СГД № 265'!$A:$N,MATCH('БА расх 2019-2020'!$L664,'реш СГД № 265'!$N:$N,0),3)</f>
        <v>Социальные выплаты гражданам, кроме публичных нормативных социальных выплат</v>
      </c>
      <c r="N664" s="17">
        <f t="shared" si="32"/>
        <v>1</v>
      </c>
    </row>
    <row r="665" spans="1:14" s="17" customFormat="1" ht="31.5">
      <c r="A665" s="14"/>
      <c r="B665" s="125" t="s">
        <v>501</v>
      </c>
      <c r="C665" s="109" t="s">
        <v>394</v>
      </c>
      <c r="D665" s="108" t="s">
        <v>317</v>
      </c>
      <c r="E665" s="108" t="s">
        <v>73</v>
      </c>
      <c r="F665" s="108" t="s">
        <v>506</v>
      </c>
      <c r="G665" s="108" t="s">
        <v>502</v>
      </c>
      <c r="H665" s="126">
        <v>0</v>
      </c>
      <c r="I665" s="126">
        <v>0</v>
      </c>
      <c r="J665" s="108">
        <v>110778130</v>
      </c>
      <c r="K665" s="108" t="str">
        <f t="shared" si="30"/>
        <v>0110778130</v>
      </c>
      <c r="L665" s="303" t="str">
        <f t="shared" si="31"/>
        <v>60610040110778130323</v>
      </c>
      <c r="M665" s="132"/>
      <c r="N665" s="17">
        <f t="shared" si="32"/>
        <v>0</v>
      </c>
    </row>
    <row r="666" spans="1:14" s="17" customFormat="1" ht="31.5">
      <c r="A666" s="14"/>
      <c r="B666" s="125" t="s">
        <v>507</v>
      </c>
      <c r="C666" s="109" t="s">
        <v>394</v>
      </c>
      <c r="D666" s="108" t="s">
        <v>317</v>
      </c>
      <c r="E666" s="108" t="s">
        <v>73</v>
      </c>
      <c r="F666" s="108" t="s">
        <v>508</v>
      </c>
      <c r="G666" s="108" t="s">
        <v>9</v>
      </c>
      <c r="H666" s="126">
        <v>0</v>
      </c>
      <c r="I666" s="126">
        <v>0</v>
      </c>
      <c r="J666" s="108">
        <v>110778140</v>
      </c>
      <c r="K666" s="108" t="str">
        <f t="shared" si="30"/>
        <v>0110778140</v>
      </c>
      <c r="L666" s="303" t="str">
        <f t="shared" si="31"/>
        <v>60610040110778140000</v>
      </c>
      <c r="M666" s="132" t="str">
        <f>INDEX('реш СГД № 265'!$A:$N,MATCH('БА расх 2019-2020'!$L666,'реш СГД № 265'!$N:$N,0),3)</f>
        <v>Расходы на выплату единовременного пособия усыновителям</v>
      </c>
      <c r="N666" s="17">
        <f t="shared" si="32"/>
        <v>1</v>
      </c>
    </row>
    <row r="667" spans="1:14" s="17" customFormat="1" ht="31.5">
      <c r="A667" s="14"/>
      <c r="B667" s="132" t="s">
        <v>327</v>
      </c>
      <c r="C667" s="109" t="s">
        <v>394</v>
      </c>
      <c r="D667" s="108" t="s">
        <v>317</v>
      </c>
      <c r="E667" s="108" t="s">
        <v>73</v>
      </c>
      <c r="F667" s="108" t="s">
        <v>508</v>
      </c>
      <c r="G667" s="108" t="s">
        <v>328</v>
      </c>
      <c r="H667" s="126">
        <v>0</v>
      </c>
      <c r="I667" s="126">
        <v>0</v>
      </c>
      <c r="J667" s="108">
        <v>110778140</v>
      </c>
      <c r="K667" s="108" t="str">
        <f t="shared" si="30"/>
        <v>0110778140</v>
      </c>
      <c r="L667" s="303" t="str">
        <f t="shared" si="31"/>
        <v>60610040110778140320</v>
      </c>
      <c r="M667" s="132" t="str">
        <f>INDEX('реш СГД № 265'!$A:$N,MATCH('БА расх 2019-2020'!$L667,'реш СГД № 265'!$N:$N,0),3)</f>
        <v>Социальные выплаты гражданам, кроме публичных нормативных социальных выплат</v>
      </c>
      <c r="N667" s="17">
        <f t="shared" si="32"/>
        <v>1</v>
      </c>
    </row>
    <row r="668" spans="1:14" s="24" customFormat="1" ht="31.5">
      <c r="A668" s="21"/>
      <c r="B668" s="125" t="s">
        <v>501</v>
      </c>
      <c r="C668" s="109" t="s">
        <v>394</v>
      </c>
      <c r="D668" s="108" t="s">
        <v>317</v>
      </c>
      <c r="E668" s="108" t="s">
        <v>73</v>
      </c>
      <c r="F668" s="108" t="s">
        <v>508</v>
      </c>
      <c r="G668" s="108" t="s">
        <v>502</v>
      </c>
      <c r="H668" s="126">
        <v>0</v>
      </c>
      <c r="I668" s="126">
        <v>0</v>
      </c>
      <c r="J668" s="108">
        <v>110778140</v>
      </c>
      <c r="K668" s="108" t="str">
        <f t="shared" si="30"/>
        <v>0110778140</v>
      </c>
      <c r="L668" s="303" t="str">
        <f t="shared" si="31"/>
        <v>60610040110778140323</v>
      </c>
      <c r="M668" s="132"/>
      <c r="N668" s="17">
        <f t="shared" si="32"/>
        <v>0</v>
      </c>
    </row>
    <row r="669" spans="1:14" s="17" customFormat="1" ht="15.75">
      <c r="A669" s="14"/>
      <c r="B669" s="132"/>
      <c r="C669" s="109"/>
      <c r="D669" s="108"/>
      <c r="E669" s="108"/>
      <c r="F669" s="108"/>
      <c r="G669" s="108"/>
      <c r="H669" s="126"/>
      <c r="I669" s="126"/>
      <c r="J669" s="108"/>
      <c r="K669" s="108" t="str">
        <f t="shared" si="30"/>
        <v>0000000000</v>
      </c>
      <c r="L669" s="303" t="str">
        <f t="shared" si="31"/>
        <v>0000000000</v>
      </c>
      <c r="M669" s="132">
        <f>INDEX('реш СГД № 265'!$A:$N,MATCH('БА расх 2019-2020'!$L669,'реш СГД № 265'!$N:$N,0),3)</f>
        <v>0</v>
      </c>
      <c r="N669" s="17">
        <f t="shared" si="32"/>
        <v>1</v>
      </c>
    </row>
    <row r="670" spans="1:14" s="16" customFormat="1" ht="47.25">
      <c r="A670" s="14"/>
      <c r="B670" s="67" t="s">
        <v>509</v>
      </c>
      <c r="C670" s="116" t="s">
        <v>510</v>
      </c>
      <c r="D670" s="69" t="s">
        <v>7</v>
      </c>
      <c r="E670" s="69" t="s">
        <v>7</v>
      </c>
      <c r="F670" s="69" t="s">
        <v>8</v>
      </c>
      <c r="G670" s="69" t="s">
        <v>9</v>
      </c>
      <c r="H670" s="70">
        <v>0</v>
      </c>
      <c r="I670" s="70">
        <v>0</v>
      </c>
      <c r="J670" s="69">
        <v>0</v>
      </c>
      <c r="K670" s="108" t="str">
        <f t="shared" si="30"/>
        <v>0000000000</v>
      </c>
      <c r="L670" s="303" t="str">
        <f t="shared" si="31"/>
        <v>60700000000000000000</v>
      </c>
      <c r="M670" s="132" t="str">
        <f>INDEX('реш СГД № 265'!$A:$N,MATCH('БА расх 2019-2020'!$L670,'реш СГД № 265'!$N:$N,0),3)</f>
        <v xml:space="preserve">Комитет культуры и молодежной политики администрации города Ставрополя
</v>
      </c>
      <c r="N670" s="17">
        <f t="shared" si="32"/>
        <v>0</v>
      </c>
    </row>
    <row r="671" spans="1:14" s="16" customFormat="1" ht="15.75">
      <c r="A671" s="14"/>
      <c r="B671" s="117" t="s">
        <v>10</v>
      </c>
      <c r="C671" s="118" t="s">
        <v>510</v>
      </c>
      <c r="D671" s="119" t="s">
        <v>11</v>
      </c>
      <c r="E671" s="119" t="s">
        <v>7</v>
      </c>
      <c r="F671" s="119" t="s">
        <v>8</v>
      </c>
      <c r="G671" s="119" t="s">
        <v>9</v>
      </c>
      <c r="H671" s="120">
        <v>0</v>
      </c>
      <c r="I671" s="120">
        <v>0</v>
      </c>
      <c r="J671" s="119">
        <v>0</v>
      </c>
      <c r="K671" s="108" t="str">
        <f t="shared" si="30"/>
        <v>0000000000</v>
      </c>
      <c r="L671" s="303" t="str">
        <f t="shared" si="31"/>
        <v>60701000000000000000</v>
      </c>
      <c r="M671" s="132" t="str">
        <f>INDEX('реш СГД № 265'!$A:$N,MATCH('БА расх 2019-2020'!$L671,'реш СГД № 265'!$N:$N,0),3)</f>
        <v>Общегосударственные вопросы</v>
      </c>
      <c r="N671" s="17">
        <f t="shared" si="32"/>
        <v>1</v>
      </c>
    </row>
    <row r="672" spans="1:14" s="16" customFormat="1" ht="15.75">
      <c r="A672" s="14"/>
      <c r="B672" s="121" t="s">
        <v>50</v>
      </c>
      <c r="C672" s="122" t="s">
        <v>510</v>
      </c>
      <c r="D672" s="123" t="s">
        <v>11</v>
      </c>
      <c r="E672" s="123" t="s">
        <v>51</v>
      </c>
      <c r="F672" s="123" t="s">
        <v>8</v>
      </c>
      <c r="G672" s="123" t="s">
        <v>9</v>
      </c>
      <c r="H672" s="124">
        <v>0</v>
      </c>
      <c r="I672" s="124">
        <v>0</v>
      </c>
      <c r="J672" s="123">
        <v>0</v>
      </c>
      <c r="K672" s="108" t="str">
        <f t="shared" si="30"/>
        <v>0000000000</v>
      </c>
      <c r="L672" s="303" t="str">
        <f t="shared" si="31"/>
        <v>60701130000000000000</v>
      </c>
      <c r="M672" s="132" t="str">
        <f>INDEX('реш СГД № 265'!$A:$N,MATCH('БА расх 2019-2020'!$L672,'реш СГД № 265'!$N:$N,0),3)</f>
        <v>Другие общегосударственные вопросы</v>
      </c>
      <c r="N672" s="17">
        <f t="shared" si="32"/>
        <v>1</v>
      </c>
    </row>
    <row r="673" spans="1:14" s="16" customFormat="1" ht="63">
      <c r="A673" s="14"/>
      <c r="B673" s="125" t="s">
        <v>87</v>
      </c>
      <c r="C673" s="109" t="s">
        <v>510</v>
      </c>
      <c r="D673" s="108" t="s">
        <v>11</v>
      </c>
      <c r="E673" s="108" t="s">
        <v>51</v>
      </c>
      <c r="F673" s="108" t="s">
        <v>88</v>
      </c>
      <c r="G673" s="108" t="s">
        <v>9</v>
      </c>
      <c r="H673" s="126">
        <v>0</v>
      </c>
      <c r="I673" s="126">
        <v>0</v>
      </c>
      <c r="J673" s="108">
        <v>9800000000</v>
      </c>
      <c r="K673" s="108" t="str">
        <f t="shared" si="30"/>
        <v>9800000000</v>
      </c>
      <c r="L673" s="303" t="str">
        <f t="shared" si="31"/>
        <v>60701139800000000000</v>
      </c>
      <c r="M673" s="132" t="str">
        <f>INDEX('реш СГД № 265'!$A:$N,MATCH('БА расх 2019-2020'!$L673,'реш СГД № 265'!$N:$N,0),3)</f>
        <v>Реализация иных функций Ставропольской городской Думы, администрации города Ставрополя, ее отраслевых (функциональных) и территориальных органов</v>
      </c>
      <c r="N673" s="17">
        <f t="shared" si="32"/>
        <v>1</v>
      </c>
    </row>
    <row r="674" spans="1:14" s="16" customFormat="1" ht="15.75">
      <c r="A674" s="14"/>
      <c r="B674" s="125" t="s">
        <v>89</v>
      </c>
      <c r="C674" s="109" t="s">
        <v>510</v>
      </c>
      <c r="D674" s="108" t="s">
        <v>11</v>
      </c>
      <c r="E674" s="108" t="s">
        <v>51</v>
      </c>
      <c r="F674" s="108" t="s">
        <v>90</v>
      </c>
      <c r="G674" s="108" t="s">
        <v>9</v>
      </c>
      <c r="H674" s="126">
        <v>0</v>
      </c>
      <c r="I674" s="126">
        <v>0</v>
      </c>
      <c r="J674" s="108">
        <v>9810000000</v>
      </c>
      <c r="K674" s="108" t="str">
        <f t="shared" si="30"/>
        <v>9810000000</v>
      </c>
      <c r="L674" s="303" t="str">
        <f t="shared" si="31"/>
        <v>60701139810000000000</v>
      </c>
      <c r="M674" s="132" t="str">
        <f>INDEX('реш СГД № 265'!$A:$N,MATCH('БА расх 2019-2020'!$L674,'реш СГД № 265'!$N:$N,0),3)</f>
        <v>Иные непрограммные мероприятия</v>
      </c>
      <c r="N674" s="17">
        <f t="shared" si="32"/>
        <v>1</v>
      </c>
    </row>
    <row r="675" spans="1:14" s="16" customFormat="1" ht="31.5">
      <c r="A675" s="14"/>
      <c r="B675" s="125" t="s">
        <v>511</v>
      </c>
      <c r="C675" s="109" t="s">
        <v>510</v>
      </c>
      <c r="D675" s="108" t="s">
        <v>11</v>
      </c>
      <c r="E675" s="108" t="s">
        <v>51</v>
      </c>
      <c r="F675" s="108" t="s">
        <v>512</v>
      </c>
      <c r="G675" s="108" t="s">
        <v>9</v>
      </c>
      <c r="H675" s="126">
        <v>0</v>
      </c>
      <c r="I675" s="126">
        <v>0</v>
      </c>
      <c r="J675" s="108">
        <v>9810020110</v>
      </c>
      <c r="K675" s="108" t="str">
        <f t="shared" si="30"/>
        <v>9810020110</v>
      </c>
      <c r="L675" s="303" t="str">
        <f t="shared" si="31"/>
        <v>60701139810020110000</v>
      </c>
      <c r="M675" s="132" t="str">
        <f>INDEX('реш СГД № 265'!$A:$N,MATCH('БА расх 2019-2020'!$L675,'реш СГД № 265'!$N:$N,0),3)</f>
        <v>Расходы на реализацию проекта «Здоровые города» в городе Ставрополе</v>
      </c>
      <c r="N675" s="17">
        <f t="shared" si="32"/>
        <v>1</v>
      </c>
    </row>
    <row r="676" spans="1:14" s="16" customFormat="1" ht="31.5">
      <c r="A676" s="14"/>
      <c r="B676" s="125" t="s">
        <v>28</v>
      </c>
      <c r="C676" s="109" t="s">
        <v>510</v>
      </c>
      <c r="D676" s="108" t="s">
        <v>11</v>
      </c>
      <c r="E676" s="108" t="s">
        <v>51</v>
      </c>
      <c r="F676" s="108" t="s">
        <v>512</v>
      </c>
      <c r="G676" s="108" t="s">
        <v>29</v>
      </c>
      <c r="H676" s="126">
        <v>0</v>
      </c>
      <c r="I676" s="126">
        <v>0</v>
      </c>
      <c r="J676" s="108">
        <v>9810020110</v>
      </c>
      <c r="K676" s="108" t="str">
        <f t="shared" si="30"/>
        <v>9810020110</v>
      </c>
      <c r="L676" s="303" t="str">
        <f t="shared" si="31"/>
        <v>60701139810020110240</v>
      </c>
      <c r="M676" s="132" t="str">
        <f>INDEX('реш СГД № 265'!$A:$N,MATCH('БА расх 2019-2020'!$L676,'реш СГД № 265'!$N:$N,0),3)</f>
        <v>Иные закупки товаров, работ и услуг для обеспечения государственных (муниципальных) нужд</v>
      </c>
      <c r="N676" s="17">
        <f t="shared" si="32"/>
        <v>1</v>
      </c>
    </row>
    <row r="677" spans="1:14" s="16" customFormat="1" ht="15.75">
      <c r="A677" s="14"/>
      <c r="B677" s="125" t="s">
        <v>30</v>
      </c>
      <c r="C677" s="109" t="s">
        <v>510</v>
      </c>
      <c r="D677" s="108" t="s">
        <v>11</v>
      </c>
      <c r="E677" s="108" t="s">
        <v>51</v>
      </c>
      <c r="F677" s="108" t="s">
        <v>512</v>
      </c>
      <c r="G677" s="108" t="s">
        <v>31</v>
      </c>
      <c r="H677" s="126">
        <v>0</v>
      </c>
      <c r="I677" s="126">
        <v>0</v>
      </c>
      <c r="J677" s="108">
        <v>9810020110</v>
      </c>
      <c r="K677" s="108" t="str">
        <f t="shared" si="30"/>
        <v>9810020110</v>
      </c>
      <c r="L677" s="303" t="str">
        <f t="shared" si="31"/>
        <v>60701139810020110244</v>
      </c>
      <c r="M677" s="132"/>
      <c r="N677" s="17">
        <f t="shared" si="32"/>
        <v>0</v>
      </c>
    </row>
    <row r="678" spans="1:14" s="16" customFormat="1" ht="15.75">
      <c r="A678" s="14"/>
      <c r="B678" s="125" t="s">
        <v>513</v>
      </c>
      <c r="C678" s="109" t="s">
        <v>510</v>
      </c>
      <c r="D678" s="108" t="s">
        <v>11</v>
      </c>
      <c r="E678" s="108" t="s">
        <v>51</v>
      </c>
      <c r="F678" s="108" t="s">
        <v>512</v>
      </c>
      <c r="G678" s="108" t="s">
        <v>514</v>
      </c>
      <c r="H678" s="126">
        <v>0</v>
      </c>
      <c r="I678" s="126">
        <v>0</v>
      </c>
      <c r="J678" s="108">
        <v>9810020110</v>
      </c>
      <c r="K678" s="108" t="str">
        <f t="shared" si="30"/>
        <v>9810020110</v>
      </c>
      <c r="L678" s="303" t="str">
        <f t="shared" si="31"/>
        <v>60701139810020110360</v>
      </c>
      <c r="M678" s="132"/>
      <c r="N678" s="17">
        <f t="shared" si="32"/>
        <v>0</v>
      </c>
    </row>
    <row r="679" spans="1:14" s="16" customFormat="1" ht="15.75">
      <c r="A679" s="14"/>
      <c r="B679" s="125" t="s">
        <v>32</v>
      </c>
      <c r="C679" s="109" t="s">
        <v>510</v>
      </c>
      <c r="D679" s="108" t="s">
        <v>11</v>
      </c>
      <c r="E679" s="108" t="s">
        <v>51</v>
      </c>
      <c r="F679" s="108" t="s">
        <v>512</v>
      </c>
      <c r="G679" s="108" t="s">
        <v>33</v>
      </c>
      <c r="H679" s="126">
        <v>0</v>
      </c>
      <c r="I679" s="126">
        <v>0</v>
      </c>
      <c r="J679" s="108">
        <v>9810020110</v>
      </c>
      <c r="K679" s="108" t="str">
        <f t="shared" si="30"/>
        <v>9810020110</v>
      </c>
      <c r="L679" s="303" t="str">
        <f t="shared" si="31"/>
        <v>60701139810020110850</v>
      </c>
      <c r="M679" s="132" t="str">
        <f>INDEX('реш СГД № 265'!$A:$N,MATCH('БА расх 2019-2020'!$L679,'реш СГД № 265'!$N:$N,0),3)</f>
        <v>Уплата налогов, сборов и иных платежей</v>
      </c>
      <c r="N679" s="17">
        <f t="shared" si="32"/>
        <v>1</v>
      </c>
    </row>
    <row r="680" spans="1:14" s="23" customFormat="1" ht="15.75">
      <c r="A680" s="21"/>
      <c r="B680" s="127" t="s">
        <v>77</v>
      </c>
      <c r="C680" s="109" t="s">
        <v>510</v>
      </c>
      <c r="D680" s="108" t="s">
        <v>11</v>
      </c>
      <c r="E680" s="108" t="s">
        <v>51</v>
      </c>
      <c r="F680" s="108" t="s">
        <v>512</v>
      </c>
      <c r="G680" s="108" t="s">
        <v>78</v>
      </c>
      <c r="H680" s="126">
        <v>0</v>
      </c>
      <c r="I680" s="126">
        <v>0</v>
      </c>
      <c r="J680" s="108">
        <v>9810020110</v>
      </c>
      <c r="K680" s="108" t="str">
        <f t="shared" si="30"/>
        <v>9810020110</v>
      </c>
      <c r="L680" s="303" t="str">
        <f t="shared" si="31"/>
        <v>60701139810020110853</v>
      </c>
      <c r="M680" s="132"/>
      <c r="N680" s="17">
        <f t="shared" si="32"/>
        <v>0</v>
      </c>
    </row>
    <row r="681" spans="1:14" s="16" customFormat="1" ht="31.5">
      <c r="A681" s="14"/>
      <c r="B681" s="125" t="s">
        <v>515</v>
      </c>
      <c r="C681" s="109" t="s">
        <v>510</v>
      </c>
      <c r="D681" s="108" t="s">
        <v>11</v>
      </c>
      <c r="E681" s="108" t="s">
        <v>51</v>
      </c>
      <c r="F681" s="108" t="s">
        <v>512</v>
      </c>
      <c r="G681" s="108" t="s">
        <v>516</v>
      </c>
      <c r="H681" s="126">
        <v>0</v>
      </c>
      <c r="I681" s="126">
        <v>0</v>
      </c>
      <c r="J681" s="108">
        <v>9810020110</v>
      </c>
      <c r="K681" s="108" t="str">
        <f t="shared" si="30"/>
        <v>9810020110</v>
      </c>
      <c r="L681" s="303" t="str">
        <f t="shared" si="31"/>
        <v>60701139810020110860</v>
      </c>
      <c r="M681" s="132" t="str">
        <f>INDEX('реш СГД № 265'!$A:$N,MATCH('БА расх 2019-2020'!$L681,'реш СГД № 265'!$N:$N,0),3)</f>
        <v>Предоставление платежей, взносов, безвозмездных перечислений субъектам международного права</v>
      </c>
      <c r="N681" s="17">
        <f t="shared" si="32"/>
        <v>1</v>
      </c>
    </row>
    <row r="682" spans="1:14" s="16" customFormat="1" ht="15.75">
      <c r="A682" s="14"/>
      <c r="B682" s="127" t="s">
        <v>517</v>
      </c>
      <c r="C682" s="109" t="s">
        <v>510</v>
      </c>
      <c r="D682" s="108" t="s">
        <v>11</v>
      </c>
      <c r="E682" s="108" t="s">
        <v>51</v>
      </c>
      <c r="F682" s="108" t="s">
        <v>512</v>
      </c>
      <c r="G682" s="108" t="s">
        <v>518</v>
      </c>
      <c r="H682" s="126">
        <v>0</v>
      </c>
      <c r="I682" s="126">
        <v>0</v>
      </c>
      <c r="J682" s="108">
        <v>9810020110</v>
      </c>
      <c r="K682" s="108" t="str">
        <f t="shared" si="30"/>
        <v>9810020110</v>
      </c>
      <c r="L682" s="303" t="str">
        <f t="shared" si="31"/>
        <v>60701139810020110862</v>
      </c>
      <c r="M682" s="132"/>
      <c r="N682" s="17">
        <f t="shared" si="32"/>
        <v>0</v>
      </c>
    </row>
    <row r="683" spans="1:14" s="16" customFormat="1" ht="15.75">
      <c r="A683" s="14"/>
      <c r="B683" s="117" t="s">
        <v>228</v>
      </c>
      <c r="C683" s="118" t="s">
        <v>510</v>
      </c>
      <c r="D683" s="119" t="s">
        <v>229</v>
      </c>
      <c r="E683" s="119" t="s">
        <v>7</v>
      </c>
      <c r="F683" s="119" t="s">
        <v>8</v>
      </c>
      <c r="G683" s="119" t="s">
        <v>9</v>
      </c>
      <c r="H683" s="120">
        <v>0</v>
      </c>
      <c r="I683" s="120">
        <v>0</v>
      </c>
      <c r="J683" s="119">
        <v>0</v>
      </c>
      <c r="K683" s="108" t="str">
        <f t="shared" si="30"/>
        <v>0000000000</v>
      </c>
      <c r="L683" s="303" t="str">
        <f t="shared" si="31"/>
        <v>60707000000000000000</v>
      </c>
      <c r="M683" s="132" t="str">
        <f>INDEX('реш СГД № 265'!$A:$N,MATCH('БА расх 2019-2020'!$L683,'реш СГД № 265'!$N:$N,0),3)</f>
        <v>Образование</v>
      </c>
      <c r="N683" s="17">
        <f t="shared" si="32"/>
        <v>1</v>
      </c>
    </row>
    <row r="684" spans="1:14" s="16" customFormat="1" ht="15.75">
      <c r="A684" s="14"/>
      <c r="B684" s="121" t="s">
        <v>458</v>
      </c>
      <c r="C684" s="122" t="s">
        <v>510</v>
      </c>
      <c r="D684" s="123" t="s">
        <v>229</v>
      </c>
      <c r="E684" s="123" t="s">
        <v>13</v>
      </c>
      <c r="F684" s="123" t="s">
        <v>8</v>
      </c>
      <c r="G684" s="123" t="s">
        <v>9</v>
      </c>
      <c r="H684" s="124">
        <v>0</v>
      </c>
      <c r="I684" s="124">
        <v>0</v>
      </c>
      <c r="J684" s="123">
        <v>0</v>
      </c>
      <c r="K684" s="108" t="str">
        <f t="shared" si="30"/>
        <v>0000000000</v>
      </c>
      <c r="L684" s="303" t="str">
        <f t="shared" si="31"/>
        <v>60707030000000000000</v>
      </c>
      <c r="M684" s="132" t="str">
        <f>INDEX('реш СГД № 265'!$A:$N,MATCH('БА расх 2019-2020'!$L684,'реш СГД № 265'!$N:$N,0),3)</f>
        <v>Дополнительное образование детей</v>
      </c>
      <c r="N684" s="17">
        <f t="shared" si="32"/>
        <v>1</v>
      </c>
    </row>
    <row r="685" spans="1:14" s="16" customFormat="1" ht="31.5">
      <c r="A685" s="14"/>
      <c r="B685" s="125" t="s">
        <v>240</v>
      </c>
      <c r="C685" s="109" t="s">
        <v>510</v>
      </c>
      <c r="D685" s="108" t="s">
        <v>229</v>
      </c>
      <c r="E685" s="108" t="s">
        <v>13</v>
      </c>
      <c r="F685" s="108" t="s">
        <v>241</v>
      </c>
      <c r="G685" s="108" t="s">
        <v>9</v>
      </c>
      <c r="H685" s="126">
        <v>0</v>
      </c>
      <c r="I685" s="126">
        <v>0</v>
      </c>
      <c r="J685" s="108">
        <v>700000000</v>
      </c>
      <c r="K685" s="108" t="str">
        <f t="shared" si="30"/>
        <v>0700000000</v>
      </c>
      <c r="L685" s="303" t="str">
        <f t="shared" si="31"/>
        <v>60707030700000000000</v>
      </c>
      <c r="M685" s="132" t="str">
        <f>INDEX('реш СГД № 265'!$A:$N,MATCH('БА расх 2019-2020'!$L685,'реш СГД № 265'!$N:$N,0),3)</f>
        <v>Муниципальная программа «Культура города Ставрополя»</v>
      </c>
      <c r="N685" s="17">
        <f t="shared" si="32"/>
        <v>1</v>
      </c>
    </row>
    <row r="686" spans="1:14" s="16" customFormat="1" ht="78.75">
      <c r="A686" s="14"/>
      <c r="B686" s="125" t="s">
        <v>242</v>
      </c>
      <c r="C686" s="109" t="s">
        <v>510</v>
      </c>
      <c r="D686" s="108" t="s">
        <v>229</v>
      </c>
      <c r="E686" s="108" t="s">
        <v>13</v>
      </c>
      <c r="F686" s="108" t="s">
        <v>243</v>
      </c>
      <c r="G686" s="108" t="s">
        <v>9</v>
      </c>
      <c r="H686" s="126">
        <v>0</v>
      </c>
      <c r="I686" s="126">
        <v>0</v>
      </c>
      <c r="J686" s="108">
        <v>710000000</v>
      </c>
      <c r="K686" s="108" t="str">
        <f t="shared" si="30"/>
        <v>0710000000</v>
      </c>
      <c r="L686" s="303" t="str">
        <f t="shared" si="31"/>
        <v>60707030710000000000</v>
      </c>
      <c r="M686" s="132" t="str">
        <f>INDEX('реш СГД № 265'!$A:$N,MATCH('БА расх 2019-2020'!$L686,'реш СГД № 265'!$N:$N,0),3)</f>
        <v xml:space="preserve">Подпрограмма «Проведение городских и краевых культурно-массовых мероприятий, посвященных памятным, знаменательным и юбилейным датам в истории России, Ставропольского края, города Ставрополя» </v>
      </c>
      <c r="N686" s="17">
        <f t="shared" si="32"/>
        <v>1</v>
      </c>
    </row>
    <row r="687" spans="1:14" s="16" customFormat="1" ht="110.25">
      <c r="A687" s="14"/>
      <c r="B687" s="125" t="s">
        <v>244</v>
      </c>
      <c r="C687" s="109" t="s">
        <v>510</v>
      </c>
      <c r="D687" s="108" t="s">
        <v>229</v>
      </c>
      <c r="E687" s="108" t="s">
        <v>13</v>
      </c>
      <c r="F687" s="108" t="s">
        <v>245</v>
      </c>
      <c r="G687" s="108" t="s">
        <v>9</v>
      </c>
      <c r="H687" s="126">
        <v>0</v>
      </c>
      <c r="I687" s="126">
        <v>0</v>
      </c>
      <c r="J687" s="108">
        <v>710100000</v>
      </c>
      <c r="K687" s="108" t="str">
        <f t="shared" si="30"/>
        <v>0710100000</v>
      </c>
      <c r="L687" s="303" t="str">
        <f t="shared" si="31"/>
        <v>60707030710100000000</v>
      </c>
      <c r="M687" s="132" t="str">
        <f>INDEX('реш СГД № 265'!$A:$N,MATCH('БА расх 2019-2020'!$L687,'реш СГД № 265'!$N:$N,0),3)</f>
        <v>Основное мероприятие «Обеспечение доступности к культурным ценностям и права на участие в культурной жизни для всех групп населения города Ставрополя, популяризация объектов культурного наследия города Ставрополя, формирование имиджа города Ставрополя как культурного центра Ставропольского края»</v>
      </c>
      <c r="N687" s="17">
        <f t="shared" si="32"/>
        <v>1</v>
      </c>
    </row>
    <row r="688" spans="1:14" s="16" customFormat="1" ht="31.5">
      <c r="A688" s="14"/>
      <c r="B688" s="125" t="s">
        <v>246</v>
      </c>
      <c r="C688" s="109" t="s">
        <v>510</v>
      </c>
      <c r="D688" s="108" t="s">
        <v>229</v>
      </c>
      <c r="E688" s="108" t="s">
        <v>13</v>
      </c>
      <c r="F688" s="108" t="s">
        <v>247</v>
      </c>
      <c r="G688" s="108" t="s">
        <v>9</v>
      </c>
      <c r="H688" s="126">
        <v>0</v>
      </c>
      <c r="I688" s="126">
        <v>0</v>
      </c>
      <c r="J688" s="108">
        <v>710120060</v>
      </c>
      <c r="K688" s="108" t="str">
        <f t="shared" si="30"/>
        <v>0710120060</v>
      </c>
      <c r="L688" s="303" t="str">
        <f t="shared" si="31"/>
        <v>60707030710120060000</v>
      </c>
      <c r="M688" s="132" t="str">
        <f>INDEX('реш СГД № 265'!$A:$N,MATCH('БА расх 2019-2020'!$L688,'реш СГД № 265'!$N:$N,0),3)</f>
        <v>Расходы на проведение культурно-массовых мероприятий в городе Ставрополе</v>
      </c>
      <c r="N688" s="17">
        <f t="shared" si="32"/>
        <v>1</v>
      </c>
    </row>
    <row r="689" spans="1:14" s="16" customFormat="1" ht="15.75">
      <c r="A689" s="14"/>
      <c r="B689" s="132" t="s">
        <v>403</v>
      </c>
      <c r="C689" s="109" t="s">
        <v>510</v>
      </c>
      <c r="D689" s="108" t="s">
        <v>229</v>
      </c>
      <c r="E689" s="108" t="s">
        <v>13</v>
      </c>
      <c r="F689" s="108" t="s">
        <v>247</v>
      </c>
      <c r="G689" s="108" t="s">
        <v>404</v>
      </c>
      <c r="H689" s="126">
        <v>0</v>
      </c>
      <c r="I689" s="126">
        <v>0</v>
      </c>
      <c r="J689" s="108">
        <v>710120060</v>
      </c>
      <c r="K689" s="108" t="str">
        <f t="shared" si="30"/>
        <v>0710120060</v>
      </c>
      <c r="L689" s="303" t="str">
        <f t="shared" si="31"/>
        <v>60707030710120060610</v>
      </c>
      <c r="M689" s="132" t="str">
        <f>INDEX('реш СГД № 265'!$A:$N,MATCH('БА расх 2019-2020'!$L689,'реш СГД № 265'!$N:$N,0),3)</f>
        <v>Субсидии бюджетным учреждениям</v>
      </c>
      <c r="N689" s="17">
        <f t="shared" si="32"/>
        <v>1</v>
      </c>
    </row>
    <row r="690" spans="1:14" s="23" customFormat="1" ht="63">
      <c r="A690" s="21"/>
      <c r="B690" s="127" t="s">
        <v>405</v>
      </c>
      <c r="C690" s="109" t="s">
        <v>510</v>
      </c>
      <c r="D690" s="108" t="s">
        <v>229</v>
      </c>
      <c r="E690" s="108" t="s">
        <v>13</v>
      </c>
      <c r="F690" s="108" t="s">
        <v>247</v>
      </c>
      <c r="G690" s="108" t="s">
        <v>406</v>
      </c>
      <c r="H690" s="126">
        <v>0</v>
      </c>
      <c r="I690" s="126">
        <v>0</v>
      </c>
      <c r="J690" s="108">
        <v>710120060</v>
      </c>
      <c r="K690" s="108" t="str">
        <f t="shared" si="30"/>
        <v>0710120060</v>
      </c>
      <c r="L690" s="303" t="str">
        <f t="shared" si="31"/>
        <v>60707030710120060611</v>
      </c>
      <c r="M690" s="132"/>
      <c r="N690" s="17">
        <f t="shared" si="32"/>
        <v>0</v>
      </c>
    </row>
    <row r="691" spans="1:14" s="16" customFormat="1" ht="15.75">
      <c r="A691" s="14"/>
      <c r="B691" s="140" t="s">
        <v>409</v>
      </c>
      <c r="C691" s="109" t="s">
        <v>510</v>
      </c>
      <c r="D691" s="108" t="s">
        <v>229</v>
      </c>
      <c r="E691" s="108" t="s">
        <v>13</v>
      </c>
      <c r="F691" s="108" t="s">
        <v>247</v>
      </c>
      <c r="G691" s="108" t="s">
        <v>410</v>
      </c>
      <c r="H691" s="126">
        <v>0</v>
      </c>
      <c r="I691" s="126">
        <v>0</v>
      </c>
      <c r="J691" s="108">
        <v>710120060</v>
      </c>
      <c r="K691" s="108" t="str">
        <f t="shared" si="30"/>
        <v>0710120060</v>
      </c>
      <c r="L691" s="303" t="str">
        <f t="shared" si="31"/>
        <v>60707030710120060620</v>
      </c>
      <c r="M691" s="132" t="str">
        <f>INDEX('реш СГД № 265'!$A:$N,MATCH('БА расх 2019-2020'!$L691,'реш СГД № 265'!$N:$N,0),3)</f>
        <v>Субсидии автономным учреждениям</v>
      </c>
      <c r="N691" s="17">
        <f t="shared" si="32"/>
        <v>1</v>
      </c>
    </row>
    <row r="692" spans="1:14" s="23" customFormat="1" ht="63">
      <c r="A692" s="21"/>
      <c r="B692" s="127" t="s">
        <v>411</v>
      </c>
      <c r="C692" s="109" t="s">
        <v>510</v>
      </c>
      <c r="D692" s="108" t="s">
        <v>229</v>
      </c>
      <c r="E692" s="108" t="s">
        <v>13</v>
      </c>
      <c r="F692" s="108" t="s">
        <v>247</v>
      </c>
      <c r="G692" s="108" t="s">
        <v>412</v>
      </c>
      <c r="H692" s="126">
        <v>0</v>
      </c>
      <c r="I692" s="126">
        <v>0</v>
      </c>
      <c r="J692" s="108">
        <v>710120060</v>
      </c>
      <c r="K692" s="108" t="str">
        <f t="shared" si="30"/>
        <v>0710120060</v>
      </c>
      <c r="L692" s="303" t="str">
        <f t="shared" si="31"/>
        <v>60707030710120060621</v>
      </c>
      <c r="M692" s="132"/>
      <c r="N692" s="17">
        <f t="shared" si="32"/>
        <v>0</v>
      </c>
    </row>
    <row r="693" spans="1:14" s="16" customFormat="1" ht="31.5">
      <c r="A693" s="14"/>
      <c r="B693" s="125" t="s">
        <v>519</v>
      </c>
      <c r="C693" s="109" t="s">
        <v>510</v>
      </c>
      <c r="D693" s="108" t="s">
        <v>229</v>
      </c>
      <c r="E693" s="108" t="s">
        <v>13</v>
      </c>
      <c r="F693" s="108" t="s">
        <v>520</v>
      </c>
      <c r="G693" s="108" t="s">
        <v>9</v>
      </c>
      <c r="H693" s="126">
        <v>0</v>
      </c>
      <c r="I693" s="126">
        <v>0</v>
      </c>
      <c r="J693" s="108">
        <v>720000000</v>
      </c>
      <c r="K693" s="108" t="str">
        <f t="shared" si="30"/>
        <v>0720000000</v>
      </c>
      <c r="L693" s="303" t="str">
        <f t="shared" si="31"/>
        <v>60707030720000000000</v>
      </c>
      <c r="M693" s="132" t="str">
        <f>INDEX('реш СГД № 265'!$A:$N,MATCH('БА расх 2019-2020'!$L693,'реш СГД № 265'!$N:$N,0),3)</f>
        <v>Подпрограмма «Развитие культуры города Ставрополя»</v>
      </c>
      <c r="N693" s="17">
        <f t="shared" si="32"/>
        <v>1</v>
      </c>
    </row>
    <row r="694" spans="1:14" s="16" customFormat="1" ht="63">
      <c r="A694" s="14"/>
      <c r="B694" s="125" t="s">
        <v>521</v>
      </c>
      <c r="C694" s="109" t="s">
        <v>510</v>
      </c>
      <c r="D694" s="108" t="s">
        <v>229</v>
      </c>
      <c r="E694" s="108" t="s">
        <v>13</v>
      </c>
      <c r="F694" s="108" t="s">
        <v>522</v>
      </c>
      <c r="G694" s="108" t="s">
        <v>9</v>
      </c>
      <c r="H694" s="126">
        <v>0</v>
      </c>
      <c r="I694" s="126">
        <v>0</v>
      </c>
      <c r="J694" s="108">
        <v>720100000</v>
      </c>
      <c r="K694" s="108" t="str">
        <f t="shared" si="30"/>
        <v>0720100000</v>
      </c>
      <c r="L694" s="303" t="str">
        <f t="shared" si="31"/>
        <v>60707030720100000000</v>
      </c>
      <c r="M694" s="132" t="str">
        <f>INDEX('реш СГД № 265'!$A:$N,MATCH('БА расх 2019-2020'!$L694,'реш СГД № 265'!$N:$N,0),3)</f>
        <v xml:space="preserve">Основное мероприятие «Обеспечение деятельности муниципальных учреждений  дополнительного образования детей в отрасли «Культура» города Ставрополя» </v>
      </c>
      <c r="N694" s="17">
        <f t="shared" si="32"/>
        <v>1</v>
      </c>
    </row>
    <row r="695" spans="1:14" s="16" customFormat="1" ht="31.5">
      <c r="A695" s="14"/>
      <c r="B695" s="125" t="s">
        <v>136</v>
      </c>
      <c r="C695" s="109" t="s">
        <v>510</v>
      </c>
      <c r="D695" s="108" t="s">
        <v>229</v>
      </c>
      <c r="E695" s="108" t="s">
        <v>13</v>
      </c>
      <c r="F695" s="108" t="s">
        <v>523</v>
      </c>
      <c r="G695" s="108" t="s">
        <v>9</v>
      </c>
      <c r="H695" s="126">
        <v>0</v>
      </c>
      <c r="I695" s="126">
        <v>0</v>
      </c>
      <c r="J695" s="108">
        <v>720111010</v>
      </c>
      <c r="K695" s="108" t="str">
        <f t="shared" si="30"/>
        <v>0720111010</v>
      </c>
      <c r="L695" s="303" t="str">
        <f t="shared" si="31"/>
        <v>60707030720111010000</v>
      </c>
      <c r="M695" s="132" t="str">
        <f>INDEX('реш СГД № 265'!$A:$N,MATCH('БА расх 2019-2020'!$L695,'реш СГД № 265'!$N:$N,0),3)</f>
        <v>Расходы на обеспечение деятельности (оказание услуг) муниципальных учреждений</v>
      </c>
      <c r="N695" s="17">
        <f t="shared" si="32"/>
        <v>1</v>
      </c>
    </row>
    <row r="696" spans="1:14" s="16" customFormat="1" ht="15.75">
      <c r="A696" s="14"/>
      <c r="B696" s="125" t="s">
        <v>403</v>
      </c>
      <c r="C696" s="109" t="s">
        <v>510</v>
      </c>
      <c r="D696" s="108" t="s">
        <v>229</v>
      </c>
      <c r="E696" s="108" t="s">
        <v>13</v>
      </c>
      <c r="F696" s="108" t="s">
        <v>523</v>
      </c>
      <c r="G696" s="108" t="s">
        <v>404</v>
      </c>
      <c r="H696" s="126">
        <v>0</v>
      </c>
      <c r="I696" s="126">
        <v>0</v>
      </c>
      <c r="J696" s="108">
        <v>720111010</v>
      </c>
      <c r="K696" s="108" t="str">
        <f t="shared" si="30"/>
        <v>0720111010</v>
      </c>
      <c r="L696" s="303" t="str">
        <f t="shared" si="31"/>
        <v>60707030720111010610</v>
      </c>
      <c r="M696" s="132" t="str">
        <f>INDEX('реш СГД № 265'!$A:$N,MATCH('БА расх 2019-2020'!$L696,'реш СГД № 265'!$N:$N,0),3)</f>
        <v>Субсидии бюджетным учреждениям</v>
      </c>
      <c r="N696" s="17">
        <f t="shared" si="32"/>
        <v>1</v>
      </c>
    </row>
    <row r="697" spans="1:14" s="23" customFormat="1" ht="63">
      <c r="A697" s="21"/>
      <c r="B697" s="127" t="s">
        <v>405</v>
      </c>
      <c r="C697" s="109" t="s">
        <v>510</v>
      </c>
      <c r="D697" s="108" t="s">
        <v>229</v>
      </c>
      <c r="E697" s="108" t="s">
        <v>13</v>
      </c>
      <c r="F697" s="108" t="s">
        <v>523</v>
      </c>
      <c r="G697" s="108" t="s">
        <v>406</v>
      </c>
      <c r="H697" s="126">
        <v>0</v>
      </c>
      <c r="I697" s="126">
        <v>0</v>
      </c>
      <c r="J697" s="108">
        <v>720111010</v>
      </c>
      <c r="K697" s="108" t="str">
        <f t="shared" si="30"/>
        <v>0720111010</v>
      </c>
      <c r="L697" s="303" t="str">
        <f t="shared" si="31"/>
        <v>60707030720111010611</v>
      </c>
      <c r="M697" s="132"/>
      <c r="N697" s="17">
        <f t="shared" si="32"/>
        <v>0</v>
      </c>
    </row>
    <row r="698" spans="1:14" s="17" customFormat="1" ht="15.75">
      <c r="A698" s="14"/>
      <c r="B698" s="125" t="s">
        <v>409</v>
      </c>
      <c r="C698" s="109" t="s">
        <v>510</v>
      </c>
      <c r="D698" s="108" t="s">
        <v>229</v>
      </c>
      <c r="E698" s="108" t="s">
        <v>13</v>
      </c>
      <c r="F698" s="108" t="s">
        <v>523</v>
      </c>
      <c r="G698" s="108" t="s">
        <v>410</v>
      </c>
      <c r="H698" s="126">
        <v>0</v>
      </c>
      <c r="I698" s="126">
        <v>0</v>
      </c>
      <c r="J698" s="108">
        <v>720111010</v>
      </c>
      <c r="K698" s="108" t="str">
        <f t="shared" si="30"/>
        <v>0720111010</v>
      </c>
      <c r="L698" s="303" t="str">
        <f t="shared" si="31"/>
        <v>60707030720111010620</v>
      </c>
      <c r="M698" s="132" t="str">
        <f>INDEX('реш СГД № 265'!$A:$N,MATCH('БА расх 2019-2020'!$L698,'реш СГД № 265'!$N:$N,0),3)</f>
        <v>Субсидии автономным учреждениям</v>
      </c>
      <c r="N698" s="17">
        <f t="shared" si="32"/>
        <v>1</v>
      </c>
    </row>
    <row r="699" spans="1:14" s="24" customFormat="1" ht="63">
      <c r="A699" s="21"/>
      <c r="B699" s="127" t="s">
        <v>411</v>
      </c>
      <c r="C699" s="109" t="s">
        <v>510</v>
      </c>
      <c r="D699" s="108" t="s">
        <v>229</v>
      </c>
      <c r="E699" s="108" t="s">
        <v>13</v>
      </c>
      <c r="F699" s="108" t="s">
        <v>523</v>
      </c>
      <c r="G699" s="108" t="s">
        <v>412</v>
      </c>
      <c r="H699" s="126">
        <v>0</v>
      </c>
      <c r="I699" s="126">
        <v>0</v>
      </c>
      <c r="J699" s="108">
        <v>720111010</v>
      </c>
      <c r="K699" s="108" t="str">
        <f t="shared" si="30"/>
        <v>0720111010</v>
      </c>
      <c r="L699" s="303" t="str">
        <f t="shared" si="31"/>
        <v>60707030720111010621</v>
      </c>
      <c r="M699" s="132"/>
      <c r="N699" s="17">
        <f t="shared" si="32"/>
        <v>0</v>
      </c>
    </row>
    <row r="700" spans="1:14" s="24" customFormat="1" ht="63">
      <c r="A700" s="21"/>
      <c r="B700" s="125" t="s">
        <v>524</v>
      </c>
      <c r="C700" s="109" t="s">
        <v>510</v>
      </c>
      <c r="D700" s="108" t="s">
        <v>229</v>
      </c>
      <c r="E700" s="108" t="s">
        <v>13</v>
      </c>
      <c r="F700" s="108" t="s">
        <v>525</v>
      </c>
      <c r="G700" s="108" t="s">
        <v>9</v>
      </c>
      <c r="H700" s="126">
        <v>0</v>
      </c>
      <c r="I700" s="126">
        <v>0</v>
      </c>
      <c r="J700" s="108">
        <v>720600000</v>
      </c>
      <c r="K700" s="108" t="str">
        <f t="shared" si="30"/>
        <v>0720600000</v>
      </c>
      <c r="L700" s="303" t="str">
        <f t="shared" si="31"/>
        <v>60707030720600000000</v>
      </c>
      <c r="M700" s="132" t="str">
        <f>INDEX('реш СГД № 265'!$A:$N,MATCH('БА расх 2019-2020'!$L700,'реш СГД № 265'!$N:$N,0),3)</f>
        <v>Основное мероприятие «Сохранение объектов культурного наследия (памятников истории и культуры), находящихся в муниципальной собственности города Ставрополя»</v>
      </c>
      <c r="N700" s="17">
        <f t="shared" si="32"/>
        <v>1</v>
      </c>
    </row>
    <row r="701" spans="1:14" s="24" customFormat="1" ht="47.25">
      <c r="A701" s="21"/>
      <c r="B701" s="125" t="s">
        <v>526</v>
      </c>
      <c r="C701" s="109" t="s">
        <v>510</v>
      </c>
      <c r="D701" s="108" t="s">
        <v>229</v>
      </c>
      <c r="E701" s="108" t="s">
        <v>13</v>
      </c>
      <c r="F701" s="108" t="s">
        <v>527</v>
      </c>
      <c r="G701" s="108" t="s">
        <v>9</v>
      </c>
      <c r="H701" s="126">
        <v>0</v>
      </c>
      <c r="I701" s="126">
        <v>0</v>
      </c>
      <c r="J701" s="108">
        <v>720620400</v>
      </c>
      <c r="K701" s="108" t="str">
        <f t="shared" si="30"/>
        <v>0720620400</v>
      </c>
      <c r="L701" s="303" t="str">
        <f t="shared" si="31"/>
        <v>60707030720620400000</v>
      </c>
      <c r="M701" s="132" t="str">
        <f>INDEX('реш СГД № 265'!$A:$N,MATCH('БА расх 2019-2020'!$L701,'реш СГД № 265'!$N:$N,0),3)</f>
        <v>Расходы на реализацию мероприятий, направленных на сохранение историко-культурного наследия города Ставрополя</v>
      </c>
      <c r="N701" s="17">
        <f t="shared" si="32"/>
        <v>1</v>
      </c>
    </row>
    <row r="702" spans="1:14" s="24" customFormat="1" ht="15.75">
      <c r="A702" s="21"/>
      <c r="B702" s="132" t="s">
        <v>403</v>
      </c>
      <c r="C702" s="109" t="s">
        <v>510</v>
      </c>
      <c r="D702" s="108" t="s">
        <v>229</v>
      </c>
      <c r="E702" s="108" t="s">
        <v>13</v>
      </c>
      <c r="F702" s="108" t="s">
        <v>527</v>
      </c>
      <c r="G702" s="108" t="s">
        <v>404</v>
      </c>
      <c r="H702" s="126">
        <v>0</v>
      </c>
      <c r="I702" s="126">
        <v>0</v>
      </c>
      <c r="J702" s="108">
        <v>720620400</v>
      </c>
      <c r="K702" s="108" t="str">
        <f t="shared" si="30"/>
        <v>0720620400</v>
      </c>
      <c r="L702" s="303" t="str">
        <f t="shared" si="31"/>
        <v>60707030720620400610</v>
      </c>
      <c r="M702" s="132" t="str">
        <f>INDEX('реш СГД № 265'!$A:$N,MATCH('БА расх 2019-2020'!$L702,'реш СГД № 265'!$N:$N,0),3)</f>
        <v>Субсидии бюджетным учреждениям</v>
      </c>
      <c r="N702" s="17">
        <f t="shared" si="32"/>
        <v>1</v>
      </c>
    </row>
    <row r="703" spans="1:14" s="24" customFormat="1" ht="15.75">
      <c r="A703" s="21"/>
      <c r="B703" s="127" t="s">
        <v>407</v>
      </c>
      <c r="C703" s="109" t="s">
        <v>510</v>
      </c>
      <c r="D703" s="108" t="s">
        <v>229</v>
      </c>
      <c r="E703" s="108" t="s">
        <v>13</v>
      </c>
      <c r="F703" s="108" t="s">
        <v>527</v>
      </c>
      <c r="G703" s="108" t="s">
        <v>408</v>
      </c>
      <c r="H703" s="126">
        <v>0</v>
      </c>
      <c r="I703" s="126">
        <v>0</v>
      </c>
      <c r="J703" s="108">
        <v>720620400</v>
      </c>
      <c r="K703" s="108" t="str">
        <f t="shared" si="30"/>
        <v>0720620400</v>
      </c>
      <c r="L703" s="303" t="str">
        <f t="shared" si="31"/>
        <v>60707030720620400612</v>
      </c>
      <c r="M703" s="132"/>
      <c r="N703" s="17">
        <f t="shared" si="32"/>
        <v>0</v>
      </c>
    </row>
    <row r="704" spans="1:14" s="16" customFormat="1" ht="141.75">
      <c r="A704" s="14"/>
      <c r="B704" s="132" t="s">
        <v>528</v>
      </c>
      <c r="C704" s="109" t="s">
        <v>510</v>
      </c>
      <c r="D704" s="108" t="s">
        <v>229</v>
      </c>
      <c r="E704" s="108" t="s">
        <v>13</v>
      </c>
      <c r="F704" s="108" t="s">
        <v>529</v>
      </c>
      <c r="G704" s="108" t="s">
        <v>9</v>
      </c>
      <c r="H704" s="126">
        <v>0</v>
      </c>
      <c r="I704" s="126">
        <v>0</v>
      </c>
      <c r="J704" s="108">
        <v>720800000</v>
      </c>
      <c r="K704" s="108" t="str">
        <f t="shared" si="30"/>
        <v>0720800000</v>
      </c>
      <c r="L704" s="303" t="str">
        <f t="shared" si="31"/>
        <v>60707030720800000000</v>
      </c>
      <c r="M704" s="132" t="str">
        <f>INDEX('реш СГД № 265'!$A:$N,MATCH('БА расх 2019-2020'!$L704,'реш СГД № 265'!$N:$N,0),3)</f>
        <v>Основное мероприятие «Участие учащихся муниципальных учреждений дополнительного образования детей в отрасли «Культура» города Ставрополя и профессиональных творческих коллективов, концертных исполнителей муниципальных учреждений культуры в фестивалях и конкурсах исполнительского мастерства, проведение фестивалей и конкурсов исполнительского мастерства»</v>
      </c>
      <c r="N704" s="17">
        <f t="shared" si="32"/>
        <v>1</v>
      </c>
    </row>
    <row r="705" spans="1:14" s="16" customFormat="1" ht="126">
      <c r="A705" s="14"/>
      <c r="B705" s="125" t="s">
        <v>530</v>
      </c>
      <c r="C705" s="109" t="s">
        <v>510</v>
      </c>
      <c r="D705" s="108" t="s">
        <v>229</v>
      </c>
      <c r="E705" s="108" t="s">
        <v>13</v>
      </c>
      <c r="F705" s="108" t="s">
        <v>531</v>
      </c>
      <c r="G705" s="108" t="s">
        <v>9</v>
      </c>
      <c r="H705" s="126">
        <v>0</v>
      </c>
      <c r="I705" s="126">
        <v>0</v>
      </c>
      <c r="J705" s="108">
        <v>720821230</v>
      </c>
      <c r="K705" s="108" t="str">
        <f t="shared" si="30"/>
        <v>0720821230</v>
      </c>
      <c r="L705" s="303" t="str">
        <f t="shared" si="31"/>
        <v>60707030720821230000</v>
      </c>
      <c r="M705" s="132" t="str">
        <f>INDEX('реш СГД № 265'!$A:$N,MATCH('БА расх 2019-2020'!$L705,'реш СГД № 265'!$N:$N,0),3)</f>
        <v>Расходы на участие учащихся муниципальных учреждений дополнительного образования детей в отрасли «Культура» города Ставрополя и профессиональных творческих коллективов, концертных исполнителей муниципальных учреждений культуры в фестивалях и конкурсах исполнительского мастерства, проведение фестивалей и конкурсов исполнительского мастерства</v>
      </c>
      <c r="N705" s="17">
        <f t="shared" si="32"/>
        <v>1</v>
      </c>
    </row>
    <row r="706" spans="1:14" s="16" customFormat="1" ht="15.75">
      <c r="A706" s="14"/>
      <c r="B706" s="132" t="s">
        <v>403</v>
      </c>
      <c r="C706" s="109" t="s">
        <v>510</v>
      </c>
      <c r="D706" s="108" t="s">
        <v>229</v>
      </c>
      <c r="E706" s="108" t="s">
        <v>13</v>
      </c>
      <c r="F706" s="108" t="s">
        <v>531</v>
      </c>
      <c r="G706" s="108" t="s">
        <v>404</v>
      </c>
      <c r="H706" s="126">
        <v>0</v>
      </c>
      <c r="I706" s="126">
        <v>0</v>
      </c>
      <c r="J706" s="108">
        <v>720821230</v>
      </c>
      <c r="K706" s="108" t="str">
        <f t="shared" si="30"/>
        <v>0720821230</v>
      </c>
      <c r="L706" s="303" t="str">
        <f t="shared" si="31"/>
        <v>60707030720821230610</v>
      </c>
      <c r="M706" s="132" t="str">
        <f>INDEX('реш СГД № 265'!$A:$N,MATCH('БА расх 2019-2020'!$L706,'реш СГД № 265'!$N:$N,0),3)</f>
        <v>Субсидии бюджетным учреждениям</v>
      </c>
      <c r="N706" s="17">
        <f t="shared" si="32"/>
        <v>1</v>
      </c>
    </row>
    <row r="707" spans="1:14" s="23" customFormat="1" ht="15.75">
      <c r="A707" s="21"/>
      <c r="B707" s="127" t="s">
        <v>407</v>
      </c>
      <c r="C707" s="109" t="s">
        <v>510</v>
      </c>
      <c r="D707" s="108" t="s">
        <v>229</v>
      </c>
      <c r="E707" s="108" t="s">
        <v>13</v>
      </c>
      <c r="F707" s="108" t="s">
        <v>531</v>
      </c>
      <c r="G707" s="108" t="s">
        <v>408</v>
      </c>
      <c r="H707" s="126">
        <v>0</v>
      </c>
      <c r="I707" s="126">
        <v>0</v>
      </c>
      <c r="J707" s="108">
        <v>720821230</v>
      </c>
      <c r="K707" s="108" t="str">
        <f t="shared" si="30"/>
        <v>0720821230</v>
      </c>
      <c r="L707" s="303" t="str">
        <f t="shared" si="31"/>
        <v>60707030720821230612</v>
      </c>
      <c r="M707" s="132"/>
      <c r="N707" s="17">
        <f t="shared" si="32"/>
        <v>0</v>
      </c>
    </row>
    <row r="708" spans="1:14" s="16" customFormat="1" ht="47.25">
      <c r="A708" s="14"/>
      <c r="B708" s="132" t="s">
        <v>532</v>
      </c>
      <c r="C708" s="109" t="s">
        <v>510</v>
      </c>
      <c r="D708" s="108" t="s">
        <v>229</v>
      </c>
      <c r="E708" s="108" t="s">
        <v>13</v>
      </c>
      <c r="F708" s="108" t="s">
        <v>533</v>
      </c>
      <c r="G708" s="108" t="s">
        <v>9</v>
      </c>
      <c r="H708" s="126">
        <v>0</v>
      </c>
      <c r="I708" s="126">
        <v>0</v>
      </c>
      <c r="J708" s="108">
        <v>720900000</v>
      </c>
      <c r="K708" s="108" t="str">
        <f t="shared" si="30"/>
        <v>0720900000</v>
      </c>
      <c r="L708" s="303" t="str">
        <f t="shared" si="31"/>
        <v>60707030720900000000</v>
      </c>
      <c r="M708" s="132" t="str">
        <f>INDEX('реш СГД № 265'!$A:$N,MATCH('БА расх 2019-2020'!$L708,'реш СГД № 265'!$N:$N,0),3)</f>
        <v>Основное мероприятие «Модернизация материально-технической базы муниципальных учреждений отрасли «Культура» города Ставрополя»</v>
      </c>
      <c r="N708" s="17">
        <f t="shared" si="32"/>
        <v>1</v>
      </c>
    </row>
    <row r="709" spans="1:14" s="16" customFormat="1" ht="47.25">
      <c r="A709" s="14"/>
      <c r="B709" s="132" t="s">
        <v>534</v>
      </c>
      <c r="C709" s="109" t="s">
        <v>510</v>
      </c>
      <c r="D709" s="108" t="s">
        <v>229</v>
      </c>
      <c r="E709" s="108" t="s">
        <v>13</v>
      </c>
      <c r="F709" s="108" t="s">
        <v>535</v>
      </c>
      <c r="G709" s="108" t="s">
        <v>9</v>
      </c>
      <c r="H709" s="126">
        <v>0</v>
      </c>
      <c r="I709" s="126">
        <v>0</v>
      </c>
      <c r="J709" s="108">
        <v>720921280</v>
      </c>
      <c r="K709" s="108" t="str">
        <f t="shared" si="30"/>
        <v>0720921280</v>
      </c>
      <c r="L709" s="303" t="str">
        <f t="shared" si="31"/>
        <v>60707030720921280000</v>
      </c>
      <c r="M709" s="132" t="str">
        <f>INDEX('реш СГД № 265'!$A:$N,MATCH('БА расх 2019-2020'!$L709,'реш СГД № 265'!$N:$N,0),3)</f>
        <v>Расходы на модернизацию материально-технической базы муниципальных учреждений отрасли «Культура» города Ставрополя</v>
      </c>
      <c r="N709" s="17">
        <f t="shared" si="32"/>
        <v>1</v>
      </c>
    </row>
    <row r="710" spans="1:14" s="16" customFormat="1" ht="15.75">
      <c r="A710" s="14"/>
      <c r="B710" s="132" t="s">
        <v>403</v>
      </c>
      <c r="C710" s="109" t="s">
        <v>510</v>
      </c>
      <c r="D710" s="108" t="s">
        <v>229</v>
      </c>
      <c r="E710" s="108" t="s">
        <v>13</v>
      </c>
      <c r="F710" s="108" t="s">
        <v>535</v>
      </c>
      <c r="G710" s="108" t="s">
        <v>404</v>
      </c>
      <c r="H710" s="126">
        <v>0</v>
      </c>
      <c r="I710" s="126">
        <v>0</v>
      </c>
      <c r="J710" s="108">
        <v>720921280</v>
      </c>
      <c r="K710" s="108" t="str">
        <f t="shared" si="30"/>
        <v>0720921280</v>
      </c>
      <c r="L710" s="303" t="str">
        <f t="shared" si="31"/>
        <v>60707030720921280610</v>
      </c>
      <c r="M710" s="132" t="str">
        <f>INDEX('реш СГД № 265'!$A:$N,MATCH('БА расх 2019-2020'!$L710,'реш СГД № 265'!$N:$N,0),3)</f>
        <v>Субсидии бюджетным учреждениям</v>
      </c>
      <c r="N710" s="17">
        <f t="shared" si="32"/>
        <v>1</v>
      </c>
    </row>
    <row r="711" spans="1:14" s="23" customFormat="1" ht="15.75">
      <c r="A711" s="21"/>
      <c r="B711" s="127" t="s">
        <v>407</v>
      </c>
      <c r="C711" s="109" t="s">
        <v>510</v>
      </c>
      <c r="D711" s="108" t="s">
        <v>229</v>
      </c>
      <c r="E711" s="108" t="s">
        <v>13</v>
      </c>
      <c r="F711" s="108" t="s">
        <v>535</v>
      </c>
      <c r="G711" s="108" t="s">
        <v>408</v>
      </c>
      <c r="H711" s="126">
        <v>0</v>
      </c>
      <c r="I711" s="126">
        <v>0</v>
      </c>
      <c r="J711" s="108">
        <v>720921280</v>
      </c>
      <c r="K711" s="108" t="str">
        <f t="shared" si="30"/>
        <v>0720921280</v>
      </c>
      <c r="L711" s="303" t="str">
        <f t="shared" si="31"/>
        <v>60707030720921280612</v>
      </c>
      <c r="M711" s="132"/>
      <c r="N711" s="17">
        <f t="shared" si="32"/>
        <v>0</v>
      </c>
    </row>
    <row r="712" spans="1:14" s="16" customFormat="1" ht="15.75">
      <c r="A712" s="14"/>
      <c r="B712" s="132" t="s">
        <v>409</v>
      </c>
      <c r="C712" s="109" t="s">
        <v>510</v>
      </c>
      <c r="D712" s="108" t="s">
        <v>229</v>
      </c>
      <c r="E712" s="108" t="s">
        <v>13</v>
      </c>
      <c r="F712" s="108" t="s">
        <v>535</v>
      </c>
      <c r="G712" s="108" t="s">
        <v>410</v>
      </c>
      <c r="H712" s="126">
        <v>0</v>
      </c>
      <c r="I712" s="126">
        <v>0</v>
      </c>
      <c r="J712" s="108">
        <v>720921280</v>
      </c>
      <c r="K712" s="108" t="str">
        <f t="shared" si="30"/>
        <v>0720921280</v>
      </c>
      <c r="L712" s="303" t="str">
        <f t="shared" si="31"/>
        <v>60707030720921280620</v>
      </c>
      <c r="M712" s="132" t="str">
        <f>INDEX('реш СГД № 265'!$A:$N,MATCH('БА расх 2019-2020'!$L712,'реш СГД № 265'!$N:$N,0),3)</f>
        <v>Субсидии автономным учреждениям</v>
      </c>
      <c r="N712" s="17">
        <f t="shared" si="32"/>
        <v>1</v>
      </c>
    </row>
    <row r="713" spans="1:14" s="23" customFormat="1" ht="15.75">
      <c r="A713" s="21"/>
      <c r="B713" s="127" t="s">
        <v>428</v>
      </c>
      <c r="C713" s="109" t="s">
        <v>510</v>
      </c>
      <c r="D713" s="108" t="s">
        <v>229</v>
      </c>
      <c r="E713" s="108" t="s">
        <v>13</v>
      </c>
      <c r="F713" s="108" t="s">
        <v>535</v>
      </c>
      <c r="G713" s="108" t="s">
        <v>429</v>
      </c>
      <c r="H713" s="126">
        <v>0</v>
      </c>
      <c r="I713" s="126">
        <v>0</v>
      </c>
      <c r="J713" s="108">
        <v>720921280</v>
      </c>
      <c r="K713" s="108" t="str">
        <f t="shared" si="30"/>
        <v>0720921280</v>
      </c>
      <c r="L713" s="303" t="str">
        <f t="shared" si="31"/>
        <v>60707030720921280622</v>
      </c>
      <c r="M713" s="132"/>
      <c r="N713" s="17">
        <f t="shared" si="32"/>
        <v>0</v>
      </c>
    </row>
    <row r="714" spans="1:14" s="16" customFormat="1" ht="94.5">
      <c r="A714" s="14"/>
      <c r="B714" s="125" t="s">
        <v>420</v>
      </c>
      <c r="C714" s="109" t="s">
        <v>510</v>
      </c>
      <c r="D714" s="108" t="s">
        <v>229</v>
      </c>
      <c r="E714" s="108" t="s">
        <v>13</v>
      </c>
      <c r="F714" s="108" t="s">
        <v>421</v>
      </c>
      <c r="G714" s="108" t="s">
        <v>9</v>
      </c>
      <c r="H714" s="126">
        <v>0</v>
      </c>
      <c r="I714" s="126">
        <v>0</v>
      </c>
      <c r="J714" s="108">
        <v>1600000000</v>
      </c>
      <c r="K714" s="108" t="str">
        <f t="shared" si="30"/>
        <v>1600000000</v>
      </c>
      <c r="L714" s="303" t="str">
        <f t="shared" si="31"/>
        <v>60707031600000000000</v>
      </c>
      <c r="M714" s="132" t="str">
        <f>INDEX('реш СГД № 265'!$A:$N,MATCH('БА расх 2019-2020'!$L714,'реш СГД № 265'!$N:$N,0),3)</f>
        <v>Муниципальная программа «Обеспечение гражданской обороны, пожарной безопасности, безопасности людей на водных объектах, организация деятельности аварийно-спасательных служб, защита населения и территории города Ставрополя от чрезвычайных ситуаций»</v>
      </c>
      <c r="N714" s="17">
        <f t="shared" si="32"/>
        <v>1</v>
      </c>
    </row>
    <row r="715" spans="1:14" s="16" customFormat="1" ht="31.5">
      <c r="A715" s="14"/>
      <c r="B715" s="125" t="s">
        <v>422</v>
      </c>
      <c r="C715" s="109" t="s">
        <v>510</v>
      </c>
      <c r="D715" s="108" t="s">
        <v>229</v>
      </c>
      <c r="E715" s="108" t="s">
        <v>13</v>
      </c>
      <c r="F715" s="108" t="s">
        <v>423</v>
      </c>
      <c r="G715" s="108" t="s">
        <v>9</v>
      </c>
      <c r="H715" s="126">
        <v>0</v>
      </c>
      <c r="I715" s="126">
        <v>0</v>
      </c>
      <c r="J715" s="108">
        <v>1620000000</v>
      </c>
      <c r="K715" s="108" t="str">
        <f t="shared" si="30"/>
        <v>1620000000</v>
      </c>
      <c r="L715" s="303" t="str">
        <f t="shared" si="31"/>
        <v>60707031620000000000</v>
      </c>
      <c r="M715" s="132" t="str">
        <f>INDEX('реш СГД № 265'!$A:$N,MATCH('БА расх 2019-2020'!$L715,'реш СГД № 265'!$N:$N,0),3)</f>
        <v>Подпрограмма «Обеспечение пожарной безопасности в границах города Ставрополя»</v>
      </c>
      <c r="N715" s="17">
        <f t="shared" si="32"/>
        <v>1</v>
      </c>
    </row>
    <row r="716" spans="1:14" s="16" customFormat="1" ht="47.25">
      <c r="A716" s="14"/>
      <c r="B716" s="125" t="s">
        <v>424</v>
      </c>
      <c r="C716" s="109" t="s">
        <v>510</v>
      </c>
      <c r="D716" s="108" t="s">
        <v>229</v>
      </c>
      <c r="E716" s="108" t="s">
        <v>13</v>
      </c>
      <c r="F716" s="108" t="s">
        <v>425</v>
      </c>
      <c r="G716" s="108" t="s">
        <v>9</v>
      </c>
      <c r="H716" s="126">
        <v>0</v>
      </c>
      <c r="I716" s="126">
        <v>0</v>
      </c>
      <c r="J716" s="108">
        <v>1620200000</v>
      </c>
      <c r="K716" s="108" t="str">
        <f t="shared" si="30"/>
        <v>1620200000</v>
      </c>
      <c r="L716" s="303" t="str">
        <f t="shared" si="31"/>
        <v>60707031620200000000</v>
      </c>
      <c r="M716" s="132" t="str">
        <f>INDEX('реш СГД № 265'!$A:$N,MATCH('БА расх 2019-2020'!$L716,'реш СГД № 265'!$N:$N,0),3)</f>
        <v>Основное мероприятие «Выполнение противопожарных мероприятий в муниципальных учреждениях города Ставрополя»</v>
      </c>
      <c r="N716" s="17">
        <f t="shared" si="32"/>
        <v>1</v>
      </c>
    </row>
    <row r="717" spans="1:14" s="16" customFormat="1" ht="47.25">
      <c r="A717" s="14"/>
      <c r="B717" s="125" t="s">
        <v>426</v>
      </c>
      <c r="C717" s="109" t="s">
        <v>510</v>
      </c>
      <c r="D717" s="108" t="s">
        <v>229</v>
      </c>
      <c r="E717" s="108" t="s">
        <v>13</v>
      </c>
      <c r="F717" s="108" t="s">
        <v>427</v>
      </c>
      <c r="G717" s="108" t="s">
        <v>9</v>
      </c>
      <c r="H717" s="126">
        <v>0</v>
      </c>
      <c r="I717" s="126">
        <v>0</v>
      </c>
      <c r="J717" s="108">
        <v>1620220550</v>
      </c>
      <c r="K717" s="108" t="str">
        <f t="shared" ref="K717:K780" si="33">TEXT(J717,"0000000000")</f>
        <v>1620220550</v>
      </c>
      <c r="L717" s="303" t="str">
        <f t="shared" si="31"/>
        <v>60707031620220550000</v>
      </c>
      <c r="M717" s="132" t="str">
        <f>INDEX('реш СГД № 265'!$A:$N,MATCH('БА расх 2019-2020'!$L717,'реш СГД № 265'!$N:$N,0),3)</f>
        <v>Обеспечение пожарной безопасности в муниципальных учреждениях образования, культуры, физической культуры и спорта города Ставрополя</v>
      </c>
      <c r="N717" s="17">
        <f t="shared" si="32"/>
        <v>1</v>
      </c>
    </row>
    <row r="718" spans="1:14" s="16" customFormat="1" ht="15.75">
      <c r="A718" s="14"/>
      <c r="B718" s="132" t="s">
        <v>403</v>
      </c>
      <c r="C718" s="109" t="s">
        <v>510</v>
      </c>
      <c r="D718" s="108" t="s">
        <v>229</v>
      </c>
      <c r="E718" s="108" t="s">
        <v>13</v>
      </c>
      <c r="F718" s="108" t="s">
        <v>427</v>
      </c>
      <c r="G718" s="108" t="s">
        <v>404</v>
      </c>
      <c r="H718" s="126">
        <v>0</v>
      </c>
      <c r="I718" s="126">
        <v>0</v>
      </c>
      <c r="J718" s="108">
        <v>1620220550</v>
      </c>
      <c r="K718" s="108" t="str">
        <f t="shared" si="33"/>
        <v>1620220550</v>
      </c>
      <c r="L718" s="303" t="str">
        <f t="shared" ref="L718:L781" si="34">C718&amp;D718&amp;E718&amp;K718&amp;G718</f>
        <v>60707031620220550610</v>
      </c>
      <c r="M718" s="132" t="str">
        <f>INDEX('реш СГД № 265'!$A:$N,MATCH('БА расх 2019-2020'!$L718,'реш СГД № 265'!$N:$N,0),3)</f>
        <v>Субсидии бюджетным учреждениям</v>
      </c>
      <c r="N718" s="17">
        <f t="shared" ref="N718:N781" si="35">IF(B718=M718,1,0)</f>
        <v>1</v>
      </c>
    </row>
    <row r="719" spans="1:14" s="16" customFormat="1" ht="15.75">
      <c r="A719" s="14"/>
      <c r="B719" s="127" t="s">
        <v>407</v>
      </c>
      <c r="C719" s="109" t="s">
        <v>510</v>
      </c>
      <c r="D719" s="108" t="s">
        <v>229</v>
      </c>
      <c r="E719" s="108" t="s">
        <v>13</v>
      </c>
      <c r="F719" s="108" t="s">
        <v>427</v>
      </c>
      <c r="G719" s="108" t="s">
        <v>408</v>
      </c>
      <c r="H719" s="126">
        <v>0</v>
      </c>
      <c r="I719" s="126">
        <v>0</v>
      </c>
      <c r="J719" s="108">
        <v>1620220550</v>
      </c>
      <c r="K719" s="108" t="str">
        <f t="shared" si="33"/>
        <v>1620220550</v>
      </c>
      <c r="L719" s="303" t="str">
        <f t="shared" si="34"/>
        <v>60707031620220550612</v>
      </c>
      <c r="M719" s="132"/>
      <c r="N719" s="17">
        <f t="shared" si="35"/>
        <v>0</v>
      </c>
    </row>
    <row r="720" spans="1:14" s="17" customFormat="1" ht="15.75">
      <c r="A720" s="14"/>
      <c r="B720" s="132" t="s">
        <v>409</v>
      </c>
      <c r="C720" s="109" t="s">
        <v>510</v>
      </c>
      <c r="D720" s="108" t="s">
        <v>229</v>
      </c>
      <c r="E720" s="108" t="s">
        <v>13</v>
      </c>
      <c r="F720" s="108" t="s">
        <v>427</v>
      </c>
      <c r="G720" s="108" t="s">
        <v>410</v>
      </c>
      <c r="H720" s="126">
        <v>0</v>
      </c>
      <c r="I720" s="126">
        <v>0</v>
      </c>
      <c r="J720" s="108">
        <v>1620220550</v>
      </c>
      <c r="K720" s="108" t="str">
        <f t="shared" si="33"/>
        <v>1620220550</v>
      </c>
      <c r="L720" s="303" t="str">
        <f t="shared" si="34"/>
        <v>60707031620220550620</v>
      </c>
      <c r="M720" s="132" t="str">
        <f>INDEX('реш СГД № 265'!$A:$N,MATCH('БА расх 2019-2020'!$L720,'реш СГД № 265'!$N:$N,0),3)</f>
        <v>Субсидии автономным учреждениям</v>
      </c>
      <c r="N720" s="17">
        <f t="shared" si="35"/>
        <v>1</v>
      </c>
    </row>
    <row r="721" spans="1:14" s="24" customFormat="1" ht="15.75">
      <c r="A721" s="21"/>
      <c r="B721" s="127" t="s">
        <v>428</v>
      </c>
      <c r="C721" s="109" t="s">
        <v>510</v>
      </c>
      <c r="D721" s="108" t="s">
        <v>229</v>
      </c>
      <c r="E721" s="108" t="s">
        <v>13</v>
      </c>
      <c r="F721" s="108" t="s">
        <v>427</v>
      </c>
      <c r="G721" s="108" t="s">
        <v>429</v>
      </c>
      <c r="H721" s="126">
        <v>0</v>
      </c>
      <c r="I721" s="126">
        <v>0</v>
      </c>
      <c r="J721" s="108">
        <v>1620220550</v>
      </c>
      <c r="K721" s="108" t="str">
        <f t="shared" si="33"/>
        <v>1620220550</v>
      </c>
      <c r="L721" s="303" t="str">
        <f t="shared" si="34"/>
        <v>60707031620220550622</v>
      </c>
      <c r="M721" s="132"/>
      <c r="N721" s="17">
        <f t="shared" si="35"/>
        <v>0</v>
      </c>
    </row>
    <row r="722" spans="1:14" s="17" customFormat="1" ht="47.25">
      <c r="A722" s="14"/>
      <c r="B722" s="125" t="s">
        <v>430</v>
      </c>
      <c r="C722" s="109" t="s">
        <v>510</v>
      </c>
      <c r="D722" s="108" t="s">
        <v>229</v>
      </c>
      <c r="E722" s="108" t="s">
        <v>13</v>
      </c>
      <c r="F722" s="108" t="s">
        <v>431</v>
      </c>
      <c r="G722" s="108" t="s">
        <v>9</v>
      </c>
      <c r="H722" s="126">
        <v>0</v>
      </c>
      <c r="I722" s="126">
        <v>0</v>
      </c>
      <c r="J722" s="108">
        <v>1700000000</v>
      </c>
      <c r="K722" s="108" t="str">
        <f t="shared" si="33"/>
        <v>1700000000</v>
      </c>
      <c r="L722" s="303" t="str">
        <f t="shared" si="34"/>
        <v>60707031700000000000</v>
      </c>
      <c r="M722" s="132" t="str">
        <f>INDEX('реш СГД № 265'!$A:$N,MATCH('БА расх 2019-2020'!$L722,'реш СГД № 265'!$N:$N,0),3)</f>
        <v>Муниципальная программа «Энергосбережение и повышение энергетической эффективности в городе Ставрополе»</v>
      </c>
      <c r="N722" s="17">
        <f t="shared" si="35"/>
        <v>1</v>
      </c>
    </row>
    <row r="723" spans="1:14" s="17" customFormat="1" ht="47.25">
      <c r="A723" s="14"/>
      <c r="B723" s="129" t="s">
        <v>432</v>
      </c>
      <c r="C723" s="109" t="s">
        <v>510</v>
      </c>
      <c r="D723" s="108" t="s">
        <v>229</v>
      </c>
      <c r="E723" s="108" t="s">
        <v>13</v>
      </c>
      <c r="F723" s="108" t="s">
        <v>433</v>
      </c>
      <c r="G723" s="108" t="s">
        <v>9</v>
      </c>
      <c r="H723" s="126">
        <v>0</v>
      </c>
      <c r="I723" s="126">
        <v>0</v>
      </c>
      <c r="J723" s="108" t="s">
        <v>1198</v>
      </c>
      <c r="K723" s="108" t="str">
        <f t="shared" si="33"/>
        <v>17Б0000000</v>
      </c>
      <c r="L723" s="303" t="str">
        <f t="shared" si="34"/>
        <v>607070317Б0000000000</v>
      </c>
      <c r="M723" s="132" t="str">
        <f>INDEX('реш СГД № 265'!$A:$N,MATCH('БА расх 2019-2020'!$L723,'реш СГД № 265'!$N:$N,0),3)</f>
        <v>Расходы в рамках реализации муниципальной программы «Энергосбережение и повышение энергетической эффективности в городе Ставрополе»</v>
      </c>
      <c r="N723" s="17">
        <f t="shared" si="35"/>
        <v>1</v>
      </c>
    </row>
    <row r="724" spans="1:14" s="17" customFormat="1" ht="31.5">
      <c r="A724" s="14"/>
      <c r="B724" s="125" t="s">
        <v>434</v>
      </c>
      <c r="C724" s="109" t="s">
        <v>510</v>
      </c>
      <c r="D724" s="108" t="s">
        <v>229</v>
      </c>
      <c r="E724" s="108" t="s">
        <v>13</v>
      </c>
      <c r="F724" s="108" t="s">
        <v>435</v>
      </c>
      <c r="G724" s="108" t="s">
        <v>9</v>
      </c>
      <c r="H724" s="126">
        <v>0</v>
      </c>
      <c r="I724" s="126">
        <v>0</v>
      </c>
      <c r="J724" s="108" t="s">
        <v>1199</v>
      </c>
      <c r="K724" s="108" t="str">
        <f t="shared" si="33"/>
        <v>17Б0100000</v>
      </c>
      <c r="L724" s="303" t="str">
        <f t="shared" si="34"/>
        <v>607070317Б0100000000</v>
      </c>
      <c r="M724" s="132" t="str">
        <f>INDEX('реш СГД № 265'!$A:$N,MATCH('БА расх 2019-2020'!$L724,'реш СГД № 265'!$N:$N,0),3)</f>
        <v>Основное мероприятие «Энергосбережение и энергоэффективность в бюджетном секторе»</v>
      </c>
      <c r="N724" s="17">
        <f t="shared" si="35"/>
        <v>1</v>
      </c>
    </row>
    <row r="725" spans="1:14" s="17" customFormat="1" ht="47.25">
      <c r="A725" s="14"/>
      <c r="B725" s="132" t="s">
        <v>436</v>
      </c>
      <c r="C725" s="109" t="s">
        <v>510</v>
      </c>
      <c r="D725" s="108" t="s">
        <v>229</v>
      </c>
      <c r="E725" s="108" t="s">
        <v>13</v>
      </c>
      <c r="F725" s="108" t="s">
        <v>437</v>
      </c>
      <c r="G725" s="108" t="s">
        <v>9</v>
      </c>
      <c r="H725" s="126">
        <v>0</v>
      </c>
      <c r="I725" s="126">
        <v>0</v>
      </c>
      <c r="J725" s="108" t="s">
        <v>1200</v>
      </c>
      <c r="K725" s="108" t="str">
        <f t="shared" si="33"/>
        <v>17Б0120490</v>
      </c>
      <c r="L725" s="303" t="str">
        <f t="shared" si="34"/>
        <v>607070317Б0120490000</v>
      </c>
      <c r="M725" s="132" t="str">
        <f>INDEX('реш СГД № 265'!$A:$N,MATCH('БА расх 2019-2020'!$L725,'реш СГД № 265'!$N:$N,0),3)</f>
        <v>Расходы на проведение мероприятий по энергосбережению и повышению энергетической эффективности</v>
      </c>
      <c r="N725" s="17">
        <f t="shared" si="35"/>
        <v>1</v>
      </c>
    </row>
    <row r="726" spans="1:14" s="17" customFormat="1" ht="15.75">
      <c r="A726" s="14"/>
      <c r="B726" s="132" t="s">
        <v>409</v>
      </c>
      <c r="C726" s="109" t="s">
        <v>510</v>
      </c>
      <c r="D726" s="108" t="s">
        <v>229</v>
      </c>
      <c r="E726" s="108" t="s">
        <v>13</v>
      </c>
      <c r="F726" s="108" t="s">
        <v>437</v>
      </c>
      <c r="G726" s="108" t="s">
        <v>410</v>
      </c>
      <c r="H726" s="126">
        <v>0</v>
      </c>
      <c r="I726" s="126">
        <v>0</v>
      </c>
      <c r="J726" s="108" t="s">
        <v>1200</v>
      </c>
      <c r="K726" s="108" t="str">
        <f t="shared" si="33"/>
        <v>17Б0120490</v>
      </c>
      <c r="L726" s="303" t="str">
        <f t="shared" si="34"/>
        <v>607070317Б0120490620</v>
      </c>
      <c r="M726" s="132" t="str">
        <f>INDEX('реш СГД № 265'!$A:$N,MATCH('БА расх 2019-2020'!$L726,'реш СГД № 265'!$N:$N,0),3)</f>
        <v>Субсидии автономным учреждениям</v>
      </c>
      <c r="N726" s="17">
        <f t="shared" si="35"/>
        <v>1</v>
      </c>
    </row>
    <row r="727" spans="1:14" s="24" customFormat="1" ht="15.75">
      <c r="A727" s="21"/>
      <c r="B727" s="127" t="s">
        <v>428</v>
      </c>
      <c r="C727" s="109" t="s">
        <v>510</v>
      </c>
      <c r="D727" s="108" t="s">
        <v>229</v>
      </c>
      <c r="E727" s="108" t="s">
        <v>13</v>
      </c>
      <c r="F727" s="108" t="s">
        <v>437</v>
      </c>
      <c r="G727" s="108" t="s">
        <v>429</v>
      </c>
      <c r="H727" s="126">
        <v>0</v>
      </c>
      <c r="I727" s="126">
        <v>0</v>
      </c>
      <c r="J727" s="108" t="s">
        <v>1200</v>
      </c>
      <c r="K727" s="108" t="str">
        <f t="shared" si="33"/>
        <v>17Б0120490</v>
      </c>
      <c r="L727" s="303" t="str">
        <f t="shared" si="34"/>
        <v>607070317Б0120490622</v>
      </c>
      <c r="M727" s="132"/>
      <c r="N727" s="17">
        <f t="shared" si="35"/>
        <v>0</v>
      </c>
    </row>
    <row r="728" spans="1:14" s="17" customFormat="1" ht="15.75">
      <c r="A728" s="14"/>
      <c r="B728" s="121" t="s">
        <v>464</v>
      </c>
      <c r="C728" s="122" t="s">
        <v>510</v>
      </c>
      <c r="D728" s="123" t="s">
        <v>229</v>
      </c>
      <c r="E728" s="123" t="s">
        <v>229</v>
      </c>
      <c r="F728" s="123" t="s">
        <v>8</v>
      </c>
      <c r="G728" s="123" t="s">
        <v>9</v>
      </c>
      <c r="H728" s="124">
        <v>0</v>
      </c>
      <c r="I728" s="124">
        <v>0</v>
      </c>
      <c r="J728" s="123">
        <v>0</v>
      </c>
      <c r="K728" s="108" t="str">
        <f t="shared" si="33"/>
        <v>0000000000</v>
      </c>
      <c r="L728" s="303" t="str">
        <f t="shared" si="34"/>
        <v>60707070000000000000</v>
      </c>
      <c r="M728" s="132" t="str">
        <f>INDEX('реш СГД № 265'!$A:$N,MATCH('БА расх 2019-2020'!$L728,'реш СГД № 265'!$N:$N,0),3)</f>
        <v>Молодежная политика</v>
      </c>
      <c r="N728" s="17">
        <f t="shared" si="35"/>
        <v>1</v>
      </c>
    </row>
    <row r="729" spans="1:14" s="17" customFormat="1" ht="63">
      <c r="A729" s="14"/>
      <c r="B729" s="127" t="s">
        <v>293</v>
      </c>
      <c r="C729" s="109" t="s">
        <v>510</v>
      </c>
      <c r="D729" s="108" t="s">
        <v>229</v>
      </c>
      <c r="E729" s="108" t="s">
        <v>229</v>
      </c>
      <c r="F729" s="108" t="s">
        <v>294</v>
      </c>
      <c r="G729" s="108" t="s">
        <v>9</v>
      </c>
      <c r="H729" s="126">
        <v>0</v>
      </c>
      <c r="I729" s="126">
        <v>0</v>
      </c>
      <c r="J729" s="108">
        <v>400000000</v>
      </c>
      <c r="K729" s="108" t="str">
        <f t="shared" si="33"/>
        <v>0400000000</v>
      </c>
      <c r="L729" s="303" t="str">
        <f t="shared" si="34"/>
        <v>60707070400000000000</v>
      </c>
      <c r="M729" s="132" t="str">
        <f>INDEX('реш СГД № 265'!$A:$N,MATCH('БА расх 2019-2020'!$L729,'реш СГД № 265'!$N:$N,0),3)</f>
        <v>Муниципальная программа «Развитие жилищно-коммунального хозяйства, транспортной системы на территории города Ставрополя, благоустройство территории города Ставрополя»</v>
      </c>
      <c r="N729" s="17">
        <f t="shared" si="35"/>
        <v>1</v>
      </c>
    </row>
    <row r="730" spans="1:14" s="17" customFormat="1" ht="31.5">
      <c r="A730" s="14"/>
      <c r="B730" s="125" t="s">
        <v>2283</v>
      </c>
      <c r="C730" s="109" t="s">
        <v>510</v>
      </c>
      <c r="D730" s="108" t="s">
        <v>229</v>
      </c>
      <c r="E730" s="108" t="s">
        <v>229</v>
      </c>
      <c r="F730" s="108" t="s">
        <v>308</v>
      </c>
      <c r="G730" s="108" t="s">
        <v>9</v>
      </c>
      <c r="H730" s="126">
        <v>0</v>
      </c>
      <c r="I730" s="126">
        <v>0</v>
      </c>
      <c r="J730" s="108">
        <v>430000000</v>
      </c>
      <c r="K730" s="108" t="str">
        <f t="shared" si="33"/>
        <v>0430000000</v>
      </c>
      <c r="L730" s="303" t="str">
        <f t="shared" si="34"/>
        <v>60707070430000000000</v>
      </c>
      <c r="M730" s="132" t="str">
        <f>INDEX('реш СГД № 265'!$A:$N,MATCH('БА расх 2019-2020'!$L730,'реш СГД № 265'!$N:$N,0),3)</f>
        <v>Подпрограмма «Благоустройство территории города Ставрополя»</v>
      </c>
      <c r="N730" s="17">
        <f t="shared" si="35"/>
        <v>1</v>
      </c>
    </row>
    <row r="731" spans="1:14" s="17" customFormat="1" ht="31.5">
      <c r="A731" s="14"/>
      <c r="B731" s="401" t="s">
        <v>309</v>
      </c>
      <c r="C731" s="109" t="s">
        <v>510</v>
      </c>
      <c r="D731" s="108" t="s">
        <v>229</v>
      </c>
      <c r="E731" s="108" t="s">
        <v>229</v>
      </c>
      <c r="F731" s="108" t="s">
        <v>310</v>
      </c>
      <c r="G731" s="108" t="s">
        <v>9</v>
      </c>
      <c r="H731" s="126">
        <v>0</v>
      </c>
      <c r="I731" s="126">
        <v>0</v>
      </c>
      <c r="J731" s="108">
        <v>430400000</v>
      </c>
      <c r="K731" s="108" t="str">
        <f t="shared" si="33"/>
        <v>0430400000</v>
      </c>
      <c r="L731" s="303" t="str">
        <f t="shared" si="34"/>
        <v>60707070430400000000</v>
      </c>
      <c r="M731" s="132" t="str">
        <f>INDEX('реш СГД № 265'!$A:$N,MATCH('БА расх 2019-2020'!$L731,'реш СГД № 265'!$N:$N,0),3)</f>
        <v>Основное мероприятие «Благоустройство территории города Ставрополя»</v>
      </c>
      <c r="N731" s="17">
        <f t="shared" si="35"/>
        <v>1</v>
      </c>
    </row>
    <row r="732" spans="1:14" s="17" customFormat="1" ht="31.5">
      <c r="A732" s="14"/>
      <c r="B732" s="127" t="s">
        <v>542</v>
      </c>
      <c r="C732" s="109" t="s">
        <v>510</v>
      </c>
      <c r="D732" s="108" t="s">
        <v>229</v>
      </c>
      <c r="E732" s="108" t="s">
        <v>229</v>
      </c>
      <c r="F732" s="108" t="s">
        <v>543</v>
      </c>
      <c r="G732" s="108" t="s">
        <v>9</v>
      </c>
      <c r="H732" s="126">
        <v>0</v>
      </c>
      <c r="I732" s="126">
        <v>0</v>
      </c>
      <c r="J732" s="108">
        <v>430420300</v>
      </c>
      <c r="K732" s="108" t="str">
        <f t="shared" si="33"/>
        <v>0430420300</v>
      </c>
      <c r="L732" s="303" t="str">
        <f t="shared" si="34"/>
        <v>60707070430420300000</v>
      </c>
      <c r="M732" s="132" t="str">
        <f>INDEX('реш СГД № 265'!$A:$N,MATCH('БА расх 2019-2020'!$L732,'реш СГД № 265'!$N:$N,0),3)</f>
        <v>Расходы на прочие мероприятия по благоустройству территории города Ставрополя</v>
      </c>
      <c r="N732" s="17">
        <f t="shared" si="35"/>
        <v>1</v>
      </c>
    </row>
    <row r="733" spans="1:14" s="17" customFormat="1" ht="31.5">
      <c r="A733" s="14"/>
      <c r="B733" s="125" t="s">
        <v>28</v>
      </c>
      <c r="C733" s="109" t="s">
        <v>510</v>
      </c>
      <c r="D733" s="108" t="s">
        <v>229</v>
      </c>
      <c r="E733" s="108" t="s">
        <v>229</v>
      </c>
      <c r="F733" s="108" t="s">
        <v>543</v>
      </c>
      <c r="G733" s="108" t="s">
        <v>29</v>
      </c>
      <c r="H733" s="126">
        <v>0</v>
      </c>
      <c r="I733" s="126">
        <v>0</v>
      </c>
      <c r="J733" s="108">
        <v>430420300</v>
      </c>
      <c r="K733" s="108" t="str">
        <f t="shared" si="33"/>
        <v>0430420300</v>
      </c>
      <c r="L733" s="303" t="str">
        <f t="shared" si="34"/>
        <v>60707070430420300240</v>
      </c>
      <c r="M733" s="132" t="str">
        <f>INDEX('реш СГД № 265'!$A:$N,MATCH('БА расх 2019-2020'!$L733,'реш СГД № 265'!$N:$N,0),3)</f>
        <v>Иные закупки товаров, работ и услуг для обеспечения государственных (муниципальных) нужд</v>
      </c>
      <c r="N733" s="17">
        <f t="shared" si="35"/>
        <v>1</v>
      </c>
    </row>
    <row r="734" spans="1:14" s="17" customFormat="1" ht="15.75">
      <c r="A734" s="14"/>
      <c r="B734" s="125" t="s">
        <v>30</v>
      </c>
      <c r="C734" s="109" t="s">
        <v>510</v>
      </c>
      <c r="D734" s="108" t="s">
        <v>229</v>
      </c>
      <c r="E734" s="108" t="s">
        <v>229</v>
      </c>
      <c r="F734" s="108" t="s">
        <v>543</v>
      </c>
      <c r="G734" s="108" t="s">
        <v>31</v>
      </c>
      <c r="H734" s="126">
        <v>0</v>
      </c>
      <c r="I734" s="126">
        <v>0</v>
      </c>
      <c r="J734" s="108">
        <v>430420300</v>
      </c>
      <c r="K734" s="108" t="str">
        <f t="shared" si="33"/>
        <v>0430420300</v>
      </c>
      <c r="L734" s="303" t="str">
        <f t="shared" si="34"/>
        <v>60707070430420300244</v>
      </c>
      <c r="M734" s="132"/>
      <c r="N734" s="17">
        <f t="shared" si="35"/>
        <v>0</v>
      </c>
    </row>
    <row r="735" spans="1:14" s="17" customFormat="1" ht="31.5">
      <c r="A735" s="14"/>
      <c r="B735" s="145" t="s">
        <v>544</v>
      </c>
      <c r="C735" s="109" t="s">
        <v>510</v>
      </c>
      <c r="D735" s="108" t="s">
        <v>229</v>
      </c>
      <c r="E735" s="108" t="s">
        <v>229</v>
      </c>
      <c r="F735" s="108" t="s">
        <v>545</v>
      </c>
      <c r="G735" s="108" t="s">
        <v>9</v>
      </c>
      <c r="H735" s="126">
        <v>0</v>
      </c>
      <c r="I735" s="126">
        <v>0</v>
      </c>
      <c r="J735" s="108">
        <v>900000000</v>
      </c>
      <c r="K735" s="108" t="str">
        <f t="shared" si="33"/>
        <v>0900000000</v>
      </c>
      <c r="L735" s="303" t="str">
        <f t="shared" si="34"/>
        <v>60707070900000000000</v>
      </c>
      <c r="M735" s="132" t="str">
        <f>INDEX('реш СГД № 265'!$A:$N,MATCH('БА расх 2019-2020'!$L735,'реш СГД № 265'!$N:$N,0),3)</f>
        <v>Муниципальная программа «Молодежь города Ставрополя»</v>
      </c>
      <c r="N735" s="17">
        <f t="shared" si="35"/>
        <v>1</v>
      </c>
    </row>
    <row r="736" spans="1:14" s="17" customFormat="1" ht="31.5">
      <c r="A736" s="14"/>
      <c r="B736" s="145" t="s">
        <v>546</v>
      </c>
      <c r="C736" s="109" t="s">
        <v>510</v>
      </c>
      <c r="D736" s="108" t="s">
        <v>229</v>
      </c>
      <c r="E736" s="108" t="s">
        <v>229</v>
      </c>
      <c r="F736" s="108" t="s">
        <v>547</v>
      </c>
      <c r="G736" s="108" t="s">
        <v>9</v>
      </c>
      <c r="H736" s="126">
        <v>0</v>
      </c>
      <c r="I736" s="126">
        <v>0</v>
      </c>
      <c r="J736" s="108" t="s">
        <v>1207</v>
      </c>
      <c r="K736" s="108" t="str">
        <f t="shared" si="33"/>
        <v>09Б0000000</v>
      </c>
      <c r="L736" s="303" t="str">
        <f t="shared" si="34"/>
        <v>607070709Б0000000000</v>
      </c>
      <c r="M736" s="132" t="str">
        <f>INDEX('реш СГД № 265'!$A:$N,MATCH('БА расх 2019-2020'!$L736,'реш СГД № 265'!$N:$N,0),3)</f>
        <v>Расходы в рамках реализации муниципальной программы «Молодежь города Ставрополя»</v>
      </c>
      <c r="N736" s="17">
        <f t="shared" si="35"/>
        <v>1</v>
      </c>
    </row>
    <row r="737" spans="1:14" s="17" customFormat="1" ht="47.25">
      <c r="A737" s="14"/>
      <c r="B737" s="127" t="s">
        <v>548</v>
      </c>
      <c r="C737" s="109" t="s">
        <v>510</v>
      </c>
      <c r="D737" s="108" t="s">
        <v>229</v>
      </c>
      <c r="E737" s="108" t="s">
        <v>229</v>
      </c>
      <c r="F737" s="108" t="s">
        <v>549</v>
      </c>
      <c r="G737" s="108" t="s">
        <v>9</v>
      </c>
      <c r="H737" s="126">
        <v>0</v>
      </c>
      <c r="I737" s="126">
        <v>0</v>
      </c>
      <c r="J737" s="108" t="s">
        <v>1208</v>
      </c>
      <c r="K737" s="108" t="str">
        <f t="shared" si="33"/>
        <v>09Б0100000</v>
      </c>
      <c r="L737" s="303" t="str">
        <f t="shared" si="34"/>
        <v>607070709Б0100000000</v>
      </c>
      <c r="M737" s="132" t="str">
        <f>INDEX('реш СГД № 265'!$A:$N,MATCH('БА расх 2019-2020'!$L737,'реш СГД № 265'!$N:$N,0),3)</f>
        <v>Основное мероприятие «Проведение мероприятий по гражданскому и патриотическому воспитанию молодежи»</v>
      </c>
      <c r="N737" s="17">
        <f t="shared" si="35"/>
        <v>1</v>
      </c>
    </row>
    <row r="738" spans="1:14" s="17" customFormat="1" ht="63">
      <c r="A738" s="14"/>
      <c r="B738" s="125" t="s">
        <v>550</v>
      </c>
      <c r="C738" s="109" t="s">
        <v>510</v>
      </c>
      <c r="D738" s="108" t="s">
        <v>229</v>
      </c>
      <c r="E738" s="108" t="s">
        <v>229</v>
      </c>
      <c r="F738" s="108" t="s">
        <v>551</v>
      </c>
      <c r="G738" s="108" t="s">
        <v>9</v>
      </c>
      <c r="H738" s="126">
        <v>0</v>
      </c>
      <c r="I738" s="126">
        <v>0</v>
      </c>
      <c r="J738" s="108" t="s">
        <v>1209</v>
      </c>
      <c r="K738" s="108" t="str">
        <f t="shared" si="33"/>
        <v>09Б0120460</v>
      </c>
      <c r="L738" s="303" t="str">
        <f t="shared" si="34"/>
        <v>607070709Б0120460000</v>
      </c>
      <c r="M738" s="132" t="str">
        <f>INDEX('реш СГД № 265'!$A:$N,MATCH('БА расх 2019-2020'!$L738,'реш СГД № 265'!$N:$N,0),3)</f>
        <v>Расходы на создание условий для интеграции молодежи в процессы социально-экономического, общественно-политического, культурного развития города Ставрополя</v>
      </c>
      <c r="N738" s="17">
        <f t="shared" si="35"/>
        <v>1</v>
      </c>
    </row>
    <row r="739" spans="1:14" s="17" customFormat="1" ht="15.75">
      <c r="A739" s="14"/>
      <c r="B739" s="132" t="s">
        <v>403</v>
      </c>
      <c r="C739" s="109" t="s">
        <v>510</v>
      </c>
      <c r="D739" s="108" t="s">
        <v>229</v>
      </c>
      <c r="E739" s="108" t="s">
        <v>229</v>
      </c>
      <c r="F739" s="108" t="s">
        <v>551</v>
      </c>
      <c r="G739" s="108" t="s">
        <v>404</v>
      </c>
      <c r="H739" s="126">
        <v>0</v>
      </c>
      <c r="I739" s="126">
        <v>0</v>
      </c>
      <c r="J739" s="108" t="s">
        <v>1209</v>
      </c>
      <c r="K739" s="108" t="str">
        <f t="shared" si="33"/>
        <v>09Б0120460</v>
      </c>
      <c r="L739" s="303" t="str">
        <f t="shared" si="34"/>
        <v>607070709Б0120460610</v>
      </c>
      <c r="M739" s="132" t="str">
        <f>INDEX('реш СГД № 265'!$A:$N,MATCH('БА расх 2019-2020'!$L739,'реш СГД № 265'!$N:$N,0),3)</f>
        <v>Субсидии бюджетным учреждениям</v>
      </c>
      <c r="N739" s="17">
        <f t="shared" si="35"/>
        <v>1</v>
      </c>
    </row>
    <row r="740" spans="1:14" s="24" customFormat="1" ht="63">
      <c r="A740" s="21"/>
      <c r="B740" s="127" t="s">
        <v>405</v>
      </c>
      <c r="C740" s="109" t="s">
        <v>510</v>
      </c>
      <c r="D740" s="108" t="s">
        <v>229</v>
      </c>
      <c r="E740" s="108" t="s">
        <v>229</v>
      </c>
      <c r="F740" s="108" t="s">
        <v>551</v>
      </c>
      <c r="G740" s="108" t="s">
        <v>406</v>
      </c>
      <c r="H740" s="126">
        <v>0</v>
      </c>
      <c r="I740" s="126">
        <v>0</v>
      </c>
      <c r="J740" s="108" t="s">
        <v>1209</v>
      </c>
      <c r="K740" s="108" t="str">
        <f t="shared" si="33"/>
        <v>09Б0120460</v>
      </c>
      <c r="L740" s="303" t="str">
        <f t="shared" si="34"/>
        <v>607070709Б0120460611</v>
      </c>
      <c r="M740" s="132"/>
      <c r="N740" s="17">
        <f t="shared" si="35"/>
        <v>0</v>
      </c>
    </row>
    <row r="741" spans="1:14" s="17" customFormat="1" ht="47.25">
      <c r="A741" s="14"/>
      <c r="B741" s="127" t="s">
        <v>552</v>
      </c>
      <c r="C741" s="109" t="s">
        <v>510</v>
      </c>
      <c r="D741" s="108" t="s">
        <v>229</v>
      </c>
      <c r="E741" s="108" t="s">
        <v>229</v>
      </c>
      <c r="F741" s="108" t="s">
        <v>553</v>
      </c>
      <c r="G741" s="108" t="s">
        <v>9</v>
      </c>
      <c r="H741" s="126">
        <v>0</v>
      </c>
      <c r="I741" s="126">
        <v>0</v>
      </c>
      <c r="J741" s="108" t="s">
        <v>1210</v>
      </c>
      <c r="K741" s="108" t="str">
        <f t="shared" si="33"/>
        <v>09Б0200000</v>
      </c>
      <c r="L741" s="303" t="str">
        <f t="shared" si="34"/>
        <v>607070709Б0200000000</v>
      </c>
      <c r="M741" s="132" t="str">
        <f>INDEX('реш СГД № 265'!$A:$N,MATCH('БА расх 2019-2020'!$L741,'реш СГД № 265'!$N:$N,0),3)</f>
        <v>Основное мероприятие «Создание системы поддержки  и поощрения талантливой и успешной молодежи города Ставрополя»</v>
      </c>
      <c r="N741" s="17">
        <f t="shared" si="35"/>
        <v>1</v>
      </c>
    </row>
    <row r="742" spans="1:14" s="17" customFormat="1" ht="63">
      <c r="A742" s="14"/>
      <c r="B742" s="125" t="s">
        <v>550</v>
      </c>
      <c r="C742" s="109" t="s">
        <v>510</v>
      </c>
      <c r="D742" s="108" t="s">
        <v>229</v>
      </c>
      <c r="E742" s="108" t="s">
        <v>229</v>
      </c>
      <c r="F742" s="108" t="s">
        <v>554</v>
      </c>
      <c r="G742" s="108" t="s">
        <v>9</v>
      </c>
      <c r="H742" s="126">
        <v>0</v>
      </c>
      <c r="I742" s="126">
        <v>0</v>
      </c>
      <c r="J742" s="108" t="s">
        <v>1211</v>
      </c>
      <c r="K742" s="108" t="str">
        <f t="shared" si="33"/>
        <v>09Б0220460</v>
      </c>
      <c r="L742" s="303" t="str">
        <f t="shared" si="34"/>
        <v>607070709Б0220460000</v>
      </c>
      <c r="M742" s="132" t="str">
        <f>INDEX('реш СГД № 265'!$A:$N,MATCH('БА расх 2019-2020'!$L742,'реш СГД № 265'!$N:$N,0),3)</f>
        <v>Расходы на создание условий для интеграции молодежи в процессы социально-экономического, общественно-политического, культурного развития города Ставрополя</v>
      </c>
      <c r="N742" s="17">
        <f t="shared" si="35"/>
        <v>1</v>
      </c>
    </row>
    <row r="743" spans="1:14" s="17" customFormat="1" ht="31.5">
      <c r="A743" s="14"/>
      <c r="B743" s="125" t="s">
        <v>28</v>
      </c>
      <c r="C743" s="109" t="s">
        <v>510</v>
      </c>
      <c r="D743" s="108" t="s">
        <v>229</v>
      </c>
      <c r="E743" s="108" t="s">
        <v>229</v>
      </c>
      <c r="F743" s="108" t="s">
        <v>554</v>
      </c>
      <c r="G743" s="108" t="s">
        <v>29</v>
      </c>
      <c r="H743" s="126">
        <v>0</v>
      </c>
      <c r="I743" s="126">
        <v>0</v>
      </c>
      <c r="J743" s="108" t="s">
        <v>1211</v>
      </c>
      <c r="K743" s="108" t="str">
        <f t="shared" si="33"/>
        <v>09Б0220460</v>
      </c>
      <c r="L743" s="303" t="str">
        <f t="shared" si="34"/>
        <v>607070709Б0220460240</v>
      </c>
      <c r="M743" s="132" t="str">
        <f>INDEX('реш СГД № 265'!$A:$N,MATCH('БА расх 2019-2020'!$L743,'реш СГД № 265'!$N:$N,0),3)</f>
        <v>Иные закупки товаров, работ и услуг для обеспечения государственных (муниципальных) нужд</v>
      </c>
      <c r="N743" s="17">
        <f t="shared" si="35"/>
        <v>1</v>
      </c>
    </row>
    <row r="744" spans="1:14" s="17" customFormat="1" ht="15.75">
      <c r="A744" s="14"/>
      <c r="B744" s="125" t="s">
        <v>30</v>
      </c>
      <c r="C744" s="109" t="s">
        <v>510</v>
      </c>
      <c r="D744" s="108" t="s">
        <v>229</v>
      </c>
      <c r="E744" s="108" t="s">
        <v>229</v>
      </c>
      <c r="F744" s="108" t="s">
        <v>554</v>
      </c>
      <c r="G744" s="108" t="s">
        <v>31</v>
      </c>
      <c r="H744" s="126">
        <v>0</v>
      </c>
      <c r="I744" s="126">
        <v>0</v>
      </c>
      <c r="J744" s="108" t="s">
        <v>1211</v>
      </c>
      <c r="K744" s="108" t="str">
        <f t="shared" si="33"/>
        <v>09Б0220460</v>
      </c>
      <c r="L744" s="303" t="str">
        <f t="shared" si="34"/>
        <v>607070709Б0220460244</v>
      </c>
      <c r="M744" s="132"/>
      <c r="N744" s="17">
        <f t="shared" si="35"/>
        <v>0</v>
      </c>
    </row>
    <row r="745" spans="1:14" s="17" customFormat="1" ht="15.75">
      <c r="A745" s="14"/>
      <c r="B745" s="125" t="s">
        <v>555</v>
      </c>
      <c r="C745" s="109" t="s">
        <v>510</v>
      </c>
      <c r="D745" s="108" t="s">
        <v>229</v>
      </c>
      <c r="E745" s="108" t="s">
        <v>229</v>
      </c>
      <c r="F745" s="108" t="s">
        <v>554</v>
      </c>
      <c r="G745" s="108" t="s">
        <v>556</v>
      </c>
      <c r="H745" s="126">
        <v>0</v>
      </c>
      <c r="I745" s="126">
        <v>0</v>
      </c>
      <c r="J745" s="108" t="s">
        <v>1211</v>
      </c>
      <c r="K745" s="108" t="str">
        <f t="shared" si="33"/>
        <v>09Б0220460</v>
      </c>
      <c r="L745" s="303" t="str">
        <f t="shared" si="34"/>
        <v>607070709Б0220460340</v>
      </c>
      <c r="M745" s="132"/>
      <c r="N745" s="17">
        <f t="shared" si="35"/>
        <v>0</v>
      </c>
    </row>
    <row r="746" spans="1:14" s="17" customFormat="1" ht="15.75">
      <c r="A746" s="14"/>
      <c r="B746" s="125" t="s">
        <v>163</v>
      </c>
      <c r="C746" s="109" t="s">
        <v>510</v>
      </c>
      <c r="D746" s="108" t="s">
        <v>229</v>
      </c>
      <c r="E746" s="108" t="s">
        <v>229</v>
      </c>
      <c r="F746" s="108" t="s">
        <v>554</v>
      </c>
      <c r="G746" s="108" t="s">
        <v>164</v>
      </c>
      <c r="H746" s="126">
        <v>0</v>
      </c>
      <c r="I746" s="126">
        <v>0</v>
      </c>
      <c r="J746" s="108" t="s">
        <v>1211</v>
      </c>
      <c r="K746" s="108" t="str">
        <f t="shared" si="33"/>
        <v>09Б0220460</v>
      </c>
      <c r="L746" s="303" t="str">
        <f t="shared" si="34"/>
        <v>607070709Б0220460350</v>
      </c>
      <c r="M746" s="132"/>
      <c r="N746" s="17">
        <f t="shared" si="35"/>
        <v>0</v>
      </c>
    </row>
    <row r="747" spans="1:14" s="17" customFormat="1" ht="15.75">
      <c r="A747" s="14"/>
      <c r="B747" s="132" t="s">
        <v>403</v>
      </c>
      <c r="C747" s="109" t="s">
        <v>510</v>
      </c>
      <c r="D747" s="108" t="s">
        <v>229</v>
      </c>
      <c r="E747" s="108" t="s">
        <v>229</v>
      </c>
      <c r="F747" s="108" t="s">
        <v>554</v>
      </c>
      <c r="G747" s="108" t="s">
        <v>404</v>
      </c>
      <c r="H747" s="126">
        <v>0</v>
      </c>
      <c r="I747" s="126">
        <v>0</v>
      </c>
      <c r="J747" s="108" t="s">
        <v>1211</v>
      </c>
      <c r="K747" s="108" t="str">
        <f t="shared" si="33"/>
        <v>09Б0220460</v>
      </c>
      <c r="L747" s="303" t="str">
        <f t="shared" si="34"/>
        <v>607070709Б0220460610</v>
      </c>
      <c r="M747" s="132" t="str">
        <f>INDEX('реш СГД № 265'!$A:$N,MATCH('БА расх 2019-2020'!$L747,'реш СГД № 265'!$N:$N,0),3)</f>
        <v>Субсидии бюджетным учреждениям</v>
      </c>
      <c r="N747" s="17">
        <f t="shared" si="35"/>
        <v>1</v>
      </c>
    </row>
    <row r="748" spans="1:14" s="24" customFormat="1" ht="63">
      <c r="A748" s="21"/>
      <c r="B748" s="127" t="s">
        <v>405</v>
      </c>
      <c r="C748" s="109" t="s">
        <v>510</v>
      </c>
      <c r="D748" s="108" t="s">
        <v>229</v>
      </c>
      <c r="E748" s="108" t="s">
        <v>229</v>
      </c>
      <c r="F748" s="108" t="s">
        <v>554</v>
      </c>
      <c r="G748" s="108" t="s">
        <v>406</v>
      </c>
      <c r="H748" s="126">
        <v>0</v>
      </c>
      <c r="I748" s="126">
        <v>0</v>
      </c>
      <c r="J748" s="108" t="s">
        <v>1211</v>
      </c>
      <c r="K748" s="108" t="str">
        <f t="shared" si="33"/>
        <v>09Б0220460</v>
      </c>
      <c r="L748" s="303" t="str">
        <f t="shared" si="34"/>
        <v>607070709Б0220460611</v>
      </c>
      <c r="M748" s="132"/>
      <c r="N748" s="17">
        <f t="shared" si="35"/>
        <v>0</v>
      </c>
    </row>
    <row r="749" spans="1:14" s="17" customFormat="1" ht="47.25">
      <c r="A749" s="14"/>
      <c r="B749" s="127" t="s">
        <v>557</v>
      </c>
      <c r="C749" s="109" t="s">
        <v>510</v>
      </c>
      <c r="D749" s="108" t="s">
        <v>229</v>
      </c>
      <c r="E749" s="108" t="s">
        <v>229</v>
      </c>
      <c r="F749" s="108" t="s">
        <v>558</v>
      </c>
      <c r="G749" s="108" t="s">
        <v>9</v>
      </c>
      <c r="H749" s="126">
        <v>0</v>
      </c>
      <c r="I749" s="126">
        <v>0</v>
      </c>
      <c r="J749" s="108" t="s">
        <v>1213</v>
      </c>
      <c r="K749" s="108" t="str">
        <f t="shared" si="33"/>
        <v>09Б0300000</v>
      </c>
      <c r="L749" s="303" t="str">
        <f t="shared" si="34"/>
        <v>607070709Б0300000000</v>
      </c>
      <c r="M749" s="132" t="str">
        <f>INDEX('реш СГД № 265'!$A:$N,MATCH('БА расх 2019-2020'!$L749,'реш СГД № 265'!$N:$N,0),3)</f>
        <v>Основное мероприятие «Поддержка интеллектуальной и инновационной деятельности молодежи»</v>
      </c>
      <c r="N749" s="17">
        <f t="shared" si="35"/>
        <v>1</v>
      </c>
    </row>
    <row r="750" spans="1:14" s="17" customFormat="1" ht="63">
      <c r="A750" s="14"/>
      <c r="B750" s="125" t="s">
        <v>550</v>
      </c>
      <c r="C750" s="109" t="s">
        <v>510</v>
      </c>
      <c r="D750" s="108" t="s">
        <v>229</v>
      </c>
      <c r="E750" s="108" t="s">
        <v>229</v>
      </c>
      <c r="F750" s="108" t="s">
        <v>559</v>
      </c>
      <c r="G750" s="108" t="s">
        <v>9</v>
      </c>
      <c r="H750" s="126">
        <v>0</v>
      </c>
      <c r="I750" s="126">
        <v>0</v>
      </c>
      <c r="J750" s="108" t="s">
        <v>1214</v>
      </c>
      <c r="K750" s="108" t="str">
        <f t="shared" si="33"/>
        <v>09Б0320460</v>
      </c>
      <c r="L750" s="303" t="str">
        <f t="shared" si="34"/>
        <v>607070709Б0320460000</v>
      </c>
      <c r="M750" s="132" t="str">
        <f>INDEX('реш СГД № 265'!$A:$N,MATCH('БА расх 2019-2020'!$L750,'реш СГД № 265'!$N:$N,0),3)</f>
        <v>Расходы на создание условий для интеграции молодежи в процессы социально-экономического, общественно-политического, культурного развития города Ставрополя</v>
      </c>
      <c r="N750" s="17">
        <f t="shared" si="35"/>
        <v>1</v>
      </c>
    </row>
    <row r="751" spans="1:14" s="17" customFormat="1" ht="15.75">
      <c r="A751" s="14"/>
      <c r="B751" s="132" t="s">
        <v>403</v>
      </c>
      <c r="C751" s="109" t="s">
        <v>510</v>
      </c>
      <c r="D751" s="108" t="s">
        <v>229</v>
      </c>
      <c r="E751" s="108" t="s">
        <v>229</v>
      </c>
      <c r="F751" s="108" t="s">
        <v>559</v>
      </c>
      <c r="G751" s="108" t="s">
        <v>404</v>
      </c>
      <c r="H751" s="126">
        <v>0</v>
      </c>
      <c r="I751" s="126">
        <v>0</v>
      </c>
      <c r="J751" s="108" t="s">
        <v>1214</v>
      </c>
      <c r="K751" s="108" t="str">
        <f t="shared" si="33"/>
        <v>09Б0320460</v>
      </c>
      <c r="L751" s="303" t="str">
        <f t="shared" si="34"/>
        <v>607070709Б0320460610</v>
      </c>
      <c r="M751" s="132" t="str">
        <f>INDEX('реш СГД № 265'!$A:$N,MATCH('БА расх 2019-2020'!$L751,'реш СГД № 265'!$N:$N,0),3)</f>
        <v>Субсидии бюджетным учреждениям</v>
      </c>
      <c r="N751" s="17">
        <f t="shared" si="35"/>
        <v>1</v>
      </c>
    </row>
    <row r="752" spans="1:14" s="24" customFormat="1" ht="63">
      <c r="A752" s="21"/>
      <c r="B752" s="127" t="s">
        <v>405</v>
      </c>
      <c r="C752" s="109" t="s">
        <v>510</v>
      </c>
      <c r="D752" s="108" t="s">
        <v>229</v>
      </c>
      <c r="E752" s="108" t="s">
        <v>229</v>
      </c>
      <c r="F752" s="108" t="s">
        <v>559</v>
      </c>
      <c r="G752" s="108" t="s">
        <v>406</v>
      </c>
      <c r="H752" s="126">
        <v>0</v>
      </c>
      <c r="I752" s="126">
        <v>0</v>
      </c>
      <c r="J752" s="108" t="s">
        <v>1214</v>
      </c>
      <c r="K752" s="108" t="str">
        <f t="shared" si="33"/>
        <v>09Б0320460</v>
      </c>
      <c r="L752" s="303" t="str">
        <f t="shared" si="34"/>
        <v>607070709Б0320460611</v>
      </c>
      <c r="M752" s="132"/>
      <c r="N752" s="17">
        <f t="shared" si="35"/>
        <v>0</v>
      </c>
    </row>
    <row r="753" spans="1:14" s="17" customFormat="1" ht="47.25">
      <c r="A753" s="14"/>
      <c r="B753" s="127" t="s">
        <v>560</v>
      </c>
      <c r="C753" s="109" t="s">
        <v>510</v>
      </c>
      <c r="D753" s="108" t="s">
        <v>229</v>
      </c>
      <c r="E753" s="108" t="s">
        <v>229</v>
      </c>
      <c r="F753" s="108" t="s">
        <v>561</v>
      </c>
      <c r="G753" s="108" t="s">
        <v>9</v>
      </c>
      <c r="H753" s="126">
        <v>0</v>
      </c>
      <c r="I753" s="126">
        <v>0</v>
      </c>
      <c r="J753" s="108" t="s">
        <v>1215</v>
      </c>
      <c r="K753" s="108" t="str">
        <f t="shared" si="33"/>
        <v>09Б0400000</v>
      </c>
      <c r="L753" s="303" t="str">
        <f t="shared" si="34"/>
        <v>607070709Б0400000000</v>
      </c>
      <c r="M753" s="132" t="str">
        <f>INDEX('реш СГД № 265'!$A:$N,MATCH('БА расх 2019-2020'!$L753,'реш СГД № 265'!$N:$N,0),3)</f>
        <v>Основное мероприятие «Формирование условий для реализации молодежных инициатив и развития деятельности молодежных объединений»</v>
      </c>
      <c r="N753" s="17">
        <f t="shared" si="35"/>
        <v>1</v>
      </c>
    </row>
    <row r="754" spans="1:14" s="17" customFormat="1" ht="63">
      <c r="A754" s="14"/>
      <c r="B754" s="125" t="s">
        <v>550</v>
      </c>
      <c r="C754" s="109" t="s">
        <v>510</v>
      </c>
      <c r="D754" s="108" t="s">
        <v>229</v>
      </c>
      <c r="E754" s="108" t="s">
        <v>229</v>
      </c>
      <c r="F754" s="108" t="s">
        <v>562</v>
      </c>
      <c r="G754" s="108" t="s">
        <v>9</v>
      </c>
      <c r="H754" s="126">
        <v>0</v>
      </c>
      <c r="I754" s="126">
        <v>0</v>
      </c>
      <c r="J754" s="108" t="s">
        <v>1216</v>
      </c>
      <c r="K754" s="108" t="str">
        <f t="shared" si="33"/>
        <v>09Б0420460</v>
      </c>
      <c r="L754" s="303" t="str">
        <f t="shared" si="34"/>
        <v>607070709Б0420460000</v>
      </c>
      <c r="M754" s="132" t="str">
        <f>INDEX('реш СГД № 265'!$A:$N,MATCH('БА расх 2019-2020'!$L754,'реш СГД № 265'!$N:$N,0),3)</f>
        <v>Расходы на создание условий для интеграции молодежи в процессы социально-экономического, общественно-политического, культурного развития города Ставрополя</v>
      </c>
      <c r="N754" s="17">
        <f t="shared" si="35"/>
        <v>1</v>
      </c>
    </row>
    <row r="755" spans="1:14" s="17" customFormat="1" ht="15.75">
      <c r="A755" s="14"/>
      <c r="B755" s="132" t="s">
        <v>403</v>
      </c>
      <c r="C755" s="109" t="s">
        <v>510</v>
      </c>
      <c r="D755" s="108" t="s">
        <v>229</v>
      </c>
      <c r="E755" s="108" t="s">
        <v>229</v>
      </c>
      <c r="F755" s="108" t="s">
        <v>562</v>
      </c>
      <c r="G755" s="108" t="s">
        <v>404</v>
      </c>
      <c r="H755" s="126">
        <v>0</v>
      </c>
      <c r="I755" s="126">
        <v>0</v>
      </c>
      <c r="J755" s="108" t="s">
        <v>1216</v>
      </c>
      <c r="K755" s="108" t="str">
        <f t="shared" si="33"/>
        <v>09Б0420460</v>
      </c>
      <c r="L755" s="303" t="str">
        <f t="shared" si="34"/>
        <v>607070709Б0420460610</v>
      </c>
      <c r="M755" s="132" t="str">
        <f>INDEX('реш СГД № 265'!$A:$N,MATCH('БА расх 2019-2020'!$L755,'реш СГД № 265'!$N:$N,0),3)</f>
        <v>Субсидии бюджетным учреждениям</v>
      </c>
      <c r="N755" s="17">
        <f t="shared" si="35"/>
        <v>1</v>
      </c>
    </row>
    <row r="756" spans="1:14" s="24" customFormat="1" ht="63">
      <c r="A756" s="21"/>
      <c r="B756" s="127" t="s">
        <v>405</v>
      </c>
      <c r="C756" s="109" t="s">
        <v>510</v>
      </c>
      <c r="D756" s="108" t="s">
        <v>229</v>
      </c>
      <c r="E756" s="108" t="s">
        <v>229</v>
      </c>
      <c r="F756" s="108" t="s">
        <v>562</v>
      </c>
      <c r="G756" s="108" t="s">
        <v>406</v>
      </c>
      <c r="H756" s="126">
        <v>0</v>
      </c>
      <c r="I756" s="126">
        <v>0</v>
      </c>
      <c r="J756" s="108" t="s">
        <v>1216</v>
      </c>
      <c r="K756" s="108" t="str">
        <f t="shared" si="33"/>
        <v>09Б0420460</v>
      </c>
      <c r="L756" s="303" t="str">
        <f t="shared" si="34"/>
        <v>607070709Б0420460611</v>
      </c>
      <c r="M756" s="132"/>
      <c r="N756" s="17">
        <f t="shared" si="35"/>
        <v>0</v>
      </c>
    </row>
    <row r="757" spans="1:14" s="17" customFormat="1" ht="47.25">
      <c r="A757" s="14"/>
      <c r="B757" s="127" t="s">
        <v>563</v>
      </c>
      <c r="C757" s="109" t="s">
        <v>510</v>
      </c>
      <c r="D757" s="108" t="s">
        <v>229</v>
      </c>
      <c r="E757" s="108" t="s">
        <v>229</v>
      </c>
      <c r="F757" s="108" t="s">
        <v>564</v>
      </c>
      <c r="G757" s="108" t="s">
        <v>9</v>
      </c>
      <c r="H757" s="126">
        <v>0</v>
      </c>
      <c r="I757" s="126">
        <v>0</v>
      </c>
      <c r="J757" s="108" t="s">
        <v>1217</v>
      </c>
      <c r="K757" s="108" t="str">
        <f t="shared" si="33"/>
        <v>09Б0500000</v>
      </c>
      <c r="L757" s="303" t="str">
        <f t="shared" si="34"/>
        <v>607070709Б0500000000</v>
      </c>
      <c r="M757" s="132" t="str">
        <f>INDEX('реш СГД № 265'!$A:$N,MATCH('БА расх 2019-2020'!$L757,'реш СГД № 265'!$N:$N,0),3)</f>
        <v>Основное мероприятие «Методическое и информационное сопровождение реализации молодежной политики в городе Ставрополе»</v>
      </c>
      <c r="N757" s="17">
        <f t="shared" si="35"/>
        <v>1</v>
      </c>
    </row>
    <row r="758" spans="1:14" s="17" customFormat="1" ht="63">
      <c r="A758" s="14"/>
      <c r="B758" s="125" t="s">
        <v>550</v>
      </c>
      <c r="C758" s="109" t="s">
        <v>510</v>
      </c>
      <c r="D758" s="108" t="s">
        <v>229</v>
      </c>
      <c r="E758" s="108" t="s">
        <v>229</v>
      </c>
      <c r="F758" s="108" t="s">
        <v>565</v>
      </c>
      <c r="G758" s="108" t="s">
        <v>9</v>
      </c>
      <c r="H758" s="126">
        <v>0</v>
      </c>
      <c r="I758" s="126">
        <v>0</v>
      </c>
      <c r="J758" s="108" t="s">
        <v>1218</v>
      </c>
      <c r="K758" s="108" t="str">
        <f t="shared" si="33"/>
        <v>09Б0520460</v>
      </c>
      <c r="L758" s="303" t="str">
        <f t="shared" si="34"/>
        <v>607070709Б0520460000</v>
      </c>
      <c r="M758" s="132" t="str">
        <f>INDEX('реш СГД № 265'!$A:$N,MATCH('БА расх 2019-2020'!$L758,'реш СГД № 265'!$N:$N,0),3)</f>
        <v>Расходы на создание условий для интеграции молодежи в процессы социально-экономического, общественно-политического, культурного развития города Ставрополя</v>
      </c>
      <c r="N758" s="17">
        <f t="shared" si="35"/>
        <v>1</v>
      </c>
    </row>
    <row r="759" spans="1:14" s="17" customFormat="1" ht="15.75">
      <c r="A759" s="14"/>
      <c r="B759" s="132" t="s">
        <v>403</v>
      </c>
      <c r="C759" s="109" t="s">
        <v>510</v>
      </c>
      <c r="D759" s="108" t="s">
        <v>229</v>
      </c>
      <c r="E759" s="108" t="s">
        <v>229</v>
      </c>
      <c r="F759" s="108" t="s">
        <v>565</v>
      </c>
      <c r="G759" s="108" t="s">
        <v>404</v>
      </c>
      <c r="H759" s="126">
        <v>0</v>
      </c>
      <c r="I759" s="126">
        <v>0</v>
      </c>
      <c r="J759" s="108" t="s">
        <v>1218</v>
      </c>
      <c r="K759" s="108" t="str">
        <f t="shared" si="33"/>
        <v>09Б0520460</v>
      </c>
      <c r="L759" s="303" t="str">
        <f t="shared" si="34"/>
        <v>607070709Б0520460610</v>
      </c>
      <c r="M759" s="132" t="str">
        <f>INDEX('реш СГД № 265'!$A:$N,MATCH('БА расх 2019-2020'!$L759,'реш СГД № 265'!$N:$N,0),3)</f>
        <v>Субсидии бюджетным учреждениям</v>
      </c>
      <c r="N759" s="17">
        <f t="shared" si="35"/>
        <v>1</v>
      </c>
    </row>
    <row r="760" spans="1:14" s="24" customFormat="1" ht="63">
      <c r="A760" s="21"/>
      <c r="B760" s="127" t="s">
        <v>405</v>
      </c>
      <c r="C760" s="109" t="s">
        <v>510</v>
      </c>
      <c r="D760" s="108" t="s">
        <v>229</v>
      </c>
      <c r="E760" s="108" t="s">
        <v>229</v>
      </c>
      <c r="F760" s="108" t="s">
        <v>565</v>
      </c>
      <c r="G760" s="108" t="s">
        <v>406</v>
      </c>
      <c r="H760" s="126">
        <v>0</v>
      </c>
      <c r="I760" s="126">
        <v>0</v>
      </c>
      <c r="J760" s="108" t="s">
        <v>1218</v>
      </c>
      <c r="K760" s="108" t="str">
        <f t="shared" si="33"/>
        <v>09Б0520460</v>
      </c>
      <c r="L760" s="303" t="str">
        <f t="shared" si="34"/>
        <v>607070709Б0520460611</v>
      </c>
      <c r="M760" s="132"/>
      <c r="N760" s="17">
        <f t="shared" si="35"/>
        <v>0</v>
      </c>
    </row>
    <row r="761" spans="1:14" s="17" customFormat="1" ht="47.25">
      <c r="A761" s="14"/>
      <c r="B761" s="127" t="s">
        <v>566</v>
      </c>
      <c r="C761" s="109" t="s">
        <v>510</v>
      </c>
      <c r="D761" s="108" t="s">
        <v>229</v>
      </c>
      <c r="E761" s="108" t="s">
        <v>229</v>
      </c>
      <c r="F761" s="108" t="s">
        <v>567</v>
      </c>
      <c r="G761" s="108" t="s">
        <v>9</v>
      </c>
      <c r="H761" s="126">
        <v>0</v>
      </c>
      <c r="I761" s="126">
        <v>0</v>
      </c>
      <c r="J761" s="108" t="s">
        <v>1219</v>
      </c>
      <c r="K761" s="108" t="str">
        <f t="shared" si="33"/>
        <v>09Б0600000</v>
      </c>
      <c r="L761" s="303" t="str">
        <f t="shared" si="34"/>
        <v>607070709Б0600000000</v>
      </c>
      <c r="M761" s="132" t="str">
        <f>INDEX('реш СГД № 265'!$A:$N,MATCH('БА расх 2019-2020'!$L761,'реш СГД № 265'!$N:$N,0),3)</f>
        <v>Основное мероприятие «Обеспечение деятельности муниципальных бюджетных учреждений города Ставрополя»</v>
      </c>
      <c r="N761" s="17">
        <f t="shared" si="35"/>
        <v>1</v>
      </c>
    </row>
    <row r="762" spans="1:14" s="17" customFormat="1" ht="31.5">
      <c r="A762" s="14"/>
      <c r="B762" s="127" t="s">
        <v>136</v>
      </c>
      <c r="C762" s="109" t="s">
        <v>510</v>
      </c>
      <c r="D762" s="108" t="s">
        <v>229</v>
      </c>
      <c r="E762" s="108" t="s">
        <v>229</v>
      </c>
      <c r="F762" s="108" t="s">
        <v>568</v>
      </c>
      <c r="G762" s="108" t="s">
        <v>9</v>
      </c>
      <c r="H762" s="126">
        <v>0</v>
      </c>
      <c r="I762" s="126">
        <v>0</v>
      </c>
      <c r="J762" s="108" t="s">
        <v>1220</v>
      </c>
      <c r="K762" s="108" t="str">
        <f t="shared" si="33"/>
        <v>09Б0611010</v>
      </c>
      <c r="L762" s="303" t="str">
        <f t="shared" si="34"/>
        <v>607070709Б0611010000</v>
      </c>
      <c r="M762" s="132" t="str">
        <f>INDEX('реш СГД № 265'!$A:$N,MATCH('БА расх 2019-2020'!$L762,'реш СГД № 265'!$N:$N,0),3)</f>
        <v>Расходы на обеспечение деятельности (оказание услуг) муниципальных учреждений</v>
      </c>
      <c r="N762" s="17">
        <f t="shared" si="35"/>
        <v>1</v>
      </c>
    </row>
    <row r="763" spans="1:14" s="17" customFormat="1" ht="15.75">
      <c r="A763" s="14"/>
      <c r="B763" s="132" t="s">
        <v>403</v>
      </c>
      <c r="C763" s="109" t="s">
        <v>510</v>
      </c>
      <c r="D763" s="108" t="s">
        <v>229</v>
      </c>
      <c r="E763" s="108" t="s">
        <v>229</v>
      </c>
      <c r="F763" s="108" t="s">
        <v>568</v>
      </c>
      <c r="G763" s="108" t="s">
        <v>404</v>
      </c>
      <c r="H763" s="126">
        <v>0</v>
      </c>
      <c r="I763" s="126">
        <v>0</v>
      </c>
      <c r="J763" s="108" t="s">
        <v>1220</v>
      </c>
      <c r="K763" s="108" t="str">
        <f t="shared" si="33"/>
        <v>09Б0611010</v>
      </c>
      <c r="L763" s="303" t="str">
        <f t="shared" si="34"/>
        <v>607070709Б0611010610</v>
      </c>
      <c r="M763" s="132" t="str">
        <f>INDEX('реш СГД № 265'!$A:$N,MATCH('БА расх 2019-2020'!$L763,'реш СГД № 265'!$N:$N,0),3)</f>
        <v>Субсидии бюджетным учреждениям</v>
      </c>
      <c r="N763" s="17">
        <f t="shared" si="35"/>
        <v>1</v>
      </c>
    </row>
    <row r="764" spans="1:14" s="24" customFormat="1" ht="63">
      <c r="A764" s="21"/>
      <c r="B764" s="127" t="s">
        <v>405</v>
      </c>
      <c r="C764" s="109" t="s">
        <v>510</v>
      </c>
      <c r="D764" s="108" t="s">
        <v>229</v>
      </c>
      <c r="E764" s="108" t="s">
        <v>229</v>
      </c>
      <c r="F764" s="108" t="s">
        <v>568</v>
      </c>
      <c r="G764" s="108" t="s">
        <v>406</v>
      </c>
      <c r="H764" s="126">
        <v>0</v>
      </c>
      <c r="I764" s="126">
        <v>0</v>
      </c>
      <c r="J764" s="108" t="s">
        <v>1220</v>
      </c>
      <c r="K764" s="108" t="str">
        <f t="shared" si="33"/>
        <v>09Б0611010</v>
      </c>
      <c r="L764" s="303" t="str">
        <f t="shared" si="34"/>
        <v>607070709Б0611010611</v>
      </c>
      <c r="M764" s="132"/>
      <c r="N764" s="17">
        <f t="shared" si="35"/>
        <v>0</v>
      </c>
    </row>
    <row r="765" spans="1:14" s="16" customFormat="1" ht="15.75">
      <c r="A765" s="14"/>
      <c r="B765" s="117" t="s">
        <v>569</v>
      </c>
      <c r="C765" s="118" t="s">
        <v>510</v>
      </c>
      <c r="D765" s="119" t="s">
        <v>238</v>
      </c>
      <c r="E765" s="119" t="s">
        <v>7</v>
      </c>
      <c r="F765" s="119" t="s">
        <v>8</v>
      </c>
      <c r="G765" s="119" t="s">
        <v>9</v>
      </c>
      <c r="H765" s="120">
        <v>0</v>
      </c>
      <c r="I765" s="120">
        <v>0</v>
      </c>
      <c r="J765" s="119">
        <v>0</v>
      </c>
      <c r="K765" s="108" t="str">
        <f t="shared" si="33"/>
        <v>0000000000</v>
      </c>
      <c r="L765" s="303" t="str">
        <f t="shared" si="34"/>
        <v>60708000000000000000</v>
      </c>
      <c r="M765" s="132" t="str">
        <f>INDEX('реш СГД № 265'!$A:$N,MATCH('БА расх 2019-2020'!$L765,'реш СГД № 265'!$N:$N,0),3)</f>
        <v>Культура, кинематография</v>
      </c>
      <c r="N765" s="17">
        <f t="shared" si="35"/>
        <v>1</v>
      </c>
    </row>
    <row r="766" spans="1:14" s="16" customFormat="1" ht="15.75">
      <c r="A766" s="14"/>
      <c r="B766" s="121" t="s">
        <v>239</v>
      </c>
      <c r="C766" s="122" t="s">
        <v>510</v>
      </c>
      <c r="D766" s="123" t="s">
        <v>238</v>
      </c>
      <c r="E766" s="123" t="s">
        <v>11</v>
      </c>
      <c r="F766" s="123" t="s">
        <v>8</v>
      </c>
      <c r="G766" s="123" t="s">
        <v>9</v>
      </c>
      <c r="H766" s="124">
        <v>0</v>
      </c>
      <c r="I766" s="124">
        <v>0</v>
      </c>
      <c r="J766" s="123">
        <v>0</v>
      </c>
      <c r="K766" s="108" t="str">
        <f t="shared" si="33"/>
        <v>0000000000</v>
      </c>
      <c r="L766" s="303" t="str">
        <f t="shared" si="34"/>
        <v>60708010000000000000</v>
      </c>
      <c r="M766" s="132" t="str">
        <f>INDEX('реш СГД № 265'!$A:$N,MATCH('БА расх 2019-2020'!$L766,'реш СГД № 265'!$N:$N,0),3)</f>
        <v>Культура</v>
      </c>
      <c r="N766" s="17">
        <f t="shared" si="35"/>
        <v>1</v>
      </c>
    </row>
    <row r="767" spans="1:14" s="16" customFormat="1" ht="31.5">
      <c r="A767" s="14"/>
      <c r="B767" s="125" t="s">
        <v>240</v>
      </c>
      <c r="C767" s="109" t="s">
        <v>510</v>
      </c>
      <c r="D767" s="108" t="s">
        <v>238</v>
      </c>
      <c r="E767" s="108" t="s">
        <v>11</v>
      </c>
      <c r="F767" s="108" t="s">
        <v>241</v>
      </c>
      <c r="G767" s="108" t="s">
        <v>9</v>
      </c>
      <c r="H767" s="126">
        <v>0</v>
      </c>
      <c r="I767" s="126">
        <v>0</v>
      </c>
      <c r="J767" s="108">
        <v>700000000</v>
      </c>
      <c r="K767" s="108" t="str">
        <f t="shared" si="33"/>
        <v>0700000000</v>
      </c>
      <c r="L767" s="303" t="str">
        <f t="shared" si="34"/>
        <v>60708010700000000000</v>
      </c>
      <c r="M767" s="132" t="str">
        <f>INDEX('реш СГД № 265'!$A:$N,MATCH('БА расх 2019-2020'!$L767,'реш СГД № 265'!$N:$N,0),3)</f>
        <v>Муниципальная программа «Культура города Ставрополя»</v>
      </c>
      <c r="N767" s="17">
        <f t="shared" si="35"/>
        <v>1</v>
      </c>
    </row>
    <row r="768" spans="1:14" s="16" customFormat="1" ht="78.75">
      <c r="A768" s="14"/>
      <c r="B768" s="125" t="s">
        <v>242</v>
      </c>
      <c r="C768" s="109" t="s">
        <v>510</v>
      </c>
      <c r="D768" s="108" t="s">
        <v>238</v>
      </c>
      <c r="E768" s="108" t="s">
        <v>11</v>
      </c>
      <c r="F768" s="108" t="s">
        <v>243</v>
      </c>
      <c r="G768" s="108" t="s">
        <v>9</v>
      </c>
      <c r="H768" s="126">
        <v>0</v>
      </c>
      <c r="I768" s="126">
        <v>0</v>
      </c>
      <c r="J768" s="108">
        <v>710000000</v>
      </c>
      <c r="K768" s="108" t="str">
        <f t="shared" si="33"/>
        <v>0710000000</v>
      </c>
      <c r="L768" s="303" t="str">
        <f t="shared" si="34"/>
        <v>60708010710000000000</v>
      </c>
      <c r="M768" s="132" t="str">
        <f>INDEX('реш СГД № 265'!$A:$N,MATCH('БА расх 2019-2020'!$L768,'реш СГД № 265'!$N:$N,0),3)</f>
        <v xml:space="preserve">Подпрограмма «Проведение городских и краевых культурно-массовых мероприятий, посвященных памятным, знаменательным и юбилейным датам в истории России, Ставропольского края, города Ставрополя» </v>
      </c>
      <c r="N768" s="17">
        <f t="shared" si="35"/>
        <v>1</v>
      </c>
    </row>
    <row r="769" spans="1:14" s="16" customFormat="1" ht="110.25">
      <c r="A769" s="14"/>
      <c r="B769" s="125" t="s">
        <v>244</v>
      </c>
      <c r="C769" s="109" t="s">
        <v>510</v>
      </c>
      <c r="D769" s="108" t="s">
        <v>238</v>
      </c>
      <c r="E769" s="108" t="s">
        <v>11</v>
      </c>
      <c r="F769" s="108" t="s">
        <v>245</v>
      </c>
      <c r="G769" s="108" t="s">
        <v>9</v>
      </c>
      <c r="H769" s="126">
        <v>0</v>
      </c>
      <c r="I769" s="126">
        <v>0</v>
      </c>
      <c r="J769" s="108">
        <v>710100000</v>
      </c>
      <c r="K769" s="108" t="str">
        <f t="shared" si="33"/>
        <v>0710100000</v>
      </c>
      <c r="L769" s="303" t="str">
        <f t="shared" si="34"/>
        <v>60708010710100000000</v>
      </c>
      <c r="M769" s="132" t="str">
        <f>INDEX('реш СГД № 265'!$A:$N,MATCH('БА расх 2019-2020'!$L769,'реш СГД № 265'!$N:$N,0),3)</f>
        <v>Основное мероприятие «Обеспечение доступности к культурным ценностям и права на участие в культурной жизни для всех групп населения города Ставрополя, популяризация объектов культурного наследия города Ставрополя, формирование имиджа города Ставрополя как культурного центра Ставропольского края»</v>
      </c>
      <c r="N769" s="17">
        <f t="shared" si="35"/>
        <v>1</v>
      </c>
    </row>
    <row r="770" spans="1:14" s="16" customFormat="1" ht="31.5">
      <c r="A770" s="14"/>
      <c r="B770" s="125" t="s">
        <v>246</v>
      </c>
      <c r="C770" s="109" t="s">
        <v>510</v>
      </c>
      <c r="D770" s="108" t="s">
        <v>238</v>
      </c>
      <c r="E770" s="108" t="s">
        <v>11</v>
      </c>
      <c r="F770" s="108" t="s">
        <v>247</v>
      </c>
      <c r="G770" s="108" t="s">
        <v>9</v>
      </c>
      <c r="H770" s="126">
        <v>0</v>
      </c>
      <c r="I770" s="126">
        <v>0</v>
      </c>
      <c r="J770" s="108">
        <v>710120060</v>
      </c>
      <c r="K770" s="108" t="str">
        <f t="shared" si="33"/>
        <v>0710120060</v>
      </c>
      <c r="L770" s="303" t="str">
        <f t="shared" si="34"/>
        <v>60708010710120060000</v>
      </c>
      <c r="M770" s="132" t="str">
        <f>INDEX('реш СГД № 265'!$A:$N,MATCH('БА расх 2019-2020'!$L770,'реш СГД № 265'!$N:$N,0),3)</f>
        <v>Расходы на проведение культурно-массовых мероприятий в городе Ставрополе</v>
      </c>
      <c r="N770" s="17">
        <f t="shared" si="35"/>
        <v>1</v>
      </c>
    </row>
    <row r="771" spans="1:14" s="16" customFormat="1" ht="15.75">
      <c r="A771" s="14"/>
      <c r="B771" s="132" t="s">
        <v>403</v>
      </c>
      <c r="C771" s="109" t="s">
        <v>510</v>
      </c>
      <c r="D771" s="108" t="s">
        <v>238</v>
      </c>
      <c r="E771" s="108" t="s">
        <v>11</v>
      </c>
      <c r="F771" s="108" t="s">
        <v>247</v>
      </c>
      <c r="G771" s="108" t="s">
        <v>404</v>
      </c>
      <c r="H771" s="126">
        <v>0</v>
      </c>
      <c r="I771" s="126">
        <v>0</v>
      </c>
      <c r="J771" s="108">
        <v>710120060</v>
      </c>
      <c r="K771" s="108" t="str">
        <f t="shared" si="33"/>
        <v>0710120060</v>
      </c>
      <c r="L771" s="303" t="str">
        <f t="shared" si="34"/>
        <v>60708010710120060610</v>
      </c>
      <c r="M771" s="132" t="str">
        <f>INDEX('реш СГД № 265'!$A:$N,MATCH('БА расх 2019-2020'!$L771,'реш СГД № 265'!$N:$N,0),3)</f>
        <v>Субсидии бюджетным учреждениям</v>
      </c>
      <c r="N771" s="17">
        <f t="shared" si="35"/>
        <v>1</v>
      </c>
    </row>
    <row r="772" spans="1:14" s="23" customFormat="1" ht="63">
      <c r="A772" s="21"/>
      <c r="B772" s="127" t="s">
        <v>405</v>
      </c>
      <c r="C772" s="109" t="s">
        <v>510</v>
      </c>
      <c r="D772" s="108" t="s">
        <v>238</v>
      </c>
      <c r="E772" s="108" t="s">
        <v>11</v>
      </c>
      <c r="F772" s="108" t="s">
        <v>247</v>
      </c>
      <c r="G772" s="108" t="s">
        <v>406</v>
      </c>
      <c r="H772" s="126">
        <v>0</v>
      </c>
      <c r="I772" s="126">
        <v>0</v>
      </c>
      <c r="J772" s="108">
        <v>710120060</v>
      </c>
      <c r="K772" s="108" t="str">
        <f t="shared" si="33"/>
        <v>0710120060</v>
      </c>
      <c r="L772" s="303" t="str">
        <f t="shared" si="34"/>
        <v>60708010710120060611</v>
      </c>
      <c r="M772" s="132"/>
      <c r="N772" s="17">
        <f t="shared" si="35"/>
        <v>0</v>
      </c>
    </row>
    <row r="773" spans="1:14" s="16" customFormat="1" ht="15.75">
      <c r="A773" s="14"/>
      <c r="B773" s="132" t="s">
        <v>409</v>
      </c>
      <c r="C773" s="109" t="s">
        <v>510</v>
      </c>
      <c r="D773" s="108" t="s">
        <v>238</v>
      </c>
      <c r="E773" s="108" t="s">
        <v>11</v>
      </c>
      <c r="F773" s="108" t="s">
        <v>247</v>
      </c>
      <c r="G773" s="108" t="s">
        <v>410</v>
      </c>
      <c r="H773" s="126">
        <v>0</v>
      </c>
      <c r="I773" s="126">
        <v>0</v>
      </c>
      <c r="J773" s="108">
        <v>710120060</v>
      </c>
      <c r="K773" s="108" t="str">
        <f t="shared" si="33"/>
        <v>0710120060</v>
      </c>
      <c r="L773" s="303" t="str">
        <f t="shared" si="34"/>
        <v>60708010710120060620</v>
      </c>
      <c r="M773" s="132" t="str">
        <f>INDEX('реш СГД № 265'!$A:$N,MATCH('БА расх 2019-2020'!$L773,'реш СГД № 265'!$N:$N,0),3)</f>
        <v>Субсидии автономным учреждениям</v>
      </c>
      <c r="N773" s="17">
        <f t="shared" si="35"/>
        <v>1</v>
      </c>
    </row>
    <row r="774" spans="1:14" s="23" customFormat="1" ht="63">
      <c r="A774" s="21"/>
      <c r="B774" s="127" t="s">
        <v>411</v>
      </c>
      <c r="C774" s="109" t="s">
        <v>510</v>
      </c>
      <c r="D774" s="108" t="s">
        <v>238</v>
      </c>
      <c r="E774" s="108" t="s">
        <v>11</v>
      </c>
      <c r="F774" s="108" t="s">
        <v>247</v>
      </c>
      <c r="G774" s="108" t="s">
        <v>412</v>
      </c>
      <c r="H774" s="126">
        <v>0</v>
      </c>
      <c r="I774" s="126">
        <v>0</v>
      </c>
      <c r="J774" s="108">
        <v>710120060</v>
      </c>
      <c r="K774" s="108" t="str">
        <f t="shared" si="33"/>
        <v>0710120060</v>
      </c>
      <c r="L774" s="303" t="str">
        <f t="shared" si="34"/>
        <v>60708010710120060621</v>
      </c>
      <c r="M774" s="132"/>
      <c r="N774" s="17">
        <f t="shared" si="35"/>
        <v>0</v>
      </c>
    </row>
    <row r="775" spans="1:14" s="16" customFormat="1" ht="31.5">
      <c r="A775" s="14"/>
      <c r="B775" s="125" t="s">
        <v>519</v>
      </c>
      <c r="C775" s="109" t="s">
        <v>510</v>
      </c>
      <c r="D775" s="108" t="s">
        <v>238</v>
      </c>
      <c r="E775" s="108" t="s">
        <v>11</v>
      </c>
      <c r="F775" s="108" t="s">
        <v>520</v>
      </c>
      <c r="G775" s="108" t="s">
        <v>9</v>
      </c>
      <c r="H775" s="126">
        <v>0</v>
      </c>
      <c r="I775" s="126">
        <v>0</v>
      </c>
      <c r="J775" s="126">
        <v>720000000</v>
      </c>
      <c r="K775" s="108" t="str">
        <f t="shared" si="33"/>
        <v>0720000000</v>
      </c>
      <c r="L775" s="303" t="str">
        <f t="shared" si="34"/>
        <v>60708010720000000000</v>
      </c>
      <c r="M775" s="132" t="str">
        <f>INDEX('реш СГД № 265'!$A:$N,MATCH('БА расх 2019-2020'!$L775,'реш СГД № 265'!$N:$N,0),3)</f>
        <v>Подпрограмма «Развитие культуры города Ставрополя»</v>
      </c>
      <c r="N775" s="17">
        <f t="shared" si="35"/>
        <v>1</v>
      </c>
    </row>
    <row r="776" spans="1:14" s="16" customFormat="1" ht="47.25">
      <c r="A776" s="14"/>
      <c r="B776" s="125" t="s">
        <v>570</v>
      </c>
      <c r="C776" s="109" t="s">
        <v>510</v>
      </c>
      <c r="D776" s="108" t="s">
        <v>238</v>
      </c>
      <c r="E776" s="108" t="s">
        <v>11</v>
      </c>
      <c r="F776" s="108" t="s">
        <v>571</v>
      </c>
      <c r="G776" s="108" t="s">
        <v>9</v>
      </c>
      <c r="H776" s="126">
        <v>0</v>
      </c>
      <c r="I776" s="126">
        <v>0</v>
      </c>
      <c r="J776" s="108">
        <v>720200000</v>
      </c>
      <c r="K776" s="108" t="str">
        <f t="shared" si="33"/>
        <v>0720200000</v>
      </c>
      <c r="L776" s="303" t="str">
        <f t="shared" si="34"/>
        <v>60708010720200000000</v>
      </c>
      <c r="M776" s="132" t="str">
        <f>INDEX('реш СГД № 265'!$A:$N,MATCH('БА расх 2019-2020'!$L776,'реш СГД № 265'!$N:$N,0),3)</f>
        <v>Основное мероприятие «Обеспечение деятельности муниципальных учреждений  культурно-досугового типа»</v>
      </c>
      <c r="N776" s="17">
        <f t="shared" si="35"/>
        <v>1</v>
      </c>
    </row>
    <row r="777" spans="1:14" s="16" customFormat="1" ht="31.5">
      <c r="A777" s="14"/>
      <c r="B777" s="125" t="s">
        <v>136</v>
      </c>
      <c r="C777" s="109" t="s">
        <v>510</v>
      </c>
      <c r="D777" s="108" t="s">
        <v>238</v>
      </c>
      <c r="E777" s="108" t="s">
        <v>11</v>
      </c>
      <c r="F777" s="108" t="s">
        <v>572</v>
      </c>
      <c r="G777" s="108" t="s">
        <v>9</v>
      </c>
      <c r="H777" s="126">
        <v>0</v>
      </c>
      <c r="I777" s="126">
        <v>0</v>
      </c>
      <c r="J777" s="108">
        <v>720211010</v>
      </c>
      <c r="K777" s="108" t="str">
        <f t="shared" si="33"/>
        <v>0720211010</v>
      </c>
      <c r="L777" s="303" t="str">
        <f t="shared" si="34"/>
        <v>60708010720211010000</v>
      </c>
      <c r="M777" s="132" t="str">
        <f>INDEX('реш СГД № 265'!$A:$N,MATCH('БА расх 2019-2020'!$L777,'реш СГД № 265'!$N:$N,0),3)</f>
        <v>Расходы на обеспечение деятельности (оказание услуг) муниципальных учреждений</v>
      </c>
      <c r="N777" s="17">
        <f t="shared" si="35"/>
        <v>1</v>
      </c>
    </row>
    <row r="778" spans="1:14" s="16" customFormat="1" ht="15.75">
      <c r="A778" s="14"/>
      <c r="B778" s="132" t="s">
        <v>403</v>
      </c>
      <c r="C778" s="109" t="s">
        <v>510</v>
      </c>
      <c r="D778" s="108" t="s">
        <v>238</v>
      </c>
      <c r="E778" s="108" t="s">
        <v>11</v>
      </c>
      <c r="F778" s="108" t="s">
        <v>572</v>
      </c>
      <c r="G778" s="108" t="s">
        <v>404</v>
      </c>
      <c r="H778" s="126">
        <v>0</v>
      </c>
      <c r="I778" s="126">
        <v>0</v>
      </c>
      <c r="J778" s="108">
        <v>720211010</v>
      </c>
      <c r="K778" s="108" t="str">
        <f t="shared" si="33"/>
        <v>0720211010</v>
      </c>
      <c r="L778" s="303" t="str">
        <f t="shared" si="34"/>
        <v>60708010720211010610</v>
      </c>
      <c r="M778" s="132" t="str">
        <f>INDEX('реш СГД № 265'!$A:$N,MATCH('БА расх 2019-2020'!$L778,'реш СГД № 265'!$N:$N,0),3)</f>
        <v>Субсидии бюджетным учреждениям</v>
      </c>
      <c r="N778" s="17">
        <f t="shared" si="35"/>
        <v>1</v>
      </c>
    </row>
    <row r="779" spans="1:14" s="23" customFormat="1" ht="63">
      <c r="A779" s="21"/>
      <c r="B779" s="127" t="s">
        <v>405</v>
      </c>
      <c r="C779" s="109" t="s">
        <v>510</v>
      </c>
      <c r="D779" s="108" t="s">
        <v>238</v>
      </c>
      <c r="E779" s="108" t="s">
        <v>11</v>
      </c>
      <c r="F779" s="108" t="s">
        <v>572</v>
      </c>
      <c r="G779" s="108" t="s">
        <v>406</v>
      </c>
      <c r="H779" s="126">
        <v>0</v>
      </c>
      <c r="I779" s="126">
        <v>0</v>
      </c>
      <c r="J779" s="108">
        <v>720211010</v>
      </c>
      <c r="K779" s="108" t="str">
        <f t="shared" si="33"/>
        <v>0720211010</v>
      </c>
      <c r="L779" s="303" t="str">
        <f t="shared" si="34"/>
        <v>60708010720211010611</v>
      </c>
      <c r="M779" s="132"/>
      <c r="N779" s="17">
        <f t="shared" si="35"/>
        <v>0</v>
      </c>
    </row>
    <row r="780" spans="1:14" s="16" customFormat="1" ht="15.75">
      <c r="A780" s="14"/>
      <c r="B780" s="132" t="s">
        <v>409</v>
      </c>
      <c r="C780" s="109" t="s">
        <v>510</v>
      </c>
      <c r="D780" s="108" t="s">
        <v>238</v>
      </c>
      <c r="E780" s="108" t="s">
        <v>11</v>
      </c>
      <c r="F780" s="108" t="s">
        <v>572</v>
      </c>
      <c r="G780" s="108" t="s">
        <v>410</v>
      </c>
      <c r="H780" s="126">
        <v>0</v>
      </c>
      <c r="I780" s="126">
        <v>0</v>
      </c>
      <c r="J780" s="108">
        <v>720211010</v>
      </c>
      <c r="K780" s="108" t="str">
        <f t="shared" si="33"/>
        <v>0720211010</v>
      </c>
      <c r="L780" s="303" t="str">
        <f t="shared" si="34"/>
        <v>60708010720211010620</v>
      </c>
      <c r="M780" s="132" t="str">
        <f>INDEX('реш СГД № 265'!$A:$N,MATCH('БА расх 2019-2020'!$L780,'реш СГД № 265'!$N:$N,0),3)</f>
        <v>Субсидии автономным учреждениям</v>
      </c>
      <c r="N780" s="17">
        <f t="shared" si="35"/>
        <v>1</v>
      </c>
    </row>
    <row r="781" spans="1:14" s="23" customFormat="1" ht="63">
      <c r="A781" s="21"/>
      <c r="B781" s="127" t="s">
        <v>411</v>
      </c>
      <c r="C781" s="109" t="s">
        <v>510</v>
      </c>
      <c r="D781" s="108" t="s">
        <v>238</v>
      </c>
      <c r="E781" s="108" t="s">
        <v>11</v>
      </c>
      <c r="F781" s="108" t="s">
        <v>572</v>
      </c>
      <c r="G781" s="108" t="s">
        <v>412</v>
      </c>
      <c r="H781" s="126">
        <v>0</v>
      </c>
      <c r="I781" s="126">
        <v>0</v>
      </c>
      <c r="J781" s="108">
        <v>720211010</v>
      </c>
      <c r="K781" s="108" t="str">
        <f t="shared" ref="K781:K844" si="36">TEXT(J781,"0000000000")</f>
        <v>0720211010</v>
      </c>
      <c r="L781" s="303" t="str">
        <f t="shared" si="34"/>
        <v>60708010720211010621</v>
      </c>
      <c r="M781" s="132"/>
      <c r="N781" s="17">
        <f t="shared" si="35"/>
        <v>0</v>
      </c>
    </row>
    <row r="782" spans="1:14" s="16" customFormat="1" ht="47.25">
      <c r="A782" s="14"/>
      <c r="B782" s="125" t="s">
        <v>573</v>
      </c>
      <c r="C782" s="109" t="s">
        <v>510</v>
      </c>
      <c r="D782" s="108" t="s">
        <v>238</v>
      </c>
      <c r="E782" s="108" t="s">
        <v>11</v>
      </c>
      <c r="F782" s="108" t="s">
        <v>574</v>
      </c>
      <c r="G782" s="108" t="s">
        <v>9</v>
      </c>
      <c r="H782" s="126">
        <v>0</v>
      </c>
      <c r="I782" s="126">
        <v>0</v>
      </c>
      <c r="J782" s="108">
        <v>720300000</v>
      </c>
      <c r="K782" s="108" t="str">
        <f t="shared" si="36"/>
        <v>0720300000</v>
      </c>
      <c r="L782" s="303" t="str">
        <f t="shared" ref="L782:L845" si="37">C782&amp;D782&amp;E782&amp;K782&amp;G782</f>
        <v>60708010720300000000</v>
      </c>
      <c r="M782" s="132" t="str">
        <f>INDEX('реш СГД № 265'!$A:$N,MATCH('БА расх 2019-2020'!$L782,'реш СГД № 265'!$N:$N,0),3)</f>
        <v>Основное мероприятие «Обеспечение деятельности муниципальных учреждений, осуществляющих музейное дело»</v>
      </c>
      <c r="N782" s="17">
        <f t="shared" ref="N782:N845" si="38">IF(B782=M782,1,0)</f>
        <v>1</v>
      </c>
    </row>
    <row r="783" spans="1:14" s="16" customFormat="1" ht="31.5">
      <c r="A783" s="14"/>
      <c r="B783" s="125" t="s">
        <v>136</v>
      </c>
      <c r="C783" s="109" t="s">
        <v>510</v>
      </c>
      <c r="D783" s="108" t="s">
        <v>238</v>
      </c>
      <c r="E783" s="108" t="s">
        <v>11</v>
      </c>
      <c r="F783" s="108" t="s">
        <v>575</v>
      </c>
      <c r="G783" s="108" t="s">
        <v>9</v>
      </c>
      <c r="H783" s="126">
        <v>0</v>
      </c>
      <c r="I783" s="126">
        <v>0</v>
      </c>
      <c r="J783" s="108">
        <v>720311010</v>
      </c>
      <c r="K783" s="108" t="str">
        <f t="shared" si="36"/>
        <v>0720311010</v>
      </c>
      <c r="L783" s="303" t="str">
        <f t="shared" si="37"/>
        <v>60708010720311010000</v>
      </c>
      <c r="M783" s="132" t="str">
        <f>INDEX('реш СГД № 265'!$A:$N,MATCH('БА расх 2019-2020'!$L783,'реш СГД № 265'!$N:$N,0),3)</f>
        <v>Расходы на обеспечение деятельности (оказание услуг) муниципальных учреждений</v>
      </c>
      <c r="N783" s="17">
        <f t="shared" si="38"/>
        <v>1</v>
      </c>
    </row>
    <row r="784" spans="1:14" s="16" customFormat="1" ht="15.75">
      <c r="A784" s="14"/>
      <c r="B784" s="132" t="s">
        <v>403</v>
      </c>
      <c r="C784" s="109" t="s">
        <v>510</v>
      </c>
      <c r="D784" s="108" t="s">
        <v>238</v>
      </c>
      <c r="E784" s="108" t="s">
        <v>11</v>
      </c>
      <c r="F784" s="108" t="s">
        <v>575</v>
      </c>
      <c r="G784" s="108" t="s">
        <v>404</v>
      </c>
      <c r="H784" s="126">
        <v>0</v>
      </c>
      <c r="I784" s="126">
        <v>0</v>
      </c>
      <c r="J784" s="108">
        <v>720311010</v>
      </c>
      <c r="K784" s="108" t="str">
        <f t="shared" si="36"/>
        <v>0720311010</v>
      </c>
      <c r="L784" s="303" t="str">
        <f t="shared" si="37"/>
        <v>60708010720311010610</v>
      </c>
      <c r="M784" s="132" t="str">
        <f>INDEX('реш СГД № 265'!$A:$N,MATCH('БА расх 2019-2020'!$L784,'реш СГД № 265'!$N:$N,0),3)</f>
        <v>Субсидии бюджетным учреждениям</v>
      </c>
      <c r="N784" s="17">
        <f t="shared" si="38"/>
        <v>1</v>
      </c>
    </row>
    <row r="785" spans="1:14" s="23" customFormat="1" ht="63">
      <c r="A785" s="21"/>
      <c r="B785" s="127" t="s">
        <v>405</v>
      </c>
      <c r="C785" s="109" t="s">
        <v>510</v>
      </c>
      <c r="D785" s="108" t="s">
        <v>238</v>
      </c>
      <c r="E785" s="108" t="s">
        <v>11</v>
      </c>
      <c r="F785" s="108" t="s">
        <v>575</v>
      </c>
      <c r="G785" s="108" t="s">
        <v>406</v>
      </c>
      <c r="H785" s="126">
        <v>0</v>
      </c>
      <c r="I785" s="126">
        <v>0</v>
      </c>
      <c r="J785" s="108">
        <v>720311010</v>
      </c>
      <c r="K785" s="108" t="str">
        <f t="shared" si="36"/>
        <v>0720311010</v>
      </c>
      <c r="L785" s="303" t="str">
        <f t="shared" si="37"/>
        <v>60708010720311010611</v>
      </c>
      <c r="M785" s="132"/>
      <c r="N785" s="17">
        <f t="shared" si="38"/>
        <v>0</v>
      </c>
    </row>
    <row r="786" spans="1:14" s="16" customFormat="1" ht="47.25">
      <c r="A786" s="14"/>
      <c r="B786" s="125" t="s">
        <v>576</v>
      </c>
      <c r="C786" s="109" t="s">
        <v>510</v>
      </c>
      <c r="D786" s="108" t="s">
        <v>238</v>
      </c>
      <c r="E786" s="108" t="s">
        <v>11</v>
      </c>
      <c r="F786" s="108" t="s">
        <v>577</v>
      </c>
      <c r="G786" s="108" t="s">
        <v>9</v>
      </c>
      <c r="H786" s="126">
        <v>0</v>
      </c>
      <c r="I786" s="126">
        <v>0</v>
      </c>
      <c r="J786" s="108">
        <v>720400000</v>
      </c>
      <c r="K786" s="108" t="str">
        <f t="shared" si="36"/>
        <v>0720400000</v>
      </c>
      <c r="L786" s="303" t="str">
        <f t="shared" si="37"/>
        <v>60708010720400000000</v>
      </c>
      <c r="M786" s="132" t="str">
        <f>INDEX('реш СГД № 265'!$A:$N,MATCH('БА расх 2019-2020'!$L786,'реш СГД № 265'!$N:$N,0),3)</f>
        <v>Основное мероприятие «Обеспечение деятельности муниципальных учреждений, осуществляющих библиотечное обслуживание»</v>
      </c>
      <c r="N786" s="17">
        <f t="shared" si="38"/>
        <v>1</v>
      </c>
    </row>
    <row r="787" spans="1:14" s="16" customFormat="1" ht="31.5">
      <c r="A787" s="14"/>
      <c r="B787" s="125" t="s">
        <v>136</v>
      </c>
      <c r="C787" s="109" t="s">
        <v>510</v>
      </c>
      <c r="D787" s="108" t="s">
        <v>238</v>
      </c>
      <c r="E787" s="108" t="s">
        <v>11</v>
      </c>
      <c r="F787" s="108" t="s">
        <v>578</v>
      </c>
      <c r="G787" s="108" t="s">
        <v>9</v>
      </c>
      <c r="H787" s="126">
        <v>0</v>
      </c>
      <c r="I787" s="126">
        <v>0</v>
      </c>
      <c r="J787" s="108">
        <v>720411010</v>
      </c>
      <c r="K787" s="108" t="str">
        <f t="shared" si="36"/>
        <v>0720411010</v>
      </c>
      <c r="L787" s="303" t="str">
        <f t="shared" si="37"/>
        <v>60708010720411010000</v>
      </c>
      <c r="M787" s="132" t="str">
        <f>INDEX('реш СГД № 265'!$A:$N,MATCH('БА расх 2019-2020'!$L787,'реш СГД № 265'!$N:$N,0),3)</f>
        <v>Расходы на обеспечение деятельности (оказание услуг) муниципальных учреждений</v>
      </c>
      <c r="N787" s="17">
        <f t="shared" si="38"/>
        <v>1</v>
      </c>
    </row>
    <row r="788" spans="1:14" s="16" customFormat="1" ht="15.75">
      <c r="A788" s="14"/>
      <c r="B788" s="132" t="s">
        <v>403</v>
      </c>
      <c r="C788" s="109" t="s">
        <v>510</v>
      </c>
      <c r="D788" s="108" t="s">
        <v>238</v>
      </c>
      <c r="E788" s="108" t="s">
        <v>11</v>
      </c>
      <c r="F788" s="108" t="s">
        <v>578</v>
      </c>
      <c r="G788" s="108" t="s">
        <v>404</v>
      </c>
      <c r="H788" s="126">
        <v>0</v>
      </c>
      <c r="I788" s="126">
        <v>0</v>
      </c>
      <c r="J788" s="108">
        <v>720411010</v>
      </c>
      <c r="K788" s="108" t="str">
        <f t="shared" si="36"/>
        <v>0720411010</v>
      </c>
      <c r="L788" s="303" t="str">
        <f t="shared" si="37"/>
        <v>60708010720411010610</v>
      </c>
      <c r="M788" s="132" t="str">
        <f>INDEX('реш СГД № 265'!$A:$N,MATCH('БА расх 2019-2020'!$L788,'реш СГД № 265'!$N:$N,0),3)</f>
        <v>Субсидии бюджетным учреждениям</v>
      </c>
      <c r="N788" s="17">
        <f t="shared" si="38"/>
        <v>1</v>
      </c>
    </row>
    <row r="789" spans="1:14" s="23" customFormat="1" ht="63">
      <c r="A789" s="21"/>
      <c r="B789" s="127" t="s">
        <v>405</v>
      </c>
      <c r="C789" s="109" t="s">
        <v>510</v>
      </c>
      <c r="D789" s="108" t="s">
        <v>238</v>
      </c>
      <c r="E789" s="108" t="s">
        <v>11</v>
      </c>
      <c r="F789" s="108" t="s">
        <v>578</v>
      </c>
      <c r="G789" s="108" t="s">
        <v>406</v>
      </c>
      <c r="H789" s="126">
        <v>0</v>
      </c>
      <c r="I789" s="126">
        <v>0</v>
      </c>
      <c r="J789" s="108">
        <v>720411010</v>
      </c>
      <c r="K789" s="108" t="str">
        <f t="shared" si="36"/>
        <v>0720411010</v>
      </c>
      <c r="L789" s="303" t="str">
        <f t="shared" si="37"/>
        <v>60708010720411010611</v>
      </c>
      <c r="M789" s="132"/>
      <c r="N789" s="17">
        <f t="shared" si="38"/>
        <v>0</v>
      </c>
    </row>
    <row r="790" spans="1:14" s="16" customFormat="1" ht="47.25">
      <c r="A790" s="14"/>
      <c r="B790" s="132" t="s">
        <v>1297</v>
      </c>
      <c r="C790" s="109" t="s">
        <v>510</v>
      </c>
      <c r="D790" s="108" t="s">
        <v>238</v>
      </c>
      <c r="E790" s="108" t="s">
        <v>11</v>
      </c>
      <c r="F790" s="108" t="s">
        <v>580</v>
      </c>
      <c r="G790" s="108" t="s">
        <v>9</v>
      </c>
      <c r="H790" s="126">
        <v>0</v>
      </c>
      <c r="I790" s="126">
        <v>0</v>
      </c>
      <c r="J790" s="108" t="s">
        <v>1221</v>
      </c>
      <c r="K790" s="108" t="str">
        <f t="shared" si="36"/>
        <v>07204L5194</v>
      </c>
      <c r="L790" s="303" t="str">
        <f t="shared" si="37"/>
        <v>607080107204L5194000</v>
      </c>
      <c r="M790" s="132" t="str">
        <f>INDEX('реш СГД № 265'!$A:$N,MATCH('БА расх 2019-2020'!$L790,'реш СГД № 265'!$N:$N,0),3)</f>
        <v>Поддержка отрасли культура (комплектование книжных фондов библиотек муниципальных образований)</v>
      </c>
      <c r="N790" s="17">
        <f t="shared" si="38"/>
        <v>1</v>
      </c>
    </row>
    <row r="791" spans="1:14" s="16" customFormat="1" ht="15.75">
      <c r="A791" s="14"/>
      <c r="B791" s="132" t="s">
        <v>403</v>
      </c>
      <c r="C791" s="109" t="s">
        <v>510</v>
      </c>
      <c r="D791" s="108" t="s">
        <v>238</v>
      </c>
      <c r="E791" s="108" t="s">
        <v>11</v>
      </c>
      <c r="F791" s="108" t="s">
        <v>580</v>
      </c>
      <c r="G791" s="108" t="s">
        <v>404</v>
      </c>
      <c r="H791" s="126">
        <v>0</v>
      </c>
      <c r="I791" s="126">
        <v>0</v>
      </c>
      <c r="J791" s="108" t="s">
        <v>1221</v>
      </c>
      <c r="K791" s="108" t="str">
        <f t="shared" si="36"/>
        <v>07204L5194</v>
      </c>
      <c r="L791" s="303" t="str">
        <f t="shared" si="37"/>
        <v>607080107204L5194610</v>
      </c>
      <c r="M791" s="132" t="str">
        <f>INDEX('реш СГД № 265'!$A:$N,MATCH('БА расх 2019-2020'!$L791,'реш СГД № 265'!$N:$N,0),3)</f>
        <v>Субсидии бюджетным учреждениям</v>
      </c>
      <c r="N791" s="17">
        <f t="shared" si="38"/>
        <v>1</v>
      </c>
    </row>
    <row r="792" spans="1:14" s="16" customFormat="1" ht="63">
      <c r="A792" s="14"/>
      <c r="B792" s="127" t="s">
        <v>405</v>
      </c>
      <c r="C792" s="109" t="s">
        <v>510</v>
      </c>
      <c r="D792" s="108" t="s">
        <v>238</v>
      </c>
      <c r="E792" s="108" t="s">
        <v>11</v>
      </c>
      <c r="F792" s="108" t="s">
        <v>580</v>
      </c>
      <c r="G792" s="108" t="s">
        <v>406</v>
      </c>
      <c r="H792" s="126">
        <v>0</v>
      </c>
      <c r="I792" s="126">
        <v>0</v>
      </c>
      <c r="J792" s="108" t="s">
        <v>1221</v>
      </c>
      <c r="K792" s="108" t="str">
        <f t="shared" si="36"/>
        <v>07204L5194</v>
      </c>
      <c r="L792" s="303" t="str">
        <f t="shared" si="37"/>
        <v>607080107204L5194611</v>
      </c>
      <c r="M792" s="132"/>
      <c r="N792" s="17">
        <f t="shared" si="38"/>
        <v>0</v>
      </c>
    </row>
    <row r="793" spans="1:14" s="16" customFormat="1" ht="47.25">
      <c r="A793" s="14"/>
      <c r="B793" s="125" t="s">
        <v>581</v>
      </c>
      <c r="C793" s="109" t="s">
        <v>510</v>
      </c>
      <c r="D793" s="108" t="s">
        <v>238</v>
      </c>
      <c r="E793" s="108" t="s">
        <v>11</v>
      </c>
      <c r="F793" s="108" t="s">
        <v>582</v>
      </c>
      <c r="G793" s="108" t="s">
        <v>9</v>
      </c>
      <c r="H793" s="126">
        <v>0</v>
      </c>
      <c r="I793" s="126">
        <v>0</v>
      </c>
      <c r="J793" s="108">
        <v>720500000</v>
      </c>
      <c r="K793" s="108" t="str">
        <f t="shared" si="36"/>
        <v>0720500000</v>
      </c>
      <c r="L793" s="303" t="str">
        <f t="shared" si="37"/>
        <v>60708010720500000000</v>
      </c>
      <c r="M793" s="132" t="str">
        <f>INDEX('реш СГД № 265'!$A:$N,MATCH('БА расх 2019-2020'!$L793,'реш СГД № 265'!$N:$N,0),3)</f>
        <v>Основное мероприятие «Обеспечение деятельности муниципальных учреждений, осуществляющих театрально-концертную деятельность»</v>
      </c>
      <c r="N793" s="17">
        <f t="shared" si="38"/>
        <v>1</v>
      </c>
    </row>
    <row r="794" spans="1:14" s="16" customFormat="1" ht="31.5">
      <c r="A794" s="14"/>
      <c r="B794" s="125" t="s">
        <v>136</v>
      </c>
      <c r="C794" s="109" t="s">
        <v>510</v>
      </c>
      <c r="D794" s="108" t="s">
        <v>238</v>
      </c>
      <c r="E794" s="108" t="s">
        <v>11</v>
      </c>
      <c r="F794" s="108" t="s">
        <v>583</v>
      </c>
      <c r="G794" s="108" t="s">
        <v>9</v>
      </c>
      <c r="H794" s="126">
        <v>0</v>
      </c>
      <c r="I794" s="126">
        <v>0</v>
      </c>
      <c r="J794" s="108">
        <v>720511010</v>
      </c>
      <c r="K794" s="108" t="str">
        <f t="shared" si="36"/>
        <v>0720511010</v>
      </c>
      <c r="L794" s="303" t="str">
        <f t="shared" si="37"/>
        <v>60708010720511010000</v>
      </c>
      <c r="M794" s="132" t="str">
        <f>INDEX('реш СГД № 265'!$A:$N,MATCH('БА расх 2019-2020'!$L794,'реш СГД № 265'!$N:$N,0),3)</f>
        <v>Расходы на обеспечение деятельности (оказание услуг) муниципальных учреждений</v>
      </c>
      <c r="N794" s="17">
        <f t="shared" si="38"/>
        <v>1</v>
      </c>
    </row>
    <row r="795" spans="1:14" s="16" customFormat="1" ht="15.75">
      <c r="A795" s="14"/>
      <c r="B795" s="132" t="s">
        <v>403</v>
      </c>
      <c r="C795" s="109" t="s">
        <v>510</v>
      </c>
      <c r="D795" s="108" t="s">
        <v>238</v>
      </c>
      <c r="E795" s="108" t="s">
        <v>11</v>
      </c>
      <c r="F795" s="108" t="s">
        <v>583</v>
      </c>
      <c r="G795" s="108" t="s">
        <v>404</v>
      </c>
      <c r="H795" s="126">
        <v>0</v>
      </c>
      <c r="I795" s="126">
        <v>0</v>
      </c>
      <c r="J795" s="108">
        <v>720511010</v>
      </c>
      <c r="K795" s="108" t="str">
        <f t="shared" si="36"/>
        <v>0720511010</v>
      </c>
      <c r="L795" s="303" t="str">
        <f t="shared" si="37"/>
        <v>60708010720511010610</v>
      </c>
      <c r="M795" s="132" t="str">
        <f>INDEX('реш СГД № 265'!$A:$N,MATCH('БА расх 2019-2020'!$L795,'реш СГД № 265'!$N:$N,0),3)</f>
        <v>Субсидии бюджетным учреждениям</v>
      </c>
      <c r="N795" s="17">
        <f t="shared" si="38"/>
        <v>1</v>
      </c>
    </row>
    <row r="796" spans="1:14" s="23" customFormat="1" ht="63">
      <c r="A796" s="21"/>
      <c r="B796" s="127" t="s">
        <v>405</v>
      </c>
      <c r="C796" s="109" t="s">
        <v>510</v>
      </c>
      <c r="D796" s="108" t="s">
        <v>238</v>
      </c>
      <c r="E796" s="108" t="s">
        <v>11</v>
      </c>
      <c r="F796" s="108" t="s">
        <v>583</v>
      </c>
      <c r="G796" s="108" t="s">
        <v>406</v>
      </c>
      <c r="H796" s="126">
        <v>0</v>
      </c>
      <c r="I796" s="126">
        <v>0</v>
      </c>
      <c r="J796" s="108">
        <v>720511010</v>
      </c>
      <c r="K796" s="108" t="str">
        <f t="shared" si="36"/>
        <v>0720511010</v>
      </c>
      <c r="L796" s="303" t="str">
        <f t="shared" si="37"/>
        <v>60708010720511010611</v>
      </c>
      <c r="M796" s="132"/>
      <c r="N796" s="17">
        <f t="shared" si="38"/>
        <v>0</v>
      </c>
    </row>
    <row r="797" spans="1:14" s="16" customFormat="1" ht="15.75">
      <c r="A797" s="14"/>
      <c r="B797" s="132" t="s">
        <v>409</v>
      </c>
      <c r="C797" s="109" t="s">
        <v>510</v>
      </c>
      <c r="D797" s="108" t="s">
        <v>238</v>
      </c>
      <c r="E797" s="108" t="s">
        <v>11</v>
      </c>
      <c r="F797" s="108" t="s">
        <v>583</v>
      </c>
      <c r="G797" s="108" t="s">
        <v>410</v>
      </c>
      <c r="H797" s="126">
        <v>0</v>
      </c>
      <c r="I797" s="126">
        <v>0</v>
      </c>
      <c r="J797" s="108">
        <v>720511010</v>
      </c>
      <c r="K797" s="108" t="str">
        <f t="shared" si="36"/>
        <v>0720511010</v>
      </c>
      <c r="L797" s="303" t="str">
        <f t="shared" si="37"/>
        <v>60708010720511010620</v>
      </c>
      <c r="M797" s="132" t="str">
        <f>INDEX('реш СГД № 265'!$A:$N,MATCH('БА расх 2019-2020'!$L797,'реш СГД № 265'!$N:$N,0),3)</f>
        <v>Субсидии автономным учреждениям</v>
      </c>
      <c r="N797" s="17">
        <f t="shared" si="38"/>
        <v>1</v>
      </c>
    </row>
    <row r="798" spans="1:14" s="23" customFormat="1" ht="63">
      <c r="A798" s="21"/>
      <c r="B798" s="127" t="s">
        <v>411</v>
      </c>
      <c r="C798" s="109" t="s">
        <v>510</v>
      </c>
      <c r="D798" s="108" t="s">
        <v>238</v>
      </c>
      <c r="E798" s="108" t="s">
        <v>11</v>
      </c>
      <c r="F798" s="108" t="s">
        <v>583</v>
      </c>
      <c r="G798" s="108" t="s">
        <v>412</v>
      </c>
      <c r="H798" s="126">
        <v>0</v>
      </c>
      <c r="I798" s="126">
        <v>0</v>
      </c>
      <c r="J798" s="108">
        <v>720511010</v>
      </c>
      <c r="K798" s="108" t="str">
        <f t="shared" si="36"/>
        <v>0720511010</v>
      </c>
      <c r="L798" s="303" t="str">
        <f t="shared" si="37"/>
        <v>60708010720511010621</v>
      </c>
      <c r="M798" s="132"/>
      <c r="N798" s="17">
        <f t="shared" si="38"/>
        <v>0</v>
      </c>
    </row>
    <row r="799" spans="1:14" s="16" customFormat="1" ht="63">
      <c r="A799" s="14"/>
      <c r="B799" s="125" t="s">
        <v>524</v>
      </c>
      <c r="C799" s="109" t="s">
        <v>510</v>
      </c>
      <c r="D799" s="108" t="s">
        <v>238</v>
      </c>
      <c r="E799" s="108" t="s">
        <v>11</v>
      </c>
      <c r="F799" s="108" t="s">
        <v>525</v>
      </c>
      <c r="G799" s="108" t="s">
        <v>9</v>
      </c>
      <c r="H799" s="126">
        <v>0</v>
      </c>
      <c r="I799" s="126">
        <v>0</v>
      </c>
      <c r="J799" s="108">
        <v>720600000</v>
      </c>
      <c r="K799" s="108" t="str">
        <f t="shared" si="36"/>
        <v>0720600000</v>
      </c>
      <c r="L799" s="303" t="str">
        <f t="shared" si="37"/>
        <v>60708010720600000000</v>
      </c>
      <c r="M799" s="132" t="str">
        <f>INDEX('реш СГД № 265'!$A:$N,MATCH('БА расх 2019-2020'!$L799,'реш СГД № 265'!$N:$N,0),3)</f>
        <v>Основное мероприятие «Сохранение объектов культурного наследия (памятников истории и культуры), находящихся в муниципальной собственности города Ставрополя»</v>
      </c>
      <c r="N799" s="17">
        <f t="shared" si="38"/>
        <v>1</v>
      </c>
    </row>
    <row r="800" spans="1:14" s="16" customFormat="1" ht="47.25">
      <c r="A800" s="14"/>
      <c r="B800" s="125" t="s">
        <v>526</v>
      </c>
      <c r="C800" s="109" t="s">
        <v>510</v>
      </c>
      <c r="D800" s="108" t="s">
        <v>238</v>
      </c>
      <c r="E800" s="108" t="s">
        <v>11</v>
      </c>
      <c r="F800" s="108" t="s">
        <v>527</v>
      </c>
      <c r="G800" s="108" t="s">
        <v>9</v>
      </c>
      <c r="H800" s="126">
        <v>0</v>
      </c>
      <c r="I800" s="126">
        <v>0</v>
      </c>
      <c r="J800" s="108">
        <v>720620400</v>
      </c>
      <c r="K800" s="108" t="str">
        <f t="shared" si="36"/>
        <v>0720620400</v>
      </c>
      <c r="L800" s="303" t="str">
        <f t="shared" si="37"/>
        <v>60708010720620400000</v>
      </c>
      <c r="M800" s="132" t="str">
        <f>INDEX('реш СГД № 265'!$A:$N,MATCH('БА расх 2019-2020'!$L800,'реш СГД № 265'!$N:$N,0),3)</f>
        <v>Расходы на реализацию мероприятий, направленных на сохранение историко-культурного наследия города Ставрополя</v>
      </c>
      <c r="N800" s="17">
        <f t="shared" si="38"/>
        <v>1</v>
      </c>
    </row>
    <row r="801" spans="1:14" s="16" customFormat="1" ht="15.75">
      <c r="A801" s="14"/>
      <c r="B801" s="132" t="s">
        <v>403</v>
      </c>
      <c r="C801" s="109" t="s">
        <v>510</v>
      </c>
      <c r="D801" s="108" t="s">
        <v>238</v>
      </c>
      <c r="E801" s="108" t="s">
        <v>11</v>
      </c>
      <c r="F801" s="108" t="s">
        <v>527</v>
      </c>
      <c r="G801" s="108" t="s">
        <v>404</v>
      </c>
      <c r="H801" s="126">
        <v>0</v>
      </c>
      <c r="I801" s="126">
        <v>0</v>
      </c>
      <c r="J801" s="108">
        <v>720620400</v>
      </c>
      <c r="K801" s="108" t="str">
        <f t="shared" si="36"/>
        <v>0720620400</v>
      </c>
      <c r="L801" s="303" t="str">
        <f t="shared" si="37"/>
        <v>60708010720620400610</v>
      </c>
      <c r="M801" s="132" t="str">
        <f>INDEX('реш СГД № 265'!$A:$N,MATCH('БА расх 2019-2020'!$L801,'реш СГД № 265'!$N:$N,0),3)</f>
        <v>Субсидии бюджетным учреждениям</v>
      </c>
      <c r="N801" s="17">
        <f t="shared" si="38"/>
        <v>1</v>
      </c>
    </row>
    <row r="802" spans="1:14" s="23" customFormat="1" ht="15.75">
      <c r="A802" s="21"/>
      <c r="B802" s="127" t="s">
        <v>407</v>
      </c>
      <c r="C802" s="109" t="s">
        <v>510</v>
      </c>
      <c r="D802" s="108" t="s">
        <v>238</v>
      </c>
      <c r="E802" s="108" t="s">
        <v>11</v>
      </c>
      <c r="F802" s="108" t="s">
        <v>527</v>
      </c>
      <c r="G802" s="108" t="s">
        <v>408</v>
      </c>
      <c r="H802" s="126">
        <v>0</v>
      </c>
      <c r="I802" s="126">
        <v>0</v>
      </c>
      <c r="J802" s="108">
        <v>720620400</v>
      </c>
      <c r="K802" s="108" t="str">
        <f t="shared" si="36"/>
        <v>0720620400</v>
      </c>
      <c r="L802" s="303" t="str">
        <f t="shared" si="37"/>
        <v>60708010720620400612</v>
      </c>
      <c r="M802" s="132"/>
      <c r="N802" s="17">
        <f t="shared" si="38"/>
        <v>0</v>
      </c>
    </row>
    <row r="803" spans="1:14" s="23" customFormat="1" ht="141.75">
      <c r="A803" s="21"/>
      <c r="B803" s="132" t="s">
        <v>528</v>
      </c>
      <c r="C803" s="109" t="s">
        <v>510</v>
      </c>
      <c r="D803" s="108" t="s">
        <v>238</v>
      </c>
      <c r="E803" s="108" t="s">
        <v>11</v>
      </c>
      <c r="F803" s="108" t="s">
        <v>529</v>
      </c>
      <c r="G803" s="108" t="s">
        <v>9</v>
      </c>
      <c r="H803" s="126">
        <v>0</v>
      </c>
      <c r="I803" s="126">
        <v>0</v>
      </c>
      <c r="J803" s="108">
        <v>720800000</v>
      </c>
      <c r="K803" s="108" t="str">
        <f t="shared" si="36"/>
        <v>0720800000</v>
      </c>
      <c r="L803" s="303" t="str">
        <f t="shared" si="37"/>
        <v>60708010720800000000</v>
      </c>
      <c r="M803" s="132" t="str">
        <f>INDEX('реш СГД № 265'!$A:$N,MATCH('БА расх 2019-2020'!$L803,'реш СГД № 265'!$N:$N,0),3)</f>
        <v>Основное мероприятие «Участие учащихся муниципальных учреждений дополнительного образования детей в отрасли «Культура» города Ставрополя и профессиональных творческих коллективов, концертных исполнителей муниципальных учреждений культуры в фестивалях и конкурсах исполнительского мастерства, проведение фестивалей и конкурсов исполнительского мастерства»</v>
      </c>
      <c r="N803" s="17">
        <f t="shared" si="38"/>
        <v>1</v>
      </c>
    </row>
    <row r="804" spans="1:14" s="23" customFormat="1" ht="126">
      <c r="A804" s="21"/>
      <c r="B804" s="125" t="s">
        <v>530</v>
      </c>
      <c r="C804" s="109" t="s">
        <v>510</v>
      </c>
      <c r="D804" s="108" t="s">
        <v>238</v>
      </c>
      <c r="E804" s="108" t="s">
        <v>11</v>
      </c>
      <c r="F804" s="108" t="s">
        <v>531</v>
      </c>
      <c r="G804" s="108" t="s">
        <v>9</v>
      </c>
      <c r="H804" s="126">
        <v>0</v>
      </c>
      <c r="I804" s="126">
        <v>0</v>
      </c>
      <c r="J804" s="108">
        <v>720821230</v>
      </c>
      <c r="K804" s="108" t="str">
        <f t="shared" si="36"/>
        <v>0720821230</v>
      </c>
      <c r="L804" s="303" t="str">
        <f t="shared" si="37"/>
        <v>60708010720821230000</v>
      </c>
      <c r="M804" s="132" t="str">
        <f>INDEX('реш СГД № 265'!$A:$N,MATCH('БА расх 2019-2020'!$L804,'реш СГД № 265'!$N:$N,0),3)</f>
        <v>Расходы на участие учащихся муниципальных учреждений дополнительного образования детей в отрасли «Культура» города Ставрополя и профессиональных творческих коллективов, концертных исполнителей муниципальных учреждений культуры в фестивалях и конкурсах исполнительского мастерства, проведение фестивалей и конкурсов исполнительского мастерства</v>
      </c>
      <c r="N804" s="17">
        <f t="shared" si="38"/>
        <v>1</v>
      </c>
    </row>
    <row r="805" spans="1:14" s="23" customFormat="1" ht="15.75">
      <c r="A805" s="21"/>
      <c r="B805" s="132" t="s">
        <v>403</v>
      </c>
      <c r="C805" s="109" t="s">
        <v>510</v>
      </c>
      <c r="D805" s="108" t="s">
        <v>238</v>
      </c>
      <c r="E805" s="108" t="s">
        <v>11</v>
      </c>
      <c r="F805" s="108" t="s">
        <v>531</v>
      </c>
      <c r="G805" s="108" t="s">
        <v>404</v>
      </c>
      <c r="H805" s="126">
        <v>0</v>
      </c>
      <c r="I805" s="126">
        <v>0</v>
      </c>
      <c r="J805" s="108">
        <v>720821230</v>
      </c>
      <c r="K805" s="108" t="str">
        <f t="shared" si="36"/>
        <v>0720821230</v>
      </c>
      <c r="L805" s="303" t="str">
        <f t="shared" si="37"/>
        <v>60708010720821230610</v>
      </c>
      <c r="M805" s="132" t="str">
        <f>INDEX('реш СГД № 265'!$A:$N,MATCH('БА расх 2019-2020'!$L805,'реш СГД № 265'!$N:$N,0),3)</f>
        <v>Субсидии бюджетным учреждениям</v>
      </c>
      <c r="N805" s="17">
        <f t="shared" si="38"/>
        <v>1</v>
      </c>
    </row>
    <row r="806" spans="1:14" s="23" customFormat="1" ht="15.75">
      <c r="A806" s="21"/>
      <c r="B806" s="127" t="s">
        <v>407</v>
      </c>
      <c r="C806" s="109" t="s">
        <v>510</v>
      </c>
      <c r="D806" s="108" t="s">
        <v>238</v>
      </c>
      <c r="E806" s="108" t="s">
        <v>11</v>
      </c>
      <c r="F806" s="108" t="s">
        <v>531</v>
      </c>
      <c r="G806" s="108" t="s">
        <v>408</v>
      </c>
      <c r="H806" s="126">
        <v>0</v>
      </c>
      <c r="I806" s="126">
        <v>0</v>
      </c>
      <c r="J806" s="108">
        <v>720821230</v>
      </c>
      <c r="K806" s="108" t="str">
        <f t="shared" si="36"/>
        <v>0720821230</v>
      </c>
      <c r="L806" s="303" t="str">
        <f t="shared" si="37"/>
        <v>60708010720821230612</v>
      </c>
      <c r="M806" s="132"/>
      <c r="N806" s="17">
        <f t="shared" si="38"/>
        <v>0</v>
      </c>
    </row>
    <row r="807" spans="1:14" s="16" customFormat="1" ht="47.25">
      <c r="A807" s="14"/>
      <c r="B807" s="132" t="s">
        <v>532</v>
      </c>
      <c r="C807" s="109" t="s">
        <v>510</v>
      </c>
      <c r="D807" s="108" t="s">
        <v>238</v>
      </c>
      <c r="E807" s="108" t="s">
        <v>11</v>
      </c>
      <c r="F807" s="108" t="s">
        <v>533</v>
      </c>
      <c r="G807" s="108" t="s">
        <v>9</v>
      </c>
      <c r="H807" s="126">
        <v>0</v>
      </c>
      <c r="I807" s="126">
        <v>0</v>
      </c>
      <c r="J807" s="108">
        <v>720900000</v>
      </c>
      <c r="K807" s="108" t="str">
        <f t="shared" si="36"/>
        <v>0720900000</v>
      </c>
      <c r="L807" s="303" t="str">
        <f t="shared" si="37"/>
        <v>60708010720900000000</v>
      </c>
      <c r="M807" s="132" t="str">
        <f>INDEX('реш СГД № 265'!$A:$N,MATCH('БА расх 2019-2020'!$L807,'реш СГД № 265'!$N:$N,0),3)</f>
        <v>Основное мероприятие «Модернизация материально-технической базы муниципальных учреждений отрасли «Культура» города Ставрополя»</v>
      </c>
      <c r="N807" s="17">
        <f t="shared" si="38"/>
        <v>1</v>
      </c>
    </row>
    <row r="808" spans="1:14" s="16" customFormat="1" ht="47.25">
      <c r="A808" s="14"/>
      <c r="B808" s="132" t="s">
        <v>534</v>
      </c>
      <c r="C808" s="109" t="s">
        <v>510</v>
      </c>
      <c r="D808" s="108" t="s">
        <v>238</v>
      </c>
      <c r="E808" s="108" t="s">
        <v>11</v>
      </c>
      <c r="F808" s="108" t="s">
        <v>535</v>
      </c>
      <c r="G808" s="108" t="s">
        <v>9</v>
      </c>
      <c r="H808" s="126">
        <v>0</v>
      </c>
      <c r="I808" s="126">
        <v>0</v>
      </c>
      <c r="J808" s="108">
        <v>720921280</v>
      </c>
      <c r="K808" s="108" t="str">
        <f t="shared" si="36"/>
        <v>0720921280</v>
      </c>
      <c r="L808" s="303" t="str">
        <f t="shared" si="37"/>
        <v>60708010720921280000</v>
      </c>
      <c r="M808" s="132" t="str">
        <f>INDEX('реш СГД № 265'!$A:$N,MATCH('БА расх 2019-2020'!$L808,'реш СГД № 265'!$N:$N,0),3)</f>
        <v>Расходы на модернизацию материально-технической базы муниципальных учреждений отрасли «Культура» города Ставрополя</v>
      </c>
      <c r="N808" s="17">
        <f t="shared" si="38"/>
        <v>1</v>
      </c>
    </row>
    <row r="809" spans="1:14" s="16" customFormat="1" ht="15.75">
      <c r="A809" s="14"/>
      <c r="B809" s="132" t="s">
        <v>403</v>
      </c>
      <c r="C809" s="109" t="s">
        <v>510</v>
      </c>
      <c r="D809" s="108" t="s">
        <v>238</v>
      </c>
      <c r="E809" s="108" t="s">
        <v>11</v>
      </c>
      <c r="F809" s="108" t="s">
        <v>535</v>
      </c>
      <c r="G809" s="108" t="s">
        <v>404</v>
      </c>
      <c r="H809" s="126">
        <v>0</v>
      </c>
      <c r="I809" s="126">
        <v>0</v>
      </c>
      <c r="J809" s="108">
        <v>720921280</v>
      </c>
      <c r="K809" s="108" t="str">
        <f t="shared" si="36"/>
        <v>0720921280</v>
      </c>
      <c r="L809" s="303" t="str">
        <f t="shared" si="37"/>
        <v>60708010720921280610</v>
      </c>
      <c r="M809" s="132" t="str">
        <f>INDEX('реш СГД № 265'!$A:$N,MATCH('БА расх 2019-2020'!$L809,'реш СГД № 265'!$N:$N,0),3)</f>
        <v>Субсидии бюджетным учреждениям</v>
      </c>
      <c r="N809" s="17">
        <f t="shared" si="38"/>
        <v>1</v>
      </c>
    </row>
    <row r="810" spans="1:14" s="23" customFormat="1" ht="15.75">
      <c r="A810" s="21"/>
      <c r="B810" s="127" t="s">
        <v>407</v>
      </c>
      <c r="C810" s="109" t="s">
        <v>510</v>
      </c>
      <c r="D810" s="108" t="s">
        <v>238</v>
      </c>
      <c r="E810" s="108" t="s">
        <v>11</v>
      </c>
      <c r="F810" s="108" t="s">
        <v>535</v>
      </c>
      <c r="G810" s="108" t="s">
        <v>408</v>
      </c>
      <c r="H810" s="126">
        <v>0</v>
      </c>
      <c r="I810" s="126">
        <v>0</v>
      </c>
      <c r="J810" s="108">
        <v>720921280</v>
      </c>
      <c r="K810" s="108" t="str">
        <f t="shared" si="36"/>
        <v>0720921280</v>
      </c>
      <c r="L810" s="303" t="str">
        <f t="shared" si="37"/>
        <v>60708010720921280612</v>
      </c>
      <c r="M810" s="132"/>
      <c r="N810" s="17">
        <f t="shared" si="38"/>
        <v>0</v>
      </c>
    </row>
    <row r="811" spans="1:14" s="16" customFormat="1" ht="47.25">
      <c r="A811" s="14"/>
      <c r="B811" s="127" t="s">
        <v>146</v>
      </c>
      <c r="C811" s="109" t="s">
        <v>510</v>
      </c>
      <c r="D811" s="108" t="s">
        <v>238</v>
      </c>
      <c r="E811" s="108" t="s">
        <v>11</v>
      </c>
      <c r="F811" s="130" t="s">
        <v>147</v>
      </c>
      <c r="G811" s="130" t="s">
        <v>9</v>
      </c>
      <c r="H811" s="134">
        <v>0</v>
      </c>
      <c r="I811" s="134">
        <v>0</v>
      </c>
      <c r="J811" s="130">
        <v>1500000000</v>
      </c>
      <c r="K811" s="108" t="str">
        <f t="shared" si="36"/>
        <v>1500000000</v>
      </c>
      <c r="L811" s="303" t="str">
        <f t="shared" si="37"/>
        <v>60708011500000000000</v>
      </c>
      <c r="M811" s="132" t="str">
        <f>INDEX('реш СГД № 265'!$A:$N,MATCH('БА расх 2019-2020'!$L811,'реш СГД № 265'!$N:$N,0),3)</f>
        <v>Муниципальная программа «Обеспечение безопасности, общественного порядка и профилактика правонарушений в городе Ставрополе»</v>
      </c>
      <c r="N811" s="17">
        <f t="shared" si="38"/>
        <v>1</v>
      </c>
    </row>
    <row r="812" spans="1:14" s="16" customFormat="1" ht="47.25">
      <c r="A812" s="14"/>
      <c r="B812" s="125" t="s">
        <v>1065</v>
      </c>
      <c r="C812" s="109" t="s">
        <v>510</v>
      </c>
      <c r="D812" s="108" t="s">
        <v>238</v>
      </c>
      <c r="E812" s="108" t="s">
        <v>11</v>
      </c>
      <c r="F812" s="130" t="s">
        <v>149</v>
      </c>
      <c r="G812" s="130" t="s">
        <v>9</v>
      </c>
      <c r="H812" s="134">
        <v>0</v>
      </c>
      <c r="I812" s="134">
        <v>0</v>
      </c>
      <c r="J812" s="130">
        <v>1510000000</v>
      </c>
      <c r="K812" s="108" t="str">
        <f t="shared" si="36"/>
        <v>1510000000</v>
      </c>
      <c r="L812" s="303" t="str">
        <f t="shared" si="37"/>
        <v>60708011510000000000</v>
      </c>
      <c r="M812" s="132" t="str">
        <f>INDEX('реш СГД № 265'!$A:$N,MATCH('БА расх 2019-2020'!$L812,'реш СГД № 265'!$N:$N,0),3)</f>
        <v>Подпрограмма «Профилактика терроризма, экстремизма, межнациональных (межэтнических) конфликтов в городе Ставрополе»</v>
      </c>
      <c r="N812" s="17">
        <f t="shared" si="38"/>
        <v>1</v>
      </c>
    </row>
    <row r="813" spans="1:14" s="16" customFormat="1" ht="47.25">
      <c r="A813" s="14"/>
      <c r="B813" s="125" t="s">
        <v>1072</v>
      </c>
      <c r="C813" s="109" t="s">
        <v>510</v>
      </c>
      <c r="D813" s="108" t="s">
        <v>238</v>
      </c>
      <c r="E813" s="108" t="s">
        <v>11</v>
      </c>
      <c r="F813" s="109" t="s">
        <v>1073</v>
      </c>
      <c r="G813" s="130" t="s">
        <v>9</v>
      </c>
      <c r="H813" s="134">
        <v>0</v>
      </c>
      <c r="I813" s="134">
        <v>0</v>
      </c>
      <c r="J813" s="109">
        <v>1510300000</v>
      </c>
      <c r="K813" s="108" t="str">
        <f t="shared" si="36"/>
        <v>1510300000</v>
      </c>
      <c r="L813" s="303" t="str">
        <f t="shared" si="37"/>
        <v>60708011510300000000</v>
      </c>
      <c r="M813" s="132" t="str">
        <f>INDEX('реш СГД № 265'!$A:$N,MATCH('БА расх 2019-2020'!$L813,'реш СГД № 265'!$N:$N,0),3)</f>
        <v>Основное мероприятие «Реализация профилактических мер, направленных на предупреждение экстремистской деятельности»</v>
      </c>
      <c r="N813" s="17">
        <f t="shared" si="38"/>
        <v>1</v>
      </c>
    </row>
    <row r="814" spans="1:14" s="16" customFormat="1" ht="47.25">
      <c r="A814" s="14"/>
      <c r="B814" s="129" t="s">
        <v>152</v>
      </c>
      <c r="C814" s="109" t="s">
        <v>510</v>
      </c>
      <c r="D814" s="108" t="s">
        <v>238</v>
      </c>
      <c r="E814" s="108" t="s">
        <v>11</v>
      </c>
      <c r="F814" s="109" t="s">
        <v>1074</v>
      </c>
      <c r="G814" s="130" t="s">
        <v>9</v>
      </c>
      <c r="H814" s="134">
        <v>0</v>
      </c>
      <c r="I814" s="134">
        <v>0</v>
      </c>
      <c r="J814" s="109">
        <v>1510320350</v>
      </c>
      <c r="K814" s="108" t="str">
        <f t="shared" si="36"/>
        <v>1510320350</v>
      </c>
      <c r="L814" s="303" t="str">
        <f t="shared" si="37"/>
        <v>60708011510320350000</v>
      </c>
      <c r="M814" s="132" t="str">
        <f>INDEX('реш СГД № 265'!$A:$N,MATCH('БА расх 2019-2020'!$L814,'реш СГД № 265'!$N:$N,0),3)</f>
        <v>Расходы на реализацию мероприятий, направленных на повышение уровня безопасности жизнедеятельности города Ставрополя</v>
      </c>
      <c r="N814" s="17">
        <f t="shared" si="38"/>
        <v>1</v>
      </c>
    </row>
    <row r="815" spans="1:14" s="16" customFormat="1" ht="15.75">
      <c r="A815" s="14"/>
      <c r="B815" s="132" t="s">
        <v>403</v>
      </c>
      <c r="C815" s="109" t="s">
        <v>510</v>
      </c>
      <c r="D815" s="108" t="s">
        <v>238</v>
      </c>
      <c r="E815" s="108" t="s">
        <v>11</v>
      </c>
      <c r="F815" s="109" t="s">
        <v>1074</v>
      </c>
      <c r="G815" s="130" t="s">
        <v>404</v>
      </c>
      <c r="H815" s="126">
        <v>0</v>
      </c>
      <c r="I815" s="126">
        <v>0</v>
      </c>
      <c r="J815" s="109">
        <v>1510320350</v>
      </c>
      <c r="K815" s="108" t="str">
        <f t="shared" si="36"/>
        <v>1510320350</v>
      </c>
      <c r="L815" s="303" t="str">
        <f t="shared" si="37"/>
        <v>60708011510320350610</v>
      </c>
      <c r="M815" s="132" t="str">
        <f>INDEX('реш СГД № 265'!$A:$N,MATCH('БА расх 2019-2020'!$L815,'реш СГД № 265'!$N:$N,0),3)</f>
        <v>Субсидии бюджетным учреждениям</v>
      </c>
      <c r="N815" s="17">
        <f t="shared" si="38"/>
        <v>1</v>
      </c>
    </row>
    <row r="816" spans="1:14" s="23" customFormat="1" ht="15.75">
      <c r="A816" s="21"/>
      <c r="B816" s="127" t="s">
        <v>407</v>
      </c>
      <c r="C816" s="109" t="s">
        <v>510</v>
      </c>
      <c r="D816" s="108" t="s">
        <v>238</v>
      </c>
      <c r="E816" s="108" t="s">
        <v>11</v>
      </c>
      <c r="F816" s="109" t="s">
        <v>1074</v>
      </c>
      <c r="G816" s="109" t="s">
        <v>408</v>
      </c>
      <c r="H816" s="126">
        <v>0</v>
      </c>
      <c r="I816" s="126">
        <v>0</v>
      </c>
      <c r="J816" s="109">
        <v>1510320350</v>
      </c>
      <c r="K816" s="108" t="str">
        <f t="shared" si="36"/>
        <v>1510320350</v>
      </c>
      <c r="L816" s="303" t="str">
        <f t="shared" si="37"/>
        <v>60708011510320350612</v>
      </c>
      <c r="M816" s="132"/>
      <c r="N816" s="17">
        <f t="shared" si="38"/>
        <v>0</v>
      </c>
    </row>
    <row r="817" spans="1:14" s="16" customFormat="1" ht="94.5">
      <c r="A817" s="14"/>
      <c r="B817" s="125" t="s">
        <v>420</v>
      </c>
      <c r="C817" s="109" t="s">
        <v>510</v>
      </c>
      <c r="D817" s="108" t="s">
        <v>238</v>
      </c>
      <c r="E817" s="108" t="s">
        <v>11</v>
      </c>
      <c r="F817" s="108" t="s">
        <v>421</v>
      </c>
      <c r="G817" s="108" t="s">
        <v>9</v>
      </c>
      <c r="H817" s="126">
        <v>0</v>
      </c>
      <c r="I817" s="126">
        <v>0</v>
      </c>
      <c r="J817" s="108">
        <v>1600000000</v>
      </c>
      <c r="K817" s="108" t="str">
        <f t="shared" si="36"/>
        <v>1600000000</v>
      </c>
      <c r="L817" s="303" t="str">
        <f t="shared" si="37"/>
        <v>60708011600000000000</v>
      </c>
      <c r="M817" s="132" t="str">
        <f>INDEX('реш СГД № 265'!$A:$N,MATCH('БА расх 2019-2020'!$L817,'реш СГД № 265'!$N:$N,0),3)</f>
        <v>Муниципальная программа «Обеспечение гражданской обороны, пожарной безопасности, безопасности людей на водных объектах, организация деятельности аварийно-спасательных служб, защита населения и территории города Ставрополя от чрезвычайных ситуаций»</v>
      </c>
      <c r="N817" s="17">
        <f t="shared" si="38"/>
        <v>1</v>
      </c>
    </row>
    <row r="818" spans="1:14" s="16" customFormat="1" ht="31.5">
      <c r="A818" s="14"/>
      <c r="B818" s="125" t="s">
        <v>422</v>
      </c>
      <c r="C818" s="109" t="s">
        <v>510</v>
      </c>
      <c r="D818" s="108" t="s">
        <v>238</v>
      </c>
      <c r="E818" s="108" t="s">
        <v>11</v>
      </c>
      <c r="F818" s="108" t="s">
        <v>423</v>
      </c>
      <c r="G818" s="108" t="s">
        <v>9</v>
      </c>
      <c r="H818" s="126">
        <v>0</v>
      </c>
      <c r="I818" s="126">
        <v>0</v>
      </c>
      <c r="J818" s="108">
        <v>1620000000</v>
      </c>
      <c r="K818" s="108" t="str">
        <f t="shared" si="36"/>
        <v>1620000000</v>
      </c>
      <c r="L818" s="303" t="str">
        <f t="shared" si="37"/>
        <v>60708011620000000000</v>
      </c>
      <c r="M818" s="132" t="str">
        <f>INDEX('реш СГД № 265'!$A:$N,MATCH('БА расх 2019-2020'!$L818,'реш СГД № 265'!$N:$N,0),3)</f>
        <v>Подпрограмма «Обеспечение пожарной безопасности в границах города Ставрополя»</v>
      </c>
      <c r="N818" s="17">
        <f t="shared" si="38"/>
        <v>1</v>
      </c>
    </row>
    <row r="819" spans="1:14" s="16" customFormat="1" ht="47.25">
      <c r="A819" s="14"/>
      <c r="B819" s="125" t="s">
        <v>424</v>
      </c>
      <c r="C819" s="109" t="s">
        <v>510</v>
      </c>
      <c r="D819" s="108" t="s">
        <v>238</v>
      </c>
      <c r="E819" s="108" t="s">
        <v>11</v>
      </c>
      <c r="F819" s="108" t="s">
        <v>425</v>
      </c>
      <c r="G819" s="108" t="s">
        <v>9</v>
      </c>
      <c r="H819" s="126">
        <v>0</v>
      </c>
      <c r="I819" s="126">
        <v>0</v>
      </c>
      <c r="J819" s="108">
        <v>1620200000</v>
      </c>
      <c r="K819" s="108" t="str">
        <f t="shared" si="36"/>
        <v>1620200000</v>
      </c>
      <c r="L819" s="303" t="str">
        <f t="shared" si="37"/>
        <v>60708011620200000000</v>
      </c>
      <c r="M819" s="132" t="str">
        <f>INDEX('реш СГД № 265'!$A:$N,MATCH('БА расх 2019-2020'!$L819,'реш СГД № 265'!$N:$N,0),3)</f>
        <v>Основное мероприятие «Выполнение противопожарных мероприятий в муниципальных учреждениях города Ставрополя»</v>
      </c>
      <c r="N819" s="17">
        <f t="shared" si="38"/>
        <v>1</v>
      </c>
    </row>
    <row r="820" spans="1:14" s="16" customFormat="1" ht="47.25">
      <c r="A820" s="14"/>
      <c r="B820" s="125" t="s">
        <v>426</v>
      </c>
      <c r="C820" s="109" t="s">
        <v>510</v>
      </c>
      <c r="D820" s="108" t="s">
        <v>238</v>
      </c>
      <c r="E820" s="108" t="s">
        <v>11</v>
      </c>
      <c r="F820" s="108" t="s">
        <v>427</v>
      </c>
      <c r="G820" s="108" t="s">
        <v>9</v>
      </c>
      <c r="H820" s="126">
        <v>0</v>
      </c>
      <c r="I820" s="126">
        <v>0</v>
      </c>
      <c r="J820" s="108">
        <v>1620220550</v>
      </c>
      <c r="K820" s="108" t="str">
        <f t="shared" si="36"/>
        <v>1620220550</v>
      </c>
      <c r="L820" s="303" t="str">
        <f t="shared" si="37"/>
        <v>60708011620220550000</v>
      </c>
      <c r="M820" s="132" t="str">
        <f>INDEX('реш СГД № 265'!$A:$N,MATCH('БА расх 2019-2020'!$L820,'реш СГД № 265'!$N:$N,0),3)</f>
        <v>Обеспечение пожарной безопасности в муниципальных учреждениях образования, культуры, физической культуры и спорта города Ставрополя</v>
      </c>
      <c r="N820" s="17">
        <f t="shared" si="38"/>
        <v>1</v>
      </c>
    </row>
    <row r="821" spans="1:14" s="16" customFormat="1" ht="15.75">
      <c r="A821" s="14"/>
      <c r="B821" s="132" t="s">
        <v>403</v>
      </c>
      <c r="C821" s="109" t="s">
        <v>510</v>
      </c>
      <c r="D821" s="108" t="s">
        <v>238</v>
      </c>
      <c r="E821" s="108" t="s">
        <v>11</v>
      </c>
      <c r="F821" s="108" t="s">
        <v>427</v>
      </c>
      <c r="G821" s="108" t="s">
        <v>404</v>
      </c>
      <c r="H821" s="126">
        <v>0</v>
      </c>
      <c r="I821" s="126">
        <v>0</v>
      </c>
      <c r="J821" s="108">
        <v>1620220550</v>
      </c>
      <c r="K821" s="108" t="str">
        <f t="shared" si="36"/>
        <v>1620220550</v>
      </c>
      <c r="L821" s="303" t="str">
        <f t="shared" si="37"/>
        <v>60708011620220550610</v>
      </c>
      <c r="M821" s="132" t="str">
        <f>INDEX('реш СГД № 265'!$A:$N,MATCH('БА расх 2019-2020'!$L821,'реш СГД № 265'!$N:$N,0),3)</f>
        <v>Субсидии бюджетным учреждениям</v>
      </c>
      <c r="N821" s="17">
        <f t="shared" si="38"/>
        <v>1</v>
      </c>
    </row>
    <row r="822" spans="1:14" s="23" customFormat="1" ht="15.75">
      <c r="A822" s="21"/>
      <c r="B822" s="127" t="s">
        <v>407</v>
      </c>
      <c r="C822" s="109" t="s">
        <v>510</v>
      </c>
      <c r="D822" s="108" t="s">
        <v>238</v>
      </c>
      <c r="E822" s="108" t="s">
        <v>11</v>
      </c>
      <c r="F822" s="108" t="s">
        <v>427</v>
      </c>
      <c r="G822" s="108" t="s">
        <v>408</v>
      </c>
      <c r="H822" s="126">
        <v>0</v>
      </c>
      <c r="I822" s="126">
        <v>0</v>
      </c>
      <c r="J822" s="108">
        <v>1620220550</v>
      </c>
      <c r="K822" s="108" t="str">
        <f t="shared" si="36"/>
        <v>1620220550</v>
      </c>
      <c r="L822" s="303" t="str">
        <f t="shared" si="37"/>
        <v>60708011620220550612</v>
      </c>
      <c r="M822" s="132"/>
      <c r="N822" s="17">
        <f t="shared" si="38"/>
        <v>0</v>
      </c>
    </row>
    <row r="823" spans="1:14" s="16" customFormat="1" ht="47.25">
      <c r="A823" s="14"/>
      <c r="B823" s="125" t="s">
        <v>430</v>
      </c>
      <c r="C823" s="109" t="s">
        <v>510</v>
      </c>
      <c r="D823" s="108" t="s">
        <v>238</v>
      </c>
      <c r="E823" s="108" t="s">
        <v>11</v>
      </c>
      <c r="F823" s="108" t="s">
        <v>431</v>
      </c>
      <c r="G823" s="108" t="s">
        <v>9</v>
      </c>
      <c r="H823" s="126">
        <v>0</v>
      </c>
      <c r="I823" s="126">
        <v>0</v>
      </c>
      <c r="J823" s="108">
        <v>1700000000</v>
      </c>
      <c r="K823" s="108" t="str">
        <f t="shared" si="36"/>
        <v>1700000000</v>
      </c>
      <c r="L823" s="303" t="str">
        <f t="shared" si="37"/>
        <v>60708011700000000000</v>
      </c>
      <c r="M823" s="132" t="str">
        <f>INDEX('реш СГД № 265'!$A:$N,MATCH('БА расх 2019-2020'!$L823,'реш СГД № 265'!$N:$N,0),3)</f>
        <v>Муниципальная программа «Энергосбережение и повышение энергетической эффективности в городе Ставрополе»</v>
      </c>
      <c r="N823" s="17">
        <f t="shared" si="38"/>
        <v>1</v>
      </c>
    </row>
    <row r="824" spans="1:14" s="16" customFormat="1" ht="47.25">
      <c r="A824" s="14"/>
      <c r="B824" s="125" t="s">
        <v>432</v>
      </c>
      <c r="C824" s="109" t="s">
        <v>510</v>
      </c>
      <c r="D824" s="108" t="s">
        <v>238</v>
      </c>
      <c r="E824" s="108" t="s">
        <v>11</v>
      </c>
      <c r="F824" s="108" t="s">
        <v>433</v>
      </c>
      <c r="G824" s="108" t="s">
        <v>9</v>
      </c>
      <c r="H824" s="126">
        <v>0</v>
      </c>
      <c r="I824" s="126">
        <v>0</v>
      </c>
      <c r="J824" s="108" t="s">
        <v>1198</v>
      </c>
      <c r="K824" s="108" t="str">
        <f t="shared" si="36"/>
        <v>17Б0000000</v>
      </c>
      <c r="L824" s="303" t="str">
        <f t="shared" si="37"/>
        <v>607080117Б0000000000</v>
      </c>
      <c r="M824" s="132" t="str">
        <f>INDEX('реш СГД № 265'!$A:$N,MATCH('БА расх 2019-2020'!$L824,'реш СГД № 265'!$N:$N,0),3)</f>
        <v>Расходы в рамках реализации муниципальной программы «Энергосбережение и повышение энергетической эффективности в городе Ставрополе»</v>
      </c>
      <c r="N824" s="17">
        <f t="shared" si="38"/>
        <v>1</v>
      </c>
    </row>
    <row r="825" spans="1:14" s="16" customFormat="1" ht="31.5">
      <c r="A825" s="14"/>
      <c r="B825" s="125" t="s">
        <v>434</v>
      </c>
      <c r="C825" s="109" t="s">
        <v>510</v>
      </c>
      <c r="D825" s="108" t="s">
        <v>238</v>
      </c>
      <c r="E825" s="108" t="s">
        <v>11</v>
      </c>
      <c r="F825" s="108" t="s">
        <v>435</v>
      </c>
      <c r="G825" s="108" t="s">
        <v>9</v>
      </c>
      <c r="H825" s="126">
        <v>0</v>
      </c>
      <c r="I825" s="126">
        <v>0</v>
      </c>
      <c r="J825" s="108" t="s">
        <v>1199</v>
      </c>
      <c r="K825" s="108" t="str">
        <f t="shared" si="36"/>
        <v>17Б0100000</v>
      </c>
      <c r="L825" s="303" t="str">
        <f t="shared" si="37"/>
        <v>607080117Б0100000000</v>
      </c>
      <c r="M825" s="132" t="str">
        <f>INDEX('реш СГД № 265'!$A:$N,MATCH('БА расх 2019-2020'!$L825,'реш СГД № 265'!$N:$N,0),3)</f>
        <v>Основное мероприятие «Энергосбережение и энергоэффективность в бюджетном секторе»</v>
      </c>
      <c r="N825" s="17">
        <f t="shared" si="38"/>
        <v>1</v>
      </c>
    </row>
    <row r="826" spans="1:14" s="16" customFormat="1" ht="47.25">
      <c r="A826" s="14"/>
      <c r="B826" s="132" t="s">
        <v>436</v>
      </c>
      <c r="C826" s="109" t="s">
        <v>510</v>
      </c>
      <c r="D826" s="108" t="s">
        <v>238</v>
      </c>
      <c r="E826" s="108" t="s">
        <v>11</v>
      </c>
      <c r="F826" s="108" t="s">
        <v>437</v>
      </c>
      <c r="G826" s="108" t="s">
        <v>9</v>
      </c>
      <c r="H826" s="126">
        <v>0</v>
      </c>
      <c r="I826" s="126">
        <v>0</v>
      </c>
      <c r="J826" s="108" t="s">
        <v>1200</v>
      </c>
      <c r="K826" s="108" t="str">
        <f t="shared" si="36"/>
        <v>17Б0120490</v>
      </c>
      <c r="L826" s="303" t="str">
        <f t="shared" si="37"/>
        <v>607080117Б0120490000</v>
      </c>
      <c r="M826" s="132" t="str">
        <f>INDEX('реш СГД № 265'!$A:$N,MATCH('БА расх 2019-2020'!$L826,'реш СГД № 265'!$N:$N,0),3)</f>
        <v>Расходы на проведение мероприятий по энергосбережению и повышению энергетической эффективности</v>
      </c>
      <c r="N826" s="17">
        <f t="shared" si="38"/>
        <v>1</v>
      </c>
    </row>
    <row r="827" spans="1:14" s="16" customFormat="1" ht="15.75">
      <c r="A827" s="14"/>
      <c r="B827" s="125" t="s">
        <v>403</v>
      </c>
      <c r="C827" s="109" t="s">
        <v>510</v>
      </c>
      <c r="D827" s="108" t="s">
        <v>238</v>
      </c>
      <c r="E827" s="108" t="s">
        <v>11</v>
      </c>
      <c r="F827" s="108" t="s">
        <v>437</v>
      </c>
      <c r="G827" s="108" t="s">
        <v>404</v>
      </c>
      <c r="H827" s="126">
        <v>0</v>
      </c>
      <c r="I827" s="126">
        <v>0</v>
      </c>
      <c r="J827" s="108" t="s">
        <v>1200</v>
      </c>
      <c r="K827" s="108" t="str">
        <f t="shared" si="36"/>
        <v>17Б0120490</v>
      </c>
      <c r="L827" s="303" t="str">
        <f t="shared" si="37"/>
        <v>607080117Б0120490610</v>
      </c>
      <c r="M827" s="132" t="str">
        <f>INDEX('реш СГД № 265'!$A:$N,MATCH('БА расх 2019-2020'!$L827,'реш СГД № 265'!$N:$N,0),3)</f>
        <v>Субсидии бюджетным учреждениям</v>
      </c>
      <c r="N827" s="17">
        <f t="shared" si="38"/>
        <v>1</v>
      </c>
    </row>
    <row r="828" spans="1:14" s="23" customFormat="1" ht="15.75">
      <c r="A828" s="21"/>
      <c r="B828" s="127" t="s">
        <v>407</v>
      </c>
      <c r="C828" s="109" t="s">
        <v>510</v>
      </c>
      <c r="D828" s="108" t="s">
        <v>238</v>
      </c>
      <c r="E828" s="108" t="s">
        <v>11</v>
      </c>
      <c r="F828" s="108" t="s">
        <v>437</v>
      </c>
      <c r="G828" s="108" t="s">
        <v>408</v>
      </c>
      <c r="H828" s="126">
        <v>0</v>
      </c>
      <c r="I828" s="126">
        <v>0</v>
      </c>
      <c r="J828" s="108" t="s">
        <v>1200</v>
      </c>
      <c r="K828" s="108" t="str">
        <f t="shared" si="36"/>
        <v>17Б0120490</v>
      </c>
      <c r="L828" s="303" t="str">
        <f t="shared" si="37"/>
        <v>607080117Б0120490612</v>
      </c>
      <c r="M828" s="132"/>
      <c r="N828" s="17">
        <f t="shared" si="38"/>
        <v>0</v>
      </c>
    </row>
    <row r="829" spans="1:14" s="16" customFormat="1" ht="15.75">
      <c r="A829" s="14"/>
      <c r="B829" s="121" t="s">
        <v>584</v>
      </c>
      <c r="C829" s="122" t="s">
        <v>510</v>
      </c>
      <c r="D829" s="123" t="s">
        <v>238</v>
      </c>
      <c r="E829" s="123" t="s">
        <v>73</v>
      </c>
      <c r="F829" s="123" t="s">
        <v>8</v>
      </c>
      <c r="G829" s="123" t="s">
        <v>9</v>
      </c>
      <c r="H829" s="124">
        <v>0</v>
      </c>
      <c r="I829" s="124">
        <v>0</v>
      </c>
      <c r="J829" s="123">
        <v>0</v>
      </c>
      <c r="K829" s="108" t="str">
        <f t="shared" si="36"/>
        <v>0000000000</v>
      </c>
      <c r="L829" s="303" t="str">
        <f t="shared" si="37"/>
        <v>60708040000000000000</v>
      </c>
      <c r="M829" s="132" t="str">
        <f>INDEX('реш СГД № 265'!$A:$N,MATCH('БА расх 2019-2020'!$L829,'реш СГД № 265'!$N:$N,0),3)</f>
        <v>Другие вопросы в области культуры, кинематографии</v>
      </c>
      <c r="N829" s="17">
        <f t="shared" si="38"/>
        <v>1</v>
      </c>
    </row>
    <row r="830" spans="1:14" s="16" customFormat="1" ht="47.25">
      <c r="A830" s="14"/>
      <c r="B830" s="125" t="s">
        <v>585</v>
      </c>
      <c r="C830" s="109" t="s">
        <v>510</v>
      </c>
      <c r="D830" s="108" t="s">
        <v>238</v>
      </c>
      <c r="E830" s="108" t="s">
        <v>73</v>
      </c>
      <c r="F830" s="108" t="s">
        <v>586</v>
      </c>
      <c r="G830" s="108" t="s">
        <v>9</v>
      </c>
      <c r="H830" s="126">
        <v>0</v>
      </c>
      <c r="I830" s="126">
        <v>0</v>
      </c>
      <c r="J830" s="108">
        <v>7600000000</v>
      </c>
      <c r="K830" s="108" t="str">
        <f t="shared" si="36"/>
        <v>7600000000</v>
      </c>
      <c r="L830" s="303" t="str">
        <f t="shared" si="37"/>
        <v>60708047600000000000</v>
      </c>
      <c r="M830" s="132" t="str">
        <f>INDEX('реш СГД № 265'!$A:$N,MATCH('БА расх 2019-2020'!$L830,'реш СГД № 265'!$N:$N,0),3)</f>
        <v>Обеспечение деятельности комитета культуры и молодежной политики администрации города Ставрополя</v>
      </c>
      <c r="N830" s="17">
        <f t="shared" si="38"/>
        <v>1</v>
      </c>
    </row>
    <row r="831" spans="1:14" s="16" customFormat="1" ht="47.25">
      <c r="A831" s="14"/>
      <c r="B831" s="125" t="s">
        <v>587</v>
      </c>
      <c r="C831" s="109" t="s">
        <v>510</v>
      </c>
      <c r="D831" s="108" t="s">
        <v>238</v>
      </c>
      <c r="E831" s="108" t="s">
        <v>73</v>
      </c>
      <c r="F831" s="108" t="s">
        <v>588</v>
      </c>
      <c r="G831" s="108" t="s">
        <v>9</v>
      </c>
      <c r="H831" s="126">
        <v>0</v>
      </c>
      <c r="I831" s="126">
        <v>0</v>
      </c>
      <c r="J831" s="108">
        <v>7610000000</v>
      </c>
      <c r="K831" s="108" t="str">
        <f t="shared" si="36"/>
        <v>7610000000</v>
      </c>
      <c r="L831" s="303" t="str">
        <f t="shared" si="37"/>
        <v>60708047610000000000</v>
      </c>
      <c r="M831" s="132" t="str">
        <f>INDEX('реш СГД № 265'!$A:$N,MATCH('БА расх 2019-2020'!$L831,'реш СГД № 265'!$N:$N,0),3)</f>
        <v>Непрограммные расходы в рамках обеспечения деятельности комитета культуры и молодежной политики администрации города Ставрополя</v>
      </c>
      <c r="N831" s="17">
        <f t="shared" si="38"/>
        <v>1</v>
      </c>
    </row>
    <row r="832" spans="1:14" s="16" customFormat="1" ht="31.5">
      <c r="A832" s="14"/>
      <c r="B832" s="125" t="s">
        <v>18</v>
      </c>
      <c r="C832" s="109" t="s">
        <v>510</v>
      </c>
      <c r="D832" s="108" t="s">
        <v>238</v>
      </c>
      <c r="E832" s="108" t="s">
        <v>73</v>
      </c>
      <c r="F832" s="108" t="s">
        <v>589</v>
      </c>
      <c r="G832" s="108" t="s">
        <v>9</v>
      </c>
      <c r="H832" s="126">
        <v>0</v>
      </c>
      <c r="I832" s="126">
        <v>0</v>
      </c>
      <c r="J832" s="108">
        <v>7610010010</v>
      </c>
      <c r="K832" s="108" t="str">
        <f t="shared" si="36"/>
        <v>7610010010</v>
      </c>
      <c r="L832" s="303" t="str">
        <f t="shared" si="37"/>
        <v>60708047610010010000</v>
      </c>
      <c r="M832" s="132" t="str">
        <f>INDEX('реш СГД № 265'!$A:$N,MATCH('БА расх 2019-2020'!$L832,'реш СГД № 265'!$N:$N,0),3)</f>
        <v>Расходы на обеспечение функций органов местного самоуправления города Ставрополя</v>
      </c>
      <c r="N832" s="17">
        <f t="shared" si="38"/>
        <v>1</v>
      </c>
    </row>
    <row r="833" spans="1:14" s="16" customFormat="1" ht="31.5">
      <c r="A833" s="14"/>
      <c r="B833" s="127" t="s">
        <v>20</v>
      </c>
      <c r="C833" s="109" t="s">
        <v>510</v>
      </c>
      <c r="D833" s="108" t="s">
        <v>238</v>
      </c>
      <c r="E833" s="108" t="s">
        <v>73</v>
      </c>
      <c r="F833" s="108" t="s">
        <v>589</v>
      </c>
      <c r="G833" s="108" t="s">
        <v>21</v>
      </c>
      <c r="H833" s="126">
        <v>0</v>
      </c>
      <c r="I833" s="126">
        <v>0</v>
      </c>
      <c r="J833" s="108">
        <v>7610010010</v>
      </c>
      <c r="K833" s="108" t="str">
        <f t="shared" si="36"/>
        <v>7610010010</v>
      </c>
      <c r="L833" s="303" t="str">
        <f t="shared" si="37"/>
        <v>60708047610010010120</v>
      </c>
      <c r="M833" s="132" t="str">
        <f>INDEX('реш СГД № 265'!$A:$N,MATCH('БА расх 2019-2020'!$L833,'реш СГД № 265'!$N:$N,0),3)</f>
        <v>Расходы на выплаты персоналу государственных (муниципальных) органов</v>
      </c>
      <c r="N833" s="17">
        <f t="shared" si="38"/>
        <v>1</v>
      </c>
    </row>
    <row r="834" spans="1:14" s="23" customFormat="1" ht="47.25">
      <c r="A834" s="21"/>
      <c r="B834" s="127" t="s">
        <v>22</v>
      </c>
      <c r="C834" s="109" t="s">
        <v>510</v>
      </c>
      <c r="D834" s="108" t="s">
        <v>238</v>
      </c>
      <c r="E834" s="108" t="s">
        <v>73</v>
      </c>
      <c r="F834" s="108" t="s">
        <v>589</v>
      </c>
      <c r="G834" s="108" t="s">
        <v>23</v>
      </c>
      <c r="H834" s="126">
        <v>0</v>
      </c>
      <c r="I834" s="126">
        <v>0</v>
      </c>
      <c r="J834" s="108">
        <v>7610010010</v>
      </c>
      <c r="K834" s="108" t="str">
        <f t="shared" si="36"/>
        <v>7610010010</v>
      </c>
      <c r="L834" s="303" t="str">
        <f t="shared" si="37"/>
        <v>60708047610010010122</v>
      </c>
      <c r="M834" s="132"/>
      <c r="N834" s="17">
        <f t="shared" si="38"/>
        <v>0</v>
      </c>
    </row>
    <row r="835" spans="1:14" s="23" customFormat="1" ht="63">
      <c r="A835" s="21"/>
      <c r="B835" s="127" t="s">
        <v>26</v>
      </c>
      <c r="C835" s="109" t="s">
        <v>510</v>
      </c>
      <c r="D835" s="108" t="s">
        <v>238</v>
      </c>
      <c r="E835" s="108" t="s">
        <v>73</v>
      </c>
      <c r="F835" s="108" t="s">
        <v>589</v>
      </c>
      <c r="G835" s="108" t="s">
        <v>27</v>
      </c>
      <c r="H835" s="126">
        <v>0</v>
      </c>
      <c r="I835" s="126">
        <v>0</v>
      </c>
      <c r="J835" s="108">
        <v>7610010010</v>
      </c>
      <c r="K835" s="108" t="str">
        <f t="shared" si="36"/>
        <v>7610010010</v>
      </c>
      <c r="L835" s="303" t="str">
        <f t="shared" si="37"/>
        <v>60708047610010010129</v>
      </c>
      <c r="M835" s="132"/>
      <c r="N835" s="17">
        <f t="shared" si="38"/>
        <v>0</v>
      </c>
    </row>
    <row r="836" spans="1:14" s="16" customFormat="1" ht="31.5">
      <c r="A836" s="14"/>
      <c r="B836" s="125" t="s">
        <v>28</v>
      </c>
      <c r="C836" s="109" t="s">
        <v>510</v>
      </c>
      <c r="D836" s="108" t="s">
        <v>238</v>
      </c>
      <c r="E836" s="108" t="s">
        <v>73</v>
      </c>
      <c r="F836" s="108" t="s">
        <v>589</v>
      </c>
      <c r="G836" s="108" t="s">
        <v>29</v>
      </c>
      <c r="H836" s="126">
        <v>0</v>
      </c>
      <c r="I836" s="126">
        <v>0</v>
      </c>
      <c r="J836" s="108">
        <v>7610010010</v>
      </c>
      <c r="K836" s="108" t="str">
        <f t="shared" si="36"/>
        <v>7610010010</v>
      </c>
      <c r="L836" s="303" t="str">
        <f t="shared" si="37"/>
        <v>60708047610010010240</v>
      </c>
      <c r="M836" s="132" t="str">
        <f>INDEX('реш СГД № 265'!$A:$N,MATCH('БА расх 2019-2020'!$L836,'реш СГД № 265'!$N:$N,0),3)</f>
        <v>Иные закупки товаров, работ и услуг для обеспечения государственных (муниципальных) нужд</v>
      </c>
      <c r="N836" s="17">
        <f t="shared" si="38"/>
        <v>1</v>
      </c>
    </row>
    <row r="837" spans="1:14" s="16" customFormat="1" ht="15.75">
      <c r="A837" s="14"/>
      <c r="B837" s="125" t="s">
        <v>30</v>
      </c>
      <c r="C837" s="109" t="s">
        <v>510</v>
      </c>
      <c r="D837" s="108" t="s">
        <v>238</v>
      </c>
      <c r="E837" s="108" t="s">
        <v>73</v>
      </c>
      <c r="F837" s="108" t="s">
        <v>589</v>
      </c>
      <c r="G837" s="108" t="s">
        <v>31</v>
      </c>
      <c r="H837" s="126">
        <v>0</v>
      </c>
      <c r="I837" s="126">
        <v>0</v>
      </c>
      <c r="J837" s="108">
        <v>7610010010</v>
      </c>
      <c r="K837" s="108" t="str">
        <f t="shared" si="36"/>
        <v>7610010010</v>
      </c>
      <c r="L837" s="303" t="str">
        <f t="shared" si="37"/>
        <v>60708047610010010244</v>
      </c>
      <c r="M837" s="132"/>
      <c r="N837" s="17">
        <f t="shared" si="38"/>
        <v>0</v>
      </c>
    </row>
    <row r="838" spans="1:14" s="16" customFormat="1" ht="15.75">
      <c r="A838" s="14"/>
      <c r="B838" s="125" t="s">
        <v>32</v>
      </c>
      <c r="C838" s="109" t="s">
        <v>510</v>
      </c>
      <c r="D838" s="108" t="s">
        <v>238</v>
      </c>
      <c r="E838" s="108" t="s">
        <v>73</v>
      </c>
      <c r="F838" s="108" t="s">
        <v>589</v>
      </c>
      <c r="G838" s="108" t="s">
        <v>33</v>
      </c>
      <c r="H838" s="126">
        <v>0</v>
      </c>
      <c r="I838" s="126">
        <v>0</v>
      </c>
      <c r="J838" s="108">
        <v>7610010010</v>
      </c>
      <c r="K838" s="108" t="str">
        <f t="shared" si="36"/>
        <v>7610010010</v>
      </c>
      <c r="L838" s="303" t="str">
        <f t="shared" si="37"/>
        <v>60708047610010010850</v>
      </c>
      <c r="M838" s="132" t="str">
        <f>INDEX('реш СГД № 265'!$A:$N,MATCH('БА расх 2019-2020'!$L838,'реш СГД № 265'!$N:$N,0),3)</f>
        <v>Уплата налогов, сборов и иных платежей</v>
      </c>
      <c r="N838" s="17">
        <f t="shared" si="38"/>
        <v>1</v>
      </c>
    </row>
    <row r="839" spans="1:14" s="23" customFormat="1" ht="31.5">
      <c r="A839" s="21"/>
      <c r="B839" s="127" t="s">
        <v>34</v>
      </c>
      <c r="C839" s="109" t="s">
        <v>510</v>
      </c>
      <c r="D839" s="108" t="s">
        <v>238</v>
      </c>
      <c r="E839" s="108" t="s">
        <v>73</v>
      </c>
      <c r="F839" s="108" t="s">
        <v>589</v>
      </c>
      <c r="G839" s="108" t="s">
        <v>35</v>
      </c>
      <c r="H839" s="126">
        <v>0</v>
      </c>
      <c r="I839" s="126">
        <v>0</v>
      </c>
      <c r="J839" s="108">
        <v>7610010010</v>
      </c>
      <c r="K839" s="108" t="str">
        <f t="shared" si="36"/>
        <v>7610010010</v>
      </c>
      <c r="L839" s="303" t="str">
        <f t="shared" si="37"/>
        <v>60708047610010010851</v>
      </c>
      <c r="M839" s="132"/>
      <c r="N839" s="17">
        <f t="shared" si="38"/>
        <v>0</v>
      </c>
    </row>
    <row r="840" spans="1:14" s="23" customFormat="1" ht="15.75">
      <c r="A840" s="21"/>
      <c r="B840" s="127" t="s">
        <v>36</v>
      </c>
      <c r="C840" s="109" t="s">
        <v>510</v>
      </c>
      <c r="D840" s="108" t="s">
        <v>238</v>
      </c>
      <c r="E840" s="108" t="s">
        <v>73</v>
      </c>
      <c r="F840" s="108" t="s">
        <v>589</v>
      </c>
      <c r="G840" s="108" t="s">
        <v>37</v>
      </c>
      <c r="H840" s="126">
        <v>0</v>
      </c>
      <c r="I840" s="126">
        <v>0</v>
      </c>
      <c r="J840" s="108">
        <v>7610010010</v>
      </c>
      <c r="K840" s="108" t="str">
        <f t="shared" si="36"/>
        <v>7610010010</v>
      </c>
      <c r="L840" s="303" t="str">
        <f t="shared" si="37"/>
        <v>60708047610010010852</v>
      </c>
      <c r="M840" s="132"/>
      <c r="N840" s="17">
        <f t="shared" si="38"/>
        <v>0</v>
      </c>
    </row>
    <row r="841" spans="1:14" s="23" customFormat="1" ht="15.75">
      <c r="A841" s="21"/>
      <c r="B841" s="127" t="s">
        <v>77</v>
      </c>
      <c r="C841" s="109" t="s">
        <v>510</v>
      </c>
      <c r="D841" s="108" t="s">
        <v>238</v>
      </c>
      <c r="E841" s="108" t="s">
        <v>73</v>
      </c>
      <c r="F841" s="108" t="s">
        <v>589</v>
      </c>
      <c r="G841" s="108" t="s">
        <v>78</v>
      </c>
      <c r="H841" s="126">
        <v>0</v>
      </c>
      <c r="I841" s="126">
        <v>0</v>
      </c>
      <c r="J841" s="108">
        <v>7610010010</v>
      </c>
      <c r="K841" s="108" t="str">
        <f t="shared" si="36"/>
        <v>7610010010</v>
      </c>
      <c r="L841" s="303" t="str">
        <f t="shared" si="37"/>
        <v>60708047610010010853</v>
      </c>
      <c r="M841" s="132"/>
      <c r="N841" s="17">
        <f t="shared" si="38"/>
        <v>0</v>
      </c>
    </row>
    <row r="842" spans="1:14" s="16" customFormat="1" ht="31.5">
      <c r="A842" s="14"/>
      <c r="B842" s="125" t="s">
        <v>38</v>
      </c>
      <c r="C842" s="109" t="s">
        <v>510</v>
      </c>
      <c r="D842" s="108" t="s">
        <v>238</v>
      </c>
      <c r="E842" s="108" t="s">
        <v>73</v>
      </c>
      <c r="F842" s="108" t="s">
        <v>590</v>
      </c>
      <c r="G842" s="108" t="s">
        <v>9</v>
      </c>
      <c r="H842" s="126">
        <v>0</v>
      </c>
      <c r="I842" s="126">
        <v>0</v>
      </c>
      <c r="J842" s="108">
        <v>7610010020</v>
      </c>
      <c r="K842" s="108" t="str">
        <f t="shared" si="36"/>
        <v>7610010020</v>
      </c>
      <c r="L842" s="303" t="str">
        <f t="shared" si="37"/>
        <v>60708047610010020000</v>
      </c>
      <c r="M842" s="132" t="str">
        <f>INDEX('реш СГД № 265'!$A:$N,MATCH('БА расх 2019-2020'!$L842,'реш СГД № 265'!$N:$N,0),3)</f>
        <v>Расходы на выплаты по оплате труда работников органов местного самоуправления города Ставрополя</v>
      </c>
      <c r="N842" s="17">
        <f t="shared" si="38"/>
        <v>1</v>
      </c>
    </row>
    <row r="843" spans="1:14" s="16" customFormat="1" ht="31.5">
      <c r="A843" s="14"/>
      <c r="B843" s="127" t="s">
        <v>20</v>
      </c>
      <c r="C843" s="109" t="s">
        <v>510</v>
      </c>
      <c r="D843" s="108" t="s">
        <v>238</v>
      </c>
      <c r="E843" s="108" t="s">
        <v>73</v>
      </c>
      <c r="F843" s="108" t="s">
        <v>590</v>
      </c>
      <c r="G843" s="108" t="s">
        <v>21</v>
      </c>
      <c r="H843" s="126">
        <v>0</v>
      </c>
      <c r="I843" s="126">
        <v>0</v>
      </c>
      <c r="J843" s="108">
        <v>7610010020</v>
      </c>
      <c r="K843" s="108" t="str">
        <f t="shared" si="36"/>
        <v>7610010020</v>
      </c>
      <c r="L843" s="303" t="str">
        <f t="shared" si="37"/>
        <v>60708047610010020120</v>
      </c>
      <c r="M843" s="132" t="str">
        <f>INDEX('реш СГД № 265'!$A:$N,MATCH('БА расх 2019-2020'!$L843,'реш СГД № 265'!$N:$N,0),3)</f>
        <v>Расходы на выплаты персоналу государственных (муниципальных) органов</v>
      </c>
      <c r="N843" s="17">
        <f t="shared" si="38"/>
        <v>1</v>
      </c>
    </row>
    <row r="844" spans="1:14" s="23" customFormat="1" ht="31.5">
      <c r="A844" s="21"/>
      <c r="B844" s="127" t="s">
        <v>40</v>
      </c>
      <c r="C844" s="109" t="s">
        <v>510</v>
      </c>
      <c r="D844" s="108" t="s">
        <v>238</v>
      </c>
      <c r="E844" s="108" t="s">
        <v>73</v>
      </c>
      <c r="F844" s="108" t="s">
        <v>590</v>
      </c>
      <c r="G844" s="108" t="s">
        <v>41</v>
      </c>
      <c r="H844" s="126">
        <v>0</v>
      </c>
      <c r="I844" s="126">
        <v>0</v>
      </c>
      <c r="J844" s="108">
        <v>7610010020</v>
      </c>
      <c r="K844" s="108" t="str">
        <f t="shared" si="36"/>
        <v>7610010020</v>
      </c>
      <c r="L844" s="303" t="str">
        <f t="shared" si="37"/>
        <v>60708047610010020121</v>
      </c>
      <c r="M844" s="132"/>
      <c r="N844" s="17">
        <f t="shared" si="38"/>
        <v>0</v>
      </c>
    </row>
    <row r="845" spans="1:14" s="23" customFormat="1" ht="63">
      <c r="A845" s="21"/>
      <c r="B845" s="127" t="s">
        <v>26</v>
      </c>
      <c r="C845" s="109" t="s">
        <v>510</v>
      </c>
      <c r="D845" s="108" t="s">
        <v>238</v>
      </c>
      <c r="E845" s="108" t="s">
        <v>73</v>
      </c>
      <c r="F845" s="108" t="s">
        <v>590</v>
      </c>
      <c r="G845" s="108" t="s">
        <v>27</v>
      </c>
      <c r="H845" s="126">
        <v>0</v>
      </c>
      <c r="I845" s="126">
        <v>0</v>
      </c>
      <c r="J845" s="108">
        <v>7610010020</v>
      </c>
      <c r="K845" s="108" t="str">
        <f t="shared" ref="K845:K908" si="39">TEXT(J845,"0000000000")</f>
        <v>7610010020</v>
      </c>
      <c r="L845" s="303" t="str">
        <f t="shared" si="37"/>
        <v>60708047610010020129</v>
      </c>
      <c r="M845" s="132"/>
      <c r="N845" s="17">
        <f t="shared" si="38"/>
        <v>0</v>
      </c>
    </row>
    <row r="846" spans="1:14" s="16" customFormat="1" ht="15.75">
      <c r="A846" s="14"/>
      <c r="B846" s="127" t="s">
        <v>52</v>
      </c>
      <c r="C846" s="109" t="s">
        <v>510</v>
      </c>
      <c r="D846" s="108" t="s">
        <v>238</v>
      </c>
      <c r="E846" s="108" t="s">
        <v>73</v>
      </c>
      <c r="F846" s="108" t="s">
        <v>591</v>
      </c>
      <c r="G846" s="108" t="s">
        <v>9</v>
      </c>
      <c r="H846" s="126">
        <v>0</v>
      </c>
      <c r="I846" s="126">
        <v>0</v>
      </c>
      <c r="J846" s="108">
        <v>7620000000</v>
      </c>
      <c r="K846" s="108" t="str">
        <f t="shared" si="39"/>
        <v>7620000000</v>
      </c>
      <c r="L846" s="303" t="str">
        <f t="shared" ref="L846:L909" si="40">C846&amp;D846&amp;E846&amp;K846&amp;G846</f>
        <v>60708047620000000000</v>
      </c>
      <c r="M846" s="132" t="str">
        <f>INDEX('реш СГД № 265'!$A:$N,MATCH('БА расх 2019-2020'!$L846,'реш СГД № 265'!$N:$N,0),3)</f>
        <v>Расходы, предусмотренные на иные цели</v>
      </c>
      <c r="N846" s="17">
        <f t="shared" ref="N846:N909" si="41">IF(B846=M846,1,0)</f>
        <v>1</v>
      </c>
    </row>
    <row r="847" spans="1:14" s="16" customFormat="1" ht="63">
      <c r="A847" s="14"/>
      <c r="B847" s="125" t="s">
        <v>592</v>
      </c>
      <c r="C847" s="109" t="s">
        <v>510</v>
      </c>
      <c r="D847" s="108" t="s">
        <v>238</v>
      </c>
      <c r="E847" s="108" t="s">
        <v>73</v>
      </c>
      <c r="F847" s="108" t="s">
        <v>593</v>
      </c>
      <c r="G847" s="108" t="s">
        <v>9</v>
      </c>
      <c r="H847" s="126">
        <v>0</v>
      </c>
      <c r="I847" s="126">
        <v>0</v>
      </c>
      <c r="J847" s="108">
        <v>7620020250</v>
      </c>
      <c r="K847" s="108" t="str">
        <f t="shared" si="39"/>
        <v>7620020250</v>
      </c>
      <c r="L847" s="303" t="str">
        <f t="shared" si="40"/>
        <v>60708047620020250000</v>
      </c>
      <c r="M847" s="132" t="str">
        <f>INDEX('реш СГД № 265'!$A:$N,MATCH('БА расх 2019-2020'!$L847,'реш СГД № 265'!$N:$N,0),3)</f>
        <v>Расходы на выполнение мероприятий в сфере культуры и кинематографии комитета культуры и молодежной политики администрации города Ставрополя</v>
      </c>
      <c r="N847" s="17">
        <f t="shared" si="41"/>
        <v>1</v>
      </c>
    </row>
    <row r="848" spans="1:14" s="16" customFormat="1" ht="31.5">
      <c r="A848" s="14"/>
      <c r="B848" s="125" t="s">
        <v>28</v>
      </c>
      <c r="C848" s="109" t="s">
        <v>510</v>
      </c>
      <c r="D848" s="108" t="s">
        <v>238</v>
      </c>
      <c r="E848" s="108" t="s">
        <v>73</v>
      </c>
      <c r="F848" s="108" t="s">
        <v>593</v>
      </c>
      <c r="G848" s="108" t="s">
        <v>29</v>
      </c>
      <c r="H848" s="126">
        <v>0</v>
      </c>
      <c r="I848" s="126">
        <v>0</v>
      </c>
      <c r="J848" s="108">
        <v>7620020250</v>
      </c>
      <c r="K848" s="108" t="str">
        <f t="shared" si="39"/>
        <v>7620020250</v>
      </c>
      <c r="L848" s="303" t="str">
        <f t="shared" si="40"/>
        <v>60708047620020250240</v>
      </c>
      <c r="M848" s="132" t="str">
        <f>INDEX('реш СГД № 265'!$A:$N,MATCH('БА расх 2019-2020'!$L848,'реш СГД № 265'!$N:$N,0),3)</f>
        <v>Иные закупки товаров, работ и услуг для обеспечения государственных (муниципальных) нужд</v>
      </c>
      <c r="N848" s="17">
        <f t="shared" si="41"/>
        <v>1</v>
      </c>
    </row>
    <row r="849" spans="1:14" s="16" customFormat="1" ht="15.75">
      <c r="A849" s="14"/>
      <c r="B849" s="125" t="s">
        <v>30</v>
      </c>
      <c r="C849" s="109" t="s">
        <v>510</v>
      </c>
      <c r="D849" s="108" t="s">
        <v>238</v>
      </c>
      <c r="E849" s="108" t="s">
        <v>73</v>
      </c>
      <c r="F849" s="108" t="s">
        <v>593</v>
      </c>
      <c r="G849" s="108" t="s">
        <v>31</v>
      </c>
      <c r="H849" s="126">
        <v>0</v>
      </c>
      <c r="I849" s="126">
        <v>0</v>
      </c>
      <c r="J849" s="108">
        <v>7620020250</v>
      </c>
      <c r="K849" s="108" t="str">
        <f t="shared" si="39"/>
        <v>7620020250</v>
      </c>
      <c r="L849" s="303" t="str">
        <f t="shared" si="40"/>
        <v>60708047620020250244</v>
      </c>
      <c r="M849" s="132"/>
      <c r="N849" s="17">
        <f t="shared" si="41"/>
        <v>0</v>
      </c>
    </row>
    <row r="850" spans="1:14" s="16" customFormat="1" ht="15.75">
      <c r="A850" s="14"/>
      <c r="B850" s="125"/>
      <c r="C850" s="109"/>
      <c r="D850" s="108"/>
      <c r="E850" s="108"/>
      <c r="F850" s="108"/>
      <c r="G850" s="108"/>
      <c r="H850" s="126"/>
      <c r="I850" s="126"/>
      <c r="J850" s="108"/>
      <c r="K850" s="108" t="str">
        <f t="shared" si="39"/>
        <v>0000000000</v>
      </c>
      <c r="L850" s="303" t="str">
        <f t="shared" si="40"/>
        <v>0000000000</v>
      </c>
      <c r="M850" s="132">
        <f>INDEX('реш СГД № 265'!$A:$N,MATCH('БА расх 2019-2020'!$L850,'реш СГД № 265'!$N:$N,0),3)</f>
        <v>0</v>
      </c>
      <c r="N850" s="17">
        <f t="shared" si="41"/>
        <v>1</v>
      </c>
    </row>
    <row r="851" spans="1:14" s="13" customFormat="1" ht="31.5">
      <c r="A851" s="1"/>
      <c r="B851" s="67" t="s">
        <v>594</v>
      </c>
      <c r="C851" s="116" t="s">
        <v>595</v>
      </c>
      <c r="D851" s="69" t="s">
        <v>7</v>
      </c>
      <c r="E851" s="69" t="s">
        <v>7</v>
      </c>
      <c r="F851" s="69" t="s">
        <v>8</v>
      </c>
      <c r="G851" s="69" t="s">
        <v>9</v>
      </c>
      <c r="H851" s="146">
        <v>0</v>
      </c>
      <c r="I851" s="146">
        <v>0</v>
      </c>
      <c r="J851" s="69">
        <v>0</v>
      </c>
      <c r="K851" s="108" t="str">
        <f t="shared" si="39"/>
        <v>0000000000</v>
      </c>
      <c r="L851" s="303" t="str">
        <f t="shared" si="40"/>
        <v>60900000000000000000</v>
      </c>
      <c r="M851" s="132" t="str">
        <f>INDEX('реш СГД № 265'!$A:$N,MATCH('БА расх 2019-2020'!$L851,'реш СГД № 265'!$N:$N,0),3)</f>
        <v>Комитет труда и социальной защиты населения администрации города Ставрополя</v>
      </c>
      <c r="N851" s="17">
        <f t="shared" si="41"/>
        <v>1</v>
      </c>
    </row>
    <row r="852" spans="1:14" s="29" customFormat="1" ht="15.75">
      <c r="A852" s="28"/>
      <c r="B852" s="117" t="s">
        <v>10</v>
      </c>
      <c r="C852" s="118" t="s">
        <v>595</v>
      </c>
      <c r="D852" s="119" t="s">
        <v>11</v>
      </c>
      <c r="E852" s="119" t="s">
        <v>7</v>
      </c>
      <c r="F852" s="119" t="s">
        <v>8</v>
      </c>
      <c r="G852" s="119" t="s">
        <v>9</v>
      </c>
      <c r="H852" s="120">
        <v>0</v>
      </c>
      <c r="I852" s="120">
        <v>0</v>
      </c>
      <c r="J852" s="119">
        <v>0</v>
      </c>
      <c r="K852" s="108" t="str">
        <f t="shared" si="39"/>
        <v>0000000000</v>
      </c>
      <c r="L852" s="303" t="str">
        <f t="shared" si="40"/>
        <v>60901000000000000000</v>
      </c>
      <c r="M852" s="132" t="str">
        <f>INDEX('реш СГД № 265'!$A:$N,MATCH('БА расх 2019-2020'!$L852,'реш СГД № 265'!$N:$N,0),3)</f>
        <v>Общегосударственные вопросы</v>
      </c>
      <c r="N852" s="17">
        <f t="shared" si="41"/>
        <v>1</v>
      </c>
    </row>
    <row r="853" spans="1:14" s="29" customFormat="1" ht="15.75">
      <c r="A853" s="28"/>
      <c r="B853" s="121" t="s">
        <v>50</v>
      </c>
      <c r="C853" s="122" t="s">
        <v>595</v>
      </c>
      <c r="D853" s="123" t="s">
        <v>11</v>
      </c>
      <c r="E853" s="123" t="s">
        <v>51</v>
      </c>
      <c r="F853" s="123" t="s">
        <v>8</v>
      </c>
      <c r="G853" s="123" t="s">
        <v>9</v>
      </c>
      <c r="H853" s="124">
        <v>0</v>
      </c>
      <c r="I853" s="124">
        <v>0</v>
      </c>
      <c r="J853" s="123">
        <v>0</v>
      </c>
      <c r="K853" s="108" t="str">
        <f t="shared" si="39"/>
        <v>0000000000</v>
      </c>
      <c r="L853" s="303" t="str">
        <f t="shared" si="40"/>
        <v>60901130000000000000</v>
      </c>
      <c r="M853" s="132" t="str">
        <f>INDEX('реш СГД № 265'!$A:$N,MATCH('БА расх 2019-2020'!$L853,'реш СГД № 265'!$N:$N,0),3)</f>
        <v>Другие общегосударственные вопросы</v>
      </c>
      <c r="N853" s="17">
        <f t="shared" si="41"/>
        <v>1</v>
      </c>
    </row>
    <row r="854" spans="1:14" s="29" customFormat="1" ht="63">
      <c r="A854" s="28"/>
      <c r="B854" s="132" t="s">
        <v>257</v>
      </c>
      <c r="C854" s="109" t="s">
        <v>595</v>
      </c>
      <c r="D854" s="108" t="s">
        <v>11</v>
      </c>
      <c r="E854" s="108" t="s">
        <v>51</v>
      </c>
      <c r="F854" s="108" t="s">
        <v>258</v>
      </c>
      <c r="G854" s="108" t="s">
        <v>9</v>
      </c>
      <c r="H854" s="126">
        <v>0</v>
      </c>
      <c r="I854" s="126">
        <v>0</v>
      </c>
      <c r="J854" s="108">
        <v>1100000000</v>
      </c>
      <c r="K854" s="108" t="str">
        <f t="shared" si="39"/>
        <v>1100000000</v>
      </c>
      <c r="L854" s="303" t="str">
        <f t="shared" si="40"/>
        <v>60901131100000000000</v>
      </c>
      <c r="M854" s="132" t="str">
        <f>INDEX('реш СГД № 265'!$A:$N,MATCH('БА расх 2019-2020'!$L854,'реш СГД № 265'!$N:$N,0),3)</f>
        <v>Муниципальная программа  «Управление и распоряжение имуществом, находящимся в муниципальной собственности города Ставрополя, в том числе земельными ресурсами»</v>
      </c>
      <c r="N854" s="17">
        <f t="shared" si="41"/>
        <v>1</v>
      </c>
    </row>
    <row r="855" spans="1:14" s="29" customFormat="1" ht="78.75">
      <c r="A855" s="28"/>
      <c r="B855" s="132" t="s">
        <v>259</v>
      </c>
      <c r="C855" s="109" t="s">
        <v>595</v>
      </c>
      <c r="D855" s="108" t="s">
        <v>11</v>
      </c>
      <c r="E855" s="108" t="s">
        <v>51</v>
      </c>
      <c r="F855" s="108" t="s">
        <v>260</v>
      </c>
      <c r="G855" s="108" t="s">
        <v>9</v>
      </c>
      <c r="H855" s="126">
        <v>0</v>
      </c>
      <c r="I855" s="126">
        <v>0</v>
      </c>
      <c r="J855" s="108" t="s">
        <v>1171</v>
      </c>
      <c r="K855" s="108" t="str">
        <f t="shared" si="39"/>
        <v>11Б0000000</v>
      </c>
      <c r="L855" s="303" t="str">
        <f t="shared" si="40"/>
        <v>609011311Б0000000000</v>
      </c>
      <c r="M855" s="132" t="str">
        <f>INDEX('реш СГД № 265'!$A:$N,MATCH('БА расх 2019-2020'!$L855,'реш СГД № 265'!$N:$N,0),3)</f>
        <v>Расходы в рамках реализации муниципальной программы «Управление и распоряжение  имуществом, находящимся в муниципальной собственности города Ставрополя, в том числе земельными ресурсами»</v>
      </c>
      <c r="N855" s="17">
        <f t="shared" si="41"/>
        <v>1</v>
      </c>
    </row>
    <row r="856" spans="1:14" s="29" customFormat="1" ht="47.25">
      <c r="A856" s="28"/>
      <c r="B856" s="125" t="s">
        <v>261</v>
      </c>
      <c r="C856" s="109" t="s">
        <v>595</v>
      </c>
      <c r="D856" s="108" t="s">
        <v>11</v>
      </c>
      <c r="E856" s="108" t="s">
        <v>51</v>
      </c>
      <c r="F856" s="108" t="s">
        <v>262</v>
      </c>
      <c r="G856" s="108" t="s">
        <v>9</v>
      </c>
      <c r="H856" s="126">
        <v>0</v>
      </c>
      <c r="I856" s="126">
        <v>0</v>
      </c>
      <c r="J856" s="108" t="s">
        <v>1172</v>
      </c>
      <c r="K856" s="108" t="str">
        <f t="shared" si="39"/>
        <v>11Б0100000</v>
      </c>
      <c r="L856" s="303" t="str">
        <f t="shared" si="40"/>
        <v>609011311Б0100000000</v>
      </c>
      <c r="M856" s="132" t="str">
        <f>INDEX('реш СГД № 265'!$A:$N,MATCH('БА расх 2019-2020'!$L856,'реш СГД № 265'!$N:$N,0),3)</f>
        <v>Основное мероприятие «Управление и распоряжение объектами недвижимого имущества, находящимися в муниципальной собственности города Ставрополя»</v>
      </c>
      <c r="N856" s="17">
        <f t="shared" si="41"/>
        <v>1</v>
      </c>
    </row>
    <row r="857" spans="1:14" s="13" customFormat="1" ht="31.5">
      <c r="A857" s="1"/>
      <c r="B857" s="125" t="s">
        <v>267</v>
      </c>
      <c r="C857" s="109" t="s">
        <v>595</v>
      </c>
      <c r="D857" s="108" t="s">
        <v>11</v>
      </c>
      <c r="E857" s="108" t="s">
        <v>51</v>
      </c>
      <c r="F857" s="108" t="s">
        <v>268</v>
      </c>
      <c r="G857" s="108" t="s">
        <v>9</v>
      </c>
      <c r="H857" s="126">
        <v>0</v>
      </c>
      <c r="I857" s="126">
        <v>0</v>
      </c>
      <c r="J857" s="108" t="s">
        <v>1175</v>
      </c>
      <c r="K857" s="108" t="str">
        <f t="shared" si="39"/>
        <v>11Б0121120</v>
      </c>
      <c r="L857" s="303" t="str">
        <f t="shared" si="40"/>
        <v>609011311Б0121120000</v>
      </c>
      <c r="M857" s="132" t="str">
        <f>INDEX('реш СГД № 265'!$A:$N,MATCH('БА расх 2019-2020'!$L857,'реш СГД № 265'!$N:$N,0),3)</f>
        <v>Расходы на уплату взносов на капитальный ремонт общего имущества в многоквартирных домах</v>
      </c>
      <c r="N857" s="17">
        <f t="shared" si="41"/>
        <v>1</v>
      </c>
    </row>
    <row r="858" spans="1:14" s="13" customFormat="1" ht="31.5">
      <c r="A858" s="1"/>
      <c r="B858" s="125" t="s">
        <v>28</v>
      </c>
      <c r="C858" s="109" t="s">
        <v>595</v>
      </c>
      <c r="D858" s="108" t="s">
        <v>11</v>
      </c>
      <c r="E858" s="108" t="s">
        <v>51</v>
      </c>
      <c r="F858" s="108" t="s">
        <v>268</v>
      </c>
      <c r="G858" s="108" t="s">
        <v>29</v>
      </c>
      <c r="H858" s="126">
        <v>0</v>
      </c>
      <c r="I858" s="126">
        <v>0</v>
      </c>
      <c r="J858" s="108" t="s">
        <v>1175</v>
      </c>
      <c r="K858" s="108" t="str">
        <f t="shared" si="39"/>
        <v>11Б0121120</v>
      </c>
      <c r="L858" s="303" t="str">
        <f t="shared" si="40"/>
        <v>609011311Б0121120240</v>
      </c>
      <c r="M858" s="132" t="str">
        <f>INDEX('реш СГД № 265'!$A:$N,MATCH('БА расх 2019-2020'!$L858,'реш СГД № 265'!$N:$N,0),3)</f>
        <v>Иные закупки товаров, работ и услуг для обеспечения государственных (муниципальных) нужд</v>
      </c>
      <c r="N858" s="17">
        <f t="shared" si="41"/>
        <v>1</v>
      </c>
    </row>
    <row r="859" spans="1:14" s="13" customFormat="1" ht="15.75">
      <c r="A859" s="1"/>
      <c r="B859" s="125" t="s">
        <v>30</v>
      </c>
      <c r="C859" s="109" t="s">
        <v>595</v>
      </c>
      <c r="D859" s="108" t="s">
        <v>11</v>
      </c>
      <c r="E859" s="108" t="s">
        <v>51</v>
      </c>
      <c r="F859" s="108" t="s">
        <v>268</v>
      </c>
      <c r="G859" s="108" t="s">
        <v>31</v>
      </c>
      <c r="H859" s="126">
        <v>0</v>
      </c>
      <c r="I859" s="126">
        <v>0</v>
      </c>
      <c r="J859" s="108" t="s">
        <v>1175</v>
      </c>
      <c r="K859" s="108" t="str">
        <f t="shared" si="39"/>
        <v>11Б0121120</v>
      </c>
      <c r="L859" s="303" t="str">
        <f t="shared" si="40"/>
        <v>609011311Б0121120244</v>
      </c>
      <c r="M859" s="132"/>
      <c r="N859" s="17">
        <f t="shared" si="41"/>
        <v>0</v>
      </c>
    </row>
    <row r="860" spans="1:14" s="13" customFormat="1" ht="15.75">
      <c r="A860" s="1"/>
      <c r="B860" s="117" t="s">
        <v>569</v>
      </c>
      <c r="C860" s="118" t="s">
        <v>595</v>
      </c>
      <c r="D860" s="119" t="s">
        <v>238</v>
      </c>
      <c r="E860" s="119" t="s">
        <v>7</v>
      </c>
      <c r="F860" s="119" t="s">
        <v>8</v>
      </c>
      <c r="G860" s="119" t="s">
        <v>9</v>
      </c>
      <c r="H860" s="120">
        <v>0</v>
      </c>
      <c r="I860" s="120">
        <v>0</v>
      </c>
      <c r="J860" s="119">
        <v>0</v>
      </c>
      <c r="K860" s="108" t="str">
        <f t="shared" si="39"/>
        <v>0000000000</v>
      </c>
      <c r="L860" s="303" t="str">
        <f t="shared" si="40"/>
        <v>60908000000000000000</v>
      </c>
      <c r="M860" s="132" t="str">
        <f>INDEX('реш СГД № 265'!$A:$N,MATCH('БА расх 2019-2020'!$L860,'реш СГД № 265'!$N:$N,0),3)</f>
        <v>Культура, кинематография</v>
      </c>
      <c r="N860" s="17">
        <f t="shared" si="41"/>
        <v>1</v>
      </c>
    </row>
    <row r="861" spans="1:14" s="13" customFormat="1" ht="15.75">
      <c r="A861" s="1"/>
      <c r="B861" s="121" t="s">
        <v>239</v>
      </c>
      <c r="C861" s="122" t="s">
        <v>595</v>
      </c>
      <c r="D861" s="123" t="s">
        <v>238</v>
      </c>
      <c r="E861" s="123" t="s">
        <v>11</v>
      </c>
      <c r="F861" s="123" t="s">
        <v>8</v>
      </c>
      <c r="G861" s="123" t="s">
        <v>9</v>
      </c>
      <c r="H861" s="124">
        <v>0</v>
      </c>
      <c r="I861" s="124">
        <v>0</v>
      </c>
      <c r="J861" s="123">
        <v>0</v>
      </c>
      <c r="K861" s="108" t="str">
        <f t="shared" si="39"/>
        <v>0000000000</v>
      </c>
      <c r="L861" s="303" t="str">
        <f t="shared" si="40"/>
        <v>60908010000000000000</v>
      </c>
      <c r="M861" s="132" t="str">
        <f>INDEX('реш СГД № 265'!$A:$N,MATCH('БА расх 2019-2020'!$L861,'реш СГД № 265'!$N:$N,0),3)</f>
        <v>Культура</v>
      </c>
      <c r="N861" s="17">
        <f t="shared" si="41"/>
        <v>1</v>
      </c>
    </row>
    <row r="862" spans="1:14" s="13" customFormat="1" ht="31.5">
      <c r="A862" s="1"/>
      <c r="B862" s="125" t="s">
        <v>240</v>
      </c>
      <c r="C862" s="109" t="s">
        <v>595</v>
      </c>
      <c r="D862" s="108" t="s">
        <v>238</v>
      </c>
      <c r="E862" s="108" t="s">
        <v>11</v>
      </c>
      <c r="F862" s="131" t="s">
        <v>241</v>
      </c>
      <c r="G862" s="108" t="s">
        <v>9</v>
      </c>
      <c r="H862" s="126">
        <v>0</v>
      </c>
      <c r="I862" s="126">
        <v>0</v>
      </c>
      <c r="J862" s="131">
        <v>700000000</v>
      </c>
      <c r="K862" s="108" t="str">
        <f t="shared" si="39"/>
        <v>0700000000</v>
      </c>
      <c r="L862" s="303" t="str">
        <f t="shared" si="40"/>
        <v>60908010700000000000</v>
      </c>
      <c r="M862" s="132" t="str">
        <f>INDEX('реш СГД № 265'!$A:$N,MATCH('БА расх 2019-2020'!$L862,'реш СГД № 265'!$N:$N,0),3)</f>
        <v>Муниципальная программа «Культура города Ставрополя»</v>
      </c>
      <c r="N862" s="17">
        <f t="shared" si="41"/>
        <v>1</v>
      </c>
    </row>
    <row r="863" spans="1:14" s="13" customFormat="1" ht="78.75">
      <c r="A863" s="1"/>
      <c r="B863" s="125" t="s">
        <v>384</v>
      </c>
      <c r="C863" s="109" t="s">
        <v>595</v>
      </c>
      <c r="D863" s="108" t="s">
        <v>238</v>
      </c>
      <c r="E863" s="108" t="s">
        <v>11</v>
      </c>
      <c r="F863" s="131" t="s">
        <v>243</v>
      </c>
      <c r="G863" s="108" t="s">
        <v>9</v>
      </c>
      <c r="H863" s="126">
        <v>0</v>
      </c>
      <c r="I863" s="126">
        <v>0</v>
      </c>
      <c r="J863" s="131">
        <v>710000000</v>
      </c>
      <c r="K863" s="108" t="str">
        <f t="shared" si="39"/>
        <v>0710000000</v>
      </c>
      <c r="L863" s="303" t="str">
        <f t="shared" si="40"/>
        <v>60908010710000000000</v>
      </c>
      <c r="M863" s="132" t="str">
        <f>INDEX('реш СГД № 265'!$A:$N,MATCH('БА расх 2019-2020'!$L863,'реш СГД № 265'!$N:$N,0),3)</f>
        <v>Подпрограмма «Проведение городских и краевых культурно-массовых мероприятий, посвященных памятным, знаменательным и юбилейным датам в истории России, Ставропольского края, города Ставрополя»</v>
      </c>
      <c r="N863" s="17">
        <f t="shared" si="41"/>
        <v>1</v>
      </c>
    </row>
    <row r="864" spans="1:14" s="13" customFormat="1" ht="110.25">
      <c r="A864" s="1"/>
      <c r="B864" s="125" t="s">
        <v>244</v>
      </c>
      <c r="C864" s="109" t="s">
        <v>595</v>
      </c>
      <c r="D864" s="108" t="s">
        <v>238</v>
      </c>
      <c r="E864" s="108" t="s">
        <v>11</v>
      </c>
      <c r="F864" s="131" t="s">
        <v>245</v>
      </c>
      <c r="G864" s="108" t="s">
        <v>9</v>
      </c>
      <c r="H864" s="126">
        <v>0</v>
      </c>
      <c r="I864" s="126">
        <v>0</v>
      </c>
      <c r="J864" s="131">
        <v>710100000</v>
      </c>
      <c r="K864" s="108" t="str">
        <f t="shared" si="39"/>
        <v>0710100000</v>
      </c>
      <c r="L864" s="303" t="str">
        <f t="shared" si="40"/>
        <v>60908010710100000000</v>
      </c>
      <c r="M864" s="132" t="str">
        <f>INDEX('реш СГД № 265'!$A:$N,MATCH('БА расх 2019-2020'!$L864,'реш СГД № 265'!$N:$N,0),3)</f>
        <v>Основное мероприятие «Обеспечение доступности к культурным ценностям и права на участие в культурной жизни для всех групп населения города Ставрополя, популяризация объектов культурного наследия города Ставрополя, формирование имиджа города Ставрополя как культурного центра Ставропольского края»</v>
      </c>
      <c r="N864" s="17">
        <f t="shared" si="41"/>
        <v>1</v>
      </c>
    </row>
    <row r="865" spans="1:14" s="13" customFormat="1" ht="31.5">
      <c r="A865" s="1"/>
      <c r="B865" s="125" t="s">
        <v>246</v>
      </c>
      <c r="C865" s="109" t="s">
        <v>595</v>
      </c>
      <c r="D865" s="108" t="s">
        <v>238</v>
      </c>
      <c r="E865" s="108" t="s">
        <v>11</v>
      </c>
      <c r="F865" s="131" t="s">
        <v>247</v>
      </c>
      <c r="G865" s="108" t="s">
        <v>9</v>
      </c>
      <c r="H865" s="126">
        <v>0</v>
      </c>
      <c r="I865" s="126">
        <v>0</v>
      </c>
      <c r="J865" s="131">
        <v>710120060</v>
      </c>
      <c r="K865" s="108" t="str">
        <f t="shared" si="39"/>
        <v>0710120060</v>
      </c>
      <c r="L865" s="303" t="str">
        <f t="shared" si="40"/>
        <v>60908010710120060000</v>
      </c>
      <c r="M865" s="132" t="str">
        <f>INDEX('реш СГД № 265'!$A:$N,MATCH('БА расх 2019-2020'!$L865,'реш СГД № 265'!$N:$N,0),3)</f>
        <v>Расходы на проведение культурно-массовых мероприятий в городе Ставрополе</v>
      </c>
      <c r="N865" s="17">
        <f t="shared" si="41"/>
        <v>1</v>
      </c>
    </row>
    <row r="866" spans="1:14" s="13" customFormat="1" ht="31.5">
      <c r="A866" s="1"/>
      <c r="B866" s="127" t="s">
        <v>28</v>
      </c>
      <c r="C866" s="109" t="s">
        <v>595</v>
      </c>
      <c r="D866" s="108" t="s">
        <v>238</v>
      </c>
      <c r="E866" s="108" t="s">
        <v>11</v>
      </c>
      <c r="F866" s="131" t="s">
        <v>247</v>
      </c>
      <c r="G866" s="108" t="s">
        <v>29</v>
      </c>
      <c r="H866" s="126">
        <v>0</v>
      </c>
      <c r="I866" s="126">
        <v>0</v>
      </c>
      <c r="J866" s="131">
        <v>710120060</v>
      </c>
      <c r="K866" s="108" t="str">
        <f t="shared" si="39"/>
        <v>0710120060</v>
      </c>
      <c r="L866" s="303" t="str">
        <f t="shared" si="40"/>
        <v>60908010710120060240</v>
      </c>
      <c r="M866" s="132" t="str">
        <f>INDEX('реш СГД № 265'!$A:$N,MATCH('БА расх 2019-2020'!$L866,'реш СГД № 265'!$N:$N,0),3)</f>
        <v>Иные закупки товаров, работ и услуг для обеспечения государственных (муниципальных) нужд</v>
      </c>
      <c r="N866" s="17">
        <f t="shared" si="41"/>
        <v>1</v>
      </c>
    </row>
    <row r="867" spans="1:14" s="13" customFormat="1" ht="15.75">
      <c r="A867" s="1"/>
      <c r="B867" s="125" t="s">
        <v>30</v>
      </c>
      <c r="C867" s="109" t="s">
        <v>595</v>
      </c>
      <c r="D867" s="108" t="s">
        <v>238</v>
      </c>
      <c r="E867" s="108" t="s">
        <v>11</v>
      </c>
      <c r="F867" s="131" t="s">
        <v>247</v>
      </c>
      <c r="G867" s="108" t="s">
        <v>31</v>
      </c>
      <c r="H867" s="126">
        <v>0</v>
      </c>
      <c r="I867" s="126">
        <v>0</v>
      </c>
      <c r="J867" s="131">
        <v>710120060</v>
      </c>
      <c r="K867" s="108" t="str">
        <f t="shared" si="39"/>
        <v>0710120060</v>
      </c>
      <c r="L867" s="303" t="str">
        <f t="shared" si="40"/>
        <v>60908010710120060244</v>
      </c>
      <c r="M867" s="132"/>
      <c r="N867" s="17">
        <f t="shared" si="41"/>
        <v>0</v>
      </c>
    </row>
    <row r="868" spans="1:14" s="17" customFormat="1" ht="15.75">
      <c r="A868" s="14"/>
      <c r="B868" s="117" t="s">
        <v>316</v>
      </c>
      <c r="C868" s="118" t="s">
        <v>595</v>
      </c>
      <c r="D868" s="119" t="s">
        <v>317</v>
      </c>
      <c r="E868" s="119" t="s">
        <v>7</v>
      </c>
      <c r="F868" s="119" t="s">
        <v>8</v>
      </c>
      <c r="G868" s="119" t="s">
        <v>9</v>
      </c>
      <c r="H868" s="120">
        <v>0</v>
      </c>
      <c r="I868" s="120">
        <v>0</v>
      </c>
      <c r="J868" s="119">
        <v>0</v>
      </c>
      <c r="K868" s="108" t="str">
        <f t="shared" si="39"/>
        <v>0000000000</v>
      </c>
      <c r="L868" s="303" t="str">
        <f t="shared" si="40"/>
        <v>60910000000000000000</v>
      </c>
      <c r="M868" s="132" t="str">
        <f>INDEX('реш СГД № 265'!$A:$N,MATCH('БА расх 2019-2020'!$L868,'реш СГД № 265'!$N:$N,0),3)</f>
        <v>Социальная политика</v>
      </c>
      <c r="N868" s="17">
        <f t="shared" si="41"/>
        <v>1</v>
      </c>
    </row>
    <row r="869" spans="1:14" s="17" customFormat="1" ht="15.75">
      <c r="A869" s="14"/>
      <c r="B869" s="121" t="s">
        <v>318</v>
      </c>
      <c r="C869" s="122" t="s">
        <v>595</v>
      </c>
      <c r="D869" s="123" t="s">
        <v>317</v>
      </c>
      <c r="E869" s="123" t="s">
        <v>13</v>
      </c>
      <c r="F869" s="123" t="s">
        <v>8</v>
      </c>
      <c r="G869" s="123" t="s">
        <v>9</v>
      </c>
      <c r="H869" s="124">
        <v>0</v>
      </c>
      <c r="I869" s="124">
        <v>0</v>
      </c>
      <c r="J869" s="123">
        <v>0</v>
      </c>
      <c r="K869" s="108" t="str">
        <f t="shared" si="39"/>
        <v>0000000000</v>
      </c>
      <c r="L869" s="303" t="str">
        <f t="shared" si="40"/>
        <v>60910030000000000000</v>
      </c>
      <c r="M869" s="132" t="str">
        <f>INDEX('реш СГД № 265'!$A:$N,MATCH('БА расх 2019-2020'!$L869,'реш СГД № 265'!$N:$N,0),3)</f>
        <v>Социальное обеспечение населения</v>
      </c>
      <c r="N869" s="17">
        <f t="shared" si="41"/>
        <v>1</v>
      </c>
    </row>
    <row r="870" spans="1:14" s="17" customFormat="1" ht="31.5">
      <c r="A870" s="14"/>
      <c r="B870" s="135" t="s">
        <v>385</v>
      </c>
      <c r="C870" s="109" t="s">
        <v>595</v>
      </c>
      <c r="D870" s="108" t="s">
        <v>317</v>
      </c>
      <c r="E870" s="108" t="s">
        <v>13</v>
      </c>
      <c r="F870" s="108" t="s">
        <v>386</v>
      </c>
      <c r="G870" s="108" t="s">
        <v>9</v>
      </c>
      <c r="H870" s="126">
        <v>0</v>
      </c>
      <c r="I870" s="126">
        <v>0</v>
      </c>
      <c r="J870" s="108">
        <v>300000000</v>
      </c>
      <c r="K870" s="108" t="str">
        <f t="shared" si="39"/>
        <v>0300000000</v>
      </c>
      <c r="L870" s="303" t="str">
        <f t="shared" si="40"/>
        <v>60910030300000000000</v>
      </c>
      <c r="M870" s="132" t="str">
        <f>INDEX('реш СГД № 265'!$A:$N,MATCH('БА расх 2019-2020'!$L870,'реш СГД № 265'!$N:$N,0),3)</f>
        <v>Муниципальная программа «Социальная поддержка населения города Ставрополя»</v>
      </c>
      <c r="N870" s="17">
        <f t="shared" si="41"/>
        <v>1</v>
      </c>
    </row>
    <row r="871" spans="1:14" s="17" customFormat="1" ht="47.25">
      <c r="A871" s="14"/>
      <c r="B871" s="147" t="s">
        <v>596</v>
      </c>
      <c r="C871" s="109" t="s">
        <v>595</v>
      </c>
      <c r="D871" s="108" t="s">
        <v>317</v>
      </c>
      <c r="E871" s="108" t="s">
        <v>13</v>
      </c>
      <c r="F871" s="108" t="s">
        <v>597</v>
      </c>
      <c r="G871" s="108" t="s">
        <v>9</v>
      </c>
      <c r="H871" s="126">
        <v>0</v>
      </c>
      <c r="I871" s="126">
        <v>0</v>
      </c>
      <c r="J871" s="108">
        <v>310000000</v>
      </c>
      <c r="K871" s="108" t="str">
        <f t="shared" si="39"/>
        <v>0310000000</v>
      </c>
      <c r="L871" s="303" t="str">
        <f t="shared" si="40"/>
        <v>60910030310000000000</v>
      </c>
      <c r="M871" s="132" t="str">
        <f>INDEX('реш СГД № 265'!$A:$N,MATCH('БА расх 2019-2020'!$L871,'реш СГД № 265'!$N:$N,0),3)</f>
        <v>Подпрограмма «Осуществление отдельных государственных полномочий в области социальной поддержки отдельных категорий граждан»</v>
      </c>
      <c r="N871" s="17">
        <f t="shared" si="41"/>
        <v>1</v>
      </c>
    </row>
    <row r="872" spans="1:14" s="17" customFormat="1" ht="47.25">
      <c r="A872" s="14" t="s">
        <v>598</v>
      </c>
      <c r="B872" s="148" t="s">
        <v>599</v>
      </c>
      <c r="C872" s="109" t="s">
        <v>595</v>
      </c>
      <c r="D872" s="108" t="s">
        <v>317</v>
      </c>
      <c r="E872" s="108" t="s">
        <v>13</v>
      </c>
      <c r="F872" s="108" t="s">
        <v>600</v>
      </c>
      <c r="G872" s="108" t="s">
        <v>9</v>
      </c>
      <c r="H872" s="126">
        <v>0</v>
      </c>
      <c r="I872" s="126">
        <v>0</v>
      </c>
      <c r="J872" s="108">
        <v>310100000</v>
      </c>
      <c r="K872" s="108" t="str">
        <f t="shared" si="39"/>
        <v>0310100000</v>
      </c>
      <c r="L872" s="303" t="str">
        <f t="shared" si="40"/>
        <v>60910030310100000000</v>
      </c>
      <c r="M872" s="132" t="str">
        <f>INDEX('реш СГД № 265'!$A:$N,MATCH('БА расх 2019-2020'!$L872,'реш СГД № 265'!$N:$N,0),3)</f>
        <v>Основное мероприятие «Предоставление мер социальной поддержки отдельным категориям граждан»</v>
      </c>
      <c r="N872" s="17">
        <f t="shared" si="41"/>
        <v>1</v>
      </c>
    </row>
    <row r="873" spans="1:14" s="17" customFormat="1" ht="31.5">
      <c r="A873" s="14"/>
      <c r="B873" s="135" t="s">
        <v>601</v>
      </c>
      <c r="C873" s="109" t="s">
        <v>595</v>
      </c>
      <c r="D873" s="108" t="s">
        <v>317</v>
      </c>
      <c r="E873" s="108" t="s">
        <v>13</v>
      </c>
      <c r="F873" s="108" t="s">
        <v>602</v>
      </c>
      <c r="G873" s="108" t="s">
        <v>9</v>
      </c>
      <c r="H873" s="126">
        <v>0</v>
      </c>
      <c r="I873" s="126">
        <v>0</v>
      </c>
      <c r="J873" s="108">
        <v>310152200</v>
      </c>
      <c r="K873" s="108" t="str">
        <f t="shared" si="39"/>
        <v>0310152200</v>
      </c>
      <c r="L873" s="303" t="str">
        <f t="shared" si="40"/>
        <v>60910030310152200000</v>
      </c>
      <c r="M873" s="132" t="str">
        <f>INDEX('реш СГД № 265'!$A:$N,MATCH('БА расх 2019-2020'!$L873,'реш СГД № 265'!$N:$N,0),3)</f>
        <v>Ежегодная денежная выплата лицам, награжденным нагрудным знаком «Почетный донор России»</v>
      </c>
      <c r="N873" s="17">
        <f t="shared" si="41"/>
        <v>1</v>
      </c>
    </row>
    <row r="874" spans="1:14" s="17" customFormat="1" ht="31.5">
      <c r="A874" s="14"/>
      <c r="B874" s="125" t="s">
        <v>28</v>
      </c>
      <c r="C874" s="109" t="s">
        <v>595</v>
      </c>
      <c r="D874" s="108" t="s">
        <v>317</v>
      </c>
      <c r="E874" s="108" t="s">
        <v>13</v>
      </c>
      <c r="F874" s="108" t="s">
        <v>602</v>
      </c>
      <c r="G874" s="108" t="s">
        <v>29</v>
      </c>
      <c r="H874" s="126">
        <v>0</v>
      </c>
      <c r="I874" s="126">
        <v>0</v>
      </c>
      <c r="J874" s="108">
        <v>310152200</v>
      </c>
      <c r="K874" s="108" t="str">
        <f t="shared" si="39"/>
        <v>0310152200</v>
      </c>
      <c r="L874" s="303" t="str">
        <f t="shared" si="40"/>
        <v>60910030310152200240</v>
      </c>
      <c r="M874" s="132" t="str">
        <f>INDEX('реш СГД № 265'!$A:$N,MATCH('БА расх 2019-2020'!$L874,'реш СГД № 265'!$N:$N,0),3)</f>
        <v>Иные закупки товаров, работ и услуг для обеспечения государственных (муниципальных) нужд</v>
      </c>
      <c r="N874" s="17">
        <f t="shared" si="41"/>
        <v>1</v>
      </c>
    </row>
    <row r="875" spans="1:14" s="17" customFormat="1" ht="15.75">
      <c r="A875" s="14"/>
      <c r="B875" s="125" t="s">
        <v>30</v>
      </c>
      <c r="C875" s="109" t="s">
        <v>595</v>
      </c>
      <c r="D875" s="108" t="s">
        <v>317</v>
      </c>
      <c r="E875" s="108" t="s">
        <v>13</v>
      </c>
      <c r="F875" s="108" t="s">
        <v>602</v>
      </c>
      <c r="G875" s="108" t="s">
        <v>31</v>
      </c>
      <c r="H875" s="126">
        <v>0</v>
      </c>
      <c r="I875" s="126">
        <v>0</v>
      </c>
      <c r="J875" s="108">
        <v>310152200</v>
      </c>
      <c r="K875" s="108" t="str">
        <f t="shared" si="39"/>
        <v>0310152200</v>
      </c>
      <c r="L875" s="303" t="str">
        <f t="shared" si="40"/>
        <v>60910030310152200244</v>
      </c>
      <c r="M875" s="132"/>
      <c r="N875" s="17">
        <f t="shared" si="41"/>
        <v>0</v>
      </c>
    </row>
    <row r="876" spans="1:14" s="17" customFormat="1" ht="31.5">
      <c r="A876" s="14"/>
      <c r="B876" s="132" t="s">
        <v>493</v>
      </c>
      <c r="C876" s="109" t="s">
        <v>595</v>
      </c>
      <c r="D876" s="108" t="s">
        <v>317</v>
      </c>
      <c r="E876" s="108" t="s">
        <v>13</v>
      </c>
      <c r="F876" s="108" t="s">
        <v>602</v>
      </c>
      <c r="G876" s="108" t="s">
        <v>494</v>
      </c>
      <c r="H876" s="126">
        <v>0</v>
      </c>
      <c r="I876" s="126">
        <v>0</v>
      </c>
      <c r="J876" s="108">
        <v>310152200</v>
      </c>
      <c r="K876" s="108" t="str">
        <f t="shared" si="39"/>
        <v>0310152200</v>
      </c>
      <c r="L876" s="303" t="str">
        <f t="shared" si="40"/>
        <v>60910030310152200310</v>
      </c>
      <c r="M876" s="132" t="str">
        <f>INDEX('реш СГД № 265'!$A:$N,MATCH('БА расх 2019-2020'!$L876,'реш СГД № 265'!$N:$N,0),3)</f>
        <v>Публичные нормативные социальные выплаты гражданам</v>
      </c>
      <c r="N876" s="17">
        <f t="shared" si="41"/>
        <v>1</v>
      </c>
    </row>
    <row r="877" spans="1:14" s="24" customFormat="1" ht="31.5">
      <c r="A877" s="21"/>
      <c r="B877" s="127" t="s">
        <v>495</v>
      </c>
      <c r="C877" s="109" t="s">
        <v>595</v>
      </c>
      <c r="D877" s="108" t="s">
        <v>317</v>
      </c>
      <c r="E877" s="108" t="s">
        <v>13</v>
      </c>
      <c r="F877" s="108" t="s">
        <v>602</v>
      </c>
      <c r="G877" s="108" t="s">
        <v>496</v>
      </c>
      <c r="H877" s="126">
        <v>0</v>
      </c>
      <c r="I877" s="126">
        <v>0</v>
      </c>
      <c r="J877" s="108">
        <v>310152200</v>
      </c>
      <c r="K877" s="108" t="str">
        <f t="shared" si="39"/>
        <v>0310152200</v>
      </c>
      <c r="L877" s="303" t="str">
        <f t="shared" si="40"/>
        <v>60910030310152200313</v>
      </c>
      <c r="M877" s="132"/>
      <c r="N877" s="17">
        <f t="shared" si="41"/>
        <v>0</v>
      </c>
    </row>
    <row r="878" spans="1:14" s="17" customFormat="1" ht="47.25">
      <c r="A878" s="14"/>
      <c r="B878" s="135" t="s">
        <v>603</v>
      </c>
      <c r="C878" s="109" t="s">
        <v>595</v>
      </c>
      <c r="D878" s="108" t="s">
        <v>317</v>
      </c>
      <c r="E878" s="108" t="s">
        <v>13</v>
      </c>
      <c r="F878" s="108" t="s">
        <v>604</v>
      </c>
      <c r="G878" s="108" t="s">
        <v>9</v>
      </c>
      <c r="H878" s="126">
        <v>0</v>
      </c>
      <c r="I878" s="126">
        <v>0</v>
      </c>
      <c r="J878" s="108">
        <v>310152500</v>
      </c>
      <c r="K878" s="108" t="str">
        <f t="shared" si="39"/>
        <v>0310152500</v>
      </c>
      <c r="L878" s="303" t="str">
        <f t="shared" si="40"/>
        <v>60910030310152500000</v>
      </c>
      <c r="M878" s="132" t="str">
        <f>INDEX('реш СГД № 265'!$A:$N,MATCH('БА расх 2019-2020'!$L878,'реш СГД № 265'!$N:$N,0),3)</f>
        <v xml:space="preserve">Выплата компенсации расходов на оплату жилых помещений и коммунальных услуг отдельным категориям граждан </v>
      </c>
      <c r="N878" s="17">
        <f t="shared" si="41"/>
        <v>1</v>
      </c>
    </row>
    <row r="879" spans="1:14" s="17" customFormat="1" ht="31.5">
      <c r="A879" s="14"/>
      <c r="B879" s="125" t="s">
        <v>28</v>
      </c>
      <c r="C879" s="109" t="s">
        <v>595</v>
      </c>
      <c r="D879" s="108" t="s">
        <v>317</v>
      </c>
      <c r="E879" s="108" t="s">
        <v>13</v>
      </c>
      <c r="F879" s="108" t="s">
        <v>604</v>
      </c>
      <c r="G879" s="108" t="s">
        <v>29</v>
      </c>
      <c r="H879" s="126">
        <v>0</v>
      </c>
      <c r="I879" s="126">
        <v>0</v>
      </c>
      <c r="J879" s="108">
        <v>310152500</v>
      </c>
      <c r="K879" s="108" t="str">
        <f t="shared" si="39"/>
        <v>0310152500</v>
      </c>
      <c r="L879" s="303" t="str">
        <f t="shared" si="40"/>
        <v>60910030310152500240</v>
      </c>
      <c r="M879" s="132" t="str">
        <f>INDEX('реш СГД № 265'!$A:$N,MATCH('БА расх 2019-2020'!$L879,'реш СГД № 265'!$N:$N,0),3)</f>
        <v>Иные закупки товаров, работ и услуг для обеспечения государственных (муниципальных) нужд</v>
      </c>
      <c r="N879" s="17">
        <f t="shared" si="41"/>
        <v>1</v>
      </c>
    </row>
    <row r="880" spans="1:14" s="17" customFormat="1" ht="15.75">
      <c r="A880" s="14"/>
      <c r="B880" s="125" t="s">
        <v>30</v>
      </c>
      <c r="C880" s="109" t="s">
        <v>595</v>
      </c>
      <c r="D880" s="108" t="s">
        <v>317</v>
      </c>
      <c r="E880" s="108" t="s">
        <v>13</v>
      </c>
      <c r="F880" s="108" t="s">
        <v>604</v>
      </c>
      <c r="G880" s="108" t="s">
        <v>31</v>
      </c>
      <c r="H880" s="126">
        <v>0</v>
      </c>
      <c r="I880" s="126">
        <v>0</v>
      </c>
      <c r="J880" s="108">
        <v>310152500</v>
      </c>
      <c r="K880" s="108" t="str">
        <f t="shared" si="39"/>
        <v>0310152500</v>
      </c>
      <c r="L880" s="303" t="str">
        <f t="shared" si="40"/>
        <v>60910030310152500244</v>
      </c>
      <c r="M880" s="132"/>
      <c r="N880" s="17">
        <f t="shared" si="41"/>
        <v>0</v>
      </c>
    </row>
    <row r="881" spans="1:14" s="17" customFormat="1" ht="31.5">
      <c r="A881" s="14"/>
      <c r="B881" s="132" t="s">
        <v>493</v>
      </c>
      <c r="C881" s="109" t="s">
        <v>595</v>
      </c>
      <c r="D881" s="108" t="s">
        <v>317</v>
      </c>
      <c r="E881" s="108" t="s">
        <v>13</v>
      </c>
      <c r="F881" s="108" t="s">
        <v>604</v>
      </c>
      <c r="G881" s="108" t="s">
        <v>494</v>
      </c>
      <c r="H881" s="126">
        <v>0</v>
      </c>
      <c r="I881" s="126">
        <v>0</v>
      </c>
      <c r="J881" s="108">
        <v>310152500</v>
      </c>
      <c r="K881" s="108" t="str">
        <f t="shared" si="39"/>
        <v>0310152500</v>
      </c>
      <c r="L881" s="303" t="str">
        <f t="shared" si="40"/>
        <v>60910030310152500310</v>
      </c>
      <c r="M881" s="132" t="str">
        <f>INDEX('реш СГД № 265'!$A:$N,MATCH('БА расх 2019-2020'!$L881,'реш СГД № 265'!$N:$N,0),3)</f>
        <v>Публичные нормативные социальные выплаты гражданам</v>
      </c>
      <c r="N881" s="17">
        <f t="shared" si="41"/>
        <v>1</v>
      </c>
    </row>
    <row r="882" spans="1:14" s="17" customFormat="1" ht="31.5">
      <c r="A882" s="14"/>
      <c r="B882" s="127" t="s">
        <v>495</v>
      </c>
      <c r="C882" s="109" t="s">
        <v>595</v>
      </c>
      <c r="D882" s="108" t="s">
        <v>317</v>
      </c>
      <c r="E882" s="108" t="s">
        <v>13</v>
      </c>
      <c r="F882" s="108" t="s">
        <v>604</v>
      </c>
      <c r="G882" s="108" t="s">
        <v>496</v>
      </c>
      <c r="H882" s="126">
        <v>0</v>
      </c>
      <c r="I882" s="126">
        <v>0</v>
      </c>
      <c r="J882" s="108">
        <v>310152500</v>
      </c>
      <c r="K882" s="108" t="str">
        <f t="shared" si="39"/>
        <v>0310152500</v>
      </c>
      <c r="L882" s="303" t="str">
        <f t="shared" si="40"/>
        <v>60910030310152500313</v>
      </c>
      <c r="M882" s="132"/>
      <c r="N882" s="17">
        <f t="shared" si="41"/>
        <v>0</v>
      </c>
    </row>
    <row r="883" spans="1:14" s="17" customFormat="1" ht="173.25">
      <c r="A883" s="14"/>
      <c r="B883" s="427" t="s">
        <v>605</v>
      </c>
      <c r="C883" s="109" t="s">
        <v>595</v>
      </c>
      <c r="D883" s="108" t="s">
        <v>317</v>
      </c>
      <c r="E883" s="108" t="s">
        <v>13</v>
      </c>
      <c r="F883" s="108" t="s">
        <v>606</v>
      </c>
      <c r="G883" s="108" t="s">
        <v>9</v>
      </c>
      <c r="H883" s="126">
        <v>0</v>
      </c>
      <c r="I883" s="126">
        <v>0</v>
      </c>
      <c r="J883" s="108">
        <v>310152800</v>
      </c>
      <c r="K883" s="108" t="str">
        <f t="shared" si="39"/>
        <v>0310152800</v>
      </c>
      <c r="L883" s="303" t="str">
        <f t="shared" si="40"/>
        <v>60910030310152800000</v>
      </c>
      <c r="M883" s="132" t="str">
        <f>INDEX('реш СГД № 265'!$A:$N,MATCH('БА расх 2019-2020'!$L883,'реш СГД № 265'!$N:$N,0),3)</f>
        <v>Выплата компенсации страховых премий по договору обязательного страхования гражданской ответственности владельцев транспортных средств в соответствии с Федеральным законом от 25 апреля 2002 года № 40-ФЗ «Об обязательном страховании гражданской ответственности владельцев транспортных средств» инвалидам (в том числе детям-инвалидам), имеющим транспортные средства в соответствии с медицинскими показаниями, или их законным представителям за счет средств федерального бюджета</v>
      </c>
      <c r="N883" s="17">
        <f t="shared" si="41"/>
        <v>1</v>
      </c>
    </row>
    <row r="884" spans="1:14" s="17" customFormat="1" ht="31.5">
      <c r="A884" s="14"/>
      <c r="B884" s="125" t="s">
        <v>28</v>
      </c>
      <c r="C884" s="109" t="s">
        <v>595</v>
      </c>
      <c r="D884" s="108" t="s">
        <v>317</v>
      </c>
      <c r="E884" s="108" t="s">
        <v>13</v>
      </c>
      <c r="F884" s="108" t="s">
        <v>606</v>
      </c>
      <c r="G884" s="108" t="s">
        <v>29</v>
      </c>
      <c r="H884" s="126">
        <v>0</v>
      </c>
      <c r="I884" s="126">
        <v>0</v>
      </c>
      <c r="J884" s="108">
        <v>310152800</v>
      </c>
      <c r="K884" s="108" t="str">
        <f t="shared" si="39"/>
        <v>0310152800</v>
      </c>
      <c r="L884" s="303" t="str">
        <f t="shared" si="40"/>
        <v>60910030310152800240</v>
      </c>
      <c r="M884" s="132" t="str">
        <f>INDEX('реш СГД № 265'!$A:$N,MATCH('БА расх 2019-2020'!$L884,'реш СГД № 265'!$N:$N,0),3)</f>
        <v>Иные закупки товаров, работ и услуг для обеспечения государственных (муниципальных) нужд</v>
      </c>
      <c r="N884" s="17">
        <f t="shared" si="41"/>
        <v>1</v>
      </c>
    </row>
    <row r="885" spans="1:14" s="17" customFormat="1" ht="15.75">
      <c r="A885" s="14"/>
      <c r="B885" s="125" t="s">
        <v>30</v>
      </c>
      <c r="C885" s="109" t="s">
        <v>595</v>
      </c>
      <c r="D885" s="108" t="s">
        <v>317</v>
      </c>
      <c r="E885" s="108" t="s">
        <v>13</v>
      </c>
      <c r="F885" s="108" t="s">
        <v>606</v>
      </c>
      <c r="G885" s="108" t="s">
        <v>31</v>
      </c>
      <c r="H885" s="126">
        <v>0</v>
      </c>
      <c r="I885" s="126">
        <v>0</v>
      </c>
      <c r="J885" s="108">
        <v>310152800</v>
      </c>
      <c r="K885" s="108" t="str">
        <f t="shared" si="39"/>
        <v>0310152800</v>
      </c>
      <c r="L885" s="303" t="str">
        <f t="shared" si="40"/>
        <v>60910030310152800244</v>
      </c>
      <c r="M885" s="132"/>
      <c r="N885" s="17">
        <f t="shared" si="41"/>
        <v>0</v>
      </c>
    </row>
    <row r="886" spans="1:14" s="17" customFormat="1" ht="31.5">
      <c r="A886" s="14"/>
      <c r="B886" s="132" t="s">
        <v>493</v>
      </c>
      <c r="C886" s="109" t="s">
        <v>595</v>
      </c>
      <c r="D886" s="108" t="s">
        <v>317</v>
      </c>
      <c r="E886" s="108" t="s">
        <v>13</v>
      </c>
      <c r="F886" s="108" t="s">
        <v>606</v>
      </c>
      <c r="G886" s="108" t="s">
        <v>494</v>
      </c>
      <c r="H886" s="126">
        <v>0</v>
      </c>
      <c r="I886" s="126">
        <v>0</v>
      </c>
      <c r="J886" s="108">
        <v>310152800</v>
      </c>
      <c r="K886" s="108" t="str">
        <f t="shared" si="39"/>
        <v>0310152800</v>
      </c>
      <c r="L886" s="303" t="str">
        <f t="shared" si="40"/>
        <v>60910030310152800310</v>
      </c>
      <c r="M886" s="132" t="str">
        <f>INDEX('реш СГД № 265'!$A:$N,MATCH('БА расх 2019-2020'!$L886,'реш СГД № 265'!$N:$N,0),3)</f>
        <v>Публичные нормативные социальные выплаты гражданам</v>
      </c>
      <c r="N886" s="17">
        <f t="shared" si="41"/>
        <v>1</v>
      </c>
    </row>
    <row r="887" spans="1:14" s="17" customFormat="1" ht="31.5">
      <c r="A887" s="14"/>
      <c r="B887" s="127" t="s">
        <v>495</v>
      </c>
      <c r="C887" s="109" t="s">
        <v>595</v>
      </c>
      <c r="D887" s="108" t="s">
        <v>317</v>
      </c>
      <c r="E887" s="108" t="s">
        <v>13</v>
      </c>
      <c r="F887" s="108" t="s">
        <v>606</v>
      </c>
      <c r="G887" s="108" t="s">
        <v>496</v>
      </c>
      <c r="H887" s="126">
        <v>0</v>
      </c>
      <c r="I887" s="126">
        <v>0</v>
      </c>
      <c r="J887" s="108">
        <v>310152800</v>
      </c>
      <c r="K887" s="108" t="str">
        <f t="shared" si="39"/>
        <v>0310152800</v>
      </c>
      <c r="L887" s="303" t="str">
        <f t="shared" si="40"/>
        <v>60910030310152800313</v>
      </c>
      <c r="M887" s="132"/>
      <c r="N887" s="17">
        <f t="shared" si="41"/>
        <v>0</v>
      </c>
    </row>
    <row r="888" spans="1:14" s="17" customFormat="1" ht="47.25">
      <c r="A888" s="14"/>
      <c r="B888" s="149" t="s">
        <v>607</v>
      </c>
      <c r="C888" s="109" t="s">
        <v>595</v>
      </c>
      <c r="D888" s="108" t="s">
        <v>317</v>
      </c>
      <c r="E888" s="108" t="s">
        <v>13</v>
      </c>
      <c r="F888" s="108" t="s">
        <v>608</v>
      </c>
      <c r="G888" s="108" t="s">
        <v>9</v>
      </c>
      <c r="H888" s="126">
        <v>0</v>
      </c>
      <c r="I888" s="126">
        <v>0</v>
      </c>
      <c r="J888" s="108">
        <v>310176240</v>
      </c>
      <c r="K888" s="108" t="str">
        <f t="shared" si="39"/>
        <v>0310176240</v>
      </c>
      <c r="L888" s="303" t="str">
        <f t="shared" si="40"/>
        <v>60910030310176240000</v>
      </c>
      <c r="M888" s="132" t="str">
        <f>INDEX('реш СГД № 265'!$A:$N,MATCH('БА расх 2019-2020'!$L888,'реш СГД № 265'!$N:$N,0),3)</f>
        <v>Оказание государственной социальной помощи малоимущим семьям и малоимущим одиноко проживающим гражданам</v>
      </c>
      <c r="N888" s="17">
        <f t="shared" si="41"/>
        <v>1</v>
      </c>
    </row>
    <row r="889" spans="1:14" s="17" customFormat="1" ht="31.5">
      <c r="A889" s="14"/>
      <c r="B889" s="132" t="s">
        <v>493</v>
      </c>
      <c r="C889" s="109" t="s">
        <v>595</v>
      </c>
      <c r="D889" s="108" t="s">
        <v>317</v>
      </c>
      <c r="E889" s="108" t="s">
        <v>13</v>
      </c>
      <c r="F889" s="108" t="s">
        <v>608</v>
      </c>
      <c r="G889" s="108" t="s">
        <v>494</v>
      </c>
      <c r="H889" s="126">
        <v>0</v>
      </c>
      <c r="I889" s="126">
        <v>0</v>
      </c>
      <c r="J889" s="108">
        <v>310176240</v>
      </c>
      <c r="K889" s="108" t="str">
        <f t="shared" si="39"/>
        <v>0310176240</v>
      </c>
      <c r="L889" s="303" t="str">
        <f t="shared" si="40"/>
        <v>60910030310176240310</v>
      </c>
      <c r="M889" s="132" t="str">
        <f>INDEX('реш СГД № 265'!$A:$N,MATCH('БА расх 2019-2020'!$L889,'реш СГД № 265'!$N:$N,0),3)</f>
        <v>Публичные нормативные социальные выплаты гражданам</v>
      </c>
      <c r="N889" s="17">
        <f t="shared" si="41"/>
        <v>1</v>
      </c>
    </row>
    <row r="890" spans="1:14" s="17" customFormat="1" ht="31.5">
      <c r="A890" s="14"/>
      <c r="B890" s="127" t="s">
        <v>495</v>
      </c>
      <c r="C890" s="109" t="s">
        <v>595</v>
      </c>
      <c r="D890" s="108" t="s">
        <v>317</v>
      </c>
      <c r="E890" s="108" t="s">
        <v>13</v>
      </c>
      <c r="F890" s="108" t="s">
        <v>608</v>
      </c>
      <c r="G890" s="108" t="s">
        <v>496</v>
      </c>
      <c r="H890" s="126">
        <v>0</v>
      </c>
      <c r="I890" s="126">
        <v>0</v>
      </c>
      <c r="J890" s="108">
        <v>310176240</v>
      </c>
      <c r="K890" s="108" t="str">
        <f t="shared" si="39"/>
        <v>0310176240</v>
      </c>
      <c r="L890" s="303" t="str">
        <f t="shared" si="40"/>
        <v>60910030310176240313</v>
      </c>
      <c r="M890" s="132"/>
      <c r="N890" s="17">
        <f t="shared" si="41"/>
        <v>0</v>
      </c>
    </row>
    <row r="891" spans="1:14" s="17" customFormat="1" ht="63">
      <c r="A891" s="14"/>
      <c r="B891" s="132" t="s">
        <v>609</v>
      </c>
      <c r="C891" s="109" t="s">
        <v>595</v>
      </c>
      <c r="D891" s="108" t="s">
        <v>317</v>
      </c>
      <c r="E891" s="108" t="s">
        <v>13</v>
      </c>
      <c r="F891" s="108" t="s">
        <v>1164</v>
      </c>
      <c r="G891" s="108" t="s">
        <v>9</v>
      </c>
      <c r="H891" s="126">
        <v>0</v>
      </c>
      <c r="I891" s="126">
        <v>0</v>
      </c>
      <c r="J891" s="108">
        <v>310177220</v>
      </c>
      <c r="K891" s="108" t="str">
        <f t="shared" si="39"/>
        <v>0310177220</v>
      </c>
      <c r="L891" s="303" t="str">
        <f t="shared" si="40"/>
        <v>60910030310177220000</v>
      </c>
      <c r="M891" s="132" t="str">
        <f>INDEX('реш СГД № 265'!$A:$N,MATCH('БА расх 2019-2020'!$L891,'реш СГД № 265'!$N:$N,0),3)</f>
        <v>Компенсация отдельным категориям граждан оплаты взноса на капитальный ремонт общего имущества в многоквартирном доме за счет средств краевого бюджета</v>
      </c>
      <c r="N891" s="17">
        <f t="shared" si="41"/>
        <v>1</v>
      </c>
    </row>
    <row r="892" spans="1:14" s="17" customFormat="1" ht="31.5">
      <c r="A892" s="14"/>
      <c r="B892" s="132" t="s">
        <v>28</v>
      </c>
      <c r="C892" s="109" t="s">
        <v>595</v>
      </c>
      <c r="D892" s="108" t="s">
        <v>317</v>
      </c>
      <c r="E892" s="108" t="s">
        <v>13</v>
      </c>
      <c r="F892" s="108" t="s">
        <v>1164</v>
      </c>
      <c r="G892" s="108" t="s">
        <v>29</v>
      </c>
      <c r="H892" s="126">
        <v>0</v>
      </c>
      <c r="I892" s="126">
        <v>0</v>
      </c>
      <c r="J892" s="108">
        <v>310177220</v>
      </c>
      <c r="K892" s="108" t="str">
        <f t="shared" si="39"/>
        <v>0310177220</v>
      </c>
      <c r="L892" s="303" t="str">
        <f t="shared" si="40"/>
        <v>60910030310177220240</v>
      </c>
      <c r="M892" s="132" t="str">
        <f>INDEX('реш СГД № 265'!$A:$N,MATCH('БА расх 2019-2020'!$L892,'реш СГД № 265'!$N:$N,0),3)</f>
        <v>Иные закупки товаров, работ и услуг для обеспечения государственных (муниципальных) нужд</v>
      </c>
      <c r="N892" s="17">
        <f t="shared" si="41"/>
        <v>1</v>
      </c>
    </row>
    <row r="893" spans="1:14" s="17" customFormat="1" ht="15.75">
      <c r="A893" s="14"/>
      <c r="B893" s="125" t="s">
        <v>30</v>
      </c>
      <c r="C893" s="109" t="s">
        <v>595</v>
      </c>
      <c r="D893" s="108" t="s">
        <v>317</v>
      </c>
      <c r="E893" s="108" t="s">
        <v>13</v>
      </c>
      <c r="F893" s="108" t="s">
        <v>1164</v>
      </c>
      <c r="G893" s="108" t="s">
        <v>31</v>
      </c>
      <c r="H893" s="126">
        <v>0</v>
      </c>
      <c r="I893" s="126">
        <v>0</v>
      </c>
      <c r="J893" s="108">
        <v>310177220</v>
      </c>
      <c r="K893" s="108" t="str">
        <f t="shared" si="39"/>
        <v>0310177220</v>
      </c>
      <c r="L893" s="303" t="str">
        <f t="shared" si="40"/>
        <v>60910030310177220244</v>
      </c>
      <c r="M893" s="132"/>
      <c r="N893" s="17">
        <f t="shared" si="41"/>
        <v>0</v>
      </c>
    </row>
    <row r="894" spans="1:14" s="17" customFormat="1" ht="31.5">
      <c r="A894" s="14"/>
      <c r="B894" s="132" t="s">
        <v>493</v>
      </c>
      <c r="C894" s="109" t="s">
        <v>595</v>
      </c>
      <c r="D894" s="108" t="s">
        <v>317</v>
      </c>
      <c r="E894" s="108" t="s">
        <v>13</v>
      </c>
      <c r="F894" s="108" t="s">
        <v>1164</v>
      </c>
      <c r="G894" s="108" t="s">
        <v>494</v>
      </c>
      <c r="H894" s="126">
        <v>0</v>
      </c>
      <c r="I894" s="126">
        <v>0</v>
      </c>
      <c r="J894" s="108">
        <v>310177220</v>
      </c>
      <c r="K894" s="108" t="str">
        <f t="shared" si="39"/>
        <v>0310177220</v>
      </c>
      <c r="L894" s="303" t="str">
        <f t="shared" si="40"/>
        <v>60910030310177220310</v>
      </c>
      <c r="M894" s="132" t="str">
        <f>INDEX('реш СГД № 265'!$A:$N,MATCH('БА расх 2019-2020'!$L894,'реш СГД № 265'!$N:$N,0),3)</f>
        <v>Публичные нормативные социальные выплаты гражданам</v>
      </c>
      <c r="N894" s="17">
        <f t="shared" si="41"/>
        <v>1</v>
      </c>
    </row>
    <row r="895" spans="1:14" s="17" customFormat="1" ht="31.5">
      <c r="A895" s="14"/>
      <c r="B895" s="127" t="s">
        <v>495</v>
      </c>
      <c r="C895" s="109" t="s">
        <v>595</v>
      </c>
      <c r="D895" s="108" t="s">
        <v>317</v>
      </c>
      <c r="E895" s="108" t="s">
        <v>13</v>
      </c>
      <c r="F895" s="108" t="s">
        <v>1164</v>
      </c>
      <c r="G895" s="108" t="s">
        <v>496</v>
      </c>
      <c r="H895" s="126">
        <v>0</v>
      </c>
      <c r="I895" s="126">
        <v>0</v>
      </c>
      <c r="J895" s="108">
        <v>310177220</v>
      </c>
      <c r="K895" s="108" t="str">
        <f t="shared" si="39"/>
        <v>0310177220</v>
      </c>
      <c r="L895" s="303" t="str">
        <f t="shared" si="40"/>
        <v>60910030310177220313</v>
      </c>
      <c r="M895" s="132"/>
      <c r="N895" s="17">
        <f t="shared" si="41"/>
        <v>0</v>
      </c>
    </row>
    <row r="896" spans="1:14" s="17" customFormat="1" ht="126">
      <c r="A896" s="14"/>
      <c r="B896" s="149" t="s">
        <v>611</v>
      </c>
      <c r="C896" s="109" t="s">
        <v>595</v>
      </c>
      <c r="D896" s="108" t="s">
        <v>317</v>
      </c>
      <c r="E896" s="108" t="s">
        <v>13</v>
      </c>
      <c r="F896" s="108" t="s">
        <v>612</v>
      </c>
      <c r="G896" s="108" t="s">
        <v>9</v>
      </c>
      <c r="H896" s="126">
        <v>0</v>
      </c>
      <c r="I896" s="126">
        <v>0</v>
      </c>
      <c r="J896" s="108">
        <v>310178210</v>
      </c>
      <c r="K896" s="108" t="str">
        <f t="shared" si="39"/>
        <v>0310178210</v>
      </c>
      <c r="L896" s="303" t="str">
        <f t="shared" si="40"/>
        <v>60910030310178210000</v>
      </c>
      <c r="M896" s="132" t="str">
        <f>INDEX('реш СГД № 265'!$A:$N,MATCH('БА расх 2019-2020'!$L896,'реш СГД № 265'!$N:$N,0),3)</f>
        <v>Ежемесячные денежные выплаты ветеранам труда и лицам, проработавшим в тылу в период с 22 июня 1941 года по 9 мая 1945 года не менее шести месяцев, исключая период работы на временно оккупированных территориях СССР, либо награжденным орденами или медалями СССР за самоотверженный труд в период Великой Отечественной войны</v>
      </c>
      <c r="N896" s="17">
        <f t="shared" si="41"/>
        <v>1</v>
      </c>
    </row>
    <row r="897" spans="1:14" s="17" customFormat="1" ht="31.5">
      <c r="A897" s="14"/>
      <c r="B897" s="125" t="s">
        <v>28</v>
      </c>
      <c r="C897" s="109" t="s">
        <v>595</v>
      </c>
      <c r="D897" s="108" t="s">
        <v>317</v>
      </c>
      <c r="E897" s="108" t="s">
        <v>13</v>
      </c>
      <c r="F897" s="108" t="s">
        <v>612</v>
      </c>
      <c r="G897" s="108" t="s">
        <v>29</v>
      </c>
      <c r="H897" s="126">
        <v>0</v>
      </c>
      <c r="I897" s="126">
        <v>0</v>
      </c>
      <c r="J897" s="108">
        <v>310178210</v>
      </c>
      <c r="K897" s="108" t="str">
        <f t="shared" si="39"/>
        <v>0310178210</v>
      </c>
      <c r="L897" s="303" t="str">
        <f t="shared" si="40"/>
        <v>60910030310178210240</v>
      </c>
      <c r="M897" s="132" t="str">
        <f>INDEX('реш СГД № 265'!$A:$N,MATCH('БА расх 2019-2020'!$L897,'реш СГД № 265'!$N:$N,0),3)</f>
        <v>Иные закупки товаров, работ и услуг для обеспечения государственных (муниципальных) нужд</v>
      </c>
      <c r="N897" s="17">
        <f t="shared" si="41"/>
        <v>1</v>
      </c>
    </row>
    <row r="898" spans="1:14" s="17" customFormat="1" ht="15.75">
      <c r="A898" s="14"/>
      <c r="B898" s="125" t="s">
        <v>30</v>
      </c>
      <c r="C898" s="109" t="s">
        <v>595</v>
      </c>
      <c r="D898" s="108" t="s">
        <v>317</v>
      </c>
      <c r="E898" s="108" t="s">
        <v>13</v>
      </c>
      <c r="F898" s="108" t="s">
        <v>612</v>
      </c>
      <c r="G898" s="108" t="s">
        <v>31</v>
      </c>
      <c r="H898" s="126">
        <v>0</v>
      </c>
      <c r="I898" s="126">
        <v>0</v>
      </c>
      <c r="J898" s="108">
        <v>310178210</v>
      </c>
      <c r="K898" s="108" t="str">
        <f t="shared" si="39"/>
        <v>0310178210</v>
      </c>
      <c r="L898" s="303" t="str">
        <f t="shared" si="40"/>
        <v>60910030310178210244</v>
      </c>
      <c r="M898" s="132"/>
      <c r="N898" s="17">
        <f t="shared" si="41"/>
        <v>0</v>
      </c>
    </row>
    <row r="899" spans="1:14" s="17" customFormat="1" ht="31.5">
      <c r="A899" s="14"/>
      <c r="B899" s="132" t="s">
        <v>493</v>
      </c>
      <c r="C899" s="109" t="s">
        <v>595</v>
      </c>
      <c r="D899" s="108" t="s">
        <v>317</v>
      </c>
      <c r="E899" s="108" t="s">
        <v>13</v>
      </c>
      <c r="F899" s="108" t="s">
        <v>612</v>
      </c>
      <c r="G899" s="108" t="s">
        <v>494</v>
      </c>
      <c r="H899" s="126">
        <v>0</v>
      </c>
      <c r="I899" s="126">
        <v>0</v>
      </c>
      <c r="J899" s="108">
        <v>310178210</v>
      </c>
      <c r="K899" s="108" t="str">
        <f t="shared" si="39"/>
        <v>0310178210</v>
      </c>
      <c r="L899" s="303" t="str">
        <f t="shared" si="40"/>
        <v>60910030310178210310</v>
      </c>
      <c r="M899" s="132" t="str">
        <f>INDEX('реш СГД № 265'!$A:$N,MATCH('БА расх 2019-2020'!$L899,'реш СГД № 265'!$N:$N,0),3)</f>
        <v>Публичные нормативные социальные выплаты гражданам</v>
      </c>
      <c r="N899" s="17">
        <f t="shared" si="41"/>
        <v>1</v>
      </c>
    </row>
    <row r="900" spans="1:14" s="17" customFormat="1" ht="31.5">
      <c r="A900" s="14"/>
      <c r="B900" s="127" t="s">
        <v>495</v>
      </c>
      <c r="C900" s="109" t="s">
        <v>595</v>
      </c>
      <c r="D900" s="108" t="s">
        <v>317</v>
      </c>
      <c r="E900" s="108" t="s">
        <v>13</v>
      </c>
      <c r="F900" s="108" t="s">
        <v>612</v>
      </c>
      <c r="G900" s="108" t="s">
        <v>496</v>
      </c>
      <c r="H900" s="126">
        <v>0</v>
      </c>
      <c r="I900" s="126">
        <v>0</v>
      </c>
      <c r="J900" s="108">
        <v>310178210</v>
      </c>
      <c r="K900" s="108" t="str">
        <f t="shared" si="39"/>
        <v>0310178210</v>
      </c>
      <c r="L900" s="303" t="str">
        <f t="shared" si="40"/>
        <v>60910030310178210313</v>
      </c>
      <c r="M900" s="132"/>
      <c r="N900" s="17">
        <f t="shared" si="41"/>
        <v>0</v>
      </c>
    </row>
    <row r="901" spans="1:14" s="17" customFormat="1" ht="47.25">
      <c r="A901" s="14"/>
      <c r="B901" s="132" t="s">
        <v>613</v>
      </c>
      <c r="C901" s="109" t="s">
        <v>595</v>
      </c>
      <c r="D901" s="108" t="s">
        <v>317</v>
      </c>
      <c r="E901" s="108" t="s">
        <v>13</v>
      </c>
      <c r="F901" s="108" t="s">
        <v>614</v>
      </c>
      <c r="G901" s="108" t="s">
        <v>9</v>
      </c>
      <c r="H901" s="126">
        <v>0</v>
      </c>
      <c r="I901" s="126">
        <v>0</v>
      </c>
      <c r="J901" s="108">
        <v>310178220</v>
      </c>
      <c r="K901" s="108" t="str">
        <f t="shared" si="39"/>
        <v>0310178220</v>
      </c>
      <c r="L901" s="303" t="str">
        <f t="shared" si="40"/>
        <v>60910030310178220000</v>
      </c>
      <c r="M901" s="132" t="str">
        <f>INDEX('реш СГД № 265'!$A:$N,MATCH('БА расх 2019-2020'!$L901,'реш СГД № 265'!$N:$N,0),3)</f>
        <v>Предоставление мер социальной поддержки ветеранам труда Ставропольского края и лицам, награжденным медалью «Герой труда Ставрополья»</v>
      </c>
      <c r="N901" s="17">
        <f t="shared" si="41"/>
        <v>1</v>
      </c>
    </row>
    <row r="902" spans="1:14" s="17" customFormat="1" ht="31.5">
      <c r="A902" s="14"/>
      <c r="B902" s="132" t="s">
        <v>28</v>
      </c>
      <c r="C902" s="109" t="s">
        <v>595</v>
      </c>
      <c r="D902" s="108" t="s">
        <v>317</v>
      </c>
      <c r="E902" s="108" t="s">
        <v>13</v>
      </c>
      <c r="F902" s="108" t="s">
        <v>614</v>
      </c>
      <c r="G902" s="108" t="s">
        <v>29</v>
      </c>
      <c r="H902" s="126">
        <v>0</v>
      </c>
      <c r="I902" s="126">
        <v>0</v>
      </c>
      <c r="J902" s="108">
        <v>310178220</v>
      </c>
      <c r="K902" s="108" t="str">
        <f t="shared" si="39"/>
        <v>0310178220</v>
      </c>
      <c r="L902" s="303" t="str">
        <f t="shared" si="40"/>
        <v>60910030310178220240</v>
      </c>
      <c r="M902" s="132" t="str">
        <f>INDEX('реш СГД № 265'!$A:$N,MATCH('БА расх 2019-2020'!$L902,'реш СГД № 265'!$N:$N,0),3)</f>
        <v>Иные закупки товаров, работ и услуг для обеспечения государственных (муниципальных) нужд</v>
      </c>
      <c r="N902" s="17">
        <f t="shared" si="41"/>
        <v>1</v>
      </c>
    </row>
    <row r="903" spans="1:14" s="17" customFormat="1" ht="15.75">
      <c r="A903" s="14"/>
      <c r="B903" s="125" t="s">
        <v>30</v>
      </c>
      <c r="C903" s="109" t="s">
        <v>595</v>
      </c>
      <c r="D903" s="108" t="s">
        <v>317</v>
      </c>
      <c r="E903" s="108" t="s">
        <v>13</v>
      </c>
      <c r="F903" s="108" t="s">
        <v>614</v>
      </c>
      <c r="G903" s="108" t="s">
        <v>31</v>
      </c>
      <c r="H903" s="126">
        <v>0</v>
      </c>
      <c r="I903" s="126">
        <v>0</v>
      </c>
      <c r="J903" s="108">
        <v>310178220</v>
      </c>
      <c r="K903" s="108" t="str">
        <f t="shared" si="39"/>
        <v>0310178220</v>
      </c>
      <c r="L903" s="303" t="str">
        <f t="shared" si="40"/>
        <v>60910030310178220244</v>
      </c>
      <c r="M903" s="132"/>
      <c r="N903" s="17">
        <f t="shared" si="41"/>
        <v>0</v>
      </c>
    </row>
    <row r="904" spans="1:14" s="17" customFormat="1" ht="31.5">
      <c r="A904" s="14"/>
      <c r="B904" s="132" t="s">
        <v>493</v>
      </c>
      <c r="C904" s="109" t="s">
        <v>595</v>
      </c>
      <c r="D904" s="108" t="s">
        <v>317</v>
      </c>
      <c r="E904" s="108" t="s">
        <v>13</v>
      </c>
      <c r="F904" s="108" t="s">
        <v>614</v>
      </c>
      <c r="G904" s="108" t="s">
        <v>494</v>
      </c>
      <c r="H904" s="126">
        <v>0</v>
      </c>
      <c r="I904" s="126">
        <v>0</v>
      </c>
      <c r="J904" s="108">
        <v>310178220</v>
      </c>
      <c r="K904" s="108" t="str">
        <f t="shared" si="39"/>
        <v>0310178220</v>
      </c>
      <c r="L904" s="303" t="str">
        <f t="shared" si="40"/>
        <v>60910030310178220310</v>
      </c>
      <c r="M904" s="132" t="str">
        <f>INDEX('реш СГД № 265'!$A:$N,MATCH('БА расх 2019-2020'!$L904,'реш СГД № 265'!$N:$N,0),3)</f>
        <v>Публичные нормативные социальные выплаты гражданам</v>
      </c>
      <c r="N904" s="17">
        <f t="shared" si="41"/>
        <v>1</v>
      </c>
    </row>
    <row r="905" spans="1:14" s="17" customFormat="1" ht="31.5">
      <c r="A905" s="14"/>
      <c r="B905" s="127" t="s">
        <v>495</v>
      </c>
      <c r="C905" s="109" t="s">
        <v>595</v>
      </c>
      <c r="D905" s="108" t="s">
        <v>317</v>
      </c>
      <c r="E905" s="108" t="s">
        <v>13</v>
      </c>
      <c r="F905" s="108" t="s">
        <v>614</v>
      </c>
      <c r="G905" s="108" t="s">
        <v>496</v>
      </c>
      <c r="H905" s="126">
        <v>0</v>
      </c>
      <c r="I905" s="126">
        <v>0</v>
      </c>
      <c r="J905" s="108">
        <v>310178220</v>
      </c>
      <c r="K905" s="108" t="str">
        <f t="shared" si="39"/>
        <v>0310178220</v>
      </c>
      <c r="L905" s="303" t="str">
        <f t="shared" si="40"/>
        <v>60910030310178220313</v>
      </c>
      <c r="M905" s="132"/>
      <c r="N905" s="17">
        <f t="shared" si="41"/>
        <v>0</v>
      </c>
    </row>
    <row r="906" spans="1:14" s="17" customFormat="1" ht="47.25">
      <c r="A906" s="14"/>
      <c r="B906" s="149" t="s">
        <v>615</v>
      </c>
      <c r="C906" s="109" t="s">
        <v>595</v>
      </c>
      <c r="D906" s="108" t="s">
        <v>317</v>
      </c>
      <c r="E906" s="108" t="s">
        <v>13</v>
      </c>
      <c r="F906" s="108" t="s">
        <v>616</v>
      </c>
      <c r="G906" s="108" t="s">
        <v>9</v>
      </c>
      <c r="H906" s="126">
        <v>0</v>
      </c>
      <c r="I906" s="126">
        <v>0</v>
      </c>
      <c r="J906" s="108">
        <v>310178230</v>
      </c>
      <c r="K906" s="108" t="str">
        <f t="shared" si="39"/>
        <v>0310178230</v>
      </c>
      <c r="L906" s="303" t="str">
        <f t="shared" si="40"/>
        <v>60910030310178230000</v>
      </c>
      <c r="M906" s="132" t="str">
        <f>INDEX('реш СГД № 265'!$A:$N,MATCH('БА расх 2019-2020'!$L906,'реш СГД № 265'!$N:$N,0),3)</f>
        <v>Предоставление мер социальной поддержки  реабилитированным лицам и лицам, признанным пострадавшими от политических репрессий</v>
      </c>
      <c r="N906" s="17">
        <f t="shared" si="41"/>
        <v>1</v>
      </c>
    </row>
    <row r="907" spans="1:14" s="17" customFormat="1" ht="31.5">
      <c r="A907" s="14"/>
      <c r="B907" s="125" t="s">
        <v>28</v>
      </c>
      <c r="C907" s="109" t="s">
        <v>595</v>
      </c>
      <c r="D907" s="108" t="s">
        <v>317</v>
      </c>
      <c r="E907" s="108" t="s">
        <v>13</v>
      </c>
      <c r="F907" s="108" t="s">
        <v>616</v>
      </c>
      <c r="G907" s="108" t="s">
        <v>29</v>
      </c>
      <c r="H907" s="126">
        <v>0</v>
      </c>
      <c r="I907" s="126">
        <v>0</v>
      </c>
      <c r="J907" s="108">
        <v>310178230</v>
      </c>
      <c r="K907" s="108" t="str">
        <f t="shared" si="39"/>
        <v>0310178230</v>
      </c>
      <c r="L907" s="303" t="str">
        <f t="shared" si="40"/>
        <v>60910030310178230240</v>
      </c>
      <c r="M907" s="132" t="str">
        <f>INDEX('реш СГД № 265'!$A:$N,MATCH('БА расх 2019-2020'!$L907,'реш СГД № 265'!$N:$N,0),3)</f>
        <v>Иные закупки товаров, работ и услуг для обеспечения государственных (муниципальных) нужд</v>
      </c>
      <c r="N907" s="17">
        <f t="shared" si="41"/>
        <v>1</v>
      </c>
    </row>
    <row r="908" spans="1:14" s="17" customFormat="1" ht="15.75">
      <c r="A908" s="14"/>
      <c r="B908" s="125" t="s">
        <v>30</v>
      </c>
      <c r="C908" s="109" t="s">
        <v>595</v>
      </c>
      <c r="D908" s="108" t="s">
        <v>317</v>
      </c>
      <c r="E908" s="108" t="s">
        <v>13</v>
      </c>
      <c r="F908" s="108" t="s">
        <v>616</v>
      </c>
      <c r="G908" s="108" t="s">
        <v>31</v>
      </c>
      <c r="H908" s="126">
        <v>0</v>
      </c>
      <c r="I908" s="126">
        <v>0</v>
      </c>
      <c r="J908" s="108">
        <v>310178230</v>
      </c>
      <c r="K908" s="108" t="str">
        <f t="shared" si="39"/>
        <v>0310178230</v>
      </c>
      <c r="L908" s="303" t="str">
        <f t="shared" si="40"/>
        <v>60910030310178230244</v>
      </c>
      <c r="M908" s="132"/>
      <c r="N908" s="17">
        <f t="shared" si="41"/>
        <v>0</v>
      </c>
    </row>
    <row r="909" spans="1:14" s="17" customFormat="1" ht="31.5">
      <c r="A909" s="14"/>
      <c r="B909" s="132" t="s">
        <v>493</v>
      </c>
      <c r="C909" s="109" t="s">
        <v>595</v>
      </c>
      <c r="D909" s="108" t="s">
        <v>317</v>
      </c>
      <c r="E909" s="108" t="s">
        <v>13</v>
      </c>
      <c r="F909" s="108" t="s">
        <v>616</v>
      </c>
      <c r="G909" s="108" t="s">
        <v>494</v>
      </c>
      <c r="H909" s="126">
        <v>0</v>
      </c>
      <c r="I909" s="126">
        <v>0</v>
      </c>
      <c r="J909" s="108">
        <v>310178230</v>
      </c>
      <c r="K909" s="108" t="str">
        <f t="shared" ref="K909:K972" si="42">TEXT(J909,"0000000000")</f>
        <v>0310178230</v>
      </c>
      <c r="L909" s="303" t="str">
        <f t="shared" si="40"/>
        <v>60910030310178230310</v>
      </c>
      <c r="M909" s="132" t="str">
        <f>INDEX('реш СГД № 265'!$A:$N,MATCH('БА расх 2019-2020'!$L909,'реш СГД № 265'!$N:$N,0),3)</f>
        <v>Публичные нормативные социальные выплаты гражданам</v>
      </c>
      <c r="N909" s="17">
        <f t="shared" si="41"/>
        <v>1</v>
      </c>
    </row>
    <row r="910" spans="1:14" s="17" customFormat="1" ht="31.5">
      <c r="A910" s="14"/>
      <c r="B910" s="127" t="s">
        <v>495</v>
      </c>
      <c r="C910" s="109" t="s">
        <v>595</v>
      </c>
      <c r="D910" s="108" t="s">
        <v>317</v>
      </c>
      <c r="E910" s="108" t="s">
        <v>13</v>
      </c>
      <c r="F910" s="108" t="s">
        <v>616</v>
      </c>
      <c r="G910" s="108" t="s">
        <v>496</v>
      </c>
      <c r="H910" s="126">
        <v>0</v>
      </c>
      <c r="I910" s="126">
        <v>0</v>
      </c>
      <c r="J910" s="108">
        <v>310178230</v>
      </c>
      <c r="K910" s="108" t="str">
        <f t="shared" si="42"/>
        <v>0310178230</v>
      </c>
      <c r="L910" s="303" t="str">
        <f t="shared" ref="L910:L973" si="43">C910&amp;D910&amp;E910&amp;K910&amp;G910</f>
        <v>60910030310178230313</v>
      </c>
      <c r="M910" s="132"/>
      <c r="N910" s="17">
        <f t="shared" ref="N910:N973" si="44">IF(B910=M910,1,0)</f>
        <v>0</v>
      </c>
    </row>
    <row r="911" spans="1:14" s="17" customFormat="1" ht="47.25">
      <c r="A911" s="14"/>
      <c r="B911" s="149" t="s">
        <v>617</v>
      </c>
      <c r="C911" s="109" t="s">
        <v>595</v>
      </c>
      <c r="D911" s="108" t="s">
        <v>317</v>
      </c>
      <c r="E911" s="108" t="s">
        <v>13</v>
      </c>
      <c r="F911" s="108" t="s">
        <v>618</v>
      </c>
      <c r="G911" s="108" t="s">
        <v>9</v>
      </c>
      <c r="H911" s="126">
        <v>0</v>
      </c>
      <c r="I911" s="126">
        <v>0</v>
      </c>
      <c r="J911" s="108">
        <v>310178240</v>
      </c>
      <c r="K911" s="108" t="str">
        <f t="shared" si="42"/>
        <v>0310178240</v>
      </c>
      <c r="L911" s="303" t="str">
        <f t="shared" si="43"/>
        <v>60910030310178240000</v>
      </c>
      <c r="M911" s="132" t="str">
        <f>INDEX('реш СГД № 265'!$A:$N,MATCH('БА расх 2019-2020'!$L911,'реш СГД № 265'!$N:$N,0),3)</f>
        <v xml:space="preserve">Ежемесячная доплата к пенсии гражданам, ставшим инвалидами при исполнении служебных обязанностей в районах боевых действий </v>
      </c>
      <c r="N911" s="17">
        <f t="shared" si="44"/>
        <v>1</v>
      </c>
    </row>
    <row r="912" spans="1:14" s="17" customFormat="1" ht="31.5">
      <c r="A912" s="14"/>
      <c r="B912" s="125" t="s">
        <v>28</v>
      </c>
      <c r="C912" s="109" t="s">
        <v>595</v>
      </c>
      <c r="D912" s="108" t="s">
        <v>317</v>
      </c>
      <c r="E912" s="108" t="s">
        <v>13</v>
      </c>
      <c r="F912" s="108" t="s">
        <v>618</v>
      </c>
      <c r="G912" s="108" t="s">
        <v>29</v>
      </c>
      <c r="H912" s="126">
        <v>0</v>
      </c>
      <c r="I912" s="126">
        <v>0</v>
      </c>
      <c r="J912" s="108">
        <v>310178240</v>
      </c>
      <c r="K912" s="108" t="str">
        <f t="shared" si="42"/>
        <v>0310178240</v>
      </c>
      <c r="L912" s="303" t="str">
        <f t="shared" si="43"/>
        <v>60910030310178240240</v>
      </c>
      <c r="M912" s="132" t="str">
        <f>INDEX('реш СГД № 265'!$A:$N,MATCH('БА расх 2019-2020'!$L912,'реш СГД № 265'!$N:$N,0),3)</f>
        <v>Иные закупки товаров, работ и услуг для обеспечения государственных (муниципальных) нужд</v>
      </c>
      <c r="N912" s="17">
        <f t="shared" si="44"/>
        <v>1</v>
      </c>
    </row>
    <row r="913" spans="1:14" s="17" customFormat="1" ht="15.75">
      <c r="A913" s="14"/>
      <c r="B913" s="125" t="s">
        <v>30</v>
      </c>
      <c r="C913" s="109" t="s">
        <v>595</v>
      </c>
      <c r="D913" s="108" t="s">
        <v>317</v>
      </c>
      <c r="E913" s="108" t="s">
        <v>13</v>
      </c>
      <c r="F913" s="108" t="s">
        <v>618</v>
      </c>
      <c r="G913" s="108" t="s">
        <v>31</v>
      </c>
      <c r="H913" s="126">
        <v>0</v>
      </c>
      <c r="I913" s="126">
        <v>0</v>
      </c>
      <c r="J913" s="108">
        <v>310178240</v>
      </c>
      <c r="K913" s="108" t="str">
        <f t="shared" si="42"/>
        <v>0310178240</v>
      </c>
      <c r="L913" s="303" t="str">
        <f t="shared" si="43"/>
        <v>60910030310178240244</v>
      </c>
      <c r="M913" s="132"/>
      <c r="N913" s="17">
        <f t="shared" si="44"/>
        <v>0</v>
      </c>
    </row>
    <row r="914" spans="1:14" s="17" customFormat="1" ht="31.5">
      <c r="A914" s="14"/>
      <c r="B914" s="132" t="s">
        <v>493</v>
      </c>
      <c r="C914" s="109" t="s">
        <v>595</v>
      </c>
      <c r="D914" s="108" t="s">
        <v>317</v>
      </c>
      <c r="E914" s="108" t="s">
        <v>13</v>
      </c>
      <c r="F914" s="108" t="s">
        <v>618</v>
      </c>
      <c r="G914" s="108" t="s">
        <v>494</v>
      </c>
      <c r="H914" s="126">
        <v>0</v>
      </c>
      <c r="I914" s="126">
        <v>0</v>
      </c>
      <c r="J914" s="108">
        <v>310178240</v>
      </c>
      <c r="K914" s="108" t="str">
        <f t="shared" si="42"/>
        <v>0310178240</v>
      </c>
      <c r="L914" s="303" t="str">
        <f t="shared" si="43"/>
        <v>60910030310178240310</v>
      </c>
      <c r="M914" s="132" t="str">
        <f>INDEX('реш СГД № 265'!$A:$N,MATCH('БА расх 2019-2020'!$L914,'реш СГД № 265'!$N:$N,0),3)</f>
        <v>Публичные нормативные социальные выплаты гражданам</v>
      </c>
      <c r="N914" s="17">
        <f t="shared" si="44"/>
        <v>1</v>
      </c>
    </row>
    <row r="915" spans="1:14" s="17" customFormat="1" ht="31.5">
      <c r="A915" s="14"/>
      <c r="B915" s="127" t="s">
        <v>495</v>
      </c>
      <c r="C915" s="109" t="s">
        <v>595</v>
      </c>
      <c r="D915" s="108" t="s">
        <v>317</v>
      </c>
      <c r="E915" s="108" t="s">
        <v>13</v>
      </c>
      <c r="F915" s="108" t="s">
        <v>618</v>
      </c>
      <c r="G915" s="108" t="s">
        <v>496</v>
      </c>
      <c r="H915" s="126">
        <v>0</v>
      </c>
      <c r="I915" s="126">
        <v>0</v>
      </c>
      <c r="J915" s="108">
        <v>310178240</v>
      </c>
      <c r="K915" s="108" t="str">
        <f t="shared" si="42"/>
        <v>0310178240</v>
      </c>
      <c r="L915" s="303" t="str">
        <f t="shared" si="43"/>
        <v>60910030310178240313</v>
      </c>
      <c r="M915" s="132"/>
      <c r="N915" s="17">
        <f t="shared" si="44"/>
        <v>0</v>
      </c>
    </row>
    <row r="916" spans="1:14" s="17" customFormat="1" ht="31.5">
      <c r="A916" s="14"/>
      <c r="B916" s="149" t="s">
        <v>619</v>
      </c>
      <c r="C916" s="109" t="s">
        <v>595</v>
      </c>
      <c r="D916" s="108" t="s">
        <v>317</v>
      </c>
      <c r="E916" s="108" t="s">
        <v>13</v>
      </c>
      <c r="F916" s="108" t="s">
        <v>620</v>
      </c>
      <c r="G916" s="108" t="s">
        <v>9</v>
      </c>
      <c r="H916" s="126">
        <v>0</v>
      </c>
      <c r="I916" s="126">
        <v>0</v>
      </c>
      <c r="J916" s="108">
        <v>310178250</v>
      </c>
      <c r="K916" s="108" t="str">
        <f t="shared" si="42"/>
        <v>0310178250</v>
      </c>
      <c r="L916" s="303" t="str">
        <f t="shared" si="43"/>
        <v>60910030310178250000</v>
      </c>
      <c r="M916" s="132" t="str">
        <f>INDEX('реш СГД № 265'!$A:$N,MATCH('БА расх 2019-2020'!$L916,'реш СГД № 265'!$N:$N,0),3)</f>
        <v>Ежемесячные денежные выплаты семьям погибших ветеранов боевых действий</v>
      </c>
      <c r="N916" s="17">
        <f t="shared" si="44"/>
        <v>1</v>
      </c>
    </row>
    <row r="917" spans="1:14" s="17" customFormat="1" ht="31.5">
      <c r="A917" s="14"/>
      <c r="B917" s="125" t="s">
        <v>28</v>
      </c>
      <c r="C917" s="109" t="s">
        <v>595</v>
      </c>
      <c r="D917" s="108" t="s">
        <v>317</v>
      </c>
      <c r="E917" s="108" t="s">
        <v>13</v>
      </c>
      <c r="F917" s="108" t="s">
        <v>620</v>
      </c>
      <c r="G917" s="108" t="s">
        <v>29</v>
      </c>
      <c r="H917" s="126">
        <v>0</v>
      </c>
      <c r="I917" s="126">
        <v>0</v>
      </c>
      <c r="J917" s="108">
        <v>310178250</v>
      </c>
      <c r="K917" s="108" t="str">
        <f t="shared" si="42"/>
        <v>0310178250</v>
      </c>
      <c r="L917" s="303" t="str">
        <f t="shared" si="43"/>
        <v>60910030310178250240</v>
      </c>
      <c r="M917" s="132" t="str">
        <f>INDEX('реш СГД № 265'!$A:$N,MATCH('БА расх 2019-2020'!$L917,'реш СГД № 265'!$N:$N,0),3)</f>
        <v>Иные закупки товаров, работ и услуг для обеспечения государственных (муниципальных) нужд</v>
      </c>
      <c r="N917" s="17">
        <f t="shared" si="44"/>
        <v>1</v>
      </c>
    </row>
    <row r="918" spans="1:14" s="17" customFormat="1" ht="15.75">
      <c r="A918" s="14"/>
      <c r="B918" s="125" t="s">
        <v>30</v>
      </c>
      <c r="C918" s="109" t="s">
        <v>595</v>
      </c>
      <c r="D918" s="108" t="s">
        <v>317</v>
      </c>
      <c r="E918" s="108" t="s">
        <v>13</v>
      </c>
      <c r="F918" s="108" t="s">
        <v>620</v>
      </c>
      <c r="G918" s="108" t="s">
        <v>31</v>
      </c>
      <c r="H918" s="126">
        <v>0</v>
      </c>
      <c r="I918" s="126">
        <v>0</v>
      </c>
      <c r="J918" s="108">
        <v>310178250</v>
      </c>
      <c r="K918" s="108" t="str">
        <f t="shared" si="42"/>
        <v>0310178250</v>
      </c>
      <c r="L918" s="303" t="str">
        <f t="shared" si="43"/>
        <v>60910030310178250244</v>
      </c>
      <c r="M918" s="132"/>
      <c r="N918" s="17">
        <f t="shared" si="44"/>
        <v>0</v>
      </c>
    </row>
    <row r="919" spans="1:14" s="17" customFormat="1" ht="31.5">
      <c r="A919" s="14"/>
      <c r="B919" s="132" t="s">
        <v>493</v>
      </c>
      <c r="C919" s="109" t="s">
        <v>595</v>
      </c>
      <c r="D919" s="108" t="s">
        <v>317</v>
      </c>
      <c r="E919" s="108" t="s">
        <v>13</v>
      </c>
      <c r="F919" s="108" t="s">
        <v>620</v>
      </c>
      <c r="G919" s="108" t="s">
        <v>494</v>
      </c>
      <c r="H919" s="126">
        <v>0</v>
      </c>
      <c r="I919" s="126">
        <v>0</v>
      </c>
      <c r="J919" s="108">
        <v>310178250</v>
      </c>
      <c r="K919" s="108" t="str">
        <f t="shared" si="42"/>
        <v>0310178250</v>
      </c>
      <c r="L919" s="303" t="str">
        <f t="shared" si="43"/>
        <v>60910030310178250310</v>
      </c>
      <c r="M919" s="132" t="str">
        <f>INDEX('реш СГД № 265'!$A:$N,MATCH('БА расх 2019-2020'!$L919,'реш СГД № 265'!$N:$N,0),3)</f>
        <v>Публичные нормативные социальные выплаты гражданам</v>
      </c>
      <c r="N919" s="17">
        <f t="shared" si="44"/>
        <v>1</v>
      </c>
    </row>
    <row r="920" spans="1:14" s="17" customFormat="1" ht="31.5">
      <c r="A920" s="14"/>
      <c r="B920" s="127" t="s">
        <v>495</v>
      </c>
      <c r="C920" s="109" t="s">
        <v>595</v>
      </c>
      <c r="D920" s="108" t="s">
        <v>317</v>
      </c>
      <c r="E920" s="108" t="s">
        <v>13</v>
      </c>
      <c r="F920" s="108" t="s">
        <v>620</v>
      </c>
      <c r="G920" s="108" t="s">
        <v>496</v>
      </c>
      <c r="H920" s="126">
        <v>0</v>
      </c>
      <c r="I920" s="126">
        <v>0</v>
      </c>
      <c r="J920" s="108">
        <v>310178250</v>
      </c>
      <c r="K920" s="108" t="str">
        <f t="shared" si="42"/>
        <v>0310178250</v>
      </c>
      <c r="L920" s="303" t="str">
        <f t="shared" si="43"/>
        <v>60910030310178250313</v>
      </c>
      <c r="M920" s="132"/>
      <c r="N920" s="17">
        <f t="shared" si="44"/>
        <v>0</v>
      </c>
    </row>
    <row r="921" spans="1:14" s="17" customFormat="1" ht="31.5">
      <c r="A921" s="14"/>
      <c r="B921" s="149" t="s">
        <v>621</v>
      </c>
      <c r="C921" s="109" t="s">
        <v>595</v>
      </c>
      <c r="D921" s="108" t="s">
        <v>317</v>
      </c>
      <c r="E921" s="108" t="s">
        <v>13</v>
      </c>
      <c r="F921" s="108" t="s">
        <v>622</v>
      </c>
      <c r="G921" s="108" t="s">
        <v>9</v>
      </c>
      <c r="H921" s="126">
        <v>0</v>
      </c>
      <c r="I921" s="126">
        <v>0</v>
      </c>
      <c r="J921" s="108">
        <v>310178260</v>
      </c>
      <c r="K921" s="108" t="str">
        <f t="shared" si="42"/>
        <v>0310178260</v>
      </c>
      <c r="L921" s="303" t="str">
        <f t="shared" si="43"/>
        <v>60910030310178260000</v>
      </c>
      <c r="M921" s="132" t="str">
        <f>INDEX('реш СГД № 265'!$A:$N,MATCH('БА расх 2019-2020'!$L921,'реш СГД № 265'!$N:$N,0),3)</f>
        <v>Предоставление субсидий на оплату жилого помещения и коммунальных услуг гражданам</v>
      </c>
      <c r="N921" s="17">
        <f t="shared" si="44"/>
        <v>1</v>
      </c>
    </row>
    <row r="922" spans="1:14" s="17" customFormat="1" ht="31.5">
      <c r="A922" s="14"/>
      <c r="B922" s="125" t="s">
        <v>28</v>
      </c>
      <c r="C922" s="109" t="s">
        <v>595</v>
      </c>
      <c r="D922" s="108" t="s">
        <v>317</v>
      </c>
      <c r="E922" s="108" t="s">
        <v>13</v>
      </c>
      <c r="F922" s="108" t="s">
        <v>622</v>
      </c>
      <c r="G922" s="108" t="s">
        <v>29</v>
      </c>
      <c r="H922" s="126">
        <v>0</v>
      </c>
      <c r="I922" s="126">
        <v>0</v>
      </c>
      <c r="J922" s="108">
        <v>310178260</v>
      </c>
      <c r="K922" s="108" t="str">
        <f t="shared" si="42"/>
        <v>0310178260</v>
      </c>
      <c r="L922" s="303" t="str">
        <f t="shared" si="43"/>
        <v>60910030310178260240</v>
      </c>
      <c r="M922" s="132" t="str">
        <f>INDEX('реш СГД № 265'!$A:$N,MATCH('БА расх 2019-2020'!$L922,'реш СГД № 265'!$N:$N,0),3)</f>
        <v>Иные закупки товаров, работ и услуг для обеспечения государственных (муниципальных) нужд</v>
      </c>
      <c r="N922" s="17">
        <f t="shared" si="44"/>
        <v>1</v>
      </c>
    </row>
    <row r="923" spans="1:14" s="17" customFormat="1" ht="15.75">
      <c r="A923" s="14"/>
      <c r="B923" s="125" t="s">
        <v>30</v>
      </c>
      <c r="C923" s="109" t="s">
        <v>595</v>
      </c>
      <c r="D923" s="108" t="s">
        <v>317</v>
      </c>
      <c r="E923" s="108" t="s">
        <v>13</v>
      </c>
      <c r="F923" s="108" t="s">
        <v>622</v>
      </c>
      <c r="G923" s="108" t="s">
        <v>31</v>
      </c>
      <c r="H923" s="126">
        <v>0</v>
      </c>
      <c r="I923" s="126">
        <v>0</v>
      </c>
      <c r="J923" s="108">
        <v>310178260</v>
      </c>
      <c r="K923" s="108" t="str">
        <f t="shared" si="42"/>
        <v>0310178260</v>
      </c>
      <c r="L923" s="303" t="str">
        <f t="shared" si="43"/>
        <v>60910030310178260244</v>
      </c>
      <c r="M923" s="132"/>
      <c r="N923" s="17">
        <f t="shared" si="44"/>
        <v>0</v>
      </c>
    </row>
    <row r="924" spans="1:14" s="17" customFormat="1" ht="31.5">
      <c r="A924" s="14"/>
      <c r="B924" s="132" t="s">
        <v>493</v>
      </c>
      <c r="C924" s="109" t="s">
        <v>595</v>
      </c>
      <c r="D924" s="108" t="s">
        <v>317</v>
      </c>
      <c r="E924" s="108" t="s">
        <v>13</v>
      </c>
      <c r="F924" s="108" t="s">
        <v>622</v>
      </c>
      <c r="G924" s="108" t="s">
        <v>494</v>
      </c>
      <c r="H924" s="126">
        <v>0</v>
      </c>
      <c r="I924" s="126">
        <v>0</v>
      </c>
      <c r="J924" s="108">
        <v>310178260</v>
      </c>
      <c r="K924" s="108" t="str">
        <f t="shared" si="42"/>
        <v>0310178260</v>
      </c>
      <c r="L924" s="303" t="str">
        <f t="shared" si="43"/>
        <v>60910030310178260310</v>
      </c>
      <c r="M924" s="132" t="str">
        <f>INDEX('реш СГД № 265'!$A:$N,MATCH('БА расх 2019-2020'!$L924,'реш СГД № 265'!$N:$N,0),3)</f>
        <v>Публичные нормативные социальные выплаты гражданам</v>
      </c>
      <c r="N924" s="17">
        <f t="shared" si="44"/>
        <v>1</v>
      </c>
    </row>
    <row r="925" spans="1:14" s="17" customFormat="1" ht="31.5">
      <c r="A925" s="14"/>
      <c r="B925" s="127" t="s">
        <v>495</v>
      </c>
      <c r="C925" s="109" t="s">
        <v>595</v>
      </c>
      <c r="D925" s="108" t="s">
        <v>317</v>
      </c>
      <c r="E925" s="108" t="s">
        <v>13</v>
      </c>
      <c r="F925" s="108" t="s">
        <v>622</v>
      </c>
      <c r="G925" s="108" t="s">
        <v>496</v>
      </c>
      <c r="H925" s="126">
        <v>0</v>
      </c>
      <c r="I925" s="126">
        <v>0</v>
      </c>
      <c r="J925" s="108">
        <v>310178260</v>
      </c>
      <c r="K925" s="108" t="str">
        <f t="shared" si="42"/>
        <v>0310178260</v>
      </c>
      <c r="L925" s="303" t="str">
        <f t="shared" si="43"/>
        <v>60910030310178260313</v>
      </c>
      <c r="M925" s="132"/>
      <c r="N925" s="17">
        <f t="shared" si="44"/>
        <v>0</v>
      </c>
    </row>
    <row r="926" spans="1:14" s="17" customFormat="1" ht="63">
      <c r="A926" s="14"/>
      <c r="B926" s="132" t="s">
        <v>1122</v>
      </c>
      <c r="C926" s="109" t="s">
        <v>595</v>
      </c>
      <c r="D926" s="108" t="s">
        <v>317</v>
      </c>
      <c r="E926" s="108" t="s">
        <v>13</v>
      </c>
      <c r="F926" s="108" t="s">
        <v>1123</v>
      </c>
      <c r="G926" s="108" t="s">
        <v>9</v>
      </c>
      <c r="H926" s="126">
        <v>0</v>
      </c>
      <c r="I926" s="126">
        <v>0</v>
      </c>
      <c r="J926" s="108" t="s">
        <v>1227</v>
      </c>
      <c r="K926" s="108" t="str">
        <f t="shared" si="42"/>
        <v>03101R4620</v>
      </c>
      <c r="L926" s="303" t="str">
        <f t="shared" si="43"/>
        <v>609100303101R4620000</v>
      </c>
      <c r="M926" s="132" t="str">
        <f>INDEX('реш СГД № 265'!$A:$N,MATCH('БА расх 2019-2020'!$L926,'реш СГД № 265'!$N:$N,0),3)</f>
        <v xml:space="preserve">Предоставление компенсации расходов на уплату взноса на капитальный ремонт общего имущества в многоквартирном доме отдельным категориям граждан </v>
      </c>
      <c r="N926" s="17">
        <f t="shared" si="44"/>
        <v>1</v>
      </c>
    </row>
    <row r="927" spans="1:14" s="17" customFormat="1" ht="31.5">
      <c r="A927" s="14"/>
      <c r="B927" s="125" t="s">
        <v>28</v>
      </c>
      <c r="C927" s="109" t="s">
        <v>595</v>
      </c>
      <c r="D927" s="108" t="s">
        <v>317</v>
      </c>
      <c r="E927" s="108" t="s">
        <v>13</v>
      </c>
      <c r="F927" s="108" t="s">
        <v>1123</v>
      </c>
      <c r="G927" s="108" t="s">
        <v>29</v>
      </c>
      <c r="H927" s="126">
        <v>0</v>
      </c>
      <c r="I927" s="126">
        <v>0</v>
      </c>
      <c r="J927" s="108" t="s">
        <v>1227</v>
      </c>
      <c r="K927" s="108" t="str">
        <f t="shared" si="42"/>
        <v>03101R4620</v>
      </c>
      <c r="L927" s="303" t="str">
        <f t="shared" si="43"/>
        <v>609100303101R4620240</v>
      </c>
      <c r="M927" s="132" t="str">
        <f>INDEX('реш СГД № 265'!$A:$N,MATCH('БА расх 2019-2020'!$L927,'реш СГД № 265'!$N:$N,0),3)</f>
        <v>Иные закупки товаров, работ и услуг для обеспечения государственных (муниципальных) нужд</v>
      </c>
      <c r="N927" s="17">
        <f t="shared" si="44"/>
        <v>1</v>
      </c>
    </row>
    <row r="928" spans="1:14" s="17" customFormat="1" ht="15.75">
      <c r="A928" s="14"/>
      <c r="B928" s="125" t="s">
        <v>30</v>
      </c>
      <c r="C928" s="109" t="s">
        <v>595</v>
      </c>
      <c r="D928" s="108" t="s">
        <v>317</v>
      </c>
      <c r="E928" s="108" t="s">
        <v>13</v>
      </c>
      <c r="F928" s="108" t="s">
        <v>1123</v>
      </c>
      <c r="G928" s="108" t="s">
        <v>31</v>
      </c>
      <c r="H928" s="126">
        <v>0</v>
      </c>
      <c r="I928" s="126">
        <v>0</v>
      </c>
      <c r="J928" s="108" t="s">
        <v>1227</v>
      </c>
      <c r="K928" s="108" t="str">
        <f t="shared" si="42"/>
        <v>03101R4620</v>
      </c>
      <c r="L928" s="303" t="str">
        <f t="shared" si="43"/>
        <v>609100303101R4620244</v>
      </c>
      <c r="M928" s="132"/>
      <c r="N928" s="17">
        <f t="shared" si="44"/>
        <v>0</v>
      </c>
    </row>
    <row r="929" spans="1:14" s="17" customFormat="1" ht="31.5">
      <c r="A929" s="14"/>
      <c r="B929" s="132" t="s">
        <v>493</v>
      </c>
      <c r="C929" s="109" t="s">
        <v>595</v>
      </c>
      <c r="D929" s="108" t="s">
        <v>317</v>
      </c>
      <c r="E929" s="108" t="s">
        <v>13</v>
      </c>
      <c r="F929" s="108" t="s">
        <v>1123</v>
      </c>
      <c r="G929" s="108" t="s">
        <v>494</v>
      </c>
      <c r="H929" s="126">
        <v>0</v>
      </c>
      <c r="I929" s="126">
        <v>0</v>
      </c>
      <c r="J929" s="108" t="s">
        <v>1227</v>
      </c>
      <c r="K929" s="108" t="str">
        <f t="shared" si="42"/>
        <v>03101R4620</v>
      </c>
      <c r="L929" s="303" t="str">
        <f t="shared" si="43"/>
        <v>609100303101R4620310</v>
      </c>
      <c r="M929" s="132" t="str">
        <f>INDEX('реш СГД № 265'!$A:$N,MATCH('БА расх 2019-2020'!$L929,'реш СГД № 265'!$N:$N,0),3)</f>
        <v>Публичные нормативные социальные выплаты гражданам</v>
      </c>
      <c r="N929" s="17">
        <f t="shared" si="44"/>
        <v>1</v>
      </c>
    </row>
    <row r="930" spans="1:14" s="17" customFormat="1" ht="31.5">
      <c r="A930" s="14"/>
      <c r="B930" s="127" t="s">
        <v>495</v>
      </c>
      <c r="C930" s="109" t="s">
        <v>595</v>
      </c>
      <c r="D930" s="108" t="s">
        <v>317</v>
      </c>
      <c r="E930" s="108" t="s">
        <v>13</v>
      </c>
      <c r="F930" s="108" t="s">
        <v>1123</v>
      </c>
      <c r="G930" s="108" t="s">
        <v>496</v>
      </c>
      <c r="H930" s="126">
        <v>0</v>
      </c>
      <c r="I930" s="126">
        <v>0</v>
      </c>
      <c r="J930" s="108" t="s">
        <v>1227</v>
      </c>
      <c r="K930" s="108" t="str">
        <f t="shared" si="42"/>
        <v>03101R4620</v>
      </c>
      <c r="L930" s="303" t="str">
        <f t="shared" si="43"/>
        <v>609100303101R4620313</v>
      </c>
      <c r="M930" s="132"/>
      <c r="N930" s="17">
        <f t="shared" si="44"/>
        <v>0</v>
      </c>
    </row>
    <row r="931" spans="1:14" s="17" customFormat="1" ht="31.5">
      <c r="A931" s="14" t="s">
        <v>598</v>
      </c>
      <c r="B931" s="148" t="s">
        <v>623</v>
      </c>
      <c r="C931" s="109" t="s">
        <v>595</v>
      </c>
      <c r="D931" s="108" t="s">
        <v>317</v>
      </c>
      <c r="E931" s="108" t="s">
        <v>13</v>
      </c>
      <c r="F931" s="108" t="s">
        <v>624</v>
      </c>
      <c r="G931" s="108" t="s">
        <v>9</v>
      </c>
      <c r="H931" s="126">
        <v>0</v>
      </c>
      <c r="I931" s="126">
        <v>0</v>
      </c>
      <c r="J931" s="108">
        <v>310200000</v>
      </c>
      <c r="K931" s="108" t="str">
        <f t="shared" si="42"/>
        <v>0310200000</v>
      </c>
      <c r="L931" s="303" t="str">
        <f t="shared" si="43"/>
        <v>60910030310200000000</v>
      </c>
      <c r="M931" s="132" t="str">
        <f>INDEX('реш СГД № 265'!$A:$N,MATCH('БА расх 2019-2020'!$L931,'реш СГД № 265'!$N:$N,0),3)</f>
        <v>Основное мероприятие «Предоставление мер социальной поддержки семьям и детям»</v>
      </c>
      <c r="N931" s="17">
        <f t="shared" si="44"/>
        <v>1</v>
      </c>
    </row>
    <row r="932" spans="1:14" s="17" customFormat="1" ht="94.5">
      <c r="A932" s="14"/>
      <c r="B932" s="149" t="s">
        <v>625</v>
      </c>
      <c r="C932" s="109" t="s">
        <v>595</v>
      </c>
      <c r="D932" s="108" t="s">
        <v>317</v>
      </c>
      <c r="E932" s="108" t="s">
        <v>13</v>
      </c>
      <c r="F932" s="108" t="s">
        <v>626</v>
      </c>
      <c r="G932" s="108" t="s">
        <v>9</v>
      </c>
      <c r="H932" s="126">
        <v>0</v>
      </c>
      <c r="I932" s="126">
        <v>0</v>
      </c>
      <c r="J932" s="108">
        <v>310253800</v>
      </c>
      <c r="K932" s="108" t="str">
        <f t="shared" si="42"/>
        <v>0310253800</v>
      </c>
      <c r="L932" s="303" t="str">
        <f t="shared" si="43"/>
        <v>60910030310253800000</v>
      </c>
      <c r="M932" s="132" t="str">
        <f>INDEX('реш СГД № 265'!$A:$N,MATCH('БА расх 2019-2020'!$L932,'реш СГД № 265'!$N:$N,0),3)</f>
        <v>Выплата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v>
      </c>
      <c r="N932" s="17">
        <f t="shared" si="44"/>
        <v>1</v>
      </c>
    </row>
    <row r="933" spans="1:14" s="17" customFormat="1" ht="31.5">
      <c r="A933" s="14"/>
      <c r="B933" s="125" t="s">
        <v>28</v>
      </c>
      <c r="C933" s="109" t="s">
        <v>595</v>
      </c>
      <c r="D933" s="108" t="s">
        <v>317</v>
      </c>
      <c r="E933" s="108" t="s">
        <v>13</v>
      </c>
      <c r="F933" s="108" t="s">
        <v>626</v>
      </c>
      <c r="G933" s="108" t="s">
        <v>29</v>
      </c>
      <c r="H933" s="126">
        <v>0</v>
      </c>
      <c r="I933" s="126">
        <v>0</v>
      </c>
      <c r="J933" s="108">
        <v>310253800</v>
      </c>
      <c r="K933" s="108" t="str">
        <f t="shared" si="42"/>
        <v>0310253800</v>
      </c>
      <c r="L933" s="303" t="str">
        <f t="shared" si="43"/>
        <v>60910030310253800240</v>
      </c>
      <c r="M933" s="132" t="str">
        <f>INDEX('реш СГД № 265'!$A:$N,MATCH('БА расх 2019-2020'!$L933,'реш СГД № 265'!$N:$N,0),3)</f>
        <v>Иные закупки товаров, работ и услуг для обеспечения государственных (муниципальных) нужд</v>
      </c>
      <c r="N933" s="17">
        <f t="shared" si="44"/>
        <v>1</v>
      </c>
    </row>
    <row r="934" spans="1:14" s="17" customFormat="1" ht="15.75">
      <c r="A934" s="14"/>
      <c r="B934" s="125" t="s">
        <v>30</v>
      </c>
      <c r="C934" s="109" t="s">
        <v>595</v>
      </c>
      <c r="D934" s="108" t="s">
        <v>317</v>
      </c>
      <c r="E934" s="108" t="s">
        <v>13</v>
      </c>
      <c r="F934" s="108" t="s">
        <v>626</v>
      </c>
      <c r="G934" s="108" t="s">
        <v>31</v>
      </c>
      <c r="H934" s="126">
        <v>0</v>
      </c>
      <c r="I934" s="126">
        <v>0</v>
      </c>
      <c r="J934" s="108">
        <v>310253800</v>
      </c>
      <c r="K934" s="108" t="str">
        <f t="shared" si="42"/>
        <v>0310253800</v>
      </c>
      <c r="L934" s="303" t="str">
        <f t="shared" si="43"/>
        <v>60910030310253800244</v>
      </c>
      <c r="M934" s="132"/>
      <c r="N934" s="17">
        <f t="shared" si="44"/>
        <v>0</v>
      </c>
    </row>
    <row r="935" spans="1:14" s="17" customFormat="1" ht="31.5">
      <c r="A935" s="14"/>
      <c r="B935" s="132" t="s">
        <v>493</v>
      </c>
      <c r="C935" s="109" t="s">
        <v>595</v>
      </c>
      <c r="D935" s="108" t="s">
        <v>317</v>
      </c>
      <c r="E935" s="108" t="s">
        <v>13</v>
      </c>
      <c r="F935" s="108" t="s">
        <v>626</v>
      </c>
      <c r="G935" s="108" t="s">
        <v>494</v>
      </c>
      <c r="H935" s="126">
        <v>0</v>
      </c>
      <c r="I935" s="126">
        <v>0</v>
      </c>
      <c r="J935" s="108">
        <v>310253800</v>
      </c>
      <c r="K935" s="108" t="str">
        <f t="shared" si="42"/>
        <v>0310253800</v>
      </c>
      <c r="L935" s="303" t="str">
        <f t="shared" si="43"/>
        <v>60910030310253800310</v>
      </c>
      <c r="M935" s="132" t="str">
        <f>INDEX('реш СГД № 265'!$A:$N,MATCH('БА расх 2019-2020'!$L935,'реш СГД № 265'!$N:$N,0),3)</f>
        <v>Публичные нормативные социальные выплаты гражданам</v>
      </c>
      <c r="N935" s="17">
        <f t="shared" si="44"/>
        <v>1</v>
      </c>
    </row>
    <row r="936" spans="1:14" s="17" customFormat="1" ht="31.5">
      <c r="A936" s="14"/>
      <c r="B936" s="127" t="s">
        <v>495</v>
      </c>
      <c r="C936" s="109" t="s">
        <v>595</v>
      </c>
      <c r="D936" s="108" t="s">
        <v>317</v>
      </c>
      <c r="E936" s="108" t="s">
        <v>13</v>
      </c>
      <c r="F936" s="108" t="s">
        <v>626</v>
      </c>
      <c r="G936" s="108" t="s">
        <v>496</v>
      </c>
      <c r="H936" s="126">
        <v>0</v>
      </c>
      <c r="I936" s="126">
        <v>0</v>
      </c>
      <c r="J936" s="108">
        <v>310253800</v>
      </c>
      <c r="K936" s="108" t="str">
        <f t="shared" si="42"/>
        <v>0310253800</v>
      </c>
      <c r="L936" s="303" t="str">
        <f t="shared" si="43"/>
        <v>60910030310253800313</v>
      </c>
      <c r="M936" s="132"/>
      <c r="N936" s="17">
        <f t="shared" si="44"/>
        <v>0</v>
      </c>
    </row>
    <row r="937" spans="1:14" s="17" customFormat="1" ht="31.5">
      <c r="A937" s="14"/>
      <c r="B937" s="149" t="s">
        <v>627</v>
      </c>
      <c r="C937" s="109" t="s">
        <v>595</v>
      </c>
      <c r="D937" s="108" t="s">
        <v>317</v>
      </c>
      <c r="E937" s="108" t="s">
        <v>13</v>
      </c>
      <c r="F937" s="108" t="s">
        <v>628</v>
      </c>
      <c r="G937" s="108" t="s">
        <v>9</v>
      </c>
      <c r="H937" s="126">
        <v>0</v>
      </c>
      <c r="I937" s="126">
        <v>0</v>
      </c>
      <c r="J937" s="108">
        <v>310276260</v>
      </c>
      <c r="K937" s="108" t="str">
        <f t="shared" si="42"/>
        <v>0310276260</v>
      </c>
      <c r="L937" s="303" t="str">
        <f t="shared" si="43"/>
        <v>60910030310276260000</v>
      </c>
      <c r="M937" s="132" t="str">
        <f>INDEX('реш СГД № 265'!$A:$N,MATCH('БА расх 2019-2020'!$L937,'реш СГД № 265'!$N:$N,0),3)</f>
        <v>Выплата ежегодного социального пособия на проезд студентам</v>
      </c>
      <c r="N937" s="17">
        <f t="shared" si="44"/>
        <v>1</v>
      </c>
    </row>
    <row r="938" spans="1:14" s="17" customFormat="1" ht="31.5">
      <c r="A938" s="14"/>
      <c r="B938" s="125" t="s">
        <v>28</v>
      </c>
      <c r="C938" s="109" t="s">
        <v>595</v>
      </c>
      <c r="D938" s="108" t="s">
        <v>317</v>
      </c>
      <c r="E938" s="108" t="s">
        <v>13</v>
      </c>
      <c r="F938" s="108" t="s">
        <v>628</v>
      </c>
      <c r="G938" s="108" t="s">
        <v>29</v>
      </c>
      <c r="H938" s="126">
        <v>0</v>
      </c>
      <c r="I938" s="126">
        <v>0</v>
      </c>
      <c r="J938" s="108">
        <v>310276260</v>
      </c>
      <c r="K938" s="108" t="str">
        <f t="shared" si="42"/>
        <v>0310276260</v>
      </c>
      <c r="L938" s="303" t="str">
        <f t="shared" si="43"/>
        <v>60910030310276260240</v>
      </c>
      <c r="M938" s="132" t="str">
        <f>INDEX('реш СГД № 265'!$A:$N,MATCH('БА расх 2019-2020'!$L938,'реш СГД № 265'!$N:$N,0),3)</f>
        <v>Иные закупки товаров, работ и услуг для обеспечения государственных (муниципальных) нужд</v>
      </c>
      <c r="N938" s="17">
        <f t="shared" si="44"/>
        <v>1</v>
      </c>
    </row>
    <row r="939" spans="1:14" s="17" customFormat="1" ht="15.75">
      <c r="A939" s="14"/>
      <c r="B939" s="125" t="s">
        <v>30</v>
      </c>
      <c r="C939" s="109" t="s">
        <v>595</v>
      </c>
      <c r="D939" s="108" t="s">
        <v>317</v>
      </c>
      <c r="E939" s="108" t="s">
        <v>13</v>
      </c>
      <c r="F939" s="108" t="s">
        <v>628</v>
      </c>
      <c r="G939" s="108" t="s">
        <v>31</v>
      </c>
      <c r="H939" s="126">
        <v>0</v>
      </c>
      <c r="I939" s="126">
        <v>0</v>
      </c>
      <c r="J939" s="108">
        <v>310276260</v>
      </c>
      <c r="K939" s="108" t="str">
        <f t="shared" si="42"/>
        <v>0310276260</v>
      </c>
      <c r="L939" s="303" t="str">
        <f t="shared" si="43"/>
        <v>60910030310276260244</v>
      </c>
      <c r="M939" s="132"/>
      <c r="N939" s="17">
        <f t="shared" si="44"/>
        <v>0</v>
      </c>
    </row>
    <row r="940" spans="1:14" s="17" customFormat="1" ht="31.5">
      <c r="A940" s="14"/>
      <c r="B940" s="132" t="s">
        <v>493</v>
      </c>
      <c r="C940" s="109" t="s">
        <v>595</v>
      </c>
      <c r="D940" s="108" t="s">
        <v>317</v>
      </c>
      <c r="E940" s="108" t="s">
        <v>13</v>
      </c>
      <c r="F940" s="108" t="s">
        <v>628</v>
      </c>
      <c r="G940" s="108" t="s">
        <v>494</v>
      </c>
      <c r="H940" s="126">
        <v>0</v>
      </c>
      <c r="I940" s="126">
        <v>0</v>
      </c>
      <c r="J940" s="108">
        <v>310276260</v>
      </c>
      <c r="K940" s="108" t="str">
        <f t="shared" si="42"/>
        <v>0310276260</v>
      </c>
      <c r="L940" s="303" t="str">
        <f t="shared" si="43"/>
        <v>60910030310276260310</v>
      </c>
      <c r="M940" s="132" t="str">
        <f>INDEX('реш СГД № 265'!$A:$N,MATCH('БА расх 2019-2020'!$L940,'реш СГД № 265'!$N:$N,0),3)</f>
        <v>Публичные нормативные социальные выплаты гражданам</v>
      </c>
      <c r="N940" s="17">
        <f t="shared" si="44"/>
        <v>1</v>
      </c>
    </row>
    <row r="941" spans="1:14" s="17" customFormat="1" ht="31.5">
      <c r="A941" s="14"/>
      <c r="B941" s="127" t="s">
        <v>495</v>
      </c>
      <c r="C941" s="109" t="s">
        <v>595</v>
      </c>
      <c r="D941" s="108" t="s">
        <v>317</v>
      </c>
      <c r="E941" s="108" t="s">
        <v>13</v>
      </c>
      <c r="F941" s="108" t="s">
        <v>628</v>
      </c>
      <c r="G941" s="108" t="s">
        <v>496</v>
      </c>
      <c r="H941" s="126">
        <v>0</v>
      </c>
      <c r="I941" s="126">
        <v>0</v>
      </c>
      <c r="J941" s="108">
        <v>310276260</v>
      </c>
      <c r="K941" s="108" t="str">
        <f t="shared" si="42"/>
        <v>0310276260</v>
      </c>
      <c r="L941" s="303" t="str">
        <f t="shared" si="43"/>
        <v>60910030310276260313</v>
      </c>
      <c r="M941" s="132"/>
      <c r="N941" s="17">
        <f t="shared" si="44"/>
        <v>0</v>
      </c>
    </row>
    <row r="942" spans="1:14" s="17" customFormat="1" ht="94.5">
      <c r="A942" s="14"/>
      <c r="B942" s="150" t="s">
        <v>629</v>
      </c>
      <c r="C942" s="130" t="s">
        <v>595</v>
      </c>
      <c r="D942" s="131" t="s">
        <v>317</v>
      </c>
      <c r="E942" s="131" t="s">
        <v>13</v>
      </c>
      <c r="F942" s="131" t="s">
        <v>630</v>
      </c>
      <c r="G942" s="131" t="s">
        <v>9</v>
      </c>
      <c r="H942" s="126">
        <v>0</v>
      </c>
      <c r="I942" s="126">
        <v>0</v>
      </c>
      <c r="J942" s="131">
        <v>310277190</v>
      </c>
      <c r="K942" s="108" t="str">
        <f t="shared" si="42"/>
        <v>0310277190</v>
      </c>
      <c r="L942" s="303" t="str">
        <f t="shared" si="43"/>
        <v>60910030310277190000</v>
      </c>
      <c r="M942" s="132" t="str">
        <f>INDEX('реш СГД № 265'!$A:$N,MATCH('БА расх 2019-2020'!$L942,'реш СГД № 265'!$N:$N,0),3)</f>
        <v>Выплата ежегодной денежной компенсации многодетным семьям на каждого из детей не старше 18 лет, обучающихся в общеобразовательных организациях, на приобретение комплекта школьной одежды, спортивной одежды и обуви и школьных письменных принадлежностей</v>
      </c>
      <c r="N942" s="17">
        <f t="shared" si="44"/>
        <v>1</v>
      </c>
    </row>
    <row r="943" spans="1:14" s="17" customFormat="1" ht="31.5">
      <c r="A943" s="14"/>
      <c r="B943" s="125" t="s">
        <v>28</v>
      </c>
      <c r="C943" s="130" t="s">
        <v>595</v>
      </c>
      <c r="D943" s="131" t="s">
        <v>317</v>
      </c>
      <c r="E943" s="131" t="s">
        <v>13</v>
      </c>
      <c r="F943" s="131" t="s">
        <v>630</v>
      </c>
      <c r="G943" s="131" t="s">
        <v>29</v>
      </c>
      <c r="H943" s="126">
        <v>0</v>
      </c>
      <c r="I943" s="126">
        <v>0</v>
      </c>
      <c r="J943" s="131">
        <v>310277190</v>
      </c>
      <c r="K943" s="108" t="str">
        <f t="shared" si="42"/>
        <v>0310277190</v>
      </c>
      <c r="L943" s="303" t="str">
        <f t="shared" si="43"/>
        <v>60910030310277190240</v>
      </c>
      <c r="M943" s="132" t="str">
        <f>INDEX('реш СГД № 265'!$A:$N,MATCH('БА расх 2019-2020'!$L943,'реш СГД № 265'!$N:$N,0),3)</f>
        <v>Иные закупки товаров, работ и услуг для обеспечения государственных (муниципальных) нужд</v>
      </c>
      <c r="N943" s="17">
        <f t="shared" si="44"/>
        <v>1</v>
      </c>
    </row>
    <row r="944" spans="1:14" s="17" customFormat="1" ht="15.75">
      <c r="A944" s="14"/>
      <c r="B944" s="125" t="s">
        <v>30</v>
      </c>
      <c r="C944" s="130" t="s">
        <v>595</v>
      </c>
      <c r="D944" s="131" t="s">
        <v>317</v>
      </c>
      <c r="E944" s="131" t="s">
        <v>13</v>
      </c>
      <c r="F944" s="131" t="s">
        <v>630</v>
      </c>
      <c r="G944" s="131" t="s">
        <v>31</v>
      </c>
      <c r="H944" s="126">
        <v>0</v>
      </c>
      <c r="I944" s="126">
        <v>0</v>
      </c>
      <c r="J944" s="131">
        <v>310277190</v>
      </c>
      <c r="K944" s="108" t="str">
        <f t="shared" si="42"/>
        <v>0310277190</v>
      </c>
      <c r="L944" s="303" t="str">
        <f t="shared" si="43"/>
        <v>60910030310277190244</v>
      </c>
      <c r="M944" s="132"/>
      <c r="N944" s="17">
        <f t="shared" si="44"/>
        <v>0</v>
      </c>
    </row>
    <row r="945" spans="1:14" s="17" customFormat="1" ht="31.5">
      <c r="A945" s="14"/>
      <c r="B945" s="140" t="s">
        <v>493</v>
      </c>
      <c r="C945" s="130" t="s">
        <v>595</v>
      </c>
      <c r="D945" s="131" t="s">
        <v>317</v>
      </c>
      <c r="E945" s="131" t="s">
        <v>13</v>
      </c>
      <c r="F945" s="131" t="s">
        <v>630</v>
      </c>
      <c r="G945" s="131" t="s">
        <v>494</v>
      </c>
      <c r="H945" s="126">
        <v>0</v>
      </c>
      <c r="I945" s="126">
        <v>0</v>
      </c>
      <c r="J945" s="131">
        <v>310277190</v>
      </c>
      <c r="K945" s="108" t="str">
        <f t="shared" si="42"/>
        <v>0310277190</v>
      </c>
      <c r="L945" s="303" t="str">
        <f t="shared" si="43"/>
        <v>60910030310277190310</v>
      </c>
      <c r="M945" s="132" t="str">
        <f>INDEX('реш СГД № 265'!$A:$N,MATCH('БА расх 2019-2020'!$L945,'реш СГД № 265'!$N:$N,0),3)</f>
        <v>Публичные нормативные социальные выплаты гражданам</v>
      </c>
      <c r="N945" s="17">
        <f t="shared" si="44"/>
        <v>1</v>
      </c>
    </row>
    <row r="946" spans="1:14" s="17" customFormat="1" ht="31.5">
      <c r="A946" s="14"/>
      <c r="B946" s="127" t="s">
        <v>495</v>
      </c>
      <c r="C946" s="130" t="s">
        <v>595</v>
      </c>
      <c r="D946" s="131" t="s">
        <v>317</v>
      </c>
      <c r="E946" s="131" t="s">
        <v>13</v>
      </c>
      <c r="F946" s="131" t="s">
        <v>630</v>
      </c>
      <c r="G946" s="131" t="s">
        <v>496</v>
      </c>
      <c r="H946" s="126">
        <v>0</v>
      </c>
      <c r="I946" s="126">
        <v>0</v>
      </c>
      <c r="J946" s="131">
        <v>310277190</v>
      </c>
      <c r="K946" s="108" t="str">
        <f t="shared" si="42"/>
        <v>0310277190</v>
      </c>
      <c r="L946" s="303" t="str">
        <f t="shared" si="43"/>
        <v>60910030310277190313</v>
      </c>
      <c r="M946" s="132"/>
      <c r="N946" s="17">
        <f t="shared" si="44"/>
        <v>0</v>
      </c>
    </row>
    <row r="947" spans="1:14" s="17" customFormat="1" ht="47.25">
      <c r="A947" s="14"/>
      <c r="B947" s="150" t="s">
        <v>631</v>
      </c>
      <c r="C947" s="109" t="s">
        <v>595</v>
      </c>
      <c r="D947" s="108" t="s">
        <v>317</v>
      </c>
      <c r="E947" s="108" t="s">
        <v>13</v>
      </c>
      <c r="F947" s="108" t="s">
        <v>632</v>
      </c>
      <c r="G947" s="108" t="s">
        <v>9</v>
      </c>
      <c r="H947" s="126">
        <v>0</v>
      </c>
      <c r="I947" s="126">
        <v>0</v>
      </c>
      <c r="J947" s="108">
        <v>310278280</v>
      </c>
      <c r="K947" s="108" t="str">
        <f t="shared" si="42"/>
        <v>0310278280</v>
      </c>
      <c r="L947" s="303" t="str">
        <f t="shared" si="43"/>
        <v>60910030310278280000</v>
      </c>
      <c r="M947" s="132" t="str">
        <f>INDEX('реш СГД № 265'!$A:$N,MATCH('БА расх 2019-2020'!$L947,'реш СГД № 265'!$N:$N,0),3)</f>
        <v xml:space="preserve">Выплата ежемесячной денежной компенсации на каждого ребенка в возрасте до 18 лет многодетным семьям </v>
      </c>
      <c r="N947" s="17">
        <f t="shared" si="44"/>
        <v>1</v>
      </c>
    </row>
    <row r="948" spans="1:14" s="17" customFormat="1" ht="31.5">
      <c r="A948" s="14"/>
      <c r="B948" s="125" t="s">
        <v>28</v>
      </c>
      <c r="C948" s="109" t="s">
        <v>595</v>
      </c>
      <c r="D948" s="108" t="s">
        <v>317</v>
      </c>
      <c r="E948" s="108" t="s">
        <v>13</v>
      </c>
      <c r="F948" s="108" t="s">
        <v>632</v>
      </c>
      <c r="G948" s="108" t="s">
        <v>29</v>
      </c>
      <c r="H948" s="126">
        <v>0</v>
      </c>
      <c r="I948" s="126">
        <v>0</v>
      </c>
      <c r="J948" s="108">
        <v>310278280</v>
      </c>
      <c r="K948" s="108" t="str">
        <f t="shared" si="42"/>
        <v>0310278280</v>
      </c>
      <c r="L948" s="303" t="str">
        <f t="shared" si="43"/>
        <v>60910030310278280240</v>
      </c>
      <c r="M948" s="132" t="str">
        <f>INDEX('реш СГД № 265'!$A:$N,MATCH('БА расх 2019-2020'!$L948,'реш СГД № 265'!$N:$N,0),3)</f>
        <v>Иные закупки товаров, работ и услуг для обеспечения государственных (муниципальных) нужд</v>
      </c>
      <c r="N948" s="17">
        <f t="shared" si="44"/>
        <v>1</v>
      </c>
    </row>
    <row r="949" spans="1:14" s="17" customFormat="1" ht="15.75">
      <c r="A949" s="14"/>
      <c r="B949" s="125" t="s">
        <v>30</v>
      </c>
      <c r="C949" s="109" t="s">
        <v>595</v>
      </c>
      <c r="D949" s="108" t="s">
        <v>317</v>
      </c>
      <c r="E949" s="108" t="s">
        <v>13</v>
      </c>
      <c r="F949" s="108" t="s">
        <v>632</v>
      </c>
      <c r="G949" s="108" t="s">
        <v>31</v>
      </c>
      <c r="H949" s="126">
        <v>0</v>
      </c>
      <c r="I949" s="126">
        <v>0</v>
      </c>
      <c r="J949" s="108">
        <v>310278280</v>
      </c>
      <c r="K949" s="108" t="str">
        <f t="shared" si="42"/>
        <v>0310278280</v>
      </c>
      <c r="L949" s="303" t="str">
        <f t="shared" si="43"/>
        <v>60910030310278280244</v>
      </c>
      <c r="M949" s="132"/>
      <c r="N949" s="17">
        <f t="shared" si="44"/>
        <v>0</v>
      </c>
    </row>
    <row r="950" spans="1:14" s="17" customFormat="1" ht="31.5">
      <c r="A950" s="14"/>
      <c r="B950" s="132" t="s">
        <v>493</v>
      </c>
      <c r="C950" s="109" t="s">
        <v>595</v>
      </c>
      <c r="D950" s="108" t="s">
        <v>317</v>
      </c>
      <c r="E950" s="108" t="s">
        <v>13</v>
      </c>
      <c r="F950" s="108" t="s">
        <v>632</v>
      </c>
      <c r="G950" s="108" t="s">
        <v>494</v>
      </c>
      <c r="H950" s="126">
        <v>0</v>
      </c>
      <c r="I950" s="126">
        <v>0</v>
      </c>
      <c r="J950" s="108">
        <v>310278280</v>
      </c>
      <c r="K950" s="108" t="str">
        <f t="shared" si="42"/>
        <v>0310278280</v>
      </c>
      <c r="L950" s="303" t="str">
        <f t="shared" si="43"/>
        <v>60910030310278280310</v>
      </c>
      <c r="M950" s="132" t="str">
        <f>INDEX('реш СГД № 265'!$A:$N,MATCH('БА расх 2019-2020'!$L950,'реш СГД № 265'!$N:$N,0),3)</f>
        <v>Публичные нормативные социальные выплаты гражданам</v>
      </c>
      <c r="N950" s="17">
        <f t="shared" si="44"/>
        <v>1</v>
      </c>
    </row>
    <row r="951" spans="1:14" s="17" customFormat="1" ht="31.5">
      <c r="A951" s="14"/>
      <c r="B951" s="127" t="s">
        <v>495</v>
      </c>
      <c r="C951" s="109" t="s">
        <v>595</v>
      </c>
      <c r="D951" s="108" t="s">
        <v>317</v>
      </c>
      <c r="E951" s="108" t="s">
        <v>13</v>
      </c>
      <c r="F951" s="108" t="s">
        <v>632</v>
      </c>
      <c r="G951" s="108" t="s">
        <v>496</v>
      </c>
      <c r="H951" s="126">
        <v>0</v>
      </c>
      <c r="I951" s="126">
        <v>0</v>
      </c>
      <c r="J951" s="108">
        <v>310278280</v>
      </c>
      <c r="K951" s="108" t="str">
        <f t="shared" si="42"/>
        <v>0310278280</v>
      </c>
      <c r="L951" s="303" t="str">
        <f t="shared" si="43"/>
        <v>60910030310278280313</v>
      </c>
      <c r="M951" s="132"/>
      <c r="N951" s="17">
        <f t="shared" si="44"/>
        <v>0</v>
      </c>
    </row>
    <row r="952" spans="1:14" s="17" customFormat="1" ht="63">
      <c r="A952" s="14"/>
      <c r="B952" s="132" t="s">
        <v>387</v>
      </c>
      <c r="C952" s="109" t="s">
        <v>595</v>
      </c>
      <c r="D952" s="108" t="s">
        <v>317</v>
      </c>
      <c r="E952" s="108" t="s">
        <v>13</v>
      </c>
      <c r="F952" s="108" t="s">
        <v>388</v>
      </c>
      <c r="G952" s="108" t="s">
        <v>9</v>
      </c>
      <c r="H952" s="126">
        <v>0</v>
      </c>
      <c r="I952" s="126">
        <v>0</v>
      </c>
      <c r="J952" s="108">
        <v>320000000</v>
      </c>
      <c r="K952" s="108" t="str">
        <f t="shared" si="42"/>
        <v>0320000000</v>
      </c>
      <c r="L952" s="303" t="str">
        <f t="shared" si="43"/>
        <v>60910030320000000000</v>
      </c>
      <c r="M952" s="132" t="str">
        <f>INDEX('реш СГД № 265'!$A:$N,MATCH('БА расх 2019-2020'!$L952,'реш СГД № 265'!$N:$N,0),3)</f>
        <v>Подпрограмма «Дополнительные меры социальной поддержки для отдельных категорий граждан, поддержка социально ориентированных некоммерческих организаций»</v>
      </c>
      <c r="N952" s="17">
        <f t="shared" si="44"/>
        <v>1</v>
      </c>
    </row>
    <row r="953" spans="1:14" s="17" customFormat="1" ht="47.25">
      <c r="A953" s="14"/>
      <c r="B953" s="148" t="s">
        <v>633</v>
      </c>
      <c r="C953" s="109" t="s">
        <v>595</v>
      </c>
      <c r="D953" s="108" t="s">
        <v>317</v>
      </c>
      <c r="E953" s="108" t="s">
        <v>13</v>
      </c>
      <c r="F953" s="108" t="s">
        <v>634</v>
      </c>
      <c r="G953" s="108" t="s">
        <v>9</v>
      </c>
      <c r="H953" s="126">
        <v>0</v>
      </c>
      <c r="I953" s="126">
        <v>0</v>
      </c>
      <c r="J953" s="108">
        <v>320100000</v>
      </c>
      <c r="K953" s="108" t="str">
        <f t="shared" si="42"/>
        <v>0320100000</v>
      </c>
      <c r="L953" s="303" t="str">
        <f t="shared" si="43"/>
        <v>60910030320100000000</v>
      </c>
      <c r="M953" s="132" t="str">
        <f>INDEX('реш СГД № 265'!$A:$N,MATCH('БА расх 2019-2020'!$L953,'реш СГД № 265'!$N:$N,0),3)</f>
        <v>Основное мероприятие «Предоставление дополнительных мер социальной поддержки отдельным категориям граждан»</v>
      </c>
      <c r="N953" s="17">
        <f t="shared" si="44"/>
        <v>1</v>
      </c>
    </row>
    <row r="954" spans="1:14" s="17" customFormat="1" ht="47.25">
      <c r="A954" s="14"/>
      <c r="B954" s="148" t="s">
        <v>1124</v>
      </c>
      <c r="C954" s="109" t="s">
        <v>595</v>
      </c>
      <c r="D954" s="108" t="s">
        <v>317</v>
      </c>
      <c r="E954" s="108" t="s">
        <v>13</v>
      </c>
      <c r="F954" s="108" t="s">
        <v>1125</v>
      </c>
      <c r="G954" s="108" t="s">
        <v>9</v>
      </c>
      <c r="H954" s="126">
        <v>0</v>
      </c>
      <c r="I954" s="126">
        <v>0</v>
      </c>
      <c r="J954" s="108">
        <v>320180010</v>
      </c>
      <c r="K954" s="108" t="str">
        <f t="shared" si="42"/>
        <v>0320180010</v>
      </c>
      <c r="L954" s="303" t="str">
        <f t="shared" si="43"/>
        <v>60910030320180010000</v>
      </c>
      <c r="M954" s="132" t="str">
        <f>INDEX('реш СГД № 265'!$A:$N,MATCH('БА расх 2019-2020'!$L954,'реш СГД № 265'!$N:$N,0),3)</f>
        <v>Компенсация затрат по оплате проезда больным, направленным в федеральные учреждения здравоохранения</v>
      </c>
      <c r="N954" s="17">
        <f t="shared" si="44"/>
        <v>1</v>
      </c>
    </row>
    <row r="955" spans="1:14" s="17" customFormat="1" ht="31.5">
      <c r="A955" s="14"/>
      <c r="B955" s="132" t="s">
        <v>493</v>
      </c>
      <c r="C955" s="109" t="s">
        <v>595</v>
      </c>
      <c r="D955" s="108" t="s">
        <v>317</v>
      </c>
      <c r="E955" s="108" t="s">
        <v>13</v>
      </c>
      <c r="F955" s="108" t="s">
        <v>1125</v>
      </c>
      <c r="G955" s="108" t="s">
        <v>494</v>
      </c>
      <c r="H955" s="126">
        <v>0</v>
      </c>
      <c r="I955" s="126">
        <v>0</v>
      </c>
      <c r="J955" s="108">
        <v>320180010</v>
      </c>
      <c r="K955" s="108" t="str">
        <f t="shared" si="42"/>
        <v>0320180010</v>
      </c>
      <c r="L955" s="303" t="str">
        <f t="shared" si="43"/>
        <v>60910030320180010310</v>
      </c>
      <c r="M955" s="132" t="str">
        <f>INDEX('реш СГД № 265'!$A:$N,MATCH('БА расх 2019-2020'!$L955,'реш СГД № 265'!$N:$N,0),3)</f>
        <v>Публичные нормативные социальные выплаты гражданам</v>
      </c>
      <c r="N955" s="17">
        <f t="shared" si="44"/>
        <v>1</v>
      </c>
    </row>
    <row r="956" spans="1:14" s="17" customFormat="1" ht="31.5">
      <c r="A956" s="14"/>
      <c r="B956" s="127" t="s">
        <v>495</v>
      </c>
      <c r="C956" s="109" t="s">
        <v>595</v>
      </c>
      <c r="D956" s="108" t="s">
        <v>317</v>
      </c>
      <c r="E956" s="108" t="s">
        <v>13</v>
      </c>
      <c r="F956" s="108" t="s">
        <v>1125</v>
      </c>
      <c r="G956" s="108" t="s">
        <v>496</v>
      </c>
      <c r="H956" s="126">
        <v>0</v>
      </c>
      <c r="I956" s="126">
        <v>0</v>
      </c>
      <c r="J956" s="108">
        <v>320180010</v>
      </c>
      <c r="K956" s="108" t="str">
        <f t="shared" si="42"/>
        <v>0320180010</v>
      </c>
      <c r="L956" s="303" t="str">
        <f t="shared" si="43"/>
        <v>60910030320180010313</v>
      </c>
      <c r="M956" s="132"/>
      <c r="N956" s="17">
        <f t="shared" si="44"/>
        <v>0</v>
      </c>
    </row>
    <row r="957" spans="1:14" s="17" customFormat="1" ht="63">
      <c r="A957" s="14"/>
      <c r="B957" s="149" t="s">
        <v>635</v>
      </c>
      <c r="C957" s="109" t="s">
        <v>595</v>
      </c>
      <c r="D957" s="108" t="s">
        <v>317</v>
      </c>
      <c r="E957" s="108" t="s">
        <v>13</v>
      </c>
      <c r="F957" s="108" t="s">
        <v>636</v>
      </c>
      <c r="G957" s="108" t="s">
        <v>9</v>
      </c>
      <c r="H957" s="126">
        <v>0</v>
      </c>
      <c r="I957" s="126">
        <v>0</v>
      </c>
      <c r="J957" s="108">
        <v>320180030</v>
      </c>
      <c r="K957" s="108" t="str">
        <f t="shared" si="42"/>
        <v>0320180030</v>
      </c>
      <c r="L957" s="303" t="str">
        <f t="shared" si="43"/>
        <v>60910030320180030000</v>
      </c>
      <c r="M957" s="132" t="str">
        <f>INDEX('реш СГД № 265'!$A:$N,MATCH('БА расх 2019-2020'!$L957,'реш СГД № 265'!$N:$N,0),3)</f>
        <v>Выплата ежемесячного пособия малообеспеченной многодетной семье, имеющей детей в возрасте до 3 лет, и малообеспеченной одинокой матери, имеющей детей в возрасте от 1,5 до 3 лет</v>
      </c>
      <c r="N957" s="17">
        <f t="shared" si="44"/>
        <v>1</v>
      </c>
    </row>
    <row r="958" spans="1:14" s="17" customFormat="1" ht="31.5">
      <c r="A958" s="14"/>
      <c r="B958" s="132" t="s">
        <v>493</v>
      </c>
      <c r="C958" s="109" t="s">
        <v>595</v>
      </c>
      <c r="D958" s="108" t="s">
        <v>317</v>
      </c>
      <c r="E958" s="108" t="s">
        <v>13</v>
      </c>
      <c r="F958" s="108" t="s">
        <v>636</v>
      </c>
      <c r="G958" s="108" t="s">
        <v>494</v>
      </c>
      <c r="H958" s="126">
        <v>0</v>
      </c>
      <c r="I958" s="126">
        <v>0</v>
      </c>
      <c r="J958" s="108">
        <v>320180030</v>
      </c>
      <c r="K958" s="108" t="str">
        <f t="shared" si="42"/>
        <v>0320180030</v>
      </c>
      <c r="L958" s="303" t="str">
        <f t="shared" si="43"/>
        <v>60910030320180030310</v>
      </c>
      <c r="M958" s="132" t="str">
        <f>INDEX('реш СГД № 265'!$A:$N,MATCH('БА расх 2019-2020'!$L958,'реш СГД № 265'!$N:$N,0),3)</f>
        <v>Публичные нормативные социальные выплаты гражданам</v>
      </c>
      <c r="N958" s="17">
        <f t="shared" si="44"/>
        <v>1</v>
      </c>
    </row>
    <row r="959" spans="1:14" s="17" customFormat="1" ht="31.5">
      <c r="A959" s="14"/>
      <c r="B959" s="127" t="s">
        <v>495</v>
      </c>
      <c r="C959" s="109" t="s">
        <v>595</v>
      </c>
      <c r="D959" s="108" t="s">
        <v>317</v>
      </c>
      <c r="E959" s="108" t="s">
        <v>13</v>
      </c>
      <c r="F959" s="108" t="s">
        <v>636</v>
      </c>
      <c r="G959" s="108" t="s">
        <v>496</v>
      </c>
      <c r="H959" s="126">
        <v>0</v>
      </c>
      <c r="I959" s="126">
        <v>0</v>
      </c>
      <c r="J959" s="108">
        <v>320180030</v>
      </c>
      <c r="K959" s="108" t="str">
        <f t="shared" si="42"/>
        <v>0320180030</v>
      </c>
      <c r="L959" s="303" t="str">
        <f t="shared" si="43"/>
        <v>60910030320180030313</v>
      </c>
      <c r="M959" s="132"/>
      <c r="N959" s="17">
        <f t="shared" si="44"/>
        <v>0</v>
      </c>
    </row>
    <row r="960" spans="1:14" s="17" customFormat="1" ht="31.5">
      <c r="A960" s="14"/>
      <c r="B960" s="149" t="s">
        <v>1126</v>
      </c>
      <c r="C960" s="109" t="s">
        <v>595</v>
      </c>
      <c r="D960" s="108" t="s">
        <v>317</v>
      </c>
      <c r="E960" s="108" t="s">
        <v>13</v>
      </c>
      <c r="F960" s="108" t="s">
        <v>1127</v>
      </c>
      <c r="G960" s="108" t="s">
        <v>9</v>
      </c>
      <c r="H960" s="126">
        <v>0</v>
      </c>
      <c r="I960" s="126">
        <v>0</v>
      </c>
      <c r="J960" s="108">
        <v>320180040</v>
      </c>
      <c r="K960" s="108" t="str">
        <f t="shared" si="42"/>
        <v>0320180040</v>
      </c>
      <c r="L960" s="303" t="str">
        <f t="shared" si="43"/>
        <v>60910030320180040000</v>
      </c>
      <c r="M960" s="132" t="str">
        <f>INDEX('реш СГД № 265'!$A:$N,MATCH('БА расх 2019-2020'!$L960,'реш СГД № 265'!$N:$N,0),3)</f>
        <v>Выплата ежемесячного пособия студенческим семьям, имеющим детей</v>
      </c>
      <c r="N960" s="17">
        <f t="shared" si="44"/>
        <v>1</v>
      </c>
    </row>
    <row r="961" spans="1:14" s="17" customFormat="1" ht="31.5">
      <c r="A961" s="14"/>
      <c r="B961" s="132" t="s">
        <v>493</v>
      </c>
      <c r="C961" s="109" t="s">
        <v>595</v>
      </c>
      <c r="D961" s="108" t="s">
        <v>317</v>
      </c>
      <c r="E961" s="108" t="s">
        <v>13</v>
      </c>
      <c r="F961" s="108" t="s">
        <v>1127</v>
      </c>
      <c r="G961" s="108" t="s">
        <v>494</v>
      </c>
      <c r="H961" s="126">
        <v>0</v>
      </c>
      <c r="I961" s="126">
        <v>0</v>
      </c>
      <c r="J961" s="108">
        <v>320180040</v>
      </c>
      <c r="K961" s="108" t="str">
        <f t="shared" si="42"/>
        <v>0320180040</v>
      </c>
      <c r="L961" s="303" t="str">
        <f t="shared" si="43"/>
        <v>60910030320180040310</v>
      </c>
      <c r="M961" s="132" t="str">
        <f>INDEX('реш СГД № 265'!$A:$N,MATCH('БА расх 2019-2020'!$L961,'реш СГД № 265'!$N:$N,0),3)</f>
        <v>Публичные нормативные социальные выплаты гражданам</v>
      </c>
      <c r="N961" s="17">
        <f t="shared" si="44"/>
        <v>1</v>
      </c>
    </row>
    <row r="962" spans="1:14" s="17" customFormat="1" ht="31.5">
      <c r="A962" s="14"/>
      <c r="B962" s="127" t="s">
        <v>495</v>
      </c>
      <c r="C962" s="109" t="s">
        <v>595</v>
      </c>
      <c r="D962" s="108" t="s">
        <v>317</v>
      </c>
      <c r="E962" s="108" t="s">
        <v>13</v>
      </c>
      <c r="F962" s="108" t="s">
        <v>1127</v>
      </c>
      <c r="G962" s="108" t="s">
        <v>496</v>
      </c>
      <c r="H962" s="126">
        <v>0</v>
      </c>
      <c r="I962" s="126">
        <v>0</v>
      </c>
      <c r="J962" s="108">
        <v>320180040</v>
      </c>
      <c r="K962" s="108" t="str">
        <f t="shared" si="42"/>
        <v>0320180040</v>
      </c>
      <c r="L962" s="303" t="str">
        <f t="shared" si="43"/>
        <v>60910030320180040313</v>
      </c>
      <c r="M962" s="132"/>
      <c r="N962" s="17">
        <f t="shared" si="44"/>
        <v>0</v>
      </c>
    </row>
    <row r="963" spans="1:14" s="17" customFormat="1" ht="31.5">
      <c r="A963" s="14"/>
      <c r="B963" s="149" t="s">
        <v>1128</v>
      </c>
      <c r="C963" s="109" t="s">
        <v>595</v>
      </c>
      <c r="D963" s="108" t="s">
        <v>317</v>
      </c>
      <c r="E963" s="108" t="s">
        <v>13</v>
      </c>
      <c r="F963" s="108" t="s">
        <v>1129</v>
      </c>
      <c r="G963" s="108" t="s">
        <v>9</v>
      </c>
      <c r="H963" s="126">
        <v>0</v>
      </c>
      <c r="I963" s="126">
        <v>0</v>
      </c>
      <c r="J963" s="108">
        <v>320180050</v>
      </c>
      <c r="K963" s="108" t="str">
        <f t="shared" si="42"/>
        <v>0320180050</v>
      </c>
      <c r="L963" s="303" t="str">
        <f t="shared" si="43"/>
        <v>60910030320180050000</v>
      </c>
      <c r="M963" s="132" t="str">
        <f>INDEX('реш СГД № 265'!$A:$N,MATCH('БА расх 2019-2020'!$L963,'реш СГД № 265'!$N:$N,0),3)</f>
        <v>Выплата единовременного пособия семьям при рождении третьего по счету и последующих детей</v>
      </c>
      <c r="N963" s="17">
        <f t="shared" si="44"/>
        <v>1</v>
      </c>
    </row>
    <row r="964" spans="1:14" s="17" customFormat="1" ht="31.5">
      <c r="A964" s="14"/>
      <c r="B964" s="132" t="s">
        <v>493</v>
      </c>
      <c r="C964" s="109" t="s">
        <v>595</v>
      </c>
      <c r="D964" s="108" t="s">
        <v>317</v>
      </c>
      <c r="E964" s="108" t="s">
        <v>13</v>
      </c>
      <c r="F964" s="108" t="s">
        <v>1129</v>
      </c>
      <c r="G964" s="108" t="s">
        <v>494</v>
      </c>
      <c r="H964" s="126">
        <v>0</v>
      </c>
      <c r="I964" s="126">
        <v>0</v>
      </c>
      <c r="J964" s="108">
        <v>320180050</v>
      </c>
      <c r="K964" s="108" t="str">
        <f t="shared" si="42"/>
        <v>0320180050</v>
      </c>
      <c r="L964" s="303" t="str">
        <f t="shared" si="43"/>
        <v>60910030320180050310</v>
      </c>
      <c r="M964" s="132" t="str">
        <f>INDEX('реш СГД № 265'!$A:$N,MATCH('БА расх 2019-2020'!$L964,'реш СГД № 265'!$N:$N,0),3)</f>
        <v>Публичные нормативные социальные выплаты гражданам</v>
      </c>
      <c r="N964" s="17">
        <f t="shared" si="44"/>
        <v>1</v>
      </c>
    </row>
    <row r="965" spans="1:14" s="17" customFormat="1" ht="31.5">
      <c r="A965" s="14"/>
      <c r="B965" s="127" t="s">
        <v>495</v>
      </c>
      <c r="C965" s="109" t="s">
        <v>595</v>
      </c>
      <c r="D965" s="108" t="s">
        <v>317</v>
      </c>
      <c r="E965" s="108" t="s">
        <v>13</v>
      </c>
      <c r="F965" s="108" t="s">
        <v>1129</v>
      </c>
      <c r="G965" s="108" t="s">
        <v>496</v>
      </c>
      <c r="H965" s="126">
        <v>0</v>
      </c>
      <c r="I965" s="126">
        <v>0</v>
      </c>
      <c r="J965" s="108">
        <v>320180050</v>
      </c>
      <c r="K965" s="108" t="str">
        <f t="shared" si="42"/>
        <v>0320180050</v>
      </c>
      <c r="L965" s="303" t="str">
        <f t="shared" si="43"/>
        <v>60910030320180050313</v>
      </c>
      <c r="M965" s="132"/>
      <c r="N965" s="17">
        <f t="shared" si="44"/>
        <v>0</v>
      </c>
    </row>
    <row r="966" spans="1:14" s="17" customFormat="1" ht="63">
      <c r="A966" s="14"/>
      <c r="B966" s="149" t="s">
        <v>637</v>
      </c>
      <c r="C966" s="109" t="s">
        <v>595</v>
      </c>
      <c r="D966" s="108" t="s">
        <v>317</v>
      </c>
      <c r="E966" s="108" t="s">
        <v>13</v>
      </c>
      <c r="F966" s="108" t="s">
        <v>638</v>
      </c>
      <c r="G966" s="108" t="s">
        <v>9</v>
      </c>
      <c r="H966" s="126">
        <v>0</v>
      </c>
      <c r="I966" s="126">
        <v>0</v>
      </c>
      <c r="J966" s="108">
        <v>320180070</v>
      </c>
      <c r="K966" s="108" t="str">
        <f t="shared" si="42"/>
        <v>0320180070</v>
      </c>
      <c r="L966" s="303" t="str">
        <f t="shared" si="43"/>
        <v>60910030320180070000</v>
      </c>
      <c r="M966" s="132" t="str">
        <f>INDEX('реш СГД № 265'!$A:$N,MATCH('БА расх 2019-2020'!$L966,'реш СГД № 265'!$N:$N,0),3)</f>
        <v>Осуществление ежемесячной денежной выплаты ветеранам боевых действий из числа лиц, принимавших участие в боевых действиях на территориях других государств</v>
      </c>
      <c r="N966" s="17">
        <f t="shared" si="44"/>
        <v>1</v>
      </c>
    </row>
    <row r="967" spans="1:14" s="17" customFormat="1" ht="31.5">
      <c r="A967" s="14"/>
      <c r="B967" s="132" t="s">
        <v>493</v>
      </c>
      <c r="C967" s="109" t="s">
        <v>595</v>
      </c>
      <c r="D967" s="108" t="s">
        <v>317</v>
      </c>
      <c r="E967" s="108" t="s">
        <v>13</v>
      </c>
      <c r="F967" s="108" t="s">
        <v>638</v>
      </c>
      <c r="G967" s="108" t="s">
        <v>494</v>
      </c>
      <c r="H967" s="126">
        <v>0</v>
      </c>
      <c r="I967" s="126">
        <v>0</v>
      </c>
      <c r="J967" s="108">
        <v>320180070</v>
      </c>
      <c r="K967" s="108" t="str">
        <f t="shared" si="42"/>
        <v>0320180070</v>
      </c>
      <c r="L967" s="303" t="str">
        <f t="shared" si="43"/>
        <v>60910030320180070310</v>
      </c>
      <c r="M967" s="132" t="str">
        <f>INDEX('реш СГД № 265'!$A:$N,MATCH('БА расх 2019-2020'!$L967,'реш СГД № 265'!$N:$N,0),3)</f>
        <v>Публичные нормативные социальные выплаты гражданам</v>
      </c>
      <c r="N967" s="17">
        <f t="shared" si="44"/>
        <v>1</v>
      </c>
    </row>
    <row r="968" spans="1:14" s="17" customFormat="1" ht="31.5">
      <c r="A968" s="14"/>
      <c r="B968" s="127" t="s">
        <v>495</v>
      </c>
      <c r="C968" s="109" t="s">
        <v>595</v>
      </c>
      <c r="D968" s="108" t="s">
        <v>317</v>
      </c>
      <c r="E968" s="108" t="s">
        <v>13</v>
      </c>
      <c r="F968" s="108" t="s">
        <v>638</v>
      </c>
      <c r="G968" s="108" t="s">
        <v>496</v>
      </c>
      <c r="H968" s="126">
        <v>0</v>
      </c>
      <c r="I968" s="126">
        <v>0</v>
      </c>
      <c r="J968" s="108">
        <v>320180070</v>
      </c>
      <c r="K968" s="108" t="str">
        <f t="shared" si="42"/>
        <v>0320180070</v>
      </c>
      <c r="L968" s="303" t="str">
        <f t="shared" si="43"/>
        <v>60910030320180070313</v>
      </c>
      <c r="M968" s="132"/>
      <c r="N968" s="17">
        <f t="shared" si="44"/>
        <v>0</v>
      </c>
    </row>
    <row r="969" spans="1:14" s="17" customFormat="1" ht="31.5">
      <c r="A969" s="14"/>
      <c r="B969" s="149" t="s">
        <v>639</v>
      </c>
      <c r="C969" s="109" t="s">
        <v>595</v>
      </c>
      <c r="D969" s="108" t="s">
        <v>317</v>
      </c>
      <c r="E969" s="108" t="s">
        <v>13</v>
      </c>
      <c r="F969" s="108" t="s">
        <v>640</v>
      </c>
      <c r="G969" s="108" t="s">
        <v>9</v>
      </c>
      <c r="H969" s="126">
        <v>0</v>
      </c>
      <c r="I969" s="126">
        <v>0</v>
      </c>
      <c r="J969" s="108">
        <v>320180080</v>
      </c>
      <c r="K969" s="108" t="str">
        <f t="shared" si="42"/>
        <v>0320180080</v>
      </c>
      <c r="L969" s="303" t="str">
        <f t="shared" si="43"/>
        <v>60910030320180080000</v>
      </c>
      <c r="M969" s="132" t="str">
        <f>INDEX('реш СГД № 265'!$A:$N,MATCH('БА расх 2019-2020'!$L969,'реш СГД № 265'!$N:$N,0),3)</f>
        <v>Предоставление мер социальной поддержки Почетным гражданам города Ставрополя</v>
      </c>
      <c r="N969" s="17">
        <f t="shared" si="44"/>
        <v>1</v>
      </c>
    </row>
    <row r="970" spans="1:14" s="17" customFormat="1" ht="31.5">
      <c r="A970" s="14"/>
      <c r="B970" s="132" t="s">
        <v>493</v>
      </c>
      <c r="C970" s="109" t="s">
        <v>595</v>
      </c>
      <c r="D970" s="108" t="s">
        <v>317</v>
      </c>
      <c r="E970" s="108" t="s">
        <v>13</v>
      </c>
      <c r="F970" s="108" t="s">
        <v>640</v>
      </c>
      <c r="G970" s="108" t="s">
        <v>494</v>
      </c>
      <c r="H970" s="126">
        <v>0</v>
      </c>
      <c r="I970" s="126">
        <v>0</v>
      </c>
      <c r="J970" s="108">
        <v>320180080</v>
      </c>
      <c r="K970" s="108" t="str">
        <f t="shared" si="42"/>
        <v>0320180080</v>
      </c>
      <c r="L970" s="303" t="str">
        <f t="shared" si="43"/>
        <v>60910030320180080310</v>
      </c>
      <c r="M970" s="132" t="str">
        <f>INDEX('реш СГД № 265'!$A:$N,MATCH('БА расх 2019-2020'!$L970,'реш СГД № 265'!$N:$N,0),3)</f>
        <v>Публичные нормативные социальные выплаты гражданам</v>
      </c>
      <c r="N970" s="17">
        <f t="shared" si="44"/>
        <v>1</v>
      </c>
    </row>
    <row r="971" spans="1:14" s="17" customFormat="1" ht="31.5">
      <c r="A971" s="14"/>
      <c r="B971" s="127" t="s">
        <v>495</v>
      </c>
      <c r="C971" s="109" t="s">
        <v>595</v>
      </c>
      <c r="D971" s="108" t="s">
        <v>317</v>
      </c>
      <c r="E971" s="108" t="s">
        <v>13</v>
      </c>
      <c r="F971" s="108" t="s">
        <v>640</v>
      </c>
      <c r="G971" s="108" t="s">
        <v>496</v>
      </c>
      <c r="H971" s="126">
        <v>0</v>
      </c>
      <c r="I971" s="126">
        <v>0</v>
      </c>
      <c r="J971" s="108">
        <v>320180080</v>
      </c>
      <c r="K971" s="108" t="str">
        <f t="shared" si="42"/>
        <v>0320180080</v>
      </c>
      <c r="L971" s="303" t="str">
        <f t="shared" si="43"/>
        <v>60910030320180080313</v>
      </c>
      <c r="M971" s="132"/>
      <c r="N971" s="17">
        <f t="shared" si="44"/>
        <v>0</v>
      </c>
    </row>
    <row r="972" spans="1:14" s="17" customFormat="1" ht="31.5">
      <c r="A972" s="14"/>
      <c r="B972" s="149" t="s">
        <v>1130</v>
      </c>
      <c r="C972" s="109" t="s">
        <v>595</v>
      </c>
      <c r="D972" s="108" t="s">
        <v>317</v>
      </c>
      <c r="E972" s="108" t="s">
        <v>13</v>
      </c>
      <c r="F972" s="108" t="s">
        <v>1131</v>
      </c>
      <c r="G972" s="108" t="s">
        <v>9</v>
      </c>
      <c r="H972" s="126">
        <v>0</v>
      </c>
      <c r="I972" s="126">
        <v>0</v>
      </c>
      <c r="J972" s="108">
        <v>320180090</v>
      </c>
      <c r="K972" s="108" t="str">
        <f t="shared" si="42"/>
        <v>0320180090</v>
      </c>
      <c r="L972" s="303" t="str">
        <f t="shared" si="43"/>
        <v>60910030320180090000</v>
      </c>
      <c r="M972" s="132" t="str">
        <f>INDEX('реш СГД № 265'!$A:$N,MATCH('БА расх 2019-2020'!$L972,'реш СГД № 265'!$N:$N,0),3)</f>
        <v>Выплата ежемесячного пособия лицам, осуществляющим уход за инвалидами I группы</v>
      </c>
      <c r="N972" s="17">
        <f t="shared" si="44"/>
        <v>1</v>
      </c>
    </row>
    <row r="973" spans="1:14" s="17" customFormat="1" ht="31.5">
      <c r="A973" s="14"/>
      <c r="B973" s="132" t="s">
        <v>493</v>
      </c>
      <c r="C973" s="109" t="s">
        <v>595</v>
      </c>
      <c r="D973" s="108" t="s">
        <v>317</v>
      </c>
      <c r="E973" s="108" t="s">
        <v>13</v>
      </c>
      <c r="F973" s="108" t="s">
        <v>1131</v>
      </c>
      <c r="G973" s="108" t="s">
        <v>494</v>
      </c>
      <c r="H973" s="126">
        <v>0</v>
      </c>
      <c r="I973" s="126">
        <v>0</v>
      </c>
      <c r="J973" s="108">
        <v>320180090</v>
      </c>
      <c r="K973" s="108" t="str">
        <f t="shared" ref="K973:K1036" si="45">TEXT(J973,"0000000000")</f>
        <v>0320180090</v>
      </c>
      <c r="L973" s="303" t="str">
        <f t="shared" si="43"/>
        <v>60910030320180090310</v>
      </c>
      <c r="M973" s="132" t="str">
        <f>INDEX('реш СГД № 265'!$A:$N,MATCH('БА расх 2019-2020'!$L973,'реш СГД № 265'!$N:$N,0),3)</f>
        <v>Публичные нормативные социальные выплаты гражданам</v>
      </c>
      <c r="N973" s="17">
        <f t="shared" si="44"/>
        <v>1</v>
      </c>
    </row>
    <row r="974" spans="1:14" s="17" customFormat="1" ht="31.5">
      <c r="A974" s="14"/>
      <c r="B974" s="127" t="s">
        <v>495</v>
      </c>
      <c r="C974" s="109" t="s">
        <v>595</v>
      </c>
      <c r="D974" s="108" t="s">
        <v>317</v>
      </c>
      <c r="E974" s="108" t="s">
        <v>13</v>
      </c>
      <c r="F974" s="108" t="s">
        <v>1131</v>
      </c>
      <c r="G974" s="108" t="s">
        <v>496</v>
      </c>
      <c r="H974" s="126">
        <v>0</v>
      </c>
      <c r="I974" s="126">
        <v>0</v>
      </c>
      <c r="J974" s="108">
        <v>320180090</v>
      </c>
      <c r="K974" s="108" t="str">
        <f t="shared" si="45"/>
        <v>0320180090</v>
      </c>
      <c r="L974" s="303" t="str">
        <f t="shared" ref="L974:L1037" si="46">C974&amp;D974&amp;E974&amp;K974&amp;G974</f>
        <v>60910030320180090313</v>
      </c>
      <c r="M974" s="132"/>
      <c r="N974" s="17">
        <f t="shared" ref="N974:N1037" si="47">IF(B974=M974,1,0)</f>
        <v>0</v>
      </c>
    </row>
    <row r="975" spans="1:14" s="17" customFormat="1" ht="31.5">
      <c r="A975" s="14"/>
      <c r="B975" s="149" t="s">
        <v>641</v>
      </c>
      <c r="C975" s="109" t="s">
        <v>595</v>
      </c>
      <c r="D975" s="108" t="s">
        <v>317</v>
      </c>
      <c r="E975" s="108" t="s">
        <v>13</v>
      </c>
      <c r="F975" s="108" t="s">
        <v>642</v>
      </c>
      <c r="G975" s="108" t="s">
        <v>9</v>
      </c>
      <c r="H975" s="126">
        <v>0</v>
      </c>
      <c r="I975" s="126">
        <v>0</v>
      </c>
      <c r="J975" s="108">
        <v>320180100</v>
      </c>
      <c r="K975" s="108" t="str">
        <f t="shared" si="45"/>
        <v>0320180100</v>
      </c>
      <c r="L975" s="303" t="str">
        <f t="shared" si="46"/>
        <v>60910030320180100000</v>
      </c>
      <c r="M975" s="132" t="str">
        <f>INDEX('реш СГД № 265'!$A:$N,MATCH('БА расх 2019-2020'!$L975,'реш СГД № 265'!$N:$N,0),3)</f>
        <v>Осуществление ежемесячной дополнительной выплаты семьям, воспитывающим детей-инвалидов</v>
      </c>
      <c r="N975" s="17">
        <f t="shared" si="47"/>
        <v>1</v>
      </c>
    </row>
    <row r="976" spans="1:14" s="17" customFormat="1" ht="31.5">
      <c r="A976" s="14"/>
      <c r="B976" s="132" t="s">
        <v>493</v>
      </c>
      <c r="C976" s="109" t="s">
        <v>595</v>
      </c>
      <c r="D976" s="108" t="s">
        <v>317</v>
      </c>
      <c r="E976" s="108" t="s">
        <v>13</v>
      </c>
      <c r="F976" s="108" t="s">
        <v>642</v>
      </c>
      <c r="G976" s="108" t="s">
        <v>494</v>
      </c>
      <c r="H976" s="126">
        <v>0</v>
      </c>
      <c r="I976" s="126">
        <v>0</v>
      </c>
      <c r="J976" s="108">
        <v>320180100</v>
      </c>
      <c r="K976" s="108" t="str">
        <f t="shared" si="45"/>
        <v>0320180100</v>
      </c>
      <c r="L976" s="303" t="str">
        <f t="shared" si="46"/>
        <v>60910030320180100310</v>
      </c>
      <c r="M976" s="132" t="str">
        <f>INDEX('реш СГД № 265'!$A:$N,MATCH('БА расх 2019-2020'!$L976,'реш СГД № 265'!$N:$N,0),3)</f>
        <v>Публичные нормативные социальные выплаты гражданам</v>
      </c>
      <c r="N976" s="17">
        <f t="shared" si="47"/>
        <v>1</v>
      </c>
    </row>
    <row r="977" spans="1:14" s="17" customFormat="1" ht="31.5">
      <c r="A977" s="14"/>
      <c r="B977" s="127" t="s">
        <v>495</v>
      </c>
      <c r="C977" s="109" t="s">
        <v>595</v>
      </c>
      <c r="D977" s="108" t="s">
        <v>317</v>
      </c>
      <c r="E977" s="108" t="s">
        <v>13</v>
      </c>
      <c r="F977" s="108" t="s">
        <v>642</v>
      </c>
      <c r="G977" s="108" t="s">
        <v>496</v>
      </c>
      <c r="H977" s="126">
        <v>0</v>
      </c>
      <c r="I977" s="126">
        <v>0</v>
      </c>
      <c r="J977" s="108">
        <v>320180100</v>
      </c>
      <c r="K977" s="108" t="str">
        <f t="shared" si="45"/>
        <v>0320180100</v>
      </c>
      <c r="L977" s="303" t="str">
        <f t="shared" si="46"/>
        <v>60910030320180100313</v>
      </c>
      <c r="M977" s="132"/>
      <c r="N977" s="17">
        <f t="shared" si="47"/>
        <v>0</v>
      </c>
    </row>
    <row r="978" spans="1:14" s="17" customFormat="1" ht="47.25">
      <c r="A978" s="14"/>
      <c r="B978" s="149" t="s">
        <v>643</v>
      </c>
      <c r="C978" s="109" t="s">
        <v>595</v>
      </c>
      <c r="D978" s="108" t="s">
        <v>317</v>
      </c>
      <c r="E978" s="108" t="s">
        <v>13</v>
      </c>
      <c r="F978" s="108" t="s">
        <v>644</v>
      </c>
      <c r="G978" s="108" t="s">
        <v>9</v>
      </c>
      <c r="H978" s="126">
        <v>0</v>
      </c>
      <c r="I978" s="126">
        <v>0</v>
      </c>
      <c r="J978" s="108">
        <v>320180110</v>
      </c>
      <c r="K978" s="108" t="str">
        <f t="shared" si="45"/>
        <v>0320180110</v>
      </c>
      <c r="L978" s="303" t="str">
        <f t="shared" si="46"/>
        <v>60910030320180110000</v>
      </c>
      <c r="M978" s="132" t="str">
        <f>INDEX('реш СГД № 265'!$A:$N,MATCH('БА расх 2019-2020'!$L978,'реш СГД № 265'!$N:$N,0),3)</f>
        <v>Выплата ежемесячного социального пособия на проезд в пассажирском транспорте общего пользования детям-инвалидам</v>
      </c>
      <c r="N978" s="17">
        <f t="shared" si="47"/>
        <v>1</v>
      </c>
    </row>
    <row r="979" spans="1:14" s="17" customFormat="1" ht="31.5">
      <c r="A979" s="14"/>
      <c r="B979" s="132" t="s">
        <v>493</v>
      </c>
      <c r="C979" s="109" t="s">
        <v>595</v>
      </c>
      <c r="D979" s="108" t="s">
        <v>317</v>
      </c>
      <c r="E979" s="108" t="s">
        <v>13</v>
      </c>
      <c r="F979" s="108" t="s">
        <v>644</v>
      </c>
      <c r="G979" s="108" t="s">
        <v>494</v>
      </c>
      <c r="H979" s="126">
        <v>0</v>
      </c>
      <c r="I979" s="126">
        <v>0</v>
      </c>
      <c r="J979" s="108">
        <v>320180110</v>
      </c>
      <c r="K979" s="108" t="str">
        <f t="shared" si="45"/>
        <v>0320180110</v>
      </c>
      <c r="L979" s="303" t="str">
        <f t="shared" si="46"/>
        <v>60910030320180110310</v>
      </c>
      <c r="M979" s="132" t="str">
        <f>INDEX('реш СГД № 265'!$A:$N,MATCH('БА расх 2019-2020'!$L979,'реш СГД № 265'!$N:$N,0),3)</f>
        <v>Публичные нормативные социальные выплаты гражданам</v>
      </c>
      <c r="N979" s="17">
        <f t="shared" si="47"/>
        <v>1</v>
      </c>
    </row>
    <row r="980" spans="1:14" s="17" customFormat="1" ht="31.5">
      <c r="A980" s="14"/>
      <c r="B980" s="127" t="s">
        <v>495</v>
      </c>
      <c r="C980" s="109" t="s">
        <v>595</v>
      </c>
      <c r="D980" s="108" t="s">
        <v>317</v>
      </c>
      <c r="E980" s="108" t="s">
        <v>13</v>
      </c>
      <c r="F980" s="108" t="s">
        <v>644</v>
      </c>
      <c r="G980" s="108" t="s">
        <v>496</v>
      </c>
      <c r="H980" s="126">
        <v>0</v>
      </c>
      <c r="I980" s="126">
        <v>0</v>
      </c>
      <c r="J980" s="108">
        <v>320180110</v>
      </c>
      <c r="K980" s="108" t="str">
        <f t="shared" si="45"/>
        <v>0320180110</v>
      </c>
      <c r="L980" s="303" t="str">
        <f t="shared" si="46"/>
        <v>60910030320180110313</v>
      </c>
      <c r="M980" s="132"/>
      <c r="N980" s="17">
        <f t="shared" si="47"/>
        <v>0</v>
      </c>
    </row>
    <row r="981" spans="1:14" s="17" customFormat="1" ht="173.25">
      <c r="A981" s="14"/>
      <c r="B981" s="149" t="s">
        <v>645</v>
      </c>
      <c r="C981" s="109" t="s">
        <v>595</v>
      </c>
      <c r="D981" s="108" t="s">
        <v>317</v>
      </c>
      <c r="E981" s="108" t="s">
        <v>13</v>
      </c>
      <c r="F981" s="108" t="s">
        <v>646</v>
      </c>
      <c r="G981" s="108" t="s">
        <v>9</v>
      </c>
      <c r="H981" s="126">
        <v>0</v>
      </c>
      <c r="I981" s="126">
        <v>0</v>
      </c>
      <c r="J981" s="108">
        <v>320180120</v>
      </c>
      <c r="K981" s="108" t="str">
        <f t="shared" si="45"/>
        <v>0320180120</v>
      </c>
      <c r="L981" s="303" t="str">
        <f t="shared" si="46"/>
        <v>60910030320180120000</v>
      </c>
      <c r="M981" s="132" t="str">
        <f>INDEX('реш СГД № 265'!$A:$N,MATCH('БА расх 2019-2020'!$L981,'реш СГД № 265'!$N:$N,0),3)</f>
        <v>Выплата ежемесячного социального пособия на проезд в муниципальном транспорте общего пользования членам семей погибших военнослужащих, лиц рядового и начальствующего состава органов внутренних дел и сотрудников учреждений и органов уголовно-исполнительной системы, а также членам руководящих органов отдельных городских общественных организаций ветеранов, инвалидов и лиц, пострадавших от политических репрессий, чья деятельность связана с разъездами</v>
      </c>
      <c r="N981" s="17">
        <f t="shared" si="47"/>
        <v>1</v>
      </c>
    </row>
    <row r="982" spans="1:14" s="17" customFormat="1" ht="31.5">
      <c r="A982" s="14"/>
      <c r="B982" s="132" t="s">
        <v>493</v>
      </c>
      <c r="C982" s="109" t="s">
        <v>595</v>
      </c>
      <c r="D982" s="108" t="s">
        <v>317</v>
      </c>
      <c r="E982" s="108" t="s">
        <v>13</v>
      </c>
      <c r="F982" s="108" t="s">
        <v>646</v>
      </c>
      <c r="G982" s="108" t="s">
        <v>494</v>
      </c>
      <c r="H982" s="126">
        <v>0</v>
      </c>
      <c r="I982" s="126">
        <v>0</v>
      </c>
      <c r="J982" s="108">
        <v>320180120</v>
      </c>
      <c r="K982" s="108" t="str">
        <f t="shared" si="45"/>
        <v>0320180120</v>
      </c>
      <c r="L982" s="303" t="str">
        <f t="shared" si="46"/>
        <v>60910030320180120310</v>
      </c>
      <c r="M982" s="132" t="str">
        <f>INDEX('реш СГД № 265'!$A:$N,MATCH('БА расх 2019-2020'!$L982,'реш СГД № 265'!$N:$N,0),3)</f>
        <v>Публичные нормативные социальные выплаты гражданам</v>
      </c>
      <c r="N982" s="17">
        <f t="shared" si="47"/>
        <v>1</v>
      </c>
    </row>
    <row r="983" spans="1:14" s="17" customFormat="1" ht="31.5">
      <c r="A983" s="14"/>
      <c r="B983" s="127" t="s">
        <v>495</v>
      </c>
      <c r="C983" s="109" t="s">
        <v>595</v>
      </c>
      <c r="D983" s="108" t="s">
        <v>317</v>
      </c>
      <c r="E983" s="108" t="s">
        <v>13</v>
      </c>
      <c r="F983" s="108" t="s">
        <v>646</v>
      </c>
      <c r="G983" s="108" t="s">
        <v>496</v>
      </c>
      <c r="H983" s="126">
        <v>0</v>
      </c>
      <c r="I983" s="126">
        <v>0</v>
      </c>
      <c r="J983" s="108">
        <v>320180120</v>
      </c>
      <c r="K983" s="108" t="str">
        <f t="shared" si="45"/>
        <v>0320180120</v>
      </c>
      <c r="L983" s="303" t="str">
        <f t="shared" si="46"/>
        <v>60910030320180120313</v>
      </c>
      <c r="M983" s="132"/>
      <c r="N983" s="17">
        <f t="shared" si="47"/>
        <v>0</v>
      </c>
    </row>
    <row r="984" spans="1:14" s="17" customFormat="1" ht="47.25">
      <c r="A984" s="14"/>
      <c r="B984" s="149" t="s">
        <v>1132</v>
      </c>
      <c r="C984" s="109" t="s">
        <v>595</v>
      </c>
      <c r="D984" s="108" t="s">
        <v>317</v>
      </c>
      <c r="E984" s="108" t="s">
        <v>13</v>
      </c>
      <c r="F984" s="108" t="s">
        <v>1133</v>
      </c>
      <c r="G984" s="108" t="s">
        <v>9</v>
      </c>
      <c r="H984" s="126">
        <v>0</v>
      </c>
      <c r="I984" s="126">
        <v>0</v>
      </c>
      <c r="J984" s="108">
        <v>320180130</v>
      </c>
      <c r="K984" s="108" t="str">
        <f t="shared" si="45"/>
        <v>0320180130</v>
      </c>
      <c r="L984" s="303" t="str">
        <f t="shared" si="46"/>
        <v>60910030320180130000</v>
      </c>
      <c r="M984" s="132" t="str">
        <f>INDEX('реш СГД № 265'!$A:$N,MATCH('БА расх 2019-2020'!$L984,'реш СГД № 265'!$N:$N,0),3)</f>
        <v>Ежегодная денежная выплата малообеспеченным многодетным семьям на каждого ребенка, учащегося в 1 - 4 классе образовательного учреждения</v>
      </c>
      <c r="N984" s="17">
        <f t="shared" si="47"/>
        <v>1</v>
      </c>
    </row>
    <row r="985" spans="1:14" s="17" customFormat="1" ht="31.5">
      <c r="A985" s="14"/>
      <c r="B985" s="132" t="s">
        <v>493</v>
      </c>
      <c r="C985" s="109" t="s">
        <v>595</v>
      </c>
      <c r="D985" s="108" t="s">
        <v>317</v>
      </c>
      <c r="E985" s="108" t="s">
        <v>13</v>
      </c>
      <c r="F985" s="108" t="s">
        <v>1133</v>
      </c>
      <c r="G985" s="108" t="s">
        <v>494</v>
      </c>
      <c r="H985" s="126">
        <v>0</v>
      </c>
      <c r="I985" s="126">
        <v>0</v>
      </c>
      <c r="J985" s="108">
        <v>320180130</v>
      </c>
      <c r="K985" s="108" t="str">
        <f t="shared" si="45"/>
        <v>0320180130</v>
      </c>
      <c r="L985" s="303" t="str">
        <f t="shared" si="46"/>
        <v>60910030320180130310</v>
      </c>
      <c r="M985" s="132" t="str">
        <f>INDEX('реш СГД № 265'!$A:$N,MATCH('БА расх 2019-2020'!$L985,'реш СГД № 265'!$N:$N,0),3)</f>
        <v>Публичные нормативные социальные выплаты гражданам</v>
      </c>
      <c r="N985" s="17">
        <f t="shared" si="47"/>
        <v>1</v>
      </c>
    </row>
    <row r="986" spans="1:14" s="17" customFormat="1" ht="31.5">
      <c r="A986" s="14"/>
      <c r="B986" s="127" t="s">
        <v>495</v>
      </c>
      <c r="C986" s="109" t="s">
        <v>595</v>
      </c>
      <c r="D986" s="108" t="s">
        <v>317</v>
      </c>
      <c r="E986" s="108" t="s">
        <v>13</v>
      </c>
      <c r="F986" s="108" t="s">
        <v>1133</v>
      </c>
      <c r="G986" s="108" t="s">
        <v>496</v>
      </c>
      <c r="H986" s="126">
        <v>0</v>
      </c>
      <c r="I986" s="126">
        <v>0</v>
      </c>
      <c r="J986" s="108">
        <v>320180130</v>
      </c>
      <c r="K986" s="108" t="str">
        <f t="shared" si="45"/>
        <v>0320180130</v>
      </c>
      <c r="L986" s="303" t="str">
        <f t="shared" si="46"/>
        <v>60910030320180130313</v>
      </c>
      <c r="M986" s="132"/>
      <c r="N986" s="17">
        <f t="shared" si="47"/>
        <v>0</v>
      </c>
    </row>
    <row r="987" spans="1:14" s="17" customFormat="1" ht="47.25">
      <c r="A987" s="14"/>
      <c r="B987" s="149" t="s">
        <v>647</v>
      </c>
      <c r="C987" s="109" t="s">
        <v>595</v>
      </c>
      <c r="D987" s="108" t="s">
        <v>317</v>
      </c>
      <c r="E987" s="108" t="s">
        <v>13</v>
      </c>
      <c r="F987" s="108" t="s">
        <v>648</v>
      </c>
      <c r="G987" s="108" t="s">
        <v>9</v>
      </c>
      <c r="H987" s="126">
        <v>0</v>
      </c>
      <c r="I987" s="126">
        <v>0</v>
      </c>
      <c r="J987" s="108">
        <v>320180140</v>
      </c>
      <c r="K987" s="108" t="str">
        <f t="shared" si="45"/>
        <v>0320180140</v>
      </c>
      <c r="L987" s="303" t="str">
        <f t="shared" si="46"/>
        <v>60910030320180140000</v>
      </c>
      <c r="M987" s="132" t="str">
        <f>INDEX('реш СГД № 265'!$A:$N,MATCH('БА расх 2019-2020'!$L987,'реш СГД № 265'!$N:$N,0),3)</f>
        <v>Выплата ежемесячного пособия семьям, воспитывающим детей в возрасте до 18 лет, больных целиакией или сахарным диабетом</v>
      </c>
      <c r="N987" s="17">
        <f t="shared" si="47"/>
        <v>1</v>
      </c>
    </row>
    <row r="988" spans="1:14" s="17" customFormat="1" ht="31.5">
      <c r="A988" s="14"/>
      <c r="B988" s="132" t="s">
        <v>493</v>
      </c>
      <c r="C988" s="109" t="s">
        <v>595</v>
      </c>
      <c r="D988" s="108" t="s">
        <v>317</v>
      </c>
      <c r="E988" s="108" t="s">
        <v>13</v>
      </c>
      <c r="F988" s="108" t="s">
        <v>648</v>
      </c>
      <c r="G988" s="108" t="s">
        <v>494</v>
      </c>
      <c r="H988" s="126">
        <v>0</v>
      </c>
      <c r="I988" s="126">
        <v>0</v>
      </c>
      <c r="J988" s="108">
        <v>320180140</v>
      </c>
      <c r="K988" s="108" t="str">
        <f t="shared" si="45"/>
        <v>0320180140</v>
      </c>
      <c r="L988" s="303" t="str">
        <f t="shared" si="46"/>
        <v>60910030320180140310</v>
      </c>
      <c r="M988" s="132" t="str">
        <f>INDEX('реш СГД № 265'!$A:$N,MATCH('БА расх 2019-2020'!$L988,'реш СГД № 265'!$N:$N,0),3)</f>
        <v>Публичные нормативные социальные выплаты гражданам</v>
      </c>
      <c r="N988" s="17">
        <f t="shared" si="47"/>
        <v>1</v>
      </c>
    </row>
    <row r="989" spans="1:14" s="17" customFormat="1" ht="31.5">
      <c r="A989" s="14"/>
      <c r="B989" s="127" t="s">
        <v>495</v>
      </c>
      <c r="C989" s="109" t="s">
        <v>595</v>
      </c>
      <c r="D989" s="108" t="s">
        <v>317</v>
      </c>
      <c r="E989" s="108" t="s">
        <v>13</v>
      </c>
      <c r="F989" s="108" t="s">
        <v>648</v>
      </c>
      <c r="G989" s="108" t="s">
        <v>496</v>
      </c>
      <c r="H989" s="126">
        <v>0</v>
      </c>
      <c r="I989" s="126">
        <v>0</v>
      </c>
      <c r="J989" s="108">
        <v>320180140</v>
      </c>
      <c r="K989" s="108" t="str">
        <f t="shared" si="45"/>
        <v>0320180140</v>
      </c>
      <c r="L989" s="303" t="str">
        <f t="shared" si="46"/>
        <v>60910030320180140313</v>
      </c>
      <c r="M989" s="132"/>
      <c r="N989" s="17">
        <f t="shared" si="47"/>
        <v>0</v>
      </c>
    </row>
    <row r="990" spans="1:14" s="17" customFormat="1" ht="78.75">
      <c r="A990" s="14"/>
      <c r="B990" s="149" t="s">
        <v>649</v>
      </c>
      <c r="C990" s="109" t="s">
        <v>595</v>
      </c>
      <c r="D990" s="108" t="s">
        <v>317</v>
      </c>
      <c r="E990" s="108" t="s">
        <v>13</v>
      </c>
      <c r="F990" s="108" t="s">
        <v>650</v>
      </c>
      <c r="G990" s="108" t="s">
        <v>9</v>
      </c>
      <c r="H990" s="126">
        <v>0</v>
      </c>
      <c r="I990" s="126">
        <v>0</v>
      </c>
      <c r="J990" s="108">
        <v>320180150</v>
      </c>
      <c r="K990" s="108" t="str">
        <f t="shared" si="45"/>
        <v>0320180150</v>
      </c>
      <c r="L990" s="303" t="str">
        <f t="shared" si="46"/>
        <v>60910030320180150000</v>
      </c>
      <c r="M990" s="132" t="str">
        <f>INDEX('реш СГД № 265'!$A:$N,MATCH('БА расх 2019-2020'!$L990,'реш СГД № 265'!$N:$N,0),3)</f>
        <v>Выплата единовременного пособия на ремонт жилых помещений одиноким и одиноко проживающим участникам и инвалидам Великой Отечественной войны, труженикам тыла, вдовам погибших (умерших) участников Великой Отечественной войны</v>
      </c>
      <c r="N990" s="17">
        <f t="shared" si="47"/>
        <v>1</v>
      </c>
    </row>
    <row r="991" spans="1:14" s="17" customFormat="1" ht="31.5">
      <c r="A991" s="14"/>
      <c r="B991" s="132" t="s">
        <v>493</v>
      </c>
      <c r="C991" s="109" t="s">
        <v>595</v>
      </c>
      <c r="D991" s="108" t="s">
        <v>317</v>
      </c>
      <c r="E991" s="108" t="s">
        <v>13</v>
      </c>
      <c r="F991" s="108" t="s">
        <v>650</v>
      </c>
      <c r="G991" s="108" t="s">
        <v>494</v>
      </c>
      <c r="H991" s="126">
        <v>0</v>
      </c>
      <c r="I991" s="126">
        <v>0</v>
      </c>
      <c r="J991" s="108">
        <v>320180150</v>
      </c>
      <c r="K991" s="108" t="str">
        <f t="shared" si="45"/>
        <v>0320180150</v>
      </c>
      <c r="L991" s="303" t="str">
        <f t="shared" si="46"/>
        <v>60910030320180150310</v>
      </c>
      <c r="M991" s="132" t="str">
        <f>INDEX('реш СГД № 265'!$A:$N,MATCH('БА расх 2019-2020'!$L991,'реш СГД № 265'!$N:$N,0),3)</f>
        <v>Публичные нормативные социальные выплаты гражданам</v>
      </c>
      <c r="N991" s="17">
        <f t="shared" si="47"/>
        <v>1</v>
      </c>
    </row>
    <row r="992" spans="1:14" s="17" customFormat="1" ht="31.5">
      <c r="A992" s="14"/>
      <c r="B992" s="127" t="s">
        <v>495</v>
      </c>
      <c r="C992" s="109" t="s">
        <v>595</v>
      </c>
      <c r="D992" s="108" t="s">
        <v>317</v>
      </c>
      <c r="E992" s="108" t="s">
        <v>13</v>
      </c>
      <c r="F992" s="108" t="s">
        <v>650</v>
      </c>
      <c r="G992" s="108" t="s">
        <v>496</v>
      </c>
      <c r="H992" s="126">
        <v>0</v>
      </c>
      <c r="I992" s="126">
        <v>0</v>
      </c>
      <c r="J992" s="108">
        <v>320180150</v>
      </c>
      <c r="K992" s="108" t="str">
        <f t="shared" si="45"/>
        <v>0320180150</v>
      </c>
      <c r="L992" s="303" t="str">
        <f t="shared" si="46"/>
        <v>60910030320180150313</v>
      </c>
      <c r="M992" s="132"/>
      <c r="N992" s="17">
        <f t="shared" si="47"/>
        <v>0</v>
      </c>
    </row>
    <row r="993" spans="1:14" s="17" customFormat="1" ht="31.5">
      <c r="A993" s="14"/>
      <c r="B993" s="149" t="s">
        <v>651</v>
      </c>
      <c r="C993" s="109" t="s">
        <v>595</v>
      </c>
      <c r="D993" s="108" t="s">
        <v>317</v>
      </c>
      <c r="E993" s="108" t="s">
        <v>13</v>
      </c>
      <c r="F993" s="108" t="s">
        <v>652</v>
      </c>
      <c r="G993" s="108" t="s">
        <v>9</v>
      </c>
      <c r="H993" s="126">
        <v>0</v>
      </c>
      <c r="I993" s="126">
        <v>0</v>
      </c>
      <c r="J993" s="108">
        <v>320180160</v>
      </c>
      <c r="K993" s="108" t="str">
        <f t="shared" si="45"/>
        <v>0320180160</v>
      </c>
      <c r="L993" s="303" t="str">
        <f t="shared" si="46"/>
        <v>60910030320180160000</v>
      </c>
      <c r="M993" s="132" t="str">
        <f>INDEX('реш СГД № 265'!$A:$N,MATCH('БА расх 2019-2020'!$L993,'реш СГД № 265'!$N:$N,0),3)</f>
        <v>Выплата единовременного пособия гражданам, оказавшимся в трудной жизненной ситуации</v>
      </c>
      <c r="N993" s="17">
        <f t="shared" si="47"/>
        <v>1</v>
      </c>
    </row>
    <row r="994" spans="1:14" s="17" customFormat="1" ht="31.5">
      <c r="A994" s="14"/>
      <c r="B994" s="132" t="s">
        <v>493</v>
      </c>
      <c r="C994" s="109" t="s">
        <v>595</v>
      </c>
      <c r="D994" s="108" t="s">
        <v>317</v>
      </c>
      <c r="E994" s="108" t="s">
        <v>13</v>
      </c>
      <c r="F994" s="108" t="s">
        <v>652</v>
      </c>
      <c r="G994" s="108" t="s">
        <v>494</v>
      </c>
      <c r="H994" s="126">
        <v>0</v>
      </c>
      <c r="I994" s="126">
        <v>0</v>
      </c>
      <c r="J994" s="108">
        <v>320180160</v>
      </c>
      <c r="K994" s="108" t="str">
        <f t="shared" si="45"/>
        <v>0320180160</v>
      </c>
      <c r="L994" s="303" t="str">
        <f t="shared" si="46"/>
        <v>60910030320180160310</v>
      </c>
      <c r="M994" s="132" t="str">
        <f>INDEX('реш СГД № 265'!$A:$N,MATCH('БА расх 2019-2020'!$L994,'реш СГД № 265'!$N:$N,0),3)</f>
        <v>Публичные нормативные социальные выплаты гражданам</v>
      </c>
      <c r="N994" s="17">
        <f t="shared" si="47"/>
        <v>1</v>
      </c>
    </row>
    <row r="995" spans="1:14" s="17" customFormat="1" ht="31.5">
      <c r="A995" s="14"/>
      <c r="B995" s="127" t="s">
        <v>495</v>
      </c>
      <c r="C995" s="109" t="s">
        <v>595</v>
      </c>
      <c r="D995" s="108" t="s">
        <v>317</v>
      </c>
      <c r="E995" s="108" t="s">
        <v>13</v>
      </c>
      <c r="F995" s="108" t="s">
        <v>652</v>
      </c>
      <c r="G995" s="108" t="s">
        <v>496</v>
      </c>
      <c r="H995" s="126">
        <v>0</v>
      </c>
      <c r="I995" s="126">
        <v>0</v>
      </c>
      <c r="J995" s="108">
        <v>320180160</v>
      </c>
      <c r="K995" s="108" t="str">
        <f t="shared" si="45"/>
        <v>0320180160</v>
      </c>
      <c r="L995" s="303" t="str">
        <f t="shared" si="46"/>
        <v>60910030320180160313</v>
      </c>
      <c r="M995" s="132"/>
      <c r="N995" s="17">
        <f t="shared" si="47"/>
        <v>0</v>
      </c>
    </row>
    <row r="996" spans="1:14" s="17" customFormat="1" ht="63">
      <c r="A996" s="14"/>
      <c r="B996" s="149" t="s">
        <v>1134</v>
      </c>
      <c r="C996" s="109" t="s">
        <v>595</v>
      </c>
      <c r="D996" s="108" t="s">
        <v>317</v>
      </c>
      <c r="E996" s="108" t="s">
        <v>13</v>
      </c>
      <c r="F996" s="108" t="s">
        <v>1135</v>
      </c>
      <c r="G996" s="108" t="s">
        <v>9</v>
      </c>
      <c r="H996" s="126">
        <v>0</v>
      </c>
      <c r="I996" s="126">
        <v>0</v>
      </c>
      <c r="J996" s="108">
        <v>320180170</v>
      </c>
      <c r="K996" s="108" t="str">
        <f t="shared" si="45"/>
        <v>0320180170</v>
      </c>
      <c r="L996" s="303" t="str">
        <f t="shared" si="46"/>
        <v>60910030320180170000</v>
      </c>
      <c r="M996" s="132" t="str">
        <f>INDEX('реш СГД № 265'!$A:$N,MATCH('БА расх 2019-2020'!$L996,'реш СГД № 265'!$N:$N,0),3)</f>
        <v>Выплата единовременного пособия лицам, сопровождающим инвалидов или больных детей, направленных в федеральные учреждения здравоохранения, на питание и проживание</v>
      </c>
      <c r="N996" s="17">
        <f t="shared" si="47"/>
        <v>1</v>
      </c>
    </row>
    <row r="997" spans="1:14" s="17" customFormat="1" ht="31.5">
      <c r="A997" s="14"/>
      <c r="B997" s="132" t="s">
        <v>493</v>
      </c>
      <c r="C997" s="109" t="s">
        <v>595</v>
      </c>
      <c r="D997" s="108" t="s">
        <v>317</v>
      </c>
      <c r="E997" s="108" t="s">
        <v>13</v>
      </c>
      <c r="F997" s="108" t="s">
        <v>1135</v>
      </c>
      <c r="G997" s="108" t="s">
        <v>494</v>
      </c>
      <c r="H997" s="126">
        <v>0</v>
      </c>
      <c r="I997" s="126">
        <v>0</v>
      </c>
      <c r="J997" s="108">
        <v>320180170</v>
      </c>
      <c r="K997" s="108" t="str">
        <f t="shared" si="45"/>
        <v>0320180170</v>
      </c>
      <c r="L997" s="303" t="str">
        <f t="shared" si="46"/>
        <v>60910030320180170310</v>
      </c>
      <c r="M997" s="132" t="str">
        <f>INDEX('реш СГД № 265'!$A:$N,MATCH('БА расх 2019-2020'!$L997,'реш СГД № 265'!$N:$N,0),3)</f>
        <v>Публичные нормативные социальные выплаты гражданам</v>
      </c>
      <c r="N997" s="17">
        <f t="shared" si="47"/>
        <v>1</v>
      </c>
    </row>
    <row r="998" spans="1:14" s="17" customFormat="1" ht="31.5">
      <c r="A998" s="14"/>
      <c r="B998" s="127" t="s">
        <v>495</v>
      </c>
      <c r="C998" s="109" t="s">
        <v>595</v>
      </c>
      <c r="D998" s="108" t="s">
        <v>317</v>
      </c>
      <c r="E998" s="108" t="s">
        <v>13</v>
      </c>
      <c r="F998" s="108" t="s">
        <v>1135</v>
      </c>
      <c r="G998" s="108" t="s">
        <v>496</v>
      </c>
      <c r="H998" s="126">
        <v>0</v>
      </c>
      <c r="I998" s="126">
        <v>0</v>
      </c>
      <c r="J998" s="108">
        <v>320180170</v>
      </c>
      <c r="K998" s="108" t="str">
        <f t="shared" si="45"/>
        <v>0320180170</v>
      </c>
      <c r="L998" s="303" t="str">
        <f t="shared" si="46"/>
        <v>60910030320180170313</v>
      </c>
      <c r="M998" s="132"/>
      <c r="N998" s="17">
        <f t="shared" si="47"/>
        <v>0</v>
      </c>
    </row>
    <row r="999" spans="1:14" s="4" customFormat="1" ht="31.5">
      <c r="A999" s="1"/>
      <c r="B999" s="149" t="s">
        <v>653</v>
      </c>
      <c r="C999" s="109" t="s">
        <v>595</v>
      </c>
      <c r="D999" s="108" t="s">
        <v>317</v>
      </c>
      <c r="E999" s="108" t="s">
        <v>13</v>
      </c>
      <c r="F999" s="108" t="s">
        <v>654</v>
      </c>
      <c r="G999" s="108" t="s">
        <v>9</v>
      </c>
      <c r="H999" s="126">
        <v>0</v>
      </c>
      <c r="I999" s="126">
        <v>0</v>
      </c>
      <c r="J999" s="108">
        <v>320180180</v>
      </c>
      <c r="K999" s="108" t="str">
        <f t="shared" si="45"/>
        <v>0320180180</v>
      </c>
      <c r="L999" s="303" t="str">
        <f t="shared" si="46"/>
        <v>60910030320180180000</v>
      </c>
      <c r="M999" s="132" t="str">
        <f>INDEX('реш СГД № 265'!$A:$N,MATCH('БА расх 2019-2020'!$L999,'реш СГД № 265'!$N:$N,0),3)</f>
        <v>Выплата семьям, воспитывающим детей-инвалидов в возрасте до 18 лет</v>
      </c>
      <c r="N999" s="17">
        <f t="shared" si="47"/>
        <v>1</v>
      </c>
    </row>
    <row r="1000" spans="1:14" s="4" customFormat="1" ht="31.5">
      <c r="A1000" s="1"/>
      <c r="B1000" s="132" t="s">
        <v>493</v>
      </c>
      <c r="C1000" s="109" t="s">
        <v>595</v>
      </c>
      <c r="D1000" s="108" t="s">
        <v>317</v>
      </c>
      <c r="E1000" s="108" t="s">
        <v>13</v>
      </c>
      <c r="F1000" s="108" t="s">
        <v>654</v>
      </c>
      <c r="G1000" s="108" t="s">
        <v>494</v>
      </c>
      <c r="H1000" s="126">
        <v>0</v>
      </c>
      <c r="I1000" s="126">
        <v>0</v>
      </c>
      <c r="J1000" s="108">
        <v>320180180</v>
      </c>
      <c r="K1000" s="108" t="str">
        <f t="shared" si="45"/>
        <v>0320180180</v>
      </c>
      <c r="L1000" s="303" t="str">
        <f t="shared" si="46"/>
        <v>60910030320180180310</v>
      </c>
      <c r="M1000" s="132" t="str">
        <f>INDEX('реш СГД № 265'!$A:$N,MATCH('БА расх 2019-2020'!$L1000,'реш СГД № 265'!$N:$N,0),3)</f>
        <v>Публичные нормативные социальные выплаты гражданам</v>
      </c>
      <c r="N1000" s="17">
        <f t="shared" si="47"/>
        <v>1</v>
      </c>
    </row>
    <row r="1001" spans="1:14" s="4" customFormat="1" ht="31.5">
      <c r="A1001" s="1"/>
      <c r="B1001" s="127" t="s">
        <v>495</v>
      </c>
      <c r="C1001" s="109" t="s">
        <v>595</v>
      </c>
      <c r="D1001" s="108" t="s">
        <v>317</v>
      </c>
      <c r="E1001" s="108" t="s">
        <v>13</v>
      </c>
      <c r="F1001" s="108" t="s">
        <v>654</v>
      </c>
      <c r="G1001" s="108" t="s">
        <v>496</v>
      </c>
      <c r="H1001" s="126">
        <v>0</v>
      </c>
      <c r="I1001" s="126">
        <v>0</v>
      </c>
      <c r="J1001" s="108">
        <v>320180180</v>
      </c>
      <c r="K1001" s="108" t="str">
        <f t="shared" si="45"/>
        <v>0320180180</v>
      </c>
      <c r="L1001" s="303" t="str">
        <f t="shared" si="46"/>
        <v>60910030320180180313</v>
      </c>
      <c r="M1001" s="132"/>
      <c r="N1001" s="17">
        <f t="shared" si="47"/>
        <v>0</v>
      </c>
    </row>
    <row r="1002" spans="1:14" s="4" customFormat="1" ht="31.5">
      <c r="A1002" s="1"/>
      <c r="B1002" s="149" t="s">
        <v>655</v>
      </c>
      <c r="C1002" s="109" t="s">
        <v>595</v>
      </c>
      <c r="D1002" s="108" t="s">
        <v>317</v>
      </c>
      <c r="E1002" s="108" t="s">
        <v>13</v>
      </c>
      <c r="F1002" s="108" t="s">
        <v>656</v>
      </c>
      <c r="G1002" s="108" t="s">
        <v>9</v>
      </c>
      <c r="H1002" s="126">
        <v>0</v>
      </c>
      <c r="I1002" s="126">
        <v>0</v>
      </c>
      <c r="J1002" s="108">
        <v>320180190</v>
      </c>
      <c r="K1002" s="108" t="str">
        <f t="shared" si="45"/>
        <v>0320180190</v>
      </c>
      <c r="L1002" s="303" t="str">
        <f t="shared" si="46"/>
        <v>60910030320180190000</v>
      </c>
      <c r="M1002" s="132" t="str">
        <f>INDEX('реш СГД № 265'!$A:$N,MATCH('БА расх 2019-2020'!$L1002,'реш СГД № 265'!$N:$N,0),3)</f>
        <v>Выплата единовременного пособия инвалидам по зрению, имеющим I группу инвалидности</v>
      </c>
      <c r="N1002" s="17">
        <f t="shared" si="47"/>
        <v>1</v>
      </c>
    </row>
    <row r="1003" spans="1:14" s="4" customFormat="1" ht="31.5">
      <c r="A1003" s="1"/>
      <c r="B1003" s="132" t="s">
        <v>493</v>
      </c>
      <c r="C1003" s="109" t="s">
        <v>595</v>
      </c>
      <c r="D1003" s="108" t="s">
        <v>317</v>
      </c>
      <c r="E1003" s="108" t="s">
        <v>13</v>
      </c>
      <c r="F1003" s="108" t="s">
        <v>656</v>
      </c>
      <c r="G1003" s="108" t="s">
        <v>494</v>
      </c>
      <c r="H1003" s="126">
        <v>0</v>
      </c>
      <c r="I1003" s="126">
        <v>0</v>
      </c>
      <c r="J1003" s="108">
        <v>320180190</v>
      </c>
      <c r="K1003" s="108" t="str">
        <f t="shared" si="45"/>
        <v>0320180190</v>
      </c>
      <c r="L1003" s="303" t="str">
        <f t="shared" si="46"/>
        <v>60910030320180190310</v>
      </c>
      <c r="M1003" s="132" t="str">
        <f>INDEX('реш СГД № 265'!$A:$N,MATCH('БА расх 2019-2020'!$L1003,'реш СГД № 265'!$N:$N,0),3)</f>
        <v>Публичные нормативные социальные выплаты гражданам</v>
      </c>
      <c r="N1003" s="17">
        <f t="shared" si="47"/>
        <v>1</v>
      </c>
    </row>
    <row r="1004" spans="1:14" s="4" customFormat="1" ht="31.5">
      <c r="A1004" s="1"/>
      <c r="B1004" s="127" t="s">
        <v>495</v>
      </c>
      <c r="C1004" s="109" t="s">
        <v>595</v>
      </c>
      <c r="D1004" s="108" t="s">
        <v>317</v>
      </c>
      <c r="E1004" s="108" t="s">
        <v>13</v>
      </c>
      <c r="F1004" s="108" t="s">
        <v>656</v>
      </c>
      <c r="G1004" s="108" t="s">
        <v>496</v>
      </c>
      <c r="H1004" s="126">
        <v>0</v>
      </c>
      <c r="I1004" s="126">
        <v>0</v>
      </c>
      <c r="J1004" s="108">
        <v>320180190</v>
      </c>
      <c r="K1004" s="108" t="str">
        <f t="shared" si="45"/>
        <v>0320180190</v>
      </c>
      <c r="L1004" s="303" t="str">
        <f t="shared" si="46"/>
        <v>60910030320180190313</v>
      </c>
      <c r="M1004" s="132"/>
      <c r="N1004" s="17">
        <f t="shared" si="47"/>
        <v>0</v>
      </c>
    </row>
    <row r="1005" spans="1:14" s="4" customFormat="1" ht="47.25">
      <c r="A1005" s="1"/>
      <c r="B1005" s="149" t="s">
        <v>1136</v>
      </c>
      <c r="C1005" s="109" t="s">
        <v>595</v>
      </c>
      <c r="D1005" s="108" t="s">
        <v>317</v>
      </c>
      <c r="E1005" s="108" t="s">
        <v>13</v>
      </c>
      <c r="F1005" s="108" t="s">
        <v>1137</v>
      </c>
      <c r="G1005" s="108" t="s">
        <v>9</v>
      </c>
      <c r="H1005" s="126">
        <v>0</v>
      </c>
      <c r="I1005" s="126">
        <v>0</v>
      </c>
      <c r="J1005" s="108">
        <v>320180200</v>
      </c>
      <c r="K1005" s="108" t="str">
        <f t="shared" si="45"/>
        <v>0320180200</v>
      </c>
      <c r="L1005" s="303" t="str">
        <f t="shared" si="46"/>
        <v>60910030320180200000</v>
      </c>
      <c r="M1005" s="132" t="str">
        <f>INDEX('реш СГД № 265'!$A:$N,MATCH('БА расх 2019-2020'!$L1005,'реш СГД № 265'!$N:$N,0),3)</f>
        <v>Выплата единовременного пособия малоимущим семьям и малоимущим одиноко проживающим гражданам</v>
      </c>
      <c r="N1005" s="17">
        <f t="shared" si="47"/>
        <v>1</v>
      </c>
    </row>
    <row r="1006" spans="1:14" s="4" customFormat="1" ht="31.5">
      <c r="A1006" s="1"/>
      <c r="B1006" s="132" t="s">
        <v>493</v>
      </c>
      <c r="C1006" s="109" t="s">
        <v>595</v>
      </c>
      <c r="D1006" s="108" t="s">
        <v>317</v>
      </c>
      <c r="E1006" s="108" t="s">
        <v>13</v>
      </c>
      <c r="F1006" s="108" t="s">
        <v>1137</v>
      </c>
      <c r="G1006" s="108" t="s">
        <v>494</v>
      </c>
      <c r="H1006" s="126">
        <v>0</v>
      </c>
      <c r="I1006" s="126">
        <v>0</v>
      </c>
      <c r="J1006" s="108">
        <v>320180200</v>
      </c>
      <c r="K1006" s="108" t="str">
        <f t="shared" si="45"/>
        <v>0320180200</v>
      </c>
      <c r="L1006" s="303" t="str">
        <f t="shared" si="46"/>
        <v>60910030320180200310</v>
      </c>
      <c r="M1006" s="132" t="str">
        <f>INDEX('реш СГД № 265'!$A:$N,MATCH('БА расх 2019-2020'!$L1006,'реш СГД № 265'!$N:$N,0),3)</f>
        <v>Публичные нормативные социальные выплаты гражданам</v>
      </c>
      <c r="N1006" s="17">
        <f t="shared" si="47"/>
        <v>1</v>
      </c>
    </row>
    <row r="1007" spans="1:14" s="4" customFormat="1" ht="31.5">
      <c r="A1007" s="1"/>
      <c r="B1007" s="127" t="s">
        <v>495</v>
      </c>
      <c r="C1007" s="109" t="s">
        <v>595</v>
      </c>
      <c r="D1007" s="108" t="s">
        <v>317</v>
      </c>
      <c r="E1007" s="108" t="s">
        <v>13</v>
      </c>
      <c r="F1007" s="108" t="s">
        <v>1137</v>
      </c>
      <c r="G1007" s="108" t="s">
        <v>496</v>
      </c>
      <c r="H1007" s="126">
        <v>0</v>
      </c>
      <c r="I1007" s="126">
        <v>0</v>
      </c>
      <c r="J1007" s="108">
        <v>320180200</v>
      </c>
      <c r="K1007" s="108" t="str">
        <f t="shared" si="45"/>
        <v>0320180200</v>
      </c>
      <c r="L1007" s="303" t="str">
        <f t="shared" si="46"/>
        <v>60910030320180200313</v>
      </c>
      <c r="M1007" s="132"/>
      <c r="N1007" s="17">
        <f t="shared" si="47"/>
        <v>0</v>
      </c>
    </row>
    <row r="1008" spans="1:14" s="4" customFormat="1" ht="78.75">
      <c r="A1008" s="1"/>
      <c r="B1008" s="149" t="s">
        <v>657</v>
      </c>
      <c r="C1008" s="109" t="s">
        <v>595</v>
      </c>
      <c r="D1008" s="108" t="s">
        <v>317</v>
      </c>
      <c r="E1008" s="108" t="s">
        <v>13</v>
      </c>
      <c r="F1008" s="108" t="s">
        <v>658</v>
      </c>
      <c r="G1008" s="108" t="s">
        <v>9</v>
      </c>
      <c r="H1008" s="126">
        <v>0</v>
      </c>
      <c r="I1008" s="126">
        <v>0</v>
      </c>
      <c r="J1008" s="108">
        <v>320180210</v>
      </c>
      <c r="K1008" s="108" t="str">
        <f t="shared" si="45"/>
        <v>0320180210</v>
      </c>
      <c r="L1008" s="303" t="str">
        <f t="shared" si="46"/>
        <v>60910030320180210000</v>
      </c>
      <c r="M1008" s="132" t="str">
        <f>INDEX('реш СГД № 265'!$A:$N,MATCH('БА расх 2019-2020'!$L1008,'реш СГД № 265'!$N:$N,0),3)</f>
        <v>Выплата единовременного пособия ветеранам боевых действий, направленным на реабилитацию в Центр восстановительной терапии для воинов-интернационалистов 
им. М.А. Лиходея</v>
      </c>
      <c r="N1008" s="17">
        <f t="shared" si="47"/>
        <v>1</v>
      </c>
    </row>
    <row r="1009" spans="1:14" s="4" customFormat="1" ht="31.5">
      <c r="A1009" s="1"/>
      <c r="B1009" s="132" t="s">
        <v>493</v>
      </c>
      <c r="C1009" s="109" t="s">
        <v>595</v>
      </c>
      <c r="D1009" s="108" t="s">
        <v>317</v>
      </c>
      <c r="E1009" s="108" t="s">
        <v>13</v>
      </c>
      <c r="F1009" s="108" t="s">
        <v>658</v>
      </c>
      <c r="G1009" s="108" t="s">
        <v>494</v>
      </c>
      <c r="H1009" s="126">
        <v>0</v>
      </c>
      <c r="I1009" s="126">
        <v>0</v>
      </c>
      <c r="J1009" s="108">
        <v>320180210</v>
      </c>
      <c r="K1009" s="108" t="str">
        <f t="shared" si="45"/>
        <v>0320180210</v>
      </c>
      <c r="L1009" s="303" t="str">
        <f t="shared" si="46"/>
        <v>60910030320180210310</v>
      </c>
      <c r="M1009" s="132" t="str">
        <f>INDEX('реш СГД № 265'!$A:$N,MATCH('БА расх 2019-2020'!$L1009,'реш СГД № 265'!$N:$N,0),3)</f>
        <v>Публичные нормативные социальные выплаты гражданам</v>
      </c>
      <c r="N1009" s="17">
        <f t="shared" si="47"/>
        <v>1</v>
      </c>
    </row>
    <row r="1010" spans="1:14" s="4" customFormat="1" ht="31.5">
      <c r="A1010" s="1"/>
      <c r="B1010" s="127" t="s">
        <v>495</v>
      </c>
      <c r="C1010" s="109" t="s">
        <v>595</v>
      </c>
      <c r="D1010" s="108" t="s">
        <v>317</v>
      </c>
      <c r="E1010" s="108" t="s">
        <v>13</v>
      </c>
      <c r="F1010" s="108" t="s">
        <v>658</v>
      </c>
      <c r="G1010" s="108" t="s">
        <v>496</v>
      </c>
      <c r="H1010" s="126">
        <v>0</v>
      </c>
      <c r="I1010" s="126">
        <v>0</v>
      </c>
      <c r="J1010" s="108">
        <v>320180210</v>
      </c>
      <c r="K1010" s="108" t="str">
        <f t="shared" si="45"/>
        <v>0320180210</v>
      </c>
      <c r="L1010" s="303" t="str">
        <f t="shared" si="46"/>
        <v>60910030320180210313</v>
      </c>
      <c r="M1010" s="132"/>
      <c r="N1010" s="17">
        <f t="shared" si="47"/>
        <v>0</v>
      </c>
    </row>
    <row r="1011" spans="1:14" s="4" customFormat="1" ht="31.5">
      <c r="A1011" s="1"/>
      <c r="B1011" s="149" t="s">
        <v>659</v>
      </c>
      <c r="C1011" s="109" t="s">
        <v>595</v>
      </c>
      <c r="D1011" s="108" t="s">
        <v>317</v>
      </c>
      <c r="E1011" s="108" t="s">
        <v>13</v>
      </c>
      <c r="F1011" s="108" t="s">
        <v>660</v>
      </c>
      <c r="G1011" s="108" t="s">
        <v>9</v>
      </c>
      <c r="H1011" s="126">
        <v>0</v>
      </c>
      <c r="I1011" s="126">
        <v>0</v>
      </c>
      <c r="J1011" s="108">
        <v>320500000</v>
      </c>
      <c r="K1011" s="108" t="str">
        <f t="shared" si="45"/>
        <v>0320500000</v>
      </c>
      <c r="L1011" s="303" t="str">
        <f t="shared" si="46"/>
        <v>60910030320500000000</v>
      </c>
      <c r="M1011" s="132" t="str">
        <f>INDEX('реш СГД № 265'!$A:$N,MATCH('БА расх 2019-2020'!$L1011,'реш СГД № 265'!$N:$N,0),3)</f>
        <v>Основное мероприятие «Совершенствование социальной поддержки семьи и детей»</v>
      </c>
      <c r="N1011" s="17">
        <f t="shared" si="47"/>
        <v>1</v>
      </c>
    </row>
    <row r="1012" spans="1:14" s="4" customFormat="1" ht="31.5">
      <c r="A1012" s="1"/>
      <c r="B1012" s="135" t="s">
        <v>661</v>
      </c>
      <c r="C1012" s="109" t="s">
        <v>595</v>
      </c>
      <c r="D1012" s="108" t="s">
        <v>317</v>
      </c>
      <c r="E1012" s="108" t="s">
        <v>13</v>
      </c>
      <c r="F1012" s="108" t="s">
        <v>662</v>
      </c>
      <c r="G1012" s="108" t="s">
        <v>9</v>
      </c>
      <c r="H1012" s="126">
        <v>0</v>
      </c>
      <c r="I1012" s="126">
        <v>0</v>
      </c>
      <c r="J1012" s="108">
        <v>320520500</v>
      </c>
      <c r="K1012" s="108" t="str">
        <f t="shared" si="45"/>
        <v>0320520500</v>
      </c>
      <c r="L1012" s="303" t="str">
        <f t="shared" si="46"/>
        <v>60910030320520500000</v>
      </c>
      <c r="M1012" s="132" t="str">
        <f>INDEX('реш СГД № 265'!$A:$N,MATCH('БА расх 2019-2020'!$L1012,'реш СГД № 265'!$N:$N,0),3)</f>
        <v>Расходы на реализацию мероприятий, направленных на социальную поддержку семьи и детей</v>
      </c>
      <c r="N1012" s="17">
        <f t="shared" si="47"/>
        <v>1</v>
      </c>
    </row>
    <row r="1013" spans="1:14" s="4" customFormat="1" ht="31.5">
      <c r="A1013" s="1"/>
      <c r="B1013" s="132" t="s">
        <v>327</v>
      </c>
      <c r="C1013" s="109" t="s">
        <v>595</v>
      </c>
      <c r="D1013" s="108" t="s">
        <v>317</v>
      </c>
      <c r="E1013" s="108" t="s">
        <v>13</v>
      </c>
      <c r="F1013" s="108" t="s">
        <v>662</v>
      </c>
      <c r="G1013" s="108" t="s">
        <v>328</v>
      </c>
      <c r="H1013" s="126">
        <v>0</v>
      </c>
      <c r="I1013" s="126">
        <v>0</v>
      </c>
      <c r="J1013" s="108">
        <v>320520500</v>
      </c>
      <c r="K1013" s="108" t="str">
        <f t="shared" si="45"/>
        <v>0320520500</v>
      </c>
      <c r="L1013" s="303" t="str">
        <f t="shared" si="46"/>
        <v>60910030320520500320</v>
      </c>
      <c r="M1013" s="132" t="str">
        <f>INDEX('реш СГД № 265'!$A:$N,MATCH('БА расх 2019-2020'!$L1013,'реш СГД № 265'!$N:$N,0),3)</f>
        <v>Социальные выплаты гражданам, кроме публичных нормативных социальных выплат</v>
      </c>
      <c r="N1013" s="17">
        <f t="shared" si="47"/>
        <v>1</v>
      </c>
    </row>
    <row r="1014" spans="1:14" s="41" customFormat="1" ht="31.5">
      <c r="A1014" s="40"/>
      <c r="B1014" s="127" t="s">
        <v>501</v>
      </c>
      <c r="C1014" s="109" t="s">
        <v>595</v>
      </c>
      <c r="D1014" s="108" t="s">
        <v>317</v>
      </c>
      <c r="E1014" s="108" t="s">
        <v>13</v>
      </c>
      <c r="F1014" s="108" t="s">
        <v>662</v>
      </c>
      <c r="G1014" s="108" t="s">
        <v>502</v>
      </c>
      <c r="H1014" s="126">
        <v>0</v>
      </c>
      <c r="I1014" s="126">
        <v>0</v>
      </c>
      <c r="J1014" s="108">
        <v>320520500</v>
      </c>
      <c r="K1014" s="108" t="str">
        <f t="shared" si="45"/>
        <v>0320520500</v>
      </c>
      <c r="L1014" s="303" t="str">
        <f t="shared" si="46"/>
        <v>60910030320520500323</v>
      </c>
      <c r="M1014" s="132"/>
      <c r="N1014" s="17">
        <f t="shared" si="47"/>
        <v>0</v>
      </c>
    </row>
    <row r="1015" spans="1:14" s="4" customFormat="1" ht="31.5">
      <c r="A1015" s="1"/>
      <c r="B1015" s="149" t="s">
        <v>663</v>
      </c>
      <c r="C1015" s="109" t="s">
        <v>595</v>
      </c>
      <c r="D1015" s="108" t="s">
        <v>317</v>
      </c>
      <c r="E1015" s="108" t="s">
        <v>13</v>
      </c>
      <c r="F1015" s="108" t="s">
        <v>664</v>
      </c>
      <c r="G1015" s="108" t="s">
        <v>9</v>
      </c>
      <c r="H1015" s="126">
        <v>0</v>
      </c>
      <c r="I1015" s="126">
        <v>0</v>
      </c>
      <c r="J1015" s="108">
        <v>320600000</v>
      </c>
      <c r="K1015" s="108" t="str">
        <f t="shared" si="45"/>
        <v>0320600000</v>
      </c>
      <c r="L1015" s="303" t="str">
        <f t="shared" si="46"/>
        <v>60910030320600000000</v>
      </c>
      <c r="M1015" s="132" t="str">
        <f>INDEX('реш СГД № 265'!$A:$N,MATCH('БА расх 2019-2020'!$L1015,'реш СГД № 265'!$N:$N,0),3)</f>
        <v>Основное мероприятие «Поддержка людей с ограниченными возможностями и пожилых людей»</v>
      </c>
      <c r="N1015" s="17">
        <f t="shared" si="47"/>
        <v>1</v>
      </c>
    </row>
    <row r="1016" spans="1:14" s="4" customFormat="1" ht="63">
      <c r="A1016" s="1"/>
      <c r="B1016" s="135" t="s">
        <v>665</v>
      </c>
      <c r="C1016" s="109" t="s">
        <v>595</v>
      </c>
      <c r="D1016" s="108" t="s">
        <v>317</v>
      </c>
      <c r="E1016" s="108" t="s">
        <v>13</v>
      </c>
      <c r="F1016" s="108" t="s">
        <v>666</v>
      </c>
      <c r="G1016" s="108" t="s">
        <v>9</v>
      </c>
      <c r="H1016" s="126">
        <v>0</v>
      </c>
      <c r="I1016" s="126">
        <v>0</v>
      </c>
      <c r="J1016" s="108">
        <v>320620520</v>
      </c>
      <c r="K1016" s="108" t="str">
        <f t="shared" si="45"/>
        <v>0320620520</v>
      </c>
      <c r="L1016" s="303" t="str">
        <f t="shared" si="46"/>
        <v>60910030320620520000</v>
      </c>
      <c r="M1016" s="132" t="str">
        <f>INDEX('реш СГД № 265'!$A:$N,MATCH('БА расх 2019-2020'!$L1016,'реш СГД № 265'!$N:$N,0),3)</f>
        <v>Расходы на реализацию мероприятий, направленных на сохранение устойчивого роста уровня и качества жизни людей с ограниченными возможностями здоровья и пожилых людей</v>
      </c>
      <c r="N1016" s="17">
        <f t="shared" si="47"/>
        <v>1</v>
      </c>
    </row>
    <row r="1017" spans="1:14" s="4" customFormat="1" ht="31.5">
      <c r="A1017" s="1"/>
      <c r="B1017" s="125" t="s">
        <v>28</v>
      </c>
      <c r="C1017" s="109" t="s">
        <v>595</v>
      </c>
      <c r="D1017" s="108" t="s">
        <v>317</v>
      </c>
      <c r="E1017" s="108" t="s">
        <v>13</v>
      </c>
      <c r="F1017" s="108" t="s">
        <v>666</v>
      </c>
      <c r="G1017" s="108" t="s">
        <v>29</v>
      </c>
      <c r="H1017" s="126">
        <v>0</v>
      </c>
      <c r="I1017" s="126">
        <v>0</v>
      </c>
      <c r="J1017" s="108">
        <v>320620520</v>
      </c>
      <c r="K1017" s="108" t="str">
        <f t="shared" si="45"/>
        <v>0320620520</v>
      </c>
      <c r="L1017" s="303" t="str">
        <f t="shared" si="46"/>
        <v>60910030320620520240</v>
      </c>
      <c r="M1017" s="132" t="str">
        <f>INDEX('реш СГД № 265'!$A:$N,MATCH('БА расх 2019-2020'!$L1017,'реш СГД № 265'!$N:$N,0),3)</f>
        <v>Иные закупки товаров, работ и услуг для обеспечения государственных (муниципальных) нужд</v>
      </c>
      <c r="N1017" s="17">
        <f t="shared" si="47"/>
        <v>1</v>
      </c>
    </row>
    <row r="1018" spans="1:14" s="4" customFormat="1" ht="15.75">
      <c r="A1018" s="1"/>
      <c r="B1018" s="125" t="s">
        <v>30</v>
      </c>
      <c r="C1018" s="109" t="s">
        <v>595</v>
      </c>
      <c r="D1018" s="108" t="s">
        <v>317</v>
      </c>
      <c r="E1018" s="108" t="s">
        <v>13</v>
      </c>
      <c r="F1018" s="108" t="s">
        <v>666</v>
      </c>
      <c r="G1018" s="108" t="s">
        <v>31</v>
      </c>
      <c r="H1018" s="126">
        <v>0</v>
      </c>
      <c r="I1018" s="126">
        <v>0</v>
      </c>
      <c r="J1018" s="108">
        <v>320620520</v>
      </c>
      <c r="K1018" s="108" t="str">
        <f t="shared" si="45"/>
        <v>0320620520</v>
      </c>
      <c r="L1018" s="303" t="str">
        <f t="shared" si="46"/>
        <v>60910030320620520244</v>
      </c>
      <c r="M1018" s="132"/>
      <c r="N1018" s="17">
        <f t="shared" si="47"/>
        <v>0</v>
      </c>
    </row>
    <row r="1019" spans="1:14" s="4" customFormat="1" ht="31.5">
      <c r="A1019" s="1"/>
      <c r="B1019" s="125" t="s">
        <v>667</v>
      </c>
      <c r="C1019" s="109" t="s">
        <v>595</v>
      </c>
      <c r="D1019" s="108" t="s">
        <v>317</v>
      </c>
      <c r="E1019" s="108" t="s">
        <v>13</v>
      </c>
      <c r="F1019" s="108" t="s">
        <v>668</v>
      </c>
      <c r="G1019" s="108" t="s">
        <v>9</v>
      </c>
      <c r="H1019" s="126">
        <v>0</v>
      </c>
      <c r="I1019" s="126">
        <v>0</v>
      </c>
      <c r="J1019" s="108">
        <v>320800000</v>
      </c>
      <c r="K1019" s="108" t="str">
        <f t="shared" si="45"/>
        <v>0320800000</v>
      </c>
      <c r="L1019" s="303" t="str">
        <f t="shared" si="46"/>
        <v>60910030320800000000</v>
      </c>
      <c r="M1019" s="132" t="str">
        <f>INDEX('реш СГД № 265'!$A:$N,MATCH('БА расх 2019-2020'!$L1019,'реш СГД № 265'!$N:$N,0),3)</f>
        <v>Основное мероприятие «Проведение мероприятий для отдельных категорий граждан»</v>
      </c>
      <c r="N1019" s="17">
        <f t="shared" si="47"/>
        <v>1</v>
      </c>
    </row>
    <row r="1020" spans="1:14" s="4" customFormat="1" ht="31.5">
      <c r="A1020" s="1"/>
      <c r="B1020" s="135" t="s">
        <v>669</v>
      </c>
      <c r="C1020" s="109" t="s">
        <v>595</v>
      </c>
      <c r="D1020" s="108" t="s">
        <v>317</v>
      </c>
      <c r="E1020" s="108" t="s">
        <v>13</v>
      </c>
      <c r="F1020" s="108" t="s">
        <v>670</v>
      </c>
      <c r="G1020" s="108" t="s">
        <v>9</v>
      </c>
      <c r="H1020" s="126">
        <v>0</v>
      </c>
      <c r="I1020" s="126">
        <v>0</v>
      </c>
      <c r="J1020" s="108">
        <v>320820510</v>
      </c>
      <c r="K1020" s="108" t="str">
        <f t="shared" si="45"/>
        <v>0320820510</v>
      </c>
      <c r="L1020" s="303" t="str">
        <f t="shared" si="46"/>
        <v>60910030320820510000</v>
      </c>
      <c r="M1020" s="132" t="str">
        <f>INDEX('реш СГД № 265'!$A:$N,MATCH('БА расх 2019-2020'!$L1020,'реш СГД № 265'!$N:$N,0),3)</f>
        <v>Расходы на повышение социальной активности жителей города Ставрополя</v>
      </c>
      <c r="N1020" s="17">
        <f t="shared" si="47"/>
        <v>1</v>
      </c>
    </row>
    <row r="1021" spans="1:14" s="4" customFormat="1" ht="31.5">
      <c r="A1021" s="1"/>
      <c r="B1021" s="125" t="s">
        <v>28</v>
      </c>
      <c r="C1021" s="109" t="s">
        <v>595</v>
      </c>
      <c r="D1021" s="108" t="s">
        <v>317</v>
      </c>
      <c r="E1021" s="108" t="s">
        <v>13</v>
      </c>
      <c r="F1021" s="108" t="s">
        <v>670</v>
      </c>
      <c r="G1021" s="108" t="s">
        <v>29</v>
      </c>
      <c r="H1021" s="126">
        <v>0</v>
      </c>
      <c r="I1021" s="126">
        <v>0</v>
      </c>
      <c r="J1021" s="108">
        <v>320820510</v>
      </c>
      <c r="K1021" s="108" t="str">
        <f t="shared" si="45"/>
        <v>0320820510</v>
      </c>
      <c r="L1021" s="303" t="str">
        <f t="shared" si="46"/>
        <v>60910030320820510240</v>
      </c>
      <c r="M1021" s="132" t="str">
        <f>INDEX('реш СГД № 265'!$A:$N,MATCH('БА расх 2019-2020'!$L1021,'реш СГД № 265'!$N:$N,0),3)</f>
        <v>Иные закупки товаров, работ и услуг для обеспечения государственных (муниципальных) нужд</v>
      </c>
      <c r="N1021" s="17">
        <f t="shared" si="47"/>
        <v>1</v>
      </c>
    </row>
    <row r="1022" spans="1:14" s="4" customFormat="1" ht="15.75">
      <c r="A1022" s="1"/>
      <c r="B1022" s="125" t="s">
        <v>30</v>
      </c>
      <c r="C1022" s="109" t="s">
        <v>595</v>
      </c>
      <c r="D1022" s="108" t="s">
        <v>317</v>
      </c>
      <c r="E1022" s="108" t="s">
        <v>13</v>
      </c>
      <c r="F1022" s="108" t="s">
        <v>670</v>
      </c>
      <c r="G1022" s="108" t="s">
        <v>31</v>
      </c>
      <c r="H1022" s="126">
        <v>0</v>
      </c>
      <c r="I1022" s="126">
        <v>0</v>
      </c>
      <c r="J1022" s="108">
        <v>320820510</v>
      </c>
      <c r="K1022" s="108" t="str">
        <f t="shared" si="45"/>
        <v>0320820510</v>
      </c>
      <c r="L1022" s="303" t="str">
        <f t="shared" si="46"/>
        <v>60910030320820510244</v>
      </c>
      <c r="M1022" s="132"/>
      <c r="N1022" s="17">
        <f t="shared" si="47"/>
        <v>0</v>
      </c>
    </row>
    <row r="1023" spans="1:14" s="4" customFormat="1" ht="15.75">
      <c r="A1023" s="1"/>
      <c r="B1023" s="135" t="s">
        <v>671</v>
      </c>
      <c r="C1023" s="109" t="s">
        <v>595</v>
      </c>
      <c r="D1023" s="108" t="s">
        <v>317</v>
      </c>
      <c r="E1023" s="108" t="s">
        <v>13</v>
      </c>
      <c r="F1023" s="108" t="s">
        <v>672</v>
      </c>
      <c r="G1023" s="108" t="s">
        <v>9</v>
      </c>
      <c r="H1023" s="126">
        <v>0</v>
      </c>
      <c r="I1023" s="126">
        <v>0</v>
      </c>
      <c r="J1023" s="108">
        <v>330000000</v>
      </c>
      <c r="K1023" s="108" t="str">
        <f t="shared" si="45"/>
        <v>0330000000</v>
      </c>
      <c r="L1023" s="303" t="str">
        <f t="shared" si="46"/>
        <v>60910030330000000000</v>
      </c>
      <c r="M1023" s="132" t="str">
        <f>INDEX('реш СГД № 265'!$A:$N,MATCH('БА расх 2019-2020'!$L1023,'реш СГД № 265'!$N:$N,0),3)</f>
        <v>Подпрограмма «Доступная среда»</v>
      </c>
      <c r="N1023" s="17">
        <f t="shared" si="47"/>
        <v>1</v>
      </c>
    </row>
    <row r="1024" spans="1:14" s="4" customFormat="1" ht="47.25">
      <c r="A1024" s="1"/>
      <c r="B1024" s="147" t="s">
        <v>673</v>
      </c>
      <c r="C1024" s="109" t="s">
        <v>595</v>
      </c>
      <c r="D1024" s="108" t="s">
        <v>317</v>
      </c>
      <c r="E1024" s="108" t="s">
        <v>13</v>
      </c>
      <c r="F1024" s="108" t="s">
        <v>674</v>
      </c>
      <c r="G1024" s="108" t="s">
        <v>9</v>
      </c>
      <c r="H1024" s="126">
        <v>0</v>
      </c>
      <c r="I1024" s="126">
        <v>0</v>
      </c>
      <c r="J1024" s="108">
        <v>330100000</v>
      </c>
      <c r="K1024" s="108" t="str">
        <f t="shared" si="45"/>
        <v>0330100000</v>
      </c>
      <c r="L1024" s="303" t="str">
        <f t="shared" si="46"/>
        <v>60910030330100000000</v>
      </c>
      <c r="M1024" s="132" t="str">
        <f>INDEX('реш СГД № 265'!$A:$N,MATCH('БА расх 2019-2020'!$L1024,'реш СГД № 265'!$N:$N,0),3)</f>
        <v>Основное мероприятие «Создание условий для беспрепятственного доступа маломобильных групп населения к объектам городской инфраструктуры»</v>
      </c>
      <c r="N1024" s="17">
        <f t="shared" si="47"/>
        <v>1</v>
      </c>
    </row>
    <row r="1025" spans="1:14" s="4" customFormat="1" ht="47.25">
      <c r="A1025" s="1"/>
      <c r="B1025" s="135" t="s">
        <v>675</v>
      </c>
      <c r="C1025" s="109" t="s">
        <v>595</v>
      </c>
      <c r="D1025" s="108" t="s">
        <v>317</v>
      </c>
      <c r="E1025" s="108" t="s">
        <v>13</v>
      </c>
      <c r="F1025" s="108" t="s">
        <v>676</v>
      </c>
      <c r="G1025" s="108" t="s">
        <v>9</v>
      </c>
      <c r="H1025" s="126">
        <v>0</v>
      </c>
      <c r="I1025" s="126">
        <v>0</v>
      </c>
      <c r="J1025" s="108">
        <v>330120530</v>
      </c>
      <c r="K1025" s="108" t="str">
        <f t="shared" si="45"/>
        <v>0330120530</v>
      </c>
      <c r="L1025" s="303" t="str">
        <f t="shared" si="46"/>
        <v>60910030330120530000</v>
      </c>
      <c r="M1025" s="132" t="str">
        <f>INDEX('реш СГД № 265'!$A:$N,MATCH('БА расх 2019-2020'!$L1025,'реш СГД № 265'!$N:$N,0),3)</f>
        <v>Расходы на создание условий для беспрепятственного доступа маломобильных групп населения к объектам городской инфраструктуры</v>
      </c>
      <c r="N1025" s="17">
        <f t="shared" si="47"/>
        <v>1</v>
      </c>
    </row>
    <row r="1026" spans="1:14" s="4" customFormat="1" ht="31.5">
      <c r="A1026" s="1"/>
      <c r="B1026" s="132" t="s">
        <v>327</v>
      </c>
      <c r="C1026" s="109" t="s">
        <v>595</v>
      </c>
      <c r="D1026" s="108" t="s">
        <v>317</v>
      </c>
      <c r="E1026" s="108" t="s">
        <v>13</v>
      </c>
      <c r="F1026" s="108" t="s">
        <v>676</v>
      </c>
      <c r="G1026" s="108" t="s">
        <v>328</v>
      </c>
      <c r="H1026" s="126">
        <v>0</v>
      </c>
      <c r="I1026" s="126">
        <v>0</v>
      </c>
      <c r="J1026" s="108">
        <v>330120530</v>
      </c>
      <c r="K1026" s="108" t="str">
        <f t="shared" si="45"/>
        <v>0330120530</v>
      </c>
      <c r="L1026" s="303" t="str">
        <f t="shared" si="46"/>
        <v>60910030330120530320</v>
      </c>
      <c r="M1026" s="132" t="str">
        <f>INDEX('реш СГД № 265'!$A:$N,MATCH('БА расх 2019-2020'!$L1026,'реш СГД № 265'!$N:$N,0),3)</f>
        <v>Социальные выплаты гражданам, кроме публичных нормативных социальных выплат</v>
      </c>
      <c r="N1026" s="17">
        <f t="shared" si="47"/>
        <v>1</v>
      </c>
    </row>
    <row r="1027" spans="1:14" s="4" customFormat="1" ht="31.5">
      <c r="A1027" s="1"/>
      <c r="B1027" s="125" t="s">
        <v>501</v>
      </c>
      <c r="C1027" s="109" t="s">
        <v>595</v>
      </c>
      <c r="D1027" s="108" t="s">
        <v>317</v>
      </c>
      <c r="E1027" s="108" t="s">
        <v>13</v>
      </c>
      <c r="F1027" s="108" t="s">
        <v>676</v>
      </c>
      <c r="G1027" s="108" t="s">
        <v>502</v>
      </c>
      <c r="H1027" s="126">
        <v>0</v>
      </c>
      <c r="I1027" s="126">
        <v>0</v>
      </c>
      <c r="J1027" s="108">
        <v>330120530</v>
      </c>
      <c r="K1027" s="108" t="str">
        <f t="shared" si="45"/>
        <v>0330120530</v>
      </c>
      <c r="L1027" s="303" t="str">
        <f t="shared" si="46"/>
        <v>60910030330120530323</v>
      </c>
      <c r="M1027" s="132"/>
      <c r="N1027" s="17">
        <f t="shared" si="47"/>
        <v>0</v>
      </c>
    </row>
    <row r="1028" spans="1:14" s="43" customFormat="1" ht="15.75">
      <c r="A1028" s="42"/>
      <c r="B1028" s="121" t="s">
        <v>490</v>
      </c>
      <c r="C1028" s="122" t="s">
        <v>595</v>
      </c>
      <c r="D1028" s="123" t="s">
        <v>317</v>
      </c>
      <c r="E1028" s="123" t="s">
        <v>73</v>
      </c>
      <c r="F1028" s="123" t="s">
        <v>8</v>
      </c>
      <c r="G1028" s="123" t="s">
        <v>9</v>
      </c>
      <c r="H1028" s="124">
        <v>0</v>
      </c>
      <c r="I1028" s="124">
        <v>0</v>
      </c>
      <c r="J1028" s="123">
        <v>0</v>
      </c>
      <c r="K1028" s="108" t="str">
        <f t="shared" si="45"/>
        <v>0000000000</v>
      </c>
      <c r="L1028" s="303" t="str">
        <f t="shared" si="46"/>
        <v>60910040000000000000</v>
      </c>
      <c r="M1028" s="132" t="str">
        <f>INDEX('реш СГД № 265'!$A:$N,MATCH('БА расх 2019-2020'!$L1028,'реш СГД № 265'!$N:$N,0),3)</f>
        <v>Охрана семьи и детства</v>
      </c>
      <c r="N1028" s="17">
        <f t="shared" si="47"/>
        <v>1</v>
      </c>
    </row>
    <row r="1029" spans="1:14" s="43" customFormat="1" ht="31.5">
      <c r="A1029" s="42"/>
      <c r="B1029" s="135" t="s">
        <v>385</v>
      </c>
      <c r="C1029" s="109" t="s">
        <v>595</v>
      </c>
      <c r="D1029" s="108" t="s">
        <v>317</v>
      </c>
      <c r="E1029" s="108" t="s">
        <v>73</v>
      </c>
      <c r="F1029" s="108" t="s">
        <v>386</v>
      </c>
      <c r="G1029" s="108" t="s">
        <v>9</v>
      </c>
      <c r="H1029" s="151">
        <v>0</v>
      </c>
      <c r="I1029" s="151">
        <v>0</v>
      </c>
      <c r="J1029" s="108">
        <v>300000000</v>
      </c>
      <c r="K1029" s="108" t="str">
        <f t="shared" si="45"/>
        <v>0300000000</v>
      </c>
      <c r="L1029" s="303" t="str">
        <f t="shared" si="46"/>
        <v>60910040300000000000</v>
      </c>
      <c r="M1029" s="132" t="str">
        <f>INDEX('реш СГД № 265'!$A:$N,MATCH('БА расх 2019-2020'!$L1029,'реш СГД № 265'!$N:$N,0),3)</f>
        <v>Муниципальная программа «Социальная поддержка населения города Ставрополя»</v>
      </c>
      <c r="N1029" s="17">
        <f t="shared" si="47"/>
        <v>1</v>
      </c>
    </row>
    <row r="1030" spans="1:14" s="43" customFormat="1" ht="47.25">
      <c r="A1030" s="42"/>
      <c r="B1030" s="147" t="s">
        <v>596</v>
      </c>
      <c r="C1030" s="109" t="s">
        <v>595</v>
      </c>
      <c r="D1030" s="108" t="s">
        <v>317</v>
      </c>
      <c r="E1030" s="108" t="s">
        <v>73</v>
      </c>
      <c r="F1030" s="108" t="s">
        <v>597</v>
      </c>
      <c r="G1030" s="108" t="s">
        <v>9</v>
      </c>
      <c r="H1030" s="151">
        <v>0</v>
      </c>
      <c r="I1030" s="151">
        <v>0</v>
      </c>
      <c r="J1030" s="108">
        <v>310000000</v>
      </c>
      <c r="K1030" s="108" t="str">
        <f t="shared" si="45"/>
        <v>0310000000</v>
      </c>
      <c r="L1030" s="303" t="str">
        <f t="shared" si="46"/>
        <v>60910040310000000000</v>
      </c>
      <c r="M1030" s="132" t="str">
        <f>INDEX('реш СГД № 265'!$A:$N,MATCH('БА расх 2019-2020'!$L1030,'реш СГД № 265'!$N:$N,0),3)</f>
        <v>Подпрограмма «Осуществление отдельных государственных полномочий в области социальной поддержки отдельных категорий граждан»</v>
      </c>
      <c r="N1030" s="17">
        <f t="shared" si="47"/>
        <v>1</v>
      </c>
    </row>
    <row r="1031" spans="1:14" s="17" customFormat="1" ht="31.5">
      <c r="A1031" s="14"/>
      <c r="B1031" s="148" t="s">
        <v>623</v>
      </c>
      <c r="C1031" s="109" t="s">
        <v>595</v>
      </c>
      <c r="D1031" s="108" t="s">
        <v>317</v>
      </c>
      <c r="E1031" s="108" t="s">
        <v>73</v>
      </c>
      <c r="F1031" s="108" t="s">
        <v>624</v>
      </c>
      <c r="G1031" s="108" t="s">
        <v>9</v>
      </c>
      <c r="H1031" s="152">
        <v>0</v>
      </c>
      <c r="I1031" s="152">
        <v>0</v>
      </c>
      <c r="J1031" s="108">
        <v>310200000</v>
      </c>
      <c r="K1031" s="108" t="str">
        <f t="shared" si="45"/>
        <v>0310200000</v>
      </c>
      <c r="L1031" s="303" t="str">
        <f t="shared" si="46"/>
        <v>60910040310200000000</v>
      </c>
      <c r="M1031" s="132" t="str">
        <f>INDEX('реш СГД № 265'!$A:$N,MATCH('БА расх 2019-2020'!$L1031,'реш СГД № 265'!$N:$N,0),3)</f>
        <v>Основное мероприятие «Предоставление мер социальной поддержки семьям и детям»</v>
      </c>
      <c r="N1031" s="17">
        <f t="shared" si="47"/>
        <v>1</v>
      </c>
    </row>
    <row r="1032" spans="1:14" s="17" customFormat="1" ht="15.75">
      <c r="A1032" s="14"/>
      <c r="B1032" s="149" t="s">
        <v>677</v>
      </c>
      <c r="C1032" s="109" t="s">
        <v>595</v>
      </c>
      <c r="D1032" s="108" t="s">
        <v>317</v>
      </c>
      <c r="E1032" s="108" t="s">
        <v>73</v>
      </c>
      <c r="F1032" s="108" t="s">
        <v>678</v>
      </c>
      <c r="G1032" s="108" t="s">
        <v>9</v>
      </c>
      <c r="H1032" s="152">
        <v>0</v>
      </c>
      <c r="I1032" s="152">
        <v>0</v>
      </c>
      <c r="J1032" s="108">
        <v>310276270</v>
      </c>
      <c r="K1032" s="108" t="str">
        <f t="shared" si="45"/>
        <v>0310276270</v>
      </c>
      <c r="L1032" s="303" t="str">
        <f t="shared" si="46"/>
        <v>60910040310276270000</v>
      </c>
      <c r="M1032" s="132" t="str">
        <f>INDEX('реш СГД № 265'!$A:$N,MATCH('БА расх 2019-2020'!$L1032,'реш СГД № 265'!$N:$N,0),3)</f>
        <v>Выплата ежемесячного пособия на ребенка</v>
      </c>
      <c r="N1032" s="17">
        <f t="shared" si="47"/>
        <v>1</v>
      </c>
    </row>
    <row r="1033" spans="1:14" s="17" customFormat="1" ht="31.5">
      <c r="A1033" s="14"/>
      <c r="B1033" s="132" t="s">
        <v>493</v>
      </c>
      <c r="C1033" s="109" t="s">
        <v>595</v>
      </c>
      <c r="D1033" s="108" t="s">
        <v>317</v>
      </c>
      <c r="E1033" s="108" t="s">
        <v>73</v>
      </c>
      <c r="F1033" s="108" t="s">
        <v>678</v>
      </c>
      <c r="G1033" s="108" t="s">
        <v>494</v>
      </c>
      <c r="H1033" s="126">
        <v>0</v>
      </c>
      <c r="I1033" s="126">
        <v>0</v>
      </c>
      <c r="J1033" s="108">
        <v>310276270</v>
      </c>
      <c r="K1033" s="108" t="str">
        <f t="shared" si="45"/>
        <v>0310276270</v>
      </c>
      <c r="L1033" s="303" t="str">
        <f t="shared" si="46"/>
        <v>60910040310276270310</v>
      </c>
      <c r="M1033" s="132" t="str">
        <f>INDEX('реш СГД № 265'!$A:$N,MATCH('БА расх 2019-2020'!$L1033,'реш СГД № 265'!$N:$N,0),3)</f>
        <v>Публичные нормативные социальные выплаты гражданам</v>
      </c>
      <c r="N1033" s="17">
        <f t="shared" si="47"/>
        <v>1</v>
      </c>
    </row>
    <row r="1034" spans="1:14" s="17" customFormat="1" ht="31.5">
      <c r="A1034" s="14"/>
      <c r="B1034" s="127" t="s">
        <v>495</v>
      </c>
      <c r="C1034" s="109" t="s">
        <v>595</v>
      </c>
      <c r="D1034" s="108" t="s">
        <v>317</v>
      </c>
      <c r="E1034" s="108" t="s">
        <v>73</v>
      </c>
      <c r="F1034" s="108" t="s">
        <v>678</v>
      </c>
      <c r="G1034" s="108" t="s">
        <v>496</v>
      </c>
      <c r="H1034" s="126">
        <v>0</v>
      </c>
      <c r="I1034" s="126">
        <v>0</v>
      </c>
      <c r="J1034" s="108">
        <v>310276270</v>
      </c>
      <c r="K1034" s="108" t="str">
        <f t="shared" si="45"/>
        <v>0310276270</v>
      </c>
      <c r="L1034" s="303" t="str">
        <f t="shared" si="46"/>
        <v>60910040310276270313</v>
      </c>
      <c r="M1034" s="132"/>
      <c r="N1034" s="17">
        <f t="shared" si="47"/>
        <v>0</v>
      </c>
    </row>
    <row r="1035" spans="1:14" s="17" customFormat="1" ht="78.75">
      <c r="A1035" s="14" t="s">
        <v>80</v>
      </c>
      <c r="B1035" s="149" t="s">
        <v>679</v>
      </c>
      <c r="C1035" s="109" t="s">
        <v>595</v>
      </c>
      <c r="D1035" s="108" t="s">
        <v>317</v>
      </c>
      <c r="E1035" s="108" t="s">
        <v>73</v>
      </c>
      <c r="F1035" s="108" t="s">
        <v>680</v>
      </c>
      <c r="G1035" s="108" t="s">
        <v>9</v>
      </c>
      <c r="H1035" s="152">
        <v>0</v>
      </c>
      <c r="I1035" s="152">
        <v>0</v>
      </c>
      <c r="J1035" s="108" t="s">
        <v>1228</v>
      </c>
      <c r="K1035" s="108" t="str">
        <f t="shared" si="45"/>
        <v>03102R0840</v>
      </c>
      <c r="L1035" s="303" t="str">
        <f t="shared" si="46"/>
        <v>609100403102R0840000</v>
      </c>
      <c r="M1035" s="132" t="str">
        <f>INDEX('реш СГД № 265'!$A:$N,MATCH('БА расх 2019-2020'!$L1035,'реш СГД № 265'!$N:$N,0),3)</f>
        <v>Ежемесячная денежная выплата нуждающимся в поддержке семьям, назначаемая в случае рождения в них после 31 декабря 2012 года третьего ребенка или последующих детей до достижения ребенком возраста трех лет</v>
      </c>
      <c r="N1035" s="17">
        <f t="shared" si="47"/>
        <v>1</v>
      </c>
    </row>
    <row r="1036" spans="1:14" s="17" customFormat="1" ht="31.5">
      <c r="A1036" s="14"/>
      <c r="B1036" s="132" t="s">
        <v>493</v>
      </c>
      <c r="C1036" s="109" t="s">
        <v>595</v>
      </c>
      <c r="D1036" s="108" t="s">
        <v>317</v>
      </c>
      <c r="E1036" s="108" t="s">
        <v>73</v>
      </c>
      <c r="F1036" s="108" t="s">
        <v>680</v>
      </c>
      <c r="G1036" s="108" t="s">
        <v>494</v>
      </c>
      <c r="H1036" s="126">
        <v>0</v>
      </c>
      <c r="I1036" s="126">
        <v>0</v>
      </c>
      <c r="J1036" s="108" t="s">
        <v>1228</v>
      </c>
      <c r="K1036" s="108" t="str">
        <f t="shared" si="45"/>
        <v>03102R0840</v>
      </c>
      <c r="L1036" s="303" t="str">
        <f t="shared" si="46"/>
        <v>609100403102R0840310</v>
      </c>
      <c r="M1036" s="132" t="str">
        <f>INDEX('реш СГД № 265'!$A:$N,MATCH('БА расх 2019-2020'!$L1036,'реш СГД № 265'!$N:$N,0),3)</f>
        <v>Публичные нормативные социальные выплаты гражданам</v>
      </c>
      <c r="N1036" s="17">
        <f t="shared" si="47"/>
        <v>1</v>
      </c>
    </row>
    <row r="1037" spans="1:14" s="17" customFormat="1" ht="31.5">
      <c r="A1037" s="14"/>
      <c r="B1037" s="127" t="s">
        <v>495</v>
      </c>
      <c r="C1037" s="109" t="s">
        <v>595</v>
      </c>
      <c r="D1037" s="108" t="s">
        <v>317</v>
      </c>
      <c r="E1037" s="108" t="s">
        <v>73</v>
      </c>
      <c r="F1037" s="108" t="s">
        <v>680</v>
      </c>
      <c r="G1037" s="108" t="s">
        <v>496</v>
      </c>
      <c r="H1037" s="126">
        <v>0</v>
      </c>
      <c r="I1037" s="126">
        <v>0</v>
      </c>
      <c r="J1037" s="108" t="s">
        <v>1228</v>
      </c>
      <c r="K1037" s="108" t="str">
        <f t="shared" ref="K1037:K1100" si="48">TEXT(J1037,"0000000000")</f>
        <v>03102R0840</v>
      </c>
      <c r="L1037" s="303" t="str">
        <f t="shared" si="46"/>
        <v>609100403102R0840313</v>
      </c>
      <c r="M1037" s="132"/>
      <c r="N1037" s="17">
        <f t="shared" si="47"/>
        <v>0</v>
      </c>
    </row>
    <row r="1038" spans="1:14" s="45" customFormat="1" ht="15.75">
      <c r="A1038" s="44"/>
      <c r="B1038" s="121" t="s">
        <v>681</v>
      </c>
      <c r="C1038" s="122" t="s">
        <v>595</v>
      </c>
      <c r="D1038" s="123" t="s">
        <v>317</v>
      </c>
      <c r="E1038" s="123" t="s">
        <v>334</v>
      </c>
      <c r="F1038" s="123" t="s">
        <v>8</v>
      </c>
      <c r="G1038" s="123" t="s">
        <v>9</v>
      </c>
      <c r="H1038" s="124">
        <v>0</v>
      </c>
      <c r="I1038" s="124">
        <v>0</v>
      </c>
      <c r="J1038" s="123">
        <v>0</v>
      </c>
      <c r="K1038" s="108" t="str">
        <f t="shared" si="48"/>
        <v>0000000000</v>
      </c>
      <c r="L1038" s="303" t="str">
        <f t="shared" ref="L1038:L1101" si="49">C1038&amp;D1038&amp;E1038&amp;K1038&amp;G1038</f>
        <v>60910060000000000000</v>
      </c>
      <c r="M1038" s="132" t="str">
        <f>INDEX('реш СГД № 265'!$A:$N,MATCH('БА расх 2019-2020'!$L1038,'реш СГД № 265'!$N:$N,0),3)</f>
        <v>Другие вопросы в области социальной политики</v>
      </c>
      <c r="N1038" s="17">
        <f t="shared" ref="N1038:N1101" si="50">IF(B1038=M1038,1,0)</f>
        <v>1</v>
      </c>
    </row>
    <row r="1039" spans="1:14" s="17" customFormat="1" ht="31.5">
      <c r="A1039" s="14"/>
      <c r="B1039" s="135" t="s">
        <v>385</v>
      </c>
      <c r="C1039" s="109" t="s">
        <v>595</v>
      </c>
      <c r="D1039" s="108" t="s">
        <v>317</v>
      </c>
      <c r="E1039" s="108" t="s">
        <v>334</v>
      </c>
      <c r="F1039" s="108" t="s">
        <v>386</v>
      </c>
      <c r="G1039" s="108" t="s">
        <v>9</v>
      </c>
      <c r="H1039" s="152">
        <v>0</v>
      </c>
      <c r="I1039" s="152">
        <v>0</v>
      </c>
      <c r="J1039" s="108">
        <v>300000000</v>
      </c>
      <c r="K1039" s="108" t="str">
        <f t="shared" si="48"/>
        <v>0300000000</v>
      </c>
      <c r="L1039" s="303" t="str">
        <f t="shared" si="49"/>
        <v>60910060300000000000</v>
      </c>
      <c r="M1039" s="132" t="str">
        <f>INDEX('реш СГД № 265'!$A:$N,MATCH('БА расх 2019-2020'!$L1039,'реш СГД № 265'!$N:$N,0),3)</f>
        <v>Муниципальная программа «Социальная поддержка населения города Ставрополя»</v>
      </c>
      <c r="N1039" s="17">
        <f t="shared" si="50"/>
        <v>1</v>
      </c>
    </row>
    <row r="1040" spans="1:14" s="4" customFormat="1" ht="47.25">
      <c r="A1040" s="1" t="s">
        <v>682</v>
      </c>
      <c r="B1040" s="147" t="s">
        <v>596</v>
      </c>
      <c r="C1040" s="109" t="s">
        <v>595</v>
      </c>
      <c r="D1040" s="108" t="s">
        <v>317</v>
      </c>
      <c r="E1040" s="108" t="s">
        <v>334</v>
      </c>
      <c r="F1040" s="108" t="s">
        <v>597</v>
      </c>
      <c r="G1040" s="108" t="s">
        <v>9</v>
      </c>
      <c r="H1040" s="152">
        <v>0</v>
      </c>
      <c r="I1040" s="152">
        <v>0</v>
      </c>
      <c r="J1040" s="108">
        <v>310000000</v>
      </c>
      <c r="K1040" s="108" t="str">
        <f t="shared" si="48"/>
        <v>0310000000</v>
      </c>
      <c r="L1040" s="303" t="str">
        <f t="shared" si="49"/>
        <v>60910060310000000000</v>
      </c>
      <c r="M1040" s="132" t="str">
        <f>INDEX('реш СГД № 265'!$A:$N,MATCH('БА расх 2019-2020'!$L1040,'реш СГД № 265'!$N:$N,0),3)</f>
        <v>Подпрограмма «Осуществление отдельных государственных полномочий в области социальной поддержки отдельных категорий граждан»</v>
      </c>
      <c r="N1040" s="17">
        <f t="shared" si="50"/>
        <v>1</v>
      </c>
    </row>
    <row r="1041" spans="1:14" s="4" customFormat="1" ht="47.25">
      <c r="A1041" s="1"/>
      <c r="B1041" s="148" t="s">
        <v>599</v>
      </c>
      <c r="C1041" s="109" t="s">
        <v>595</v>
      </c>
      <c r="D1041" s="108" t="s">
        <v>317</v>
      </c>
      <c r="E1041" s="108" t="s">
        <v>334</v>
      </c>
      <c r="F1041" s="108" t="s">
        <v>600</v>
      </c>
      <c r="G1041" s="108" t="s">
        <v>9</v>
      </c>
      <c r="H1041" s="152">
        <v>0</v>
      </c>
      <c r="I1041" s="152">
        <v>0</v>
      </c>
      <c r="J1041" s="108">
        <v>310100000</v>
      </c>
      <c r="K1041" s="108" t="str">
        <f t="shared" si="48"/>
        <v>0310100000</v>
      </c>
      <c r="L1041" s="303" t="str">
        <f t="shared" si="49"/>
        <v>60910060310100000000</v>
      </c>
      <c r="M1041" s="132" t="str">
        <f>INDEX('реш СГД № 265'!$A:$N,MATCH('БА расх 2019-2020'!$L1041,'реш СГД № 265'!$N:$N,0),3)</f>
        <v>Основное мероприятие «Предоставление мер социальной поддержки отдельным категориям граждан»</v>
      </c>
      <c r="N1041" s="17">
        <f t="shared" si="50"/>
        <v>1</v>
      </c>
    </row>
    <row r="1042" spans="1:14" s="4" customFormat="1" ht="47.25">
      <c r="A1042" s="1"/>
      <c r="B1042" s="135" t="s">
        <v>603</v>
      </c>
      <c r="C1042" s="109" t="s">
        <v>595</v>
      </c>
      <c r="D1042" s="108" t="s">
        <v>317</v>
      </c>
      <c r="E1042" s="108" t="s">
        <v>334</v>
      </c>
      <c r="F1042" s="108" t="s">
        <v>604</v>
      </c>
      <c r="G1042" s="108" t="s">
        <v>9</v>
      </c>
      <c r="H1042" s="152">
        <v>0</v>
      </c>
      <c r="I1042" s="152">
        <v>0</v>
      </c>
      <c r="J1042" s="108">
        <v>310152500</v>
      </c>
      <c r="K1042" s="108" t="str">
        <f t="shared" si="48"/>
        <v>0310152500</v>
      </c>
      <c r="L1042" s="303" t="str">
        <f t="shared" si="49"/>
        <v>60910060310152500000</v>
      </c>
      <c r="M1042" s="132" t="str">
        <f>INDEX('реш СГД № 265'!$A:$N,MATCH('БА расх 2019-2020'!$L1042,'реш СГД № 265'!$N:$N,0),3)</f>
        <v xml:space="preserve">Выплата компенсации расходов на оплату жилых помещений и коммунальных услуг отдельным категориям граждан </v>
      </c>
      <c r="N1042" s="17">
        <f t="shared" si="50"/>
        <v>1</v>
      </c>
    </row>
    <row r="1043" spans="1:14" s="4" customFormat="1" ht="31.5">
      <c r="A1043" s="1"/>
      <c r="B1043" s="125" t="s">
        <v>20</v>
      </c>
      <c r="C1043" s="109" t="s">
        <v>595</v>
      </c>
      <c r="D1043" s="108" t="s">
        <v>317</v>
      </c>
      <c r="E1043" s="108" t="s">
        <v>334</v>
      </c>
      <c r="F1043" s="108" t="s">
        <v>604</v>
      </c>
      <c r="G1043" s="108" t="s">
        <v>21</v>
      </c>
      <c r="H1043" s="126">
        <v>0</v>
      </c>
      <c r="I1043" s="126">
        <v>0</v>
      </c>
      <c r="J1043" s="108">
        <v>310152500</v>
      </c>
      <c r="K1043" s="108" t="str">
        <f t="shared" si="48"/>
        <v>0310152500</v>
      </c>
      <c r="L1043" s="303" t="str">
        <f t="shared" si="49"/>
        <v>60910060310152500120</v>
      </c>
      <c r="M1043" s="132" t="str">
        <f>INDEX('реш СГД № 265'!$A:$N,MATCH('БА расх 2019-2020'!$L1043,'реш СГД № 265'!$N:$N,0),3)</f>
        <v>Расходы на выплаты персоналу государственных (муниципальных) органов</v>
      </c>
      <c r="N1043" s="17">
        <f t="shared" si="50"/>
        <v>1</v>
      </c>
    </row>
    <row r="1044" spans="1:14" s="41" customFormat="1" ht="31.5">
      <c r="A1044" s="40"/>
      <c r="B1044" s="127" t="s">
        <v>40</v>
      </c>
      <c r="C1044" s="109" t="s">
        <v>595</v>
      </c>
      <c r="D1044" s="108" t="s">
        <v>317</v>
      </c>
      <c r="E1044" s="108" t="s">
        <v>334</v>
      </c>
      <c r="F1044" s="108" t="s">
        <v>604</v>
      </c>
      <c r="G1044" s="108" t="s">
        <v>41</v>
      </c>
      <c r="H1044" s="126">
        <v>0</v>
      </c>
      <c r="I1044" s="126">
        <v>0</v>
      </c>
      <c r="J1044" s="108">
        <v>310152500</v>
      </c>
      <c r="K1044" s="108" t="str">
        <f t="shared" si="48"/>
        <v>0310152500</v>
      </c>
      <c r="L1044" s="303" t="str">
        <f t="shared" si="49"/>
        <v>60910060310152500121</v>
      </c>
      <c r="M1044" s="132"/>
      <c r="N1044" s="17">
        <f t="shared" si="50"/>
        <v>0</v>
      </c>
    </row>
    <row r="1045" spans="1:14" s="41" customFormat="1" ht="63">
      <c r="A1045" s="40"/>
      <c r="B1045" s="127" t="s">
        <v>26</v>
      </c>
      <c r="C1045" s="109" t="s">
        <v>595</v>
      </c>
      <c r="D1045" s="108" t="s">
        <v>317</v>
      </c>
      <c r="E1045" s="108" t="s">
        <v>334</v>
      </c>
      <c r="F1045" s="108" t="s">
        <v>604</v>
      </c>
      <c r="G1045" s="108" t="s">
        <v>27</v>
      </c>
      <c r="H1045" s="126">
        <v>0</v>
      </c>
      <c r="I1045" s="126">
        <v>0</v>
      </c>
      <c r="J1045" s="108">
        <v>310152500</v>
      </c>
      <c r="K1045" s="108" t="str">
        <f t="shared" si="48"/>
        <v>0310152500</v>
      </c>
      <c r="L1045" s="303" t="str">
        <f t="shared" si="49"/>
        <v>60910060310152500129</v>
      </c>
      <c r="M1045" s="132"/>
      <c r="N1045" s="17">
        <f t="shared" si="50"/>
        <v>0</v>
      </c>
    </row>
    <row r="1046" spans="1:14" s="4" customFormat="1" ht="63">
      <c r="A1046" s="1"/>
      <c r="B1046" s="135" t="s">
        <v>387</v>
      </c>
      <c r="C1046" s="109" t="s">
        <v>595</v>
      </c>
      <c r="D1046" s="108" t="s">
        <v>317</v>
      </c>
      <c r="E1046" s="108" t="s">
        <v>334</v>
      </c>
      <c r="F1046" s="108" t="s">
        <v>388</v>
      </c>
      <c r="G1046" s="108" t="s">
        <v>9</v>
      </c>
      <c r="H1046" s="151">
        <v>0</v>
      </c>
      <c r="I1046" s="151">
        <v>0</v>
      </c>
      <c r="J1046" s="108">
        <v>320000000</v>
      </c>
      <c r="K1046" s="108" t="str">
        <f t="shared" si="48"/>
        <v>0320000000</v>
      </c>
      <c r="L1046" s="303" t="str">
        <f t="shared" si="49"/>
        <v>60910060320000000000</v>
      </c>
      <c r="M1046" s="132" t="str">
        <f>INDEX('реш СГД № 265'!$A:$N,MATCH('БА расх 2019-2020'!$L1046,'реш СГД № 265'!$N:$N,0),3)</f>
        <v>Подпрограмма «Дополнительные меры социальной поддержки для отдельных категорий граждан, поддержка социально ориентированных некоммерческих организаций»</v>
      </c>
      <c r="N1046" s="17">
        <f t="shared" si="50"/>
        <v>1</v>
      </c>
    </row>
    <row r="1047" spans="1:14" s="4" customFormat="1" ht="31.5">
      <c r="A1047" s="1"/>
      <c r="B1047" s="135" t="s">
        <v>683</v>
      </c>
      <c r="C1047" s="109" t="s">
        <v>595</v>
      </c>
      <c r="D1047" s="108" t="s">
        <v>317</v>
      </c>
      <c r="E1047" s="108" t="s">
        <v>334</v>
      </c>
      <c r="F1047" s="108" t="s">
        <v>684</v>
      </c>
      <c r="G1047" s="108" t="s">
        <v>9</v>
      </c>
      <c r="H1047" s="151">
        <v>0</v>
      </c>
      <c r="I1047" s="151">
        <v>0</v>
      </c>
      <c r="J1047" s="108">
        <v>320700000</v>
      </c>
      <c r="K1047" s="108" t="str">
        <f t="shared" si="48"/>
        <v>0320700000</v>
      </c>
      <c r="L1047" s="303" t="str">
        <f t="shared" si="49"/>
        <v>60910060320700000000</v>
      </c>
      <c r="M1047" s="132" t="str">
        <f>INDEX('реш СГД № 265'!$A:$N,MATCH('БА расх 2019-2020'!$L1047,'реш СГД № 265'!$N:$N,0),3)</f>
        <v>Основное мероприятие «Поддержка социально ориентированных некоммерческих организаций»</v>
      </c>
      <c r="N1047" s="17">
        <f t="shared" si="50"/>
        <v>1</v>
      </c>
    </row>
    <row r="1048" spans="1:14" s="4" customFormat="1" ht="31.5">
      <c r="A1048" s="1"/>
      <c r="B1048" s="135" t="s">
        <v>685</v>
      </c>
      <c r="C1048" s="109" t="s">
        <v>595</v>
      </c>
      <c r="D1048" s="108" t="s">
        <v>317</v>
      </c>
      <c r="E1048" s="108" t="s">
        <v>334</v>
      </c>
      <c r="F1048" s="108" t="s">
        <v>686</v>
      </c>
      <c r="G1048" s="108" t="s">
        <v>9</v>
      </c>
      <c r="H1048" s="151">
        <v>0</v>
      </c>
      <c r="I1048" s="151">
        <v>0</v>
      </c>
      <c r="J1048" s="108">
        <v>320760040</v>
      </c>
      <c r="K1048" s="108" t="str">
        <f t="shared" si="48"/>
        <v>0320760040</v>
      </c>
      <c r="L1048" s="303" t="str">
        <f t="shared" si="49"/>
        <v>60910060320760040000</v>
      </c>
      <c r="M1048" s="132" t="str">
        <f>INDEX('реш СГД № 265'!$A:$N,MATCH('БА расх 2019-2020'!$L1048,'реш СГД № 265'!$N:$N,0),3)</f>
        <v>Субсидии на поддержку социально ориентированных некоммерческих организаций</v>
      </c>
      <c r="N1048" s="17">
        <f t="shared" si="50"/>
        <v>1</v>
      </c>
    </row>
    <row r="1049" spans="1:14" s="4" customFormat="1" ht="47.25">
      <c r="A1049" s="1"/>
      <c r="B1049" s="135" t="s">
        <v>182</v>
      </c>
      <c r="C1049" s="109" t="s">
        <v>595</v>
      </c>
      <c r="D1049" s="108" t="s">
        <v>317</v>
      </c>
      <c r="E1049" s="108" t="s">
        <v>334</v>
      </c>
      <c r="F1049" s="108" t="s">
        <v>686</v>
      </c>
      <c r="G1049" s="108" t="s">
        <v>183</v>
      </c>
      <c r="H1049" s="126">
        <v>0</v>
      </c>
      <c r="I1049" s="126">
        <v>0</v>
      </c>
      <c r="J1049" s="108">
        <v>320760040</v>
      </c>
      <c r="K1049" s="108" t="str">
        <f t="shared" si="48"/>
        <v>0320760040</v>
      </c>
      <c r="L1049" s="303" t="str">
        <f t="shared" si="49"/>
        <v>60910060320760040630</v>
      </c>
      <c r="M1049" s="132" t="str">
        <f>INDEX('реш СГД № 265'!$A:$N,MATCH('БА расх 2019-2020'!$L1049,'реш СГД № 265'!$N:$N,0),3)</f>
        <v>Субсидии некоммерческим организациям (за исключением государственных (муниципальных) учреждений)</v>
      </c>
      <c r="N1049" s="17">
        <f t="shared" si="50"/>
        <v>1</v>
      </c>
    </row>
    <row r="1050" spans="1:14" s="4" customFormat="1" ht="94.5">
      <c r="A1050" s="1"/>
      <c r="B1050" s="127" t="s">
        <v>1038</v>
      </c>
      <c r="C1050" s="109" t="s">
        <v>595</v>
      </c>
      <c r="D1050" s="108" t="s">
        <v>317</v>
      </c>
      <c r="E1050" s="108" t="s">
        <v>334</v>
      </c>
      <c r="F1050" s="108" t="s">
        <v>686</v>
      </c>
      <c r="G1050" s="108" t="s">
        <v>416</v>
      </c>
      <c r="H1050" s="126">
        <v>0</v>
      </c>
      <c r="I1050" s="126">
        <v>0</v>
      </c>
      <c r="J1050" s="108">
        <v>320760040</v>
      </c>
      <c r="K1050" s="108" t="str">
        <f t="shared" si="48"/>
        <v>0320760040</v>
      </c>
      <c r="L1050" s="303" t="str">
        <f t="shared" si="49"/>
        <v>60910060320760040632</v>
      </c>
      <c r="M1050" s="132"/>
      <c r="N1050" s="17">
        <f t="shared" si="50"/>
        <v>0</v>
      </c>
    </row>
    <row r="1051" spans="1:14" s="4" customFormat="1" ht="15.75">
      <c r="A1051" s="1"/>
      <c r="B1051" s="135" t="s">
        <v>671</v>
      </c>
      <c r="C1051" s="109" t="s">
        <v>595</v>
      </c>
      <c r="D1051" s="108" t="s">
        <v>317</v>
      </c>
      <c r="E1051" s="108" t="s">
        <v>334</v>
      </c>
      <c r="F1051" s="108" t="s">
        <v>672</v>
      </c>
      <c r="G1051" s="108" t="s">
        <v>9</v>
      </c>
      <c r="H1051" s="152">
        <v>0</v>
      </c>
      <c r="I1051" s="152">
        <v>0</v>
      </c>
      <c r="J1051" s="108">
        <v>330000000</v>
      </c>
      <c r="K1051" s="108" t="str">
        <f t="shared" si="48"/>
        <v>0330000000</v>
      </c>
      <c r="L1051" s="303" t="str">
        <f t="shared" si="49"/>
        <v>60910060330000000000</v>
      </c>
      <c r="M1051" s="132" t="str">
        <f>INDEX('реш СГД № 265'!$A:$N,MATCH('БА расх 2019-2020'!$L1051,'реш СГД № 265'!$N:$N,0),3)</f>
        <v>Подпрограмма «Доступная среда»</v>
      </c>
      <c r="N1051" s="17">
        <f t="shared" si="50"/>
        <v>1</v>
      </c>
    </row>
    <row r="1052" spans="1:14" s="4" customFormat="1" ht="47.25">
      <c r="A1052" s="1"/>
      <c r="B1052" s="135" t="s">
        <v>673</v>
      </c>
      <c r="C1052" s="109" t="s">
        <v>595</v>
      </c>
      <c r="D1052" s="108" t="s">
        <v>317</v>
      </c>
      <c r="E1052" s="108" t="s">
        <v>334</v>
      </c>
      <c r="F1052" s="108" t="s">
        <v>674</v>
      </c>
      <c r="G1052" s="108" t="s">
        <v>9</v>
      </c>
      <c r="H1052" s="152">
        <v>0</v>
      </c>
      <c r="I1052" s="152">
        <v>0</v>
      </c>
      <c r="J1052" s="108">
        <v>330100000</v>
      </c>
      <c r="K1052" s="108" t="str">
        <f t="shared" si="48"/>
        <v>0330100000</v>
      </c>
      <c r="L1052" s="303" t="str">
        <f t="shared" si="49"/>
        <v>60910060330100000000</v>
      </c>
      <c r="M1052" s="132" t="str">
        <f>INDEX('реш СГД № 265'!$A:$N,MATCH('БА расх 2019-2020'!$L1052,'реш СГД № 265'!$N:$N,0),3)</f>
        <v>Основное мероприятие «Создание условий для беспрепятственного доступа маломобильных групп населения к объектам городской инфраструктуры»</v>
      </c>
      <c r="N1052" s="17">
        <f t="shared" si="50"/>
        <v>1</v>
      </c>
    </row>
    <row r="1053" spans="1:14" s="4" customFormat="1" ht="47.25">
      <c r="A1053" s="1"/>
      <c r="B1053" s="135" t="s">
        <v>675</v>
      </c>
      <c r="C1053" s="109" t="s">
        <v>595</v>
      </c>
      <c r="D1053" s="108" t="s">
        <v>317</v>
      </c>
      <c r="E1053" s="108" t="s">
        <v>334</v>
      </c>
      <c r="F1053" s="108" t="s">
        <v>676</v>
      </c>
      <c r="G1053" s="108" t="s">
        <v>9</v>
      </c>
      <c r="H1053" s="152">
        <v>0</v>
      </c>
      <c r="I1053" s="152">
        <v>0</v>
      </c>
      <c r="J1053" s="108">
        <v>330120530</v>
      </c>
      <c r="K1053" s="108" t="str">
        <f t="shared" si="48"/>
        <v>0330120530</v>
      </c>
      <c r="L1053" s="303" t="str">
        <f t="shared" si="49"/>
        <v>60910060330120530000</v>
      </c>
      <c r="M1053" s="132" t="str">
        <f>INDEX('реш СГД № 265'!$A:$N,MATCH('БА расх 2019-2020'!$L1053,'реш СГД № 265'!$N:$N,0),3)</f>
        <v>Расходы на создание условий для беспрепятственного доступа маломобильных групп населения к объектам городской инфраструктуры</v>
      </c>
      <c r="N1053" s="17">
        <f t="shared" si="50"/>
        <v>1</v>
      </c>
    </row>
    <row r="1054" spans="1:14" s="4" customFormat="1" ht="31.5">
      <c r="A1054" s="1"/>
      <c r="B1054" s="125" t="s">
        <v>28</v>
      </c>
      <c r="C1054" s="109" t="s">
        <v>595</v>
      </c>
      <c r="D1054" s="108" t="s">
        <v>317</v>
      </c>
      <c r="E1054" s="108" t="s">
        <v>334</v>
      </c>
      <c r="F1054" s="108" t="s">
        <v>676</v>
      </c>
      <c r="G1054" s="108" t="s">
        <v>29</v>
      </c>
      <c r="H1054" s="126">
        <v>0</v>
      </c>
      <c r="I1054" s="126">
        <v>0</v>
      </c>
      <c r="J1054" s="108">
        <v>330120530</v>
      </c>
      <c r="K1054" s="108" t="str">
        <f t="shared" si="48"/>
        <v>0330120530</v>
      </c>
      <c r="L1054" s="303" t="str">
        <f t="shared" si="49"/>
        <v>60910060330120530240</v>
      </c>
      <c r="M1054" s="132" t="str">
        <f>INDEX('реш СГД № 265'!$A:$N,MATCH('БА расх 2019-2020'!$L1054,'реш СГД № 265'!$N:$N,0),3)</f>
        <v>Иные закупки товаров, работ и услуг для обеспечения государственных (муниципальных) нужд</v>
      </c>
      <c r="N1054" s="17">
        <f t="shared" si="50"/>
        <v>1</v>
      </c>
    </row>
    <row r="1055" spans="1:14" s="4" customFormat="1" ht="15.75">
      <c r="A1055" s="1"/>
      <c r="B1055" s="125" t="s">
        <v>30</v>
      </c>
      <c r="C1055" s="109" t="s">
        <v>595</v>
      </c>
      <c r="D1055" s="108" t="s">
        <v>317</v>
      </c>
      <c r="E1055" s="108" t="s">
        <v>334</v>
      </c>
      <c r="F1055" s="108" t="s">
        <v>676</v>
      </c>
      <c r="G1055" s="108" t="s">
        <v>31</v>
      </c>
      <c r="H1055" s="126">
        <v>0</v>
      </c>
      <c r="I1055" s="126">
        <v>0</v>
      </c>
      <c r="J1055" s="108">
        <v>330120530</v>
      </c>
      <c r="K1055" s="108" t="str">
        <f t="shared" si="48"/>
        <v>0330120530</v>
      </c>
      <c r="L1055" s="303" t="str">
        <f t="shared" si="49"/>
        <v>60910060330120530244</v>
      </c>
      <c r="M1055" s="132"/>
      <c r="N1055" s="17">
        <f t="shared" si="50"/>
        <v>0</v>
      </c>
    </row>
    <row r="1056" spans="1:14" s="4" customFormat="1" ht="15.75">
      <c r="A1056" s="1"/>
      <c r="B1056" s="125" t="s">
        <v>32</v>
      </c>
      <c r="C1056" s="109" t="s">
        <v>595</v>
      </c>
      <c r="D1056" s="108" t="s">
        <v>317</v>
      </c>
      <c r="E1056" s="108" t="s">
        <v>334</v>
      </c>
      <c r="F1056" s="108" t="s">
        <v>676</v>
      </c>
      <c r="G1056" s="108" t="s">
        <v>33</v>
      </c>
      <c r="H1056" s="126">
        <v>0</v>
      </c>
      <c r="I1056" s="126">
        <v>0</v>
      </c>
      <c r="J1056" s="108">
        <v>330120530</v>
      </c>
      <c r="K1056" s="108" t="str">
        <f t="shared" si="48"/>
        <v>0330120530</v>
      </c>
      <c r="L1056" s="303" t="str">
        <f t="shared" si="49"/>
        <v>60910060330120530850</v>
      </c>
      <c r="M1056" s="132" t="str">
        <f>INDEX('реш СГД № 265'!$A:$N,MATCH('БА расх 2019-2020'!$L1056,'реш СГД № 265'!$N:$N,0),3)</f>
        <v>Уплата налогов, сборов и иных платежей</v>
      </c>
      <c r="N1056" s="17">
        <f t="shared" si="50"/>
        <v>1</v>
      </c>
    </row>
    <row r="1057" spans="1:14" s="4" customFormat="1" ht="31.5">
      <c r="A1057" s="1"/>
      <c r="B1057" s="127" t="s">
        <v>34</v>
      </c>
      <c r="C1057" s="109" t="s">
        <v>595</v>
      </c>
      <c r="D1057" s="108" t="s">
        <v>317</v>
      </c>
      <c r="E1057" s="108" t="s">
        <v>334</v>
      </c>
      <c r="F1057" s="108" t="s">
        <v>676</v>
      </c>
      <c r="G1057" s="108" t="s">
        <v>35</v>
      </c>
      <c r="H1057" s="126">
        <v>0</v>
      </c>
      <c r="I1057" s="126">
        <v>0</v>
      </c>
      <c r="J1057" s="108">
        <v>330120530</v>
      </c>
      <c r="K1057" s="108" t="str">
        <f t="shared" si="48"/>
        <v>0330120530</v>
      </c>
      <c r="L1057" s="303" t="str">
        <f t="shared" si="49"/>
        <v>60910060330120530851</v>
      </c>
      <c r="M1057" s="132"/>
      <c r="N1057" s="17">
        <f t="shared" si="50"/>
        <v>0</v>
      </c>
    </row>
    <row r="1058" spans="1:14" s="4" customFormat="1" ht="15.75">
      <c r="A1058" s="1"/>
      <c r="B1058" s="127" t="s">
        <v>36</v>
      </c>
      <c r="C1058" s="109" t="s">
        <v>595</v>
      </c>
      <c r="D1058" s="108" t="s">
        <v>317</v>
      </c>
      <c r="E1058" s="108" t="s">
        <v>334</v>
      </c>
      <c r="F1058" s="108" t="s">
        <v>676</v>
      </c>
      <c r="G1058" s="108" t="s">
        <v>37</v>
      </c>
      <c r="H1058" s="126">
        <v>0</v>
      </c>
      <c r="I1058" s="126">
        <v>0</v>
      </c>
      <c r="J1058" s="108">
        <v>330120530</v>
      </c>
      <c r="K1058" s="108" t="str">
        <f t="shared" si="48"/>
        <v>0330120530</v>
      </c>
      <c r="L1058" s="303" t="str">
        <f t="shared" si="49"/>
        <v>60910060330120530852</v>
      </c>
      <c r="M1058" s="132"/>
      <c r="N1058" s="17">
        <f t="shared" si="50"/>
        <v>0</v>
      </c>
    </row>
    <row r="1059" spans="1:14" s="4" customFormat="1" ht="47.25">
      <c r="A1059" s="1"/>
      <c r="B1059" s="135" t="s">
        <v>687</v>
      </c>
      <c r="C1059" s="109" t="s">
        <v>595</v>
      </c>
      <c r="D1059" s="108" t="s">
        <v>317</v>
      </c>
      <c r="E1059" s="108" t="s">
        <v>334</v>
      </c>
      <c r="F1059" s="108" t="s">
        <v>688</v>
      </c>
      <c r="G1059" s="108" t="s">
        <v>9</v>
      </c>
      <c r="H1059" s="152">
        <v>0</v>
      </c>
      <c r="I1059" s="152">
        <v>0</v>
      </c>
      <c r="J1059" s="108" t="s">
        <v>1229</v>
      </c>
      <c r="K1059" s="108" t="str">
        <f t="shared" si="48"/>
        <v>03301S0270</v>
      </c>
      <c r="L1059" s="303" t="str">
        <f t="shared" si="49"/>
        <v>609100603301S0270000</v>
      </c>
      <c r="M1059" s="132" t="str">
        <f>INDEX('реш СГД № 265'!$A:$N,MATCH('БА расх 2019-2020'!$L1059,'реш СГД № 265'!$N:$N,0),3)</f>
        <v>Реализация мероприятий государственной программы Российской Федерации «Доступная среда» на 2011 - 2020 годы за счет средств местного бюджета</v>
      </c>
      <c r="N1059" s="17">
        <f t="shared" si="50"/>
        <v>1</v>
      </c>
    </row>
    <row r="1060" spans="1:14" s="4" customFormat="1" ht="31.5">
      <c r="A1060" s="1"/>
      <c r="B1060" s="135" t="s">
        <v>28</v>
      </c>
      <c r="C1060" s="109" t="s">
        <v>595</v>
      </c>
      <c r="D1060" s="108" t="s">
        <v>317</v>
      </c>
      <c r="E1060" s="108" t="s">
        <v>334</v>
      </c>
      <c r="F1060" s="108" t="s">
        <v>688</v>
      </c>
      <c r="G1060" s="108" t="s">
        <v>29</v>
      </c>
      <c r="H1060" s="126">
        <v>0</v>
      </c>
      <c r="I1060" s="126">
        <v>0</v>
      </c>
      <c r="J1060" s="108" t="s">
        <v>1229</v>
      </c>
      <c r="K1060" s="108" t="str">
        <f t="shared" si="48"/>
        <v>03301S0270</v>
      </c>
      <c r="L1060" s="303" t="str">
        <f t="shared" si="49"/>
        <v>609100603301S0270240</v>
      </c>
      <c r="M1060" s="132" t="str">
        <f>INDEX('реш СГД № 265'!$A:$N,MATCH('БА расх 2019-2020'!$L1060,'реш СГД № 265'!$N:$N,0),3)</f>
        <v>Иные закупки товаров, работ и услуг для обеспечения государственных (муниципальных) нужд</v>
      </c>
      <c r="N1060" s="17">
        <f t="shared" si="50"/>
        <v>1</v>
      </c>
    </row>
    <row r="1061" spans="1:14" s="4" customFormat="1" ht="15.75">
      <c r="A1061" s="1"/>
      <c r="B1061" s="125" t="s">
        <v>30</v>
      </c>
      <c r="C1061" s="109" t="s">
        <v>595</v>
      </c>
      <c r="D1061" s="108" t="s">
        <v>317</v>
      </c>
      <c r="E1061" s="108" t="s">
        <v>334</v>
      </c>
      <c r="F1061" s="108" t="s">
        <v>688</v>
      </c>
      <c r="G1061" s="108" t="s">
        <v>31</v>
      </c>
      <c r="H1061" s="126">
        <v>0</v>
      </c>
      <c r="I1061" s="126">
        <v>0</v>
      </c>
      <c r="J1061" s="108" t="s">
        <v>1229</v>
      </c>
      <c r="K1061" s="108" t="str">
        <f t="shared" si="48"/>
        <v>03301S0270</v>
      </c>
      <c r="L1061" s="303" t="str">
        <f t="shared" si="49"/>
        <v>609100603301S0270244</v>
      </c>
      <c r="M1061" s="132"/>
      <c r="N1061" s="17">
        <f t="shared" si="50"/>
        <v>0</v>
      </c>
    </row>
    <row r="1062" spans="1:14" s="4" customFormat="1" ht="47.25">
      <c r="A1062" s="1"/>
      <c r="B1062" s="147" t="s">
        <v>689</v>
      </c>
      <c r="C1062" s="109" t="s">
        <v>595</v>
      </c>
      <c r="D1062" s="108" t="s">
        <v>317</v>
      </c>
      <c r="E1062" s="108" t="s">
        <v>334</v>
      </c>
      <c r="F1062" s="109" t="s">
        <v>690</v>
      </c>
      <c r="G1062" s="108" t="s">
        <v>9</v>
      </c>
      <c r="H1062" s="151">
        <v>0</v>
      </c>
      <c r="I1062" s="151">
        <v>0</v>
      </c>
      <c r="J1062" s="109">
        <v>7700000000</v>
      </c>
      <c r="K1062" s="108" t="str">
        <f t="shared" si="48"/>
        <v>7700000000</v>
      </c>
      <c r="L1062" s="303" t="str">
        <f t="shared" si="49"/>
        <v>60910067700000000000</v>
      </c>
      <c r="M1062" s="132" t="str">
        <f>INDEX('реш СГД № 265'!$A:$N,MATCH('БА расх 2019-2020'!$L1062,'реш СГД № 265'!$N:$N,0),3)</f>
        <v>Обеспечение деятельности комитета труда и социальной защиты населения администрации города Ставрополя</v>
      </c>
      <c r="N1062" s="17">
        <f t="shared" si="50"/>
        <v>1</v>
      </c>
    </row>
    <row r="1063" spans="1:14" s="4" customFormat="1" ht="47.25">
      <c r="A1063" s="1"/>
      <c r="B1063" s="147" t="s">
        <v>691</v>
      </c>
      <c r="C1063" s="109" t="s">
        <v>595</v>
      </c>
      <c r="D1063" s="108" t="s">
        <v>317</v>
      </c>
      <c r="E1063" s="108" t="s">
        <v>334</v>
      </c>
      <c r="F1063" s="109" t="s">
        <v>692</v>
      </c>
      <c r="G1063" s="108" t="s">
        <v>9</v>
      </c>
      <c r="H1063" s="151">
        <v>0</v>
      </c>
      <c r="I1063" s="151">
        <v>0</v>
      </c>
      <c r="J1063" s="109">
        <v>7710000000</v>
      </c>
      <c r="K1063" s="108" t="str">
        <f t="shared" si="48"/>
        <v>7710000000</v>
      </c>
      <c r="L1063" s="303" t="str">
        <f t="shared" si="49"/>
        <v>60910067710000000000</v>
      </c>
      <c r="M1063" s="132" t="str">
        <f>INDEX('реш СГД № 265'!$A:$N,MATCH('БА расх 2019-2020'!$L1063,'реш СГД № 265'!$N:$N,0),3)</f>
        <v>Непрограммные расходы в рамках обеспечения деятельности комитета труда и социальной защиты населения администрации города Ставрополя</v>
      </c>
      <c r="N1063" s="17">
        <f t="shared" si="50"/>
        <v>1</v>
      </c>
    </row>
    <row r="1064" spans="1:14" s="4" customFormat="1" ht="31.5">
      <c r="A1064" s="1"/>
      <c r="B1064" s="153" t="s">
        <v>18</v>
      </c>
      <c r="C1064" s="109" t="s">
        <v>595</v>
      </c>
      <c r="D1064" s="108" t="s">
        <v>317</v>
      </c>
      <c r="E1064" s="108" t="s">
        <v>334</v>
      </c>
      <c r="F1064" s="154" t="s">
        <v>693</v>
      </c>
      <c r="G1064" s="108" t="s">
        <v>9</v>
      </c>
      <c r="H1064" s="151">
        <v>0</v>
      </c>
      <c r="I1064" s="151">
        <v>0</v>
      </c>
      <c r="J1064" s="154">
        <v>7710010010</v>
      </c>
      <c r="K1064" s="108" t="str">
        <f t="shared" si="48"/>
        <v>7710010010</v>
      </c>
      <c r="L1064" s="303" t="str">
        <f t="shared" si="49"/>
        <v>60910067710010010000</v>
      </c>
      <c r="M1064" s="132" t="str">
        <f>INDEX('реш СГД № 265'!$A:$N,MATCH('БА расх 2019-2020'!$L1064,'реш СГД № 265'!$N:$N,0),3)</f>
        <v>Расходы на обеспечение функций органов местного самоуправления города Ставрополя</v>
      </c>
      <c r="N1064" s="17">
        <f t="shared" si="50"/>
        <v>1</v>
      </c>
    </row>
    <row r="1065" spans="1:14" s="4" customFormat="1" ht="31.5">
      <c r="A1065" s="1"/>
      <c r="B1065" s="127" t="s">
        <v>20</v>
      </c>
      <c r="C1065" s="109" t="s">
        <v>595</v>
      </c>
      <c r="D1065" s="108" t="s">
        <v>317</v>
      </c>
      <c r="E1065" s="108" t="s">
        <v>334</v>
      </c>
      <c r="F1065" s="154" t="s">
        <v>693</v>
      </c>
      <c r="G1065" s="108" t="s">
        <v>21</v>
      </c>
      <c r="H1065" s="126">
        <v>0</v>
      </c>
      <c r="I1065" s="126">
        <v>0</v>
      </c>
      <c r="J1065" s="154">
        <v>7710010010</v>
      </c>
      <c r="K1065" s="108" t="str">
        <f t="shared" si="48"/>
        <v>7710010010</v>
      </c>
      <c r="L1065" s="303" t="str">
        <f t="shared" si="49"/>
        <v>60910067710010010120</v>
      </c>
      <c r="M1065" s="132" t="str">
        <f>INDEX('реш СГД № 265'!$A:$N,MATCH('БА расх 2019-2020'!$L1065,'реш СГД № 265'!$N:$N,0),3)</f>
        <v>Расходы на выплаты персоналу государственных (муниципальных) органов</v>
      </c>
      <c r="N1065" s="17">
        <f t="shared" si="50"/>
        <v>1</v>
      </c>
    </row>
    <row r="1066" spans="1:14" s="41" customFormat="1" ht="47.25">
      <c r="A1066" s="40"/>
      <c r="B1066" s="127" t="s">
        <v>22</v>
      </c>
      <c r="C1066" s="109" t="s">
        <v>595</v>
      </c>
      <c r="D1066" s="108" t="s">
        <v>317</v>
      </c>
      <c r="E1066" s="108" t="s">
        <v>334</v>
      </c>
      <c r="F1066" s="154" t="s">
        <v>693</v>
      </c>
      <c r="G1066" s="108" t="s">
        <v>23</v>
      </c>
      <c r="H1066" s="126">
        <v>0</v>
      </c>
      <c r="I1066" s="126">
        <v>0</v>
      </c>
      <c r="J1066" s="154">
        <v>7710010010</v>
      </c>
      <c r="K1066" s="108" t="str">
        <f t="shared" si="48"/>
        <v>7710010010</v>
      </c>
      <c r="L1066" s="303" t="str">
        <f t="shared" si="49"/>
        <v>60910067710010010122</v>
      </c>
      <c r="M1066" s="132"/>
      <c r="N1066" s="17">
        <f t="shared" si="50"/>
        <v>0</v>
      </c>
    </row>
    <row r="1067" spans="1:14" s="41" customFormat="1" ht="63">
      <c r="A1067" s="40"/>
      <c r="B1067" s="127" t="s">
        <v>26</v>
      </c>
      <c r="C1067" s="109" t="s">
        <v>595</v>
      </c>
      <c r="D1067" s="108" t="s">
        <v>317</v>
      </c>
      <c r="E1067" s="108" t="s">
        <v>334</v>
      </c>
      <c r="F1067" s="154" t="s">
        <v>693</v>
      </c>
      <c r="G1067" s="108" t="s">
        <v>27</v>
      </c>
      <c r="H1067" s="126">
        <v>0</v>
      </c>
      <c r="I1067" s="126">
        <v>0</v>
      </c>
      <c r="J1067" s="154">
        <v>7710010010</v>
      </c>
      <c r="K1067" s="108" t="str">
        <f t="shared" si="48"/>
        <v>7710010010</v>
      </c>
      <c r="L1067" s="303" t="str">
        <f t="shared" si="49"/>
        <v>60910067710010010129</v>
      </c>
      <c r="M1067" s="132"/>
      <c r="N1067" s="17">
        <f t="shared" si="50"/>
        <v>0</v>
      </c>
    </row>
    <row r="1068" spans="1:14" s="4" customFormat="1" ht="31.5">
      <c r="A1068" s="1"/>
      <c r="B1068" s="125" t="s">
        <v>28</v>
      </c>
      <c r="C1068" s="109" t="s">
        <v>595</v>
      </c>
      <c r="D1068" s="108" t="s">
        <v>317</v>
      </c>
      <c r="E1068" s="108" t="s">
        <v>334</v>
      </c>
      <c r="F1068" s="154" t="s">
        <v>693</v>
      </c>
      <c r="G1068" s="108" t="s">
        <v>29</v>
      </c>
      <c r="H1068" s="126">
        <v>0</v>
      </c>
      <c r="I1068" s="126">
        <v>0</v>
      </c>
      <c r="J1068" s="154">
        <v>7710010010</v>
      </c>
      <c r="K1068" s="108" t="str">
        <f t="shared" si="48"/>
        <v>7710010010</v>
      </c>
      <c r="L1068" s="303" t="str">
        <f t="shared" si="49"/>
        <v>60910067710010010240</v>
      </c>
      <c r="M1068" s="132" t="str">
        <f>INDEX('реш СГД № 265'!$A:$N,MATCH('БА расх 2019-2020'!$L1068,'реш СГД № 265'!$N:$N,0),3)</f>
        <v>Иные закупки товаров, работ и услуг для обеспечения государственных (муниципальных) нужд</v>
      </c>
      <c r="N1068" s="17">
        <f t="shared" si="50"/>
        <v>1</v>
      </c>
    </row>
    <row r="1069" spans="1:14" s="4" customFormat="1" ht="15.75">
      <c r="A1069" s="1"/>
      <c r="B1069" s="125" t="s">
        <v>30</v>
      </c>
      <c r="C1069" s="109" t="s">
        <v>595</v>
      </c>
      <c r="D1069" s="108" t="s">
        <v>317</v>
      </c>
      <c r="E1069" s="108" t="s">
        <v>334</v>
      </c>
      <c r="F1069" s="154" t="s">
        <v>693</v>
      </c>
      <c r="G1069" s="108" t="s">
        <v>31</v>
      </c>
      <c r="H1069" s="126">
        <v>0</v>
      </c>
      <c r="I1069" s="126">
        <v>0</v>
      </c>
      <c r="J1069" s="154">
        <v>7710010010</v>
      </c>
      <c r="K1069" s="108" t="str">
        <f t="shared" si="48"/>
        <v>7710010010</v>
      </c>
      <c r="L1069" s="303" t="str">
        <f t="shared" si="49"/>
        <v>60910067710010010244</v>
      </c>
      <c r="M1069" s="132"/>
      <c r="N1069" s="17">
        <f t="shared" si="50"/>
        <v>0</v>
      </c>
    </row>
    <row r="1070" spans="1:14" s="4" customFormat="1" ht="15.75">
      <c r="A1070" s="1"/>
      <c r="B1070" s="125" t="s">
        <v>32</v>
      </c>
      <c r="C1070" s="109" t="s">
        <v>595</v>
      </c>
      <c r="D1070" s="108" t="s">
        <v>317</v>
      </c>
      <c r="E1070" s="108" t="s">
        <v>334</v>
      </c>
      <c r="F1070" s="154" t="s">
        <v>693</v>
      </c>
      <c r="G1070" s="108" t="s">
        <v>33</v>
      </c>
      <c r="H1070" s="126">
        <v>0</v>
      </c>
      <c r="I1070" s="126">
        <v>0</v>
      </c>
      <c r="J1070" s="154">
        <v>7710010010</v>
      </c>
      <c r="K1070" s="108" t="str">
        <f t="shared" si="48"/>
        <v>7710010010</v>
      </c>
      <c r="L1070" s="303" t="str">
        <f t="shared" si="49"/>
        <v>60910067710010010850</v>
      </c>
      <c r="M1070" s="132" t="str">
        <f>INDEX('реш СГД № 265'!$A:$N,MATCH('БА расх 2019-2020'!$L1070,'реш СГД № 265'!$N:$N,0),3)</f>
        <v>Уплата налогов, сборов и иных платежей</v>
      </c>
      <c r="N1070" s="17">
        <f t="shared" si="50"/>
        <v>1</v>
      </c>
    </row>
    <row r="1071" spans="1:14" s="41" customFormat="1" ht="15.75">
      <c r="A1071" s="40"/>
      <c r="B1071" s="127" t="s">
        <v>36</v>
      </c>
      <c r="C1071" s="109" t="s">
        <v>595</v>
      </c>
      <c r="D1071" s="108" t="s">
        <v>317</v>
      </c>
      <c r="E1071" s="108" t="s">
        <v>334</v>
      </c>
      <c r="F1071" s="154" t="s">
        <v>693</v>
      </c>
      <c r="G1071" s="108" t="s">
        <v>37</v>
      </c>
      <c r="H1071" s="126">
        <v>0</v>
      </c>
      <c r="I1071" s="126">
        <v>0</v>
      </c>
      <c r="J1071" s="154">
        <v>7710010010</v>
      </c>
      <c r="K1071" s="108" t="str">
        <f t="shared" si="48"/>
        <v>7710010010</v>
      </c>
      <c r="L1071" s="303" t="str">
        <f t="shared" si="49"/>
        <v>60910067710010010852</v>
      </c>
      <c r="M1071" s="132"/>
      <c r="N1071" s="17">
        <f t="shared" si="50"/>
        <v>0</v>
      </c>
    </row>
    <row r="1072" spans="1:14" s="4" customFormat="1" ht="31.5">
      <c r="A1072" s="1"/>
      <c r="B1072" s="153" t="s">
        <v>38</v>
      </c>
      <c r="C1072" s="109" t="s">
        <v>595</v>
      </c>
      <c r="D1072" s="108" t="s">
        <v>317</v>
      </c>
      <c r="E1072" s="108" t="s">
        <v>334</v>
      </c>
      <c r="F1072" s="154" t="s">
        <v>694</v>
      </c>
      <c r="G1072" s="108" t="s">
        <v>9</v>
      </c>
      <c r="H1072" s="151">
        <v>0</v>
      </c>
      <c r="I1072" s="151">
        <v>0</v>
      </c>
      <c r="J1072" s="154">
        <v>7710010020</v>
      </c>
      <c r="K1072" s="108" t="str">
        <f t="shared" si="48"/>
        <v>7710010020</v>
      </c>
      <c r="L1072" s="303" t="str">
        <f t="shared" si="49"/>
        <v>60910067710010020000</v>
      </c>
      <c r="M1072" s="132" t="str">
        <f>INDEX('реш СГД № 265'!$A:$N,MATCH('БА расх 2019-2020'!$L1072,'реш СГД № 265'!$N:$N,0),3)</f>
        <v>Расходы на выплаты по оплате труда работников органов местного самоуправления города Ставрополя</v>
      </c>
      <c r="N1072" s="17">
        <f t="shared" si="50"/>
        <v>1</v>
      </c>
    </row>
    <row r="1073" spans="1:14" s="4" customFormat="1" ht="31.5">
      <c r="A1073" s="1"/>
      <c r="B1073" s="127" t="s">
        <v>20</v>
      </c>
      <c r="C1073" s="109" t="s">
        <v>595</v>
      </c>
      <c r="D1073" s="108" t="s">
        <v>317</v>
      </c>
      <c r="E1073" s="108" t="s">
        <v>334</v>
      </c>
      <c r="F1073" s="154" t="s">
        <v>694</v>
      </c>
      <c r="G1073" s="108" t="s">
        <v>21</v>
      </c>
      <c r="H1073" s="126">
        <v>0</v>
      </c>
      <c r="I1073" s="126">
        <v>0</v>
      </c>
      <c r="J1073" s="154">
        <v>7710010020</v>
      </c>
      <c r="K1073" s="108" t="str">
        <f t="shared" si="48"/>
        <v>7710010020</v>
      </c>
      <c r="L1073" s="303" t="str">
        <f t="shared" si="49"/>
        <v>60910067710010020120</v>
      </c>
      <c r="M1073" s="132" t="str">
        <f>INDEX('реш СГД № 265'!$A:$N,MATCH('БА расх 2019-2020'!$L1073,'реш СГД № 265'!$N:$N,0),3)</f>
        <v>Расходы на выплаты персоналу государственных (муниципальных) органов</v>
      </c>
      <c r="N1073" s="17">
        <f t="shared" si="50"/>
        <v>1</v>
      </c>
    </row>
    <row r="1074" spans="1:14" s="41" customFormat="1" ht="31.5">
      <c r="A1074" s="40"/>
      <c r="B1074" s="127" t="s">
        <v>40</v>
      </c>
      <c r="C1074" s="109" t="s">
        <v>595</v>
      </c>
      <c r="D1074" s="108" t="s">
        <v>317</v>
      </c>
      <c r="E1074" s="108" t="s">
        <v>334</v>
      </c>
      <c r="F1074" s="154" t="s">
        <v>694</v>
      </c>
      <c r="G1074" s="108" t="s">
        <v>41</v>
      </c>
      <c r="H1074" s="126">
        <v>0</v>
      </c>
      <c r="I1074" s="126">
        <v>0</v>
      </c>
      <c r="J1074" s="154">
        <v>7710010020</v>
      </c>
      <c r="K1074" s="108" t="str">
        <f t="shared" si="48"/>
        <v>7710010020</v>
      </c>
      <c r="L1074" s="303" t="str">
        <f t="shared" si="49"/>
        <v>60910067710010020121</v>
      </c>
      <c r="M1074" s="132"/>
      <c r="N1074" s="17">
        <f t="shared" si="50"/>
        <v>0</v>
      </c>
    </row>
    <row r="1075" spans="1:14" s="41" customFormat="1" ht="63">
      <c r="A1075" s="40"/>
      <c r="B1075" s="127" t="s">
        <v>26</v>
      </c>
      <c r="C1075" s="109" t="s">
        <v>595</v>
      </c>
      <c r="D1075" s="108" t="s">
        <v>317</v>
      </c>
      <c r="E1075" s="108" t="s">
        <v>334</v>
      </c>
      <c r="F1075" s="154" t="s">
        <v>694</v>
      </c>
      <c r="G1075" s="108" t="s">
        <v>27</v>
      </c>
      <c r="H1075" s="126">
        <v>0</v>
      </c>
      <c r="I1075" s="126">
        <v>0</v>
      </c>
      <c r="J1075" s="154">
        <v>7710010020</v>
      </c>
      <c r="K1075" s="108" t="str">
        <f t="shared" si="48"/>
        <v>7710010020</v>
      </c>
      <c r="L1075" s="303" t="str">
        <f t="shared" si="49"/>
        <v>60910067710010020129</v>
      </c>
      <c r="M1075" s="132"/>
      <c r="N1075" s="17">
        <f t="shared" si="50"/>
        <v>0</v>
      </c>
    </row>
    <row r="1076" spans="1:14" s="4" customFormat="1" ht="63">
      <c r="A1076" s="1" t="s">
        <v>80</v>
      </c>
      <c r="B1076" s="153" t="s">
        <v>695</v>
      </c>
      <c r="C1076" s="109" t="s">
        <v>595</v>
      </c>
      <c r="D1076" s="108" t="s">
        <v>317</v>
      </c>
      <c r="E1076" s="108" t="s">
        <v>334</v>
      </c>
      <c r="F1076" s="154" t="s">
        <v>696</v>
      </c>
      <c r="G1076" s="108" t="s">
        <v>9</v>
      </c>
      <c r="H1076" s="151">
        <v>0</v>
      </c>
      <c r="I1076" s="151">
        <v>0</v>
      </c>
      <c r="J1076" s="154">
        <v>7710076100</v>
      </c>
      <c r="K1076" s="108" t="str">
        <f t="shared" si="48"/>
        <v>7710076100</v>
      </c>
      <c r="L1076" s="303" t="str">
        <f t="shared" si="49"/>
        <v>60910067710076100000</v>
      </c>
      <c r="M1076" s="132" t="str">
        <f>INDEX('реш СГД № 265'!$A:$N,MATCH('БА расх 2019-2020'!$L1076,'реш СГД № 265'!$N:$N,0),3)</f>
        <v>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здравоохранения</v>
      </c>
      <c r="N1076" s="17">
        <f t="shared" si="50"/>
        <v>1</v>
      </c>
    </row>
    <row r="1077" spans="1:14" s="4" customFormat="1" ht="31.5">
      <c r="A1077" s="1"/>
      <c r="B1077" s="127" t="s">
        <v>20</v>
      </c>
      <c r="C1077" s="109" t="s">
        <v>595</v>
      </c>
      <c r="D1077" s="108" t="s">
        <v>317</v>
      </c>
      <c r="E1077" s="108" t="s">
        <v>334</v>
      </c>
      <c r="F1077" s="154" t="s">
        <v>696</v>
      </c>
      <c r="G1077" s="108" t="s">
        <v>21</v>
      </c>
      <c r="H1077" s="126">
        <v>0</v>
      </c>
      <c r="I1077" s="126">
        <v>0</v>
      </c>
      <c r="J1077" s="154">
        <v>7710076100</v>
      </c>
      <c r="K1077" s="108" t="str">
        <f t="shared" si="48"/>
        <v>7710076100</v>
      </c>
      <c r="L1077" s="303" t="str">
        <f t="shared" si="49"/>
        <v>60910067710076100120</v>
      </c>
      <c r="M1077" s="132" t="str">
        <f>INDEX('реш СГД № 265'!$A:$N,MATCH('БА расх 2019-2020'!$L1077,'реш СГД № 265'!$N:$N,0),3)</f>
        <v>Расходы на выплаты персоналу государственных (муниципальных) органов</v>
      </c>
      <c r="N1077" s="17">
        <f t="shared" si="50"/>
        <v>1</v>
      </c>
    </row>
    <row r="1078" spans="1:14" s="41" customFormat="1" ht="31.5">
      <c r="A1078" s="40"/>
      <c r="B1078" s="127" t="s">
        <v>40</v>
      </c>
      <c r="C1078" s="109" t="s">
        <v>595</v>
      </c>
      <c r="D1078" s="108" t="s">
        <v>317</v>
      </c>
      <c r="E1078" s="108" t="s">
        <v>334</v>
      </c>
      <c r="F1078" s="154" t="s">
        <v>696</v>
      </c>
      <c r="G1078" s="108" t="s">
        <v>41</v>
      </c>
      <c r="H1078" s="126">
        <v>0</v>
      </c>
      <c r="I1078" s="126">
        <v>0</v>
      </c>
      <c r="J1078" s="154">
        <v>7710076100</v>
      </c>
      <c r="K1078" s="108" t="str">
        <f t="shared" si="48"/>
        <v>7710076100</v>
      </c>
      <c r="L1078" s="303" t="str">
        <f t="shared" si="49"/>
        <v>60910067710076100121</v>
      </c>
      <c r="M1078" s="132"/>
      <c r="N1078" s="17">
        <f t="shared" si="50"/>
        <v>0</v>
      </c>
    </row>
    <row r="1079" spans="1:14" s="41" customFormat="1" ht="47.25">
      <c r="A1079" s="40"/>
      <c r="B1079" s="127" t="s">
        <v>22</v>
      </c>
      <c r="C1079" s="109" t="s">
        <v>595</v>
      </c>
      <c r="D1079" s="108" t="s">
        <v>317</v>
      </c>
      <c r="E1079" s="108" t="s">
        <v>334</v>
      </c>
      <c r="F1079" s="154" t="s">
        <v>696</v>
      </c>
      <c r="G1079" s="108" t="s">
        <v>23</v>
      </c>
      <c r="H1079" s="126">
        <v>0</v>
      </c>
      <c r="I1079" s="126">
        <v>0</v>
      </c>
      <c r="J1079" s="154">
        <v>7710076100</v>
      </c>
      <c r="K1079" s="108" t="str">
        <f t="shared" si="48"/>
        <v>7710076100</v>
      </c>
      <c r="L1079" s="303" t="str">
        <f t="shared" si="49"/>
        <v>60910067710076100122</v>
      </c>
      <c r="M1079" s="132"/>
      <c r="N1079" s="17">
        <f t="shared" si="50"/>
        <v>0</v>
      </c>
    </row>
    <row r="1080" spans="1:14" s="41" customFormat="1" ht="63">
      <c r="A1080" s="40"/>
      <c r="B1080" s="127" t="s">
        <v>26</v>
      </c>
      <c r="C1080" s="109" t="s">
        <v>595</v>
      </c>
      <c r="D1080" s="108" t="s">
        <v>317</v>
      </c>
      <c r="E1080" s="108" t="s">
        <v>334</v>
      </c>
      <c r="F1080" s="154" t="s">
        <v>696</v>
      </c>
      <c r="G1080" s="108" t="s">
        <v>27</v>
      </c>
      <c r="H1080" s="126">
        <v>0</v>
      </c>
      <c r="I1080" s="126">
        <v>0</v>
      </c>
      <c r="J1080" s="154">
        <v>7710076100</v>
      </c>
      <c r="K1080" s="108" t="str">
        <f t="shared" si="48"/>
        <v>7710076100</v>
      </c>
      <c r="L1080" s="303" t="str">
        <f t="shared" si="49"/>
        <v>60910067710076100129</v>
      </c>
      <c r="M1080" s="132"/>
      <c r="N1080" s="17">
        <f t="shared" si="50"/>
        <v>0</v>
      </c>
    </row>
    <row r="1081" spans="1:14" s="4" customFormat="1" ht="31.5">
      <c r="A1081" s="1"/>
      <c r="B1081" s="125" t="s">
        <v>28</v>
      </c>
      <c r="C1081" s="109" t="s">
        <v>595</v>
      </c>
      <c r="D1081" s="108" t="s">
        <v>317</v>
      </c>
      <c r="E1081" s="108" t="s">
        <v>334</v>
      </c>
      <c r="F1081" s="154" t="s">
        <v>696</v>
      </c>
      <c r="G1081" s="108" t="s">
        <v>29</v>
      </c>
      <c r="H1081" s="126">
        <v>0</v>
      </c>
      <c r="I1081" s="126">
        <v>0</v>
      </c>
      <c r="J1081" s="154">
        <v>7710076100</v>
      </c>
      <c r="K1081" s="108" t="str">
        <f t="shared" si="48"/>
        <v>7710076100</v>
      </c>
      <c r="L1081" s="303" t="str">
        <f t="shared" si="49"/>
        <v>60910067710076100240</v>
      </c>
      <c r="M1081" s="132" t="str">
        <f>INDEX('реш СГД № 265'!$A:$N,MATCH('БА расх 2019-2020'!$L1081,'реш СГД № 265'!$N:$N,0),3)</f>
        <v>Иные закупки товаров, работ и услуг для обеспечения государственных (муниципальных) нужд</v>
      </c>
      <c r="N1081" s="17">
        <f t="shared" si="50"/>
        <v>1</v>
      </c>
    </row>
    <row r="1082" spans="1:14" s="4" customFormat="1" ht="15.75">
      <c r="A1082" s="1"/>
      <c r="B1082" s="125" t="s">
        <v>30</v>
      </c>
      <c r="C1082" s="109" t="s">
        <v>595</v>
      </c>
      <c r="D1082" s="108" t="s">
        <v>317</v>
      </c>
      <c r="E1082" s="108" t="s">
        <v>334</v>
      </c>
      <c r="F1082" s="154" t="s">
        <v>696</v>
      </c>
      <c r="G1082" s="108" t="s">
        <v>31</v>
      </c>
      <c r="H1082" s="126">
        <v>0</v>
      </c>
      <c r="I1082" s="126">
        <v>0</v>
      </c>
      <c r="J1082" s="154">
        <v>7710076100</v>
      </c>
      <c r="K1082" s="108" t="str">
        <f t="shared" si="48"/>
        <v>7710076100</v>
      </c>
      <c r="L1082" s="303" t="str">
        <f t="shared" si="49"/>
        <v>60910067710076100244</v>
      </c>
      <c r="M1082" s="132"/>
      <c r="N1082" s="17">
        <f t="shared" si="50"/>
        <v>0</v>
      </c>
    </row>
    <row r="1083" spans="1:14" s="4" customFormat="1" ht="63">
      <c r="A1083" s="1" t="s">
        <v>80</v>
      </c>
      <c r="B1083" s="153" t="s">
        <v>697</v>
      </c>
      <c r="C1083" s="109" t="s">
        <v>595</v>
      </c>
      <c r="D1083" s="108" t="s">
        <v>317</v>
      </c>
      <c r="E1083" s="108" t="s">
        <v>334</v>
      </c>
      <c r="F1083" s="154" t="s">
        <v>698</v>
      </c>
      <c r="G1083" s="108" t="s">
        <v>9</v>
      </c>
      <c r="H1083" s="151">
        <v>0</v>
      </c>
      <c r="I1083" s="151">
        <v>0</v>
      </c>
      <c r="J1083" s="154">
        <v>7710076210</v>
      </c>
      <c r="K1083" s="108" t="str">
        <f t="shared" si="48"/>
        <v>7710076210</v>
      </c>
      <c r="L1083" s="303" t="str">
        <f t="shared" si="49"/>
        <v>60910067710076210000</v>
      </c>
      <c r="M1083" s="132" t="str">
        <f>INDEX('реш СГД № 265'!$A:$N,MATCH('БА расх 2019-2020'!$L1083,'реш СГД № 265'!$N:$N,0),3)</f>
        <v>Расходы на осуществление переданных государственных полномочий Ставропольского края в области труда и социальной защиты отдельных категорий граждан</v>
      </c>
      <c r="N1083" s="17">
        <f t="shared" si="50"/>
        <v>1</v>
      </c>
    </row>
    <row r="1084" spans="1:14" s="4" customFormat="1" ht="31.5">
      <c r="A1084" s="1"/>
      <c r="B1084" s="127" t="s">
        <v>20</v>
      </c>
      <c r="C1084" s="109" t="s">
        <v>595</v>
      </c>
      <c r="D1084" s="108" t="s">
        <v>317</v>
      </c>
      <c r="E1084" s="108" t="s">
        <v>334</v>
      </c>
      <c r="F1084" s="154" t="s">
        <v>698</v>
      </c>
      <c r="G1084" s="108" t="s">
        <v>21</v>
      </c>
      <c r="H1084" s="126">
        <v>0</v>
      </c>
      <c r="I1084" s="126">
        <v>0</v>
      </c>
      <c r="J1084" s="154">
        <v>7710076210</v>
      </c>
      <c r="K1084" s="108" t="str">
        <f t="shared" si="48"/>
        <v>7710076210</v>
      </c>
      <c r="L1084" s="303" t="str">
        <f t="shared" si="49"/>
        <v>60910067710076210120</v>
      </c>
      <c r="M1084" s="132" t="str">
        <f>INDEX('реш СГД № 265'!$A:$N,MATCH('БА расх 2019-2020'!$L1084,'реш СГД № 265'!$N:$N,0),3)</f>
        <v>Расходы на выплаты персоналу государственных (муниципальных) органов</v>
      </c>
      <c r="N1084" s="17">
        <f t="shared" si="50"/>
        <v>1</v>
      </c>
    </row>
    <row r="1085" spans="1:14" s="41" customFormat="1" ht="31.5">
      <c r="A1085" s="40"/>
      <c r="B1085" s="127" t="s">
        <v>40</v>
      </c>
      <c r="C1085" s="109" t="s">
        <v>595</v>
      </c>
      <c r="D1085" s="108" t="s">
        <v>317</v>
      </c>
      <c r="E1085" s="108" t="s">
        <v>334</v>
      </c>
      <c r="F1085" s="154" t="s">
        <v>698</v>
      </c>
      <c r="G1085" s="108" t="s">
        <v>41</v>
      </c>
      <c r="H1085" s="126">
        <v>0</v>
      </c>
      <c r="I1085" s="126">
        <v>0</v>
      </c>
      <c r="J1085" s="154">
        <v>7710076210</v>
      </c>
      <c r="K1085" s="108" t="str">
        <f t="shared" si="48"/>
        <v>7710076210</v>
      </c>
      <c r="L1085" s="303" t="str">
        <f t="shared" si="49"/>
        <v>60910067710076210121</v>
      </c>
      <c r="M1085" s="132"/>
      <c r="N1085" s="17">
        <f t="shared" si="50"/>
        <v>0</v>
      </c>
    </row>
    <row r="1086" spans="1:14" s="41" customFormat="1" ht="47.25">
      <c r="A1086" s="40"/>
      <c r="B1086" s="127" t="s">
        <v>22</v>
      </c>
      <c r="C1086" s="109" t="s">
        <v>595</v>
      </c>
      <c r="D1086" s="108" t="s">
        <v>317</v>
      </c>
      <c r="E1086" s="108" t="s">
        <v>334</v>
      </c>
      <c r="F1086" s="154" t="s">
        <v>698</v>
      </c>
      <c r="G1086" s="108" t="s">
        <v>23</v>
      </c>
      <c r="H1086" s="126">
        <v>0</v>
      </c>
      <c r="I1086" s="126">
        <v>0</v>
      </c>
      <c r="J1086" s="154">
        <v>7710076210</v>
      </c>
      <c r="K1086" s="108" t="str">
        <f t="shared" si="48"/>
        <v>7710076210</v>
      </c>
      <c r="L1086" s="303" t="str">
        <f t="shared" si="49"/>
        <v>60910067710076210122</v>
      </c>
      <c r="M1086" s="132"/>
      <c r="N1086" s="17">
        <f t="shared" si="50"/>
        <v>0</v>
      </c>
    </row>
    <row r="1087" spans="1:14" s="41" customFormat="1" ht="63">
      <c r="A1087" s="40"/>
      <c r="B1087" s="127" t="s">
        <v>26</v>
      </c>
      <c r="C1087" s="109" t="s">
        <v>595</v>
      </c>
      <c r="D1087" s="108" t="s">
        <v>317</v>
      </c>
      <c r="E1087" s="108" t="s">
        <v>334</v>
      </c>
      <c r="F1087" s="154" t="s">
        <v>698</v>
      </c>
      <c r="G1087" s="108" t="s">
        <v>27</v>
      </c>
      <c r="H1087" s="126">
        <v>0</v>
      </c>
      <c r="I1087" s="126">
        <v>0</v>
      </c>
      <c r="J1087" s="154">
        <v>7710076210</v>
      </c>
      <c r="K1087" s="108" t="str">
        <f t="shared" si="48"/>
        <v>7710076210</v>
      </c>
      <c r="L1087" s="303" t="str">
        <f t="shared" si="49"/>
        <v>60910067710076210129</v>
      </c>
      <c r="M1087" s="132"/>
      <c r="N1087" s="17">
        <f t="shared" si="50"/>
        <v>0</v>
      </c>
    </row>
    <row r="1088" spans="1:14" s="4" customFormat="1" ht="31.5">
      <c r="A1088" s="1"/>
      <c r="B1088" s="125" t="s">
        <v>28</v>
      </c>
      <c r="C1088" s="109" t="s">
        <v>595</v>
      </c>
      <c r="D1088" s="108" t="s">
        <v>317</v>
      </c>
      <c r="E1088" s="108" t="s">
        <v>334</v>
      </c>
      <c r="F1088" s="154" t="s">
        <v>698</v>
      </c>
      <c r="G1088" s="108" t="s">
        <v>29</v>
      </c>
      <c r="H1088" s="126">
        <v>0</v>
      </c>
      <c r="I1088" s="126">
        <v>0</v>
      </c>
      <c r="J1088" s="154">
        <v>7710076210</v>
      </c>
      <c r="K1088" s="108" t="str">
        <f t="shared" si="48"/>
        <v>7710076210</v>
      </c>
      <c r="L1088" s="303" t="str">
        <f t="shared" si="49"/>
        <v>60910067710076210240</v>
      </c>
      <c r="M1088" s="132" t="str">
        <f>INDEX('реш СГД № 265'!$A:$N,MATCH('БА расх 2019-2020'!$L1088,'реш СГД № 265'!$N:$N,0),3)</f>
        <v>Иные закупки товаров, работ и услуг для обеспечения государственных (муниципальных) нужд</v>
      </c>
      <c r="N1088" s="17">
        <f t="shared" si="50"/>
        <v>1</v>
      </c>
    </row>
    <row r="1089" spans="1:14" s="4" customFormat="1" ht="15.75">
      <c r="A1089" s="1"/>
      <c r="B1089" s="125" t="s">
        <v>30</v>
      </c>
      <c r="C1089" s="109" t="s">
        <v>595</v>
      </c>
      <c r="D1089" s="108" t="s">
        <v>317</v>
      </c>
      <c r="E1089" s="108" t="s">
        <v>334</v>
      </c>
      <c r="F1089" s="154" t="s">
        <v>698</v>
      </c>
      <c r="G1089" s="108" t="s">
        <v>31</v>
      </c>
      <c r="H1089" s="126">
        <v>0</v>
      </c>
      <c r="I1089" s="126">
        <v>0</v>
      </c>
      <c r="J1089" s="154">
        <v>7710076210</v>
      </c>
      <c r="K1089" s="108" t="str">
        <f t="shared" si="48"/>
        <v>7710076210</v>
      </c>
      <c r="L1089" s="303" t="str">
        <f t="shared" si="49"/>
        <v>60910067710076210244</v>
      </c>
      <c r="M1089" s="132"/>
      <c r="N1089" s="17">
        <f t="shared" si="50"/>
        <v>0</v>
      </c>
    </row>
    <row r="1090" spans="1:14" s="4" customFormat="1" ht="15.75">
      <c r="A1090" s="1"/>
      <c r="B1090" s="125" t="s">
        <v>32</v>
      </c>
      <c r="C1090" s="109" t="s">
        <v>595</v>
      </c>
      <c r="D1090" s="108" t="s">
        <v>317</v>
      </c>
      <c r="E1090" s="108" t="s">
        <v>334</v>
      </c>
      <c r="F1090" s="154" t="s">
        <v>698</v>
      </c>
      <c r="G1090" s="108" t="s">
        <v>33</v>
      </c>
      <c r="H1090" s="126">
        <v>0</v>
      </c>
      <c r="I1090" s="126">
        <v>0</v>
      </c>
      <c r="J1090" s="154">
        <v>7710076210</v>
      </c>
      <c r="K1090" s="108" t="str">
        <f t="shared" si="48"/>
        <v>7710076210</v>
      </c>
      <c r="L1090" s="303" t="str">
        <f t="shared" si="49"/>
        <v>60910067710076210850</v>
      </c>
      <c r="M1090" s="132" t="str">
        <f>INDEX('реш СГД № 265'!$A:$N,MATCH('БА расх 2019-2020'!$L1090,'реш СГД № 265'!$N:$N,0),3)</f>
        <v>Уплата налогов, сборов и иных платежей</v>
      </c>
      <c r="N1090" s="17">
        <f t="shared" si="50"/>
        <v>1</v>
      </c>
    </row>
    <row r="1091" spans="1:14" s="41" customFormat="1" ht="31.5">
      <c r="A1091" s="40"/>
      <c r="B1091" s="127" t="s">
        <v>34</v>
      </c>
      <c r="C1091" s="109" t="s">
        <v>595</v>
      </c>
      <c r="D1091" s="108" t="s">
        <v>317</v>
      </c>
      <c r="E1091" s="108" t="s">
        <v>334</v>
      </c>
      <c r="F1091" s="154" t="s">
        <v>698</v>
      </c>
      <c r="G1091" s="108" t="s">
        <v>35</v>
      </c>
      <c r="H1091" s="126">
        <v>0</v>
      </c>
      <c r="I1091" s="126">
        <v>0</v>
      </c>
      <c r="J1091" s="154">
        <v>7710076210</v>
      </c>
      <c r="K1091" s="108" t="str">
        <f t="shared" si="48"/>
        <v>7710076210</v>
      </c>
      <c r="L1091" s="303" t="str">
        <f t="shared" si="49"/>
        <v>60910067710076210851</v>
      </c>
      <c r="M1091" s="132"/>
      <c r="N1091" s="17">
        <f t="shared" si="50"/>
        <v>0</v>
      </c>
    </row>
    <row r="1092" spans="1:14" s="41" customFormat="1" ht="15.75">
      <c r="A1092" s="40"/>
      <c r="B1092" s="127" t="s">
        <v>36</v>
      </c>
      <c r="C1092" s="109" t="s">
        <v>595</v>
      </c>
      <c r="D1092" s="108" t="s">
        <v>317</v>
      </c>
      <c r="E1092" s="108" t="s">
        <v>334</v>
      </c>
      <c r="F1092" s="154" t="s">
        <v>698</v>
      </c>
      <c r="G1092" s="108" t="s">
        <v>37</v>
      </c>
      <c r="H1092" s="126">
        <v>0</v>
      </c>
      <c r="I1092" s="126">
        <v>0</v>
      </c>
      <c r="J1092" s="154">
        <v>7710076210</v>
      </c>
      <c r="K1092" s="108" t="str">
        <f t="shared" si="48"/>
        <v>7710076210</v>
      </c>
      <c r="L1092" s="303" t="str">
        <f t="shared" si="49"/>
        <v>60910067710076210852</v>
      </c>
      <c r="M1092" s="132"/>
      <c r="N1092" s="17">
        <f t="shared" si="50"/>
        <v>0</v>
      </c>
    </row>
    <row r="1093" spans="1:14" s="4" customFormat="1" ht="15.75">
      <c r="A1093" s="1"/>
      <c r="B1093" s="125"/>
      <c r="C1093" s="109"/>
      <c r="D1093" s="108"/>
      <c r="E1093" s="108"/>
      <c r="F1093" s="154"/>
      <c r="G1093" s="108"/>
      <c r="H1093" s="152"/>
      <c r="I1093" s="152"/>
      <c r="J1093" s="154"/>
      <c r="K1093" s="108" t="str">
        <f t="shared" si="48"/>
        <v>0000000000</v>
      </c>
      <c r="L1093" s="303" t="str">
        <f t="shared" si="49"/>
        <v>0000000000</v>
      </c>
      <c r="M1093" s="132">
        <f>INDEX('реш СГД № 265'!$A:$N,MATCH('БА расх 2019-2020'!$L1093,'реш СГД № 265'!$N:$N,0),3)</f>
        <v>0</v>
      </c>
      <c r="N1093" s="17">
        <f t="shared" si="50"/>
        <v>1</v>
      </c>
    </row>
    <row r="1094" spans="1:14" s="16" customFormat="1" ht="31.5">
      <c r="A1094" s="14"/>
      <c r="B1094" s="67" t="s">
        <v>699</v>
      </c>
      <c r="C1094" s="116" t="s">
        <v>406</v>
      </c>
      <c r="D1094" s="69" t="s">
        <v>7</v>
      </c>
      <c r="E1094" s="69" t="s">
        <v>7</v>
      </c>
      <c r="F1094" s="69" t="s">
        <v>8</v>
      </c>
      <c r="G1094" s="69" t="s">
        <v>9</v>
      </c>
      <c r="H1094" s="70">
        <v>0</v>
      </c>
      <c r="I1094" s="70">
        <v>0</v>
      </c>
      <c r="J1094" s="69">
        <v>0</v>
      </c>
      <c r="K1094" s="108" t="str">
        <f t="shared" si="48"/>
        <v>0000000000</v>
      </c>
      <c r="L1094" s="303" t="str">
        <f t="shared" si="49"/>
        <v>61100000000000000000</v>
      </c>
      <c r="M1094" s="132" t="str">
        <f>INDEX('реш СГД № 265'!$A:$N,MATCH('БА расх 2019-2020'!$L1094,'реш СГД № 265'!$N:$N,0),3)</f>
        <v>Комитет физической культуры и спорта администрации города Ставрополя</v>
      </c>
      <c r="N1094" s="17">
        <f t="shared" si="50"/>
        <v>1</v>
      </c>
    </row>
    <row r="1095" spans="1:14" s="16" customFormat="1" ht="15.75">
      <c r="A1095" s="14"/>
      <c r="B1095" s="117" t="s">
        <v>228</v>
      </c>
      <c r="C1095" s="118" t="s">
        <v>406</v>
      </c>
      <c r="D1095" s="119" t="s">
        <v>229</v>
      </c>
      <c r="E1095" s="119" t="s">
        <v>7</v>
      </c>
      <c r="F1095" s="119" t="s">
        <v>8</v>
      </c>
      <c r="G1095" s="119" t="s">
        <v>9</v>
      </c>
      <c r="H1095" s="120">
        <v>0</v>
      </c>
      <c r="I1095" s="120">
        <v>0</v>
      </c>
      <c r="J1095" s="119">
        <v>0</v>
      </c>
      <c r="K1095" s="108" t="str">
        <f t="shared" si="48"/>
        <v>0000000000</v>
      </c>
      <c r="L1095" s="303" t="str">
        <f t="shared" si="49"/>
        <v>61107000000000000000</v>
      </c>
      <c r="M1095" s="132" t="str">
        <f>INDEX('реш СГД № 265'!$A:$N,MATCH('БА расх 2019-2020'!$L1095,'реш СГД № 265'!$N:$N,0),3)</f>
        <v>Образование</v>
      </c>
      <c r="N1095" s="17">
        <f t="shared" si="50"/>
        <v>1</v>
      </c>
    </row>
    <row r="1096" spans="1:14" s="16" customFormat="1" ht="15.75">
      <c r="A1096" s="14"/>
      <c r="B1096" s="121" t="s">
        <v>458</v>
      </c>
      <c r="C1096" s="122" t="s">
        <v>406</v>
      </c>
      <c r="D1096" s="123" t="s">
        <v>229</v>
      </c>
      <c r="E1096" s="123" t="s">
        <v>13</v>
      </c>
      <c r="F1096" s="123" t="s">
        <v>8</v>
      </c>
      <c r="G1096" s="123" t="s">
        <v>9</v>
      </c>
      <c r="H1096" s="124">
        <v>0</v>
      </c>
      <c r="I1096" s="124">
        <v>0</v>
      </c>
      <c r="J1096" s="123">
        <v>0</v>
      </c>
      <c r="K1096" s="108" t="str">
        <f t="shared" si="48"/>
        <v>0000000000</v>
      </c>
      <c r="L1096" s="303" t="str">
        <f t="shared" si="49"/>
        <v>61107030000000000000</v>
      </c>
      <c r="M1096" s="132" t="str">
        <f>INDEX('реш СГД № 265'!$A:$N,MATCH('БА расх 2019-2020'!$L1096,'реш СГД № 265'!$N:$N,0),3)</f>
        <v>Дополнительное образование детей</v>
      </c>
      <c r="N1096" s="17">
        <f t="shared" si="50"/>
        <v>1</v>
      </c>
    </row>
    <row r="1097" spans="1:14" s="16" customFormat="1" ht="31.5">
      <c r="A1097" s="14"/>
      <c r="B1097" s="125" t="s">
        <v>700</v>
      </c>
      <c r="C1097" s="109" t="s">
        <v>406</v>
      </c>
      <c r="D1097" s="108" t="s">
        <v>229</v>
      </c>
      <c r="E1097" s="108" t="s">
        <v>13</v>
      </c>
      <c r="F1097" s="108" t="s">
        <v>701</v>
      </c>
      <c r="G1097" s="108" t="s">
        <v>9</v>
      </c>
      <c r="H1097" s="126">
        <v>0</v>
      </c>
      <c r="I1097" s="126">
        <v>0</v>
      </c>
      <c r="J1097" s="108">
        <v>800000000</v>
      </c>
      <c r="K1097" s="108" t="str">
        <f t="shared" si="48"/>
        <v>0800000000</v>
      </c>
      <c r="L1097" s="303" t="str">
        <f t="shared" si="49"/>
        <v>61107030800000000000</v>
      </c>
      <c r="M1097" s="132" t="str">
        <f>INDEX('реш СГД № 265'!$A:$N,MATCH('БА расх 2019-2020'!$L1097,'реш СГД № 265'!$N:$N,0),3)</f>
        <v>Муниципальная программа «Развитие физической культуры и спорта в городе Ставрополе»</v>
      </c>
      <c r="N1097" s="17">
        <f t="shared" si="50"/>
        <v>1</v>
      </c>
    </row>
    <row r="1098" spans="1:14" s="16" customFormat="1" ht="63">
      <c r="A1098" s="14"/>
      <c r="B1098" s="125" t="s">
        <v>702</v>
      </c>
      <c r="C1098" s="109" t="s">
        <v>406</v>
      </c>
      <c r="D1098" s="108" t="s">
        <v>229</v>
      </c>
      <c r="E1098" s="108" t="s">
        <v>13</v>
      </c>
      <c r="F1098" s="108" t="s">
        <v>703</v>
      </c>
      <c r="G1098" s="108" t="s">
        <v>9</v>
      </c>
      <c r="H1098" s="126">
        <v>0</v>
      </c>
      <c r="I1098" s="126">
        <v>0</v>
      </c>
      <c r="J1098" s="108">
        <v>810000000</v>
      </c>
      <c r="K1098" s="108" t="str">
        <f t="shared" si="48"/>
        <v>0810000000</v>
      </c>
      <c r="L1098" s="303" t="str">
        <f t="shared" si="49"/>
        <v>61107030810000000000</v>
      </c>
      <c r="M1098" s="132" t="str">
        <f>INDEX('реш СГД № 265'!$A:$N,MATCH('БА расх 2019-2020'!$L1098,'реш СГД № 265'!$N:$N,0),3)</f>
        <v>Подпрограмма «Развитие системы дополнительного образования детей и подростков в области физической культуры и спорта и центров спортивной подготовки»</v>
      </c>
      <c r="N1098" s="17">
        <f t="shared" si="50"/>
        <v>1</v>
      </c>
    </row>
    <row r="1099" spans="1:14" s="16" customFormat="1" ht="63">
      <c r="A1099" s="14"/>
      <c r="B1099" s="125" t="s">
        <v>704</v>
      </c>
      <c r="C1099" s="109" t="s">
        <v>406</v>
      </c>
      <c r="D1099" s="108" t="s">
        <v>229</v>
      </c>
      <c r="E1099" s="108" t="s">
        <v>13</v>
      </c>
      <c r="F1099" s="108" t="s">
        <v>705</v>
      </c>
      <c r="G1099" s="108" t="s">
        <v>9</v>
      </c>
      <c r="H1099" s="126">
        <v>0</v>
      </c>
      <c r="I1099" s="126">
        <v>0</v>
      </c>
      <c r="J1099" s="108">
        <v>810100000</v>
      </c>
      <c r="K1099" s="108" t="str">
        <f t="shared" si="48"/>
        <v>0810100000</v>
      </c>
      <c r="L1099" s="303" t="str">
        <f t="shared" si="49"/>
        <v>61107030810100000000</v>
      </c>
      <c r="M1099" s="132" t="str">
        <f>INDEX('реш СГД № 265'!$A:$N,MATCH('БА расх 2019-2020'!$L1099,'реш СГД № 265'!$N:$N,0),3)</f>
        <v>Основное мероприятие «Обеспечение деятельности муниципальных учреждений дополнительного образования детей физкультурно-спортивной направленности города Ставрополя»</v>
      </c>
      <c r="N1099" s="17">
        <f t="shared" si="50"/>
        <v>1</v>
      </c>
    </row>
    <row r="1100" spans="1:14" s="16" customFormat="1" ht="31.5">
      <c r="A1100" s="14"/>
      <c r="B1100" s="127" t="s">
        <v>136</v>
      </c>
      <c r="C1100" s="109" t="s">
        <v>406</v>
      </c>
      <c r="D1100" s="108" t="s">
        <v>229</v>
      </c>
      <c r="E1100" s="108" t="s">
        <v>13</v>
      </c>
      <c r="F1100" s="108" t="s">
        <v>706</v>
      </c>
      <c r="G1100" s="108" t="s">
        <v>9</v>
      </c>
      <c r="H1100" s="126">
        <v>0</v>
      </c>
      <c r="I1100" s="126">
        <v>0</v>
      </c>
      <c r="J1100" s="108">
        <v>810111010</v>
      </c>
      <c r="K1100" s="108" t="str">
        <f t="shared" si="48"/>
        <v>0810111010</v>
      </c>
      <c r="L1100" s="303" t="str">
        <f t="shared" si="49"/>
        <v>61107030810111010000</v>
      </c>
      <c r="M1100" s="132" t="str">
        <f>INDEX('реш СГД № 265'!$A:$N,MATCH('БА расх 2019-2020'!$L1100,'реш СГД № 265'!$N:$N,0),3)</f>
        <v>Расходы на обеспечение деятельности (оказание услуг) муниципальных учреждений</v>
      </c>
      <c r="N1100" s="17">
        <f t="shared" si="50"/>
        <v>1</v>
      </c>
    </row>
    <row r="1101" spans="1:14" s="16" customFormat="1" ht="15.75">
      <c r="A1101" s="14"/>
      <c r="B1101" s="132" t="s">
        <v>403</v>
      </c>
      <c r="C1101" s="109" t="s">
        <v>406</v>
      </c>
      <c r="D1101" s="108" t="s">
        <v>229</v>
      </c>
      <c r="E1101" s="108" t="s">
        <v>13</v>
      </c>
      <c r="F1101" s="108" t="s">
        <v>706</v>
      </c>
      <c r="G1101" s="108" t="s">
        <v>404</v>
      </c>
      <c r="H1101" s="126">
        <v>0</v>
      </c>
      <c r="I1101" s="126">
        <v>0</v>
      </c>
      <c r="J1101" s="108">
        <v>810111010</v>
      </c>
      <c r="K1101" s="108" t="str">
        <f t="shared" ref="K1101:K1164" si="51">TEXT(J1101,"0000000000")</f>
        <v>0810111010</v>
      </c>
      <c r="L1101" s="303" t="str">
        <f t="shared" si="49"/>
        <v>61107030810111010610</v>
      </c>
      <c r="M1101" s="132" t="str">
        <f>INDEX('реш СГД № 265'!$A:$N,MATCH('БА расх 2019-2020'!$L1101,'реш СГД № 265'!$N:$N,0),3)</f>
        <v>Субсидии бюджетным учреждениям</v>
      </c>
      <c r="N1101" s="17">
        <f t="shared" si="50"/>
        <v>1</v>
      </c>
    </row>
    <row r="1102" spans="1:14" s="23" customFormat="1" ht="63">
      <c r="A1102" s="21"/>
      <c r="B1102" s="127" t="s">
        <v>405</v>
      </c>
      <c r="C1102" s="109" t="s">
        <v>406</v>
      </c>
      <c r="D1102" s="108" t="s">
        <v>229</v>
      </c>
      <c r="E1102" s="108" t="s">
        <v>13</v>
      </c>
      <c r="F1102" s="108" t="s">
        <v>706</v>
      </c>
      <c r="G1102" s="108" t="s">
        <v>406</v>
      </c>
      <c r="H1102" s="126">
        <v>0</v>
      </c>
      <c r="I1102" s="126">
        <v>0</v>
      </c>
      <c r="J1102" s="108">
        <v>810111010</v>
      </c>
      <c r="K1102" s="108" t="str">
        <f t="shared" si="51"/>
        <v>0810111010</v>
      </c>
      <c r="L1102" s="303" t="str">
        <f t="shared" ref="L1102:L1165" si="52">C1102&amp;D1102&amp;E1102&amp;K1102&amp;G1102</f>
        <v>61107030810111010611</v>
      </c>
      <c r="M1102" s="132"/>
      <c r="N1102" s="17">
        <f t="shared" ref="N1102:N1165" si="53">IF(B1102=M1102,1,0)</f>
        <v>0</v>
      </c>
    </row>
    <row r="1103" spans="1:14" s="16" customFormat="1" ht="94.5">
      <c r="A1103" s="14"/>
      <c r="B1103" s="125" t="s">
        <v>420</v>
      </c>
      <c r="C1103" s="109" t="s">
        <v>406</v>
      </c>
      <c r="D1103" s="108" t="s">
        <v>229</v>
      </c>
      <c r="E1103" s="108" t="s">
        <v>13</v>
      </c>
      <c r="F1103" s="108" t="s">
        <v>421</v>
      </c>
      <c r="G1103" s="108" t="s">
        <v>9</v>
      </c>
      <c r="H1103" s="126">
        <v>0</v>
      </c>
      <c r="I1103" s="126">
        <v>0</v>
      </c>
      <c r="J1103" s="108">
        <v>1600000000</v>
      </c>
      <c r="K1103" s="108" t="str">
        <f t="shared" si="51"/>
        <v>1600000000</v>
      </c>
      <c r="L1103" s="303" t="str">
        <f t="shared" si="52"/>
        <v>61107031600000000000</v>
      </c>
      <c r="M1103" s="132" t="str">
        <f>INDEX('реш СГД № 265'!$A:$N,MATCH('БА расх 2019-2020'!$L1103,'реш СГД № 265'!$N:$N,0),3)</f>
        <v>Муниципальная программа «Обеспечение гражданской обороны, пожарной безопасности, безопасности людей на водных объектах, организация деятельности аварийно-спасательных служб, защита населения и территории города Ставрополя от чрезвычайных ситуаций»</v>
      </c>
      <c r="N1103" s="17">
        <f t="shared" si="53"/>
        <v>1</v>
      </c>
    </row>
    <row r="1104" spans="1:14" s="16" customFormat="1" ht="31.5">
      <c r="A1104" s="14"/>
      <c r="B1104" s="125" t="s">
        <v>422</v>
      </c>
      <c r="C1104" s="109" t="s">
        <v>406</v>
      </c>
      <c r="D1104" s="108" t="s">
        <v>229</v>
      </c>
      <c r="E1104" s="108" t="s">
        <v>13</v>
      </c>
      <c r="F1104" s="108" t="s">
        <v>423</v>
      </c>
      <c r="G1104" s="108" t="s">
        <v>9</v>
      </c>
      <c r="H1104" s="126">
        <v>0</v>
      </c>
      <c r="I1104" s="126">
        <v>0</v>
      </c>
      <c r="J1104" s="108">
        <v>1620000000</v>
      </c>
      <c r="K1104" s="108" t="str">
        <f t="shared" si="51"/>
        <v>1620000000</v>
      </c>
      <c r="L1104" s="303" t="str">
        <f t="shared" si="52"/>
        <v>61107031620000000000</v>
      </c>
      <c r="M1104" s="132" t="str">
        <f>INDEX('реш СГД № 265'!$A:$N,MATCH('БА расх 2019-2020'!$L1104,'реш СГД № 265'!$N:$N,0),3)</f>
        <v>Подпрограмма «Обеспечение пожарной безопасности в границах города Ставрополя»</v>
      </c>
      <c r="N1104" s="17">
        <f t="shared" si="53"/>
        <v>1</v>
      </c>
    </row>
    <row r="1105" spans="1:14" s="16" customFormat="1" ht="47.25">
      <c r="A1105" s="14"/>
      <c r="B1105" s="125" t="s">
        <v>424</v>
      </c>
      <c r="C1105" s="109" t="s">
        <v>406</v>
      </c>
      <c r="D1105" s="108" t="s">
        <v>229</v>
      </c>
      <c r="E1105" s="108" t="s">
        <v>13</v>
      </c>
      <c r="F1105" s="108" t="s">
        <v>425</v>
      </c>
      <c r="G1105" s="108" t="s">
        <v>9</v>
      </c>
      <c r="H1105" s="126">
        <v>0</v>
      </c>
      <c r="I1105" s="126">
        <v>0</v>
      </c>
      <c r="J1105" s="108">
        <v>1620200000</v>
      </c>
      <c r="K1105" s="108" t="str">
        <f t="shared" si="51"/>
        <v>1620200000</v>
      </c>
      <c r="L1105" s="303" t="str">
        <f t="shared" si="52"/>
        <v>61107031620200000000</v>
      </c>
      <c r="M1105" s="132" t="str">
        <f>INDEX('реш СГД № 265'!$A:$N,MATCH('БА расх 2019-2020'!$L1105,'реш СГД № 265'!$N:$N,0),3)</f>
        <v>Основное мероприятие «Выполнение противопожарных мероприятий в муниципальных учреждениях города Ставрополя»</v>
      </c>
      <c r="N1105" s="17">
        <f t="shared" si="53"/>
        <v>1</v>
      </c>
    </row>
    <row r="1106" spans="1:14" s="16" customFormat="1" ht="47.25">
      <c r="A1106" s="14"/>
      <c r="B1106" s="125" t="s">
        <v>426</v>
      </c>
      <c r="C1106" s="109" t="s">
        <v>406</v>
      </c>
      <c r="D1106" s="108" t="s">
        <v>229</v>
      </c>
      <c r="E1106" s="108" t="s">
        <v>13</v>
      </c>
      <c r="F1106" s="108" t="s">
        <v>427</v>
      </c>
      <c r="G1106" s="108" t="s">
        <v>9</v>
      </c>
      <c r="H1106" s="126">
        <v>0</v>
      </c>
      <c r="I1106" s="126">
        <v>0</v>
      </c>
      <c r="J1106" s="108">
        <v>1620220550</v>
      </c>
      <c r="K1106" s="108" t="str">
        <f t="shared" si="51"/>
        <v>1620220550</v>
      </c>
      <c r="L1106" s="303" t="str">
        <f t="shared" si="52"/>
        <v>61107031620220550000</v>
      </c>
      <c r="M1106" s="132" t="str">
        <f>INDEX('реш СГД № 265'!$A:$N,MATCH('БА расх 2019-2020'!$L1106,'реш СГД № 265'!$N:$N,0),3)</f>
        <v>Обеспечение пожарной безопасности в муниципальных учреждениях образования, культуры, физической культуры и спорта города Ставрополя</v>
      </c>
      <c r="N1106" s="17">
        <f t="shared" si="53"/>
        <v>1</v>
      </c>
    </row>
    <row r="1107" spans="1:14" s="16" customFormat="1" ht="15.75">
      <c r="A1107" s="14"/>
      <c r="B1107" s="132" t="s">
        <v>403</v>
      </c>
      <c r="C1107" s="109" t="s">
        <v>406</v>
      </c>
      <c r="D1107" s="108" t="s">
        <v>229</v>
      </c>
      <c r="E1107" s="108" t="s">
        <v>13</v>
      </c>
      <c r="F1107" s="108" t="s">
        <v>427</v>
      </c>
      <c r="G1107" s="108" t="s">
        <v>404</v>
      </c>
      <c r="H1107" s="126">
        <v>0</v>
      </c>
      <c r="I1107" s="126">
        <v>0</v>
      </c>
      <c r="J1107" s="108">
        <v>1620220550</v>
      </c>
      <c r="K1107" s="108" t="str">
        <f t="shared" si="51"/>
        <v>1620220550</v>
      </c>
      <c r="L1107" s="303" t="str">
        <f t="shared" si="52"/>
        <v>61107031620220550610</v>
      </c>
      <c r="M1107" s="132" t="str">
        <f>INDEX('реш СГД № 265'!$A:$N,MATCH('БА расх 2019-2020'!$L1107,'реш СГД № 265'!$N:$N,0),3)</f>
        <v>Субсидии бюджетным учреждениям</v>
      </c>
      <c r="N1107" s="17">
        <f t="shared" si="53"/>
        <v>1</v>
      </c>
    </row>
    <row r="1108" spans="1:14" s="16" customFormat="1" ht="15.75">
      <c r="A1108" s="14"/>
      <c r="B1108" s="127" t="s">
        <v>407</v>
      </c>
      <c r="C1108" s="109" t="s">
        <v>406</v>
      </c>
      <c r="D1108" s="108" t="s">
        <v>229</v>
      </c>
      <c r="E1108" s="108" t="s">
        <v>13</v>
      </c>
      <c r="F1108" s="108" t="s">
        <v>427</v>
      </c>
      <c r="G1108" s="108" t="s">
        <v>408</v>
      </c>
      <c r="H1108" s="126">
        <v>0</v>
      </c>
      <c r="I1108" s="126">
        <v>0</v>
      </c>
      <c r="J1108" s="108">
        <v>1620220550</v>
      </c>
      <c r="K1108" s="108" t="str">
        <f t="shared" si="51"/>
        <v>1620220550</v>
      </c>
      <c r="L1108" s="303" t="str">
        <f t="shared" si="52"/>
        <v>61107031620220550612</v>
      </c>
      <c r="M1108" s="132"/>
      <c r="N1108" s="17">
        <f t="shared" si="53"/>
        <v>0</v>
      </c>
    </row>
    <row r="1109" spans="1:14" s="16" customFormat="1" ht="15.75">
      <c r="A1109" s="14"/>
      <c r="B1109" s="117" t="s">
        <v>707</v>
      </c>
      <c r="C1109" s="118" t="s">
        <v>406</v>
      </c>
      <c r="D1109" s="119" t="s">
        <v>342</v>
      </c>
      <c r="E1109" s="119" t="s">
        <v>7</v>
      </c>
      <c r="F1109" s="119" t="s">
        <v>8</v>
      </c>
      <c r="G1109" s="119" t="s">
        <v>9</v>
      </c>
      <c r="H1109" s="120">
        <v>0</v>
      </c>
      <c r="I1109" s="120">
        <v>0</v>
      </c>
      <c r="J1109" s="119">
        <v>0</v>
      </c>
      <c r="K1109" s="108" t="str">
        <f t="shared" si="51"/>
        <v>0000000000</v>
      </c>
      <c r="L1109" s="303" t="str">
        <f t="shared" si="52"/>
        <v>61111000000000000000</v>
      </c>
      <c r="M1109" s="132" t="str">
        <f>INDEX('реш СГД № 265'!$A:$N,MATCH('БА расх 2019-2020'!$L1109,'реш СГД № 265'!$N:$N,0),3)</f>
        <v>Физическая культура и спорт</v>
      </c>
      <c r="N1109" s="17">
        <f t="shared" si="53"/>
        <v>1</v>
      </c>
    </row>
    <row r="1110" spans="1:14" s="16" customFormat="1" ht="15.75">
      <c r="A1110" s="14"/>
      <c r="B1110" s="121" t="s">
        <v>708</v>
      </c>
      <c r="C1110" s="122" t="s">
        <v>406</v>
      </c>
      <c r="D1110" s="123" t="s">
        <v>342</v>
      </c>
      <c r="E1110" s="123" t="s">
        <v>11</v>
      </c>
      <c r="F1110" s="123" t="s">
        <v>8</v>
      </c>
      <c r="G1110" s="123" t="s">
        <v>9</v>
      </c>
      <c r="H1110" s="124">
        <v>0</v>
      </c>
      <c r="I1110" s="124">
        <v>0</v>
      </c>
      <c r="J1110" s="123">
        <v>0</v>
      </c>
      <c r="K1110" s="108" t="str">
        <f t="shared" si="51"/>
        <v>0000000000</v>
      </c>
      <c r="L1110" s="303" t="str">
        <f t="shared" si="52"/>
        <v>61111010000000000000</v>
      </c>
      <c r="M1110" s="132" t="str">
        <f>INDEX('реш СГД № 265'!$A:$N,MATCH('БА расх 2019-2020'!$L1110,'реш СГД № 265'!$N:$N,0),3)</f>
        <v xml:space="preserve">Физическая культура </v>
      </c>
      <c r="N1110" s="17">
        <f t="shared" si="53"/>
        <v>1</v>
      </c>
    </row>
    <row r="1111" spans="1:14" s="16" customFormat="1" ht="31.5">
      <c r="A1111" s="14"/>
      <c r="B1111" s="125" t="s">
        <v>700</v>
      </c>
      <c r="C1111" s="109" t="s">
        <v>406</v>
      </c>
      <c r="D1111" s="108" t="s">
        <v>342</v>
      </c>
      <c r="E1111" s="108" t="s">
        <v>11</v>
      </c>
      <c r="F1111" s="108" t="s">
        <v>701</v>
      </c>
      <c r="G1111" s="108" t="s">
        <v>9</v>
      </c>
      <c r="H1111" s="126">
        <v>0</v>
      </c>
      <c r="I1111" s="126">
        <v>0</v>
      </c>
      <c r="J1111" s="108">
        <v>800000000</v>
      </c>
      <c r="K1111" s="108" t="str">
        <f t="shared" si="51"/>
        <v>0800000000</v>
      </c>
      <c r="L1111" s="303" t="str">
        <f t="shared" si="52"/>
        <v>61111010800000000000</v>
      </c>
      <c r="M1111" s="132" t="str">
        <f>INDEX('реш СГД № 265'!$A:$N,MATCH('БА расх 2019-2020'!$L1111,'реш СГД № 265'!$N:$N,0),3)</f>
        <v>Муниципальная программа «Развитие физической культуры и спорта в городе Ставрополе»</v>
      </c>
      <c r="N1111" s="17">
        <f t="shared" si="53"/>
        <v>1</v>
      </c>
    </row>
    <row r="1112" spans="1:14" s="16" customFormat="1" ht="63">
      <c r="A1112" s="14"/>
      <c r="B1112" s="125" t="s">
        <v>702</v>
      </c>
      <c r="C1112" s="109" t="s">
        <v>406</v>
      </c>
      <c r="D1112" s="108" t="s">
        <v>342</v>
      </c>
      <c r="E1112" s="108" t="s">
        <v>11</v>
      </c>
      <c r="F1112" s="108" t="s">
        <v>703</v>
      </c>
      <c r="G1112" s="108" t="s">
        <v>9</v>
      </c>
      <c r="H1112" s="126">
        <v>0</v>
      </c>
      <c r="I1112" s="126">
        <v>0</v>
      </c>
      <c r="J1112" s="108">
        <v>810000000</v>
      </c>
      <c r="K1112" s="108" t="str">
        <f t="shared" si="51"/>
        <v>0810000000</v>
      </c>
      <c r="L1112" s="303" t="str">
        <f t="shared" si="52"/>
        <v>61111010810000000000</v>
      </c>
      <c r="M1112" s="132" t="str">
        <f>INDEX('реш СГД № 265'!$A:$N,MATCH('БА расх 2019-2020'!$L1112,'реш СГД № 265'!$N:$N,0),3)</f>
        <v>Подпрограмма «Развитие системы дополнительного образования детей и подростков в области физической культуры и спорта и центров спортивной подготовки»</v>
      </c>
      <c r="N1112" s="17">
        <f t="shared" si="53"/>
        <v>1</v>
      </c>
    </row>
    <row r="1113" spans="1:14" s="16" customFormat="1" ht="31.5">
      <c r="A1113" s="14"/>
      <c r="B1113" s="129" t="s">
        <v>709</v>
      </c>
      <c r="C1113" s="130" t="s">
        <v>406</v>
      </c>
      <c r="D1113" s="131" t="s">
        <v>342</v>
      </c>
      <c r="E1113" s="131" t="s">
        <v>11</v>
      </c>
      <c r="F1113" s="131" t="s">
        <v>710</v>
      </c>
      <c r="G1113" s="131" t="s">
        <v>9</v>
      </c>
      <c r="H1113" s="105">
        <v>0</v>
      </c>
      <c r="I1113" s="105">
        <v>0</v>
      </c>
      <c r="J1113" s="131">
        <v>810200000</v>
      </c>
      <c r="K1113" s="108" t="str">
        <f t="shared" si="51"/>
        <v>0810200000</v>
      </c>
      <c r="L1113" s="303" t="str">
        <f t="shared" si="52"/>
        <v>61111010810200000000</v>
      </c>
      <c r="M1113" s="132" t="str">
        <f>INDEX('реш СГД № 265'!$A:$N,MATCH('БА расх 2019-2020'!$L1113,'реш СГД № 265'!$N:$N,0),3)</f>
        <v>Основное мероприятие «Обеспечение деятельности центров спортивной подготовки»</v>
      </c>
      <c r="N1113" s="17">
        <f t="shared" si="53"/>
        <v>1</v>
      </c>
    </row>
    <row r="1114" spans="1:14" s="16" customFormat="1" ht="31.5">
      <c r="A1114" s="14"/>
      <c r="B1114" s="127" t="s">
        <v>136</v>
      </c>
      <c r="C1114" s="130" t="s">
        <v>406</v>
      </c>
      <c r="D1114" s="131" t="s">
        <v>342</v>
      </c>
      <c r="E1114" s="131" t="s">
        <v>11</v>
      </c>
      <c r="F1114" s="131" t="s">
        <v>711</v>
      </c>
      <c r="G1114" s="131" t="s">
        <v>9</v>
      </c>
      <c r="H1114" s="105">
        <v>0</v>
      </c>
      <c r="I1114" s="105">
        <v>0</v>
      </c>
      <c r="J1114" s="131">
        <v>810211010</v>
      </c>
      <c r="K1114" s="108" t="str">
        <f t="shared" si="51"/>
        <v>0810211010</v>
      </c>
      <c r="L1114" s="303" t="str">
        <f t="shared" si="52"/>
        <v>61111010810211010000</v>
      </c>
      <c r="M1114" s="132" t="str">
        <f>INDEX('реш СГД № 265'!$A:$N,MATCH('БА расх 2019-2020'!$L1114,'реш СГД № 265'!$N:$N,0),3)</f>
        <v>Расходы на обеспечение деятельности (оказание услуг) муниципальных учреждений</v>
      </c>
      <c r="N1114" s="17">
        <f t="shared" si="53"/>
        <v>1</v>
      </c>
    </row>
    <row r="1115" spans="1:14" s="16" customFormat="1" ht="15.75">
      <c r="A1115" s="14"/>
      <c r="B1115" s="132" t="s">
        <v>403</v>
      </c>
      <c r="C1115" s="130" t="s">
        <v>406</v>
      </c>
      <c r="D1115" s="131" t="s">
        <v>342</v>
      </c>
      <c r="E1115" s="131" t="s">
        <v>11</v>
      </c>
      <c r="F1115" s="131" t="s">
        <v>711</v>
      </c>
      <c r="G1115" s="131" t="s">
        <v>404</v>
      </c>
      <c r="H1115" s="126">
        <v>0</v>
      </c>
      <c r="I1115" s="126">
        <v>0</v>
      </c>
      <c r="J1115" s="131">
        <v>810211010</v>
      </c>
      <c r="K1115" s="108" t="str">
        <f t="shared" si="51"/>
        <v>0810211010</v>
      </c>
      <c r="L1115" s="303" t="str">
        <f t="shared" si="52"/>
        <v>61111010810211010610</v>
      </c>
      <c r="M1115" s="132" t="str">
        <f>INDEX('реш СГД № 265'!$A:$N,MATCH('БА расх 2019-2020'!$L1115,'реш СГД № 265'!$N:$N,0),3)</f>
        <v>Субсидии бюджетным учреждениям</v>
      </c>
      <c r="N1115" s="17">
        <f t="shared" si="53"/>
        <v>1</v>
      </c>
    </row>
    <row r="1116" spans="1:14" s="23" customFormat="1" ht="63">
      <c r="A1116" s="21"/>
      <c r="B1116" s="127" t="s">
        <v>405</v>
      </c>
      <c r="C1116" s="130" t="s">
        <v>406</v>
      </c>
      <c r="D1116" s="131" t="s">
        <v>342</v>
      </c>
      <c r="E1116" s="131" t="s">
        <v>11</v>
      </c>
      <c r="F1116" s="131" t="s">
        <v>711</v>
      </c>
      <c r="G1116" s="108" t="s">
        <v>406</v>
      </c>
      <c r="H1116" s="126">
        <v>0</v>
      </c>
      <c r="I1116" s="126">
        <v>0</v>
      </c>
      <c r="J1116" s="131">
        <v>810211010</v>
      </c>
      <c r="K1116" s="108" t="str">
        <f t="shared" si="51"/>
        <v>0810211010</v>
      </c>
      <c r="L1116" s="303" t="str">
        <f t="shared" si="52"/>
        <v>61111010810211010611</v>
      </c>
      <c r="M1116" s="132"/>
      <c r="N1116" s="17">
        <f t="shared" si="53"/>
        <v>0</v>
      </c>
    </row>
    <row r="1117" spans="1:14" s="16" customFormat="1" ht="15.75">
      <c r="A1117" s="14"/>
      <c r="B1117" s="121" t="s">
        <v>712</v>
      </c>
      <c r="C1117" s="122" t="s">
        <v>406</v>
      </c>
      <c r="D1117" s="123" t="s">
        <v>342</v>
      </c>
      <c r="E1117" s="123" t="s">
        <v>62</v>
      </c>
      <c r="F1117" s="123" t="s">
        <v>8</v>
      </c>
      <c r="G1117" s="123" t="s">
        <v>9</v>
      </c>
      <c r="H1117" s="124">
        <v>0</v>
      </c>
      <c r="I1117" s="124">
        <v>0</v>
      </c>
      <c r="J1117" s="123">
        <v>0</v>
      </c>
      <c r="K1117" s="108" t="str">
        <f t="shared" si="51"/>
        <v>0000000000</v>
      </c>
      <c r="L1117" s="303" t="str">
        <f t="shared" si="52"/>
        <v>61111020000000000000</v>
      </c>
      <c r="M1117" s="132" t="str">
        <f>INDEX('реш СГД № 265'!$A:$N,MATCH('БА расх 2019-2020'!$L1117,'реш СГД № 265'!$N:$N,0),3)</f>
        <v>Массовый спорт</v>
      </c>
      <c r="N1117" s="17">
        <f t="shared" si="53"/>
        <v>1</v>
      </c>
    </row>
    <row r="1118" spans="1:14" s="16" customFormat="1" ht="31.5">
      <c r="A1118" s="14"/>
      <c r="B1118" s="125" t="s">
        <v>700</v>
      </c>
      <c r="C1118" s="109" t="s">
        <v>406</v>
      </c>
      <c r="D1118" s="108" t="s">
        <v>342</v>
      </c>
      <c r="E1118" s="108" t="s">
        <v>62</v>
      </c>
      <c r="F1118" s="108" t="s">
        <v>701</v>
      </c>
      <c r="G1118" s="108" t="s">
        <v>9</v>
      </c>
      <c r="H1118" s="126">
        <v>0</v>
      </c>
      <c r="I1118" s="126">
        <v>0</v>
      </c>
      <c r="J1118" s="108">
        <v>800000000</v>
      </c>
      <c r="K1118" s="108" t="str">
        <f t="shared" si="51"/>
        <v>0800000000</v>
      </c>
      <c r="L1118" s="303" t="str">
        <f t="shared" si="52"/>
        <v>61111020800000000000</v>
      </c>
      <c r="M1118" s="132" t="str">
        <f>INDEX('реш СГД № 265'!$A:$N,MATCH('БА расх 2019-2020'!$L1118,'реш СГД № 265'!$N:$N,0),3)</f>
        <v>Муниципальная программа «Развитие физической культуры и спорта в городе Ставрополе»</v>
      </c>
      <c r="N1118" s="17">
        <f t="shared" si="53"/>
        <v>1</v>
      </c>
    </row>
    <row r="1119" spans="1:14" s="16" customFormat="1" ht="63">
      <c r="A1119" s="14"/>
      <c r="B1119" s="125" t="s">
        <v>702</v>
      </c>
      <c r="C1119" s="109" t="s">
        <v>406</v>
      </c>
      <c r="D1119" s="108" t="s">
        <v>342</v>
      </c>
      <c r="E1119" s="108" t="s">
        <v>62</v>
      </c>
      <c r="F1119" s="108" t="s">
        <v>703</v>
      </c>
      <c r="G1119" s="108" t="s">
        <v>9</v>
      </c>
      <c r="H1119" s="126">
        <v>0</v>
      </c>
      <c r="I1119" s="126">
        <v>0</v>
      </c>
      <c r="J1119" s="108">
        <v>810000000</v>
      </c>
      <c r="K1119" s="108" t="str">
        <f t="shared" si="51"/>
        <v>0810000000</v>
      </c>
      <c r="L1119" s="303" t="str">
        <f t="shared" si="52"/>
        <v>61111020810000000000</v>
      </c>
      <c r="M1119" s="132" t="str">
        <f>INDEX('реш СГД № 265'!$A:$N,MATCH('БА расх 2019-2020'!$L1119,'реш СГД № 265'!$N:$N,0),3)</f>
        <v>Подпрограмма «Развитие системы дополнительного образования детей и подростков в области физической культуры и спорта и центров спортивной подготовки»</v>
      </c>
      <c r="N1119" s="17">
        <f t="shared" si="53"/>
        <v>1</v>
      </c>
    </row>
    <row r="1120" spans="1:14" s="16" customFormat="1" ht="94.5">
      <c r="A1120" s="14"/>
      <c r="B1120" s="125" t="s">
        <v>713</v>
      </c>
      <c r="C1120" s="109" t="s">
        <v>406</v>
      </c>
      <c r="D1120" s="108" t="s">
        <v>342</v>
      </c>
      <c r="E1120" s="108" t="s">
        <v>62</v>
      </c>
      <c r="F1120" s="108" t="s">
        <v>714</v>
      </c>
      <c r="G1120" s="108" t="s">
        <v>9</v>
      </c>
      <c r="H1120" s="126">
        <v>0</v>
      </c>
      <c r="I1120" s="126">
        <v>0</v>
      </c>
      <c r="J1120" s="108">
        <v>810300000</v>
      </c>
      <c r="K1120" s="108" t="str">
        <f t="shared" si="51"/>
        <v>0810300000</v>
      </c>
      <c r="L1120" s="303" t="str">
        <f t="shared" si="52"/>
        <v>61111020810300000000</v>
      </c>
      <c r="M1120" s="132" t="str">
        <f>INDEX('реш СГД № 265'!$A:$N,MATCH('БА расх 2019-2020'!$L1120,'реш СГД № 265'!$N:$N,0),3)</f>
        <v>Основное мероприятие «Обеспечение организации, проведения и участия в официальных физкультурных мероприятиях и спортивных мероприятиях муниципальных учреждений дополнительного образования детей физкультурно-спортивной направленности города Ставрополя»</v>
      </c>
      <c r="N1120" s="17">
        <f t="shared" si="53"/>
        <v>1</v>
      </c>
    </row>
    <row r="1121" spans="1:14" s="16" customFormat="1" ht="31.5">
      <c r="A1121" s="14"/>
      <c r="B1121" s="127" t="s">
        <v>136</v>
      </c>
      <c r="C1121" s="130" t="s">
        <v>406</v>
      </c>
      <c r="D1121" s="108" t="s">
        <v>342</v>
      </c>
      <c r="E1121" s="108" t="s">
        <v>62</v>
      </c>
      <c r="F1121" s="131" t="s">
        <v>715</v>
      </c>
      <c r="G1121" s="131" t="s">
        <v>9</v>
      </c>
      <c r="H1121" s="105">
        <v>0</v>
      </c>
      <c r="I1121" s="105">
        <v>0</v>
      </c>
      <c r="J1121" s="131">
        <v>810311010</v>
      </c>
      <c r="K1121" s="108" t="str">
        <f t="shared" si="51"/>
        <v>0810311010</v>
      </c>
      <c r="L1121" s="303" t="str">
        <f t="shared" si="52"/>
        <v>61111020810311010000</v>
      </c>
      <c r="M1121" s="132" t="str">
        <f>INDEX('реш СГД № 265'!$A:$N,MATCH('БА расх 2019-2020'!$L1121,'реш СГД № 265'!$N:$N,0),3)</f>
        <v>Расходы на обеспечение деятельности (оказание услуг) муниципальных учреждений</v>
      </c>
      <c r="N1121" s="17">
        <f t="shared" si="53"/>
        <v>1</v>
      </c>
    </row>
    <row r="1122" spans="1:14" s="16" customFormat="1" ht="15.75">
      <c r="A1122" s="14"/>
      <c r="B1122" s="132" t="s">
        <v>403</v>
      </c>
      <c r="C1122" s="130" t="s">
        <v>406</v>
      </c>
      <c r="D1122" s="108" t="s">
        <v>342</v>
      </c>
      <c r="E1122" s="108" t="s">
        <v>62</v>
      </c>
      <c r="F1122" s="131" t="s">
        <v>715</v>
      </c>
      <c r="G1122" s="131" t="s">
        <v>404</v>
      </c>
      <c r="H1122" s="126">
        <v>0</v>
      </c>
      <c r="I1122" s="126">
        <v>0</v>
      </c>
      <c r="J1122" s="131">
        <v>810311010</v>
      </c>
      <c r="K1122" s="108" t="str">
        <f t="shared" si="51"/>
        <v>0810311010</v>
      </c>
      <c r="L1122" s="303" t="str">
        <f t="shared" si="52"/>
        <v>61111020810311010610</v>
      </c>
      <c r="M1122" s="132" t="str">
        <f>INDEX('реш СГД № 265'!$A:$N,MATCH('БА расх 2019-2020'!$L1122,'реш СГД № 265'!$N:$N,0),3)</f>
        <v>Субсидии бюджетным учреждениям</v>
      </c>
      <c r="N1122" s="17">
        <f t="shared" si="53"/>
        <v>1</v>
      </c>
    </row>
    <row r="1123" spans="1:14" s="23" customFormat="1" ht="63">
      <c r="A1123" s="21"/>
      <c r="B1123" s="127" t="s">
        <v>405</v>
      </c>
      <c r="C1123" s="130" t="s">
        <v>406</v>
      </c>
      <c r="D1123" s="108" t="s">
        <v>342</v>
      </c>
      <c r="E1123" s="108" t="s">
        <v>62</v>
      </c>
      <c r="F1123" s="131" t="s">
        <v>715</v>
      </c>
      <c r="G1123" s="108" t="s">
        <v>406</v>
      </c>
      <c r="H1123" s="126">
        <v>0</v>
      </c>
      <c r="I1123" s="126">
        <v>0</v>
      </c>
      <c r="J1123" s="131">
        <v>810311010</v>
      </c>
      <c r="K1123" s="108" t="str">
        <f t="shared" si="51"/>
        <v>0810311010</v>
      </c>
      <c r="L1123" s="303" t="str">
        <f t="shared" si="52"/>
        <v>61111020810311010611</v>
      </c>
      <c r="M1123" s="132"/>
      <c r="N1123" s="17">
        <f t="shared" si="53"/>
        <v>0</v>
      </c>
    </row>
    <row r="1124" spans="1:14" s="16" customFormat="1" ht="47.25">
      <c r="A1124" s="14"/>
      <c r="B1124" s="125" t="s">
        <v>716</v>
      </c>
      <c r="C1124" s="109" t="s">
        <v>406</v>
      </c>
      <c r="D1124" s="108" t="s">
        <v>342</v>
      </c>
      <c r="E1124" s="108" t="s">
        <v>62</v>
      </c>
      <c r="F1124" s="108" t="s">
        <v>717</v>
      </c>
      <c r="G1124" s="108" t="s">
        <v>9</v>
      </c>
      <c r="H1124" s="126">
        <v>0</v>
      </c>
      <c r="I1124" s="126">
        <v>0</v>
      </c>
      <c r="J1124" s="108">
        <v>820000000</v>
      </c>
      <c r="K1124" s="108" t="str">
        <f t="shared" si="51"/>
        <v>0820000000</v>
      </c>
      <c r="L1124" s="303" t="str">
        <f t="shared" si="52"/>
        <v>61111020820000000000</v>
      </c>
      <c r="M1124" s="132" t="str">
        <f>INDEX('реш СГД № 265'!$A:$N,MATCH('БА расх 2019-2020'!$L1124,'реш СГД № 265'!$N:$N,0),3)</f>
        <v>Подпрограмма «Организация и проведение физкультурных мероприятий и спортивных мероприятий»</v>
      </c>
      <c r="N1124" s="17">
        <f t="shared" si="53"/>
        <v>1</v>
      </c>
    </row>
    <row r="1125" spans="1:14" s="16" customFormat="1" ht="47.25">
      <c r="A1125" s="14"/>
      <c r="B1125" s="125" t="s">
        <v>718</v>
      </c>
      <c r="C1125" s="109" t="s">
        <v>406</v>
      </c>
      <c r="D1125" s="108" t="s">
        <v>342</v>
      </c>
      <c r="E1125" s="108" t="s">
        <v>62</v>
      </c>
      <c r="F1125" s="108" t="s">
        <v>719</v>
      </c>
      <c r="G1125" s="108" t="s">
        <v>9</v>
      </c>
      <c r="H1125" s="126">
        <v>0</v>
      </c>
      <c r="I1125" s="126">
        <v>0</v>
      </c>
      <c r="J1125" s="108">
        <v>820100000</v>
      </c>
      <c r="K1125" s="108" t="str">
        <f t="shared" si="51"/>
        <v>0820100000</v>
      </c>
      <c r="L1125" s="303" t="str">
        <f t="shared" si="52"/>
        <v>61111020820100000000</v>
      </c>
      <c r="M1125" s="132" t="str">
        <f>INDEX('реш СГД № 265'!$A:$N,MATCH('БА расх 2019-2020'!$L1125,'реш СГД № 265'!$N:$N,0),3)</f>
        <v>Основное мероприятие «Реализация мероприятий, направленных на развитие физической культуры и массового спорта»</v>
      </c>
      <c r="N1125" s="17">
        <f t="shared" si="53"/>
        <v>1</v>
      </c>
    </row>
    <row r="1126" spans="1:14" s="16" customFormat="1" ht="31.5">
      <c r="A1126" s="14"/>
      <c r="B1126" s="125" t="s">
        <v>720</v>
      </c>
      <c r="C1126" s="109" t="s">
        <v>406</v>
      </c>
      <c r="D1126" s="108" t="s">
        <v>342</v>
      </c>
      <c r="E1126" s="108" t="s">
        <v>62</v>
      </c>
      <c r="F1126" s="108" t="s">
        <v>721</v>
      </c>
      <c r="G1126" s="108" t="s">
        <v>9</v>
      </c>
      <c r="H1126" s="126">
        <v>0</v>
      </c>
      <c r="I1126" s="126">
        <v>0</v>
      </c>
      <c r="J1126" s="108">
        <v>820120420</v>
      </c>
      <c r="K1126" s="108" t="str">
        <f t="shared" si="51"/>
        <v>0820120420</v>
      </c>
      <c r="L1126" s="303" t="str">
        <f t="shared" si="52"/>
        <v>61111020820120420000</v>
      </c>
      <c r="M1126" s="132" t="str">
        <f>INDEX('реш СГД № 265'!$A:$N,MATCH('БА расх 2019-2020'!$L1126,'реш СГД № 265'!$N:$N,0),3)</f>
        <v>Расходы на реализацию мероприятий, направленных на развитие физической культуры и массового спорта</v>
      </c>
      <c r="N1126" s="17">
        <f t="shared" si="53"/>
        <v>1</v>
      </c>
    </row>
    <row r="1127" spans="1:14" s="16" customFormat="1" ht="15.75">
      <c r="A1127" s="14"/>
      <c r="B1127" s="125" t="s">
        <v>138</v>
      </c>
      <c r="C1127" s="109" t="s">
        <v>406</v>
      </c>
      <c r="D1127" s="108" t="s">
        <v>342</v>
      </c>
      <c r="E1127" s="108" t="s">
        <v>62</v>
      </c>
      <c r="F1127" s="108" t="s">
        <v>721</v>
      </c>
      <c r="G1127" s="108" t="s">
        <v>139</v>
      </c>
      <c r="H1127" s="126">
        <v>0</v>
      </c>
      <c r="I1127" s="126">
        <v>0</v>
      </c>
      <c r="J1127" s="108">
        <v>820120420</v>
      </c>
      <c r="K1127" s="108" t="str">
        <f t="shared" si="51"/>
        <v>0820120420</v>
      </c>
      <c r="L1127" s="303" t="str">
        <f t="shared" si="52"/>
        <v>61111020820120420110</v>
      </c>
      <c r="M1127" s="132" t="str">
        <f>INDEX('реш СГД № 265'!$A:$N,MATCH('БА расх 2019-2020'!$L1127,'реш СГД № 265'!$N:$N,0),3)</f>
        <v>Расходы на выплаты персоналу казенных учреждений</v>
      </c>
      <c r="N1127" s="17">
        <f t="shared" si="53"/>
        <v>1</v>
      </c>
    </row>
    <row r="1128" spans="1:14" s="23" customFormat="1" ht="63">
      <c r="A1128" s="21"/>
      <c r="B1128" s="127" t="s">
        <v>144</v>
      </c>
      <c r="C1128" s="109" t="s">
        <v>406</v>
      </c>
      <c r="D1128" s="108" t="s">
        <v>342</v>
      </c>
      <c r="E1128" s="108" t="s">
        <v>62</v>
      </c>
      <c r="F1128" s="108" t="s">
        <v>721</v>
      </c>
      <c r="G1128" s="108" t="s">
        <v>722</v>
      </c>
      <c r="H1128" s="126">
        <v>0</v>
      </c>
      <c r="I1128" s="126">
        <v>0</v>
      </c>
      <c r="J1128" s="108">
        <v>820120420</v>
      </c>
      <c r="K1128" s="108" t="str">
        <f t="shared" si="51"/>
        <v>0820120420</v>
      </c>
      <c r="L1128" s="303" t="str">
        <f t="shared" si="52"/>
        <v>61111020820120420113</v>
      </c>
      <c r="M1128" s="132"/>
      <c r="N1128" s="17">
        <f t="shared" si="53"/>
        <v>0</v>
      </c>
    </row>
    <row r="1129" spans="1:14" s="16" customFormat="1" ht="31.5">
      <c r="A1129" s="14"/>
      <c r="B1129" s="125" t="s">
        <v>28</v>
      </c>
      <c r="C1129" s="109" t="s">
        <v>406</v>
      </c>
      <c r="D1129" s="108" t="s">
        <v>342</v>
      </c>
      <c r="E1129" s="108" t="s">
        <v>62</v>
      </c>
      <c r="F1129" s="108" t="s">
        <v>721</v>
      </c>
      <c r="G1129" s="108" t="s">
        <v>29</v>
      </c>
      <c r="H1129" s="126">
        <v>0</v>
      </c>
      <c r="I1129" s="126">
        <v>0</v>
      </c>
      <c r="J1129" s="108">
        <v>820120420</v>
      </c>
      <c r="K1129" s="108" t="str">
        <f t="shared" si="51"/>
        <v>0820120420</v>
      </c>
      <c r="L1129" s="303" t="str">
        <f t="shared" si="52"/>
        <v>61111020820120420240</v>
      </c>
      <c r="M1129" s="132" t="str">
        <f>INDEX('реш СГД № 265'!$A:$N,MATCH('БА расх 2019-2020'!$L1129,'реш СГД № 265'!$N:$N,0),3)</f>
        <v>Иные закупки товаров, работ и услуг для обеспечения государственных (муниципальных) нужд</v>
      </c>
      <c r="N1129" s="17">
        <f t="shared" si="53"/>
        <v>1</v>
      </c>
    </row>
    <row r="1130" spans="1:14" s="16" customFormat="1" ht="15.75">
      <c r="A1130" s="14"/>
      <c r="B1130" s="125" t="s">
        <v>30</v>
      </c>
      <c r="C1130" s="109" t="s">
        <v>406</v>
      </c>
      <c r="D1130" s="108" t="s">
        <v>342</v>
      </c>
      <c r="E1130" s="108" t="s">
        <v>62</v>
      </c>
      <c r="F1130" s="108" t="s">
        <v>721</v>
      </c>
      <c r="G1130" s="108" t="s">
        <v>31</v>
      </c>
      <c r="H1130" s="126">
        <v>0</v>
      </c>
      <c r="I1130" s="126">
        <v>0</v>
      </c>
      <c r="J1130" s="108">
        <v>820120420</v>
      </c>
      <c r="K1130" s="108" t="str">
        <f t="shared" si="51"/>
        <v>0820120420</v>
      </c>
      <c r="L1130" s="303" t="str">
        <f t="shared" si="52"/>
        <v>61111020820120420244</v>
      </c>
      <c r="M1130" s="132"/>
      <c r="N1130" s="17">
        <f t="shared" si="53"/>
        <v>0</v>
      </c>
    </row>
    <row r="1131" spans="1:14" s="16" customFormat="1" ht="47.25">
      <c r="A1131" s="14"/>
      <c r="B1131" s="140" t="s">
        <v>723</v>
      </c>
      <c r="C1131" s="109" t="s">
        <v>406</v>
      </c>
      <c r="D1131" s="108" t="s">
        <v>342</v>
      </c>
      <c r="E1131" s="108" t="s">
        <v>62</v>
      </c>
      <c r="F1131" s="108" t="s">
        <v>724</v>
      </c>
      <c r="G1131" s="108" t="s">
        <v>9</v>
      </c>
      <c r="H1131" s="126">
        <v>0</v>
      </c>
      <c r="I1131" s="126">
        <v>0</v>
      </c>
      <c r="J1131" s="108">
        <v>820200000</v>
      </c>
      <c r="K1131" s="108" t="str">
        <f t="shared" si="51"/>
        <v>0820200000</v>
      </c>
      <c r="L1131" s="303" t="str">
        <f t="shared" si="52"/>
        <v>61111020820200000000</v>
      </c>
      <c r="M1131" s="132" t="str">
        <f>INDEX('реш СГД № 265'!$A:$N,MATCH('БА расх 2019-2020'!$L1131,'реш СГД № 265'!$N:$N,0),3)</f>
        <v>Основное мероприятие «Изготовление и размещение пропагандирующей социальной рекламы о здоровом и активном образе жизни»</v>
      </c>
      <c r="N1131" s="17">
        <f t="shared" si="53"/>
        <v>1</v>
      </c>
    </row>
    <row r="1132" spans="1:14" s="16" customFormat="1" ht="15.75">
      <c r="A1132" s="14"/>
      <c r="B1132" s="127" t="s">
        <v>725</v>
      </c>
      <c r="C1132" s="109" t="s">
        <v>406</v>
      </c>
      <c r="D1132" s="108" t="s">
        <v>342</v>
      </c>
      <c r="E1132" s="108" t="s">
        <v>62</v>
      </c>
      <c r="F1132" s="108" t="s">
        <v>726</v>
      </c>
      <c r="G1132" s="108" t="s">
        <v>9</v>
      </c>
      <c r="H1132" s="126">
        <v>0</v>
      </c>
      <c r="I1132" s="126">
        <v>0</v>
      </c>
      <c r="J1132" s="108">
        <v>820220440</v>
      </c>
      <c r="K1132" s="108" t="str">
        <f t="shared" si="51"/>
        <v>0820220440</v>
      </c>
      <c r="L1132" s="303" t="str">
        <f t="shared" si="52"/>
        <v>61111020820220440000</v>
      </c>
      <c r="M1132" s="132" t="str">
        <f>INDEX('реш СГД № 265'!$A:$N,MATCH('БА расх 2019-2020'!$L1132,'реш СГД № 265'!$N:$N,0),3)</f>
        <v xml:space="preserve">Расходы на пропаганду здорового образа жизни </v>
      </c>
      <c r="N1132" s="17">
        <f t="shared" si="53"/>
        <v>1</v>
      </c>
    </row>
    <row r="1133" spans="1:14" s="16" customFormat="1" ht="31.5">
      <c r="A1133" s="14"/>
      <c r="B1133" s="125" t="s">
        <v>28</v>
      </c>
      <c r="C1133" s="109" t="s">
        <v>406</v>
      </c>
      <c r="D1133" s="108" t="s">
        <v>342</v>
      </c>
      <c r="E1133" s="108" t="s">
        <v>62</v>
      </c>
      <c r="F1133" s="108" t="s">
        <v>726</v>
      </c>
      <c r="G1133" s="108" t="s">
        <v>29</v>
      </c>
      <c r="H1133" s="126">
        <v>0</v>
      </c>
      <c r="I1133" s="126">
        <v>0</v>
      </c>
      <c r="J1133" s="108">
        <v>820220440</v>
      </c>
      <c r="K1133" s="108" t="str">
        <f t="shared" si="51"/>
        <v>0820220440</v>
      </c>
      <c r="L1133" s="303" t="str">
        <f t="shared" si="52"/>
        <v>61111020820220440240</v>
      </c>
      <c r="M1133" s="132" t="str">
        <f>INDEX('реш СГД № 265'!$A:$N,MATCH('БА расх 2019-2020'!$L1133,'реш СГД № 265'!$N:$N,0),3)</f>
        <v>Иные закупки товаров, работ и услуг для обеспечения государственных (муниципальных) нужд</v>
      </c>
      <c r="N1133" s="17">
        <f t="shared" si="53"/>
        <v>1</v>
      </c>
    </row>
    <row r="1134" spans="1:14" s="16" customFormat="1" ht="15.75">
      <c r="A1134" s="14"/>
      <c r="B1134" s="125" t="s">
        <v>30</v>
      </c>
      <c r="C1134" s="109" t="s">
        <v>406</v>
      </c>
      <c r="D1134" s="108" t="s">
        <v>342</v>
      </c>
      <c r="E1134" s="108" t="s">
        <v>62</v>
      </c>
      <c r="F1134" s="108" t="s">
        <v>726</v>
      </c>
      <c r="G1134" s="108" t="s">
        <v>31</v>
      </c>
      <c r="H1134" s="126">
        <v>0</v>
      </c>
      <c r="I1134" s="126">
        <v>0</v>
      </c>
      <c r="J1134" s="108">
        <v>820220440</v>
      </c>
      <c r="K1134" s="108" t="str">
        <f t="shared" si="51"/>
        <v>0820220440</v>
      </c>
      <c r="L1134" s="303" t="str">
        <f t="shared" si="52"/>
        <v>61111020820220440244</v>
      </c>
      <c r="M1134" s="132"/>
      <c r="N1134" s="17">
        <f t="shared" si="53"/>
        <v>0</v>
      </c>
    </row>
    <row r="1135" spans="1:14" s="16" customFormat="1" ht="63">
      <c r="A1135" s="14"/>
      <c r="B1135" s="140" t="s">
        <v>727</v>
      </c>
      <c r="C1135" s="109" t="s">
        <v>406</v>
      </c>
      <c r="D1135" s="108" t="s">
        <v>342</v>
      </c>
      <c r="E1135" s="108" t="s">
        <v>62</v>
      </c>
      <c r="F1135" s="108" t="s">
        <v>728</v>
      </c>
      <c r="G1135" s="108" t="s">
        <v>9</v>
      </c>
      <c r="H1135" s="126">
        <v>0</v>
      </c>
      <c r="I1135" s="126">
        <v>0</v>
      </c>
      <c r="J1135" s="108">
        <v>820300000</v>
      </c>
      <c r="K1135" s="108" t="str">
        <f t="shared" si="51"/>
        <v>0820300000</v>
      </c>
      <c r="L1135" s="303" t="str">
        <f t="shared" si="52"/>
        <v>61111020820300000000</v>
      </c>
      <c r="M1135" s="132" t="str">
        <f>INDEX('реш СГД № 265'!$A:$N,MATCH('БА расх 2019-2020'!$L1135,'реш СГД № 265'!$N:$N,0),3)</f>
        <v>Основное мероприятие «Подготовка  и участие в семинарах, конференциях и курсах повышения квалификации работников отрасли «Физическая культура и спорт»</v>
      </c>
      <c r="N1135" s="17">
        <f t="shared" si="53"/>
        <v>1</v>
      </c>
    </row>
    <row r="1136" spans="1:14" s="16" customFormat="1" ht="31.5">
      <c r="A1136" s="14"/>
      <c r="B1136" s="127" t="s">
        <v>729</v>
      </c>
      <c r="C1136" s="109" t="s">
        <v>406</v>
      </c>
      <c r="D1136" s="108" t="s">
        <v>342</v>
      </c>
      <c r="E1136" s="108" t="s">
        <v>62</v>
      </c>
      <c r="F1136" s="108" t="s">
        <v>730</v>
      </c>
      <c r="G1136" s="108" t="s">
        <v>9</v>
      </c>
      <c r="H1136" s="126">
        <v>0</v>
      </c>
      <c r="I1136" s="126">
        <v>0</v>
      </c>
      <c r="J1136" s="108">
        <v>820321060</v>
      </c>
      <c r="K1136" s="108" t="str">
        <f t="shared" si="51"/>
        <v>0820321060</v>
      </c>
      <c r="L1136" s="303" t="str">
        <f t="shared" si="52"/>
        <v>61111020820321060000</v>
      </c>
      <c r="M1136" s="132" t="str">
        <f>INDEX('реш СГД № 265'!$A:$N,MATCH('БА расх 2019-2020'!$L1136,'реш СГД № 265'!$N:$N,0),3)</f>
        <v>Расходы на повышение квалификации работников отрасли  «Физическая культура и спорт»</v>
      </c>
      <c r="N1136" s="17">
        <f t="shared" si="53"/>
        <v>1</v>
      </c>
    </row>
    <row r="1137" spans="1:14" s="16" customFormat="1" ht="31.5">
      <c r="A1137" s="14"/>
      <c r="B1137" s="125" t="s">
        <v>28</v>
      </c>
      <c r="C1137" s="109" t="s">
        <v>406</v>
      </c>
      <c r="D1137" s="108" t="s">
        <v>342</v>
      </c>
      <c r="E1137" s="108" t="s">
        <v>62</v>
      </c>
      <c r="F1137" s="108" t="s">
        <v>730</v>
      </c>
      <c r="G1137" s="108" t="s">
        <v>29</v>
      </c>
      <c r="H1137" s="126">
        <v>0</v>
      </c>
      <c r="I1137" s="126">
        <v>0</v>
      </c>
      <c r="J1137" s="108">
        <v>820321060</v>
      </c>
      <c r="K1137" s="108" t="str">
        <f t="shared" si="51"/>
        <v>0820321060</v>
      </c>
      <c r="L1137" s="303" t="str">
        <f t="shared" si="52"/>
        <v>61111020820321060240</v>
      </c>
      <c r="M1137" s="132" t="str">
        <f>INDEX('реш СГД № 265'!$A:$N,MATCH('БА расх 2019-2020'!$L1137,'реш СГД № 265'!$N:$N,0),3)</f>
        <v>Иные закупки товаров, работ и услуг для обеспечения государственных (муниципальных) нужд</v>
      </c>
      <c r="N1137" s="17">
        <f t="shared" si="53"/>
        <v>1</v>
      </c>
    </row>
    <row r="1138" spans="1:14" s="16" customFormat="1" ht="15.75">
      <c r="A1138" s="14"/>
      <c r="B1138" s="125" t="s">
        <v>30</v>
      </c>
      <c r="C1138" s="109" t="s">
        <v>406</v>
      </c>
      <c r="D1138" s="108" t="s">
        <v>342</v>
      </c>
      <c r="E1138" s="108" t="s">
        <v>62</v>
      </c>
      <c r="F1138" s="108" t="s">
        <v>730</v>
      </c>
      <c r="G1138" s="108" t="s">
        <v>31</v>
      </c>
      <c r="H1138" s="126">
        <v>0</v>
      </c>
      <c r="I1138" s="126">
        <v>0</v>
      </c>
      <c r="J1138" s="108">
        <v>820321060</v>
      </c>
      <c r="K1138" s="108" t="str">
        <f t="shared" si="51"/>
        <v>0820321060</v>
      </c>
      <c r="L1138" s="303" t="str">
        <f t="shared" si="52"/>
        <v>61111020820321060244</v>
      </c>
      <c r="M1138" s="132"/>
      <c r="N1138" s="17">
        <f t="shared" si="53"/>
        <v>0</v>
      </c>
    </row>
    <row r="1139" spans="1:14" s="16" customFormat="1" ht="31.5">
      <c r="A1139" s="14"/>
      <c r="B1139" s="121" t="s">
        <v>737</v>
      </c>
      <c r="C1139" s="122" t="s">
        <v>406</v>
      </c>
      <c r="D1139" s="123" t="s">
        <v>342</v>
      </c>
      <c r="E1139" s="123" t="s">
        <v>86</v>
      </c>
      <c r="F1139" s="123" t="s">
        <v>8</v>
      </c>
      <c r="G1139" s="123" t="s">
        <v>9</v>
      </c>
      <c r="H1139" s="124">
        <v>0</v>
      </c>
      <c r="I1139" s="124">
        <v>0</v>
      </c>
      <c r="J1139" s="123">
        <v>0</v>
      </c>
      <c r="K1139" s="108" t="str">
        <f t="shared" si="51"/>
        <v>0000000000</v>
      </c>
      <c r="L1139" s="303" t="str">
        <f t="shared" si="52"/>
        <v>61111050000000000000</v>
      </c>
      <c r="M1139" s="132" t="str">
        <f>INDEX('реш СГД № 265'!$A:$N,MATCH('БА расх 2019-2020'!$L1139,'реш СГД № 265'!$N:$N,0),3)</f>
        <v>Другие вопросы в области физической культуры и спорта</v>
      </c>
      <c r="N1139" s="17">
        <f t="shared" si="53"/>
        <v>1</v>
      </c>
    </row>
    <row r="1140" spans="1:14" s="16" customFormat="1" ht="31.5">
      <c r="A1140" s="14"/>
      <c r="B1140" s="125" t="s">
        <v>738</v>
      </c>
      <c r="C1140" s="109" t="s">
        <v>406</v>
      </c>
      <c r="D1140" s="108" t="s">
        <v>342</v>
      </c>
      <c r="E1140" s="108" t="s">
        <v>86</v>
      </c>
      <c r="F1140" s="108" t="s">
        <v>739</v>
      </c>
      <c r="G1140" s="108" t="s">
        <v>9</v>
      </c>
      <c r="H1140" s="126">
        <v>0</v>
      </c>
      <c r="I1140" s="126">
        <v>0</v>
      </c>
      <c r="J1140" s="108">
        <v>7800000000</v>
      </c>
      <c r="K1140" s="108" t="str">
        <f t="shared" si="51"/>
        <v>7800000000</v>
      </c>
      <c r="L1140" s="303" t="str">
        <f t="shared" si="52"/>
        <v>61111057800000000000</v>
      </c>
      <c r="M1140" s="132" t="str">
        <f>INDEX('реш СГД № 265'!$A:$N,MATCH('БА расх 2019-2020'!$L1140,'реш СГД № 265'!$N:$N,0),3)</f>
        <v>Обеспечение деятельности комитета физической культуры и спорта администрации города Ставрополя</v>
      </c>
      <c r="N1140" s="17">
        <f t="shared" si="53"/>
        <v>1</v>
      </c>
    </row>
    <row r="1141" spans="1:14" s="16" customFormat="1" ht="47.25">
      <c r="A1141" s="14"/>
      <c r="B1141" s="125" t="s">
        <v>740</v>
      </c>
      <c r="C1141" s="109" t="s">
        <v>406</v>
      </c>
      <c r="D1141" s="108" t="s">
        <v>342</v>
      </c>
      <c r="E1141" s="108" t="s">
        <v>86</v>
      </c>
      <c r="F1141" s="108" t="s">
        <v>741</v>
      </c>
      <c r="G1141" s="108" t="s">
        <v>9</v>
      </c>
      <c r="H1141" s="126">
        <v>0</v>
      </c>
      <c r="I1141" s="126">
        <v>0</v>
      </c>
      <c r="J1141" s="108">
        <v>7810000000</v>
      </c>
      <c r="K1141" s="108" t="str">
        <f t="shared" si="51"/>
        <v>7810000000</v>
      </c>
      <c r="L1141" s="303" t="str">
        <f t="shared" si="52"/>
        <v>61111057810000000000</v>
      </c>
      <c r="M1141" s="132" t="str">
        <f>INDEX('реш СГД № 265'!$A:$N,MATCH('БА расх 2019-2020'!$L1141,'реш СГД № 265'!$N:$N,0),3)</f>
        <v>Непрограммные расходы в рамках обеспечения деятельности комитета физической культуры и спорта администрации города Ставрополя</v>
      </c>
      <c r="N1141" s="17">
        <f t="shared" si="53"/>
        <v>1</v>
      </c>
    </row>
    <row r="1142" spans="1:14" s="16" customFormat="1" ht="31.5">
      <c r="A1142" s="14"/>
      <c r="B1142" s="125" t="s">
        <v>18</v>
      </c>
      <c r="C1142" s="109" t="s">
        <v>406</v>
      </c>
      <c r="D1142" s="108" t="s">
        <v>342</v>
      </c>
      <c r="E1142" s="108" t="s">
        <v>86</v>
      </c>
      <c r="F1142" s="108" t="s">
        <v>742</v>
      </c>
      <c r="G1142" s="108" t="s">
        <v>9</v>
      </c>
      <c r="H1142" s="126">
        <v>0</v>
      </c>
      <c r="I1142" s="126">
        <v>0</v>
      </c>
      <c r="J1142" s="108">
        <v>7810010010</v>
      </c>
      <c r="K1142" s="108" t="str">
        <f t="shared" si="51"/>
        <v>7810010010</v>
      </c>
      <c r="L1142" s="303" t="str">
        <f t="shared" si="52"/>
        <v>61111057810010010000</v>
      </c>
      <c r="M1142" s="132" t="str">
        <f>INDEX('реш СГД № 265'!$A:$N,MATCH('БА расх 2019-2020'!$L1142,'реш СГД № 265'!$N:$N,0),3)</f>
        <v>Расходы на обеспечение функций органов местного самоуправления города Ставрополя</v>
      </c>
      <c r="N1142" s="17">
        <f t="shared" si="53"/>
        <v>1</v>
      </c>
    </row>
    <row r="1143" spans="1:14" s="16" customFormat="1" ht="31.5">
      <c r="A1143" s="14"/>
      <c r="B1143" s="127" t="s">
        <v>20</v>
      </c>
      <c r="C1143" s="109" t="s">
        <v>406</v>
      </c>
      <c r="D1143" s="108" t="s">
        <v>342</v>
      </c>
      <c r="E1143" s="108" t="s">
        <v>86</v>
      </c>
      <c r="F1143" s="108" t="s">
        <v>742</v>
      </c>
      <c r="G1143" s="108" t="s">
        <v>21</v>
      </c>
      <c r="H1143" s="126">
        <v>0</v>
      </c>
      <c r="I1143" s="126">
        <v>0</v>
      </c>
      <c r="J1143" s="108">
        <v>7810010010</v>
      </c>
      <c r="K1143" s="108" t="str">
        <f t="shared" si="51"/>
        <v>7810010010</v>
      </c>
      <c r="L1143" s="303" t="str">
        <f t="shared" si="52"/>
        <v>61111057810010010120</v>
      </c>
      <c r="M1143" s="132" t="str">
        <f>INDEX('реш СГД № 265'!$A:$N,MATCH('БА расх 2019-2020'!$L1143,'реш СГД № 265'!$N:$N,0),3)</f>
        <v>Расходы на выплаты персоналу государственных (муниципальных) органов</v>
      </c>
      <c r="N1143" s="17">
        <f t="shared" si="53"/>
        <v>1</v>
      </c>
    </row>
    <row r="1144" spans="1:14" s="23" customFormat="1" ht="47.25">
      <c r="A1144" s="21"/>
      <c r="B1144" s="127" t="s">
        <v>22</v>
      </c>
      <c r="C1144" s="109" t="s">
        <v>406</v>
      </c>
      <c r="D1144" s="108" t="s">
        <v>342</v>
      </c>
      <c r="E1144" s="108" t="s">
        <v>86</v>
      </c>
      <c r="F1144" s="108" t="s">
        <v>742</v>
      </c>
      <c r="G1144" s="108" t="s">
        <v>23</v>
      </c>
      <c r="H1144" s="126">
        <v>0</v>
      </c>
      <c r="I1144" s="126">
        <v>0</v>
      </c>
      <c r="J1144" s="108">
        <v>7810010010</v>
      </c>
      <c r="K1144" s="108" t="str">
        <f t="shared" si="51"/>
        <v>7810010010</v>
      </c>
      <c r="L1144" s="303" t="str">
        <f t="shared" si="52"/>
        <v>61111057810010010122</v>
      </c>
      <c r="M1144" s="132"/>
      <c r="N1144" s="17">
        <f t="shared" si="53"/>
        <v>0</v>
      </c>
    </row>
    <row r="1145" spans="1:14" s="23" customFormat="1" ht="63">
      <c r="A1145" s="21"/>
      <c r="B1145" s="127" t="s">
        <v>26</v>
      </c>
      <c r="C1145" s="109" t="s">
        <v>406</v>
      </c>
      <c r="D1145" s="108" t="s">
        <v>342</v>
      </c>
      <c r="E1145" s="108" t="s">
        <v>86</v>
      </c>
      <c r="F1145" s="108" t="s">
        <v>742</v>
      </c>
      <c r="G1145" s="108" t="s">
        <v>27</v>
      </c>
      <c r="H1145" s="126">
        <v>0</v>
      </c>
      <c r="I1145" s="126">
        <v>0</v>
      </c>
      <c r="J1145" s="108">
        <v>7810010010</v>
      </c>
      <c r="K1145" s="108" t="str">
        <f t="shared" si="51"/>
        <v>7810010010</v>
      </c>
      <c r="L1145" s="303" t="str">
        <f t="shared" si="52"/>
        <v>61111057810010010129</v>
      </c>
      <c r="M1145" s="132"/>
      <c r="N1145" s="17">
        <f t="shared" si="53"/>
        <v>0</v>
      </c>
    </row>
    <row r="1146" spans="1:14" s="16" customFormat="1" ht="31.5">
      <c r="A1146" s="14"/>
      <c r="B1146" s="125" t="s">
        <v>28</v>
      </c>
      <c r="C1146" s="109" t="s">
        <v>406</v>
      </c>
      <c r="D1146" s="108" t="s">
        <v>342</v>
      </c>
      <c r="E1146" s="108" t="s">
        <v>86</v>
      </c>
      <c r="F1146" s="108" t="s">
        <v>742</v>
      </c>
      <c r="G1146" s="108" t="s">
        <v>29</v>
      </c>
      <c r="H1146" s="126">
        <v>0</v>
      </c>
      <c r="I1146" s="126">
        <v>0</v>
      </c>
      <c r="J1146" s="108">
        <v>7810010010</v>
      </c>
      <c r="K1146" s="108" t="str">
        <f t="shared" si="51"/>
        <v>7810010010</v>
      </c>
      <c r="L1146" s="303" t="str">
        <f t="shared" si="52"/>
        <v>61111057810010010240</v>
      </c>
      <c r="M1146" s="132" t="str">
        <f>INDEX('реш СГД № 265'!$A:$N,MATCH('БА расх 2019-2020'!$L1146,'реш СГД № 265'!$N:$N,0),3)</f>
        <v>Иные закупки товаров, работ и услуг для обеспечения государственных (муниципальных) нужд</v>
      </c>
      <c r="N1146" s="17">
        <f t="shared" si="53"/>
        <v>1</v>
      </c>
    </row>
    <row r="1147" spans="1:14" s="16" customFormat="1" ht="15.75">
      <c r="A1147" s="14"/>
      <c r="B1147" s="125" t="s">
        <v>30</v>
      </c>
      <c r="C1147" s="109" t="s">
        <v>406</v>
      </c>
      <c r="D1147" s="108" t="s">
        <v>342</v>
      </c>
      <c r="E1147" s="108" t="s">
        <v>86</v>
      </c>
      <c r="F1147" s="108" t="s">
        <v>742</v>
      </c>
      <c r="G1147" s="108" t="s">
        <v>31</v>
      </c>
      <c r="H1147" s="126">
        <v>0</v>
      </c>
      <c r="I1147" s="126">
        <v>0</v>
      </c>
      <c r="J1147" s="108">
        <v>7810010010</v>
      </c>
      <c r="K1147" s="108" t="str">
        <f t="shared" si="51"/>
        <v>7810010010</v>
      </c>
      <c r="L1147" s="303" t="str">
        <f t="shared" si="52"/>
        <v>61111057810010010244</v>
      </c>
      <c r="M1147" s="132"/>
      <c r="N1147" s="17">
        <f t="shared" si="53"/>
        <v>0</v>
      </c>
    </row>
    <row r="1148" spans="1:14" s="16" customFormat="1" ht="15.75">
      <c r="A1148" s="14"/>
      <c r="B1148" s="125" t="s">
        <v>32</v>
      </c>
      <c r="C1148" s="109" t="s">
        <v>406</v>
      </c>
      <c r="D1148" s="108" t="s">
        <v>342</v>
      </c>
      <c r="E1148" s="108" t="s">
        <v>86</v>
      </c>
      <c r="F1148" s="108" t="s">
        <v>742</v>
      </c>
      <c r="G1148" s="108" t="s">
        <v>33</v>
      </c>
      <c r="H1148" s="126">
        <v>0</v>
      </c>
      <c r="I1148" s="126">
        <v>0</v>
      </c>
      <c r="J1148" s="108">
        <v>7810010010</v>
      </c>
      <c r="K1148" s="108" t="str">
        <f t="shared" si="51"/>
        <v>7810010010</v>
      </c>
      <c r="L1148" s="303" t="str">
        <f t="shared" si="52"/>
        <v>61111057810010010850</v>
      </c>
      <c r="M1148" s="132" t="str">
        <f>INDEX('реш СГД № 265'!$A:$N,MATCH('БА расх 2019-2020'!$L1148,'реш СГД № 265'!$N:$N,0),3)</f>
        <v>Уплата налогов, сборов и иных платежей</v>
      </c>
      <c r="N1148" s="17">
        <f t="shared" si="53"/>
        <v>1</v>
      </c>
    </row>
    <row r="1149" spans="1:14" s="23" customFormat="1" ht="31.5">
      <c r="A1149" s="21"/>
      <c r="B1149" s="127" t="s">
        <v>34</v>
      </c>
      <c r="C1149" s="109" t="s">
        <v>406</v>
      </c>
      <c r="D1149" s="108" t="s">
        <v>342</v>
      </c>
      <c r="E1149" s="108" t="s">
        <v>86</v>
      </c>
      <c r="F1149" s="108" t="s">
        <v>742</v>
      </c>
      <c r="G1149" s="108" t="s">
        <v>35</v>
      </c>
      <c r="H1149" s="126">
        <v>0</v>
      </c>
      <c r="I1149" s="126">
        <v>0</v>
      </c>
      <c r="J1149" s="108">
        <v>7810010010</v>
      </c>
      <c r="K1149" s="108" t="str">
        <f t="shared" si="51"/>
        <v>7810010010</v>
      </c>
      <c r="L1149" s="303" t="str">
        <f t="shared" si="52"/>
        <v>61111057810010010851</v>
      </c>
      <c r="M1149" s="132"/>
      <c r="N1149" s="17">
        <f t="shared" si="53"/>
        <v>0</v>
      </c>
    </row>
    <row r="1150" spans="1:14" s="23" customFormat="1" ht="15.75">
      <c r="A1150" s="21"/>
      <c r="B1150" s="127" t="s">
        <v>36</v>
      </c>
      <c r="C1150" s="109" t="s">
        <v>406</v>
      </c>
      <c r="D1150" s="108" t="s">
        <v>342</v>
      </c>
      <c r="E1150" s="108" t="s">
        <v>86</v>
      </c>
      <c r="F1150" s="108" t="s">
        <v>742</v>
      </c>
      <c r="G1150" s="108" t="s">
        <v>37</v>
      </c>
      <c r="H1150" s="126">
        <v>0</v>
      </c>
      <c r="I1150" s="126">
        <v>0</v>
      </c>
      <c r="J1150" s="108">
        <v>7810010010</v>
      </c>
      <c r="K1150" s="108" t="str">
        <f t="shared" si="51"/>
        <v>7810010010</v>
      </c>
      <c r="L1150" s="303" t="str">
        <f t="shared" si="52"/>
        <v>61111057810010010852</v>
      </c>
      <c r="M1150" s="132"/>
      <c r="N1150" s="17">
        <f t="shared" si="53"/>
        <v>0</v>
      </c>
    </row>
    <row r="1151" spans="1:14" s="16" customFormat="1" ht="31.5">
      <c r="A1151" s="14"/>
      <c r="B1151" s="125" t="s">
        <v>38</v>
      </c>
      <c r="C1151" s="109" t="s">
        <v>406</v>
      </c>
      <c r="D1151" s="108" t="s">
        <v>342</v>
      </c>
      <c r="E1151" s="108" t="s">
        <v>86</v>
      </c>
      <c r="F1151" s="108" t="s">
        <v>743</v>
      </c>
      <c r="G1151" s="108" t="s">
        <v>9</v>
      </c>
      <c r="H1151" s="126">
        <v>0</v>
      </c>
      <c r="I1151" s="126">
        <v>0</v>
      </c>
      <c r="J1151" s="108">
        <v>7810010020</v>
      </c>
      <c r="K1151" s="108" t="str">
        <f t="shared" si="51"/>
        <v>7810010020</v>
      </c>
      <c r="L1151" s="303" t="str">
        <f t="shared" si="52"/>
        <v>61111057810010020000</v>
      </c>
      <c r="M1151" s="132" t="str">
        <f>INDEX('реш СГД № 265'!$A:$N,MATCH('БА расх 2019-2020'!$L1151,'реш СГД № 265'!$N:$N,0),3)</f>
        <v>Расходы на выплаты по оплате труда работников органов местного самоуправления города Ставрополя</v>
      </c>
      <c r="N1151" s="17">
        <f t="shared" si="53"/>
        <v>1</v>
      </c>
    </row>
    <row r="1152" spans="1:14" s="16" customFormat="1" ht="31.5">
      <c r="A1152" s="14"/>
      <c r="B1152" s="127" t="s">
        <v>20</v>
      </c>
      <c r="C1152" s="109" t="s">
        <v>406</v>
      </c>
      <c r="D1152" s="108" t="s">
        <v>342</v>
      </c>
      <c r="E1152" s="108" t="s">
        <v>86</v>
      </c>
      <c r="F1152" s="108" t="s">
        <v>743</v>
      </c>
      <c r="G1152" s="108" t="s">
        <v>21</v>
      </c>
      <c r="H1152" s="126">
        <v>0</v>
      </c>
      <c r="I1152" s="126">
        <v>0</v>
      </c>
      <c r="J1152" s="108">
        <v>7810010020</v>
      </c>
      <c r="K1152" s="108" t="str">
        <f t="shared" si="51"/>
        <v>7810010020</v>
      </c>
      <c r="L1152" s="303" t="str">
        <f t="shared" si="52"/>
        <v>61111057810010020120</v>
      </c>
      <c r="M1152" s="132" t="str">
        <f>INDEX('реш СГД № 265'!$A:$N,MATCH('БА расх 2019-2020'!$L1152,'реш СГД № 265'!$N:$N,0),3)</f>
        <v>Расходы на выплаты персоналу государственных (муниципальных) органов</v>
      </c>
      <c r="N1152" s="17">
        <f t="shared" si="53"/>
        <v>1</v>
      </c>
    </row>
    <row r="1153" spans="1:14" s="23" customFormat="1" ht="31.5">
      <c r="A1153" s="21"/>
      <c r="B1153" s="127" t="s">
        <v>40</v>
      </c>
      <c r="C1153" s="109" t="s">
        <v>406</v>
      </c>
      <c r="D1153" s="108" t="s">
        <v>342</v>
      </c>
      <c r="E1153" s="108" t="s">
        <v>86</v>
      </c>
      <c r="F1153" s="108" t="s">
        <v>743</v>
      </c>
      <c r="G1153" s="108" t="s">
        <v>41</v>
      </c>
      <c r="H1153" s="126">
        <v>0</v>
      </c>
      <c r="I1153" s="126">
        <v>0</v>
      </c>
      <c r="J1153" s="108">
        <v>7810010020</v>
      </c>
      <c r="K1153" s="108" t="str">
        <f t="shared" si="51"/>
        <v>7810010020</v>
      </c>
      <c r="L1153" s="303" t="str">
        <f t="shared" si="52"/>
        <v>61111057810010020121</v>
      </c>
      <c r="M1153" s="132"/>
      <c r="N1153" s="17">
        <f t="shared" si="53"/>
        <v>0</v>
      </c>
    </row>
    <row r="1154" spans="1:14" s="23" customFormat="1" ht="63">
      <c r="A1154" s="21"/>
      <c r="B1154" s="127" t="s">
        <v>26</v>
      </c>
      <c r="C1154" s="109" t="s">
        <v>406</v>
      </c>
      <c r="D1154" s="108" t="s">
        <v>342</v>
      </c>
      <c r="E1154" s="108" t="s">
        <v>86</v>
      </c>
      <c r="F1154" s="108" t="s">
        <v>743</v>
      </c>
      <c r="G1154" s="108" t="s">
        <v>27</v>
      </c>
      <c r="H1154" s="126">
        <v>0</v>
      </c>
      <c r="I1154" s="126">
        <v>0</v>
      </c>
      <c r="J1154" s="108">
        <v>7810010020</v>
      </c>
      <c r="K1154" s="108" t="str">
        <f t="shared" si="51"/>
        <v>7810010020</v>
      </c>
      <c r="L1154" s="303" t="str">
        <f t="shared" si="52"/>
        <v>61111057810010020129</v>
      </c>
      <c r="M1154" s="132"/>
      <c r="N1154" s="17">
        <f t="shared" si="53"/>
        <v>0</v>
      </c>
    </row>
    <row r="1155" spans="1:14" s="16" customFormat="1" ht="31.5">
      <c r="A1155" s="14"/>
      <c r="B1155" s="401" t="s">
        <v>136</v>
      </c>
      <c r="C1155" s="109" t="s">
        <v>406</v>
      </c>
      <c r="D1155" s="108" t="s">
        <v>342</v>
      </c>
      <c r="E1155" s="108" t="s">
        <v>86</v>
      </c>
      <c r="F1155" s="429" t="s">
        <v>744</v>
      </c>
      <c r="G1155" s="429" t="s">
        <v>9</v>
      </c>
      <c r="H1155" s="126">
        <v>0</v>
      </c>
      <c r="I1155" s="126">
        <v>0</v>
      </c>
      <c r="J1155" s="429">
        <v>7810011010</v>
      </c>
      <c r="K1155" s="108" t="str">
        <f t="shared" si="51"/>
        <v>7810011010</v>
      </c>
      <c r="L1155" s="303" t="str">
        <f t="shared" si="52"/>
        <v>61111057810011010000</v>
      </c>
      <c r="M1155" s="132" t="str">
        <f>INDEX('реш СГД № 265'!$A:$N,MATCH('БА расх 2019-2020'!$L1155,'реш СГД № 265'!$N:$N,0),3)</f>
        <v>Расходы на обеспечение деятельности (оказание услуг) муниципальных учреждений</v>
      </c>
      <c r="N1155" s="17">
        <f t="shared" si="53"/>
        <v>1</v>
      </c>
    </row>
    <row r="1156" spans="1:14" s="16" customFormat="1" ht="15.75">
      <c r="A1156" s="14"/>
      <c r="B1156" s="427" t="s">
        <v>138</v>
      </c>
      <c r="C1156" s="109" t="s">
        <v>406</v>
      </c>
      <c r="D1156" s="108" t="s">
        <v>342</v>
      </c>
      <c r="E1156" s="108" t="s">
        <v>86</v>
      </c>
      <c r="F1156" s="429" t="s">
        <v>744</v>
      </c>
      <c r="G1156" s="429" t="s">
        <v>139</v>
      </c>
      <c r="H1156" s="126">
        <v>0</v>
      </c>
      <c r="I1156" s="126">
        <v>0</v>
      </c>
      <c r="J1156" s="429">
        <v>7810011010</v>
      </c>
      <c r="K1156" s="108" t="str">
        <f t="shared" si="51"/>
        <v>7810011010</v>
      </c>
      <c r="L1156" s="303" t="str">
        <f t="shared" si="52"/>
        <v>61111057810011010110</v>
      </c>
      <c r="M1156" s="132" t="str">
        <f>INDEX('реш СГД № 265'!$A:$N,MATCH('БА расх 2019-2020'!$L1156,'реш СГД № 265'!$N:$N,0),3)</f>
        <v>Расходы на выплаты персоналу казенных учреждений</v>
      </c>
      <c r="N1156" s="17">
        <f t="shared" si="53"/>
        <v>1</v>
      </c>
    </row>
    <row r="1157" spans="1:14" s="23" customFormat="1" ht="15.75">
      <c r="A1157" s="21"/>
      <c r="B1157" s="127" t="s">
        <v>140</v>
      </c>
      <c r="C1157" s="109" t="s">
        <v>406</v>
      </c>
      <c r="D1157" s="108" t="s">
        <v>342</v>
      </c>
      <c r="E1157" s="108" t="s">
        <v>86</v>
      </c>
      <c r="F1157" s="429" t="s">
        <v>744</v>
      </c>
      <c r="G1157" s="429" t="s">
        <v>141</v>
      </c>
      <c r="H1157" s="126">
        <v>0</v>
      </c>
      <c r="I1157" s="126">
        <v>0</v>
      </c>
      <c r="J1157" s="429">
        <v>7810011010</v>
      </c>
      <c r="K1157" s="108" t="str">
        <f t="shared" si="51"/>
        <v>7810011010</v>
      </c>
      <c r="L1157" s="303" t="str">
        <f t="shared" si="52"/>
        <v>61111057810011010111</v>
      </c>
      <c r="M1157" s="132"/>
      <c r="N1157" s="17">
        <f t="shared" si="53"/>
        <v>0</v>
      </c>
    </row>
    <row r="1158" spans="1:14" s="23" customFormat="1" ht="47.25">
      <c r="A1158" s="21"/>
      <c r="B1158" s="127" t="s">
        <v>487</v>
      </c>
      <c r="C1158" s="109" t="s">
        <v>406</v>
      </c>
      <c r="D1158" s="108" t="s">
        <v>342</v>
      </c>
      <c r="E1158" s="108" t="s">
        <v>86</v>
      </c>
      <c r="F1158" s="429" t="s">
        <v>744</v>
      </c>
      <c r="G1158" s="429" t="s">
        <v>145</v>
      </c>
      <c r="H1158" s="126">
        <v>0</v>
      </c>
      <c r="I1158" s="126">
        <v>0</v>
      </c>
      <c r="J1158" s="429">
        <v>7810011010</v>
      </c>
      <c r="K1158" s="108" t="str">
        <f t="shared" si="51"/>
        <v>7810011010</v>
      </c>
      <c r="L1158" s="303" t="str">
        <f t="shared" si="52"/>
        <v>61111057810011010119</v>
      </c>
      <c r="M1158" s="132"/>
      <c r="N1158" s="17">
        <f t="shared" si="53"/>
        <v>0</v>
      </c>
    </row>
    <row r="1159" spans="1:14" s="16" customFormat="1" ht="31.5">
      <c r="A1159" s="14"/>
      <c r="B1159" s="125" t="s">
        <v>28</v>
      </c>
      <c r="C1159" s="109" t="s">
        <v>406</v>
      </c>
      <c r="D1159" s="108" t="s">
        <v>342</v>
      </c>
      <c r="E1159" s="108" t="s">
        <v>86</v>
      </c>
      <c r="F1159" s="429" t="s">
        <v>744</v>
      </c>
      <c r="G1159" s="429" t="s">
        <v>29</v>
      </c>
      <c r="H1159" s="126">
        <v>0</v>
      </c>
      <c r="I1159" s="126">
        <v>0</v>
      </c>
      <c r="J1159" s="429">
        <v>7810011010</v>
      </c>
      <c r="K1159" s="108" t="str">
        <f t="shared" si="51"/>
        <v>7810011010</v>
      </c>
      <c r="L1159" s="303" t="str">
        <f t="shared" si="52"/>
        <v>61111057810011010240</v>
      </c>
      <c r="M1159" s="132" t="str">
        <f>INDEX('реш СГД № 265'!$A:$N,MATCH('БА расх 2019-2020'!$L1159,'реш СГД № 265'!$N:$N,0),3)</f>
        <v>Иные закупки товаров, работ и услуг для обеспечения государственных (муниципальных) нужд</v>
      </c>
      <c r="N1159" s="17">
        <f t="shared" si="53"/>
        <v>1</v>
      </c>
    </row>
    <row r="1160" spans="1:14" s="16" customFormat="1" ht="15.75">
      <c r="A1160" s="14"/>
      <c r="B1160" s="125" t="s">
        <v>30</v>
      </c>
      <c r="C1160" s="109" t="s">
        <v>406</v>
      </c>
      <c r="D1160" s="108" t="s">
        <v>342</v>
      </c>
      <c r="E1160" s="108" t="s">
        <v>86</v>
      </c>
      <c r="F1160" s="429" t="s">
        <v>744</v>
      </c>
      <c r="G1160" s="429" t="s">
        <v>31</v>
      </c>
      <c r="H1160" s="126">
        <v>0</v>
      </c>
      <c r="I1160" s="126">
        <v>0</v>
      </c>
      <c r="J1160" s="429">
        <v>7810011010</v>
      </c>
      <c r="K1160" s="108" t="str">
        <f t="shared" si="51"/>
        <v>7810011010</v>
      </c>
      <c r="L1160" s="303" t="str">
        <f t="shared" si="52"/>
        <v>61111057810011010244</v>
      </c>
      <c r="M1160" s="132"/>
      <c r="N1160" s="17">
        <f t="shared" si="53"/>
        <v>0</v>
      </c>
    </row>
    <row r="1161" spans="1:14" s="16" customFormat="1" ht="15.75">
      <c r="A1161" s="14"/>
      <c r="B1161" s="127"/>
      <c r="C1161" s="109"/>
      <c r="D1161" s="108"/>
      <c r="E1161" s="108"/>
      <c r="F1161" s="108"/>
      <c r="G1161" s="108"/>
      <c r="H1161" s="126"/>
      <c r="I1161" s="126"/>
      <c r="J1161" s="108"/>
      <c r="K1161" s="108" t="str">
        <f t="shared" si="51"/>
        <v>0000000000</v>
      </c>
      <c r="L1161" s="303" t="str">
        <f t="shared" si="52"/>
        <v>0000000000</v>
      </c>
      <c r="M1161" s="132">
        <f>INDEX('реш СГД № 265'!$A:$N,MATCH('БА расх 2019-2020'!$L1161,'реш СГД № 265'!$N:$N,0),3)</f>
        <v>0</v>
      </c>
      <c r="N1161" s="17">
        <f t="shared" si="53"/>
        <v>1</v>
      </c>
    </row>
    <row r="1162" spans="1:14" s="16" customFormat="1" ht="31.5">
      <c r="A1162" s="14"/>
      <c r="B1162" s="67" t="s">
        <v>745</v>
      </c>
      <c r="C1162" s="116" t="s">
        <v>746</v>
      </c>
      <c r="D1162" s="69" t="s">
        <v>7</v>
      </c>
      <c r="E1162" s="69" t="s">
        <v>7</v>
      </c>
      <c r="F1162" s="69" t="s">
        <v>8</v>
      </c>
      <c r="G1162" s="69" t="s">
        <v>9</v>
      </c>
      <c r="H1162" s="70">
        <v>0</v>
      </c>
      <c r="I1162" s="70">
        <v>0</v>
      </c>
      <c r="J1162" s="69">
        <v>0</v>
      </c>
      <c r="K1162" s="108" t="str">
        <f t="shared" si="51"/>
        <v>0000000000</v>
      </c>
      <c r="L1162" s="303" t="str">
        <f t="shared" si="52"/>
        <v>61700000000000000000</v>
      </c>
      <c r="M1162" s="132" t="str">
        <f>INDEX('реш СГД № 265'!$A:$N,MATCH('БА расх 2019-2020'!$L1162,'реш СГД № 265'!$N:$N,0),3)</f>
        <v>Администрация Ленинского района города Ставрополя</v>
      </c>
      <c r="N1162" s="17">
        <f t="shared" si="53"/>
        <v>1</v>
      </c>
    </row>
    <row r="1163" spans="1:14" s="16" customFormat="1" ht="15.75">
      <c r="A1163" s="14"/>
      <c r="B1163" s="117" t="s">
        <v>10</v>
      </c>
      <c r="C1163" s="118" t="s">
        <v>746</v>
      </c>
      <c r="D1163" s="119" t="s">
        <v>11</v>
      </c>
      <c r="E1163" s="119" t="s">
        <v>7</v>
      </c>
      <c r="F1163" s="119" t="s">
        <v>8</v>
      </c>
      <c r="G1163" s="119" t="s">
        <v>9</v>
      </c>
      <c r="H1163" s="120">
        <v>0</v>
      </c>
      <c r="I1163" s="120">
        <v>0</v>
      </c>
      <c r="J1163" s="119">
        <v>0</v>
      </c>
      <c r="K1163" s="108" t="str">
        <f t="shared" si="51"/>
        <v>0000000000</v>
      </c>
      <c r="L1163" s="303" t="str">
        <f t="shared" si="52"/>
        <v>61701000000000000000</v>
      </c>
      <c r="M1163" s="132" t="str">
        <f>INDEX('реш СГД № 265'!$A:$N,MATCH('БА расх 2019-2020'!$L1163,'реш СГД № 265'!$N:$N,0),3)</f>
        <v>Общегосударственные вопросы</v>
      </c>
      <c r="N1163" s="17">
        <f t="shared" si="53"/>
        <v>1</v>
      </c>
    </row>
    <row r="1164" spans="1:14" s="16" customFormat="1" ht="63">
      <c r="A1164" s="14"/>
      <c r="B1164" s="121" t="s">
        <v>72</v>
      </c>
      <c r="C1164" s="122" t="s">
        <v>746</v>
      </c>
      <c r="D1164" s="123" t="s">
        <v>11</v>
      </c>
      <c r="E1164" s="123" t="s">
        <v>73</v>
      </c>
      <c r="F1164" s="123" t="s">
        <v>8</v>
      </c>
      <c r="G1164" s="123" t="s">
        <v>9</v>
      </c>
      <c r="H1164" s="124">
        <v>0</v>
      </c>
      <c r="I1164" s="124">
        <v>0</v>
      </c>
      <c r="J1164" s="123">
        <v>0</v>
      </c>
      <c r="K1164" s="108" t="str">
        <f t="shared" si="51"/>
        <v>0000000000</v>
      </c>
      <c r="L1164" s="303" t="str">
        <f t="shared" si="52"/>
        <v>61701040000000000000</v>
      </c>
      <c r="M1164" s="132" t="str">
        <f>INDEX('реш СГД № 265'!$A:$N,MATCH('БА расх 2019-2020'!$L1164,'реш СГД № 265'!$N:$N,0),3)</f>
        <v>Функционирование Правительства Российской Федерации, высших исполнительных органов государственной власти субъектов Российской Федерации, местных администраций</v>
      </c>
      <c r="N1164" s="17">
        <f t="shared" si="53"/>
        <v>1</v>
      </c>
    </row>
    <row r="1165" spans="1:14" s="16" customFormat="1" ht="31.5">
      <c r="A1165" s="14"/>
      <c r="B1165" s="140" t="s">
        <v>747</v>
      </c>
      <c r="C1165" s="130" t="s">
        <v>746</v>
      </c>
      <c r="D1165" s="131" t="s">
        <v>11</v>
      </c>
      <c r="E1165" s="131" t="s">
        <v>73</v>
      </c>
      <c r="F1165" s="131" t="s">
        <v>748</v>
      </c>
      <c r="G1165" s="131" t="s">
        <v>9</v>
      </c>
      <c r="H1165" s="105">
        <v>0</v>
      </c>
      <c r="I1165" s="105">
        <v>0</v>
      </c>
      <c r="J1165" s="131">
        <v>8000000000</v>
      </c>
      <c r="K1165" s="108" t="str">
        <f t="shared" ref="K1165:K1228" si="54">TEXT(J1165,"0000000000")</f>
        <v>8000000000</v>
      </c>
      <c r="L1165" s="303" t="str">
        <f t="shared" si="52"/>
        <v>61701048000000000000</v>
      </c>
      <c r="M1165" s="132" t="str">
        <f>INDEX('реш СГД № 265'!$A:$N,MATCH('БА расх 2019-2020'!$L1165,'реш СГД № 265'!$N:$N,0),3)</f>
        <v>Обеспечение деятельности администрации Ленинского района города Ставрополя</v>
      </c>
      <c r="N1165" s="17">
        <f t="shared" si="53"/>
        <v>1</v>
      </c>
    </row>
    <row r="1166" spans="1:14" s="16" customFormat="1" ht="47.25">
      <c r="A1166" s="14"/>
      <c r="B1166" s="140" t="s">
        <v>749</v>
      </c>
      <c r="C1166" s="130" t="s">
        <v>746</v>
      </c>
      <c r="D1166" s="131" t="s">
        <v>11</v>
      </c>
      <c r="E1166" s="131" t="s">
        <v>73</v>
      </c>
      <c r="F1166" s="131" t="s">
        <v>750</v>
      </c>
      <c r="G1166" s="131" t="s">
        <v>9</v>
      </c>
      <c r="H1166" s="105">
        <v>0</v>
      </c>
      <c r="I1166" s="105">
        <v>0</v>
      </c>
      <c r="J1166" s="131">
        <v>8010000000</v>
      </c>
      <c r="K1166" s="108" t="str">
        <f t="shared" si="54"/>
        <v>8010000000</v>
      </c>
      <c r="L1166" s="303" t="str">
        <f t="shared" ref="L1166:L1229" si="55">C1166&amp;D1166&amp;E1166&amp;K1166&amp;G1166</f>
        <v>61701048010000000000</v>
      </c>
      <c r="M1166" s="132" t="str">
        <f>INDEX('реш СГД № 265'!$A:$N,MATCH('БА расх 2019-2020'!$L1166,'реш СГД № 265'!$N:$N,0),3)</f>
        <v>Непрограммные расходы в рамках обеспечения деятельности администрации Ленинского района города Ставрополя</v>
      </c>
      <c r="N1166" s="17">
        <f t="shared" ref="N1166:N1229" si="56">IF(B1166=M1166,1,0)</f>
        <v>1</v>
      </c>
    </row>
    <row r="1167" spans="1:14" s="16" customFormat="1" ht="31.5">
      <c r="A1167" s="14"/>
      <c r="B1167" s="125" t="s">
        <v>18</v>
      </c>
      <c r="C1167" s="130" t="s">
        <v>746</v>
      </c>
      <c r="D1167" s="131" t="s">
        <v>11</v>
      </c>
      <c r="E1167" s="131" t="s">
        <v>73</v>
      </c>
      <c r="F1167" s="131" t="s">
        <v>751</v>
      </c>
      <c r="G1167" s="131" t="s">
        <v>9</v>
      </c>
      <c r="H1167" s="105">
        <v>0</v>
      </c>
      <c r="I1167" s="105">
        <v>0</v>
      </c>
      <c r="J1167" s="131">
        <v>8010010010</v>
      </c>
      <c r="K1167" s="108" t="str">
        <f t="shared" si="54"/>
        <v>8010010010</v>
      </c>
      <c r="L1167" s="303" t="str">
        <f t="shared" si="55"/>
        <v>61701048010010010000</v>
      </c>
      <c r="M1167" s="132" t="str">
        <f>INDEX('реш СГД № 265'!$A:$N,MATCH('БА расх 2019-2020'!$L1167,'реш СГД № 265'!$N:$N,0),3)</f>
        <v>Расходы на обеспечение функций органов местного самоуправления города Ставрополя</v>
      </c>
      <c r="N1167" s="17">
        <f t="shared" si="56"/>
        <v>1</v>
      </c>
    </row>
    <row r="1168" spans="1:14" s="16" customFormat="1" ht="31.5">
      <c r="A1168" s="14"/>
      <c r="B1168" s="127" t="s">
        <v>20</v>
      </c>
      <c r="C1168" s="130" t="s">
        <v>746</v>
      </c>
      <c r="D1168" s="131" t="s">
        <v>11</v>
      </c>
      <c r="E1168" s="131" t="s">
        <v>73</v>
      </c>
      <c r="F1168" s="131" t="s">
        <v>751</v>
      </c>
      <c r="G1168" s="131" t="s">
        <v>21</v>
      </c>
      <c r="H1168" s="126">
        <v>0</v>
      </c>
      <c r="I1168" s="126">
        <v>0</v>
      </c>
      <c r="J1168" s="131">
        <v>8010010010</v>
      </c>
      <c r="K1168" s="108" t="str">
        <f t="shared" si="54"/>
        <v>8010010010</v>
      </c>
      <c r="L1168" s="303" t="str">
        <f t="shared" si="55"/>
        <v>61701048010010010120</v>
      </c>
      <c r="M1168" s="132" t="str">
        <f>INDEX('реш СГД № 265'!$A:$N,MATCH('БА расх 2019-2020'!$L1168,'реш СГД № 265'!$N:$N,0),3)</f>
        <v>Расходы на выплаты персоналу государственных (муниципальных) органов</v>
      </c>
      <c r="N1168" s="17">
        <f t="shared" si="56"/>
        <v>1</v>
      </c>
    </row>
    <row r="1169" spans="1:14" s="23" customFormat="1" ht="47.25">
      <c r="A1169" s="21"/>
      <c r="B1169" s="127" t="s">
        <v>22</v>
      </c>
      <c r="C1169" s="130" t="s">
        <v>746</v>
      </c>
      <c r="D1169" s="131" t="s">
        <v>11</v>
      </c>
      <c r="E1169" s="131" t="s">
        <v>73</v>
      </c>
      <c r="F1169" s="131" t="s">
        <v>751</v>
      </c>
      <c r="G1169" s="108" t="s">
        <v>23</v>
      </c>
      <c r="H1169" s="126">
        <v>0</v>
      </c>
      <c r="I1169" s="126">
        <v>0</v>
      </c>
      <c r="J1169" s="131">
        <v>8010010010</v>
      </c>
      <c r="K1169" s="108" t="str">
        <f t="shared" si="54"/>
        <v>8010010010</v>
      </c>
      <c r="L1169" s="303" t="str">
        <f t="shared" si="55"/>
        <v>61701048010010010122</v>
      </c>
      <c r="M1169" s="132"/>
      <c r="N1169" s="17">
        <f t="shared" si="56"/>
        <v>0</v>
      </c>
    </row>
    <row r="1170" spans="1:14" s="23" customFormat="1" ht="63">
      <c r="A1170" s="21"/>
      <c r="B1170" s="127" t="s">
        <v>26</v>
      </c>
      <c r="C1170" s="130" t="s">
        <v>746</v>
      </c>
      <c r="D1170" s="131" t="s">
        <v>11</v>
      </c>
      <c r="E1170" s="131" t="s">
        <v>73</v>
      </c>
      <c r="F1170" s="131" t="s">
        <v>751</v>
      </c>
      <c r="G1170" s="108" t="s">
        <v>27</v>
      </c>
      <c r="H1170" s="126">
        <v>0</v>
      </c>
      <c r="I1170" s="126">
        <v>0</v>
      </c>
      <c r="J1170" s="131">
        <v>8010010010</v>
      </c>
      <c r="K1170" s="108" t="str">
        <f t="shared" si="54"/>
        <v>8010010010</v>
      </c>
      <c r="L1170" s="303" t="str">
        <f t="shared" si="55"/>
        <v>61701048010010010129</v>
      </c>
      <c r="M1170" s="132"/>
      <c r="N1170" s="17">
        <f t="shared" si="56"/>
        <v>0</v>
      </c>
    </row>
    <row r="1171" spans="1:14" s="16" customFormat="1" ht="31.5">
      <c r="A1171" s="14"/>
      <c r="B1171" s="125" t="s">
        <v>28</v>
      </c>
      <c r="C1171" s="130" t="s">
        <v>746</v>
      </c>
      <c r="D1171" s="131" t="s">
        <v>11</v>
      </c>
      <c r="E1171" s="131" t="s">
        <v>73</v>
      </c>
      <c r="F1171" s="131" t="s">
        <v>751</v>
      </c>
      <c r="G1171" s="131" t="s">
        <v>29</v>
      </c>
      <c r="H1171" s="126">
        <v>0</v>
      </c>
      <c r="I1171" s="126">
        <v>0</v>
      </c>
      <c r="J1171" s="131">
        <v>8010010010</v>
      </c>
      <c r="K1171" s="108" t="str">
        <f t="shared" si="54"/>
        <v>8010010010</v>
      </c>
      <c r="L1171" s="303" t="str">
        <f t="shared" si="55"/>
        <v>61701048010010010240</v>
      </c>
      <c r="M1171" s="132" t="str">
        <f>INDEX('реш СГД № 265'!$A:$N,MATCH('БА расх 2019-2020'!$L1171,'реш СГД № 265'!$N:$N,0),3)</f>
        <v>Иные закупки товаров, работ и услуг для обеспечения государственных (муниципальных) нужд</v>
      </c>
      <c r="N1171" s="17">
        <f t="shared" si="56"/>
        <v>1</v>
      </c>
    </row>
    <row r="1172" spans="1:14" s="16" customFormat="1" ht="15.75">
      <c r="A1172" s="14"/>
      <c r="B1172" s="125" t="s">
        <v>30</v>
      </c>
      <c r="C1172" s="130" t="s">
        <v>746</v>
      </c>
      <c r="D1172" s="131" t="s">
        <v>11</v>
      </c>
      <c r="E1172" s="131" t="s">
        <v>73</v>
      </c>
      <c r="F1172" s="131" t="s">
        <v>751</v>
      </c>
      <c r="G1172" s="131" t="s">
        <v>31</v>
      </c>
      <c r="H1172" s="126">
        <v>0</v>
      </c>
      <c r="I1172" s="126">
        <v>0</v>
      </c>
      <c r="J1172" s="131">
        <v>8010010010</v>
      </c>
      <c r="K1172" s="108" t="str">
        <f t="shared" si="54"/>
        <v>8010010010</v>
      </c>
      <c r="L1172" s="303" t="str">
        <f t="shared" si="55"/>
        <v>61701048010010010244</v>
      </c>
      <c r="M1172" s="132"/>
      <c r="N1172" s="17">
        <f t="shared" si="56"/>
        <v>0</v>
      </c>
    </row>
    <row r="1173" spans="1:14" s="16" customFormat="1" ht="15.75">
      <c r="A1173" s="14"/>
      <c r="B1173" s="125" t="s">
        <v>32</v>
      </c>
      <c r="C1173" s="130" t="s">
        <v>746</v>
      </c>
      <c r="D1173" s="131" t="s">
        <v>11</v>
      </c>
      <c r="E1173" s="131" t="s">
        <v>73</v>
      </c>
      <c r="F1173" s="131" t="s">
        <v>751</v>
      </c>
      <c r="G1173" s="131" t="s">
        <v>33</v>
      </c>
      <c r="H1173" s="126">
        <v>0</v>
      </c>
      <c r="I1173" s="126">
        <v>0</v>
      </c>
      <c r="J1173" s="131">
        <v>8010010010</v>
      </c>
      <c r="K1173" s="108" t="str">
        <f t="shared" si="54"/>
        <v>8010010010</v>
      </c>
      <c r="L1173" s="303" t="str">
        <f t="shared" si="55"/>
        <v>61701048010010010850</v>
      </c>
      <c r="M1173" s="132" t="str">
        <f>INDEX('реш СГД № 265'!$A:$N,MATCH('БА расх 2019-2020'!$L1173,'реш СГД № 265'!$N:$N,0),3)</f>
        <v>Уплата налогов, сборов и иных платежей</v>
      </c>
      <c r="N1173" s="17">
        <f t="shared" si="56"/>
        <v>1</v>
      </c>
    </row>
    <row r="1174" spans="1:14" s="23" customFormat="1" ht="31.5">
      <c r="A1174" s="21"/>
      <c r="B1174" s="127" t="s">
        <v>34</v>
      </c>
      <c r="C1174" s="130" t="s">
        <v>746</v>
      </c>
      <c r="D1174" s="131" t="s">
        <v>11</v>
      </c>
      <c r="E1174" s="131" t="s">
        <v>73</v>
      </c>
      <c r="F1174" s="131" t="s">
        <v>751</v>
      </c>
      <c r="G1174" s="108" t="s">
        <v>35</v>
      </c>
      <c r="H1174" s="126">
        <v>0</v>
      </c>
      <c r="I1174" s="126">
        <v>0</v>
      </c>
      <c r="J1174" s="131">
        <v>8010010010</v>
      </c>
      <c r="K1174" s="108" t="str">
        <f t="shared" si="54"/>
        <v>8010010010</v>
      </c>
      <c r="L1174" s="303" t="str">
        <f t="shared" si="55"/>
        <v>61701048010010010851</v>
      </c>
      <c r="M1174" s="132"/>
      <c r="N1174" s="17">
        <f t="shared" si="56"/>
        <v>0</v>
      </c>
    </row>
    <row r="1175" spans="1:14" s="23" customFormat="1" ht="15.75">
      <c r="A1175" s="21"/>
      <c r="B1175" s="127" t="s">
        <v>36</v>
      </c>
      <c r="C1175" s="130" t="s">
        <v>746</v>
      </c>
      <c r="D1175" s="131" t="s">
        <v>11</v>
      </c>
      <c r="E1175" s="131" t="s">
        <v>73</v>
      </c>
      <c r="F1175" s="131" t="s">
        <v>751</v>
      </c>
      <c r="G1175" s="108" t="s">
        <v>37</v>
      </c>
      <c r="H1175" s="126">
        <v>0</v>
      </c>
      <c r="I1175" s="126">
        <v>0</v>
      </c>
      <c r="J1175" s="131">
        <v>8010010010</v>
      </c>
      <c r="K1175" s="108" t="str">
        <f t="shared" si="54"/>
        <v>8010010010</v>
      </c>
      <c r="L1175" s="303" t="str">
        <f t="shared" si="55"/>
        <v>61701048010010010852</v>
      </c>
      <c r="M1175" s="132"/>
      <c r="N1175" s="17">
        <f t="shared" si="56"/>
        <v>0</v>
      </c>
    </row>
    <row r="1176" spans="1:14" s="16" customFormat="1" ht="31.5">
      <c r="A1176" s="14"/>
      <c r="B1176" s="125" t="s">
        <v>38</v>
      </c>
      <c r="C1176" s="130" t="s">
        <v>746</v>
      </c>
      <c r="D1176" s="131" t="s">
        <v>11</v>
      </c>
      <c r="E1176" s="131" t="s">
        <v>73</v>
      </c>
      <c r="F1176" s="131" t="s">
        <v>752</v>
      </c>
      <c r="G1176" s="131" t="s">
        <v>9</v>
      </c>
      <c r="H1176" s="126">
        <v>0</v>
      </c>
      <c r="I1176" s="126">
        <v>0</v>
      </c>
      <c r="J1176" s="131">
        <v>8010010020</v>
      </c>
      <c r="K1176" s="108" t="str">
        <f t="shared" si="54"/>
        <v>8010010020</v>
      </c>
      <c r="L1176" s="303" t="str">
        <f t="shared" si="55"/>
        <v>61701048010010020000</v>
      </c>
      <c r="M1176" s="132" t="str">
        <f>INDEX('реш СГД № 265'!$A:$N,MATCH('БА расх 2019-2020'!$L1176,'реш СГД № 265'!$N:$N,0),3)</f>
        <v>Расходы на выплаты по оплате труда работников органов местного самоуправления города Ставрополя</v>
      </c>
      <c r="N1176" s="17">
        <f t="shared" si="56"/>
        <v>1</v>
      </c>
    </row>
    <row r="1177" spans="1:14" s="16" customFormat="1" ht="31.5">
      <c r="A1177" s="14"/>
      <c r="B1177" s="127" t="s">
        <v>20</v>
      </c>
      <c r="C1177" s="130" t="s">
        <v>746</v>
      </c>
      <c r="D1177" s="131" t="s">
        <v>11</v>
      </c>
      <c r="E1177" s="131" t="s">
        <v>73</v>
      </c>
      <c r="F1177" s="131" t="s">
        <v>752</v>
      </c>
      <c r="G1177" s="131" t="s">
        <v>21</v>
      </c>
      <c r="H1177" s="126">
        <v>0</v>
      </c>
      <c r="I1177" s="126">
        <v>0</v>
      </c>
      <c r="J1177" s="131">
        <v>8010010020</v>
      </c>
      <c r="K1177" s="108" t="str">
        <f t="shared" si="54"/>
        <v>8010010020</v>
      </c>
      <c r="L1177" s="303" t="str">
        <f t="shared" si="55"/>
        <v>61701048010010020120</v>
      </c>
      <c r="M1177" s="132" t="str">
        <f>INDEX('реш СГД № 265'!$A:$N,MATCH('БА расх 2019-2020'!$L1177,'реш СГД № 265'!$N:$N,0),3)</f>
        <v>Расходы на выплаты персоналу государственных (муниципальных) органов</v>
      </c>
      <c r="N1177" s="17">
        <f t="shared" si="56"/>
        <v>1</v>
      </c>
    </row>
    <row r="1178" spans="1:14" s="23" customFormat="1" ht="31.5">
      <c r="A1178" s="21"/>
      <c r="B1178" s="127" t="s">
        <v>40</v>
      </c>
      <c r="C1178" s="130" t="s">
        <v>746</v>
      </c>
      <c r="D1178" s="131" t="s">
        <v>11</v>
      </c>
      <c r="E1178" s="131" t="s">
        <v>73</v>
      </c>
      <c r="F1178" s="131" t="s">
        <v>752</v>
      </c>
      <c r="G1178" s="108" t="s">
        <v>41</v>
      </c>
      <c r="H1178" s="126">
        <v>0</v>
      </c>
      <c r="I1178" s="126">
        <v>0</v>
      </c>
      <c r="J1178" s="131">
        <v>8010010020</v>
      </c>
      <c r="K1178" s="108" t="str">
        <f t="shared" si="54"/>
        <v>8010010020</v>
      </c>
      <c r="L1178" s="303" t="str">
        <f t="shared" si="55"/>
        <v>61701048010010020121</v>
      </c>
      <c r="M1178" s="132"/>
      <c r="N1178" s="17">
        <f t="shared" si="56"/>
        <v>0</v>
      </c>
    </row>
    <row r="1179" spans="1:14" s="23" customFormat="1" ht="63">
      <c r="A1179" s="21"/>
      <c r="B1179" s="127" t="s">
        <v>26</v>
      </c>
      <c r="C1179" s="130" t="s">
        <v>746</v>
      </c>
      <c r="D1179" s="131" t="s">
        <v>11</v>
      </c>
      <c r="E1179" s="131" t="s">
        <v>73</v>
      </c>
      <c r="F1179" s="131" t="s">
        <v>752</v>
      </c>
      <c r="G1179" s="108" t="s">
        <v>27</v>
      </c>
      <c r="H1179" s="126">
        <v>0</v>
      </c>
      <c r="I1179" s="126">
        <v>0</v>
      </c>
      <c r="J1179" s="131">
        <v>8010010020</v>
      </c>
      <c r="K1179" s="108" t="str">
        <f t="shared" si="54"/>
        <v>8010010020</v>
      </c>
      <c r="L1179" s="303" t="str">
        <f t="shared" si="55"/>
        <v>61701048010010020129</v>
      </c>
      <c r="M1179" s="132"/>
      <c r="N1179" s="17">
        <f t="shared" si="56"/>
        <v>0</v>
      </c>
    </row>
    <row r="1180" spans="1:14" s="16" customFormat="1" ht="63">
      <c r="A1180" s="14" t="s">
        <v>80</v>
      </c>
      <c r="B1180" s="150" t="s">
        <v>488</v>
      </c>
      <c r="C1180" s="130" t="s">
        <v>746</v>
      </c>
      <c r="D1180" s="131" t="s">
        <v>11</v>
      </c>
      <c r="E1180" s="131" t="s">
        <v>73</v>
      </c>
      <c r="F1180" s="131" t="s">
        <v>753</v>
      </c>
      <c r="G1180" s="131" t="s">
        <v>9</v>
      </c>
      <c r="H1180" s="126">
        <v>0</v>
      </c>
      <c r="I1180" s="126">
        <v>0</v>
      </c>
      <c r="J1180" s="131">
        <v>8010076200</v>
      </c>
      <c r="K1180" s="108" t="str">
        <f t="shared" si="54"/>
        <v>8010076200</v>
      </c>
      <c r="L1180" s="303" t="str">
        <f t="shared" si="55"/>
        <v>61701048010076200000</v>
      </c>
      <c r="M1180" s="132" t="str">
        <f>INDEX('реш СГД № 265'!$A:$N,MATCH('БА расх 2019-2020'!$L1180,'реш СГД № 265'!$N:$N,0),3)</f>
        <v>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v>
      </c>
      <c r="N1180" s="17">
        <f t="shared" si="56"/>
        <v>1</v>
      </c>
    </row>
    <row r="1181" spans="1:14" s="16" customFormat="1" ht="31.5">
      <c r="A1181" s="14"/>
      <c r="B1181" s="129" t="s">
        <v>20</v>
      </c>
      <c r="C1181" s="130" t="s">
        <v>746</v>
      </c>
      <c r="D1181" s="131" t="s">
        <v>11</v>
      </c>
      <c r="E1181" s="131" t="s">
        <v>73</v>
      </c>
      <c r="F1181" s="131" t="s">
        <v>753</v>
      </c>
      <c r="G1181" s="131" t="s">
        <v>21</v>
      </c>
      <c r="H1181" s="126">
        <v>0</v>
      </c>
      <c r="I1181" s="126">
        <v>0</v>
      </c>
      <c r="J1181" s="131">
        <v>8010076200</v>
      </c>
      <c r="K1181" s="108" t="str">
        <f t="shared" si="54"/>
        <v>8010076200</v>
      </c>
      <c r="L1181" s="303" t="str">
        <f t="shared" si="55"/>
        <v>61701048010076200120</v>
      </c>
      <c r="M1181" s="132" t="str">
        <f>INDEX('реш СГД № 265'!$A:$N,MATCH('БА расх 2019-2020'!$L1181,'реш СГД № 265'!$N:$N,0),3)</f>
        <v>Расходы на выплаты персоналу государственных (муниципальных) органов</v>
      </c>
      <c r="N1181" s="17">
        <f t="shared" si="56"/>
        <v>1</v>
      </c>
    </row>
    <row r="1182" spans="1:14" s="23" customFormat="1" ht="31.5">
      <c r="A1182" s="21"/>
      <c r="B1182" s="127" t="s">
        <v>40</v>
      </c>
      <c r="C1182" s="130" t="s">
        <v>746</v>
      </c>
      <c r="D1182" s="131" t="s">
        <v>11</v>
      </c>
      <c r="E1182" s="131" t="s">
        <v>73</v>
      </c>
      <c r="F1182" s="131" t="s">
        <v>753</v>
      </c>
      <c r="G1182" s="108" t="s">
        <v>41</v>
      </c>
      <c r="H1182" s="126">
        <v>0</v>
      </c>
      <c r="I1182" s="126">
        <v>0</v>
      </c>
      <c r="J1182" s="131">
        <v>8010076200</v>
      </c>
      <c r="K1182" s="108" t="str">
        <f t="shared" si="54"/>
        <v>8010076200</v>
      </c>
      <c r="L1182" s="303" t="str">
        <f t="shared" si="55"/>
        <v>61701048010076200121</v>
      </c>
      <c r="M1182" s="132"/>
      <c r="N1182" s="17">
        <f t="shared" si="56"/>
        <v>0</v>
      </c>
    </row>
    <row r="1183" spans="1:14" s="23" customFormat="1" ht="47.25">
      <c r="A1183" s="21"/>
      <c r="B1183" s="127" t="s">
        <v>22</v>
      </c>
      <c r="C1183" s="130" t="s">
        <v>746</v>
      </c>
      <c r="D1183" s="131" t="s">
        <v>11</v>
      </c>
      <c r="E1183" s="131" t="s">
        <v>73</v>
      </c>
      <c r="F1183" s="131" t="s">
        <v>753</v>
      </c>
      <c r="G1183" s="108" t="s">
        <v>23</v>
      </c>
      <c r="H1183" s="126">
        <v>0</v>
      </c>
      <c r="I1183" s="126">
        <v>0</v>
      </c>
      <c r="J1183" s="131">
        <v>8010076200</v>
      </c>
      <c r="K1183" s="108" t="str">
        <f t="shared" si="54"/>
        <v>8010076200</v>
      </c>
      <c r="L1183" s="303" t="str">
        <f t="shared" si="55"/>
        <v>61701048010076200122</v>
      </c>
      <c r="M1183" s="132"/>
      <c r="N1183" s="17">
        <f t="shared" si="56"/>
        <v>0</v>
      </c>
    </row>
    <row r="1184" spans="1:14" s="23" customFormat="1" ht="63">
      <c r="A1184" s="21"/>
      <c r="B1184" s="127" t="s">
        <v>26</v>
      </c>
      <c r="C1184" s="130" t="s">
        <v>746</v>
      </c>
      <c r="D1184" s="131" t="s">
        <v>11</v>
      </c>
      <c r="E1184" s="131" t="s">
        <v>73</v>
      </c>
      <c r="F1184" s="131" t="s">
        <v>753</v>
      </c>
      <c r="G1184" s="108" t="s">
        <v>27</v>
      </c>
      <c r="H1184" s="126">
        <v>0</v>
      </c>
      <c r="I1184" s="126">
        <v>0</v>
      </c>
      <c r="J1184" s="131">
        <v>8010076200</v>
      </c>
      <c r="K1184" s="108" t="str">
        <f t="shared" si="54"/>
        <v>8010076200</v>
      </c>
      <c r="L1184" s="303" t="str">
        <f t="shared" si="55"/>
        <v>61701048010076200129</v>
      </c>
      <c r="M1184" s="132"/>
      <c r="N1184" s="17">
        <f t="shared" si="56"/>
        <v>0</v>
      </c>
    </row>
    <row r="1185" spans="1:14" s="16" customFormat="1" ht="31.5">
      <c r="A1185" s="14"/>
      <c r="B1185" s="125" t="s">
        <v>28</v>
      </c>
      <c r="C1185" s="130" t="s">
        <v>746</v>
      </c>
      <c r="D1185" s="131" t="s">
        <v>11</v>
      </c>
      <c r="E1185" s="131" t="s">
        <v>73</v>
      </c>
      <c r="F1185" s="131" t="s">
        <v>753</v>
      </c>
      <c r="G1185" s="131" t="s">
        <v>29</v>
      </c>
      <c r="H1185" s="126">
        <v>0</v>
      </c>
      <c r="I1185" s="126">
        <v>0</v>
      </c>
      <c r="J1185" s="131">
        <v>8010076200</v>
      </c>
      <c r="K1185" s="108" t="str">
        <f t="shared" si="54"/>
        <v>8010076200</v>
      </c>
      <c r="L1185" s="303" t="str">
        <f t="shared" si="55"/>
        <v>61701048010076200240</v>
      </c>
      <c r="M1185" s="132" t="str">
        <f>INDEX('реш СГД № 265'!$A:$N,MATCH('БА расх 2019-2020'!$L1185,'реш СГД № 265'!$N:$N,0),3)</f>
        <v>Иные закупки товаров, работ и услуг для обеспечения государственных (муниципальных) нужд</v>
      </c>
      <c r="N1185" s="17">
        <f t="shared" si="56"/>
        <v>1</v>
      </c>
    </row>
    <row r="1186" spans="1:14" s="16" customFormat="1" ht="15.75">
      <c r="A1186" s="14"/>
      <c r="B1186" s="125" t="s">
        <v>30</v>
      </c>
      <c r="C1186" s="130" t="s">
        <v>746</v>
      </c>
      <c r="D1186" s="131" t="s">
        <v>11</v>
      </c>
      <c r="E1186" s="131" t="s">
        <v>73</v>
      </c>
      <c r="F1186" s="131" t="s">
        <v>753</v>
      </c>
      <c r="G1186" s="131" t="s">
        <v>31</v>
      </c>
      <c r="H1186" s="126">
        <v>0</v>
      </c>
      <c r="I1186" s="126">
        <v>0</v>
      </c>
      <c r="J1186" s="131">
        <v>8010076200</v>
      </c>
      <c r="K1186" s="108" t="str">
        <f t="shared" si="54"/>
        <v>8010076200</v>
      </c>
      <c r="L1186" s="303" t="str">
        <f t="shared" si="55"/>
        <v>61701048010076200244</v>
      </c>
      <c r="M1186" s="132"/>
      <c r="N1186" s="17">
        <f t="shared" si="56"/>
        <v>0</v>
      </c>
    </row>
    <row r="1187" spans="1:14" s="16" customFormat="1" ht="63">
      <c r="A1187" s="14" t="s">
        <v>80</v>
      </c>
      <c r="B1187" s="129" t="s">
        <v>754</v>
      </c>
      <c r="C1187" s="130" t="s">
        <v>746</v>
      </c>
      <c r="D1187" s="131" t="s">
        <v>11</v>
      </c>
      <c r="E1187" s="131" t="s">
        <v>73</v>
      </c>
      <c r="F1187" s="131" t="s">
        <v>755</v>
      </c>
      <c r="G1187" s="131" t="s">
        <v>9</v>
      </c>
      <c r="H1187" s="105">
        <v>0</v>
      </c>
      <c r="I1187" s="105">
        <v>0</v>
      </c>
      <c r="J1187" s="131">
        <v>8010076360</v>
      </c>
      <c r="K1187" s="108" t="str">
        <f t="shared" si="54"/>
        <v>8010076360</v>
      </c>
      <c r="L1187" s="303" t="str">
        <f t="shared" si="55"/>
        <v>61701048010076360000</v>
      </c>
      <c r="M1187" s="132" t="str">
        <f>INDEX('реш СГД № 265'!$A:$N,MATCH('БА расх 2019-2020'!$L1187,'реш СГД № 265'!$N:$N,0),3)</f>
        <v>Расходы на осуществление переданных государственных полномочий Ставропольского края по созданию и организации деятельности комиссий по делам несовершеннолетних и защите их прав</v>
      </c>
      <c r="N1187" s="17">
        <f t="shared" si="56"/>
        <v>1</v>
      </c>
    </row>
    <row r="1188" spans="1:14" s="16" customFormat="1" ht="31.5">
      <c r="A1188" s="14"/>
      <c r="B1188" s="125" t="s">
        <v>28</v>
      </c>
      <c r="C1188" s="130" t="s">
        <v>746</v>
      </c>
      <c r="D1188" s="131" t="s">
        <v>11</v>
      </c>
      <c r="E1188" s="131" t="s">
        <v>73</v>
      </c>
      <c r="F1188" s="131" t="s">
        <v>755</v>
      </c>
      <c r="G1188" s="131" t="s">
        <v>29</v>
      </c>
      <c r="H1188" s="126">
        <v>0</v>
      </c>
      <c r="I1188" s="126">
        <v>0</v>
      </c>
      <c r="J1188" s="131">
        <v>8010076360</v>
      </c>
      <c r="K1188" s="108" t="str">
        <f t="shared" si="54"/>
        <v>8010076360</v>
      </c>
      <c r="L1188" s="303" t="str">
        <f t="shared" si="55"/>
        <v>61701048010076360240</v>
      </c>
      <c r="M1188" s="132" t="str">
        <f>INDEX('реш СГД № 265'!$A:$N,MATCH('БА расх 2019-2020'!$L1188,'реш СГД № 265'!$N:$N,0),3)</f>
        <v>Иные закупки товаров, работ и услуг для обеспечения государственных (муниципальных) нужд</v>
      </c>
      <c r="N1188" s="17">
        <f t="shared" si="56"/>
        <v>1</v>
      </c>
    </row>
    <row r="1189" spans="1:14" s="16" customFormat="1" ht="15.75">
      <c r="A1189" s="14"/>
      <c r="B1189" s="125" t="s">
        <v>30</v>
      </c>
      <c r="C1189" s="130" t="s">
        <v>746</v>
      </c>
      <c r="D1189" s="131" t="s">
        <v>11</v>
      </c>
      <c r="E1189" s="131" t="s">
        <v>73</v>
      </c>
      <c r="F1189" s="131" t="s">
        <v>755</v>
      </c>
      <c r="G1189" s="131" t="s">
        <v>31</v>
      </c>
      <c r="H1189" s="126">
        <v>0</v>
      </c>
      <c r="I1189" s="126">
        <v>0</v>
      </c>
      <c r="J1189" s="131">
        <v>8010076360</v>
      </c>
      <c r="K1189" s="108" t="str">
        <f t="shared" si="54"/>
        <v>8010076360</v>
      </c>
      <c r="L1189" s="303" t="str">
        <f t="shared" si="55"/>
        <v>61701048010076360244</v>
      </c>
      <c r="M1189" s="132"/>
      <c r="N1189" s="17">
        <f t="shared" si="56"/>
        <v>0</v>
      </c>
    </row>
    <row r="1190" spans="1:14" s="16" customFormat="1" ht="15.75">
      <c r="A1190" s="14"/>
      <c r="B1190" s="121" t="s">
        <v>50</v>
      </c>
      <c r="C1190" s="122" t="s">
        <v>746</v>
      </c>
      <c r="D1190" s="123" t="s">
        <v>11</v>
      </c>
      <c r="E1190" s="123" t="s">
        <v>51</v>
      </c>
      <c r="F1190" s="123" t="s">
        <v>8</v>
      </c>
      <c r="G1190" s="123" t="s">
        <v>9</v>
      </c>
      <c r="H1190" s="124">
        <v>0</v>
      </c>
      <c r="I1190" s="124">
        <v>0</v>
      </c>
      <c r="J1190" s="123">
        <v>0</v>
      </c>
      <c r="K1190" s="108" t="str">
        <f t="shared" si="54"/>
        <v>0000000000</v>
      </c>
      <c r="L1190" s="303" t="str">
        <f t="shared" si="55"/>
        <v>61701130000000000000</v>
      </c>
      <c r="M1190" s="132" t="str">
        <f>INDEX('реш СГД № 265'!$A:$N,MATCH('БА расх 2019-2020'!$L1190,'реш СГД № 265'!$N:$N,0),3)</f>
        <v>Другие общегосударственные вопросы</v>
      </c>
      <c r="N1190" s="17">
        <f t="shared" si="56"/>
        <v>1</v>
      </c>
    </row>
    <row r="1191" spans="1:14" s="16" customFormat="1" ht="63">
      <c r="A1191" s="14"/>
      <c r="B1191" s="132" t="s">
        <v>257</v>
      </c>
      <c r="C1191" s="130" t="s">
        <v>746</v>
      </c>
      <c r="D1191" s="131" t="s">
        <v>11</v>
      </c>
      <c r="E1191" s="131" t="s">
        <v>51</v>
      </c>
      <c r="F1191" s="131" t="s">
        <v>258</v>
      </c>
      <c r="G1191" s="131" t="s">
        <v>9</v>
      </c>
      <c r="H1191" s="105">
        <v>0</v>
      </c>
      <c r="I1191" s="105">
        <v>0</v>
      </c>
      <c r="J1191" s="131">
        <v>1100000000</v>
      </c>
      <c r="K1191" s="108" t="str">
        <f t="shared" si="54"/>
        <v>1100000000</v>
      </c>
      <c r="L1191" s="303" t="str">
        <f t="shared" si="55"/>
        <v>61701131100000000000</v>
      </c>
      <c r="M1191" s="132" t="str">
        <f>INDEX('реш СГД № 265'!$A:$N,MATCH('БА расх 2019-2020'!$L1191,'реш СГД № 265'!$N:$N,0),3)</f>
        <v>Муниципальная программа  «Управление и распоряжение имуществом, находящимся в муниципальной собственности города Ставрополя, в том числе земельными ресурсами»</v>
      </c>
      <c r="N1191" s="17">
        <f t="shared" si="56"/>
        <v>1</v>
      </c>
    </row>
    <row r="1192" spans="1:14" s="16" customFormat="1" ht="78.75">
      <c r="A1192" s="14"/>
      <c r="B1192" s="132" t="s">
        <v>259</v>
      </c>
      <c r="C1192" s="109" t="s">
        <v>746</v>
      </c>
      <c r="D1192" s="131" t="s">
        <v>11</v>
      </c>
      <c r="E1192" s="131" t="s">
        <v>51</v>
      </c>
      <c r="F1192" s="131" t="s">
        <v>260</v>
      </c>
      <c r="G1192" s="131" t="s">
        <v>9</v>
      </c>
      <c r="H1192" s="105">
        <v>0</v>
      </c>
      <c r="I1192" s="105">
        <v>0</v>
      </c>
      <c r="J1192" s="131" t="s">
        <v>1171</v>
      </c>
      <c r="K1192" s="108" t="str">
        <f t="shared" si="54"/>
        <v>11Б0000000</v>
      </c>
      <c r="L1192" s="303" t="str">
        <f t="shared" si="55"/>
        <v>617011311Б0000000000</v>
      </c>
      <c r="M1192" s="132" t="str">
        <f>INDEX('реш СГД № 265'!$A:$N,MATCH('БА расх 2019-2020'!$L1192,'реш СГД № 265'!$N:$N,0),3)</f>
        <v>Расходы в рамках реализации муниципальной программы «Управление и распоряжение  имуществом, находящимся в муниципальной собственности города Ставрополя, в том числе земельными ресурсами»</v>
      </c>
      <c r="N1192" s="17">
        <f t="shared" si="56"/>
        <v>1</v>
      </c>
    </row>
    <row r="1193" spans="1:14" s="16" customFormat="1" ht="47.25">
      <c r="A1193" s="14"/>
      <c r="B1193" s="125" t="s">
        <v>261</v>
      </c>
      <c r="C1193" s="109" t="s">
        <v>746</v>
      </c>
      <c r="D1193" s="131" t="s">
        <v>11</v>
      </c>
      <c r="E1193" s="131" t="s">
        <v>51</v>
      </c>
      <c r="F1193" s="131" t="s">
        <v>262</v>
      </c>
      <c r="G1193" s="131" t="s">
        <v>9</v>
      </c>
      <c r="H1193" s="105">
        <v>0</v>
      </c>
      <c r="I1193" s="105">
        <v>0</v>
      </c>
      <c r="J1193" s="131" t="s">
        <v>1172</v>
      </c>
      <c r="K1193" s="108" t="str">
        <f t="shared" si="54"/>
        <v>11Б0100000</v>
      </c>
      <c r="L1193" s="303" t="str">
        <f t="shared" si="55"/>
        <v>617011311Б0100000000</v>
      </c>
      <c r="M1193" s="132" t="str">
        <f>INDEX('реш СГД № 265'!$A:$N,MATCH('БА расх 2019-2020'!$L1193,'реш СГД № 265'!$N:$N,0),3)</f>
        <v>Основное мероприятие «Управление и распоряжение объектами недвижимого имущества, находящимися в муниципальной собственности города Ставрополя»</v>
      </c>
      <c r="N1193" s="17">
        <f t="shared" si="56"/>
        <v>1</v>
      </c>
    </row>
    <row r="1194" spans="1:14" s="16" customFormat="1" ht="31.5">
      <c r="A1194" s="14"/>
      <c r="B1194" s="125" t="s">
        <v>756</v>
      </c>
      <c r="C1194" s="109" t="s">
        <v>746</v>
      </c>
      <c r="D1194" s="131" t="s">
        <v>11</v>
      </c>
      <c r="E1194" s="131" t="s">
        <v>51</v>
      </c>
      <c r="F1194" s="131" t="s">
        <v>757</v>
      </c>
      <c r="G1194" s="131" t="s">
        <v>9</v>
      </c>
      <c r="H1194" s="105">
        <v>0</v>
      </c>
      <c r="I1194" s="105">
        <v>0</v>
      </c>
      <c r="J1194" s="131" t="s">
        <v>1230</v>
      </c>
      <c r="K1194" s="108" t="str">
        <f t="shared" si="54"/>
        <v>11Б0120840</v>
      </c>
      <c r="L1194" s="303" t="str">
        <f t="shared" si="55"/>
        <v>617011311Б0120840000</v>
      </c>
      <c r="M1194" s="132" t="str">
        <f>INDEX('реш СГД № 265'!$A:$N,MATCH('БА расх 2019-2020'!$L1194,'реш СГД № 265'!$N:$N,0),3)</f>
        <v>Расходы на содержание объектов муниципальной казны города Ставрополя в части жилых помещений</v>
      </c>
      <c r="N1194" s="17">
        <f t="shared" si="56"/>
        <v>1</v>
      </c>
    </row>
    <row r="1195" spans="1:14" s="16" customFormat="1" ht="31.5">
      <c r="A1195" s="14"/>
      <c r="B1195" s="125" t="s">
        <v>28</v>
      </c>
      <c r="C1195" s="109" t="s">
        <v>746</v>
      </c>
      <c r="D1195" s="131" t="s">
        <v>11</v>
      </c>
      <c r="E1195" s="131" t="s">
        <v>51</v>
      </c>
      <c r="F1195" s="131" t="s">
        <v>757</v>
      </c>
      <c r="G1195" s="131" t="s">
        <v>29</v>
      </c>
      <c r="H1195" s="126">
        <v>0</v>
      </c>
      <c r="I1195" s="126">
        <v>0</v>
      </c>
      <c r="J1195" s="131" t="s">
        <v>1230</v>
      </c>
      <c r="K1195" s="108" t="str">
        <f t="shared" si="54"/>
        <v>11Б0120840</v>
      </c>
      <c r="L1195" s="303" t="str">
        <f t="shared" si="55"/>
        <v>617011311Б0120840240</v>
      </c>
      <c r="M1195" s="132" t="str">
        <f>INDEX('реш СГД № 265'!$A:$N,MATCH('БА расх 2019-2020'!$L1195,'реш СГД № 265'!$N:$N,0),3)</f>
        <v>Иные закупки товаров, работ и услуг для обеспечения государственных (муниципальных) нужд</v>
      </c>
      <c r="N1195" s="17">
        <f t="shared" si="56"/>
        <v>1</v>
      </c>
    </row>
    <row r="1196" spans="1:14" s="16" customFormat="1" ht="15.75">
      <c r="A1196" s="14"/>
      <c r="B1196" s="125" t="s">
        <v>30</v>
      </c>
      <c r="C1196" s="109" t="s">
        <v>746</v>
      </c>
      <c r="D1196" s="131" t="s">
        <v>11</v>
      </c>
      <c r="E1196" s="131" t="s">
        <v>51</v>
      </c>
      <c r="F1196" s="131" t="s">
        <v>757</v>
      </c>
      <c r="G1196" s="131" t="s">
        <v>31</v>
      </c>
      <c r="H1196" s="126">
        <v>0</v>
      </c>
      <c r="I1196" s="126">
        <v>0</v>
      </c>
      <c r="J1196" s="131" t="s">
        <v>1230</v>
      </c>
      <c r="K1196" s="108" t="str">
        <f t="shared" si="54"/>
        <v>11Б0120840</v>
      </c>
      <c r="L1196" s="303" t="str">
        <f t="shared" si="55"/>
        <v>617011311Б0120840244</v>
      </c>
      <c r="M1196" s="132"/>
      <c r="N1196" s="17">
        <f t="shared" si="56"/>
        <v>0</v>
      </c>
    </row>
    <row r="1197" spans="1:14" s="16" customFormat="1" ht="31.5">
      <c r="A1197" s="14"/>
      <c r="B1197" s="125" t="s">
        <v>267</v>
      </c>
      <c r="C1197" s="109" t="s">
        <v>746</v>
      </c>
      <c r="D1197" s="108" t="s">
        <v>11</v>
      </c>
      <c r="E1197" s="108" t="s">
        <v>51</v>
      </c>
      <c r="F1197" s="14" t="s">
        <v>268</v>
      </c>
      <c r="G1197" s="108" t="s">
        <v>9</v>
      </c>
      <c r="H1197" s="126">
        <v>0</v>
      </c>
      <c r="I1197" s="126">
        <v>0</v>
      </c>
      <c r="J1197" s="14" t="s">
        <v>1175</v>
      </c>
      <c r="K1197" s="108" t="str">
        <f t="shared" si="54"/>
        <v>11Б0121120</v>
      </c>
      <c r="L1197" s="303" t="str">
        <f t="shared" si="55"/>
        <v>617011311Б0121120000</v>
      </c>
      <c r="M1197" s="132" t="str">
        <f>INDEX('реш СГД № 265'!$A:$N,MATCH('БА расх 2019-2020'!$L1197,'реш СГД № 265'!$N:$N,0),3)</f>
        <v>Расходы на уплату взносов на капитальный ремонт общего имущества в многоквартирных домах</v>
      </c>
      <c r="N1197" s="17">
        <f t="shared" si="56"/>
        <v>1</v>
      </c>
    </row>
    <row r="1198" spans="1:14" s="16" customFormat="1" ht="31.5">
      <c r="A1198" s="14"/>
      <c r="B1198" s="125" t="s">
        <v>28</v>
      </c>
      <c r="C1198" s="109" t="s">
        <v>746</v>
      </c>
      <c r="D1198" s="108" t="s">
        <v>11</v>
      </c>
      <c r="E1198" s="108" t="s">
        <v>51</v>
      </c>
      <c r="F1198" s="14" t="s">
        <v>268</v>
      </c>
      <c r="G1198" s="108" t="s">
        <v>29</v>
      </c>
      <c r="H1198" s="126">
        <v>0</v>
      </c>
      <c r="I1198" s="126">
        <v>0</v>
      </c>
      <c r="J1198" s="14" t="s">
        <v>1175</v>
      </c>
      <c r="K1198" s="108" t="str">
        <f t="shared" si="54"/>
        <v>11Б0121120</v>
      </c>
      <c r="L1198" s="303" t="str">
        <f t="shared" si="55"/>
        <v>617011311Б0121120240</v>
      </c>
      <c r="M1198" s="132" t="str">
        <f>INDEX('реш СГД № 265'!$A:$N,MATCH('БА расх 2019-2020'!$L1198,'реш СГД № 265'!$N:$N,0),3)</f>
        <v>Иные закупки товаров, работ и услуг для обеспечения государственных (муниципальных) нужд</v>
      </c>
      <c r="N1198" s="17">
        <f t="shared" si="56"/>
        <v>1</v>
      </c>
    </row>
    <row r="1199" spans="1:14" s="16" customFormat="1" ht="15.75">
      <c r="A1199" s="14"/>
      <c r="B1199" s="125" t="s">
        <v>30</v>
      </c>
      <c r="C1199" s="109" t="s">
        <v>746</v>
      </c>
      <c r="D1199" s="108" t="s">
        <v>11</v>
      </c>
      <c r="E1199" s="108" t="s">
        <v>51</v>
      </c>
      <c r="F1199" s="14" t="s">
        <v>268</v>
      </c>
      <c r="G1199" s="108" t="s">
        <v>31</v>
      </c>
      <c r="H1199" s="126">
        <v>0</v>
      </c>
      <c r="I1199" s="126">
        <v>0</v>
      </c>
      <c r="J1199" s="14" t="s">
        <v>1175</v>
      </c>
      <c r="K1199" s="108" t="str">
        <f t="shared" si="54"/>
        <v>11Б0121120</v>
      </c>
      <c r="L1199" s="303" t="str">
        <f t="shared" si="55"/>
        <v>617011311Б0121120244</v>
      </c>
      <c r="M1199" s="132"/>
      <c r="N1199" s="17">
        <f t="shared" si="56"/>
        <v>0</v>
      </c>
    </row>
    <row r="1200" spans="1:14" s="16" customFormat="1" ht="15.75">
      <c r="A1200" s="14"/>
      <c r="B1200" s="117" t="s">
        <v>195</v>
      </c>
      <c r="C1200" s="118" t="s">
        <v>746</v>
      </c>
      <c r="D1200" s="119" t="s">
        <v>73</v>
      </c>
      <c r="E1200" s="119" t="s">
        <v>7</v>
      </c>
      <c r="F1200" s="119" t="s">
        <v>8</v>
      </c>
      <c r="G1200" s="119" t="s">
        <v>9</v>
      </c>
      <c r="H1200" s="120">
        <v>0</v>
      </c>
      <c r="I1200" s="120">
        <v>0</v>
      </c>
      <c r="J1200" s="119">
        <v>0</v>
      </c>
      <c r="K1200" s="108" t="str">
        <f t="shared" si="54"/>
        <v>0000000000</v>
      </c>
      <c r="L1200" s="303" t="str">
        <f t="shared" si="55"/>
        <v>61704000000000000000</v>
      </c>
      <c r="M1200" s="132" t="str">
        <f>INDEX('реш СГД № 265'!$A:$N,MATCH('БА расх 2019-2020'!$L1200,'реш СГД № 265'!$N:$N,0),3)</f>
        <v>Национальная экономика</v>
      </c>
      <c r="N1200" s="17">
        <f t="shared" si="56"/>
        <v>1</v>
      </c>
    </row>
    <row r="1201" spans="1:14" s="16" customFormat="1" ht="15.75">
      <c r="A1201" s="14"/>
      <c r="B1201" s="121" t="s">
        <v>760</v>
      </c>
      <c r="C1201" s="122" t="s">
        <v>746</v>
      </c>
      <c r="D1201" s="123" t="s">
        <v>73</v>
      </c>
      <c r="E1201" s="123" t="s">
        <v>471</v>
      </c>
      <c r="F1201" s="123" t="s">
        <v>8</v>
      </c>
      <c r="G1201" s="123" t="s">
        <v>9</v>
      </c>
      <c r="H1201" s="124">
        <v>0</v>
      </c>
      <c r="I1201" s="124">
        <v>0</v>
      </c>
      <c r="J1201" s="123">
        <v>0</v>
      </c>
      <c r="K1201" s="108" t="str">
        <f t="shared" si="54"/>
        <v>0000000000</v>
      </c>
      <c r="L1201" s="303" t="str">
        <f t="shared" si="55"/>
        <v>61704090000000000000</v>
      </c>
      <c r="M1201" s="132" t="str">
        <f>INDEX('реш СГД № 265'!$A:$N,MATCH('БА расх 2019-2020'!$L1201,'реш СГД № 265'!$N:$N,0),3)</f>
        <v>Дорожное хозяйство (дорожные фонды)</v>
      </c>
      <c r="N1201" s="17">
        <f t="shared" si="56"/>
        <v>1</v>
      </c>
    </row>
    <row r="1202" spans="1:14" s="16" customFormat="1" ht="63">
      <c r="A1202" s="14"/>
      <c r="B1202" s="127" t="s">
        <v>293</v>
      </c>
      <c r="C1202" s="130" t="s">
        <v>746</v>
      </c>
      <c r="D1202" s="131" t="s">
        <v>73</v>
      </c>
      <c r="E1202" s="131" t="s">
        <v>471</v>
      </c>
      <c r="F1202" s="131" t="s">
        <v>294</v>
      </c>
      <c r="G1202" s="131" t="s">
        <v>9</v>
      </c>
      <c r="H1202" s="105">
        <v>0</v>
      </c>
      <c r="I1202" s="105">
        <v>0</v>
      </c>
      <c r="J1202" s="131">
        <v>400000000</v>
      </c>
      <c r="K1202" s="108" t="str">
        <f t="shared" si="54"/>
        <v>0400000000</v>
      </c>
      <c r="L1202" s="303" t="str">
        <f t="shared" si="55"/>
        <v>61704090400000000000</v>
      </c>
      <c r="M1202" s="132" t="str">
        <f>INDEX('реш СГД № 265'!$A:$N,MATCH('БА расх 2019-2020'!$L1202,'реш СГД № 265'!$N:$N,0),3)</f>
        <v>Муниципальная программа «Развитие жилищно-коммунального хозяйства, транспортной системы на территории города Ставрополя, благоустройство территории города Ставрополя»</v>
      </c>
      <c r="N1202" s="17">
        <f t="shared" si="56"/>
        <v>1</v>
      </c>
    </row>
    <row r="1203" spans="1:14" s="16" customFormat="1" ht="63">
      <c r="A1203" s="14"/>
      <c r="B1203" s="140" t="s">
        <v>295</v>
      </c>
      <c r="C1203" s="130" t="s">
        <v>746</v>
      </c>
      <c r="D1203" s="131" t="s">
        <v>73</v>
      </c>
      <c r="E1203" s="131" t="s">
        <v>471</v>
      </c>
      <c r="F1203" s="131" t="s">
        <v>296</v>
      </c>
      <c r="G1203" s="131" t="s">
        <v>9</v>
      </c>
      <c r="H1203" s="105">
        <v>0</v>
      </c>
      <c r="I1203" s="105">
        <v>0</v>
      </c>
      <c r="J1203" s="131">
        <v>420000000</v>
      </c>
      <c r="K1203" s="108" t="str">
        <f t="shared" si="54"/>
        <v>0420000000</v>
      </c>
      <c r="L1203" s="303" t="str">
        <f t="shared" si="55"/>
        <v>61704090420000000000</v>
      </c>
      <c r="M1203" s="132" t="str">
        <f>INDEX('реш СГД № 265'!$A:$N,MATCH('БА расх 2019-2020'!$L1203,'реш СГД № 265'!$N:$N,0),3)</f>
        <v xml:space="preserve">Подпрограмма «Дорожная деятельность и обеспечение безопасности дорожного движения, организация транспортного обслуживания населения на территории города Ставрополя» </v>
      </c>
      <c r="N1203" s="17">
        <f t="shared" si="56"/>
        <v>1</v>
      </c>
    </row>
    <row r="1204" spans="1:14" s="16" customFormat="1" ht="63">
      <c r="A1204" s="14"/>
      <c r="B1204" s="140" t="s">
        <v>297</v>
      </c>
      <c r="C1204" s="130" t="s">
        <v>746</v>
      </c>
      <c r="D1204" s="131" t="s">
        <v>73</v>
      </c>
      <c r="E1204" s="131" t="s">
        <v>471</v>
      </c>
      <c r="F1204" s="131" t="s">
        <v>298</v>
      </c>
      <c r="G1204" s="131" t="s">
        <v>9</v>
      </c>
      <c r="H1204" s="105">
        <v>0</v>
      </c>
      <c r="I1204" s="105">
        <v>0</v>
      </c>
      <c r="J1204" s="131">
        <v>420200000</v>
      </c>
      <c r="K1204" s="108" t="str">
        <f t="shared" si="54"/>
        <v>0420200000</v>
      </c>
      <c r="L1204" s="303" t="str">
        <f t="shared" si="55"/>
        <v>61704090420200000000</v>
      </c>
      <c r="M1204" s="132" t="str">
        <f>INDEX('реш СГД № 265'!$A:$N,MATCH('БА расх 2019-2020'!$L1204,'реш СГД № 265'!$N:$N,0),3)</f>
        <v>Основное мероприятие «Организация дорожной деятельности в отношении автомобильных дорог общего пользования местного значения в границах города Ставрополя»</v>
      </c>
      <c r="N1204" s="17">
        <f t="shared" si="56"/>
        <v>1</v>
      </c>
    </row>
    <row r="1205" spans="1:14" s="47" customFormat="1" ht="47.25">
      <c r="A1205" s="46"/>
      <c r="B1205" s="125" t="s">
        <v>761</v>
      </c>
      <c r="C1205" s="109" t="s">
        <v>746</v>
      </c>
      <c r="D1205" s="108" t="s">
        <v>73</v>
      </c>
      <c r="E1205" s="108" t="s">
        <v>471</v>
      </c>
      <c r="F1205" s="108" t="s">
        <v>762</v>
      </c>
      <c r="G1205" s="108" t="s">
        <v>9</v>
      </c>
      <c r="H1205" s="126">
        <v>0</v>
      </c>
      <c r="I1205" s="126">
        <v>0</v>
      </c>
      <c r="J1205" s="108">
        <v>420220820</v>
      </c>
      <c r="K1205" s="108" t="str">
        <f t="shared" si="54"/>
        <v>0420220820</v>
      </c>
      <c r="L1205" s="303" t="str">
        <f t="shared" si="55"/>
        <v>61704090420220820000</v>
      </c>
      <c r="M1205" s="132" t="str">
        <f>INDEX('реш СГД № 265'!$A:$N,MATCH('БА расх 2019-2020'!$L1205,'реш СГД № 265'!$N:$N,0),3)</f>
        <v>Расходы на ремонт и содержание внутриквартальных автомобильных дорог общего пользования местного значения</v>
      </c>
      <c r="N1205" s="17">
        <f t="shared" si="56"/>
        <v>1</v>
      </c>
    </row>
    <row r="1206" spans="1:14" s="47" customFormat="1" ht="31.5">
      <c r="A1206" s="46"/>
      <c r="B1206" s="125" t="s">
        <v>28</v>
      </c>
      <c r="C1206" s="109" t="s">
        <v>746</v>
      </c>
      <c r="D1206" s="108" t="s">
        <v>73</v>
      </c>
      <c r="E1206" s="108" t="s">
        <v>471</v>
      </c>
      <c r="F1206" s="108" t="s">
        <v>762</v>
      </c>
      <c r="G1206" s="108" t="s">
        <v>29</v>
      </c>
      <c r="H1206" s="126">
        <v>0</v>
      </c>
      <c r="I1206" s="126">
        <v>0</v>
      </c>
      <c r="J1206" s="108">
        <v>420220820</v>
      </c>
      <c r="K1206" s="108" t="str">
        <f t="shared" si="54"/>
        <v>0420220820</v>
      </c>
      <c r="L1206" s="303" t="str">
        <f t="shared" si="55"/>
        <v>61704090420220820240</v>
      </c>
      <c r="M1206" s="132" t="str">
        <f>INDEX('реш СГД № 265'!$A:$N,MATCH('БА расх 2019-2020'!$L1206,'реш СГД № 265'!$N:$N,0),3)</f>
        <v>Иные закупки товаров, работ и услуг для обеспечения государственных (муниципальных) нужд</v>
      </c>
      <c r="N1206" s="17">
        <f t="shared" si="56"/>
        <v>1</v>
      </c>
    </row>
    <row r="1207" spans="1:14" s="47" customFormat="1" ht="15.75">
      <c r="A1207" s="46"/>
      <c r="B1207" s="125" t="s">
        <v>30</v>
      </c>
      <c r="C1207" s="109" t="s">
        <v>746</v>
      </c>
      <c r="D1207" s="108" t="s">
        <v>73</v>
      </c>
      <c r="E1207" s="108" t="s">
        <v>471</v>
      </c>
      <c r="F1207" s="108" t="s">
        <v>762</v>
      </c>
      <c r="G1207" s="108" t="s">
        <v>31</v>
      </c>
      <c r="H1207" s="126">
        <v>0</v>
      </c>
      <c r="I1207" s="126">
        <v>0</v>
      </c>
      <c r="J1207" s="108">
        <v>420220820</v>
      </c>
      <c r="K1207" s="108" t="str">
        <f t="shared" si="54"/>
        <v>0420220820</v>
      </c>
      <c r="L1207" s="303" t="str">
        <f t="shared" si="55"/>
        <v>61704090420220820244</v>
      </c>
      <c r="M1207" s="132"/>
      <c r="N1207" s="17">
        <f t="shared" si="56"/>
        <v>0</v>
      </c>
    </row>
    <row r="1208" spans="1:14" s="16" customFormat="1" ht="31.5">
      <c r="A1208" s="14"/>
      <c r="B1208" s="125" t="s">
        <v>763</v>
      </c>
      <c r="C1208" s="109" t="s">
        <v>746</v>
      </c>
      <c r="D1208" s="108" t="s">
        <v>73</v>
      </c>
      <c r="E1208" s="108" t="s">
        <v>471</v>
      </c>
      <c r="F1208" s="108" t="s">
        <v>764</v>
      </c>
      <c r="G1208" s="108" t="s">
        <v>9</v>
      </c>
      <c r="H1208" s="126">
        <v>0</v>
      </c>
      <c r="I1208" s="126">
        <v>0</v>
      </c>
      <c r="J1208" s="108">
        <v>420221090</v>
      </c>
      <c r="K1208" s="108" t="str">
        <f t="shared" si="54"/>
        <v>0420221090</v>
      </c>
      <c r="L1208" s="303" t="str">
        <f t="shared" si="55"/>
        <v>61704090420221090000</v>
      </c>
      <c r="M1208" s="132" t="str">
        <f>INDEX('реш СГД № 265'!$A:$N,MATCH('БА расх 2019-2020'!$L1208,'реш СГД № 265'!$N:$N,0),3)</f>
        <v>Расходы на содержание автомобильных дорог общего пользования местного значения</v>
      </c>
      <c r="N1208" s="17">
        <f t="shared" si="56"/>
        <v>1</v>
      </c>
    </row>
    <row r="1209" spans="1:14" s="16" customFormat="1" ht="31.5">
      <c r="A1209" s="14"/>
      <c r="B1209" s="125" t="s">
        <v>28</v>
      </c>
      <c r="C1209" s="109" t="s">
        <v>746</v>
      </c>
      <c r="D1209" s="108" t="s">
        <v>73</v>
      </c>
      <c r="E1209" s="108" t="s">
        <v>471</v>
      </c>
      <c r="F1209" s="108" t="s">
        <v>764</v>
      </c>
      <c r="G1209" s="108" t="s">
        <v>29</v>
      </c>
      <c r="H1209" s="126">
        <v>0</v>
      </c>
      <c r="I1209" s="126">
        <v>0</v>
      </c>
      <c r="J1209" s="108">
        <v>420221090</v>
      </c>
      <c r="K1209" s="108" t="str">
        <f t="shared" si="54"/>
        <v>0420221090</v>
      </c>
      <c r="L1209" s="303" t="str">
        <f t="shared" si="55"/>
        <v>61704090420221090240</v>
      </c>
      <c r="M1209" s="132" t="str">
        <f>INDEX('реш СГД № 265'!$A:$N,MATCH('БА расх 2019-2020'!$L1209,'реш СГД № 265'!$N:$N,0),3)</f>
        <v>Иные закупки товаров, работ и услуг для обеспечения государственных (муниципальных) нужд</v>
      </c>
      <c r="N1209" s="17">
        <f t="shared" si="56"/>
        <v>1</v>
      </c>
    </row>
    <row r="1210" spans="1:14" s="16" customFormat="1" ht="15.75">
      <c r="A1210" s="14"/>
      <c r="B1210" s="125" t="s">
        <v>30</v>
      </c>
      <c r="C1210" s="109" t="s">
        <v>746</v>
      </c>
      <c r="D1210" s="108" t="s">
        <v>73</v>
      </c>
      <c r="E1210" s="108" t="s">
        <v>471</v>
      </c>
      <c r="F1210" s="108" t="s">
        <v>764</v>
      </c>
      <c r="G1210" s="108" t="s">
        <v>31</v>
      </c>
      <c r="H1210" s="126">
        <v>0</v>
      </c>
      <c r="I1210" s="126">
        <v>0</v>
      </c>
      <c r="J1210" s="108">
        <v>420221090</v>
      </c>
      <c r="K1210" s="108" t="str">
        <f t="shared" si="54"/>
        <v>0420221090</v>
      </c>
      <c r="L1210" s="303" t="str">
        <f t="shared" si="55"/>
        <v>61704090420221090244</v>
      </c>
      <c r="M1210" s="132"/>
      <c r="N1210" s="17">
        <f t="shared" si="56"/>
        <v>0</v>
      </c>
    </row>
    <row r="1211" spans="1:14" s="16" customFormat="1" ht="15.75">
      <c r="A1211" s="14"/>
      <c r="B1211" s="117" t="s">
        <v>305</v>
      </c>
      <c r="C1211" s="118" t="s">
        <v>746</v>
      </c>
      <c r="D1211" s="119" t="s">
        <v>86</v>
      </c>
      <c r="E1211" s="119" t="s">
        <v>7</v>
      </c>
      <c r="F1211" s="119" t="s">
        <v>8</v>
      </c>
      <c r="G1211" s="119" t="s">
        <v>9</v>
      </c>
      <c r="H1211" s="120">
        <v>0</v>
      </c>
      <c r="I1211" s="120">
        <v>0</v>
      </c>
      <c r="J1211" s="119">
        <v>0</v>
      </c>
      <c r="K1211" s="108" t="str">
        <f t="shared" si="54"/>
        <v>0000000000</v>
      </c>
      <c r="L1211" s="303" t="str">
        <f t="shared" si="55"/>
        <v>61705000000000000000</v>
      </c>
      <c r="M1211" s="132" t="str">
        <f>INDEX('реш СГД № 265'!$A:$N,MATCH('БА расх 2019-2020'!$L1211,'реш СГД № 265'!$N:$N,0),3)</f>
        <v>Жилищно-коммунальное хозяйство</v>
      </c>
      <c r="N1211" s="17">
        <f t="shared" si="56"/>
        <v>1</v>
      </c>
    </row>
    <row r="1212" spans="1:14" s="16" customFormat="1" ht="15.75">
      <c r="A1212" s="14"/>
      <c r="B1212" s="121" t="s">
        <v>765</v>
      </c>
      <c r="C1212" s="122" t="s">
        <v>746</v>
      </c>
      <c r="D1212" s="123" t="s">
        <v>86</v>
      </c>
      <c r="E1212" s="123" t="s">
        <v>11</v>
      </c>
      <c r="F1212" s="123" t="s">
        <v>8</v>
      </c>
      <c r="G1212" s="123" t="s">
        <v>9</v>
      </c>
      <c r="H1212" s="124">
        <v>0</v>
      </c>
      <c r="I1212" s="124">
        <v>0</v>
      </c>
      <c r="J1212" s="123">
        <v>0</v>
      </c>
      <c r="K1212" s="108" t="str">
        <f t="shared" si="54"/>
        <v>0000000000</v>
      </c>
      <c r="L1212" s="303" t="str">
        <f t="shared" si="55"/>
        <v>61705010000000000000</v>
      </c>
      <c r="M1212" s="132" t="str">
        <f>INDEX('реш СГД № 265'!$A:$N,MATCH('БА расх 2019-2020'!$L1212,'реш СГД № 265'!$N:$N,0),3)</f>
        <v>Жилищное хозяйство</v>
      </c>
      <c r="N1212" s="17">
        <f t="shared" si="56"/>
        <v>1</v>
      </c>
    </row>
    <row r="1213" spans="1:14" s="16" customFormat="1" ht="63">
      <c r="A1213" s="14"/>
      <c r="B1213" s="127" t="s">
        <v>293</v>
      </c>
      <c r="C1213" s="130" t="s">
        <v>746</v>
      </c>
      <c r="D1213" s="131" t="s">
        <v>86</v>
      </c>
      <c r="E1213" s="131" t="s">
        <v>11</v>
      </c>
      <c r="F1213" s="131" t="s">
        <v>294</v>
      </c>
      <c r="G1213" s="131" t="s">
        <v>9</v>
      </c>
      <c r="H1213" s="105">
        <v>0</v>
      </c>
      <c r="I1213" s="105">
        <v>0</v>
      </c>
      <c r="J1213" s="131">
        <v>400000000</v>
      </c>
      <c r="K1213" s="108" t="str">
        <f t="shared" si="54"/>
        <v>0400000000</v>
      </c>
      <c r="L1213" s="303" t="str">
        <f t="shared" si="55"/>
        <v>61705010400000000000</v>
      </c>
      <c r="M1213" s="132" t="str">
        <f>INDEX('реш СГД № 265'!$A:$N,MATCH('БА расх 2019-2020'!$L1213,'реш СГД № 265'!$N:$N,0),3)</f>
        <v>Муниципальная программа «Развитие жилищно-коммунального хозяйства, транспортной системы на территории города Ставрополя, благоустройство территории города Ставрополя»</v>
      </c>
      <c r="N1213" s="17">
        <f t="shared" si="56"/>
        <v>1</v>
      </c>
    </row>
    <row r="1214" spans="1:14" s="16" customFormat="1" ht="31.5">
      <c r="A1214" s="14"/>
      <c r="B1214" s="140" t="s">
        <v>766</v>
      </c>
      <c r="C1214" s="130" t="s">
        <v>746</v>
      </c>
      <c r="D1214" s="131" t="s">
        <v>86</v>
      </c>
      <c r="E1214" s="131" t="s">
        <v>11</v>
      </c>
      <c r="F1214" s="131" t="s">
        <v>767</v>
      </c>
      <c r="G1214" s="131" t="s">
        <v>9</v>
      </c>
      <c r="H1214" s="105">
        <v>0</v>
      </c>
      <c r="I1214" s="105">
        <v>0</v>
      </c>
      <c r="J1214" s="131">
        <v>410000000</v>
      </c>
      <c r="K1214" s="108" t="str">
        <f t="shared" si="54"/>
        <v>0410000000</v>
      </c>
      <c r="L1214" s="303" t="str">
        <f t="shared" si="55"/>
        <v>61705010410000000000</v>
      </c>
      <c r="M1214" s="132" t="str">
        <f>INDEX('реш СГД № 265'!$A:$N,MATCH('БА расх 2019-2020'!$L1214,'реш СГД № 265'!$N:$N,0),3)</f>
        <v>Подпрограмма «Развитие жилищно-коммунального хозяйства на территории города Ставрополя»</v>
      </c>
      <c r="N1214" s="17">
        <f t="shared" si="56"/>
        <v>1</v>
      </c>
    </row>
    <row r="1215" spans="1:14" s="16" customFormat="1" ht="47.25">
      <c r="A1215" s="14"/>
      <c r="B1215" s="140" t="s">
        <v>768</v>
      </c>
      <c r="C1215" s="130" t="s">
        <v>746</v>
      </c>
      <c r="D1215" s="131" t="s">
        <v>86</v>
      </c>
      <c r="E1215" s="131" t="s">
        <v>11</v>
      </c>
      <c r="F1215" s="131" t="s">
        <v>769</v>
      </c>
      <c r="G1215" s="131" t="s">
        <v>9</v>
      </c>
      <c r="H1215" s="105">
        <v>0</v>
      </c>
      <c r="I1215" s="105">
        <v>0</v>
      </c>
      <c r="J1215" s="131">
        <v>410100000</v>
      </c>
      <c r="K1215" s="108" t="str">
        <f t="shared" si="54"/>
        <v>0410100000</v>
      </c>
      <c r="L1215" s="303" t="str">
        <f t="shared" si="55"/>
        <v>61705010410100000000</v>
      </c>
      <c r="M1215" s="132" t="str">
        <f>INDEX('реш СГД № 265'!$A:$N,MATCH('БА расх 2019-2020'!$L1215,'реш СГД № 265'!$N:$N,0),3)</f>
        <v>Основное мероприятие  «Повышение уровня технического состояния многоквартирных домов и продление сроков их эксплуатации»</v>
      </c>
      <c r="N1215" s="17">
        <f t="shared" si="56"/>
        <v>1</v>
      </c>
    </row>
    <row r="1216" spans="1:14" s="16" customFormat="1" ht="31.5">
      <c r="A1216" s="14"/>
      <c r="B1216" s="125" t="s">
        <v>770</v>
      </c>
      <c r="C1216" s="130" t="s">
        <v>746</v>
      </c>
      <c r="D1216" s="131" t="s">
        <v>86</v>
      </c>
      <c r="E1216" s="131" t="s">
        <v>11</v>
      </c>
      <c r="F1216" s="131" t="s">
        <v>771</v>
      </c>
      <c r="G1216" s="131" t="s">
        <v>9</v>
      </c>
      <c r="H1216" s="105">
        <v>0</v>
      </c>
      <c r="I1216" s="105">
        <v>0</v>
      </c>
      <c r="J1216" s="131">
        <v>410120190</v>
      </c>
      <c r="K1216" s="108" t="str">
        <f t="shared" si="54"/>
        <v>0410120190</v>
      </c>
      <c r="L1216" s="303" t="str">
        <f t="shared" si="55"/>
        <v>61705010410120190000</v>
      </c>
      <c r="M1216" s="132" t="str">
        <f>INDEX('реш СГД № 265'!$A:$N,MATCH('БА расх 2019-2020'!$L1216,'реш СГД № 265'!$N:$N,0),3)</f>
        <v>Расходы на проведение капитального ремонта муниципального жилищного фонда</v>
      </c>
      <c r="N1216" s="17">
        <f t="shared" si="56"/>
        <v>1</v>
      </c>
    </row>
    <row r="1217" spans="1:14" s="16" customFormat="1" ht="31.5">
      <c r="A1217" s="14"/>
      <c r="B1217" s="125" t="s">
        <v>28</v>
      </c>
      <c r="C1217" s="130" t="s">
        <v>746</v>
      </c>
      <c r="D1217" s="131" t="s">
        <v>86</v>
      </c>
      <c r="E1217" s="131" t="s">
        <v>11</v>
      </c>
      <c r="F1217" s="131" t="s">
        <v>771</v>
      </c>
      <c r="G1217" s="131" t="s">
        <v>29</v>
      </c>
      <c r="H1217" s="126">
        <v>0</v>
      </c>
      <c r="I1217" s="126">
        <v>0</v>
      </c>
      <c r="J1217" s="131">
        <v>410120190</v>
      </c>
      <c r="K1217" s="108" t="str">
        <f t="shared" si="54"/>
        <v>0410120190</v>
      </c>
      <c r="L1217" s="303" t="str">
        <f t="shared" si="55"/>
        <v>61705010410120190240</v>
      </c>
      <c r="M1217" s="132" t="str">
        <f>INDEX('реш СГД № 265'!$A:$N,MATCH('БА расх 2019-2020'!$L1217,'реш СГД № 265'!$N:$N,0),3)</f>
        <v>Иные закупки товаров, работ и услуг для обеспечения государственных (муниципальных) нужд</v>
      </c>
      <c r="N1217" s="17">
        <f t="shared" si="56"/>
        <v>1</v>
      </c>
    </row>
    <row r="1218" spans="1:14" s="16" customFormat="1" ht="47.25">
      <c r="A1218" s="14"/>
      <c r="B1218" s="127" t="s">
        <v>772</v>
      </c>
      <c r="C1218" s="109" t="s">
        <v>746</v>
      </c>
      <c r="D1218" s="108" t="s">
        <v>86</v>
      </c>
      <c r="E1218" s="108" t="s">
        <v>11</v>
      </c>
      <c r="F1218" s="108" t="s">
        <v>771</v>
      </c>
      <c r="G1218" s="108" t="s">
        <v>773</v>
      </c>
      <c r="H1218" s="126">
        <v>0</v>
      </c>
      <c r="I1218" s="126">
        <v>0</v>
      </c>
      <c r="J1218" s="108">
        <v>410120190</v>
      </c>
      <c r="K1218" s="108" t="str">
        <f t="shared" si="54"/>
        <v>0410120190</v>
      </c>
      <c r="L1218" s="303" t="str">
        <f t="shared" si="55"/>
        <v>61705010410120190243</v>
      </c>
      <c r="M1218" s="132"/>
      <c r="N1218" s="17">
        <f t="shared" si="56"/>
        <v>0</v>
      </c>
    </row>
    <row r="1219" spans="1:14" s="16" customFormat="1" ht="15.75">
      <c r="A1219" s="14"/>
      <c r="B1219" s="125" t="s">
        <v>30</v>
      </c>
      <c r="C1219" s="109" t="s">
        <v>746</v>
      </c>
      <c r="D1219" s="108" t="s">
        <v>86</v>
      </c>
      <c r="E1219" s="108" t="s">
        <v>11</v>
      </c>
      <c r="F1219" s="108" t="s">
        <v>771</v>
      </c>
      <c r="G1219" s="108" t="s">
        <v>31</v>
      </c>
      <c r="H1219" s="126">
        <v>0</v>
      </c>
      <c r="I1219" s="126">
        <v>0</v>
      </c>
      <c r="J1219" s="108">
        <v>410120190</v>
      </c>
      <c r="K1219" s="108" t="str">
        <f t="shared" si="54"/>
        <v>0410120190</v>
      </c>
      <c r="L1219" s="303" t="str">
        <f t="shared" si="55"/>
        <v>61705010410120190244</v>
      </c>
      <c r="M1219" s="132"/>
      <c r="N1219" s="17">
        <f t="shared" si="56"/>
        <v>0</v>
      </c>
    </row>
    <row r="1220" spans="1:14" s="16" customFormat="1" ht="15.75">
      <c r="A1220" s="14"/>
      <c r="B1220" s="121" t="s">
        <v>306</v>
      </c>
      <c r="C1220" s="122" t="s">
        <v>746</v>
      </c>
      <c r="D1220" s="123" t="s">
        <v>86</v>
      </c>
      <c r="E1220" s="123" t="s">
        <v>13</v>
      </c>
      <c r="F1220" s="123" t="s">
        <v>8</v>
      </c>
      <c r="G1220" s="123" t="s">
        <v>9</v>
      </c>
      <c r="H1220" s="124">
        <v>0</v>
      </c>
      <c r="I1220" s="124">
        <v>0</v>
      </c>
      <c r="J1220" s="123">
        <v>0</v>
      </c>
      <c r="K1220" s="108" t="str">
        <f t="shared" si="54"/>
        <v>0000000000</v>
      </c>
      <c r="L1220" s="303" t="str">
        <f t="shared" si="55"/>
        <v>61705030000000000000</v>
      </c>
      <c r="M1220" s="132" t="str">
        <f>INDEX('реш СГД № 265'!$A:$N,MATCH('БА расх 2019-2020'!$L1220,'реш СГД № 265'!$N:$N,0),3)</f>
        <v>Благоустройство</v>
      </c>
      <c r="N1220" s="17">
        <f t="shared" si="56"/>
        <v>1</v>
      </c>
    </row>
    <row r="1221" spans="1:14" s="16" customFormat="1" ht="63">
      <c r="A1221" s="14"/>
      <c r="B1221" s="127" t="s">
        <v>293</v>
      </c>
      <c r="C1221" s="130" t="s">
        <v>746</v>
      </c>
      <c r="D1221" s="131" t="s">
        <v>86</v>
      </c>
      <c r="E1221" s="131" t="s">
        <v>13</v>
      </c>
      <c r="F1221" s="131" t="s">
        <v>294</v>
      </c>
      <c r="G1221" s="131" t="s">
        <v>9</v>
      </c>
      <c r="H1221" s="105">
        <v>0</v>
      </c>
      <c r="I1221" s="105">
        <v>0</v>
      </c>
      <c r="J1221" s="131">
        <v>400000000</v>
      </c>
      <c r="K1221" s="108" t="str">
        <f t="shared" si="54"/>
        <v>0400000000</v>
      </c>
      <c r="L1221" s="303" t="str">
        <f t="shared" si="55"/>
        <v>61705030400000000000</v>
      </c>
      <c r="M1221" s="132" t="str">
        <f>INDEX('реш СГД № 265'!$A:$N,MATCH('БА расх 2019-2020'!$L1221,'реш СГД № 265'!$N:$N,0),3)</f>
        <v>Муниципальная программа «Развитие жилищно-коммунального хозяйства, транспортной системы на территории города Ставрополя, благоустройство территории города Ставрополя»</v>
      </c>
      <c r="N1221" s="17">
        <f t="shared" si="56"/>
        <v>1</v>
      </c>
    </row>
    <row r="1222" spans="1:14" s="16" customFormat="1" ht="31.5">
      <c r="A1222" s="14"/>
      <c r="B1222" s="125" t="s">
        <v>2283</v>
      </c>
      <c r="C1222" s="130" t="s">
        <v>746</v>
      </c>
      <c r="D1222" s="131" t="s">
        <v>86</v>
      </c>
      <c r="E1222" s="131" t="s">
        <v>13</v>
      </c>
      <c r="F1222" s="131" t="s">
        <v>308</v>
      </c>
      <c r="G1222" s="131" t="s">
        <v>9</v>
      </c>
      <c r="H1222" s="105">
        <v>0</v>
      </c>
      <c r="I1222" s="105">
        <v>0</v>
      </c>
      <c r="J1222" s="131">
        <v>430000000</v>
      </c>
      <c r="K1222" s="108" t="str">
        <f t="shared" si="54"/>
        <v>0430000000</v>
      </c>
      <c r="L1222" s="303" t="str">
        <f t="shared" si="55"/>
        <v>61705030430000000000</v>
      </c>
      <c r="M1222" s="132" t="str">
        <f>INDEX('реш СГД № 265'!$A:$N,MATCH('БА расх 2019-2020'!$L1222,'реш СГД № 265'!$N:$N,0),3)</f>
        <v>Подпрограмма «Благоустройство территории города Ставрополя»</v>
      </c>
      <c r="N1222" s="17">
        <f t="shared" si="56"/>
        <v>1</v>
      </c>
    </row>
    <row r="1223" spans="1:14" s="16" customFormat="1" ht="31.5">
      <c r="A1223" s="14"/>
      <c r="B1223" s="401" t="s">
        <v>309</v>
      </c>
      <c r="C1223" s="130" t="s">
        <v>746</v>
      </c>
      <c r="D1223" s="131" t="s">
        <v>86</v>
      </c>
      <c r="E1223" s="131" t="s">
        <v>13</v>
      </c>
      <c r="F1223" s="108" t="s">
        <v>310</v>
      </c>
      <c r="G1223" s="131" t="s">
        <v>9</v>
      </c>
      <c r="H1223" s="105">
        <v>0</v>
      </c>
      <c r="I1223" s="105">
        <v>0</v>
      </c>
      <c r="J1223" s="108">
        <v>430400000</v>
      </c>
      <c r="K1223" s="108" t="str">
        <f t="shared" si="54"/>
        <v>0430400000</v>
      </c>
      <c r="L1223" s="303" t="str">
        <f t="shared" si="55"/>
        <v>61705030430400000000</v>
      </c>
      <c r="M1223" s="132" t="str">
        <f>INDEX('реш СГД № 265'!$A:$N,MATCH('БА расх 2019-2020'!$L1223,'реш СГД № 265'!$N:$N,0),3)</f>
        <v>Основное мероприятие «Благоустройство территории города Ставрополя»</v>
      </c>
      <c r="N1223" s="17">
        <f t="shared" si="56"/>
        <v>1</v>
      </c>
    </row>
    <row r="1224" spans="1:14" s="16" customFormat="1" ht="31.5">
      <c r="A1224" s="14"/>
      <c r="B1224" s="125" t="s">
        <v>542</v>
      </c>
      <c r="C1224" s="130" t="s">
        <v>746</v>
      </c>
      <c r="D1224" s="131" t="s">
        <v>86</v>
      </c>
      <c r="E1224" s="131" t="s">
        <v>13</v>
      </c>
      <c r="F1224" s="131" t="s">
        <v>543</v>
      </c>
      <c r="G1224" s="131" t="s">
        <v>9</v>
      </c>
      <c r="H1224" s="105">
        <v>0</v>
      </c>
      <c r="I1224" s="105">
        <v>0</v>
      </c>
      <c r="J1224" s="131">
        <v>430420300</v>
      </c>
      <c r="K1224" s="108" t="str">
        <f t="shared" si="54"/>
        <v>0430420300</v>
      </c>
      <c r="L1224" s="303" t="str">
        <f t="shared" si="55"/>
        <v>61705030430420300000</v>
      </c>
      <c r="M1224" s="132" t="str">
        <f>INDEX('реш СГД № 265'!$A:$N,MATCH('БА расх 2019-2020'!$L1224,'реш СГД № 265'!$N:$N,0),3)</f>
        <v>Расходы на прочие мероприятия по благоустройству территории города Ставрополя</v>
      </c>
      <c r="N1224" s="17">
        <f t="shared" si="56"/>
        <v>1</v>
      </c>
    </row>
    <row r="1225" spans="1:14" s="16" customFormat="1" ht="31.5">
      <c r="A1225" s="14"/>
      <c r="B1225" s="125" t="s">
        <v>28</v>
      </c>
      <c r="C1225" s="130" t="s">
        <v>746</v>
      </c>
      <c r="D1225" s="131" t="s">
        <v>86</v>
      </c>
      <c r="E1225" s="131" t="s">
        <v>13</v>
      </c>
      <c r="F1225" s="131" t="s">
        <v>543</v>
      </c>
      <c r="G1225" s="131" t="s">
        <v>29</v>
      </c>
      <c r="H1225" s="126">
        <v>0</v>
      </c>
      <c r="I1225" s="126">
        <v>0</v>
      </c>
      <c r="J1225" s="131">
        <v>430420300</v>
      </c>
      <c r="K1225" s="108" t="str">
        <f t="shared" si="54"/>
        <v>0430420300</v>
      </c>
      <c r="L1225" s="303" t="str">
        <f t="shared" si="55"/>
        <v>61705030430420300240</v>
      </c>
      <c r="M1225" s="132" t="str">
        <f>INDEX('реш СГД № 265'!$A:$N,MATCH('БА расх 2019-2020'!$L1225,'реш СГД № 265'!$N:$N,0),3)</f>
        <v>Иные закупки товаров, работ и услуг для обеспечения государственных (муниципальных) нужд</v>
      </c>
      <c r="N1225" s="17">
        <f t="shared" si="56"/>
        <v>1</v>
      </c>
    </row>
    <row r="1226" spans="1:14" s="16" customFormat="1" ht="15.75">
      <c r="A1226" s="14"/>
      <c r="B1226" s="125" t="s">
        <v>30</v>
      </c>
      <c r="C1226" s="130" t="s">
        <v>746</v>
      </c>
      <c r="D1226" s="131" t="s">
        <v>86</v>
      </c>
      <c r="E1226" s="131" t="s">
        <v>13</v>
      </c>
      <c r="F1226" s="131" t="s">
        <v>543</v>
      </c>
      <c r="G1226" s="131" t="s">
        <v>31</v>
      </c>
      <c r="H1226" s="126">
        <v>0</v>
      </c>
      <c r="I1226" s="126">
        <v>0</v>
      </c>
      <c r="J1226" s="131">
        <v>430420300</v>
      </c>
      <c r="K1226" s="108" t="str">
        <f t="shared" si="54"/>
        <v>0430420300</v>
      </c>
      <c r="L1226" s="303" t="str">
        <f t="shared" si="55"/>
        <v>61705030430420300244</v>
      </c>
      <c r="M1226" s="132"/>
      <c r="N1226" s="17">
        <f t="shared" si="56"/>
        <v>0</v>
      </c>
    </row>
    <row r="1227" spans="1:14" s="16" customFormat="1" ht="31.5">
      <c r="A1227" s="14"/>
      <c r="B1227" s="127" t="s">
        <v>774</v>
      </c>
      <c r="C1227" s="130" t="s">
        <v>746</v>
      </c>
      <c r="D1227" s="131" t="s">
        <v>86</v>
      </c>
      <c r="E1227" s="131" t="s">
        <v>13</v>
      </c>
      <c r="F1227" s="131" t="s">
        <v>775</v>
      </c>
      <c r="G1227" s="131" t="s">
        <v>9</v>
      </c>
      <c r="H1227" s="105">
        <v>0</v>
      </c>
      <c r="I1227" s="105">
        <v>0</v>
      </c>
      <c r="J1227" s="131">
        <v>430421070</v>
      </c>
      <c r="K1227" s="108" t="str">
        <f t="shared" si="54"/>
        <v>0430421070</v>
      </c>
      <c r="L1227" s="303" t="str">
        <f t="shared" si="55"/>
        <v>61705030430421070000</v>
      </c>
      <c r="M1227" s="132" t="str">
        <f>INDEX('реш СГД № 265'!$A:$N,MATCH('БА расх 2019-2020'!$L1227,'реш СГД № 265'!$N:$N,0),3)</f>
        <v>Расходы на проведение работ по уходу за зелеными насаждениями</v>
      </c>
      <c r="N1227" s="17">
        <f t="shared" si="56"/>
        <v>1</v>
      </c>
    </row>
    <row r="1228" spans="1:14" s="16" customFormat="1" ht="31.5">
      <c r="A1228" s="14"/>
      <c r="B1228" s="125" t="s">
        <v>28</v>
      </c>
      <c r="C1228" s="130" t="s">
        <v>746</v>
      </c>
      <c r="D1228" s="131" t="s">
        <v>86</v>
      </c>
      <c r="E1228" s="131" t="s">
        <v>13</v>
      </c>
      <c r="F1228" s="131" t="s">
        <v>775</v>
      </c>
      <c r="G1228" s="131" t="s">
        <v>29</v>
      </c>
      <c r="H1228" s="126">
        <v>0</v>
      </c>
      <c r="I1228" s="126">
        <v>0</v>
      </c>
      <c r="J1228" s="131">
        <v>430421070</v>
      </c>
      <c r="K1228" s="108" t="str">
        <f t="shared" si="54"/>
        <v>0430421070</v>
      </c>
      <c r="L1228" s="303" t="str">
        <f t="shared" si="55"/>
        <v>61705030430421070240</v>
      </c>
      <c r="M1228" s="132" t="str">
        <f>INDEX('реш СГД № 265'!$A:$N,MATCH('БА расх 2019-2020'!$L1228,'реш СГД № 265'!$N:$N,0),3)</f>
        <v>Иные закупки товаров, работ и услуг для обеспечения государственных (муниципальных) нужд</v>
      </c>
      <c r="N1228" s="17">
        <f t="shared" si="56"/>
        <v>1</v>
      </c>
    </row>
    <row r="1229" spans="1:14" s="16" customFormat="1" ht="15.75">
      <c r="A1229" s="14"/>
      <c r="B1229" s="125" t="s">
        <v>30</v>
      </c>
      <c r="C1229" s="130" t="s">
        <v>746</v>
      </c>
      <c r="D1229" s="131" t="s">
        <v>86</v>
      </c>
      <c r="E1229" s="131" t="s">
        <v>13</v>
      </c>
      <c r="F1229" s="131" t="s">
        <v>775</v>
      </c>
      <c r="G1229" s="131" t="s">
        <v>31</v>
      </c>
      <c r="H1229" s="126">
        <v>0</v>
      </c>
      <c r="I1229" s="126">
        <v>0</v>
      </c>
      <c r="J1229" s="131">
        <v>430421070</v>
      </c>
      <c r="K1229" s="108" t="str">
        <f t="shared" ref="K1229:K1292" si="57">TEXT(J1229,"0000000000")</f>
        <v>0430421070</v>
      </c>
      <c r="L1229" s="303" t="str">
        <f t="shared" si="55"/>
        <v>61705030430421070244</v>
      </c>
      <c r="M1229" s="132"/>
      <c r="N1229" s="17">
        <f t="shared" si="56"/>
        <v>0</v>
      </c>
    </row>
    <row r="1230" spans="1:14" s="16" customFormat="1" ht="63">
      <c r="A1230" s="14" t="s">
        <v>80</v>
      </c>
      <c r="B1230" s="125" t="s">
        <v>1311</v>
      </c>
      <c r="C1230" s="109" t="s">
        <v>746</v>
      </c>
      <c r="D1230" s="108" t="s">
        <v>86</v>
      </c>
      <c r="E1230" s="108" t="s">
        <v>13</v>
      </c>
      <c r="F1230" s="108" t="s">
        <v>1312</v>
      </c>
      <c r="G1230" s="108" t="s">
        <v>9</v>
      </c>
      <c r="H1230" s="126">
        <v>0</v>
      </c>
      <c r="I1230" s="126">
        <v>0</v>
      </c>
      <c r="J1230" s="108" t="s">
        <v>2316</v>
      </c>
      <c r="K1230" s="108" t="str">
        <f t="shared" si="57"/>
        <v>0430476416</v>
      </c>
      <c r="L1230" s="303" t="str">
        <f t="shared" ref="L1230:L1293" si="58">C1230&amp;D1230&amp;E1230&amp;K1230&amp;G1230</f>
        <v>61705030430476416000</v>
      </c>
      <c r="M1230" s="132" t="str">
        <f>INDEX('реш СГД № 265'!$A:$N,MATCH('БА расх 2019-2020'!$L1230,'реш СГД № 265'!$N:$N,0),3)</f>
        <v>Расходы  на осуществление функций административного центра Ставропольского края за счет средств  краевого бюджета на содержание центральной части города Ставрополя</v>
      </c>
      <c r="N1230" s="17">
        <f t="shared" ref="N1230:N1293" si="59">IF(B1230=M1230,1,0)</f>
        <v>1</v>
      </c>
    </row>
    <row r="1231" spans="1:14" s="16" customFormat="1" ht="31.5">
      <c r="A1231" s="14"/>
      <c r="B1231" s="125" t="s">
        <v>28</v>
      </c>
      <c r="C1231" s="109" t="s">
        <v>746</v>
      </c>
      <c r="D1231" s="108" t="s">
        <v>86</v>
      </c>
      <c r="E1231" s="108" t="s">
        <v>13</v>
      </c>
      <c r="F1231" s="108" t="s">
        <v>1312</v>
      </c>
      <c r="G1231" s="108" t="s">
        <v>29</v>
      </c>
      <c r="H1231" s="126">
        <v>0</v>
      </c>
      <c r="I1231" s="126">
        <v>0</v>
      </c>
      <c r="J1231" s="108" t="s">
        <v>2316</v>
      </c>
      <c r="K1231" s="108" t="str">
        <f t="shared" si="57"/>
        <v>0430476416</v>
      </c>
      <c r="L1231" s="303" t="str">
        <f t="shared" si="58"/>
        <v>61705030430476416240</v>
      </c>
      <c r="M1231" s="132" t="str">
        <f>INDEX('реш СГД № 265'!$A:$N,MATCH('БА расх 2019-2020'!$L1231,'реш СГД № 265'!$N:$N,0),3)</f>
        <v>Иные закупки товаров, работ и услуг для обеспечения государственных (муниципальных) нужд</v>
      </c>
      <c r="N1231" s="17">
        <f t="shared" si="59"/>
        <v>1</v>
      </c>
    </row>
    <row r="1232" spans="1:14" s="16" customFormat="1" ht="15.75">
      <c r="A1232" s="14"/>
      <c r="B1232" s="125" t="s">
        <v>30</v>
      </c>
      <c r="C1232" s="109" t="s">
        <v>746</v>
      </c>
      <c r="D1232" s="108" t="s">
        <v>86</v>
      </c>
      <c r="E1232" s="108" t="s">
        <v>13</v>
      </c>
      <c r="F1232" s="108" t="s">
        <v>1312</v>
      </c>
      <c r="G1232" s="108" t="s">
        <v>31</v>
      </c>
      <c r="H1232" s="126">
        <v>0</v>
      </c>
      <c r="I1232" s="126">
        <v>0</v>
      </c>
      <c r="J1232" s="108" t="s">
        <v>2316</v>
      </c>
      <c r="K1232" s="108" t="str">
        <f t="shared" si="57"/>
        <v>0430476416</v>
      </c>
      <c r="L1232" s="303" t="str">
        <f t="shared" si="58"/>
        <v>61705030430476416244</v>
      </c>
      <c r="M1232" s="132"/>
      <c r="N1232" s="17">
        <f t="shared" si="59"/>
        <v>0</v>
      </c>
    </row>
    <row r="1233" spans="1:14" s="16" customFormat="1" ht="15.75">
      <c r="A1233" s="14"/>
      <c r="B1233" s="117" t="s">
        <v>237</v>
      </c>
      <c r="C1233" s="118" t="s">
        <v>746</v>
      </c>
      <c r="D1233" s="119" t="s">
        <v>238</v>
      </c>
      <c r="E1233" s="119" t="s">
        <v>7</v>
      </c>
      <c r="F1233" s="119" t="s">
        <v>8</v>
      </c>
      <c r="G1233" s="119" t="s">
        <v>9</v>
      </c>
      <c r="H1233" s="120">
        <v>0</v>
      </c>
      <c r="I1233" s="120">
        <v>0</v>
      </c>
      <c r="J1233" s="119">
        <v>0</v>
      </c>
      <c r="K1233" s="108" t="str">
        <f t="shared" si="57"/>
        <v>0000000000</v>
      </c>
      <c r="L1233" s="303" t="str">
        <f t="shared" si="58"/>
        <v>61708000000000000000</v>
      </c>
      <c r="M1233" s="132" t="str">
        <f>INDEX('реш СГД № 265'!$A:$N,MATCH('БА расх 2019-2020'!$L1233,'реш СГД № 265'!$N:$N,0),3)</f>
        <v xml:space="preserve">Культура, кинематография </v>
      </c>
      <c r="N1233" s="17">
        <f t="shared" si="59"/>
        <v>1</v>
      </c>
    </row>
    <row r="1234" spans="1:14" s="16" customFormat="1" ht="15.75">
      <c r="A1234" s="14"/>
      <c r="B1234" s="121" t="s">
        <v>239</v>
      </c>
      <c r="C1234" s="122" t="s">
        <v>746</v>
      </c>
      <c r="D1234" s="123" t="s">
        <v>238</v>
      </c>
      <c r="E1234" s="123" t="s">
        <v>11</v>
      </c>
      <c r="F1234" s="123" t="s">
        <v>8</v>
      </c>
      <c r="G1234" s="123" t="s">
        <v>9</v>
      </c>
      <c r="H1234" s="124">
        <v>0</v>
      </c>
      <c r="I1234" s="124">
        <v>0</v>
      </c>
      <c r="J1234" s="123">
        <v>0</v>
      </c>
      <c r="K1234" s="108" t="str">
        <f t="shared" si="57"/>
        <v>0000000000</v>
      </c>
      <c r="L1234" s="303" t="str">
        <f t="shared" si="58"/>
        <v>61708010000000000000</v>
      </c>
      <c r="M1234" s="132" t="str">
        <f>INDEX('реш СГД № 265'!$A:$N,MATCH('БА расх 2019-2020'!$L1234,'реш СГД № 265'!$N:$N,0),3)</f>
        <v>Культура</v>
      </c>
      <c r="N1234" s="17">
        <f t="shared" si="59"/>
        <v>1</v>
      </c>
    </row>
    <row r="1235" spans="1:14" s="16" customFormat="1" ht="31.5">
      <c r="A1235" s="14"/>
      <c r="B1235" s="125" t="s">
        <v>240</v>
      </c>
      <c r="C1235" s="130" t="s">
        <v>746</v>
      </c>
      <c r="D1235" s="131" t="s">
        <v>238</v>
      </c>
      <c r="E1235" s="131" t="s">
        <v>11</v>
      </c>
      <c r="F1235" s="131" t="s">
        <v>241</v>
      </c>
      <c r="G1235" s="131" t="s">
        <v>9</v>
      </c>
      <c r="H1235" s="105">
        <v>0</v>
      </c>
      <c r="I1235" s="105">
        <v>0</v>
      </c>
      <c r="J1235" s="131">
        <v>700000000</v>
      </c>
      <c r="K1235" s="108" t="str">
        <f t="shared" si="57"/>
        <v>0700000000</v>
      </c>
      <c r="L1235" s="303" t="str">
        <f t="shared" si="58"/>
        <v>61708010700000000000</v>
      </c>
      <c r="M1235" s="132" t="str">
        <f>INDEX('реш СГД № 265'!$A:$N,MATCH('БА расх 2019-2020'!$L1235,'реш СГД № 265'!$N:$N,0),3)</f>
        <v>Муниципальная программа «Культура города Ставрополя»</v>
      </c>
      <c r="N1235" s="17">
        <f t="shared" si="59"/>
        <v>1</v>
      </c>
    </row>
    <row r="1236" spans="1:14" s="16" customFormat="1" ht="78.75">
      <c r="A1236" s="14"/>
      <c r="B1236" s="140" t="s">
        <v>242</v>
      </c>
      <c r="C1236" s="130" t="s">
        <v>746</v>
      </c>
      <c r="D1236" s="131" t="s">
        <v>238</v>
      </c>
      <c r="E1236" s="131" t="s">
        <v>11</v>
      </c>
      <c r="F1236" s="131" t="s">
        <v>243</v>
      </c>
      <c r="G1236" s="131" t="s">
        <v>9</v>
      </c>
      <c r="H1236" s="105">
        <v>0</v>
      </c>
      <c r="I1236" s="105">
        <v>0</v>
      </c>
      <c r="J1236" s="131">
        <v>710000000</v>
      </c>
      <c r="K1236" s="108" t="str">
        <f t="shared" si="57"/>
        <v>0710000000</v>
      </c>
      <c r="L1236" s="303" t="str">
        <f t="shared" si="58"/>
        <v>61708010710000000000</v>
      </c>
      <c r="M1236" s="132" t="str">
        <f>INDEX('реш СГД № 265'!$A:$N,MATCH('БА расх 2019-2020'!$L1236,'реш СГД № 265'!$N:$N,0),3)</f>
        <v xml:space="preserve">Подпрограмма «Проведение городских и краевых культурно-массовых мероприятий, посвященных памятным, знаменательным и юбилейным датам в истории России, Ставропольского края, города Ставрополя» </v>
      </c>
      <c r="N1236" s="17">
        <f t="shared" si="59"/>
        <v>1</v>
      </c>
    </row>
    <row r="1237" spans="1:14" s="16" customFormat="1" ht="110.25">
      <c r="A1237" s="14"/>
      <c r="B1237" s="140" t="s">
        <v>244</v>
      </c>
      <c r="C1237" s="130" t="s">
        <v>746</v>
      </c>
      <c r="D1237" s="131" t="s">
        <v>238</v>
      </c>
      <c r="E1237" s="131" t="s">
        <v>11</v>
      </c>
      <c r="F1237" s="131" t="s">
        <v>245</v>
      </c>
      <c r="G1237" s="131" t="s">
        <v>9</v>
      </c>
      <c r="H1237" s="105">
        <v>0</v>
      </c>
      <c r="I1237" s="105">
        <v>0</v>
      </c>
      <c r="J1237" s="131">
        <v>710100000</v>
      </c>
      <c r="K1237" s="108" t="str">
        <f t="shared" si="57"/>
        <v>0710100000</v>
      </c>
      <c r="L1237" s="303" t="str">
        <f t="shared" si="58"/>
        <v>61708010710100000000</v>
      </c>
      <c r="M1237" s="132" t="str">
        <f>INDEX('реш СГД № 265'!$A:$N,MATCH('БА расх 2019-2020'!$L1237,'реш СГД № 265'!$N:$N,0),3)</f>
        <v>Основное мероприятие «Обеспечение доступности к культурным ценностям и права на участие в культурной жизни для всех групп населения города Ставрополя, популяризация объектов культурного наследия города Ставрополя, формирование имиджа города Ставрополя как культурного центра Ставропольского края»</v>
      </c>
      <c r="N1237" s="17">
        <f t="shared" si="59"/>
        <v>1</v>
      </c>
    </row>
    <row r="1238" spans="1:14" s="16" customFormat="1" ht="31.5">
      <c r="A1238" s="14"/>
      <c r="B1238" s="125" t="s">
        <v>246</v>
      </c>
      <c r="C1238" s="130" t="s">
        <v>746</v>
      </c>
      <c r="D1238" s="131" t="s">
        <v>238</v>
      </c>
      <c r="E1238" s="131" t="s">
        <v>11</v>
      </c>
      <c r="F1238" s="131" t="s">
        <v>247</v>
      </c>
      <c r="G1238" s="131" t="s">
        <v>9</v>
      </c>
      <c r="H1238" s="105">
        <v>0</v>
      </c>
      <c r="I1238" s="105">
        <v>0</v>
      </c>
      <c r="J1238" s="131">
        <v>710120060</v>
      </c>
      <c r="K1238" s="108" t="str">
        <f t="shared" si="57"/>
        <v>0710120060</v>
      </c>
      <c r="L1238" s="303" t="str">
        <f t="shared" si="58"/>
        <v>61708010710120060000</v>
      </c>
      <c r="M1238" s="132" t="str">
        <f>INDEX('реш СГД № 265'!$A:$N,MATCH('БА расх 2019-2020'!$L1238,'реш СГД № 265'!$N:$N,0),3)</f>
        <v>Расходы на проведение культурно-массовых мероприятий в городе Ставрополе</v>
      </c>
      <c r="N1238" s="17">
        <f t="shared" si="59"/>
        <v>1</v>
      </c>
    </row>
    <row r="1239" spans="1:14" s="16" customFormat="1" ht="31.5">
      <c r="A1239" s="14"/>
      <c r="B1239" s="125" t="s">
        <v>28</v>
      </c>
      <c r="C1239" s="130" t="s">
        <v>746</v>
      </c>
      <c r="D1239" s="131" t="s">
        <v>238</v>
      </c>
      <c r="E1239" s="131" t="s">
        <v>11</v>
      </c>
      <c r="F1239" s="131" t="s">
        <v>247</v>
      </c>
      <c r="G1239" s="131" t="s">
        <v>29</v>
      </c>
      <c r="H1239" s="126">
        <v>0</v>
      </c>
      <c r="I1239" s="126">
        <v>0</v>
      </c>
      <c r="J1239" s="131">
        <v>710120060</v>
      </c>
      <c r="K1239" s="108" t="str">
        <f t="shared" si="57"/>
        <v>0710120060</v>
      </c>
      <c r="L1239" s="303" t="str">
        <f t="shared" si="58"/>
        <v>61708010710120060240</v>
      </c>
      <c r="M1239" s="132" t="str">
        <f>INDEX('реш СГД № 265'!$A:$N,MATCH('БА расх 2019-2020'!$L1239,'реш СГД № 265'!$N:$N,0),3)</f>
        <v>Иные закупки товаров, работ и услуг для обеспечения государственных (муниципальных) нужд</v>
      </c>
      <c r="N1239" s="17">
        <f t="shared" si="59"/>
        <v>1</v>
      </c>
    </row>
    <row r="1240" spans="1:14" s="16" customFormat="1" ht="15.75">
      <c r="A1240" s="14"/>
      <c r="B1240" s="125" t="s">
        <v>30</v>
      </c>
      <c r="C1240" s="130" t="s">
        <v>746</v>
      </c>
      <c r="D1240" s="131" t="s">
        <v>238</v>
      </c>
      <c r="E1240" s="131" t="s">
        <v>11</v>
      </c>
      <c r="F1240" s="131" t="s">
        <v>247</v>
      </c>
      <c r="G1240" s="131" t="s">
        <v>31</v>
      </c>
      <c r="H1240" s="126">
        <v>0</v>
      </c>
      <c r="I1240" s="126">
        <v>0</v>
      </c>
      <c r="J1240" s="131">
        <v>710120060</v>
      </c>
      <c r="K1240" s="108" t="str">
        <f t="shared" si="57"/>
        <v>0710120060</v>
      </c>
      <c r="L1240" s="303" t="str">
        <f t="shared" si="58"/>
        <v>61708010710120060244</v>
      </c>
      <c r="M1240" s="132"/>
      <c r="N1240" s="17">
        <f t="shared" si="59"/>
        <v>0</v>
      </c>
    </row>
    <row r="1241" spans="1:14" s="16" customFormat="1" ht="47.25">
      <c r="A1241" s="14"/>
      <c r="B1241" s="127" t="s">
        <v>780</v>
      </c>
      <c r="C1241" s="130" t="s">
        <v>746</v>
      </c>
      <c r="D1241" s="131" t="s">
        <v>238</v>
      </c>
      <c r="E1241" s="131" t="s">
        <v>11</v>
      </c>
      <c r="F1241" s="131" t="s">
        <v>781</v>
      </c>
      <c r="G1241" s="131" t="s">
        <v>9</v>
      </c>
      <c r="H1241" s="105">
        <v>0</v>
      </c>
      <c r="I1241" s="105">
        <v>0</v>
      </c>
      <c r="J1241" s="131">
        <v>710121130</v>
      </c>
      <c r="K1241" s="108" t="str">
        <f t="shared" si="57"/>
        <v>0710121130</v>
      </c>
      <c r="L1241" s="303" t="str">
        <f t="shared" si="58"/>
        <v>61708010710121130000</v>
      </c>
      <c r="M1241" s="132" t="str">
        <f>INDEX('реш СГД № 265'!$A:$N,MATCH('БА расх 2019-2020'!$L1241,'реш СГД № 265'!$N:$N,0),3)</f>
        <v>Расходы на размещение информационных баннеров на лайтбоксах на остановочных пунктах в городе Ставрополе</v>
      </c>
      <c r="N1241" s="17">
        <f t="shared" si="59"/>
        <v>1</v>
      </c>
    </row>
    <row r="1242" spans="1:14" ht="31.5">
      <c r="B1242" s="125" t="s">
        <v>28</v>
      </c>
      <c r="C1242" s="130" t="s">
        <v>746</v>
      </c>
      <c r="D1242" s="131" t="s">
        <v>238</v>
      </c>
      <c r="E1242" s="131" t="s">
        <v>11</v>
      </c>
      <c r="F1242" s="131" t="s">
        <v>781</v>
      </c>
      <c r="G1242" s="131" t="s">
        <v>29</v>
      </c>
      <c r="H1242" s="126">
        <v>0</v>
      </c>
      <c r="I1242" s="126">
        <v>0</v>
      </c>
      <c r="J1242" s="131">
        <v>710121130</v>
      </c>
      <c r="K1242" s="108" t="str">
        <f t="shared" si="57"/>
        <v>0710121130</v>
      </c>
      <c r="L1242" s="303" t="str">
        <f t="shared" si="58"/>
        <v>61708010710121130240</v>
      </c>
      <c r="M1242" s="132" t="str">
        <f>INDEX('реш СГД № 265'!$A:$N,MATCH('БА расх 2019-2020'!$L1242,'реш СГД № 265'!$N:$N,0),3)</f>
        <v>Иные закупки товаров, работ и услуг для обеспечения государственных (муниципальных) нужд</v>
      </c>
      <c r="N1242" s="17">
        <f t="shared" si="59"/>
        <v>1</v>
      </c>
    </row>
    <row r="1243" spans="1:14" ht="15.75">
      <c r="B1243" s="125" t="s">
        <v>30</v>
      </c>
      <c r="C1243" s="130" t="s">
        <v>746</v>
      </c>
      <c r="D1243" s="131" t="s">
        <v>238</v>
      </c>
      <c r="E1243" s="131" t="s">
        <v>11</v>
      </c>
      <c r="F1243" s="131" t="s">
        <v>781</v>
      </c>
      <c r="G1243" s="131" t="s">
        <v>31</v>
      </c>
      <c r="H1243" s="126">
        <v>0</v>
      </c>
      <c r="I1243" s="126">
        <v>0</v>
      </c>
      <c r="J1243" s="131">
        <v>710121130</v>
      </c>
      <c r="K1243" s="108" t="str">
        <f t="shared" si="57"/>
        <v>0710121130</v>
      </c>
      <c r="L1243" s="303" t="str">
        <f t="shared" si="58"/>
        <v>61708010710121130244</v>
      </c>
      <c r="M1243" s="132"/>
      <c r="N1243" s="17">
        <f t="shared" si="59"/>
        <v>0</v>
      </c>
    </row>
    <row r="1244" spans="1:14" ht="15.75">
      <c r="B1244" s="125"/>
      <c r="C1244" s="130"/>
      <c r="D1244" s="131"/>
      <c r="E1244" s="131"/>
      <c r="F1244" s="131"/>
      <c r="G1244" s="131"/>
      <c r="H1244" s="105"/>
      <c r="I1244" s="105"/>
      <c r="J1244" s="131"/>
      <c r="K1244" s="108" t="str">
        <f t="shared" si="57"/>
        <v>0000000000</v>
      </c>
      <c r="L1244" s="303" t="str">
        <f t="shared" si="58"/>
        <v>0000000000</v>
      </c>
      <c r="M1244" s="132">
        <f>INDEX('реш СГД № 265'!$A:$N,MATCH('БА расх 2019-2020'!$L1244,'реш СГД № 265'!$N:$N,0),3)</f>
        <v>0</v>
      </c>
      <c r="N1244" s="17">
        <f t="shared" si="59"/>
        <v>1</v>
      </c>
    </row>
    <row r="1245" spans="1:14" s="16" customFormat="1" ht="31.5">
      <c r="A1245" s="14"/>
      <c r="B1245" s="67" t="s">
        <v>782</v>
      </c>
      <c r="C1245" s="116" t="s">
        <v>783</v>
      </c>
      <c r="D1245" s="69" t="s">
        <v>7</v>
      </c>
      <c r="E1245" s="69" t="s">
        <v>7</v>
      </c>
      <c r="F1245" s="69" t="s">
        <v>8</v>
      </c>
      <c r="G1245" s="69" t="s">
        <v>9</v>
      </c>
      <c r="H1245" s="70">
        <v>0</v>
      </c>
      <c r="I1245" s="70">
        <v>0</v>
      </c>
      <c r="J1245" s="69">
        <v>0</v>
      </c>
      <c r="K1245" s="108" t="str">
        <f t="shared" si="57"/>
        <v>0000000000</v>
      </c>
      <c r="L1245" s="303" t="str">
        <f t="shared" si="58"/>
        <v>61800000000000000000</v>
      </c>
      <c r="M1245" s="132" t="str">
        <f>INDEX('реш СГД № 265'!$A:$N,MATCH('БА расх 2019-2020'!$L1245,'реш СГД № 265'!$N:$N,0),3)</f>
        <v>Администрация Октябрьского района города Ставрополя</v>
      </c>
      <c r="N1245" s="17">
        <f t="shared" si="59"/>
        <v>1</v>
      </c>
    </row>
    <row r="1246" spans="1:14" s="16" customFormat="1" ht="15.75">
      <c r="A1246" s="14"/>
      <c r="B1246" s="117" t="s">
        <v>10</v>
      </c>
      <c r="C1246" s="118" t="s">
        <v>783</v>
      </c>
      <c r="D1246" s="119" t="s">
        <v>11</v>
      </c>
      <c r="E1246" s="119" t="s">
        <v>7</v>
      </c>
      <c r="F1246" s="119" t="s">
        <v>8</v>
      </c>
      <c r="G1246" s="119" t="s">
        <v>9</v>
      </c>
      <c r="H1246" s="120">
        <v>0</v>
      </c>
      <c r="I1246" s="120">
        <v>0</v>
      </c>
      <c r="J1246" s="119">
        <v>0</v>
      </c>
      <c r="K1246" s="108" t="str">
        <f t="shared" si="57"/>
        <v>0000000000</v>
      </c>
      <c r="L1246" s="303" t="str">
        <f t="shared" si="58"/>
        <v>61801000000000000000</v>
      </c>
      <c r="M1246" s="132" t="str">
        <f>INDEX('реш СГД № 265'!$A:$N,MATCH('БА расх 2019-2020'!$L1246,'реш СГД № 265'!$N:$N,0),3)</f>
        <v>Общегосударственные вопросы</v>
      </c>
      <c r="N1246" s="17">
        <f t="shared" si="59"/>
        <v>1</v>
      </c>
    </row>
    <row r="1247" spans="1:14" s="16" customFormat="1" ht="63">
      <c r="A1247" s="14"/>
      <c r="B1247" s="121" t="s">
        <v>72</v>
      </c>
      <c r="C1247" s="122" t="s">
        <v>783</v>
      </c>
      <c r="D1247" s="123" t="s">
        <v>11</v>
      </c>
      <c r="E1247" s="123" t="s">
        <v>73</v>
      </c>
      <c r="F1247" s="123" t="s">
        <v>8</v>
      </c>
      <c r="G1247" s="123" t="s">
        <v>9</v>
      </c>
      <c r="H1247" s="124">
        <v>0</v>
      </c>
      <c r="I1247" s="124">
        <v>0</v>
      </c>
      <c r="J1247" s="123">
        <v>0</v>
      </c>
      <c r="K1247" s="108" t="str">
        <f t="shared" si="57"/>
        <v>0000000000</v>
      </c>
      <c r="L1247" s="303" t="str">
        <f t="shared" si="58"/>
        <v>61801040000000000000</v>
      </c>
      <c r="M1247" s="132" t="str">
        <f>INDEX('реш СГД № 265'!$A:$N,MATCH('БА расх 2019-2020'!$L1247,'реш СГД № 265'!$N:$N,0),3)</f>
        <v>Функционирование Правительства Российской Федерации, высших исполнительных органов государственной власти субъектов Российской Федерации, местных администраций</v>
      </c>
      <c r="N1247" s="17">
        <f t="shared" si="59"/>
        <v>1</v>
      </c>
    </row>
    <row r="1248" spans="1:14" s="16" customFormat="1" ht="31.5">
      <c r="A1248" s="14"/>
      <c r="B1248" s="125" t="s">
        <v>784</v>
      </c>
      <c r="C1248" s="109" t="s">
        <v>783</v>
      </c>
      <c r="D1248" s="108" t="s">
        <v>11</v>
      </c>
      <c r="E1248" s="108" t="s">
        <v>73</v>
      </c>
      <c r="F1248" s="108" t="s">
        <v>785</v>
      </c>
      <c r="G1248" s="108" t="s">
        <v>9</v>
      </c>
      <c r="H1248" s="126">
        <v>0</v>
      </c>
      <c r="I1248" s="126">
        <v>0</v>
      </c>
      <c r="J1248" s="108">
        <v>8100000000</v>
      </c>
      <c r="K1248" s="108" t="str">
        <f t="shared" si="57"/>
        <v>8100000000</v>
      </c>
      <c r="L1248" s="303" t="str">
        <f t="shared" si="58"/>
        <v>61801048100000000000</v>
      </c>
      <c r="M1248" s="132" t="str">
        <f>INDEX('реш СГД № 265'!$A:$N,MATCH('БА расх 2019-2020'!$L1248,'реш СГД № 265'!$N:$N,0),3)</f>
        <v>Обеспечение деятельности администрации Октябрьского района города Ставрополя</v>
      </c>
      <c r="N1248" s="17">
        <f t="shared" si="59"/>
        <v>1</v>
      </c>
    </row>
    <row r="1249" spans="1:14" s="16" customFormat="1" ht="47.25">
      <c r="A1249" s="14"/>
      <c r="B1249" s="125" t="s">
        <v>786</v>
      </c>
      <c r="C1249" s="109" t="s">
        <v>783</v>
      </c>
      <c r="D1249" s="108" t="s">
        <v>11</v>
      </c>
      <c r="E1249" s="108" t="s">
        <v>73</v>
      </c>
      <c r="F1249" s="108" t="s">
        <v>787</v>
      </c>
      <c r="G1249" s="108" t="s">
        <v>9</v>
      </c>
      <c r="H1249" s="126">
        <v>0</v>
      </c>
      <c r="I1249" s="126">
        <v>0</v>
      </c>
      <c r="J1249" s="108">
        <v>8110000000</v>
      </c>
      <c r="K1249" s="108" t="str">
        <f t="shared" si="57"/>
        <v>8110000000</v>
      </c>
      <c r="L1249" s="303" t="str">
        <f t="shared" si="58"/>
        <v>61801048110000000000</v>
      </c>
      <c r="M1249" s="132" t="str">
        <f>INDEX('реш СГД № 265'!$A:$N,MATCH('БА расх 2019-2020'!$L1249,'реш СГД № 265'!$N:$N,0),3)</f>
        <v>Непрограммные расходы в рамках обеспечения деятельности администрации Октябрьского района города Ставрополя</v>
      </c>
      <c r="N1249" s="17">
        <f t="shared" si="59"/>
        <v>1</v>
      </c>
    </row>
    <row r="1250" spans="1:14" s="16" customFormat="1" ht="31.5">
      <c r="A1250" s="14"/>
      <c r="B1250" s="125" t="s">
        <v>18</v>
      </c>
      <c r="C1250" s="109" t="s">
        <v>783</v>
      </c>
      <c r="D1250" s="108" t="s">
        <v>11</v>
      </c>
      <c r="E1250" s="108" t="s">
        <v>73</v>
      </c>
      <c r="F1250" s="108" t="s">
        <v>788</v>
      </c>
      <c r="G1250" s="108" t="s">
        <v>9</v>
      </c>
      <c r="H1250" s="126">
        <v>0</v>
      </c>
      <c r="I1250" s="126">
        <v>0</v>
      </c>
      <c r="J1250" s="108">
        <v>8110010010</v>
      </c>
      <c r="K1250" s="108" t="str">
        <f t="shared" si="57"/>
        <v>8110010010</v>
      </c>
      <c r="L1250" s="303" t="str">
        <f t="shared" si="58"/>
        <v>61801048110010010000</v>
      </c>
      <c r="M1250" s="132" t="str">
        <f>INDEX('реш СГД № 265'!$A:$N,MATCH('БА расх 2019-2020'!$L1250,'реш СГД № 265'!$N:$N,0),3)</f>
        <v>Расходы на обеспечение функций органов местного самоуправления города Ставрополя</v>
      </c>
      <c r="N1250" s="17">
        <f t="shared" si="59"/>
        <v>1</v>
      </c>
    </row>
    <row r="1251" spans="1:14" s="16" customFormat="1" ht="31.5">
      <c r="A1251" s="14"/>
      <c r="B1251" s="129" t="s">
        <v>20</v>
      </c>
      <c r="C1251" s="109" t="s">
        <v>783</v>
      </c>
      <c r="D1251" s="108" t="s">
        <v>11</v>
      </c>
      <c r="E1251" s="108" t="s">
        <v>73</v>
      </c>
      <c r="F1251" s="108" t="s">
        <v>788</v>
      </c>
      <c r="G1251" s="108" t="s">
        <v>21</v>
      </c>
      <c r="H1251" s="126">
        <v>0</v>
      </c>
      <c r="I1251" s="126">
        <v>0</v>
      </c>
      <c r="J1251" s="108">
        <v>8110010010</v>
      </c>
      <c r="K1251" s="108" t="str">
        <f t="shared" si="57"/>
        <v>8110010010</v>
      </c>
      <c r="L1251" s="303" t="str">
        <f t="shared" si="58"/>
        <v>61801048110010010120</v>
      </c>
      <c r="M1251" s="132" t="str">
        <f>INDEX('реш СГД № 265'!$A:$N,MATCH('БА расх 2019-2020'!$L1251,'реш СГД № 265'!$N:$N,0),3)</f>
        <v>Расходы на выплаты персоналу государственных (муниципальных) органов</v>
      </c>
      <c r="N1251" s="17">
        <f t="shared" si="59"/>
        <v>1</v>
      </c>
    </row>
    <row r="1252" spans="1:14" s="23" customFormat="1" ht="47.25">
      <c r="A1252" s="21"/>
      <c r="B1252" s="127" t="s">
        <v>22</v>
      </c>
      <c r="C1252" s="109" t="s">
        <v>783</v>
      </c>
      <c r="D1252" s="108" t="s">
        <v>11</v>
      </c>
      <c r="E1252" s="108" t="s">
        <v>73</v>
      </c>
      <c r="F1252" s="108" t="s">
        <v>788</v>
      </c>
      <c r="G1252" s="108" t="s">
        <v>23</v>
      </c>
      <c r="H1252" s="126">
        <v>0</v>
      </c>
      <c r="I1252" s="126">
        <v>0</v>
      </c>
      <c r="J1252" s="108">
        <v>8110010010</v>
      </c>
      <c r="K1252" s="108" t="str">
        <f t="shared" si="57"/>
        <v>8110010010</v>
      </c>
      <c r="L1252" s="303" t="str">
        <f t="shared" si="58"/>
        <v>61801048110010010122</v>
      </c>
      <c r="M1252" s="132"/>
      <c r="N1252" s="17">
        <f t="shared" si="59"/>
        <v>0</v>
      </c>
    </row>
    <row r="1253" spans="1:14" s="23" customFormat="1" ht="63">
      <c r="A1253" s="21"/>
      <c r="B1253" s="127" t="s">
        <v>26</v>
      </c>
      <c r="C1253" s="109" t="s">
        <v>783</v>
      </c>
      <c r="D1253" s="108" t="s">
        <v>11</v>
      </c>
      <c r="E1253" s="108" t="s">
        <v>73</v>
      </c>
      <c r="F1253" s="108" t="s">
        <v>788</v>
      </c>
      <c r="G1253" s="108" t="s">
        <v>27</v>
      </c>
      <c r="H1253" s="126">
        <v>0</v>
      </c>
      <c r="I1253" s="126">
        <v>0</v>
      </c>
      <c r="J1253" s="108">
        <v>8110010010</v>
      </c>
      <c r="K1253" s="108" t="str">
        <f t="shared" si="57"/>
        <v>8110010010</v>
      </c>
      <c r="L1253" s="303" t="str">
        <f t="shared" si="58"/>
        <v>61801048110010010129</v>
      </c>
      <c r="M1253" s="132"/>
      <c r="N1253" s="17">
        <f t="shared" si="59"/>
        <v>0</v>
      </c>
    </row>
    <row r="1254" spans="1:14" s="16" customFormat="1" ht="31.5">
      <c r="A1254" s="14"/>
      <c r="B1254" s="125" t="s">
        <v>28</v>
      </c>
      <c r="C1254" s="109" t="s">
        <v>783</v>
      </c>
      <c r="D1254" s="108" t="s">
        <v>11</v>
      </c>
      <c r="E1254" s="108" t="s">
        <v>73</v>
      </c>
      <c r="F1254" s="108" t="s">
        <v>788</v>
      </c>
      <c r="G1254" s="108" t="s">
        <v>29</v>
      </c>
      <c r="H1254" s="126">
        <v>0</v>
      </c>
      <c r="I1254" s="126">
        <v>0</v>
      </c>
      <c r="J1254" s="108">
        <v>8110010010</v>
      </c>
      <c r="K1254" s="108" t="str">
        <f t="shared" si="57"/>
        <v>8110010010</v>
      </c>
      <c r="L1254" s="303" t="str">
        <f t="shared" si="58"/>
        <v>61801048110010010240</v>
      </c>
      <c r="M1254" s="132" t="str">
        <f>INDEX('реш СГД № 265'!$A:$N,MATCH('БА расх 2019-2020'!$L1254,'реш СГД № 265'!$N:$N,0),3)</f>
        <v>Иные закупки товаров, работ и услуг для обеспечения государственных (муниципальных) нужд</v>
      </c>
      <c r="N1254" s="17">
        <f t="shared" si="59"/>
        <v>1</v>
      </c>
    </row>
    <row r="1255" spans="1:14" s="16" customFormat="1" ht="15.75">
      <c r="A1255" s="14"/>
      <c r="B1255" s="125" t="s">
        <v>30</v>
      </c>
      <c r="C1255" s="109" t="s">
        <v>783</v>
      </c>
      <c r="D1255" s="108" t="s">
        <v>11</v>
      </c>
      <c r="E1255" s="108" t="s">
        <v>73</v>
      </c>
      <c r="F1255" s="108" t="s">
        <v>788</v>
      </c>
      <c r="G1255" s="108" t="s">
        <v>31</v>
      </c>
      <c r="H1255" s="126">
        <v>0</v>
      </c>
      <c r="I1255" s="126">
        <v>0</v>
      </c>
      <c r="J1255" s="108">
        <v>8110010010</v>
      </c>
      <c r="K1255" s="108" t="str">
        <f t="shared" si="57"/>
        <v>8110010010</v>
      </c>
      <c r="L1255" s="303" t="str">
        <f t="shared" si="58"/>
        <v>61801048110010010244</v>
      </c>
      <c r="M1255" s="132"/>
      <c r="N1255" s="17">
        <f t="shared" si="59"/>
        <v>0</v>
      </c>
    </row>
    <row r="1256" spans="1:14" s="16" customFormat="1" ht="15.75">
      <c r="A1256" s="14"/>
      <c r="B1256" s="125" t="s">
        <v>32</v>
      </c>
      <c r="C1256" s="109" t="s">
        <v>783</v>
      </c>
      <c r="D1256" s="108" t="s">
        <v>11</v>
      </c>
      <c r="E1256" s="108" t="s">
        <v>73</v>
      </c>
      <c r="F1256" s="108" t="s">
        <v>788</v>
      </c>
      <c r="G1256" s="108" t="s">
        <v>33</v>
      </c>
      <c r="H1256" s="126">
        <v>0</v>
      </c>
      <c r="I1256" s="126">
        <v>0</v>
      </c>
      <c r="J1256" s="108">
        <v>8110010010</v>
      </c>
      <c r="K1256" s="108" t="str">
        <f t="shared" si="57"/>
        <v>8110010010</v>
      </c>
      <c r="L1256" s="303" t="str">
        <f t="shared" si="58"/>
        <v>61801048110010010850</v>
      </c>
      <c r="M1256" s="132" t="str">
        <f>INDEX('реш СГД № 265'!$A:$N,MATCH('БА расх 2019-2020'!$L1256,'реш СГД № 265'!$N:$N,0),3)</f>
        <v>Уплата налогов, сборов и иных платежей</v>
      </c>
      <c r="N1256" s="17">
        <f t="shared" si="59"/>
        <v>1</v>
      </c>
    </row>
    <row r="1257" spans="1:14" s="23" customFormat="1" ht="31.5">
      <c r="A1257" s="21"/>
      <c r="B1257" s="127" t="s">
        <v>34</v>
      </c>
      <c r="C1257" s="109" t="s">
        <v>783</v>
      </c>
      <c r="D1257" s="108" t="s">
        <v>11</v>
      </c>
      <c r="E1257" s="108" t="s">
        <v>73</v>
      </c>
      <c r="F1257" s="108" t="s">
        <v>788</v>
      </c>
      <c r="G1257" s="108" t="s">
        <v>35</v>
      </c>
      <c r="H1257" s="126">
        <v>0</v>
      </c>
      <c r="I1257" s="126">
        <v>0</v>
      </c>
      <c r="J1257" s="108">
        <v>8110010010</v>
      </c>
      <c r="K1257" s="108" t="str">
        <f t="shared" si="57"/>
        <v>8110010010</v>
      </c>
      <c r="L1257" s="303" t="str">
        <f t="shared" si="58"/>
        <v>61801048110010010851</v>
      </c>
      <c r="M1257" s="132"/>
      <c r="N1257" s="17">
        <f t="shared" si="59"/>
        <v>0</v>
      </c>
    </row>
    <row r="1258" spans="1:14" s="23" customFormat="1" ht="15.75">
      <c r="A1258" s="21"/>
      <c r="B1258" s="127" t="s">
        <v>36</v>
      </c>
      <c r="C1258" s="109" t="s">
        <v>783</v>
      </c>
      <c r="D1258" s="108" t="s">
        <v>11</v>
      </c>
      <c r="E1258" s="108" t="s">
        <v>73</v>
      </c>
      <c r="F1258" s="108" t="s">
        <v>788</v>
      </c>
      <c r="G1258" s="108" t="s">
        <v>37</v>
      </c>
      <c r="H1258" s="126">
        <v>0</v>
      </c>
      <c r="I1258" s="126">
        <v>0</v>
      </c>
      <c r="J1258" s="108">
        <v>8110010010</v>
      </c>
      <c r="K1258" s="108" t="str">
        <f t="shared" si="57"/>
        <v>8110010010</v>
      </c>
      <c r="L1258" s="303" t="str">
        <f t="shared" si="58"/>
        <v>61801048110010010852</v>
      </c>
      <c r="M1258" s="132"/>
      <c r="N1258" s="17">
        <f t="shared" si="59"/>
        <v>0</v>
      </c>
    </row>
    <row r="1259" spans="1:14" s="16" customFormat="1" ht="31.5">
      <c r="A1259" s="14"/>
      <c r="B1259" s="129" t="s">
        <v>789</v>
      </c>
      <c r="C1259" s="109" t="s">
        <v>783</v>
      </c>
      <c r="D1259" s="108" t="s">
        <v>11</v>
      </c>
      <c r="E1259" s="108" t="s">
        <v>73</v>
      </c>
      <c r="F1259" s="108" t="s">
        <v>790</v>
      </c>
      <c r="G1259" s="108" t="s">
        <v>9</v>
      </c>
      <c r="H1259" s="126">
        <v>0</v>
      </c>
      <c r="I1259" s="126">
        <v>0</v>
      </c>
      <c r="J1259" s="108">
        <v>8110010020</v>
      </c>
      <c r="K1259" s="108" t="str">
        <f t="shared" si="57"/>
        <v>8110010020</v>
      </c>
      <c r="L1259" s="303" t="str">
        <f t="shared" si="58"/>
        <v>61801048110010020000</v>
      </c>
      <c r="M1259" s="132" t="str">
        <f>INDEX('реш СГД № 265'!$A:$N,MATCH('БА расх 2019-2020'!$L1259,'реш СГД № 265'!$N:$N,0),3)</f>
        <v>Расходы на выплаты по оплате труда работников  органов местного самоуправления города Ставрополя</v>
      </c>
      <c r="N1259" s="17">
        <f t="shared" si="59"/>
        <v>1</v>
      </c>
    </row>
    <row r="1260" spans="1:14" s="16" customFormat="1" ht="31.5">
      <c r="A1260" s="14"/>
      <c r="B1260" s="129" t="s">
        <v>20</v>
      </c>
      <c r="C1260" s="109" t="s">
        <v>783</v>
      </c>
      <c r="D1260" s="108" t="s">
        <v>11</v>
      </c>
      <c r="E1260" s="108" t="s">
        <v>73</v>
      </c>
      <c r="F1260" s="108" t="s">
        <v>790</v>
      </c>
      <c r="G1260" s="108" t="s">
        <v>21</v>
      </c>
      <c r="H1260" s="126">
        <v>0</v>
      </c>
      <c r="I1260" s="126">
        <v>0</v>
      </c>
      <c r="J1260" s="108">
        <v>8110010020</v>
      </c>
      <c r="K1260" s="108" t="str">
        <f t="shared" si="57"/>
        <v>8110010020</v>
      </c>
      <c r="L1260" s="303" t="str">
        <f t="shared" si="58"/>
        <v>61801048110010020120</v>
      </c>
      <c r="M1260" s="132" t="str">
        <f>INDEX('реш СГД № 265'!$A:$N,MATCH('БА расх 2019-2020'!$L1260,'реш СГД № 265'!$N:$N,0),3)</f>
        <v>Расходы на выплаты персоналу государственных (муниципальных) органов</v>
      </c>
      <c r="N1260" s="17">
        <f t="shared" si="59"/>
        <v>1</v>
      </c>
    </row>
    <row r="1261" spans="1:14" s="23" customFormat="1" ht="31.5">
      <c r="A1261" s="21"/>
      <c r="B1261" s="127" t="s">
        <v>40</v>
      </c>
      <c r="C1261" s="109" t="s">
        <v>783</v>
      </c>
      <c r="D1261" s="108" t="s">
        <v>11</v>
      </c>
      <c r="E1261" s="108" t="s">
        <v>73</v>
      </c>
      <c r="F1261" s="108" t="s">
        <v>790</v>
      </c>
      <c r="G1261" s="108" t="s">
        <v>41</v>
      </c>
      <c r="H1261" s="126">
        <v>0</v>
      </c>
      <c r="I1261" s="126">
        <v>0</v>
      </c>
      <c r="J1261" s="108">
        <v>8110010020</v>
      </c>
      <c r="K1261" s="108" t="str">
        <f t="shared" si="57"/>
        <v>8110010020</v>
      </c>
      <c r="L1261" s="303" t="str">
        <f t="shared" si="58"/>
        <v>61801048110010020121</v>
      </c>
      <c r="M1261" s="132"/>
      <c r="N1261" s="17">
        <f t="shared" si="59"/>
        <v>0</v>
      </c>
    </row>
    <row r="1262" spans="1:14" s="23" customFormat="1" ht="63">
      <c r="A1262" s="21"/>
      <c r="B1262" s="127" t="s">
        <v>26</v>
      </c>
      <c r="C1262" s="109" t="s">
        <v>783</v>
      </c>
      <c r="D1262" s="108" t="s">
        <v>11</v>
      </c>
      <c r="E1262" s="108" t="s">
        <v>73</v>
      </c>
      <c r="F1262" s="108" t="s">
        <v>790</v>
      </c>
      <c r="G1262" s="108" t="s">
        <v>27</v>
      </c>
      <c r="H1262" s="126">
        <v>0</v>
      </c>
      <c r="I1262" s="126">
        <v>0</v>
      </c>
      <c r="J1262" s="108">
        <v>8110010020</v>
      </c>
      <c r="K1262" s="108" t="str">
        <f t="shared" si="57"/>
        <v>8110010020</v>
      </c>
      <c r="L1262" s="303" t="str">
        <f t="shared" si="58"/>
        <v>61801048110010020129</v>
      </c>
      <c r="M1262" s="132"/>
      <c r="N1262" s="17">
        <f t="shared" si="59"/>
        <v>0</v>
      </c>
    </row>
    <row r="1263" spans="1:14" s="16" customFormat="1" ht="63">
      <c r="A1263" s="14" t="s">
        <v>80</v>
      </c>
      <c r="B1263" s="150" t="s">
        <v>488</v>
      </c>
      <c r="C1263" s="109" t="s">
        <v>783</v>
      </c>
      <c r="D1263" s="108" t="s">
        <v>11</v>
      </c>
      <c r="E1263" s="108" t="s">
        <v>73</v>
      </c>
      <c r="F1263" s="108" t="s">
        <v>791</v>
      </c>
      <c r="G1263" s="108" t="s">
        <v>9</v>
      </c>
      <c r="H1263" s="126">
        <v>0</v>
      </c>
      <c r="I1263" s="126">
        <v>0</v>
      </c>
      <c r="J1263" s="108">
        <v>8110076200</v>
      </c>
      <c r="K1263" s="108" t="str">
        <f t="shared" si="57"/>
        <v>8110076200</v>
      </c>
      <c r="L1263" s="303" t="str">
        <f t="shared" si="58"/>
        <v>61801048110076200000</v>
      </c>
      <c r="M1263" s="132" t="str">
        <f>INDEX('реш СГД № 265'!$A:$N,MATCH('БА расх 2019-2020'!$L1263,'реш СГД № 265'!$N:$N,0),3)</f>
        <v>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v>
      </c>
      <c r="N1263" s="17">
        <f t="shared" si="59"/>
        <v>1</v>
      </c>
    </row>
    <row r="1264" spans="1:14" s="16" customFormat="1" ht="31.5">
      <c r="A1264" s="14"/>
      <c r="B1264" s="129" t="s">
        <v>20</v>
      </c>
      <c r="C1264" s="109" t="s">
        <v>783</v>
      </c>
      <c r="D1264" s="108" t="s">
        <v>11</v>
      </c>
      <c r="E1264" s="108" t="s">
        <v>73</v>
      </c>
      <c r="F1264" s="108" t="s">
        <v>791</v>
      </c>
      <c r="G1264" s="108" t="s">
        <v>21</v>
      </c>
      <c r="H1264" s="126">
        <v>0</v>
      </c>
      <c r="I1264" s="126">
        <v>0</v>
      </c>
      <c r="J1264" s="108">
        <v>8110076200</v>
      </c>
      <c r="K1264" s="108" t="str">
        <f t="shared" si="57"/>
        <v>8110076200</v>
      </c>
      <c r="L1264" s="303" t="str">
        <f t="shared" si="58"/>
        <v>61801048110076200120</v>
      </c>
      <c r="M1264" s="132" t="str">
        <f>INDEX('реш СГД № 265'!$A:$N,MATCH('БА расх 2019-2020'!$L1264,'реш СГД № 265'!$N:$N,0),3)</f>
        <v>Расходы на выплаты персоналу государственных (муниципальных) органов</v>
      </c>
      <c r="N1264" s="17">
        <f t="shared" si="59"/>
        <v>1</v>
      </c>
    </row>
    <row r="1265" spans="1:14" s="16" customFormat="1" ht="31.5">
      <c r="A1265" s="14"/>
      <c r="B1265" s="127" t="s">
        <v>40</v>
      </c>
      <c r="C1265" s="109" t="s">
        <v>783</v>
      </c>
      <c r="D1265" s="108" t="s">
        <v>11</v>
      </c>
      <c r="E1265" s="108" t="s">
        <v>73</v>
      </c>
      <c r="F1265" s="108" t="s">
        <v>791</v>
      </c>
      <c r="G1265" s="108" t="s">
        <v>41</v>
      </c>
      <c r="H1265" s="126">
        <v>0</v>
      </c>
      <c r="I1265" s="126">
        <v>0</v>
      </c>
      <c r="J1265" s="108">
        <v>8110076200</v>
      </c>
      <c r="K1265" s="108" t="str">
        <f t="shared" si="57"/>
        <v>8110076200</v>
      </c>
      <c r="L1265" s="303" t="str">
        <f t="shared" si="58"/>
        <v>61801048110076200121</v>
      </c>
      <c r="M1265" s="132"/>
      <c r="N1265" s="17">
        <f t="shared" si="59"/>
        <v>0</v>
      </c>
    </row>
    <row r="1266" spans="1:14" s="23" customFormat="1" ht="47.25">
      <c r="A1266" s="21"/>
      <c r="B1266" s="127" t="s">
        <v>22</v>
      </c>
      <c r="C1266" s="109" t="s">
        <v>783</v>
      </c>
      <c r="D1266" s="108" t="s">
        <v>11</v>
      </c>
      <c r="E1266" s="108" t="s">
        <v>73</v>
      </c>
      <c r="F1266" s="108" t="s">
        <v>791</v>
      </c>
      <c r="G1266" s="108" t="s">
        <v>23</v>
      </c>
      <c r="H1266" s="126">
        <v>0</v>
      </c>
      <c r="I1266" s="126">
        <v>0</v>
      </c>
      <c r="J1266" s="108">
        <v>8110076200</v>
      </c>
      <c r="K1266" s="108" t="str">
        <f t="shared" si="57"/>
        <v>8110076200</v>
      </c>
      <c r="L1266" s="303" t="str">
        <f t="shared" si="58"/>
        <v>61801048110076200122</v>
      </c>
      <c r="M1266" s="132"/>
      <c r="N1266" s="17">
        <f t="shared" si="59"/>
        <v>0</v>
      </c>
    </row>
    <row r="1267" spans="1:14" s="23" customFormat="1" ht="63">
      <c r="A1267" s="21"/>
      <c r="B1267" s="127" t="s">
        <v>26</v>
      </c>
      <c r="C1267" s="109" t="s">
        <v>783</v>
      </c>
      <c r="D1267" s="108" t="s">
        <v>11</v>
      </c>
      <c r="E1267" s="108" t="s">
        <v>73</v>
      </c>
      <c r="F1267" s="108" t="s">
        <v>791</v>
      </c>
      <c r="G1267" s="108" t="s">
        <v>27</v>
      </c>
      <c r="H1267" s="126">
        <v>0</v>
      </c>
      <c r="I1267" s="126">
        <v>0</v>
      </c>
      <c r="J1267" s="108">
        <v>8110076200</v>
      </c>
      <c r="K1267" s="108" t="str">
        <f t="shared" si="57"/>
        <v>8110076200</v>
      </c>
      <c r="L1267" s="303" t="str">
        <f t="shared" si="58"/>
        <v>61801048110076200129</v>
      </c>
      <c r="M1267" s="132"/>
      <c r="N1267" s="17">
        <f t="shared" si="59"/>
        <v>0</v>
      </c>
    </row>
    <row r="1268" spans="1:14" s="16" customFormat="1" ht="31.5">
      <c r="A1268" s="14"/>
      <c r="B1268" s="125" t="s">
        <v>28</v>
      </c>
      <c r="C1268" s="109" t="s">
        <v>783</v>
      </c>
      <c r="D1268" s="108" t="s">
        <v>11</v>
      </c>
      <c r="E1268" s="108" t="s">
        <v>73</v>
      </c>
      <c r="F1268" s="108" t="s">
        <v>791</v>
      </c>
      <c r="G1268" s="108" t="s">
        <v>29</v>
      </c>
      <c r="H1268" s="126">
        <v>0</v>
      </c>
      <c r="I1268" s="126">
        <v>0</v>
      </c>
      <c r="J1268" s="108">
        <v>8110076200</v>
      </c>
      <c r="K1268" s="108" t="str">
        <f t="shared" si="57"/>
        <v>8110076200</v>
      </c>
      <c r="L1268" s="303" t="str">
        <f t="shared" si="58"/>
        <v>61801048110076200240</v>
      </c>
      <c r="M1268" s="132" t="str">
        <f>INDEX('реш СГД № 265'!$A:$N,MATCH('БА расх 2019-2020'!$L1268,'реш СГД № 265'!$N:$N,0),3)</f>
        <v>Иные закупки товаров, работ и услуг для обеспечения государственных (муниципальных) нужд</v>
      </c>
      <c r="N1268" s="17">
        <f t="shared" si="59"/>
        <v>1</v>
      </c>
    </row>
    <row r="1269" spans="1:14" s="16" customFormat="1" ht="15.75">
      <c r="A1269" s="14"/>
      <c r="B1269" s="125" t="s">
        <v>30</v>
      </c>
      <c r="C1269" s="109" t="s">
        <v>783</v>
      </c>
      <c r="D1269" s="108" t="s">
        <v>11</v>
      </c>
      <c r="E1269" s="108" t="s">
        <v>73</v>
      </c>
      <c r="F1269" s="108" t="s">
        <v>791</v>
      </c>
      <c r="G1269" s="108" t="s">
        <v>31</v>
      </c>
      <c r="H1269" s="126">
        <v>0</v>
      </c>
      <c r="I1269" s="126">
        <v>0</v>
      </c>
      <c r="J1269" s="108">
        <v>8110076200</v>
      </c>
      <c r="K1269" s="108" t="str">
        <f t="shared" si="57"/>
        <v>8110076200</v>
      </c>
      <c r="L1269" s="303" t="str">
        <f t="shared" si="58"/>
        <v>61801048110076200244</v>
      </c>
      <c r="M1269" s="132"/>
      <c r="N1269" s="17">
        <f t="shared" si="59"/>
        <v>0</v>
      </c>
    </row>
    <row r="1270" spans="1:14" s="16" customFormat="1" ht="63">
      <c r="A1270" s="14" t="s">
        <v>80</v>
      </c>
      <c r="B1270" s="129" t="s">
        <v>754</v>
      </c>
      <c r="C1270" s="109" t="s">
        <v>783</v>
      </c>
      <c r="D1270" s="108" t="s">
        <v>11</v>
      </c>
      <c r="E1270" s="108" t="s">
        <v>73</v>
      </c>
      <c r="F1270" s="108" t="s">
        <v>792</v>
      </c>
      <c r="G1270" s="108" t="s">
        <v>9</v>
      </c>
      <c r="H1270" s="126">
        <v>0</v>
      </c>
      <c r="I1270" s="126">
        <v>0</v>
      </c>
      <c r="J1270" s="108">
        <v>8110076360</v>
      </c>
      <c r="K1270" s="108" t="str">
        <f t="shared" si="57"/>
        <v>8110076360</v>
      </c>
      <c r="L1270" s="303" t="str">
        <f t="shared" si="58"/>
        <v>61801048110076360000</v>
      </c>
      <c r="M1270" s="132" t="str">
        <f>INDEX('реш СГД № 265'!$A:$N,MATCH('БА расх 2019-2020'!$L1270,'реш СГД № 265'!$N:$N,0),3)</f>
        <v>Расходы на осуществление переданных государственных полномочий Ставропольского края по созданию и организации деятельности комиссий по делам несовершеннолетних и защите их прав</v>
      </c>
      <c r="N1270" s="17">
        <f t="shared" si="59"/>
        <v>1</v>
      </c>
    </row>
    <row r="1271" spans="1:14" s="16" customFormat="1" ht="31.5">
      <c r="A1271" s="14"/>
      <c r="B1271" s="125" t="s">
        <v>28</v>
      </c>
      <c r="C1271" s="109" t="s">
        <v>783</v>
      </c>
      <c r="D1271" s="108" t="s">
        <v>11</v>
      </c>
      <c r="E1271" s="108" t="s">
        <v>73</v>
      </c>
      <c r="F1271" s="108" t="s">
        <v>792</v>
      </c>
      <c r="G1271" s="108" t="s">
        <v>29</v>
      </c>
      <c r="H1271" s="126">
        <v>0</v>
      </c>
      <c r="I1271" s="126">
        <v>0</v>
      </c>
      <c r="J1271" s="108">
        <v>8110076360</v>
      </c>
      <c r="K1271" s="108" t="str">
        <f t="shared" si="57"/>
        <v>8110076360</v>
      </c>
      <c r="L1271" s="303" t="str">
        <f t="shared" si="58"/>
        <v>61801048110076360240</v>
      </c>
      <c r="M1271" s="132" t="str">
        <f>INDEX('реш СГД № 265'!$A:$N,MATCH('БА расх 2019-2020'!$L1271,'реш СГД № 265'!$N:$N,0),3)</f>
        <v>Иные закупки товаров, работ и услуг для обеспечения государственных (муниципальных) нужд</v>
      </c>
      <c r="N1271" s="17">
        <f t="shared" si="59"/>
        <v>1</v>
      </c>
    </row>
    <row r="1272" spans="1:14" s="16" customFormat="1" ht="15.75">
      <c r="A1272" s="14"/>
      <c r="B1272" s="125" t="s">
        <v>30</v>
      </c>
      <c r="C1272" s="109" t="s">
        <v>783</v>
      </c>
      <c r="D1272" s="108" t="s">
        <v>11</v>
      </c>
      <c r="E1272" s="108" t="s">
        <v>73</v>
      </c>
      <c r="F1272" s="108" t="s">
        <v>792</v>
      </c>
      <c r="G1272" s="108" t="s">
        <v>31</v>
      </c>
      <c r="H1272" s="126">
        <v>0</v>
      </c>
      <c r="I1272" s="126">
        <v>0</v>
      </c>
      <c r="J1272" s="108">
        <v>8110076360</v>
      </c>
      <c r="K1272" s="108" t="str">
        <f t="shared" si="57"/>
        <v>8110076360</v>
      </c>
      <c r="L1272" s="303" t="str">
        <f t="shared" si="58"/>
        <v>61801048110076360244</v>
      </c>
      <c r="M1272" s="132"/>
      <c r="N1272" s="17">
        <f t="shared" si="59"/>
        <v>0</v>
      </c>
    </row>
    <row r="1273" spans="1:14" s="16" customFormat="1" ht="15.75">
      <c r="A1273" s="14"/>
      <c r="B1273" s="121" t="s">
        <v>50</v>
      </c>
      <c r="C1273" s="122" t="s">
        <v>783</v>
      </c>
      <c r="D1273" s="123" t="s">
        <v>11</v>
      </c>
      <c r="E1273" s="123" t="s">
        <v>51</v>
      </c>
      <c r="F1273" s="123" t="s">
        <v>8</v>
      </c>
      <c r="G1273" s="123" t="s">
        <v>9</v>
      </c>
      <c r="H1273" s="124">
        <v>0</v>
      </c>
      <c r="I1273" s="124">
        <v>0</v>
      </c>
      <c r="J1273" s="123">
        <v>0</v>
      </c>
      <c r="K1273" s="108" t="str">
        <f t="shared" si="57"/>
        <v>0000000000</v>
      </c>
      <c r="L1273" s="303" t="str">
        <f t="shared" si="58"/>
        <v>61801130000000000000</v>
      </c>
      <c r="M1273" s="132" t="str">
        <f>INDEX('реш СГД № 265'!$A:$N,MATCH('БА расх 2019-2020'!$L1273,'реш СГД № 265'!$N:$N,0),3)</f>
        <v>Другие общегосударственные вопросы</v>
      </c>
      <c r="N1273" s="17">
        <f t="shared" si="59"/>
        <v>1</v>
      </c>
    </row>
    <row r="1274" spans="1:14" s="16" customFormat="1" ht="63">
      <c r="A1274" s="14"/>
      <c r="B1274" s="132" t="s">
        <v>257</v>
      </c>
      <c r="C1274" s="109" t="s">
        <v>783</v>
      </c>
      <c r="D1274" s="108" t="s">
        <v>11</v>
      </c>
      <c r="E1274" s="108" t="s">
        <v>51</v>
      </c>
      <c r="F1274" s="108" t="s">
        <v>258</v>
      </c>
      <c r="G1274" s="108" t="s">
        <v>9</v>
      </c>
      <c r="H1274" s="126">
        <v>0</v>
      </c>
      <c r="I1274" s="126">
        <v>0</v>
      </c>
      <c r="J1274" s="108">
        <v>1100000000</v>
      </c>
      <c r="K1274" s="108" t="str">
        <f t="shared" si="57"/>
        <v>1100000000</v>
      </c>
      <c r="L1274" s="303" t="str">
        <f t="shared" si="58"/>
        <v>61801131100000000000</v>
      </c>
      <c r="M1274" s="132" t="str">
        <f>INDEX('реш СГД № 265'!$A:$N,MATCH('БА расх 2019-2020'!$L1274,'реш СГД № 265'!$N:$N,0),3)</f>
        <v>Муниципальная программа  «Управление и распоряжение имуществом, находящимся в муниципальной собственности города Ставрополя, в том числе земельными ресурсами»</v>
      </c>
      <c r="N1274" s="17">
        <f t="shared" si="59"/>
        <v>1</v>
      </c>
    </row>
    <row r="1275" spans="1:14" s="16" customFormat="1" ht="78.75">
      <c r="A1275" s="14"/>
      <c r="B1275" s="132" t="s">
        <v>259</v>
      </c>
      <c r="C1275" s="109" t="s">
        <v>783</v>
      </c>
      <c r="D1275" s="108" t="s">
        <v>11</v>
      </c>
      <c r="E1275" s="108" t="s">
        <v>51</v>
      </c>
      <c r="F1275" s="108" t="s">
        <v>260</v>
      </c>
      <c r="G1275" s="108" t="s">
        <v>9</v>
      </c>
      <c r="H1275" s="126">
        <v>0</v>
      </c>
      <c r="I1275" s="126">
        <v>0</v>
      </c>
      <c r="J1275" s="108" t="s">
        <v>1171</v>
      </c>
      <c r="K1275" s="108" t="str">
        <f t="shared" si="57"/>
        <v>11Б0000000</v>
      </c>
      <c r="L1275" s="303" t="str">
        <f t="shared" si="58"/>
        <v>618011311Б0000000000</v>
      </c>
      <c r="M1275" s="132" t="str">
        <f>INDEX('реш СГД № 265'!$A:$N,MATCH('БА расх 2019-2020'!$L1275,'реш СГД № 265'!$N:$N,0),3)</f>
        <v>Расходы в рамках реализации муниципальной программы «Управление и распоряжение  имуществом, находящимся в муниципальной собственности города Ставрополя, в том числе земельными ресурсами»</v>
      </c>
      <c r="N1275" s="17">
        <f t="shared" si="59"/>
        <v>1</v>
      </c>
    </row>
    <row r="1276" spans="1:14" s="16" customFormat="1" ht="47.25">
      <c r="A1276" s="14"/>
      <c r="B1276" s="155" t="s">
        <v>261</v>
      </c>
      <c r="C1276" s="108" t="s">
        <v>783</v>
      </c>
      <c r="D1276" s="108" t="s">
        <v>11</v>
      </c>
      <c r="E1276" s="108" t="s">
        <v>51</v>
      </c>
      <c r="F1276" s="108" t="s">
        <v>262</v>
      </c>
      <c r="G1276" s="108" t="s">
        <v>9</v>
      </c>
      <c r="H1276" s="126">
        <v>0</v>
      </c>
      <c r="I1276" s="126">
        <v>0</v>
      </c>
      <c r="J1276" s="108" t="s">
        <v>1172</v>
      </c>
      <c r="K1276" s="108" t="str">
        <f t="shared" si="57"/>
        <v>11Б0100000</v>
      </c>
      <c r="L1276" s="303" t="str">
        <f t="shared" si="58"/>
        <v>618011311Б0100000000</v>
      </c>
      <c r="M1276" s="132" t="str">
        <f>INDEX('реш СГД № 265'!$A:$N,MATCH('БА расх 2019-2020'!$L1276,'реш СГД № 265'!$N:$N,0),3)</f>
        <v>Основное мероприятие «Управление и распоряжение объектами недвижимого имущества, находящимися в муниципальной собственности города Ставрополя»</v>
      </c>
      <c r="N1276" s="17">
        <f t="shared" si="59"/>
        <v>1</v>
      </c>
    </row>
    <row r="1277" spans="1:14" s="16" customFormat="1" ht="31.5">
      <c r="A1277" s="14"/>
      <c r="B1277" s="125" t="s">
        <v>756</v>
      </c>
      <c r="C1277" s="109" t="s">
        <v>783</v>
      </c>
      <c r="D1277" s="108" t="s">
        <v>11</v>
      </c>
      <c r="E1277" s="108" t="s">
        <v>51</v>
      </c>
      <c r="F1277" s="108" t="s">
        <v>757</v>
      </c>
      <c r="G1277" s="108" t="s">
        <v>9</v>
      </c>
      <c r="H1277" s="126">
        <v>0</v>
      </c>
      <c r="I1277" s="126">
        <v>0</v>
      </c>
      <c r="J1277" s="108" t="s">
        <v>1230</v>
      </c>
      <c r="K1277" s="108" t="str">
        <f t="shared" si="57"/>
        <v>11Б0120840</v>
      </c>
      <c r="L1277" s="303" t="str">
        <f t="shared" si="58"/>
        <v>618011311Б0120840000</v>
      </c>
      <c r="M1277" s="132" t="str">
        <f>INDEX('реш СГД № 265'!$A:$N,MATCH('БА расх 2019-2020'!$L1277,'реш СГД № 265'!$N:$N,0),3)</f>
        <v>Расходы на содержание объектов муниципальной казны города Ставрополя в части жилых помещений</v>
      </c>
      <c r="N1277" s="17">
        <f t="shared" si="59"/>
        <v>1</v>
      </c>
    </row>
    <row r="1278" spans="1:14" s="16" customFormat="1" ht="31.5">
      <c r="A1278" s="14"/>
      <c r="B1278" s="125" t="s">
        <v>28</v>
      </c>
      <c r="C1278" s="109" t="s">
        <v>783</v>
      </c>
      <c r="D1278" s="108" t="s">
        <v>11</v>
      </c>
      <c r="E1278" s="108" t="s">
        <v>51</v>
      </c>
      <c r="F1278" s="108" t="s">
        <v>757</v>
      </c>
      <c r="G1278" s="108" t="s">
        <v>29</v>
      </c>
      <c r="H1278" s="126">
        <v>0</v>
      </c>
      <c r="I1278" s="126">
        <v>0</v>
      </c>
      <c r="J1278" s="108" t="s">
        <v>1230</v>
      </c>
      <c r="K1278" s="108" t="str">
        <f t="shared" si="57"/>
        <v>11Б0120840</v>
      </c>
      <c r="L1278" s="303" t="str">
        <f t="shared" si="58"/>
        <v>618011311Б0120840240</v>
      </c>
      <c r="M1278" s="132" t="str">
        <f>INDEX('реш СГД № 265'!$A:$N,MATCH('БА расх 2019-2020'!$L1278,'реш СГД № 265'!$N:$N,0),3)</f>
        <v>Иные закупки товаров, работ и услуг для обеспечения государственных (муниципальных) нужд</v>
      </c>
      <c r="N1278" s="17">
        <f t="shared" si="59"/>
        <v>1</v>
      </c>
    </row>
    <row r="1279" spans="1:14" s="16" customFormat="1" ht="15.75">
      <c r="A1279" s="14"/>
      <c r="B1279" s="125" t="s">
        <v>30</v>
      </c>
      <c r="C1279" s="109" t="s">
        <v>783</v>
      </c>
      <c r="D1279" s="108" t="s">
        <v>11</v>
      </c>
      <c r="E1279" s="108" t="s">
        <v>51</v>
      </c>
      <c r="F1279" s="108" t="s">
        <v>757</v>
      </c>
      <c r="G1279" s="108" t="s">
        <v>31</v>
      </c>
      <c r="H1279" s="126">
        <v>0</v>
      </c>
      <c r="I1279" s="126">
        <v>0</v>
      </c>
      <c r="J1279" s="108" t="s">
        <v>1230</v>
      </c>
      <c r="K1279" s="108" t="str">
        <f t="shared" si="57"/>
        <v>11Б0120840</v>
      </c>
      <c r="L1279" s="303" t="str">
        <f t="shared" si="58"/>
        <v>618011311Б0120840244</v>
      </c>
      <c r="M1279" s="132"/>
      <c r="N1279" s="17">
        <f t="shared" si="59"/>
        <v>0</v>
      </c>
    </row>
    <row r="1280" spans="1:14" s="16" customFormat="1" ht="15.75">
      <c r="A1280" s="14"/>
      <c r="B1280" s="117" t="s">
        <v>195</v>
      </c>
      <c r="C1280" s="118" t="s">
        <v>783</v>
      </c>
      <c r="D1280" s="119" t="s">
        <v>73</v>
      </c>
      <c r="E1280" s="119" t="s">
        <v>7</v>
      </c>
      <c r="F1280" s="119" t="s">
        <v>8</v>
      </c>
      <c r="G1280" s="119" t="s">
        <v>9</v>
      </c>
      <c r="H1280" s="120">
        <v>0</v>
      </c>
      <c r="I1280" s="120">
        <v>0</v>
      </c>
      <c r="J1280" s="119">
        <v>0</v>
      </c>
      <c r="K1280" s="108" t="str">
        <f t="shared" si="57"/>
        <v>0000000000</v>
      </c>
      <c r="L1280" s="303" t="str">
        <f t="shared" si="58"/>
        <v>61804000000000000000</v>
      </c>
      <c r="M1280" s="132" t="str">
        <f>INDEX('реш СГД № 265'!$A:$N,MATCH('БА расх 2019-2020'!$L1280,'реш СГД № 265'!$N:$N,0),3)</f>
        <v>Национальная экономика</v>
      </c>
      <c r="N1280" s="17">
        <f t="shared" si="59"/>
        <v>1</v>
      </c>
    </row>
    <row r="1281" spans="1:14" s="16" customFormat="1" ht="15.75">
      <c r="A1281" s="14"/>
      <c r="B1281" s="121" t="s">
        <v>760</v>
      </c>
      <c r="C1281" s="122" t="s">
        <v>783</v>
      </c>
      <c r="D1281" s="123" t="s">
        <v>73</v>
      </c>
      <c r="E1281" s="123" t="s">
        <v>471</v>
      </c>
      <c r="F1281" s="123" t="s">
        <v>8</v>
      </c>
      <c r="G1281" s="123" t="s">
        <v>9</v>
      </c>
      <c r="H1281" s="124">
        <v>0</v>
      </c>
      <c r="I1281" s="124">
        <v>0</v>
      </c>
      <c r="J1281" s="123">
        <v>0</v>
      </c>
      <c r="K1281" s="108" t="str">
        <f t="shared" si="57"/>
        <v>0000000000</v>
      </c>
      <c r="L1281" s="303" t="str">
        <f t="shared" si="58"/>
        <v>61804090000000000000</v>
      </c>
      <c r="M1281" s="132" t="str">
        <f>INDEX('реш СГД № 265'!$A:$N,MATCH('БА расх 2019-2020'!$L1281,'реш СГД № 265'!$N:$N,0),3)</f>
        <v>Дорожное хозяйство (дорожные фонды)</v>
      </c>
      <c r="N1281" s="17">
        <f t="shared" si="59"/>
        <v>1</v>
      </c>
    </row>
    <row r="1282" spans="1:14" s="16" customFormat="1" ht="63">
      <c r="A1282" s="14"/>
      <c r="B1282" s="127" t="s">
        <v>293</v>
      </c>
      <c r="C1282" s="109" t="s">
        <v>783</v>
      </c>
      <c r="D1282" s="108" t="s">
        <v>73</v>
      </c>
      <c r="E1282" s="108" t="s">
        <v>471</v>
      </c>
      <c r="F1282" s="108" t="s">
        <v>294</v>
      </c>
      <c r="G1282" s="108" t="s">
        <v>9</v>
      </c>
      <c r="H1282" s="126">
        <v>0</v>
      </c>
      <c r="I1282" s="126">
        <v>0</v>
      </c>
      <c r="J1282" s="108">
        <v>400000000</v>
      </c>
      <c r="K1282" s="108" t="str">
        <f t="shared" si="57"/>
        <v>0400000000</v>
      </c>
      <c r="L1282" s="303" t="str">
        <f t="shared" si="58"/>
        <v>61804090400000000000</v>
      </c>
      <c r="M1282" s="132" t="str">
        <f>INDEX('реш СГД № 265'!$A:$N,MATCH('БА расх 2019-2020'!$L1282,'реш СГД № 265'!$N:$N,0),3)</f>
        <v>Муниципальная программа «Развитие жилищно-коммунального хозяйства, транспортной системы на территории города Ставрополя, благоустройство территории города Ставрополя»</v>
      </c>
      <c r="N1282" s="17">
        <f t="shared" si="59"/>
        <v>1</v>
      </c>
    </row>
    <row r="1283" spans="1:14" s="16" customFormat="1" ht="63">
      <c r="A1283" s="14"/>
      <c r="B1283" s="140" t="s">
        <v>295</v>
      </c>
      <c r="C1283" s="109" t="s">
        <v>783</v>
      </c>
      <c r="D1283" s="108" t="s">
        <v>73</v>
      </c>
      <c r="E1283" s="108" t="s">
        <v>471</v>
      </c>
      <c r="F1283" s="108" t="s">
        <v>296</v>
      </c>
      <c r="G1283" s="108" t="s">
        <v>9</v>
      </c>
      <c r="H1283" s="126">
        <v>0</v>
      </c>
      <c r="I1283" s="126">
        <v>0</v>
      </c>
      <c r="J1283" s="108">
        <v>420000000</v>
      </c>
      <c r="K1283" s="108" t="str">
        <f t="shared" si="57"/>
        <v>0420000000</v>
      </c>
      <c r="L1283" s="303" t="str">
        <f t="shared" si="58"/>
        <v>61804090420000000000</v>
      </c>
      <c r="M1283" s="132" t="str">
        <f>INDEX('реш СГД № 265'!$A:$N,MATCH('БА расх 2019-2020'!$L1283,'реш СГД № 265'!$N:$N,0),3)</f>
        <v xml:space="preserve">Подпрограмма «Дорожная деятельность и обеспечение безопасности дорожного движения, организация транспортного обслуживания населения на территории города Ставрополя» </v>
      </c>
      <c r="N1283" s="17">
        <f t="shared" si="59"/>
        <v>1</v>
      </c>
    </row>
    <row r="1284" spans="1:14" s="16" customFormat="1" ht="63">
      <c r="A1284" s="14"/>
      <c r="B1284" s="140" t="s">
        <v>297</v>
      </c>
      <c r="C1284" s="109" t="s">
        <v>783</v>
      </c>
      <c r="D1284" s="108" t="s">
        <v>73</v>
      </c>
      <c r="E1284" s="108" t="s">
        <v>471</v>
      </c>
      <c r="F1284" s="108" t="s">
        <v>298</v>
      </c>
      <c r="G1284" s="108" t="s">
        <v>9</v>
      </c>
      <c r="H1284" s="126">
        <v>0</v>
      </c>
      <c r="I1284" s="126">
        <v>0</v>
      </c>
      <c r="J1284" s="108">
        <v>420200000</v>
      </c>
      <c r="K1284" s="108" t="str">
        <f t="shared" si="57"/>
        <v>0420200000</v>
      </c>
      <c r="L1284" s="303" t="str">
        <f t="shared" si="58"/>
        <v>61804090420200000000</v>
      </c>
      <c r="M1284" s="132" t="str">
        <f>INDEX('реш СГД № 265'!$A:$N,MATCH('БА расх 2019-2020'!$L1284,'реш СГД № 265'!$N:$N,0),3)</f>
        <v>Основное мероприятие «Организация дорожной деятельности в отношении автомобильных дорог общего пользования местного значения в границах города Ставрополя»</v>
      </c>
      <c r="N1284" s="17">
        <f t="shared" si="59"/>
        <v>1</v>
      </c>
    </row>
    <row r="1285" spans="1:14" s="16" customFormat="1" ht="47.25">
      <c r="A1285" s="14"/>
      <c r="B1285" s="127" t="s">
        <v>761</v>
      </c>
      <c r="C1285" s="109" t="s">
        <v>783</v>
      </c>
      <c r="D1285" s="108" t="s">
        <v>73</v>
      </c>
      <c r="E1285" s="108" t="s">
        <v>471</v>
      </c>
      <c r="F1285" s="108" t="s">
        <v>762</v>
      </c>
      <c r="G1285" s="108" t="s">
        <v>9</v>
      </c>
      <c r="H1285" s="126">
        <v>0</v>
      </c>
      <c r="I1285" s="126">
        <v>0</v>
      </c>
      <c r="J1285" s="108">
        <v>420220820</v>
      </c>
      <c r="K1285" s="108" t="str">
        <f t="shared" si="57"/>
        <v>0420220820</v>
      </c>
      <c r="L1285" s="303" t="str">
        <f t="shared" si="58"/>
        <v>61804090420220820000</v>
      </c>
      <c r="M1285" s="132" t="str">
        <f>INDEX('реш СГД № 265'!$A:$N,MATCH('БА расх 2019-2020'!$L1285,'реш СГД № 265'!$N:$N,0),3)</f>
        <v>Расходы на ремонт и содержание внутриквартальных автомобильных дорог общего пользования местного значения</v>
      </c>
      <c r="N1285" s="17">
        <f t="shared" si="59"/>
        <v>1</v>
      </c>
    </row>
    <row r="1286" spans="1:14" s="16" customFormat="1" ht="31.5">
      <c r="A1286" s="14"/>
      <c r="B1286" s="125" t="s">
        <v>28</v>
      </c>
      <c r="C1286" s="109" t="s">
        <v>783</v>
      </c>
      <c r="D1286" s="108" t="s">
        <v>73</v>
      </c>
      <c r="E1286" s="108" t="s">
        <v>471</v>
      </c>
      <c r="F1286" s="108" t="s">
        <v>762</v>
      </c>
      <c r="G1286" s="108" t="s">
        <v>29</v>
      </c>
      <c r="H1286" s="126">
        <v>0</v>
      </c>
      <c r="I1286" s="126">
        <v>0</v>
      </c>
      <c r="J1286" s="108">
        <v>420220820</v>
      </c>
      <c r="K1286" s="108" t="str">
        <f t="shared" si="57"/>
        <v>0420220820</v>
      </c>
      <c r="L1286" s="303" t="str">
        <f t="shared" si="58"/>
        <v>61804090420220820240</v>
      </c>
      <c r="M1286" s="132" t="str">
        <f>INDEX('реш СГД № 265'!$A:$N,MATCH('БА расх 2019-2020'!$L1286,'реш СГД № 265'!$N:$N,0),3)</f>
        <v>Иные закупки товаров, работ и услуг для обеспечения государственных (муниципальных) нужд</v>
      </c>
      <c r="N1286" s="17">
        <f t="shared" si="59"/>
        <v>1</v>
      </c>
    </row>
    <row r="1287" spans="1:14" s="16" customFormat="1" ht="15.75">
      <c r="A1287" s="14"/>
      <c r="B1287" s="125" t="s">
        <v>30</v>
      </c>
      <c r="C1287" s="109" t="s">
        <v>783</v>
      </c>
      <c r="D1287" s="108" t="s">
        <v>73</v>
      </c>
      <c r="E1287" s="108" t="s">
        <v>471</v>
      </c>
      <c r="F1287" s="108" t="s">
        <v>762</v>
      </c>
      <c r="G1287" s="108" t="s">
        <v>31</v>
      </c>
      <c r="H1287" s="126">
        <v>0</v>
      </c>
      <c r="I1287" s="126">
        <v>0</v>
      </c>
      <c r="J1287" s="108">
        <v>420220820</v>
      </c>
      <c r="K1287" s="108" t="str">
        <f t="shared" si="57"/>
        <v>0420220820</v>
      </c>
      <c r="L1287" s="303" t="str">
        <f t="shared" si="58"/>
        <v>61804090420220820244</v>
      </c>
      <c r="M1287" s="132"/>
      <c r="N1287" s="17">
        <f t="shared" si="59"/>
        <v>0</v>
      </c>
    </row>
    <row r="1288" spans="1:14" s="16" customFormat="1" ht="31.5">
      <c r="A1288" s="14"/>
      <c r="B1288" s="125" t="s">
        <v>763</v>
      </c>
      <c r="C1288" s="109" t="s">
        <v>783</v>
      </c>
      <c r="D1288" s="108" t="s">
        <v>73</v>
      </c>
      <c r="E1288" s="108" t="s">
        <v>471</v>
      </c>
      <c r="F1288" s="108" t="s">
        <v>764</v>
      </c>
      <c r="G1288" s="108" t="s">
        <v>9</v>
      </c>
      <c r="H1288" s="126">
        <v>0</v>
      </c>
      <c r="I1288" s="126">
        <v>0</v>
      </c>
      <c r="J1288" s="108">
        <v>420221090</v>
      </c>
      <c r="K1288" s="108" t="str">
        <f t="shared" si="57"/>
        <v>0420221090</v>
      </c>
      <c r="L1288" s="303" t="str">
        <f t="shared" si="58"/>
        <v>61804090420221090000</v>
      </c>
      <c r="M1288" s="132" t="str">
        <f>INDEX('реш СГД № 265'!$A:$N,MATCH('БА расх 2019-2020'!$L1288,'реш СГД № 265'!$N:$N,0),3)</f>
        <v>Расходы на содержание автомобильных дорог общего пользования местного значения</v>
      </c>
      <c r="N1288" s="17">
        <f t="shared" si="59"/>
        <v>1</v>
      </c>
    </row>
    <row r="1289" spans="1:14" s="16" customFormat="1" ht="31.5">
      <c r="A1289" s="14"/>
      <c r="B1289" s="125" t="s">
        <v>28</v>
      </c>
      <c r="C1289" s="109" t="s">
        <v>783</v>
      </c>
      <c r="D1289" s="108" t="s">
        <v>73</v>
      </c>
      <c r="E1289" s="108" t="s">
        <v>471</v>
      </c>
      <c r="F1289" s="108" t="s">
        <v>764</v>
      </c>
      <c r="G1289" s="108" t="s">
        <v>29</v>
      </c>
      <c r="H1289" s="126">
        <v>0</v>
      </c>
      <c r="I1289" s="126">
        <v>0</v>
      </c>
      <c r="J1289" s="108">
        <v>420221090</v>
      </c>
      <c r="K1289" s="108" t="str">
        <f t="shared" si="57"/>
        <v>0420221090</v>
      </c>
      <c r="L1289" s="303" t="str">
        <f t="shared" si="58"/>
        <v>61804090420221090240</v>
      </c>
      <c r="M1289" s="132" t="str">
        <f>INDEX('реш СГД № 265'!$A:$N,MATCH('БА расх 2019-2020'!$L1289,'реш СГД № 265'!$N:$N,0),3)</f>
        <v>Иные закупки товаров, работ и услуг для обеспечения государственных (муниципальных) нужд</v>
      </c>
      <c r="N1289" s="17">
        <f t="shared" si="59"/>
        <v>1</v>
      </c>
    </row>
    <row r="1290" spans="1:14" s="16" customFormat="1" ht="15.75">
      <c r="A1290" s="14"/>
      <c r="B1290" s="125" t="s">
        <v>30</v>
      </c>
      <c r="C1290" s="109" t="s">
        <v>783</v>
      </c>
      <c r="D1290" s="108" t="s">
        <v>73</v>
      </c>
      <c r="E1290" s="108" t="s">
        <v>471</v>
      </c>
      <c r="F1290" s="108" t="s">
        <v>764</v>
      </c>
      <c r="G1290" s="108" t="s">
        <v>31</v>
      </c>
      <c r="H1290" s="126">
        <v>0</v>
      </c>
      <c r="I1290" s="126">
        <v>0</v>
      </c>
      <c r="J1290" s="108">
        <v>420221090</v>
      </c>
      <c r="K1290" s="108" t="str">
        <f t="shared" si="57"/>
        <v>0420221090</v>
      </c>
      <c r="L1290" s="303" t="str">
        <f t="shared" si="58"/>
        <v>61804090420221090244</v>
      </c>
      <c r="M1290" s="132"/>
      <c r="N1290" s="17">
        <f t="shared" si="59"/>
        <v>0</v>
      </c>
    </row>
    <row r="1291" spans="1:14" s="16" customFormat="1" ht="15.75">
      <c r="A1291" s="14"/>
      <c r="B1291" s="117" t="s">
        <v>305</v>
      </c>
      <c r="C1291" s="118" t="s">
        <v>783</v>
      </c>
      <c r="D1291" s="119" t="s">
        <v>86</v>
      </c>
      <c r="E1291" s="119" t="s">
        <v>7</v>
      </c>
      <c r="F1291" s="119" t="s">
        <v>8</v>
      </c>
      <c r="G1291" s="119" t="s">
        <v>9</v>
      </c>
      <c r="H1291" s="120">
        <v>0</v>
      </c>
      <c r="I1291" s="120">
        <v>0</v>
      </c>
      <c r="J1291" s="119">
        <v>0</v>
      </c>
      <c r="K1291" s="108" t="str">
        <f t="shared" si="57"/>
        <v>0000000000</v>
      </c>
      <c r="L1291" s="303" t="str">
        <f t="shared" si="58"/>
        <v>61805000000000000000</v>
      </c>
      <c r="M1291" s="132" t="str">
        <f>INDEX('реш СГД № 265'!$A:$N,MATCH('БА расх 2019-2020'!$L1291,'реш СГД № 265'!$N:$N,0),3)</f>
        <v>Жилищно-коммунальное хозяйство</v>
      </c>
      <c r="N1291" s="17">
        <f t="shared" si="59"/>
        <v>1</v>
      </c>
    </row>
    <row r="1292" spans="1:14" s="16" customFormat="1" ht="15.75">
      <c r="A1292" s="14"/>
      <c r="B1292" s="121" t="s">
        <v>765</v>
      </c>
      <c r="C1292" s="122" t="s">
        <v>783</v>
      </c>
      <c r="D1292" s="123" t="s">
        <v>86</v>
      </c>
      <c r="E1292" s="123" t="s">
        <v>11</v>
      </c>
      <c r="F1292" s="123" t="s">
        <v>8</v>
      </c>
      <c r="G1292" s="123" t="s">
        <v>9</v>
      </c>
      <c r="H1292" s="124">
        <v>0</v>
      </c>
      <c r="I1292" s="124">
        <v>0</v>
      </c>
      <c r="J1292" s="123">
        <v>0</v>
      </c>
      <c r="K1292" s="108" t="str">
        <f t="shared" si="57"/>
        <v>0000000000</v>
      </c>
      <c r="L1292" s="303" t="str">
        <f t="shared" si="58"/>
        <v>61805010000000000000</v>
      </c>
      <c r="M1292" s="132" t="str">
        <f>INDEX('реш СГД № 265'!$A:$N,MATCH('БА расх 2019-2020'!$L1292,'реш СГД № 265'!$N:$N,0),3)</f>
        <v>Жилищное хозяйство</v>
      </c>
      <c r="N1292" s="17">
        <f t="shared" si="59"/>
        <v>1</v>
      </c>
    </row>
    <row r="1293" spans="1:14" s="16" customFormat="1" ht="63">
      <c r="A1293" s="14"/>
      <c r="B1293" s="127" t="s">
        <v>293</v>
      </c>
      <c r="C1293" s="109" t="s">
        <v>783</v>
      </c>
      <c r="D1293" s="108" t="s">
        <v>86</v>
      </c>
      <c r="E1293" s="108" t="s">
        <v>11</v>
      </c>
      <c r="F1293" s="108" t="s">
        <v>294</v>
      </c>
      <c r="G1293" s="108" t="s">
        <v>9</v>
      </c>
      <c r="H1293" s="126">
        <v>0</v>
      </c>
      <c r="I1293" s="126">
        <v>0</v>
      </c>
      <c r="J1293" s="108">
        <v>400000000</v>
      </c>
      <c r="K1293" s="108" t="str">
        <f t="shared" ref="K1293:K1356" si="60">TEXT(J1293,"0000000000")</f>
        <v>0400000000</v>
      </c>
      <c r="L1293" s="303" t="str">
        <f t="shared" si="58"/>
        <v>61805010400000000000</v>
      </c>
      <c r="M1293" s="132" t="str">
        <f>INDEX('реш СГД № 265'!$A:$N,MATCH('БА расх 2019-2020'!$L1293,'реш СГД № 265'!$N:$N,0),3)</f>
        <v>Муниципальная программа «Развитие жилищно-коммунального хозяйства, транспортной системы на территории города Ставрополя, благоустройство территории города Ставрополя»</v>
      </c>
      <c r="N1293" s="17">
        <f t="shared" si="59"/>
        <v>1</v>
      </c>
    </row>
    <row r="1294" spans="1:14" s="16" customFormat="1" ht="31.5">
      <c r="A1294" s="14"/>
      <c r="B1294" s="125" t="s">
        <v>766</v>
      </c>
      <c r="C1294" s="109" t="s">
        <v>783</v>
      </c>
      <c r="D1294" s="108" t="s">
        <v>86</v>
      </c>
      <c r="E1294" s="108" t="s">
        <v>11</v>
      </c>
      <c r="F1294" s="108" t="s">
        <v>767</v>
      </c>
      <c r="G1294" s="108" t="s">
        <v>9</v>
      </c>
      <c r="H1294" s="126">
        <v>0</v>
      </c>
      <c r="I1294" s="126">
        <v>0</v>
      </c>
      <c r="J1294" s="108">
        <v>410000000</v>
      </c>
      <c r="K1294" s="108" t="str">
        <f t="shared" si="60"/>
        <v>0410000000</v>
      </c>
      <c r="L1294" s="303" t="str">
        <f t="shared" ref="L1294:L1357" si="61">C1294&amp;D1294&amp;E1294&amp;K1294&amp;G1294</f>
        <v>61805010410000000000</v>
      </c>
      <c r="M1294" s="132" t="str">
        <f>INDEX('реш СГД № 265'!$A:$N,MATCH('БА расх 2019-2020'!$L1294,'реш СГД № 265'!$N:$N,0),3)</f>
        <v>Подпрограмма «Развитие жилищно-коммунального хозяйства на территории города Ставрополя»</v>
      </c>
      <c r="N1294" s="17">
        <f t="shared" ref="N1294:N1357" si="62">IF(B1294=M1294,1,0)</f>
        <v>1</v>
      </c>
    </row>
    <row r="1295" spans="1:14" s="16" customFormat="1" ht="47.25">
      <c r="A1295" s="14"/>
      <c r="B1295" s="140" t="s">
        <v>793</v>
      </c>
      <c r="C1295" s="130" t="s">
        <v>783</v>
      </c>
      <c r="D1295" s="131" t="s">
        <v>86</v>
      </c>
      <c r="E1295" s="131" t="s">
        <v>11</v>
      </c>
      <c r="F1295" s="131" t="s">
        <v>769</v>
      </c>
      <c r="G1295" s="131" t="s">
        <v>9</v>
      </c>
      <c r="H1295" s="105">
        <v>0</v>
      </c>
      <c r="I1295" s="105">
        <v>0</v>
      </c>
      <c r="J1295" s="131">
        <v>410100000</v>
      </c>
      <c r="K1295" s="108" t="str">
        <f t="shared" si="60"/>
        <v>0410100000</v>
      </c>
      <c r="L1295" s="303" t="str">
        <f t="shared" si="61"/>
        <v>61805010410100000000</v>
      </c>
      <c r="M1295" s="132" t="str">
        <f>INDEX('реш СГД № 265'!$A:$N,MATCH('БА расх 2019-2020'!$L1295,'реш СГД № 265'!$N:$N,0),3)</f>
        <v>Основное мероприятие «Повышение уровня технического состояния многоквартирных домов и продление сроков их эксплуатации»</v>
      </c>
      <c r="N1295" s="17">
        <f t="shared" si="62"/>
        <v>1</v>
      </c>
    </row>
    <row r="1296" spans="1:14" s="16" customFormat="1" ht="31.5">
      <c r="A1296" s="14"/>
      <c r="B1296" s="127" t="s">
        <v>770</v>
      </c>
      <c r="C1296" s="109" t="s">
        <v>783</v>
      </c>
      <c r="D1296" s="108" t="s">
        <v>86</v>
      </c>
      <c r="E1296" s="108" t="s">
        <v>11</v>
      </c>
      <c r="F1296" s="108" t="s">
        <v>771</v>
      </c>
      <c r="G1296" s="108" t="s">
        <v>9</v>
      </c>
      <c r="H1296" s="126">
        <v>0</v>
      </c>
      <c r="I1296" s="126">
        <v>0</v>
      </c>
      <c r="J1296" s="108">
        <v>410120190</v>
      </c>
      <c r="K1296" s="108" t="str">
        <f t="shared" si="60"/>
        <v>0410120190</v>
      </c>
      <c r="L1296" s="303" t="str">
        <f t="shared" si="61"/>
        <v>61805010410120190000</v>
      </c>
      <c r="M1296" s="132" t="str">
        <f>INDEX('реш СГД № 265'!$A:$N,MATCH('БА расх 2019-2020'!$L1296,'реш СГД № 265'!$N:$N,0),3)</f>
        <v>Расходы на проведение капитального ремонта муниципального жилищного фонда</v>
      </c>
      <c r="N1296" s="17">
        <f t="shared" si="62"/>
        <v>1</v>
      </c>
    </row>
    <row r="1297" spans="1:14" s="16" customFormat="1" ht="31.5">
      <c r="A1297" s="14"/>
      <c r="B1297" s="125" t="s">
        <v>28</v>
      </c>
      <c r="C1297" s="109" t="s">
        <v>783</v>
      </c>
      <c r="D1297" s="108" t="s">
        <v>86</v>
      </c>
      <c r="E1297" s="108" t="s">
        <v>11</v>
      </c>
      <c r="F1297" s="108" t="s">
        <v>771</v>
      </c>
      <c r="G1297" s="108" t="s">
        <v>29</v>
      </c>
      <c r="H1297" s="126">
        <v>0</v>
      </c>
      <c r="I1297" s="126">
        <v>0</v>
      </c>
      <c r="J1297" s="108">
        <v>410120190</v>
      </c>
      <c r="K1297" s="108" t="str">
        <f t="shared" si="60"/>
        <v>0410120190</v>
      </c>
      <c r="L1297" s="303" t="str">
        <f t="shared" si="61"/>
        <v>61805010410120190240</v>
      </c>
      <c r="M1297" s="132" t="str">
        <f>INDEX('реш СГД № 265'!$A:$N,MATCH('БА расх 2019-2020'!$L1297,'реш СГД № 265'!$N:$N,0),3)</f>
        <v>Иные закупки товаров, работ и услуг для обеспечения государственных (муниципальных) нужд</v>
      </c>
      <c r="N1297" s="17">
        <f t="shared" si="62"/>
        <v>1</v>
      </c>
    </row>
    <row r="1298" spans="1:14" s="16" customFormat="1" ht="47.25">
      <c r="A1298" s="14"/>
      <c r="B1298" s="127" t="s">
        <v>772</v>
      </c>
      <c r="C1298" s="109" t="s">
        <v>783</v>
      </c>
      <c r="D1298" s="108" t="s">
        <v>86</v>
      </c>
      <c r="E1298" s="108" t="s">
        <v>11</v>
      </c>
      <c r="F1298" s="108" t="s">
        <v>771</v>
      </c>
      <c r="G1298" s="108" t="s">
        <v>773</v>
      </c>
      <c r="H1298" s="126">
        <v>0</v>
      </c>
      <c r="I1298" s="126">
        <v>0</v>
      </c>
      <c r="J1298" s="108">
        <v>410120190</v>
      </c>
      <c r="K1298" s="108" t="str">
        <f t="shared" si="60"/>
        <v>0410120190</v>
      </c>
      <c r="L1298" s="303" t="str">
        <f t="shared" si="61"/>
        <v>61805010410120190243</v>
      </c>
      <c r="M1298" s="132"/>
      <c r="N1298" s="17">
        <f t="shared" si="62"/>
        <v>0</v>
      </c>
    </row>
    <row r="1299" spans="1:14" s="16" customFormat="1" ht="15.75">
      <c r="A1299" s="14"/>
      <c r="B1299" s="125" t="s">
        <v>30</v>
      </c>
      <c r="C1299" s="109" t="s">
        <v>783</v>
      </c>
      <c r="D1299" s="108" t="s">
        <v>86</v>
      </c>
      <c r="E1299" s="108" t="s">
        <v>11</v>
      </c>
      <c r="F1299" s="108" t="s">
        <v>771</v>
      </c>
      <c r="G1299" s="108" t="s">
        <v>31</v>
      </c>
      <c r="H1299" s="126">
        <v>0</v>
      </c>
      <c r="I1299" s="126">
        <v>0</v>
      </c>
      <c r="J1299" s="108">
        <v>410120190</v>
      </c>
      <c r="K1299" s="108" t="str">
        <f t="shared" si="60"/>
        <v>0410120190</v>
      </c>
      <c r="L1299" s="303" t="str">
        <f t="shared" si="61"/>
        <v>61805010410120190244</v>
      </c>
      <c r="M1299" s="132"/>
      <c r="N1299" s="17">
        <f t="shared" si="62"/>
        <v>0</v>
      </c>
    </row>
    <row r="1300" spans="1:14" s="16" customFormat="1" ht="15.75">
      <c r="A1300" s="14"/>
      <c r="B1300" s="121" t="s">
        <v>306</v>
      </c>
      <c r="C1300" s="122" t="s">
        <v>783</v>
      </c>
      <c r="D1300" s="123" t="s">
        <v>86</v>
      </c>
      <c r="E1300" s="123" t="s">
        <v>13</v>
      </c>
      <c r="F1300" s="123" t="s">
        <v>8</v>
      </c>
      <c r="G1300" s="123" t="s">
        <v>9</v>
      </c>
      <c r="H1300" s="124">
        <v>0</v>
      </c>
      <c r="I1300" s="124">
        <v>0</v>
      </c>
      <c r="J1300" s="123">
        <v>0</v>
      </c>
      <c r="K1300" s="108" t="str">
        <f t="shared" si="60"/>
        <v>0000000000</v>
      </c>
      <c r="L1300" s="303" t="str">
        <f t="shared" si="61"/>
        <v>61805030000000000000</v>
      </c>
      <c r="M1300" s="132" t="str">
        <f>INDEX('реш СГД № 265'!$A:$N,MATCH('БА расх 2019-2020'!$L1300,'реш СГД № 265'!$N:$N,0),3)</f>
        <v>Благоустройство</v>
      </c>
      <c r="N1300" s="17">
        <f t="shared" si="62"/>
        <v>1</v>
      </c>
    </row>
    <row r="1301" spans="1:14" s="16" customFormat="1" ht="63">
      <c r="A1301" s="14"/>
      <c r="B1301" s="127" t="s">
        <v>293</v>
      </c>
      <c r="C1301" s="109" t="s">
        <v>783</v>
      </c>
      <c r="D1301" s="108" t="s">
        <v>86</v>
      </c>
      <c r="E1301" s="108" t="s">
        <v>13</v>
      </c>
      <c r="F1301" s="108" t="s">
        <v>294</v>
      </c>
      <c r="G1301" s="108" t="s">
        <v>9</v>
      </c>
      <c r="H1301" s="126">
        <v>0</v>
      </c>
      <c r="I1301" s="126">
        <v>0</v>
      </c>
      <c r="J1301" s="108">
        <v>400000000</v>
      </c>
      <c r="K1301" s="108" t="str">
        <f t="shared" si="60"/>
        <v>0400000000</v>
      </c>
      <c r="L1301" s="303" t="str">
        <f t="shared" si="61"/>
        <v>61805030400000000000</v>
      </c>
      <c r="M1301" s="132" t="str">
        <f>INDEX('реш СГД № 265'!$A:$N,MATCH('БА расх 2019-2020'!$L1301,'реш СГД № 265'!$N:$N,0),3)</f>
        <v>Муниципальная программа «Развитие жилищно-коммунального хозяйства, транспортной системы на территории города Ставрополя, благоустройство территории города Ставрополя»</v>
      </c>
      <c r="N1301" s="17">
        <f t="shared" si="62"/>
        <v>1</v>
      </c>
    </row>
    <row r="1302" spans="1:14" s="16" customFormat="1" ht="31.5">
      <c r="A1302" s="14"/>
      <c r="B1302" s="125" t="s">
        <v>2283</v>
      </c>
      <c r="C1302" s="109" t="s">
        <v>783</v>
      </c>
      <c r="D1302" s="108" t="s">
        <v>86</v>
      </c>
      <c r="E1302" s="108" t="s">
        <v>13</v>
      </c>
      <c r="F1302" s="108" t="s">
        <v>308</v>
      </c>
      <c r="G1302" s="108" t="s">
        <v>9</v>
      </c>
      <c r="H1302" s="126">
        <v>0</v>
      </c>
      <c r="I1302" s="126">
        <v>0</v>
      </c>
      <c r="J1302" s="108">
        <v>430000000</v>
      </c>
      <c r="K1302" s="108" t="str">
        <f t="shared" si="60"/>
        <v>0430000000</v>
      </c>
      <c r="L1302" s="303" t="str">
        <f t="shared" si="61"/>
        <v>61805030430000000000</v>
      </c>
      <c r="M1302" s="132" t="str">
        <f>INDEX('реш СГД № 265'!$A:$N,MATCH('БА расх 2019-2020'!$L1302,'реш СГД № 265'!$N:$N,0),3)</f>
        <v>Подпрограмма «Благоустройство территории города Ставрополя»</v>
      </c>
      <c r="N1302" s="17">
        <f t="shared" si="62"/>
        <v>1</v>
      </c>
    </row>
    <row r="1303" spans="1:14" s="16" customFormat="1" ht="31.5">
      <c r="A1303" s="14"/>
      <c r="B1303" s="401" t="s">
        <v>309</v>
      </c>
      <c r="C1303" s="130" t="s">
        <v>783</v>
      </c>
      <c r="D1303" s="131" t="s">
        <v>86</v>
      </c>
      <c r="E1303" s="131" t="s">
        <v>13</v>
      </c>
      <c r="F1303" s="108" t="s">
        <v>310</v>
      </c>
      <c r="G1303" s="131" t="s">
        <v>9</v>
      </c>
      <c r="H1303" s="105">
        <v>0</v>
      </c>
      <c r="I1303" s="105">
        <v>0</v>
      </c>
      <c r="J1303" s="108">
        <v>430400000</v>
      </c>
      <c r="K1303" s="108" t="str">
        <f t="shared" si="60"/>
        <v>0430400000</v>
      </c>
      <c r="L1303" s="303" t="str">
        <f t="shared" si="61"/>
        <v>61805030430400000000</v>
      </c>
      <c r="M1303" s="132" t="str">
        <f>INDEX('реш СГД № 265'!$A:$N,MATCH('БА расх 2019-2020'!$L1303,'реш СГД № 265'!$N:$N,0),3)</f>
        <v>Основное мероприятие «Благоустройство территории города Ставрополя»</v>
      </c>
      <c r="N1303" s="17">
        <f t="shared" si="62"/>
        <v>1</v>
      </c>
    </row>
    <row r="1304" spans="1:14" s="16" customFormat="1" ht="31.5">
      <c r="A1304" s="14"/>
      <c r="B1304" s="125" t="s">
        <v>542</v>
      </c>
      <c r="C1304" s="109" t="s">
        <v>783</v>
      </c>
      <c r="D1304" s="108" t="s">
        <v>86</v>
      </c>
      <c r="E1304" s="108" t="s">
        <v>13</v>
      </c>
      <c r="F1304" s="108" t="s">
        <v>543</v>
      </c>
      <c r="G1304" s="108" t="s">
        <v>9</v>
      </c>
      <c r="H1304" s="126">
        <v>0</v>
      </c>
      <c r="I1304" s="126">
        <v>0</v>
      </c>
      <c r="J1304" s="108">
        <v>430420300</v>
      </c>
      <c r="K1304" s="108" t="str">
        <f t="shared" si="60"/>
        <v>0430420300</v>
      </c>
      <c r="L1304" s="303" t="str">
        <f t="shared" si="61"/>
        <v>61805030430420300000</v>
      </c>
      <c r="M1304" s="132" t="str">
        <f>INDEX('реш СГД № 265'!$A:$N,MATCH('БА расх 2019-2020'!$L1304,'реш СГД № 265'!$N:$N,0),3)</f>
        <v>Расходы на прочие мероприятия по благоустройству территории города Ставрополя</v>
      </c>
      <c r="N1304" s="17">
        <f t="shared" si="62"/>
        <v>1</v>
      </c>
    </row>
    <row r="1305" spans="1:14" s="16" customFormat="1" ht="31.5">
      <c r="A1305" s="14"/>
      <c r="B1305" s="125" t="s">
        <v>28</v>
      </c>
      <c r="C1305" s="109" t="s">
        <v>783</v>
      </c>
      <c r="D1305" s="108" t="s">
        <v>86</v>
      </c>
      <c r="E1305" s="108" t="s">
        <v>13</v>
      </c>
      <c r="F1305" s="108" t="s">
        <v>543</v>
      </c>
      <c r="G1305" s="108" t="s">
        <v>29</v>
      </c>
      <c r="H1305" s="126">
        <v>0</v>
      </c>
      <c r="I1305" s="126">
        <v>0</v>
      </c>
      <c r="J1305" s="108">
        <v>430420300</v>
      </c>
      <c r="K1305" s="108" t="str">
        <f t="shared" si="60"/>
        <v>0430420300</v>
      </c>
      <c r="L1305" s="303" t="str">
        <f t="shared" si="61"/>
        <v>61805030430420300240</v>
      </c>
      <c r="M1305" s="132" t="str">
        <f>INDEX('реш СГД № 265'!$A:$N,MATCH('БА расх 2019-2020'!$L1305,'реш СГД № 265'!$N:$N,0),3)</f>
        <v>Иные закупки товаров, работ и услуг для обеспечения государственных (муниципальных) нужд</v>
      </c>
      <c r="N1305" s="17">
        <f t="shared" si="62"/>
        <v>1</v>
      </c>
    </row>
    <row r="1306" spans="1:14" s="16" customFormat="1" ht="15.75">
      <c r="A1306" s="14"/>
      <c r="B1306" s="125" t="s">
        <v>30</v>
      </c>
      <c r="C1306" s="109" t="s">
        <v>783</v>
      </c>
      <c r="D1306" s="108" t="s">
        <v>86</v>
      </c>
      <c r="E1306" s="108" t="s">
        <v>13</v>
      </c>
      <c r="F1306" s="108" t="s">
        <v>543</v>
      </c>
      <c r="G1306" s="108" t="s">
        <v>31</v>
      </c>
      <c r="H1306" s="126">
        <v>0</v>
      </c>
      <c r="I1306" s="126">
        <v>0</v>
      </c>
      <c r="J1306" s="108">
        <v>430420300</v>
      </c>
      <c r="K1306" s="108" t="str">
        <f t="shared" si="60"/>
        <v>0430420300</v>
      </c>
      <c r="L1306" s="303" t="str">
        <f t="shared" si="61"/>
        <v>61805030430420300244</v>
      </c>
      <c r="M1306" s="132"/>
      <c r="N1306" s="17">
        <f t="shared" si="62"/>
        <v>0</v>
      </c>
    </row>
    <row r="1307" spans="1:14" s="16" customFormat="1" ht="31.5">
      <c r="A1307" s="14"/>
      <c r="B1307" s="127" t="s">
        <v>774</v>
      </c>
      <c r="C1307" s="109" t="s">
        <v>783</v>
      </c>
      <c r="D1307" s="131" t="s">
        <v>86</v>
      </c>
      <c r="E1307" s="131" t="s">
        <v>13</v>
      </c>
      <c r="F1307" s="131" t="s">
        <v>775</v>
      </c>
      <c r="G1307" s="131" t="s">
        <v>9</v>
      </c>
      <c r="H1307" s="126">
        <v>0</v>
      </c>
      <c r="I1307" s="126">
        <v>0</v>
      </c>
      <c r="J1307" s="131">
        <v>430421070</v>
      </c>
      <c r="K1307" s="108" t="str">
        <f t="shared" si="60"/>
        <v>0430421070</v>
      </c>
      <c r="L1307" s="303" t="str">
        <f t="shared" si="61"/>
        <v>61805030430421070000</v>
      </c>
      <c r="M1307" s="132" t="str">
        <f>INDEX('реш СГД № 265'!$A:$N,MATCH('БА расх 2019-2020'!$L1307,'реш СГД № 265'!$N:$N,0),3)</f>
        <v>Расходы на проведение работ по уходу за зелеными насаждениями</v>
      </c>
      <c r="N1307" s="17">
        <f t="shared" si="62"/>
        <v>1</v>
      </c>
    </row>
    <row r="1308" spans="1:14" s="16" customFormat="1" ht="31.5">
      <c r="A1308" s="14"/>
      <c r="B1308" s="125" t="s">
        <v>28</v>
      </c>
      <c r="C1308" s="109" t="s">
        <v>783</v>
      </c>
      <c r="D1308" s="131" t="s">
        <v>86</v>
      </c>
      <c r="E1308" s="131" t="s">
        <v>13</v>
      </c>
      <c r="F1308" s="131" t="s">
        <v>775</v>
      </c>
      <c r="G1308" s="131" t="s">
        <v>29</v>
      </c>
      <c r="H1308" s="126">
        <v>0</v>
      </c>
      <c r="I1308" s="126">
        <v>0</v>
      </c>
      <c r="J1308" s="131">
        <v>430421070</v>
      </c>
      <c r="K1308" s="108" t="str">
        <f t="shared" si="60"/>
        <v>0430421070</v>
      </c>
      <c r="L1308" s="303" t="str">
        <f t="shared" si="61"/>
        <v>61805030430421070240</v>
      </c>
      <c r="M1308" s="132" t="str">
        <f>INDEX('реш СГД № 265'!$A:$N,MATCH('БА расх 2019-2020'!$L1308,'реш СГД № 265'!$N:$N,0),3)</f>
        <v>Иные закупки товаров, работ и услуг для обеспечения государственных (муниципальных) нужд</v>
      </c>
      <c r="N1308" s="17">
        <f t="shared" si="62"/>
        <v>1</v>
      </c>
    </row>
    <row r="1309" spans="1:14" s="16" customFormat="1" ht="15.75">
      <c r="A1309" s="14"/>
      <c r="B1309" s="125" t="s">
        <v>30</v>
      </c>
      <c r="C1309" s="109" t="s">
        <v>783</v>
      </c>
      <c r="D1309" s="131" t="s">
        <v>86</v>
      </c>
      <c r="E1309" s="131" t="s">
        <v>13</v>
      </c>
      <c r="F1309" s="131" t="s">
        <v>775</v>
      </c>
      <c r="G1309" s="131" t="s">
        <v>31</v>
      </c>
      <c r="H1309" s="126">
        <v>0</v>
      </c>
      <c r="I1309" s="126">
        <v>0</v>
      </c>
      <c r="J1309" s="131">
        <v>430421070</v>
      </c>
      <c r="K1309" s="108" t="str">
        <f t="shared" si="60"/>
        <v>0430421070</v>
      </c>
      <c r="L1309" s="303" t="str">
        <f t="shared" si="61"/>
        <v>61805030430421070244</v>
      </c>
      <c r="M1309" s="132"/>
      <c r="N1309" s="17">
        <f t="shared" si="62"/>
        <v>0</v>
      </c>
    </row>
    <row r="1310" spans="1:14" s="16" customFormat="1" ht="63">
      <c r="A1310" s="14" t="s">
        <v>80</v>
      </c>
      <c r="B1310" s="127" t="s">
        <v>1311</v>
      </c>
      <c r="C1310" s="130" t="s">
        <v>783</v>
      </c>
      <c r="D1310" s="131" t="s">
        <v>86</v>
      </c>
      <c r="E1310" s="131" t="s">
        <v>13</v>
      </c>
      <c r="F1310" s="108" t="s">
        <v>1312</v>
      </c>
      <c r="G1310" s="131" t="s">
        <v>9</v>
      </c>
      <c r="H1310" s="105">
        <v>0</v>
      </c>
      <c r="I1310" s="105">
        <v>0</v>
      </c>
      <c r="J1310" s="108" t="s">
        <v>2316</v>
      </c>
      <c r="K1310" s="108" t="str">
        <f t="shared" si="60"/>
        <v>0430476416</v>
      </c>
      <c r="L1310" s="303" t="str">
        <f t="shared" si="61"/>
        <v>61805030430476416000</v>
      </c>
      <c r="M1310" s="132" t="str">
        <f>INDEX('реш СГД № 265'!$A:$N,MATCH('БА расх 2019-2020'!$L1310,'реш СГД № 265'!$N:$N,0),3)</f>
        <v>Расходы  на осуществление функций административного центра Ставропольского края за счет средств  краевого бюджета на содержание центральной части города Ставрополя</v>
      </c>
      <c r="N1310" s="17">
        <f t="shared" si="62"/>
        <v>1</v>
      </c>
    </row>
    <row r="1311" spans="1:14" s="16" customFormat="1" ht="31.5">
      <c r="A1311" s="14"/>
      <c r="B1311" s="125" t="s">
        <v>28</v>
      </c>
      <c r="C1311" s="109" t="s">
        <v>783</v>
      </c>
      <c r="D1311" s="108" t="s">
        <v>86</v>
      </c>
      <c r="E1311" s="108" t="s">
        <v>13</v>
      </c>
      <c r="F1311" s="108" t="s">
        <v>1312</v>
      </c>
      <c r="G1311" s="108" t="s">
        <v>29</v>
      </c>
      <c r="H1311" s="126">
        <v>0</v>
      </c>
      <c r="I1311" s="126">
        <v>0</v>
      </c>
      <c r="J1311" s="108" t="s">
        <v>2316</v>
      </c>
      <c r="K1311" s="108" t="str">
        <f t="shared" si="60"/>
        <v>0430476416</v>
      </c>
      <c r="L1311" s="303" t="str">
        <f t="shared" si="61"/>
        <v>61805030430476416240</v>
      </c>
      <c r="M1311" s="132" t="str">
        <f>INDEX('реш СГД № 265'!$A:$N,MATCH('БА расх 2019-2020'!$L1311,'реш СГД № 265'!$N:$N,0),3)</f>
        <v>Иные закупки товаров, работ и услуг для обеспечения государственных (муниципальных) нужд</v>
      </c>
      <c r="N1311" s="17">
        <f t="shared" si="62"/>
        <v>1</v>
      </c>
    </row>
    <row r="1312" spans="1:14" s="16" customFormat="1" ht="15.75">
      <c r="A1312" s="14"/>
      <c r="B1312" s="125" t="s">
        <v>30</v>
      </c>
      <c r="C1312" s="109" t="s">
        <v>783</v>
      </c>
      <c r="D1312" s="108" t="s">
        <v>86</v>
      </c>
      <c r="E1312" s="108" t="s">
        <v>13</v>
      </c>
      <c r="F1312" s="108" t="s">
        <v>1312</v>
      </c>
      <c r="G1312" s="108" t="s">
        <v>31</v>
      </c>
      <c r="H1312" s="126">
        <v>0</v>
      </c>
      <c r="I1312" s="126">
        <v>0</v>
      </c>
      <c r="J1312" s="108" t="s">
        <v>2316</v>
      </c>
      <c r="K1312" s="108" t="str">
        <f t="shared" si="60"/>
        <v>0430476416</v>
      </c>
      <c r="L1312" s="303" t="str">
        <f t="shared" si="61"/>
        <v>61805030430476416244</v>
      </c>
      <c r="M1312" s="132"/>
      <c r="N1312" s="17">
        <f t="shared" si="62"/>
        <v>0</v>
      </c>
    </row>
    <row r="1313" spans="1:14" s="16" customFormat="1" ht="15.75">
      <c r="A1313" s="14"/>
      <c r="B1313" s="117" t="s">
        <v>237</v>
      </c>
      <c r="C1313" s="118" t="s">
        <v>783</v>
      </c>
      <c r="D1313" s="119" t="s">
        <v>238</v>
      </c>
      <c r="E1313" s="119" t="s">
        <v>7</v>
      </c>
      <c r="F1313" s="119" t="s">
        <v>8</v>
      </c>
      <c r="G1313" s="119" t="s">
        <v>9</v>
      </c>
      <c r="H1313" s="120">
        <v>0</v>
      </c>
      <c r="I1313" s="120">
        <v>0</v>
      </c>
      <c r="J1313" s="119">
        <v>0</v>
      </c>
      <c r="K1313" s="108" t="str">
        <f t="shared" si="60"/>
        <v>0000000000</v>
      </c>
      <c r="L1313" s="303" t="str">
        <f t="shared" si="61"/>
        <v>61808000000000000000</v>
      </c>
      <c r="M1313" s="132" t="str">
        <f>INDEX('реш СГД № 265'!$A:$N,MATCH('БА расх 2019-2020'!$L1313,'реш СГД № 265'!$N:$N,0),3)</f>
        <v xml:space="preserve">Культура, кинематография </v>
      </c>
      <c r="N1313" s="17">
        <f t="shared" si="62"/>
        <v>1</v>
      </c>
    </row>
    <row r="1314" spans="1:14" s="16" customFormat="1" ht="15.75">
      <c r="A1314" s="14"/>
      <c r="B1314" s="121" t="s">
        <v>239</v>
      </c>
      <c r="C1314" s="122" t="s">
        <v>783</v>
      </c>
      <c r="D1314" s="123" t="s">
        <v>238</v>
      </c>
      <c r="E1314" s="123" t="s">
        <v>11</v>
      </c>
      <c r="F1314" s="123" t="s">
        <v>8</v>
      </c>
      <c r="G1314" s="123" t="s">
        <v>9</v>
      </c>
      <c r="H1314" s="124">
        <v>0</v>
      </c>
      <c r="I1314" s="124">
        <v>0</v>
      </c>
      <c r="J1314" s="123">
        <v>0</v>
      </c>
      <c r="K1314" s="108" t="str">
        <f t="shared" si="60"/>
        <v>0000000000</v>
      </c>
      <c r="L1314" s="303" t="str">
        <f t="shared" si="61"/>
        <v>61808010000000000000</v>
      </c>
      <c r="M1314" s="132" t="str">
        <f>INDEX('реш СГД № 265'!$A:$N,MATCH('БА расх 2019-2020'!$L1314,'реш СГД № 265'!$N:$N,0),3)</f>
        <v>Культура</v>
      </c>
      <c r="N1314" s="17">
        <f t="shared" si="62"/>
        <v>1</v>
      </c>
    </row>
    <row r="1315" spans="1:14" s="16" customFormat="1" ht="31.5">
      <c r="A1315" s="14"/>
      <c r="B1315" s="125" t="s">
        <v>240</v>
      </c>
      <c r="C1315" s="109" t="s">
        <v>783</v>
      </c>
      <c r="D1315" s="108" t="s">
        <v>238</v>
      </c>
      <c r="E1315" s="108" t="s">
        <v>11</v>
      </c>
      <c r="F1315" s="108" t="s">
        <v>241</v>
      </c>
      <c r="G1315" s="108" t="s">
        <v>9</v>
      </c>
      <c r="H1315" s="126">
        <v>0</v>
      </c>
      <c r="I1315" s="126">
        <v>0</v>
      </c>
      <c r="J1315" s="108">
        <v>700000000</v>
      </c>
      <c r="K1315" s="108" t="str">
        <f t="shared" si="60"/>
        <v>0700000000</v>
      </c>
      <c r="L1315" s="303" t="str">
        <f t="shared" si="61"/>
        <v>61808010700000000000</v>
      </c>
      <c r="M1315" s="132" t="str">
        <f>INDEX('реш СГД № 265'!$A:$N,MATCH('БА расх 2019-2020'!$L1315,'реш СГД № 265'!$N:$N,0),3)</f>
        <v>Муниципальная программа «Культура города Ставрополя»</v>
      </c>
      <c r="N1315" s="17">
        <f t="shared" si="62"/>
        <v>1</v>
      </c>
    </row>
    <row r="1316" spans="1:14" s="16" customFormat="1" ht="78.75">
      <c r="A1316" s="14"/>
      <c r="B1316" s="127" t="s">
        <v>384</v>
      </c>
      <c r="C1316" s="109" t="s">
        <v>783</v>
      </c>
      <c r="D1316" s="108" t="s">
        <v>238</v>
      </c>
      <c r="E1316" s="108" t="s">
        <v>11</v>
      </c>
      <c r="F1316" s="108" t="s">
        <v>243</v>
      </c>
      <c r="G1316" s="108" t="s">
        <v>9</v>
      </c>
      <c r="H1316" s="126">
        <v>0</v>
      </c>
      <c r="I1316" s="126">
        <v>0</v>
      </c>
      <c r="J1316" s="108">
        <v>710000000</v>
      </c>
      <c r="K1316" s="108" t="str">
        <f t="shared" si="60"/>
        <v>0710000000</v>
      </c>
      <c r="L1316" s="303" t="str">
        <f t="shared" si="61"/>
        <v>61808010710000000000</v>
      </c>
      <c r="M1316" s="132" t="str">
        <f>INDEX('реш СГД № 265'!$A:$N,MATCH('БА расх 2019-2020'!$L1316,'реш СГД № 265'!$N:$N,0),3)</f>
        <v>Подпрограмма «Проведение городских и краевых культурно-массовых мероприятий, посвященных памятным, знаменательным и юбилейным датам в истории России, Ставропольского края, города Ставрополя»</v>
      </c>
      <c r="N1316" s="17">
        <f t="shared" si="62"/>
        <v>1</v>
      </c>
    </row>
    <row r="1317" spans="1:14" s="16" customFormat="1" ht="110.25">
      <c r="A1317" s="14"/>
      <c r="B1317" s="140" t="s">
        <v>244</v>
      </c>
      <c r="C1317" s="130" t="s">
        <v>783</v>
      </c>
      <c r="D1317" s="131" t="s">
        <v>238</v>
      </c>
      <c r="E1317" s="131" t="s">
        <v>11</v>
      </c>
      <c r="F1317" s="131" t="s">
        <v>245</v>
      </c>
      <c r="G1317" s="131" t="s">
        <v>9</v>
      </c>
      <c r="H1317" s="105">
        <v>0</v>
      </c>
      <c r="I1317" s="105">
        <v>0</v>
      </c>
      <c r="J1317" s="131">
        <v>710100000</v>
      </c>
      <c r="K1317" s="108" t="str">
        <f t="shared" si="60"/>
        <v>0710100000</v>
      </c>
      <c r="L1317" s="303" t="str">
        <f t="shared" si="61"/>
        <v>61808010710100000000</v>
      </c>
      <c r="M1317" s="132" t="str">
        <f>INDEX('реш СГД № 265'!$A:$N,MATCH('БА расх 2019-2020'!$L1317,'реш СГД № 265'!$N:$N,0),3)</f>
        <v>Основное мероприятие «Обеспечение доступности к культурным ценностям и права на участие в культурной жизни для всех групп населения города Ставрополя, популяризация объектов культурного наследия города Ставрополя, формирование имиджа города Ставрополя как культурного центра Ставропольского края»</v>
      </c>
      <c r="N1317" s="17">
        <f t="shared" si="62"/>
        <v>1</v>
      </c>
    </row>
    <row r="1318" spans="1:14" s="16" customFormat="1" ht="31.5">
      <c r="A1318" s="14"/>
      <c r="B1318" s="125" t="s">
        <v>246</v>
      </c>
      <c r="C1318" s="109" t="s">
        <v>783</v>
      </c>
      <c r="D1318" s="108" t="s">
        <v>238</v>
      </c>
      <c r="E1318" s="108" t="s">
        <v>11</v>
      </c>
      <c r="F1318" s="108" t="s">
        <v>247</v>
      </c>
      <c r="G1318" s="108" t="s">
        <v>9</v>
      </c>
      <c r="H1318" s="126">
        <v>0</v>
      </c>
      <c r="I1318" s="126">
        <v>0</v>
      </c>
      <c r="J1318" s="108">
        <v>710120060</v>
      </c>
      <c r="K1318" s="108" t="str">
        <f t="shared" si="60"/>
        <v>0710120060</v>
      </c>
      <c r="L1318" s="303" t="str">
        <f t="shared" si="61"/>
        <v>61808010710120060000</v>
      </c>
      <c r="M1318" s="132" t="str">
        <f>INDEX('реш СГД № 265'!$A:$N,MATCH('БА расх 2019-2020'!$L1318,'реш СГД № 265'!$N:$N,0),3)</f>
        <v>Расходы на проведение культурно-массовых мероприятий в городе Ставрополе</v>
      </c>
      <c r="N1318" s="17">
        <f t="shared" si="62"/>
        <v>1</v>
      </c>
    </row>
    <row r="1319" spans="1:14" s="16" customFormat="1" ht="31.5">
      <c r="A1319" s="14"/>
      <c r="B1319" s="125" t="s">
        <v>28</v>
      </c>
      <c r="C1319" s="109" t="s">
        <v>783</v>
      </c>
      <c r="D1319" s="108" t="s">
        <v>238</v>
      </c>
      <c r="E1319" s="108" t="s">
        <v>11</v>
      </c>
      <c r="F1319" s="108" t="s">
        <v>247</v>
      </c>
      <c r="G1319" s="108" t="s">
        <v>29</v>
      </c>
      <c r="H1319" s="126">
        <v>0</v>
      </c>
      <c r="I1319" s="126">
        <v>0</v>
      </c>
      <c r="J1319" s="108">
        <v>710120060</v>
      </c>
      <c r="K1319" s="108" t="str">
        <f t="shared" si="60"/>
        <v>0710120060</v>
      </c>
      <c r="L1319" s="303" t="str">
        <f t="shared" si="61"/>
        <v>61808010710120060240</v>
      </c>
      <c r="M1319" s="132" t="str">
        <f>INDEX('реш СГД № 265'!$A:$N,MATCH('БА расх 2019-2020'!$L1319,'реш СГД № 265'!$N:$N,0),3)</f>
        <v>Иные закупки товаров, работ и услуг для обеспечения государственных (муниципальных) нужд</v>
      </c>
      <c r="N1319" s="17">
        <f t="shared" si="62"/>
        <v>1</v>
      </c>
    </row>
    <row r="1320" spans="1:14" s="16" customFormat="1" ht="15.75">
      <c r="A1320" s="14"/>
      <c r="B1320" s="125" t="s">
        <v>30</v>
      </c>
      <c r="C1320" s="109" t="s">
        <v>783</v>
      </c>
      <c r="D1320" s="108" t="s">
        <v>238</v>
      </c>
      <c r="E1320" s="108" t="s">
        <v>11</v>
      </c>
      <c r="F1320" s="108" t="s">
        <v>247</v>
      </c>
      <c r="G1320" s="108" t="s">
        <v>31</v>
      </c>
      <c r="H1320" s="126">
        <v>0</v>
      </c>
      <c r="I1320" s="126">
        <v>0</v>
      </c>
      <c r="J1320" s="108">
        <v>710120060</v>
      </c>
      <c r="K1320" s="108" t="str">
        <f t="shared" si="60"/>
        <v>0710120060</v>
      </c>
      <c r="L1320" s="303" t="str">
        <f t="shared" si="61"/>
        <v>61808010710120060244</v>
      </c>
      <c r="M1320" s="132"/>
      <c r="N1320" s="17">
        <f t="shared" si="62"/>
        <v>0</v>
      </c>
    </row>
    <row r="1321" spans="1:14" s="16" customFormat="1" ht="47.25">
      <c r="A1321" s="14"/>
      <c r="B1321" s="127" t="s">
        <v>780</v>
      </c>
      <c r="C1321" s="109" t="s">
        <v>783</v>
      </c>
      <c r="D1321" s="108" t="s">
        <v>238</v>
      </c>
      <c r="E1321" s="108" t="s">
        <v>11</v>
      </c>
      <c r="F1321" s="108" t="s">
        <v>781</v>
      </c>
      <c r="G1321" s="108" t="s">
        <v>9</v>
      </c>
      <c r="H1321" s="126">
        <v>0</v>
      </c>
      <c r="I1321" s="126">
        <v>0</v>
      </c>
      <c r="J1321" s="108">
        <v>710121130</v>
      </c>
      <c r="K1321" s="108" t="str">
        <f t="shared" si="60"/>
        <v>0710121130</v>
      </c>
      <c r="L1321" s="303" t="str">
        <f t="shared" si="61"/>
        <v>61808010710121130000</v>
      </c>
      <c r="M1321" s="132" t="str">
        <f>INDEX('реш СГД № 265'!$A:$N,MATCH('БА расх 2019-2020'!$L1321,'реш СГД № 265'!$N:$N,0),3)</f>
        <v>Расходы на размещение информационных баннеров на лайтбоксах на остановочных пунктах в городе Ставрополе</v>
      </c>
      <c r="N1321" s="17">
        <f t="shared" si="62"/>
        <v>1</v>
      </c>
    </row>
    <row r="1322" spans="1:14" s="16" customFormat="1" ht="31.5">
      <c r="A1322" s="14"/>
      <c r="B1322" s="125" t="s">
        <v>28</v>
      </c>
      <c r="C1322" s="109" t="s">
        <v>783</v>
      </c>
      <c r="D1322" s="108" t="s">
        <v>238</v>
      </c>
      <c r="E1322" s="108" t="s">
        <v>11</v>
      </c>
      <c r="F1322" s="108" t="s">
        <v>781</v>
      </c>
      <c r="G1322" s="108" t="s">
        <v>29</v>
      </c>
      <c r="H1322" s="126">
        <v>0</v>
      </c>
      <c r="I1322" s="126">
        <v>0</v>
      </c>
      <c r="J1322" s="108">
        <v>710121130</v>
      </c>
      <c r="K1322" s="108" t="str">
        <f t="shared" si="60"/>
        <v>0710121130</v>
      </c>
      <c r="L1322" s="303" t="str">
        <f t="shared" si="61"/>
        <v>61808010710121130240</v>
      </c>
      <c r="M1322" s="132" t="str">
        <f>INDEX('реш СГД № 265'!$A:$N,MATCH('БА расх 2019-2020'!$L1322,'реш СГД № 265'!$N:$N,0),3)</f>
        <v>Иные закупки товаров, работ и услуг для обеспечения государственных (муниципальных) нужд</v>
      </c>
      <c r="N1322" s="17">
        <f t="shared" si="62"/>
        <v>1</v>
      </c>
    </row>
    <row r="1323" spans="1:14" s="16" customFormat="1" ht="15.75">
      <c r="A1323" s="14"/>
      <c r="B1323" s="125" t="s">
        <v>30</v>
      </c>
      <c r="C1323" s="109" t="s">
        <v>783</v>
      </c>
      <c r="D1323" s="108" t="s">
        <v>238</v>
      </c>
      <c r="E1323" s="108" t="s">
        <v>11</v>
      </c>
      <c r="F1323" s="108" t="s">
        <v>781</v>
      </c>
      <c r="G1323" s="108" t="s">
        <v>31</v>
      </c>
      <c r="H1323" s="126">
        <v>0</v>
      </c>
      <c r="I1323" s="126">
        <v>0</v>
      </c>
      <c r="J1323" s="108">
        <v>710121130</v>
      </c>
      <c r="K1323" s="108" t="str">
        <f t="shared" si="60"/>
        <v>0710121130</v>
      </c>
      <c r="L1323" s="303" t="str">
        <f t="shared" si="61"/>
        <v>61808010710121130244</v>
      </c>
      <c r="M1323" s="132"/>
      <c r="N1323" s="17">
        <f t="shared" si="62"/>
        <v>0</v>
      </c>
    </row>
    <row r="1324" spans="1:14" s="16" customFormat="1" ht="15.75">
      <c r="A1324" s="14"/>
      <c r="B1324" s="129"/>
      <c r="C1324" s="109"/>
      <c r="D1324" s="108"/>
      <c r="E1324" s="108"/>
      <c r="F1324" s="108"/>
      <c r="G1324" s="108"/>
      <c r="H1324" s="126"/>
      <c r="I1324" s="126"/>
      <c r="J1324" s="108"/>
      <c r="K1324" s="108" t="str">
        <f t="shared" si="60"/>
        <v>0000000000</v>
      </c>
      <c r="L1324" s="303" t="str">
        <f t="shared" si="61"/>
        <v>0000000000</v>
      </c>
      <c r="M1324" s="132">
        <f>INDEX('реш СГД № 265'!$A:$N,MATCH('БА расх 2019-2020'!$L1324,'реш СГД № 265'!$N:$N,0),3)</f>
        <v>0</v>
      </c>
      <c r="N1324" s="17">
        <f t="shared" si="62"/>
        <v>1</v>
      </c>
    </row>
    <row r="1325" spans="1:14" s="16" customFormat="1" ht="31.5">
      <c r="A1325" s="14"/>
      <c r="B1325" s="67" t="s">
        <v>794</v>
      </c>
      <c r="C1325" s="116" t="s">
        <v>795</v>
      </c>
      <c r="D1325" s="69" t="s">
        <v>7</v>
      </c>
      <c r="E1325" s="69" t="s">
        <v>7</v>
      </c>
      <c r="F1325" s="156" t="s">
        <v>8</v>
      </c>
      <c r="G1325" s="69" t="s">
        <v>9</v>
      </c>
      <c r="H1325" s="70">
        <v>0</v>
      </c>
      <c r="I1325" s="70">
        <v>0</v>
      </c>
      <c r="J1325" s="156">
        <v>0</v>
      </c>
      <c r="K1325" s="108" t="str">
        <f t="shared" si="60"/>
        <v>0000000000</v>
      </c>
      <c r="L1325" s="303" t="str">
        <f t="shared" si="61"/>
        <v>61900000000000000000</v>
      </c>
      <c r="M1325" s="132" t="str">
        <f>INDEX('реш СГД № 265'!$A:$N,MATCH('БА расх 2019-2020'!$L1325,'реш СГД № 265'!$N:$N,0),3)</f>
        <v>Администрация Промышленного района города Ставрополя</v>
      </c>
      <c r="N1325" s="17">
        <f t="shared" si="62"/>
        <v>1</v>
      </c>
    </row>
    <row r="1326" spans="1:14" s="16" customFormat="1" ht="15.75">
      <c r="A1326" s="14"/>
      <c r="B1326" s="117" t="s">
        <v>10</v>
      </c>
      <c r="C1326" s="118" t="s">
        <v>795</v>
      </c>
      <c r="D1326" s="119" t="s">
        <v>11</v>
      </c>
      <c r="E1326" s="119" t="s">
        <v>7</v>
      </c>
      <c r="F1326" s="119" t="s">
        <v>8</v>
      </c>
      <c r="G1326" s="119" t="s">
        <v>9</v>
      </c>
      <c r="H1326" s="120">
        <v>0</v>
      </c>
      <c r="I1326" s="120">
        <v>0</v>
      </c>
      <c r="J1326" s="119">
        <v>0</v>
      </c>
      <c r="K1326" s="108" t="str">
        <f t="shared" si="60"/>
        <v>0000000000</v>
      </c>
      <c r="L1326" s="303" t="str">
        <f t="shared" si="61"/>
        <v>61901000000000000000</v>
      </c>
      <c r="M1326" s="132" t="str">
        <f>INDEX('реш СГД № 265'!$A:$N,MATCH('БА расх 2019-2020'!$L1326,'реш СГД № 265'!$N:$N,0),3)</f>
        <v>Общегосударственные вопросы</v>
      </c>
      <c r="N1326" s="17">
        <f t="shared" si="62"/>
        <v>1</v>
      </c>
    </row>
    <row r="1327" spans="1:14" s="16" customFormat="1" ht="63">
      <c r="A1327" s="14"/>
      <c r="B1327" s="121" t="s">
        <v>72</v>
      </c>
      <c r="C1327" s="122" t="s">
        <v>795</v>
      </c>
      <c r="D1327" s="123" t="s">
        <v>11</v>
      </c>
      <c r="E1327" s="123" t="s">
        <v>73</v>
      </c>
      <c r="F1327" s="123" t="s">
        <v>8</v>
      </c>
      <c r="G1327" s="123" t="s">
        <v>9</v>
      </c>
      <c r="H1327" s="124">
        <v>0</v>
      </c>
      <c r="I1327" s="124">
        <v>0</v>
      </c>
      <c r="J1327" s="123">
        <v>0</v>
      </c>
      <c r="K1327" s="108" t="str">
        <f t="shared" si="60"/>
        <v>0000000000</v>
      </c>
      <c r="L1327" s="303" t="str">
        <f t="shared" si="61"/>
        <v>61901040000000000000</v>
      </c>
      <c r="M1327" s="132" t="str">
        <f>INDEX('реш СГД № 265'!$A:$N,MATCH('БА расх 2019-2020'!$L1327,'реш СГД № 265'!$N:$N,0),3)</f>
        <v>Функционирование Правительства Российской Федерации, высших исполнительных органов государственной власти субъектов Российской Федерации, местных администраций</v>
      </c>
      <c r="N1327" s="17">
        <f t="shared" si="62"/>
        <v>1</v>
      </c>
    </row>
    <row r="1328" spans="1:14" s="16" customFormat="1" ht="31.5">
      <c r="A1328" s="14"/>
      <c r="B1328" s="125" t="s">
        <v>796</v>
      </c>
      <c r="C1328" s="108" t="s">
        <v>795</v>
      </c>
      <c r="D1328" s="108" t="s">
        <v>11</v>
      </c>
      <c r="E1328" s="108" t="s">
        <v>73</v>
      </c>
      <c r="F1328" s="108" t="s">
        <v>797</v>
      </c>
      <c r="G1328" s="108" t="s">
        <v>9</v>
      </c>
      <c r="H1328" s="126">
        <v>0</v>
      </c>
      <c r="I1328" s="126">
        <v>0</v>
      </c>
      <c r="J1328" s="108">
        <v>8200000000</v>
      </c>
      <c r="K1328" s="108" t="str">
        <f t="shared" si="60"/>
        <v>8200000000</v>
      </c>
      <c r="L1328" s="303" t="str">
        <f t="shared" si="61"/>
        <v>61901048200000000000</v>
      </c>
      <c r="M1328" s="132" t="str">
        <f>INDEX('реш СГД № 265'!$A:$N,MATCH('БА расх 2019-2020'!$L1328,'реш СГД № 265'!$N:$N,0),3)</f>
        <v>Обеспечение деятельности администрации Промышленного района города Ставрополя</v>
      </c>
      <c r="N1328" s="17">
        <f t="shared" si="62"/>
        <v>1</v>
      </c>
    </row>
    <row r="1329" spans="1:14" s="16" customFormat="1" ht="47.25">
      <c r="A1329" s="14"/>
      <c r="B1329" s="125" t="s">
        <v>798</v>
      </c>
      <c r="C1329" s="108" t="s">
        <v>795</v>
      </c>
      <c r="D1329" s="108" t="s">
        <v>11</v>
      </c>
      <c r="E1329" s="108" t="s">
        <v>73</v>
      </c>
      <c r="F1329" s="108" t="s">
        <v>799</v>
      </c>
      <c r="G1329" s="108" t="s">
        <v>9</v>
      </c>
      <c r="H1329" s="105">
        <v>0</v>
      </c>
      <c r="I1329" s="105">
        <v>0</v>
      </c>
      <c r="J1329" s="108">
        <v>8210000000</v>
      </c>
      <c r="K1329" s="108" t="str">
        <f t="shared" si="60"/>
        <v>8210000000</v>
      </c>
      <c r="L1329" s="303" t="str">
        <f t="shared" si="61"/>
        <v>61901048210000000000</v>
      </c>
      <c r="M1329" s="132" t="str">
        <f>INDEX('реш СГД № 265'!$A:$N,MATCH('БА расх 2019-2020'!$L1329,'реш СГД № 265'!$N:$N,0),3)</f>
        <v>Непрограммные расходы в рамках обеспечения деятельности администрации Промышленного района города Ставрополя</v>
      </c>
      <c r="N1329" s="17">
        <f t="shared" si="62"/>
        <v>1</v>
      </c>
    </row>
    <row r="1330" spans="1:14" s="16" customFormat="1" ht="31.5">
      <c r="A1330" s="14"/>
      <c r="B1330" s="125" t="s">
        <v>18</v>
      </c>
      <c r="C1330" s="108" t="s">
        <v>795</v>
      </c>
      <c r="D1330" s="108" t="s">
        <v>11</v>
      </c>
      <c r="E1330" s="108" t="s">
        <v>73</v>
      </c>
      <c r="F1330" s="108" t="s">
        <v>800</v>
      </c>
      <c r="G1330" s="108" t="s">
        <v>9</v>
      </c>
      <c r="H1330" s="105">
        <v>0</v>
      </c>
      <c r="I1330" s="105">
        <v>0</v>
      </c>
      <c r="J1330" s="108">
        <v>8210010010</v>
      </c>
      <c r="K1330" s="108" t="str">
        <f t="shared" si="60"/>
        <v>8210010010</v>
      </c>
      <c r="L1330" s="303" t="str">
        <f t="shared" si="61"/>
        <v>61901048210010010000</v>
      </c>
      <c r="M1330" s="132" t="str">
        <f>INDEX('реш СГД № 265'!$A:$N,MATCH('БА расх 2019-2020'!$L1330,'реш СГД № 265'!$N:$N,0),3)</f>
        <v>Расходы на обеспечение функций органов местного самоуправления города Ставрополя</v>
      </c>
      <c r="N1330" s="17">
        <f t="shared" si="62"/>
        <v>1</v>
      </c>
    </row>
    <row r="1331" spans="1:14" s="50" customFormat="1" ht="31.5">
      <c r="A1331" s="49"/>
      <c r="B1331" s="129" t="s">
        <v>20</v>
      </c>
      <c r="C1331" s="131" t="s">
        <v>795</v>
      </c>
      <c r="D1331" s="131" t="s">
        <v>11</v>
      </c>
      <c r="E1331" s="131" t="s">
        <v>73</v>
      </c>
      <c r="F1331" s="108" t="s">
        <v>800</v>
      </c>
      <c r="G1331" s="131" t="s">
        <v>21</v>
      </c>
      <c r="H1331" s="126">
        <v>0</v>
      </c>
      <c r="I1331" s="126">
        <v>0</v>
      </c>
      <c r="J1331" s="108">
        <v>8210010010</v>
      </c>
      <c r="K1331" s="108" t="str">
        <f t="shared" si="60"/>
        <v>8210010010</v>
      </c>
      <c r="L1331" s="303" t="str">
        <f t="shared" si="61"/>
        <v>61901048210010010120</v>
      </c>
      <c r="M1331" s="132" t="str">
        <f>INDEX('реш СГД № 265'!$A:$N,MATCH('БА расх 2019-2020'!$L1331,'реш СГД № 265'!$N:$N,0),3)</f>
        <v>Расходы на выплаты персоналу государственных (муниципальных) органов</v>
      </c>
      <c r="N1331" s="17">
        <f t="shared" si="62"/>
        <v>1</v>
      </c>
    </row>
    <row r="1332" spans="1:14" s="23" customFormat="1" ht="47.25">
      <c r="A1332" s="21"/>
      <c r="B1332" s="127" t="s">
        <v>22</v>
      </c>
      <c r="C1332" s="131" t="s">
        <v>795</v>
      </c>
      <c r="D1332" s="131" t="s">
        <v>11</v>
      </c>
      <c r="E1332" s="131" t="s">
        <v>73</v>
      </c>
      <c r="F1332" s="108" t="s">
        <v>800</v>
      </c>
      <c r="G1332" s="108" t="s">
        <v>23</v>
      </c>
      <c r="H1332" s="126">
        <v>0</v>
      </c>
      <c r="I1332" s="126">
        <v>0</v>
      </c>
      <c r="J1332" s="108">
        <v>8210010010</v>
      </c>
      <c r="K1332" s="108" t="str">
        <f t="shared" si="60"/>
        <v>8210010010</v>
      </c>
      <c r="L1332" s="303" t="str">
        <f t="shared" si="61"/>
        <v>61901048210010010122</v>
      </c>
      <c r="M1332" s="132"/>
      <c r="N1332" s="17">
        <f t="shared" si="62"/>
        <v>0</v>
      </c>
    </row>
    <row r="1333" spans="1:14" s="23" customFormat="1" ht="63">
      <c r="A1333" s="21"/>
      <c r="B1333" s="127" t="s">
        <v>26</v>
      </c>
      <c r="C1333" s="131" t="s">
        <v>795</v>
      </c>
      <c r="D1333" s="131" t="s">
        <v>11</v>
      </c>
      <c r="E1333" s="131" t="s">
        <v>73</v>
      </c>
      <c r="F1333" s="108" t="s">
        <v>800</v>
      </c>
      <c r="G1333" s="108" t="s">
        <v>27</v>
      </c>
      <c r="H1333" s="126">
        <v>0</v>
      </c>
      <c r="I1333" s="126">
        <v>0</v>
      </c>
      <c r="J1333" s="108">
        <v>8210010010</v>
      </c>
      <c r="K1333" s="108" t="str">
        <f t="shared" si="60"/>
        <v>8210010010</v>
      </c>
      <c r="L1333" s="303" t="str">
        <f t="shared" si="61"/>
        <v>61901048210010010129</v>
      </c>
      <c r="M1333" s="132"/>
      <c r="N1333" s="17">
        <f t="shared" si="62"/>
        <v>0</v>
      </c>
    </row>
    <row r="1334" spans="1:14" s="16" customFormat="1" ht="31.5">
      <c r="A1334" s="14"/>
      <c r="B1334" s="125" t="s">
        <v>28</v>
      </c>
      <c r="C1334" s="131" t="s">
        <v>795</v>
      </c>
      <c r="D1334" s="131" t="s">
        <v>11</v>
      </c>
      <c r="E1334" s="131" t="s">
        <v>73</v>
      </c>
      <c r="F1334" s="108" t="s">
        <v>800</v>
      </c>
      <c r="G1334" s="108" t="s">
        <v>29</v>
      </c>
      <c r="H1334" s="126">
        <v>0</v>
      </c>
      <c r="I1334" s="126">
        <v>0</v>
      </c>
      <c r="J1334" s="108">
        <v>8210010010</v>
      </c>
      <c r="K1334" s="108" t="str">
        <f t="shared" si="60"/>
        <v>8210010010</v>
      </c>
      <c r="L1334" s="303" t="str">
        <f t="shared" si="61"/>
        <v>61901048210010010240</v>
      </c>
      <c r="M1334" s="132" t="str">
        <f>INDEX('реш СГД № 265'!$A:$N,MATCH('БА расх 2019-2020'!$L1334,'реш СГД № 265'!$N:$N,0),3)</f>
        <v>Иные закупки товаров, работ и услуг для обеспечения государственных (муниципальных) нужд</v>
      </c>
      <c r="N1334" s="17">
        <f t="shared" si="62"/>
        <v>1</v>
      </c>
    </row>
    <row r="1335" spans="1:14" s="16" customFormat="1" ht="15.75">
      <c r="A1335" s="14"/>
      <c r="B1335" s="125" t="s">
        <v>30</v>
      </c>
      <c r="C1335" s="131" t="s">
        <v>795</v>
      </c>
      <c r="D1335" s="131" t="s">
        <v>11</v>
      </c>
      <c r="E1335" s="131" t="s">
        <v>73</v>
      </c>
      <c r="F1335" s="108" t="s">
        <v>800</v>
      </c>
      <c r="G1335" s="108" t="s">
        <v>31</v>
      </c>
      <c r="H1335" s="126">
        <v>0</v>
      </c>
      <c r="I1335" s="126">
        <v>0</v>
      </c>
      <c r="J1335" s="108">
        <v>8210010010</v>
      </c>
      <c r="K1335" s="108" t="str">
        <f t="shared" si="60"/>
        <v>8210010010</v>
      </c>
      <c r="L1335" s="303" t="str">
        <f t="shared" si="61"/>
        <v>61901048210010010244</v>
      </c>
      <c r="M1335" s="132"/>
      <c r="N1335" s="17">
        <f t="shared" si="62"/>
        <v>0</v>
      </c>
    </row>
    <row r="1336" spans="1:14" s="16" customFormat="1" ht="15.75">
      <c r="A1336" s="14"/>
      <c r="B1336" s="125" t="s">
        <v>32</v>
      </c>
      <c r="C1336" s="131" t="s">
        <v>795</v>
      </c>
      <c r="D1336" s="131" t="s">
        <v>11</v>
      </c>
      <c r="E1336" s="131" t="s">
        <v>73</v>
      </c>
      <c r="F1336" s="108" t="s">
        <v>800</v>
      </c>
      <c r="G1336" s="131" t="s">
        <v>33</v>
      </c>
      <c r="H1336" s="126">
        <v>0</v>
      </c>
      <c r="I1336" s="126">
        <v>0</v>
      </c>
      <c r="J1336" s="108">
        <v>8210010010</v>
      </c>
      <c r="K1336" s="108" t="str">
        <f t="shared" si="60"/>
        <v>8210010010</v>
      </c>
      <c r="L1336" s="303" t="str">
        <f t="shared" si="61"/>
        <v>61901048210010010850</v>
      </c>
      <c r="M1336" s="132" t="str">
        <f>INDEX('реш СГД № 265'!$A:$N,MATCH('БА расх 2019-2020'!$L1336,'реш СГД № 265'!$N:$N,0),3)</f>
        <v>Уплата налогов, сборов и иных платежей</v>
      </c>
      <c r="N1336" s="17">
        <f t="shared" si="62"/>
        <v>1</v>
      </c>
    </row>
    <row r="1337" spans="1:14" s="23" customFormat="1" ht="31.5">
      <c r="A1337" s="21"/>
      <c r="B1337" s="127" t="s">
        <v>34</v>
      </c>
      <c r="C1337" s="131" t="s">
        <v>795</v>
      </c>
      <c r="D1337" s="131" t="s">
        <v>11</v>
      </c>
      <c r="E1337" s="131" t="s">
        <v>73</v>
      </c>
      <c r="F1337" s="108" t="s">
        <v>800</v>
      </c>
      <c r="G1337" s="108" t="s">
        <v>35</v>
      </c>
      <c r="H1337" s="126">
        <v>0</v>
      </c>
      <c r="I1337" s="126">
        <v>0</v>
      </c>
      <c r="J1337" s="108">
        <v>8210010010</v>
      </c>
      <c r="K1337" s="108" t="str">
        <f t="shared" si="60"/>
        <v>8210010010</v>
      </c>
      <c r="L1337" s="303" t="str">
        <f t="shared" si="61"/>
        <v>61901048210010010851</v>
      </c>
      <c r="M1337" s="132"/>
      <c r="N1337" s="17">
        <f t="shared" si="62"/>
        <v>0</v>
      </c>
    </row>
    <row r="1338" spans="1:14" s="23" customFormat="1" ht="15.75">
      <c r="A1338" s="21"/>
      <c r="B1338" s="127" t="s">
        <v>36</v>
      </c>
      <c r="C1338" s="131" t="s">
        <v>795</v>
      </c>
      <c r="D1338" s="131" t="s">
        <v>11</v>
      </c>
      <c r="E1338" s="131" t="s">
        <v>73</v>
      </c>
      <c r="F1338" s="108" t="s">
        <v>800</v>
      </c>
      <c r="G1338" s="108" t="s">
        <v>37</v>
      </c>
      <c r="H1338" s="126">
        <v>0</v>
      </c>
      <c r="I1338" s="126">
        <v>0</v>
      </c>
      <c r="J1338" s="108">
        <v>8210010010</v>
      </c>
      <c r="K1338" s="108" t="str">
        <f t="shared" si="60"/>
        <v>8210010010</v>
      </c>
      <c r="L1338" s="303" t="str">
        <f t="shared" si="61"/>
        <v>61901048210010010852</v>
      </c>
      <c r="M1338" s="132"/>
      <c r="N1338" s="17">
        <f t="shared" si="62"/>
        <v>0</v>
      </c>
    </row>
    <row r="1339" spans="1:14" s="47" customFormat="1" ht="31.5">
      <c r="A1339" s="46"/>
      <c r="B1339" s="129" t="s">
        <v>789</v>
      </c>
      <c r="C1339" s="131" t="s">
        <v>795</v>
      </c>
      <c r="D1339" s="131" t="s">
        <v>11</v>
      </c>
      <c r="E1339" s="131" t="s">
        <v>73</v>
      </c>
      <c r="F1339" s="131" t="s">
        <v>801</v>
      </c>
      <c r="G1339" s="131" t="s">
        <v>9</v>
      </c>
      <c r="H1339" s="105">
        <v>0</v>
      </c>
      <c r="I1339" s="105">
        <v>0</v>
      </c>
      <c r="J1339" s="131">
        <v>8210010020</v>
      </c>
      <c r="K1339" s="108" t="str">
        <f t="shared" si="60"/>
        <v>8210010020</v>
      </c>
      <c r="L1339" s="303" t="str">
        <f t="shared" si="61"/>
        <v>61901048210010020000</v>
      </c>
      <c r="M1339" s="132" t="str">
        <f>INDEX('реш СГД № 265'!$A:$N,MATCH('БА расх 2019-2020'!$L1339,'реш СГД № 265'!$N:$N,0),3)</f>
        <v>Расходы на выплаты по оплате труда работников  органов местного самоуправления города Ставрополя</v>
      </c>
      <c r="N1339" s="17">
        <f t="shared" si="62"/>
        <v>1</v>
      </c>
    </row>
    <row r="1340" spans="1:14" s="50" customFormat="1" ht="31.5">
      <c r="A1340" s="49"/>
      <c r="B1340" s="129" t="s">
        <v>20</v>
      </c>
      <c r="C1340" s="131" t="s">
        <v>795</v>
      </c>
      <c r="D1340" s="131" t="s">
        <v>11</v>
      </c>
      <c r="E1340" s="131" t="s">
        <v>73</v>
      </c>
      <c r="F1340" s="131" t="s">
        <v>801</v>
      </c>
      <c r="G1340" s="131" t="s">
        <v>21</v>
      </c>
      <c r="H1340" s="126">
        <v>0</v>
      </c>
      <c r="I1340" s="126">
        <v>0</v>
      </c>
      <c r="J1340" s="131">
        <v>8210010020</v>
      </c>
      <c r="K1340" s="108" t="str">
        <f t="shared" si="60"/>
        <v>8210010020</v>
      </c>
      <c r="L1340" s="303" t="str">
        <f t="shared" si="61"/>
        <v>61901048210010020120</v>
      </c>
      <c r="M1340" s="132" t="str">
        <f>INDEX('реш СГД № 265'!$A:$N,MATCH('БА расх 2019-2020'!$L1340,'реш СГД № 265'!$N:$N,0),3)</f>
        <v>Расходы на выплаты персоналу государственных (муниципальных) органов</v>
      </c>
      <c r="N1340" s="17">
        <f t="shared" si="62"/>
        <v>1</v>
      </c>
    </row>
    <row r="1341" spans="1:14" s="23" customFormat="1" ht="31.5">
      <c r="A1341" s="21"/>
      <c r="B1341" s="127" t="s">
        <v>40</v>
      </c>
      <c r="C1341" s="131" t="s">
        <v>795</v>
      </c>
      <c r="D1341" s="131" t="s">
        <v>11</v>
      </c>
      <c r="E1341" s="131" t="s">
        <v>73</v>
      </c>
      <c r="F1341" s="131" t="s">
        <v>801</v>
      </c>
      <c r="G1341" s="108" t="s">
        <v>41</v>
      </c>
      <c r="H1341" s="126">
        <v>0</v>
      </c>
      <c r="I1341" s="126">
        <v>0</v>
      </c>
      <c r="J1341" s="131">
        <v>8210010020</v>
      </c>
      <c r="K1341" s="108" t="str">
        <f t="shared" si="60"/>
        <v>8210010020</v>
      </c>
      <c r="L1341" s="303" t="str">
        <f t="shared" si="61"/>
        <v>61901048210010020121</v>
      </c>
      <c r="M1341" s="132"/>
      <c r="N1341" s="17">
        <f t="shared" si="62"/>
        <v>0</v>
      </c>
    </row>
    <row r="1342" spans="1:14" s="23" customFormat="1" ht="63">
      <c r="A1342" s="21"/>
      <c r="B1342" s="127" t="s">
        <v>26</v>
      </c>
      <c r="C1342" s="131" t="s">
        <v>795</v>
      </c>
      <c r="D1342" s="131" t="s">
        <v>11</v>
      </c>
      <c r="E1342" s="131" t="s">
        <v>73</v>
      </c>
      <c r="F1342" s="131" t="s">
        <v>801</v>
      </c>
      <c r="G1342" s="108" t="s">
        <v>27</v>
      </c>
      <c r="H1342" s="126">
        <v>0</v>
      </c>
      <c r="I1342" s="126">
        <v>0</v>
      </c>
      <c r="J1342" s="131">
        <v>8210010020</v>
      </c>
      <c r="K1342" s="108" t="str">
        <f t="shared" si="60"/>
        <v>8210010020</v>
      </c>
      <c r="L1342" s="303" t="str">
        <f t="shared" si="61"/>
        <v>61901048210010020129</v>
      </c>
      <c r="M1342" s="132"/>
      <c r="N1342" s="17">
        <f t="shared" si="62"/>
        <v>0</v>
      </c>
    </row>
    <row r="1343" spans="1:14" s="47" customFormat="1" ht="63">
      <c r="A1343" s="14" t="s">
        <v>80</v>
      </c>
      <c r="B1343" s="150" t="s">
        <v>488</v>
      </c>
      <c r="C1343" s="131" t="s">
        <v>795</v>
      </c>
      <c r="D1343" s="131" t="s">
        <v>11</v>
      </c>
      <c r="E1343" s="131" t="s">
        <v>73</v>
      </c>
      <c r="F1343" s="131" t="s">
        <v>802</v>
      </c>
      <c r="G1343" s="131" t="s">
        <v>9</v>
      </c>
      <c r="H1343" s="105">
        <v>0</v>
      </c>
      <c r="I1343" s="105">
        <v>0</v>
      </c>
      <c r="J1343" s="131">
        <v>8210076200</v>
      </c>
      <c r="K1343" s="108" t="str">
        <f t="shared" si="60"/>
        <v>8210076200</v>
      </c>
      <c r="L1343" s="303" t="str">
        <f t="shared" si="61"/>
        <v>61901048210076200000</v>
      </c>
      <c r="M1343" s="132" t="str">
        <f>INDEX('реш СГД № 265'!$A:$N,MATCH('БА расх 2019-2020'!$L1343,'реш СГД № 265'!$N:$N,0),3)</f>
        <v>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v>
      </c>
      <c r="N1343" s="17">
        <f t="shared" si="62"/>
        <v>1</v>
      </c>
    </row>
    <row r="1344" spans="1:14" s="50" customFormat="1" ht="31.5">
      <c r="A1344" s="49"/>
      <c r="B1344" s="129" t="s">
        <v>20</v>
      </c>
      <c r="C1344" s="131" t="s">
        <v>795</v>
      </c>
      <c r="D1344" s="131" t="s">
        <v>11</v>
      </c>
      <c r="E1344" s="131" t="s">
        <v>73</v>
      </c>
      <c r="F1344" s="131" t="s">
        <v>802</v>
      </c>
      <c r="G1344" s="131" t="s">
        <v>21</v>
      </c>
      <c r="H1344" s="126">
        <v>0</v>
      </c>
      <c r="I1344" s="126">
        <v>0</v>
      </c>
      <c r="J1344" s="131">
        <v>8210076200</v>
      </c>
      <c r="K1344" s="108" t="str">
        <f t="shared" si="60"/>
        <v>8210076200</v>
      </c>
      <c r="L1344" s="303" t="str">
        <f t="shared" si="61"/>
        <v>61901048210076200120</v>
      </c>
      <c r="M1344" s="132" t="str">
        <f>INDEX('реш СГД № 265'!$A:$N,MATCH('БА расх 2019-2020'!$L1344,'реш СГД № 265'!$N:$N,0),3)</f>
        <v>Расходы на выплаты персоналу государственных (муниципальных) органов</v>
      </c>
      <c r="N1344" s="17">
        <f t="shared" si="62"/>
        <v>1</v>
      </c>
    </row>
    <row r="1345" spans="1:14" s="23" customFormat="1" ht="31.5">
      <c r="A1345" s="21"/>
      <c r="B1345" s="127" t="s">
        <v>40</v>
      </c>
      <c r="C1345" s="131" t="s">
        <v>795</v>
      </c>
      <c r="D1345" s="131" t="s">
        <v>11</v>
      </c>
      <c r="E1345" s="131" t="s">
        <v>73</v>
      </c>
      <c r="F1345" s="131" t="s">
        <v>802</v>
      </c>
      <c r="G1345" s="108" t="s">
        <v>41</v>
      </c>
      <c r="H1345" s="126">
        <v>0</v>
      </c>
      <c r="I1345" s="126">
        <v>0</v>
      </c>
      <c r="J1345" s="131">
        <v>8210076200</v>
      </c>
      <c r="K1345" s="108" t="str">
        <f t="shared" si="60"/>
        <v>8210076200</v>
      </c>
      <c r="L1345" s="303" t="str">
        <f t="shared" si="61"/>
        <v>61901048210076200121</v>
      </c>
      <c r="M1345" s="132"/>
      <c r="N1345" s="17">
        <f t="shared" si="62"/>
        <v>0</v>
      </c>
    </row>
    <row r="1346" spans="1:14" s="23" customFormat="1" ht="47.25">
      <c r="A1346" s="21"/>
      <c r="B1346" s="127" t="s">
        <v>22</v>
      </c>
      <c r="C1346" s="131" t="s">
        <v>795</v>
      </c>
      <c r="D1346" s="131" t="s">
        <v>11</v>
      </c>
      <c r="E1346" s="131" t="s">
        <v>73</v>
      </c>
      <c r="F1346" s="131" t="s">
        <v>802</v>
      </c>
      <c r="G1346" s="108" t="s">
        <v>23</v>
      </c>
      <c r="H1346" s="126">
        <v>0</v>
      </c>
      <c r="I1346" s="126">
        <v>0</v>
      </c>
      <c r="J1346" s="131">
        <v>8210076200</v>
      </c>
      <c r="K1346" s="108" t="str">
        <f t="shared" si="60"/>
        <v>8210076200</v>
      </c>
      <c r="L1346" s="303" t="str">
        <f t="shared" si="61"/>
        <v>61901048210076200122</v>
      </c>
      <c r="M1346" s="132"/>
      <c r="N1346" s="17">
        <f t="shared" si="62"/>
        <v>0</v>
      </c>
    </row>
    <row r="1347" spans="1:14" s="23" customFormat="1" ht="63">
      <c r="A1347" s="21"/>
      <c r="B1347" s="127" t="s">
        <v>26</v>
      </c>
      <c r="C1347" s="131" t="s">
        <v>795</v>
      </c>
      <c r="D1347" s="131" t="s">
        <v>11</v>
      </c>
      <c r="E1347" s="131" t="s">
        <v>73</v>
      </c>
      <c r="F1347" s="131" t="s">
        <v>802</v>
      </c>
      <c r="G1347" s="108" t="s">
        <v>27</v>
      </c>
      <c r="H1347" s="126">
        <v>0</v>
      </c>
      <c r="I1347" s="126">
        <v>0</v>
      </c>
      <c r="J1347" s="131">
        <v>8210076200</v>
      </c>
      <c r="K1347" s="108" t="str">
        <f t="shared" si="60"/>
        <v>8210076200</v>
      </c>
      <c r="L1347" s="303" t="str">
        <f t="shared" si="61"/>
        <v>61901048210076200129</v>
      </c>
      <c r="M1347" s="132"/>
      <c r="N1347" s="17">
        <f t="shared" si="62"/>
        <v>0</v>
      </c>
    </row>
    <row r="1348" spans="1:14" s="50" customFormat="1" ht="31.5">
      <c r="A1348" s="49"/>
      <c r="B1348" s="125" t="s">
        <v>28</v>
      </c>
      <c r="C1348" s="131" t="s">
        <v>795</v>
      </c>
      <c r="D1348" s="131" t="s">
        <v>11</v>
      </c>
      <c r="E1348" s="131" t="s">
        <v>73</v>
      </c>
      <c r="F1348" s="131" t="s">
        <v>802</v>
      </c>
      <c r="G1348" s="131" t="s">
        <v>29</v>
      </c>
      <c r="H1348" s="126">
        <v>0</v>
      </c>
      <c r="I1348" s="126">
        <v>0</v>
      </c>
      <c r="J1348" s="131">
        <v>8210076200</v>
      </c>
      <c r="K1348" s="108" t="str">
        <f t="shared" si="60"/>
        <v>8210076200</v>
      </c>
      <c r="L1348" s="303" t="str">
        <f t="shared" si="61"/>
        <v>61901048210076200240</v>
      </c>
      <c r="M1348" s="132" t="str">
        <f>INDEX('реш СГД № 265'!$A:$N,MATCH('БА расх 2019-2020'!$L1348,'реш СГД № 265'!$N:$N,0),3)</f>
        <v>Иные закупки товаров, работ и услуг для обеспечения государственных (муниципальных) нужд</v>
      </c>
      <c r="N1348" s="17">
        <f t="shared" si="62"/>
        <v>1</v>
      </c>
    </row>
    <row r="1349" spans="1:14" s="50" customFormat="1" ht="15.75">
      <c r="A1349" s="49"/>
      <c r="B1349" s="125" t="s">
        <v>30</v>
      </c>
      <c r="C1349" s="131" t="s">
        <v>795</v>
      </c>
      <c r="D1349" s="131" t="s">
        <v>11</v>
      </c>
      <c r="E1349" s="131" t="s">
        <v>73</v>
      </c>
      <c r="F1349" s="131" t="s">
        <v>802</v>
      </c>
      <c r="G1349" s="131" t="s">
        <v>31</v>
      </c>
      <c r="H1349" s="126">
        <v>0</v>
      </c>
      <c r="I1349" s="126">
        <v>0</v>
      </c>
      <c r="J1349" s="131">
        <v>8210076200</v>
      </c>
      <c r="K1349" s="108" t="str">
        <f t="shared" si="60"/>
        <v>8210076200</v>
      </c>
      <c r="L1349" s="303" t="str">
        <f t="shared" si="61"/>
        <v>61901048210076200244</v>
      </c>
      <c r="M1349" s="132"/>
      <c r="N1349" s="17">
        <f t="shared" si="62"/>
        <v>0</v>
      </c>
    </row>
    <row r="1350" spans="1:14" s="47" customFormat="1" ht="63">
      <c r="A1350" s="14" t="s">
        <v>80</v>
      </c>
      <c r="B1350" s="129" t="s">
        <v>754</v>
      </c>
      <c r="C1350" s="131" t="s">
        <v>795</v>
      </c>
      <c r="D1350" s="131" t="s">
        <v>11</v>
      </c>
      <c r="E1350" s="131" t="s">
        <v>73</v>
      </c>
      <c r="F1350" s="131" t="s">
        <v>803</v>
      </c>
      <c r="G1350" s="131" t="s">
        <v>9</v>
      </c>
      <c r="H1350" s="105">
        <v>0</v>
      </c>
      <c r="I1350" s="105">
        <v>0</v>
      </c>
      <c r="J1350" s="131">
        <v>8210076360</v>
      </c>
      <c r="K1350" s="108" t="str">
        <f t="shared" si="60"/>
        <v>8210076360</v>
      </c>
      <c r="L1350" s="303" t="str">
        <f t="shared" si="61"/>
        <v>61901048210076360000</v>
      </c>
      <c r="M1350" s="132" t="str">
        <f>INDEX('реш СГД № 265'!$A:$N,MATCH('БА расх 2019-2020'!$L1350,'реш СГД № 265'!$N:$N,0),3)</f>
        <v>Расходы на осуществление переданных государственных полномочий Ставропольского края по созданию и организации деятельности комиссий по делам несовершеннолетних и защите их прав</v>
      </c>
      <c r="N1350" s="17">
        <f t="shared" si="62"/>
        <v>1</v>
      </c>
    </row>
    <row r="1351" spans="1:14" s="50" customFormat="1" ht="31.5">
      <c r="A1351" s="49"/>
      <c r="B1351" s="125" t="s">
        <v>28</v>
      </c>
      <c r="C1351" s="131" t="s">
        <v>795</v>
      </c>
      <c r="D1351" s="131" t="s">
        <v>11</v>
      </c>
      <c r="E1351" s="131" t="s">
        <v>73</v>
      </c>
      <c r="F1351" s="131" t="s">
        <v>803</v>
      </c>
      <c r="G1351" s="131" t="s">
        <v>29</v>
      </c>
      <c r="H1351" s="126">
        <v>0</v>
      </c>
      <c r="I1351" s="126">
        <v>0</v>
      </c>
      <c r="J1351" s="131">
        <v>8210076360</v>
      </c>
      <c r="K1351" s="108" t="str">
        <f t="shared" si="60"/>
        <v>8210076360</v>
      </c>
      <c r="L1351" s="303" t="str">
        <f t="shared" si="61"/>
        <v>61901048210076360240</v>
      </c>
      <c r="M1351" s="132" t="str">
        <f>INDEX('реш СГД № 265'!$A:$N,MATCH('БА расх 2019-2020'!$L1351,'реш СГД № 265'!$N:$N,0),3)</f>
        <v>Иные закупки товаров, работ и услуг для обеспечения государственных (муниципальных) нужд</v>
      </c>
      <c r="N1351" s="17">
        <f t="shared" si="62"/>
        <v>1</v>
      </c>
    </row>
    <row r="1352" spans="1:14" s="50" customFormat="1" ht="15.75">
      <c r="A1352" s="49"/>
      <c r="B1352" s="125" t="s">
        <v>30</v>
      </c>
      <c r="C1352" s="131" t="s">
        <v>795</v>
      </c>
      <c r="D1352" s="131" t="s">
        <v>11</v>
      </c>
      <c r="E1352" s="131" t="s">
        <v>73</v>
      </c>
      <c r="F1352" s="131" t="s">
        <v>803</v>
      </c>
      <c r="G1352" s="131" t="s">
        <v>31</v>
      </c>
      <c r="H1352" s="126">
        <v>0</v>
      </c>
      <c r="I1352" s="126">
        <v>0</v>
      </c>
      <c r="J1352" s="131">
        <v>8210076360</v>
      </c>
      <c r="K1352" s="108" t="str">
        <f t="shared" si="60"/>
        <v>8210076360</v>
      </c>
      <c r="L1352" s="303" t="str">
        <f t="shared" si="61"/>
        <v>61901048210076360244</v>
      </c>
      <c r="M1352" s="132"/>
      <c r="N1352" s="17">
        <f t="shared" si="62"/>
        <v>0</v>
      </c>
    </row>
    <row r="1353" spans="1:14" s="16" customFormat="1" ht="15.75">
      <c r="A1353" s="14"/>
      <c r="B1353" s="157" t="s">
        <v>50</v>
      </c>
      <c r="C1353" s="122" t="s">
        <v>795</v>
      </c>
      <c r="D1353" s="123" t="s">
        <v>11</v>
      </c>
      <c r="E1353" s="123" t="s">
        <v>51</v>
      </c>
      <c r="F1353" s="123" t="s">
        <v>8</v>
      </c>
      <c r="G1353" s="123" t="s">
        <v>9</v>
      </c>
      <c r="H1353" s="124">
        <v>0</v>
      </c>
      <c r="I1353" s="124">
        <v>0</v>
      </c>
      <c r="J1353" s="123">
        <v>0</v>
      </c>
      <c r="K1353" s="108" t="str">
        <f t="shared" si="60"/>
        <v>0000000000</v>
      </c>
      <c r="L1353" s="303" t="str">
        <f t="shared" si="61"/>
        <v>61901130000000000000</v>
      </c>
      <c r="M1353" s="132" t="str">
        <f>INDEX('реш СГД № 265'!$A:$N,MATCH('БА расх 2019-2020'!$L1353,'реш СГД № 265'!$N:$N,0),3)</f>
        <v>Другие общегосударственные вопросы</v>
      </c>
      <c r="N1353" s="17">
        <f t="shared" si="62"/>
        <v>1</v>
      </c>
    </row>
    <row r="1354" spans="1:14" s="16" customFormat="1" ht="63">
      <c r="A1354" s="14"/>
      <c r="B1354" s="132" t="s">
        <v>257</v>
      </c>
      <c r="C1354" s="108" t="s">
        <v>795</v>
      </c>
      <c r="D1354" s="108" t="s">
        <v>11</v>
      </c>
      <c r="E1354" s="108" t="s">
        <v>51</v>
      </c>
      <c r="F1354" s="108" t="s">
        <v>258</v>
      </c>
      <c r="G1354" s="108" t="s">
        <v>9</v>
      </c>
      <c r="H1354" s="126">
        <v>0</v>
      </c>
      <c r="I1354" s="126">
        <v>0</v>
      </c>
      <c r="J1354" s="108">
        <v>1100000000</v>
      </c>
      <c r="K1354" s="108" t="str">
        <f t="shared" si="60"/>
        <v>1100000000</v>
      </c>
      <c r="L1354" s="303" t="str">
        <f t="shared" si="61"/>
        <v>61901131100000000000</v>
      </c>
      <c r="M1354" s="132" t="str">
        <f>INDEX('реш СГД № 265'!$A:$N,MATCH('БА расх 2019-2020'!$L1354,'реш СГД № 265'!$N:$N,0),3)</f>
        <v>Муниципальная программа  «Управление и распоряжение имуществом, находящимся в муниципальной собственности города Ставрополя, в том числе земельными ресурсами»</v>
      </c>
      <c r="N1354" s="17">
        <f t="shared" si="62"/>
        <v>1</v>
      </c>
    </row>
    <row r="1355" spans="1:14" s="16" customFormat="1" ht="78.75">
      <c r="A1355" s="14"/>
      <c r="B1355" s="132" t="s">
        <v>259</v>
      </c>
      <c r="C1355" s="108" t="s">
        <v>795</v>
      </c>
      <c r="D1355" s="108" t="s">
        <v>11</v>
      </c>
      <c r="E1355" s="108" t="s">
        <v>51</v>
      </c>
      <c r="F1355" s="108" t="s">
        <v>260</v>
      </c>
      <c r="G1355" s="108" t="s">
        <v>9</v>
      </c>
      <c r="H1355" s="126">
        <v>0</v>
      </c>
      <c r="I1355" s="126">
        <v>0</v>
      </c>
      <c r="J1355" s="108" t="s">
        <v>1171</v>
      </c>
      <c r="K1355" s="108" t="str">
        <f t="shared" si="60"/>
        <v>11Б0000000</v>
      </c>
      <c r="L1355" s="303" t="str">
        <f t="shared" si="61"/>
        <v>619011311Б0000000000</v>
      </c>
      <c r="M1355" s="132" t="str">
        <f>INDEX('реш СГД № 265'!$A:$N,MATCH('БА расх 2019-2020'!$L1355,'реш СГД № 265'!$N:$N,0),3)</f>
        <v>Расходы в рамках реализации муниципальной программы «Управление и распоряжение  имуществом, находящимся в муниципальной собственности города Ставрополя, в том числе земельными ресурсами»</v>
      </c>
      <c r="N1355" s="17">
        <f t="shared" si="62"/>
        <v>1</v>
      </c>
    </row>
    <row r="1356" spans="1:14" s="16" customFormat="1" ht="47.25">
      <c r="A1356" s="14"/>
      <c r="B1356" s="155" t="s">
        <v>261</v>
      </c>
      <c r="C1356" s="108" t="s">
        <v>795</v>
      </c>
      <c r="D1356" s="108" t="s">
        <v>11</v>
      </c>
      <c r="E1356" s="108" t="s">
        <v>51</v>
      </c>
      <c r="F1356" s="108" t="s">
        <v>262</v>
      </c>
      <c r="G1356" s="108" t="s">
        <v>9</v>
      </c>
      <c r="H1356" s="126">
        <v>0</v>
      </c>
      <c r="I1356" s="126">
        <v>0</v>
      </c>
      <c r="J1356" s="108" t="s">
        <v>1172</v>
      </c>
      <c r="K1356" s="108" t="str">
        <f t="shared" si="60"/>
        <v>11Б0100000</v>
      </c>
      <c r="L1356" s="303" t="str">
        <f t="shared" si="61"/>
        <v>619011311Б0100000000</v>
      </c>
      <c r="M1356" s="132" t="str">
        <f>INDEX('реш СГД № 265'!$A:$N,MATCH('БА расх 2019-2020'!$L1356,'реш СГД № 265'!$N:$N,0),3)</f>
        <v>Основное мероприятие «Управление и распоряжение объектами недвижимого имущества, находящимися в муниципальной собственности города Ставрополя»</v>
      </c>
      <c r="N1356" s="17">
        <f t="shared" si="62"/>
        <v>1</v>
      </c>
    </row>
    <row r="1357" spans="1:14" s="16" customFormat="1" ht="31.5">
      <c r="A1357" s="14"/>
      <c r="B1357" s="147" t="s">
        <v>756</v>
      </c>
      <c r="C1357" s="108" t="s">
        <v>795</v>
      </c>
      <c r="D1357" s="108" t="s">
        <v>11</v>
      </c>
      <c r="E1357" s="108" t="s">
        <v>51</v>
      </c>
      <c r="F1357" s="108" t="s">
        <v>757</v>
      </c>
      <c r="G1357" s="108" t="s">
        <v>9</v>
      </c>
      <c r="H1357" s="126">
        <v>0</v>
      </c>
      <c r="I1357" s="126">
        <v>0</v>
      </c>
      <c r="J1357" s="108" t="s">
        <v>1230</v>
      </c>
      <c r="K1357" s="108" t="str">
        <f t="shared" ref="K1357:K1420" si="63">TEXT(J1357,"0000000000")</f>
        <v>11Б0120840</v>
      </c>
      <c r="L1357" s="303" t="str">
        <f t="shared" si="61"/>
        <v>619011311Б0120840000</v>
      </c>
      <c r="M1357" s="132" t="str">
        <f>INDEX('реш СГД № 265'!$A:$N,MATCH('БА расх 2019-2020'!$L1357,'реш СГД № 265'!$N:$N,0),3)</f>
        <v>Расходы на содержание объектов муниципальной казны города Ставрополя в части жилых помещений</v>
      </c>
      <c r="N1357" s="17">
        <f t="shared" si="62"/>
        <v>1</v>
      </c>
    </row>
    <row r="1358" spans="1:14" s="16" customFormat="1" ht="31.5">
      <c r="A1358" s="14"/>
      <c r="B1358" s="125" t="s">
        <v>28</v>
      </c>
      <c r="C1358" s="108" t="s">
        <v>795</v>
      </c>
      <c r="D1358" s="108" t="s">
        <v>11</v>
      </c>
      <c r="E1358" s="108" t="s">
        <v>51</v>
      </c>
      <c r="F1358" s="108" t="s">
        <v>757</v>
      </c>
      <c r="G1358" s="108" t="s">
        <v>29</v>
      </c>
      <c r="H1358" s="126">
        <v>0</v>
      </c>
      <c r="I1358" s="126">
        <v>0</v>
      </c>
      <c r="J1358" s="108" t="s">
        <v>1230</v>
      </c>
      <c r="K1358" s="108" t="str">
        <f t="shared" si="63"/>
        <v>11Б0120840</v>
      </c>
      <c r="L1358" s="303" t="str">
        <f t="shared" ref="L1358:L1421" si="64">C1358&amp;D1358&amp;E1358&amp;K1358&amp;G1358</f>
        <v>619011311Б0120840240</v>
      </c>
      <c r="M1358" s="132" t="str">
        <f>INDEX('реш СГД № 265'!$A:$N,MATCH('БА расх 2019-2020'!$L1358,'реш СГД № 265'!$N:$N,0),3)</f>
        <v>Иные закупки товаров, работ и услуг для обеспечения государственных (муниципальных) нужд</v>
      </c>
      <c r="N1358" s="17">
        <f t="shared" ref="N1358:N1421" si="65">IF(B1358=M1358,1,0)</f>
        <v>1</v>
      </c>
    </row>
    <row r="1359" spans="1:14" s="16" customFormat="1" ht="15.75">
      <c r="A1359" s="14"/>
      <c r="B1359" s="125" t="s">
        <v>30</v>
      </c>
      <c r="C1359" s="108" t="s">
        <v>795</v>
      </c>
      <c r="D1359" s="108" t="s">
        <v>11</v>
      </c>
      <c r="E1359" s="108" t="s">
        <v>51</v>
      </c>
      <c r="F1359" s="108" t="s">
        <v>757</v>
      </c>
      <c r="G1359" s="108" t="s">
        <v>31</v>
      </c>
      <c r="H1359" s="126">
        <v>0</v>
      </c>
      <c r="I1359" s="126">
        <v>0</v>
      </c>
      <c r="J1359" s="108" t="s">
        <v>1230</v>
      </c>
      <c r="K1359" s="108" t="str">
        <f t="shared" si="63"/>
        <v>11Б0120840</v>
      </c>
      <c r="L1359" s="303" t="str">
        <f t="shared" si="64"/>
        <v>619011311Б0120840244</v>
      </c>
      <c r="M1359" s="132"/>
      <c r="N1359" s="17">
        <f t="shared" si="65"/>
        <v>0</v>
      </c>
    </row>
    <row r="1360" spans="1:14" s="16" customFormat="1" ht="31.5">
      <c r="A1360" s="14"/>
      <c r="B1360" s="125" t="s">
        <v>267</v>
      </c>
      <c r="C1360" s="108" t="s">
        <v>795</v>
      </c>
      <c r="D1360" s="131" t="s">
        <v>11</v>
      </c>
      <c r="E1360" s="131" t="s">
        <v>51</v>
      </c>
      <c r="F1360" s="14" t="s">
        <v>268</v>
      </c>
      <c r="G1360" s="108" t="s">
        <v>9</v>
      </c>
      <c r="H1360" s="126">
        <v>0</v>
      </c>
      <c r="I1360" s="126">
        <v>0</v>
      </c>
      <c r="J1360" s="14" t="s">
        <v>1175</v>
      </c>
      <c r="K1360" s="108" t="str">
        <f t="shared" si="63"/>
        <v>11Б0121120</v>
      </c>
      <c r="L1360" s="303" t="str">
        <f t="shared" si="64"/>
        <v>619011311Б0121120000</v>
      </c>
      <c r="M1360" s="132" t="str">
        <f>INDEX('реш СГД № 265'!$A:$N,MATCH('БА расх 2019-2020'!$L1360,'реш СГД № 265'!$N:$N,0),3)</f>
        <v>Расходы на уплату взносов на капитальный ремонт общего имущества в многоквартирных домах</v>
      </c>
      <c r="N1360" s="17">
        <f t="shared" si="65"/>
        <v>1</v>
      </c>
    </row>
    <row r="1361" spans="1:14" s="16" customFormat="1" ht="31.5">
      <c r="A1361" s="14"/>
      <c r="B1361" s="125" t="s">
        <v>28</v>
      </c>
      <c r="C1361" s="108" t="s">
        <v>795</v>
      </c>
      <c r="D1361" s="131" t="s">
        <v>11</v>
      </c>
      <c r="E1361" s="131" t="s">
        <v>51</v>
      </c>
      <c r="F1361" s="14" t="s">
        <v>268</v>
      </c>
      <c r="G1361" s="108" t="s">
        <v>29</v>
      </c>
      <c r="H1361" s="126">
        <v>0</v>
      </c>
      <c r="I1361" s="126">
        <v>0</v>
      </c>
      <c r="J1361" s="14" t="s">
        <v>1175</v>
      </c>
      <c r="K1361" s="108" t="str">
        <f t="shared" si="63"/>
        <v>11Б0121120</v>
      </c>
      <c r="L1361" s="303" t="str">
        <f t="shared" si="64"/>
        <v>619011311Б0121120240</v>
      </c>
      <c r="M1361" s="132" t="str">
        <f>INDEX('реш СГД № 265'!$A:$N,MATCH('БА расх 2019-2020'!$L1361,'реш СГД № 265'!$N:$N,0),3)</f>
        <v>Иные закупки товаров, работ и услуг для обеспечения государственных (муниципальных) нужд</v>
      </c>
      <c r="N1361" s="17">
        <f t="shared" si="65"/>
        <v>1</v>
      </c>
    </row>
    <row r="1362" spans="1:14" s="16" customFormat="1" ht="15.75">
      <c r="A1362" s="14"/>
      <c r="B1362" s="125" t="s">
        <v>30</v>
      </c>
      <c r="C1362" s="108" t="s">
        <v>795</v>
      </c>
      <c r="D1362" s="131" t="s">
        <v>11</v>
      </c>
      <c r="E1362" s="131" t="s">
        <v>51</v>
      </c>
      <c r="F1362" s="14" t="s">
        <v>268</v>
      </c>
      <c r="G1362" s="108" t="s">
        <v>31</v>
      </c>
      <c r="H1362" s="126">
        <v>0</v>
      </c>
      <c r="I1362" s="126">
        <v>0</v>
      </c>
      <c r="J1362" s="14" t="s">
        <v>1175</v>
      </c>
      <c r="K1362" s="108" t="str">
        <f t="shared" si="63"/>
        <v>11Б0121120</v>
      </c>
      <c r="L1362" s="303" t="str">
        <f t="shared" si="64"/>
        <v>619011311Б0121120244</v>
      </c>
      <c r="M1362" s="132"/>
      <c r="N1362" s="17">
        <f t="shared" si="65"/>
        <v>0</v>
      </c>
    </row>
    <row r="1363" spans="1:14" s="16" customFormat="1" ht="15.75">
      <c r="A1363" s="14"/>
      <c r="B1363" s="117" t="s">
        <v>195</v>
      </c>
      <c r="C1363" s="118" t="s">
        <v>795</v>
      </c>
      <c r="D1363" s="119" t="s">
        <v>73</v>
      </c>
      <c r="E1363" s="119" t="s">
        <v>7</v>
      </c>
      <c r="F1363" s="119" t="s">
        <v>8</v>
      </c>
      <c r="G1363" s="119" t="s">
        <v>9</v>
      </c>
      <c r="H1363" s="120">
        <v>0</v>
      </c>
      <c r="I1363" s="120">
        <v>0</v>
      </c>
      <c r="J1363" s="119">
        <v>0</v>
      </c>
      <c r="K1363" s="108" t="str">
        <f t="shared" si="63"/>
        <v>0000000000</v>
      </c>
      <c r="L1363" s="303" t="str">
        <f t="shared" si="64"/>
        <v>61904000000000000000</v>
      </c>
      <c r="M1363" s="132" t="str">
        <f>INDEX('реш СГД № 265'!$A:$N,MATCH('БА расх 2019-2020'!$L1363,'реш СГД № 265'!$N:$N,0),3)</f>
        <v>Национальная экономика</v>
      </c>
      <c r="N1363" s="17">
        <f t="shared" si="65"/>
        <v>1</v>
      </c>
    </row>
    <row r="1364" spans="1:14" s="16" customFormat="1" ht="15.75">
      <c r="A1364" s="14"/>
      <c r="B1364" s="121" t="s">
        <v>760</v>
      </c>
      <c r="C1364" s="122" t="s">
        <v>795</v>
      </c>
      <c r="D1364" s="123" t="s">
        <v>73</v>
      </c>
      <c r="E1364" s="123" t="s">
        <v>471</v>
      </c>
      <c r="F1364" s="123" t="s">
        <v>8</v>
      </c>
      <c r="G1364" s="123" t="s">
        <v>9</v>
      </c>
      <c r="H1364" s="124">
        <v>0</v>
      </c>
      <c r="I1364" s="124">
        <v>0</v>
      </c>
      <c r="J1364" s="123">
        <v>0</v>
      </c>
      <c r="K1364" s="108" t="str">
        <f t="shared" si="63"/>
        <v>0000000000</v>
      </c>
      <c r="L1364" s="303" t="str">
        <f t="shared" si="64"/>
        <v>61904090000000000000</v>
      </c>
      <c r="M1364" s="132" t="str">
        <f>INDEX('реш СГД № 265'!$A:$N,MATCH('БА расх 2019-2020'!$L1364,'реш СГД № 265'!$N:$N,0),3)</f>
        <v>Дорожное хозяйство (дорожные фонды)</v>
      </c>
      <c r="N1364" s="17">
        <f t="shared" si="65"/>
        <v>1</v>
      </c>
    </row>
    <row r="1365" spans="1:14" s="16" customFormat="1" ht="63">
      <c r="A1365" s="14"/>
      <c r="B1365" s="127" t="s">
        <v>293</v>
      </c>
      <c r="C1365" s="131" t="s">
        <v>795</v>
      </c>
      <c r="D1365" s="130" t="s">
        <v>73</v>
      </c>
      <c r="E1365" s="130" t="s">
        <v>471</v>
      </c>
      <c r="F1365" s="130" t="s">
        <v>294</v>
      </c>
      <c r="G1365" s="131" t="s">
        <v>9</v>
      </c>
      <c r="H1365" s="105">
        <v>0</v>
      </c>
      <c r="I1365" s="105">
        <v>0</v>
      </c>
      <c r="J1365" s="130">
        <v>400000000</v>
      </c>
      <c r="K1365" s="108" t="str">
        <f t="shared" si="63"/>
        <v>0400000000</v>
      </c>
      <c r="L1365" s="303" t="str">
        <f t="shared" si="64"/>
        <v>61904090400000000000</v>
      </c>
      <c r="M1365" s="132" t="str">
        <f>INDEX('реш СГД № 265'!$A:$N,MATCH('БА расх 2019-2020'!$L1365,'реш СГД № 265'!$N:$N,0),3)</f>
        <v>Муниципальная программа «Развитие жилищно-коммунального хозяйства, транспортной системы на территории города Ставрополя, благоустройство территории города Ставрополя»</v>
      </c>
      <c r="N1365" s="17">
        <f t="shared" si="65"/>
        <v>1</v>
      </c>
    </row>
    <row r="1366" spans="1:14" s="16" customFormat="1" ht="63">
      <c r="A1366" s="14"/>
      <c r="B1366" s="140" t="s">
        <v>295</v>
      </c>
      <c r="C1366" s="131" t="s">
        <v>795</v>
      </c>
      <c r="D1366" s="130" t="s">
        <v>73</v>
      </c>
      <c r="E1366" s="130" t="s">
        <v>471</v>
      </c>
      <c r="F1366" s="130" t="s">
        <v>296</v>
      </c>
      <c r="G1366" s="130" t="s">
        <v>9</v>
      </c>
      <c r="H1366" s="105">
        <v>0</v>
      </c>
      <c r="I1366" s="105">
        <v>0</v>
      </c>
      <c r="J1366" s="130">
        <v>420000000</v>
      </c>
      <c r="K1366" s="108" t="str">
        <f t="shared" si="63"/>
        <v>0420000000</v>
      </c>
      <c r="L1366" s="303" t="str">
        <f t="shared" si="64"/>
        <v>61904090420000000000</v>
      </c>
      <c r="M1366" s="132" t="str">
        <f>INDEX('реш СГД № 265'!$A:$N,MATCH('БА расх 2019-2020'!$L1366,'реш СГД № 265'!$N:$N,0),3)</f>
        <v xml:space="preserve">Подпрограмма «Дорожная деятельность и обеспечение безопасности дорожного движения, организация транспортного обслуживания населения на территории города Ставрополя» </v>
      </c>
      <c r="N1366" s="17">
        <f t="shared" si="65"/>
        <v>1</v>
      </c>
    </row>
    <row r="1367" spans="1:14" s="16" customFormat="1" ht="63">
      <c r="A1367" s="14"/>
      <c r="B1367" s="129" t="s">
        <v>297</v>
      </c>
      <c r="C1367" s="131" t="s">
        <v>795</v>
      </c>
      <c r="D1367" s="131" t="s">
        <v>73</v>
      </c>
      <c r="E1367" s="131" t="s">
        <v>471</v>
      </c>
      <c r="F1367" s="131" t="s">
        <v>298</v>
      </c>
      <c r="G1367" s="131" t="s">
        <v>9</v>
      </c>
      <c r="H1367" s="105">
        <v>0</v>
      </c>
      <c r="I1367" s="105">
        <v>0</v>
      </c>
      <c r="J1367" s="131">
        <v>420200000</v>
      </c>
      <c r="K1367" s="108" t="str">
        <f t="shared" si="63"/>
        <v>0420200000</v>
      </c>
      <c r="L1367" s="303" t="str">
        <f t="shared" si="64"/>
        <v>61904090420200000000</v>
      </c>
      <c r="M1367" s="132" t="str">
        <f>INDEX('реш СГД № 265'!$A:$N,MATCH('БА расх 2019-2020'!$L1367,'реш СГД № 265'!$N:$N,0),3)</f>
        <v>Основное мероприятие «Организация дорожной деятельности в отношении автомобильных дорог общего пользования местного значения в границах города Ставрополя»</v>
      </c>
      <c r="N1367" s="17">
        <f t="shared" si="65"/>
        <v>1</v>
      </c>
    </row>
    <row r="1368" spans="1:14" s="16" customFormat="1" ht="47.25">
      <c r="A1368" s="14"/>
      <c r="B1368" s="143" t="s">
        <v>761</v>
      </c>
      <c r="C1368" s="131" t="s">
        <v>795</v>
      </c>
      <c r="D1368" s="131" t="s">
        <v>73</v>
      </c>
      <c r="E1368" s="131" t="s">
        <v>471</v>
      </c>
      <c r="F1368" s="131" t="s">
        <v>762</v>
      </c>
      <c r="G1368" s="131" t="s">
        <v>9</v>
      </c>
      <c r="H1368" s="105">
        <v>0</v>
      </c>
      <c r="I1368" s="105">
        <v>0</v>
      </c>
      <c r="J1368" s="131">
        <v>420220820</v>
      </c>
      <c r="K1368" s="108" t="str">
        <f t="shared" si="63"/>
        <v>0420220820</v>
      </c>
      <c r="L1368" s="303" t="str">
        <f t="shared" si="64"/>
        <v>61904090420220820000</v>
      </c>
      <c r="M1368" s="132" t="str">
        <f>INDEX('реш СГД № 265'!$A:$N,MATCH('БА расх 2019-2020'!$L1368,'реш СГД № 265'!$N:$N,0),3)</f>
        <v>Расходы на ремонт и содержание внутриквартальных автомобильных дорог общего пользования местного значения</v>
      </c>
      <c r="N1368" s="17">
        <f t="shared" si="65"/>
        <v>1</v>
      </c>
    </row>
    <row r="1369" spans="1:14" s="47" customFormat="1" ht="31.5">
      <c r="A1369" s="46"/>
      <c r="B1369" s="125" t="s">
        <v>28</v>
      </c>
      <c r="C1369" s="131" t="s">
        <v>795</v>
      </c>
      <c r="D1369" s="131" t="s">
        <v>73</v>
      </c>
      <c r="E1369" s="131" t="s">
        <v>471</v>
      </c>
      <c r="F1369" s="131" t="s">
        <v>762</v>
      </c>
      <c r="G1369" s="131" t="s">
        <v>29</v>
      </c>
      <c r="H1369" s="126">
        <v>0</v>
      </c>
      <c r="I1369" s="126">
        <v>0</v>
      </c>
      <c r="J1369" s="131">
        <v>420220820</v>
      </c>
      <c r="K1369" s="108" t="str">
        <f t="shared" si="63"/>
        <v>0420220820</v>
      </c>
      <c r="L1369" s="303" t="str">
        <f t="shared" si="64"/>
        <v>61904090420220820240</v>
      </c>
      <c r="M1369" s="132" t="str">
        <f>INDEX('реш СГД № 265'!$A:$N,MATCH('БА расх 2019-2020'!$L1369,'реш СГД № 265'!$N:$N,0),3)</f>
        <v>Иные закупки товаров, работ и услуг для обеспечения государственных (муниципальных) нужд</v>
      </c>
      <c r="N1369" s="17">
        <f t="shared" si="65"/>
        <v>1</v>
      </c>
    </row>
    <row r="1370" spans="1:14" s="47" customFormat="1" ht="15.75">
      <c r="A1370" s="46"/>
      <c r="B1370" s="125" t="s">
        <v>30</v>
      </c>
      <c r="C1370" s="131" t="s">
        <v>795</v>
      </c>
      <c r="D1370" s="131" t="s">
        <v>73</v>
      </c>
      <c r="E1370" s="131" t="s">
        <v>471</v>
      </c>
      <c r="F1370" s="131" t="s">
        <v>762</v>
      </c>
      <c r="G1370" s="131" t="s">
        <v>31</v>
      </c>
      <c r="H1370" s="126">
        <v>0</v>
      </c>
      <c r="I1370" s="126">
        <v>0</v>
      </c>
      <c r="J1370" s="131">
        <v>420220820</v>
      </c>
      <c r="K1370" s="108" t="str">
        <f t="shared" si="63"/>
        <v>0420220820</v>
      </c>
      <c r="L1370" s="303" t="str">
        <f t="shared" si="64"/>
        <v>61904090420220820244</v>
      </c>
      <c r="M1370" s="132"/>
      <c r="N1370" s="17">
        <f t="shared" si="65"/>
        <v>0</v>
      </c>
    </row>
    <row r="1371" spans="1:14" s="16" customFormat="1" ht="31.5">
      <c r="A1371" s="14"/>
      <c r="B1371" s="125" t="s">
        <v>763</v>
      </c>
      <c r="C1371" s="131" t="s">
        <v>795</v>
      </c>
      <c r="D1371" s="131" t="s">
        <v>73</v>
      </c>
      <c r="E1371" s="131" t="s">
        <v>471</v>
      </c>
      <c r="F1371" s="108" t="s">
        <v>764</v>
      </c>
      <c r="G1371" s="131" t="s">
        <v>9</v>
      </c>
      <c r="H1371" s="105">
        <v>0</v>
      </c>
      <c r="I1371" s="105">
        <v>0</v>
      </c>
      <c r="J1371" s="108">
        <v>420221090</v>
      </c>
      <c r="K1371" s="108" t="str">
        <f t="shared" si="63"/>
        <v>0420221090</v>
      </c>
      <c r="L1371" s="303" t="str">
        <f t="shared" si="64"/>
        <v>61904090420221090000</v>
      </c>
      <c r="M1371" s="132" t="str">
        <f>INDEX('реш СГД № 265'!$A:$N,MATCH('БА расх 2019-2020'!$L1371,'реш СГД № 265'!$N:$N,0),3)</f>
        <v>Расходы на содержание автомобильных дорог общего пользования местного значения</v>
      </c>
      <c r="N1371" s="17">
        <f t="shared" si="65"/>
        <v>1</v>
      </c>
    </row>
    <row r="1372" spans="1:14" s="16" customFormat="1" ht="31.5">
      <c r="A1372" s="14"/>
      <c r="B1372" s="125" t="s">
        <v>28</v>
      </c>
      <c r="C1372" s="131" t="s">
        <v>795</v>
      </c>
      <c r="D1372" s="131" t="s">
        <v>73</v>
      </c>
      <c r="E1372" s="131" t="s">
        <v>471</v>
      </c>
      <c r="F1372" s="108" t="s">
        <v>764</v>
      </c>
      <c r="G1372" s="131" t="s">
        <v>29</v>
      </c>
      <c r="H1372" s="126">
        <v>0</v>
      </c>
      <c r="I1372" s="126">
        <v>0</v>
      </c>
      <c r="J1372" s="108">
        <v>420221090</v>
      </c>
      <c r="K1372" s="108" t="str">
        <f t="shared" si="63"/>
        <v>0420221090</v>
      </c>
      <c r="L1372" s="303" t="str">
        <f t="shared" si="64"/>
        <v>61904090420221090240</v>
      </c>
      <c r="M1372" s="132" t="str">
        <f>INDEX('реш СГД № 265'!$A:$N,MATCH('БА расх 2019-2020'!$L1372,'реш СГД № 265'!$N:$N,0),3)</f>
        <v>Иные закупки товаров, работ и услуг для обеспечения государственных (муниципальных) нужд</v>
      </c>
      <c r="N1372" s="17">
        <f t="shared" si="65"/>
        <v>1</v>
      </c>
    </row>
    <row r="1373" spans="1:14" s="16" customFormat="1" ht="15.75">
      <c r="A1373" s="14"/>
      <c r="B1373" s="125" t="s">
        <v>30</v>
      </c>
      <c r="C1373" s="131" t="s">
        <v>795</v>
      </c>
      <c r="D1373" s="131" t="s">
        <v>73</v>
      </c>
      <c r="E1373" s="131" t="s">
        <v>471</v>
      </c>
      <c r="F1373" s="108" t="s">
        <v>764</v>
      </c>
      <c r="G1373" s="131" t="s">
        <v>31</v>
      </c>
      <c r="H1373" s="126">
        <v>0</v>
      </c>
      <c r="I1373" s="126">
        <v>0</v>
      </c>
      <c r="J1373" s="108">
        <v>420221090</v>
      </c>
      <c r="K1373" s="108" t="str">
        <f t="shared" si="63"/>
        <v>0420221090</v>
      </c>
      <c r="L1373" s="303" t="str">
        <f t="shared" si="64"/>
        <v>61904090420221090244</v>
      </c>
      <c r="M1373" s="132"/>
      <c r="N1373" s="17">
        <f t="shared" si="65"/>
        <v>0</v>
      </c>
    </row>
    <row r="1374" spans="1:14" s="47" customFormat="1" ht="15.75">
      <c r="A1374" s="46"/>
      <c r="B1374" s="117" t="s">
        <v>305</v>
      </c>
      <c r="C1374" s="118" t="s">
        <v>795</v>
      </c>
      <c r="D1374" s="119" t="s">
        <v>86</v>
      </c>
      <c r="E1374" s="119" t="s">
        <v>7</v>
      </c>
      <c r="F1374" s="119" t="s">
        <v>8</v>
      </c>
      <c r="G1374" s="119" t="s">
        <v>9</v>
      </c>
      <c r="H1374" s="120">
        <v>0</v>
      </c>
      <c r="I1374" s="120">
        <v>0</v>
      </c>
      <c r="J1374" s="119">
        <v>0</v>
      </c>
      <c r="K1374" s="108" t="str">
        <f t="shared" si="63"/>
        <v>0000000000</v>
      </c>
      <c r="L1374" s="303" t="str">
        <f t="shared" si="64"/>
        <v>61905000000000000000</v>
      </c>
      <c r="M1374" s="132" t="str">
        <f>INDEX('реш СГД № 265'!$A:$N,MATCH('БА расх 2019-2020'!$L1374,'реш СГД № 265'!$N:$N,0),3)</f>
        <v>Жилищно-коммунальное хозяйство</v>
      </c>
      <c r="N1374" s="17">
        <f t="shared" si="65"/>
        <v>1</v>
      </c>
    </row>
    <row r="1375" spans="1:14" s="16" customFormat="1" ht="15.75">
      <c r="A1375" s="14"/>
      <c r="B1375" s="121" t="s">
        <v>765</v>
      </c>
      <c r="C1375" s="122" t="s">
        <v>795</v>
      </c>
      <c r="D1375" s="123" t="s">
        <v>86</v>
      </c>
      <c r="E1375" s="123" t="s">
        <v>11</v>
      </c>
      <c r="F1375" s="123" t="s">
        <v>8</v>
      </c>
      <c r="G1375" s="123" t="s">
        <v>9</v>
      </c>
      <c r="H1375" s="124">
        <v>0</v>
      </c>
      <c r="I1375" s="124">
        <v>0</v>
      </c>
      <c r="J1375" s="123">
        <v>0</v>
      </c>
      <c r="K1375" s="108" t="str">
        <f t="shared" si="63"/>
        <v>0000000000</v>
      </c>
      <c r="L1375" s="303" t="str">
        <f t="shared" si="64"/>
        <v>61905010000000000000</v>
      </c>
      <c r="M1375" s="132" t="str">
        <f>INDEX('реш СГД № 265'!$A:$N,MATCH('БА расх 2019-2020'!$L1375,'реш СГД № 265'!$N:$N,0),3)</f>
        <v>Жилищное хозяйство</v>
      </c>
      <c r="N1375" s="17">
        <f t="shared" si="65"/>
        <v>1</v>
      </c>
    </row>
    <row r="1376" spans="1:14" s="16" customFormat="1" ht="63">
      <c r="A1376" s="14"/>
      <c r="B1376" s="127" t="s">
        <v>293</v>
      </c>
      <c r="C1376" s="131" t="s">
        <v>795</v>
      </c>
      <c r="D1376" s="131" t="s">
        <v>86</v>
      </c>
      <c r="E1376" s="131" t="s">
        <v>11</v>
      </c>
      <c r="F1376" s="131" t="s">
        <v>294</v>
      </c>
      <c r="G1376" s="131" t="s">
        <v>9</v>
      </c>
      <c r="H1376" s="158">
        <v>0</v>
      </c>
      <c r="I1376" s="158">
        <v>0</v>
      </c>
      <c r="J1376" s="131">
        <v>400000000</v>
      </c>
      <c r="K1376" s="108" t="str">
        <f t="shared" si="63"/>
        <v>0400000000</v>
      </c>
      <c r="L1376" s="303" t="str">
        <f t="shared" si="64"/>
        <v>61905010400000000000</v>
      </c>
      <c r="M1376" s="132" t="str">
        <f>INDEX('реш СГД № 265'!$A:$N,MATCH('БА расх 2019-2020'!$L1376,'реш СГД № 265'!$N:$N,0),3)</f>
        <v>Муниципальная программа «Развитие жилищно-коммунального хозяйства, транспортной системы на территории города Ставрополя, благоустройство территории города Ставрополя»</v>
      </c>
      <c r="N1376" s="17">
        <f t="shared" si="65"/>
        <v>1</v>
      </c>
    </row>
    <row r="1377" spans="1:14" s="47" customFormat="1" ht="31.5">
      <c r="A1377" s="46"/>
      <c r="B1377" s="155" t="s">
        <v>766</v>
      </c>
      <c r="C1377" s="131" t="s">
        <v>795</v>
      </c>
      <c r="D1377" s="131" t="s">
        <v>86</v>
      </c>
      <c r="E1377" s="131" t="s">
        <v>11</v>
      </c>
      <c r="F1377" s="131" t="s">
        <v>767</v>
      </c>
      <c r="G1377" s="131" t="s">
        <v>9</v>
      </c>
      <c r="H1377" s="105">
        <v>0</v>
      </c>
      <c r="I1377" s="105">
        <v>0</v>
      </c>
      <c r="J1377" s="131">
        <v>410000000</v>
      </c>
      <c r="K1377" s="108" t="str">
        <f t="shared" si="63"/>
        <v>0410000000</v>
      </c>
      <c r="L1377" s="303" t="str">
        <f t="shared" si="64"/>
        <v>61905010410000000000</v>
      </c>
      <c r="M1377" s="132" t="str">
        <f>INDEX('реш СГД № 265'!$A:$N,MATCH('БА расх 2019-2020'!$L1377,'реш СГД № 265'!$N:$N,0),3)</f>
        <v>Подпрограмма «Развитие жилищно-коммунального хозяйства на территории города Ставрополя»</v>
      </c>
      <c r="N1377" s="17">
        <f t="shared" si="65"/>
        <v>1</v>
      </c>
    </row>
    <row r="1378" spans="1:14" s="16" customFormat="1" ht="47.25">
      <c r="A1378" s="14"/>
      <c r="B1378" s="129" t="s">
        <v>793</v>
      </c>
      <c r="C1378" s="131" t="s">
        <v>795</v>
      </c>
      <c r="D1378" s="131" t="s">
        <v>86</v>
      </c>
      <c r="E1378" s="131" t="s">
        <v>11</v>
      </c>
      <c r="F1378" s="131" t="s">
        <v>769</v>
      </c>
      <c r="G1378" s="131" t="s">
        <v>9</v>
      </c>
      <c r="H1378" s="105">
        <v>0</v>
      </c>
      <c r="I1378" s="105">
        <v>0</v>
      </c>
      <c r="J1378" s="131">
        <v>410100000</v>
      </c>
      <c r="K1378" s="108" t="str">
        <f t="shared" si="63"/>
        <v>0410100000</v>
      </c>
      <c r="L1378" s="303" t="str">
        <f t="shared" si="64"/>
        <v>61905010410100000000</v>
      </c>
      <c r="M1378" s="132" t="str">
        <f>INDEX('реш СГД № 265'!$A:$N,MATCH('БА расх 2019-2020'!$L1378,'реш СГД № 265'!$N:$N,0),3)</f>
        <v>Основное мероприятие «Повышение уровня технического состояния многоквартирных домов и продление сроков их эксплуатации»</v>
      </c>
      <c r="N1378" s="17">
        <f t="shared" si="65"/>
        <v>1</v>
      </c>
    </row>
    <row r="1379" spans="1:14" s="16" customFormat="1" ht="31.5">
      <c r="A1379" s="14"/>
      <c r="B1379" s="159" t="s">
        <v>770</v>
      </c>
      <c r="C1379" s="131" t="s">
        <v>795</v>
      </c>
      <c r="D1379" s="131" t="s">
        <v>86</v>
      </c>
      <c r="E1379" s="131" t="s">
        <v>11</v>
      </c>
      <c r="F1379" s="131" t="s">
        <v>771</v>
      </c>
      <c r="G1379" s="131" t="s">
        <v>9</v>
      </c>
      <c r="H1379" s="105">
        <v>0</v>
      </c>
      <c r="I1379" s="105">
        <v>0</v>
      </c>
      <c r="J1379" s="131">
        <v>410120190</v>
      </c>
      <c r="K1379" s="108" t="str">
        <f t="shared" si="63"/>
        <v>0410120190</v>
      </c>
      <c r="L1379" s="303" t="str">
        <f t="shared" si="64"/>
        <v>61905010410120190000</v>
      </c>
      <c r="M1379" s="132" t="str">
        <f>INDEX('реш СГД № 265'!$A:$N,MATCH('БА расх 2019-2020'!$L1379,'реш СГД № 265'!$N:$N,0),3)</f>
        <v>Расходы на проведение капитального ремонта муниципального жилищного фонда</v>
      </c>
      <c r="N1379" s="17">
        <f t="shared" si="65"/>
        <v>1</v>
      </c>
    </row>
    <row r="1380" spans="1:14" s="16" customFormat="1" ht="31.5">
      <c r="A1380" s="14"/>
      <c r="B1380" s="125" t="s">
        <v>28</v>
      </c>
      <c r="C1380" s="131" t="s">
        <v>795</v>
      </c>
      <c r="D1380" s="131" t="s">
        <v>86</v>
      </c>
      <c r="E1380" s="131" t="s">
        <v>11</v>
      </c>
      <c r="F1380" s="131" t="s">
        <v>771</v>
      </c>
      <c r="G1380" s="131" t="s">
        <v>29</v>
      </c>
      <c r="H1380" s="126">
        <v>0</v>
      </c>
      <c r="I1380" s="126">
        <v>0</v>
      </c>
      <c r="J1380" s="131">
        <v>410120190</v>
      </c>
      <c r="K1380" s="108" t="str">
        <f t="shared" si="63"/>
        <v>0410120190</v>
      </c>
      <c r="L1380" s="303" t="str">
        <f t="shared" si="64"/>
        <v>61905010410120190240</v>
      </c>
      <c r="M1380" s="132" t="str">
        <f>INDEX('реш СГД № 265'!$A:$N,MATCH('БА расх 2019-2020'!$L1380,'реш СГД № 265'!$N:$N,0),3)</f>
        <v>Иные закупки товаров, работ и услуг для обеспечения государственных (муниципальных) нужд</v>
      </c>
      <c r="N1380" s="17">
        <f t="shared" si="65"/>
        <v>1</v>
      </c>
    </row>
    <row r="1381" spans="1:14" s="16" customFormat="1" ht="47.25">
      <c r="A1381" s="14"/>
      <c r="B1381" s="127" t="s">
        <v>772</v>
      </c>
      <c r="C1381" s="131" t="s">
        <v>795</v>
      </c>
      <c r="D1381" s="131" t="s">
        <v>86</v>
      </c>
      <c r="E1381" s="131" t="s">
        <v>11</v>
      </c>
      <c r="F1381" s="131" t="s">
        <v>771</v>
      </c>
      <c r="G1381" s="131" t="s">
        <v>773</v>
      </c>
      <c r="H1381" s="126">
        <v>0</v>
      </c>
      <c r="I1381" s="126">
        <v>0</v>
      </c>
      <c r="J1381" s="131">
        <v>410120190</v>
      </c>
      <c r="K1381" s="108" t="str">
        <f t="shared" si="63"/>
        <v>0410120190</v>
      </c>
      <c r="L1381" s="303" t="str">
        <f t="shared" si="64"/>
        <v>61905010410120190243</v>
      </c>
      <c r="M1381" s="132"/>
      <c r="N1381" s="17">
        <f t="shared" si="65"/>
        <v>0</v>
      </c>
    </row>
    <row r="1382" spans="1:14" s="16" customFormat="1" ht="15.75">
      <c r="A1382" s="14"/>
      <c r="B1382" s="125" t="s">
        <v>30</v>
      </c>
      <c r="C1382" s="131" t="s">
        <v>795</v>
      </c>
      <c r="D1382" s="131" t="s">
        <v>86</v>
      </c>
      <c r="E1382" s="131" t="s">
        <v>11</v>
      </c>
      <c r="F1382" s="131" t="s">
        <v>771</v>
      </c>
      <c r="G1382" s="131" t="s">
        <v>31</v>
      </c>
      <c r="H1382" s="126">
        <v>0</v>
      </c>
      <c r="I1382" s="126">
        <v>0</v>
      </c>
      <c r="J1382" s="131">
        <v>410120190</v>
      </c>
      <c r="K1382" s="108" t="str">
        <f t="shared" si="63"/>
        <v>0410120190</v>
      </c>
      <c r="L1382" s="303" t="str">
        <f t="shared" si="64"/>
        <v>61905010410120190244</v>
      </c>
      <c r="M1382" s="132"/>
      <c r="N1382" s="17">
        <f t="shared" si="65"/>
        <v>0</v>
      </c>
    </row>
    <row r="1383" spans="1:14" s="16" customFormat="1" ht="15.75">
      <c r="A1383" s="14"/>
      <c r="B1383" s="157" t="s">
        <v>306</v>
      </c>
      <c r="C1383" s="122" t="s">
        <v>795</v>
      </c>
      <c r="D1383" s="123" t="s">
        <v>86</v>
      </c>
      <c r="E1383" s="123" t="s">
        <v>13</v>
      </c>
      <c r="F1383" s="123" t="s">
        <v>8</v>
      </c>
      <c r="G1383" s="123" t="s">
        <v>9</v>
      </c>
      <c r="H1383" s="124">
        <v>0</v>
      </c>
      <c r="I1383" s="124">
        <v>0</v>
      </c>
      <c r="J1383" s="123">
        <v>0</v>
      </c>
      <c r="K1383" s="108" t="str">
        <f t="shared" si="63"/>
        <v>0000000000</v>
      </c>
      <c r="L1383" s="303" t="str">
        <f t="shared" si="64"/>
        <v>61905030000000000000</v>
      </c>
      <c r="M1383" s="132" t="str">
        <f>INDEX('реш СГД № 265'!$A:$N,MATCH('БА расх 2019-2020'!$L1383,'реш СГД № 265'!$N:$N,0),3)</f>
        <v>Благоустройство</v>
      </c>
      <c r="N1383" s="17">
        <f t="shared" si="65"/>
        <v>1</v>
      </c>
    </row>
    <row r="1384" spans="1:14" s="16" customFormat="1" ht="63">
      <c r="A1384" s="14"/>
      <c r="B1384" s="127" t="s">
        <v>293</v>
      </c>
      <c r="C1384" s="131" t="s">
        <v>795</v>
      </c>
      <c r="D1384" s="131" t="s">
        <v>86</v>
      </c>
      <c r="E1384" s="131" t="s">
        <v>13</v>
      </c>
      <c r="F1384" s="131" t="s">
        <v>294</v>
      </c>
      <c r="G1384" s="131" t="s">
        <v>9</v>
      </c>
      <c r="H1384" s="105">
        <v>0</v>
      </c>
      <c r="I1384" s="105">
        <v>0</v>
      </c>
      <c r="J1384" s="131">
        <v>400000000</v>
      </c>
      <c r="K1384" s="108" t="str">
        <f t="shared" si="63"/>
        <v>0400000000</v>
      </c>
      <c r="L1384" s="303" t="str">
        <f t="shared" si="64"/>
        <v>61905030400000000000</v>
      </c>
      <c r="M1384" s="132" t="str">
        <f>INDEX('реш СГД № 265'!$A:$N,MATCH('БА расх 2019-2020'!$L1384,'реш СГД № 265'!$N:$N,0),3)</f>
        <v>Муниципальная программа «Развитие жилищно-коммунального хозяйства, транспортной системы на территории города Ставрополя, благоустройство территории города Ставрополя»</v>
      </c>
      <c r="N1384" s="17">
        <f t="shared" si="65"/>
        <v>1</v>
      </c>
    </row>
    <row r="1385" spans="1:14" s="16" customFormat="1" ht="31.5">
      <c r="A1385" s="14"/>
      <c r="B1385" s="125" t="s">
        <v>2283</v>
      </c>
      <c r="C1385" s="131" t="s">
        <v>795</v>
      </c>
      <c r="D1385" s="131" t="s">
        <v>86</v>
      </c>
      <c r="E1385" s="131" t="s">
        <v>13</v>
      </c>
      <c r="F1385" s="131" t="s">
        <v>308</v>
      </c>
      <c r="G1385" s="131" t="s">
        <v>9</v>
      </c>
      <c r="H1385" s="105">
        <v>0</v>
      </c>
      <c r="I1385" s="105">
        <v>0</v>
      </c>
      <c r="J1385" s="131">
        <v>430000000</v>
      </c>
      <c r="K1385" s="108" t="str">
        <f t="shared" si="63"/>
        <v>0430000000</v>
      </c>
      <c r="L1385" s="303" t="str">
        <f t="shared" si="64"/>
        <v>61905030430000000000</v>
      </c>
      <c r="M1385" s="132" t="str">
        <f>INDEX('реш СГД № 265'!$A:$N,MATCH('БА расх 2019-2020'!$L1385,'реш СГД № 265'!$N:$N,0),3)</f>
        <v>Подпрограмма «Благоустройство территории города Ставрополя»</v>
      </c>
      <c r="N1385" s="17">
        <f t="shared" si="65"/>
        <v>1</v>
      </c>
    </row>
    <row r="1386" spans="1:14" s="16" customFormat="1" ht="31.5">
      <c r="A1386" s="14"/>
      <c r="B1386" s="401" t="s">
        <v>309</v>
      </c>
      <c r="C1386" s="131" t="s">
        <v>795</v>
      </c>
      <c r="D1386" s="131" t="s">
        <v>86</v>
      </c>
      <c r="E1386" s="131" t="s">
        <v>13</v>
      </c>
      <c r="F1386" s="108" t="s">
        <v>310</v>
      </c>
      <c r="G1386" s="131" t="s">
        <v>9</v>
      </c>
      <c r="H1386" s="105">
        <v>0</v>
      </c>
      <c r="I1386" s="105">
        <v>0</v>
      </c>
      <c r="J1386" s="108">
        <v>430400000</v>
      </c>
      <c r="K1386" s="108" t="str">
        <f t="shared" si="63"/>
        <v>0430400000</v>
      </c>
      <c r="L1386" s="303" t="str">
        <f t="shared" si="64"/>
        <v>61905030430400000000</v>
      </c>
      <c r="M1386" s="132" t="str">
        <f>INDEX('реш СГД № 265'!$A:$N,MATCH('БА расх 2019-2020'!$L1386,'реш СГД № 265'!$N:$N,0),3)</f>
        <v>Основное мероприятие «Благоустройство территории города Ставрополя»</v>
      </c>
      <c r="N1386" s="17">
        <f t="shared" si="65"/>
        <v>1</v>
      </c>
    </row>
    <row r="1387" spans="1:14" s="16" customFormat="1" ht="31.5">
      <c r="A1387" s="14"/>
      <c r="B1387" s="160" t="s">
        <v>542</v>
      </c>
      <c r="C1387" s="131" t="s">
        <v>795</v>
      </c>
      <c r="D1387" s="131" t="s">
        <v>86</v>
      </c>
      <c r="E1387" s="131" t="s">
        <v>13</v>
      </c>
      <c r="F1387" s="108" t="s">
        <v>543</v>
      </c>
      <c r="G1387" s="131" t="s">
        <v>9</v>
      </c>
      <c r="H1387" s="105">
        <v>0</v>
      </c>
      <c r="I1387" s="105">
        <v>0</v>
      </c>
      <c r="J1387" s="108">
        <v>430420300</v>
      </c>
      <c r="K1387" s="108" t="str">
        <f t="shared" si="63"/>
        <v>0430420300</v>
      </c>
      <c r="L1387" s="303" t="str">
        <f t="shared" si="64"/>
        <v>61905030430420300000</v>
      </c>
      <c r="M1387" s="132" t="str">
        <f>INDEX('реш СГД № 265'!$A:$N,MATCH('БА расх 2019-2020'!$L1387,'реш СГД № 265'!$N:$N,0),3)</f>
        <v>Расходы на прочие мероприятия по благоустройству территории города Ставрополя</v>
      </c>
      <c r="N1387" s="17">
        <f t="shared" si="65"/>
        <v>1</v>
      </c>
    </row>
    <row r="1388" spans="1:14" s="16" customFormat="1" ht="31.5">
      <c r="A1388" s="14"/>
      <c r="B1388" s="125" t="s">
        <v>28</v>
      </c>
      <c r="C1388" s="131" t="s">
        <v>795</v>
      </c>
      <c r="D1388" s="131" t="s">
        <v>86</v>
      </c>
      <c r="E1388" s="131" t="s">
        <v>13</v>
      </c>
      <c r="F1388" s="108" t="s">
        <v>543</v>
      </c>
      <c r="G1388" s="131" t="s">
        <v>29</v>
      </c>
      <c r="H1388" s="126">
        <v>0</v>
      </c>
      <c r="I1388" s="126">
        <v>0</v>
      </c>
      <c r="J1388" s="108">
        <v>430420300</v>
      </c>
      <c r="K1388" s="108" t="str">
        <f t="shared" si="63"/>
        <v>0430420300</v>
      </c>
      <c r="L1388" s="303" t="str">
        <f t="shared" si="64"/>
        <v>61905030430420300240</v>
      </c>
      <c r="M1388" s="132" t="str">
        <f>INDEX('реш СГД № 265'!$A:$N,MATCH('БА расх 2019-2020'!$L1388,'реш СГД № 265'!$N:$N,0),3)</f>
        <v>Иные закупки товаров, работ и услуг для обеспечения государственных (муниципальных) нужд</v>
      </c>
      <c r="N1388" s="17">
        <f t="shared" si="65"/>
        <v>1</v>
      </c>
    </row>
    <row r="1389" spans="1:14" s="16" customFormat="1" ht="15.75">
      <c r="A1389" s="14"/>
      <c r="B1389" s="125" t="s">
        <v>30</v>
      </c>
      <c r="C1389" s="131" t="s">
        <v>795</v>
      </c>
      <c r="D1389" s="131" t="s">
        <v>86</v>
      </c>
      <c r="E1389" s="131" t="s">
        <v>13</v>
      </c>
      <c r="F1389" s="108" t="s">
        <v>543</v>
      </c>
      <c r="G1389" s="131" t="s">
        <v>31</v>
      </c>
      <c r="H1389" s="126">
        <v>0</v>
      </c>
      <c r="I1389" s="126">
        <v>0</v>
      </c>
      <c r="J1389" s="108">
        <v>430420300</v>
      </c>
      <c r="K1389" s="108" t="str">
        <f t="shared" si="63"/>
        <v>0430420300</v>
      </c>
      <c r="L1389" s="303" t="str">
        <f t="shared" si="64"/>
        <v>61905030430420300244</v>
      </c>
      <c r="M1389" s="132"/>
      <c r="N1389" s="17">
        <f t="shared" si="65"/>
        <v>0</v>
      </c>
    </row>
    <row r="1390" spans="1:14" s="16" customFormat="1" ht="31.5">
      <c r="A1390" s="14"/>
      <c r="B1390" s="127" t="s">
        <v>774</v>
      </c>
      <c r="C1390" s="131" t="s">
        <v>795</v>
      </c>
      <c r="D1390" s="131" t="s">
        <v>86</v>
      </c>
      <c r="E1390" s="131" t="s">
        <v>13</v>
      </c>
      <c r="F1390" s="131" t="s">
        <v>775</v>
      </c>
      <c r="G1390" s="131" t="s">
        <v>9</v>
      </c>
      <c r="H1390" s="105">
        <v>0</v>
      </c>
      <c r="I1390" s="105">
        <v>0</v>
      </c>
      <c r="J1390" s="131">
        <v>430421070</v>
      </c>
      <c r="K1390" s="108" t="str">
        <f t="shared" si="63"/>
        <v>0430421070</v>
      </c>
      <c r="L1390" s="303" t="str">
        <f t="shared" si="64"/>
        <v>61905030430421070000</v>
      </c>
      <c r="M1390" s="132" t="str">
        <f>INDEX('реш СГД № 265'!$A:$N,MATCH('БА расх 2019-2020'!$L1390,'реш СГД № 265'!$N:$N,0),3)</f>
        <v>Расходы на проведение работ по уходу за зелеными насаждениями</v>
      </c>
      <c r="N1390" s="17">
        <f t="shared" si="65"/>
        <v>1</v>
      </c>
    </row>
    <row r="1391" spans="1:14" s="16" customFormat="1" ht="31.5">
      <c r="A1391" s="14"/>
      <c r="B1391" s="125" t="s">
        <v>28</v>
      </c>
      <c r="C1391" s="131" t="s">
        <v>795</v>
      </c>
      <c r="D1391" s="131" t="s">
        <v>86</v>
      </c>
      <c r="E1391" s="131" t="s">
        <v>13</v>
      </c>
      <c r="F1391" s="131" t="s">
        <v>775</v>
      </c>
      <c r="G1391" s="131" t="s">
        <v>29</v>
      </c>
      <c r="H1391" s="126">
        <v>0</v>
      </c>
      <c r="I1391" s="126">
        <v>0</v>
      </c>
      <c r="J1391" s="131">
        <v>430421070</v>
      </c>
      <c r="K1391" s="108" t="str">
        <f t="shared" si="63"/>
        <v>0430421070</v>
      </c>
      <c r="L1391" s="303" t="str">
        <f t="shared" si="64"/>
        <v>61905030430421070240</v>
      </c>
      <c r="M1391" s="132" t="str">
        <f>INDEX('реш СГД № 265'!$A:$N,MATCH('БА расх 2019-2020'!$L1391,'реш СГД № 265'!$N:$N,0),3)</f>
        <v>Иные закупки товаров, работ и услуг для обеспечения государственных (муниципальных) нужд</v>
      </c>
      <c r="N1391" s="17">
        <f t="shared" si="65"/>
        <v>1</v>
      </c>
    </row>
    <row r="1392" spans="1:14" s="16" customFormat="1" ht="15.75">
      <c r="A1392" s="14"/>
      <c r="B1392" s="125" t="s">
        <v>30</v>
      </c>
      <c r="C1392" s="131" t="s">
        <v>795</v>
      </c>
      <c r="D1392" s="131" t="s">
        <v>86</v>
      </c>
      <c r="E1392" s="131" t="s">
        <v>13</v>
      </c>
      <c r="F1392" s="131" t="s">
        <v>775</v>
      </c>
      <c r="G1392" s="131" t="s">
        <v>31</v>
      </c>
      <c r="H1392" s="126">
        <v>0</v>
      </c>
      <c r="I1392" s="126">
        <v>0</v>
      </c>
      <c r="J1392" s="131">
        <v>430421070</v>
      </c>
      <c r="K1392" s="108" t="str">
        <f t="shared" si="63"/>
        <v>0430421070</v>
      </c>
      <c r="L1392" s="303" t="str">
        <f t="shared" si="64"/>
        <v>61905030430421070244</v>
      </c>
      <c r="M1392" s="132"/>
      <c r="N1392" s="17">
        <f t="shared" si="65"/>
        <v>0</v>
      </c>
    </row>
    <row r="1393" spans="1:14" s="16" customFormat="1" ht="15.75">
      <c r="A1393" s="14"/>
      <c r="B1393" s="117" t="s">
        <v>569</v>
      </c>
      <c r="C1393" s="118" t="s">
        <v>795</v>
      </c>
      <c r="D1393" s="119" t="s">
        <v>238</v>
      </c>
      <c r="E1393" s="119" t="s">
        <v>7</v>
      </c>
      <c r="F1393" s="119" t="s">
        <v>8</v>
      </c>
      <c r="G1393" s="119" t="s">
        <v>9</v>
      </c>
      <c r="H1393" s="120">
        <v>0</v>
      </c>
      <c r="I1393" s="120">
        <v>0</v>
      </c>
      <c r="J1393" s="119">
        <v>0</v>
      </c>
      <c r="K1393" s="108" t="str">
        <f t="shared" si="63"/>
        <v>0000000000</v>
      </c>
      <c r="L1393" s="303" t="str">
        <f t="shared" si="64"/>
        <v>61908000000000000000</v>
      </c>
      <c r="M1393" s="132" t="str">
        <f>INDEX('реш СГД № 265'!$A:$N,MATCH('БА расх 2019-2020'!$L1393,'реш СГД № 265'!$N:$N,0),3)</f>
        <v>Культура, кинематография</v>
      </c>
      <c r="N1393" s="17">
        <f t="shared" si="65"/>
        <v>1</v>
      </c>
    </row>
    <row r="1394" spans="1:14" s="16" customFormat="1" ht="15.75">
      <c r="A1394" s="14"/>
      <c r="B1394" s="157" t="s">
        <v>239</v>
      </c>
      <c r="C1394" s="122" t="s">
        <v>795</v>
      </c>
      <c r="D1394" s="123" t="s">
        <v>238</v>
      </c>
      <c r="E1394" s="123" t="s">
        <v>11</v>
      </c>
      <c r="F1394" s="123" t="s">
        <v>8</v>
      </c>
      <c r="G1394" s="123" t="s">
        <v>9</v>
      </c>
      <c r="H1394" s="124">
        <v>0</v>
      </c>
      <c r="I1394" s="124">
        <v>0</v>
      </c>
      <c r="J1394" s="123">
        <v>0</v>
      </c>
      <c r="K1394" s="108" t="str">
        <f t="shared" si="63"/>
        <v>0000000000</v>
      </c>
      <c r="L1394" s="303" t="str">
        <f t="shared" si="64"/>
        <v>61908010000000000000</v>
      </c>
      <c r="M1394" s="132" t="str">
        <f>INDEX('реш СГД № 265'!$A:$N,MATCH('БА расх 2019-2020'!$L1394,'реш СГД № 265'!$N:$N,0),3)</f>
        <v>Культура</v>
      </c>
      <c r="N1394" s="17">
        <f t="shared" si="65"/>
        <v>1</v>
      </c>
    </row>
    <row r="1395" spans="1:14" s="16" customFormat="1" ht="31.5">
      <c r="A1395" s="14"/>
      <c r="B1395" s="125" t="s">
        <v>240</v>
      </c>
      <c r="C1395" s="108" t="s">
        <v>795</v>
      </c>
      <c r="D1395" s="108" t="s">
        <v>238</v>
      </c>
      <c r="E1395" s="108" t="s">
        <v>11</v>
      </c>
      <c r="F1395" s="108" t="s">
        <v>241</v>
      </c>
      <c r="G1395" s="108" t="s">
        <v>9</v>
      </c>
      <c r="H1395" s="126">
        <v>0</v>
      </c>
      <c r="I1395" s="126">
        <v>0</v>
      </c>
      <c r="J1395" s="108">
        <v>700000000</v>
      </c>
      <c r="K1395" s="108" t="str">
        <f t="shared" si="63"/>
        <v>0700000000</v>
      </c>
      <c r="L1395" s="303" t="str">
        <f t="shared" si="64"/>
        <v>61908010700000000000</v>
      </c>
      <c r="M1395" s="132" t="str">
        <f>INDEX('реш СГД № 265'!$A:$N,MATCH('БА расх 2019-2020'!$L1395,'реш СГД № 265'!$N:$N,0),3)</f>
        <v>Муниципальная программа «Культура города Ставрополя»</v>
      </c>
      <c r="N1395" s="17">
        <f t="shared" si="65"/>
        <v>1</v>
      </c>
    </row>
    <row r="1396" spans="1:14" s="16" customFormat="1" ht="78.75">
      <c r="A1396" s="14"/>
      <c r="B1396" s="129" t="s">
        <v>804</v>
      </c>
      <c r="C1396" s="131" t="s">
        <v>795</v>
      </c>
      <c r="D1396" s="131" t="s">
        <v>238</v>
      </c>
      <c r="E1396" s="131" t="s">
        <v>11</v>
      </c>
      <c r="F1396" s="131" t="s">
        <v>243</v>
      </c>
      <c r="G1396" s="131" t="s">
        <v>9</v>
      </c>
      <c r="H1396" s="105">
        <v>0</v>
      </c>
      <c r="I1396" s="105">
        <v>0</v>
      </c>
      <c r="J1396" s="131">
        <v>710000000</v>
      </c>
      <c r="K1396" s="108" t="str">
        <f t="shared" si="63"/>
        <v>0710000000</v>
      </c>
      <c r="L1396" s="303" t="str">
        <f t="shared" si="64"/>
        <v>61908010710000000000</v>
      </c>
      <c r="M1396" s="132" t="str">
        <f>INDEX('реш СГД № 265'!$A:$N,MATCH('БА расх 2019-2020'!$L1396,'реш СГД № 265'!$N:$N,0),3)</f>
        <v xml:space="preserve">Подпрограмма «Проведение городских и краевых культурно-массовых мероприятий, посвященных памятным, знаменательным и юбилейным датам в истории России, Ставропольского края, города  Ставрополя» </v>
      </c>
      <c r="N1396" s="17">
        <f t="shared" si="65"/>
        <v>1</v>
      </c>
    </row>
    <row r="1397" spans="1:14" s="16" customFormat="1" ht="110.25">
      <c r="A1397" s="14"/>
      <c r="B1397" s="155" t="s">
        <v>244</v>
      </c>
      <c r="C1397" s="131" t="s">
        <v>795</v>
      </c>
      <c r="D1397" s="131" t="s">
        <v>238</v>
      </c>
      <c r="E1397" s="131" t="s">
        <v>11</v>
      </c>
      <c r="F1397" s="131" t="s">
        <v>245</v>
      </c>
      <c r="G1397" s="131" t="s">
        <v>9</v>
      </c>
      <c r="H1397" s="105">
        <v>0</v>
      </c>
      <c r="I1397" s="105">
        <v>0</v>
      </c>
      <c r="J1397" s="131">
        <v>710100000</v>
      </c>
      <c r="K1397" s="108" t="str">
        <f t="shared" si="63"/>
        <v>0710100000</v>
      </c>
      <c r="L1397" s="303" t="str">
        <f t="shared" si="64"/>
        <v>61908010710100000000</v>
      </c>
      <c r="M1397" s="132" t="str">
        <f>INDEX('реш СГД № 265'!$A:$N,MATCH('БА расх 2019-2020'!$L1397,'реш СГД № 265'!$N:$N,0),3)</f>
        <v>Основное мероприятие «Обеспечение доступности к культурным ценностям и права на участие в культурной жизни для всех групп населения города Ставрополя, популяризация объектов культурного наследия города Ставрополя, формирование имиджа города Ставрополя как культурного центра Ставропольского края»</v>
      </c>
      <c r="N1397" s="17">
        <f t="shared" si="65"/>
        <v>1</v>
      </c>
    </row>
    <row r="1398" spans="1:14" s="16" customFormat="1" ht="31.5">
      <c r="A1398" s="14"/>
      <c r="B1398" s="129" t="s">
        <v>246</v>
      </c>
      <c r="C1398" s="131" t="s">
        <v>795</v>
      </c>
      <c r="D1398" s="131" t="s">
        <v>238</v>
      </c>
      <c r="E1398" s="131" t="s">
        <v>11</v>
      </c>
      <c r="F1398" s="131" t="s">
        <v>247</v>
      </c>
      <c r="G1398" s="131" t="s">
        <v>9</v>
      </c>
      <c r="H1398" s="105">
        <v>0</v>
      </c>
      <c r="I1398" s="105">
        <v>0</v>
      </c>
      <c r="J1398" s="131">
        <v>710120060</v>
      </c>
      <c r="K1398" s="108" t="str">
        <f t="shared" si="63"/>
        <v>0710120060</v>
      </c>
      <c r="L1398" s="303" t="str">
        <f t="shared" si="64"/>
        <v>61908010710120060000</v>
      </c>
      <c r="M1398" s="132" t="str">
        <f>INDEX('реш СГД № 265'!$A:$N,MATCH('БА расх 2019-2020'!$L1398,'реш СГД № 265'!$N:$N,0),3)</f>
        <v>Расходы на проведение культурно-массовых мероприятий в городе Ставрополе</v>
      </c>
      <c r="N1398" s="17">
        <f t="shared" si="65"/>
        <v>1</v>
      </c>
    </row>
    <row r="1399" spans="1:14" s="16" customFormat="1" ht="31.5">
      <c r="A1399" s="14"/>
      <c r="B1399" s="125" t="s">
        <v>28</v>
      </c>
      <c r="C1399" s="131" t="s">
        <v>795</v>
      </c>
      <c r="D1399" s="131" t="s">
        <v>238</v>
      </c>
      <c r="E1399" s="131" t="s">
        <v>11</v>
      </c>
      <c r="F1399" s="131" t="s">
        <v>247</v>
      </c>
      <c r="G1399" s="131" t="s">
        <v>29</v>
      </c>
      <c r="H1399" s="126">
        <v>0</v>
      </c>
      <c r="I1399" s="126">
        <v>0</v>
      </c>
      <c r="J1399" s="131">
        <v>710120060</v>
      </c>
      <c r="K1399" s="108" t="str">
        <f t="shared" si="63"/>
        <v>0710120060</v>
      </c>
      <c r="L1399" s="303" t="str">
        <f t="shared" si="64"/>
        <v>61908010710120060240</v>
      </c>
      <c r="M1399" s="132" t="str">
        <f>INDEX('реш СГД № 265'!$A:$N,MATCH('БА расх 2019-2020'!$L1399,'реш СГД № 265'!$N:$N,0),3)</f>
        <v>Иные закупки товаров, работ и услуг для обеспечения государственных (муниципальных) нужд</v>
      </c>
      <c r="N1399" s="17">
        <f t="shared" si="65"/>
        <v>1</v>
      </c>
    </row>
    <row r="1400" spans="1:14" s="16" customFormat="1" ht="15.75">
      <c r="A1400" s="14"/>
      <c r="B1400" s="125" t="s">
        <v>30</v>
      </c>
      <c r="C1400" s="131" t="s">
        <v>795</v>
      </c>
      <c r="D1400" s="131" t="s">
        <v>238</v>
      </c>
      <c r="E1400" s="131" t="s">
        <v>11</v>
      </c>
      <c r="F1400" s="131" t="s">
        <v>247</v>
      </c>
      <c r="G1400" s="131" t="s">
        <v>31</v>
      </c>
      <c r="H1400" s="126">
        <v>0</v>
      </c>
      <c r="I1400" s="126">
        <v>0</v>
      </c>
      <c r="J1400" s="131">
        <v>710120060</v>
      </c>
      <c r="K1400" s="108" t="str">
        <f t="shared" si="63"/>
        <v>0710120060</v>
      </c>
      <c r="L1400" s="303" t="str">
        <f t="shared" si="64"/>
        <v>61908010710120060244</v>
      </c>
      <c r="M1400" s="132"/>
      <c r="N1400" s="17">
        <f t="shared" si="65"/>
        <v>0</v>
      </c>
    </row>
    <row r="1401" spans="1:14" s="16" customFormat="1" ht="47.25">
      <c r="A1401" s="14"/>
      <c r="B1401" s="127" t="s">
        <v>780</v>
      </c>
      <c r="C1401" s="131" t="s">
        <v>795</v>
      </c>
      <c r="D1401" s="131" t="s">
        <v>238</v>
      </c>
      <c r="E1401" s="131" t="s">
        <v>11</v>
      </c>
      <c r="F1401" s="131" t="s">
        <v>781</v>
      </c>
      <c r="G1401" s="131" t="s">
        <v>9</v>
      </c>
      <c r="H1401" s="161">
        <v>0</v>
      </c>
      <c r="I1401" s="161">
        <v>0</v>
      </c>
      <c r="J1401" s="131">
        <v>710121130</v>
      </c>
      <c r="K1401" s="108" t="str">
        <f t="shared" si="63"/>
        <v>0710121130</v>
      </c>
      <c r="L1401" s="303" t="str">
        <f t="shared" si="64"/>
        <v>61908010710121130000</v>
      </c>
      <c r="M1401" s="132" t="str">
        <f>INDEX('реш СГД № 265'!$A:$N,MATCH('БА расх 2019-2020'!$L1401,'реш СГД № 265'!$N:$N,0),3)</f>
        <v>Расходы на размещение информационных баннеров на лайтбоксах на остановочных пунктах в городе Ставрополе</v>
      </c>
      <c r="N1401" s="17">
        <f t="shared" si="65"/>
        <v>1</v>
      </c>
    </row>
    <row r="1402" spans="1:14" s="16" customFormat="1" ht="31.5">
      <c r="A1402" s="14"/>
      <c r="B1402" s="125" t="s">
        <v>28</v>
      </c>
      <c r="C1402" s="131" t="s">
        <v>795</v>
      </c>
      <c r="D1402" s="131" t="s">
        <v>238</v>
      </c>
      <c r="E1402" s="131" t="s">
        <v>11</v>
      </c>
      <c r="F1402" s="131" t="s">
        <v>781</v>
      </c>
      <c r="G1402" s="131" t="s">
        <v>29</v>
      </c>
      <c r="H1402" s="126">
        <v>0</v>
      </c>
      <c r="I1402" s="126">
        <v>0</v>
      </c>
      <c r="J1402" s="131">
        <v>710121130</v>
      </c>
      <c r="K1402" s="108" t="str">
        <f t="shared" si="63"/>
        <v>0710121130</v>
      </c>
      <c r="L1402" s="303" t="str">
        <f t="shared" si="64"/>
        <v>61908010710121130240</v>
      </c>
      <c r="M1402" s="132" t="str">
        <f>INDEX('реш СГД № 265'!$A:$N,MATCH('БА расх 2019-2020'!$L1402,'реш СГД № 265'!$N:$N,0),3)</f>
        <v>Иные закупки товаров, работ и услуг для обеспечения государственных (муниципальных) нужд</v>
      </c>
      <c r="N1402" s="17">
        <f t="shared" si="65"/>
        <v>1</v>
      </c>
    </row>
    <row r="1403" spans="1:14" s="16" customFormat="1" ht="15.75">
      <c r="A1403" s="14"/>
      <c r="B1403" s="125" t="s">
        <v>30</v>
      </c>
      <c r="C1403" s="131" t="s">
        <v>795</v>
      </c>
      <c r="D1403" s="131" t="s">
        <v>238</v>
      </c>
      <c r="E1403" s="131" t="s">
        <v>11</v>
      </c>
      <c r="F1403" s="131" t="s">
        <v>781</v>
      </c>
      <c r="G1403" s="131" t="s">
        <v>31</v>
      </c>
      <c r="H1403" s="126">
        <v>0</v>
      </c>
      <c r="I1403" s="126">
        <v>0</v>
      </c>
      <c r="J1403" s="131">
        <v>710121130</v>
      </c>
      <c r="K1403" s="108" t="str">
        <f t="shared" si="63"/>
        <v>0710121130</v>
      </c>
      <c r="L1403" s="303" t="str">
        <f t="shared" si="64"/>
        <v>61908010710121130244</v>
      </c>
      <c r="M1403" s="132"/>
      <c r="N1403" s="17">
        <f t="shared" si="65"/>
        <v>0</v>
      </c>
    </row>
    <row r="1404" spans="1:14" s="16" customFormat="1" ht="15.75">
      <c r="A1404" s="14"/>
      <c r="B1404" s="125"/>
      <c r="C1404" s="131"/>
      <c r="D1404" s="131"/>
      <c r="E1404" s="131"/>
      <c r="F1404" s="131"/>
      <c r="G1404" s="131"/>
      <c r="H1404" s="126"/>
      <c r="I1404" s="126"/>
      <c r="J1404" s="131"/>
      <c r="K1404" s="108" t="str">
        <f t="shared" si="63"/>
        <v>0000000000</v>
      </c>
      <c r="L1404" s="303" t="str">
        <f t="shared" si="64"/>
        <v>0000000000</v>
      </c>
      <c r="M1404" s="132">
        <f>INDEX('реш СГД № 265'!$A:$N,MATCH('БА расх 2019-2020'!$L1404,'реш СГД № 265'!$N:$N,0),3)</f>
        <v>0</v>
      </c>
      <c r="N1404" s="17">
        <f t="shared" si="65"/>
        <v>1</v>
      </c>
    </row>
    <row r="1405" spans="1:14" s="16" customFormat="1" ht="31.5">
      <c r="A1405" s="14"/>
      <c r="B1405" s="67" t="s">
        <v>805</v>
      </c>
      <c r="C1405" s="116" t="s">
        <v>410</v>
      </c>
      <c r="D1405" s="69" t="s">
        <v>7</v>
      </c>
      <c r="E1405" s="69" t="s">
        <v>7</v>
      </c>
      <c r="F1405" s="69" t="s">
        <v>8</v>
      </c>
      <c r="G1405" s="69" t="s">
        <v>9</v>
      </c>
      <c r="H1405" s="162">
        <v>0</v>
      </c>
      <c r="I1405" s="162">
        <v>0</v>
      </c>
      <c r="J1405" s="69">
        <v>0</v>
      </c>
      <c r="K1405" s="108" t="str">
        <f t="shared" si="63"/>
        <v>0000000000</v>
      </c>
      <c r="L1405" s="303" t="str">
        <f t="shared" si="64"/>
        <v>62000000000000000000</v>
      </c>
      <c r="M1405" s="132" t="str">
        <f>INDEX('реш СГД № 265'!$A:$N,MATCH('БА расх 2019-2020'!$L1405,'реш СГД № 265'!$N:$N,0),3)</f>
        <v>Комитет городского хозяйства администрации города Ставрополя</v>
      </c>
      <c r="N1405" s="17">
        <f t="shared" si="65"/>
        <v>1</v>
      </c>
    </row>
    <row r="1406" spans="1:14" s="16" customFormat="1" ht="15.75">
      <c r="A1406" s="14"/>
      <c r="B1406" s="117" t="s">
        <v>10</v>
      </c>
      <c r="C1406" s="118" t="s">
        <v>410</v>
      </c>
      <c r="D1406" s="119" t="s">
        <v>11</v>
      </c>
      <c r="E1406" s="119" t="s">
        <v>7</v>
      </c>
      <c r="F1406" s="119" t="s">
        <v>8</v>
      </c>
      <c r="G1406" s="119" t="s">
        <v>9</v>
      </c>
      <c r="H1406" s="120">
        <v>0</v>
      </c>
      <c r="I1406" s="120">
        <v>0</v>
      </c>
      <c r="J1406" s="119">
        <v>0</v>
      </c>
      <c r="K1406" s="108" t="str">
        <f t="shared" si="63"/>
        <v>0000000000</v>
      </c>
      <c r="L1406" s="303" t="str">
        <f t="shared" si="64"/>
        <v>62001000000000000000</v>
      </c>
      <c r="M1406" s="132" t="str">
        <f>INDEX('реш СГД № 265'!$A:$N,MATCH('БА расх 2019-2020'!$L1406,'реш СГД № 265'!$N:$N,0),3)</f>
        <v>Общегосударственные вопросы</v>
      </c>
      <c r="N1406" s="17">
        <f t="shared" si="65"/>
        <v>1</v>
      </c>
    </row>
    <row r="1407" spans="1:14" s="16" customFormat="1" ht="15.75">
      <c r="A1407" s="14"/>
      <c r="B1407" s="121" t="s">
        <v>50</v>
      </c>
      <c r="C1407" s="122" t="s">
        <v>410</v>
      </c>
      <c r="D1407" s="123" t="s">
        <v>11</v>
      </c>
      <c r="E1407" s="123" t="s">
        <v>51</v>
      </c>
      <c r="F1407" s="123" t="s">
        <v>8</v>
      </c>
      <c r="G1407" s="123" t="s">
        <v>9</v>
      </c>
      <c r="H1407" s="124">
        <v>0</v>
      </c>
      <c r="I1407" s="124">
        <v>0</v>
      </c>
      <c r="J1407" s="123">
        <v>0</v>
      </c>
      <c r="K1407" s="108" t="str">
        <f t="shared" si="63"/>
        <v>0000000000</v>
      </c>
      <c r="L1407" s="303" t="str">
        <f t="shared" si="64"/>
        <v>62001130000000000000</v>
      </c>
      <c r="M1407" s="132" t="str">
        <f>INDEX('реш СГД № 265'!$A:$N,MATCH('БА расх 2019-2020'!$L1407,'реш СГД № 265'!$N:$N,0),3)</f>
        <v>Другие общегосударственные вопросы</v>
      </c>
      <c r="N1407" s="17">
        <f t="shared" si="65"/>
        <v>1</v>
      </c>
    </row>
    <row r="1408" spans="1:14" s="16" customFormat="1" ht="63">
      <c r="A1408" s="14"/>
      <c r="B1408" s="125" t="s">
        <v>257</v>
      </c>
      <c r="C1408" s="109" t="s">
        <v>410</v>
      </c>
      <c r="D1408" s="108" t="s">
        <v>11</v>
      </c>
      <c r="E1408" s="108" t="s">
        <v>51</v>
      </c>
      <c r="F1408" s="14" t="s">
        <v>258</v>
      </c>
      <c r="G1408" s="108" t="s">
        <v>9</v>
      </c>
      <c r="H1408" s="126">
        <v>0</v>
      </c>
      <c r="I1408" s="126">
        <v>0</v>
      </c>
      <c r="J1408" s="14">
        <v>1100000000</v>
      </c>
      <c r="K1408" s="108" t="str">
        <f t="shared" si="63"/>
        <v>1100000000</v>
      </c>
      <c r="L1408" s="303" t="str">
        <f t="shared" si="64"/>
        <v>62001131100000000000</v>
      </c>
      <c r="M1408" s="132" t="str">
        <f>INDEX('реш СГД № 265'!$A:$N,MATCH('БА расх 2019-2020'!$L1408,'реш СГД № 265'!$N:$N,0),3)</f>
        <v>Муниципальная программа  «Управление и распоряжение имуществом, находящимся в муниципальной собственности города Ставрополя, в том числе земельными ресурсами»</v>
      </c>
      <c r="N1408" s="17">
        <f t="shared" si="65"/>
        <v>1</v>
      </c>
    </row>
    <row r="1409" spans="1:14" s="16" customFormat="1" ht="78.75">
      <c r="A1409" s="14"/>
      <c r="B1409" s="125" t="s">
        <v>259</v>
      </c>
      <c r="C1409" s="109" t="s">
        <v>410</v>
      </c>
      <c r="D1409" s="108" t="s">
        <v>11</v>
      </c>
      <c r="E1409" s="108" t="s">
        <v>51</v>
      </c>
      <c r="F1409" s="14" t="s">
        <v>260</v>
      </c>
      <c r="G1409" s="108" t="s">
        <v>9</v>
      </c>
      <c r="H1409" s="126">
        <v>0</v>
      </c>
      <c r="I1409" s="126">
        <v>0</v>
      </c>
      <c r="J1409" s="14" t="s">
        <v>1171</v>
      </c>
      <c r="K1409" s="108" t="str">
        <f t="shared" si="63"/>
        <v>11Б0000000</v>
      </c>
      <c r="L1409" s="303" t="str">
        <f t="shared" si="64"/>
        <v>620011311Б0000000000</v>
      </c>
      <c r="M1409" s="132" t="str">
        <f>INDEX('реш СГД № 265'!$A:$N,MATCH('БА расх 2019-2020'!$L1409,'реш СГД № 265'!$N:$N,0),3)</f>
        <v>Расходы в рамках реализации муниципальной программы «Управление и распоряжение  имуществом, находящимся в муниципальной собственности города Ставрополя, в том числе земельными ресурсами»</v>
      </c>
      <c r="N1409" s="17">
        <f t="shared" si="65"/>
        <v>1</v>
      </c>
    </row>
    <row r="1410" spans="1:14" s="16" customFormat="1" ht="47.25">
      <c r="A1410" s="14"/>
      <c r="B1410" s="125" t="s">
        <v>261</v>
      </c>
      <c r="C1410" s="109" t="s">
        <v>410</v>
      </c>
      <c r="D1410" s="108" t="s">
        <v>11</v>
      </c>
      <c r="E1410" s="108" t="s">
        <v>51</v>
      </c>
      <c r="F1410" s="14" t="s">
        <v>262</v>
      </c>
      <c r="G1410" s="108" t="s">
        <v>9</v>
      </c>
      <c r="H1410" s="126">
        <v>0</v>
      </c>
      <c r="I1410" s="126">
        <v>0</v>
      </c>
      <c r="J1410" s="14" t="s">
        <v>1172</v>
      </c>
      <c r="K1410" s="108" t="str">
        <f t="shared" si="63"/>
        <v>11Б0100000</v>
      </c>
      <c r="L1410" s="303" t="str">
        <f t="shared" si="64"/>
        <v>620011311Б0100000000</v>
      </c>
      <c r="M1410" s="132" t="str">
        <f>INDEX('реш СГД № 265'!$A:$N,MATCH('БА расх 2019-2020'!$L1410,'реш СГД № 265'!$N:$N,0),3)</f>
        <v>Основное мероприятие «Управление и распоряжение объектами недвижимого имущества, находящимися в муниципальной собственности города Ставрополя»</v>
      </c>
      <c r="N1410" s="17">
        <f t="shared" si="65"/>
        <v>1</v>
      </c>
    </row>
    <row r="1411" spans="1:14" s="16" customFormat="1" ht="31.5">
      <c r="A1411" s="14"/>
      <c r="B1411" s="125" t="s">
        <v>267</v>
      </c>
      <c r="C1411" s="109" t="s">
        <v>410</v>
      </c>
      <c r="D1411" s="108" t="s">
        <v>11</v>
      </c>
      <c r="E1411" s="108" t="s">
        <v>51</v>
      </c>
      <c r="F1411" s="14" t="s">
        <v>268</v>
      </c>
      <c r="G1411" s="108" t="s">
        <v>9</v>
      </c>
      <c r="H1411" s="126">
        <v>0</v>
      </c>
      <c r="I1411" s="126">
        <v>0</v>
      </c>
      <c r="J1411" s="14" t="s">
        <v>1175</v>
      </c>
      <c r="K1411" s="108" t="str">
        <f t="shared" si="63"/>
        <v>11Б0121120</v>
      </c>
      <c r="L1411" s="303" t="str">
        <f t="shared" si="64"/>
        <v>620011311Б0121120000</v>
      </c>
      <c r="M1411" s="132" t="str">
        <f>INDEX('реш СГД № 265'!$A:$N,MATCH('БА расх 2019-2020'!$L1411,'реш СГД № 265'!$N:$N,0),3)</f>
        <v>Расходы на уплату взносов на капитальный ремонт общего имущества в многоквартирных домах</v>
      </c>
      <c r="N1411" s="17">
        <f t="shared" si="65"/>
        <v>1</v>
      </c>
    </row>
    <row r="1412" spans="1:14" s="16" customFormat="1" ht="31.5">
      <c r="A1412" s="14"/>
      <c r="B1412" s="125" t="s">
        <v>28</v>
      </c>
      <c r="C1412" s="109" t="s">
        <v>410</v>
      </c>
      <c r="D1412" s="108" t="s">
        <v>11</v>
      </c>
      <c r="E1412" s="108" t="s">
        <v>51</v>
      </c>
      <c r="F1412" s="14" t="s">
        <v>268</v>
      </c>
      <c r="G1412" s="108" t="s">
        <v>29</v>
      </c>
      <c r="H1412" s="126">
        <v>0</v>
      </c>
      <c r="I1412" s="126">
        <v>0</v>
      </c>
      <c r="J1412" s="14" t="s">
        <v>1175</v>
      </c>
      <c r="K1412" s="108" t="str">
        <f t="shared" si="63"/>
        <v>11Б0121120</v>
      </c>
      <c r="L1412" s="303" t="str">
        <f t="shared" si="64"/>
        <v>620011311Б0121120240</v>
      </c>
      <c r="M1412" s="132" t="str">
        <f>INDEX('реш СГД № 265'!$A:$N,MATCH('БА расх 2019-2020'!$L1412,'реш СГД № 265'!$N:$N,0),3)</f>
        <v>Иные закупки товаров, работ и услуг для обеспечения государственных (муниципальных) нужд</v>
      </c>
      <c r="N1412" s="17">
        <f t="shared" si="65"/>
        <v>1</v>
      </c>
    </row>
    <row r="1413" spans="1:14" s="16" customFormat="1" ht="15.75">
      <c r="A1413" s="14"/>
      <c r="B1413" s="125" t="s">
        <v>30</v>
      </c>
      <c r="C1413" s="109" t="s">
        <v>410</v>
      </c>
      <c r="D1413" s="108" t="s">
        <v>11</v>
      </c>
      <c r="E1413" s="108" t="s">
        <v>51</v>
      </c>
      <c r="F1413" s="14" t="s">
        <v>268</v>
      </c>
      <c r="G1413" s="108" t="s">
        <v>31</v>
      </c>
      <c r="H1413" s="126">
        <v>0</v>
      </c>
      <c r="I1413" s="126">
        <v>0</v>
      </c>
      <c r="J1413" s="14" t="s">
        <v>1175</v>
      </c>
      <c r="K1413" s="108" t="str">
        <f t="shared" si="63"/>
        <v>11Б0121120</v>
      </c>
      <c r="L1413" s="303" t="str">
        <f t="shared" si="64"/>
        <v>620011311Б0121120244</v>
      </c>
      <c r="M1413" s="132"/>
      <c r="N1413" s="17">
        <f t="shared" si="65"/>
        <v>0</v>
      </c>
    </row>
    <row r="1414" spans="1:14" s="16" customFormat="1" ht="31.5">
      <c r="A1414" s="14"/>
      <c r="B1414" s="125" t="s">
        <v>806</v>
      </c>
      <c r="C1414" s="108" t="s">
        <v>410</v>
      </c>
      <c r="D1414" s="108" t="s">
        <v>11</v>
      </c>
      <c r="E1414" s="108" t="s">
        <v>51</v>
      </c>
      <c r="F1414" s="108" t="s">
        <v>807</v>
      </c>
      <c r="G1414" s="108" t="s">
        <v>9</v>
      </c>
      <c r="H1414" s="126">
        <v>0</v>
      </c>
      <c r="I1414" s="126">
        <v>0</v>
      </c>
      <c r="J1414" s="108">
        <v>8300000000</v>
      </c>
      <c r="K1414" s="108" t="str">
        <f t="shared" si="63"/>
        <v>8300000000</v>
      </c>
      <c r="L1414" s="303" t="str">
        <f t="shared" si="64"/>
        <v>62001138300000000000</v>
      </c>
      <c r="M1414" s="132" t="str">
        <f>INDEX('реш СГД № 265'!$A:$N,MATCH('БА расх 2019-2020'!$L1414,'реш СГД № 265'!$N:$N,0),3)</f>
        <v>Обеспечение деятельности комитета городского хозяйства администрации города Ставрополя</v>
      </c>
      <c r="N1414" s="17">
        <f t="shared" si="65"/>
        <v>1</v>
      </c>
    </row>
    <row r="1415" spans="1:14" s="16" customFormat="1" ht="47.25">
      <c r="A1415" s="14"/>
      <c r="B1415" s="125" t="s">
        <v>808</v>
      </c>
      <c r="C1415" s="108" t="s">
        <v>410</v>
      </c>
      <c r="D1415" s="108" t="s">
        <v>11</v>
      </c>
      <c r="E1415" s="108" t="s">
        <v>51</v>
      </c>
      <c r="F1415" s="108" t="s">
        <v>809</v>
      </c>
      <c r="G1415" s="108" t="s">
        <v>9</v>
      </c>
      <c r="H1415" s="126">
        <v>0</v>
      </c>
      <c r="I1415" s="126">
        <v>0</v>
      </c>
      <c r="J1415" s="108">
        <v>8310000000</v>
      </c>
      <c r="K1415" s="108" t="str">
        <f t="shared" si="63"/>
        <v>8310000000</v>
      </c>
      <c r="L1415" s="303" t="str">
        <f t="shared" si="64"/>
        <v>62001138310000000000</v>
      </c>
      <c r="M1415" s="132" t="str">
        <f>INDEX('реш СГД № 265'!$A:$N,MATCH('БА расх 2019-2020'!$L1415,'реш СГД № 265'!$N:$N,0),3)</f>
        <v>Непрограммные расходы в рамках обеспечения деятельности комитета городского хозяйства администрации города Ставрополя</v>
      </c>
      <c r="N1415" s="17">
        <f t="shared" si="65"/>
        <v>1</v>
      </c>
    </row>
    <row r="1416" spans="1:14" s="16" customFormat="1" ht="31.5">
      <c r="A1416" s="14"/>
      <c r="B1416" s="125" t="s">
        <v>187</v>
      </c>
      <c r="C1416" s="108" t="s">
        <v>410</v>
      </c>
      <c r="D1416" s="108" t="s">
        <v>11</v>
      </c>
      <c r="E1416" s="108" t="s">
        <v>51</v>
      </c>
      <c r="F1416" s="108" t="s">
        <v>810</v>
      </c>
      <c r="G1416" s="108" t="s">
        <v>9</v>
      </c>
      <c r="H1416" s="126">
        <v>0</v>
      </c>
      <c r="I1416" s="126">
        <v>0</v>
      </c>
      <c r="J1416" s="108">
        <v>8310020050</v>
      </c>
      <c r="K1416" s="108" t="str">
        <f t="shared" si="63"/>
        <v>8310020050</v>
      </c>
      <c r="L1416" s="303" t="str">
        <f t="shared" si="64"/>
        <v>62001138310020050000</v>
      </c>
      <c r="M1416" s="132" t="str">
        <f>INDEX('реш СГД № 265'!$A:$N,MATCH('БА расх 2019-2020'!$L1416,'реш СГД № 265'!$N:$N,0),3)</f>
        <v>Расходы на выплаты на основании исполнительных листов судебных органов</v>
      </c>
      <c r="N1416" s="17">
        <f t="shared" si="65"/>
        <v>1</v>
      </c>
    </row>
    <row r="1417" spans="1:14" s="16" customFormat="1" ht="15.75">
      <c r="A1417" s="14"/>
      <c r="B1417" s="125" t="s">
        <v>189</v>
      </c>
      <c r="C1417" s="108" t="s">
        <v>410</v>
      </c>
      <c r="D1417" s="108" t="s">
        <v>11</v>
      </c>
      <c r="E1417" s="108" t="s">
        <v>51</v>
      </c>
      <c r="F1417" s="108" t="s">
        <v>810</v>
      </c>
      <c r="G1417" s="108" t="s">
        <v>190</v>
      </c>
      <c r="H1417" s="126">
        <v>0</v>
      </c>
      <c r="I1417" s="126">
        <v>0</v>
      </c>
      <c r="J1417" s="108">
        <v>8310020050</v>
      </c>
      <c r="K1417" s="108" t="str">
        <f t="shared" si="63"/>
        <v>8310020050</v>
      </c>
      <c r="L1417" s="303" t="str">
        <f t="shared" si="64"/>
        <v>62001138310020050830</v>
      </c>
      <c r="M1417" s="132" t="str">
        <f>INDEX('реш СГД № 265'!$A:$N,MATCH('БА расх 2019-2020'!$L1417,'реш СГД № 265'!$N:$N,0),3)</f>
        <v>Исполнение судебных актов</v>
      </c>
      <c r="N1417" s="17">
        <f t="shared" si="65"/>
        <v>1</v>
      </c>
    </row>
    <row r="1418" spans="1:14" s="16" customFormat="1" ht="47.25">
      <c r="A1418" s="14"/>
      <c r="B1418" s="125" t="s">
        <v>191</v>
      </c>
      <c r="C1418" s="108" t="s">
        <v>410</v>
      </c>
      <c r="D1418" s="108" t="s">
        <v>11</v>
      </c>
      <c r="E1418" s="108" t="s">
        <v>51</v>
      </c>
      <c r="F1418" s="108" t="s">
        <v>810</v>
      </c>
      <c r="G1418" s="108" t="s">
        <v>192</v>
      </c>
      <c r="H1418" s="126">
        <v>0</v>
      </c>
      <c r="I1418" s="126">
        <v>0</v>
      </c>
      <c r="J1418" s="108">
        <v>8310020050</v>
      </c>
      <c r="K1418" s="108" t="str">
        <f t="shared" si="63"/>
        <v>8310020050</v>
      </c>
      <c r="L1418" s="303" t="str">
        <f t="shared" si="64"/>
        <v>62001138310020050831</v>
      </c>
      <c r="M1418" s="132"/>
      <c r="N1418" s="17">
        <f t="shared" si="65"/>
        <v>0</v>
      </c>
    </row>
    <row r="1419" spans="1:14" s="16" customFormat="1" ht="15.75">
      <c r="A1419" s="14"/>
      <c r="B1419" s="117" t="s">
        <v>195</v>
      </c>
      <c r="C1419" s="118" t="s">
        <v>410</v>
      </c>
      <c r="D1419" s="119" t="s">
        <v>73</v>
      </c>
      <c r="E1419" s="119" t="s">
        <v>7</v>
      </c>
      <c r="F1419" s="119" t="s">
        <v>8</v>
      </c>
      <c r="G1419" s="119" t="s">
        <v>9</v>
      </c>
      <c r="H1419" s="120">
        <v>0</v>
      </c>
      <c r="I1419" s="120">
        <v>0</v>
      </c>
      <c r="J1419" s="119">
        <v>0</v>
      </c>
      <c r="K1419" s="108" t="str">
        <f t="shared" si="63"/>
        <v>0000000000</v>
      </c>
      <c r="L1419" s="303" t="str">
        <f t="shared" si="64"/>
        <v>62004000000000000000</v>
      </c>
      <c r="M1419" s="132" t="str">
        <f>INDEX('реш СГД № 265'!$A:$N,MATCH('БА расх 2019-2020'!$L1419,'реш СГД № 265'!$N:$N,0),3)</f>
        <v>Национальная экономика</v>
      </c>
      <c r="N1419" s="17">
        <f t="shared" si="65"/>
        <v>1</v>
      </c>
    </row>
    <row r="1420" spans="1:14" s="16" customFormat="1" ht="15.75">
      <c r="A1420" s="14"/>
      <c r="B1420" s="121" t="s">
        <v>811</v>
      </c>
      <c r="C1420" s="122" t="s">
        <v>410</v>
      </c>
      <c r="D1420" s="123" t="s">
        <v>73</v>
      </c>
      <c r="E1420" s="123" t="s">
        <v>229</v>
      </c>
      <c r="F1420" s="123" t="s">
        <v>8</v>
      </c>
      <c r="G1420" s="123" t="s">
        <v>9</v>
      </c>
      <c r="H1420" s="124">
        <v>0</v>
      </c>
      <c r="I1420" s="124">
        <v>0</v>
      </c>
      <c r="J1420" s="123">
        <v>0</v>
      </c>
      <c r="K1420" s="108" t="str">
        <f t="shared" si="63"/>
        <v>0000000000</v>
      </c>
      <c r="L1420" s="303" t="str">
        <f t="shared" si="64"/>
        <v>62004070000000000000</v>
      </c>
      <c r="M1420" s="132" t="str">
        <f>INDEX('реш СГД № 265'!$A:$N,MATCH('БА расх 2019-2020'!$L1420,'реш СГД № 265'!$N:$N,0),3)</f>
        <v>Лесное хозяйство</v>
      </c>
      <c r="N1420" s="17">
        <f t="shared" si="65"/>
        <v>1</v>
      </c>
    </row>
    <row r="1421" spans="1:14" s="16" customFormat="1" ht="63">
      <c r="A1421" s="14"/>
      <c r="B1421" s="127" t="s">
        <v>293</v>
      </c>
      <c r="C1421" s="108" t="s">
        <v>410</v>
      </c>
      <c r="D1421" s="108" t="s">
        <v>73</v>
      </c>
      <c r="E1421" s="108" t="s">
        <v>229</v>
      </c>
      <c r="F1421" s="108" t="s">
        <v>294</v>
      </c>
      <c r="G1421" s="108" t="s">
        <v>9</v>
      </c>
      <c r="H1421" s="126">
        <v>0</v>
      </c>
      <c r="I1421" s="126">
        <v>0</v>
      </c>
      <c r="J1421" s="108">
        <v>400000000</v>
      </c>
      <c r="K1421" s="108" t="str">
        <f t="shared" ref="K1421:K1487" si="66">TEXT(J1421,"0000000000")</f>
        <v>0400000000</v>
      </c>
      <c r="L1421" s="303" t="str">
        <f t="shared" si="64"/>
        <v>62004070400000000000</v>
      </c>
      <c r="M1421" s="132" t="str">
        <f>INDEX('реш СГД № 265'!$A:$N,MATCH('БА расх 2019-2020'!$L1421,'реш СГД № 265'!$N:$N,0),3)</f>
        <v>Муниципальная программа «Развитие жилищно-коммунального хозяйства, транспортной системы на территории города Ставрополя, благоустройство территории города Ставрополя»</v>
      </c>
      <c r="N1421" s="17">
        <f t="shared" si="65"/>
        <v>1</v>
      </c>
    </row>
    <row r="1422" spans="1:14" s="16" customFormat="1" ht="31.5">
      <c r="A1422" s="14"/>
      <c r="B1422" s="125" t="s">
        <v>2283</v>
      </c>
      <c r="C1422" s="108" t="s">
        <v>410</v>
      </c>
      <c r="D1422" s="108" t="s">
        <v>73</v>
      </c>
      <c r="E1422" s="108" t="s">
        <v>229</v>
      </c>
      <c r="F1422" s="108" t="s">
        <v>308</v>
      </c>
      <c r="G1422" s="108" t="s">
        <v>9</v>
      </c>
      <c r="H1422" s="126">
        <v>0</v>
      </c>
      <c r="I1422" s="126">
        <v>0</v>
      </c>
      <c r="J1422" s="108">
        <v>430000000</v>
      </c>
      <c r="K1422" s="108" t="str">
        <f t="shared" si="66"/>
        <v>0430000000</v>
      </c>
      <c r="L1422" s="303" t="str">
        <f t="shared" ref="L1422:L1488" si="67">C1422&amp;D1422&amp;E1422&amp;K1422&amp;G1422</f>
        <v>62004070430000000000</v>
      </c>
      <c r="M1422" s="132" t="str">
        <f>INDEX('реш СГД № 265'!$A:$N,MATCH('БА расх 2019-2020'!$L1422,'реш СГД № 265'!$N:$N,0),3)</f>
        <v>Подпрограмма «Благоустройство территории города Ставрополя»</v>
      </c>
      <c r="N1422" s="17">
        <f t="shared" ref="N1422:N1488" si="68">IF(B1422=M1422,1,0)</f>
        <v>1</v>
      </c>
    </row>
    <row r="1423" spans="1:14" s="16" customFormat="1" ht="47.25">
      <c r="A1423" s="14"/>
      <c r="B1423" s="125" t="s">
        <v>812</v>
      </c>
      <c r="C1423" s="108" t="s">
        <v>410</v>
      </c>
      <c r="D1423" s="108" t="s">
        <v>73</v>
      </c>
      <c r="E1423" s="108" t="s">
        <v>229</v>
      </c>
      <c r="F1423" s="108" t="s">
        <v>813</v>
      </c>
      <c r="G1423" s="108" t="s">
        <v>9</v>
      </c>
      <c r="H1423" s="126">
        <v>0</v>
      </c>
      <c r="I1423" s="126">
        <v>0</v>
      </c>
      <c r="J1423" s="108">
        <v>430100000</v>
      </c>
      <c r="K1423" s="108" t="str">
        <f t="shared" si="66"/>
        <v>0430100000</v>
      </c>
      <c r="L1423" s="303" t="str">
        <f t="shared" si="67"/>
        <v>62004070430100000000</v>
      </c>
      <c r="M1423" s="132" t="str">
        <f>INDEX('реш СГД № 265'!$A:$N,MATCH('БА расх 2019-2020'!$L1423,'реш СГД № 265'!$N:$N,0),3)</f>
        <v>Основное мероприятие «Осуществление деятельности по использованию, охране, защите и воспроизводству городских лесов»</v>
      </c>
      <c r="N1423" s="17">
        <f t="shared" si="68"/>
        <v>1</v>
      </c>
    </row>
    <row r="1424" spans="1:14" s="16" customFormat="1" ht="31.5">
      <c r="A1424" s="14"/>
      <c r="B1424" s="125" t="s">
        <v>136</v>
      </c>
      <c r="C1424" s="108" t="s">
        <v>410</v>
      </c>
      <c r="D1424" s="108" t="s">
        <v>73</v>
      </c>
      <c r="E1424" s="108" t="s">
        <v>229</v>
      </c>
      <c r="F1424" s="108" t="s">
        <v>814</v>
      </c>
      <c r="G1424" s="108" t="s">
        <v>9</v>
      </c>
      <c r="H1424" s="126">
        <v>0</v>
      </c>
      <c r="I1424" s="126">
        <v>0</v>
      </c>
      <c r="J1424" s="108">
        <v>430111010</v>
      </c>
      <c r="K1424" s="108" t="str">
        <f t="shared" si="66"/>
        <v>0430111010</v>
      </c>
      <c r="L1424" s="303" t="str">
        <f t="shared" si="67"/>
        <v>62004070430111010000</v>
      </c>
      <c r="M1424" s="132" t="str">
        <f>INDEX('реш СГД № 265'!$A:$N,MATCH('БА расх 2019-2020'!$L1424,'реш СГД № 265'!$N:$N,0),3)</f>
        <v>Расходы на обеспечение деятельности (оказание услуг) муниципальных учреждений</v>
      </c>
      <c r="N1424" s="17">
        <f t="shared" si="68"/>
        <v>1</v>
      </c>
    </row>
    <row r="1425" spans="1:14" s="16" customFormat="1" ht="15.75">
      <c r="A1425" s="14"/>
      <c r="B1425" s="132" t="s">
        <v>403</v>
      </c>
      <c r="C1425" s="108" t="s">
        <v>410</v>
      </c>
      <c r="D1425" s="108" t="s">
        <v>73</v>
      </c>
      <c r="E1425" s="108" t="s">
        <v>229</v>
      </c>
      <c r="F1425" s="108" t="s">
        <v>814</v>
      </c>
      <c r="G1425" s="108" t="s">
        <v>404</v>
      </c>
      <c r="H1425" s="126">
        <v>0</v>
      </c>
      <c r="I1425" s="126">
        <v>0</v>
      </c>
      <c r="J1425" s="108">
        <v>430111010</v>
      </c>
      <c r="K1425" s="108" t="str">
        <f t="shared" si="66"/>
        <v>0430111010</v>
      </c>
      <c r="L1425" s="303" t="str">
        <f t="shared" si="67"/>
        <v>62004070430111010610</v>
      </c>
      <c r="M1425" s="132" t="str">
        <f>INDEX('реш СГД № 265'!$A:$N,MATCH('БА расх 2019-2020'!$L1425,'реш СГД № 265'!$N:$N,0),3)</f>
        <v>Субсидии бюджетным учреждениям</v>
      </c>
      <c r="N1425" s="17">
        <f t="shared" si="68"/>
        <v>1</v>
      </c>
    </row>
    <row r="1426" spans="1:14" s="23" customFormat="1" ht="63">
      <c r="A1426" s="21"/>
      <c r="B1426" s="127" t="s">
        <v>405</v>
      </c>
      <c r="C1426" s="108" t="s">
        <v>410</v>
      </c>
      <c r="D1426" s="108" t="s">
        <v>73</v>
      </c>
      <c r="E1426" s="108" t="s">
        <v>229</v>
      </c>
      <c r="F1426" s="108" t="s">
        <v>814</v>
      </c>
      <c r="G1426" s="108" t="s">
        <v>406</v>
      </c>
      <c r="H1426" s="126">
        <v>0</v>
      </c>
      <c r="I1426" s="126">
        <v>0</v>
      </c>
      <c r="J1426" s="108">
        <v>430111010</v>
      </c>
      <c r="K1426" s="108" t="str">
        <f t="shared" si="66"/>
        <v>0430111010</v>
      </c>
      <c r="L1426" s="303" t="str">
        <f t="shared" si="67"/>
        <v>62004070430111010611</v>
      </c>
      <c r="M1426" s="132"/>
      <c r="N1426" s="17">
        <f t="shared" si="68"/>
        <v>0</v>
      </c>
    </row>
    <row r="1427" spans="1:14" s="23" customFormat="1" ht="15.75">
      <c r="A1427" s="21"/>
      <c r="B1427" s="127" t="s">
        <v>407</v>
      </c>
      <c r="C1427" s="108" t="s">
        <v>410</v>
      </c>
      <c r="D1427" s="108" t="s">
        <v>73</v>
      </c>
      <c r="E1427" s="108" t="s">
        <v>229</v>
      </c>
      <c r="F1427" s="108" t="s">
        <v>814</v>
      </c>
      <c r="G1427" s="108" t="s">
        <v>408</v>
      </c>
      <c r="H1427" s="126">
        <v>0</v>
      </c>
      <c r="I1427" s="126">
        <v>0</v>
      </c>
      <c r="J1427" s="108">
        <v>430111010</v>
      </c>
      <c r="K1427" s="108" t="str">
        <f t="shared" si="66"/>
        <v>0430111010</v>
      </c>
      <c r="L1427" s="303" t="str">
        <f t="shared" si="67"/>
        <v>62004070430111010612</v>
      </c>
      <c r="M1427" s="132"/>
      <c r="N1427" s="17">
        <f t="shared" si="68"/>
        <v>0</v>
      </c>
    </row>
    <row r="1428" spans="1:14" s="16" customFormat="1" ht="15.75">
      <c r="A1428" s="14"/>
      <c r="B1428" s="121" t="s">
        <v>815</v>
      </c>
      <c r="C1428" s="122" t="s">
        <v>410</v>
      </c>
      <c r="D1428" s="123" t="s">
        <v>73</v>
      </c>
      <c r="E1428" s="123" t="s">
        <v>238</v>
      </c>
      <c r="F1428" s="123" t="s">
        <v>8</v>
      </c>
      <c r="G1428" s="123" t="s">
        <v>9</v>
      </c>
      <c r="H1428" s="124">
        <v>0</v>
      </c>
      <c r="I1428" s="124">
        <v>0</v>
      </c>
      <c r="J1428" s="123">
        <v>0</v>
      </c>
      <c r="K1428" s="108" t="str">
        <f t="shared" si="66"/>
        <v>0000000000</v>
      </c>
      <c r="L1428" s="303" t="str">
        <f t="shared" si="67"/>
        <v>62004080000000000000</v>
      </c>
      <c r="M1428" s="132" t="str">
        <f>INDEX('реш СГД № 265'!$A:$N,MATCH('БА расх 2019-2020'!$L1428,'реш СГД № 265'!$N:$N,0),3)</f>
        <v>Транспорт</v>
      </c>
      <c r="N1428" s="17">
        <f t="shared" si="68"/>
        <v>1</v>
      </c>
    </row>
    <row r="1429" spans="1:14" s="16" customFormat="1" ht="63">
      <c r="A1429" s="14"/>
      <c r="B1429" s="127" t="s">
        <v>293</v>
      </c>
      <c r="C1429" s="108" t="s">
        <v>410</v>
      </c>
      <c r="D1429" s="108" t="s">
        <v>73</v>
      </c>
      <c r="E1429" s="108" t="s">
        <v>238</v>
      </c>
      <c r="F1429" s="108" t="s">
        <v>294</v>
      </c>
      <c r="G1429" s="108" t="s">
        <v>9</v>
      </c>
      <c r="H1429" s="126">
        <v>0</v>
      </c>
      <c r="I1429" s="126">
        <v>0</v>
      </c>
      <c r="J1429" s="108">
        <v>400000000</v>
      </c>
      <c r="K1429" s="108" t="str">
        <f t="shared" si="66"/>
        <v>0400000000</v>
      </c>
      <c r="L1429" s="303" t="str">
        <f t="shared" si="67"/>
        <v>62004080400000000000</v>
      </c>
      <c r="M1429" s="132" t="str">
        <f>INDEX('реш СГД № 265'!$A:$N,MATCH('БА расх 2019-2020'!$L1429,'реш СГД № 265'!$N:$N,0),3)</f>
        <v>Муниципальная программа «Развитие жилищно-коммунального хозяйства, транспортной системы на территории города Ставрополя, благоустройство территории города Ставрополя»</v>
      </c>
      <c r="N1429" s="17">
        <f t="shared" si="68"/>
        <v>1</v>
      </c>
    </row>
    <row r="1430" spans="1:14" s="16" customFormat="1" ht="63">
      <c r="A1430" s="14"/>
      <c r="B1430" s="140" t="s">
        <v>295</v>
      </c>
      <c r="C1430" s="108" t="s">
        <v>410</v>
      </c>
      <c r="D1430" s="108" t="s">
        <v>73</v>
      </c>
      <c r="E1430" s="108" t="s">
        <v>238</v>
      </c>
      <c r="F1430" s="108" t="s">
        <v>296</v>
      </c>
      <c r="G1430" s="108" t="s">
        <v>9</v>
      </c>
      <c r="H1430" s="126">
        <v>0</v>
      </c>
      <c r="I1430" s="126">
        <v>0</v>
      </c>
      <c r="J1430" s="108">
        <v>420000000</v>
      </c>
      <c r="K1430" s="108" t="str">
        <f t="shared" si="66"/>
        <v>0420000000</v>
      </c>
      <c r="L1430" s="303" t="str">
        <f t="shared" si="67"/>
        <v>62004080420000000000</v>
      </c>
      <c r="M1430" s="132" t="str">
        <f>INDEX('реш СГД № 265'!$A:$N,MATCH('БА расх 2019-2020'!$L1430,'реш СГД № 265'!$N:$N,0),3)</f>
        <v xml:space="preserve">Подпрограмма «Дорожная деятельность и обеспечение безопасности дорожного движения, организация транспортного обслуживания населения на территории города Ставрополя» </v>
      </c>
      <c r="N1430" s="17">
        <f t="shared" si="68"/>
        <v>1</v>
      </c>
    </row>
    <row r="1431" spans="1:14" s="16" customFormat="1" ht="63">
      <c r="A1431" s="14"/>
      <c r="B1431" s="135" t="s">
        <v>816</v>
      </c>
      <c r="C1431" s="108" t="s">
        <v>410</v>
      </c>
      <c r="D1431" s="108" t="s">
        <v>73</v>
      </c>
      <c r="E1431" s="108" t="s">
        <v>238</v>
      </c>
      <c r="F1431" s="108" t="s">
        <v>817</v>
      </c>
      <c r="G1431" s="108" t="s">
        <v>9</v>
      </c>
      <c r="H1431" s="126">
        <v>0</v>
      </c>
      <c r="I1431" s="126">
        <v>0</v>
      </c>
      <c r="J1431" s="108">
        <v>420100000</v>
      </c>
      <c r="K1431" s="108" t="str">
        <f t="shared" si="66"/>
        <v>0420100000</v>
      </c>
      <c r="L1431" s="303" t="str">
        <f t="shared" si="67"/>
        <v>62004080420100000000</v>
      </c>
      <c r="M1431" s="132" t="str">
        <f>INDEX('реш СГД № 265'!$A:$N,MATCH('БА расх 2019-2020'!$L1431,'реш СГД № 265'!$N:$N,0),3)</f>
        <v>Основное мероприятие «Создание условий для предоставления транспортных услуг населению и организация транспортного обслуживания населения в границах города Ставрополя»</v>
      </c>
      <c r="N1431" s="17">
        <f t="shared" si="68"/>
        <v>1</v>
      </c>
    </row>
    <row r="1432" spans="1:14" s="16" customFormat="1" ht="31.5">
      <c r="A1432" s="14"/>
      <c r="B1432" s="135" t="s">
        <v>136</v>
      </c>
      <c r="C1432" s="108" t="s">
        <v>410</v>
      </c>
      <c r="D1432" s="108" t="s">
        <v>73</v>
      </c>
      <c r="E1432" s="108" t="s">
        <v>238</v>
      </c>
      <c r="F1432" s="108" t="s">
        <v>818</v>
      </c>
      <c r="G1432" s="108" t="s">
        <v>9</v>
      </c>
      <c r="H1432" s="126">
        <v>0</v>
      </c>
      <c r="I1432" s="126">
        <v>0</v>
      </c>
      <c r="J1432" s="108">
        <v>420111010</v>
      </c>
      <c r="K1432" s="108" t="str">
        <f t="shared" si="66"/>
        <v>0420111010</v>
      </c>
      <c r="L1432" s="303" t="str">
        <f t="shared" si="67"/>
        <v>62004080420111010000</v>
      </c>
      <c r="M1432" s="132" t="str">
        <f>INDEX('реш СГД № 265'!$A:$N,MATCH('БА расх 2019-2020'!$L1432,'реш СГД № 265'!$N:$N,0),3)</f>
        <v>Расходы на обеспечение деятельности (оказание услуг) муниципальных учреждений</v>
      </c>
      <c r="N1432" s="17">
        <f t="shared" si="68"/>
        <v>1</v>
      </c>
    </row>
    <row r="1433" spans="1:14" s="16" customFormat="1" ht="15.75">
      <c r="A1433" s="14"/>
      <c r="B1433" s="132" t="s">
        <v>403</v>
      </c>
      <c r="C1433" s="108" t="s">
        <v>410</v>
      </c>
      <c r="D1433" s="108" t="s">
        <v>73</v>
      </c>
      <c r="E1433" s="108" t="s">
        <v>238</v>
      </c>
      <c r="F1433" s="108" t="s">
        <v>818</v>
      </c>
      <c r="G1433" s="108" t="s">
        <v>404</v>
      </c>
      <c r="H1433" s="126">
        <v>0</v>
      </c>
      <c r="I1433" s="126">
        <v>0</v>
      </c>
      <c r="J1433" s="108">
        <v>420111010</v>
      </c>
      <c r="K1433" s="108" t="str">
        <f t="shared" si="66"/>
        <v>0420111010</v>
      </c>
      <c r="L1433" s="303" t="str">
        <f t="shared" si="67"/>
        <v>62004080420111010610</v>
      </c>
      <c r="M1433" s="132" t="str">
        <f>INDEX('реш СГД № 265'!$A:$N,MATCH('БА расх 2019-2020'!$L1433,'реш СГД № 265'!$N:$N,0),3)</f>
        <v>Субсидии бюджетным учреждениям</v>
      </c>
      <c r="N1433" s="17">
        <f t="shared" si="68"/>
        <v>1</v>
      </c>
    </row>
    <row r="1434" spans="1:14" s="23" customFormat="1" ht="63">
      <c r="A1434" s="21"/>
      <c r="B1434" s="127" t="s">
        <v>405</v>
      </c>
      <c r="C1434" s="108" t="s">
        <v>410</v>
      </c>
      <c r="D1434" s="108" t="s">
        <v>73</v>
      </c>
      <c r="E1434" s="108" t="s">
        <v>238</v>
      </c>
      <c r="F1434" s="108" t="s">
        <v>818</v>
      </c>
      <c r="G1434" s="108" t="s">
        <v>406</v>
      </c>
      <c r="H1434" s="126">
        <v>0</v>
      </c>
      <c r="I1434" s="126">
        <v>0</v>
      </c>
      <c r="J1434" s="108">
        <v>420111010</v>
      </c>
      <c r="K1434" s="108" t="str">
        <f t="shared" si="66"/>
        <v>0420111010</v>
      </c>
      <c r="L1434" s="303" t="str">
        <f t="shared" si="67"/>
        <v>62004080420111010611</v>
      </c>
      <c r="M1434" s="132"/>
      <c r="N1434" s="17">
        <f t="shared" si="68"/>
        <v>0</v>
      </c>
    </row>
    <row r="1435" spans="1:14" s="16" customFormat="1" ht="31.5">
      <c r="A1435" s="14"/>
      <c r="B1435" s="135" t="s">
        <v>819</v>
      </c>
      <c r="C1435" s="108" t="s">
        <v>410</v>
      </c>
      <c r="D1435" s="108" t="s">
        <v>73</v>
      </c>
      <c r="E1435" s="108" t="s">
        <v>238</v>
      </c>
      <c r="F1435" s="108" t="s">
        <v>820</v>
      </c>
      <c r="G1435" s="108" t="s">
        <v>9</v>
      </c>
      <c r="H1435" s="126">
        <v>0</v>
      </c>
      <c r="I1435" s="126">
        <v>0</v>
      </c>
      <c r="J1435" s="108">
        <v>420160020</v>
      </c>
      <c r="K1435" s="108" t="str">
        <f t="shared" si="66"/>
        <v>0420160020</v>
      </c>
      <c r="L1435" s="303" t="str">
        <f t="shared" si="67"/>
        <v>62004080420160020000</v>
      </c>
      <c r="M1435" s="132" t="str">
        <f>INDEX('реш СГД № 265'!$A:$N,MATCH('БА расх 2019-2020'!$L1435,'реш СГД № 265'!$N:$N,0),3)</f>
        <v>Расходы на проведение отдельных мероприятий по электрическому транспорту</v>
      </c>
      <c r="N1435" s="17">
        <f t="shared" si="68"/>
        <v>1</v>
      </c>
    </row>
    <row r="1436" spans="1:14" s="16" customFormat="1" ht="63">
      <c r="A1436" s="14"/>
      <c r="B1436" s="129" t="s">
        <v>203</v>
      </c>
      <c r="C1436" s="108" t="s">
        <v>410</v>
      </c>
      <c r="D1436" s="108" t="s">
        <v>73</v>
      </c>
      <c r="E1436" s="108" t="s">
        <v>238</v>
      </c>
      <c r="F1436" s="108" t="s">
        <v>820</v>
      </c>
      <c r="G1436" s="108" t="s">
        <v>204</v>
      </c>
      <c r="H1436" s="126">
        <v>0</v>
      </c>
      <c r="I1436" s="126">
        <v>0</v>
      </c>
      <c r="J1436" s="108">
        <v>420160020</v>
      </c>
      <c r="K1436" s="108" t="str">
        <f t="shared" si="66"/>
        <v>0420160020</v>
      </c>
      <c r="L1436" s="303" t="str">
        <f t="shared" si="67"/>
        <v>62004080420160020810</v>
      </c>
      <c r="M1436" s="132" t="str">
        <f>INDEX('реш СГД № 265'!$A:$N,MATCH('БА расх 2019-2020'!$L1436,'реш СГД № 265'!$N:$N,0),3)</f>
        <v>Субсидии юридическим лицам (кроме некоммерческих организаций), индивидуальным предпринимателям, физическим лицам - производителям товаров, работ, услуг</v>
      </c>
      <c r="N1436" s="17">
        <f t="shared" si="68"/>
        <v>1</v>
      </c>
    </row>
    <row r="1437" spans="1:14" s="23" customFormat="1" ht="110.25">
      <c r="A1437" s="21"/>
      <c r="B1437" s="127" t="s">
        <v>207</v>
      </c>
      <c r="C1437" s="108" t="s">
        <v>410</v>
      </c>
      <c r="D1437" s="108" t="s">
        <v>73</v>
      </c>
      <c r="E1437" s="108" t="s">
        <v>238</v>
      </c>
      <c r="F1437" s="108" t="s">
        <v>820</v>
      </c>
      <c r="G1437" s="108" t="s">
        <v>208</v>
      </c>
      <c r="H1437" s="126">
        <v>0</v>
      </c>
      <c r="I1437" s="126">
        <v>0</v>
      </c>
      <c r="J1437" s="108">
        <v>420160020</v>
      </c>
      <c r="K1437" s="108" t="str">
        <f t="shared" si="66"/>
        <v>0420160020</v>
      </c>
      <c r="L1437" s="303" t="str">
        <f t="shared" si="67"/>
        <v>62004080420160020812</v>
      </c>
      <c r="M1437" s="132"/>
      <c r="N1437" s="17">
        <f t="shared" si="68"/>
        <v>0</v>
      </c>
    </row>
    <row r="1438" spans="1:14" s="59" customFormat="1" ht="157.5">
      <c r="A1438" s="92"/>
      <c r="B1438" s="129" t="s">
        <v>821</v>
      </c>
      <c r="C1438" s="108" t="s">
        <v>410</v>
      </c>
      <c r="D1438" s="108" t="s">
        <v>73</v>
      </c>
      <c r="E1438" s="108" t="s">
        <v>238</v>
      </c>
      <c r="F1438" s="108" t="s">
        <v>822</v>
      </c>
      <c r="G1438" s="108" t="s">
        <v>9</v>
      </c>
      <c r="H1438" s="126">
        <v>0</v>
      </c>
      <c r="I1438" s="126">
        <v>0</v>
      </c>
      <c r="J1438" s="108">
        <v>420160070</v>
      </c>
      <c r="K1438" s="108" t="str">
        <f t="shared" si="66"/>
        <v>0420160070</v>
      </c>
      <c r="L1438" s="303" t="str">
        <f t="shared" si="67"/>
        <v>62004080420160070000</v>
      </c>
      <c r="M1438" s="132" t="str">
        <f>INDEX('реш СГД № 265'!$A:$N,MATCH('БА расх 2019-2020'!$L1438,'реш СГД № 265'!$N:$N,0),3)</f>
        <v xml:space="preserve">Предоставление финансовой помощи Ставропольскому муниципальному унитарному троллейбусному предприятию в рамках мер по предупреждению банкротства на финансовое обеспечение затрат, направленных на погашение денежных обязательств, требований о выплате выходных пособий и (или) об оплате труда лиц, работающих или работавших по трудовому договору, и обязательных платежей, в целях восстановления платежеспособности должника (санации) </v>
      </c>
      <c r="N1438" s="17">
        <f t="shared" si="68"/>
        <v>1</v>
      </c>
    </row>
    <row r="1439" spans="1:14" s="59" customFormat="1" ht="63">
      <c r="A1439" s="92"/>
      <c r="B1439" s="129" t="s">
        <v>203</v>
      </c>
      <c r="C1439" s="108" t="s">
        <v>410</v>
      </c>
      <c r="D1439" s="108" t="s">
        <v>73</v>
      </c>
      <c r="E1439" s="108" t="s">
        <v>238</v>
      </c>
      <c r="F1439" s="108" t="s">
        <v>822</v>
      </c>
      <c r="G1439" s="108" t="s">
        <v>204</v>
      </c>
      <c r="H1439" s="126">
        <v>0</v>
      </c>
      <c r="I1439" s="126">
        <v>0</v>
      </c>
      <c r="J1439" s="108">
        <v>420160070</v>
      </c>
      <c r="K1439" s="108" t="str">
        <f t="shared" si="66"/>
        <v>0420160070</v>
      </c>
      <c r="L1439" s="303" t="str">
        <f t="shared" si="67"/>
        <v>62004080420160070810</v>
      </c>
      <c r="M1439" s="132" t="str">
        <f>INDEX('реш СГД № 265'!$A:$N,MATCH('БА расх 2019-2020'!$L1439,'реш СГД № 265'!$N:$N,0),3)</f>
        <v>Субсидии юридическим лицам (кроме некоммерческих организаций), индивидуальным предпринимателям, физическим лицам - производителям товаров, работ, услуг</v>
      </c>
      <c r="N1439" s="17">
        <f t="shared" si="68"/>
        <v>1</v>
      </c>
    </row>
    <row r="1440" spans="1:14" s="59" customFormat="1" ht="110.25">
      <c r="A1440" s="92"/>
      <c r="B1440" s="125" t="s">
        <v>207</v>
      </c>
      <c r="C1440" s="108" t="s">
        <v>410</v>
      </c>
      <c r="D1440" s="108" t="s">
        <v>73</v>
      </c>
      <c r="E1440" s="108" t="s">
        <v>238</v>
      </c>
      <c r="F1440" s="108" t="s">
        <v>822</v>
      </c>
      <c r="G1440" s="108" t="s">
        <v>208</v>
      </c>
      <c r="H1440" s="126">
        <v>0</v>
      </c>
      <c r="I1440" s="126">
        <v>0</v>
      </c>
      <c r="J1440" s="108">
        <v>420160070</v>
      </c>
      <c r="K1440" s="108" t="str">
        <f t="shared" si="66"/>
        <v>0420160070</v>
      </c>
      <c r="L1440" s="303" t="str">
        <f t="shared" si="67"/>
        <v>62004080420160070812</v>
      </c>
      <c r="M1440" s="132"/>
      <c r="N1440" s="17">
        <f t="shared" si="68"/>
        <v>0</v>
      </c>
    </row>
    <row r="1441" spans="1:14" s="59" customFormat="1" ht="63">
      <c r="A1441" s="92"/>
      <c r="B1441" s="129" t="s">
        <v>87</v>
      </c>
      <c r="C1441" s="108" t="s">
        <v>410</v>
      </c>
      <c r="D1441" s="108" t="s">
        <v>73</v>
      </c>
      <c r="E1441" s="108" t="s">
        <v>238</v>
      </c>
      <c r="F1441" s="108" t="s">
        <v>88</v>
      </c>
      <c r="G1441" s="108" t="s">
        <v>9</v>
      </c>
      <c r="H1441" s="126">
        <v>0</v>
      </c>
      <c r="I1441" s="126">
        <v>0</v>
      </c>
      <c r="J1441" s="108">
        <v>9800000000</v>
      </c>
      <c r="K1441" s="108" t="str">
        <f t="shared" si="66"/>
        <v>9800000000</v>
      </c>
      <c r="L1441" s="303" t="str">
        <f t="shared" si="67"/>
        <v>62004089800000000000</v>
      </c>
      <c r="M1441" s="132" t="str">
        <f>INDEX('реш СГД № 265'!$A:$N,MATCH('БА расх 2019-2020'!$L1441,'реш СГД № 265'!$N:$N,0),3)</f>
        <v>Реализация иных функций Ставропольской городской Думы, администрации города Ставрополя, ее отраслевых (функциональных) и территориальных органов</v>
      </c>
      <c r="N1441" s="17">
        <f t="shared" si="68"/>
        <v>1</v>
      </c>
    </row>
    <row r="1442" spans="1:14" s="59" customFormat="1" ht="15.75">
      <c r="A1442" s="92"/>
      <c r="B1442" s="129" t="s">
        <v>89</v>
      </c>
      <c r="C1442" s="108" t="s">
        <v>410</v>
      </c>
      <c r="D1442" s="108" t="s">
        <v>73</v>
      </c>
      <c r="E1442" s="108" t="s">
        <v>238</v>
      </c>
      <c r="F1442" s="108" t="s">
        <v>90</v>
      </c>
      <c r="G1442" s="108" t="s">
        <v>9</v>
      </c>
      <c r="H1442" s="126">
        <v>0</v>
      </c>
      <c r="I1442" s="126">
        <v>0</v>
      </c>
      <c r="J1442" s="108">
        <v>9810000000</v>
      </c>
      <c r="K1442" s="108" t="str">
        <f t="shared" si="66"/>
        <v>9810000000</v>
      </c>
      <c r="L1442" s="303" t="str">
        <f t="shared" si="67"/>
        <v>62004089810000000000</v>
      </c>
      <c r="M1442" s="132" t="str">
        <f>INDEX('реш СГД № 265'!$A:$N,MATCH('БА расх 2019-2020'!$L1442,'реш СГД № 265'!$N:$N,0),3)</f>
        <v>Иные непрограммные мероприятия</v>
      </c>
      <c r="N1442" s="17">
        <f t="shared" si="68"/>
        <v>1</v>
      </c>
    </row>
    <row r="1443" spans="1:14" s="59" customFormat="1" ht="31.5">
      <c r="A1443" s="92"/>
      <c r="B1443" s="129" t="s">
        <v>823</v>
      </c>
      <c r="C1443" s="108" t="s">
        <v>410</v>
      </c>
      <c r="D1443" s="108" t="s">
        <v>73</v>
      </c>
      <c r="E1443" s="108" t="s">
        <v>238</v>
      </c>
      <c r="F1443" s="108" t="s">
        <v>824</v>
      </c>
      <c r="G1443" s="108" t="s">
        <v>9</v>
      </c>
      <c r="H1443" s="126">
        <v>0</v>
      </c>
      <c r="I1443" s="126">
        <v>0</v>
      </c>
      <c r="J1443" s="108">
        <v>9810021170</v>
      </c>
      <c r="K1443" s="108" t="str">
        <f t="shared" si="66"/>
        <v>9810021170</v>
      </c>
      <c r="L1443" s="303" t="str">
        <f t="shared" si="67"/>
        <v>62004089810021170000</v>
      </c>
      <c r="M1443" s="132" t="str">
        <f>INDEX('реш СГД № 265'!$A:$N,MATCH('БА расх 2019-2020'!$L1443,'реш СГД № 265'!$N:$N,0),3)</f>
        <v>Проведение отдельных мероприятий в области автомобильного транспорта</v>
      </c>
      <c r="N1443" s="17">
        <f t="shared" si="68"/>
        <v>1</v>
      </c>
    </row>
    <row r="1444" spans="1:14" s="16" customFormat="1" ht="31.5">
      <c r="A1444" s="14"/>
      <c r="B1444" s="125" t="s">
        <v>28</v>
      </c>
      <c r="C1444" s="108" t="s">
        <v>410</v>
      </c>
      <c r="D1444" s="108" t="s">
        <v>73</v>
      </c>
      <c r="E1444" s="108" t="s">
        <v>238</v>
      </c>
      <c r="F1444" s="108" t="s">
        <v>824</v>
      </c>
      <c r="G1444" s="108" t="s">
        <v>29</v>
      </c>
      <c r="H1444" s="126">
        <v>0</v>
      </c>
      <c r="I1444" s="126">
        <v>0</v>
      </c>
      <c r="J1444" s="108">
        <v>9810021170</v>
      </c>
      <c r="K1444" s="108" t="str">
        <f t="shared" si="66"/>
        <v>9810021170</v>
      </c>
      <c r="L1444" s="303" t="str">
        <f t="shared" si="67"/>
        <v>62004089810021170240</v>
      </c>
      <c r="M1444" s="132" t="str">
        <f>INDEX('реш СГД № 265'!$A:$N,MATCH('БА расх 2019-2020'!$L1444,'реш СГД № 265'!$N:$N,0),3)</f>
        <v>Иные закупки товаров, работ и услуг для обеспечения государственных (муниципальных) нужд</v>
      </c>
      <c r="N1444" s="17">
        <f t="shared" si="68"/>
        <v>1</v>
      </c>
    </row>
    <row r="1445" spans="1:14" s="16" customFormat="1" ht="15.75">
      <c r="A1445" s="14"/>
      <c r="B1445" s="125" t="s">
        <v>30</v>
      </c>
      <c r="C1445" s="108" t="s">
        <v>410</v>
      </c>
      <c r="D1445" s="108" t="s">
        <v>73</v>
      </c>
      <c r="E1445" s="108" t="s">
        <v>238</v>
      </c>
      <c r="F1445" s="108" t="s">
        <v>824</v>
      </c>
      <c r="G1445" s="108" t="s">
        <v>31</v>
      </c>
      <c r="H1445" s="126">
        <v>0</v>
      </c>
      <c r="I1445" s="126">
        <v>0</v>
      </c>
      <c r="J1445" s="108">
        <v>9810021170</v>
      </c>
      <c r="K1445" s="108" t="str">
        <f t="shared" si="66"/>
        <v>9810021170</v>
      </c>
      <c r="L1445" s="303" t="str">
        <f t="shared" si="67"/>
        <v>62004089810021170244</v>
      </c>
      <c r="M1445" s="132"/>
      <c r="N1445" s="17">
        <f t="shared" si="68"/>
        <v>0</v>
      </c>
    </row>
    <row r="1446" spans="1:14" s="16" customFormat="1" ht="15.75">
      <c r="A1446" s="14"/>
      <c r="B1446" s="121" t="s">
        <v>760</v>
      </c>
      <c r="C1446" s="122" t="s">
        <v>410</v>
      </c>
      <c r="D1446" s="123" t="s">
        <v>73</v>
      </c>
      <c r="E1446" s="123" t="s">
        <v>471</v>
      </c>
      <c r="F1446" s="123" t="s">
        <v>8</v>
      </c>
      <c r="G1446" s="123" t="s">
        <v>9</v>
      </c>
      <c r="H1446" s="124">
        <v>0</v>
      </c>
      <c r="I1446" s="124">
        <v>0</v>
      </c>
      <c r="J1446" s="123">
        <v>0</v>
      </c>
      <c r="K1446" s="108" t="str">
        <f t="shared" si="66"/>
        <v>0000000000</v>
      </c>
      <c r="L1446" s="303" t="str">
        <f t="shared" si="67"/>
        <v>62004090000000000000</v>
      </c>
      <c r="M1446" s="132" t="str">
        <f>INDEX('реш СГД № 265'!$A:$N,MATCH('БА расх 2019-2020'!$L1446,'реш СГД № 265'!$N:$N,0),3)</f>
        <v>Дорожное хозяйство (дорожные фонды)</v>
      </c>
      <c r="N1446" s="17">
        <f t="shared" si="68"/>
        <v>1</v>
      </c>
    </row>
    <row r="1447" spans="1:14" s="16" customFormat="1" ht="63">
      <c r="A1447" s="14"/>
      <c r="B1447" s="135" t="s">
        <v>285</v>
      </c>
      <c r="C1447" s="109" t="s">
        <v>410</v>
      </c>
      <c r="D1447" s="109" t="s">
        <v>73</v>
      </c>
      <c r="E1447" s="109" t="s">
        <v>471</v>
      </c>
      <c r="F1447" s="109" t="s">
        <v>286</v>
      </c>
      <c r="G1447" s="109" t="s">
        <v>9</v>
      </c>
      <c r="H1447" s="141">
        <v>0</v>
      </c>
      <c r="I1447" s="141">
        <v>0</v>
      </c>
      <c r="J1447" s="109">
        <v>200000000</v>
      </c>
      <c r="K1447" s="108" t="str">
        <f t="shared" si="66"/>
        <v>0200000000</v>
      </c>
      <c r="L1447" s="303" t="str">
        <f t="shared" si="67"/>
        <v>62004090200000000000</v>
      </c>
      <c r="M1447" s="132" t="str">
        <f>INDEX('реш СГД № 265'!$A:$N,MATCH('БА расх 2019-2020'!$L1447,'реш СГД № 265'!$N:$N,0),3)</f>
        <v>Муниципальная программа «Поддержка садоводческих, огороднических и дачных некоммерческих объединений граждан, расположенных на территории города Ставрополя»</v>
      </c>
      <c r="N1447" s="17">
        <f t="shared" si="68"/>
        <v>1</v>
      </c>
    </row>
    <row r="1448" spans="1:14" s="16" customFormat="1" ht="78.75">
      <c r="A1448" s="14"/>
      <c r="B1448" s="125" t="s">
        <v>287</v>
      </c>
      <c r="C1448" s="109" t="s">
        <v>410</v>
      </c>
      <c r="D1448" s="109" t="s">
        <v>73</v>
      </c>
      <c r="E1448" s="109" t="s">
        <v>471</v>
      </c>
      <c r="F1448" s="109" t="s">
        <v>288</v>
      </c>
      <c r="G1448" s="109" t="s">
        <v>9</v>
      </c>
      <c r="H1448" s="141">
        <v>0</v>
      </c>
      <c r="I1448" s="141">
        <v>0</v>
      </c>
      <c r="J1448" s="109" t="s">
        <v>1182</v>
      </c>
      <c r="K1448" s="108" t="str">
        <f t="shared" si="66"/>
        <v>02Б0000000</v>
      </c>
      <c r="L1448" s="303" t="str">
        <f t="shared" si="67"/>
        <v>620040902Б0000000000</v>
      </c>
      <c r="M1448" s="132" t="str">
        <f>INDEX('реш СГД № 265'!$A:$N,MATCH('БА расх 2019-2020'!$L1448,'реш СГД № 265'!$N:$N,0),3)</f>
        <v>Расходы в рамках реализации муниципальной программы «Поддержка садоводческих, огороднических и дачных некоммерческих объединений граждан, расположенных на территории города Ставрополя»</v>
      </c>
      <c r="N1448" s="17">
        <f t="shared" si="68"/>
        <v>1</v>
      </c>
    </row>
    <row r="1449" spans="1:14" s="16" customFormat="1" ht="78.75">
      <c r="A1449" s="14"/>
      <c r="B1449" s="127" t="s">
        <v>825</v>
      </c>
      <c r="C1449" s="109" t="s">
        <v>410</v>
      </c>
      <c r="D1449" s="109" t="s">
        <v>73</v>
      </c>
      <c r="E1449" s="109" t="s">
        <v>471</v>
      </c>
      <c r="F1449" s="109" t="s">
        <v>826</v>
      </c>
      <c r="G1449" s="109" t="s">
        <v>9</v>
      </c>
      <c r="H1449" s="141">
        <v>0</v>
      </c>
      <c r="I1449" s="141">
        <v>0</v>
      </c>
      <c r="J1449" s="109" t="s">
        <v>1236</v>
      </c>
      <c r="K1449" s="108" t="str">
        <f t="shared" si="66"/>
        <v>02Б0200000</v>
      </c>
      <c r="L1449" s="303" t="str">
        <f t="shared" si="67"/>
        <v>620040902Б0200000000</v>
      </c>
      <c r="M1449" s="132" t="str">
        <f>INDEX('реш СГД № 265'!$A:$N,MATCH('БА расх 2019-2020'!$L1449,'реш СГД № 265'!$N:$N,0),3)</f>
        <v>Основное мероприятие «Ремонт подъездных автомобильных дорог общего пользования местного значения к садоводческим, огородническим и дачным некоммерческим объединениям граждан, расположенным на территории города Ставрополя»</v>
      </c>
      <c r="N1449" s="17">
        <f t="shared" si="68"/>
        <v>1</v>
      </c>
    </row>
    <row r="1450" spans="1:14" s="16" customFormat="1" ht="78.75">
      <c r="A1450" s="14"/>
      <c r="B1450" s="127" t="s">
        <v>827</v>
      </c>
      <c r="C1450" s="109" t="s">
        <v>410</v>
      </c>
      <c r="D1450" s="109" t="s">
        <v>73</v>
      </c>
      <c r="E1450" s="109" t="s">
        <v>471</v>
      </c>
      <c r="F1450" s="109" t="s">
        <v>828</v>
      </c>
      <c r="G1450" s="109" t="s">
        <v>9</v>
      </c>
      <c r="H1450" s="141">
        <v>0</v>
      </c>
      <c r="I1450" s="141">
        <v>0</v>
      </c>
      <c r="J1450" s="109" t="s">
        <v>1237</v>
      </c>
      <c r="K1450" s="108" t="str">
        <f t="shared" si="66"/>
        <v>02Б0220560</v>
      </c>
      <c r="L1450" s="303" t="str">
        <f t="shared" si="67"/>
        <v>620040902Б0220560000</v>
      </c>
      <c r="M1450" s="132" t="str">
        <f>INDEX('реш СГД № 265'!$A:$N,MATCH('БА расх 2019-2020'!$L1450,'реш СГД № 265'!$N:$N,0),3)</f>
        <v>Расходы на ремонт подъездных автомобильных дорог общего пользования местного значения  к садоводческим, огородническим и дачным некоммерческим объединениям граждан, расположенным на территории города Ставрополя</v>
      </c>
      <c r="N1450" s="17">
        <f t="shared" si="68"/>
        <v>1</v>
      </c>
    </row>
    <row r="1451" spans="1:14" s="16" customFormat="1" ht="31.5">
      <c r="A1451" s="14"/>
      <c r="B1451" s="125" t="s">
        <v>28</v>
      </c>
      <c r="C1451" s="109" t="s">
        <v>410</v>
      </c>
      <c r="D1451" s="109" t="s">
        <v>73</v>
      </c>
      <c r="E1451" s="109" t="s">
        <v>471</v>
      </c>
      <c r="F1451" s="109" t="s">
        <v>828</v>
      </c>
      <c r="G1451" s="109" t="s">
        <v>29</v>
      </c>
      <c r="H1451" s="126">
        <v>0</v>
      </c>
      <c r="I1451" s="126">
        <v>0</v>
      </c>
      <c r="J1451" s="109" t="s">
        <v>1237</v>
      </c>
      <c r="K1451" s="108" t="str">
        <f t="shared" si="66"/>
        <v>02Б0220560</v>
      </c>
      <c r="L1451" s="303" t="str">
        <f t="shared" si="67"/>
        <v>620040902Б0220560240</v>
      </c>
      <c r="M1451" s="132" t="str">
        <f>INDEX('реш СГД № 265'!$A:$N,MATCH('БА расх 2019-2020'!$L1451,'реш СГД № 265'!$N:$N,0),3)</f>
        <v>Иные закупки товаров, работ и услуг для обеспечения государственных (муниципальных) нужд</v>
      </c>
      <c r="N1451" s="17">
        <f t="shared" si="68"/>
        <v>1</v>
      </c>
    </row>
    <row r="1452" spans="1:14" s="16" customFormat="1" ht="15.75">
      <c r="A1452" s="14"/>
      <c r="B1452" s="125" t="s">
        <v>30</v>
      </c>
      <c r="C1452" s="109" t="s">
        <v>410</v>
      </c>
      <c r="D1452" s="109" t="s">
        <v>73</v>
      </c>
      <c r="E1452" s="109" t="s">
        <v>471</v>
      </c>
      <c r="F1452" s="109" t="s">
        <v>828</v>
      </c>
      <c r="G1452" s="109" t="s">
        <v>31</v>
      </c>
      <c r="H1452" s="126">
        <v>0</v>
      </c>
      <c r="I1452" s="126">
        <v>0</v>
      </c>
      <c r="J1452" s="109" t="s">
        <v>1237</v>
      </c>
      <c r="K1452" s="108" t="str">
        <f t="shared" si="66"/>
        <v>02Б0220560</v>
      </c>
      <c r="L1452" s="303" t="str">
        <f t="shared" si="67"/>
        <v>620040902Б0220560244</v>
      </c>
      <c r="M1452" s="132"/>
      <c r="N1452" s="17">
        <f t="shared" si="68"/>
        <v>0</v>
      </c>
    </row>
    <row r="1453" spans="1:14" s="16" customFormat="1" ht="63">
      <c r="A1453" s="14"/>
      <c r="B1453" s="127" t="s">
        <v>293</v>
      </c>
      <c r="C1453" s="108" t="s">
        <v>410</v>
      </c>
      <c r="D1453" s="108" t="s">
        <v>73</v>
      </c>
      <c r="E1453" s="108" t="s">
        <v>471</v>
      </c>
      <c r="F1453" s="108" t="s">
        <v>294</v>
      </c>
      <c r="G1453" s="109" t="s">
        <v>9</v>
      </c>
      <c r="H1453" s="141">
        <v>0</v>
      </c>
      <c r="I1453" s="141">
        <v>0</v>
      </c>
      <c r="J1453" s="108">
        <v>400000000</v>
      </c>
      <c r="K1453" s="108" t="str">
        <f t="shared" si="66"/>
        <v>0400000000</v>
      </c>
      <c r="L1453" s="303" t="str">
        <f t="shared" si="67"/>
        <v>62004090400000000000</v>
      </c>
      <c r="M1453" s="132" t="str">
        <f>INDEX('реш СГД № 265'!$A:$N,MATCH('БА расх 2019-2020'!$L1453,'реш СГД № 265'!$N:$N,0),3)</f>
        <v>Муниципальная программа «Развитие жилищно-коммунального хозяйства, транспортной системы на территории города Ставрополя, благоустройство территории города Ставрополя»</v>
      </c>
      <c r="N1453" s="17">
        <f t="shared" si="68"/>
        <v>1</v>
      </c>
    </row>
    <row r="1454" spans="1:14" s="16" customFormat="1" ht="63">
      <c r="A1454" s="14"/>
      <c r="B1454" s="140" t="s">
        <v>295</v>
      </c>
      <c r="C1454" s="108" t="s">
        <v>410</v>
      </c>
      <c r="D1454" s="108" t="s">
        <v>73</v>
      </c>
      <c r="E1454" s="108" t="s">
        <v>471</v>
      </c>
      <c r="F1454" s="108" t="s">
        <v>296</v>
      </c>
      <c r="G1454" s="109" t="s">
        <v>9</v>
      </c>
      <c r="H1454" s="141">
        <v>0</v>
      </c>
      <c r="I1454" s="141">
        <v>0</v>
      </c>
      <c r="J1454" s="108">
        <v>420000000</v>
      </c>
      <c r="K1454" s="108" t="str">
        <f t="shared" si="66"/>
        <v>0420000000</v>
      </c>
      <c r="L1454" s="303" t="str">
        <f t="shared" si="67"/>
        <v>62004090420000000000</v>
      </c>
      <c r="M1454" s="132" t="str">
        <f>INDEX('реш СГД № 265'!$A:$N,MATCH('БА расх 2019-2020'!$L1454,'реш СГД № 265'!$N:$N,0),3)</f>
        <v xml:space="preserve">Подпрограмма «Дорожная деятельность и обеспечение безопасности дорожного движения, организация транспортного обслуживания населения на территории города Ставрополя» </v>
      </c>
      <c r="N1454" s="17">
        <f t="shared" si="68"/>
        <v>1</v>
      </c>
    </row>
    <row r="1455" spans="1:14" s="16" customFormat="1" ht="63">
      <c r="A1455" s="14"/>
      <c r="B1455" s="125" t="s">
        <v>297</v>
      </c>
      <c r="C1455" s="108" t="s">
        <v>410</v>
      </c>
      <c r="D1455" s="108" t="s">
        <v>73</v>
      </c>
      <c r="E1455" s="108" t="s">
        <v>471</v>
      </c>
      <c r="F1455" s="108" t="s">
        <v>298</v>
      </c>
      <c r="G1455" s="109" t="s">
        <v>9</v>
      </c>
      <c r="H1455" s="141">
        <v>0</v>
      </c>
      <c r="I1455" s="141">
        <v>0</v>
      </c>
      <c r="J1455" s="108">
        <v>420200000</v>
      </c>
      <c r="K1455" s="108" t="str">
        <f t="shared" si="66"/>
        <v>0420200000</v>
      </c>
      <c r="L1455" s="303" t="str">
        <f t="shared" si="67"/>
        <v>62004090420200000000</v>
      </c>
      <c r="M1455" s="132" t="str">
        <f>INDEX('реш СГД № 265'!$A:$N,MATCH('БА расх 2019-2020'!$L1455,'реш СГД № 265'!$N:$N,0),3)</f>
        <v>Основное мероприятие «Организация дорожной деятельности в отношении автомобильных дорог общего пользования местного значения в границах города Ставрополя»</v>
      </c>
      <c r="N1455" s="17">
        <f t="shared" si="68"/>
        <v>1</v>
      </c>
    </row>
    <row r="1456" spans="1:14" s="16" customFormat="1" ht="31.5">
      <c r="A1456" s="14"/>
      <c r="B1456" s="125" t="s">
        <v>829</v>
      </c>
      <c r="C1456" s="108" t="s">
        <v>410</v>
      </c>
      <c r="D1456" s="108" t="s">
        <v>73</v>
      </c>
      <c r="E1456" s="108" t="s">
        <v>471</v>
      </c>
      <c r="F1456" s="108" t="s">
        <v>830</v>
      </c>
      <c r="G1456" s="109" t="s">
        <v>9</v>
      </c>
      <c r="H1456" s="141">
        <v>0</v>
      </c>
      <c r="I1456" s="141">
        <v>0</v>
      </c>
      <c r="J1456" s="108">
        <v>420220130</v>
      </c>
      <c r="K1456" s="108" t="str">
        <f t="shared" si="66"/>
        <v>0420220130</v>
      </c>
      <c r="L1456" s="303" t="str">
        <f t="shared" si="67"/>
        <v>62004090420220130000</v>
      </c>
      <c r="M1456" s="132" t="str">
        <f>INDEX('реш СГД № 265'!$A:$N,MATCH('БА расх 2019-2020'!$L1456,'реш СГД № 265'!$N:$N,0),3)</f>
        <v>Расходы на ремонт автомобильных дорог общего пользования местного значения</v>
      </c>
      <c r="N1456" s="17">
        <f t="shared" si="68"/>
        <v>1</v>
      </c>
    </row>
    <row r="1457" spans="1:14" s="16" customFormat="1" ht="31.5">
      <c r="A1457" s="14"/>
      <c r="B1457" s="125" t="s">
        <v>28</v>
      </c>
      <c r="C1457" s="108" t="s">
        <v>410</v>
      </c>
      <c r="D1457" s="108" t="s">
        <v>73</v>
      </c>
      <c r="E1457" s="108" t="s">
        <v>471</v>
      </c>
      <c r="F1457" s="108" t="s">
        <v>830</v>
      </c>
      <c r="G1457" s="109" t="s">
        <v>29</v>
      </c>
      <c r="H1457" s="126">
        <v>0</v>
      </c>
      <c r="I1457" s="126">
        <v>0</v>
      </c>
      <c r="J1457" s="108">
        <v>420220130</v>
      </c>
      <c r="K1457" s="108" t="str">
        <f t="shared" si="66"/>
        <v>0420220130</v>
      </c>
      <c r="L1457" s="303" t="str">
        <f t="shared" si="67"/>
        <v>62004090420220130240</v>
      </c>
      <c r="M1457" s="132" t="str">
        <f>INDEX('реш СГД № 265'!$A:$N,MATCH('БА расх 2019-2020'!$L1457,'реш СГД № 265'!$N:$N,0),3)</f>
        <v>Иные закупки товаров, работ и услуг для обеспечения государственных (муниципальных) нужд</v>
      </c>
      <c r="N1457" s="17">
        <f t="shared" si="68"/>
        <v>1</v>
      </c>
    </row>
    <row r="1458" spans="1:14" s="16" customFormat="1" ht="15.75">
      <c r="A1458" s="14"/>
      <c r="B1458" s="125" t="s">
        <v>30</v>
      </c>
      <c r="C1458" s="108" t="s">
        <v>410</v>
      </c>
      <c r="D1458" s="108" t="s">
        <v>73</v>
      </c>
      <c r="E1458" s="108" t="s">
        <v>471</v>
      </c>
      <c r="F1458" s="108" t="s">
        <v>830</v>
      </c>
      <c r="G1458" s="109" t="s">
        <v>31</v>
      </c>
      <c r="H1458" s="126">
        <v>0</v>
      </c>
      <c r="I1458" s="126">
        <v>0</v>
      </c>
      <c r="J1458" s="108">
        <v>420220130</v>
      </c>
      <c r="K1458" s="108" t="str">
        <f t="shared" si="66"/>
        <v>0420220130</v>
      </c>
      <c r="L1458" s="303" t="str">
        <f t="shared" si="67"/>
        <v>62004090420220130244</v>
      </c>
      <c r="M1458" s="132"/>
      <c r="N1458" s="17">
        <f t="shared" si="68"/>
        <v>0</v>
      </c>
    </row>
    <row r="1459" spans="1:14" s="16" customFormat="1" ht="31.5">
      <c r="A1459" s="14"/>
      <c r="B1459" s="125" t="s">
        <v>833</v>
      </c>
      <c r="C1459" s="108" t="s">
        <v>410</v>
      </c>
      <c r="D1459" s="108" t="s">
        <v>73</v>
      </c>
      <c r="E1459" s="108" t="s">
        <v>471</v>
      </c>
      <c r="F1459" s="108" t="s">
        <v>834</v>
      </c>
      <c r="G1459" s="109" t="s">
        <v>9</v>
      </c>
      <c r="H1459" s="141">
        <v>0</v>
      </c>
      <c r="I1459" s="141">
        <v>0</v>
      </c>
      <c r="J1459" s="108">
        <v>420220830</v>
      </c>
      <c r="K1459" s="108" t="str">
        <f t="shared" si="66"/>
        <v>0420220830</v>
      </c>
      <c r="L1459" s="303" t="str">
        <f t="shared" si="67"/>
        <v>62004090420220830000</v>
      </c>
      <c r="M1459" s="132" t="str">
        <f>INDEX('реш СГД № 265'!$A:$N,MATCH('БА расх 2019-2020'!$L1459,'реш СГД № 265'!$N:$N,0),3)</f>
        <v>Расходы на прочие мероприятия  в области дорожного хозяйства</v>
      </c>
      <c r="N1459" s="17">
        <f t="shared" si="68"/>
        <v>1</v>
      </c>
    </row>
    <row r="1460" spans="1:14" s="16" customFormat="1" ht="31.5">
      <c r="A1460" s="14"/>
      <c r="B1460" s="125" t="s">
        <v>28</v>
      </c>
      <c r="C1460" s="108" t="s">
        <v>410</v>
      </c>
      <c r="D1460" s="108" t="s">
        <v>73</v>
      </c>
      <c r="E1460" s="108" t="s">
        <v>471</v>
      </c>
      <c r="F1460" s="108" t="s">
        <v>834</v>
      </c>
      <c r="G1460" s="109" t="s">
        <v>29</v>
      </c>
      <c r="H1460" s="126">
        <v>0</v>
      </c>
      <c r="I1460" s="126">
        <v>0</v>
      </c>
      <c r="J1460" s="108">
        <v>420220830</v>
      </c>
      <c r="K1460" s="108" t="str">
        <f t="shared" si="66"/>
        <v>0420220830</v>
      </c>
      <c r="L1460" s="303" t="str">
        <f t="shared" si="67"/>
        <v>62004090420220830240</v>
      </c>
      <c r="M1460" s="132" t="str">
        <f>INDEX('реш СГД № 265'!$A:$N,MATCH('БА расх 2019-2020'!$L1460,'реш СГД № 265'!$N:$N,0),3)</f>
        <v>Иные закупки товаров, работ и услуг для обеспечения государственных (муниципальных) нужд</v>
      </c>
      <c r="N1460" s="17">
        <f t="shared" si="68"/>
        <v>1</v>
      </c>
    </row>
    <row r="1461" spans="1:14" s="16" customFormat="1" ht="15.75">
      <c r="A1461" s="14"/>
      <c r="B1461" s="125" t="s">
        <v>30</v>
      </c>
      <c r="C1461" s="108" t="s">
        <v>410</v>
      </c>
      <c r="D1461" s="108" t="s">
        <v>73</v>
      </c>
      <c r="E1461" s="108" t="s">
        <v>471</v>
      </c>
      <c r="F1461" s="108" t="s">
        <v>834</v>
      </c>
      <c r="G1461" s="109" t="s">
        <v>31</v>
      </c>
      <c r="H1461" s="126">
        <v>0</v>
      </c>
      <c r="I1461" s="126">
        <v>0</v>
      </c>
      <c r="J1461" s="108">
        <v>420220830</v>
      </c>
      <c r="K1461" s="108" t="str">
        <f t="shared" si="66"/>
        <v>0420220830</v>
      </c>
      <c r="L1461" s="303" t="str">
        <f t="shared" si="67"/>
        <v>62004090420220830244</v>
      </c>
      <c r="M1461" s="132"/>
      <c r="N1461" s="17">
        <f t="shared" si="68"/>
        <v>0</v>
      </c>
    </row>
    <row r="1462" spans="1:14" s="16" customFormat="1" ht="47.25">
      <c r="A1462" s="14"/>
      <c r="B1462" s="125" t="s">
        <v>835</v>
      </c>
      <c r="C1462" s="108" t="s">
        <v>410</v>
      </c>
      <c r="D1462" s="108" t="s">
        <v>73</v>
      </c>
      <c r="E1462" s="108" t="s">
        <v>471</v>
      </c>
      <c r="F1462" s="108" t="s">
        <v>836</v>
      </c>
      <c r="G1462" s="109" t="s">
        <v>9</v>
      </c>
      <c r="H1462" s="141">
        <v>0</v>
      </c>
      <c r="I1462" s="141">
        <v>0</v>
      </c>
      <c r="J1462" s="108">
        <v>420221180</v>
      </c>
      <c r="K1462" s="108" t="str">
        <f t="shared" si="66"/>
        <v>0420221180</v>
      </c>
      <c r="L1462" s="303" t="str">
        <f t="shared" si="67"/>
        <v>62004090420221180000</v>
      </c>
      <c r="M1462" s="132" t="str">
        <f>INDEX('реш СГД № 265'!$A:$N,MATCH('БА расх 2019-2020'!$L1462,'реш СГД № 265'!$N:$N,0),3)</f>
        <v>Проектирование, строительство и реконструкция автомобильных дорог общего пользования местного значения</v>
      </c>
      <c r="N1462" s="17">
        <f t="shared" si="68"/>
        <v>1</v>
      </c>
    </row>
    <row r="1463" spans="1:14" s="16" customFormat="1" ht="15.75">
      <c r="A1463" s="14"/>
      <c r="B1463" s="125" t="s">
        <v>837</v>
      </c>
      <c r="C1463" s="108" t="s">
        <v>410</v>
      </c>
      <c r="D1463" s="108" t="s">
        <v>73</v>
      </c>
      <c r="E1463" s="108" t="s">
        <v>471</v>
      </c>
      <c r="F1463" s="108" t="s">
        <v>836</v>
      </c>
      <c r="G1463" s="109" t="s">
        <v>838</v>
      </c>
      <c r="H1463" s="126">
        <v>0</v>
      </c>
      <c r="I1463" s="126">
        <v>0</v>
      </c>
      <c r="J1463" s="108">
        <v>420221180</v>
      </c>
      <c r="K1463" s="108" t="str">
        <f t="shared" si="66"/>
        <v>0420221180</v>
      </c>
      <c r="L1463" s="303" t="str">
        <f t="shared" si="67"/>
        <v>62004090420221180410</v>
      </c>
      <c r="M1463" s="132" t="str">
        <f>INDEX('реш СГД № 265'!$A:$N,MATCH('БА расх 2019-2020'!$L1463,'реш СГД № 265'!$N:$N,0),3)</f>
        <v xml:space="preserve">Бюджетные инвестиции </v>
      </c>
      <c r="N1463" s="17">
        <f t="shared" si="68"/>
        <v>1</v>
      </c>
    </row>
    <row r="1464" spans="1:14" s="16" customFormat="1" ht="47.25">
      <c r="A1464" s="14"/>
      <c r="B1464" s="125" t="s">
        <v>839</v>
      </c>
      <c r="C1464" s="108" t="s">
        <v>410</v>
      </c>
      <c r="D1464" s="108" t="s">
        <v>73</v>
      </c>
      <c r="E1464" s="108" t="s">
        <v>471</v>
      </c>
      <c r="F1464" s="108" t="s">
        <v>836</v>
      </c>
      <c r="G1464" s="109" t="s">
        <v>840</v>
      </c>
      <c r="H1464" s="126">
        <v>0</v>
      </c>
      <c r="I1464" s="126">
        <v>0</v>
      </c>
      <c r="J1464" s="108">
        <v>420221180</v>
      </c>
      <c r="K1464" s="108" t="str">
        <f t="shared" si="66"/>
        <v>0420221180</v>
      </c>
      <c r="L1464" s="303" t="str">
        <f t="shared" si="67"/>
        <v>62004090420221180414</v>
      </c>
      <c r="M1464" s="132"/>
      <c r="N1464" s="17">
        <f t="shared" si="68"/>
        <v>0</v>
      </c>
    </row>
    <row r="1465" spans="1:14" s="16" customFormat="1" ht="94.5">
      <c r="A1465" s="14"/>
      <c r="B1465" s="125" t="s">
        <v>845</v>
      </c>
      <c r="C1465" s="109" t="s">
        <v>410</v>
      </c>
      <c r="D1465" s="108" t="s">
        <v>73</v>
      </c>
      <c r="E1465" s="108" t="s">
        <v>471</v>
      </c>
      <c r="F1465" s="14" t="s">
        <v>846</v>
      </c>
      <c r="G1465" s="109" t="s">
        <v>9</v>
      </c>
      <c r="H1465" s="141">
        <v>0</v>
      </c>
      <c r="I1465" s="141">
        <v>0</v>
      </c>
      <c r="J1465" s="14">
        <v>420260090</v>
      </c>
      <c r="K1465" s="108" t="str">
        <f t="shared" si="66"/>
        <v>0420260090</v>
      </c>
      <c r="L1465" s="303" t="str">
        <f t="shared" si="67"/>
        <v>62004090420260090000</v>
      </c>
      <c r="M1465" s="132" t="str">
        <f>INDEX('реш СГД № 265'!$A:$N,MATCH('БА расх 2019-2020'!$L1465,'реш СГД № 265'!$N:$N,0),3)</f>
        <v>Предоставление субсидии на возмещение затрат организаций по созданию, эксплуатации и обеспечению функционирования на платной основе парковок (парковочных мест), расположенных на автомобильных дорогах общего пользования местного значения города Ставрополя</v>
      </c>
      <c r="N1465" s="17">
        <f t="shared" si="68"/>
        <v>1</v>
      </c>
    </row>
    <row r="1466" spans="1:14" s="16" customFormat="1" ht="63">
      <c r="A1466" s="14"/>
      <c r="B1466" s="129" t="s">
        <v>203</v>
      </c>
      <c r="C1466" s="109" t="s">
        <v>410</v>
      </c>
      <c r="D1466" s="108" t="s">
        <v>73</v>
      </c>
      <c r="E1466" s="108" t="s">
        <v>471</v>
      </c>
      <c r="F1466" s="14" t="s">
        <v>846</v>
      </c>
      <c r="G1466" s="109" t="s">
        <v>204</v>
      </c>
      <c r="H1466" s="126">
        <v>0</v>
      </c>
      <c r="I1466" s="126">
        <v>0</v>
      </c>
      <c r="J1466" s="14">
        <v>420260090</v>
      </c>
      <c r="K1466" s="108" t="str">
        <f t="shared" si="66"/>
        <v>0420260090</v>
      </c>
      <c r="L1466" s="303" t="str">
        <f t="shared" si="67"/>
        <v>62004090420260090810</v>
      </c>
      <c r="M1466" s="132" t="str">
        <f>INDEX('реш СГД № 265'!$A:$N,MATCH('БА расх 2019-2020'!$L1466,'реш СГД № 265'!$N:$N,0),3)</f>
        <v>Субсидии юридическим лицам (кроме некоммерческих организаций), индивидуальным предпринимателям, физическим лицам - производителям товаров, работ, услуг</v>
      </c>
      <c r="N1466" s="17">
        <f t="shared" si="68"/>
        <v>1</v>
      </c>
    </row>
    <row r="1467" spans="1:14" s="16" customFormat="1" ht="63">
      <c r="A1467" s="14"/>
      <c r="B1467" s="125" t="s">
        <v>205</v>
      </c>
      <c r="C1467" s="109" t="s">
        <v>410</v>
      </c>
      <c r="D1467" s="108" t="s">
        <v>73</v>
      </c>
      <c r="E1467" s="108" t="s">
        <v>471</v>
      </c>
      <c r="F1467" s="14" t="s">
        <v>846</v>
      </c>
      <c r="G1467" s="109" t="s">
        <v>206</v>
      </c>
      <c r="H1467" s="126">
        <v>0</v>
      </c>
      <c r="I1467" s="126">
        <v>0</v>
      </c>
      <c r="J1467" s="14">
        <v>420260090</v>
      </c>
      <c r="K1467" s="108" t="str">
        <f t="shared" si="66"/>
        <v>0420260090</v>
      </c>
      <c r="L1467" s="303" t="str">
        <f t="shared" si="67"/>
        <v>62004090420260090811</v>
      </c>
      <c r="M1467" s="132" t="e">
        <f>INDEX('реш СГД № 265'!$A:$N,MATCH('БА расх 2019-2020'!$L1467,'реш СГД № 265'!$N:$N,0),3)</f>
        <v>#N/A</v>
      </c>
      <c r="N1467" s="17" t="e">
        <f t="shared" ref="N1467:N1470" si="69">IF(B1467=M1467,1,0)</f>
        <v>#N/A</v>
      </c>
    </row>
    <row r="1468" spans="1:14" s="16" customFormat="1" ht="78.75">
      <c r="A1468" s="14"/>
      <c r="B1468" s="129" t="s">
        <v>1329</v>
      </c>
      <c r="C1468" s="109" t="s">
        <v>410</v>
      </c>
      <c r="D1468" s="108" t="s">
        <v>73</v>
      </c>
      <c r="E1468" s="108" t="s">
        <v>471</v>
      </c>
      <c r="F1468" s="14" t="s">
        <v>1330</v>
      </c>
      <c r="G1468" s="109" t="s">
        <v>9</v>
      </c>
      <c r="H1468" s="126">
        <v>0</v>
      </c>
      <c r="I1468" s="126">
        <v>0</v>
      </c>
      <c r="J1468" s="14">
        <v>420276411</v>
      </c>
      <c r="K1468" s="108" t="str">
        <f t="shared" si="66"/>
        <v>0420276411</v>
      </c>
      <c r="L1468" s="303" t="str">
        <f t="shared" ref="L1468:L1470" si="70">C1468&amp;D1468&amp;E1468&amp;K1468&amp;G1468</f>
        <v>62004090420276411000</v>
      </c>
      <c r="M1468" s="132" t="str">
        <f>INDEX('реш СГД № 265'!$A:$N,MATCH('БА расх 2019-2020'!$L1468,'реш СГД № 265'!$N:$N,0),3)</f>
        <v xml:space="preserve">Расходы  на осуществление функций административного центра Ставропольского края за счет средств краевого бюджета на ремонт автомобильных дорог общего пользования местного значения </v>
      </c>
      <c r="N1468" s="17">
        <f t="shared" si="69"/>
        <v>1</v>
      </c>
    </row>
    <row r="1469" spans="1:14" s="16" customFormat="1" ht="31.5">
      <c r="A1469" s="14"/>
      <c r="B1469" s="125" t="s">
        <v>28</v>
      </c>
      <c r="C1469" s="109" t="s">
        <v>410</v>
      </c>
      <c r="D1469" s="108" t="s">
        <v>73</v>
      </c>
      <c r="E1469" s="108" t="s">
        <v>471</v>
      </c>
      <c r="F1469" s="14" t="s">
        <v>1330</v>
      </c>
      <c r="G1469" s="109" t="s">
        <v>29</v>
      </c>
      <c r="H1469" s="126">
        <v>0</v>
      </c>
      <c r="I1469" s="126">
        <v>0</v>
      </c>
      <c r="J1469" s="14">
        <v>420276411</v>
      </c>
      <c r="K1469" s="108" t="str">
        <f t="shared" si="66"/>
        <v>0420276411</v>
      </c>
      <c r="L1469" s="303" t="str">
        <f t="shared" si="70"/>
        <v>62004090420276411240</v>
      </c>
      <c r="M1469" s="132" t="str">
        <f>INDEX('реш СГД № 265'!$A:$N,MATCH('БА расх 2019-2020'!$L1469,'реш СГД № 265'!$N:$N,0),3)</f>
        <v>Иные закупки товаров, работ и услуг для обеспечения государственных (муниципальных) нужд</v>
      </c>
      <c r="N1469" s="17">
        <f t="shared" si="69"/>
        <v>1</v>
      </c>
    </row>
    <row r="1470" spans="1:14" s="16" customFormat="1" ht="15.75">
      <c r="A1470" s="14"/>
      <c r="B1470" s="125" t="s">
        <v>30</v>
      </c>
      <c r="C1470" s="109" t="s">
        <v>410</v>
      </c>
      <c r="D1470" s="108" t="s">
        <v>73</v>
      </c>
      <c r="E1470" s="108" t="s">
        <v>471</v>
      </c>
      <c r="F1470" s="14" t="s">
        <v>1330</v>
      </c>
      <c r="G1470" s="109" t="s">
        <v>31</v>
      </c>
      <c r="H1470" s="126">
        <v>0</v>
      </c>
      <c r="I1470" s="126">
        <v>0</v>
      </c>
      <c r="J1470" s="14">
        <v>420276411</v>
      </c>
      <c r="K1470" s="108" t="str">
        <f t="shared" si="66"/>
        <v>0420276411</v>
      </c>
      <c r="L1470" s="303" t="str">
        <f t="shared" si="70"/>
        <v>62004090420276411244</v>
      </c>
      <c r="M1470" s="132" t="e">
        <f>INDEX('реш СГД № 265'!$A:$N,MATCH('БА расх 2019-2020'!$L1470,'реш СГД № 265'!$N:$N,0),3)</f>
        <v>#N/A</v>
      </c>
      <c r="N1470" s="17" t="e">
        <f t="shared" si="69"/>
        <v>#N/A</v>
      </c>
    </row>
    <row r="1471" spans="1:14" s="16" customFormat="1" ht="78.75">
      <c r="A1471" s="14"/>
      <c r="B1471" s="125" t="s">
        <v>1340</v>
      </c>
      <c r="C1471" s="109" t="s">
        <v>410</v>
      </c>
      <c r="D1471" s="108" t="s">
        <v>73</v>
      </c>
      <c r="E1471" s="108" t="s">
        <v>471</v>
      </c>
      <c r="F1471" s="14" t="s">
        <v>1341</v>
      </c>
      <c r="G1471" s="109" t="s">
        <v>9</v>
      </c>
      <c r="H1471" s="126">
        <v>0</v>
      </c>
      <c r="I1471" s="126">
        <v>0</v>
      </c>
      <c r="J1471" s="14" t="s">
        <v>2173</v>
      </c>
      <c r="K1471" s="108" t="str">
        <f t="shared" si="66"/>
        <v>04202S6411</v>
      </c>
      <c r="L1471" s="303" t="str">
        <f t="shared" ref="L1471:L1472" si="71">C1471&amp;D1471&amp;E1471&amp;K1471&amp;G1471</f>
        <v>620040904202S6411000</v>
      </c>
      <c r="M1471" s="132"/>
      <c r="N1471" s="17"/>
    </row>
    <row r="1472" spans="1:14" s="16" customFormat="1" ht="31.5">
      <c r="A1472" s="14"/>
      <c r="B1472" s="125" t="s">
        <v>28</v>
      </c>
      <c r="C1472" s="109" t="s">
        <v>410</v>
      </c>
      <c r="D1472" s="108" t="s">
        <v>73</v>
      </c>
      <c r="E1472" s="108" t="s">
        <v>471</v>
      </c>
      <c r="F1472" s="14" t="s">
        <v>1341</v>
      </c>
      <c r="G1472" s="109" t="s">
        <v>29</v>
      </c>
      <c r="H1472" s="126">
        <v>0</v>
      </c>
      <c r="I1472" s="126">
        <v>0</v>
      </c>
      <c r="J1472" s="14" t="s">
        <v>2173</v>
      </c>
      <c r="K1472" s="108" t="str">
        <f t="shared" si="66"/>
        <v>04202S6411</v>
      </c>
      <c r="L1472" s="303" t="str">
        <f t="shared" si="71"/>
        <v>620040904202S6411240</v>
      </c>
      <c r="M1472" s="132"/>
      <c r="N1472" s="17"/>
    </row>
    <row r="1473" spans="1:14" s="16" customFormat="1" ht="15.75">
      <c r="A1473" s="14"/>
      <c r="B1473" s="125" t="s">
        <v>30</v>
      </c>
      <c r="C1473" s="109" t="s">
        <v>410</v>
      </c>
      <c r="D1473" s="108" t="s">
        <v>73</v>
      </c>
      <c r="E1473" s="108" t="s">
        <v>471</v>
      </c>
      <c r="F1473" s="14" t="s">
        <v>1341</v>
      </c>
      <c r="G1473" s="109" t="s">
        <v>31</v>
      </c>
      <c r="H1473" s="126">
        <v>0</v>
      </c>
      <c r="I1473" s="126">
        <v>0</v>
      </c>
      <c r="J1473" s="14" t="s">
        <v>2173</v>
      </c>
      <c r="K1473" s="108" t="str">
        <f t="shared" si="66"/>
        <v>04202S6411</v>
      </c>
      <c r="L1473" s="303" t="str">
        <f t="shared" ref="L1473" si="72">C1473&amp;D1473&amp;E1473&amp;K1473&amp;G1473</f>
        <v>620040904202S6411244</v>
      </c>
      <c r="M1473" s="132"/>
      <c r="N1473" s="17"/>
    </row>
    <row r="1474" spans="1:14" s="16" customFormat="1" ht="47.25">
      <c r="A1474" s="14"/>
      <c r="B1474" s="125" t="s">
        <v>847</v>
      </c>
      <c r="C1474" s="109" t="s">
        <v>410</v>
      </c>
      <c r="D1474" s="108" t="s">
        <v>73</v>
      </c>
      <c r="E1474" s="108" t="s">
        <v>471</v>
      </c>
      <c r="F1474" s="14" t="s">
        <v>848</v>
      </c>
      <c r="G1474" s="109" t="s">
        <v>9</v>
      </c>
      <c r="H1474" s="141">
        <v>0</v>
      </c>
      <c r="I1474" s="141">
        <v>0</v>
      </c>
      <c r="J1474" s="14" t="s">
        <v>1238</v>
      </c>
      <c r="K1474" s="108" t="str">
        <f t="shared" si="66"/>
        <v>04202S6460</v>
      </c>
      <c r="L1474" s="303" t="str">
        <f t="shared" si="67"/>
        <v>620040904202S6460000</v>
      </c>
      <c r="M1474" s="132" t="str">
        <f>INDEX('реш СГД № 265'!$A:$N,MATCH('БА расх 2019-2020'!$L1474,'реш СГД № 265'!$N:$N,0),3)</f>
        <v>Капитальный ремонт и ремонт автомобильных дорог общего пользования местного значения в границах города Ставрополя за счет средств местного бюджета</v>
      </c>
      <c r="N1474" s="17">
        <f t="shared" si="68"/>
        <v>1</v>
      </c>
    </row>
    <row r="1475" spans="1:14" s="16" customFormat="1" ht="31.5">
      <c r="A1475" s="14"/>
      <c r="B1475" s="125" t="s">
        <v>28</v>
      </c>
      <c r="C1475" s="109" t="s">
        <v>410</v>
      </c>
      <c r="D1475" s="108" t="s">
        <v>73</v>
      </c>
      <c r="E1475" s="108" t="s">
        <v>471</v>
      </c>
      <c r="F1475" s="14" t="s">
        <v>848</v>
      </c>
      <c r="G1475" s="109" t="s">
        <v>29</v>
      </c>
      <c r="H1475" s="126">
        <v>0</v>
      </c>
      <c r="I1475" s="126">
        <v>0</v>
      </c>
      <c r="J1475" s="14" t="s">
        <v>1238</v>
      </c>
      <c r="K1475" s="108" t="str">
        <f t="shared" si="66"/>
        <v>04202S6460</v>
      </c>
      <c r="L1475" s="303" t="str">
        <f t="shared" si="67"/>
        <v>620040904202S6460240</v>
      </c>
      <c r="M1475" s="132" t="str">
        <f>INDEX('реш СГД № 265'!$A:$N,MATCH('БА расх 2019-2020'!$L1475,'реш СГД № 265'!$N:$N,0),3)</f>
        <v>Иные закупки товаров, работ и услуг для обеспечения государственных (муниципальных) нужд</v>
      </c>
      <c r="N1475" s="17">
        <f t="shared" si="68"/>
        <v>1</v>
      </c>
    </row>
    <row r="1476" spans="1:14" s="16" customFormat="1" ht="15.75">
      <c r="A1476" s="14"/>
      <c r="B1476" s="125" t="s">
        <v>30</v>
      </c>
      <c r="C1476" s="109" t="s">
        <v>410</v>
      </c>
      <c r="D1476" s="108" t="s">
        <v>73</v>
      </c>
      <c r="E1476" s="108" t="s">
        <v>471</v>
      </c>
      <c r="F1476" s="14" t="s">
        <v>848</v>
      </c>
      <c r="G1476" s="109" t="s">
        <v>31</v>
      </c>
      <c r="H1476" s="126">
        <v>0</v>
      </c>
      <c r="I1476" s="126">
        <v>0</v>
      </c>
      <c r="J1476" s="14" t="s">
        <v>1238</v>
      </c>
      <c r="K1476" s="108" t="str">
        <f t="shared" si="66"/>
        <v>04202S6460</v>
      </c>
      <c r="L1476" s="303" t="str">
        <f t="shared" si="67"/>
        <v>620040904202S6460244</v>
      </c>
      <c r="M1476" s="132"/>
      <c r="N1476" s="17">
        <f t="shared" si="68"/>
        <v>0</v>
      </c>
    </row>
    <row r="1477" spans="1:14" s="16" customFormat="1" ht="47.25">
      <c r="A1477" s="14"/>
      <c r="B1477" s="125" t="s">
        <v>849</v>
      </c>
      <c r="C1477" s="108" t="s">
        <v>410</v>
      </c>
      <c r="D1477" s="108" t="s">
        <v>73</v>
      </c>
      <c r="E1477" s="108" t="s">
        <v>471</v>
      </c>
      <c r="F1477" s="108" t="s">
        <v>850</v>
      </c>
      <c r="G1477" s="109" t="s">
        <v>9</v>
      </c>
      <c r="H1477" s="141">
        <v>0</v>
      </c>
      <c r="I1477" s="141">
        <v>0</v>
      </c>
      <c r="J1477" s="108">
        <v>420300000</v>
      </c>
      <c r="K1477" s="108" t="str">
        <f t="shared" si="66"/>
        <v>0420300000</v>
      </c>
      <c r="L1477" s="303" t="str">
        <f t="shared" si="67"/>
        <v>62004090420300000000</v>
      </c>
      <c r="M1477" s="132" t="str">
        <f>INDEX('реш СГД № 265'!$A:$N,MATCH('БА расх 2019-2020'!$L1477,'реш СГД № 265'!$N:$N,0),3)</f>
        <v>Основное мероприятие «Повышение безопасности дорожного движения на территории города Ставрополя»</v>
      </c>
      <c r="N1477" s="17">
        <f t="shared" si="68"/>
        <v>1</v>
      </c>
    </row>
    <row r="1478" spans="1:14" s="16" customFormat="1" ht="31.5">
      <c r="A1478" s="14"/>
      <c r="B1478" s="135" t="s">
        <v>136</v>
      </c>
      <c r="C1478" s="108" t="s">
        <v>410</v>
      </c>
      <c r="D1478" s="108" t="s">
        <v>73</v>
      </c>
      <c r="E1478" s="108" t="s">
        <v>471</v>
      </c>
      <c r="F1478" s="108" t="s">
        <v>851</v>
      </c>
      <c r="G1478" s="108" t="s">
        <v>9</v>
      </c>
      <c r="H1478" s="126">
        <v>0</v>
      </c>
      <c r="I1478" s="126">
        <v>0</v>
      </c>
      <c r="J1478" s="108">
        <v>420311010</v>
      </c>
      <c r="K1478" s="108" t="str">
        <f t="shared" si="66"/>
        <v>0420311010</v>
      </c>
      <c r="L1478" s="303" t="str">
        <f t="shared" si="67"/>
        <v>62004090420311010000</v>
      </c>
      <c r="M1478" s="132" t="str">
        <f>INDEX('реш СГД № 265'!$A:$N,MATCH('БА расх 2019-2020'!$L1478,'реш СГД № 265'!$N:$N,0),3)</f>
        <v>Расходы на обеспечение деятельности (оказание услуг) муниципальных учреждений</v>
      </c>
      <c r="N1478" s="17">
        <f t="shared" si="68"/>
        <v>1</v>
      </c>
    </row>
    <row r="1479" spans="1:14" s="16" customFormat="1" ht="15.75">
      <c r="A1479" s="14"/>
      <c r="B1479" s="132" t="s">
        <v>403</v>
      </c>
      <c r="C1479" s="108" t="s">
        <v>410</v>
      </c>
      <c r="D1479" s="108" t="s">
        <v>73</v>
      </c>
      <c r="E1479" s="108" t="s">
        <v>471</v>
      </c>
      <c r="F1479" s="108" t="s">
        <v>851</v>
      </c>
      <c r="G1479" s="108" t="s">
        <v>404</v>
      </c>
      <c r="H1479" s="126">
        <v>0</v>
      </c>
      <c r="I1479" s="126">
        <v>0</v>
      </c>
      <c r="J1479" s="108">
        <v>420311010</v>
      </c>
      <c r="K1479" s="108" t="str">
        <f t="shared" si="66"/>
        <v>0420311010</v>
      </c>
      <c r="L1479" s="303" t="str">
        <f t="shared" si="67"/>
        <v>62004090420311010610</v>
      </c>
      <c r="M1479" s="132" t="str">
        <f>INDEX('реш СГД № 265'!$A:$N,MATCH('БА расх 2019-2020'!$L1479,'реш СГД № 265'!$N:$N,0),3)</f>
        <v>Субсидии бюджетным учреждениям</v>
      </c>
      <c r="N1479" s="17">
        <f t="shared" si="68"/>
        <v>1</v>
      </c>
    </row>
    <row r="1480" spans="1:14" s="23" customFormat="1" ht="63">
      <c r="A1480" s="21"/>
      <c r="B1480" s="127" t="s">
        <v>405</v>
      </c>
      <c r="C1480" s="108" t="s">
        <v>410</v>
      </c>
      <c r="D1480" s="108" t="s">
        <v>73</v>
      </c>
      <c r="E1480" s="108" t="s">
        <v>471</v>
      </c>
      <c r="F1480" s="108" t="s">
        <v>851</v>
      </c>
      <c r="G1480" s="108" t="s">
        <v>406</v>
      </c>
      <c r="H1480" s="126">
        <v>0</v>
      </c>
      <c r="I1480" s="126">
        <v>0</v>
      </c>
      <c r="J1480" s="108">
        <v>420311010</v>
      </c>
      <c r="K1480" s="108" t="str">
        <f t="shared" si="66"/>
        <v>0420311010</v>
      </c>
      <c r="L1480" s="303" t="str">
        <f t="shared" si="67"/>
        <v>62004090420311010611</v>
      </c>
      <c r="M1480" s="132"/>
      <c r="N1480" s="17">
        <f t="shared" si="68"/>
        <v>0</v>
      </c>
    </row>
    <row r="1481" spans="1:14" s="23" customFormat="1" ht="15.75">
      <c r="A1481" s="21"/>
      <c r="B1481" s="127" t="s">
        <v>407</v>
      </c>
      <c r="C1481" s="108" t="s">
        <v>410</v>
      </c>
      <c r="D1481" s="108" t="s">
        <v>73</v>
      </c>
      <c r="E1481" s="108" t="s">
        <v>471</v>
      </c>
      <c r="F1481" s="108" t="s">
        <v>851</v>
      </c>
      <c r="G1481" s="108" t="s">
        <v>408</v>
      </c>
      <c r="H1481" s="126">
        <v>0</v>
      </c>
      <c r="I1481" s="126">
        <v>0</v>
      </c>
      <c r="J1481" s="108">
        <v>420311010</v>
      </c>
      <c r="K1481" s="108" t="str">
        <f t="shared" si="66"/>
        <v>0420311010</v>
      </c>
      <c r="L1481" s="303" t="str">
        <f t="shared" si="67"/>
        <v>62004090420311010612</v>
      </c>
      <c r="M1481" s="132"/>
      <c r="N1481" s="17">
        <f t="shared" si="68"/>
        <v>0</v>
      </c>
    </row>
    <row r="1482" spans="1:14" s="16" customFormat="1" ht="63">
      <c r="A1482" s="14"/>
      <c r="B1482" s="125" t="s">
        <v>852</v>
      </c>
      <c r="C1482" s="108" t="s">
        <v>410</v>
      </c>
      <c r="D1482" s="108" t="s">
        <v>73</v>
      </c>
      <c r="E1482" s="108" t="s">
        <v>471</v>
      </c>
      <c r="F1482" s="108" t="s">
        <v>853</v>
      </c>
      <c r="G1482" s="109" t="s">
        <v>9</v>
      </c>
      <c r="H1482" s="141">
        <v>0</v>
      </c>
      <c r="I1482" s="141">
        <v>0</v>
      </c>
      <c r="J1482" s="108">
        <v>420320570</v>
      </c>
      <c r="K1482" s="108" t="str">
        <f t="shared" si="66"/>
        <v>0420320570</v>
      </c>
      <c r="L1482" s="303" t="str">
        <f t="shared" si="67"/>
        <v>62004090420320570000</v>
      </c>
      <c r="M1482" s="132" t="str">
        <f>INDEX('реш СГД № 265'!$A:$N,MATCH('БА расх 2019-2020'!$L1482,'реш СГД № 265'!$N:$N,0),3)</f>
        <v>Обеспечение элементами обустройства автомобильных дорог общего пользования местного значения и организация обеспечения безопасности дорожного движения</v>
      </c>
      <c r="N1482" s="17">
        <f t="shared" si="68"/>
        <v>1</v>
      </c>
    </row>
    <row r="1483" spans="1:14" s="16" customFormat="1" ht="31.5">
      <c r="A1483" s="14"/>
      <c r="B1483" s="125" t="s">
        <v>28</v>
      </c>
      <c r="C1483" s="108" t="s">
        <v>410</v>
      </c>
      <c r="D1483" s="108" t="s">
        <v>73</v>
      </c>
      <c r="E1483" s="108" t="s">
        <v>471</v>
      </c>
      <c r="F1483" s="108" t="s">
        <v>853</v>
      </c>
      <c r="G1483" s="109" t="s">
        <v>29</v>
      </c>
      <c r="H1483" s="126">
        <v>0</v>
      </c>
      <c r="I1483" s="126">
        <v>0</v>
      </c>
      <c r="J1483" s="108">
        <v>420320570</v>
      </c>
      <c r="K1483" s="108" t="str">
        <f t="shared" si="66"/>
        <v>0420320570</v>
      </c>
      <c r="L1483" s="303" t="str">
        <f t="shared" si="67"/>
        <v>62004090420320570240</v>
      </c>
      <c r="M1483" s="132" t="str">
        <f>INDEX('реш СГД № 265'!$A:$N,MATCH('БА расх 2019-2020'!$L1483,'реш СГД № 265'!$N:$N,0),3)</f>
        <v>Иные закупки товаров, работ и услуг для обеспечения государственных (муниципальных) нужд</v>
      </c>
      <c r="N1483" s="17">
        <f t="shared" si="68"/>
        <v>1</v>
      </c>
    </row>
    <row r="1484" spans="1:14" s="16" customFormat="1" ht="15.75">
      <c r="A1484" s="14"/>
      <c r="B1484" s="125" t="s">
        <v>30</v>
      </c>
      <c r="C1484" s="108" t="s">
        <v>410</v>
      </c>
      <c r="D1484" s="108" t="s">
        <v>73</v>
      </c>
      <c r="E1484" s="108" t="s">
        <v>471</v>
      </c>
      <c r="F1484" s="108" t="s">
        <v>853</v>
      </c>
      <c r="G1484" s="109" t="s">
        <v>31</v>
      </c>
      <c r="H1484" s="126">
        <v>0</v>
      </c>
      <c r="I1484" s="126">
        <v>0</v>
      </c>
      <c r="J1484" s="108">
        <v>420320570</v>
      </c>
      <c r="K1484" s="108" t="str">
        <f t="shared" si="66"/>
        <v>0420320570</v>
      </c>
      <c r="L1484" s="303" t="str">
        <f t="shared" si="67"/>
        <v>62004090420320570244</v>
      </c>
      <c r="M1484" s="132"/>
      <c r="N1484" s="17">
        <f t="shared" si="68"/>
        <v>0</v>
      </c>
    </row>
    <row r="1485" spans="1:14" s="16" customFormat="1" ht="15.75">
      <c r="A1485" s="14"/>
      <c r="B1485" s="117" t="s">
        <v>305</v>
      </c>
      <c r="C1485" s="118" t="s">
        <v>410</v>
      </c>
      <c r="D1485" s="119" t="s">
        <v>86</v>
      </c>
      <c r="E1485" s="119" t="s">
        <v>7</v>
      </c>
      <c r="F1485" s="119" t="s">
        <v>8</v>
      </c>
      <c r="G1485" s="119" t="s">
        <v>9</v>
      </c>
      <c r="H1485" s="120">
        <v>0</v>
      </c>
      <c r="I1485" s="120">
        <v>0</v>
      </c>
      <c r="J1485" s="119">
        <v>0</v>
      </c>
      <c r="K1485" s="108" t="str">
        <f t="shared" si="66"/>
        <v>0000000000</v>
      </c>
      <c r="L1485" s="303" t="str">
        <f t="shared" si="67"/>
        <v>62005000000000000000</v>
      </c>
      <c r="M1485" s="132" t="str">
        <f>INDEX('реш СГД № 265'!$A:$N,MATCH('БА расх 2019-2020'!$L1485,'реш СГД № 265'!$N:$N,0),3)</f>
        <v>Жилищно-коммунальное хозяйство</v>
      </c>
      <c r="N1485" s="17">
        <f t="shared" si="68"/>
        <v>1</v>
      </c>
    </row>
    <row r="1486" spans="1:14" s="16" customFormat="1" ht="15.75">
      <c r="A1486" s="14"/>
      <c r="B1486" s="121" t="s">
        <v>765</v>
      </c>
      <c r="C1486" s="122" t="s">
        <v>410</v>
      </c>
      <c r="D1486" s="123" t="s">
        <v>86</v>
      </c>
      <c r="E1486" s="123" t="s">
        <v>11</v>
      </c>
      <c r="F1486" s="123" t="s">
        <v>8</v>
      </c>
      <c r="G1486" s="123" t="s">
        <v>9</v>
      </c>
      <c r="H1486" s="124">
        <v>0</v>
      </c>
      <c r="I1486" s="124">
        <v>0</v>
      </c>
      <c r="J1486" s="123">
        <v>0</v>
      </c>
      <c r="K1486" s="108" t="str">
        <f t="shared" si="66"/>
        <v>0000000000</v>
      </c>
      <c r="L1486" s="303" t="str">
        <f t="shared" si="67"/>
        <v>62005010000000000000</v>
      </c>
      <c r="M1486" s="132" t="str">
        <f>INDEX('реш СГД № 265'!$A:$N,MATCH('БА расх 2019-2020'!$L1486,'реш СГД № 265'!$N:$N,0),3)</f>
        <v>Жилищное хозяйство</v>
      </c>
      <c r="N1486" s="17">
        <f t="shared" si="68"/>
        <v>1</v>
      </c>
    </row>
    <row r="1487" spans="1:14" s="16" customFormat="1" ht="63">
      <c r="A1487" s="14"/>
      <c r="B1487" s="127" t="s">
        <v>293</v>
      </c>
      <c r="C1487" s="109" t="s">
        <v>410</v>
      </c>
      <c r="D1487" s="108" t="s">
        <v>86</v>
      </c>
      <c r="E1487" s="108" t="s">
        <v>11</v>
      </c>
      <c r="F1487" s="14" t="s">
        <v>294</v>
      </c>
      <c r="G1487" s="108" t="s">
        <v>9</v>
      </c>
      <c r="H1487" s="141">
        <v>0</v>
      </c>
      <c r="I1487" s="141">
        <v>0</v>
      </c>
      <c r="J1487" s="14">
        <v>400000000</v>
      </c>
      <c r="K1487" s="108" t="str">
        <f t="shared" si="66"/>
        <v>0400000000</v>
      </c>
      <c r="L1487" s="303" t="str">
        <f t="shared" si="67"/>
        <v>62005010400000000000</v>
      </c>
      <c r="M1487" s="132" t="str">
        <f>INDEX('реш СГД № 265'!$A:$N,MATCH('БА расх 2019-2020'!$L1487,'реш СГД № 265'!$N:$N,0),3)</f>
        <v>Муниципальная программа «Развитие жилищно-коммунального хозяйства, транспортной системы на территории города Ставрополя, благоустройство территории города Ставрополя»</v>
      </c>
      <c r="N1487" s="17">
        <f t="shared" si="68"/>
        <v>1</v>
      </c>
    </row>
    <row r="1488" spans="1:14" s="16" customFormat="1" ht="31.5">
      <c r="A1488" s="14"/>
      <c r="B1488" s="125" t="s">
        <v>766</v>
      </c>
      <c r="C1488" s="109" t="s">
        <v>410</v>
      </c>
      <c r="D1488" s="108" t="s">
        <v>86</v>
      </c>
      <c r="E1488" s="108" t="s">
        <v>11</v>
      </c>
      <c r="F1488" s="14" t="s">
        <v>767</v>
      </c>
      <c r="G1488" s="108" t="s">
        <v>9</v>
      </c>
      <c r="H1488" s="141">
        <v>0</v>
      </c>
      <c r="I1488" s="141">
        <v>0</v>
      </c>
      <c r="J1488" s="14">
        <v>410000000</v>
      </c>
      <c r="K1488" s="108" t="str">
        <f t="shared" ref="K1488:K1552" si="73">TEXT(J1488,"0000000000")</f>
        <v>0410000000</v>
      </c>
      <c r="L1488" s="303" t="str">
        <f t="shared" si="67"/>
        <v>62005010410000000000</v>
      </c>
      <c r="M1488" s="132" t="str">
        <f>INDEX('реш СГД № 265'!$A:$N,MATCH('БА расх 2019-2020'!$L1488,'реш СГД № 265'!$N:$N,0),3)</f>
        <v>Подпрограмма «Развитие жилищно-коммунального хозяйства на территории города Ставрополя»</v>
      </c>
      <c r="N1488" s="17">
        <f t="shared" si="68"/>
        <v>1</v>
      </c>
    </row>
    <row r="1489" spans="1:14" s="16" customFormat="1" ht="47.25">
      <c r="A1489" s="14"/>
      <c r="B1489" s="125" t="s">
        <v>793</v>
      </c>
      <c r="C1489" s="109" t="s">
        <v>410</v>
      </c>
      <c r="D1489" s="108" t="s">
        <v>86</v>
      </c>
      <c r="E1489" s="108" t="s">
        <v>11</v>
      </c>
      <c r="F1489" s="14" t="s">
        <v>769</v>
      </c>
      <c r="G1489" s="108" t="s">
        <v>9</v>
      </c>
      <c r="H1489" s="141">
        <v>0</v>
      </c>
      <c r="I1489" s="141">
        <v>0</v>
      </c>
      <c r="J1489" s="14">
        <v>410100000</v>
      </c>
      <c r="K1489" s="108" t="str">
        <f t="shared" si="73"/>
        <v>0410100000</v>
      </c>
      <c r="L1489" s="303" t="str">
        <f t="shared" ref="L1489:L1553" si="74">C1489&amp;D1489&amp;E1489&amp;K1489&amp;G1489</f>
        <v>62005010410100000000</v>
      </c>
      <c r="M1489" s="132" t="str">
        <f>INDEX('реш СГД № 265'!$A:$N,MATCH('БА расх 2019-2020'!$L1489,'реш СГД № 265'!$N:$N,0),3)</f>
        <v>Основное мероприятие «Повышение уровня технического состояния многоквартирных домов и продление сроков их эксплуатации»</v>
      </c>
      <c r="N1489" s="17">
        <f t="shared" ref="N1489:N1553" si="75">IF(B1489=M1489,1,0)</f>
        <v>1</v>
      </c>
    </row>
    <row r="1490" spans="1:14" s="16" customFormat="1" ht="31.5">
      <c r="A1490" s="14"/>
      <c r="B1490" s="125" t="s">
        <v>856</v>
      </c>
      <c r="C1490" s="109" t="s">
        <v>410</v>
      </c>
      <c r="D1490" s="108" t="s">
        <v>86</v>
      </c>
      <c r="E1490" s="108" t="s">
        <v>11</v>
      </c>
      <c r="F1490" s="14" t="s">
        <v>857</v>
      </c>
      <c r="G1490" s="108" t="s">
        <v>9</v>
      </c>
      <c r="H1490" s="141">
        <v>0</v>
      </c>
      <c r="I1490" s="141">
        <v>0</v>
      </c>
      <c r="J1490" s="14">
        <v>410120200</v>
      </c>
      <c r="K1490" s="108" t="str">
        <f t="shared" si="73"/>
        <v>0410120200</v>
      </c>
      <c r="L1490" s="303" t="str">
        <f t="shared" si="74"/>
        <v>62005010410120200000</v>
      </c>
      <c r="M1490" s="132" t="str">
        <f>INDEX('реш СГД № 265'!$A:$N,MATCH('БА расх 2019-2020'!$L1490,'реш СГД № 265'!$N:$N,0),3)</f>
        <v>Расходы на мероприятия в области жилищного хозяйства</v>
      </c>
      <c r="N1490" s="17">
        <f t="shared" si="75"/>
        <v>1</v>
      </c>
    </row>
    <row r="1491" spans="1:14" s="16" customFormat="1" ht="31.5">
      <c r="A1491" s="14"/>
      <c r="B1491" s="125" t="s">
        <v>28</v>
      </c>
      <c r="C1491" s="108" t="s">
        <v>410</v>
      </c>
      <c r="D1491" s="108" t="s">
        <v>86</v>
      </c>
      <c r="E1491" s="108" t="s">
        <v>11</v>
      </c>
      <c r="F1491" s="14" t="s">
        <v>857</v>
      </c>
      <c r="G1491" s="108" t="s">
        <v>29</v>
      </c>
      <c r="H1491" s="126">
        <v>0</v>
      </c>
      <c r="I1491" s="126">
        <v>0</v>
      </c>
      <c r="J1491" s="14">
        <v>410120200</v>
      </c>
      <c r="K1491" s="108" t="str">
        <f t="shared" si="73"/>
        <v>0410120200</v>
      </c>
      <c r="L1491" s="303" t="str">
        <f t="shared" si="74"/>
        <v>62005010410120200240</v>
      </c>
      <c r="M1491" s="132" t="str">
        <f>INDEX('реш СГД № 265'!$A:$N,MATCH('БА расх 2019-2020'!$L1491,'реш СГД № 265'!$N:$N,0),3)</f>
        <v>Иные закупки товаров, работ и услуг для обеспечения государственных (муниципальных) нужд</v>
      </c>
      <c r="N1491" s="17">
        <f t="shared" si="75"/>
        <v>1</v>
      </c>
    </row>
    <row r="1492" spans="1:14" s="16" customFormat="1" ht="15.75">
      <c r="A1492" s="14"/>
      <c r="B1492" s="125" t="s">
        <v>30</v>
      </c>
      <c r="C1492" s="108" t="s">
        <v>410</v>
      </c>
      <c r="D1492" s="108" t="s">
        <v>86</v>
      </c>
      <c r="E1492" s="108" t="s">
        <v>11</v>
      </c>
      <c r="F1492" s="14" t="s">
        <v>857</v>
      </c>
      <c r="G1492" s="108" t="s">
        <v>31</v>
      </c>
      <c r="H1492" s="126">
        <v>0</v>
      </c>
      <c r="I1492" s="126">
        <v>0</v>
      </c>
      <c r="J1492" s="14">
        <v>410120200</v>
      </c>
      <c r="K1492" s="108" t="str">
        <f t="shared" si="73"/>
        <v>0410120200</v>
      </c>
      <c r="L1492" s="303" t="str">
        <f t="shared" si="74"/>
        <v>62005010410120200244</v>
      </c>
      <c r="M1492" s="132"/>
      <c r="N1492" s="17">
        <f t="shared" si="75"/>
        <v>0</v>
      </c>
    </row>
    <row r="1493" spans="1:14" s="16" customFormat="1" ht="15.75">
      <c r="A1493" s="14"/>
      <c r="B1493" s="121" t="s">
        <v>858</v>
      </c>
      <c r="C1493" s="122">
        <v>620</v>
      </c>
      <c r="D1493" s="123" t="s">
        <v>86</v>
      </c>
      <c r="E1493" s="123" t="s">
        <v>62</v>
      </c>
      <c r="F1493" s="123" t="s">
        <v>8</v>
      </c>
      <c r="G1493" s="123" t="s">
        <v>9</v>
      </c>
      <c r="H1493" s="124">
        <v>0</v>
      </c>
      <c r="I1493" s="124">
        <v>0</v>
      </c>
      <c r="J1493" s="123">
        <v>0</v>
      </c>
      <c r="K1493" s="108" t="str">
        <f t="shared" si="73"/>
        <v>0000000000</v>
      </c>
      <c r="L1493" s="303" t="str">
        <f t="shared" si="74"/>
        <v>62005020000000000000</v>
      </c>
      <c r="M1493" s="132" t="str">
        <f>INDEX('реш СГД № 265'!$A:$N,MATCH('БА расх 2019-2020'!$L1493,'реш СГД № 265'!$N:$N,0),3)</f>
        <v>Коммунальное хозяйство</v>
      </c>
      <c r="N1493" s="17">
        <f t="shared" si="75"/>
        <v>1</v>
      </c>
    </row>
    <row r="1494" spans="1:14" s="16" customFormat="1" ht="63">
      <c r="A1494" s="14"/>
      <c r="B1494" s="127" t="s">
        <v>293</v>
      </c>
      <c r="C1494" s="133">
        <v>620</v>
      </c>
      <c r="D1494" s="108" t="s">
        <v>86</v>
      </c>
      <c r="E1494" s="108" t="s">
        <v>62</v>
      </c>
      <c r="F1494" s="14" t="s">
        <v>294</v>
      </c>
      <c r="G1494" s="108" t="s">
        <v>9</v>
      </c>
      <c r="H1494" s="141">
        <v>0</v>
      </c>
      <c r="I1494" s="141">
        <v>0</v>
      </c>
      <c r="J1494" s="14">
        <v>400000000</v>
      </c>
      <c r="K1494" s="108" t="str">
        <f t="shared" si="73"/>
        <v>0400000000</v>
      </c>
      <c r="L1494" s="303" t="str">
        <f t="shared" si="74"/>
        <v>62005020400000000000</v>
      </c>
      <c r="M1494" s="132" t="str">
        <f>INDEX('реш СГД № 265'!$A:$N,MATCH('БА расх 2019-2020'!$L1494,'реш СГД № 265'!$N:$N,0),3)</f>
        <v>Муниципальная программа «Развитие жилищно-коммунального хозяйства, транспортной системы на территории города Ставрополя, благоустройство территории города Ставрополя»</v>
      </c>
      <c r="N1494" s="17">
        <f t="shared" si="75"/>
        <v>1</v>
      </c>
    </row>
    <row r="1495" spans="1:14" s="16" customFormat="1" ht="31.5">
      <c r="A1495" s="14"/>
      <c r="B1495" s="125" t="s">
        <v>766</v>
      </c>
      <c r="C1495" s="133">
        <v>620</v>
      </c>
      <c r="D1495" s="108" t="s">
        <v>86</v>
      </c>
      <c r="E1495" s="108" t="s">
        <v>62</v>
      </c>
      <c r="F1495" s="14" t="s">
        <v>767</v>
      </c>
      <c r="G1495" s="108" t="s">
        <v>9</v>
      </c>
      <c r="H1495" s="141">
        <v>0</v>
      </c>
      <c r="I1495" s="141">
        <v>0</v>
      </c>
      <c r="J1495" s="14">
        <v>410000000</v>
      </c>
      <c r="K1495" s="108" t="str">
        <f t="shared" si="73"/>
        <v>0410000000</v>
      </c>
      <c r="L1495" s="303" t="str">
        <f t="shared" si="74"/>
        <v>62005020410000000000</v>
      </c>
      <c r="M1495" s="132" t="str">
        <f>INDEX('реш СГД № 265'!$A:$N,MATCH('БА расх 2019-2020'!$L1495,'реш СГД № 265'!$N:$N,0),3)</f>
        <v>Подпрограмма «Развитие жилищно-коммунального хозяйства на территории города Ставрополя»</v>
      </c>
      <c r="N1495" s="17">
        <f t="shared" si="75"/>
        <v>1</v>
      </c>
    </row>
    <row r="1496" spans="1:14" s="16" customFormat="1" ht="63">
      <c r="A1496" s="14"/>
      <c r="B1496" s="125" t="s">
        <v>859</v>
      </c>
      <c r="C1496" s="133">
        <v>620</v>
      </c>
      <c r="D1496" s="108" t="s">
        <v>86</v>
      </c>
      <c r="E1496" s="108" t="s">
        <v>62</v>
      </c>
      <c r="F1496" s="14" t="s">
        <v>860</v>
      </c>
      <c r="G1496" s="108" t="s">
        <v>9</v>
      </c>
      <c r="H1496" s="141">
        <v>0</v>
      </c>
      <c r="I1496" s="141">
        <v>0</v>
      </c>
      <c r="J1496" s="14">
        <v>410200000</v>
      </c>
      <c r="K1496" s="108" t="str">
        <f t="shared" si="73"/>
        <v>0410200000</v>
      </c>
      <c r="L1496" s="303" t="str">
        <f t="shared" si="74"/>
        <v>62005020410200000000</v>
      </c>
      <c r="M1496" s="132" t="str">
        <f>INDEX('реш СГД № 265'!$A:$N,MATCH('БА расх 2019-2020'!$L1496,'реш СГД № 265'!$N:$N,0),3)</f>
        <v>Основное мероприятие «Проектирование, строительство и содержание инженерных сетей, находящихся в муниципальной собственности города Ставрополя»</v>
      </c>
      <c r="N1496" s="17">
        <f t="shared" si="75"/>
        <v>1</v>
      </c>
    </row>
    <row r="1497" spans="1:14" s="16" customFormat="1" ht="31.5">
      <c r="A1497" s="14"/>
      <c r="B1497" s="125" t="s">
        <v>861</v>
      </c>
      <c r="C1497" s="133">
        <v>620</v>
      </c>
      <c r="D1497" s="108" t="s">
        <v>86</v>
      </c>
      <c r="E1497" s="108" t="s">
        <v>62</v>
      </c>
      <c r="F1497" s="14" t="s">
        <v>862</v>
      </c>
      <c r="G1497" s="108" t="s">
        <v>9</v>
      </c>
      <c r="H1497" s="141">
        <v>0</v>
      </c>
      <c r="I1497" s="141">
        <v>0</v>
      </c>
      <c r="J1497" s="14">
        <v>410220220</v>
      </c>
      <c r="K1497" s="108" t="str">
        <f t="shared" si="73"/>
        <v>0410220220</v>
      </c>
      <c r="L1497" s="303" t="str">
        <f t="shared" si="74"/>
        <v>62005020410220220000</v>
      </c>
      <c r="M1497" s="132" t="str">
        <f>INDEX('реш СГД № 265'!$A:$N,MATCH('БА расх 2019-2020'!$L1497,'реш СГД № 265'!$N:$N,0),3)</f>
        <v>Расходы на мероприятия в области коммунального хозяйства</v>
      </c>
      <c r="N1497" s="17">
        <f t="shared" si="75"/>
        <v>1</v>
      </c>
    </row>
    <row r="1498" spans="1:14" s="16" customFormat="1" ht="31.5">
      <c r="A1498" s="14"/>
      <c r="B1498" s="125" t="s">
        <v>28</v>
      </c>
      <c r="C1498" s="108" t="s">
        <v>410</v>
      </c>
      <c r="D1498" s="108" t="s">
        <v>86</v>
      </c>
      <c r="E1498" s="108" t="s">
        <v>62</v>
      </c>
      <c r="F1498" s="14" t="s">
        <v>862</v>
      </c>
      <c r="G1498" s="108" t="s">
        <v>29</v>
      </c>
      <c r="H1498" s="126">
        <v>0</v>
      </c>
      <c r="I1498" s="126">
        <v>0</v>
      </c>
      <c r="J1498" s="14">
        <v>410220220</v>
      </c>
      <c r="K1498" s="108" t="str">
        <f t="shared" si="73"/>
        <v>0410220220</v>
      </c>
      <c r="L1498" s="303" t="str">
        <f t="shared" si="74"/>
        <v>62005020410220220240</v>
      </c>
      <c r="M1498" s="132" t="str">
        <f>INDEX('реш СГД № 265'!$A:$N,MATCH('БА расх 2019-2020'!$L1498,'реш СГД № 265'!$N:$N,0),3)</f>
        <v>Иные закупки товаров, работ и услуг для обеспечения государственных (муниципальных) нужд</v>
      </c>
      <c r="N1498" s="17">
        <f t="shared" si="75"/>
        <v>1</v>
      </c>
    </row>
    <row r="1499" spans="1:14" s="16" customFormat="1" ht="15.75">
      <c r="A1499" s="14"/>
      <c r="B1499" s="125" t="s">
        <v>30</v>
      </c>
      <c r="C1499" s="108" t="s">
        <v>410</v>
      </c>
      <c r="D1499" s="108" t="s">
        <v>86</v>
      </c>
      <c r="E1499" s="108" t="s">
        <v>62</v>
      </c>
      <c r="F1499" s="14" t="s">
        <v>862</v>
      </c>
      <c r="G1499" s="108" t="s">
        <v>31</v>
      </c>
      <c r="H1499" s="126">
        <v>0</v>
      </c>
      <c r="I1499" s="126">
        <v>0</v>
      </c>
      <c r="J1499" s="14">
        <v>410220220</v>
      </c>
      <c r="K1499" s="108" t="str">
        <f t="shared" si="73"/>
        <v>0410220220</v>
      </c>
      <c r="L1499" s="303" t="str">
        <f t="shared" si="74"/>
        <v>62005020410220220244</v>
      </c>
      <c r="M1499" s="132"/>
      <c r="N1499" s="17">
        <f t="shared" si="75"/>
        <v>0</v>
      </c>
    </row>
    <row r="1500" spans="1:14" s="16" customFormat="1" ht="15.75">
      <c r="A1500" s="14"/>
      <c r="B1500" s="121" t="s">
        <v>306</v>
      </c>
      <c r="C1500" s="122" t="s">
        <v>410</v>
      </c>
      <c r="D1500" s="123" t="s">
        <v>86</v>
      </c>
      <c r="E1500" s="123" t="s">
        <v>13</v>
      </c>
      <c r="F1500" s="123" t="s">
        <v>8</v>
      </c>
      <c r="G1500" s="123" t="s">
        <v>9</v>
      </c>
      <c r="H1500" s="124">
        <v>0</v>
      </c>
      <c r="I1500" s="124">
        <v>0</v>
      </c>
      <c r="J1500" s="123">
        <v>0</v>
      </c>
      <c r="K1500" s="108" t="str">
        <f t="shared" si="73"/>
        <v>0000000000</v>
      </c>
      <c r="L1500" s="303" t="str">
        <f t="shared" si="74"/>
        <v>62005030000000000000</v>
      </c>
      <c r="M1500" s="132" t="str">
        <f>INDEX('реш СГД № 265'!$A:$N,MATCH('БА расх 2019-2020'!$L1500,'реш СГД № 265'!$N:$N,0),3)</f>
        <v>Благоустройство</v>
      </c>
      <c r="N1500" s="17">
        <f t="shared" si="75"/>
        <v>1</v>
      </c>
    </row>
    <row r="1501" spans="1:14" s="16" customFormat="1" ht="63">
      <c r="A1501" s="14"/>
      <c r="B1501" s="127" t="s">
        <v>293</v>
      </c>
      <c r="C1501" s="108" t="s">
        <v>410</v>
      </c>
      <c r="D1501" s="108" t="s">
        <v>86</v>
      </c>
      <c r="E1501" s="108" t="s">
        <v>13</v>
      </c>
      <c r="F1501" s="108" t="s">
        <v>294</v>
      </c>
      <c r="G1501" s="108" t="s">
        <v>9</v>
      </c>
      <c r="H1501" s="141">
        <v>0</v>
      </c>
      <c r="I1501" s="141">
        <v>0</v>
      </c>
      <c r="J1501" s="108">
        <v>400000000</v>
      </c>
      <c r="K1501" s="108" t="str">
        <f t="shared" si="73"/>
        <v>0400000000</v>
      </c>
      <c r="L1501" s="303" t="str">
        <f t="shared" si="74"/>
        <v>62005030400000000000</v>
      </c>
      <c r="M1501" s="132" t="str">
        <f>INDEX('реш СГД № 265'!$A:$N,MATCH('БА расх 2019-2020'!$L1501,'реш СГД № 265'!$N:$N,0),3)</f>
        <v>Муниципальная программа «Развитие жилищно-коммунального хозяйства, транспортной системы на территории города Ставрополя, благоустройство территории города Ставрополя»</v>
      </c>
      <c r="N1501" s="17">
        <f t="shared" si="75"/>
        <v>1</v>
      </c>
    </row>
    <row r="1502" spans="1:14" s="16" customFormat="1" ht="31.5">
      <c r="A1502" s="14"/>
      <c r="B1502" s="125" t="s">
        <v>2283</v>
      </c>
      <c r="C1502" s="108" t="s">
        <v>410</v>
      </c>
      <c r="D1502" s="108" t="s">
        <v>86</v>
      </c>
      <c r="E1502" s="108" t="s">
        <v>13</v>
      </c>
      <c r="F1502" s="108" t="s">
        <v>308</v>
      </c>
      <c r="G1502" s="108" t="s">
        <v>9</v>
      </c>
      <c r="H1502" s="141">
        <v>0</v>
      </c>
      <c r="I1502" s="141">
        <v>0</v>
      </c>
      <c r="J1502" s="108">
        <v>430000000</v>
      </c>
      <c r="K1502" s="108" t="str">
        <f t="shared" si="73"/>
        <v>0430000000</v>
      </c>
      <c r="L1502" s="303" t="str">
        <f t="shared" si="74"/>
        <v>62005030430000000000</v>
      </c>
      <c r="M1502" s="132" t="str">
        <f>INDEX('реш СГД № 265'!$A:$N,MATCH('БА расх 2019-2020'!$L1502,'реш СГД № 265'!$N:$N,0),3)</f>
        <v>Подпрограмма «Благоустройство территории города Ставрополя»</v>
      </c>
      <c r="N1502" s="17">
        <f t="shared" si="75"/>
        <v>1</v>
      </c>
    </row>
    <row r="1503" spans="1:14" s="16" customFormat="1" ht="47.25">
      <c r="A1503" s="14"/>
      <c r="B1503" s="125" t="s">
        <v>866</v>
      </c>
      <c r="C1503" s="108" t="s">
        <v>410</v>
      </c>
      <c r="D1503" s="108" t="s">
        <v>86</v>
      </c>
      <c r="E1503" s="108" t="s">
        <v>13</v>
      </c>
      <c r="F1503" s="108" t="s">
        <v>867</v>
      </c>
      <c r="G1503" s="108" t="s">
        <v>9</v>
      </c>
      <c r="H1503" s="141">
        <v>0</v>
      </c>
      <c r="I1503" s="141">
        <v>0</v>
      </c>
      <c r="J1503" s="108">
        <v>430200000</v>
      </c>
      <c r="K1503" s="108" t="str">
        <f t="shared" si="73"/>
        <v>0430200000</v>
      </c>
      <c r="L1503" s="303" t="str">
        <f t="shared" si="74"/>
        <v>62005030430200000000</v>
      </c>
      <c r="M1503" s="132" t="str">
        <f>INDEX('реш СГД № 265'!$A:$N,MATCH('БА расх 2019-2020'!$L1503,'реш СГД № 265'!$N:$N,0),3)</f>
        <v>Основное мероприятие «Создание и обеспечение надлежащего состояния мест захоронения на территории города Ставрополя»</v>
      </c>
      <c r="N1503" s="17">
        <f t="shared" si="75"/>
        <v>1</v>
      </c>
    </row>
    <row r="1504" spans="1:14" s="16" customFormat="1" ht="47.25">
      <c r="A1504" s="14"/>
      <c r="B1504" s="125" t="s">
        <v>868</v>
      </c>
      <c r="C1504" s="108" t="s">
        <v>410</v>
      </c>
      <c r="D1504" s="108" t="s">
        <v>86</v>
      </c>
      <c r="E1504" s="108" t="s">
        <v>13</v>
      </c>
      <c r="F1504" s="108" t="s">
        <v>869</v>
      </c>
      <c r="G1504" s="108" t="s">
        <v>9</v>
      </c>
      <c r="H1504" s="141">
        <v>0</v>
      </c>
      <c r="I1504" s="141">
        <v>0</v>
      </c>
      <c r="J1504" s="108">
        <v>430220290</v>
      </c>
      <c r="K1504" s="108" t="str">
        <f t="shared" si="73"/>
        <v>0430220290</v>
      </c>
      <c r="L1504" s="303" t="str">
        <f t="shared" si="74"/>
        <v>62005030430220290000</v>
      </c>
      <c r="M1504" s="132" t="str">
        <f>INDEX('реш СГД № 265'!$A:$N,MATCH('БА расх 2019-2020'!$L1504,'реш СГД № 265'!$N:$N,0),3)</f>
        <v>Расходы на проектирование, устройство, благоустройство и содержание муниципальных общественных кладбищ города Ставрополя</v>
      </c>
      <c r="N1504" s="17">
        <f t="shared" si="75"/>
        <v>1</v>
      </c>
    </row>
    <row r="1505" spans="1:14" s="16" customFormat="1" ht="31.5">
      <c r="A1505" s="14"/>
      <c r="B1505" s="125" t="s">
        <v>28</v>
      </c>
      <c r="C1505" s="108" t="s">
        <v>410</v>
      </c>
      <c r="D1505" s="108" t="s">
        <v>86</v>
      </c>
      <c r="E1505" s="108" t="s">
        <v>13</v>
      </c>
      <c r="F1505" s="108" t="s">
        <v>869</v>
      </c>
      <c r="G1505" s="108" t="s">
        <v>29</v>
      </c>
      <c r="H1505" s="126">
        <v>0</v>
      </c>
      <c r="I1505" s="126">
        <v>0</v>
      </c>
      <c r="J1505" s="108">
        <v>430220290</v>
      </c>
      <c r="K1505" s="108" t="str">
        <f t="shared" si="73"/>
        <v>0430220290</v>
      </c>
      <c r="L1505" s="303" t="str">
        <f t="shared" si="74"/>
        <v>62005030430220290240</v>
      </c>
      <c r="M1505" s="132" t="str">
        <f>INDEX('реш СГД № 265'!$A:$N,MATCH('БА расх 2019-2020'!$L1505,'реш СГД № 265'!$N:$N,0),3)</f>
        <v>Иные закупки товаров, работ и услуг для обеспечения государственных (муниципальных) нужд</v>
      </c>
      <c r="N1505" s="17">
        <f t="shared" si="75"/>
        <v>1</v>
      </c>
    </row>
    <row r="1506" spans="1:14" s="16" customFormat="1" ht="15.75">
      <c r="A1506" s="14"/>
      <c r="B1506" s="125" t="s">
        <v>30</v>
      </c>
      <c r="C1506" s="108" t="s">
        <v>410</v>
      </c>
      <c r="D1506" s="108" t="s">
        <v>86</v>
      </c>
      <c r="E1506" s="108" t="s">
        <v>13</v>
      </c>
      <c r="F1506" s="108" t="s">
        <v>869</v>
      </c>
      <c r="G1506" s="108" t="s">
        <v>31</v>
      </c>
      <c r="H1506" s="126">
        <v>0</v>
      </c>
      <c r="I1506" s="126">
        <v>0</v>
      </c>
      <c r="J1506" s="108">
        <v>430220290</v>
      </c>
      <c r="K1506" s="108" t="str">
        <f t="shared" si="73"/>
        <v>0430220290</v>
      </c>
      <c r="L1506" s="303" t="str">
        <f t="shared" si="74"/>
        <v>62005030430220290244</v>
      </c>
      <c r="M1506" s="132"/>
      <c r="N1506" s="17">
        <f t="shared" si="75"/>
        <v>0</v>
      </c>
    </row>
    <row r="1507" spans="1:14" s="16" customFormat="1" ht="47.25">
      <c r="A1507" s="14"/>
      <c r="B1507" s="125" t="s">
        <v>870</v>
      </c>
      <c r="C1507" s="108" t="s">
        <v>410</v>
      </c>
      <c r="D1507" s="108" t="s">
        <v>86</v>
      </c>
      <c r="E1507" s="108" t="s">
        <v>13</v>
      </c>
      <c r="F1507" s="108" t="s">
        <v>871</v>
      </c>
      <c r="G1507" s="108" t="s">
        <v>9</v>
      </c>
      <c r="H1507" s="141">
        <v>0</v>
      </c>
      <c r="I1507" s="141">
        <v>0</v>
      </c>
      <c r="J1507" s="108">
        <v>430300000</v>
      </c>
      <c r="K1507" s="108" t="str">
        <f t="shared" si="73"/>
        <v>0430300000</v>
      </c>
      <c r="L1507" s="303" t="str">
        <f t="shared" si="74"/>
        <v>62005030430300000000</v>
      </c>
      <c r="M1507" s="132" t="str">
        <f>INDEX('реш СГД № 265'!$A:$N,MATCH('БА расх 2019-2020'!$L1507,'реш СГД № 265'!$N:$N,0),3)</f>
        <v>Основное мероприятие «Организация отлова и содержания безнадзорных животных, сбор трупов и их захоронение в установленном порядке»</v>
      </c>
      <c r="N1507" s="17">
        <f t="shared" si="75"/>
        <v>1</v>
      </c>
    </row>
    <row r="1508" spans="1:14" s="16" customFormat="1" ht="47.25">
      <c r="A1508" s="14" t="s">
        <v>80</v>
      </c>
      <c r="B1508" s="125" t="s">
        <v>872</v>
      </c>
      <c r="C1508" s="108" t="s">
        <v>410</v>
      </c>
      <c r="D1508" s="108" t="s">
        <v>86</v>
      </c>
      <c r="E1508" s="108" t="s">
        <v>13</v>
      </c>
      <c r="F1508" s="108" t="s">
        <v>873</v>
      </c>
      <c r="G1508" s="108" t="s">
        <v>9</v>
      </c>
      <c r="H1508" s="141">
        <v>0</v>
      </c>
      <c r="I1508" s="141">
        <v>0</v>
      </c>
      <c r="J1508" s="108">
        <v>430377150</v>
      </c>
      <c r="K1508" s="108" t="str">
        <f t="shared" si="73"/>
        <v>0430377150</v>
      </c>
      <c r="L1508" s="303" t="str">
        <f t="shared" si="74"/>
        <v>62005030430377150000</v>
      </c>
      <c r="M1508" s="132" t="str">
        <f>INDEX('реш СГД № 265'!$A:$N,MATCH('БА расх 2019-2020'!$L1508,'реш СГД № 265'!$N:$N,0),3)</f>
        <v>Организация проведения на территории города Ставрополя мероприятий по отлову и содержанию безнадзорных животных</v>
      </c>
      <c r="N1508" s="17">
        <f t="shared" si="75"/>
        <v>1</v>
      </c>
    </row>
    <row r="1509" spans="1:14" s="16" customFormat="1" ht="31.5">
      <c r="A1509" s="14"/>
      <c r="B1509" s="125" t="s">
        <v>28</v>
      </c>
      <c r="C1509" s="108" t="s">
        <v>410</v>
      </c>
      <c r="D1509" s="108" t="s">
        <v>86</v>
      </c>
      <c r="E1509" s="108" t="s">
        <v>13</v>
      </c>
      <c r="F1509" s="108" t="s">
        <v>873</v>
      </c>
      <c r="G1509" s="108" t="s">
        <v>29</v>
      </c>
      <c r="H1509" s="126">
        <v>0</v>
      </c>
      <c r="I1509" s="126">
        <v>0</v>
      </c>
      <c r="J1509" s="108">
        <v>430377150</v>
      </c>
      <c r="K1509" s="108" t="str">
        <f t="shared" si="73"/>
        <v>0430377150</v>
      </c>
      <c r="L1509" s="303" t="str">
        <f t="shared" si="74"/>
        <v>62005030430377150240</v>
      </c>
      <c r="M1509" s="132" t="str">
        <f>INDEX('реш СГД № 265'!$A:$N,MATCH('БА расх 2019-2020'!$L1509,'реш СГД № 265'!$N:$N,0),3)</f>
        <v>Иные закупки товаров, работ и услуг для обеспечения государственных (муниципальных) нужд</v>
      </c>
      <c r="N1509" s="17">
        <f t="shared" si="75"/>
        <v>1</v>
      </c>
    </row>
    <row r="1510" spans="1:14" s="16" customFormat="1" ht="15.75">
      <c r="A1510" s="14"/>
      <c r="B1510" s="125" t="s">
        <v>30</v>
      </c>
      <c r="C1510" s="108" t="s">
        <v>410</v>
      </c>
      <c r="D1510" s="108" t="s">
        <v>86</v>
      </c>
      <c r="E1510" s="108" t="s">
        <v>13</v>
      </c>
      <c r="F1510" s="108" t="s">
        <v>873</v>
      </c>
      <c r="G1510" s="108" t="s">
        <v>31</v>
      </c>
      <c r="H1510" s="126">
        <v>0</v>
      </c>
      <c r="I1510" s="126">
        <v>0</v>
      </c>
      <c r="J1510" s="108">
        <v>430377150</v>
      </c>
      <c r="K1510" s="108" t="str">
        <f t="shared" si="73"/>
        <v>0430377150</v>
      </c>
      <c r="L1510" s="303" t="str">
        <f t="shared" si="74"/>
        <v>62005030430377150244</v>
      </c>
      <c r="M1510" s="132"/>
      <c r="N1510" s="17">
        <f t="shared" si="75"/>
        <v>0</v>
      </c>
    </row>
    <row r="1511" spans="1:14" s="16" customFormat="1" ht="31.5">
      <c r="A1511" s="14"/>
      <c r="B1511" s="401" t="s">
        <v>309</v>
      </c>
      <c r="C1511" s="108" t="s">
        <v>410</v>
      </c>
      <c r="D1511" s="108" t="s">
        <v>86</v>
      </c>
      <c r="E1511" s="108" t="s">
        <v>13</v>
      </c>
      <c r="F1511" s="108" t="s">
        <v>310</v>
      </c>
      <c r="G1511" s="108" t="s">
        <v>9</v>
      </c>
      <c r="H1511" s="141">
        <v>0</v>
      </c>
      <c r="I1511" s="141">
        <v>0</v>
      </c>
      <c r="J1511" s="108">
        <v>430400000</v>
      </c>
      <c r="K1511" s="108" t="str">
        <f t="shared" si="73"/>
        <v>0430400000</v>
      </c>
      <c r="L1511" s="303" t="str">
        <f t="shared" si="74"/>
        <v>62005030430400000000</v>
      </c>
      <c r="M1511" s="132" t="str">
        <f>INDEX('реш СГД № 265'!$A:$N,MATCH('БА расх 2019-2020'!$L1511,'реш СГД № 265'!$N:$N,0),3)</f>
        <v>Основное мероприятие «Благоустройство территории города Ставрополя»</v>
      </c>
      <c r="N1511" s="17">
        <f t="shared" si="75"/>
        <v>1</v>
      </c>
    </row>
    <row r="1512" spans="1:14" s="16" customFormat="1" ht="31.5">
      <c r="A1512" s="14"/>
      <c r="B1512" s="125" t="s">
        <v>136</v>
      </c>
      <c r="C1512" s="108" t="s">
        <v>410</v>
      </c>
      <c r="D1512" s="108" t="s">
        <v>86</v>
      </c>
      <c r="E1512" s="108" t="s">
        <v>13</v>
      </c>
      <c r="F1512" s="108" t="s">
        <v>874</v>
      </c>
      <c r="G1512" s="108" t="s">
        <v>9</v>
      </c>
      <c r="H1512" s="141">
        <v>0</v>
      </c>
      <c r="I1512" s="141">
        <v>0</v>
      </c>
      <c r="J1512" s="108">
        <v>430411010</v>
      </c>
      <c r="K1512" s="108" t="str">
        <f t="shared" si="73"/>
        <v>0430411010</v>
      </c>
      <c r="L1512" s="303" t="str">
        <f t="shared" si="74"/>
        <v>62005030430411010000</v>
      </c>
      <c r="M1512" s="132" t="str">
        <f>INDEX('реш СГД № 265'!$A:$N,MATCH('БА расх 2019-2020'!$L1512,'реш СГД № 265'!$N:$N,0),3)</f>
        <v>Расходы на обеспечение деятельности (оказание услуг) муниципальных учреждений</v>
      </c>
      <c r="N1512" s="17">
        <f t="shared" si="75"/>
        <v>1</v>
      </c>
    </row>
    <row r="1513" spans="1:14" s="16" customFormat="1" ht="15.75">
      <c r="A1513" s="14"/>
      <c r="B1513" s="132" t="s">
        <v>403</v>
      </c>
      <c r="C1513" s="108" t="s">
        <v>410</v>
      </c>
      <c r="D1513" s="108" t="s">
        <v>86</v>
      </c>
      <c r="E1513" s="108" t="s">
        <v>13</v>
      </c>
      <c r="F1513" s="108" t="s">
        <v>874</v>
      </c>
      <c r="G1513" s="108" t="s">
        <v>404</v>
      </c>
      <c r="H1513" s="126">
        <v>0</v>
      </c>
      <c r="I1513" s="126">
        <v>0</v>
      </c>
      <c r="J1513" s="108">
        <v>430411010</v>
      </c>
      <c r="K1513" s="108" t="str">
        <f t="shared" si="73"/>
        <v>0430411010</v>
      </c>
      <c r="L1513" s="303" t="str">
        <f t="shared" si="74"/>
        <v>62005030430411010610</v>
      </c>
      <c r="M1513" s="132" t="str">
        <f>INDEX('реш СГД № 265'!$A:$N,MATCH('БА расх 2019-2020'!$L1513,'реш СГД № 265'!$N:$N,0),3)</f>
        <v>Субсидии бюджетным учреждениям</v>
      </c>
      <c r="N1513" s="17">
        <f t="shared" si="75"/>
        <v>1</v>
      </c>
    </row>
    <row r="1514" spans="1:14" s="23" customFormat="1" ht="63">
      <c r="A1514" s="21"/>
      <c r="B1514" s="127" t="s">
        <v>405</v>
      </c>
      <c r="C1514" s="108" t="s">
        <v>410</v>
      </c>
      <c r="D1514" s="108" t="s">
        <v>86</v>
      </c>
      <c r="E1514" s="108" t="s">
        <v>13</v>
      </c>
      <c r="F1514" s="108" t="s">
        <v>874</v>
      </c>
      <c r="G1514" s="108" t="s">
        <v>406</v>
      </c>
      <c r="H1514" s="126">
        <v>0</v>
      </c>
      <c r="I1514" s="126">
        <v>0</v>
      </c>
      <c r="J1514" s="108">
        <v>430411010</v>
      </c>
      <c r="K1514" s="108" t="str">
        <f t="shared" si="73"/>
        <v>0430411010</v>
      </c>
      <c r="L1514" s="303" t="str">
        <f t="shared" si="74"/>
        <v>62005030430411010611</v>
      </c>
      <c r="M1514" s="132"/>
      <c r="N1514" s="17">
        <f t="shared" si="75"/>
        <v>0</v>
      </c>
    </row>
    <row r="1515" spans="1:14" s="16" customFormat="1" ht="31.5">
      <c r="A1515" s="14"/>
      <c r="B1515" s="125" t="s">
        <v>875</v>
      </c>
      <c r="C1515" s="108" t="s">
        <v>410</v>
      </c>
      <c r="D1515" s="108" t="s">
        <v>86</v>
      </c>
      <c r="E1515" s="108" t="s">
        <v>13</v>
      </c>
      <c r="F1515" s="108" t="s">
        <v>876</v>
      </c>
      <c r="G1515" s="108" t="s">
        <v>9</v>
      </c>
      <c r="H1515" s="141">
        <v>0</v>
      </c>
      <c r="I1515" s="141">
        <v>0</v>
      </c>
      <c r="J1515" s="108">
        <v>430420280</v>
      </c>
      <c r="K1515" s="108" t="str">
        <f t="shared" si="73"/>
        <v>0430420280</v>
      </c>
      <c r="L1515" s="303" t="str">
        <f t="shared" si="74"/>
        <v>62005030430420280000</v>
      </c>
      <c r="M1515" s="132" t="str">
        <f>INDEX('реш СГД № 265'!$A:$N,MATCH('БА расх 2019-2020'!$L1515,'реш СГД № 265'!$N:$N,0),3)</f>
        <v>Расходы на обеспечение уличного освещения территории города Ставрополя</v>
      </c>
      <c r="N1515" s="17">
        <f t="shared" si="75"/>
        <v>1</v>
      </c>
    </row>
    <row r="1516" spans="1:14" s="16" customFormat="1" ht="31.5">
      <c r="A1516" s="14"/>
      <c r="B1516" s="125" t="s">
        <v>28</v>
      </c>
      <c r="C1516" s="108" t="s">
        <v>410</v>
      </c>
      <c r="D1516" s="108" t="s">
        <v>86</v>
      </c>
      <c r="E1516" s="108" t="s">
        <v>13</v>
      </c>
      <c r="F1516" s="108" t="s">
        <v>876</v>
      </c>
      <c r="G1516" s="108" t="s">
        <v>29</v>
      </c>
      <c r="H1516" s="126">
        <v>0</v>
      </c>
      <c r="I1516" s="126">
        <v>0</v>
      </c>
      <c r="J1516" s="108">
        <v>430420280</v>
      </c>
      <c r="K1516" s="108" t="str">
        <f t="shared" si="73"/>
        <v>0430420280</v>
      </c>
      <c r="L1516" s="303" t="str">
        <f t="shared" si="74"/>
        <v>62005030430420280240</v>
      </c>
      <c r="M1516" s="132" t="str">
        <f>INDEX('реш СГД № 265'!$A:$N,MATCH('БА расх 2019-2020'!$L1516,'реш СГД № 265'!$N:$N,0),3)</f>
        <v>Иные закупки товаров, работ и услуг для обеспечения государственных (муниципальных) нужд</v>
      </c>
      <c r="N1516" s="17">
        <f t="shared" si="75"/>
        <v>1</v>
      </c>
    </row>
    <row r="1517" spans="1:14" s="16" customFormat="1" ht="15.75">
      <c r="A1517" s="14"/>
      <c r="B1517" s="125" t="s">
        <v>30</v>
      </c>
      <c r="C1517" s="108" t="s">
        <v>410</v>
      </c>
      <c r="D1517" s="108" t="s">
        <v>86</v>
      </c>
      <c r="E1517" s="108" t="s">
        <v>13</v>
      </c>
      <c r="F1517" s="108" t="s">
        <v>876</v>
      </c>
      <c r="G1517" s="108" t="s">
        <v>31</v>
      </c>
      <c r="H1517" s="126">
        <v>0</v>
      </c>
      <c r="I1517" s="126">
        <v>0</v>
      </c>
      <c r="J1517" s="108">
        <v>430420280</v>
      </c>
      <c r="K1517" s="108" t="str">
        <f t="shared" si="73"/>
        <v>0430420280</v>
      </c>
      <c r="L1517" s="303" t="str">
        <f t="shared" si="74"/>
        <v>62005030430420280244</v>
      </c>
      <c r="M1517" s="132"/>
      <c r="N1517" s="17">
        <f t="shared" si="75"/>
        <v>0</v>
      </c>
    </row>
    <row r="1518" spans="1:14" s="16" customFormat="1" ht="31.5">
      <c r="A1518" s="14"/>
      <c r="B1518" s="125" t="s">
        <v>542</v>
      </c>
      <c r="C1518" s="108" t="s">
        <v>410</v>
      </c>
      <c r="D1518" s="108" t="s">
        <v>86</v>
      </c>
      <c r="E1518" s="108" t="s">
        <v>13</v>
      </c>
      <c r="F1518" s="108" t="s">
        <v>543</v>
      </c>
      <c r="G1518" s="108" t="s">
        <v>9</v>
      </c>
      <c r="H1518" s="141">
        <v>0</v>
      </c>
      <c r="I1518" s="141">
        <v>0</v>
      </c>
      <c r="J1518" s="108">
        <v>430420300</v>
      </c>
      <c r="K1518" s="108" t="str">
        <f t="shared" si="73"/>
        <v>0430420300</v>
      </c>
      <c r="L1518" s="303" t="str">
        <f t="shared" si="74"/>
        <v>62005030430420300000</v>
      </c>
      <c r="M1518" s="132" t="str">
        <f>INDEX('реш СГД № 265'!$A:$N,MATCH('БА расх 2019-2020'!$L1518,'реш СГД № 265'!$N:$N,0),3)</f>
        <v>Расходы на прочие мероприятия по благоустройству территории города Ставрополя</v>
      </c>
      <c r="N1518" s="17">
        <f t="shared" si="75"/>
        <v>1</v>
      </c>
    </row>
    <row r="1519" spans="1:14" s="16" customFormat="1" ht="31.5">
      <c r="A1519" s="14"/>
      <c r="B1519" s="125" t="s">
        <v>28</v>
      </c>
      <c r="C1519" s="108" t="s">
        <v>410</v>
      </c>
      <c r="D1519" s="108" t="s">
        <v>86</v>
      </c>
      <c r="E1519" s="108" t="s">
        <v>13</v>
      </c>
      <c r="F1519" s="108" t="s">
        <v>543</v>
      </c>
      <c r="G1519" s="108" t="s">
        <v>29</v>
      </c>
      <c r="H1519" s="126">
        <v>0</v>
      </c>
      <c r="I1519" s="126">
        <v>0</v>
      </c>
      <c r="J1519" s="108">
        <v>430420300</v>
      </c>
      <c r="K1519" s="108" t="str">
        <f t="shared" si="73"/>
        <v>0430420300</v>
      </c>
      <c r="L1519" s="303" t="str">
        <f t="shared" si="74"/>
        <v>62005030430420300240</v>
      </c>
      <c r="M1519" s="132" t="str">
        <f>INDEX('реш СГД № 265'!$A:$N,MATCH('БА расх 2019-2020'!$L1519,'реш СГД № 265'!$N:$N,0),3)</f>
        <v>Иные закупки товаров, работ и услуг для обеспечения государственных (муниципальных) нужд</v>
      </c>
      <c r="N1519" s="17">
        <f t="shared" si="75"/>
        <v>1</v>
      </c>
    </row>
    <row r="1520" spans="1:14" s="16" customFormat="1" ht="15.75">
      <c r="A1520" s="14"/>
      <c r="B1520" s="125" t="s">
        <v>30</v>
      </c>
      <c r="C1520" s="108" t="s">
        <v>410</v>
      </c>
      <c r="D1520" s="108" t="s">
        <v>86</v>
      </c>
      <c r="E1520" s="108" t="s">
        <v>13</v>
      </c>
      <c r="F1520" s="108" t="s">
        <v>543</v>
      </c>
      <c r="G1520" s="108" t="s">
        <v>31</v>
      </c>
      <c r="H1520" s="126">
        <v>0</v>
      </c>
      <c r="I1520" s="126">
        <v>0</v>
      </c>
      <c r="J1520" s="108">
        <v>430420300</v>
      </c>
      <c r="K1520" s="108" t="str">
        <f t="shared" si="73"/>
        <v>0430420300</v>
      </c>
      <c r="L1520" s="303" t="str">
        <f t="shared" si="74"/>
        <v>62005030430420300244</v>
      </c>
      <c r="M1520" s="132"/>
      <c r="N1520" s="17">
        <f t="shared" si="75"/>
        <v>0</v>
      </c>
    </row>
    <row r="1521" spans="1:14" s="16" customFormat="1" ht="31.5">
      <c r="A1521" s="14"/>
      <c r="B1521" s="135" t="s">
        <v>877</v>
      </c>
      <c r="C1521" s="108" t="s">
        <v>410</v>
      </c>
      <c r="D1521" s="108" t="s">
        <v>86</v>
      </c>
      <c r="E1521" s="108" t="s">
        <v>13</v>
      </c>
      <c r="F1521" s="108" t="s">
        <v>878</v>
      </c>
      <c r="G1521" s="108" t="s">
        <v>9</v>
      </c>
      <c r="H1521" s="141">
        <v>0</v>
      </c>
      <c r="I1521" s="141">
        <v>0</v>
      </c>
      <c r="J1521" s="108">
        <v>430420780</v>
      </c>
      <c r="K1521" s="108" t="str">
        <f t="shared" si="73"/>
        <v>0430420780</v>
      </c>
      <c r="L1521" s="303" t="str">
        <f t="shared" si="74"/>
        <v>62005030430420780000</v>
      </c>
      <c r="M1521" s="132" t="str">
        <f>INDEX('реш СГД № 265'!$A:$N,MATCH('БА расх 2019-2020'!$L1521,'реш СГД № 265'!$N:$N,0),3)</f>
        <v>Расходы на проведение мероприятий по озеленению территории города Ставрополя</v>
      </c>
      <c r="N1521" s="17">
        <f t="shared" si="75"/>
        <v>1</v>
      </c>
    </row>
    <row r="1522" spans="1:14" s="16" customFormat="1" ht="31.5">
      <c r="A1522" s="14"/>
      <c r="B1522" s="125" t="s">
        <v>28</v>
      </c>
      <c r="C1522" s="108" t="s">
        <v>410</v>
      </c>
      <c r="D1522" s="108" t="s">
        <v>86</v>
      </c>
      <c r="E1522" s="108" t="s">
        <v>13</v>
      </c>
      <c r="F1522" s="108" t="s">
        <v>878</v>
      </c>
      <c r="G1522" s="108" t="s">
        <v>29</v>
      </c>
      <c r="H1522" s="126">
        <v>0</v>
      </c>
      <c r="I1522" s="126">
        <v>0</v>
      </c>
      <c r="J1522" s="108">
        <v>430420780</v>
      </c>
      <c r="K1522" s="108" t="str">
        <f t="shared" si="73"/>
        <v>0430420780</v>
      </c>
      <c r="L1522" s="303" t="str">
        <f t="shared" si="74"/>
        <v>62005030430420780240</v>
      </c>
      <c r="M1522" s="132" t="str">
        <f>INDEX('реш СГД № 265'!$A:$N,MATCH('БА расх 2019-2020'!$L1522,'реш СГД № 265'!$N:$N,0),3)</f>
        <v>Иные закупки товаров, работ и услуг для обеспечения государственных (муниципальных) нужд</v>
      </c>
      <c r="N1522" s="17">
        <f t="shared" si="75"/>
        <v>1</v>
      </c>
    </row>
    <row r="1523" spans="1:14" s="16" customFormat="1" ht="15.75">
      <c r="A1523" s="14"/>
      <c r="B1523" s="125" t="s">
        <v>30</v>
      </c>
      <c r="C1523" s="108" t="s">
        <v>410</v>
      </c>
      <c r="D1523" s="108" t="s">
        <v>86</v>
      </c>
      <c r="E1523" s="108" t="s">
        <v>13</v>
      </c>
      <c r="F1523" s="108" t="s">
        <v>878</v>
      </c>
      <c r="G1523" s="108" t="s">
        <v>31</v>
      </c>
      <c r="H1523" s="126">
        <v>0</v>
      </c>
      <c r="I1523" s="126">
        <v>0</v>
      </c>
      <c r="J1523" s="108">
        <v>430420780</v>
      </c>
      <c r="K1523" s="108" t="str">
        <f t="shared" si="73"/>
        <v>0430420780</v>
      </c>
      <c r="L1523" s="303" t="str">
        <f t="shared" si="74"/>
        <v>62005030430420780244</v>
      </c>
      <c r="M1523" s="132"/>
      <c r="N1523" s="17"/>
    </row>
    <row r="1524" spans="1:14" s="16" customFormat="1" ht="78.75">
      <c r="A1524" s="14"/>
      <c r="B1524" s="125" t="s">
        <v>1350</v>
      </c>
      <c r="C1524" s="130" t="s">
        <v>410</v>
      </c>
      <c r="D1524" s="131" t="s">
        <v>86</v>
      </c>
      <c r="E1524" s="131" t="s">
        <v>13</v>
      </c>
      <c r="F1524" s="131" t="s">
        <v>1351</v>
      </c>
      <c r="G1524" s="131" t="s">
        <v>9</v>
      </c>
      <c r="H1524" s="141">
        <v>0</v>
      </c>
      <c r="I1524" s="141">
        <v>0</v>
      </c>
      <c r="J1524" s="131">
        <v>430476413</v>
      </c>
      <c r="K1524" s="108" t="str">
        <f t="shared" si="73"/>
        <v>0430476413</v>
      </c>
      <c r="L1524" s="303" t="str">
        <f t="shared" ref="L1524:L1525" si="76">C1524&amp;D1524&amp;E1524&amp;K1524&amp;G1524</f>
        <v>62005030430476413000</v>
      </c>
      <c r="M1524" s="132" t="str">
        <f>INDEX('реш СГД № 265'!$A:$N,MATCH('БА расх 2019-2020'!$L1524,'реш СГД № 265'!$N:$N,0),3)</f>
        <v>Расходы  на осуществление функций административного центра Ставропольского края за счет средств краевого бюджета на проведение мероприятий по озеленению территории города Ставрополя</v>
      </c>
      <c r="N1524" s="17">
        <f t="shared" ref="N1524:N1525" si="77">IF(B1524=M1524,1,0)</f>
        <v>1</v>
      </c>
    </row>
    <row r="1525" spans="1:14" s="16" customFormat="1" ht="31.5">
      <c r="A1525" s="14"/>
      <c r="B1525" s="125" t="s">
        <v>28</v>
      </c>
      <c r="C1525" s="130" t="s">
        <v>410</v>
      </c>
      <c r="D1525" s="131" t="s">
        <v>86</v>
      </c>
      <c r="E1525" s="131" t="s">
        <v>13</v>
      </c>
      <c r="F1525" s="131" t="s">
        <v>1351</v>
      </c>
      <c r="G1525" s="131" t="s">
        <v>29</v>
      </c>
      <c r="H1525" s="126">
        <v>0</v>
      </c>
      <c r="I1525" s="126">
        <v>0</v>
      </c>
      <c r="J1525" s="131">
        <v>430476413</v>
      </c>
      <c r="K1525" s="108" t="str">
        <f t="shared" si="73"/>
        <v>0430476413</v>
      </c>
      <c r="L1525" s="303" t="str">
        <f t="shared" si="76"/>
        <v>62005030430476413240</v>
      </c>
      <c r="M1525" s="132" t="str">
        <f>INDEX('реш СГД № 265'!$A:$N,MATCH('БА расх 2019-2020'!$L1525,'реш СГД № 265'!$N:$N,0),3)</f>
        <v>Иные закупки товаров, работ и услуг для обеспечения государственных (муниципальных) нужд</v>
      </c>
      <c r="N1525" s="17">
        <f t="shared" si="77"/>
        <v>1</v>
      </c>
    </row>
    <row r="1526" spans="1:14" s="16" customFormat="1" ht="15.75">
      <c r="A1526" s="14"/>
      <c r="B1526" s="125" t="s">
        <v>30</v>
      </c>
      <c r="C1526" s="130" t="s">
        <v>410</v>
      </c>
      <c r="D1526" s="131" t="s">
        <v>86</v>
      </c>
      <c r="E1526" s="131" t="s">
        <v>13</v>
      </c>
      <c r="F1526" s="131" t="s">
        <v>1351</v>
      </c>
      <c r="G1526" s="131" t="s">
        <v>31</v>
      </c>
      <c r="H1526" s="126">
        <v>0</v>
      </c>
      <c r="I1526" s="126">
        <v>0</v>
      </c>
      <c r="J1526" s="131">
        <v>430476413</v>
      </c>
      <c r="K1526" s="108" t="str">
        <f>TEXT(J1526,"0000000000")</f>
        <v>0430476413</v>
      </c>
      <c r="L1526" s="303" t="str">
        <f>C1526&amp;D1526&amp;E1526&amp;K1526&amp;G1526</f>
        <v>62005030430476413244</v>
      </c>
      <c r="M1526" s="132"/>
      <c r="N1526" s="17"/>
    </row>
    <row r="1527" spans="1:14" s="16" customFormat="1" ht="78.75">
      <c r="A1527" s="14"/>
      <c r="B1527" s="125" t="s">
        <v>1355</v>
      </c>
      <c r="C1527" s="108" t="s">
        <v>410</v>
      </c>
      <c r="D1527" s="108" t="s">
        <v>86</v>
      </c>
      <c r="E1527" s="108" t="s">
        <v>13</v>
      </c>
      <c r="F1527" s="108" t="s">
        <v>1356</v>
      </c>
      <c r="G1527" s="131" t="s">
        <v>9</v>
      </c>
      <c r="H1527" s="126">
        <v>0</v>
      </c>
      <c r="I1527" s="126">
        <v>0</v>
      </c>
      <c r="J1527" s="108" t="s">
        <v>2193</v>
      </c>
      <c r="K1527" s="108" t="str">
        <f t="shared" ref="K1527:K1529" si="78">TEXT(J1527,"0000000000")</f>
        <v>04304S6413</v>
      </c>
      <c r="L1527" s="303" t="str">
        <f t="shared" ref="L1527:L1528" si="79">C1527&amp;D1527&amp;E1527&amp;K1527&amp;G1527</f>
        <v>620050304304S6413000</v>
      </c>
      <c r="M1527" s="132" t="str">
        <f>INDEX('реш СГД № 265'!$A:$N,MATCH('БА расх 2019-2020'!$L1527,'реш СГД № 265'!$N:$N,0),3)</f>
        <v>Расходы  на осуществление функций административного центра Ставропольского края за счет средств местного бюджета на проведение мероприятий по озеленению территории города Ставрополя</v>
      </c>
      <c r="N1527" s="17">
        <f t="shared" ref="N1527:N1528" si="80">IF(B1527=M1527,1,0)</f>
        <v>1</v>
      </c>
    </row>
    <row r="1528" spans="1:14" s="16" customFormat="1" ht="31.5">
      <c r="A1528" s="14"/>
      <c r="B1528" s="125" t="s">
        <v>28</v>
      </c>
      <c r="C1528" s="108" t="s">
        <v>410</v>
      </c>
      <c r="D1528" s="108" t="s">
        <v>86</v>
      </c>
      <c r="E1528" s="108" t="s">
        <v>13</v>
      </c>
      <c r="F1528" s="108" t="s">
        <v>1356</v>
      </c>
      <c r="G1528" s="131" t="s">
        <v>29</v>
      </c>
      <c r="H1528" s="126">
        <v>0</v>
      </c>
      <c r="I1528" s="126">
        <v>0</v>
      </c>
      <c r="J1528" s="108" t="s">
        <v>2193</v>
      </c>
      <c r="K1528" s="108" t="str">
        <f t="shared" si="78"/>
        <v>04304S6413</v>
      </c>
      <c r="L1528" s="303" t="str">
        <f t="shared" si="79"/>
        <v>620050304304S6413240</v>
      </c>
      <c r="M1528" s="132" t="str">
        <f>INDEX('реш СГД № 265'!$A:$N,MATCH('БА расх 2019-2020'!$L1528,'реш СГД № 265'!$N:$N,0),3)</f>
        <v>Иные закупки товаров, работ и услуг для обеспечения государственных (муниципальных) нужд</v>
      </c>
      <c r="N1528" s="17">
        <f t="shared" si="80"/>
        <v>1</v>
      </c>
    </row>
    <row r="1529" spans="1:14" s="16" customFormat="1" ht="15.75">
      <c r="A1529" s="14"/>
      <c r="B1529" s="125" t="s">
        <v>30</v>
      </c>
      <c r="C1529" s="108" t="s">
        <v>410</v>
      </c>
      <c r="D1529" s="108" t="s">
        <v>86</v>
      </c>
      <c r="E1529" s="108" t="s">
        <v>13</v>
      </c>
      <c r="F1529" s="108" t="s">
        <v>1356</v>
      </c>
      <c r="G1529" s="131" t="s">
        <v>31</v>
      </c>
      <c r="H1529" s="126">
        <v>0</v>
      </c>
      <c r="I1529" s="126">
        <v>0</v>
      </c>
      <c r="J1529" s="108" t="s">
        <v>2193</v>
      </c>
      <c r="K1529" s="108" t="str">
        <f t="shared" si="78"/>
        <v>04304S6413</v>
      </c>
      <c r="L1529" s="303" t="str">
        <f t="shared" ref="L1529" si="81">C1529&amp;D1529&amp;E1529&amp;K1529&amp;G1529</f>
        <v>620050304304S6413244</v>
      </c>
      <c r="M1529" s="132"/>
      <c r="N1529" s="17"/>
    </row>
    <row r="1530" spans="1:14" s="16" customFormat="1" ht="47.25">
      <c r="A1530" s="14"/>
      <c r="B1530" s="125" t="s">
        <v>430</v>
      </c>
      <c r="C1530" s="131" t="s">
        <v>410</v>
      </c>
      <c r="D1530" s="131" t="s">
        <v>86</v>
      </c>
      <c r="E1530" s="131" t="s">
        <v>13</v>
      </c>
      <c r="F1530" s="131" t="s">
        <v>431</v>
      </c>
      <c r="G1530" s="131" t="s">
        <v>9</v>
      </c>
      <c r="H1530" s="172">
        <v>0</v>
      </c>
      <c r="I1530" s="172">
        <v>0</v>
      </c>
      <c r="J1530" s="131">
        <v>1700000000</v>
      </c>
      <c r="K1530" s="108" t="str">
        <f t="shared" si="73"/>
        <v>1700000000</v>
      </c>
      <c r="L1530" s="303" t="str">
        <f t="shared" si="74"/>
        <v>62005031700000000000</v>
      </c>
      <c r="M1530" s="132" t="str">
        <f>INDEX('реш СГД № 265'!$A:$N,MATCH('БА расх 2019-2020'!$L1530,'реш СГД № 265'!$N:$N,0),3)</f>
        <v>Муниципальная программа «Энергосбережение и повышение энергетической эффективности в городе Ставрополе»</v>
      </c>
      <c r="N1530" s="17">
        <f t="shared" si="75"/>
        <v>1</v>
      </c>
    </row>
    <row r="1531" spans="1:14" s="16" customFormat="1" ht="47.25">
      <c r="A1531" s="14"/>
      <c r="B1531" s="129" t="s">
        <v>432</v>
      </c>
      <c r="C1531" s="131" t="s">
        <v>410</v>
      </c>
      <c r="D1531" s="131" t="s">
        <v>86</v>
      </c>
      <c r="E1531" s="131" t="s">
        <v>13</v>
      </c>
      <c r="F1531" s="131" t="s">
        <v>433</v>
      </c>
      <c r="G1531" s="131" t="s">
        <v>9</v>
      </c>
      <c r="H1531" s="172">
        <v>0</v>
      </c>
      <c r="I1531" s="172">
        <v>0</v>
      </c>
      <c r="J1531" s="131" t="s">
        <v>1198</v>
      </c>
      <c r="K1531" s="108" t="str">
        <f t="shared" si="73"/>
        <v>17Б0000000</v>
      </c>
      <c r="L1531" s="303" t="str">
        <f t="shared" si="74"/>
        <v>620050317Б0000000000</v>
      </c>
      <c r="M1531" s="132" t="str">
        <f>INDEX('реш СГД № 265'!$A:$N,MATCH('БА расх 2019-2020'!$L1531,'реш СГД № 265'!$N:$N,0),3)</f>
        <v>Расходы в рамках реализации муниципальной программы «Энергосбережение и повышение энергетической эффективности в городе Ставрополе»</v>
      </c>
      <c r="N1531" s="17">
        <f t="shared" si="75"/>
        <v>1</v>
      </c>
    </row>
    <row r="1532" spans="1:14" s="16" customFormat="1" ht="47.25">
      <c r="A1532" s="14"/>
      <c r="B1532" s="129" t="s">
        <v>883</v>
      </c>
      <c r="C1532" s="131" t="s">
        <v>410</v>
      </c>
      <c r="D1532" s="131" t="s">
        <v>86</v>
      </c>
      <c r="E1532" s="131" t="s">
        <v>13</v>
      </c>
      <c r="F1532" s="131" t="s">
        <v>884</v>
      </c>
      <c r="G1532" s="131" t="s">
        <v>9</v>
      </c>
      <c r="H1532" s="172">
        <v>0</v>
      </c>
      <c r="I1532" s="172">
        <v>0</v>
      </c>
      <c r="J1532" s="131" t="s">
        <v>1240</v>
      </c>
      <c r="K1532" s="108" t="str">
        <f t="shared" si="73"/>
        <v>17Б0200000</v>
      </c>
      <c r="L1532" s="303" t="str">
        <f t="shared" si="74"/>
        <v>620050317Б0200000000</v>
      </c>
      <c r="M1532" s="132" t="str">
        <f>INDEX('реш СГД № 265'!$A:$N,MATCH('БА расх 2019-2020'!$L1532,'реш СГД № 265'!$N:$N,0),3)</f>
        <v>Основное мероприятие «Энергосбережение и энергоэффективность систем коммунальной инфраструктуры»</v>
      </c>
      <c r="N1532" s="17">
        <f t="shared" si="75"/>
        <v>1</v>
      </c>
    </row>
    <row r="1533" spans="1:14" s="16" customFormat="1" ht="47.25">
      <c r="A1533" s="14"/>
      <c r="B1533" s="132" t="s">
        <v>436</v>
      </c>
      <c r="C1533" s="108" t="s">
        <v>410</v>
      </c>
      <c r="D1533" s="108" t="s">
        <v>86</v>
      </c>
      <c r="E1533" s="108" t="s">
        <v>13</v>
      </c>
      <c r="F1533" s="108" t="s">
        <v>885</v>
      </c>
      <c r="G1533" s="108" t="s">
        <v>9</v>
      </c>
      <c r="H1533" s="173">
        <v>0</v>
      </c>
      <c r="I1533" s="173">
        <v>0</v>
      </c>
      <c r="J1533" s="108" t="s">
        <v>1241</v>
      </c>
      <c r="K1533" s="108" t="str">
        <f t="shared" si="73"/>
        <v>17Б0220490</v>
      </c>
      <c r="L1533" s="303" t="str">
        <f t="shared" si="74"/>
        <v>620050317Б0220490000</v>
      </c>
      <c r="M1533" s="132" t="str">
        <f>INDEX('реш СГД № 265'!$A:$N,MATCH('БА расх 2019-2020'!$L1533,'реш СГД № 265'!$N:$N,0),3)</f>
        <v>Расходы на проведение мероприятий по энергосбережению и повышению энергетической эффективности</v>
      </c>
      <c r="N1533" s="17">
        <f t="shared" si="75"/>
        <v>1</v>
      </c>
    </row>
    <row r="1534" spans="1:14" s="16" customFormat="1" ht="31.5">
      <c r="A1534" s="14"/>
      <c r="B1534" s="125" t="s">
        <v>28</v>
      </c>
      <c r="C1534" s="108" t="s">
        <v>410</v>
      </c>
      <c r="D1534" s="108" t="s">
        <v>86</v>
      </c>
      <c r="E1534" s="108" t="s">
        <v>13</v>
      </c>
      <c r="F1534" s="108" t="s">
        <v>885</v>
      </c>
      <c r="G1534" s="108" t="s">
        <v>29</v>
      </c>
      <c r="H1534" s="126">
        <v>0</v>
      </c>
      <c r="I1534" s="126">
        <v>0</v>
      </c>
      <c r="J1534" s="108" t="s">
        <v>1241</v>
      </c>
      <c r="K1534" s="108" t="str">
        <f t="shared" si="73"/>
        <v>17Б0220490</v>
      </c>
      <c r="L1534" s="303" t="str">
        <f t="shared" si="74"/>
        <v>620050317Б0220490240</v>
      </c>
      <c r="M1534" s="132" t="str">
        <f>INDEX('реш СГД № 265'!$A:$N,MATCH('БА расх 2019-2020'!$L1534,'реш СГД № 265'!$N:$N,0),3)</f>
        <v>Иные закупки товаров, работ и услуг для обеспечения государственных (муниципальных) нужд</v>
      </c>
      <c r="N1534" s="17">
        <f t="shared" si="75"/>
        <v>1</v>
      </c>
    </row>
    <row r="1535" spans="1:14" s="16" customFormat="1" ht="15.75">
      <c r="A1535" s="14"/>
      <c r="B1535" s="125" t="s">
        <v>30</v>
      </c>
      <c r="C1535" s="108" t="s">
        <v>410</v>
      </c>
      <c r="D1535" s="108" t="s">
        <v>86</v>
      </c>
      <c r="E1535" s="108" t="s">
        <v>13</v>
      </c>
      <c r="F1535" s="108" t="s">
        <v>885</v>
      </c>
      <c r="G1535" s="108" t="s">
        <v>31</v>
      </c>
      <c r="H1535" s="126">
        <v>0</v>
      </c>
      <c r="I1535" s="126">
        <v>0</v>
      </c>
      <c r="J1535" s="108" t="s">
        <v>1241</v>
      </c>
      <c r="K1535" s="108" t="str">
        <f t="shared" si="73"/>
        <v>17Б0220490</v>
      </c>
      <c r="L1535" s="303" t="str">
        <f t="shared" si="74"/>
        <v>620050317Б0220490244</v>
      </c>
      <c r="M1535" s="132"/>
      <c r="N1535" s="17">
        <f t="shared" si="75"/>
        <v>0</v>
      </c>
    </row>
    <row r="1536" spans="1:14" s="16" customFormat="1" ht="47.25">
      <c r="A1536" s="14"/>
      <c r="B1536" s="125" t="s">
        <v>886</v>
      </c>
      <c r="C1536" s="108" t="s">
        <v>410</v>
      </c>
      <c r="D1536" s="108" t="s">
        <v>86</v>
      </c>
      <c r="E1536" s="108" t="s">
        <v>13</v>
      </c>
      <c r="F1536" s="108" t="s">
        <v>887</v>
      </c>
      <c r="G1536" s="108" t="s">
        <v>9</v>
      </c>
      <c r="H1536" s="163">
        <v>0</v>
      </c>
      <c r="I1536" s="163">
        <v>0</v>
      </c>
      <c r="J1536" s="108">
        <v>2000000000</v>
      </c>
      <c r="K1536" s="108" t="str">
        <f t="shared" si="73"/>
        <v>2000000000</v>
      </c>
      <c r="L1536" s="303" t="str">
        <f t="shared" si="74"/>
        <v>62005032000000000000</v>
      </c>
      <c r="M1536" s="132" t="str">
        <f>INDEX('реш СГД № 265'!$A:$N,MATCH('БА расх 2019-2020'!$L1536,'реш СГД № 265'!$N:$N,0),3)</f>
        <v>Муниципальная программа «Формирование современной городской среды на территории города Ставрополя»</v>
      </c>
      <c r="N1536" s="17">
        <f t="shared" si="75"/>
        <v>1</v>
      </c>
    </row>
    <row r="1537" spans="1:14" s="16" customFormat="1" ht="47.25">
      <c r="A1537" s="14"/>
      <c r="B1537" s="125" t="s">
        <v>888</v>
      </c>
      <c r="C1537" s="108" t="s">
        <v>410</v>
      </c>
      <c r="D1537" s="108" t="s">
        <v>86</v>
      </c>
      <c r="E1537" s="108" t="s">
        <v>13</v>
      </c>
      <c r="F1537" s="108" t="s">
        <v>889</v>
      </c>
      <c r="G1537" s="108" t="s">
        <v>9</v>
      </c>
      <c r="H1537" s="163">
        <v>0</v>
      </c>
      <c r="I1537" s="163">
        <v>0</v>
      </c>
      <c r="J1537" s="108" t="s">
        <v>1242</v>
      </c>
      <c r="K1537" s="108" t="str">
        <f t="shared" si="73"/>
        <v>20Б0000000</v>
      </c>
      <c r="L1537" s="303" t="str">
        <f t="shared" si="74"/>
        <v>620050320Б0000000000</v>
      </c>
      <c r="M1537" s="132" t="str">
        <f>INDEX('реш СГД № 265'!$A:$N,MATCH('БА расх 2019-2020'!$L1537,'реш СГД № 265'!$N:$N,0),3)</f>
        <v>Расходы в рамках реализации муниципальной программы «Формирование современной городской среды на территории города Ставрополя»</v>
      </c>
      <c r="N1537" s="17">
        <f t="shared" si="75"/>
        <v>1</v>
      </c>
    </row>
    <row r="1538" spans="1:14" s="16" customFormat="1" ht="31.5">
      <c r="A1538" s="14"/>
      <c r="B1538" s="125" t="s">
        <v>890</v>
      </c>
      <c r="C1538" s="108" t="s">
        <v>410</v>
      </c>
      <c r="D1538" s="108" t="s">
        <v>86</v>
      </c>
      <c r="E1538" s="108" t="s">
        <v>13</v>
      </c>
      <c r="F1538" s="108" t="s">
        <v>891</v>
      </c>
      <c r="G1538" s="108" t="s">
        <v>9</v>
      </c>
      <c r="H1538" s="163">
        <v>0</v>
      </c>
      <c r="I1538" s="163">
        <v>0</v>
      </c>
      <c r="J1538" s="108" t="s">
        <v>1243</v>
      </c>
      <c r="K1538" s="108" t="str">
        <f t="shared" si="73"/>
        <v>20Б0100000</v>
      </c>
      <c r="L1538" s="303" t="str">
        <f t="shared" si="74"/>
        <v>620050320Б0100000000</v>
      </c>
      <c r="M1538" s="132" t="str">
        <f>INDEX('реш СГД № 265'!$A:$N,MATCH('БА расх 2019-2020'!$L1538,'реш СГД № 265'!$N:$N,0),3)</f>
        <v>Основное мероприятие «Благоустройство дворовых территорий в городе Ставрополе»</v>
      </c>
      <c r="N1538" s="17">
        <f t="shared" si="75"/>
        <v>1</v>
      </c>
    </row>
    <row r="1539" spans="1:14" s="16" customFormat="1" ht="31.5">
      <c r="A1539" s="14"/>
      <c r="B1539" s="125" t="s">
        <v>1358</v>
      </c>
      <c r="C1539" s="108" t="s">
        <v>410</v>
      </c>
      <c r="D1539" s="108" t="s">
        <v>86</v>
      </c>
      <c r="E1539" s="108" t="s">
        <v>13</v>
      </c>
      <c r="F1539" s="108" t="s">
        <v>893</v>
      </c>
      <c r="G1539" s="108" t="s">
        <v>9</v>
      </c>
      <c r="H1539" s="163">
        <v>0</v>
      </c>
      <c r="I1539" s="163">
        <v>0</v>
      </c>
      <c r="J1539" s="108" t="s">
        <v>1244</v>
      </c>
      <c r="K1539" s="108" t="str">
        <f t="shared" si="73"/>
        <v>20Б01L5550</v>
      </c>
      <c r="L1539" s="303" t="str">
        <f t="shared" si="74"/>
        <v>620050320Б01L5550000</v>
      </c>
      <c r="M1539" s="132" t="str">
        <f>INDEX('реш СГД № 265'!$A:$N,MATCH('БА расх 2019-2020'!$L1539,'реш СГД № 265'!$N:$N,0),3)</f>
        <v>Поддержка муниципальных программ формирования современной городской среды</v>
      </c>
      <c r="N1539" s="17">
        <f t="shared" si="75"/>
        <v>1</v>
      </c>
    </row>
    <row r="1540" spans="1:14" s="16" customFormat="1" ht="31.5">
      <c r="A1540" s="14"/>
      <c r="B1540" s="125" t="s">
        <v>28</v>
      </c>
      <c r="C1540" s="108" t="s">
        <v>410</v>
      </c>
      <c r="D1540" s="108" t="s">
        <v>86</v>
      </c>
      <c r="E1540" s="108" t="s">
        <v>13</v>
      </c>
      <c r="F1540" s="108" t="s">
        <v>893</v>
      </c>
      <c r="G1540" s="108" t="s">
        <v>29</v>
      </c>
      <c r="H1540" s="126">
        <v>0</v>
      </c>
      <c r="I1540" s="126">
        <v>0</v>
      </c>
      <c r="J1540" s="108" t="s">
        <v>1244</v>
      </c>
      <c r="K1540" s="108" t="str">
        <f t="shared" si="73"/>
        <v>20Б01L5550</v>
      </c>
      <c r="L1540" s="303" t="str">
        <f t="shared" si="74"/>
        <v>620050320Б01L5550240</v>
      </c>
      <c r="M1540" s="132" t="str">
        <f>INDEX('реш СГД № 265'!$A:$N,MATCH('БА расх 2019-2020'!$L1540,'реш СГД № 265'!$N:$N,0),3)</f>
        <v>Иные закупки товаров, работ и услуг для обеспечения государственных (муниципальных) нужд</v>
      </c>
      <c r="N1540" s="17">
        <f t="shared" si="75"/>
        <v>1</v>
      </c>
    </row>
    <row r="1541" spans="1:14" s="16" customFormat="1" ht="15.75">
      <c r="A1541" s="14"/>
      <c r="B1541" s="125" t="s">
        <v>30</v>
      </c>
      <c r="C1541" s="108" t="s">
        <v>410</v>
      </c>
      <c r="D1541" s="108" t="s">
        <v>86</v>
      </c>
      <c r="E1541" s="108" t="s">
        <v>13</v>
      </c>
      <c r="F1541" s="108" t="s">
        <v>893</v>
      </c>
      <c r="G1541" s="108" t="s">
        <v>31</v>
      </c>
      <c r="H1541" s="126">
        <v>0</v>
      </c>
      <c r="I1541" s="126">
        <v>0</v>
      </c>
      <c r="J1541" s="108" t="s">
        <v>1244</v>
      </c>
      <c r="K1541" s="108" t="str">
        <f t="shared" si="73"/>
        <v>20Б01L5550</v>
      </c>
      <c r="L1541" s="303" t="str">
        <f t="shared" si="74"/>
        <v>620050320Б01L5550244</v>
      </c>
      <c r="M1541" s="132"/>
      <c r="N1541" s="17">
        <f t="shared" si="75"/>
        <v>0</v>
      </c>
    </row>
    <row r="1542" spans="1:14" s="16" customFormat="1" ht="31.5">
      <c r="A1542" s="14"/>
      <c r="B1542" s="125" t="s">
        <v>894</v>
      </c>
      <c r="C1542" s="108" t="s">
        <v>410</v>
      </c>
      <c r="D1542" s="108" t="s">
        <v>86</v>
      </c>
      <c r="E1542" s="108" t="s">
        <v>13</v>
      </c>
      <c r="F1542" s="108" t="s">
        <v>895</v>
      </c>
      <c r="G1542" s="108" t="s">
        <v>9</v>
      </c>
      <c r="H1542" s="163">
        <v>0</v>
      </c>
      <c r="I1542" s="163">
        <v>0</v>
      </c>
      <c r="J1542" s="108" t="s">
        <v>1245</v>
      </c>
      <c r="K1542" s="108" t="str">
        <f t="shared" si="73"/>
        <v>20Б0200000</v>
      </c>
      <c r="L1542" s="303" t="str">
        <f t="shared" si="74"/>
        <v>620050320Б0200000000</v>
      </c>
      <c r="M1542" s="132" t="str">
        <f>INDEX('реш СГД № 265'!$A:$N,MATCH('БА расх 2019-2020'!$L1542,'реш СГД № 265'!$N:$N,0),3)</f>
        <v>Основное мероприятие «Благоустройство общественных территорий в городе Ставрополе»</v>
      </c>
      <c r="N1542" s="17">
        <f t="shared" si="75"/>
        <v>1</v>
      </c>
    </row>
    <row r="1543" spans="1:14" s="16" customFormat="1" ht="31.5">
      <c r="A1543" s="14"/>
      <c r="B1543" s="125" t="s">
        <v>1358</v>
      </c>
      <c r="C1543" s="108" t="s">
        <v>410</v>
      </c>
      <c r="D1543" s="108" t="s">
        <v>86</v>
      </c>
      <c r="E1543" s="108" t="s">
        <v>13</v>
      </c>
      <c r="F1543" s="108" t="s">
        <v>896</v>
      </c>
      <c r="G1543" s="108" t="s">
        <v>9</v>
      </c>
      <c r="H1543" s="163">
        <v>0</v>
      </c>
      <c r="I1543" s="163">
        <v>0</v>
      </c>
      <c r="J1543" s="108" t="s">
        <v>1246</v>
      </c>
      <c r="K1543" s="108" t="str">
        <f t="shared" si="73"/>
        <v>20Б02L5550</v>
      </c>
      <c r="L1543" s="303" t="str">
        <f t="shared" si="74"/>
        <v>620050320Б02L5550000</v>
      </c>
      <c r="M1543" s="132" t="str">
        <f>INDEX('реш СГД № 265'!$A:$N,MATCH('БА расх 2019-2020'!$L1543,'реш СГД № 265'!$N:$N,0),3)</f>
        <v>Поддержка муниципальных программ формирования современной городской среды</v>
      </c>
      <c r="N1543" s="17">
        <f t="shared" si="75"/>
        <v>1</v>
      </c>
    </row>
    <row r="1544" spans="1:14" s="16" customFormat="1" ht="31.5">
      <c r="A1544" s="14"/>
      <c r="B1544" s="125" t="s">
        <v>28</v>
      </c>
      <c r="C1544" s="108" t="s">
        <v>410</v>
      </c>
      <c r="D1544" s="108" t="s">
        <v>86</v>
      </c>
      <c r="E1544" s="108" t="s">
        <v>13</v>
      </c>
      <c r="F1544" s="108" t="s">
        <v>896</v>
      </c>
      <c r="G1544" s="108" t="s">
        <v>29</v>
      </c>
      <c r="H1544" s="126">
        <v>0</v>
      </c>
      <c r="I1544" s="126">
        <v>0</v>
      </c>
      <c r="J1544" s="108" t="s">
        <v>1246</v>
      </c>
      <c r="K1544" s="108" t="str">
        <f t="shared" si="73"/>
        <v>20Б02L5550</v>
      </c>
      <c r="L1544" s="303" t="str">
        <f t="shared" si="74"/>
        <v>620050320Б02L5550240</v>
      </c>
      <c r="M1544" s="132" t="str">
        <f>INDEX('реш СГД № 265'!$A:$N,MATCH('БА расх 2019-2020'!$L1544,'реш СГД № 265'!$N:$N,0),3)</f>
        <v>Иные закупки товаров, работ и услуг для обеспечения государственных (муниципальных) нужд</v>
      </c>
      <c r="N1544" s="17">
        <f t="shared" si="75"/>
        <v>1</v>
      </c>
    </row>
    <row r="1545" spans="1:14" s="16" customFormat="1" ht="15.75">
      <c r="A1545" s="14"/>
      <c r="B1545" s="125" t="s">
        <v>30</v>
      </c>
      <c r="C1545" s="108" t="s">
        <v>410</v>
      </c>
      <c r="D1545" s="108" t="s">
        <v>86</v>
      </c>
      <c r="E1545" s="108" t="s">
        <v>13</v>
      </c>
      <c r="F1545" s="108" t="s">
        <v>896</v>
      </c>
      <c r="G1545" s="108" t="s">
        <v>31</v>
      </c>
      <c r="H1545" s="126">
        <v>0</v>
      </c>
      <c r="I1545" s="126">
        <v>0</v>
      </c>
      <c r="J1545" s="108" t="s">
        <v>1246</v>
      </c>
      <c r="K1545" s="108" t="str">
        <f t="shared" si="73"/>
        <v>20Б02L5550</v>
      </c>
      <c r="L1545" s="303" t="str">
        <f t="shared" si="74"/>
        <v>620050320Б02L5550244</v>
      </c>
      <c r="M1545" s="132"/>
      <c r="N1545" s="17">
        <f t="shared" si="75"/>
        <v>0</v>
      </c>
    </row>
    <row r="1546" spans="1:14" s="16" customFormat="1" ht="173.25">
      <c r="A1546" s="14"/>
      <c r="B1546" s="132" t="s">
        <v>1359</v>
      </c>
      <c r="C1546" s="108" t="s">
        <v>410</v>
      </c>
      <c r="D1546" s="108" t="s">
        <v>86</v>
      </c>
      <c r="E1546" s="108" t="s">
        <v>13</v>
      </c>
      <c r="F1546" s="108" t="s">
        <v>898</v>
      </c>
      <c r="G1546" s="108" t="s">
        <v>9</v>
      </c>
      <c r="H1546" s="141">
        <v>0</v>
      </c>
      <c r="I1546" s="141">
        <v>0</v>
      </c>
      <c r="J1546" s="108" t="s">
        <v>1247</v>
      </c>
      <c r="K1546" s="108" t="str">
        <f t="shared" si="73"/>
        <v>20Б0300000</v>
      </c>
      <c r="L1546" s="303" t="str">
        <f t="shared" si="74"/>
        <v>620050320Б0300000000</v>
      </c>
      <c r="M1546" s="132" t="str">
        <f>INDEX('реш СГД № 265'!$A:$N,MATCH('БА расх 2019-2020'!$L1546,'реш СГД № 265'!$N:$N,0),3)</f>
        <v>Основное мероприятие «Разработка дизайн-проектов благоустройства дворовых и общественных территорий в городе Ставрополе, разработка сметной документации на выполнение работ по благоустройству дворовых и общественных территорий в городе Ставрополе (в том числе проведение проверки правильности применения сметных нормативов, индексов и методологии выполнения сметной документации на благоустройство дворовых и общественных территорий в городе Ставрополе)»</v>
      </c>
      <c r="N1546" s="17">
        <f t="shared" si="75"/>
        <v>1</v>
      </c>
    </row>
    <row r="1547" spans="1:14" s="16" customFormat="1" ht="31.5">
      <c r="A1547" s="14"/>
      <c r="B1547" s="401" t="s">
        <v>542</v>
      </c>
      <c r="C1547" s="108" t="s">
        <v>410</v>
      </c>
      <c r="D1547" s="108" t="s">
        <v>86</v>
      </c>
      <c r="E1547" s="108" t="s">
        <v>13</v>
      </c>
      <c r="F1547" s="108" t="s">
        <v>899</v>
      </c>
      <c r="G1547" s="108" t="s">
        <v>9</v>
      </c>
      <c r="H1547" s="141">
        <v>0</v>
      </c>
      <c r="I1547" s="141">
        <v>0</v>
      </c>
      <c r="J1547" s="108" t="s">
        <v>1248</v>
      </c>
      <c r="K1547" s="108" t="str">
        <f t="shared" si="73"/>
        <v>20Б0320300</v>
      </c>
      <c r="L1547" s="303" t="str">
        <f t="shared" si="74"/>
        <v>620050320Б0320300000</v>
      </c>
      <c r="M1547" s="132" t="str">
        <f>INDEX('реш СГД № 265'!$A:$N,MATCH('БА расх 2019-2020'!$L1547,'реш СГД № 265'!$N:$N,0),3)</f>
        <v>Расходы на прочие мероприятия по благоустройству территории города Ставрополя</v>
      </c>
      <c r="N1547" s="17">
        <f t="shared" si="75"/>
        <v>1</v>
      </c>
    </row>
    <row r="1548" spans="1:14" s="16" customFormat="1" ht="31.5">
      <c r="A1548" s="14"/>
      <c r="B1548" s="401" t="s">
        <v>28</v>
      </c>
      <c r="C1548" s="108" t="s">
        <v>410</v>
      </c>
      <c r="D1548" s="108" t="s">
        <v>86</v>
      </c>
      <c r="E1548" s="108" t="s">
        <v>13</v>
      </c>
      <c r="F1548" s="108" t="s">
        <v>899</v>
      </c>
      <c r="G1548" s="108" t="s">
        <v>29</v>
      </c>
      <c r="H1548" s="126">
        <v>0</v>
      </c>
      <c r="I1548" s="126">
        <v>0</v>
      </c>
      <c r="J1548" s="108" t="s">
        <v>1248</v>
      </c>
      <c r="K1548" s="108" t="str">
        <f t="shared" si="73"/>
        <v>20Б0320300</v>
      </c>
      <c r="L1548" s="303" t="str">
        <f t="shared" si="74"/>
        <v>620050320Б0320300240</v>
      </c>
      <c r="M1548" s="132" t="str">
        <f>INDEX('реш СГД № 265'!$A:$N,MATCH('БА расх 2019-2020'!$L1548,'реш СГД № 265'!$N:$N,0),3)</f>
        <v>Иные закупки товаров, работ и услуг для обеспечения государственных (муниципальных) нужд</v>
      </c>
      <c r="N1548" s="17">
        <f t="shared" si="75"/>
        <v>1</v>
      </c>
    </row>
    <row r="1549" spans="1:14" s="16" customFormat="1" ht="15.75">
      <c r="A1549" s="14"/>
      <c r="B1549" s="125" t="s">
        <v>30</v>
      </c>
      <c r="C1549" s="108" t="s">
        <v>410</v>
      </c>
      <c r="D1549" s="108" t="s">
        <v>86</v>
      </c>
      <c r="E1549" s="108" t="s">
        <v>13</v>
      </c>
      <c r="F1549" s="108" t="s">
        <v>899</v>
      </c>
      <c r="G1549" s="108" t="s">
        <v>31</v>
      </c>
      <c r="H1549" s="126">
        <v>0</v>
      </c>
      <c r="I1549" s="126">
        <v>0</v>
      </c>
      <c r="J1549" s="108" t="s">
        <v>1248</v>
      </c>
      <c r="K1549" s="108" t="str">
        <f t="shared" si="73"/>
        <v>20Б0320300</v>
      </c>
      <c r="L1549" s="303" t="str">
        <f t="shared" si="74"/>
        <v>620050320Б0320300244</v>
      </c>
      <c r="M1549" s="132"/>
      <c r="N1549" s="17">
        <f t="shared" si="75"/>
        <v>0</v>
      </c>
    </row>
    <row r="1550" spans="1:14" s="16" customFormat="1" ht="31.5">
      <c r="A1550" s="14"/>
      <c r="B1550" s="121" t="s">
        <v>313</v>
      </c>
      <c r="C1550" s="122" t="s">
        <v>410</v>
      </c>
      <c r="D1550" s="123" t="s">
        <v>86</v>
      </c>
      <c r="E1550" s="123" t="s">
        <v>86</v>
      </c>
      <c r="F1550" s="123" t="s">
        <v>8</v>
      </c>
      <c r="G1550" s="123" t="s">
        <v>9</v>
      </c>
      <c r="H1550" s="124">
        <v>0</v>
      </c>
      <c r="I1550" s="124">
        <v>0</v>
      </c>
      <c r="J1550" s="123">
        <v>0</v>
      </c>
      <c r="K1550" s="108" t="str">
        <f t="shared" si="73"/>
        <v>0000000000</v>
      </c>
      <c r="L1550" s="303" t="str">
        <f t="shared" si="74"/>
        <v>62005050000000000000</v>
      </c>
      <c r="M1550" s="132" t="str">
        <f>INDEX('реш СГД № 265'!$A:$N,MATCH('БА расх 2019-2020'!$L1550,'реш СГД № 265'!$N:$N,0),3)</f>
        <v>Другие вопросы в области жилищно-коммунального хозяйства</v>
      </c>
      <c r="N1550" s="17">
        <f t="shared" si="75"/>
        <v>1</v>
      </c>
    </row>
    <row r="1551" spans="1:14" s="16" customFormat="1" ht="31.5">
      <c r="A1551" s="14"/>
      <c r="B1551" s="125" t="s">
        <v>806</v>
      </c>
      <c r="C1551" s="108" t="s">
        <v>410</v>
      </c>
      <c r="D1551" s="108" t="s">
        <v>86</v>
      </c>
      <c r="E1551" s="108" t="s">
        <v>86</v>
      </c>
      <c r="F1551" s="108" t="s">
        <v>807</v>
      </c>
      <c r="G1551" s="108" t="s">
        <v>9</v>
      </c>
      <c r="H1551" s="163">
        <v>0</v>
      </c>
      <c r="I1551" s="163">
        <v>0</v>
      </c>
      <c r="J1551" s="108">
        <v>8300000000</v>
      </c>
      <c r="K1551" s="108" t="str">
        <f t="shared" si="73"/>
        <v>8300000000</v>
      </c>
      <c r="L1551" s="303" t="str">
        <f t="shared" si="74"/>
        <v>62005058300000000000</v>
      </c>
      <c r="M1551" s="132" t="str">
        <f>INDEX('реш СГД № 265'!$A:$N,MATCH('БА расх 2019-2020'!$L1551,'реш СГД № 265'!$N:$N,0),3)</f>
        <v>Обеспечение деятельности комитета городского хозяйства администрации города Ставрополя</v>
      </c>
      <c r="N1551" s="17">
        <f t="shared" si="75"/>
        <v>1</v>
      </c>
    </row>
    <row r="1552" spans="1:14" s="16" customFormat="1" ht="47.25">
      <c r="A1552" s="14"/>
      <c r="B1552" s="125" t="s">
        <v>808</v>
      </c>
      <c r="C1552" s="108" t="s">
        <v>410</v>
      </c>
      <c r="D1552" s="108" t="s">
        <v>86</v>
      </c>
      <c r="E1552" s="108" t="s">
        <v>86</v>
      </c>
      <c r="F1552" s="108" t="s">
        <v>809</v>
      </c>
      <c r="G1552" s="108" t="s">
        <v>9</v>
      </c>
      <c r="H1552" s="163">
        <v>0</v>
      </c>
      <c r="I1552" s="163">
        <v>0</v>
      </c>
      <c r="J1552" s="108">
        <v>8310000000</v>
      </c>
      <c r="K1552" s="108" t="str">
        <f t="shared" si="73"/>
        <v>8310000000</v>
      </c>
      <c r="L1552" s="303" t="str">
        <f t="shared" si="74"/>
        <v>62005058310000000000</v>
      </c>
      <c r="M1552" s="132" t="str">
        <f>INDEX('реш СГД № 265'!$A:$N,MATCH('БА расх 2019-2020'!$L1552,'реш СГД № 265'!$N:$N,0),3)</f>
        <v>Непрограммные расходы в рамках обеспечения деятельности комитета городского хозяйства администрации города Ставрополя</v>
      </c>
      <c r="N1552" s="17">
        <f t="shared" si="75"/>
        <v>1</v>
      </c>
    </row>
    <row r="1553" spans="1:14" s="16" customFormat="1" ht="31.5">
      <c r="A1553" s="14"/>
      <c r="B1553" s="125" t="s">
        <v>18</v>
      </c>
      <c r="C1553" s="108" t="s">
        <v>410</v>
      </c>
      <c r="D1553" s="108" t="s">
        <v>86</v>
      </c>
      <c r="E1553" s="108" t="s">
        <v>86</v>
      </c>
      <c r="F1553" s="108" t="s">
        <v>900</v>
      </c>
      <c r="G1553" s="108" t="s">
        <v>9</v>
      </c>
      <c r="H1553" s="163">
        <v>0</v>
      </c>
      <c r="I1553" s="163">
        <v>0</v>
      </c>
      <c r="J1553" s="108">
        <v>8310010010</v>
      </c>
      <c r="K1553" s="108" t="str">
        <f t="shared" ref="K1553:K1616" si="82">TEXT(J1553,"0000000000")</f>
        <v>8310010010</v>
      </c>
      <c r="L1553" s="303" t="str">
        <f t="shared" si="74"/>
        <v>62005058310010010000</v>
      </c>
      <c r="M1553" s="132" t="str">
        <f>INDEX('реш СГД № 265'!$A:$N,MATCH('БА расх 2019-2020'!$L1553,'реш СГД № 265'!$N:$N,0),3)</f>
        <v>Расходы на обеспечение функций органов местного самоуправления города Ставрополя</v>
      </c>
      <c r="N1553" s="17">
        <f t="shared" si="75"/>
        <v>1</v>
      </c>
    </row>
    <row r="1554" spans="1:14" s="16" customFormat="1" ht="31.5">
      <c r="A1554" s="14"/>
      <c r="B1554" s="127" t="s">
        <v>20</v>
      </c>
      <c r="C1554" s="108" t="s">
        <v>410</v>
      </c>
      <c r="D1554" s="108" t="s">
        <v>86</v>
      </c>
      <c r="E1554" s="108" t="s">
        <v>86</v>
      </c>
      <c r="F1554" s="108" t="s">
        <v>900</v>
      </c>
      <c r="G1554" s="108" t="s">
        <v>21</v>
      </c>
      <c r="H1554" s="126">
        <v>0</v>
      </c>
      <c r="I1554" s="126">
        <v>0</v>
      </c>
      <c r="J1554" s="108">
        <v>8310010010</v>
      </c>
      <c r="K1554" s="108" t="str">
        <f t="shared" si="82"/>
        <v>8310010010</v>
      </c>
      <c r="L1554" s="303" t="str">
        <f t="shared" ref="L1554:L1617" si="83">C1554&amp;D1554&amp;E1554&amp;K1554&amp;G1554</f>
        <v>62005058310010010120</v>
      </c>
      <c r="M1554" s="132" t="str">
        <f>INDEX('реш СГД № 265'!$A:$N,MATCH('БА расх 2019-2020'!$L1554,'реш СГД № 265'!$N:$N,0),3)</f>
        <v>Расходы на выплаты персоналу государственных (муниципальных) органов</v>
      </c>
      <c r="N1554" s="17">
        <f t="shared" ref="N1554:N1617" si="84">IF(B1554=M1554,1,0)</f>
        <v>1</v>
      </c>
    </row>
    <row r="1555" spans="1:14" s="23" customFormat="1" ht="47.25">
      <c r="A1555" s="21"/>
      <c r="B1555" s="127" t="s">
        <v>22</v>
      </c>
      <c r="C1555" s="108" t="s">
        <v>410</v>
      </c>
      <c r="D1555" s="108" t="s">
        <v>86</v>
      </c>
      <c r="E1555" s="108" t="s">
        <v>86</v>
      </c>
      <c r="F1555" s="108" t="s">
        <v>900</v>
      </c>
      <c r="G1555" s="108" t="s">
        <v>23</v>
      </c>
      <c r="H1555" s="126">
        <v>0</v>
      </c>
      <c r="I1555" s="126">
        <v>0</v>
      </c>
      <c r="J1555" s="108">
        <v>8310010010</v>
      </c>
      <c r="K1555" s="108" t="str">
        <f t="shared" si="82"/>
        <v>8310010010</v>
      </c>
      <c r="L1555" s="303" t="str">
        <f t="shared" si="83"/>
        <v>62005058310010010122</v>
      </c>
      <c r="M1555" s="132"/>
      <c r="N1555" s="17">
        <f t="shared" si="84"/>
        <v>0</v>
      </c>
    </row>
    <row r="1556" spans="1:14" s="23" customFormat="1" ht="63">
      <c r="A1556" s="21"/>
      <c r="B1556" s="127" t="s">
        <v>26</v>
      </c>
      <c r="C1556" s="108" t="s">
        <v>410</v>
      </c>
      <c r="D1556" s="108" t="s">
        <v>86</v>
      </c>
      <c r="E1556" s="108" t="s">
        <v>86</v>
      </c>
      <c r="F1556" s="108" t="s">
        <v>900</v>
      </c>
      <c r="G1556" s="108" t="s">
        <v>27</v>
      </c>
      <c r="H1556" s="126">
        <v>0</v>
      </c>
      <c r="I1556" s="126">
        <v>0</v>
      </c>
      <c r="J1556" s="108">
        <v>8310010010</v>
      </c>
      <c r="K1556" s="108" t="str">
        <f t="shared" si="82"/>
        <v>8310010010</v>
      </c>
      <c r="L1556" s="303" t="str">
        <f t="shared" si="83"/>
        <v>62005058310010010129</v>
      </c>
      <c r="M1556" s="132"/>
      <c r="N1556" s="17">
        <f t="shared" si="84"/>
        <v>0</v>
      </c>
    </row>
    <row r="1557" spans="1:14" s="16" customFormat="1" ht="31.5">
      <c r="A1557" s="14"/>
      <c r="B1557" s="125" t="s">
        <v>28</v>
      </c>
      <c r="C1557" s="108" t="s">
        <v>410</v>
      </c>
      <c r="D1557" s="108" t="s">
        <v>86</v>
      </c>
      <c r="E1557" s="108" t="s">
        <v>86</v>
      </c>
      <c r="F1557" s="108" t="s">
        <v>900</v>
      </c>
      <c r="G1557" s="108" t="s">
        <v>29</v>
      </c>
      <c r="H1557" s="126">
        <v>0</v>
      </c>
      <c r="I1557" s="126">
        <v>0</v>
      </c>
      <c r="J1557" s="108">
        <v>8310010010</v>
      </c>
      <c r="K1557" s="108" t="str">
        <f t="shared" si="82"/>
        <v>8310010010</v>
      </c>
      <c r="L1557" s="303" t="str">
        <f t="shared" si="83"/>
        <v>62005058310010010240</v>
      </c>
      <c r="M1557" s="132" t="str">
        <f>INDEX('реш СГД № 265'!$A:$N,MATCH('БА расх 2019-2020'!$L1557,'реш СГД № 265'!$N:$N,0),3)</f>
        <v>Иные закупки товаров, работ и услуг для обеспечения государственных (муниципальных) нужд</v>
      </c>
      <c r="N1557" s="17">
        <f t="shared" si="84"/>
        <v>1</v>
      </c>
    </row>
    <row r="1558" spans="1:14" s="16" customFormat="1" ht="15.75">
      <c r="A1558" s="14"/>
      <c r="B1558" s="125" t="s">
        <v>30</v>
      </c>
      <c r="C1558" s="108" t="s">
        <v>410</v>
      </c>
      <c r="D1558" s="108" t="s">
        <v>86</v>
      </c>
      <c r="E1558" s="108" t="s">
        <v>86</v>
      </c>
      <c r="F1558" s="108" t="s">
        <v>900</v>
      </c>
      <c r="G1558" s="108" t="s">
        <v>31</v>
      </c>
      <c r="H1558" s="126">
        <v>0</v>
      </c>
      <c r="I1558" s="126">
        <v>0</v>
      </c>
      <c r="J1558" s="108">
        <v>8310010010</v>
      </c>
      <c r="K1558" s="108" t="str">
        <f t="shared" si="82"/>
        <v>8310010010</v>
      </c>
      <c r="L1558" s="303" t="str">
        <f t="shared" si="83"/>
        <v>62005058310010010244</v>
      </c>
      <c r="M1558" s="132"/>
      <c r="N1558" s="17">
        <f t="shared" si="84"/>
        <v>0</v>
      </c>
    </row>
    <row r="1559" spans="1:14" s="16" customFormat="1" ht="15.75">
      <c r="A1559" s="14"/>
      <c r="B1559" s="125" t="s">
        <v>32</v>
      </c>
      <c r="C1559" s="108" t="s">
        <v>410</v>
      </c>
      <c r="D1559" s="108" t="s">
        <v>86</v>
      </c>
      <c r="E1559" s="108" t="s">
        <v>86</v>
      </c>
      <c r="F1559" s="108" t="s">
        <v>900</v>
      </c>
      <c r="G1559" s="108" t="s">
        <v>33</v>
      </c>
      <c r="H1559" s="126">
        <v>0</v>
      </c>
      <c r="I1559" s="126">
        <v>0</v>
      </c>
      <c r="J1559" s="108">
        <v>8310010010</v>
      </c>
      <c r="K1559" s="108" t="str">
        <f t="shared" si="82"/>
        <v>8310010010</v>
      </c>
      <c r="L1559" s="303" t="str">
        <f t="shared" si="83"/>
        <v>62005058310010010850</v>
      </c>
      <c r="M1559" s="132" t="str">
        <f>INDEX('реш СГД № 265'!$A:$N,MATCH('БА расх 2019-2020'!$L1559,'реш СГД № 265'!$N:$N,0),3)</f>
        <v>Уплата налогов, сборов и иных платежей</v>
      </c>
      <c r="N1559" s="17">
        <f t="shared" si="84"/>
        <v>1</v>
      </c>
    </row>
    <row r="1560" spans="1:14" s="23" customFormat="1" ht="31.5">
      <c r="A1560" s="21"/>
      <c r="B1560" s="127" t="s">
        <v>34</v>
      </c>
      <c r="C1560" s="108" t="s">
        <v>410</v>
      </c>
      <c r="D1560" s="108" t="s">
        <v>86</v>
      </c>
      <c r="E1560" s="108" t="s">
        <v>86</v>
      </c>
      <c r="F1560" s="108" t="s">
        <v>900</v>
      </c>
      <c r="G1560" s="108" t="s">
        <v>35</v>
      </c>
      <c r="H1560" s="126">
        <v>0</v>
      </c>
      <c r="I1560" s="126">
        <v>0</v>
      </c>
      <c r="J1560" s="108">
        <v>8310010010</v>
      </c>
      <c r="K1560" s="108" t="str">
        <f t="shared" si="82"/>
        <v>8310010010</v>
      </c>
      <c r="L1560" s="303" t="str">
        <f t="shared" si="83"/>
        <v>62005058310010010851</v>
      </c>
      <c r="M1560" s="132"/>
      <c r="N1560" s="17">
        <f t="shared" si="84"/>
        <v>0</v>
      </c>
    </row>
    <row r="1561" spans="1:14" s="23" customFormat="1" ht="15.75">
      <c r="A1561" s="21"/>
      <c r="B1561" s="127" t="s">
        <v>36</v>
      </c>
      <c r="C1561" s="108" t="s">
        <v>410</v>
      </c>
      <c r="D1561" s="108" t="s">
        <v>86</v>
      </c>
      <c r="E1561" s="108" t="s">
        <v>86</v>
      </c>
      <c r="F1561" s="108" t="s">
        <v>900</v>
      </c>
      <c r="G1561" s="108" t="s">
        <v>37</v>
      </c>
      <c r="H1561" s="126">
        <v>0</v>
      </c>
      <c r="I1561" s="126">
        <v>0</v>
      </c>
      <c r="J1561" s="108">
        <v>8310010010</v>
      </c>
      <c r="K1561" s="108" t="str">
        <f t="shared" si="82"/>
        <v>8310010010</v>
      </c>
      <c r="L1561" s="303" t="str">
        <f t="shared" si="83"/>
        <v>62005058310010010852</v>
      </c>
      <c r="M1561" s="132"/>
      <c r="N1561" s="17">
        <f t="shared" si="84"/>
        <v>0</v>
      </c>
    </row>
    <row r="1562" spans="1:14" s="16" customFormat="1" ht="31.5">
      <c r="A1562" s="14"/>
      <c r="B1562" s="125" t="s">
        <v>38</v>
      </c>
      <c r="C1562" s="108" t="s">
        <v>410</v>
      </c>
      <c r="D1562" s="108" t="s">
        <v>86</v>
      </c>
      <c r="E1562" s="108" t="s">
        <v>86</v>
      </c>
      <c r="F1562" s="108" t="s">
        <v>901</v>
      </c>
      <c r="G1562" s="108" t="s">
        <v>9</v>
      </c>
      <c r="H1562" s="126">
        <v>0</v>
      </c>
      <c r="I1562" s="126">
        <v>0</v>
      </c>
      <c r="J1562" s="108">
        <v>8310010020</v>
      </c>
      <c r="K1562" s="108" t="str">
        <f t="shared" si="82"/>
        <v>8310010020</v>
      </c>
      <c r="L1562" s="303" t="str">
        <f t="shared" si="83"/>
        <v>62005058310010020000</v>
      </c>
      <c r="M1562" s="132" t="str">
        <f>INDEX('реш СГД № 265'!$A:$N,MATCH('БА расх 2019-2020'!$L1562,'реш СГД № 265'!$N:$N,0),3)</f>
        <v>Расходы на выплаты по оплате труда работников органов местного самоуправления города Ставрополя</v>
      </c>
      <c r="N1562" s="17">
        <f t="shared" si="84"/>
        <v>1</v>
      </c>
    </row>
    <row r="1563" spans="1:14" s="16" customFormat="1" ht="31.5">
      <c r="A1563" s="14"/>
      <c r="B1563" s="127" t="s">
        <v>20</v>
      </c>
      <c r="C1563" s="108" t="s">
        <v>410</v>
      </c>
      <c r="D1563" s="108" t="s">
        <v>86</v>
      </c>
      <c r="E1563" s="108" t="s">
        <v>86</v>
      </c>
      <c r="F1563" s="108" t="s">
        <v>901</v>
      </c>
      <c r="G1563" s="108" t="s">
        <v>21</v>
      </c>
      <c r="H1563" s="126">
        <v>0</v>
      </c>
      <c r="I1563" s="126">
        <v>0</v>
      </c>
      <c r="J1563" s="108">
        <v>8310010020</v>
      </c>
      <c r="K1563" s="108" t="str">
        <f t="shared" si="82"/>
        <v>8310010020</v>
      </c>
      <c r="L1563" s="303" t="str">
        <f t="shared" si="83"/>
        <v>62005058310010020120</v>
      </c>
      <c r="M1563" s="132" t="str">
        <f>INDEX('реш СГД № 265'!$A:$N,MATCH('БА расх 2019-2020'!$L1563,'реш СГД № 265'!$N:$N,0),3)</f>
        <v>Расходы на выплаты персоналу государственных (муниципальных) органов</v>
      </c>
      <c r="N1563" s="17">
        <f t="shared" si="84"/>
        <v>1</v>
      </c>
    </row>
    <row r="1564" spans="1:14" s="23" customFormat="1" ht="31.5">
      <c r="A1564" s="21"/>
      <c r="B1564" s="127" t="s">
        <v>40</v>
      </c>
      <c r="C1564" s="108" t="s">
        <v>410</v>
      </c>
      <c r="D1564" s="108" t="s">
        <v>86</v>
      </c>
      <c r="E1564" s="108" t="s">
        <v>86</v>
      </c>
      <c r="F1564" s="108" t="s">
        <v>901</v>
      </c>
      <c r="G1564" s="108" t="s">
        <v>41</v>
      </c>
      <c r="H1564" s="126">
        <v>0</v>
      </c>
      <c r="I1564" s="126">
        <v>0</v>
      </c>
      <c r="J1564" s="108">
        <v>8310010020</v>
      </c>
      <c r="K1564" s="108" t="str">
        <f t="shared" si="82"/>
        <v>8310010020</v>
      </c>
      <c r="L1564" s="303" t="str">
        <f t="shared" si="83"/>
        <v>62005058310010020121</v>
      </c>
      <c r="M1564" s="132"/>
      <c r="N1564" s="17">
        <f t="shared" si="84"/>
        <v>0</v>
      </c>
    </row>
    <row r="1565" spans="1:14" s="23" customFormat="1" ht="63">
      <c r="A1565" s="21"/>
      <c r="B1565" s="127" t="s">
        <v>26</v>
      </c>
      <c r="C1565" s="108" t="s">
        <v>410</v>
      </c>
      <c r="D1565" s="108" t="s">
        <v>86</v>
      </c>
      <c r="E1565" s="108" t="s">
        <v>86</v>
      </c>
      <c r="F1565" s="108" t="s">
        <v>901</v>
      </c>
      <c r="G1565" s="108" t="s">
        <v>27</v>
      </c>
      <c r="H1565" s="126">
        <v>0</v>
      </c>
      <c r="I1565" s="126">
        <v>0</v>
      </c>
      <c r="J1565" s="108">
        <v>8310010020</v>
      </c>
      <c r="K1565" s="108" t="str">
        <f t="shared" si="82"/>
        <v>8310010020</v>
      </c>
      <c r="L1565" s="303" t="str">
        <f t="shared" si="83"/>
        <v>62005058310010020129</v>
      </c>
      <c r="M1565" s="132"/>
      <c r="N1565" s="17">
        <f t="shared" si="84"/>
        <v>0</v>
      </c>
    </row>
    <row r="1566" spans="1:14" s="16" customFormat="1" ht="15.75">
      <c r="A1566" s="14"/>
      <c r="B1566" s="117" t="s">
        <v>569</v>
      </c>
      <c r="C1566" s="118" t="s">
        <v>410</v>
      </c>
      <c r="D1566" s="119" t="s">
        <v>238</v>
      </c>
      <c r="E1566" s="119" t="s">
        <v>7</v>
      </c>
      <c r="F1566" s="119" t="s">
        <v>8</v>
      </c>
      <c r="G1566" s="119" t="s">
        <v>9</v>
      </c>
      <c r="H1566" s="120">
        <v>0</v>
      </c>
      <c r="I1566" s="120">
        <v>0</v>
      </c>
      <c r="J1566" s="119">
        <v>0</v>
      </c>
      <c r="K1566" s="108" t="str">
        <f t="shared" si="82"/>
        <v>0000000000</v>
      </c>
      <c r="L1566" s="303" t="str">
        <f t="shared" si="83"/>
        <v>62008000000000000000</v>
      </c>
      <c r="M1566" s="132" t="str">
        <f>INDEX('реш СГД № 265'!$A:$N,MATCH('БА расх 2019-2020'!$L1566,'реш СГД № 265'!$N:$N,0),3)</f>
        <v>Культура, кинематография</v>
      </c>
      <c r="N1566" s="17">
        <f t="shared" si="84"/>
        <v>1</v>
      </c>
    </row>
    <row r="1567" spans="1:14" s="16" customFormat="1" ht="15.75">
      <c r="A1567" s="14"/>
      <c r="B1567" s="121" t="s">
        <v>239</v>
      </c>
      <c r="C1567" s="122" t="s">
        <v>410</v>
      </c>
      <c r="D1567" s="123" t="s">
        <v>238</v>
      </c>
      <c r="E1567" s="123" t="s">
        <v>11</v>
      </c>
      <c r="F1567" s="123" t="s">
        <v>8</v>
      </c>
      <c r="G1567" s="123" t="s">
        <v>9</v>
      </c>
      <c r="H1567" s="124">
        <v>0</v>
      </c>
      <c r="I1567" s="124">
        <v>0</v>
      </c>
      <c r="J1567" s="123">
        <v>0</v>
      </c>
      <c r="K1567" s="108" t="str">
        <f t="shared" si="82"/>
        <v>0000000000</v>
      </c>
      <c r="L1567" s="303" t="str">
        <f t="shared" si="83"/>
        <v>62008010000000000000</v>
      </c>
      <c r="M1567" s="132" t="str">
        <f>INDEX('реш СГД № 265'!$A:$N,MATCH('БА расх 2019-2020'!$L1567,'реш СГД № 265'!$N:$N,0),3)</f>
        <v>Культура</v>
      </c>
      <c r="N1567" s="17">
        <f t="shared" si="84"/>
        <v>1</v>
      </c>
    </row>
    <row r="1568" spans="1:14" s="16" customFormat="1" ht="31.5">
      <c r="A1568" s="14"/>
      <c r="B1568" s="125" t="s">
        <v>240</v>
      </c>
      <c r="C1568" s="109" t="s">
        <v>410</v>
      </c>
      <c r="D1568" s="108" t="s">
        <v>238</v>
      </c>
      <c r="E1568" s="108" t="s">
        <v>11</v>
      </c>
      <c r="F1568" s="131" t="s">
        <v>241</v>
      </c>
      <c r="G1568" s="108" t="s">
        <v>9</v>
      </c>
      <c r="H1568" s="126">
        <v>0</v>
      </c>
      <c r="I1568" s="126">
        <v>0</v>
      </c>
      <c r="J1568" s="131">
        <v>700000000</v>
      </c>
      <c r="K1568" s="108" t="str">
        <f t="shared" si="82"/>
        <v>0700000000</v>
      </c>
      <c r="L1568" s="303" t="str">
        <f t="shared" si="83"/>
        <v>62008010700000000000</v>
      </c>
      <c r="M1568" s="132" t="str">
        <f>INDEX('реш СГД № 265'!$A:$N,MATCH('БА расх 2019-2020'!$L1568,'реш СГД № 265'!$N:$N,0),3)</f>
        <v>Муниципальная программа «Культура города Ставрополя»</v>
      </c>
      <c r="N1568" s="17">
        <f t="shared" si="84"/>
        <v>1</v>
      </c>
    </row>
    <row r="1569" spans="1:14" s="16" customFormat="1" ht="78.75">
      <c r="A1569" s="14"/>
      <c r="B1569" s="125" t="s">
        <v>384</v>
      </c>
      <c r="C1569" s="109" t="s">
        <v>410</v>
      </c>
      <c r="D1569" s="108" t="s">
        <v>238</v>
      </c>
      <c r="E1569" s="108" t="s">
        <v>11</v>
      </c>
      <c r="F1569" s="131" t="s">
        <v>243</v>
      </c>
      <c r="G1569" s="108" t="s">
        <v>9</v>
      </c>
      <c r="H1569" s="126">
        <v>0</v>
      </c>
      <c r="I1569" s="126">
        <v>0</v>
      </c>
      <c r="J1569" s="131">
        <v>710000000</v>
      </c>
      <c r="K1569" s="108" t="str">
        <f t="shared" si="82"/>
        <v>0710000000</v>
      </c>
      <c r="L1569" s="303" t="str">
        <f t="shared" si="83"/>
        <v>62008010710000000000</v>
      </c>
      <c r="M1569" s="132" t="str">
        <f>INDEX('реш СГД № 265'!$A:$N,MATCH('БА расх 2019-2020'!$L1569,'реш СГД № 265'!$N:$N,0),3)</f>
        <v>Подпрограмма «Проведение городских и краевых культурно-массовых мероприятий, посвященных памятным, знаменательным и юбилейным датам в истории России, Ставропольского края, города Ставрополя»</v>
      </c>
      <c r="N1569" s="17">
        <f t="shared" si="84"/>
        <v>1</v>
      </c>
    </row>
    <row r="1570" spans="1:14" s="16" customFormat="1" ht="110.25">
      <c r="A1570" s="14"/>
      <c r="B1570" s="125" t="s">
        <v>244</v>
      </c>
      <c r="C1570" s="109" t="s">
        <v>410</v>
      </c>
      <c r="D1570" s="108" t="s">
        <v>238</v>
      </c>
      <c r="E1570" s="108" t="s">
        <v>11</v>
      </c>
      <c r="F1570" s="131" t="s">
        <v>245</v>
      </c>
      <c r="G1570" s="108" t="s">
        <v>9</v>
      </c>
      <c r="H1570" s="126">
        <v>0</v>
      </c>
      <c r="I1570" s="126">
        <v>0</v>
      </c>
      <c r="J1570" s="131">
        <v>710100000</v>
      </c>
      <c r="K1570" s="108" t="str">
        <f t="shared" si="82"/>
        <v>0710100000</v>
      </c>
      <c r="L1570" s="303" t="str">
        <f t="shared" si="83"/>
        <v>62008010710100000000</v>
      </c>
      <c r="M1570" s="132" t="str">
        <f>INDEX('реш СГД № 265'!$A:$N,MATCH('БА расх 2019-2020'!$L1570,'реш СГД № 265'!$N:$N,0),3)</f>
        <v>Основное мероприятие «Обеспечение доступности к культурным ценностям и права на участие в культурной жизни для всех групп населения города Ставрополя, популяризация объектов культурного наследия города Ставрополя, формирование имиджа города Ставрополя как культурного центра Ставропольского края»</v>
      </c>
      <c r="N1570" s="17">
        <f t="shared" si="84"/>
        <v>1</v>
      </c>
    </row>
    <row r="1571" spans="1:14" s="16" customFormat="1" ht="31.5">
      <c r="A1571" s="14"/>
      <c r="B1571" s="125" t="s">
        <v>246</v>
      </c>
      <c r="C1571" s="109" t="s">
        <v>410</v>
      </c>
      <c r="D1571" s="108" t="s">
        <v>238</v>
      </c>
      <c r="E1571" s="108" t="s">
        <v>11</v>
      </c>
      <c r="F1571" s="131" t="s">
        <v>247</v>
      </c>
      <c r="G1571" s="108" t="s">
        <v>9</v>
      </c>
      <c r="H1571" s="126">
        <v>0</v>
      </c>
      <c r="I1571" s="126">
        <v>0</v>
      </c>
      <c r="J1571" s="131">
        <v>710120060</v>
      </c>
      <c r="K1571" s="108" t="str">
        <f t="shared" si="82"/>
        <v>0710120060</v>
      </c>
      <c r="L1571" s="303" t="str">
        <f t="shared" si="83"/>
        <v>62008010710120060000</v>
      </c>
      <c r="M1571" s="132" t="str">
        <f>INDEX('реш СГД № 265'!$A:$N,MATCH('БА расх 2019-2020'!$L1571,'реш СГД № 265'!$N:$N,0),3)</f>
        <v>Расходы на проведение культурно-массовых мероприятий в городе Ставрополе</v>
      </c>
      <c r="N1571" s="17">
        <f t="shared" si="84"/>
        <v>1</v>
      </c>
    </row>
    <row r="1572" spans="1:14" s="16" customFormat="1" ht="31.5">
      <c r="A1572" s="14"/>
      <c r="B1572" s="127" t="s">
        <v>28</v>
      </c>
      <c r="C1572" s="109" t="s">
        <v>410</v>
      </c>
      <c r="D1572" s="108" t="s">
        <v>238</v>
      </c>
      <c r="E1572" s="108" t="s">
        <v>11</v>
      </c>
      <c r="F1572" s="131" t="s">
        <v>247</v>
      </c>
      <c r="G1572" s="108" t="s">
        <v>29</v>
      </c>
      <c r="H1572" s="126">
        <v>0</v>
      </c>
      <c r="I1572" s="126">
        <v>0</v>
      </c>
      <c r="J1572" s="131">
        <v>710120060</v>
      </c>
      <c r="K1572" s="108" t="str">
        <f t="shared" si="82"/>
        <v>0710120060</v>
      </c>
      <c r="L1572" s="303" t="str">
        <f t="shared" si="83"/>
        <v>62008010710120060240</v>
      </c>
      <c r="M1572" s="132" t="str">
        <f>INDEX('реш СГД № 265'!$A:$N,MATCH('БА расх 2019-2020'!$L1572,'реш СГД № 265'!$N:$N,0),3)</f>
        <v>Иные закупки товаров, работ и услуг для обеспечения государственных (муниципальных) нужд</v>
      </c>
      <c r="N1572" s="17">
        <f t="shared" si="84"/>
        <v>1</v>
      </c>
    </row>
    <row r="1573" spans="1:14" s="16" customFormat="1" ht="15.75">
      <c r="A1573" s="14"/>
      <c r="B1573" s="125" t="s">
        <v>30</v>
      </c>
      <c r="C1573" s="109" t="s">
        <v>410</v>
      </c>
      <c r="D1573" s="108" t="s">
        <v>238</v>
      </c>
      <c r="E1573" s="108" t="s">
        <v>11</v>
      </c>
      <c r="F1573" s="108" t="s">
        <v>247</v>
      </c>
      <c r="G1573" s="108" t="s">
        <v>31</v>
      </c>
      <c r="H1573" s="126">
        <v>0</v>
      </c>
      <c r="I1573" s="126">
        <v>0</v>
      </c>
      <c r="J1573" s="108">
        <v>710120060</v>
      </c>
      <c r="K1573" s="108" t="str">
        <f t="shared" si="82"/>
        <v>0710120060</v>
      </c>
      <c r="L1573" s="303" t="str">
        <f t="shared" si="83"/>
        <v>62008010710120060244</v>
      </c>
      <c r="M1573" s="132"/>
      <c r="N1573" s="17">
        <f t="shared" si="84"/>
        <v>0</v>
      </c>
    </row>
    <row r="1574" spans="1:14" s="16" customFormat="1" ht="15.75">
      <c r="A1574" s="14"/>
      <c r="B1574" s="117" t="s">
        <v>316</v>
      </c>
      <c r="C1574" s="118" t="s">
        <v>410</v>
      </c>
      <c r="D1574" s="119" t="s">
        <v>317</v>
      </c>
      <c r="E1574" s="119" t="s">
        <v>7</v>
      </c>
      <c r="F1574" s="119" t="s">
        <v>8</v>
      </c>
      <c r="G1574" s="119" t="s">
        <v>9</v>
      </c>
      <c r="H1574" s="120">
        <v>0</v>
      </c>
      <c r="I1574" s="120">
        <v>0</v>
      </c>
      <c r="J1574" s="119">
        <v>0</v>
      </c>
      <c r="K1574" s="108" t="str">
        <f t="shared" si="82"/>
        <v>0000000000</v>
      </c>
      <c r="L1574" s="303" t="str">
        <f t="shared" si="83"/>
        <v>62010000000000000000</v>
      </c>
      <c r="M1574" s="132" t="str">
        <f>INDEX('реш СГД № 265'!$A:$N,MATCH('БА расх 2019-2020'!$L1574,'реш СГД № 265'!$N:$N,0),3)</f>
        <v>Социальная политика</v>
      </c>
      <c r="N1574" s="17">
        <f t="shared" si="84"/>
        <v>1</v>
      </c>
    </row>
    <row r="1575" spans="1:14" s="16" customFormat="1" ht="15.75">
      <c r="A1575" s="14"/>
      <c r="B1575" s="121" t="s">
        <v>318</v>
      </c>
      <c r="C1575" s="122" t="s">
        <v>410</v>
      </c>
      <c r="D1575" s="123">
        <v>10</v>
      </c>
      <c r="E1575" s="123" t="s">
        <v>13</v>
      </c>
      <c r="F1575" s="123" t="s">
        <v>8</v>
      </c>
      <c r="G1575" s="123" t="s">
        <v>9</v>
      </c>
      <c r="H1575" s="124">
        <v>0</v>
      </c>
      <c r="I1575" s="124">
        <v>0</v>
      </c>
      <c r="J1575" s="123">
        <v>0</v>
      </c>
      <c r="K1575" s="108" t="str">
        <f t="shared" si="82"/>
        <v>0000000000</v>
      </c>
      <c r="L1575" s="303" t="str">
        <f t="shared" si="83"/>
        <v>62010030000000000000</v>
      </c>
      <c r="M1575" s="132" t="str">
        <f>INDEX('реш СГД № 265'!$A:$N,MATCH('БА расх 2019-2020'!$L1575,'реш СГД № 265'!$N:$N,0),3)</f>
        <v>Социальное обеспечение населения</v>
      </c>
      <c r="N1575" s="17">
        <f t="shared" si="84"/>
        <v>1</v>
      </c>
    </row>
    <row r="1576" spans="1:14" s="16" customFormat="1" ht="31.5">
      <c r="A1576" s="14"/>
      <c r="B1576" s="135" t="s">
        <v>385</v>
      </c>
      <c r="C1576" s="131" t="s">
        <v>410</v>
      </c>
      <c r="D1576" s="131">
        <v>10</v>
      </c>
      <c r="E1576" s="131" t="s">
        <v>13</v>
      </c>
      <c r="F1576" s="131" t="s">
        <v>386</v>
      </c>
      <c r="G1576" s="131" t="s">
        <v>9</v>
      </c>
      <c r="H1576" s="105">
        <v>0</v>
      </c>
      <c r="I1576" s="105">
        <v>0</v>
      </c>
      <c r="J1576" s="131">
        <v>300000000</v>
      </c>
      <c r="K1576" s="108" t="str">
        <f t="shared" si="82"/>
        <v>0300000000</v>
      </c>
      <c r="L1576" s="303" t="str">
        <f t="shared" si="83"/>
        <v>62010030300000000000</v>
      </c>
      <c r="M1576" s="132" t="str">
        <f>INDEX('реш СГД № 265'!$A:$N,MATCH('БА расх 2019-2020'!$L1576,'реш СГД № 265'!$N:$N,0),3)</f>
        <v>Муниципальная программа «Социальная поддержка населения города Ставрополя»</v>
      </c>
      <c r="N1576" s="17">
        <f t="shared" si="84"/>
        <v>1</v>
      </c>
    </row>
    <row r="1577" spans="1:14" s="16" customFormat="1" ht="63">
      <c r="A1577" s="14"/>
      <c r="B1577" s="135" t="s">
        <v>387</v>
      </c>
      <c r="C1577" s="131" t="s">
        <v>410</v>
      </c>
      <c r="D1577" s="131">
        <v>10</v>
      </c>
      <c r="E1577" s="131" t="s">
        <v>13</v>
      </c>
      <c r="F1577" s="131" t="s">
        <v>388</v>
      </c>
      <c r="G1577" s="131" t="s">
        <v>9</v>
      </c>
      <c r="H1577" s="105">
        <v>0</v>
      </c>
      <c r="I1577" s="105">
        <v>0</v>
      </c>
      <c r="J1577" s="131">
        <v>320000000</v>
      </c>
      <c r="K1577" s="108" t="str">
        <f t="shared" si="82"/>
        <v>0320000000</v>
      </c>
      <c r="L1577" s="303" t="str">
        <f t="shared" si="83"/>
        <v>62010030320000000000</v>
      </c>
      <c r="M1577" s="132" t="str">
        <f>INDEX('реш СГД № 265'!$A:$N,MATCH('БА расх 2019-2020'!$L1577,'реш СГД № 265'!$N:$N,0),3)</f>
        <v>Подпрограмма «Дополнительные меры социальной поддержки для отдельных категорий граждан, поддержка социально ориентированных некоммерческих организаций»</v>
      </c>
      <c r="N1577" s="17">
        <f t="shared" si="84"/>
        <v>1</v>
      </c>
    </row>
    <row r="1578" spans="1:14" s="16" customFormat="1" ht="63">
      <c r="A1578" s="14"/>
      <c r="B1578" s="129" t="s">
        <v>902</v>
      </c>
      <c r="C1578" s="131" t="s">
        <v>410</v>
      </c>
      <c r="D1578" s="131">
        <v>10</v>
      </c>
      <c r="E1578" s="131" t="s">
        <v>13</v>
      </c>
      <c r="F1578" s="131" t="s">
        <v>903</v>
      </c>
      <c r="G1578" s="131" t="s">
        <v>9</v>
      </c>
      <c r="H1578" s="105">
        <v>0</v>
      </c>
      <c r="I1578" s="105">
        <v>0</v>
      </c>
      <c r="J1578" s="131">
        <v>320300000</v>
      </c>
      <c r="K1578" s="108" t="str">
        <f t="shared" si="82"/>
        <v>0320300000</v>
      </c>
      <c r="L1578" s="303" t="str">
        <f t="shared" si="83"/>
        <v>62010030320300000000</v>
      </c>
      <c r="M1578" s="132" t="str">
        <f>INDEX('реш СГД № 265'!$A:$N,MATCH('БА расх 2019-2020'!$L1578,'реш СГД № 265'!$N:$N,0),3)</f>
        <v>Основное мероприятие «Возмещение затрат по предоставлению услуг согласно гарантированному перечню услуг по погребению специализированной организации по вопросам похоронного дела»</v>
      </c>
      <c r="N1578" s="17">
        <f t="shared" si="84"/>
        <v>1</v>
      </c>
    </row>
    <row r="1579" spans="1:14" s="16" customFormat="1" ht="63">
      <c r="A1579" s="14"/>
      <c r="B1579" s="125" t="s">
        <v>904</v>
      </c>
      <c r="C1579" s="108" t="s">
        <v>410</v>
      </c>
      <c r="D1579" s="108">
        <v>10</v>
      </c>
      <c r="E1579" s="108" t="s">
        <v>13</v>
      </c>
      <c r="F1579" s="108" t="s">
        <v>905</v>
      </c>
      <c r="G1579" s="108" t="s">
        <v>9</v>
      </c>
      <c r="H1579" s="126">
        <v>0</v>
      </c>
      <c r="I1579" s="126">
        <v>0</v>
      </c>
      <c r="J1579" s="108">
        <v>320380020</v>
      </c>
      <c r="K1579" s="108" t="str">
        <f t="shared" si="82"/>
        <v>0320380020</v>
      </c>
      <c r="L1579" s="303" t="str">
        <f t="shared" si="83"/>
        <v>62010030320380020000</v>
      </c>
      <c r="M1579" s="132" t="str">
        <f>INDEX('реш СГД № 265'!$A:$N,MATCH('БА расх 2019-2020'!$L1579,'реш СГД № 265'!$N:$N,0),3)</f>
        <v>Возмещение затрат по предоставлению услуг согласно гарантированному перечню услуг по погребению специализированной организации по вопросам похоронного дела</v>
      </c>
      <c r="N1579" s="17">
        <f t="shared" si="84"/>
        <v>1</v>
      </c>
    </row>
    <row r="1580" spans="1:14" s="16" customFormat="1" ht="63">
      <c r="A1580" s="14"/>
      <c r="B1580" s="125" t="s">
        <v>203</v>
      </c>
      <c r="C1580" s="108" t="s">
        <v>410</v>
      </c>
      <c r="D1580" s="108">
        <v>10</v>
      </c>
      <c r="E1580" s="108" t="s">
        <v>13</v>
      </c>
      <c r="F1580" s="108" t="s">
        <v>905</v>
      </c>
      <c r="G1580" s="108" t="s">
        <v>204</v>
      </c>
      <c r="H1580" s="126">
        <v>0</v>
      </c>
      <c r="I1580" s="126">
        <v>0</v>
      </c>
      <c r="J1580" s="108">
        <v>320380020</v>
      </c>
      <c r="K1580" s="108" t="str">
        <f t="shared" si="82"/>
        <v>0320380020</v>
      </c>
      <c r="L1580" s="303" t="str">
        <f t="shared" si="83"/>
        <v>62010030320380020810</v>
      </c>
      <c r="M1580" s="132" t="str">
        <f>INDEX('реш СГД № 265'!$A:$N,MATCH('БА расх 2019-2020'!$L1580,'реш СГД № 265'!$N:$N,0),3)</f>
        <v>Субсидии юридическим лицам (кроме некоммерческих организаций), индивидуальным предпринимателям, физическим лицам - производителям товаров, работ, услуг</v>
      </c>
      <c r="N1580" s="17">
        <f t="shared" si="84"/>
        <v>1</v>
      </c>
    </row>
    <row r="1581" spans="1:14" s="16" customFormat="1" ht="63">
      <c r="A1581" s="14"/>
      <c r="B1581" s="125" t="s">
        <v>205</v>
      </c>
      <c r="C1581" s="108" t="s">
        <v>410</v>
      </c>
      <c r="D1581" s="108">
        <v>10</v>
      </c>
      <c r="E1581" s="108" t="s">
        <v>13</v>
      </c>
      <c r="F1581" s="108" t="s">
        <v>905</v>
      </c>
      <c r="G1581" s="108" t="s">
        <v>206</v>
      </c>
      <c r="H1581" s="126">
        <v>0</v>
      </c>
      <c r="I1581" s="126">
        <v>0</v>
      </c>
      <c r="J1581" s="108">
        <v>320380020</v>
      </c>
      <c r="K1581" s="108" t="str">
        <f t="shared" si="82"/>
        <v>0320380020</v>
      </c>
      <c r="L1581" s="303" t="str">
        <f t="shared" si="83"/>
        <v>62010030320380020811</v>
      </c>
      <c r="M1581" s="132"/>
      <c r="N1581" s="17">
        <f t="shared" si="84"/>
        <v>0</v>
      </c>
    </row>
    <row r="1582" spans="1:14" s="16" customFormat="1" ht="78.75">
      <c r="A1582" s="14"/>
      <c r="B1582" s="129" t="s">
        <v>906</v>
      </c>
      <c r="C1582" s="131" t="s">
        <v>410</v>
      </c>
      <c r="D1582" s="131">
        <v>10</v>
      </c>
      <c r="E1582" s="131" t="s">
        <v>13</v>
      </c>
      <c r="F1582" s="131" t="s">
        <v>907</v>
      </c>
      <c r="G1582" s="131" t="s">
        <v>9</v>
      </c>
      <c r="H1582" s="105">
        <v>0</v>
      </c>
      <c r="I1582" s="105">
        <v>0</v>
      </c>
      <c r="J1582" s="131">
        <v>320400000</v>
      </c>
      <c r="K1582" s="108" t="str">
        <f t="shared" si="82"/>
        <v>0320400000</v>
      </c>
      <c r="L1582" s="303" t="str">
        <f t="shared" si="83"/>
        <v>62010030320400000000</v>
      </c>
      <c r="M1582" s="132" t="str">
        <f>INDEX('реш СГД № 265'!$A:$N,MATCH('БА расх 2019-2020'!$L1582,'реш СГД № 265'!$N:$N,0),3)</f>
        <v>Основное мероприятие «Предоставление дополнительных мер социальной поддержки отдельным категориям граждан при проезде в городском общественном транспорте на территории города Ставрополя»</v>
      </c>
      <c r="N1582" s="17">
        <f t="shared" si="84"/>
        <v>1</v>
      </c>
    </row>
    <row r="1583" spans="1:14" s="16" customFormat="1" ht="63">
      <c r="A1583" s="14"/>
      <c r="B1583" s="125" t="s">
        <v>908</v>
      </c>
      <c r="C1583" s="108" t="s">
        <v>410</v>
      </c>
      <c r="D1583" s="108">
        <v>10</v>
      </c>
      <c r="E1583" s="108" t="s">
        <v>13</v>
      </c>
      <c r="F1583" s="108" t="s">
        <v>909</v>
      </c>
      <c r="G1583" s="108" t="s">
        <v>9</v>
      </c>
      <c r="H1583" s="126">
        <v>0</v>
      </c>
      <c r="I1583" s="126">
        <v>0</v>
      </c>
      <c r="J1583" s="108">
        <v>320480220</v>
      </c>
      <c r="K1583" s="108" t="str">
        <f t="shared" si="82"/>
        <v>0320480220</v>
      </c>
      <c r="L1583" s="303" t="str">
        <f t="shared" si="83"/>
        <v>62010030320480220000</v>
      </c>
      <c r="M1583" s="132" t="str">
        <f>INDEX('реш СГД № 265'!$A:$N,MATCH('БА расх 2019-2020'!$L1583,'реш СГД № 265'!$N:$N,0),3)</f>
        <v>Предоставление дополнительных мер социальной поддержки отдельным категориям граждан при проезде в городском общественном транспорте на территории города Ставрополя</v>
      </c>
      <c r="N1583" s="17">
        <f t="shared" si="84"/>
        <v>1</v>
      </c>
    </row>
    <row r="1584" spans="1:14" s="16" customFormat="1" ht="63">
      <c r="A1584" s="14"/>
      <c r="B1584" s="125" t="s">
        <v>203</v>
      </c>
      <c r="C1584" s="108" t="s">
        <v>410</v>
      </c>
      <c r="D1584" s="108">
        <v>10</v>
      </c>
      <c r="E1584" s="108" t="s">
        <v>13</v>
      </c>
      <c r="F1584" s="108" t="s">
        <v>909</v>
      </c>
      <c r="G1584" s="108" t="s">
        <v>204</v>
      </c>
      <c r="H1584" s="126">
        <v>0</v>
      </c>
      <c r="I1584" s="126">
        <v>0</v>
      </c>
      <c r="J1584" s="108">
        <v>320480220</v>
      </c>
      <c r="K1584" s="108" t="str">
        <f t="shared" si="82"/>
        <v>0320480220</v>
      </c>
      <c r="L1584" s="303" t="str">
        <f t="shared" si="83"/>
        <v>62010030320480220810</v>
      </c>
      <c r="M1584" s="132" t="str">
        <f>INDEX('реш СГД № 265'!$A:$N,MATCH('БА расх 2019-2020'!$L1584,'реш СГД № 265'!$N:$N,0),3)</f>
        <v>Субсидии юридическим лицам (кроме некоммерческих организаций), индивидуальным предпринимателям, физическим лицам - производителям товаров, работ, услуг</v>
      </c>
      <c r="N1584" s="17">
        <f t="shared" si="84"/>
        <v>1</v>
      </c>
    </row>
    <row r="1585" spans="1:14" s="16" customFormat="1" ht="110.25">
      <c r="A1585" s="14"/>
      <c r="B1585" s="125" t="s">
        <v>207</v>
      </c>
      <c r="C1585" s="108" t="s">
        <v>410</v>
      </c>
      <c r="D1585" s="108">
        <v>10</v>
      </c>
      <c r="E1585" s="108" t="s">
        <v>13</v>
      </c>
      <c r="F1585" s="108" t="s">
        <v>909</v>
      </c>
      <c r="G1585" s="108" t="s">
        <v>208</v>
      </c>
      <c r="H1585" s="126">
        <v>0</v>
      </c>
      <c r="I1585" s="126">
        <v>0</v>
      </c>
      <c r="J1585" s="108">
        <v>320480220</v>
      </c>
      <c r="K1585" s="108" t="str">
        <f t="shared" si="82"/>
        <v>0320480220</v>
      </c>
      <c r="L1585" s="303" t="str">
        <f t="shared" si="83"/>
        <v>62010030320480220812</v>
      </c>
      <c r="M1585" s="132"/>
      <c r="N1585" s="17">
        <f t="shared" si="84"/>
        <v>0</v>
      </c>
    </row>
    <row r="1586" spans="1:14" s="16" customFormat="1" ht="15.75">
      <c r="A1586" s="14"/>
      <c r="B1586" s="132"/>
      <c r="C1586" s="131"/>
      <c r="D1586" s="131"/>
      <c r="E1586" s="131"/>
      <c r="F1586" s="131"/>
      <c r="G1586" s="131"/>
      <c r="H1586" s="105"/>
      <c r="I1586" s="105"/>
      <c r="J1586" s="131"/>
      <c r="K1586" s="108" t="str">
        <f t="shared" si="82"/>
        <v>0000000000</v>
      </c>
      <c r="L1586" s="303" t="str">
        <f t="shared" si="83"/>
        <v>0000000000</v>
      </c>
      <c r="M1586" s="132">
        <f>INDEX('реш СГД № 265'!$A:$N,MATCH('БА расх 2019-2020'!$L1586,'реш СГД № 265'!$N:$N,0),3)</f>
        <v>0</v>
      </c>
      <c r="N1586" s="17">
        <f t="shared" si="84"/>
        <v>1</v>
      </c>
    </row>
    <row r="1587" spans="1:14" s="16" customFormat="1" ht="31.5">
      <c r="A1587" s="14"/>
      <c r="B1587" s="67" t="s">
        <v>910</v>
      </c>
      <c r="C1587" s="116" t="s">
        <v>412</v>
      </c>
      <c r="D1587" s="69" t="s">
        <v>7</v>
      </c>
      <c r="E1587" s="69" t="s">
        <v>7</v>
      </c>
      <c r="F1587" s="69" t="s">
        <v>8</v>
      </c>
      <c r="G1587" s="69" t="s">
        <v>9</v>
      </c>
      <c r="H1587" s="70">
        <v>0</v>
      </c>
      <c r="I1587" s="70">
        <v>0</v>
      </c>
      <c r="J1587" s="69">
        <v>0</v>
      </c>
      <c r="K1587" s="108" t="str">
        <f t="shared" si="82"/>
        <v>0000000000</v>
      </c>
      <c r="L1587" s="303" t="str">
        <f t="shared" si="83"/>
        <v>62100000000000000000</v>
      </c>
      <c r="M1587" s="132" t="str">
        <f>INDEX('реш СГД № 265'!$A:$N,MATCH('БА расх 2019-2020'!$L1587,'реш СГД № 265'!$N:$N,0),3)</f>
        <v>Комитет градостроительства администрации города Ставрополя</v>
      </c>
      <c r="N1587" s="17">
        <f t="shared" si="84"/>
        <v>1</v>
      </c>
    </row>
    <row r="1588" spans="1:14" s="16" customFormat="1" ht="15.75">
      <c r="A1588" s="14"/>
      <c r="B1588" s="117" t="s">
        <v>10</v>
      </c>
      <c r="C1588" s="118" t="s">
        <v>412</v>
      </c>
      <c r="D1588" s="119" t="s">
        <v>11</v>
      </c>
      <c r="E1588" s="119" t="s">
        <v>7</v>
      </c>
      <c r="F1588" s="119" t="s">
        <v>8</v>
      </c>
      <c r="G1588" s="119" t="s">
        <v>9</v>
      </c>
      <c r="H1588" s="120">
        <v>0</v>
      </c>
      <c r="I1588" s="120">
        <v>0</v>
      </c>
      <c r="J1588" s="119">
        <v>0</v>
      </c>
      <c r="K1588" s="108" t="str">
        <f t="shared" si="82"/>
        <v>0000000000</v>
      </c>
      <c r="L1588" s="303" t="str">
        <f t="shared" si="83"/>
        <v>62101000000000000000</v>
      </c>
      <c r="M1588" s="132" t="str">
        <f>INDEX('реш СГД № 265'!$A:$N,MATCH('БА расх 2019-2020'!$L1588,'реш СГД № 265'!$N:$N,0),3)</f>
        <v>Общегосударственные вопросы</v>
      </c>
      <c r="N1588" s="17">
        <f t="shared" si="84"/>
        <v>1</v>
      </c>
    </row>
    <row r="1589" spans="1:14" s="16" customFormat="1" ht="15.75">
      <c r="A1589" s="14"/>
      <c r="B1589" s="121" t="s">
        <v>50</v>
      </c>
      <c r="C1589" s="122" t="s">
        <v>412</v>
      </c>
      <c r="D1589" s="123" t="s">
        <v>11</v>
      </c>
      <c r="E1589" s="123" t="s">
        <v>51</v>
      </c>
      <c r="F1589" s="123" t="s">
        <v>8</v>
      </c>
      <c r="G1589" s="123" t="s">
        <v>9</v>
      </c>
      <c r="H1589" s="124">
        <v>0</v>
      </c>
      <c r="I1589" s="124">
        <v>0</v>
      </c>
      <c r="J1589" s="123">
        <v>0</v>
      </c>
      <c r="K1589" s="108" t="str">
        <f t="shared" si="82"/>
        <v>0000000000</v>
      </c>
      <c r="L1589" s="303" t="str">
        <f t="shared" si="83"/>
        <v>62101130000000000000</v>
      </c>
      <c r="M1589" s="132" t="str">
        <f>INDEX('реш СГД № 265'!$A:$N,MATCH('БА расх 2019-2020'!$L1589,'реш СГД № 265'!$N:$N,0),3)</f>
        <v>Другие общегосударственные вопросы</v>
      </c>
      <c r="N1589" s="17">
        <f t="shared" si="84"/>
        <v>1</v>
      </c>
    </row>
    <row r="1590" spans="1:14" s="16" customFormat="1" ht="47.25">
      <c r="A1590" s="14"/>
      <c r="B1590" s="164" t="s">
        <v>911</v>
      </c>
      <c r="C1590" s="109" t="s">
        <v>412</v>
      </c>
      <c r="D1590" s="108" t="s">
        <v>11</v>
      </c>
      <c r="E1590" s="108" t="s">
        <v>51</v>
      </c>
      <c r="F1590" s="108" t="s">
        <v>912</v>
      </c>
      <c r="G1590" s="108" t="s">
        <v>9</v>
      </c>
      <c r="H1590" s="126">
        <v>0</v>
      </c>
      <c r="I1590" s="126">
        <v>0</v>
      </c>
      <c r="J1590" s="108">
        <v>8400000000</v>
      </c>
      <c r="K1590" s="108" t="str">
        <f t="shared" si="82"/>
        <v>8400000000</v>
      </c>
      <c r="L1590" s="303" t="str">
        <f t="shared" si="83"/>
        <v>62101138400000000000</v>
      </c>
      <c r="M1590" s="132" t="str">
        <f>INDEX('реш СГД № 265'!$A:$N,MATCH('БА расх 2019-2020'!$L1590,'реш СГД № 265'!$N:$N,0),3)</f>
        <v>Обеспечение деятельности комитета градостроительства администрации города Ставрополя</v>
      </c>
      <c r="N1590" s="17">
        <f t="shared" si="84"/>
        <v>1</v>
      </c>
    </row>
    <row r="1591" spans="1:14" s="16" customFormat="1" ht="47.25">
      <c r="A1591" s="14"/>
      <c r="B1591" s="164" t="s">
        <v>913</v>
      </c>
      <c r="C1591" s="109" t="s">
        <v>412</v>
      </c>
      <c r="D1591" s="108" t="s">
        <v>11</v>
      </c>
      <c r="E1591" s="108" t="s">
        <v>51</v>
      </c>
      <c r="F1591" s="108" t="s">
        <v>914</v>
      </c>
      <c r="G1591" s="108" t="s">
        <v>9</v>
      </c>
      <c r="H1591" s="126">
        <v>0</v>
      </c>
      <c r="I1591" s="126">
        <v>0</v>
      </c>
      <c r="J1591" s="108">
        <v>8410000000</v>
      </c>
      <c r="K1591" s="108" t="str">
        <f t="shared" si="82"/>
        <v>8410000000</v>
      </c>
      <c r="L1591" s="303" t="str">
        <f t="shared" si="83"/>
        <v>62101138410000000000</v>
      </c>
      <c r="M1591" s="132" t="str">
        <f>INDEX('реш СГД № 265'!$A:$N,MATCH('БА расх 2019-2020'!$L1591,'реш СГД № 265'!$N:$N,0),3)</f>
        <v>Непрограммные расходы в рамках обеспечения деятельности комитета градостроительства администрации города Ставрополя</v>
      </c>
      <c r="N1591" s="17">
        <f t="shared" si="84"/>
        <v>1</v>
      </c>
    </row>
    <row r="1592" spans="1:14" s="16" customFormat="1" ht="31.5">
      <c r="A1592" s="14"/>
      <c r="B1592" s="164" t="s">
        <v>18</v>
      </c>
      <c r="C1592" s="109" t="s">
        <v>412</v>
      </c>
      <c r="D1592" s="108" t="s">
        <v>11</v>
      </c>
      <c r="E1592" s="108" t="s">
        <v>51</v>
      </c>
      <c r="F1592" s="108" t="s">
        <v>915</v>
      </c>
      <c r="G1592" s="108" t="s">
        <v>9</v>
      </c>
      <c r="H1592" s="126">
        <v>0</v>
      </c>
      <c r="I1592" s="126">
        <v>0</v>
      </c>
      <c r="J1592" s="108">
        <v>8410010010</v>
      </c>
      <c r="K1592" s="108" t="str">
        <f t="shared" si="82"/>
        <v>8410010010</v>
      </c>
      <c r="L1592" s="303" t="str">
        <f t="shared" si="83"/>
        <v>62101138410010010000</v>
      </c>
      <c r="M1592" s="132" t="str">
        <f>INDEX('реш СГД № 265'!$A:$N,MATCH('БА расх 2019-2020'!$L1592,'реш СГД № 265'!$N:$N,0),3)</f>
        <v>Расходы на обеспечение функций органов местного самоуправления города Ставрополя</v>
      </c>
      <c r="N1592" s="17">
        <f t="shared" si="84"/>
        <v>1</v>
      </c>
    </row>
    <row r="1593" spans="1:14" s="16" customFormat="1" ht="31.5">
      <c r="A1593" s="14"/>
      <c r="B1593" s="164" t="s">
        <v>20</v>
      </c>
      <c r="C1593" s="109" t="s">
        <v>412</v>
      </c>
      <c r="D1593" s="108" t="s">
        <v>11</v>
      </c>
      <c r="E1593" s="108" t="s">
        <v>51</v>
      </c>
      <c r="F1593" s="108" t="s">
        <v>915</v>
      </c>
      <c r="G1593" s="108" t="s">
        <v>21</v>
      </c>
      <c r="H1593" s="126">
        <v>0</v>
      </c>
      <c r="I1593" s="126">
        <v>0</v>
      </c>
      <c r="J1593" s="108">
        <v>8410010010</v>
      </c>
      <c r="K1593" s="108" t="str">
        <f t="shared" si="82"/>
        <v>8410010010</v>
      </c>
      <c r="L1593" s="303" t="str">
        <f t="shared" si="83"/>
        <v>62101138410010010120</v>
      </c>
      <c r="M1593" s="132" t="str">
        <f>INDEX('реш СГД № 265'!$A:$N,MATCH('БА расх 2019-2020'!$L1593,'реш СГД № 265'!$N:$N,0),3)</f>
        <v>Расходы на выплаты персоналу государственных (муниципальных) органов</v>
      </c>
      <c r="N1593" s="17">
        <f t="shared" si="84"/>
        <v>1</v>
      </c>
    </row>
    <row r="1594" spans="1:14" s="23" customFormat="1" ht="47.25">
      <c r="A1594" s="21"/>
      <c r="B1594" s="127" t="s">
        <v>22</v>
      </c>
      <c r="C1594" s="109" t="s">
        <v>412</v>
      </c>
      <c r="D1594" s="108" t="s">
        <v>11</v>
      </c>
      <c r="E1594" s="108" t="s">
        <v>51</v>
      </c>
      <c r="F1594" s="108" t="s">
        <v>915</v>
      </c>
      <c r="G1594" s="108" t="s">
        <v>23</v>
      </c>
      <c r="H1594" s="126">
        <v>0</v>
      </c>
      <c r="I1594" s="126">
        <v>0</v>
      </c>
      <c r="J1594" s="108">
        <v>8410010010</v>
      </c>
      <c r="K1594" s="108" t="str">
        <f t="shared" si="82"/>
        <v>8410010010</v>
      </c>
      <c r="L1594" s="303" t="str">
        <f t="shared" si="83"/>
        <v>62101138410010010122</v>
      </c>
      <c r="M1594" s="132"/>
      <c r="N1594" s="17">
        <f t="shared" si="84"/>
        <v>0</v>
      </c>
    </row>
    <row r="1595" spans="1:14" s="23" customFormat="1" ht="63">
      <c r="A1595" s="21"/>
      <c r="B1595" s="127" t="s">
        <v>26</v>
      </c>
      <c r="C1595" s="109" t="s">
        <v>412</v>
      </c>
      <c r="D1595" s="108" t="s">
        <v>11</v>
      </c>
      <c r="E1595" s="108" t="s">
        <v>51</v>
      </c>
      <c r="F1595" s="108" t="s">
        <v>915</v>
      </c>
      <c r="G1595" s="108" t="s">
        <v>27</v>
      </c>
      <c r="H1595" s="126">
        <v>0</v>
      </c>
      <c r="I1595" s="126">
        <v>0</v>
      </c>
      <c r="J1595" s="108">
        <v>8410010010</v>
      </c>
      <c r="K1595" s="108" t="str">
        <f t="shared" si="82"/>
        <v>8410010010</v>
      </c>
      <c r="L1595" s="303" t="str">
        <f t="shared" si="83"/>
        <v>62101138410010010129</v>
      </c>
      <c r="M1595" s="132"/>
      <c r="N1595" s="17">
        <f t="shared" si="84"/>
        <v>0</v>
      </c>
    </row>
    <row r="1596" spans="1:14" s="16" customFormat="1" ht="31.5">
      <c r="A1596" s="14"/>
      <c r="B1596" s="164" t="s">
        <v>28</v>
      </c>
      <c r="C1596" s="109" t="s">
        <v>412</v>
      </c>
      <c r="D1596" s="108" t="s">
        <v>11</v>
      </c>
      <c r="E1596" s="108" t="s">
        <v>51</v>
      </c>
      <c r="F1596" s="108" t="s">
        <v>915</v>
      </c>
      <c r="G1596" s="108" t="s">
        <v>29</v>
      </c>
      <c r="H1596" s="126">
        <v>0</v>
      </c>
      <c r="I1596" s="126">
        <v>0</v>
      </c>
      <c r="J1596" s="108">
        <v>8410010010</v>
      </c>
      <c r="K1596" s="108" t="str">
        <f t="shared" si="82"/>
        <v>8410010010</v>
      </c>
      <c r="L1596" s="303" t="str">
        <f t="shared" si="83"/>
        <v>62101138410010010240</v>
      </c>
      <c r="M1596" s="132" t="str">
        <f>INDEX('реш СГД № 265'!$A:$N,MATCH('БА расх 2019-2020'!$L1596,'реш СГД № 265'!$N:$N,0),3)</f>
        <v>Иные закупки товаров, работ и услуг для обеспечения государственных (муниципальных) нужд</v>
      </c>
      <c r="N1596" s="17">
        <f t="shared" si="84"/>
        <v>1</v>
      </c>
    </row>
    <row r="1597" spans="1:14" s="16" customFormat="1" ht="15.75">
      <c r="A1597" s="14"/>
      <c r="B1597" s="125" t="s">
        <v>30</v>
      </c>
      <c r="C1597" s="109" t="s">
        <v>412</v>
      </c>
      <c r="D1597" s="108" t="s">
        <v>11</v>
      </c>
      <c r="E1597" s="108" t="s">
        <v>51</v>
      </c>
      <c r="F1597" s="108" t="s">
        <v>915</v>
      </c>
      <c r="G1597" s="108" t="s">
        <v>31</v>
      </c>
      <c r="H1597" s="126">
        <v>0</v>
      </c>
      <c r="I1597" s="126">
        <v>0</v>
      </c>
      <c r="J1597" s="108">
        <v>8410010010</v>
      </c>
      <c r="K1597" s="108" t="str">
        <f t="shared" si="82"/>
        <v>8410010010</v>
      </c>
      <c r="L1597" s="303" t="str">
        <f t="shared" si="83"/>
        <v>62101138410010010244</v>
      </c>
      <c r="M1597" s="132"/>
      <c r="N1597" s="17">
        <f t="shared" si="84"/>
        <v>0</v>
      </c>
    </row>
    <row r="1598" spans="1:14" s="16" customFormat="1" ht="15.75">
      <c r="A1598" s="14"/>
      <c r="B1598" s="164" t="s">
        <v>32</v>
      </c>
      <c r="C1598" s="109" t="s">
        <v>412</v>
      </c>
      <c r="D1598" s="108" t="s">
        <v>11</v>
      </c>
      <c r="E1598" s="108" t="s">
        <v>51</v>
      </c>
      <c r="F1598" s="108" t="s">
        <v>915</v>
      </c>
      <c r="G1598" s="108" t="s">
        <v>33</v>
      </c>
      <c r="H1598" s="126">
        <v>0</v>
      </c>
      <c r="I1598" s="126">
        <v>0</v>
      </c>
      <c r="J1598" s="108">
        <v>8410010010</v>
      </c>
      <c r="K1598" s="108" t="str">
        <f t="shared" si="82"/>
        <v>8410010010</v>
      </c>
      <c r="L1598" s="303" t="str">
        <f t="shared" si="83"/>
        <v>62101138410010010850</v>
      </c>
      <c r="M1598" s="132" t="str">
        <f>INDEX('реш СГД № 265'!$A:$N,MATCH('БА расх 2019-2020'!$L1598,'реш СГД № 265'!$N:$N,0),3)</f>
        <v>Уплата налогов, сборов и иных платежей</v>
      </c>
      <c r="N1598" s="17">
        <f t="shared" si="84"/>
        <v>1</v>
      </c>
    </row>
    <row r="1599" spans="1:14" s="23" customFormat="1" ht="31.5">
      <c r="A1599" s="21"/>
      <c r="B1599" s="127" t="s">
        <v>34</v>
      </c>
      <c r="C1599" s="109" t="s">
        <v>412</v>
      </c>
      <c r="D1599" s="108" t="s">
        <v>11</v>
      </c>
      <c r="E1599" s="108" t="s">
        <v>51</v>
      </c>
      <c r="F1599" s="108" t="s">
        <v>915</v>
      </c>
      <c r="G1599" s="108" t="s">
        <v>35</v>
      </c>
      <c r="H1599" s="126">
        <v>0</v>
      </c>
      <c r="I1599" s="126">
        <v>0</v>
      </c>
      <c r="J1599" s="108">
        <v>8410010010</v>
      </c>
      <c r="K1599" s="108" t="str">
        <f t="shared" si="82"/>
        <v>8410010010</v>
      </c>
      <c r="L1599" s="303" t="str">
        <f t="shared" si="83"/>
        <v>62101138410010010851</v>
      </c>
      <c r="M1599" s="132"/>
      <c r="N1599" s="17">
        <f t="shared" si="84"/>
        <v>0</v>
      </c>
    </row>
    <row r="1600" spans="1:14" s="23" customFormat="1" ht="15.75">
      <c r="A1600" s="21"/>
      <c r="B1600" s="127" t="s">
        <v>36</v>
      </c>
      <c r="C1600" s="109" t="s">
        <v>412</v>
      </c>
      <c r="D1600" s="108" t="s">
        <v>11</v>
      </c>
      <c r="E1600" s="108" t="s">
        <v>51</v>
      </c>
      <c r="F1600" s="108" t="s">
        <v>915</v>
      </c>
      <c r="G1600" s="108" t="s">
        <v>37</v>
      </c>
      <c r="H1600" s="126">
        <v>0</v>
      </c>
      <c r="I1600" s="126">
        <v>0</v>
      </c>
      <c r="J1600" s="108">
        <v>8410010010</v>
      </c>
      <c r="K1600" s="108" t="str">
        <f t="shared" si="82"/>
        <v>8410010010</v>
      </c>
      <c r="L1600" s="303" t="str">
        <f t="shared" si="83"/>
        <v>62101138410010010852</v>
      </c>
      <c r="M1600" s="132"/>
      <c r="N1600" s="17">
        <f t="shared" si="84"/>
        <v>0</v>
      </c>
    </row>
    <row r="1601" spans="1:14" s="16" customFormat="1" ht="31.5">
      <c r="A1601" s="14"/>
      <c r="B1601" s="164" t="s">
        <v>38</v>
      </c>
      <c r="C1601" s="109" t="s">
        <v>412</v>
      </c>
      <c r="D1601" s="108" t="s">
        <v>11</v>
      </c>
      <c r="E1601" s="108" t="s">
        <v>51</v>
      </c>
      <c r="F1601" s="108" t="s">
        <v>916</v>
      </c>
      <c r="G1601" s="108" t="s">
        <v>9</v>
      </c>
      <c r="H1601" s="126">
        <v>0</v>
      </c>
      <c r="I1601" s="126">
        <v>0</v>
      </c>
      <c r="J1601" s="108">
        <v>8410010020</v>
      </c>
      <c r="K1601" s="108" t="str">
        <f t="shared" si="82"/>
        <v>8410010020</v>
      </c>
      <c r="L1601" s="303" t="str">
        <f t="shared" si="83"/>
        <v>62101138410010020000</v>
      </c>
      <c r="M1601" s="132" t="str">
        <f>INDEX('реш СГД № 265'!$A:$N,MATCH('БА расх 2019-2020'!$L1601,'реш СГД № 265'!$N:$N,0),3)</f>
        <v>Расходы на выплаты по оплате труда работников органов местного самоуправления города Ставрополя</v>
      </c>
      <c r="N1601" s="17">
        <f t="shared" si="84"/>
        <v>1</v>
      </c>
    </row>
    <row r="1602" spans="1:14" s="16" customFormat="1" ht="31.5">
      <c r="A1602" s="14"/>
      <c r="B1602" s="164" t="s">
        <v>20</v>
      </c>
      <c r="C1602" s="109" t="s">
        <v>412</v>
      </c>
      <c r="D1602" s="108" t="s">
        <v>11</v>
      </c>
      <c r="E1602" s="108" t="s">
        <v>51</v>
      </c>
      <c r="F1602" s="108" t="s">
        <v>916</v>
      </c>
      <c r="G1602" s="108" t="s">
        <v>21</v>
      </c>
      <c r="H1602" s="126">
        <v>0</v>
      </c>
      <c r="I1602" s="126">
        <v>0</v>
      </c>
      <c r="J1602" s="108">
        <v>8410010020</v>
      </c>
      <c r="K1602" s="108" t="str">
        <f t="shared" si="82"/>
        <v>8410010020</v>
      </c>
      <c r="L1602" s="303" t="str">
        <f t="shared" si="83"/>
        <v>62101138410010020120</v>
      </c>
      <c r="M1602" s="132" t="str">
        <f>INDEX('реш СГД № 265'!$A:$N,MATCH('БА расх 2019-2020'!$L1602,'реш СГД № 265'!$N:$N,0),3)</f>
        <v>Расходы на выплаты персоналу государственных (муниципальных) органов</v>
      </c>
      <c r="N1602" s="17">
        <f t="shared" si="84"/>
        <v>1</v>
      </c>
    </row>
    <row r="1603" spans="1:14" s="23" customFormat="1" ht="31.5">
      <c r="A1603" s="21"/>
      <c r="B1603" s="127" t="s">
        <v>40</v>
      </c>
      <c r="C1603" s="109" t="s">
        <v>412</v>
      </c>
      <c r="D1603" s="108" t="s">
        <v>11</v>
      </c>
      <c r="E1603" s="108" t="s">
        <v>51</v>
      </c>
      <c r="F1603" s="108" t="s">
        <v>916</v>
      </c>
      <c r="G1603" s="108" t="s">
        <v>41</v>
      </c>
      <c r="H1603" s="126">
        <v>0</v>
      </c>
      <c r="I1603" s="126">
        <v>0</v>
      </c>
      <c r="J1603" s="108">
        <v>8410010020</v>
      </c>
      <c r="K1603" s="108" t="str">
        <f t="shared" si="82"/>
        <v>8410010020</v>
      </c>
      <c r="L1603" s="303" t="str">
        <f t="shared" si="83"/>
        <v>62101138410010020121</v>
      </c>
      <c r="M1603" s="132"/>
      <c r="N1603" s="17">
        <f t="shared" si="84"/>
        <v>0</v>
      </c>
    </row>
    <row r="1604" spans="1:14" s="23" customFormat="1" ht="63">
      <c r="A1604" s="21"/>
      <c r="B1604" s="127" t="s">
        <v>26</v>
      </c>
      <c r="C1604" s="109" t="s">
        <v>412</v>
      </c>
      <c r="D1604" s="108" t="s">
        <v>11</v>
      </c>
      <c r="E1604" s="108" t="s">
        <v>51</v>
      </c>
      <c r="F1604" s="108" t="s">
        <v>916</v>
      </c>
      <c r="G1604" s="108" t="s">
        <v>27</v>
      </c>
      <c r="H1604" s="126">
        <v>0</v>
      </c>
      <c r="I1604" s="126">
        <v>0</v>
      </c>
      <c r="J1604" s="108">
        <v>8410010020</v>
      </c>
      <c r="K1604" s="108" t="str">
        <f t="shared" si="82"/>
        <v>8410010020</v>
      </c>
      <c r="L1604" s="303" t="str">
        <f t="shared" si="83"/>
        <v>62101138410010020129</v>
      </c>
      <c r="M1604" s="132"/>
      <c r="N1604" s="17">
        <f t="shared" si="84"/>
        <v>0</v>
      </c>
    </row>
    <row r="1605" spans="1:14" s="16" customFormat="1" ht="15.75">
      <c r="A1605" s="14"/>
      <c r="B1605" s="164" t="s">
        <v>52</v>
      </c>
      <c r="C1605" s="109" t="s">
        <v>412</v>
      </c>
      <c r="D1605" s="108" t="s">
        <v>11</v>
      </c>
      <c r="E1605" s="108" t="s">
        <v>51</v>
      </c>
      <c r="F1605" s="108" t="s">
        <v>917</v>
      </c>
      <c r="G1605" s="108" t="s">
        <v>9</v>
      </c>
      <c r="H1605" s="126">
        <v>0</v>
      </c>
      <c r="I1605" s="126">
        <v>0</v>
      </c>
      <c r="J1605" s="108">
        <v>8420000000</v>
      </c>
      <c r="K1605" s="108" t="str">
        <f t="shared" si="82"/>
        <v>8420000000</v>
      </c>
      <c r="L1605" s="303" t="str">
        <f t="shared" si="83"/>
        <v>62101138420000000000</v>
      </c>
      <c r="M1605" s="132" t="str">
        <f>INDEX('реш СГД № 265'!$A:$N,MATCH('БА расх 2019-2020'!$L1605,'реш СГД № 265'!$N:$N,0),3)</f>
        <v>Расходы, предусмотренные на иные цели</v>
      </c>
      <c r="N1605" s="17">
        <f t="shared" si="84"/>
        <v>1</v>
      </c>
    </row>
    <row r="1606" spans="1:14" s="16" customFormat="1" ht="47.25">
      <c r="A1606" s="14"/>
      <c r="B1606" s="164" t="s">
        <v>918</v>
      </c>
      <c r="C1606" s="109" t="s">
        <v>412</v>
      </c>
      <c r="D1606" s="108" t="s">
        <v>11</v>
      </c>
      <c r="E1606" s="108" t="s">
        <v>51</v>
      </c>
      <c r="F1606" s="108" t="s">
        <v>919</v>
      </c>
      <c r="G1606" s="108" t="s">
        <v>9</v>
      </c>
      <c r="H1606" s="126">
        <v>0</v>
      </c>
      <c r="I1606" s="126">
        <v>0</v>
      </c>
      <c r="J1606" s="108">
        <v>8420020740</v>
      </c>
      <c r="K1606" s="108" t="str">
        <f t="shared" si="82"/>
        <v>8420020740</v>
      </c>
      <c r="L1606" s="303" t="str">
        <f t="shared" si="83"/>
        <v>62101138420020740000</v>
      </c>
      <c r="M1606" s="132" t="str">
        <f>INDEX('реш СГД № 265'!$A:$N,MATCH('БА расх 2019-2020'!$L1606,'реш СГД № 265'!$N:$N,0),3)</f>
        <v>Расходы на судебные издержки комитета градостроительства администрации города Ставрополя по искам о сносе самовольных построек</v>
      </c>
      <c r="N1606" s="17">
        <f t="shared" si="84"/>
        <v>1</v>
      </c>
    </row>
    <row r="1607" spans="1:14" s="16" customFormat="1" ht="31.5">
      <c r="A1607" s="14"/>
      <c r="B1607" s="125" t="s">
        <v>28</v>
      </c>
      <c r="C1607" s="109" t="s">
        <v>412</v>
      </c>
      <c r="D1607" s="108" t="s">
        <v>11</v>
      </c>
      <c r="E1607" s="108" t="s">
        <v>51</v>
      </c>
      <c r="F1607" s="108" t="s">
        <v>919</v>
      </c>
      <c r="G1607" s="108" t="s">
        <v>29</v>
      </c>
      <c r="H1607" s="126">
        <v>0</v>
      </c>
      <c r="I1607" s="126">
        <v>0</v>
      </c>
      <c r="J1607" s="108">
        <v>8420020740</v>
      </c>
      <c r="K1607" s="108" t="str">
        <f t="shared" si="82"/>
        <v>8420020740</v>
      </c>
      <c r="L1607" s="303" t="str">
        <f t="shared" si="83"/>
        <v>62101138420020740240</v>
      </c>
      <c r="M1607" s="132" t="str">
        <f>INDEX('реш СГД № 265'!$A:$N,MATCH('БА расх 2019-2020'!$L1607,'реш СГД № 265'!$N:$N,0),3)</f>
        <v>Иные закупки товаров, работ и услуг для обеспечения государственных (муниципальных) нужд</v>
      </c>
      <c r="N1607" s="17">
        <f t="shared" si="84"/>
        <v>1</v>
      </c>
    </row>
    <row r="1608" spans="1:14" s="16" customFormat="1" ht="15.75">
      <c r="A1608" s="14"/>
      <c r="B1608" s="125" t="s">
        <v>30</v>
      </c>
      <c r="C1608" s="109" t="s">
        <v>412</v>
      </c>
      <c r="D1608" s="108" t="s">
        <v>11</v>
      </c>
      <c r="E1608" s="108" t="s">
        <v>51</v>
      </c>
      <c r="F1608" s="108" t="s">
        <v>919</v>
      </c>
      <c r="G1608" s="108" t="s">
        <v>31</v>
      </c>
      <c r="H1608" s="126">
        <v>0</v>
      </c>
      <c r="I1608" s="126">
        <v>0</v>
      </c>
      <c r="J1608" s="108">
        <v>8420020740</v>
      </c>
      <c r="K1608" s="108" t="str">
        <f t="shared" si="82"/>
        <v>8420020740</v>
      </c>
      <c r="L1608" s="303" t="str">
        <f t="shared" si="83"/>
        <v>62101138420020740244</v>
      </c>
      <c r="M1608" s="132"/>
      <c r="N1608" s="17">
        <f t="shared" si="84"/>
        <v>0</v>
      </c>
    </row>
    <row r="1609" spans="1:14" s="16" customFormat="1" ht="15.75">
      <c r="A1609" s="14"/>
      <c r="B1609" s="132" t="s">
        <v>189</v>
      </c>
      <c r="C1609" s="109" t="s">
        <v>412</v>
      </c>
      <c r="D1609" s="108" t="s">
        <v>11</v>
      </c>
      <c r="E1609" s="108" t="s">
        <v>51</v>
      </c>
      <c r="F1609" s="108" t="s">
        <v>919</v>
      </c>
      <c r="G1609" s="108" t="s">
        <v>190</v>
      </c>
      <c r="H1609" s="126">
        <v>0</v>
      </c>
      <c r="I1609" s="126">
        <v>0</v>
      </c>
      <c r="J1609" s="108">
        <v>8420020740</v>
      </c>
      <c r="K1609" s="108" t="str">
        <f t="shared" si="82"/>
        <v>8420020740</v>
      </c>
      <c r="L1609" s="303" t="str">
        <f t="shared" si="83"/>
        <v>62101138420020740830</v>
      </c>
      <c r="M1609" s="132" t="str">
        <f>INDEX('реш СГД № 265'!$A:$N,MATCH('БА расх 2019-2020'!$L1609,'реш СГД № 265'!$N:$N,0),3)</f>
        <v>Исполнение судебных актов</v>
      </c>
      <c r="N1609" s="17">
        <f t="shared" si="84"/>
        <v>1</v>
      </c>
    </row>
    <row r="1610" spans="1:14" s="16" customFormat="1" ht="47.25">
      <c r="A1610" s="14"/>
      <c r="B1610" s="127" t="s">
        <v>191</v>
      </c>
      <c r="C1610" s="109" t="s">
        <v>412</v>
      </c>
      <c r="D1610" s="108" t="s">
        <v>11</v>
      </c>
      <c r="E1610" s="108" t="s">
        <v>51</v>
      </c>
      <c r="F1610" s="108" t="s">
        <v>919</v>
      </c>
      <c r="G1610" s="108" t="s">
        <v>192</v>
      </c>
      <c r="H1610" s="126">
        <v>0</v>
      </c>
      <c r="I1610" s="126">
        <v>0</v>
      </c>
      <c r="J1610" s="108">
        <v>8420020740</v>
      </c>
      <c r="K1610" s="108" t="str">
        <f t="shared" si="82"/>
        <v>8420020740</v>
      </c>
      <c r="L1610" s="303" t="str">
        <f t="shared" si="83"/>
        <v>62101138420020740831</v>
      </c>
      <c r="M1610" s="132"/>
      <c r="N1610" s="17">
        <f t="shared" si="84"/>
        <v>0</v>
      </c>
    </row>
    <row r="1611" spans="1:14" s="16" customFormat="1" ht="47.25">
      <c r="A1611" s="14"/>
      <c r="B1611" s="132" t="s">
        <v>920</v>
      </c>
      <c r="C1611" s="109" t="s">
        <v>412</v>
      </c>
      <c r="D1611" s="108" t="s">
        <v>11</v>
      </c>
      <c r="E1611" s="108" t="s">
        <v>51</v>
      </c>
      <c r="F1611" s="108" t="s">
        <v>921</v>
      </c>
      <c r="G1611" s="108" t="s">
        <v>9</v>
      </c>
      <c r="H1611" s="126">
        <v>0</v>
      </c>
      <c r="I1611" s="126">
        <v>0</v>
      </c>
      <c r="J1611" s="108">
        <v>8420021100</v>
      </c>
      <c r="K1611" s="108" t="str">
        <f t="shared" si="82"/>
        <v>8420021100</v>
      </c>
      <c r="L1611" s="303" t="str">
        <f t="shared" si="83"/>
        <v>62101138420021100000</v>
      </c>
      <c r="M1611" s="132" t="str">
        <f>INDEX('реш СГД № 265'!$A:$N,MATCH('БА расх 2019-2020'!$L1611,'реш СГД № 265'!$N:$N,0),3)</f>
        <v xml:space="preserve">Расходы на демонтаж, хранение или уничтожение рекламных конструкций за счет средств местного бюджета </v>
      </c>
      <c r="N1611" s="17">
        <f t="shared" si="84"/>
        <v>1</v>
      </c>
    </row>
    <row r="1612" spans="1:14" s="16" customFormat="1" ht="31.5">
      <c r="A1612" s="14"/>
      <c r="B1612" s="125" t="s">
        <v>28</v>
      </c>
      <c r="C1612" s="109" t="s">
        <v>412</v>
      </c>
      <c r="D1612" s="108" t="s">
        <v>11</v>
      </c>
      <c r="E1612" s="108" t="s">
        <v>51</v>
      </c>
      <c r="F1612" s="108" t="s">
        <v>921</v>
      </c>
      <c r="G1612" s="108" t="s">
        <v>29</v>
      </c>
      <c r="H1612" s="126">
        <v>0</v>
      </c>
      <c r="I1612" s="126">
        <v>0</v>
      </c>
      <c r="J1612" s="108">
        <v>8420021100</v>
      </c>
      <c r="K1612" s="108" t="str">
        <f t="shared" si="82"/>
        <v>8420021100</v>
      </c>
      <c r="L1612" s="303" t="str">
        <f t="shared" si="83"/>
        <v>62101138420021100240</v>
      </c>
      <c r="M1612" s="132" t="str">
        <f>INDEX('реш СГД № 265'!$A:$N,MATCH('БА расх 2019-2020'!$L1612,'реш СГД № 265'!$N:$N,0),3)</f>
        <v>Иные закупки товаров, работ и услуг для обеспечения государственных (муниципальных) нужд</v>
      </c>
      <c r="N1612" s="17">
        <f t="shared" si="84"/>
        <v>1</v>
      </c>
    </row>
    <row r="1613" spans="1:14" s="16" customFormat="1" ht="15.75">
      <c r="A1613" s="14"/>
      <c r="B1613" s="125" t="s">
        <v>30</v>
      </c>
      <c r="C1613" s="109" t="s">
        <v>412</v>
      </c>
      <c r="D1613" s="108" t="s">
        <v>11</v>
      </c>
      <c r="E1613" s="108" t="s">
        <v>51</v>
      </c>
      <c r="F1613" s="108" t="s">
        <v>921</v>
      </c>
      <c r="G1613" s="108" t="s">
        <v>31</v>
      </c>
      <c r="H1613" s="126">
        <v>0</v>
      </c>
      <c r="I1613" s="126">
        <v>0</v>
      </c>
      <c r="J1613" s="108">
        <v>8420021100</v>
      </c>
      <c r="K1613" s="108" t="str">
        <f t="shared" si="82"/>
        <v>8420021100</v>
      </c>
      <c r="L1613" s="303" t="str">
        <f t="shared" si="83"/>
        <v>62101138420021100244</v>
      </c>
      <c r="M1613" s="132"/>
      <c r="N1613" s="17">
        <f t="shared" si="84"/>
        <v>0</v>
      </c>
    </row>
    <row r="1614" spans="1:14" s="16" customFormat="1" ht="15.75">
      <c r="A1614" s="14"/>
      <c r="B1614" s="117" t="s">
        <v>195</v>
      </c>
      <c r="C1614" s="118" t="s">
        <v>412</v>
      </c>
      <c r="D1614" s="119" t="s">
        <v>73</v>
      </c>
      <c r="E1614" s="119" t="s">
        <v>7</v>
      </c>
      <c r="F1614" s="119" t="s">
        <v>8</v>
      </c>
      <c r="G1614" s="119" t="s">
        <v>9</v>
      </c>
      <c r="H1614" s="120">
        <v>0</v>
      </c>
      <c r="I1614" s="120">
        <v>0</v>
      </c>
      <c r="J1614" s="119">
        <v>0</v>
      </c>
      <c r="K1614" s="108" t="str">
        <f t="shared" si="82"/>
        <v>0000000000</v>
      </c>
      <c r="L1614" s="303" t="str">
        <f t="shared" si="83"/>
        <v>62104000000000000000</v>
      </c>
      <c r="M1614" s="132" t="str">
        <f>INDEX('реш СГД № 265'!$A:$N,MATCH('БА расх 2019-2020'!$L1614,'реш СГД № 265'!$N:$N,0),3)</f>
        <v>Национальная экономика</v>
      </c>
      <c r="N1614" s="17">
        <f t="shared" si="84"/>
        <v>1</v>
      </c>
    </row>
    <row r="1615" spans="1:14" s="16" customFormat="1" ht="15.75">
      <c r="A1615" s="14"/>
      <c r="B1615" s="121" t="s">
        <v>284</v>
      </c>
      <c r="C1615" s="122" t="s">
        <v>412</v>
      </c>
      <c r="D1615" s="123" t="s">
        <v>73</v>
      </c>
      <c r="E1615" s="123" t="s">
        <v>57</v>
      </c>
      <c r="F1615" s="123" t="s">
        <v>8</v>
      </c>
      <c r="G1615" s="123" t="s">
        <v>9</v>
      </c>
      <c r="H1615" s="124">
        <v>0</v>
      </c>
      <c r="I1615" s="124">
        <v>0</v>
      </c>
      <c r="J1615" s="123">
        <v>0</v>
      </c>
      <c r="K1615" s="108" t="str">
        <f t="shared" si="82"/>
        <v>0000000000</v>
      </c>
      <c r="L1615" s="303" t="str">
        <f t="shared" si="83"/>
        <v>62104120000000000000</v>
      </c>
      <c r="M1615" s="132" t="str">
        <f>INDEX('реш СГД № 265'!$A:$N,MATCH('БА расх 2019-2020'!$L1615,'реш СГД № 265'!$N:$N,0),3)</f>
        <v>Другие вопросы в области национальной экономики</v>
      </c>
      <c r="N1615" s="17">
        <f t="shared" si="84"/>
        <v>1</v>
      </c>
    </row>
    <row r="1616" spans="1:14" s="16" customFormat="1" ht="47.25">
      <c r="A1616" s="14"/>
      <c r="B1616" s="125" t="s">
        <v>922</v>
      </c>
      <c r="C1616" s="109" t="s">
        <v>412</v>
      </c>
      <c r="D1616" s="109" t="s">
        <v>73</v>
      </c>
      <c r="E1616" s="109" t="s">
        <v>57</v>
      </c>
      <c r="F1616" s="109" t="s">
        <v>923</v>
      </c>
      <c r="G1616" s="109" t="s">
        <v>9</v>
      </c>
      <c r="H1616" s="141">
        <v>0</v>
      </c>
      <c r="I1616" s="141">
        <v>0</v>
      </c>
      <c r="J1616" s="109">
        <v>500000000</v>
      </c>
      <c r="K1616" s="108" t="str">
        <f t="shared" si="82"/>
        <v>0500000000</v>
      </c>
      <c r="L1616" s="303" t="str">
        <f t="shared" si="83"/>
        <v>62104120500000000000</v>
      </c>
      <c r="M1616" s="132" t="str">
        <f>INDEX('реш СГД № 265'!$A:$N,MATCH('БА расх 2019-2020'!$L1616,'реш СГД № 265'!$N:$N,0),3)</f>
        <v>Муниципальная программа «Развитие градостроительства на территории города Ставрополя»</v>
      </c>
      <c r="N1616" s="17">
        <f t="shared" si="84"/>
        <v>1</v>
      </c>
    </row>
    <row r="1617" spans="1:14" s="16" customFormat="1" ht="47.25">
      <c r="A1617" s="14"/>
      <c r="B1617" s="125" t="s">
        <v>924</v>
      </c>
      <c r="C1617" s="109" t="s">
        <v>412</v>
      </c>
      <c r="D1617" s="109" t="s">
        <v>73</v>
      </c>
      <c r="E1617" s="109" t="s">
        <v>57</v>
      </c>
      <c r="F1617" s="109" t="s">
        <v>925</v>
      </c>
      <c r="G1617" s="109" t="s">
        <v>9</v>
      </c>
      <c r="H1617" s="141">
        <v>0</v>
      </c>
      <c r="I1617" s="141">
        <v>0</v>
      </c>
      <c r="J1617" s="109" t="s">
        <v>1251</v>
      </c>
      <c r="K1617" s="108" t="str">
        <f t="shared" ref="K1617:K1699" si="85">TEXT(J1617,"0000000000")</f>
        <v>05Б0000000</v>
      </c>
      <c r="L1617" s="303" t="str">
        <f t="shared" si="83"/>
        <v>621041205Б0000000000</v>
      </c>
      <c r="M1617" s="132" t="str">
        <f>INDEX('реш СГД № 265'!$A:$N,MATCH('БА расх 2019-2020'!$L1617,'реш СГД № 265'!$N:$N,0),3)</f>
        <v>Расходы в рамках реализации муниципальной программы «Развитие градостроительства на территории города Ставрополя»</v>
      </c>
      <c r="N1617" s="17">
        <f t="shared" si="84"/>
        <v>1</v>
      </c>
    </row>
    <row r="1618" spans="1:14" s="16" customFormat="1" ht="78.75">
      <c r="A1618" s="14"/>
      <c r="B1618" s="125" t="s">
        <v>926</v>
      </c>
      <c r="C1618" s="109" t="s">
        <v>412</v>
      </c>
      <c r="D1618" s="109" t="s">
        <v>73</v>
      </c>
      <c r="E1618" s="109" t="s">
        <v>57</v>
      </c>
      <c r="F1618" s="109" t="s">
        <v>927</v>
      </c>
      <c r="G1618" s="109" t="s">
        <v>9</v>
      </c>
      <c r="H1618" s="141">
        <v>0</v>
      </c>
      <c r="I1618" s="141">
        <v>0</v>
      </c>
      <c r="J1618" s="109" t="s">
        <v>1252</v>
      </c>
      <c r="K1618" s="108" t="str">
        <f t="shared" si="85"/>
        <v>05Б0100000</v>
      </c>
      <c r="L1618" s="303" t="str">
        <f t="shared" ref="L1618:L1700" si="86">C1618&amp;D1618&amp;E1618&amp;K1618&amp;G1618</f>
        <v>621041205Б0100000000</v>
      </c>
      <c r="M1618" s="132" t="str">
        <f>INDEX('реш СГД № 265'!$A:$N,MATCH('БА расх 2019-2020'!$L1618,'реш СГД № 265'!$N:$N,0),3)</f>
        <v>Основное мероприятие «Подготовка документов территориального планирования города Ставрополя, в том числе разработка проектов планировки территорий города Ставрополя (проектов планировки, проектов межевания)»</v>
      </c>
      <c r="N1618" s="17">
        <f t="shared" ref="N1618:N1700" si="87">IF(B1618=M1618,1,0)</f>
        <v>1</v>
      </c>
    </row>
    <row r="1619" spans="1:14" s="16" customFormat="1" ht="31.5">
      <c r="A1619" s="14"/>
      <c r="B1619" s="127" t="s">
        <v>928</v>
      </c>
      <c r="C1619" s="109" t="s">
        <v>412</v>
      </c>
      <c r="D1619" s="109" t="s">
        <v>73</v>
      </c>
      <c r="E1619" s="109" t="s">
        <v>57</v>
      </c>
      <c r="F1619" s="109" t="s">
        <v>929</v>
      </c>
      <c r="G1619" s="109" t="s">
        <v>9</v>
      </c>
      <c r="H1619" s="141">
        <v>0</v>
      </c>
      <c r="I1619" s="141">
        <v>0</v>
      </c>
      <c r="J1619" s="109" t="s">
        <v>1253</v>
      </c>
      <c r="K1619" s="108" t="str">
        <f t="shared" si="85"/>
        <v>05Б0120390</v>
      </c>
      <c r="L1619" s="303" t="str">
        <f t="shared" si="86"/>
        <v>621041205Б0120390000</v>
      </c>
      <c r="M1619" s="132" t="str">
        <f>INDEX('реш СГД № 265'!$A:$N,MATCH('БА расх 2019-2020'!$L1619,'реш СГД № 265'!$N:$N,0),3)</f>
        <v>Расходы на подготовку документов территориального планирования города Ставрополя</v>
      </c>
      <c r="N1619" s="17">
        <f t="shared" si="87"/>
        <v>1</v>
      </c>
    </row>
    <row r="1620" spans="1:14" s="16" customFormat="1" ht="31.5">
      <c r="A1620" s="14"/>
      <c r="B1620" s="125" t="s">
        <v>28</v>
      </c>
      <c r="C1620" s="109" t="s">
        <v>412</v>
      </c>
      <c r="D1620" s="109" t="s">
        <v>73</v>
      </c>
      <c r="E1620" s="109" t="s">
        <v>57</v>
      </c>
      <c r="F1620" s="109" t="s">
        <v>929</v>
      </c>
      <c r="G1620" s="109" t="s">
        <v>29</v>
      </c>
      <c r="H1620" s="126">
        <v>0</v>
      </c>
      <c r="I1620" s="126">
        <v>0</v>
      </c>
      <c r="J1620" s="109" t="s">
        <v>1253</v>
      </c>
      <c r="K1620" s="108" t="str">
        <f t="shared" si="85"/>
        <v>05Б0120390</v>
      </c>
      <c r="L1620" s="303" t="str">
        <f t="shared" si="86"/>
        <v>621041205Б0120390240</v>
      </c>
      <c r="M1620" s="132" t="str">
        <f>INDEX('реш СГД № 265'!$A:$N,MATCH('БА расх 2019-2020'!$L1620,'реш СГД № 265'!$N:$N,0),3)</f>
        <v>Иные закупки товаров, работ и услуг для обеспечения государственных (муниципальных) нужд</v>
      </c>
      <c r="N1620" s="17">
        <f t="shared" si="87"/>
        <v>1</v>
      </c>
    </row>
    <row r="1621" spans="1:14" s="16" customFormat="1" ht="15.75">
      <c r="A1621" s="14"/>
      <c r="B1621" s="125" t="s">
        <v>30</v>
      </c>
      <c r="C1621" s="109" t="s">
        <v>412</v>
      </c>
      <c r="D1621" s="109" t="s">
        <v>73</v>
      </c>
      <c r="E1621" s="109" t="s">
        <v>57</v>
      </c>
      <c r="F1621" s="109" t="s">
        <v>929</v>
      </c>
      <c r="G1621" s="109" t="s">
        <v>31</v>
      </c>
      <c r="H1621" s="126">
        <v>0</v>
      </c>
      <c r="I1621" s="126">
        <v>0</v>
      </c>
      <c r="J1621" s="109" t="s">
        <v>1253</v>
      </c>
      <c r="K1621" s="108" t="str">
        <f t="shared" si="85"/>
        <v>05Б0120390</v>
      </c>
      <c r="L1621" s="303" t="str">
        <f t="shared" si="86"/>
        <v>621041205Б0120390244</v>
      </c>
      <c r="M1621" s="132"/>
      <c r="N1621" s="17">
        <f t="shared" si="87"/>
        <v>0</v>
      </c>
    </row>
    <row r="1622" spans="1:14" s="16" customFormat="1" ht="47.25">
      <c r="A1622" s="14"/>
      <c r="B1622" s="164" t="s">
        <v>911</v>
      </c>
      <c r="C1622" s="109" t="s">
        <v>412</v>
      </c>
      <c r="D1622" s="109" t="s">
        <v>73</v>
      </c>
      <c r="E1622" s="109" t="s">
        <v>57</v>
      </c>
      <c r="F1622" s="108" t="s">
        <v>912</v>
      </c>
      <c r="G1622" s="108" t="s">
        <v>9</v>
      </c>
      <c r="H1622" s="126">
        <v>0</v>
      </c>
      <c r="I1622" s="126">
        <v>0</v>
      </c>
      <c r="J1622" s="108">
        <v>8400000000</v>
      </c>
      <c r="K1622" s="108" t="str">
        <f t="shared" si="85"/>
        <v>8400000000</v>
      </c>
      <c r="L1622" s="303" t="str">
        <f t="shared" si="86"/>
        <v>62104128400000000000</v>
      </c>
      <c r="M1622" s="132" t="str">
        <f>INDEX('реш СГД № 265'!$A:$N,MATCH('БА расх 2019-2020'!$L1622,'реш СГД № 265'!$N:$N,0),3)</f>
        <v>Обеспечение деятельности комитета градостроительства администрации города Ставрополя</v>
      </c>
      <c r="N1622" s="17">
        <f t="shared" si="87"/>
        <v>1</v>
      </c>
    </row>
    <row r="1623" spans="1:14" s="16" customFormat="1" ht="15.75">
      <c r="A1623" s="14"/>
      <c r="B1623" s="164" t="s">
        <v>52</v>
      </c>
      <c r="C1623" s="109" t="s">
        <v>412</v>
      </c>
      <c r="D1623" s="109" t="s">
        <v>73</v>
      </c>
      <c r="E1623" s="109" t="s">
        <v>57</v>
      </c>
      <c r="F1623" s="108" t="s">
        <v>917</v>
      </c>
      <c r="G1623" s="108" t="s">
        <v>9</v>
      </c>
      <c r="H1623" s="126">
        <v>0</v>
      </c>
      <c r="I1623" s="126">
        <v>0</v>
      </c>
      <c r="J1623" s="108">
        <v>8420000000</v>
      </c>
      <c r="K1623" s="108" t="str">
        <f t="shared" si="85"/>
        <v>8420000000</v>
      </c>
      <c r="L1623" s="303" t="str">
        <f t="shared" si="86"/>
        <v>62104128420000000000</v>
      </c>
      <c r="M1623" s="132" t="str">
        <f>INDEX('реш СГД № 265'!$A:$N,MATCH('БА расх 2019-2020'!$L1623,'реш СГД № 265'!$N:$N,0),3)</f>
        <v>Расходы, предусмотренные на иные цели</v>
      </c>
      <c r="N1623" s="17">
        <f t="shared" si="87"/>
        <v>1</v>
      </c>
    </row>
    <row r="1624" spans="1:14" s="16" customFormat="1" ht="31.5">
      <c r="A1624" s="14"/>
      <c r="B1624" s="164" t="s">
        <v>934</v>
      </c>
      <c r="C1624" s="109" t="s">
        <v>412</v>
      </c>
      <c r="D1624" s="109" t="s">
        <v>73</v>
      </c>
      <c r="E1624" s="109" t="s">
        <v>57</v>
      </c>
      <c r="F1624" s="108" t="s">
        <v>935</v>
      </c>
      <c r="G1624" s="108" t="s">
        <v>9</v>
      </c>
      <c r="H1624" s="126">
        <v>0</v>
      </c>
      <c r="I1624" s="126">
        <v>0</v>
      </c>
      <c r="J1624" s="108">
        <v>8420021210</v>
      </c>
      <c r="K1624" s="108" t="str">
        <f t="shared" si="85"/>
        <v>8420021210</v>
      </c>
      <c r="L1624" s="303" t="str">
        <f t="shared" si="86"/>
        <v>62104128420021210000</v>
      </c>
      <c r="M1624" s="132" t="str">
        <f>INDEX('реш СГД № 265'!$A:$N,MATCH('БА расх 2019-2020'!$L1624,'реш СГД № 265'!$N:$N,0),3)</f>
        <v>Снос самовольных построек, хранение имущества, находившегося в самовольных постройках</v>
      </c>
      <c r="N1624" s="17">
        <f t="shared" si="87"/>
        <v>1</v>
      </c>
    </row>
    <row r="1625" spans="1:14" s="16" customFormat="1" ht="31.5">
      <c r="A1625" s="14"/>
      <c r="B1625" s="125" t="s">
        <v>28</v>
      </c>
      <c r="C1625" s="109" t="s">
        <v>412</v>
      </c>
      <c r="D1625" s="109" t="s">
        <v>73</v>
      </c>
      <c r="E1625" s="109" t="s">
        <v>57</v>
      </c>
      <c r="F1625" s="108" t="s">
        <v>935</v>
      </c>
      <c r="G1625" s="108" t="s">
        <v>29</v>
      </c>
      <c r="H1625" s="126">
        <v>0</v>
      </c>
      <c r="I1625" s="126">
        <v>0</v>
      </c>
      <c r="J1625" s="108">
        <v>8420021210</v>
      </c>
      <c r="K1625" s="108" t="str">
        <f t="shared" si="85"/>
        <v>8420021210</v>
      </c>
      <c r="L1625" s="303" t="str">
        <f t="shared" si="86"/>
        <v>62104128420021210240</v>
      </c>
      <c r="M1625" s="132" t="str">
        <f>INDEX('реш СГД № 265'!$A:$N,MATCH('БА расх 2019-2020'!$L1625,'реш СГД № 265'!$N:$N,0),3)</f>
        <v>Иные закупки товаров, работ и услуг для обеспечения государственных (муниципальных) нужд</v>
      </c>
      <c r="N1625" s="17">
        <f t="shared" si="87"/>
        <v>1</v>
      </c>
    </row>
    <row r="1626" spans="1:14" s="16" customFormat="1" ht="15.75">
      <c r="A1626" s="14"/>
      <c r="B1626" s="125" t="s">
        <v>30</v>
      </c>
      <c r="C1626" s="109" t="s">
        <v>412</v>
      </c>
      <c r="D1626" s="109" t="s">
        <v>73</v>
      </c>
      <c r="E1626" s="109" t="s">
        <v>57</v>
      </c>
      <c r="F1626" s="108" t="s">
        <v>935</v>
      </c>
      <c r="G1626" s="108" t="s">
        <v>31</v>
      </c>
      <c r="H1626" s="126">
        <v>0</v>
      </c>
      <c r="I1626" s="126">
        <v>0</v>
      </c>
      <c r="J1626" s="108">
        <v>8420021210</v>
      </c>
      <c r="K1626" s="108" t="str">
        <f t="shared" si="85"/>
        <v>8420021210</v>
      </c>
      <c r="L1626" s="303" t="str">
        <f t="shared" si="86"/>
        <v>62104128420021210244</v>
      </c>
      <c r="M1626" s="132"/>
      <c r="N1626" s="17">
        <f t="shared" si="87"/>
        <v>0</v>
      </c>
    </row>
    <row r="1627" spans="1:14" s="16" customFormat="1" ht="15.75">
      <c r="A1627" s="14"/>
      <c r="B1627" s="117" t="s">
        <v>228</v>
      </c>
      <c r="C1627" s="118" t="s">
        <v>412</v>
      </c>
      <c r="D1627" s="119" t="s">
        <v>229</v>
      </c>
      <c r="E1627" s="119" t="s">
        <v>7</v>
      </c>
      <c r="F1627" s="119" t="s">
        <v>8</v>
      </c>
      <c r="G1627" s="119" t="s">
        <v>9</v>
      </c>
      <c r="H1627" s="120">
        <v>0</v>
      </c>
      <c r="I1627" s="120">
        <v>0</v>
      </c>
      <c r="J1627" s="119">
        <v>0</v>
      </c>
      <c r="K1627" s="108" t="str">
        <f t="shared" si="85"/>
        <v>0000000000</v>
      </c>
      <c r="L1627" s="303" t="str">
        <f t="shared" si="86"/>
        <v>62107000000000000000</v>
      </c>
      <c r="M1627" s="132" t="str">
        <f>INDEX('реш СГД № 265'!$A:$N,MATCH('БА расх 2019-2020'!$L1627,'реш СГД № 265'!$N:$N,0),3)</f>
        <v>Образование</v>
      </c>
      <c r="N1627" s="17">
        <f t="shared" si="87"/>
        <v>1</v>
      </c>
    </row>
    <row r="1628" spans="1:14" s="16" customFormat="1" ht="15.75">
      <c r="A1628" s="14"/>
      <c r="B1628" s="121" t="s">
        <v>395</v>
      </c>
      <c r="C1628" s="122" t="s">
        <v>412</v>
      </c>
      <c r="D1628" s="123" t="s">
        <v>229</v>
      </c>
      <c r="E1628" s="123" t="s">
        <v>11</v>
      </c>
      <c r="F1628" s="123" t="s">
        <v>8</v>
      </c>
      <c r="G1628" s="123" t="s">
        <v>9</v>
      </c>
      <c r="H1628" s="124">
        <v>0</v>
      </c>
      <c r="I1628" s="124">
        <v>0</v>
      </c>
      <c r="J1628" s="123">
        <v>0</v>
      </c>
      <c r="K1628" s="108" t="str">
        <f t="shared" si="85"/>
        <v>0000000000</v>
      </c>
      <c r="L1628" s="303" t="str">
        <f t="shared" si="86"/>
        <v>62107010000000000000</v>
      </c>
      <c r="M1628" s="132" t="str">
        <f>INDEX('реш СГД № 265'!$A:$N,MATCH('БА расх 2019-2020'!$L1628,'реш СГД № 265'!$N:$N,0),3)</f>
        <v>Дошкольное образование</v>
      </c>
      <c r="N1628" s="17">
        <f t="shared" si="87"/>
        <v>1</v>
      </c>
    </row>
    <row r="1629" spans="1:14" s="16" customFormat="1" ht="31.5">
      <c r="A1629" s="14"/>
      <c r="B1629" s="132" t="s">
        <v>396</v>
      </c>
      <c r="C1629" s="109" t="s">
        <v>412</v>
      </c>
      <c r="D1629" s="108" t="s">
        <v>229</v>
      </c>
      <c r="E1629" s="108" t="s">
        <v>11</v>
      </c>
      <c r="F1629" s="108" t="s">
        <v>397</v>
      </c>
      <c r="G1629" s="108" t="s">
        <v>9</v>
      </c>
      <c r="H1629" s="126">
        <v>0</v>
      </c>
      <c r="I1629" s="126">
        <v>0</v>
      </c>
      <c r="J1629" s="108">
        <v>100000000</v>
      </c>
      <c r="K1629" s="108" t="str">
        <f t="shared" si="85"/>
        <v>0100000000</v>
      </c>
      <c r="L1629" s="303" t="str">
        <f t="shared" si="86"/>
        <v>62107010100000000000</v>
      </c>
      <c r="M1629" s="132" t="str">
        <f>INDEX('реш СГД № 265'!$A:$N,MATCH('БА расх 2019-2020'!$L1629,'реш СГД № 265'!$N:$N,0),3)</f>
        <v>Муниципальная программа «Развитие образования в городе Ставрополе»</v>
      </c>
      <c r="N1629" s="17">
        <f t="shared" si="87"/>
        <v>1</v>
      </c>
    </row>
    <row r="1630" spans="1:14" s="16" customFormat="1" ht="47.25">
      <c r="A1630" s="14"/>
      <c r="B1630" s="125" t="s">
        <v>444</v>
      </c>
      <c r="C1630" s="109" t="s">
        <v>412</v>
      </c>
      <c r="D1630" s="108" t="s">
        <v>229</v>
      </c>
      <c r="E1630" s="108" t="s">
        <v>11</v>
      </c>
      <c r="F1630" s="108" t="s">
        <v>445</v>
      </c>
      <c r="G1630" s="108" t="s">
        <v>9</v>
      </c>
      <c r="H1630" s="126">
        <v>0</v>
      </c>
      <c r="I1630" s="126">
        <v>0</v>
      </c>
      <c r="J1630" s="108">
        <v>120000000</v>
      </c>
      <c r="K1630" s="108" t="str">
        <f t="shared" si="85"/>
        <v>0120000000</v>
      </c>
      <c r="L1630" s="303" t="str">
        <f t="shared" si="86"/>
        <v>62107010120000000000</v>
      </c>
      <c r="M1630" s="132" t="str">
        <f>INDEX('реш СГД № 265'!$A:$N,MATCH('БА расх 2019-2020'!$L1630,'реш СГД № 265'!$N:$N,0),3)</f>
        <v>Подпрограмма «Расширение и усовершенствование сети муниципальных дошкольных и общеобразовательных учреждений»</v>
      </c>
      <c r="N1630" s="17">
        <f t="shared" si="87"/>
        <v>1</v>
      </c>
    </row>
    <row r="1631" spans="1:14" s="16" customFormat="1" ht="63">
      <c r="A1631" s="14"/>
      <c r="B1631" s="125" t="s">
        <v>936</v>
      </c>
      <c r="C1631" s="109" t="s">
        <v>412</v>
      </c>
      <c r="D1631" s="108" t="s">
        <v>229</v>
      </c>
      <c r="E1631" s="108" t="s">
        <v>11</v>
      </c>
      <c r="F1631" s="108" t="s">
        <v>447</v>
      </c>
      <c r="G1631" s="108" t="s">
        <v>9</v>
      </c>
      <c r="H1631" s="126">
        <v>0</v>
      </c>
      <c r="I1631" s="126">
        <v>0</v>
      </c>
      <c r="J1631" s="108">
        <v>120100000</v>
      </c>
      <c r="K1631" s="108" t="str">
        <f t="shared" si="85"/>
        <v>0120100000</v>
      </c>
      <c r="L1631" s="303" t="str">
        <f t="shared" si="86"/>
        <v>62107010120100000000</v>
      </c>
      <c r="M1631" s="132" t="str">
        <f>INDEX('реш СГД № 265'!$A:$N,MATCH('БА расх 2019-2020'!$L1631,'реш СГД № 265'!$N:$N,0),3)</f>
        <v>Основное мероприятие «Строительство и реконструкция зданий муниципальных  дошкольных и общеобразовательных учреждений на территории города Ставрополя»</v>
      </c>
      <c r="N1631" s="17">
        <f t="shared" si="87"/>
        <v>1</v>
      </c>
    </row>
    <row r="1632" spans="1:14" s="16" customFormat="1" ht="63">
      <c r="A1632" s="14"/>
      <c r="B1632" s="125" t="s">
        <v>448</v>
      </c>
      <c r="C1632" s="109" t="s">
        <v>412</v>
      </c>
      <c r="D1632" s="108" t="s">
        <v>229</v>
      </c>
      <c r="E1632" s="108" t="s">
        <v>11</v>
      </c>
      <c r="F1632" s="108" t="s">
        <v>449</v>
      </c>
      <c r="G1632" s="108" t="s">
        <v>9</v>
      </c>
      <c r="H1632" s="126">
        <v>0</v>
      </c>
      <c r="I1632" s="126">
        <v>0</v>
      </c>
      <c r="J1632" s="108">
        <v>120140010</v>
      </c>
      <c r="K1632" s="108" t="str">
        <f t="shared" si="85"/>
        <v>0120140010</v>
      </c>
      <c r="L1632" s="303" t="str">
        <f t="shared" si="86"/>
        <v>62107010120140010000</v>
      </c>
      <c r="M1632" s="132" t="str">
        <f>INDEX('реш СГД № 265'!$A:$N,MATCH('БА расх 2019-2020'!$L1632,'реш СГД № 265'!$N:$N,0),3)</f>
        <v>Строительство (реконструкция, техническое перевооружение) объектов капитального строительства муниципальной собственности города Ставрополя</v>
      </c>
      <c r="N1632" s="17">
        <f t="shared" si="87"/>
        <v>1</v>
      </c>
    </row>
    <row r="1633" spans="1:14" s="16" customFormat="1" ht="15.75">
      <c r="A1633" s="14"/>
      <c r="B1633" s="125" t="s">
        <v>937</v>
      </c>
      <c r="C1633" s="109" t="s">
        <v>412</v>
      </c>
      <c r="D1633" s="108" t="s">
        <v>229</v>
      </c>
      <c r="E1633" s="108" t="s">
        <v>11</v>
      </c>
      <c r="F1633" s="108" t="s">
        <v>449</v>
      </c>
      <c r="G1633" s="108" t="s">
        <v>838</v>
      </c>
      <c r="H1633" s="126">
        <v>0</v>
      </c>
      <c r="I1633" s="126">
        <v>0</v>
      </c>
      <c r="J1633" s="108">
        <v>120140010</v>
      </c>
      <c r="K1633" s="108" t="str">
        <f t="shared" si="85"/>
        <v>0120140010</v>
      </c>
      <c r="L1633" s="303" t="str">
        <f t="shared" si="86"/>
        <v>62107010120140010410</v>
      </c>
      <c r="M1633" s="132" t="str">
        <f>INDEX('реш СГД № 265'!$A:$N,MATCH('БА расх 2019-2020'!$L1633,'реш СГД № 265'!$N:$N,0),3)</f>
        <v>Бюджетные инвестиции</v>
      </c>
      <c r="N1633" s="17">
        <f t="shared" si="87"/>
        <v>1</v>
      </c>
    </row>
    <row r="1634" spans="1:14" s="16" customFormat="1" ht="47.25">
      <c r="A1634" s="14"/>
      <c r="B1634" s="125" t="s">
        <v>839</v>
      </c>
      <c r="C1634" s="109" t="s">
        <v>412</v>
      </c>
      <c r="D1634" s="108" t="s">
        <v>229</v>
      </c>
      <c r="E1634" s="108" t="s">
        <v>11</v>
      </c>
      <c r="F1634" s="108" t="s">
        <v>449</v>
      </c>
      <c r="G1634" s="108" t="s">
        <v>840</v>
      </c>
      <c r="H1634" s="126">
        <v>0</v>
      </c>
      <c r="I1634" s="126">
        <v>0</v>
      </c>
      <c r="J1634" s="108">
        <v>120140010</v>
      </c>
      <c r="K1634" s="108" t="str">
        <f t="shared" si="85"/>
        <v>0120140010</v>
      </c>
      <c r="L1634" s="303" t="str">
        <f t="shared" si="86"/>
        <v>62107010120140010414</v>
      </c>
      <c r="M1634" s="132"/>
      <c r="N1634" s="17"/>
    </row>
    <row r="1635" spans="1:14" s="16" customFormat="1" ht="31.5">
      <c r="A1635" s="14"/>
      <c r="B1635" s="125" t="s">
        <v>1153</v>
      </c>
      <c r="C1635" s="109" t="s">
        <v>412</v>
      </c>
      <c r="D1635" s="108" t="s">
        <v>229</v>
      </c>
      <c r="E1635" s="108" t="s">
        <v>11</v>
      </c>
      <c r="F1635" s="108" t="s">
        <v>1154</v>
      </c>
      <c r="G1635" s="108" t="s">
        <v>9</v>
      </c>
      <c r="H1635" s="126">
        <v>0</v>
      </c>
      <c r="I1635" s="126">
        <v>0</v>
      </c>
      <c r="J1635" s="108">
        <v>120140060</v>
      </c>
      <c r="K1635" s="108" t="str">
        <f t="shared" si="85"/>
        <v>0120140060</v>
      </c>
      <c r="L1635" s="303" t="str">
        <f t="shared" ref="L1635:L1636" si="88">C1635&amp;D1635&amp;E1635&amp;K1635&amp;G1635</f>
        <v>62107010120140060000</v>
      </c>
      <c r="M1635" s="132" t="str">
        <f>INDEX('реш СГД № 265'!$A:$N,MATCH('БА расх 2019-2020'!$L1635,'реш СГД № 265'!$N:$N,0),3)</f>
        <v>Приобретение объектов недвижимости в муниципальную собственность города Ставрополя</v>
      </c>
      <c r="N1635" s="17">
        <f t="shared" ref="N1635:N1650" si="89">IF(B1635=M1635,1,0)</f>
        <v>1</v>
      </c>
    </row>
    <row r="1636" spans="1:14" s="16" customFormat="1" ht="15.75">
      <c r="A1636" s="14"/>
      <c r="B1636" s="125" t="s">
        <v>937</v>
      </c>
      <c r="C1636" s="109" t="s">
        <v>412</v>
      </c>
      <c r="D1636" s="108" t="s">
        <v>229</v>
      </c>
      <c r="E1636" s="108" t="s">
        <v>11</v>
      </c>
      <c r="F1636" s="108" t="s">
        <v>1154</v>
      </c>
      <c r="G1636" s="108" t="s">
        <v>838</v>
      </c>
      <c r="H1636" s="126">
        <v>0</v>
      </c>
      <c r="I1636" s="126">
        <v>0</v>
      </c>
      <c r="J1636" s="108">
        <v>120140060</v>
      </c>
      <c r="K1636" s="108" t="str">
        <f t="shared" si="85"/>
        <v>0120140060</v>
      </c>
      <c r="L1636" s="303" t="str">
        <f t="shared" si="88"/>
        <v>62107010120140060410</v>
      </c>
      <c r="M1636" s="132" t="str">
        <f>INDEX('реш СГД № 265'!$A:$N,MATCH('БА расх 2019-2020'!$L1636,'реш СГД № 265'!$N:$N,0),3)</f>
        <v>Бюджетные инвестиции</v>
      </c>
      <c r="N1636" s="17">
        <f t="shared" si="89"/>
        <v>1</v>
      </c>
    </row>
    <row r="1637" spans="1:14" s="16" customFormat="1" ht="47.25">
      <c r="A1637" s="14"/>
      <c r="B1637" s="125" t="s">
        <v>1161</v>
      </c>
      <c r="C1637" s="109" t="s">
        <v>412</v>
      </c>
      <c r="D1637" s="108" t="s">
        <v>229</v>
      </c>
      <c r="E1637" s="108" t="s">
        <v>11</v>
      </c>
      <c r="F1637" s="108" t="s">
        <v>1154</v>
      </c>
      <c r="G1637" s="108" t="s">
        <v>1162</v>
      </c>
      <c r="H1637" s="126">
        <v>0</v>
      </c>
      <c r="I1637" s="126">
        <v>0</v>
      </c>
      <c r="J1637" s="108">
        <v>120140060</v>
      </c>
      <c r="K1637" s="108" t="str">
        <f t="shared" si="85"/>
        <v>0120140060</v>
      </c>
      <c r="L1637" s="303" t="str">
        <f t="shared" ref="L1637:L1649" si="90">C1637&amp;D1637&amp;E1637&amp;K1637&amp;G1637</f>
        <v>62107010120140060412</v>
      </c>
      <c r="M1637" s="132"/>
      <c r="N1637" s="17"/>
    </row>
    <row r="1638" spans="1:14" s="16" customFormat="1" ht="157.5">
      <c r="A1638" s="14"/>
      <c r="B1638" s="125" t="s">
        <v>2317</v>
      </c>
      <c r="C1638" s="109" t="s">
        <v>412</v>
      </c>
      <c r="D1638" s="108" t="s">
        <v>229</v>
      </c>
      <c r="E1638" s="108" t="s">
        <v>11</v>
      </c>
      <c r="F1638" s="108" t="s">
        <v>2300</v>
      </c>
      <c r="G1638" s="108" t="s">
        <v>9</v>
      </c>
      <c r="H1638" s="126">
        <v>0</v>
      </c>
      <c r="I1638" s="126">
        <v>0</v>
      </c>
      <c r="J1638" s="108">
        <v>120177471</v>
      </c>
      <c r="K1638" s="108" t="str">
        <f t="shared" si="85"/>
        <v>0120177471</v>
      </c>
      <c r="L1638" s="303" t="str">
        <f t="shared" si="90"/>
        <v>62107010120177471000</v>
      </c>
      <c r="M1638" s="132" t="str">
        <f>INDEX('реш СГД № 265'!$A:$N,MATCH('БА расх 2019-2020'!$L1638,'реш СГД № 265'!$N:$N,0),3)</f>
        <v xml:space="preserve">Финансовое обеспечение мероприятий по созданию дополнительных мест для детей в возрасте от 2 месяцев до 3 лет в образовательных организациях, реализующих программы дошкольного образования, за счет средств краевого бюджета (строительство дошкольного образовательного учреждения на 160 мест в 204 квартале г. Ставрополя, ул. Серова, 470/7 (в том числе проектно-изыскательские работы) </v>
      </c>
      <c r="N1638" s="17">
        <f t="shared" ref="N1638:N1644" si="91">IF(B1638=M1638,1,0)</f>
        <v>0</v>
      </c>
    </row>
    <row r="1639" spans="1:14" s="16" customFormat="1" ht="15.75">
      <c r="A1639" s="14"/>
      <c r="B1639" s="125" t="s">
        <v>937</v>
      </c>
      <c r="C1639" s="109" t="s">
        <v>412</v>
      </c>
      <c r="D1639" s="108" t="s">
        <v>229</v>
      </c>
      <c r="E1639" s="108" t="s">
        <v>11</v>
      </c>
      <c r="F1639" s="108" t="s">
        <v>2300</v>
      </c>
      <c r="G1639" s="108" t="s">
        <v>838</v>
      </c>
      <c r="H1639" s="126">
        <v>0</v>
      </c>
      <c r="I1639" s="126">
        <v>0</v>
      </c>
      <c r="J1639" s="108">
        <v>120177471</v>
      </c>
      <c r="K1639" s="108" t="str">
        <f t="shared" si="85"/>
        <v>0120177471</v>
      </c>
      <c r="L1639" s="303" t="str">
        <f t="shared" si="90"/>
        <v>62107010120177471410</v>
      </c>
      <c r="M1639" s="132" t="e">
        <f>INDEX('реш СГД № 265'!$A:$N,MATCH('БА расх 2019-2020'!$L1639,'реш СГД № 265'!$N:$N,0),3)</f>
        <v>#N/A</v>
      </c>
      <c r="N1639" s="17" t="e">
        <f t="shared" si="91"/>
        <v>#N/A</v>
      </c>
    </row>
    <row r="1640" spans="1:14" s="16" customFormat="1" ht="47.25">
      <c r="A1640" s="14"/>
      <c r="B1640" s="125" t="s">
        <v>839</v>
      </c>
      <c r="C1640" s="109" t="s">
        <v>412</v>
      </c>
      <c r="D1640" s="108" t="s">
        <v>229</v>
      </c>
      <c r="E1640" s="108" t="s">
        <v>11</v>
      </c>
      <c r="F1640" s="108" t="s">
        <v>2300</v>
      </c>
      <c r="G1640" s="108" t="s">
        <v>840</v>
      </c>
      <c r="H1640" s="126">
        <v>0</v>
      </c>
      <c r="I1640" s="126">
        <v>0</v>
      </c>
      <c r="J1640" s="108">
        <v>120177471</v>
      </c>
      <c r="K1640" s="108" t="str">
        <f t="shared" si="85"/>
        <v>0120177471</v>
      </c>
      <c r="L1640" s="303" t="str">
        <f t="shared" si="90"/>
        <v>62107010120177471414</v>
      </c>
      <c r="M1640" s="132"/>
      <c r="N1640" s="17"/>
    </row>
    <row r="1641" spans="1:14" s="16" customFormat="1" ht="157.5">
      <c r="A1641" s="14"/>
      <c r="B1641" s="125" t="s">
        <v>2318</v>
      </c>
      <c r="C1641" s="109" t="s">
        <v>412</v>
      </c>
      <c r="D1641" s="108" t="s">
        <v>229</v>
      </c>
      <c r="E1641" s="108" t="s">
        <v>11</v>
      </c>
      <c r="F1641" s="108" t="s">
        <v>2301</v>
      </c>
      <c r="G1641" s="108" t="s">
        <v>9</v>
      </c>
      <c r="H1641" s="126">
        <v>0</v>
      </c>
      <c r="I1641" s="126">
        <v>0</v>
      </c>
      <c r="J1641" s="108">
        <v>120197471</v>
      </c>
      <c r="K1641" s="108" t="str">
        <f t="shared" si="85"/>
        <v>0120197471</v>
      </c>
      <c r="L1641" s="303" t="str">
        <f t="shared" si="90"/>
        <v>62107010120197471000</v>
      </c>
      <c r="M1641" s="132" t="str">
        <f>INDEX('реш СГД № 265'!$A:$N,MATCH('БА расх 2019-2020'!$L1641,'реш СГД № 265'!$N:$N,0),3)</f>
        <v xml:space="preserve">Финансовое обеспечение мероприятий по созданию дополнительных мест для детей в возрасте от 2 месяцев до 3 лет в образовательных организациях, реализующих программы дошкольного образования, за счет средств местного бюджета (строительство дошкольного образовательного учреждения на 160 мест в 204 квартале г. Ставрополя, ул. Серова, 470/7 (в том числе проектно-изыскательские работы) </v>
      </c>
      <c r="N1641" s="17">
        <f t="shared" si="91"/>
        <v>0</v>
      </c>
    </row>
    <row r="1642" spans="1:14" s="16" customFormat="1" ht="15.75">
      <c r="A1642" s="14"/>
      <c r="B1642" s="125" t="s">
        <v>937</v>
      </c>
      <c r="C1642" s="109" t="s">
        <v>412</v>
      </c>
      <c r="D1642" s="108" t="s">
        <v>229</v>
      </c>
      <c r="E1642" s="108" t="s">
        <v>11</v>
      </c>
      <c r="F1642" s="108" t="s">
        <v>2301</v>
      </c>
      <c r="G1642" s="108" t="s">
        <v>838</v>
      </c>
      <c r="H1642" s="126">
        <v>0</v>
      </c>
      <c r="I1642" s="126">
        <v>0</v>
      </c>
      <c r="J1642" s="108">
        <v>120197471</v>
      </c>
      <c r="K1642" s="108" t="str">
        <f t="shared" si="85"/>
        <v>0120197471</v>
      </c>
      <c r="L1642" s="303" t="str">
        <f t="shared" si="90"/>
        <v>62107010120197471410</v>
      </c>
      <c r="M1642" s="132" t="str">
        <f>INDEX('реш СГД № 265'!$A:$N,MATCH('БА расх 2019-2020'!$L1642,'реш СГД № 265'!$N:$N,0),3)</f>
        <v>Бюджетные инвестиции</v>
      </c>
      <c r="N1642" s="17">
        <f t="shared" si="91"/>
        <v>1</v>
      </c>
    </row>
    <row r="1643" spans="1:14" s="16" customFormat="1" ht="47.25">
      <c r="A1643" s="14"/>
      <c r="B1643" s="125" t="s">
        <v>839</v>
      </c>
      <c r="C1643" s="109" t="s">
        <v>412</v>
      </c>
      <c r="D1643" s="108" t="s">
        <v>229</v>
      </c>
      <c r="E1643" s="108" t="s">
        <v>11</v>
      </c>
      <c r="F1643" s="108" t="s">
        <v>2301</v>
      </c>
      <c r="G1643" s="108" t="s">
        <v>840</v>
      </c>
      <c r="H1643" s="126">
        <v>0</v>
      </c>
      <c r="I1643" s="126">
        <v>0</v>
      </c>
      <c r="J1643" s="108">
        <v>120197471</v>
      </c>
      <c r="K1643" s="108" t="str">
        <f t="shared" si="85"/>
        <v>0120197471</v>
      </c>
      <c r="L1643" s="303" t="str">
        <f t="shared" si="90"/>
        <v>62107010120197471414</v>
      </c>
      <c r="M1643" s="132"/>
      <c r="N1643" s="17">
        <f t="shared" si="91"/>
        <v>0</v>
      </c>
    </row>
    <row r="1644" spans="1:14" s="16" customFormat="1" ht="135" customHeight="1">
      <c r="A1644" s="14"/>
      <c r="B1644" s="125" t="s">
        <v>2277</v>
      </c>
      <c r="C1644" s="109" t="s">
        <v>412</v>
      </c>
      <c r="D1644" s="108" t="s">
        <v>229</v>
      </c>
      <c r="E1644" s="108" t="s">
        <v>11</v>
      </c>
      <c r="F1644" s="108" t="s">
        <v>2278</v>
      </c>
      <c r="G1644" s="108" t="s">
        <v>9</v>
      </c>
      <c r="H1644" s="126">
        <v>0</v>
      </c>
      <c r="I1644" s="126">
        <v>0</v>
      </c>
      <c r="J1644" s="108" t="s">
        <v>2218</v>
      </c>
      <c r="K1644" s="108" t="str">
        <f t="shared" si="85"/>
        <v>01201L1591</v>
      </c>
      <c r="L1644" s="303" t="str">
        <f t="shared" si="90"/>
        <v>621070101201L1591000</v>
      </c>
      <c r="M1644" s="132" t="str">
        <f>INDEX('реш СГД № 265'!$A:$N,MATCH('БА расх 2019-2020'!$L1644,'реш СГД № 265'!$N:$N,0),3)</f>
        <v xml:space="preserve">Cоздание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на 160 мест в 204 квартале г. Ставрополя, ул. Серова, 470/7 (в том числе проектно-изыскательские работы) </v>
      </c>
      <c r="N1644" s="17">
        <f t="shared" si="91"/>
        <v>1</v>
      </c>
    </row>
    <row r="1645" spans="1:14" s="16" customFormat="1" ht="15.75">
      <c r="A1645" s="14"/>
      <c r="B1645" s="132" t="s">
        <v>1045</v>
      </c>
      <c r="C1645" s="109"/>
      <c r="D1645" s="108"/>
      <c r="E1645" s="108"/>
      <c r="F1645" s="108"/>
      <c r="G1645" s="108"/>
      <c r="H1645" s="126"/>
      <c r="I1645" s="126"/>
      <c r="J1645" s="108"/>
      <c r="K1645" s="108" t="str">
        <f t="shared" si="85"/>
        <v>0000000000</v>
      </c>
      <c r="L1645" s="303" t="str">
        <f t="shared" si="90"/>
        <v>0000000000</v>
      </c>
      <c r="M1645" s="132"/>
      <c r="N1645" s="17"/>
    </row>
    <row r="1646" spans="1:14" s="16" customFormat="1" ht="15.75">
      <c r="A1646" s="14"/>
      <c r="B1646" s="125" t="s">
        <v>1050</v>
      </c>
      <c r="C1646" s="109" t="s">
        <v>412</v>
      </c>
      <c r="D1646" s="108" t="s">
        <v>229</v>
      </c>
      <c r="E1646" s="108" t="s">
        <v>11</v>
      </c>
      <c r="F1646" s="108" t="s">
        <v>2278</v>
      </c>
      <c r="G1646" s="108" t="s">
        <v>9</v>
      </c>
      <c r="H1646" s="126">
        <v>757805.06</v>
      </c>
      <c r="I1646" s="126">
        <v>0</v>
      </c>
      <c r="J1646" s="108" t="s">
        <v>2218</v>
      </c>
      <c r="K1646" s="108" t="str">
        <f t="shared" si="85"/>
        <v>01201L1591</v>
      </c>
      <c r="L1646" s="303" t="str">
        <f t="shared" si="90"/>
        <v>621070101201L1591000</v>
      </c>
      <c r="M1646" s="132"/>
      <c r="N1646" s="17"/>
    </row>
    <row r="1647" spans="1:14" s="16" customFormat="1" ht="15.75">
      <c r="A1647" s="14"/>
      <c r="B1647" s="125" t="s">
        <v>1051</v>
      </c>
      <c r="C1647" s="109" t="s">
        <v>412</v>
      </c>
      <c r="D1647" s="108" t="s">
        <v>229</v>
      </c>
      <c r="E1647" s="108" t="s">
        <v>11</v>
      </c>
      <c r="F1647" s="108" t="s">
        <v>2278</v>
      </c>
      <c r="G1647" s="108" t="s">
        <v>9</v>
      </c>
      <c r="H1647" s="126">
        <v>75022701.409999996</v>
      </c>
      <c r="I1647" s="126">
        <v>0</v>
      </c>
      <c r="J1647" s="108" t="s">
        <v>2218</v>
      </c>
      <c r="K1647" s="108" t="str">
        <f t="shared" si="85"/>
        <v>01201L1591</v>
      </c>
      <c r="L1647" s="303" t="str">
        <f t="shared" si="90"/>
        <v>621070101201L1591000</v>
      </c>
      <c r="M1647" s="132"/>
      <c r="N1647" s="17"/>
    </row>
    <row r="1648" spans="1:14" s="16" customFormat="1" ht="15.75">
      <c r="A1648" s="14"/>
      <c r="B1648" s="125" t="s">
        <v>937</v>
      </c>
      <c r="C1648" s="109" t="s">
        <v>412</v>
      </c>
      <c r="D1648" s="108" t="s">
        <v>229</v>
      </c>
      <c r="E1648" s="108" t="s">
        <v>11</v>
      </c>
      <c r="F1648" s="108" t="s">
        <v>2278</v>
      </c>
      <c r="G1648" s="108" t="s">
        <v>838</v>
      </c>
      <c r="H1648" s="126">
        <v>0</v>
      </c>
      <c r="I1648" s="126">
        <v>0</v>
      </c>
      <c r="J1648" s="108" t="s">
        <v>2218</v>
      </c>
      <c r="K1648" s="108" t="str">
        <f t="shared" si="85"/>
        <v>01201L1591</v>
      </c>
      <c r="L1648" s="303" t="str">
        <f t="shared" si="90"/>
        <v>621070101201L1591410</v>
      </c>
      <c r="M1648" s="132" t="str">
        <f>INDEX('реш СГД № 265'!$A:$N,MATCH('БА расх 2019-2020'!$L1648,'реш СГД № 265'!$N:$N,0),3)</f>
        <v>Бюджетные инвестиции</v>
      </c>
      <c r="N1648" s="17">
        <f t="shared" ref="N1648" si="92">IF(B1648=M1648,1,0)</f>
        <v>1</v>
      </c>
    </row>
    <row r="1649" spans="1:14" s="16" customFormat="1" ht="47.25">
      <c r="A1649" s="14"/>
      <c r="B1649" s="125" t="s">
        <v>839</v>
      </c>
      <c r="C1649" s="109" t="s">
        <v>412</v>
      </c>
      <c r="D1649" s="108" t="s">
        <v>229</v>
      </c>
      <c r="E1649" s="108" t="s">
        <v>11</v>
      </c>
      <c r="F1649" s="108" t="s">
        <v>2278</v>
      </c>
      <c r="G1649" s="108" t="s">
        <v>840</v>
      </c>
      <c r="H1649" s="126">
        <v>0</v>
      </c>
      <c r="I1649" s="126">
        <v>0</v>
      </c>
      <c r="J1649" s="108" t="s">
        <v>2218</v>
      </c>
      <c r="K1649" s="108" t="str">
        <f t="shared" si="85"/>
        <v>01201L1591</v>
      </c>
      <c r="L1649" s="303" t="str">
        <f t="shared" si="90"/>
        <v>621070101201L1591414</v>
      </c>
      <c r="M1649" s="132"/>
      <c r="N1649" s="17"/>
    </row>
    <row r="1650" spans="1:14" s="16" customFormat="1" ht="15.75">
      <c r="A1650" s="14"/>
      <c r="B1650" s="121" t="s">
        <v>438</v>
      </c>
      <c r="C1650" s="122" t="s">
        <v>412</v>
      </c>
      <c r="D1650" s="123" t="s">
        <v>229</v>
      </c>
      <c r="E1650" s="123" t="s">
        <v>62</v>
      </c>
      <c r="F1650" s="123" t="s">
        <v>8</v>
      </c>
      <c r="G1650" s="123" t="s">
        <v>9</v>
      </c>
      <c r="H1650" s="124">
        <v>0</v>
      </c>
      <c r="I1650" s="124">
        <v>0</v>
      </c>
      <c r="J1650" s="123">
        <v>0</v>
      </c>
      <c r="K1650" s="108" t="str">
        <f t="shared" si="85"/>
        <v>0000000000</v>
      </c>
      <c r="L1650" s="303" t="str">
        <f t="shared" si="86"/>
        <v>62107020000000000000</v>
      </c>
      <c r="M1650" s="132" t="str">
        <f>INDEX('реш СГД № 265'!$A:$N,MATCH('БА расх 2019-2020'!$L1650,'реш СГД № 265'!$N:$N,0),3)</f>
        <v>Общее образование</v>
      </c>
      <c r="N1650" s="17">
        <f t="shared" si="89"/>
        <v>1</v>
      </c>
    </row>
    <row r="1651" spans="1:14" s="16" customFormat="1" ht="31.5">
      <c r="A1651" s="14"/>
      <c r="B1651" s="132" t="s">
        <v>396</v>
      </c>
      <c r="C1651" s="109" t="s">
        <v>412</v>
      </c>
      <c r="D1651" s="108" t="s">
        <v>229</v>
      </c>
      <c r="E1651" s="108" t="s">
        <v>62</v>
      </c>
      <c r="F1651" s="108" t="s">
        <v>397</v>
      </c>
      <c r="G1651" s="108" t="s">
        <v>9</v>
      </c>
      <c r="H1651" s="126">
        <v>0</v>
      </c>
      <c r="I1651" s="126">
        <v>0</v>
      </c>
      <c r="J1651" s="108">
        <v>100000000</v>
      </c>
      <c r="K1651" s="108" t="str">
        <f t="shared" si="85"/>
        <v>0100000000</v>
      </c>
      <c r="L1651" s="303" t="str">
        <f t="shared" si="86"/>
        <v>62107020100000000000</v>
      </c>
      <c r="M1651" s="132" t="str">
        <f>INDEX('реш СГД № 265'!$A:$N,MATCH('БА расх 2019-2020'!$L1651,'реш СГД № 265'!$N:$N,0),3)</f>
        <v>Муниципальная программа «Развитие образования в городе Ставрополе»</v>
      </c>
      <c r="N1651" s="17">
        <f t="shared" si="87"/>
        <v>1</v>
      </c>
    </row>
    <row r="1652" spans="1:14" s="16" customFormat="1" ht="47.25">
      <c r="A1652" s="14"/>
      <c r="B1652" s="125" t="s">
        <v>444</v>
      </c>
      <c r="C1652" s="109" t="s">
        <v>412</v>
      </c>
      <c r="D1652" s="108" t="s">
        <v>229</v>
      </c>
      <c r="E1652" s="108" t="s">
        <v>62</v>
      </c>
      <c r="F1652" s="108" t="s">
        <v>445</v>
      </c>
      <c r="G1652" s="108" t="s">
        <v>9</v>
      </c>
      <c r="H1652" s="126">
        <v>0</v>
      </c>
      <c r="I1652" s="126">
        <v>0</v>
      </c>
      <c r="J1652" s="108">
        <v>120000000</v>
      </c>
      <c r="K1652" s="108" t="str">
        <f t="shared" si="85"/>
        <v>0120000000</v>
      </c>
      <c r="L1652" s="303" t="str">
        <f t="shared" si="86"/>
        <v>62107020120000000000</v>
      </c>
      <c r="M1652" s="132" t="str">
        <f>INDEX('реш СГД № 265'!$A:$N,MATCH('БА расх 2019-2020'!$L1652,'реш СГД № 265'!$N:$N,0),3)</f>
        <v>Подпрограмма «Расширение и усовершенствование сети муниципальных дошкольных и общеобразовательных учреждений»</v>
      </c>
      <c r="N1652" s="17">
        <f t="shared" si="87"/>
        <v>1</v>
      </c>
    </row>
    <row r="1653" spans="1:14" s="16" customFormat="1" ht="63">
      <c r="A1653" s="14"/>
      <c r="B1653" s="125" t="s">
        <v>936</v>
      </c>
      <c r="C1653" s="109" t="s">
        <v>412</v>
      </c>
      <c r="D1653" s="108" t="s">
        <v>229</v>
      </c>
      <c r="E1653" s="108" t="s">
        <v>62</v>
      </c>
      <c r="F1653" s="108" t="s">
        <v>447</v>
      </c>
      <c r="G1653" s="108" t="s">
        <v>9</v>
      </c>
      <c r="H1653" s="126">
        <v>0</v>
      </c>
      <c r="I1653" s="126">
        <v>0</v>
      </c>
      <c r="J1653" s="108">
        <v>120100000</v>
      </c>
      <c r="K1653" s="108" t="str">
        <f t="shared" si="85"/>
        <v>0120100000</v>
      </c>
      <c r="L1653" s="303" t="str">
        <f t="shared" si="86"/>
        <v>62107020120100000000</v>
      </c>
      <c r="M1653" s="132" t="str">
        <f>INDEX('реш СГД № 265'!$A:$N,MATCH('БА расх 2019-2020'!$L1653,'реш СГД № 265'!$N:$N,0),3)</f>
        <v>Основное мероприятие «Строительство и реконструкция зданий муниципальных  дошкольных и общеобразовательных учреждений на территории города Ставрополя»</v>
      </c>
      <c r="N1653" s="17">
        <f t="shared" si="87"/>
        <v>1</v>
      </c>
    </row>
    <row r="1654" spans="1:14" s="16" customFormat="1" ht="63">
      <c r="A1654" s="14"/>
      <c r="B1654" s="125" t="s">
        <v>448</v>
      </c>
      <c r="C1654" s="109" t="s">
        <v>412</v>
      </c>
      <c r="D1654" s="108" t="s">
        <v>229</v>
      </c>
      <c r="E1654" s="108" t="s">
        <v>62</v>
      </c>
      <c r="F1654" s="108" t="s">
        <v>449</v>
      </c>
      <c r="G1654" s="108" t="s">
        <v>9</v>
      </c>
      <c r="H1654" s="126">
        <v>0</v>
      </c>
      <c r="I1654" s="126">
        <v>0</v>
      </c>
      <c r="J1654" s="108">
        <v>120140010</v>
      </c>
      <c r="K1654" s="108" t="str">
        <f t="shared" si="85"/>
        <v>0120140010</v>
      </c>
      <c r="L1654" s="303" t="str">
        <f t="shared" si="86"/>
        <v>62107020120140010000</v>
      </c>
      <c r="M1654" s="132" t="str">
        <f>INDEX('реш СГД № 265'!$A:$N,MATCH('БА расх 2019-2020'!$L1654,'реш СГД № 265'!$N:$N,0),3)</f>
        <v>Строительство (реконструкция, техническое перевооружение) объектов капитального строительства муниципальной собственности города Ставрополя</v>
      </c>
      <c r="N1654" s="17">
        <f t="shared" si="87"/>
        <v>1</v>
      </c>
    </row>
    <row r="1655" spans="1:14" s="16" customFormat="1" ht="15.75">
      <c r="A1655" s="14"/>
      <c r="B1655" s="125" t="s">
        <v>937</v>
      </c>
      <c r="C1655" s="109" t="s">
        <v>412</v>
      </c>
      <c r="D1655" s="108" t="s">
        <v>229</v>
      </c>
      <c r="E1655" s="108" t="s">
        <v>62</v>
      </c>
      <c r="F1655" s="108" t="s">
        <v>449</v>
      </c>
      <c r="G1655" s="108" t="s">
        <v>838</v>
      </c>
      <c r="H1655" s="126">
        <v>0</v>
      </c>
      <c r="I1655" s="126">
        <v>0</v>
      </c>
      <c r="J1655" s="108">
        <v>120140010</v>
      </c>
      <c r="K1655" s="108" t="str">
        <f t="shared" si="85"/>
        <v>0120140010</v>
      </c>
      <c r="L1655" s="303" t="str">
        <f t="shared" si="86"/>
        <v>62107020120140010410</v>
      </c>
      <c r="M1655" s="132" t="str">
        <f>INDEX('реш СГД № 265'!$A:$N,MATCH('БА расх 2019-2020'!$L1655,'реш СГД № 265'!$N:$N,0),3)</f>
        <v>Бюджетные инвестиции</v>
      </c>
      <c r="N1655" s="17">
        <f t="shared" si="87"/>
        <v>1</v>
      </c>
    </row>
    <row r="1656" spans="1:14" s="16" customFormat="1" ht="47.25">
      <c r="A1656" s="14"/>
      <c r="B1656" s="125" t="s">
        <v>839</v>
      </c>
      <c r="C1656" s="109" t="s">
        <v>412</v>
      </c>
      <c r="D1656" s="108" t="s">
        <v>229</v>
      </c>
      <c r="E1656" s="108" t="s">
        <v>62</v>
      </c>
      <c r="F1656" s="108" t="s">
        <v>449</v>
      </c>
      <c r="G1656" s="108" t="s">
        <v>840</v>
      </c>
      <c r="H1656" s="126">
        <v>0</v>
      </c>
      <c r="I1656" s="126">
        <v>0</v>
      </c>
      <c r="J1656" s="108">
        <v>120140010</v>
      </c>
      <c r="K1656" s="108" t="str">
        <f t="shared" si="85"/>
        <v>0120140010</v>
      </c>
      <c r="L1656" s="303" t="str">
        <f t="shared" si="86"/>
        <v>62107020120140010414</v>
      </c>
      <c r="M1656" s="132"/>
      <c r="N1656" s="17"/>
    </row>
    <row r="1657" spans="1:14" s="16" customFormat="1" ht="31.5">
      <c r="A1657" s="14"/>
      <c r="B1657" s="125" t="s">
        <v>1364</v>
      </c>
      <c r="C1657" s="109" t="s">
        <v>412</v>
      </c>
      <c r="D1657" s="108" t="s">
        <v>229</v>
      </c>
      <c r="E1657" s="108" t="s">
        <v>62</v>
      </c>
      <c r="F1657" s="108" t="s">
        <v>1365</v>
      </c>
      <c r="G1657" s="108" t="s">
        <v>9</v>
      </c>
      <c r="H1657" s="126">
        <v>0</v>
      </c>
      <c r="I1657" s="126">
        <v>0</v>
      </c>
      <c r="J1657" s="108" t="s">
        <v>2220</v>
      </c>
      <c r="K1657" s="108" t="str">
        <f t="shared" si="85"/>
        <v>01201L5200</v>
      </c>
      <c r="L1657" s="303" t="str">
        <f t="shared" ref="L1657:L1661" si="93">C1657&amp;D1657&amp;E1657&amp;K1657&amp;G1657</f>
        <v>621070201201L5200000</v>
      </c>
      <c r="M1657" s="132"/>
      <c r="N1657" s="17"/>
    </row>
    <row r="1658" spans="1:14" s="16" customFormat="1" ht="15.75">
      <c r="A1658" s="14"/>
      <c r="B1658" s="125" t="s">
        <v>1045</v>
      </c>
      <c r="C1658" s="109"/>
      <c r="D1658" s="108"/>
      <c r="E1658" s="108"/>
      <c r="F1658" s="108"/>
      <c r="G1658" s="108"/>
      <c r="H1658" s="126"/>
      <c r="I1658" s="126"/>
      <c r="J1658" s="108"/>
      <c r="K1658" s="108" t="str">
        <f t="shared" si="85"/>
        <v>0000000000</v>
      </c>
      <c r="L1658" s="303" t="str">
        <f t="shared" si="93"/>
        <v>0000000000</v>
      </c>
      <c r="M1658" s="132"/>
      <c r="N1658" s="17"/>
    </row>
    <row r="1659" spans="1:14" s="16" customFormat="1" ht="15.75">
      <c r="A1659" s="14"/>
      <c r="B1659" s="125" t="s">
        <v>1050</v>
      </c>
      <c r="C1659" s="109" t="s">
        <v>412</v>
      </c>
      <c r="D1659" s="108" t="s">
        <v>229</v>
      </c>
      <c r="E1659" s="108" t="s">
        <v>62</v>
      </c>
      <c r="F1659" s="108" t="s">
        <v>1365</v>
      </c>
      <c r="G1659" s="108" t="s">
        <v>9</v>
      </c>
      <c r="H1659" s="126">
        <v>0</v>
      </c>
      <c r="I1659" s="126">
        <v>0</v>
      </c>
      <c r="J1659" s="108" t="s">
        <v>2220</v>
      </c>
      <c r="K1659" s="108" t="str">
        <f t="shared" si="85"/>
        <v>01201L5200</v>
      </c>
      <c r="L1659" s="303" t="str">
        <f t="shared" si="93"/>
        <v>621070201201L5200000</v>
      </c>
      <c r="M1659" s="132"/>
      <c r="N1659" s="17"/>
    </row>
    <row r="1660" spans="1:14" s="16" customFormat="1" ht="15.75">
      <c r="A1660" s="14"/>
      <c r="B1660" s="125" t="s">
        <v>937</v>
      </c>
      <c r="C1660" s="109" t="s">
        <v>412</v>
      </c>
      <c r="D1660" s="108" t="s">
        <v>229</v>
      </c>
      <c r="E1660" s="108" t="s">
        <v>62</v>
      </c>
      <c r="F1660" s="108" t="s">
        <v>1365</v>
      </c>
      <c r="G1660" s="108" t="s">
        <v>838</v>
      </c>
      <c r="H1660" s="126">
        <v>0</v>
      </c>
      <c r="I1660" s="126">
        <v>0</v>
      </c>
      <c r="J1660" s="108" t="s">
        <v>2220</v>
      </c>
      <c r="K1660" s="108" t="str">
        <f t="shared" si="85"/>
        <v>01201L5200</v>
      </c>
      <c r="L1660" s="303" t="str">
        <f t="shared" si="93"/>
        <v>621070201201L5200410</v>
      </c>
      <c r="M1660" s="132"/>
      <c r="N1660" s="17"/>
    </row>
    <row r="1661" spans="1:14" s="16" customFormat="1" ht="47.25">
      <c r="A1661" s="14"/>
      <c r="B1661" s="125" t="s">
        <v>839</v>
      </c>
      <c r="C1661" s="109" t="s">
        <v>412</v>
      </c>
      <c r="D1661" s="108" t="s">
        <v>229</v>
      </c>
      <c r="E1661" s="108" t="s">
        <v>62</v>
      </c>
      <c r="F1661" s="108" t="s">
        <v>1365</v>
      </c>
      <c r="G1661" s="108" t="s">
        <v>840</v>
      </c>
      <c r="H1661" s="126">
        <v>0</v>
      </c>
      <c r="I1661" s="126">
        <v>0</v>
      </c>
      <c r="J1661" s="108" t="s">
        <v>2220</v>
      </c>
      <c r="K1661" s="108" t="str">
        <f t="shared" si="85"/>
        <v>01201L5200</v>
      </c>
      <c r="L1661" s="303" t="str">
        <f t="shared" si="93"/>
        <v>621070201201L5200414</v>
      </c>
      <c r="M1661" s="132"/>
      <c r="N1661" s="17"/>
    </row>
    <row r="1662" spans="1:14" s="16" customFormat="1" ht="15.75">
      <c r="A1662" s="14"/>
      <c r="B1662" s="117" t="s">
        <v>569</v>
      </c>
      <c r="C1662" s="118" t="s">
        <v>412</v>
      </c>
      <c r="D1662" s="119" t="s">
        <v>238</v>
      </c>
      <c r="E1662" s="119" t="s">
        <v>7</v>
      </c>
      <c r="F1662" s="119" t="s">
        <v>8</v>
      </c>
      <c r="G1662" s="119" t="s">
        <v>9</v>
      </c>
      <c r="H1662" s="120">
        <v>0</v>
      </c>
      <c r="I1662" s="120">
        <v>0</v>
      </c>
      <c r="J1662" s="119">
        <v>0</v>
      </c>
      <c r="K1662" s="108" t="str">
        <f t="shared" si="85"/>
        <v>0000000000</v>
      </c>
      <c r="L1662" s="303" t="str">
        <f t="shared" si="86"/>
        <v>62108000000000000000</v>
      </c>
      <c r="M1662" s="132" t="str">
        <f>INDEX('реш СГД № 265'!$A:$N,MATCH('БА расх 2019-2020'!$L1662,'реш СГД № 265'!$N:$N,0),3)</f>
        <v>Культура, кинематография</v>
      </c>
      <c r="N1662" s="17">
        <f t="shared" si="87"/>
        <v>1</v>
      </c>
    </row>
    <row r="1663" spans="1:14" s="16" customFormat="1" ht="15.75">
      <c r="A1663" s="14"/>
      <c r="B1663" s="121" t="s">
        <v>239</v>
      </c>
      <c r="C1663" s="122" t="s">
        <v>412</v>
      </c>
      <c r="D1663" s="123" t="s">
        <v>238</v>
      </c>
      <c r="E1663" s="123" t="s">
        <v>11</v>
      </c>
      <c r="F1663" s="123" t="s">
        <v>8</v>
      </c>
      <c r="G1663" s="123" t="s">
        <v>9</v>
      </c>
      <c r="H1663" s="124">
        <v>0</v>
      </c>
      <c r="I1663" s="124">
        <v>0</v>
      </c>
      <c r="J1663" s="123">
        <v>0</v>
      </c>
      <c r="K1663" s="108" t="str">
        <f t="shared" si="85"/>
        <v>0000000000</v>
      </c>
      <c r="L1663" s="303" t="str">
        <f t="shared" si="86"/>
        <v>62108010000000000000</v>
      </c>
      <c r="M1663" s="132" t="str">
        <f>INDEX('реш СГД № 265'!$A:$N,MATCH('БА расх 2019-2020'!$L1663,'реш СГД № 265'!$N:$N,0),3)</f>
        <v>Культура</v>
      </c>
      <c r="N1663" s="17">
        <f t="shared" si="87"/>
        <v>1</v>
      </c>
    </row>
    <row r="1664" spans="1:14" s="16" customFormat="1" ht="31.5">
      <c r="A1664" s="14"/>
      <c r="B1664" s="125" t="s">
        <v>240</v>
      </c>
      <c r="C1664" s="109" t="s">
        <v>412</v>
      </c>
      <c r="D1664" s="108" t="s">
        <v>238</v>
      </c>
      <c r="E1664" s="108" t="s">
        <v>11</v>
      </c>
      <c r="F1664" s="131" t="s">
        <v>241</v>
      </c>
      <c r="G1664" s="108" t="s">
        <v>9</v>
      </c>
      <c r="H1664" s="126">
        <v>0</v>
      </c>
      <c r="I1664" s="126">
        <v>0</v>
      </c>
      <c r="J1664" s="131">
        <v>700000000</v>
      </c>
      <c r="K1664" s="108" t="str">
        <f t="shared" si="85"/>
        <v>0700000000</v>
      </c>
      <c r="L1664" s="303" t="str">
        <f t="shared" si="86"/>
        <v>62108010700000000000</v>
      </c>
      <c r="M1664" s="132" t="str">
        <f>INDEX('реш СГД № 265'!$A:$N,MATCH('БА расх 2019-2020'!$L1664,'реш СГД № 265'!$N:$N,0),3)</f>
        <v>Муниципальная программа «Культура города Ставрополя»</v>
      </c>
      <c r="N1664" s="17">
        <f t="shared" si="87"/>
        <v>1</v>
      </c>
    </row>
    <row r="1665" spans="1:14" s="16" customFormat="1" ht="78.75">
      <c r="A1665" s="14"/>
      <c r="B1665" s="125" t="s">
        <v>384</v>
      </c>
      <c r="C1665" s="109" t="s">
        <v>412</v>
      </c>
      <c r="D1665" s="108" t="s">
        <v>238</v>
      </c>
      <c r="E1665" s="108" t="s">
        <v>11</v>
      </c>
      <c r="F1665" s="131" t="s">
        <v>243</v>
      </c>
      <c r="G1665" s="108" t="s">
        <v>9</v>
      </c>
      <c r="H1665" s="126">
        <v>0</v>
      </c>
      <c r="I1665" s="126">
        <v>0</v>
      </c>
      <c r="J1665" s="131">
        <v>710000000</v>
      </c>
      <c r="K1665" s="108" t="str">
        <f t="shared" si="85"/>
        <v>0710000000</v>
      </c>
      <c r="L1665" s="303" t="str">
        <f t="shared" si="86"/>
        <v>62108010710000000000</v>
      </c>
      <c r="M1665" s="132" t="str">
        <f>INDEX('реш СГД № 265'!$A:$N,MATCH('БА расх 2019-2020'!$L1665,'реш СГД № 265'!$N:$N,0),3)</f>
        <v>Подпрограмма «Проведение городских и краевых культурно-массовых мероприятий, посвященных памятным, знаменательным и юбилейным датам в истории России, Ставропольского края, города Ставрополя»</v>
      </c>
      <c r="N1665" s="17">
        <f t="shared" si="87"/>
        <v>1</v>
      </c>
    </row>
    <row r="1666" spans="1:14" s="16" customFormat="1" ht="110.25">
      <c r="A1666" s="14"/>
      <c r="B1666" s="125" t="s">
        <v>244</v>
      </c>
      <c r="C1666" s="109" t="s">
        <v>412</v>
      </c>
      <c r="D1666" s="108" t="s">
        <v>238</v>
      </c>
      <c r="E1666" s="108" t="s">
        <v>11</v>
      </c>
      <c r="F1666" s="131" t="s">
        <v>245</v>
      </c>
      <c r="G1666" s="108" t="s">
        <v>9</v>
      </c>
      <c r="H1666" s="126">
        <v>0</v>
      </c>
      <c r="I1666" s="126">
        <v>0</v>
      </c>
      <c r="J1666" s="131">
        <v>710100000</v>
      </c>
      <c r="K1666" s="108" t="str">
        <f t="shared" si="85"/>
        <v>0710100000</v>
      </c>
      <c r="L1666" s="303" t="str">
        <f t="shared" si="86"/>
        <v>62108010710100000000</v>
      </c>
      <c r="M1666" s="132" t="str">
        <f>INDEX('реш СГД № 265'!$A:$N,MATCH('БА расх 2019-2020'!$L1666,'реш СГД № 265'!$N:$N,0),3)</f>
        <v>Основное мероприятие «Обеспечение доступности к культурным ценностям и права на участие в культурной жизни для всех групп населения города Ставрополя, популяризация объектов культурного наследия города Ставрополя, формирование имиджа города Ставрополя как культурного центра Ставропольского края»</v>
      </c>
      <c r="N1666" s="17">
        <f t="shared" si="87"/>
        <v>1</v>
      </c>
    </row>
    <row r="1667" spans="1:14" s="16" customFormat="1" ht="31.5">
      <c r="A1667" s="14"/>
      <c r="B1667" s="125" t="s">
        <v>246</v>
      </c>
      <c r="C1667" s="109" t="s">
        <v>412</v>
      </c>
      <c r="D1667" s="108" t="s">
        <v>238</v>
      </c>
      <c r="E1667" s="108" t="s">
        <v>11</v>
      </c>
      <c r="F1667" s="131" t="s">
        <v>247</v>
      </c>
      <c r="G1667" s="108" t="s">
        <v>9</v>
      </c>
      <c r="H1667" s="126">
        <v>0</v>
      </c>
      <c r="I1667" s="126">
        <v>0</v>
      </c>
      <c r="J1667" s="131">
        <v>710120060</v>
      </c>
      <c r="K1667" s="108" t="str">
        <f t="shared" si="85"/>
        <v>0710120060</v>
      </c>
      <c r="L1667" s="303" t="str">
        <f t="shared" si="86"/>
        <v>62108010710120060000</v>
      </c>
      <c r="M1667" s="132" t="str">
        <f>INDEX('реш СГД № 265'!$A:$N,MATCH('БА расх 2019-2020'!$L1667,'реш СГД № 265'!$N:$N,0),3)</f>
        <v>Расходы на проведение культурно-массовых мероприятий в городе Ставрополе</v>
      </c>
      <c r="N1667" s="17">
        <f t="shared" si="87"/>
        <v>1</v>
      </c>
    </row>
    <row r="1668" spans="1:14" s="16" customFormat="1" ht="31.5">
      <c r="A1668" s="14"/>
      <c r="B1668" s="127" t="s">
        <v>28</v>
      </c>
      <c r="C1668" s="109" t="s">
        <v>412</v>
      </c>
      <c r="D1668" s="108" t="s">
        <v>238</v>
      </c>
      <c r="E1668" s="108" t="s">
        <v>11</v>
      </c>
      <c r="F1668" s="131" t="s">
        <v>247</v>
      </c>
      <c r="G1668" s="108" t="s">
        <v>29</v>
      </c>
      <c r="H1668" s="126">
        <v>0</v>
      </c>
      <c r="I1668" s="126">
        <v>0</v>
      </c>
      <c r="J1668" s="131">
        <v>710120060</v>
      </c>
      <c r="K1668" s="108" t="str">
        <f t="shared" si="85"/>
        <v>0710120060</v>
      </c>
      <c r="L1668" s="303" t="str">
        <f t="shared" si="86"/>
        <v>62108010710120060240</v>
      </c>
      <c r="M1668" s="132" t="str">
        <f>INDEX('реш СГД № 265'!$A:$N,MATCH('БА расх 2019-2020'!$L1668,'реш СГД № 265'!$N:$N,0),3)</f>
        <v>Иные закупки товаров, работ и услуг для обеспечения государственных (муниципальных) нужд</v>
      </c>
      <c r="N1668" s="17">
        <f t="shared" si="87"/>
        <v>1</v>
      </c>
    </row>
    <row r="1669" spans="1:14" s="16" customFormat="1" ht="15.75">
      <c r="A1669" s="14"/>
      <c r="B1669" s="125" t="s">
        <v>30</v>
      </c>
      <c r="C1669" s="109" t="s">
        <v>412</v>
      </c>
      <c r="D1669" s="108" t="s">
        <v>238</v>
      </c>
      <c r="E1669" s="108" t="s">
        <v>11</v>
      </c>
      <c r="F1669" s="131" t="s">
        <v>247</v>
      </c>
      <c r="G1669" s="108" t="s">
        <v>31</v>
      </c>
      <c r="H1669" s="126">
        <v>0</v>
      </c>
      <c r="I1669" s="126">
        <v>0</v>
      </c>
      <c r="J1669" s="131">
        <v>710120060</v>
      </c>
      <c r="K1669" s="108" t="str">
        <f t="shared" si="85"/>
        <v>0710120060</v>
      </c>
      <c r="L1669" s="303" t="str">
        <f t="shared" si="86"/>
        <v>62108010710120060244</v>
      </c>
      <c r="M1669" s="132"/>
      <c r="N1669" s="17">
        <f t="shared" si="87"/>
        <v>0</v>
      </c>
    </row>
    <row r="1670" spans="1:14" s="16" customFormat="1" ht="15.75">
      <c r="A1670" s="14"/>
      <c r="B1670" s="125"/>
      <c r="C1670" s="109"/>
      <c r="D1670" s="108"/>
      <c r="E1670" s="108"/>
      <c r="F1670" s="108"/>
      <c r="G1670" s="108"/>
      <c r="H1670" s="126"/>
      <c r="I1670" s="126"/>
      <c r="J1670" s="108"/>
      <c r="K1670" s="108" t="str">
        <f t="shared" si="85"/>
        <v>0000000000</v>
      </c>
      <c r="L1670" s="303" t="str">
        <f t="shared" si="86"/>
        <v>0000000000</v>
      </c>
      <c r="M1670" s="132">
        <f>INDEX('реш СГД № 265'!$A:$N,MATCH('БА расх 2019-2020'!$L1670,'реш СГД № 265'!$N:$N,0),3)</f>
        <v>0</v>
      </c>
      <c r="N1670" s="17">
        <f t="shared" si="87"/>
        <v>1</v>
      </c>
    </row>
    <row r="1671" spans="1:14" s="16" customFormat="1" ht="47.25">
      <c r="A1671" s="14"/>
      <c r="B1671" s="67" t="s">
        <v>938</v>
      </c>
      <c r="C1671" s="116" t="s">
        <v>939</v>
      </c>
      <c r="D1671" s="69" t="s">
        <v>7</v>
      </c>
      <c r="E1671" s="69" t="s">
        <v>7</v>
      </c>
      <c r="F1671" s="69" t="s">
        <v>8</v>
      </c>
      <c r="G1671" s="69" t="s">
        <v>9</v>
      </c>
      <c r="H1671" s="70">
        <v>0</v>
      </c>
      <c r="I1671" s="70">
        <v>0</v>
      </c>
      <c r="J1671" s="69">
        <v>0</v>
      </c>
      <c r="K1671" s="108" t="str">
        <f t="shared" si="85"/>
        <v>0000000000</v>
      </c>
      <c r="L1671" s="303" t="str">
        <f t="shared" si="86"/>
        <v>62400000000000000000</v>
      </c>
      <c r="M1671" s="132" t="str">
        <f>INDEX('реш СГД № 265'!$A:$N,MATCH('БА расх 2019-2020'!$L1671,'реш СГД № 265'!$N:$N,0),3)</f>
        <v>Комитет по делам гражданской обороны и чрезвычайным ситуациям администрации города Ставрополя</v>
      </c>
      <c r="N1671" s="17">
        <f t="shared" si="87"/>
        <v>1</v>
      </c>
    </row>
    <row r="1672" spans="1:14" s="16" customFormat="1" ht="31.5">
      <c r="A1672" s="14"/>
      <c r="B1672" s="117" t="s">
        <v>940</v>
      </c>
      <c r="C1672" s="118" t="s">
        <v>939</v>
      </c>
      <c r="D1672" s="119" t="s">
        <v>13</v>
      </c>
      <c r="E1672" s="119" t="s">
        <v>7</v>
      </c>
      <c r="F1672" s="119" t="s">
        <v>8</v>
      </c>
      <c r="G1672" s="119" t="s">
        <v>9</v>
      </c>
      <c r="H1672" s="120">
        <v>0</v>
      </c>
      <c r="I1672" s="120">
        <v>0</v>
      </c>
      <c r="J1672" s="119">
        <v>0</v>
      </c>
      <c r="K1672" s="108" t="str">
        <f t="shared" si="85"/>
        <v>0000000000</v>
      </c>
      <c r="L1672" s="303" t="str">
        <f t="shared" si="86"/>
        <v>62403000000000000000</v>
      </c>
      <c r="M1672" s="132" t="str">
        <f>INDEX('реш СГД № 265'!$A:$N,MATCH('БА расх 2019-2020'!$L1672,'реш СГД № 265'!$N:$N,0),3)</f>
        <v>Национальная безопасность и правоохранительная деятельность</v>
      </c>
      <c r="N1672" s="17">
        <f t="shared" si="87"/>
        <v>1</v>
      </c>
    </row>
    <row r="1673" spans="1:14" s="16" customFormat="1" ht="47.25">
      <c r="A1673" s="14"/>
      <c r="B1673" s="121" t="s">
        <v>941</v>
      </c>
      <c r="C1673" s="122" t="s">
        <v>939</v>
      </c>
      <c r="D1673" s="123" t="s">
        <v>13</v>
      </c>
      <c r="E1673" s="123" t="s">
        <v>471</v>
      </c>
      <c r="F1673" s="123" t="s">
        <v>8</v>
      </c>
      <c r="G1673" s="123" t="s">
        <v>9</v>
      </c>
      <c r="H1673" s="124">
        <v>0</v>
      </c>
      <c r="I1673" s="124">
        <v>0</v>
      </c>
      <c r="J1673" s="123">
        <v>0</v>
      </c>
      <c r="K1673" s="108" t="str">
        <f t="shared" si="85"/>
        <v>0000000000</v>
      </c>
      <c r="L1673" s="303" t="str">
        <f t="shared" si="86"/>
        <v>62403090000000000000</v>
      </c>
      <c r="M1673" s="132" t="str">
        <f>INDEX('реш СГД № 265'!$A:$N,MATCH('БА расх 2019-2020'!$L1673,'реш СГД № 265'!$N:$N,0),3)</f>
        <v>Предупреждение  и ликвидация  последствий чрезвычайных ситуаций природного и техногенного характера, гражданская оборона</v>
      </c>
      <c r="N1673" s="17">
        <f t="shared" si="87"/>
        <v>1</v>
      </c>
    </row>
    <row r="1674" spans="1:14" s="16" customFormat="1" ht="47.25">
      <c r="A1674" s="14"/>
      <c r="B1674" s="148" t="s">
        <v>146</v>
      </c>
      <c r="C1674" s="109" t="s">
        <v>939</v>
      </c>
      <c r="D1674" s="108" t="s">
        <v>13</v>
      </c>
      <c r="E1674" s="108" t="s">
        <v>471</v>
      </c>
      <c r="F1674" s="108" t="s">
        <v>147</v>
      </c>
      <c r="G1674" s="108" t="s">
        <v>9</v>
      </c>
      <c r="H1674" s="126">
        <v>0</v>
      </c>
      <c r="I1674" s="126">
        <v>0</v>
      </c>
      <c r="J1674" s="108">
        <v>1500000000</v>
      </c>
      <c r="K1674" s="108" t="str">
        <f t="shared" si="85"/>
        <v>1500000000</v>
      </c>
      <c r="L1674" s="303" t="str">
        <f t="shared" si="86"/>
        <v>62403091500000000000</v>
      </c>
      <c r="M1674" s="132" t="str">
        <f>INDEX('реш СГД № 265'!$A:$N,MATCH('БА расх 2019-2020'!$L1674,'реш СГД № 265'!$N:$N,0),3)</f>
        <v>Муниципальная программа «Обеспечение безопасности, общественного порядка и профилактика правонарушений в городе Ставрополе»</v>
      </c>
      <c r="N1674" s="17">
        <f t="shared" si="87"/>
        <v>1</v>
      </c>
    </row>
    <row r="1675" spans="1:14" s="66" customFormat="1" ht="31.5">
      <c r="A1675" s="65"/>
      <c r="B1675" s="125" t="s">
        <v>168</v>
      </c>
      <c r="C1675" s="109" t="s">
        <v>939</v>
      </c>
      <c r="D1675" s="108" t="s">
        <v>13</v>
      </c>
      <c r="E1675" s="108" t="s">
        <v>471</v>
      </c>
      <c r="F1675" s="108" t="s">
        <v>169</v>
      </c>
      <c r="G1675" s="108" t="s">
        <v>9</v>
      </c>
      <c r="H1675" s="126">
        <v>0</v>
      </c>
      <c r="I1675" s="126">
        <v>0</v>
      </c>
      <c r="J1675" s="108">
        <v>1530000000</v>
      </c>
      <c r="K1675" s="108" t="str">
        <f t="shared" si="85"/>
        <v>1530000000</v>
      </c>
      <c r="L1675" s="303" t="str">
        <f t="shared" si="86"/>
        <v>62403091530000000000</v>
      </c>
      <c r="M1675" s="132" t="str">
        <f>INDEX('реш СГД № 265'!$A:$N,MATCH('БА расх 2019-2020'!$L1675,'реш СГД № 265'!$N:$N,0),3)</f>
        <v xml:space="preserve">Подпрограмма «Профилактика правонарушений в городе Ставрополе» </v>
      </c>
      <c r="N1675" s="17">
        <f t="shared" si="87"/>
        <v>1</v>
      </c>
    </row>
    <row r="1676" spans="1:14" s="16" customFormat="1" ht="31.5">
      <c r="A1676" s="14"/>
      <c r="B1676" s="148" t="s">
        <v>942</v>
      </c>
      <c r="C1676" s="109" t="s">
        <v>939</v>
      </c>
      <c r="D1676" s="108" t="s">
        <v>13</v>
      </c>
      <c r="E1676" s="108" t="s">
        <v>471</v>
      </c>
      <c r="F1676" s="108" t="s">
        <v>943</v>
      </c>
      <c r="G1676" s="108" t="s">
        <v>9</v>
      </c>
      <c r="H1676" s="126">
        <v>0</v>
      </c>
      <c r="I1676" s="126">
        <v>0</v>
      </c>
      <c r="J1676" s="108">
        <v>1530200000</v>
      </c>
      <c r="K1676" s="108" t="str">
        <f t="shared" si="85"/>
        <v>1530200000</v>
      </c>
      <c r="L1676" s="303" t="str">
        <f t="shared" si="86"/>
        <v>62403091530200000000</v>
      </c>
      <c r="M1676" s="132" t="str">
        <f>INDEX('реш СГД № 265'!$A:$N,MATCH('БА расх 2019-2020'!$L1676,'реш СГД № 265'!$N:$N,0),3)</f>
        <v>Основное мероприятие «Обеспечение безопасности людей на водных объектах города Ставрополя»</v>
      </c>
      <c r="N1676" s="17">
        <f t="shared" si="87"/>
        <v>1</v>
      </c>
    </row>
    <row r="1677" spans="1:14" s="16" customFormat="1" ht="47.25">
      <c r="A1677" s="14"/>
      <c r="B1677" s="148" t="s">
        <v>944</v>
      </c>
      <c r="C1677" s="109" t="s">
        <v>939</v>
      </c>
      <c r="D1677" s="108" t="s">
        <v>13</v>
      </c>
      <c r="E1677" s="108" t="s">
        <v>471</v>
      </c>
      <c r="F1677" s="108" t="s">
        <v>945</v>
      </c>
      <c r="G1677" s="108" t="s">
        <v>9</v>
      </c>
      <c r="H1677" s="126">
        <v>0</v>
      </c>
      <c r="I1677" s="126">
        <v>0</v>
      </c>
      <c r="J1677" s="108">
        <v>1530221290</v>
      </c>
      <c r="K1677" s="108" t="str">
        <f t="shared" si="85"/>
        <v>1530221290</v>
      </c>
      <c r="L1677" s="303" t="str">
        <f t="shared" si="86"/>
        <v>62403091530221290000</v>
      </c>
      <c r="M1677" s="132" t="str">
        <f>INDEX('реш СГД № 265'!$A:$N,MATCH('БА расх 2019-2020'!$L1677,'реш СГД № 265'!$N:$N,0),3)</f>
        <v>Расходы на реализацию мероприятий, направленных на обеспечение безопасности на водных объектах города Ставрополя</v>
      </c>
      <c r="N1677" s="17">
        <f t="shared" si="87"/>
        <v>1</v>
      </c>
    </row>
    <row r="1678" spans="1:14" s="16" customFormat="1" ht="31.5">
      <c r="A1678" s="14"/>
      <c r="B1678" s="148" t="s">
        <v>28</v>
      </c>
      <c r="C1678" s="109" t="s">
        <v>939</v>
      </c>
      <c r="D1678" s="108" t="s">
        <v>13</v>
      </c>
      <c r="E1678" s="108" t="s">
        <v>471</v>
      </c>
      <c r="F1678" s="108" t="s">
        <v>945</v>
      </c>
      <c r="G1678" s="108" t="s">
        <v>29</v>
      </c>
      <c r="H1678" s="126">
        <v>0</v>
      </c>
      <c r="I1678" s="126">
        <v>0</v>
      </c>
      <c r="J1678" s="108">
        <v>1530221290</v>
      </c>
      <c r="K1678" s="108" t="str">
        <f t="shared" si="85"/>
        <v>1530221290</v>
      </c>
      <c r="L1678" s="303" t="str">
        <f t="shared" si="86"/>
        <v>62403091530221290240</v>
      </c>
      <c r="M1678" s="132" t="str">
        <f>INDEX('реш СГД № 265'!$A:$N,MATCH('БА расх 2019-2020'!$L1678,'реш СГД № 265'!$N:$N,0),3)</f>
        <v>Иные закупки товаров, работ и услуг для обеспечения государственных (муниципальных) нужд</v>
      </c>
      <c r="N1678" s="17">
        <f t="shared" si="87"/>
        <v>1</v>
      </c>
    </row>
    <row r="1679" spans="1:14" s="16" customFormat="1" ht="15.75">
      <c r="A1679" s="14"/>
      <c r="B1679" s="125" t="s">
        <v>30</v>
      </c>
      <c r="C1679" s="109" t="s">
        <v>939</v>
      </c>
      <c r="D1679" s="108" t="s">
        <v>13</v>
      </c>
      <c r="E1679" s="108" t="s">
        <v>471</v>
      </c>
      <c r="F1679" s="108" t="s">
        <v>945</v>
      </c>
      <c r="G1679" s="108" t="s">
        <v>31</v>
      </c>
      <c r="H1679" s="126">
        <v>0</v>
      </c>
      <c r="I1679" s="126">
        <v>0</v>
      </c>
      <c r="J1679" s="108">
        <v>1530221290</v>
      </c>
      <c r="K1679" s="108" t="str">
        <f t="shared" si="85"/>
        <v>1530221290</v>
      </c>
      <c r="L1679" s="303" t="str">
        <f t="shared" si="86"/>
        <v>62403091530221290244</v>
      </c>
      <c r="M1679" s="132"/>
      <c r="N1679" s="17">
        <f t="shared" si="87"/>
        <v>0</v>
      </c>
    </row>
    <row r="1680" spans="1:14" s="16" customFormat="1" ht="94.5">
      <c r="A1680" s="14"/>
      <c r="B1680" s="125" t="s">
        <v>420</v>
      </c>
      <c r="C1680" s="109" t="s">
        <v>939</v>
      </c>
      <c r="D1680" s="108" t="s">
        <v>13</v>
      </c>
      <c r="E1680" s="108" t="s">
        <v>471</v>
      </c>
      <c r="F1680" s="108" t="s">
        <v>421</v>
      </c>
      <c r="G1680" s="108" t="s">
        <v>9</v>
      </c>
      <c r="H1680" s="126">
        <v>0</v>
      </c>
      <c r="I1680" s="126">
        <v>0</v>
      </c>
      <c r="J1680" s="108">
        <v>1600000000</v>
      </c>
      <c r="K1680" s="108" t="str">
        <f t="shared" si="85"/>
        <v>1600000000</v>
      </c>
      <c r="L1680" s="303" t="str">
        <f t="shared" si="86"/>
        <v>62403091600000000000</v>
      </c>
      <c r="M1680" s="132" t="str">
        <f>INDEX('реш СГД № 265'!$A:$N,MATCH('БА расх 2019-2020'!$L1680,'реш СГД № 265'!$N:$N,0),3)</f>
        <v>Муниципальная программа «Обеспечение гражданской обороны, пожарной безопасности, безопасности людей на водных объектах, организация деятельности аварийно-спасательных служб, защита населения и территории города Ставрополя от чрезвычайных ситуаций»</v>
      </c>
      <c r="N1680" s="17">
        <f t="shared" si="87"/>
        <v>1</v>
      </c>
    </row>
    <row r="1681" spans="1:14" s="66" customFormat="1" ht="47.25">
      <c r="A1681" s="65"/>
      <c r="B1681" s="125" t="s">
        <v>946</v>
      </c>
      <c r="C1681" s="109" t="s">
        <v>939</v>
      </c>
      <c r="D1681" s="108" t="s">
        <v>13</v>
      </c>
      <c r="E1681" s="108" t="s">
        <v>471</v>
      </c>
      <c r="F1681" s="108" t="s">
        <v>947</v>
      </c>
      <c r="G1681" s="108" t="s">
        <v>9</v>
      </c>
      <c r="H1681" s="126">
        <v>0</v>
      </c>
      <c r="I1681" s="126">
        <v>0</v>
      </c>
      <c r="J1681" s="108">
        <v>1610000000</v>
      </c>
      <c r="K1681" s="108" t="str">
        <f t="shared" si="85"/>
        <v>1610000000</v>
      </c>
      <c r="L1681" s="303" t="str">
        <f t="shared" si="86"/>
        <v>62403091610000000000</v>
      </c>
      <c r="M1681" s="132" t="str">
        <f>INDEX('реш СГД № 265'!$A:$N,MATCH('БА расх 2019-2020'!$L1681,'реш СГД № 265'!$N:$N,0),3)</f>
        <v>Подпрограмма «Осуществление мероприятий по гражданской обороне, защите населения и территорий от чрезвычайных ситуаций»</v>
      </c>
      <c r="N1681" s="17">
        <f t="shared" si="87"/>
        <v>1</v>
      </c>
    </row>
    <row r="1682" spans="1:14" s="16" customFormat="1" ht="63">
      <c r="A1682" s="14"/>
      <c r="B1682" s="125" t="s">
        <v>948</v>
      </c>
      <c r="C1682" s="109" t="s">
        <v>939</v>
      </c>
      <c r="D1682" s="108" t="s">
        <v>13</v>
      </c>
      <c r="E1682" s="108" t="s">
        <v>471</v>
      </c>
      <c r="F1682" s="108" t="s">
        <v>949</v>
      </c>
      <c r="G1682" s="108" t="s">
        <v>9</v>
      </c>
      <c r="H1682" s="126">
        <v>0</v>
      </c>
      <c r="I1682" s="126">
        <v>0</v>
      </c>
      <c r="J1682" s="108">
        <v>1610100000</v>
      </c>
      <c r="K1682" s="108" t="str">
        <f t="shared" si="85"/>
        <v>1610100000</v>
      </c>
      <c r="L1682" s="303" t="str">
        <f t="shared" si="86"/>
        <v>62403091610100000000</v>
      </c>
      <c r="M1682" s="132" t="str">
        <f>INDEX('реш СГД № 265'!$A:$N,MATCH('БА расх 2019-2020'!$L1682,'реш СГД № 265'!$N:$N,0),3)</f>
        <v>Основное мероприятие «Осуществление подготовки и содержания в готовности необходимых сил и средств для защиты населения и территорий от чрезвычайных ситуаций»</v>
      </c>
      <c r="N1682" s="17">
        <f t="shared" si="87"/>
        <v>1</v>
      </c>
    </row>
    <row r="1683" spans="1:14" s="16" customFormat="1" ht="78.75">
      <c r="A1683" s="14"/>
      <c r="B1683" s="148" t="s">
        <v>950</v>
      </c>
      <c r="C1683" s="109" t="s">
        <v>939</v>
      </c>
      <c r="D1683" s="108" t="s">
        <v>13</v>
      </c>
      <c r="E1683" s="108" t="s">
        <v>471</v>
      </c>
      <c r="F1683" s="108" t="s">
        <v>951</v>
      </c>
      <c r="G1683" s="108" t="s">
        <v>9</v>
      </c>
      <c r="H1683" s="126">
        <v>0</v>
      </c>
      <c r="I1683" s="126">
        <v>0</v>
      </c>
      <c r="J1683" s="108">
        <v>1610120120</v>
      </c>
      <c r="K1683" s="108" t="str">
        <f t="shared" si="85"/>
        <v>1610120120</v>
      </c>
      <c r="L1683" s="303" t="str">
        <f t="shared" si="86"/>
        <v>62403091610120120000</v>
      </c>
      <c r="M1683" s="132" t="str">
        <f>INDEX('реш СГД № 265'!$A:$N,MATCH('БА расх 2019-2020'!$L1683,'реш СГД № 265'!$N:$N,0),3)</f>
        <v>Расходы на реализацию мероприятий в области гражданской обороны, защиты населения и территории города Ставрополя от чрезвычайных ситуаций природного и техногенного характера, обеспечение безопасности людей на водных объектах</v>
      </c>
      <c r="N1683" s="17">
        <f t="shared" si="87"/>
        <v>1</v>
      </c>
    </row>
    <row r="1684" spans="1:14" s="16" customFormat="1" ht="31.5">
      <c r="A1684" s="14"/>
      <c r="B1684" s="125" t="s">
        <v>28</v>
      </c>
      <c r="C1684" s="109" t="s">
        <v>939</v>
      </c>
      <c r="D1684" s="108" t="s">
        <v>13</v>
      </c>
      <c r="E1684" s="108" t="s">
        <v>471</v>
      </c>
      <c r="F1684" s="108" t="s">
        <v>951</v>
      </c>
      <c r="G1684" s="108" t="s">
        <v>29</v>
      </c>
      <c r="H1684" s="126">
        <v>0</v>
      </c>
      <c r="I1684" s="126">
        <v>0</v>
      </c>
      <c r="J1684" s="108">
        <v>1610120120</v>
      </c>
      <c r="K1684" s="108" t="str">
        <f t="shared" si="85"/>
        <v>1610120120</v>
      </c>
      <c r="L1684" s="303" t="str">
        <f t="shared" si="86"/>
        <v>62403091610120120240</v>
      </c>
      <c r="M1684" s="132" t="str">
        <f>INDEX('реш СГД № 265'!$A:$N,MATCH('БА расх 2019-2020'!$L1684,'реш СГД № 265'!$N:$N,0),3)</f>
        <v>Иные закупки товаров, работ и услуг для обеспечения государственных (муниципальных) нужд</v>
      </c>
      <c r="N1684" s="17">
        <f t="shared" si="87"/>
        <v>1</v>
      </c>
    </row>
    <row r="1685" spans="1:14" s="16" customFormat="1" ht="15.75">
      <c r="A1685" s="14"/>
      <c r="B1685" s="125" t="s">
        <v>30</v>
      </c>
      <c r="C1685" s="109" t="s">
        <v>939</v>
      </c>
      <c r="D1685" s="108" t="s">
        <v>13</v>
      </c>
      <c r="E1685" s="108" t="s">
        <v>471</v>
      </c>
      <c r="F1685" s="108" t="s">
        <v>951</v>
      </c>
      <c r="G1685" s="108" t="s">
        <v>31</v>
      </c>
      <c r="H1685" s="126">
        <v>0</v>
      </c>
      <c r="I1685" s="126">
        <v>0</v>
      </c>
      <c r="J1685" s="108">
        <v>1610120120</v>
      </c>
      <c r="K1685" s="108" t="str">
        <f t="shared" si="85"/>
        <v>1610120120</v>
      </c>
      <c r="L1685" s="303" t="str">
        <f t="shared" si="86"/>
        <v>62403091610120120244</v>
      </c>
      <c r="M1685" s="132"/>
      <c r="N1685" s="17">
        <f t="shared" si="87"/>
        <v>0</v>
      </c>
    </row>
    <row r="1686" spans="1:14" s="16" customFormat="1" ht="47.25">
      <c r="A1686" s="14"/>
      <c r="B1686" s="148" t="s">
        <v>952</v>
      </c>
      <c r="C1686" s="109" t="s">
        <v>939</v>
      </c>
      <c r="D1686" s="108" t="s">
        <v>13</v>
      </c>
      <c r="E1686" s="108" t="s">
        <v>471</v>
      </c>
      <c r="F1686" s="108" t="s">
        <v>953</v>
      </c>
      <c r="G1686" s="108" t="s">
        <v>9</v>
      </c>
      <c r="H1686" s="126">
        <v>0</v>
      </c>
      <c r="I1686" s="126">
        <v>0</v>
      </c>
      <c r="J1686" s="108">
        <v>1610200000</v>
      </c>
      <c r="K1686" s="108" t="str">
        <f t="shared" si="85"/>
        <v>1610200000</v>
      </c>
      <c r="L1686" s="303" t="str">
        <f t="shared" si="86"/>
        <v>62403091610200000000</v>
      </c>
      <c r="M1686" s="132" t="str">
        <f>INDEX('реш СГД № 265'!$A:$N,MATCH('БА расх 2019-2020'!$L1686,'реш СГД № 265'!$N:$N,0),3)</f>
        <v>Основное мероприятие «Проведение аварийно-спасательных работ и организация обучения населения города Ставрополя»</v>
      </c>
      <c r="N1686" s="17">
        <f t="shared" si="87"/>
        <v>1</v>
      </c>
    </row>
    <row r="1687" spans="1:14" s="16" customFormat="1" ht="31.5">
      <c r="A1687" s="14"/>
      <c r="B1687" s="148" t="s">
        <v>136</v>
      </c>
      <c r="C1687" s="109" t="s">
        <v>939</v>
      </c>
      <c r="D1687" s="108" t="s">
        <v>13</v>
      </c>
      <c r="E1687" s="108" t="s">
        <v>471</v>
      </c>
      <c r="F1687" s="108" t="s">
        <v>954</v>
      </c>
      <c r="G1687" s="108" t="s">
        <v>9</v>
      </c>
      <c r="H1687" s="126">
        <v>0</v>
      </c>
      <c r="I1687" s="126">
        <v>0</v>
      </c>
      <c r="J1687" s="108">
        <v>1610211010</v>
      </c>
      <c r="K1687" s="108" t="str">
        <f t="shared" si="85"/>
        <v>1610211010</v>
      </c>
      <c r="L1687" s="303" t="str">
        <f t="shared" si="86"/>
        <v>62403091610211010000</v>
      </c>
      <c r="M1687" s="132" t="str">
        <f>INDEX('реш СГД № 265'!$A:$N,MATCH('БА расх 2019-2020'!$L1687,'реш СГД № 265'!$N:$N,0),3)</f>
        <v>Расходы на обеспечение деятельности (оказание услуг) муниципальных учреждений</v>
      </c>
      <c r="N1687" s="17">
        <f t="shared" si="87"/>
        <v>1</v>
      </c>
    </row>
    <row r="1688" spans="1:14" s="16" customFormat="1" ht="15.75">
      <c r="A1688" s="14"/>
      <c r="B1688" s="125" t="s">
        <v>138</v>
      </c>
      <c r="C1688" s="109" t="s">
        <v>939</v>
      </c>
      <c r="D1688" s="108" t="s">
        <v>13</v>
      </c>
      <c r="E1688" s="108" t="s">
        <v>471</v>
      </c>
      <c r="F1688" s="108" t="s">
        <v>954</v>
      </c>
      <c r="G1688" s="108" t="s">
        <v>139</v>
      </c>
      <c r="H1688" s="126">
        <v>0</v>
      </c>
      <c r="I1688" s="126">
        <v>0</v>
      </c>
      <c r="J1688" s="108">
        <v>1610211010</v>
      </c>
      <c r="K1688" s="108" t="str">
        <f t="shared" si="85"/>
        <v>1610211010</v>
      </c>
      <c r="L1688" s="303" t="str">
        <f t="shared" si="86"/>
        <v>62403091610211010110</v>
      </c>
      <c r="M1688" s="132" t="str">
        <f>INDEX('реш СГД № 265'!$A:$N,MATCH('БА расх 2019-2020'!$L1688,'реш СГД № 265'!$N:$N,0),3)</f>
        <v>Расходы на выплаты персоналу казенных учреждений</v>
      </c>
      <c r="N1688" s="17">
        <f t="shared" si="87"/>
        <v>1</v>
      </c>
    </row>
    <row r="1689" spans="1:14" s="23" customFormat="1" ht="15.75">
      <c r="A1689" s="21"/>
      <c r="B1689" s="127" t="s">
        <v>140</v>
      </c>
      <c r="C1689" s="109" t="s">
        <v>939</v>
      </c>
      <c r="D1689" s="108" t="s">
        <v>13</v>
      </c>
      <c r="E1689" s="108" t="s">
        <v>471</v>
      </c>
      <c r="F1689" s="108" t="s">
        <v>954</v>
      </c>
      <c r="G1689" s="108" t="s">
        <v>141</v>
      </c>
      <c r="H1689" s="126">
        <v>0</v>
      </c>
      <c r="I1689" s="126">
        <v>0</v>
      </c>
      <c r="J1689" s="108">
        <v>1610211010</v>
      </c>
      <c r="K1689" s="108" t="str">
        <f t="shared" si="85"/>
        <v>1610211010</v>
      </c>
      <c r="L1689" s="303" t="str">
        <f t="shared" si="86"/>
        <v>62403091610211010111</v>
      </c>
      <c r="M1689" s="132"/>
      <c r="N1689" s="17">
        <f t="shared" si="87"/>
        <v>0</v>
      </c>
    </row>
    <row r="1690" spans="1:14" s="23" customFormat="1" ht="47.25">
      <c r="A1690" s="21"/>
      <c r="B1690" s="127" t="s">
        <v>487</v>
      </c>
      <c r="C1690" s="109" t="s">
        <v>939</v>
      </c>
      <c r="D1690" s="108" t="s">
        <v>13</v>
      </c>
      <c r="E1690" s="108" t="s">
        <v>471</v>
      </c>
      <c r="F1690" s="108" t="s">
        <v>954</v>
      </c>
      <c r="G1690" s="108" t="s">
        <v>145</v>
      </c>
      <c r="H1690" s="126">
        <v>0</v>
      </c>
      <c r="I1690" s="126">
        <v>0</v>
      </c>
      <c r="J1690" s="108">
        <v>1610211010</v>
      </c>
      <c r="K1690" s="108" t="str">
        <f t="shared" si="85"/>
        <v>1610211010</v>
      </c>
      <c r="L1690" s="303" t="str">
        <f t="shared" si="86"/>
        <v>62403091610211010119</v>
      </c>
      <c r="M1690" s="132"/>
      <c r="N1690" s="17">
        <f t="shared" si="87"/>
        <v>0</v>
      </c>
    </row>
    <row r="1691" spans="1:14" s="16" customFormat="1" ht="31.5">
      <c r="A1691" s="14"/>
      <c r="B1691" s="148" t="s">
        <v>28</v>
      </c>
      <c r="C1691" s="109" t="s">
        <v>939</v>
      </c>
      <c r="D1691" s="108" t="s">
        <v>13</v>
      </c>
      <c r="E1691" s="108" t="s">
        <v>471</v>
      </c>
      <c r="F1691" s="108" t="s">
        <v>954</v>
      </c>
      <c r="G1691" s="108" t="s">
        <v>29</v>
      </c>
      <c r="H1691" s="126">
        <v>0</v>
      </c>
      <c r="I1691" s="126">
        <v>0</v>
      </c>
      <c r="J1691" s="108">
        <v>1610211010</v>
      </c>
      <c r="K1691" s="108" t="str">
        <f t="shared" si="85"/>
        <v>1610211010</v>
      </c>
      <c r="L1691" s="303" t="str">
        <f t="shared" si="86"/>
        <v>62403091610211010240</v>
      </c>
      <c r="M1691" s="132" t="str">
        <f>INDEX('реш СГД № 265'!$A:$N,MATCH('БА расх 2019-2020'!$L1691,'реш СГД № 265'!$N:$N,0),3)</f>
        <v>Иные закупки товаров, работ и услуг для обеспечения государственных (муниципальных) нужд</v>
      </c>
      <c r="N1691" s="17">
        <f t="shared" si="87"/>
        <v>1</v>
      </c>
    </row>
    <row r="1692" spans="1:14" s="16" customFormat="1" ht="15.75">
      <c r="A1692" s="14"/>
      <c r="B1692" s="125" t="s">
        <v>30</v>
      </c>
      <c r="C1692" s="109" t="s">
        <v>939</v>
      </c>
      <c r="D1692" s="108" t="s">
        <v>13</v>
      </c>
      <c r="E1692" s="108" t="s">
        <v>471</v>
      </c>
      <c r="F1692" s="108" t="s">
        <v>954</v>
      </c>
      <c r="G1692" s="108" t="s">
        <v>31</v>
      </c>
      <c r="H1692" s="126">
        <v>0</v>
      </c>
      <c r="I1692" s="126">
        <v>0</v>
      </c>
      <c r="J1692" s="108">
        <v>1610211010</v>
      </c>
      <c r="K1692" s="108" t="str">
        <f t="shared" si="85"/>
        <v>1610211010</v>
      </c>
      <c r="L1692" s="303" t="str">
        <f t="shared" si="86"/>
        <v>62403091610211010244</v>
      </c>
      <c r="M1692" s="132"/>
      <c r="N1692" s="17">
        <f t="shared" si="87"/>
        <v>0</v>
      </c>
    </row>
    <row r="1693" spans="1:14" s="16" customFormat="1" ht="15.75">
      <c r="A1693" s="14"/>
      <c r="B1693" s="148" t="s">
        <v>32</v>
      </c>
      <c r="C1693" s="109" t="s">
        <v>939</v>
      </c>
      <c r="D1693" s="108" t="s">
        <v>13</v>
      </c>
      <c r="E1693" s="108" t="s">
        <v>471</v>
      </c>
      <c r="F1693" s="108" t="s">
        <v>954</v>
      </c>
      <c r="G1693" s="108" t="s">
        <v>33</v>
      </c>
      <c r="H1693" s="126">
        <v>0</v>
      </c>
      <c r="I1693" s="126">
        <v>0</v>
      </c>
      <c r="J1693" s="108">
        <v>1610211010</v>
      </c>
      <c r="K1693" s="108" t="str">
        <f t="shared" si="85"/>
        <v>1610211010</v>
      </c>
      <c r="L1693" s="303" t="str">
        <f t="shared" si="86"/>
        <v>62403091610211010850</v>
      </c>
      <c r="M1693" s="132" t="str">
        <f>INDEX('реш СГД № 265'!$A:$N,MATCH('БА расх 2019-2020'!$L1693,'реш СГД № 265'!$N:$N,0),3)</f>
        <v>Уплата налогов, сборов и иных платежей</v>
      </c>
      <c r="N1693" s="17">
        <f t="shared" si="87"/>
        <v>1</v>
      </c>
    </row>
    <row r="1694" spans="1:14" s="23" customFormat="1" ht="31.5">
      <c r="A1694" s="21"/>
      <c r="B1694" s="127" t="s">
        <v>34</v>
      </c>
      <c r="C1694" s="109" t="s">
        <v>939</v>
      </c>
      <c r="D1694" s="108" t="s">
        <v>13</v>
      </c>
      <c r="E1694" s="108" t="s">
        <v>471</v>
      </c>
      <c r="F1694" s="108" t="s">
        <v>954</v>
      </c>
      <c r="G1694" s="108">
        <v>851</v>
      </c>
      <c r="H1694" s="126">
        <v>0</v>
      </c>
      <c r="I1694" s="126">
        <v>0</v>
      </c>
      <c r="J1694" s="108">
        <v>1610211010</v>
      </c>
      <c r="K1694" s="108" t="str">
        <f t="shared" si="85"/>
        <v>1610211010</v>
      </c>
      <c r="L1694" s="303" t="str">
        <f t="shared" si="86"/>
        <v>62403091610211010851</v>
      </c>
      <c r="M1694" s="132"/>
      <c r="N1694" s="17">
        <f t="shared" si="87"/>
        <v>0</v>
      </c>
    </row>
    <row r="1695" spans="1:14" s="23" customFormat="1" ht="15.75">
      <c r="A1695" s="21"/>
      <c r="B1695" s="127" t="s">
        <v>36</v>
      </c>
      <c r="C1695" s="109" t="s">
        <v>939</v>
      </c>
      <c r="D1695" s="108" t="s">
        <v>13</v>
      </c>
      <c r="E1695" s="108" t="s">
        <v>471</v>
      </c>
      <c r="F1695" s="108" t="s">
        <v>954</v>
      </c>
      <c r="G1695" s="108" t="s">
        <v>37</v>
      </c>
      <c r="H1695" s="126">
        <v>0</v>
      </c>
      <c r="I1695" s="126">
        <v>0</v>
      </c>
      <c r="J1695" s="108">
        <v>1610211010</v>
      </c>
      <c r="K1695" s="108" t="str">
        <f t="shared" si="85"/>
        <v>1610211010</v>
      </c>
      <c r="L1695" s="303" t="str">
        <f t="shared" si="86"/>
        <v>62403091610211010852</v>
      </c>
      <c r="M1695" s="132"/>
      <c r="N1695" s="17">
        <f t="shared" si="87"/>
        <v>0</v>
      </c>
    </row>
    <row r="1696" spans="1:14" s="23" customFormat="1" ht="15.75">
      <c r="A1696" s="21"/>
      <c r="B1696" s="127" t="s">
        <v>77</v>
      </c>
      <c r="C1696" s="109" t="s">
        <v>939</v>
      </c>
      <c r="D1696" s="108" t="s">
        <v>13</v>
      </c>
      <c r="E1696" s="108" t="s">
        <v>471</v>
      </c>
      <c r="F1696" s="108" t="s">
        <v>954</v>
      </c>
      <c r="G1696" s="108" t="s">
        <v>78</v>
      </c>
      <c r="H1696" s="126">
        <v>0</v>
      </c>
      <c r="I1696" s="126">
        <v>0</v>
      </c>
      <c r="J1696" s="108">
        <v>1610211010</v>
      </c>
      <c r="K1696" s="108" t="str">
        <f t="shared" si="85"/>
        <v>1610211010</v>
      </c>
      <c r="L1696" s="303" t="str">
        <f t="shared" si="86"/>
        <v>62403091610211010853</v>
      </c>
      <c r="M1696" s="132"/>
      <c r="N1696" s="17">
        <f t="shared" si="87"/>
        <v>0</v>
      </c>
    </row>
    <row r="1697" spans="1:14" s="16" customFormat="1" ht="31.5">
      <c r="A1697" s="14"/>
      <c r="B1697" s="148" t="s">
        <v>942</v>
      </c>
      <c r="C1697" s="109" t="s">
        <v>939</v>
      </c>
      <c r="D1697" s="108" t="s">
        <v>13</v>
      </c>
      <c r="E1697" s="108" t="s">
        <v>471</v>
      </c>
      <c r="F1697" s="108" t="s">
        <v>955</v>
      </c>
      <c r="G1697" s="108" t="s">
        <v>9</v>
      </c>
      <c r="H1697" s="126">
        <v>0</v>
      </c>
      <c r="I1697" s="126">
        <v>0</v>
      </c>
      <c r="J1697" s="108">
        <v>1610300000</v>
      </c>
      <c r="K1697" s="108" t="str">
        <f t="shared" si="85"/>
        <v>1610300000</v>
      </c>
      <c r="L1697" s="303" t="str">
        <f t="shared" si="86"/>
        <v>62403091610300000000</v>
      </c>
      <c r="M1697" s="132" t="str">
        <f>INDEX('реш СГД № 265'!$A:$N,MATCH('БА расх 2019-2020'!$L1697,'реш СГД № 265'!$N:$N,0),3)</f>
        <v>Основное мероприятие «Обеспечение безопасности людей на водных объектах города Ставрополя»</v>
      </c>
      <c r="N1697" s="17">
        <f t="shared" si="87"/>
        <v>1</v>
      </c>
    </row>
    <row r="1698" spans="1:14" s="16" customFormat="1" ht="78.75">
      <c r="A1698" s="14"/>
      <c r="B1698" s="125" t="s">
        <v>950</v>
      </c>
      <c r="C1698" s="109" t="s">
        <v>939</v>
      </c>
      <c r="D1698" s="108" t="s">
        <v>13</v>
      </c>
      <c r="E1698" s="108" t="s">
        <v>471</v>
      </c>
      <c r="F1698" s="108" t="s">
        <v>956</v>
      </c>
      <c r="G1698" s="108" t="s">
        <v>9</v>
      </c>
      <c r="H1698" s="126">
        <v>0</v>
      </c>
      <c r="I1698" s="126">
        <v>0</v>
      </c>
      <c r="J1698" s="108">
        <v>1610320120</v>
      </c>
      <c r="K1698" s="108" t="str">
        <f t="shared" si="85"/>
        <v>1610320120</v>
      </c>
      <c r="L1698" s="303" t="str">
        <f t="shared" si="86"/>
        <v>62403091610320120000</v>
      </c>
      <c r="M1698" s="132" t="str">
        <f>INDEX('реш СГД № 265'!$A:$N,MATCH('БА расх 2019-2020'!$L1698,'реш СГД № 265'!$N:$N,0),3)</f>
        <v>Расходы на реализацию мероприятий в области гражданской обороны, защиты населения и территории города Ставрополя от чрезвычайных ситуаций природного и техногенного характера, обеспечение безопасности людей на водных объектах</v>
      </c>
      <c r="N1698" s="17">
        <f t="shared" si="87"/>
        <v>1</v>
      </c>
    </row>
    <row r="1699" spans="1:14" s="16" customFormat="1" ht="31.5">
      <c r="A1699" s="14"/>
      <c r="B1699" s="148" t="s">
        <v>28</v>
      </c>
      <c r="C1699" s="109" t="s">
        <v>939</v>
      </c>
      <c r="D1699" s="108" t="s">
        <v>13</v>
      </c>
      <c r="E1699" s="108" t="s">
        <v>471</v>
      </c>
      <c r="F1699" s="108" t="s">
        <v>956</v>
      </c>
      <c r="G1699" s="108" t="s">
        <v>29</v>
      </c>
      <c r="H1699" s="126">
        <v>0</v>
      </c>
      <c r="I1699" s="126">
        <v>0</v>
      </c>
      <c r="J1699" s="108">
        <v>1610320120</v>
      </c>
      <c r="K1699" s="108" t="str">
        <f t="shared" si="85"/>
        <v>1610320120</v>
      </c>
      <c r="L1699" s="303" t="str">
        <f t="shared" si="86"/>
        <v>62403091610320120240</v>
      </c>
      <c r="M1699" s="132" t="str">
        <f>INDEX('реш СГД № 265'!$A:$N,MATCH('БА расх 2019-2020'!$L1699,'реш СГД № 265'!$N:$N,0),3)</f>
        <v>Иные закупки товаров, работ и услуг для обеспечения государственных (муниципальных) нужд</v>
      </c>
      <c r="N1699" s="17">
        <f t="shared" si="87"/>
        <v>1</v>
      </c>
    </row>
    <row r="1700" spans="1:14" s="16" customFormat="1" ht="15.75">
      <c r="A1700" s="14"/>
      <c r="B1700" s="125" t="s">
        <v>30</v>
      </c>
      <c r="C1700" s="109" t="s">
        <v>939</v>
      </c>
      <c r="D1700" s="108" t="s">
        <v>13</v>
      </c>
      <c r="E1700" s="108" t="s">
        <v>471</v>
      </c>
      <c r="F1700" s="108" t="s">
        <v>956</v>
      </c>
      <c r="G1700" s="108" t="s">
        <v>31</v>
      </c>
      <c r="H1700" s="126">
        <v>0</v>
      </c>
      <c r="I1700" s="126">
        <v>0</v>
      </c>
      <c r="J1700" s="108">
        <v>1610320120</v>
      </c>
      <c r="K1700" s="108" t="str">
        <f t="shared" ref="K1700:K1763" si="94">TEXT(J1700,"0000000000")</f>
        <v>1610320120</v>
      </c>
      <c r="L1700" s="303" t="str">
        <f t="shared" si="86"/>
        <v>62403091610320120244</v>
      </c>
      <c r="M1700" s="132"/>
      <c r="N1700" s="17">
        <f t="shared" si="87"/>
        <v>0</v>
      </c>
    </row>
    <row r="1701" spans="1:14" s="66" customFormat="1" ht="31.5">
      <c r="A1701" s="65"/>
      <c r="B1701" s="125" t="s">
        <v>422</v>
      </c>
      <c r="C1701" s="109" t="s">
        <v>939</v>
      </c>
      <c r="D1701" s="108" t="s">
        <v>13</v>
      </c>
      <c r="E1701" s="108" t="s">
        <v>471</v>
      </c>
      <c r="F1701" s="108" t="s">
        <v>423</v>
      </c>
      <c r="G1701" s="108" t="s">
        <v>9</v>
      </c>
      <c r="H1701" s="126">
        <v>0</v>
      </c>
      <c r="I1701" s="126">
        <v>0</v>
      </c>
      <c r="J1701" s="108">
        <v>1620000000</v>
      </c>
      <c r="K1701" s="108" t="str">
        <f t="shared" si="94"/>
        <v>1620000000</v>
      </c>
      <c r="L1701" s="303" t="str">
        <f t="shared" ref="L1701:L1764" si="95">C1701&amp;D1701&amp;E1701&amp;K1701&amp;G1701</f>
        <v>62403091620000000000</v>
      </c>
      <c r="M1701" s="132" t="str">
        <f>INDEX('реш СГД № 265'!$A:$N,MATCH('БА расх 2019-2020'!$L1701,'реш СГД № 265'!$N:$N,0),3)</f>
        <v>Подпрограмма «Обеспечение пожарной безопасности в границах города Ставрополя»</v>
      </c>
      <c r="N1701" s="17">
        <f t="shared" ref="N1701:N1764" si="96">IF(B1701=M1701,1,0)</f>
        <v>1</v>
      </c>
    </row>
    <row r="1702" spans="1:14" s="16" customFormat="1" ht="31.5">
      <c r="A1702" s="14"/>
      <c r="B1702" s="148" t="s">
        <v>957</v>
      </c>
      <c r="C1702" s="109" t="s">
        <v>939</v>
      </c>
      <c r="D1702" s="108" t="s">
        <v>13</v>
      </c>
      <c r="E1702" s="108" t="s">
        <v>471</v>
      </c>
      <c r="F1702" s="108" t="s">
        <v>958</v>
      </c>
      <c r="G1702" s="108" t="s">
        <v>9</v>
      </c>
      <c r="H1702" s="126">
        <v>0</v>
      </c>
      <c r="I1702" s="126">
        <v>0</v>
      </c>
      <c r="J1702" s="108">
        <v>1620100000</v>
      </c>
      <c r="K1702" s="108" t="str">
        <f t="shared" si="94"/>
        <v>1620100000</v>
      </c>
      <c r="L1702" s="303" t="str">
        <f t="shared" si="95"/>
        <v>62403091620100000000</v>
      </c>
      <c r="M1702" s="132" t="str">
        <f>INDEX('реш СГД № 265'!$A:$N,MATCH('БА расх 2019-2020'!$L1702,'реш СГД № 265'!$N:$N,0),3)</f>
        <v>Основное мероприятие «Обеспечение первичных мер пожарной безопасности»</v>
      </c>
      <c r="N1702" s="17">
        <f t="shared" si="96"/>
        <v>1</v>
      </c>
    </row>
    <row r="1703" spans="1:14" s="16" customFormat="1" ht="31.5">
      <c r="A1703" s="14"/>
      <c r="B1703" s="148" t="s">
        <v>959</v>
      </c>
      <c r="C1703" s="109" t="s">
        <v>939</v>
      </c>
      <c r="D1703" s="108" t="s">
        <v>13</v>
      </c>
      <c r="E1703" s="108" t="s">
        <v>471</v>
      </c>
      <c r="F1703" s="108" t="s">
        <v>960</v>
      </c>
      <c r="G1703" s="108" t="s">
        <v>9</v>
      </c>
      <c r="H1703" s="126">
        <v>0</v>
      </c>
      <c r="I1703" s="126">
        <v>0</v>
      </c>
      <c r="J1703" s="108">
        <v>1620120540</v>
      </c>
      <c r="K1703" s="108" t="str">
        <f t="shared" si="94"/>
        <v>1620120540</v>
      </c>
      <c r="L1703" s="303" t="str">
        <f t="shared" si="95"/>
        <v>62403091620120540000</v>
      </c>
      <c r="M1703" s="132" t="str">
        <f>INDEX('реш СГД № 265'!$A:$N,MATCH('БА расх 2019-2020'!$L1703,'реш СГД № 265'!$N:$N,0),3)</f>
        <v>Обеспечение первичных мер пожарной безопасности в границах города Ставрополя</v>
      </c>
      <c r="N1703" s="17">
        <f t="shared" si="96"/>
        <v>1</v>
      </c>
    </row>
    <row r="1704" spans="1:14" s="16" customFormat="1" ht="31.5">
      <c r="A1704" s="14"/>
      <c r="B1704" s="125" t="s">
        <v>28</v>
      </c>
      <c r="C1704" s="109" t="s">
        <v>939</v>
      </c>
      <c r="D1704" s="108" t="s">
        <v>13</v>
      </c>
      <c r="E1704" s="108" t="s">
        <v>471</v>
      </c>
      <c r="F1704" s="108" t="s">
        <v>960</v>
      </c>
      <c r="G1704" s="108" t="s">
        <v>29</v>
      </c>
      <c r="H1704" s="126">
        <v>0</v>
      </c>
      <c r="I1704" s="126">
        <v>0</v>
      </c>
      <c r="J1704" s="108">
        <v>1620120540</v>
      </c>
      <c r="K1704" s="108" t="str">
        <f t="shared" si="94"/>
        <v>1620120540</v>
      </c>
      <c r="L1704" s="303" t="str">
        <f t="shared" si="95"/>
        <v>62403091620120540240</v>
      </c>
      <c r="M1704" s="132" t="str">
        <f>INDEX('реш СГД № 265'!$A:$N,MATCH('БА расх 2019-2020'!$L1704,'реш СГД № 265'!$N:$N,0),3)</f>
        <v>Иные закупки товаров, работ и услуг для обеспечения государственных (муниципальных) нужд</v>
      </c>
      <c r="N1704" s="17">
        <f t="shared" si="96"/>
        <v>1</v>
      </c>
    </row>
    <row r="1705" spans="1:14" s="16" customFormat="1" ht="15.75">
      <c r="A1705" s="14"/>
      <c r="B1705" s="125" t="s">
        <v>30</v>
      </c>
      <c r="C1705" s="109" t="s">
        <v>939</v>
      </c>
      <c r="D1705" s="108" t="s">
        <v>13</v>
      </c>
      <c r="E1705" s="108" t="s">
        <v>471</v>
      </c>
      <c r="F1705" s="108" t="s">
        <v>960</v>
      </c>
      <c r="G1705" s="108" t="s">
        <v>31</v>
      </c>
      <c r="H1705" s="126">
        <v>0</v>
      </c>
      <c r="I1705" s="126">
        <v>0</v>
      </c>
      <c r="J1705" s="108">
        <v>1620120540</v>
      </c>
      <c r="K1705" s="108" t="str">
        <f t="shared" si="94"/>
        <v>1620120540</v>
      </c>
      <c r="L1705" s="303" t="str">
        <f t="shared" si="95"/>
        <v>62403091620120540244</v>
      </c>
      <c r="M1705" s="132"/>
      <c r="N1705" s="17">
        <f t="shared" si="96"/>
        <v>0</v>
      </c>
    </row>
    <row r="1706" spans="1:14" s="16" customFormat="1" ht="47.25">
      <c r="A1706" s="14"/>
      <c r="B1706" s="125" t="s">
        <v>961</v>
      </c>
      <c r="C1706" s="109" t="s">
        <v>939</v>
      </c>
      <c r="D1706" s="108" t="s">
        <v>13</v>
      </c>
      <c r="E1706" s="108" t="s">
        <v>471</v>
      </c>
      <c r="F1706" s="108" t="s">
        <v>962</v>
      </c>
      <c r="G1706" s="108" t="s">
        <v>9</v>
      </c>
      <c r="H1706" s="126">
        <v>0</v>
      </c>
      <c r="I1706" s="126">
        <v>0</v>
      </c>
      <c r="J1706" s="108">
        <v>1630000000</v>
      </c>
      <c r="K1706" s="108" t="str">
        <f t="shared" si="94"/>
        <v>1630000000</v>
      </c>
      <c r="L1706" s="303" t="str">
        <f t="shared" si="95"/>
        <v>62403091630000000000</v>
      </c>
      <c r="M1706" s="132" t="str">
        <f>INDEX('реш СГД № 265'!$A:$N,MATCH('БА расх 2019-2020'!$L1706,'реш СГД № 265'!$N:$N,0),3)</f>
        <v>Подпрограмма «Построение и развитие аппаратно-программного комплекса «Безопасный город» на территории города Ставрополя»</v>
      </c>
      <c r="N1706" s="17">
        <f t="shared" si="96"/>
        <v>1</v>
      </c>
    </row>
    <row r="1707" spans="1:14" s="16" customFormat="1" ht="63">
      <c r="A1707" s="14"/>
      <c r="B1707" s="125" t="s">
        <v>963</v>
      </c>
      <c r="C1707" s="109" t="s">
        <v>939</v>
      </c>
      <c r="D1707" s="108" t="s">
        <v>13</v>
      </c>
      <c r="E1707" s="108" t="s">
        <v>471</v>
      </c>
      <c r="F1707" s="108" t="s">
        <v>964</v>
      </c>
      <c r="G1707" s="108" t="s">
        <v>9</v>
      </c>
      <c r="H1707" s="126">
        <v>0</v>
      </c>
      <c r="I1707" s="126">
        <v>0</v>
      </c>
      <c r="J1707" s="108">
        <v>1630100000</v>
      </c>
      <c r="K1707" s="108" t="str">
        <f t="shared" si="94"/>
        <v>1630100000</v>
      </c>
      <c r="L1707" s="303" t="str">
        <f t="shared" si="95"/>
        <v>62403091630100000000</v>
      </c>
      <c r="M1707" s="132" t="str">
        <f>INDEX('реш СГД № 265'!$A:$N,MATCH('БА расх 2019-2020'!$L1707,'реш СГД № 265'!$N:$N,0),3)</f>
        <v>Основное мероприятие  «Создание, эксплуатация и развитие системы обеспечения вызова экстренных оперативных служб по единому номеру «112» на территории города Ставрополя»</v>
      </c>
      <c r="N1707" s="17">
        <f t="shared" si="96"/>
        <v>1</v>
      </c>
    </row>
    <row r="1708" spans="1:14" s="16" customFormat="1" ht="31.5">
      <c r="A1708" s="14"/>
      <c r="B1708" s="148" t="s">
        <v>136</v>
      </c>
      <c r="C1708" s="109" t="s">
        <v>939</v>
      </c>
      <c r="D1708" s="108" t="s">
        <v>13</v>
      </c>
      <c r="E1708" s="108" t="s">
        <v>471</v>
      </c>
      <c r="F1708" s="108" t="s">
        <v>965</v>
      </c>
      <c r="G1708" s="108" t="s">
        <v>9</v>
      </c>
      <c r="H1708" s="126">
        <v>0</v>
      </c>
      <c r="I1708" s="126">
        <v>0</v>
      </c>
      <c r="J1708" s="108">
        <v>1630111010</v>
      </c>
      <c r="K1708" s="108" t="str">
        <f t="shared" si="94"/>
        <v>1630111010</v>
      </c>
      <c r="L1708" s="303" t="str">
        <f t="shared" si="95"/>
        <v>62403091630111010000</v>
      </c>
      <c r="M1708" s="132" t="str">
        <f>INDEX('реш СГД № 265'!$A:$N,MATCH('БА расх 2019-2020'!$L1708,'реш СГД № 265'!$N:$N,0),3)</f>
        <v>Расходы на обеспечение деятельности (оказание услуг) муниципальных учреждений</v>
      </c>
      <c r="N1708" s="17">
        <f t="shared" si="96"/>
        <v>1</v>
      </c>
    </row>
    <row r="1709" spans="1:14" s="16" customFormat="1" ht="15.75">
      <c r="A1709" s="14"/>
      <c r="B1709" s="148" t="s">
        <v>138</v>
      </c>
      <c r="C1709" s="109" t="s">
        <v>939</v>
      </c>
      <c r="D1709" s="108" t="s">
        <v>13</v>
      </c>
      <c r="E1709" s="108" t="s">
        <v>471</v>
      </c>
      <c r="F1709" s="108" t="s">
        <v>965</v>
      </c>
      <c r="G1709" s="108" t="s">
        <v>139</v>
      </c>
      <c r="H1709" s="126">
        <v>0</v>
      </c>
      <c r="I1709" s="126">
        <v>0</v>
      </c>
      <c r="J1709" s="108">
        <v>1630111010</v>
      </c>
      <c r="K1709" s="108" t="str">
        <f t="shared" si="94"/>
        <v>1630111010</v>
      </c>
      <c r="L1709" s="303" t="str">
        <f t="shared" si="95"/>
        <v>62403091630111010110</v>
      </c>
      <c r="M1709" s="132" t="str">
        <f>INDEX('реш СГД № 265'!$A:$N,MATCH('БА расх 2019-2020'!$L1709,'реш СГД № 265'!$N:$N,0),3)</f>
        <v>Расходы на выплаты персоналу казенных учреждений</v>
      </c>
      <c r="N1709" s="17">
        <f t="shared" si="96"/>
        <v>1</v>
      </c>
    </row>
    <row r="1710" spans="1:14" s="23" customFormat="1" ht="15.75">
      <c r="A1710" s="21"/>
      <c r="B1710" s="127" t="s">
        <v>140</v>
      </c>
      <c r="C1710" s="109" t="s">
        <v>939</v>
      </c>
      <c r="D1710" s="108" t="s">
        <v>13</v>
      </c>
      <c r="E1710" s="108" t="s">
        <v>471</v>
      </c>
      <c r="F1710" s="108" t="s">
        <v>965</v>
      </c>
      <c r="G1710" s="108" t="s">
        <v>141</v>
      </c>
      <c r="H1710" s="126">
        <v>0</v>
      </c>
      <c r="I1710" s="126">
        <v>0</v>
      </c>
      <c r="J1710" s="108">
        <v>1630111010</v>
      </c>
      <c r="K1710" s="108" t="str">
        <f t="shared" si="94"/>
        <v>1630111010</v>
      </c>
      <c r="L1710" s="303" t="str">
        <f t="shared" si="95"/>
        <v>62403091630111010111</v>
      </c>
      <c r="M1710" s="132"/>
      <c r="N1710" s="17">
        <f t="shared" si="96"/>
        <v>0</v>
      </c>
    </row>
    <row r="1711" spans="1:14" s="23" customFormat="1" ht="47.25">
      <c r="A1711" s="21"/>
      <c r="B1711" s="127" t="s">
        <v>487</v>
      </c>
      <c r="C1711" s="109" t="s">
        <v>939</v>
      </c>
      <c r="D1711" s="108" t="s">
        <v>13</v>
      </c>
      <c r="E1711" s="108" t="s">
        <v>471</v>
      </c>
      <c r="F1711" s="108" t="s">
        <v>965</v>
      </c>
      <c r="G1711" s="108" t="s">
        <v>145</v>
      </c>
      <c r="H1711" s="126">
        <v>0</v>
      </c>
      <c r="I1711" s="126">
        <v>0</v>
      </c>
      <c r="J1711" s="108">
        <v>1630111010</v>
      </c>
      <c r="K1711" s="108" t="str">
        <f t="shared" si="94"/>
        <v>1630111010</v>
      </c>
      <c r="L1711" s="303" t="str">
        <f t="shared" si="95"/>
        <v>62403091630111010119</v>
      </c>
      <c r="M1711" s="132"/>
      <c r="N1711" s="17">
        <f t="shared" si="96"/>
        <v>0</v>
      </c>
    </row>
    <row r="1712" spans="1:14" s="16" customFormat="1" ht="31.5">
      <c r="A1712" s="14"/>
      <c r="B1712" s="125" t="s">
        <v>28</v>
      </c>
      <c r="C1712" s="109" t="s">
        <v>939</v>
      </c>
      <c r="D1712" s="108" t="s">
        <v>13</v>
      </c>
      <c r="E1712" s="108" t="s">
        <v>471</v>
      </c>
      <c r="F1712" s="108" t="s">
        <v>965</v>
      </c>
      <c r="G1712" s="108" t="s">
        <v>29</v>
      </c>
      <c r="H1712" s="126">
        <v>0</v>
      </c>
      <c r="I1712" s="126">
        <v>0</v>
      </c>
      <c r="J1712" s="108">
        <v>1630111010</v>
      </c>
      <c r="K1712" s="108" t="str">
        <f t="shared" si="94"/>
        <v>1630111010</v>
      </c>
      <c r="L1712" s="303" t="str">
        <f t="shared" si="95"/>
        <v>62403091630111010240</v>
      </c>
      <c r="M1712" s="132" t="str">
        <f>INDEX('реш СГД № 265'!$A:$N,MATCH('БА расх 2019-2020'!$L1712,'реш СГД № 265'!$N:$N,0),3)</f>
        <v>Иные закупки товаров, работ и услуг для обеспечения государственных (муниципальных) нужд</v>
      </c>
      <c r="N1712" s="17">
        <f t="shared" si="96"/>
        <v>1</v>
      </c>
    </row>
    <row r="1713" spans="1:14" s="16" customFormat="1" ht="15.75">
      <c r="A1713" s="14"/>
      <c r="B1713" s="125" t="s">
        <v>30</v>
      </c>
      <c r="C1713" s="109" t="s">
        <v>939</v>
      </c>
      <c r="D1713" s="108" t="s">
        <v>13</v>
      </c>
      <c r="E1713" s="108" t="s">
        <v>471</v>
      </c>
      <c r="F1713" s="108" t="s">
        <v>965</v>
      </c>
      <c r="G1713" s="108" t="s">
        <v>31</v>
      </c>
      <c r="H1713" s="126">
        <v>0</v>
      </c>
      <c r="I1713" s="126">
        <v>0</v>
      </c>
      <c r="J1713" s="108">
        <v>1630111010</v>
      </c>
      <c r="K1713" s="108" t="str">
        <f t="shared" si="94"/>
        <v>1630111010</v>
      </c>
      <c r="L1713" s="303" t="str">
        <f t="shared" si="95"/>
        <v>62403091630111010244</v>
      </c>
      <c r="M1713" s="132"/>
      <c r="N1713" s="17">
        <f t="shared" si="96"/>
        <v>0</v>
      </c>
    </row>
    <row r="1714" spans="1:14" s="16" customFormat="1" ht="15.75">
      <c r="A1714" s="14"/>
      <c r="B1714" s="148" t="s">
        <v>32</v>
      </c>
      <c r="C1714" s="109" t="s">
        <v>939</v>
      </c>
      <c r="D1714" s="108" t="s">
        <v>13</v>
      </c>
      <c r="E1714" s="108" t="s">
        <v>471</v>
      </c>
      <c r="F1714" s="108" t="s">
        <v>965</v>
      </c>
      <c r="G1714" s="108" t="s">
        <v>33</v>
      </c>
      <c r="H1714" s="126">
        <v>0</v>
      </c>
      <c r="I1714" s="126">
        <v>0</v>
      </c>
      <c r="J1714" s="108">
        <v>1630111010</v>
      </c>
      <c r="K1714" s="108" t="str">
        <f t="shared" si="94"/>
        <v>1630111010</v>
      </c>
      <c r="L1714" s="303" t="str">
        <f t="shared" si="95"/>
        <v>62403091630111010850</v>
      </c>
      <c r="M1714" s="132" t="str">
        <f>INDEX('реш СГД № 265'!$A:$N,MATCH('БА расх 2019-2020'!$L1714,'реш СГД № 265'!$N:$N,0),3)</f>
        <v>Уплата налогов, сборов и иных платежей</v>
      </c>
      <c r="N1714" s="17">
        <f t="shared" si="96"/>
        <v>1</v>
      </c>
    </row>
    <row r="1715" spans="1:14" s="23" customFormat="1" ht="31.5">
      <c r="A1715" s="21"/>
      <c r="B1715" s="127" t="s">
        <v>34</v>
      </c>
      <c r="C1715" s="109" t="s">
        <v>939</v>
      </c>
      <c r="D1715" s="108" t="s">
        <v>13</v>
      </c>
      <c r="E1715" s="108" t="s">
        <v>471</v>
      </c>
      <c r="F1715" s="108" t="s">
        <v>965</v>
      </c>
      <c r="G1715" s="108">
        <v>851</v>
      </c>
      <c r="H1715" s="126">
        <v>0</v>
      </c>
      <c r="I1715" s="126">
        <v>0</v>
      </c>
      <c r="J1715" s="108">
        <v>1630111010</v>
      </c>
      <c r="K1715" s="108" t="str">
        <f t="shared" si="94"/>
        <v>1630111010</v>
      </c>
      <c r="L1715" s="303" t="str">
        <f t="shared" si="95"/>
        <v>62403091630111010851</v>
      </c>
      <c r="M1715" s="132"/>
      <c r="N1715" s="17">
        <f t="shared" si="96"/>
        <v>0</v>
      </c>
    </row>
    <row r="1716" spans="1:14" s="23" customFormat="1" ht="15.75">
      <c r="A1716" s="21"/>
      <c r="B1716" s="127" t="s">
        <v>36</v>
      </c>
      <c r="C1716" s="109" t="s">
        <v>939</v>
      </c>
      <c r="D1716" s="108" t="s">
        <v>13</v>
      </c>
      <c r="E1716" s="108" t="s">
        <v>471</v>
      </c>
      <c r="F1716" s="108" t="s">
        <v>965</v>
      </c>
      <c r="G1716" s="108" t="s">
        <v>37</v>
      </c>
      <c r="H1716" s="126">
        <v>0</v>
      </c>
      <c r="I1716" s="126">
        <v>0</v>
      </c>
      <c r="J1716" s="108">
        <v>1630111010</v>
      </c>
      <c r="K1716" s="108" t="str">
        <f t="shared" si="94"/>
        <v>1630111010</v>
      </c>
      <c r="L1716" s="303" t="str">
        <f t="shared" si="95"/>
        <v>62403091630111010852</v>
      </c>
      <c r="M1716" s="132"/>
      <c r="N1716" s="17">
        <f t="shared" si="96"/>
        <v>0</v>
      </c>
    </row>
    <row r="1717" spans="1:14" s="23" customFormat="1" ht="15.75">
      <c r="A1717" s="21"/>
      <c r="B1717" s="127" t="s">
        <v>77</v>
      </c>
      <c r="C1717" s="109" t="s">
        <v>939</v>
      </c>
      <c r="D1717" s="108" t="s">
        <v>13</v>
      </c>
      <c r="E1717" s="108" t="s">
        <v>471</v>
      </c>
      <c r="F1717" s="108" t="s">
        <v>965</v>
      </c>
      <c r="G1717" s="108" t="s">
        <v>78</v>
      </c>
      <c r="H1717" s="126">
        <v>0</v>
      </c>
      <c r="I1717" s="126">
        <v>0</v>
      </c>
      <c r="J1717" s="108">
        <v>1630111010</v>
      </c>
      <c r="K1717" s="108" t="str">
        <f t="shared" si="94"/>
        <v>1630111010</v>
      </c>
      <c r="L1717" s="303" t="str">
        <f t="shared" si="95"/>
        <v>62403091630111010853</v>
      </c>
      <c r="M1717" s="132"/>
      <c r="N1717" s="17">
        <f t="shared" si="96"/>
        <v>0</v>
      </c>
    </row>
    <row r="1718" spans="1:14" s="16" customFormat="1" ht="94.5">
      <c r="A1718" s="14"/>
      <c r="B1718" s="148" t="s">
        <v>966</v>
      </c>
      <c r="C1718" s="109" t="s">
        <v>939</v>
      </c>
      <c r="D1718" s="108" t="s">
        <v>13</v>
      </c>
      <c r="E1718" s="108" t="s">
        <v>471</v>
      </c>
      <c r="F1718" s="108" t="s">
        <v>967</v>
      </c>
      <c r="G1718" s="108" t="s">
        <v>9</v>
      </c>
      <c r="H1718" s="126">
        <v>0</v>
      </c>
      <c r="I1718" s="126">
        <v>0</v>
      </c>
      <c r="J1718" s="108">
        <v>1630200000</v>
      </c>
      <c r="K1718" s="108" t="str">
        <f t="shared" si="94"/>
        <v>1630200000</v>
      </c>
      <c r="L1718" s="303" t="str">
        <f t="shared" si="95"/>
        <v>62403091630200000000</v>
      </c>
      <c r="M1718" s="132" t="str">
        <f>INDEX('реш СГД № 265'!$A:$N,MATCH('БА расх 2019-2020'!$L1718,'реш СГД № 265'!$N:$N,0),3)</f>
        <v>Основное мероприятие «Выполнение работ по установке и поддержанию в постоянной готовности линейных комплектов муниципальной системы оповещения и информирования населения о возникновении чрезвычайных ситуаций на территории города Ставрополя»</v>
      </c>
      <c r="N1718" s="17">
        <f t="shared" si="96"/>
        <v>1</v>
      </c>
    </row>
    <row r="1719" spans="1:14" s="16" customFormat="1" ht="63">
      <c r="A1719" s="14"/>
      <c r="B1719" s="148" t="s">
        <v>968</v>
      </c>
      <c r="C1719" s="109" t="s">
        <v>939</v>
      </c>
      <c r="D1719" s="108" t="s">
        <v>13</v>
      </c>
      <c r="E1719" s="108" t="s">
        <v>471</v>
      </c>
      <c r="F1719" s="108" t="s">
        <v>969</v>
      </c>
      <c r="G1719" s="108" t="s">
        <v>9</v>
      </c>
      <c r="H1719" s="126">
        <v>0</v>
      </c>
      <c r="I1719" s="126">
        <v>0</v>
      </c>
      <c r="J1719" s="108">
        <v>1630220690</v>
      </c>
      <c r="K1719" s="108" t="str">
        <f t="shared" si="94"/>
        <v>1630220690</v>
      </c>
      <c r="L1719" s="303" t="str">
        <f t="shared" si="95"/>
        <v>62403091630220690000</v>
      </c>
      <c r="M1719" s="132" t="str">
        <f>INDEX('реш СГД № 265'!$A:$N,MATCH('БА расх 2019-2020'!$L1719,'реш СГД № 265'!$N:$N,0),3)</f>
        <v>Расходы на реализацию мероприятий по обеспечению своевременного оповещения населения города Ставрополя об угрозе возникновения или о возникновении чрезвычайных ситуаций</v>
      </c>
      <c r="N1719" s="17">
        <f t="shared" si="96"/>
        <v>1</v>
      </c>
    </row>
    <row r="1720" spans="1:14" s="16" customFormat="1" ht="31.5">
      <c r="A1720" s="14"/>
      <c r="B1720" s="125" t="s">
        <v>28</v>
      </c>
      <c r="C1720" s="109" t="s">
        <v>939</v>
      </c>
      <c r="D1720" s="108" t="s">
        <v>13</v>
      </c>
      <c r="E1720" s="108" t="s">
        <v>471</v>
      </c>
      <c r="F1720" s="108" t="s">
        <v>969</v>
      </c>
      <c r="G1720" s="108" t="s">
        <v>29</v>
      </c>
      <c r="H1720" s="126">
        <v>0</v>
      </c>
      <c r="I1720" s="126">
        <v>0</v>
      </c>
      <c r="J1720" s="108">
        <v>1630220690</v>
      </c>
      <c r="K1720" s="108" t="str">
        <f t="shared" si="94"/>
        <v>1630220690</v>
      </c>
      <c r="L1720" s="303" t="str">
        <f t="shared" si="95"/>
        <v>62403091630220690240</v>
      </c>
      <c r="M1720" s="132" t="str">
        <f>INDEX('реш СГД № 265'!$A:$N,MATCH('БА расх 2019-2020'!$L1720,'реш СГД № 265'!$N:$N,0),3)</f>
        <v>Иные закупки товаров, работ и услуг для обеспечения государственных (муниципальных) нужд</v>
      </c>
      <c r="N1720" s="17">
        <f t="shared" si="96"/>
        <v>1</v>
      </c>
    </row>
    <row r="1721" spans="1:14" s="16" customFormat="1" ht="15.75">
      <c r="A1721" s="14"/>
      <c r="B1721" s="125" t="s">
        <v>30</v>
      </c>
      <c r="C1721" s="109" t="s">
        <v>939</v>
      </c>
      <c r="D1721" s="108" t="s">
        <v>13</v>
      </c>
      <c r="E1721" s="108" t="s">
        <v>471</v>
      </c>
      <c r="F1721" s="108" t="s">
        <v>969</v>
      </c>
      <c r="G1721" s="108" t="s">
        <v>31</v>
      </c>
      <c r="H1721" s="126">
        <v>0</v>
      </c>
      <c r="I1721" s="126">
        <v>0</v>
      </c>
      <c r="J1721" s="108">
        <v>1630220690</v>
      </c>
      <c r="K1721" s="108" t="str">
        <f t="shared" si="94"/>
        <v>1630220690</v>
      </c>
      <c r="L1721" s="303" t="str">
        <f t="shared" si="95"/>
        <v>62403091630220690244</v>
      </c>
      <c r="M1721" s="132"/>
      <c r="N1721" s="17">
        <f t="shared" si="96"/>
        <v>0</v>
      </c>
    </row>
    <row r="1722" spans="1:14" s="16" customFormat="1" ht="94.5">
      <c r="A1722" s="14"/>
      <c r="B1722" s="148" t="s">
        <v>970</v>
      </c>
      <c r="C1722" s="109" t="s">
        <v>939</v>
      </c>
      <c r="D1722" s="108" t="s">
        <v>13</v>
      </c>
      <c r="E1722" s="108" t="s">
        <v>471</v>
      </c>
      <c r="F1722" s="108" t="s">
        <v>971</v>
      </c>
      <c r="G1722" s="108" t="s">
        <v>9</v>
      </c>
      <c r="H1722" s="126">
        <v>0</v>
      </c>
      <c r="I1722" s="126">
        <v>0</v>
      </c>
      <c r="J1722" s="108">
        <v>1630300000</v>
      </c>
      <c r="K1722" s="108" t="str">
        <f t="shared" si="94"/>
        <v>1630300000</v>
      </c>
      <c r="L1722" s="303" t="str">
        <f t="shared" si="95"/>
        <v>62403091630300000000</v>
      </c>
      <c r="M1722" s="132" t="str">
        <f>INDEX('реш СГД № 265'!$A:$N,MATCH('БА расх 2019-2020'!$L1722,'реш СГД № 265'!$N:$N,0),3)</f>
        <v>Основное мероприятие «Проектирование аппаратно-программного комплекса «Безопасный город» на территории города Ставрополя и построение сегмента обеспечения правопорядка и профилактики правонарушений, включая системы видеонаблюдения на территории города Ставрополя»</v>
      </c>
      <c r="N1722" s="17">
        <f t="shared" si="96"/>
        <v>1</v>
      </c>
    </row>
    <row r="1723" spans="1:14" s="16" customFormat="1" ht="47.25">
      <c r="A1723" s="14"/>
      <c r="B1723" s="148" t="s">
        <v>152</v>
      </c>
      <c r="C1723" s="109" t="s">
        <v>939</v>
      </c>
      <c r="D1723" s="108" t="s">
        <v>13</v>
      </c>
      <c r="E1723" s="108" t="s">
        <v>471</v>
      </c>
      <c r="F1723" s="108" t="s">
        <v>972</v>
      </c>
      <c r="G1723" s="108" t="s">
        <v>9</v>
      </c>
      <c r="H1723" s="126">
        <v>0</v>
      </c>
      <c r="I1723" s="126">
        <v>0</v>
      </c>
      <c r="J1723" s="108">
        <v>1630320350</v>
      </c>
      <c r="K1723" s="108" t="str">
        <f t="shared" si="94"/>
        <v>1630320350</v>
      </c>
      <c r="L1723" s="303" t="str">
        <f t="shared" si="95"/>
        <v>62403091630320350000</v>
      </c>
      <c r="M1723" s="132" t="str">
        <f>INDEX('реш СГД № 265'!$A:$N,MATCH('БА расх 2019-2020'!$L1723,'реш СГД № 265'!$N:$N,0),3)</f>
        <v>Расходы на реализацию мероприятий, направленных на повышение уровня безопасности жизнедеятельности города Ставрополя</v>
      </c>
      <c r="N1723" s="17">
        <f t="shared" si="96"/>
        <v>1</v>
      </c>
    </row>
    <row r="1724" spans="1:14" s="16" customFormat="1" ht="31.5">
      <c r="A1724" s="14"/>
      <c r="B1724" s="148" t="s">
        <v>28</v>
      </c>
      <c r="C1724" s="109" t="s">
        <v>939</v>
      </c>
      <c r="D1724" s="108" t="s">
        <v>13</v>
      </c>
      <c r="E1724" s="108" t="s">
        <v>471</v>
      </c>
      <c r="F1724" s="108" t="s">
        <v>972</v>
      </c>
      <c r="G1724" s="108" t="s">
        <v>29</v>
      </c>
      <c r="H1724" s="126">
        <v>0</v>
      </c>
      <c r="I1724" s="126">
        <v>0</v>
      </c>
      <c r="J1724" s="108">
        <v>1630320350</v>
      </c>
      <c r="K1724" s="108" t="str">
        <f t="shared" si="94"/>
        <v>1630320350</v>
      </c>
      <c r="L1724" s="303" t="str">
        <f t="shared" si="95"/>
        <v>62403091630320350240</v>
      </c>
      <c r="M1724" s="132" t="str">
        <f>INDEX('реш СГД № 265'!$A:$N,MATCH('БА расх 2019-2020'!$L1724,'реш СГД № 265'!$N:$N,0),3)</f>
        <v>Иные закупки товаров, работ и услуг для обеспечения государственных (муниципальных) нужд</v>
      </c>
      <c r="N1724" s="17">
        <f t="shared" si="96"/>
        <v>1</v>
      </c>
    </row>
    <row r="1725" spans="1:14" s="16" customFormat="1" ht="15.75">
      <c r="A1725" s="14"/>
      <c r="B1725" s="125" t="s">
        <v>30</v>
      </c>
      <c r="C1725" s="109" t="s">
        <v>939</v>
      </c>
      <c r="D1725" s="108" t="s">
        <v>13</v>
      </c>
      <c r="E1725" s="108" t="s">
        <v>471</v>
      </c>
      <c r="F1725" s="108" t="s">
        <v>972</v>
      </c>
      <c r="G1725" s="108" t="s">
        <v>31</v>
      </c>
      <c r="H1725" s="126">
        <v>0</v>
      </c>
      <c r="I1725" s="126">
        <v>0</v>
      </c>
      <c r="J1725" s="108">
        <v>1630320350</v>
      </c>
      <c r="K1725" s="108" t="str">
        <f t="shared" si="94"/>
        <v>1630320350</v>
      </c>
      <c r="L1725" s="303" t="str">
        <f t="shared" si="95"/>
        <v>62403091630320350244</v>
      </c>
      <c r="M1725" s="132"/>
      <c r="N1725" s="17">
        <f t="shared" si="96"/>
        <v>0</v>
      </c>
    </row>
    <row r="1726" spans="1:14" s="16" customFormat="1" ht="78.75">
      <c r="A1726" s="14"/>
      <c r="B1726" s="148" t="s">
        <v>973</v>
      </c>
      <c r="C1726" s="109" t="s">
        <v>939</v>
      </c>
      <c r="D1726" s="108" t="s">
        <v>13</v>
      </c>
      <c r="E1726" s="108" t="s">
        <v>471</v>
      </c>
      <c r="F1726" s="108" t="s">
        <v>974</v>
      </c>
      <c r="G1726" s="108" t="s">
        <v>9</v>
      </c>
      <c r="H1726" s="126">
        <v>0</v>
      </c>
      <c r="I1726" s="126">
        <v>0</v>
      </c>
      <c r="J1726" s="108">
        <v>1630400000</v>
      </c>
      <c r="K1726" s="108" t="str">
        <f t="shared" si="94"/>
        <v>1630400000</v>
      </c>
      <c r="L1726" s="303" t="str">
        <f t="shared" si="95"/>
        <v>62403091630400000000</v>
      </c>
      <c r="M1726" s="132" t="str">
        <f>INDEX('реш СГД № 265'!$A:$N,MATCH('БА расх 2019-2020'!$L1726,'реш СГД № 265'!$N:$N,0),3)</f>
        <v>Основное мероприятие «Развитие Центра технического обеспечения муниципального казенного учреждения «Единая дежурно-диспетчерская служба» города Ставрополя по ведению мониторинга состояния объектов с массовым пребыванием людей»</v>
      </c>
      <c r="N1726" s="17">
        <f t="shared" si="96"/>
        <v>1</v>
      </c>
    </row>
    <row r="1727" spans="1:14" s="16" customFormat="1" ht="47.25">
      <c r="A1727" s="14"/>
      <c r="B1727" s="148" t="s">
        <v>152</v>
      </c>
      <c r="C1727" s="109" t="s">
        <v>939</v>
      </c>
      <c r="D1727" s="108" t="s">
        <v>13</v>
      </c>
      <c r="E1727" s="108" t="s">
        <v>471</v>
      </c>
      <c r="F1727" s="108" t="s">
        <v>975</v>
      </c>
      <c r="G1727" s="108" t="s">
        <v>9</v>
      </c>
      <c r="H1727" s="126">
        <v>0</v>
      </c>
      <c r="I1727" s="126">
        <v>0</v>
      </c>
      <c r="J1727" s="108">
        <v>1630420350</v>
      </c>
      <c r="K1727" s="108" t="str">
        <f t="shared" si="94"/>
        <v>1630420350</v>
      </c>
      <c r="L1727" s="303" t="str">
        <f t="shared" si="95"/>
        <v>62403091630420350000</v>
      </c>
      <c r="M1727" s="132" t="str">
        <f>INDEX('реш СГД № 265'!$A:$N,MATCH('БА расх 2019-2020'!$L1727,'реш СГД № 265'!$N:$N,0),3)</f>
        <v>Расходы на реализацию мероприятий, направленных на повышение уровня безопасности жизнедеятельности города Ставрополя</v>
      </c>
      <c r="N1727" s="17">
        <f t="shared" si="96"/>
        <v>1</v>
      </c>
    </row>
    <row r="1728" spans="1:14" s="16" customFormat="1" ht="31.5">
      <c r="A1728" s="14"/>
      <c r="B1728" s="148" t="s">
        <v>28</v>
      </c>
      <c r="C1728" s="109" t="s">
        <v>939</v>
      </c>
      <c r="D1728" s="108" t="s">
        <v>13</v>
      </c>
      <c r="E1728" s="108" t="s">
        <v>471</v>
      </c>
      <c r="F1728" s="108" t="s">
        <v>975</v>
      </c>
      <c r="G1728" s="108" t="s">
        <v>29</v>
      </c>
      <c r="H1728" s="126">
        <v>0</v>
      </c>
      <c r="I1728" s="126">
        <v>0</v>
      </c>
      <c r="J1728" s="108">
        <v>1630420350</v>
      </c>
      <c r="K1728" s="108" t="str">
        <f t="shared" si="94"/>
        <v>1630420350</v>
      </c>
      <c r="L1728" s="303" t="str">
        <f t="shared" si="95"/>
        <v>62403091630420350240</v>
      </c>
      <c r="M1728" s="132" t="str">
        <f>INDEX('реш СГД № 265'!$A:$N,MATCH('БА расх 2019-2020'!$L1728,'реш СГД № 265'!$N:$N,0),3)</f>
        <v>Иные закупки товаров, работ и услуг для обеспечения государственных (муниципальных) нужд</v>
      </c>
      <c r="N1728" s="17">
        <f t="shared" si="96"/>
        <v>1</v>
      </c>
    </row>
    <row r="1729" spans="1:14" s="16" customFormat="1" ht="15.75">
      <c r="A1729" s="14"/>
      <c r="B1729" s="125" t="s">
        <v>30</v>
      </c>
      <c r="C1729" s="109" t="s">
        <v>939</v>
      </c>
      <c r="D1729" s="108" t="s">
        <v>13</v>
      </c>
      <c r="E1729" s="108" t="s">
        <v>471</v>
      </c>
      <c r="F1729" s="108" t="s">
        <v>975</v>
      </c>
      <c r="G1729" s="108" t="s">
        <v>31</v>
      </c>
      <c r="H1729" s="126">
        <v>0</v>
      </c>
      <c r="I1729" s="126">
        <v>0</v>
      </c>
      <c r="J1729" s="108">
        <v>1630420350</v>
      </c>
      <c r="K1729" s="108" t="str">
        <f t="shared" si="94"/>
        <v>1630420350</v>
      </c>
      <c r="L1729" s="303" t="str">
        <f t="shared" si="95"/>
        <v>62403091630420350244</v>
      </c>
      <c r="M1729" s="132"/>
      <c r="N1729" s="17">
        <f t="shared" si="96"/>
        <v>0</v>
      </c>
    </row>
    <row r="1730" spans="1:14" s="16" customFormat="1" ht="47.25">
      <c r="A1730" s="14"/>
      <c r="B1730" s="147" t="s">
        <v>976</v>
      </c>
      <c r="C1730" s="109" t="s">
        <v>939</v>
      </c>
      <c r="D1730" s="108" t="s">
        <v>13</v>
      </c>
      <c r="E1730" s="108" t="s">
        <v>471</v>
      </c>
      <c r="F1730" s="108" t="s">
        <v>977</v>
      </c>
      <c r="G1730" s="108" t="s">
        <v>9</v>
      </c>
      <c r="H1730" s="126">
        <v>0</v>
      </c>
      <c r="I1730" s="126">
        <v>0</v>
      </c>
      <c r="J1730" s="108">
        <v>8500000000</v>
      </c>
      <c r="K1730" s="108" t="str">
        <f t="shared" si="94"/>
        <v>8500000000</v>
      </c>
      <c r="L1730" s="303" t="str">
        <f t="shared" si="95"/>
        <v>62403098500000000000</v>
      </c>
      <c r="M1730" s="132" t="str">
        <f>INDEX('реш СГД № 265'!$A:$N,MATCH('БА расх 2019-2020'!$L1730,'реш СГД № 265'!$N:$N,0),3)</f>
        <v>Обеспечение деятельности комитета по делам гражданской обороны и чрезвычайным ситуациям администрации города Ставрополя</v>
      </c>
      <c r="N1730" s="17">
        <f t="shared" si="96"/>
        <v>1</v>
      </c>
    </row>
    <row r="1731" spans="1:14" s="66" customFormat="1" ht="63">
      <c r="A1731" s="65"/>
      <c r="B1731" s="125" t="s">
        <v>978</v>
      </c>
      <c r="C1731" s="109" t="s">
        <v>939</v>
      </c>
      <c r="D1731" s="108" t="s">
        <v>13</v>
      </c>
      <c r="E1731" s="108" t="s">
        <v>471</v>
      </c>
      <c r="F1731" s="108" t="s">
        <v>979</v>
      </c>
      <c r="G1731" s="108" t="s">
        <v>9</v>
      </c>
      <c r="H1731" s="126">
        <v>0</v>
      </c>
      <c r="I1731" s="126">
        <v>0</v>
      </c>
      <c r="J1731" s="108">
        <v>8510000000</v>
      </c>
      <c r="K1731" s="108" t="str">
        <f t="shared" si="94"/>
        <v>8510000000</v>
      </c>
      <c r="L1731" s="303" t="str">
        <f t="shared" si="95"/>
        <v>62403098510000000000</v>
      </c>
      <c r="M1731" s="132" t="str">
        <f>INDEX('реш СГД № 265'!$A:$N,MATCH('БА расх 2019-2020'!$L1731,'реш СГД № 265'!$N:$N,0),3)</f>
        <v>Непрограммные расходы в рамках обеспечения деятельности комитета по делам гражданской обороны и чрезвычайным ситуациям администрации города Ставрополя</v>
      </c>
      <c r="N1731" s="17">
        <f t="shared" si="96"/>
        <v>1</v>
      </c>
    </row>
    <row r="1732" spans="1:14" s="16" customFormat="1" ht="31.5">
      <c r="A1732" s="14"/>
      <c r="B1732" s="148" t="s">
        <v>18</v>
      </c>
      <c r="C1732" s="109" t="s">
        <v>939</v>
      </c>
      <c r="D1732" s="108" t="s">
        <v>13</v>
      </c>
      <c r="E1732" s="108" t="s">
        <v>471</v>
      </c>
      <c r="F1732" s="108" t="s">
        <v>980</v>
      </c>
      <c r="G1732" s="108" t="s">
        <v>9</v>
      </c>
      <c r="H1732" s="126">
        <v>0</v>
      </c>
      <c r="I1732" s="126">
        <v>0</v>
      </c>
      <c r="J1732" s="108">
        <v>8510010010</v>
      </c>
      <c r="K1732" s="108" t="str">
        <f t="shared" si="94"/>
        <v>8510010010</v>
      </c>
      <c r="L1732" s="303" t="str">
        <f t="shared" si="95"/>
        <v>62403098510010010000</v>
      </c>
      <c r="M1732" s="132" t="str">
        <f>INDEX('реш СГД № 265'!$A:$N,MATCH('БА расх 2019-2020'!$L1732,'реш СГД № 265'!$N:$N,0),3)</f>
        <v>Расходы на обеспечение функций органов местного самоуправления города Ставрополя</v>
      </c>
      <c r="N1732" s="17">
        <f t="shared" si="96"/>
        <v>1</v>
      </c>
    </row>
    <row r="1733" spans="1:14" s="16" customFormat="1" ht="31.5">
      <c r="A1733" s="14"/>
      <c r="B1733" s="125" t="s">
        <v>20</v>
      </c>
      <c r="C1733" s="109" t="s">
        <v>939</v>
      </c>
      <c r="D1733" s="108" t="s">
        <v>13</v>
      </c>
      <c r="E1733" s="108" t="s">
        <v>471</v>
      </c>
      <c r="F1733" s="108" t="s">
        <v>980</v>
      </c>
      <c r="G1733" s="108" t="s">
        <v>21</v>
      </c>
      <c r="H1733" s="126">
        <v>0</v>
      </c>
      <c r="I1733" s="126">
        <v>0</v>
      </c>
      <c r="J1733" s="108">
        <v>8510010010</v>
      </c>
      <c r="K1733" s="108" t="str">
        <f t="shared" si="94"/>
        <v>8510010010</v>
      </c>
      <c r="L1733" s="303" t="str">
        <f t="shared" si="95"/>
        <v>62403098510010010120</v>
      </c>
      <c r="M1733" s="132" t="str">
        <f>INDEX('реш СГД № 265'!$A:$N,MATCH('БА расх 2019-2020'!$L1733,'реш СГД № 265'!$N:$N,0),3)</f>
        <v>Расходы на выплаты персоналу государственных (муниципальных) органов</v>
      </c>
      <c r="N1733" s="17">
        <f t="shared" si="96"/>
        <v>1</v>
      </c>
    </row>
    <row r="1734" spans="1:14" s="16" customFormat="1" ht="47.25">
      <c r="A1734" s="14"/>
      <c r="B1734" s="125" t="s">
        <v>22</v>
      </c>
      <c r="C1734" s="109" t="s">
        <v>939</v>
      </c>
      <c r="D1734" s="108" t="s">
        <v>13</v>
      </c>
      <c r="E1734" s="108" t="s">
        <v>471</v>
      </c>
      <c r="F1734" s="108" t="s">
        <v>980</v>
      </c>
      <c r="G1734" s="108" t="s">
        <v>23</v>
      </c>
      <c r="H1734" s="126">
        <v>0</v>
      </c>
      <c r="I1734" s="126">
        <v>0</v>
      </c>
      <c r="J1734" s="108">
        <v>8510010010</v>
      </c>
      <c r="K1734" s="108" t="str">
        <f t="shared" si="94"/>
        <v>8510010010</v>
      </c>
      <c r="L1734" s="303" t="str">
        <f t="shared" si="95"/>
        <v>62403098510010010122</v>
      </c>
      <c r="M1734" s="132"/>
      <c r="N1734" s="17">
        <f t="shared" si="96"/>
        <v>0</v>
      </c>
    </row>
    <row r="1735" spans="1:14" s="16" customFormat="1" ht="63">
      <c r="A1735" s="14"/>
      <c r="B1735" s="125" t="s">
        <v>26</v>
      </c>
      <c r="C1735" s="109" t="s">
        <v>939</v>
      </c>
      <c r="D1735" s="108" t="s">
        <v>13</v>
      </c>
      <c r="E1735" s="108" t="s">
        <v>471</v>
      </c>
      <c r="F1735" s="108" t="s">
        <v>980</v>
      </c>
      <c r="G1735" s="108" t="s">
        <v>27</v>
      </c>
      <c r="H1735" s="126">
        <v>0</v>
      </c>
      <c r="I1735" s="126">
        <v>0</v>
      </c>
      <c r="J1735" s="108">
        <v>8510010010</v>
      </c>
      <c r="K1735" s="108" t="str">
        <f t="shared" si="94"/>
        <v>8510010010</v>
      </c>
      <c r="L1735" s="303" t="str">
        <f t="shared" si="95"/>
        <v>62403098510010010129</v>
      </c>
      <c r="M1735" s="132"/>
      <c r="N1735" s="17">
        <f t="shared" si="96"/>
        <v>0</v>
      </c>
    </row>
    <row r="1736" spans="1:14" s="16" customFormat="1" ht="31.5">
      <c r="A1736" s="14"/>
      <c r="B1736" s="125" t="s">
        <v>28</v>
      </c>
      <c r="C1736" s="109" t="s">
        <v>939</v>
      </c>
      <c r="D1736" s="108" t="s">
        <v>13</v>
      </c>
      <c r="E1736" s="108" t="s">
        <v>471</v>
      </c>
      <c r="F1736" s="108" t="s">
        <v>980</v>
      </c>
      <c r="G1736" s="108" t="s">
        <v>29</v>
      </c>
      <c r="H1736" s="126">
        <v>0</v>
      </c>
      <c r="I1736" s="126">
        <v>0</v>
      </c>
      <c r="J1736" s="108">
        <v>8510010010</v>
      </c>
      <c r="K1736" s="108" t="str">
        <f t="shared" si="94"/>
        <v>8510010010</v>
      </c>
      <c r="L1736" s="303" t="str">
        <f t="shared" si="95"/>
        <v>62403098510010010240</v>
      </c>
      <c r="M1736" s="132" t="str">
        <f>INDEX('реш СГД № 265'!$A:$N,MATCH('БА расх 2019-2020'!$L1736,'реш СГД № 265'!$N:$N,0),3)</f>
        <v>Иные закупки товаров, работ и услуг для обеспечения государственных (муниципальных) нужд</v>
      </c>
      <c r="N1736" s="17">
        <f t="shared" si="96"/>
        <v>1</v>
      </c>
    </row>
    <row r="1737" spans="1:14" s="16" customFormat="1" ht="15.75">
      <c r="A1737" s="14"/>
      <c r="B1737" s="125" t="s">
        <v>30</v>
      </c>
      <c r="C1737" s="109" t="s">
        <v>939</v>
      </c>
      <c r="D1737" s="108" t="s">
        <v>13</v>
      </c>
      <c r="E1737" s="108" t="s">
        <v>471</v>
      </c>
      <c r="F1737" s="108" t="s">
        <v>980</v>
      </c>
      <c r="G1737" s="108" t="s">
        <v>31</v>
      </c>
      <c r="H1737" s="126">
        <v>0</v>
      </c>
      <c r="I1737" s="126">
        <v>0</v>
      </c>
      <c r="J1737" s="108">
        <v>8510010010</v>
      </c>
      <c r="K1737" s="108" t="str">
        <f t="shared" si="94"/>
        <v>8510010010</v>
      </c>
      <c r="L1737" s="303" t="str">
        <f t="shared" si="95"/>
        <v>62403098510010010244</v>
      </c>
      <c r="M1737" s="132"/>
      <c r="N1737" s="17">
        <f t="shared" si="96"/>
        <v>0</v>
      </c>
    </row>
    <row r="1738" spans="1:14" s="16" customFormat="1" ht="15.75">
      <c r="A1738" s="14"/>
      <c r="B1738" s="125" t="s">
        <v>32</v>
      </c>
      <c r="C1738" s="109" t="s">
        <v>939</v>
      </c>
      <c r="D1738" s="108" t="s">
        <v>13</v>
      </c>
      <c r="E1738" s="108" t="s">
        <v>471</v>
      </c>
      <c r="F1738" s="108" t="s">
        <v>980</v>
      </c>
      <c r="G1738" s="108" t="s">
        <v>33</v>
      </c>
      <c r="H1738" s="126">
        <v>0</v>
      </c>
      <c r="I1738" s="126">
        <v>0</v>
      </c>
      <c r="J1738" s="108">
        <v>8510010010</v>
      </c>
      <c r="K1738" s="108" t="str">
        <f t="shared" si="94"/>
        <v>8510010010</v>
      </c>
      <c r="L1738" s="303" t="str">
        <f t="shared" si="95"/>
        <v>62403098510010010850</v>
      </c>
      <c r="M1738" s="132" t="str">
        <f>INDEX('реш СГД № 265'!$A:$N,MATCH('БА расх 2019-2020'!$L1738,'реш СГД № 265'!$N:$N,0),3)</f>
        <v>Уплата налогов, сборов и иных платежей</v>
      </c>
      <c r="N1738" s="17">
        <f t="shared" si="96"/>
        <v>1</v>
      </c>
    </row>
    <row r="1739" spans="1:14" s="16" customFormat="1" ht="31.5">
      <c r="A1739" s="14"/>
      <c r="B1739" s="125" t="s">
        <v>34</v>
      </c>
      <c r="C1739" s="109" t="s">
        <v>939</v>
      </c>
      <c r="D1739" s="108" t="s">
        <v>13</v>
      </c>
      <c r="E1739" s="108" t="s">
        <v>471</v>
      </c>
      <c r="F1739" s="108" t="s">
        <v>980</v>
      </c>
      <c r="G1739" s="108">
        <v>851</v>
      </c>
      <c r="H1739" s="126">
        <v>0</v>
      </c>
      <c r="I1739" s="126">
        <v>0</v>
      </c>
      <c r="J1739" s="108">
        <v>8510010010</v>
      </c>
      <c r="K1739" s="108" t="str">
        <f t="shared" si="94"/>
        <v>8510010010</v>
      </c>
      <c r="L1739" s="303" t="str">
        <f t="shared" si="95"/>
        <v>62403098510010010851</v>
      </c>
      <c r="M1739" s="132"/>
      <c r="N1739" s="17">
        <f t="shared" si="96"/>
        <v>0</v>
      </c>
    </row>
    <row r="1740" spans="1:14" s="16" customFormat="1" ht="15.75">
      <c r="A1740" s="14"/>
      <c r="B1740" s="125" t="s">
        <v>77</v>
      </c>
      <c r="C1740" s="109" t="s">
        <v>939</v>
      </c>
      <c r="D1740" s="108" t="s">
        <v>13</v>
      </c>
      <c r="E1740" s="108" t="s">
        <v>471</v>
      </c>
      <c r="F1740" s="108" t="s">
        <v>980</v>
      </c>
      <c r="G1740" s="108" t="s">
        <v>78</v>
      </c>
      <c r="H1740" s="126">
        <v>0</v>
      </c>
      <c r="I1740" s="126">
        <v>0</v>
      </c>
      <c r="J1740" s="108">
        <v>8510010010</v>
      </c>
      <c r="K1740" s="108" t="str">
        <f t="shared" si="94"/>
        <v>8510010010</v>
      </c>
      <c r="L1740" s="303" t="str">
        <f t="shared" si="95"/>
        <v>62403098510010010853</v>
      </c>
      <c r="M1740" s="132"/>
      <c r="N1740" s="17">
        <f t="shared" si="96"/>
        <v>0</v>
      </c>
    </row>
    <row r="1741" spans="1:14" s="16" customFormat="1" ht="31.5">
      <c r="A1741" s="14"/>
      <c r="B1741" s="148" t="s">
        <v>38</v>
      </c>
      <c r="C1741" s="109" t="s">
        <v>939</v>
      </c>
      <c r="D1741" s="108" t="s">
        <v>13</v>
      </c>
      <c r="E1741" s="108" t="s">
        <v>471</v>
      </c>
      <c r="F1741" s="108" t="s">
        <v>981</v>
      </c>
      <c r="G1741" s="108" t="s">
        <v>9</v>
      </c>
      <c r="H1741" s="126">
        <v>0</v>
      </c>
      <c r="I1741" s="126">
        <v>0</v>
      </c>
      <c r="J1741" s="108">
        <v>8510010020</v>
      </c>
      <c r="K1741" s="108" t="str">
        <f t="shared" si="94"/>
        <v>8510010020</v>
      </c>
      <c r="L1741" s="303" t="str">
        <f t="shared" si="95"/>
        <v>62403098510010020000</v>
      </c>
      <c r="M1741" s="132" t="str">
        <f>INDEX('реш СГД № 265'!$A:$N,MATCH('БА расх 2019-2020'!$L1741,'реш СГД № 265'!$N:$N,0),3)</f>
        <v>Расходы на выплаты по оплате труда работников органов местного самоуправления города Ставрополя</v>
      </c>
      <c r="N1741" s="17">
        <f t="shared" si="96"/>
        <v>1</v>
      </c>
    </row>
    <row r="1742" spans="1:14" s="16" customFormat="1" ht="31.5">
      <c r="A1742" s="14"/>
      <c r="B1742" s="125" t="s">
        <v>20</v>
      </c>
      <c r="C1742" s="109" t="s">
        <v>939</v>
      </c>
      <c r="D1742" s="108" t="s">
        <v>13</v>
      </c>
      <c r="E1742" s="108" t="s">
        <v>471</v>
      </c>
      <c r="F1742" s="108" t="s">
        <v>981</v>
      </c>
      <c r="G1742" s="108" t="s">
        <v>21</v>
      </c>
      <c r="H1742" s="126">
        <v>0</v>
      </c>
      <c r="I1742" s="126">
        <v>0</v>
      </c>
      <c r="J1742" s="108">
        <v>8510010020</v>
      </c>
      <c r="K1742" s="108" t="str">
        <f t="shared" si="94"/>
        <v>8510010020</v>
      </c>
      <c r="L1742" s="303" t="str">
        <f t="shared" si="95"/>
        <v>62403098510010020120</v>
      </c>
      <c r="M1742" s="132" t="str">
        <f>INDEX('реш СГД № 265'!$A:$N,MATCH('БА расх 2019-2020'!$L1742,'реш СГД № 265'!$N:$N,0),3)</f>
        <v>Расходы на выплаты персоналу государственных (муниципальных) органов</v>
      </c>
      <c r="N1742" s="17">
        <f t="shared" si="96"/>
        <v>1</v>
      </c>
    </row>
    <row r="1743" spans="1:14" s="23" customFormat="1" ht="31.5">
      <c r="A1743" s="21"/>
      <c r="B1743" s="127" t="s">
        <v>40</v>
      </c>
      <c r="C1743" s="109" t="s">
        <v>939</v>
      </c>
      <c r="D1743" s="108" t="s">
        <v>13</v>
      </c>
      <c r="E1743" s="108" t="s">
        <v>471</v>
      </c>
      <c r="F1743" s="108" t="s">
        <v>981</v>
      </c>
      <c r="G1743" s="108" t="s">
        <v>41</v>
      </c>
      <c r="H1743" s="126">
        <v>0</v>
      </c>
      <c r="I1743" s="126">
        <v>0</v>
      </c>
      <c r="J1743" s="108">
        <v>8510010020</v>
      </c>
      <c r="K1743" s="108" t="str">
        <f t="shared" si="94"/>
        <v>8510010020</v>
      </c>
      <c r="L1743" s="303" t="str">
        <f t="shared" si="95"/>
        <v>62403098510010020121</v>
      </c>
      <c r="M1743" s="132"/>
      <c r="N1743" s="17">
        <f t="shared" si="96"/>
        <v>0</v>
      </c>
    </row>
    <row r="1744" spans="1:14" s="23" customFormat="1" ht="63">
      <c r="A1744" s="21"/>
      <c r="B1744" s="127" t="s">
        <v>26</v>
      </c>
      <c r="C1744" s="109" t="s">
        <v>939</v>
      </c>
      <c r="D1744" s="108" t="s">
        <v>13</v>
      </c>
      <c r="E1744" s="108" t="s">
        <v>471</v>
      </c>
      <c r="F1744" s="108" t="s">
        <v>981</v>
      </c>
      <c r="G1744" s="108" t="s">
        <v>27</v>
      </c>
      <c r="H1744" s="126">
        <v>0</v>
      </c>
      <c r="I1744" s="126">
        <v>0</v>
      </c>
      <c r="J1744" s="108">
        <v>8510010020</v>
      </c>
      <c r="K1744" s="108" t="str">
        <f t="shared" si="94"/>
        <v>8510010020</v>
      </c>
      <c r="L1744" s="303" t="str">
        <f t="shared" si="95"/>
        <v>62403098510010020129</v>
      </c>
      <c r="M1744" s="132"/>
      <c r="N1744" s="17">
        <f t="shared" si="96"/>
        <v>0</v>
      </c>
    </row>
    <row r="1745" spans="1:14" s="16" customFormat="1" ht="15.75">
      <c r="A1745" s="14"/>
      <c r="B1745" s="125"/>
      <c r="C1745" s="109"/>
      <c r="D1745" s="108"/>
      <c r="E1745" s="108"/>
      <c r="F1745" s="108"/>
      <c r="G1745" s="108"/>
      <c r="H1745" s="126"/>
      <c r="I1745" s="126"/>
      <c r="J1745" s="108"/>
      <c r="K1745" s="108" t="str">
        <f t="shared" si="94"/>
        <v>0000000000</v>
      </c>
      <c r="L1745" s="303" t="str">
        <f t="shared" si="95"/>
        <v>0000000000</v>
      </c>
      <c r="M1745" s="132">
        <f>INDEX('реш СГД № 265'!$A:$N,MATCH('БА расх 2019-2020'!$L1745,'реш СГД № 265'!$N:$N,0),3)</f>
        <v>0</v>
      </c>
      <c r="N1745" s="17">
        <f t="shared" si="96"/>
        <v>1</v>
      </c>
    </row>
    <row r="1746" spans="1:14" s="16" customFormat="1" ht="15.75">
      <c r="A1746" s="14"/>
      <c r="B1746" s="67" t="s">
        <v>982</v>
      </c>
      <c r="C1746" s="116" t="s">
        <v>983</v>
      </c>
      <c r="D1746" s="69" t="s">
        <v>7</v>
      </c>
      <c r="E1746" s="69" t="s">
        <v>7</v>
      </c>
      <c r="F1746" s="69" t="s">
        <v>8</v>
      </c>
      <c r="G1746" s="69" t="s">
        <v>9</v>
      </c>
      <c r="H1746" s="70">
        <v>0</v>
      </c>
      <c r="I1746" s="70">
        <v>0</v>
      </c>
      <c r="J1746" s="69">
        <v>0</v>
      </c>
      <c r="K1746" s="108" t="str">
        <f t="shared" si="94"/>
        <v>0000000000</v>
      </c>
      <c r="L1746" s="303" t="str">
        <f t="shared" si="95"/>
        <v>64300000000000000000</v>
      </c>
      <c r="M1746" s="132" t="str">
        <f>INDEX('реш СГД № 265'!$A:$N,MATCH('БА расх 2019-2020'!$L1746,'реш СГД № 265'!$N:$N,0),3)</f>
        <v>Контрольно-счетная палата города Ставрополя</v>
      </c>
      <c r="N1746" s="17">
        <f t="shared" si="96"/>
        <v>1</v>
      </c>
    </row>
    <row r="1747" spans="1:14" s="16" customFormat="1" ht="15.75">
      <c r="A1747" s="14"/>
      <c r="B1747" s="117" t="s">
        <v>10</v>
      </c>
      <c r="C1747" s="118" t="s">
        <v>983</v>
      </c>
      <c r="D1747" s="119" t="s">
        <v>11</v>
      </c>
      <c r="E1747" s="119" t="s">
        <v>7</v>
      </c>
      <c r="F1747" s="119" t="s">
        <v>8</v>
      </c>
      <c r="G1747" s="119" t="s">
        <v>9</v>
      </c>
      <c r="H1747" s="120">
        <v>0</v>
      </c>
      <c r="I1747" s="120">
        <v>0</v>
      </c>
      <c r="J1747" s="119">
        <v>0</v>
      </c>
      <c r="K1747" s="108" t="str">
        <f t="shared" si="94"/>
        <v>0000000000</v>
      </c>
      <c r="L1747" s="303" t="str">
        <f t="shared" si="95"/>
        <v>64301000000000000000</v>
      </c>
      <c r="M1747" s="132" t="str">
        <f>INDEX('реш СГД № 265'!$A:$N,MATCH('БА расх 2019-2020'!$L1747,'реш СГД № 265'!$N:$N,0),3)</f>
        <v>Общегосударственные вопросы</v>
      </c>
      <c r="N1747" s="17">
        <f t="shared" si="96"/>
        <v>1</v>
      </c>
    </row>
    <row r="1748" spans="1:14" s="16" customFormat="1" ht="47.25">
      <c r="A1748" s="14"/>
      <c r="B1748" s="121" t="s">
        <v>333</v>
      </c>
      <c r="C1748" s="122" t="s">
        <v>983</v>
      </c>
      <c r="D1748" s="123" t="s">
        <v>11</v>
      </c>
      <c r="E1748" s="123" t="s">
        <v>334</v>
      </c>
      <c r="F1748" s="123" t="s">
        <v>8</v>
      </c>
      <c r="G1748" s="123" t="s">
        <v>9</v>
      </c>
      <c r="H1748" s="124">
        <v>0</v>
      </c>
      <c r="I1748" s="124">
        <v>0</v>
      </c>
      <c r="J1748" s="123">
        <v>0</v>
      </c>
      <c r="K1748" s="108" t="str">
        <f t="shared" si="94"/>
        <v>0000000000</v>
      </c>
      <c r="L1748" s="303" t="str">
        <f t="shared" si="95"/>
        <v>64301060000000000000</v>
      </c>
      <c r="M1748" s="132" t="str">
        <f>INDEX('реш СГД № 265'!$A:$N,MATCH('БА расх 2019-2020'!$L1748,'реш СГД № 265'!$N:$N,0),3)</f>
        <v>Обеспечение деятельности финансовых, налоговых и таможенных органов и органов финансового (финансово-бюджетного) надзора</v>
      </c>
      <c r="N1748" s="17">
        <f t="shared" si="96"/>
        <v>1</v>
      </c>
    </row>
    <row r="1749" spans="1:14" s="16" customFormat="1" ht="31.5">
      <c r="A1749" s="14"/>
      <c r="B1749" s="129" t="s">
        <v>984</v>
      </c>
      <c r="C1749" s="109" t="s">
        <v>983</v>
      </c>
      <c r="D1749" s="108" t="s">
        <v>11</v>
      </c>
      <c r="E1749" s="108" t="s">
        <v>334</v>
      </c>
      <c r="F1749" s="108" t="s">
        <v>985</v>
      </c>
      <c r="G1749" s="108" t="s">
        <v>9</v>
      </c>
      <c r="H1749" s="126">
        <v>0</v>
      </c>
      <c r="I1749" s="126">
        <v>0</v>
      </c>
      <c r="J1749" s="108">
        <v>8600000000</v>
      </c>
      <c r="K1749" s="108" t="str">
        <f t="shared" si="94"/>
        <v>8600000000</v>
      </c>
      <c r="L1749" s="303" t="str">
        <f t="shared" si="95"/>
        <v>64301068600000000000</v>
      </c>
      <c r="M1749" s="132" t="str">
        <f>INDEX('реш СГД № 265'!$A:$N,MATCH('БА расх 2019-2020'!$L1749,'реш СГД № 265'!$N:$N,0),3)</f>
        <v>Обеспечение деятельности контрольно-счетной
палаты города Ставрополя</v>
      </c>
      <c r="N1749" s="17">
        <f t="shared" si="96"/>
        <v>1</v>
      </c>
    </row>
    <row r="1750" spans="1:14" s="16" customFormat="1" ht="47.25">
      <c r="A1750" s="14"/>
      <c r="B1750" s="129" t="s">
        <v>986</v>
      </c>
      <c r="C1750" s="109" t="s">
        <v>983</v>
      </c>
      <c r="D1750" s="108" t="s">
        <v>11</v>
      </c>
      <c r="E1750" s="108" t="s">
        <v>334</v>
      </c>
      <c r="F1750" s="108" t="s">
        <v>987</v>
      </c>
      <c r="G1750" s="108" t="s">
        <v>9</v>
      </c>
      <c r="H1750" s="126">
        <v>0</v>
      </c>
      <c r="I1750" s="126">
        <v>0</v>
      </c>
      <c r="J1750" s="108">
        <v>8610000000</v>
      </c>
      <c r="K1750" s="108" t="str">
        <f t="shared" si="94"/>
        <v>8610000000</v>
      </c>
      <c r="L1750" s="303" t="str">
        <f t="shared" si="95"/>
        <v>64301068610000000000</v>
      </c>
      <c r="M1750" s="132" t="str">
        <f>INDEX('реш СГД № 265'!$A:$N,MATCH('БА расх 2019-2020'!$L1750,'реш СГД № 265'!$N:$N,0),3)</f>
        <v>Непрограммные расходы в рамках обеспечения деятельности контрольно-счетной палаты города Ставрополя</v>
      </c>
      <c r="N1750" s="17">
        <f t="shared" si="96"/>
        <v>1</v>
      </c>
    </row>
    <row r="1751" spans="1:14" s="16" customFormat="1" ht="31.5">
      <c r="A1751" s="14"/>
      <c r="B1751" s="125" t="s">
        <v>18</v>
      </c>
      <c r="C1751" s="109" t="s">
        <v>983</v>
      </c>
      <c r="D1751" s="108" t="s">
        <v>11</v>
      </c>
      <c r="E1751" s="108" t="s">
        <v>334</v>
      </c>
      <c r="F1751" s="108" t="s">
        <v>988</v>
      </c>
      <c r="G1751" s="108" t="s">
        <v>9</v>
      </c>
      <c r="H1751" s="126">
        <v>0</v>
      </c>
      <c r="I1751" s="126">
        <v>0</v>
      </c>
      <c r="J1751" s="108">
        <v>8610010010</v>
      </c>
      <c r="K1751" s="108" t="str">
        <f t="shared" si="94"/>
        <v>8610010010</v>
      </c>
      <c r="L1751" s="303" t="str">
        <f t="shared" si="95"/>
        <v>64301068610010010000</v>
      </c>
      <c r="M1751" s="132" t="str">
        <f>INDEX('реш СГД № 265'!$A:$N,MATCH('БА расх 2019-2020'!$L1751,'реш СГД № 265'!$N:$N,0),3)</f>
        <v>Расходы на обеспечение функций органов местного самоуправления города Ставрополя</v>
      </c>
      <c r="N1751" s="17">
        <f t="shared" si="96"/>
        <v>1</v>
      </c>
    </row>
    <row r="1752" spans="1:14" s="16" customFormat="1" ht="31.5">
      <c r="A1752" s="14"/>
      <c r="B1752" s="127" t="s">
        <v>20</v>
      </c>
      <c r="C1752" s="109" t="s">
        <v>983</v>
      </c>
      <c r="D1752" s="108" t="s">
        <v>11</v>
      </c>
      <c r="E1752" s="108" t="s">
        <v>334</v>
      </c>
      <c r="F1752" s="108" t="s">
        <v>988</v>
      </c>
      <c r="G1752" s="108" t="s">
        <v>21</v>
      </c>
      <c r="H1752" s="126">
        <v>0</v>
      </c>
      <c r="I1752" s="126">
        <v>0</v>
      </c>
      <c r="J1752" s="108">
        <v>8610010010</v>
      </c>
      <c r="K1752" s="108" t="str">
        <f t="shared" si="94"/>
        <v>8610010010</v>
      </c>
      <c r="L1752" s="303" t="str">
        <f t="shared" si="95"/>
        <v>64301068610010010120</v>
      </c>
      <c r="M1752" s="132" t="str">
        <f>INDEX('реш СГД № 265'!$A:$N,MATCH('БА расх 2019-2020'!$L1752,'реш СГД № 265'!$N:$N,0),3)</f>
        <v>Расходы на выплаты персоналу государственных (муниципальных) органов</v>
      </c>
      <c r="N1752" s="17">
        <f t="shared" si="96"/>
        <v>1</v>
      </c>
    </row>
    <row r="1753" spans="1:14" s="23" customFormat="1" ht="47.25">
      <c r="A1753" s="21"/>
      <c r="B1753" s="127" t="s">
        <v>22</v>
      </c>
      <c r="C1753" s="109" t="s">
        <v>983</v>
      </c>
      <c r="D1753" s="108" t="s">
        <v>11</v>
      </c>
      <c r="E1753" s="108" t="s">
        <v>334</v>
      </c>
      <c r="F1753" s="108" t="s">
        <v>988</v>
      </c>
      <c r="G1753" s="108">
        <v>122</v>
      </c>
      <c r="H1753" s="126">
        <v>0</v>
      </c>
      <c r="I1753" s="126">
        <v>0</v>
      </c>
      <c r="J1753" s="108">
        <v>8610010010</v>
      </c>
      <c r="K1753" s="108" t="str">
        <f t="shared" si="94"/>
        <v>8610010010</v>
      </c>
      <c r="L1753" s="303" t="str">
        <f t="shared" si="95"/>
        <v>64301068610010010122</v>
      </c>
      <c r="M1753" s="132"/>
      <c r="N1753" s="17">
        <f t="shared" si="96"/>
        <v>0</v>
      </c>
    </row>
    <row r="1754" spans="1:14" s="23" customFormat="1" ht="63">
      <c r="A1754" s="21"/>
      <c r="B1754" s="127" t="s">
        <v>26</v>
      </c>
      <c r="C1754" s="109" t="s">
        <v>983</v>
      </c>
      <c r="D1754" s="108" t="s">
        <v>11</v>
      </c>
      <c r="E1754" s="108" t="s">
        <v>334</v>
      </c>
      <c r="F1754" s="108" t="s">
        <v>988</v>
      </c>
      <c r="G1754" s="108" t="s">
        <v>27</v>
      </c>
      <c r="H1754" s="126">
        <v>0</v>
      </c>
      <c r="I1754" s="126">
        <v>0</v>
      </c>
      <c r="J1754" s="108">
        <v>8610010010</v>
      </c>
      <c r="K1754" s="108" t="str">
        <f t="shared" si="94"/>
        <v>8610010010</v>
      </c>
      <c r="L1754" s="303" t="str">
        <f t="shared" si="95"/>
        <v>64301068610010010129</v>
      </c>
      <c r="M1754" s="132"/>
      <c r="N1754" s="17">
        <f t="shared" si="96"/>
        <v>0</v>
      </c>
    </row>
    <row r="1755" spans="1:14" s="16" customFormat="1" ht="31.5">
      <c r="A1755" s="14"/>
      <c r="B1755" s="125" t="s">
        <v>28</v>
      </c>
      <c r="C1755" s="109" t="s">
        <v>983</v>
      </c>
      <c r="D1755" s="108" t="s">
        <v>11</v>
      </c>
      <c r="E1755" s="108" t="s">
        <v>334</v>
      </c>
      <c r="F1755" s="108" t="s">
        <v>988</v>
      </c>
      <c r="G1755" s="108" t="s">
        <v>29</v>
      </c>
      <c r="H1755" s="126">
        <v>0</v>
      </c>
      <c r="I1755" s="126">
        <v>0</v>
      </c>
      <c r="J1755" s="108">
        <v>8610010010</v>
      </c>
      <c r="K1755" s="108" t="str">
        <f t="shared" si="94"/>
        <v>8610010010</v>
      </c>
      <c r="L1755" s="303" t="str">
        <f t="shared" si="95"/>
        <v>64301068610010010240</v>
      </c>
      <c r="M1755" s="132" t="str">
        <f>INDEX('реш СГД № 265'!$A:$N,MATCH('БА расх 2019-2020'!$L1755,'реш СГД № 265'!$N:$N,0),3)</f>
        <v>Иные закупки товаров, работ и услуг для обеспечения государственных (муниципальных) нужд</v>
      </c>
      <c r="N1755" s="17">
        <f t="shared" si="96"/>
        <v>1</v>
      </c>
    </row>
    <row r="1756" spans="1:14" s="16" customFormat="1" ht="15.75">
      <c r="A1756" s="14"/>
      <c r="B1756" s="125" t="s">
        <v>30</v>
      </c>
      <c r="C1756" s="109" t="s">
        <v>983</v>
      </c>
      <c r="D1756" s="108" t="s">
        <v>11</v>
      </c>
      <c r="E1756" s="108" t="s">
        <v>334</v>
      </c>
      <c r="F1756" s="108" t="s">
        <v>988</v>
      </c>
      <c r="G1756" s="108" t="s">
        <v>31</v>
      </c>
      <c r="H1756" s="126">
        <v>0</v>
      </c>
      <c r="I1756" s="126">
        <v>0</v>
      </c>
      <c r="J1756" s="108">
        <v>8610010010</v>
      </c>
      <c r="K1756" s="108" t="str">
        <f t="shared" si="94"/>
        <v>8610010010</v>
      </c>
      <c r="L1756" s="303" t="str">
        <f t="shared" si="95"/>
        <v>64301068610010010244</v>
      </c>
      <c r="M1756" s="132"/>
      <c r="N1756" s="17">
        <f t="shared" si="96"/>
        <v>0</v>
      </c>
    </row>
    <row r="1757" spans="1:14" s="16" customFormat="1" ht="15.75">
      <c r="A1757" s="14"/>
      <c r="B1757" s="125" t="s">
        <v>32</v>
      </c>
      <c r="C1757" s="109" t="s">
        <v>983</v>
      </c>
      <c r="D1757" s="108" t="s">
        <v>11</v>
      </c>
      <c r="E1757" s="108" t="s">
        <v>334</v>
      </c>
      <c r="F1757" s="108" t="s">
        <v>988</v>
      </c>
      <c r="G1757" s="108" t="s">
        <v>33</v>
      </c>
      <c r="H1757" s="126">
        <v>0</v>
      </c>
      <c r="I1757" s="126">
        <v>0</v>
      </c>
      <c r="J1757" s="108">
        <v>8610010010</v>
      </c>
      <c r="K1757" s="108" t="str">
        <f t="shared" si="94"/>
        <v>8610010010</v>
      </c>
      <c r="L1757" s="303" t="str">
        <f t="shared" si="95"/>
        <v>64301068610010010850</v>
      </c>
      <c r="M1757" s="132" t="str">
        <f>INDEX('реш СГД № 265'!$A:$N,MATCH('БА расх 2019-2020'!$L1757,'реш СГД № 265'!$N:$N,0),3)</f>
        <v>Уплата налогов, сборов и иных платежей</v>
      </c>
      <c r="N1757" s="17">
        <f t="shared" si="96"/>
        <v>1</v>
      </c>
    </row>
    <row r="1758" spans="1:14" s="23" customFormat="1" ht="31.5">
      <c r="A1758" s="21"/>
      <c r="B1758" s="127" t="s">
        <v>34</v>
      </c>
      <c r="C1758" s="109" t="s">
        <v>983</v>
      </c>
      <c r="D1758" s="108" t="s">
        <v>11</v>
      </c>
      <c r="E1758" s="108" t="s">
        <v>334</v>
      </c>
      <c r="F1758" s="108" t="s">
        <v>988</v>
      </c>
      <c r="G1758" s="108" t="s">
        <v>35</v>
      </c>
      <c r="H1758" s="126">
        <v>0</v>
      </c>
      <c r="I1758" s="126">
        <v>0</v>
      </c>
      <c r="J1758" s="108">
        <v>8610010010</v>
      </c>
      <c r="K1758" s="108" t="str">
        <f t="shared" si="94"/>
        <v>8610010010</v>
      </c>
      <c r="L1758" s="303" t="str">
        <f t="shared" si="95"/>
        <v>64301068610010010851</v>
      </c>
      <c r="M1758" s="132"/>
      <c r="N1758" s="17">
        <f t="shared" si="96"/>
        <v>0</v>
      </c>
    </row>
    <row r="1759" spans="1:14" s="23" customFormat="1" ht="15.75">
      <c r="A1759" s="21"/>
      <c r="B1759" s="127" t="s">
        <v>36</v>
      </c>
      <c r="C1759" s="109" t="s">
        <v>983</v>
      </c>
      <c r="D1759" s="108" t="s">
        <v>11</v>
      </c>
      <c r="E1759" s="108" t="s">
        <v>334</v>
      </c>
      <c r="F1759" s="108" t="s">
        <v>988</v>
      </c>
      <c r="G1759" s="108" t="s">
        <v>37</v>
      </c>
      <c r="H1759" s="126">
        <v>0</v>
      </c>
      <c r="I1759" s="126">
        <v>0</v>
      </c>
      <c r="J1759" s="108">
        <v>8610010010</v>
      </c>
      <c r="K1759" s="108" t="str">
        <f t="shared" si="94"/>
        <v>8610010010</v>
      </c>
      <c r="L1759" s="303" t="str">
        <f t="shared" si="95"/>
        <v>64301068610010010852</v>
      </c>
      <c r="M1759" s="132"/>
      <c r="N1759" s="17">
        <f t="shared" si="96"/>
        <v>0</v>
      </c>
    </row>
    <row r="1760" spans="1:14" s="23" customFormat="1" ht="15.75">
      <c r="A1760" s="21"/>
      <c r="B1760" s="127" t="s">
        <v>77</v>
      </c>
      <c r="C1760" s="109" t="s">
        <v>983</v>
      </c>
      <c r="D1760" s="108" t="s">
        <v>11</v>
      </c>
      <c r="E1760" s="108" t="s">
        <v>334</v>
      </c>
      <c r="F1760" s="108" t="s">
        <v>988</v>
      </c>
      <c r="G1760" s="108" t="s">
        <v>78</v>
      </c>
      <c r="H1760" s="126">
        <v>0</v>
      </c>
      <c r="I1760" s="126">
        <v>0</v>
      </c>
      <c r="J1760" s="108">
        <v>8610010010</v>
      </c>
      <c r="K1760" s="108" t="str">
        <f t="shared" si="94"/>
        <v>8610010010</v>
      </c>
      <c r="L1760" s="303" t="str">
        <f t="shared" si="95"/>
        <v>64301068610010010853</v>
      </c>
      <c r="M1760" s="132"/>
      <c r="N1760" s="17">
        <f t="shared" si="96"/>
        <v>0</v>
      </c>
    </row>
    <row r="1761" spans="1:14" s="16" customFormat="1" ht="31.5">
      <c r="A1761" s="14"/>
      <c r="B1761" s="127" t="s">
        <v>38</v>
      </c>
      <c r="C1761" s="109" t="s">
        <v>983</v>
      </c>
      <c r="D1761" s="108" t="s">
        <v>11</v>
      </c>
      <c r="E1761" s="108" t="s">
        <v>334</v>
      </c>
      <c r="F1761" s="108" t="s">
        <v>989</v>
      </c>
      <c r="G1761" s="108" t="s">
        <v>9</v>
      </c>
      <c r="H1761" s="126">
        <v>0</v>
      </c>
      <c r="I1761" s="126">
        <v>0</v>
      </c>
      <c r="J1761" s="108">
        <v>8610010020</v>
      </c>
      <c r="K1761" s="108" t="str">
        <f t="shared" si="94"/>
        <v>8610010020</v>
      </c>
      <c r="L1761" s="303" t="str">
        <f t="shared" si="95"/>
        <v>64301068610010020000</v>
      </c>
      <c r="M1761" s="132" t="str">
        <f>INDEX('реш СГД № 265'!$A:$N,MATCH('БА расх 2019-2020'!$L1761,'реш СГД № 265'!$N:$N,0),3)</f>
        <v>Расходы на выплаты по оплате труда работников органов местного самоуправления города Ставрополя</v>
      </c>
      <c r="N1761" s="17">
        <f t="shared" si="96"/>
        <v>1</v>
      </c>
    </row>
    <row r="1762" spans="1:14" s="16" customFormat="1" ht="31.5">
      <c r="A1762" s="14"/>
      <c r="B1762" s="127" t="s">
        <v>20</v>
      </c>
      <c r="C1762" s="109" t="s">
        <v>983</v>
      </c>
      <c r="D1762" s="108" t="s">
        <v>11</v>
      </c>
      <c r="E1762" s="108" t="s">
        <v>334</v>
      </c>
      <c r="F1762" s="108" t="s">
        <v>989</v>
      </c>
      <c r="G1762" s="108" t="s">
        <v>21</v>
      </c>
      <c r="H1762" s="126">
        <v>0</v>
      </c>
      <c r="I1762" s="126">
        <v>0</v>
      </c>
      <c r="J1762" s="108">
        <v>8610010020</v>
      </c>
      <c r="K1762" s="108" t="str">
        <f t="shared" si="94"/>
        <v>8610010020</v>
      </c>
      <c r="L1762" s="303" t="str">
        <f t="shared" si="95"/>
        <v>64301068610010020120</v>
      </c>
      <c r="M1762" s="132" t="str">
        <f>INDEX('реш СГД № 265'!$A:$N,MATCH('БА расх 2019-2020'!$L1762,'реш СГД № 265'!$N:$N,0),3)</f>
        <v>Расходы на выплаты персоналу государственных (муниципальных) органов</v>
      </c>
      <c r="N1762" s="17">
        <f t="shared" si="96"/>
        <v>1</v>
      </c>
    </row>
    <row r="1763" spans="1:14" s="23" customFormat="1" ht="31.5">
      <c r="A1763" s="21"/>
      <c r="B1763" s="127" t="s">
        <v>40</v>
      </c>
      <c r="C1763" s="109" t="s">
        <v>983</v>
      </c>
      <c r="D1763" s="108" t="s">
        <v>11</v>
      </c>
      <c r="E1763" s="108" t="s">
        <v>334</v>
      </c>
      <c r="F1763" s="108" t="s">
        <v>989</v>
      </c>
      <c r="G1763" s="108" t="s">
        <v>41</v>
      </c>
      <c r="H1763" s="126">
        <v>0</v>
      </c>
      <c r="I1763" s="126">
        <v>0</v>
      </c>
      <c r="J1763" s="108">
        <v>8610010020</v>
      </c>
      <c r="K1763" s="108" t="str">
        <f t="shared" si="94"/>
        <v>8610010020</v>
      </c>
      <c r="L1763" s="303" t="str">
        <f t="shared" si="95"/>
        <v>64301068610010020121</v>
      </c>
      <c r="M1763" s="132"/>
      <c r="N1763" s="17">
        <f t="shared" si="96"/>
        <v>0</v>
      </c>
    </row>
    <row r="1764" spans="1:14" s="23" customFormat="1" ht="63">
      <c r="A1764" s="21"/>
      <c r="B1764" s="127" t="s">
        <v>26</v>
      </c>
      <c r="C1764" s="109" t="s">
        <v>983</v>
      </c>
      <c r="D1764" s="108" t="s">
        <v>11</v>
      </c>
      <c r="E1764" s="108" t="s">
        <v>334</v>
      </c>
      <c r="F1764" s="108" t="s">
        <v>989</v>
      </c>
      <c r="G1764" s="108" t="s">
        <v>27</v>
      </c>
      <c r="H1764" s="126">
        <v>0</v>
      </c>
      <c r="I1764" s="126">
        <v>0</v>
      </c>
      <c r="J1764" s="108">
        <v>8610010020</v>
      </c>
      <c r="K1764" s="108" t="str">
        <f t="shared" ref="K1764:K1827" si="97">TEXT(J1764,"0000000000")</f>
        <v>8610010020</v>
      </c>
      <c r="L1764" s="303" t="str">
        <f t="shared" si="95"/>
        <v>64301068610010020129</v>
      </c>
      <c r="M1764" s="132"/>
      <c r="N1764" s="17">
        <f t="shared" si="96"/>
        <v>0</v>
      </c>
    </row>
    <row r="1765" spans="1:14" s="16" customFormat="1" ht="15.75">
      <c r="A1765" s="14"/>
      <c r="B1765" s="129"/>
      <c r="C1765" s="109"/>
      <c r="D1765" s="108"/>
      <c r="E1765" s="108"/>
      <c r="F1765" s="108"/>
      <c r="G1765" s="108"/>
      <c r="H1765" s="126"/>
      <c r="I1765" s="126"/>
      <c r="J1765" s="108"/>
      <c r="K1765" s="108" t="str">
        <f t="shared" si="97"/>
        <v>0000000000</v>
      </c>
      <c r="L1765" s="303" t="str">
        <f t="shared" ref="L1765:L1828" si="98">C1765&amp;D1765&amp;E1765&amp;K1765&amp;G1765</f>
        <v>0000000000</v>
      </c>
      <c r="M1765" s="132">
        <f>INDEX('реш СГД № 265'!$A:$N,MATCH('БА расх 2019-2020'!$L1765,'реш СГД № 265'!$N:$N,0),3)</f>
        <v>0</v>
      </c>
      <c r="N1765" s="17"/>
    </row>
    <row r="1766" spans="1:14" ht="15.75">
      <c r="B1766" s="67" t="s">
        <v>990</v>
      </c>
      <c r="C1766" s="68"/>
      <c r="D1766" s="69"/>
      <c r="E1766" s="69"/>
      <c r="F1766" s="69"/>
      <c r="G1766" s="69"/>
      <c r="H1766" s="70">
        <v>0</v>
      </c>
      <c r="I1766" s="70">
        <v>0</v>
      </c>
      <c r="J1766" s="69"/>
      <c r="K1766" s="108" t="str">
        <f t="shared" si="97"/>
        <v>0000000000</v>
      </c>
      <c r="L1766" s="303" t="str">
        <f t="shared" si="98"/>
        <v>0000000000</v>
      </c>
      <c r="M1766" s="132">
        <f>INDEX('реш СГД № 265'!$A:$N,MATCH('БА расх 2019-2020'!$L1766,'реш СГД № 265'!$N:$N,0),3)</f>
        <v>0</v>
      </c>
    </row>
    <row r="1767" spans="1:14" ht="15.75">
      <c r="B1767" s="67"/>
      <c r="C1767" s="68"/>
      <c r="D1767" s="69"/>
      <c r="E1767" s="69"/>
      <c r="F1767" s="69"/>
      <c r="G1767" s="69"/>
      <c r="H1767" s="70">
        <v>0</v>
      </c>
      <c r="I1767" s="70">
        <v>0</v>
      </c>
      <c r="J1767" s="69"/>
      <c r="K1767" s="108" t="str">
        <f t="shared" si="97"/>
        <v>0000000000</v>
      </c>
      <c r="L1767" s="303" t="str">
        <f t="shared" si="98"/>
        <v>0000000000</v>
      </c>
      <c r="M1767" s="132">
        <f>INDEX('реш СГД № 265'!$A:$N,MATCH('БА расх 2019-2020'!$L1767,'реш СГД № 265'!$N:$N,0),3)</f>
        <v>0</v>
      </c>
    </row>
    <row r="1768" spans="1:14" ht="15.75">
      <c r="B1768" s="93"/>
      <c r="C1768" s="94"/>
      <c r="D1768" s="90"/>
      <c r="E1768" s="90"/>
      <c r="F1768" s="90"/>
      <c r="G1768" s="90"/>
      <c r="H1768" s="77">
        <v>0</v>
      </c>
      <c r="I1768" s="77">
        <v>0</v>
      </c>
      <c r="J1768" s="90"/>
      <c r="K1768" s="108" t="str">
        <f t="shared" si="97"/>
        <v>0000000000</v>
      </c>
      <c r="L1768" s="303" t="str">
        <f t="shared" si="98"/>
        <v>0000000000</v>
      </c>
      <c r="M1768" s="132">
        <f>INDEX('реш СГД № 265'!$A:$N,MATCH('БА расх 2019-2020'!$L1768,'реш СГД № 265'!$N:$N,0),3)</f>
        <v>0</v>
      </c>
    </row>
    <row r="1769" spans="1:14" ht="15.75">
      <c r="B1769" s="93"/>
      <c r="C1769" s="94"/>
      <c r="D1769" s="90"/>
      <c r="E1769" s="90"/>
      <c r="F1769" s="90"/>
      <c r="G1769" s="90"/>
      <c r="H1769" s="77"/>
      <c r="I1769" s="77"/>
      <c r="J1769" s="90"/>
      <c r="K1769" s="108" t="str">
        <f t="shared" si="97"/>
        <v>0000000000</v>
      </c>
      <c r="L1769" s="303" t="str">
        <f t="shared" si="98"/>
        <v>0000000000</v>
      </c>
      <c r="M1769" s="132">
        <f>INDEX('реш СГД № 265'!$A:$N,MATCH('БА расх 2019-2020'!$L1769,'реш СГД № 265'!$N:$N,0),3)</f>
        <v>0</v>
      </c>
    </row>
    <row r="1770" spans="1:14" s="81" customFormat="1" ht="15.75">
      <c r="A1770" s="78"/>
      <c r="B1770" s="95"/>
      <c r="C1770" s="83"/>
      <c r="D1770" s="79"/>
      <c r="E1770" s="79"/>
      <c r="F1770" s="79"/>
      <c r="G1770" s="79"/>
      <c r="H1770" s="80"/>
      <c r="I1770" s="80"/>
      <c r="J1770" s="79"/>
      <c r="K1770" s="108" t="str">
        <f t="shared" si="97"/>
        <v>0000000000</v>
      </c>
      <c r="L1770" s="303" t="str">
        <f t="shared" si="98"/>
        <v>0000000000</v>
      </c>
      <c r="M1770" s="132">
        <f>INDEX('реш СГД № 265'!$A:$N,MATCH('БА расх 2019-2020'!$L1770,'реш СГД № 265'!$N:$N,0),3)</f>
        <v>0</v>
      </c>
      <c r="N1770" s="301"/>
    </row>
    <row r="1771" spans="1:14" s="434" customFormat="1" ht="15.75">
      <c r="A1771" s="430"/>
      <c r="B1771" s="431"/>
      <c r="C1771" s="432"/>
      <c r="D1771" s="402"/>
      <c r="E1771" s="402"/>
      <c r="F1771" s="432"/>
      <c r="G1771" s="432"/>
      <c r="H1771" s="433"/>
      <c r="I1771" s="433"/>
      <c r="J1771" s="432"/>
      <c r="K1771" s="108" t="str">
        <f t="shared" si="97"/>
        <v>0000000000</v>
      </c>
      <c r="L1771" s="303" t="str">
        <f t="shared" si="98"/>
        <v>0000000000</v>
      </c>
      <c r="M1771" s="132">
        <f>INDEX('реш СГД № 265'!$A:$N,MATCH('БА расх 2019-2020'!$L1771,'реш СГД № 265'!$N:$N,0),3)</f>
        <v>0</v>
      </c>
      <c r="N1771" s="301"/>
    </row>
    <row r="1772" spans="1:14" s="81" customFormat="1" ht="15.75">
      <c r="A1772" s="78"/>
      <c r="B1772" s="95"/>
      <c r="C1772" s="83"/>
      <c r="D1772" s="79"/>
      <c r="E1772" s="79"/>
      <c r="F1772" s="79"/>
      <c r="G1772" s="79"/>
      <c r="H1772" s="80"/>
      <c r="I1772" s="80"/>
      <c r="J1772" s="79"/>
      <c r="K1772" s="108" t="str">
        <f t="shared" si="97"/>
        <v>0000000000</v>
      </c>
      <c r="L1772" s="303" t="str">
        <f t="shared" si="98"/>
        <v>0000000000</v>
      </c>
      <c r="M1772" s="132">
        <f>INDEX('реш СГД № 265'!$A:$N,MATCH('БА расх 2019-2020'!$L1772,'реш СГД № 265'!$N:$N,0),3)</f>
        <v>0</v>
      </c>
      <c r="N1772" s="301"/>
    </row>
    <row r="1773" spans="1:14" s="81" customFormat="1" ht="15.75">
      <c r="A1773" s="78"/>
      <c r="B1773" s="95"/>
      <c r="C1773" s="83"/>
      <c r="D1773" s="79"/>
      <c r="E1773" s="79"/>
      <c r="F1773" s="79"/>
      <c r="G1773" s="79"/>
      <c r="H1773" s="80"/>
      <c r="I1773" s="80"/>
      <c r="J1773" s="79"/>
      <c r="K1773" s="108" t="str">
        <f t="shared" si="97"/>
        <v>0000000000</v>
      </c>
      <c r="L1773" s="303" t="str">
        <f t="shared" si="98"/>
        <v>0000000000</v>
      </c>
      <c r="M1773" s="132">
        <f>INDEX('реш СГД № 265'!$A:$N,MATCH('БА расх 2019-2020'!$L1773,'реш СГД № 265'!$N:$N,0),3)</f>
        <v>0</v>
      </c>
      <c r="N1773" s="301"/>
    </row>
    <row r="1774" spans="1:14" s="81" customFormat="1" ht="15.75">
      <c r="A1774" s="78"/>
      <c r="B1774" s="95"/>
      <c r="C1774" s="83"/>
      <c r="D1774" s="79"/>
      <c r="E1774" s="79"/>
      <c r="F1774" s="79"/>
      <c r="G1774" s="79"/>
      <c r="H1774" s="80"/>
      <c r="I1774" s="80"/>
      <c r="J1774" s="79"/>
      <c r="K1774" s="108" t="str">
        <f t="shared" si="97"/>
        <v>0000000000</v>
      </c>
      <c r="L1774" s="303" t="str">
        <f t="shared" si="98"/>
        <v>0000000000</v>
      </c>
      <c r="M1774" s="132">
        <f>INDEX('реш СГД № 265'!$A:$N,MATCH('БА расх 2019-2020'!$L1774,'реш СГД № 265'!$N:$N,0),3)</f>
        <v>0</v>
      </c>
      <c r="N1774" s="301"/>
    </row>
    <row r="1775" spans="1:14" s="81" customFormat="1" ht="15.75">
      <c r="A1775" s="78"/>
      <c r="B1775" s="95"/>
      <c r="C1775" s="83"/>
      <c r="D1775" s="79"/>
      <c r="E1775" s="79"/>
      <c r="F1775" s="79"/>
      <c r="G1775" s="79"/>
      <c r="H1775" s="80"/>
      <c r="I1775" s="80"/>
      <c r="J1775" s="79"/>
      <c r="K1775" s="108" t="str">
        <f t="shared" si="97"/>
        <v>0000000000</v>
      </c>
      <c r="L1775" s="303" t="str">
        <f t="shared" si="98"/>
        <v>0000000000</v>
      </c>
      <c r="M1775" s="132">
        <f>INDEX('реш СГД № 265'!$A:$N,MATCH('БА расх 2019-2020'!$L1775,'реш СГД № 265'!$N:$N,0),3)</f>
        <v>0</v>
      </c>
      <c r="N1775" s="301"/>
    </row>
    <row r="1776" spans="1:14" s="81" customFormat="1" ht="15.75">
      <c r="A1776" s="78"/>
      <c r="B1776" s="95"/>
      <c r="C1776" s="83"/>
      <c r="D1776" s="79"/>
      <c r="E1776" s="79"/>
      <c r="F1776" s="79"/>
      <c r="G1776" s="79"/>
      <c r="H1776" s="80"/>
      <c r="I1776" s="80"/>
      <c r="J1776" s="79"/>
      <c r="K1776" s="108" t="str">
        <f t="shared" si="97"/>
        <v>0000000000</v>
      </c>
      <c r="L1776" s="303" t="str">
        <f t="shared" si="98"/>
        <v>0000000000</v>
      </c>
      <c r="M1776" s="132">
        <f>INDEX('реш СГД № 265'!$A:$N,MATCH('БА расх 2019-2020'!$L1776,'реш СГД № 265'!$N:$N,0),3)</f>
        <v>0</v>
      </c>
      <c r="N1776" s="301"/>
    </row>
    <row r="1777" spans="1:14" ht="15.75">
      <c r="B1777" s="93"/>
      <c r="C1777" s="94"/>
      <c r="D1777" s="90"/>
      <c r="E1777" s="90"/>
      <c r="F1777" s="90"/>
      <c r="G1777" s="90"/>
      <c r="H1777" s="77"/>
      <c r="I1777" s="77"/>
      <c r="J1777" s="90"/>
      <c r="K1777" s="108" t="str">
        <f t="shared" si="97"/>
        <v>0000000000</v>
      </c>
      <c r="L1777" s="303" t="str">
        <f t="shared" si="98"/>
        <v>0000000000</v>
      </c>
      <c r="M1777" s="132">
        <f>INDEX('реш СГД № 265'!$A:$N,MATCH('БА расх 2019-2020'!$L1777,'реш СГД № 265'!$N:$N,0),3)</f>
        <v>0</v>
      </c>
    </row>
    <row r="1778" spans="1:14" ht="15.75">
      <c r="B1778" s="93"/>
      <c r="C1778" s="94"/>
      <c r="D1778" s="90"/>
      <c r="E1778" s="90"/>
      <c r="F1778" s="90"/>
      <c r="G1778" s="90"/>
      <c r="H1778" s="77"/>
      <c r="I1778" s="77"/>
      <c r="J1778" s="90"/>
      <c r="K1778" s="108" t="str">
        <f t="shared" si="97"/>
        <v>0000000000</v>
      </c>
      <c r="L1778" s="303" t="str">
        <f t="shared" si="98"/>
        <v>0000000000</v>
      </c>
      <c r="M1778" s="132">
        <f>INDEX('реш СГД № 265'!$A:$N,MATCH('БА расх 2019-2020'!$L1778,'реш СГД № 265'!$N:$N,0),3)</f>
        <v>0</v>
      </c>
    </row>
    <row r="1779" spans="1:14" s="86" customFormat="1" ht="15.75">
      <c r="A1779" s="85"/>
      <c r="B1779" s="96"/>
      <c r="C1779" s="87"/>
      <c r="D1779" s="87"/>
      <c r="E1779" s="87"/>
      <c r="F1779" s="165"/>
      <c r="G1779" s="88"/>
      <c r="H1779" s="89"/>
      <c r="I1779" s="89"/>
      <c r="J1779" s="165"/>
      <c r="K1779" s="108" t="str">
        <f t="shared" si="97"/>
        <v>0000000000</v>
      </c>
      <c r="L1779" s="303" t="str">
        <f t="shared" si="98"/>
        <v>0000000000</v>
      </c>
      <c r="M1779" s="132">
        <f>INDEX('реш СГД № 265'!$A:$N,MATCH('БА расх 2019-2020'!$L1779,'реш СГД № 265'!$N:$N,0),3)</f>
        <v>0</v>
      </c>
      <c r="N1779" s="302"/>
    </row>
    <row r="1780" spans="1:14" ht="15.75">
      <c r="K1780" s="108" t="str">
        <f t="shared" si="97"/>
        <v>0000000000</v>
      </c>
      <c r="L1780" s="303" t="str">
        <f t="shared" si="98"/>
        <v>0000000000</v>
      </c>
      <c r="M1780" s="132">
        <f>INDEX('реш СГД № 265'!$A:$N,MATCH('БА расх 2019-2020'!$L1780,'реш СГД № 265'!$N:$N,0),3)</f>
        <v>0</v>
      </c>
    </row>
    <row r="1781" spans="1:14" ht="15.75">
      <c r="K1781" s="108" t="str">
        <f t="shared" si="97"/>
        <v>0000000000</v>
      </c>
      <c r="L1781" s="303" t="str">
        <f t="shared" si="98"/>
        <v>0000000000</v>
      </c>
      <c r="M1781" s="132">
        <f>INDEX('реш СГД № 265'!$A:$N,MATCH('БА расх 2019-2020'!$L1781,'реш СГД № 265'!$N:$N,0),3)</f>
        <v>0</v>
      </c>
    </row>
    <row r="1782" spans="1:14" ht="15.75">
      <c r="K1782" s="108" t="str">
        <f t="shared" si="97"/>
        <v>0000000000</v>
      </c>
      <c r="L1782" s="303" t="str">
        <f t="shared" si="98"/>
        <v>0000000000</v>
      </c>
      <c r="M1782" s="132">
        <f>INDEX('реш СГД № 265'!$A:$N,MATCH('БА расх 2019-2020'!$L1782,'реш СГД № 265'!$N:$N,0),3)</f>
        <v>0</v>
      </c>
    </row>
    <row r="1783" spans="1:14" ht="15.75">
      <c r="K1783" s="108" t="str">
        <f t="shared" si="97"/>
        <v>0000000000</v>
      </c>
      <c r="L1783" s="303" t="str">
        <f t="shared" si="98"/>
        <v>0000000000</v>
      </c>
      <c r="M1783" s="132">
        <f>INDEX('реш СГД № 265'!$A:$N,MATCH('БА расх 2019-2020'!$L1783,'реш СГД № 265'!$N:$N,0),3)</f>
        <v>0</v>
      </c>
    </row>
    <row r="1784" spans="1:14" ht="15.75">
      <c r="K1784" s="108" t="str">
        <f t="shared" si="97"/>
        <v>0000000000</v>
      </c>
      <c r="L1784" s="303" t="str">
        <f t="shared" si="98"/>
        <v>0000000000</v>
      </c>
      <c r="M1784" s="132">
        <f>INDEX('реш СГД № 265'!$A:$N,MATCH('БА расх 2019-2020'!$L1784,'реш СГД № 265'!$N:$N,0),3)</f>
        <v>0</v>
      </c>
    </row>
    <row r="1785" spans="1:14" ht="15.75">
      <c r="K1785" s="108" t="str">
        <f t="shared" si="97"/>
        <v>0000000000</v>
      </c>
      <c r="L1785" s="303" t="str">
        <f t="shared" si="98"/>
        <v>0000000000</v>
      </c>
      <c r="M1785" s="132">
        <f>INDEX('реш СГД № 265'!$A:$N,MATCH('БА расх 2019-2020'!$L1785,'реш СГД № 265'!$N:$N,0),3)</f>
        <v>0</v>
      </c>
    </row>
    <row r="1786" spans="1:14" ht="15.75">
      <c r="K1786" s="108" t="str">
        <f t="shared" si="97"/>
        <v>0000000000</v>
      </c>
      <c r="L1786" s="303" t="str">
        <f t="shared" si="98"/>
        <v>0000000000</v>
      </c>
      <c r="M1786" s="132">
        <f>INDEX('реш СГД № 265'!$A:$N,MATCH('БА расх 2019-2020'!$L1786,'реш СГД № 265'!$N:$N,0),3)</f>
        <v>0</v>
      </c>
    </row>
    <row r="1787" spans="1:14" ht="15.75">
      <c r="K1787" s="108" t="str">
        <f t="shared" si="97"/>
        <v>0000000000</v>
      </c>
      <c r="L1787" s="303" t="str">
        <f t="shared" si="98"/>
        <v>0000000000</v>
      </c>
      <c r="M1787" s="132">
        <f>INDEX('реш СГД № 265'!$A:$N,MATCH('БА расх 2019-2020'!$L1787,'реш СГД № 265'!$N:$N,0),3)</f>
        <v>0</v>
      </c>
    </row>
    <row r="1788" spans="1:14" ht="15.75">
      <c r="K1788" s="108" t="str">
        <f t="shared" si="97"/>
        <v>0000000000</v>
      </c>
      <c r="L1788" s="303" t="str">
        <f t="shared" si="98"/>
        <v>0000000000</v>
      </c>
      <c r="M1788" s="132">
        <f>INDEX('реш СГД № 265'!$A:$N,MATCH('БА расх 2019-2020'!$L1788,'реш СГД № 265'!$N:$N,0),3)</f>
        <v>0</v>
      </c>
    </row>
    <row r="1789" spans="1:14" ht="15.75">
      <c r="K1789" s="108" t="str">
        <f t="shared" si="97"/>
        <v>0000000000</v>
      </c>
      <c r="L1789" s="303" t="str">
        <f t="shared" si="98"/>
        <v>0000000000</v>
      </c>
      <c r="M1789" s="132">
        <f>INDEX('реш СГД № 265'!$A:$N,MATCH('БА расх 2019-2020'!$L1789,'реш СГД № 265'!$N:$N,0),3)</f>
        <v>0</v>
      </c>
    </row>
    <row r="1790" spans="1:14" ht="15.75">
      <c r="K1790" s="108" t="str">
        <f t="shared" si="97"/>
        <v>0000000000</v>
      </c>
      <c r="L1790" s="303" t="str">
        <f t="shared" si="98"/>
        <v>0000000000</v>
      </c>
      <c r="M1790" s="132">
        <f>INDEX('реш СГД № 265'!$A:$N,MATCH('БА расх 2019-2020'!$L1790,'реш СГД № 265'!$N:$N,0),3)</f>
        <v>0</v>
      </c>
    </row>
    <row r="1791" spans="1:14" ht="15.75">
      <c r="K1791" s="108" t="str">
        <f t="shared" si="97"/>
        <v>0000000000</v>
      </c>
      <c r="L1791" s="303" t="str">
        <f t="shared" si="98"/>
        <v>0000000000</v>
      </c>
      <c r="M1791" s="132">
        <f>INDEX('реш СГД № 265'!$A:$N,MATCH('БА расх 2019-2020'!$L1791,'реш СГД № 265'!$N:$N,0),3)</f>
        <v>0</v>
      </c>
    </row>
    <row r="1792" spans="1:14" ht="15.75">
      <c r="K1792" s="108" t="str">
        <f t="shared" si="97"/>
        <v>0000000000</v>
      </c>
      <c r="L1792" s="303" t="str">
        <f t="shared" si="98"/>
        <v>0000000000</v>
      </c>
      <c r="M1792" s="132">
        <f>INDEX('реш СГД № 265'!$A:$N,MATCH('БА расх 2019-2020'!$L1792,'реш СГД № 265'!$N:$N,0),3)</f>
        <v>0</v>
      </c>
    </row>
    <row r="1793" spans="11:13" ht="15.75">
      <c r="K1793" s="108" t="str">
        <f t="shared" si="97"/>
        <v>0000000000</v>
      </c>
      <c r="L1793" s="303" t="str">
        <f t="shared" si="98"/>
        <v>0000000000</v>
      </c>
      <c r="M1793" s="132">
        <f>INDEX('реш СГД № 265'!$A:$N,MATCH('БА расх 2019-2020'!$L1793,'реш СГД № 265'!$N:$N,0),3)</f>
        <v>0</v>
      </c>
    </row>
    <row r="1794" spans="11:13" ht="15.75">
      <c r="K1794" s="108" t="str">
        <f t="shared" si="97"/>
        <v>0000000000</v>
      </c>
      <c r="L1794" s="303" t="str">
        <f t="shared" si="98"/>
        <v>0000000000</v>
      </c>
      <c r="M1794" s="132">
        <f>INDEX('реш СГД № 265'!$A:$N,MATCH('БА расх 2019-2020'!$L1794,'реш СГД № 265'!$N:$N,0),3)</f>
        <v>0</v>
      </c>
    </row>
    <row r="1795" spans="11:13" ht="15.75">
      <c r="K1795" s="108" t="str">
        <f t="shared" si="97"/>
        <v>0000000000</v>
      </c>
      <c r="L1795" s="303" t="str">
        <f t="shared" si="98"/>
        <v>0000000000</v>
      </c>
      <c r="M1795" s="132">
        <f>INDEX('реш СГД № 265'!$A:$N,MATCH('БА расх 2019-2020'!$L1795,'реш СГД № 265'!$N:$N,0),3)</f>
        <v>0</v>
      </c>
    </row>
    <row r="1796" spans="11:13" ht="15.75">
      <c r="K1796" s="108" t="str">
        <f t="shared" si="97"/>
        <v>0000000000</v>
      </c>
      <c r="L1796" s="303" t="str">
        <f t="shared" si="98"/>
        <v>0000000000</v>
      </c>
      <c r="M1796" s="132">
        <f>INDEX('реш СГД № 265'!$A:$N,MATCH('БА расх 2019-2020'!$L1796,'реш СГД № 265'!$N:$N,0),3)</f>
        <v>0</v>
      </c>
    </row>
    <row r="1797" spans="11:13" ht="15.75">
      <c r="K1797" s="108" t="str">
        <f t="shared" si="97"/>
        <v>0000000000</v>
      </c>
      <c r="L1797" s="303" t="str">
        <f t="shared" si="98"/>
        <v>0000000000</v>
      </c>
      <c r="M1797" s="132">
        <f>INDEX('реш СГД № 265'!$A:$N,MATCH('БА расх 2019-2020'!$L1797,'реш СГД № 265'!$N:$N,0),3)</f>
        <v>0</v>
      </c>
    </row>
    <row r="1798" spans="11:13" ht="15.75">
      <c r="K1798" s="108" t="str">
        <f t="shared" si="97"/>
        <v>0000000000</v>
      </c>
      <c r="L1798" s="303" t="str">
        <f t="shared" si="98"/>
        <v>0000000000</v>
      </c>
      <c r="M1798" s="132">
        <f>INDEX('реш СГД № 265'!$A:$N,MATCH('БА расх 2019-2020'!$L1798,'реш СГД № 265'!$N:$N,0),3)</f>
        <v>0</v>
      </c>
    </row>
    <row r="1799" spans="11:13" ht="15.75">
      <c r="K1799" s="108" t="str">
        <f t="shared" si="97"/>
        <v>0000000000</v>
      </c>
      <c r="L1799" s="303" t="str">
        <f t="shared" si="98"/>
        <v>0000000000</v>
      </c>
      <c r="M1799" s="132">
        <f>INDEX('реш СГД № 265'!$A:$N,MATCH('БА расх 2019-2020'!$L1799,'реш СГД № 265'!$N:$N,0),3)</f>
        <v>0</v>
      </c>
    </row>
    <row r="1800" spans="11:13" ht="15.75">
      <c r="K1800" s="108" t="str">
        <f t="shared" si="97"/>
        <v>0000000000</v>
      </c>
      <c r="L1800" s="303" t="str">
        <f t="shared" si="98"/>
        <v>0000000000</v>
      </c>
      <c r="M1800" s="132">
        <f>INDEX('реш СГД № 265'!$A:$N,MATCH('БА расх 2019-2020'!$L1800,'реш СГД № 265'!$N:$N,0),3)</f>
        <v>0</v>
      </c>
    </row>
    <row r="1801" spans="11:13" ht="15.75">
      <c r="K1801" s="108" t="str">
        <f t="shared" si="97"/>
        <v>0000000000</v>
      </c>
      <c r="L1801" s="303" t="str">
        <f t="shared" si="98"/>
        <v>0000000000</v>
      </c>
      <c r="M1801" s="132">
        <f>INDEX('реш СГД № 265'!$A:$N,MATCH('БА расх 2019-2020'!$L1801,'реш СГД № 265'!$N:$N,0),3)</f>
        <v>0</v>
      </c>
    </row>
    <row r="1802" spans="11:13" ht="15.75">
      <c r="K1802" s="108" t="str">
        <f t="shared" si="97"/>
        <v>0000000000</v>
      </c>
      <c r="L1802" s="303" t="str">
        <f t="shared" si="98"/>
        <v>0000000000</v>
      </c>
      <c r="M1802" s="132">
        <f>INDEX('реш СГД № 265'!$A:$N,MATCH('БА расх 2019-2020'!$L1802,'реш СГД № 265'!$N:$N,0),3)</f>
        <v>0</v>
      </c>
    </row>
    <row r="1803" spans="11:13" ht="15.75">
      <c r="K1803" s="108" t="str">
        <f t="shared" si="97"/>
        <v>0000000000</v>
      </c>
      <c r="L1803" s="303" t="str">
        <f t="shared" si="98"/>
        <v>0000000000</v>
      </c>
      <c r="M1803" s="132">
        <f>INDEX('реш СГД № 265'!$A:$N,MATCH('БА расх 2019-2020'!$L1803,'реш СГД № 265'!$N:$N,0),3)</f>
        <v>0</v>
      </c>
    </row>
    <row r="1804" spans="11:13" ht="15.75">
      <c r="K1804" s="108" t="str">
        <f t="shared" si="97"/>
        <v>0000000000</v>
      </c>
      <c r="L1804" s="303" t="str">
        <f t="shared" si="98"/>
        <v>0000000000</v>
      </c>
      <c r="M1804" s="132">
        <f>INDEX('реш СГД № 265'!$A:$N,MATCH('БА расх 2019-2020'!$L1804,'реш СГД № 265'!$N:$N,0),3)</f>
        <v>0</v>
      </c>
    </row>
    <row r="1805" spans="11:13" ht="15.75">
      <c r="K1805" s="108" t="str">
        <f t="shared" si="97"/>
        <v>0000000000</v>
      </c>
      <c r="L1805" s="303" t="str">
        <f t="shared" si="98"/>
        <v>0000000000</v>
      </c>
      <c r="M1805" s="132">
        <f>INDEX('реш СГД № 265'!$A:$N,MATCH('БА расх 2019-2020'!$L1805,'реш СГД № 265'!$N:$N,0),3)</f>
        <v>0</v>
      </c>
    </row>
    <row r="1806" spans="11:13" ht="15.75">
      <c r="K1806" s="108" t="str">
        <f t="shared" si="97"/>
        <v>0000000000</v>
      </c>
      <c r="L1806" s="303" t="str">
        <f t="shared" si="98"/>
        <v>0000000000</v>
      </c>
      <c r="M1806" s="132">
        <f>INDEX('реш СГД № 265'!$A:$N,MATCH('БА расх 2019-2020'!$L1806,'реш СГД № 265'!$N:$N,0),3)</f>
        <v>0</v>
      </c>
    </row>
    <row r="1807" spans="11:13" ht="15.75">
      <c r="K1807" s="108" t="str">
        <f t="shared" si="97"/>
        <v>0000000000</v>
      </c>
      <c r="L1807" s="303" t="str">
        <f t="shared" si="98"/>
        <v>0000000000</v>
      </c>
      <c r="M1807" s="132">
        <f>INDEX('реш СГД № 265'!$A:$N,MATCH('БА расх 2019-2020'!$L1807,'реш СГД № 265'!$N:$N,0),3)</f>
        <v>0</v>
      </c>
    </row>
    <row r="1808" spans="11:13" ht="15.75">
      <c r="K1808" s="108" t="str">
        <f t="shared" si="97"/>
        <v>0000000000</v>
      </c>
      <c r="L1808" s="303" t="str">
        <f t="shared" si="98"/>
        <v>0000000000</v>
      </c>
      <c r="M1808" s="132">
        <f>INDEX('реш СГД № 265'!$A:$N,MATCH('БА расх 2019-2020'!$L1808,'реш СГД № 265'!$N:$N,0),3)</f>
        <v>0</v>
      </c>
    </row>
    <row r="1809" spans="11:13" ht="15.75">
      <c r="K1809" s="108" t="str">
        <f t="shared" si="97"/>
        <v>0000000000</v>
      </c>
      <c r="L1809" s="303" t="str">
        <f t="shared" si="98"/>
        <v>0000000000</v>
      </c>
      <c r="M1809" s="132">
        <f>INDEX('реш СГД № 265'!$A:$N,MATCH('БА расх 2019-2020'!$L1809,'реш СГД № 265'!$N:$N,0),3)</f>
        <v>0</v>
      </c>
    </row>
    <row r="1810" spans="11:13" ht="15.75">
      <c r="K1810" s="108" t="str">
        <f t="shared" si="97"/>
        <v>0000000000</v>
      </c>
      <c r="L1810" s="303" t="str">
        <f t="shared" si="98"/>
        <v>0000000000</v>
      </c>
      <c r="M1810" s="132">
        <f>INDEX('реш СГД № 265'!$A:$N,MATCH('БА расх 2019-2020'!$L1810,'реш СГД № 265'!$N:$N,0),3)</f>
        <v>0</v>
      </c>
    </row>
    <row r="1811" spans="11:13" ht="15.75">
      <c r="K1811" s="108" t="str">
        <f t="shared" si="97"/>
        <v>0000000000</v>
      </c>
      <c r="L1811" s="303" t="str">
        <f t="shared" si="98"/>
        <v>0000000000</v>
      </c>
      <c r="M1811" s="132">
        <f>INDEX('реш СГД № 265'!$A:$N,MATCH('БА расх 2019-2020'!$L1811,'реш СГД № 265'!$N:$N,0),3)</f>
        <v>0</v>
      </c>
    </row>
    <row r="1812" spans="11:13" ht="15.75">
      <c r="K1812" s="108" t="str">
        <f t="shared" si="97"/>
        <v>0000000000</v>
      </c>
      <c r="L1812" s="303" t="str">
        <f t="shared" si="98"/>
        <v>0000000000</v>
      </c>
      <c r="M1812" s="132">
        <f>INDEX('реш СГД № 265'!$A:$N,MATCH('БА расх 2019-2020'!$L1812,'реш СГД № 265'!$N:$N,0),3)</f>
        <v>0</v>
      </c>
    </row>
    <row r="1813" spans="11:13" ht="15.75">
      <c r="K1813" s="108" t="str">
        <f t="shared" si="97"/>
        <v>0000000000</v>
      </c>
      <c r="L1813" s="303" t="str">
        <f t="shared" si="98"/>
        <v>0000000000</v>
      </c>
      <c r="M1813" s="132">
        <f>INDEX('реш СГД № 265'!$A:$N,MATCH('БА расх 2019-2020'!$L1813,'реш СГД № 265'!$N:$N,0),3)</f>
        <v>0</v>
      </c>
    </row>
    <row r="1814" spans="11:13" ht="15.75">
      <c r="K1814" s="108" t="str">
        <f t="shared" si="97"/>
        <v>0000000000</v>
      </c>
      <c r="L1814" s="303" t="str">
        <f t="shared" si="98"/>
        <v>0000000000</v>
      </c>
      <c r="M1814" s="132">
        <f>INDEX('реш СГД № 265'!$A:$N,MATCH('БА расх 2019-2020'!$L1814,'реш СГД № 265'!$N:$N,0),3)</f>
        <v>0</v>
      </c>
    </row>
    <row r="1815" spans="11:13" ht="15.75">
      <c r="K1815" s="108" t="str">
        <f t="shared" si="97"/>
        <v>0000000000</v>
      </c>
      <c r="L1815" s="303" t="str">
        <f t="shared" si="98"/>
        <v>0000000000</v>
      </c>
      <c r="M1815" s="132">
        <f>INDEX('реш СГД № 265'!$A:$N,MATCH('БА расх 2019-2020'!$L1815,'реш СГД № 265'!$N:$N,0),3)</f>
        <v>0</v>
      </c>
    </row>
    <row r="1816" spans="11:13" ht="15.75">
      <c r="K1816" s="108" t="str">
        <f t="shared" si="97"/>
        <v>0000000000</v>
      </c>
      <c r="L1816" s="303" t="str">
        <f t="shared" si="98"/>
        <v>0000000000</v>
      </c>
      <c r="M1816" s="132">
        <f>INDEX('реш СГД № 265'!$A:$N,MATCH('БА расх 2019-2020'!$L1816,'реш СГД № 265'!$N:$N,0),3)</f>
        <v>0</v>
      </c>
    </row>
    <row r="1817" spans="11:13" ht="15.75">
      <c r="K1817" s="108" t="str">
        <f t="shared" si="97"/>
        <v>0000000000</v>
      </c>
      <c r="L1817" s="303" t="str">
        <f t="shared" si="98"/>
        <v>0000000000</v>
      </c>
      <c r="M1817" s="132">
        <f>INDEX('реш СГД № 265'!$A:$N,MATCH('БА расх 2019-2020'!$L1817,'реш СГД № 265'!$N:$N,0),3)</f>
        <v>0</v>
      </c>
    </row>
    <row r="1818" spans="11:13" ht="15.75">
      <c r="K1818" s="108" t="str">
        <f t="shared" si="97"/>
        <v>0000000000</v>
      </c>
      <c r="L1818" s="303" t="str">
        <f t="shared" si="98"/>
        <v>0000000000</v>
      </c>
      <c r="M1818" s="132">
        <f>INDEX('реш СГД № 265'!$A:$N,MATCH('БА расх 2019-2020'!$L1818,'реш СГД № 265'!$N:$N,0),3)</f>
        <v>0</v>
      </c>
    </row>
    <row r="1819" spans="11:13" ht="15.75">
      <c r="K1819" s="108" t="str">
        <f t="shared" si="97"/>
        <v>0000000000</v>
      </c>
      <c r="L1819" s="303" t="str">
        <f t="shared" si="98"/>
        <v>0000000000</v>
      </c>
      <c r="M1819" s="132">
        <f>INDEX('реш СГД № 265'!$A:$N,MATCH('БА расх 2019-2020'!$L1819,'реш СГД № 265'!$N:$N,0),3)</f>
        <v>0</v>
      </c>
    </row>
    <row r="1820" spans="11:13" ht="15.75">
      <c r="K1820" s="108" t="str">
        <f t="shared" si="97"/>
        <v>0000000000</v>
      </c>
      <c r="L1820" s="303" t="str">
        <f t="shared" si="98"/>
        <v>0000000000</v>
      </c>
      <c r="M1820" s="132">
        <f>INDEX('реш СГД № 265'!$A:$N,MATCH('БА расх 2019-2020'!$L1820,'реш СГД № 265'!$N:$N,0),3)</f>
        <v>0</v>
      </c>
    </row>
    <row r="1821" spans="11:13" ht="15.75">
      <c r="K1821" s="108" t="str">
        <f t="shared" si="97"/>
        <v>0000000000</v>
      </c>
      <c r="L1821" s="303" t="str">
        <f t="shared" si="98"/>
        <v>0000000000</v>
      </c>
      <c r="M1821" s="132">
        <f>INDEX('реш СГД № 265'!$A:$N,MATCH('БА расх 2019-2020'!$L1821,'реш СГД № 265'!$N:$N,0),3)</f>
        <v>0</v>
      </c>
    </row>
    <row r="1822" spans="11:13" ht="15.75">
      <c r="K1822" s="108" t="str">
        <f t="shared" si="97"/>
        <v>0000000000</v>
      </c>
      <c r="L1822" s="303" t="str">
        <f t="shared" si="98"/>
        <v>0000000000</v>
      </c>
      <c r="M1822" s="132">
        <f>INDEX('реш СГД № 265'!$A:$N,MATCH('БА расх 2019-2020'!$L1822,'реш СГД № 265'!$N:$N,0),3)</f>
        <v>0</v>
      </c>
    </row>
    <row r="1823" spans="11:13" ht="15.75">
      <c r="K1823" s="108" t="str">
        <f t="shared" si="97"/>
        <v>0000000000</v>
      </c>
      <c r="L1823" s="303" t="str">
        <f t="shared" si="98"/>
        <v>0000000000</v>
      </c>
      <c r="M1823" s="132">
        <f>INDEX('реш СГД № 265'!$A:$N,MATCH('БА расх 2019-2020'!$L1823,'реш СГД № 265'!$N:$N,0),3)</f>
        <v>0</v>
      </c>
    </row>
    <row r="1824" spans="11:13" ht="15.75">
      <c r="K1824" s="108" t="str">
        <f t="shared" si="97"/>
        <v>0000000000</v>
      </c>
      <c r="L1824" s="303" t="str">
        <f t="shared" si="98"/>
        <v>0000000000</v>
      </c>
      <c r="M1824" s="132">
        <f>INDEX('реш СГД № 265'!$A:$N,MATCH('БА расх 2019-2020'!$L1824,'реш СГД № 265'!$N:$N,0),3)</f>
        <v>0</v>
      </c>
    </row>
    <row r="1825" spans="11:13" ht="15.75">
      <c r="K1825" s="108" t="str">
        <f t="shared" si="97"/>
        <v>0000000000</v>
      </c>
      <c r="L1825" s="303" t="str">
        <f t="shared" si="98"/>
        <v>0000000000</v>
      </c>
      <c r="M1825" s="132">
        <f>INDEX('реш СГД № 265'!$A:$N,MATCH('БА расх 2019-2020'!$L1825,'реш СГД № 265'!$N:$N,0),3)</f>
        <v>0</v>
      </c>
    </row>
    <row r="1826" spans="11:13" ht="15.75">
      <c r="K1826" s="108" t="str">
        <f t="shared" si="97"/>
        <v>0000000000</v>
      </c>
      <c r="L1826" s="303" t="str">
        <f t="shared" si="98"/>
        <v>0000000000</v>
      </c>
      <c r="M1826" s="132">
        <f>INDEX('реш СГД № 265'!$A:$N,MATCH('БА расх 2019-2020'!$L1826,'реш СГД № 265'!$N:$N,0),3)</f>
        <v>0</v>
      </c>
    </row>
    <row r="1827" spans="11:13" ht="15.75">
      <c r="K1827" s="108" t="str">
        <f t="shared" si="97"/>
        <v>0000000000</v>
      </c>
      <c r="L1827" s="303" t="str">
        <f t="shared" si="98"/>
        <v>0000000000</v>
      </c>
      <c r="M1827" s="132">
        <f>INDEX('реш СГД № 265'!$A:$N,MATCH('БА расх 2019-2020'!$L1827,'реш СГД № 265'!$N:$N,0),3)</f>
        <v>0</v>
      </c>
    </row>
    <row r="1828" spans="11:13" ht="15.75">
      <c r="K1828" s="108" t="str">
        <f t="shared" ref="K1828:K1891" si="99">TEXT(J1828,"0000000000")</f>
        <v>0000000000</v>
      </c>
      <c r="L1828" s="303" t="str">
        <f t="shared" si="98"/>
        <v>0000000000</v>
      </c>
      <c r="M1828" s="132">
        <f>INDEX('реш СГД № 265'!$A:$N,MATCH('БА расх 2019-2020'!$L1828,'реш СГД № 265'!$N:$N,0),3)</f>
        <v>0</v>
      </c>
    </row>
    <row r="1829" spans="11:13" ht="15.75">
      <c r="K1829" s="108" t="str">
        <f t="shared" si="99"/>
        <v>0000000000</v>
      </c>
      <c r="L1829" s="303" t="str">
        <f t="shared" ref="L1829:L1892" si="100">C1829&amp;D1829&amp;E1829&amp;K1829&amp;G1829</f>
        <v>0000000000</v>
      </c>
      <c r="M1829" s="132">
        <f>INDEX('реш СГД № 265'!$A:$N,MATCH('БА расх 2019-2020'!$L1829,'реш СГД № 265'!$N:$N,0),3)</f>
        <v>0</v>
      </c>
    </row>
    <row r="1830" spans="11:13" ht="15.75">
      <c r="K1830" s="108" t="str">
        <f t="shared" si="99"/>
        <v>0000000000</v>
      </c>
      <c r="L1830" s="303" t="str">
        <f t="shared" si="100"/>
        <v>0000000000</v>
      </c>
      <c r="M1830" s="132">
        <f>INDEX('реш СГД № 265'!$A:$N,MATCH('БА расх 2019-2020'!$L1830,'реш СГД № 265'!$N:$N,0),3)</f>
        <v>0</v>
      </c>
    </row>
    <row r="1831" spans="11:13" ht="15.75">
      <c r="K1831" s="108" t="str">
        <f t="shared" si="99"/>
        <v>0000000000</v>
      </c>
      <c r="L1831" s="303" t="str">
        <f t="shared" si="100"/>
        <v>0000000000</v>
      </c>
      <c r="M1831" s="132">
        <f>INDEX('реш СГД № 265'!$A:$N,MATCH('БА расх 2019-2020'!$L1831,'реш СГД № 265'!$N:$N,0),3)</f>
        <v>0</v>
      </c>
    </row>
    <row r="1832" spans="11:13" ht="15.75">
      <c r="K1832" s="108" t="str">
        <f t="shared" si="99"/>
        <v>0000000000</v>
      </c>
      <c r="L1832" s="303" t="str">
        <f t="shared" si="100"/>
        <v>0000000000</v>
      </c>
      <c r="M1832" s="132">
        <f>INDEX('реш СГД № 265'!$A:$N,MATCH('БА расх 2019-2020'!$L1832,'реш СГД № 265'!$N:$N,0),3)</f>
        <v>0</v>
      </c>
    </row>
    <row r="1833" spans="11:13" ht="15.75">
      <c r="K1833" s="108" t="str">
        <f t="shared" si="99"/>
        <v>0000000000</v>
      </c>
      <c r="L1833" s="303" t="str">
        <f t="shared" si="100"/>
        <v>0000000000</v>
      </c>
      <c r="M1833" s="132">
        <f>INDEX('реш СГД № 265'!$A:$N,MATCH('БА расх 2019-2020'!$L1833,'реш СГД № 265'!$N:$N,0),3)</f>
        <v>0</v>
      </c>
    </row>
    <row r="1834" spans="11:13" ht="15.75">
      <c r="K1834" s="108" t="str">
        <f t="shared" si="99"/>
        <v>0000000000</v>
      </c>
      <c r="L1834" s="303" t="str">
        <f t="shared" si="100"/>
        <v>0000000000</v>
      </c>
      <c r="M1834" s="132">
        <f>INDEX('реш СГД № 265'!$A:$N,MATCH('БА расх 2019-2020'!$L1834,'реш СГД № 265'!$N:$N,0),3)</f>
        <v>0</v>
      </c>
    </row>
    <row r="1835" spans="11:13" ht="15.75">
      <c r="K1835" s="108" t="str">
        <f t="shared" si="99"/>
        <v>0000000000</v>
      </c>
      <c r="L1835" s="303" t="str">
        <f t="shared" si="100"/>
        <v>0000000000</v>
      </c>
      <c r="M1835" s="132">
        <f>INDEX('реш СГД № 265'!$A:$N,MATCH('БА расх 2019-2020'!$L1835,'реш СГД № 265'!$N:$N,0),3)</f>
        <v>0</v>
      </c>
    </row>
    <row r="1836" spans="11:13" ht="15.75">
      <c r="K1836" s="108" t="str">
        <f t="shared" si="99"/>
        <v>0000000000</v>
      </c>
      <c r="L1836" s="303" t="str">
        <f t="shared" si="100"/>
        <v>0000000000</v>
      </c>
      <c r="M1836" s="132">
        <f>INDEX('реш СГД № 265'!$A:$N,MATCH('БА расх 2019-2020'!$L1836,'реш СГД № 265'!$N:$N,0),3)</f>
        <v>0</v>
      </c>
    </row>
    <row r="1837" spans="11:13" ht="15.75">
      <c r="K1837" s="108" t="str">
        <f t="shared" si="99"/>
        <v>0000000000</v>
      </c>
      <c r="L1837" s="303" t="str">
        <f t="shared" si="100"/>
        <v>0000000000</v>
      </c>
      <c r="M1837" s="132">
        <f>INDEX('реш СГД № 265'!$A:$N,MATCH('БА расх 2019-2020'!$L1837,'реш СГД № 265'!$N:$N,0),3)</f>
        <v>0</v>
      </c>
    </row>
    <row r="1838" spans="11:13" ht="15.75">
      <c r="K1838" s="108" t="str">
        <f t="shared" si="99"/>
        <v>0000000000</v>
      </c>
      <c r="L1838" s="303" t="str">
        <f t="shared" si="100"/>
        <v>0000000000</v>
      </c>
      <c r="M1838" s="132">
        <f>INDEX('реш СГД № 265'!$A:$N,MATCH('БА расх 2019-2020'!$L1838,'реш СГД № 265'!$N:$N,0),3)</f>
        <v>0</v>
      </c>
    </row>
    <row r="1839" spans="11:13" ht="15.75">
      <c r="K1839" s="108" t="str">
        <f t="shared" si="99"/>
        <v>0000000000</v>
      </c>
      <c r="L1839" s="303" t="str">
        <f t="shared" si="100"/>
        <v>0000000000</v>
      </c>
      <c r="M1839" s="132">
        <f>INDEX('реш СГД № 265'!$A:$N,MATCH('БА расх 2019-2020'!$L1839,'реш СГД № 265'!$N:$N,0),3)</f>
        <v>0</v>
      </c>
    </row>
    <row r="1840" spans="11:13" ht="15.75">
      <c r="K1840" s="108" t="str">
        <f t="shared" si="99"/>
        <v>0000000000</v>
      </c>
      <c r="L1840" s="303" t="str">
        <f t="shared" si="100"/>
        <v>0000000000</v>
      </c>
      <c r="M1840" s="132">
        <f>INDEX('реш СГД № 265'!$A:$N,MATCH('БА расх 2019-2020'!$L1840,'реш СГД № 265'!$N:$N,0),3)</f>
        <v>0</v>
      </c>
    </row>
    <row r="1841" spans="11:13" ht="15.75">
      <c r="K1841" s="108" t="str">
        <f t="shared" si="99"/>
        <v>0000000000</v>
      </c>
      <c r="L1841" s="303" t="str">
        <f t="shared" si="100"/>
        <v>0000000000</v>
      </c>
      <c r="M1841" s="132">
        <f>INDEX('реш СГД № 265'!$A:$N,MATCH('БА расх 2019-2020'!$L1841,'реш СГД № 265'!$N:$N,0),3)</f>
        <v>0</v>
      </c>
    </row>
    <row r="1842" spans="11:13" ht="15.75">
      <c r="K1842" s="108" t="str">
        <f t="shared" si="99"/>
        <v>0000000000</v>
      </c>
      <c r="L1842" s="303" t="str">
        <f t="shared" si="100"/>
        <v>0000000000</v>
      </c>
      <c r="M1842" s="132">
        <f>INDEX('реш СГД № 265'!$A:$N,MATCH('БА расх 2019-2020'!$L1842,'реш СГД № 265'!$N:$N,0),3)</f>
        <v>0</v>
      </c>
    </row>
    <row r="1843" spans="11:13" ht="15.75">
      <c r="K1843" s="108" t="str">
        <f t="shared" si="99"/>
        <v>0000000000</v>
      </c>
      <c r="L1843" s="303" t="str">
        <f t="shared" si="100"/>
        <v>0000000000</v>
      </c>
      <c r="M1843" s="132">
        <f>INDEX('реш СГД № 265'!$A:$N,MATCH('БА расх 2019-2020'!$L1843,'реш СГД № 265'!$N:$N,0),3)</f>
        <v>0</v>
      </c>
    </row>
    <row r="1844" spans="11:13" ht="15.75">
      <c r="K1844" s="108" t="str">
        <f t="shared" si="99"/>
        <v>0000000000</v>
      </c>
      <c r="L1844" s="303" t="str">
        <f t="shared" si="100"/>
        <v>0000000000</v>
      </c>
      <c r="M1844" s="132">
        <f>INDEX('реш СГД № 265'!$A:$N,MATCH('БА расх 2019-2020'!$L1844,'реш СГД № 265'!$N:$N,0),3)</f>
        <v>0</v>
      </c>
    </row>
    <row r="1845" spans="11:13" ht="15.75">
      <c r="K1845" s="108" t="str">
        <f t="shared" si="99"/>
        <v>0000000000</v>
      </c>
      <c r="L1845" s="303" t="str">
        <f t="shared" si="100"/>
        <v>0000000000</v>
      </c>
      <c r="M1845" s="132">
        <f>INDEX('реш СГД № 265'!$A:$N,MATCH('БА расх 2019-2020'!$L1845,'реш СГД № 265'!$N:$N,0),3)</f>
        <v>0</v>
      </c>
    </row>
    <row r="1846" spans="11:13" ht="15.75">
      <c r="K1846" s="108" t="str">
        <f t="shared" si="99"/>
        <v>0000000000</v>
      </c>
      <c r="L1846" s="303" t="str">
        <f t="shared" si="100"/>
        <v>0000000000</v>
      </c>
      <c r="M1846" s="132">
        <f>INDEX('реш СГД № 265'!$A:$N,MATCH('БА расх 2019-2020'!$L1846,'реш СГД № 265'!$N:$N,0),3)</f>
        <v>0</v>
      </c>
    </row>
    <row r="1847" spans="11:13" ht="15.75">
      <c r="K1847" s="108" t="str">
        <f t="shared" si="99"/>
        <v>0000000000</v>
      </c>
      <c r="L1847" s="303" t="str">
        <f t="shared" si="100"/>
        <v>0000000000</v>
      </c>
      <c r="M1847" s="132">
        <f>INDEX('реш СГД № 265'!$A:$N,MATCH('БА расх 2019-2020'!$L1847,'реш СГД № 265'!$N:$N,0),3)</f>
        <v>0</v>
      </c>
    </row>
    <row r="1848" spans="11:13" ht="15.75">
      <c r="K1848" s="108" t="str">
        <f t="shared" si="99"/>
        <v>0000000000</v>
      </c>
      <c r="L1848" s="303" t="str">
        <f t="shared" si="100"/>
        <v>0000000000</v>
      </c>
      <c r="M1848" s="132">
        <f>INDEX('реш СГД № 265'!$A:$N,MATCH('БА расх 2019-2020'!$L1848,'реш СГД № 265'!$N:$N,0),3)</f>
        <v>0</v>
      </c>
    </row>
    <row r="1849" spans="11:13" ht="15.75">
      <c r="K1849" s="108" t="str">
        <f t="shared" si="99"/>
        <v>0000000000</v>
      </c>
      <c r="L1849" s="303" t="str">
        <f t="shared" si="100"/>
        <v>0000000000</v>
      </c>
      <c r="M1849" s="132">
        <f>INDEX('реш СГД № 265'!$A:$N,MATCH('БА расх 2019-2020'!$L1849,'реш СГД № 265'!$N:$N,0),3)</f>
        <v>0</v>
      </c>
    </row>
    <row r="1850" spans="11:13" ht="15.75">
      <c r="K1850" s="108" t="str">
        <f t="shared" si="99"/>
        <v>0000000000</v>
      </c>
      <c r="L1850" s="303" t="str">
        <f t="shared" si="100"/>
        <v>0000000000</v>
      </c>
      <c r="M1850" s="132">
        <f>INDEX('реш СГД № 265'!$A:$N,MATCH('БА расх 2019-2020'!$L1850,'реш СГД № 265'!$N:$N,0),3)</f>
        <v>0</v>
      </c>
    </row>
    <row r="1851" spans="11:13" ht="15.75">
      <c r="K1851" s="108" t="str">
        <f t="shared" si="99"/>
        <v>0000000000</v>
      </c>
      <c r="L1851" s="303" t="str">
        <f t="shared" si="100"/>
        <v>0000000000</v>
      </c>
      <c r="M1851" s="132">
        <f>INDEX('реш СГД № 265'!$A:$N,MATCH('БА расх 2019-2020'!$L1851,'реш СГД № 265'!$N:$N,0),3)</f>
        <v>0</v>
      </c>
    </row>
    <row r="1852" spans="11:13" ht="15.75">
      <c r="K1852" s="108" t="str">
        <f t="shared" si="99"/>
        <v>0000000000</v>
      </c>
      <c r="L1852" s="303" t="str">
        <f t="shared" si="100"/>
        <v>0000000000</v>
      </c>
      <c r="M1852" s="132">
        <f>INDEX('реш СГД № 265'!$A:$N,MATCH('БА расх 2019-2020'!$L1852,'реш СГД № 265'!$N:$N,0),3)</f>
        <v>0</v>
      </c>
    </row>
    <row r="1853" spans="11:13" ht="15.75">
      <c r="K1853" s="108" t="str">
        <f t="shared" si="99"/>
        <v>0000000000</v>
      </c>
      <c r="L1853" s="303" t="str">
        <f t="shared" si="100"/>
        <v>0000000000</v>
      </c>
      <c r="M1853" s="132">
        <f>INDEX('реш СГД № 265'!$A:$N,MATCH('БА расх 2019-2020'!$L1853,'реш СГД № 265'!$N:$N,0),3)</f>
        <v>0</v>
      </c>
    </row>
    <row r="1854" spans="11:13" ht="15.75">
      <c r="K1854" s="108" t="str">
        <f t="shared" si="99"/>
        <v>0000000000</v>
      </c>
      <c r="L1854" s="303" t="str">
        <f t="shared" si="100"/>
        <v>0000000000</v>
      </c>
      <c r="M1854" s="132">
        <f>INDEX('реш СГД № 265'!$A:$N,MATCH('БА расх 2019-2020'!$L1854,'реш СГД № 265'!$N:$N,0),3)</f>
        <v>0</v>
      </c>
    </row>
    <row r="1855" spans="11:13" ht="15.75">
      <c r="K1855" s="108" t="str">
        <f t="shared" si="99"/>
        <v>0000000000</v>
      </c>
      <c r="L1855" s="303" t="str">
        <f t="shared" si="100"/>
        <v>0000000000</v>
      </c>
      <c r="M1855" s="132">
        <f>INDEX('реш СГД № 265'!$A:$N,MATCH('БА расх 2019-2020'!$L1855,'реш СГД № 265'!$N:$N,0),3)</f>
        <v>0</v>
      </c>
    </row>
    <row r="1856" spans="11:13" ht="15.75">
      <c r="K1856" s="108" t="str">
        <f t="shared" si="99"/>
        <v>0000000000</v>
      </c>
      <c r="L1856" s="303" t="str">
        <f t="shared" si="100"/>
        <v>0000000000</v>
      </c>
      <c r="M1856" s="132">
        <f>INDEX('реш СГД № 265'!$A:$N,MATCH('БА расх 2019-2020'!$L1856,'реш СГД № 265'!$N:$N,0),3)</f>
        <v>0</v>
      </c>
    </row>
    <row r="1857" spans="11:13" ht="15.75">
      <c r="K1857" s="108" t="str">
        <f t="shared" si="99"/>
        <v>0000000000</v>
      </c>
      <c r="L1857" s="303" t="str">
        <f t="shared" si="100"/>
        <v>0000000000</v>
      </c>
      <c r="M1857" s="132">
        <f>INDEX('реш СГД № 265'!$A:$N,MATCH('БА расх 2019-2020'!$L1857,'реш СГД № 265'!$N:$N,0),3)</f>
        <v>0</v>
      </c>
    </row>
    <row r="1858" spans="11:13" ht="15.75">
      <c r="K1858" s="108" t="str">
        <f t="shared" si="99"/>
        <v>0000000000</v>
      </c>
      <c r="L1858" s="303" t="str">
        <f t="shared" si="100"/>
        <v>0000000000</v>
      </c>
      <c r="M1858" s="132">
        <f>INDEX('реш СГД № 265'!$A:$N,MATCH('БА расх 2019-2020'!$L1858,'реш СГД № 265'!$N:$N,0),3)</f>
        <v>0</v>
      </c>
    </row>
    <row r="1859" spans="11:13" ht="15.75">
      <c r="K1859" s="108" t="str">
        <f t="shared" si="99"/>
        <v>0000000000</v>
      </c>
      <c r="L1859" s="303" t="str">
        <f t="shared" si="100"/>
        <v>0000000000</v>
      </c>
      <c r="M1859" s="132">
        <f>INDEX('реш СГД № 265'!$A:$N,MATCH('БА расх 2019-2020'!$L1859,'реш СГД № 265'!$N:$N,0),3)</f>
        <v>0</v>
      </c>
    </row>
    <row r="1860" spans="11:13" ht="15.75">
      <c r="K1860" s="108" t="str">
        <f t="shared" si="99"/>
        <v>0000000000</v>
      </c>
      <c r="L1860" s="303" t="str">
        <f t="shared" si="100"/>
        <v>0000000000</v>
      </c>
      <c r="M1860" s="132">
        <f>INDEX('реш СГД № 265'!$A:$N,MATCH('БА расх 2019-2020'!$L1860,'реш СГД № 265'!$N:$N,0),3)</f>
        <v>0</v>
      </c>
    </row>
    <row r="1861" spans="11:13" ht="15.75">
      <c r="K1861" s="108" t="str">
        <f t="shared" si="99"/>
        <v>0000000000</v>
      </c>
      <c r="L1861" s="303" t="str">
        <f t="shared" si="100"/>
        <v>0000000000</v>
      </c>
      <c r="M1861" s="132">
        <f>INDEX('реш СГД № 265'!$A:$N,MATCH('БА расх 2019-2020'!$L1861,'реш СГД № 265'!$N:$N,0),3)</f>
        <v>0</v>
      </c>
    </row>
    <row r="1862" spans="11:13" ht="15.75">
      <c r="K1862" s="108" t="str">
        <f t="shared" si="99"/>
        <v>0000000000</v>
      </c>
      <c r="L1862" s="303" t="str">
        <f t="shared" si="100"/>
        <v>0000000000</v>
      </c>
      <c r="M1862" s="132">
        <f>INDEX('реш СГД № 265'!$A:$N,MATCH('БА расх 2019-2020'!$L1862,'реш СГД № 265'!$N:$N,0),3)</f>
        <v>0</v>
      </c>
    </row>
    <row r="1863" spans="11:13" ht="15.75">
      <c r="K1863" s="108" t="str">
        <f t="shared" si="99"/>
        <v>0000000000</v>
      </c>
      <c r="L1863" s="303" t="str">
        <f t="shared" si="100"/>
        <v>0000000000</v>
      </c>
      <c r="M1863" s="132">
        <f>INDEX('реш СГД № 265'!$A:$N,MATCH('БА расх 2019-2020'!$L1863,'реш СГД № 265'!$N:$N,0),3)</f>
        <v>0</v>
      </c>
    </row>
    <row r="1864" spans="11:13" ht="15.75">
      <c r="K1864" s="108" t="str">
        <f t="shared" si="99"/>
        <v>0000000000</v>
      </c>
      <c r="L1864" s="303" t="str">
        <f t="shared" si="100"/>
        <v>0000000000</v>
      </c>
      <c r="M1864" s="132">
        <f>INDEX('реш СГД № 265'!$A:$N,MATCH('БА расх 2019-2020'!$L1864,'реш СГД № 265'!$N:$N,0),3)</f>
        <v>0</v>
      </c>
    </row>
    <row r="1865" spans="11:13" ht="15.75">
      <c r="K1865" s="108" t="str">
        <f t="shared" si="99"/>
        <v>0000000000</v>
      </c>
      <c r="L1865" s="303" t="str">
        <f t="shared" si="100"/>
        <v>0000000000</v>
      </c>
      <c r="M1865" s="132">
        <f>INDEX('реш СГД № 265'!$A:$N,MATCH('БА расх 2019-2020'!$L1865,'реш СГД № 265'!$N:$N,0),3)</f>
        <v>0</v>
      </c>
    </row>
    <row r="1866" spans="11:13" ht="15.75">
      <c r="K1866" s="108" t="str">
        <f t="shared" si="99"/>
        <v>0000000000</v>
      </c>
      <c r="L1866" s="303" t="str">
        <f t="shared" si="100"/>
        <v>0000000000</v>
      </c>
      <c r="M1866" s="132">
        <f>INDEX('реш СГД № 265'!$A:$N,MATCH('БА расх 2019-2020'!$L1866,'реш СГД № 265'!$N:$N,0),3)</f>
        <v>0</v>
      </c>
    </row>
    <row r="1867" spans="11:13" ht="15.75">
      <c r="K1867" s="108" t="str">
        <f t="shared" si="99"/>
        <v>0000000000</v>
      </c>
      <c r="L1867" s="303" t="str">
        <f t="shared" si="100"/>
        <v>0000000000</v>
      </c>
      <c r="M1867" s="132">
        <f>INDEX('реш СГД № 265'!$A:$N,MATCH('БА расх 2019-2020'!$L1867,'реш СГД № 265'!$N:$N,0),3)</f>
        <v>0</v>
      </c>
    </row>
    <row r="1868" spans="11:13" ht="15.75">
      <c r="K1868" s="108" t="str">
        <f t="shared" si="99"/>
        <v>0000000000</v>
      </c>
      <c r="L1868" s="303" t="str">
        <f t="shared" si="100"/>
        <v>0000000000</v>
      </c>
      <c r="M1868" s="132">
        <f>INDEX('реш СГД № 265'!$A:$N,MATCH('БА расх 2019-2020'!$L1868,'реш СГД № 265'!$N:$N,0),3)</f>
        <v>0</v>
      </c>
    </row>
    <row r="1869" spans="11:13" ht="15.75">
      <c r="K1869" s="108" t="str">
        <f t="shared" si="99"/>
        <v>0000000000</v>
      </c>
      <c r="L1869" s="303" t="str">
        <f t="shared" si="100"/>
        <v>0000000000</v>
      </c>
      <c r="M1869" s="132">
        <f>INDEX('реш СГД № 265'!$A:$N,MATCH('БА расх 2019-2020'!$L1869,'реш СГД № 265'!$N:$N,0),3)</f>
        <v>0</v>
      </c>
    </row>
    <row r="1870" spans="11:13" ht="15.75">
      <c r="K1870" s="108" t="str">
        <f t="shared" si="99"/>
        <v>0000000000</v>
      </c>
      <c r="L1870" s="303" t="str">
        <f t="shared" si="100"/>
        <v>0000000000</v>
      </c>
      <c r="M1870" s="132">
        <f>INDEX('реш СГД № 265'!$A:$N,MATCH('БА расх 2019-2020'!$L1870,'реш СГД № 265'!$N:$N,0),3)</f>
        <v>0</v>
      </c>
    </row>
    <row r="1871" spans="11:13" ht="15.75">
      <c r="K1871" s="108" t="str">
        <f t="shared" si="99"/>
        <v>0000000000</v>
      </c>
      <c r="L1871" s="303" t="str">
        <f t="shared" si="100"/>
        <v>0000000000</v>
      </c>
      <c r="M1871" s="132">
        <f>INDEX('реш СГД № 265'!$A:$N,MATCH('БА расх 2019-2020'!$L1871,'реш СГД № 265'!$N:$N,0),3)</f>
        <v>0</v>
      </c>
    </row>
    <row r="1872" spans="11:13" ht="15.75">
      <c r="K1872" s="108" t="str">
        <f t="shared" si="99"/>
        <v>0000000000</v>
      </c>
      <c r="L1872" s="303" t="str">
        <f t="shared" si="100"/>
        <v>0000000000</v>
      </c>
      <c r="M1872" s="132">
        <f>INDEX('реш СГД № 265'!$A:$N,MATCH('БА расх 2019-2020'!$L1872,'реш СГД № 265'!$N:$N,0),3)</f>
        <v>0</v>
      </c>
    </row>
    <row r="1873" spans="11:13" ht="15.75">
      <c r="K1873" s="108" t="str">
        <f t="shared" si="99"/>
        <v>0000000000</v>
      </c>
      <c r="L1873" s="303" t="str">
        <f t="shared" si="100"/>
        <v>0000000000</v>
      </c>
      <c r="M1873" s="132">
        <f>INDEX('реш СГД № 265'!$A:$N,MATCH('БА расх 2019-2020'!$L1873,'реш СГД № 265'!$N:$N,0),3)</f>
        <v>0</v>
      </c>
    </row>
    <row r="1874" spans="11:13" ht="15.75">
      <c r="K1874" s="108" t="str">
        <f t="shared" si="99"/>
        <v>0000000000</v>
      </c>
      <c r="L1874" s="303" t="str">
        <f t="shared" si="100"/>
        <v>0000000000</v>
      </c>
      <c r="M1874" s="132">
        <f>INDEX('реш СГД № 265'!$A:$N,MATCH('БА расх 2019-2020'!$L1874,'реш СГД № 265'!$N:$N,0),3)</f>
        <v>0</v>
      </c>
    </row>
    <row r="1875" spans="11:13" ht="15.75">
      <c r="K1875" s="108" t="str">
        <f t="shared" si="99"/>
        <v>0000000000</v>
      </c>
      <c r="L1875" s="303" t="str">
        <f t="shared" si="100"/>
        <v>0000000000</v>
      </c>
      <c r="M1875" s="132">
        <f>INDEX('реш СГД № 265'!$A:$N,MATCH('БА расх 2019-2020'!$L1875,'реш СГД № 265'!$N:$N,0),3)</f>
        <v>0</v>
      </c>
    </row>
    <row r="1876" spans="11:13" ht="15.75">
      <c r="K1876" s="108" t="str">
        <f t="shared" si="99"/>
        <v>0000000000</v>
      </c>
      <c r="L1876" s="303" t="str">
        <f t="shared" si="100"/>
        <v>0000000000</v>
      </c>
      <c r="M1876" s="132">
        <f>INDEX('реш СГД № 265'!$A:$N,MATCH('БА расх 2019-2020'!$L1876,'реш СГД № 265'!$N:$N,0),3)</f>
        <v>0</v>
      </c>
    </row>
    <row r="1877" spans="11:13" ht="15.75">
      <c r="K1877" s="108" t="str">
        <f t="shared" si="99"/>
        <v>0000000000</v>
      </c>
      <c r="L1877" s="303" t="str">
        <f t="shared" si="100"/>
        <v>0000000000</v>
      </c>
      <c r="M1877" s="132">
        <f>INDEX('реш СГД № 265'!$A:$N,MATCH('БА расх 2019-2020'!$L1877,'реш СГД № 265'!$N:$N,0),3)</f>
        <v>0</v>
      </c>
    </row>
    <row r="1878" spans="11:13" ht="15.75">
      <c r="K1878" s="108" t="str">
        <f t="shared" si="99"/>
        <v>0000000000</v>
      </c>
      <c r="L1878" s="303" t="str">
        <f t="shared" si="100"/>
        <v>0000000000</v>
      </c>
      <c r="M1878" s="132">
        <f>INDEX('реш СГД № 265'!$A:$N,MATCH('БА расх 2019-2020'!$L1878,'реш СГД № 265'!$N:$N,0),3)</f>
        <v>0</v>
      </c>
    </row>
    <row r="1879" spans="11:13" ht="15.75">
      <c r="K1879" s="108" t="str">
        <f t="shared" si="99"/>
        <v>0000000000</v>
      </c>
      <c r="L1879" s="303" t="str">
        <f t="shared" si="100"/>
        <v>0000000000</v>
      </c>
      <c r="M1879" s="132">
        <f>INDEX('реш СГД № 265'!$A:$N,MATCH('БА расх 2019-2020'!$L1879,'реш СГД № 265'!$N:$N,0),3)</f>
        <v>0</v>
      </c>
    </row>
    <row r="1880" spans="11:13" ht="15.75">
      <c r="K1880" s="108" t="str">
        <f t="shared" si="99"/>
        <v>0000000000</v>
      </c>
      <c r="L1880" s="303" t="str">
        <f t="shared" si="100"/>
        <v>0000000000</v>
      </c>
      <c r="M1880" s="132">
        <f>INDEX('реш СГД № 265'!$A:$N,MATCH('БА расх 2019-2020'!$L1880,'реш СГД № 265'!$N:$N,0),3)</f>
        <v>0</v>
      </c>
    </row>
    <row r="1881" spans="11:13" ht="15.75">
      <c r="K1881" s="108" t="str">
        <f t="shared" si="99"/>
        <v>0000000000</v>
      </c>
      <c r="L1881" s="303" t="str">
        <f t="shared" si="100"/>
        <v>0000000000</v>
      </c>
      <c r="M1881" s="132">
        <f>INDEX('реш СГД № 265'!$A:$N,MATCH('БА расх 2019-2020'!$L1881,'реш СГД № 265'!$N:$N,0),3)</f>
        <v>0</v>
      </c>
    </row>
    <row r="1882" spans="11:13" ht="15.75">
      <c r="K1882" s="108" t="str">
        <f t="shared" si="99"/>
        <v>0000000000</v>
      </c>
      <c r="L1882" s="303" t="str">
        <f t="shared" si="100"/>
        <v>0000000000</v>
      </c>
      <c r="M1882" s="132">
        <f>INDEX('реш СГД № 265'!$A:$N,MATCH('БА расх 2019-2020'!$L1882,'реш СГД № 265'!$N:$N,0),3)</f>
        <v>0</v>
      </c>
    </row>
    <row r="1883" spans="11:13" ht="15.75">
      <c r="K1883" s="108" t="str">
        <f t="shared" si="99"/>
        <v>0000000000</v>
      </c>
      <c r="L1883" s="303" t="str">
        <f t="shared" si="100"/>
        <v>0000000000</v>
      </c>
      <c r="M1883" s="132">
        <f>INDEX('реш СГД № 265'!$A:$N,MATCH('БА расх 2019-2020'!$L1883,'реш СГД № 265'!$N:$N,0),3)</f>
        <v>0</v>
      </c>
    </row>
    <row r="1884" spans="11:13" ht="15.75">
      <c r="K1884" s="108" t="str">
        <f t="shared" si="99"/>
        <v>0000000000</v>
      </c>
      <c r="L1884" s="303" t="str">
        <f t="shared" si="100"/>
        <v>0000000000</v>
      </c>
      <c r="M1884" s="132">
        <f>INDEX('реш СГД № 265'!$A:$N,MATCH('БА расх 2019-2020'!$L1884,'реш СГД № 265'!$N:$N,0),3)</f>
        <v>0</v>
      </c>
    </row>
    <row r="1885" spans="11:13" ht="15.75">
      <c r="K1885" s="108" t="str">
        <f t="shared" si="99"/>
        <v>0000000000</v>
      </c>
      <c r="L1885" s="303" t="str">
        <f t="shared" si="100"/>
        <v>0000000000</v>
      </c>
      <c r="M1885" s="132">
        <f>INDEX('реш СГД № 265'!$A:$N,MATCH('БА расх 2019-2020'!$L1885,'реш СГД № 265'!$N:$N,0),3)</f>
        <v>0</v>
      </c>
    </row>
    <row r="1886" spans="11:13" ht="15.75">
      <c r="K1886" s="108" t="str">
        <f t="shared" si="99"/>
        <v>0000000000</v>
      </c>
      <c r="L1886" s="303" t="str">
        <f t="shared" si="100"/>
        <v>0000000000</v>
      </c>
      <c r="M1886" s="132">
        <f>INDEX('реш СГД № 265'!$A:$N,MATCH('БА расх 2019-2020'!$L1886,'реш СГД № 265'!$N:$N,0),3)</f>
        <v>0</v>
      </c>
    </row>
    <row r="1887" spans="11:13" ht="15.75">
      <c r="K1887" s="108" t="str">
        <f t="shared" si="99"/>
        <v>0000000000</v>
      </c>
      <c r="L1887" s="303" t="str">
        <f t="shared" si="100"/>
        <v>0000000000</v>
      </c>
      <c r="M1887" s="132">
        <f>INDEX('реш СГД № 265'!$A:$N,MATCH('БА расх 2019-2020'!$L1887,'реш СГД № 265'!$N:$N,0),3)</f>
        <v>0</v>
      </c>
    </row>
    <row r="1888" spans="11:13" ht="15.75">
      <c r="K1888" s="108" t="str">
        <f t="shared" si="99"/>
        <v>0000000000</v>
      </c>
      <c r="L1888" s="303" t="str">
        <f t="shared" si="100"/>
        <v>0000000000</v>
      </c>
      <c r="M1888" s="132">
        <f>INDEX('реш СГД № 265'!$A:$N,MATCH('БА расх 2019-2020'!$L1888,'реш СГД № 265'!$N:$N,0),3)</f>
        <v>0</v>
      </c>
    </row>
    <row r="1889" spans="11:13" ht="15.75">
      <c r="K1889" s="108" t="str">
        <f t="shared" si="99"/>
        <v>0000000000</v>
      </c>
      <c r="L1889" s="303" t="str">
        <f t="shared" si="100"/>
        <v>0000000000</v>
      </c>
      <c r="M1889" s="132">
        <f>INDEX('реш СГД № 265'!$A:$N,MATCH('БА расх 2019-2020'!$L1889,'реш СГД № 265'!$N:$N,0),3)</f>
        <v>0</v>
      </c>
    </row>
    <row r="1890" spans="11:13" ht="15.75">
      <c r="K1890" s="108" t="str">
        <f t="shared" si="99"/>
        <v>0000000000</v>
      </c>
      <c r="L1890" s="303" t="str">
        <f t="shared" si="100"/>
        <v>0000000000</v>
      </c>
      <c r="M1890" s="132">
        <f>INDEX('реш СГД № 265'!$A:$N,MATCH('БА расх 2019-2020'!$L1890,'реш СГД № 265'!$N:$N,0),3)</f>
        <v>0</v>
      </c>
    </row>
    <row r="1891" spans="11:13" ht="15.75">
      <c r="K1891" s="108" t="str">
        <f t="shared" si="99"/>
        <v>0000000000</v>
      </c>
      <c r="L1891" s="303" t="str">
        <f t="shared" si="100"/>
        <v>0000000000</v>
      </c>
      <c r="M1891" s="132">
        <f>INDEX('реш СГД № 265'!$A:$N,MATCH('БА расх 2019-2020'!$L1891,'реш СГД № 265'!$N:$N,0),3)</f>
        <v>0</v>
      </c>
    </row>
    <row r="1892" spans="11:13" ht="15.75">
      <c r="K1892" s="108" t="str">
        <f t="shared" ref="K1892:K1955" si="101">TEXT(J1892,"0000000000")</f>
        <v>0000000000</v>
      </c>
      <c r="L1892" s="303" t="str">
        <f t="shared" si="100"/>
        <v>0000000000</v>
      </c>
      <c r="M1892" s="132">
        <f>INDEX('реш СГД № 265'!$A:$N,MATCH('БА расх 2019-2020'!$L1892,'реш СГД № 265'!$N:$N,0),3)</f>
        <v>0</v>
      </c>
    </row>
    <row r="1893" spans="11:13" ht="15.75">
      <c r="K1893" s="108" t="str">
        <f t="shared" si="101"/>
        <v>0000000000</v>
      </c>
      <c r="L1893" s="303" t="str">
        <f t="shared" ref="L1893:L1956" si="102">C1893&amp;D1893&amp;E1893&amp;K1893&amp;G1893</f>
        <v>0000000000</v>
      </c>
      <c r="M1893" s="132">
        <f>INDEX('реш СГД № 265'!$A:$N,MATCH('БА расх 2019-2020'!$L1893,'реш СГД № 265'!$N:$N,0),3)</f>
        <v>0</v>
      </c>
    </row>
    <row r="1894" spans="11:13" ht="15.75">
      <c r="K1894" s="108" t="str">
        <f t="shared" si="101"/>
        <v>0000000000</v>
      </c>
      <c r="L1894" s="303" t="str">
        <f t="shared" si="102"/>
        <v>0000000000</v>
      </c>
      <c r="M1894" s="132">
        <f>INDEX('реш СГД № 265'!$A:$N,MATCH('БА расх 2019-2020'!$L1894,'реш СГД № 265'!$N:$N,0),3)</f>
        <v>0</v>
      </c>
    </row>
    <row r="1895" spans="11:13" ht="15.75">
      <c r="K1895" s="108" t="str">
        <f t="shared" si="101"/>
        <v>0000000000</v>
      </c>
      <c r="L1895" s="303" t="str">
        <f t="shared" si="102"/>
        <v>0000000000</v>
      </c>
      <c r="M1895" s="132">
        <f>INDEX('реш СГД № 265'!$A:$N,MATCH('БА расх 2019-2020'!$L1895,'реш СГД № 265'!$N:$N,0),3)</f>
        <v>0</v>
      </c>
    </row>
    <row r="1896" spans="11:13" ht="15.75">
      <c r="K1896" s="108" t="str">
        <f t="shared" si="101"/>
        <v>0000000000</v>
      </c>
      <c r="L1896" s="303" t="str">
        <f t="shared" si="102"/>
        <v>0000000000</v>
      </c>
      <c r="M1896" s="132">
        <f>INDEX('реш СГД № 265'!$A:$N,MATCH('БА расх 2019-2020'!$L1896,'реш СГД № 265'!$N:$N,0),3)</f>
        <v>0</v>
      </c>
    </row>
    <row r="1897" spans="11:13" ht="15.75">
      <c r="K1897" s="108" t="str">
        <f t="shared" si="101"/>
        <v>0000000000</v>
      </c>
      <c r="L1897" s="303" t="str">
        <f t="shared" si="102"/>
        <v>0000000000</v>
      </c>
      <c r="M1897" s="132">
        <f>INDEX('реш СГД № 265'!$A:$N,MATCH('БА расх 2019-2020'!$L1897,'реш СГД № 265'!$N:$N,0),3)</f>
        <v>0</v>
      </c>
    </row>
    <row r="1898" spans="11:13" ht="15.75">
      <c r="K1898" s="108" t="str">
        <f t="shared" si="101"/>
        <v>0000000000</v>
      </c>
      <c r="L1898" s="303" t="str">
        <f t="shared" si="102"/>
        <v>0000000000</v>
      </c>
      <c r="M1898" s="132">
        <f>INDEX('реш СГД № 265'!$A:$N,MATCH('БА расх 2019-2020'!$L1898,'реш СГД № 265'!$N:$N,0),3)</f>
        <v>0</v>
      </c>
    </row>
    <row r="1899" spans="11:13" ht="15.75">
      <c r="K1899" s="108" t="str">
        <f t="shared" si="101"/>
        <v>0000000000</v>
      </c>
      <c r="L1899" s="303" t="str">
        <f t="shared" si="102"/>
        <v>0000000000</v>
      </c>
      <c r="M1899" s="132">
        <f>INDEX('реш СГД № 265'!$A:$N,MATCH('БА расх 2019-2020'!$L1899,'реш СГД № 265'!$N:$N,0),3)</f>
        <v>0</v>
      </c>
    </row>
    <row r="1900" spans="11:13" ht="15.75">
      <c r="K1900" s="108" t="str">
        <f t="shared" si="101"/>
        <v>0000000000</v>
      </c>
      <c r="L1900" s="303" t="str">
        <f t="shared" si="102"/>
        <v>0000000000</v>
      </c>
      <c r="M1900" s="132">
        <f>INDEX('реш СГД № 265'!$A:$N,MATCH('БА расх 2019-2020'!$L1900,'реш СГД № 265'!$N:$N,0),3)</f>
        <v>0</v>
      </c>
    </row>
    <row r="1901" spans="11:13" ht="15.75">
      <c r="K1901" s="108" t="str">
        <f t="shared" si="101"/>
        <v>0000000000</v>
      </c>
      <c r="L1901" s="303" t="str">
        <f t="shared" si="102"/>
        <v>0000000000</v>
      </c>
      <c r="M1901" s="132">
        <f>INDEX('реш СГД № 265'!$A:$N,MATCH('БА расх 2019-2020'!$L1901,'реш СГД № 265'!$N:$N,0),3)</f>
        <v>0</v>
      </c>
    </row>
    <row r="1902" spans="11:13" ht="15.75">
      <c r="K1902" s="108" t="str">
        <f t="shared" si="101"/>
        <v>0000000000</v>
      </c>
      <c r="L1902" s="303" t="str">
        <f t="shared" si="102"/>
        <v>0000000000</v>
      </c>
      <c r="M1902" s="132">
        <f>INDEX('реш СГД № 265'!$A:$N,MATCH('БА расх 2019-2020'!$L1902,'реш СГД № 265'!$N:$N,0),3)</f>
        <v>0</v>
      </c>
    </row>
    <row r="1903" spans="11:13" ht="15.75">
      <c r="K1903" s="108" t="str">
        <f t="shared" si="101"/>
        <v>0000000000</v>
      </c>
      <c r="L1903" s="303" t="str">
        <f t="shared" si="102"/>
        <v>0000000000</v>
      </c>
      <c r="M1903" s="132">
        <f>INDEX('реш СГД № 265'!$A:$N,MATCH('БА расх 2019-2020'!$L1903,'реш СГД № 265'!$N:$N,0),3)</f>
        <v>0</v>
      </c>
    </row>
    <row r="1904" spans="11:13" ht="15.75">
      <c r="K1904" s="108" t="str">
        <f t="shared" si="101"/>
        <v>0000000000</v>
      </c>
      <c r="L1904" s="303" t="str">
        <f t="shared" si="102"/>
        <v>0000000000</v>
      </c>
      <c r="M1904" s="132">
        <f>INDEX('реш СГД № 265'!$A:$N,MATCH('БА расх 2019-2020'!$L1904,'реш СГД № 265'!$N:$N,0),3)</f>
        <v>0</v>
      </c>
    </row>
    <row r="1905" spans="11:13" ht="15.75">
      <c r="K1905" s="108" t="str">
        <f t="shared" si="101"/>
        <v>0000000000</v>
      </c>
      <c r="L1905" s="303" t="str">
        <f t="shared" si="102"/>
        <v>0000000000</v>
      </c>
      <c r="M1905" s="132">
        <f>INDEX('реш СГД № 265'!$A:$N,MATCH('БА расх 2019-2020'!$L1905,'реш СГД № 265'!$N:$N,0),3)</f>
        <v>0</v>
      </c>
    </row>
    <row r="1906" spans="11:13" ht="15.75">
      <c r="K1906" s="108" t="str">
        <f t="shared" si="101"/>
        <v>0000000000</v>
      </c>
      <c r="L1906" s="303" t="str">
        <f t="shared" si="102"/>
        <v>0000000000</v>
      </c>
      <c r="M1906" s="132">
        <f>INDEX('реш СГД № 265'!$A:$N,MATCH('БА расх 2019-2020'!$L1906,'реш СГД № 265'!$N:$N,0),3)</f>
        <v>0</v>
      </c>
    </row>
    <row r="1907" spans="11:13" ht="15.75">
      <c r="K1907" s="108" t="str">
        <f t="shared" si="101"/>
        <v>0000000000</v>
      </c>
      <c r="L1907" s="303" t="str">
        <f t="shared" si="102"/>
        <v>0000000000</v>
      </c>
      <c r="M1907" s="132">
        <f>INDEX('реш СГД № 265'!$A:$N,MATCH('БА расх 2019-2020'!$L1907,'реш СГД № 265'!$N:$N,0),3)</f>
        <v>0</v>
      </c>
    </row>
    <row r="1908" spans="11:13" ht="15.75">
      <c r="K1908" s="108" t="str">
        <f t="shared" si="101"/>
        <v>0000000000</v>
      </c>
      <c r="L1908" s="303" t="str">
        <f t="shared" si="102"/>
        <v>0000000000</v>
      </c>
      <c r="M1908" s="132">
        <f>INDEX('реш СГД № 265'!$A:$N,MATCH('БА расх 2019-2020'!$L1908,'реш СГД № 265'!$N:$N,0),3)</f>
        <v>0</v>
      </c>
    </row>
    <row r="1909" spans="11:13" ht="15.75">
      <c r="K1909" s="108" t="str">
        <f t="shared" si="101"/>
        <v>0000000000</v>
      </c>
      <c r="L1909" s="303" t="str">
        <f t="shared" si="102"/>
        <v>0000000000</v>
      </c>
      <c r="M1909" s="132">
        <f>INDEX('реш СГД № 265'!$A:$N,MATCH('БА расх 2019-2020'!$L1909,'реш СГД № 265'!$N:$N,0),3)</f>
        <v>0</v>
      </c>
    </row>
    <row r="1910" spans="11:13" ht="15.75">
      <c r="K1910" s="108" t="str">
        <f t="shared" si="101"/>
        <v>0000000000</v>
      </c>
      <c r="L1910" s="303" t="str">
        <f t="shared" si="102"/>
        <v>0000000000</v>
      </c>
      <c r="M1910" s="132">
        <f>INDEX('реш СГД № 265'!$A:$N,MATCH('БА расх 2019-2020'!$L1910,'реш СГД № 265'!$N:$N,0),3)</f>
        <v>0</v>
      </c>
    </row>
    <row r="1911" spans="11:13" ht="15.75">
      <c r="K1911" s="108" t="str">
        <f t="shared" si="101"/>
        <v>0000000000</v>
      </c>
      <c r="L1911" s="303" t="str">
        <f t="shared" si="102"/>
        <v>0000000000</v>
      </c>
      <c r="M1911" s="132">
        <f>INDEX('реш СГД № 265'!$A:$N,MATCH('БА расх 2019-2020'!$L1911,'реш СГД № 265'!$N:$N,0),3)</f>
        <v>0</v>
      </c>
    </row>
    <row r="1912" spans="11:13" ht="15.75">
      <c r="K1912" s="108" t="str">
        <f t="shared" si="101"/>
        <v>0000000000</v>
      </c>
      <c r="L1912" s="303" t="str">
        <f t="shared" si="102"/>
        <v>0000000000</v>
      </c>
      <c r="M1912" s="132">
        <f>INDEX('реш СГД № 265'!$A:$N,MATCH('БА расх 2019-2020'!$L1912,'реш СГД № 265'!$N:$N,0),3)</f>
        <v>0</v>
      </c>
    </row>
    <row r="1913" spans="11:13" ht="15.75">
      <c r="K1913" s="108" t="str">
        <f t="shared" si="101"/>
        <v>0000000000</v>
      </c>
      <c r="L1913" s="303" t="str">
        <f t="shared" si="102"/>
        <v>0000000000</v>
      </c>
      <c r="M1913" s="132">
        <f>INDEX('реш СГД № 265'!$A:$N,MATCH('БА расх 2019-2020'!$L1913,'реш СГД № 265'!$N:$N,0),3)</f>
        <v>0</v>
      </c>
    </row>
    <row r="1914" spans="11:13" ht="15.75">
      <c r="K1914" s="108" t="str">
        <f t="shared" si="101"/>
        <v>0000000000</v>
      </c>
      <c r="L1914" s="303" t="str">
        <f t="shared" si="102"/>
        <v>0000000000</v>
      </c>
      <c r="M1914" s="132">
        <f>INDEX('реш СГД № 265'!$A:$N,MATCH('БА расх 2019-2020'!$L1914,'реш СГД № 265'!$N:$N,0),3)</f>
        <v>0</v>
      </c>
    </row>
    <row r="1915" spans="11:13" ht="15.75">
      <c r="K1915" s="108" t="str">
        <f t="shared" si="101"/>
        <v>0000000000</v>
      </c>
      <c r="L1915" s="303" t="str">
        <f t="shared" si="102"/>
        <v>0000000000</v>
      </c>
      <c r="M1915" s="132">
        <f>INDEX('реш СГД № 265'!$A:$N,MATCH('БА расх 2019-2020'!$L1915,'реш СГД № 265'!$N:$N,0),3)</f>
        <v>0</v>
      </c>
    </row>
    <row r="1916" spans="11:13" ht="15.75">
      <c r="K1916" s="108" t="str">
        <f t="shared" si="101"/>
        <v>0000000000</v>
      </c>
      <c r="L1916" s="303" t="str">
        <f t="shared" si="102"/>
        <v>0000000000</v>
      </c>
      <c r="M1916" s="132">
        <f>INDEX('реш СГД № 265'!$A:$N,MATCH('БА расх 2019-2020'!$L1916,'реш СГД № 265'!$N:$N,0),3)</f>
        <v>0</v>
      </c>
    </row>
    <row r="1917" spans="11:13" ht="15.75">
      <c r="K1917" s="108" t="str">
        <f t="shared" si="101"/>
        <v>0000000000</v>
      </c>
      <c r="L1917" s="303" t="str">
        <f t="shared" si="102"/>
        <v>0000000000</v>
      </c>
      <c r="M1917" s="132">
        <f>INDEX('реш СГД № 265'!$A:$N,MATCH('БА расх 2019-2020'!$L1917,'реш СГД № 265'!$N:$N,0),3)</f>
        <v>0</v>
      </c>
    </row>
    <row r="1918" spans="11:13" ht="15.75">
      <c r="K1918" s="108" t="str">
        <f t="shared" si="101"/>
        <v>0000000000</v>
      </c>
      <c r="L1918" s="303" t="str">
        <f t="shared" si="102"/>
        <v>0000000000</v>
      </c>
      <c r="M1918" s="132">
        <f>INDEX('реш СГД № 265'!$A:$N,MATCH('БА расх 2019-2020'!$L1918,'реш СГД № 265'!$N:$N,0),3)</f>
        <v>0</v>
      </c>
    </row>
    <row r="1919" spans="11:13" ht="15.75">
      <c r="K1919" s="108" t="str">
        <f t="shared" si="101"/>
        <v>0000000000</v>
      </c>
      <c r="L1919" s="303" t="str">
        <f t="shared" si="102"/>
        <v>0000000000</v>
      </c>
      <c r="M1919" s="132">
        <f>INDEX('реш СГД № 265'!$A:$N,MATCH('БА расх 2019-2020'!$L1919,'реш СГД № 265'!$N:$N,0),3)</f>
        <v>0</v>
      </c>
    </row>
    <row r="1920" spans="11:13" ht="15.75">
      <c r="K1920" s="108" t="str">
        <f t="shared" si="101"/>
        <v>0000000000</v>
      </c>
      <c r="L1920" s="303" t="str">
        <f t="shared" si="102"/>
        <v>0000000000</v>
      </c>
      <c r="M1920" s="132">
        <f>INDEX('реш СГД № 265'!$A:$N,MATCH('БА расх 2019-2020'!$L1920,'реш СГД № 265'!$N:$N,0),3)</f>
        <v>0</v>
      </c>
    </row>
    <row r="1921" spans="11:13" ht="15.75">
      <c r="K1921" s="108" t="str">
        <f t="shared" si="101"/>
        <v>0000000000</v>
      </c>
      <c r="L1921" s="303" t="str">
        <f t="shared" si="102"/>
        <v>0000000000</v>
      </c>
      <c r="M1921" s="132">
        <f>INDEX('реш СГД № 265'!$A:$N,MATCH('БА расх 2019-2020'!$L1921,'реш СГД № 265'!$N:$N,0),3)</f>
        <v>0</v>
      </c>
    </row>
    <row r="1922" spans="11:13" ht="15.75">
      <c r="K1922" s="108" t="str">
        <f t="shared" si="101"/>
        <v>0000000000</v>
      </c>
      <c r="L1922" s="303" t="str">
        <f t="shared" si="102"/>
        <v>0000000000</v>
      </c>
      <c r="M1922" s="132">
        <f>INDEX('реш СГД № 265'!$A:$N,MATCH('БА расх 2019-2020'!$L1922,'реш СГД № 265'!$N:$N,0),3)</f>
        <v>0</v>
      </c>
    </row>
    <row r="1923" spans="11:13" ht="15.75">
      <c r="K1923" s="108" t="str">
        <f t="shared" si="101"/>
        <v>0000000000</v>
      </c>
      <c r="L1923" s="303" t="str">
        <f t="shared" si="102"/>
        <v>0000000000</v>
      </c>
      <c r="M1923" s="132">
        <f>INDEX('реш СГД № 265'!$A:$N,MATCH('БА расх 2019-2020'!$L1923,'реш СГД № 265'!$N:$N,0),3)</f>
        <v>0</v>
      </c>
    </row>
    <row r="1924" spans="11:13" ht="15.75">
      <c r="K1924" s="108" t="str">
        <f t="shared" si="101"/>
        <v>0000000000</v>
      </c>
      <c r="L1924" s="303" t="str">
        <f t="shared" si="102"/>
        <v>0000000000</v>
      </c>
      <c r="M1924" s="132">
        <f>INDEX('реш СГД № 265'!$A:$N,MATCH('БА расх 2019-2020'!$L1924,'реш СГД № 265'!$N:$N,0),3)</f>
        <v>0</v>
      </c>
    </row>
    <row r="1925" spans="11:13" ht="15.75">
      <c r="K1925" s="108" t="str">
        <f t="shared" si="101"/>
        <v>0000000000</v>
      </c>
      <c r="L1925" s="303" t="str">
        <f t="shared" si="102"/>
        <v>0000000000</v>
      </c>
      <c r="M1925" s="132">
        <f>INDEX('реш СГД № 265'!$A:$N,MATCH('БА расх 2019-2020'!$L1925,'реш СГД № 265'!$N:$N,0),3)</f>
        <v>0</v>
      </c>
    </row>
    <row r="1926" spans="11:13" ht="15.75">
      <c r="K1926" s="108" t="str">
        <f t="shared" si="101"/>
        <v>0000000000</v>
      </c>
      <c r="L1926" s="303" t="str">
        <f t="shared" si="102"/>
        <v>0000000000</v>
      </c>
      <c r="M1926" s="132">
        <f>INDEX('реш СГД № 265'!$A:$N,MATCH('БА расх 2019-2020'!$L1926,'реш СГД № 265'!$N:$N,0),3)</f>
        <v>0</v>
      </c>
    </row>
    <row r="1927" spans="11:13" ht="15.75">
      <c r="K1927" s="108" t="str">
        <f t="shared" si="101"/>
        <v>0000000000</v>
      </c>
      <c r="L1927" s="303" t="str">
        <f t="shared" si="102"/>
        <v>0000000000</v>
      </c>
      <c r="M1927" s="132">
        <f>INDEX('реш СГД № 265'!$A:$N,MATCH('БА расх 2019-2020'!$L1927,'реш СГД № 265'!$N:$N,0),3)</f>
        <v>0</v>
      </c>
    </row>
    <row r="1928" spans="11:13" ht="15.75">
      <c r="K1928" s="108" t="str">
        <f t="shared" si="101"/>
        <v>0000000000</v>
      </c>
      <c r="L1928" s="303" t="str">
        <f t="shared" si="102"/>
        <v>0000000000</v>
      </c>
      <c r="M1928" s="132">
        <f>INDEX('реш СГД № 265'!$A:$N,MATCH('БА расх 2019-2020'!$L1928,'реш СГД № 265'!$N:$N,0),3)</f>
        <v>0</v>
      </c>
    </row>
    <row r="1929" spans="11:13" ht="15.75">
      <c r="K1929" s="108" t="str">
        <f t="shared" si="101"/>
        <v>0000000000</v>
      </c>
      <c r="L1929" s="303" t="str">
        <f t="shared" si="102"/>
        <v>0000000000</v>
      </c>
      <c r="M1929" s="132">
        <f>INDEX('реш СГД № 265'!$A:$N,MATCH('БА расх 2019-2020'!$L1929,'реш СГД № 265'!$N:$N,0),3)</f>
        <v>0</v>
      </c>
    </row>
    <row r="1930" spans="11:13" ht="15.75">
      <c r="K1930" s="108" t="str">
        <f t="shared" si="101"/>
        <v>0000000000</v>
      </c>
      <c r="L1930" s="303" t="str">
        <f t="shared" si="102"/>
        <v>0000000000</v>
      </c>
      <c r="M1930" s="132">
        <f>INDEX('реш СГД № 265'!$A:$N,MATCH('БА расх 2019-2020'!$L1930,'реш СГД № 265'!$N:$N,0),3)</f>
        <v>0</v>
      </c>
    </row>
    <row r="1931" spans="11:13" ht="15.75">
      <c r="K1931" s="108" t="str">
        <f t="shared" si="101"/>
        <v>0000000000</v>
      </c>
      <c r="L1931" s="303" t="str">
        <f t="shared" si="102"/>
        <v>0000000000</v>
      </c>
      <c r="M1931" s="132">
        <f>INDEX('реш СГД № 265'!$A:$N,MATCH('БА расх 2019-2020'!$L1931,'реш СГД № 265'!$N:$N,0),3)</f>
        <v>0</v>
      </c>
    </row>
    <row r="1932" spans="11:13" ht="15.75">
      <c r="K1932" s="108" t="str">
        <f t="shared" si="101"/>
        <v>0000000000</v>
      </c>
      <c r="L1932" s="303" t="str">
        <f t="shared" si="102"/>
        <v>0000000000</v>
      </c>
      <c r="M1932" s="132">
        <f>INDEX('реш СГД № 265'!$A:$N,MATCH('БА расх 2019-2020'!$L1932,'реш СГД № 265'!$N:$N,0),3)</f>
        <v>0</v>
      </c>
    </row>
    <row r="1933" spans="11:13" ht="15.75">
      <c r="K1933" s="108" t="str">
        <f t="shared" si="101"/>
        <v>0000000000</v>
      </c>
      <c r="L1933" s="303" t="str">
        <f t="shared" si="102"/>
        <v>0000000000</v>
      </c>
      <c r="M1933" s="132">
        <f>INDEX('реш СГД № 265'!$A:$N,MATCH('БА расх 2019-2020'!$L1933,'реш СГД № 265'!$N:$N,0),3)</f>
        <v>0</v>
      </c>
    </row>
    <row r="1934" spans="11:13" ht="15.75">
      <c r="K1934" s="108" t="str">
        <f t="shared" si="101"/>
        <v>0000000000</v>
      </c>
      <c r="L1934" s="303" t="str">
        <f t="shared" si="102"/>
        <v>0000000000</v>
      </c>
      <c r="M1934" s="132">
        <f>INDEX('реш СГД № 265'!$A:$N,MATCH('БА расх 2019-2020'!$L1934,'реш СГД № 265'!$N:$N,0),3)</f>
        <v>0</v>
      </c>
    </row>
    <row r="1935" spans="11:13" ht="15.75">
      <c r="K1935" s="108" t="str">
        <f t="shared" si="101"/>
        <v>0000000000</v>
      </c>
      <c r="L1935" s="303" t="str">
        <f t="shared" si="102"/>
        <v>0000000000</v>
      </c>
      <c r="M1935" s="132">
        <f>INDEX('реш СГД № 265'!$A:$N,MATCH('БА расх 2019-2020'!$L1935,'реш СГД № 265'!$N:$N,0),3)</f>
        <v>0</v>
      </c>
    </row>
    <row r="1936" spans="11:13" ht="15.75">
      <c r="K1936" s="108" t="str">
        <f t="shared" si="101"/>
        <v>0000000000</v>
      </c>
      <c r="L1936" s="303" t="str">
        <f t="shared" si="102"/>
        <v>0000000000</v>
      </c>
      <c r="M1936" s="132">
        <f>INDEX('реш СГД № 265'!$A:$N,MATCH('БА расх 2019-2020'!$L1936,'реш СГД № 265'!$N:$N,0),3)</f>
        <v>0</v>
      </c>
    </row>
    <row r="1937" spans="11:13" ht="15.75">
      <c r="K1937" s="108" t="str">
        <f t="shared" si="101"/>
        <v>0000000000</v>
      </c>
      <c r="L1937" s="303" t="str">
        <f t="shared" si="102"/>
        <v>0000000000</v>
      </c>
      <c r="M1937" s="132">
        <f>INDEX('реш СГД № 265'!$A:$N,MATCH('БА расх 2019-2020'!$L1937,'реш СГД № 265'!$N:$N,0),3)</f>
        <v>0</v>
      </c>
    </row>
    <row r="1938" spans="11:13" ht="15.75">
      <c r="K1938" s="108" t="str">
        <f t="shared" si="101"/>
        <v>0000000000</v>
      </c>
      <c r="L1938" s="303" t="str">
        <f t="shared" si="102"/>
        <v>0000000000</v>
      </c>
      <c r="M1938" s="132">
        <f>INDEX('реш СГД № 265'!$A:$N,MATCH('БА расх 2019-2020'!$L1938,'реш СГД № 265'!$N:$N,0),3)</f>
        <v>0</v>
      </c>
    </row>
    <row r="1939" spans="11:13" ht="15.75">
      <c r="K1939" s="108" t="str">
        <f t="shared" si="101"/>
        <v>0000000000</v>
      </c>
      <c r="L1939" s="303" t="str">
        <f t="shared" si="102"/>
        <v>0000000000</v>
      </c>
      <c r="M1939" s="132">
        <f>INDEX('реш СГД № 265'!$A:$N,MATCH('БА расх 2019-2020'!$L1939,'реш СГД № 265'!$N:$N,0),3)</f>
        <v>0</v>
      </c>
    </row>
    <row r="1940" spans="11:13" ht="15.75">
      <c r="K1940" s="108" t="str">
        <f t="shared" si="101"/>
        <v>0000000000</v>
      </c>
      <c r="L1940" s="303" t="str">
        <f t="shared" si="102"/>
        <v>0000000000</v>
      </c>
      <c r="M1940" s="132">
        <f>INDEX('реш СГД № 265'!$A:$N,MATCH('БА расх 2019-2020'!$L1940,'реш СГД № 265'!$N:$N,0),3)</f>
        <v>0</v>
      </c>
    </row>
    <row r="1941" spans="11:13" ht="15.75">
      <c r="K1941" s="108" t="str">
        <f t="shared" si="101"/>
        <v>0000000000</v>
      </c>
      <c r="L1941" s="303" t="str">
        <f t="shared" si="102"/>
        <v>0000000000</v>
      </c>
      <c r="M1941" s="132">
        <f>INDEX('реш СГД № 265'!$A:$N,MATCH('БА расх 2019-2020'!$L1941,'реш СГД № 265'!$N:$N,0),3)</f>
        <v>0</v>
      </c>
    </row>
    <row r="1942" spans="11:13" ht="15.75">
      <c r="K1942" s="108" t="str">
        <f t="shared" si="101"/>
        <v>0000000000</v>
      </c>
      <c r="L1942" s="303" t="str">
        <f t="shared" si="102"/>
        <v>0000000000</v>
      </c>
      <c r="M1942" s="132">
        <f>INDEX('реш СГД № 265'!$A:$N,MATCH('БА расх 2019-2020'!$L1942,'реш СГД № 265'!$N:$N,0),3)</f>
        <v>0</v>
      </c>
    </row>
    <row r="1943" spans="11:13" ht="15.75">
      <c r="K1943" s="108" t="str">
        <f t="shared" si="101"/>
        <v>0000000000</v>
      </c>
      <c r="L1943" s="303" t="str">
        <f t="shared" si="102"/>
        <v>0000000000</v>
      </c>
      <c r="M1943" s="132">
        <f>INDEX('реш СГД № 265'!$A:$N,MATCH('БА расх 2019-2020'!$L1943,'реш СГД № 265'!$N:$N,0),3)</f>
        <v>0</v>
      </c>
    </row>
    <row r="1944" spans="11:13" ht="15.75">
      <c r="K1944" s="108" t="str">
        <f t="shared" si="101"/>
        <v>0000000000</v>
      </c>
      <c r="L1944" s="303" t="str">
        <f t="shared" si="102"/>
        <v>0000000000</v>
      </c>
      <c r="M1944" s="132">
        <f>INDEX('реш СГД № 265'!$A:$N,MATCH('БА расх 2019-2020'!$L1944,'реш СГД № 265'!$N:$N,0),3)</f>
        <v>0</v>
      </c>
    </row>
    <row r="1945" spans="11:13" ht="15.75">
      <c r="K1945" s="108" t="str">
        <f t="shared" si="101"/>
        <v>0000000000</v>
      </c>
      <c r="L1945" s="303" t="str">
        <f t="shared" si="102"/>
        <v>0000000000</v>
      </c>
      <c r="M1945" s="132">
        <f>INDEX('реш СГД № 265'!$A:$N,MATCH('БА расх 2019-2020'!$L1945,'реш СГД № 265'!$N:$N,0),3)</f>
        <v>0</v>
      </c>
    </row>
    <row r="1946" spans="11:13" ht="15.75">
      <c r="K1946" s="108" t="str">
        <f t="shared" si="101"/>
        <v>0000000000</v>
      </c>
      <c r="L1946" s="303" t="str">
        <f t="shared" si="102"/>
        <v>0000000000</v>
      </c>
      <c r="M1946" s="132">
        <f>INDEX('реш СГД № 265'!$A:$N,MATCH('БА расх 2019-2020'!$L1946,'реш СГД № 265'!$N:$N,0),3)</f>
        <v>0</v>
      </c>
    </row>
    <row r="1947" spans="11:13" ht="15.75">
      <c r="K1947" s="108" t="str">
        <f t="shared" si="101"/>
        <v>0000000000</v>
      </c>
      <c r="L1947" s="303" t="str">
        <f t="shared" si="102"/>
        <v>0000000000</v>
      </c>
      <c r="M1947" s="132">
        <f>INDEX('реш СГД № 265'!$A:$N,MATCH('БА расх 2019-2020'!$L1947,'реш СГД № 265'!$N:$N,0),3)</f>
        <v>0</v>
      </c>
    </row>
    <row r="1948" spans="11:13" ht="15.75">
      <c r="K1948" s="108" t="str">
        <f t="shared" si="101"/>
        <v>0000000000</v>
      </c>
      <c r="L1948" s="303" t="str">
        <f t="shared" si="102"/>
        <v>0000000000</v>
      </c>
      <c r="M1948" s="132">
        <f>INDEX('реш СГД № 265'!$A:$N,MATCH('БА расх 2019-2020'!$L1948,'реш СГД № 265'!$N:$N,0),3)</f>
        <v>0</v>
      </c>
    </row>
    <row r="1949" spans="11:13" ht="15.75">
      <c r="K1949" s="108" t="str">
        <f t="shared" si="101"/>
        <v>0000000000</v>
      </c>
      <c r="L1949" s="303" t="str">
        <f t="shared" si="102"/>
        <v>0000000000</v>
      </c>
      <c r="M1949" s="132">
        <f>INDEX('реш СГД № 265'!$A:$N,MATCH('БА расх 2019-2020'!$L1949,'реш СГД № 265'!$N:$N,0),3)</f>
        <v>0</v>
      </c>
    </row>
    <row r="1950" spans="11:13" ht="15.75">
      <c r="K1950" s="108" t="str">
        <f t="shared" si="101"/>
        <v>0000000000</v>
      </c>
      <c r="L1950" s="303" t="str">
        <f t="shared" si="102"/>
        <v>0000000000</v>
      </c>
      <c r="M1950" s="132">
        <f>INDEX('реш СГД № 265'!$A:$N,MATCH('БА расх 2019-2020'!$L1950,'реш СГД № 265'!$N:$N,0),3)</f>
        <v>0</v>
      </c>
    </row>
    <row r="1951" spans="11:13" ht="15.75">
      <c r="K1951" s="108" t="str">
        <f t="shared" si="101"/>
        <v>0000000000</v>
      </c>
      <c r="L1951" s="303" t="str">
        <f t="shared" si="102"/>
        <v>0000000000</v>
      </c>
      <c r="M1951" s="132">
        <f>INDEX('реш СГД № 265'!$A:$N,MATCH('БА расх 2019-2020'!$L1951,'реш СГД № 265'!$N:$N,0),3)</f>
        <v>0</v>
      </c>
    </row>
    <row r="1952" spans="11:13" ht="15.75">
      <c r="K1952" s="108" t="str">
        <f t="shared" si="101"/>
        <v>0000000000</v>
      </c>
      <c r="L1952" s="303" t="str">
        <f t="shared" si="102"/>
        <v>0000000000</v>
      </c>
      <c r="M1952" s="132">
        <f>INDEX('реш СГД № 265'!$A:$N,MATCH('БА расх 2019-2020'!$L1952,'реш СГД № 265'!$N:$N,0),3)</f>
        <v>0</v>
      </c>
    </row>
    <row r="1953" spans="11:13" ht="15.75">
      <c r="K1953" s="108" t="str">
        <f t="shared" si="101"/>
        <v>0000000000</v>
      </c>
      <c r="L1953" s="303" t="str">
        <f t="shared" si="102"/>
        <v>0000000000</v>
      </c>
      <c r="M1953" s="132">
        <f>INDEX('реш СГД № 265'!$A:$N,MATCH('БА расх 2019-2020'!$L1953,'реш СГД № 265'!$N:$N,0),3)</f>
        <v>0</v>
      </c>
    </row>
    <row r="1954" spans="11:13" ht="15.75">
      <c r="K1954" s="108" t="str">
        <f t="shared" si="101"/>
        <v>0000000000</v>
      </c>
      <c r="L1954" s="303" t="str">
        <f t="shared" si="102"/>
        <v>0000000000</v>
      </c>
      <c r="M1954" s="132">
        <f>INDEX('реш СГД № 265'!$A:$N,MATCH('БА расх 2019-2020'!$L1954,'реш СГД № 265'!$N:$N,0),3)</f>
        <v>0</v>
      </c>
    </row>
    <row r="1955" spans="11:13" ht="15.75">
      <c r="K1955" s="108" t="str">
        <f t="shared" si="101"/>
        <v>0000000000</v>
      </c>
      <c r="L1955" s="303" t="str">
        <f t="shared" si="102"/>
        <v>0000000000</v>
      </c>
      <c r="M1955" s="132">
        <f>INDEX('реш СГД № 265'!$A:$N,MATCH('БА расх 2019-2020'!$L1955,'реш СГД № 265'!$N:$N,0),3)</f>
        <v>0</v>
      </c>
    </row>
    <row r="1956" spans="11:13" ht="15.75">
      <c r="K1956" s="108" t="str">
        <f t="shared" ref="K1956:K2019" si="103">TEXT(J1956,"0000000000")</f>
        <v>0000000000</v>
      </c>
      <c r="L1956" s="303" t="str">
        <f t="shared" si="102"/>
        <v>0000000000</v>
      </c>
      <c r="M1956" s="132">
        <f>INDEX('реш СГД № 265'!$A:$N,MATCH('БА расх 2019-2020'!$L1956,'реш СГД № 265'!$N:$N,0),3)</f>
        <v>0</v>
      </c>
    </row>
    <row r="1957" spans="11:13" ht="15.75">
      <c r="K1957" s="108" t="str">
        <f t="shared" si="103"/>
        <v>0000000000</v>
      </c>
      <c r="L1957" s="303" t="str">
        <f t="shared" ref="L1957:L2020" si="104">C1957&amp;D1957&amp;E1957&amp;K1957&amp;G1957</f>
        <v>0000000000</v>
      </c>
      <c r="M1957" s="132">
        <f>INDEX('реш СГД № 265'!$A:$N,MATCH('БА расх 2019-2020'!$L1957,'реш СГД № 265'!$N:$N,0),3)</f>
        <v>0</v>
      </c>
    </row>
    <row r="1958" spans="11:13" ht="15.75">
      <c r="K1958" s="108" t="str">
        <f t="shared" si="103"/>
        <v>0000000000</v>
      </c>
      <c r="L1958" s="303" t="str">
        <f t="shared" si="104"/>
        <v>0000000000</v>
      </c>
      <c r="M1958" s="132">
        <f>INDEX('реш СГД № 265'!$A:$N,MATCH('БА расх 2019-2020'!$L1958,'реш СГД № 265'!$N:$N,0),3)</f>
        <v>0</v>
      </c>
    </row>
    <row r="1959" spans="11:13" ht="15.75">
      <c r="K1959" s="108" t="str">
        <f t="shared" si="103"/>
        <v>0000000000</v>
      </c>
      <c r="L1959" s="303" t="str">
        <f t="shared" si="104"/>
        <v>0000000000</v>
      </c>
      <c r="M1959" s="132">
        <f>INDEX('реш СГД № 265'!$A:$N,MATCH('БА расх 2019-2020'!$L1959,'реш СГД № 265'!$N:$N,0),3)</f>
        <v>0</v>
      </c>
    </row>
    <row r="1960" spans="11:13" ht="15.75">
      <c r="K1960" s="108" t="str">
        <f t="shared" si="103"/>
        <v>0000000000</v>
      </c>
      <c r="L1960" s="303" t="str">
        <f t="shared" si="104"/>
        <v>0000000000</v>
      </c>
      <c r="M1960" s="132">
        <f>INDEX('реш СГД № 265'!$A:$N,MATCH('БА расх 2019-2020'!$L1960,'реш СГД № 265'!$N:$N,0),3)</f>
        <v>0</v>
      </c>
    </row>
    <row r="1961" spans="11:13" ht="15.75">
      <c r="K1961" s="108" t="str">
        <f t="shared" si="103"/>
        <v>0000000000</v>
      </c>
      <c r="L1961" s="303" t="str">
        <f t="shared" si="104"/>
        <v>0000000000</v>
      </c>
      <c r="M1961" s="132">
        <f>INDEX('реш СГД № 265'!$A:$N,MATCH('БА расх 2019-2020'!$L1961,'реш СГД № 265'!$N:$N,0),3)</f>
        <v>0</v>
      </c>
    </row>
    <row r="1962" spans="11:13" ht="15.75">
      <c r="K1962" s="108" t="str">
        <f t="shared" si="103"/>
        <v>0000000000</v>
      </c>
      <c r="L1962" s="303" t="str">
        <f t="shared" si="104"/>
        <v>0000000000</v>
      </c>
      <c r="M1962" s="132">
        <f>INDEX('реш СГД № 265'!$A:$N,MATCH('БА расх 2019-2020'!$L1962,'реш СГД № 265'!$N:$N,0),3)</f>
        <v>0</v>
      </c>
    </row>
    <row r="1963" spans="11:13" ht="15.75">
      <c r="K1963" s="108" t="str">
        <f t="shared" si="103"/>
        <v>0000000000</v>
      </c>
      <c r="L1963" s="303" t="str">
        <f t="shared" si="104"/>
        <v>0000000000</v>
      </c>
      <c r="M1963" s="132">
        <f>INDEX('реш СГД № 265'!$A:$N,MATCH('БА расх 2019-2020'!$L1963,'реш СГД № 265'!$N:$N,0),3)</f>
        <v>0</v>
      </c>
    </row>
    <row r="1964" spans="11:13" ht="15.75">
      <c r="K1964" s="108" t="str">
        <f t="shared" si="103"/>
        <v>0000000000</v>
      </c>
      <c r="L1964" s="303" t="str">
        <f t="shared" si="104"/>
        <v>0000000000</v>
      </c>
      <c r="M1964" s="132">
        <f>INDEX('реш СГД № 265'!$A:$N,MATCH('БА расх 2019-2020'!$L1964,'реш СГД № 265'!$N:$N,0),3)</f>
        <v>0</v>
      </c>
    </row>
    <row r="1965" spans="11:13" ht="15.75">
      <c r="K1965" s="108" t="str">
        <f t="shared" si="103"/>
        <v>0000000000</v>
      </c>
      <c r="L1965" s="303" t="str">
        <f t="shared" si="104"/>
        <v>0000000000</v>
      </c>
      <c r="M1965" s="132">
        <f>INDEX('реш СГД № 265'!$A:$N,MATCH('БА расх 2019-2020'!$L1965,'реш СГД № 265'!$N:$N,0),3)</f>
        <v>0</v>
      </c>
    </row>
    <row r="1966" spans="11:13" ht="15.75">
      <c r="K1966" s="108" t="str">
        <f t="shared" si="103"/>
        <v>0000000000</v>
      </c>
      <c r="L1966" s="303" t="str">
        <f t="shared" si="104"/>
        <v>0000000000</v>
      </c>
      <c r="M1966" s="132">
        <f>INDEX('реш СГД № 265'!$A:$N,MATCH('БА расх 2019-2020'!$L1966,'реш СГД № 265'!$N:$N,0),3)</f>
        <v>0</v>
      </c>
    </row>
    <row r="1967" spans="11:13" ht="15.75">
      <c r="K1967" s="108" t="str">
        <f t="shared" si="103"/>
        <v>0000000000</v>
      </c>
      <c r="L1967" s="303" t="str">
        <f t="shared" si="104"/>
        <v>0000000000</v>
      </c>
      <c r="M1967" s="132">
        <f>INDEX('реш СГД № 265'!$A:$N,MATCH('БА расх 2019-2020'!$L1967,'реш СГД № 265'!$N:$N,0),3)</f>
        <v>0</v>
      </c>
    </row>
    <row r="1968" spans="11:13" ht="15.75">
      <c r="K1968" s="108" t="str">
        <f t="shared" si="103"/>
        <v>0000000000</v>
      </c>
      <c r="L1968" s="303" t="str">
        <f t="shared" si="104"/>
        <v>0000000000</v>
      </c>
      <c r="M1968" s="132">
        <f>INDEX('реш СГД № 265'!$A:$N,MATCH('БА расх 2019-2020'!$L1968,'реш СГД № 265'!$N:$N,0),3)</f>
        <v>0</v>
      </c>
    </row>
    <row r="1969" spans="11:13" ht="15.75">
      <c r="K1969" s="108" t="str">
        <f t="shared" si="103"/>
        <v>0000000000</v>
      </c>
      <c r="L1969" s="303" t="str">
        <f t="shared" si="104"/>
        <v>0000000000</v>
      </c>
      <c r="M1969" s="132">
        <f>INDEX('реш СГД № 265'!$A:$N,MATCH('БА расх 2019-2020'!$L1969,'реш СГД № 265'!$N:$N,0),3)</f>
        <v>0</v>
      </c>
    </row>
    <row r="1970" spans="11:13" ht="15.75">
      <c r="K1970" s="108" t="str">
        <f t="shared" si="103"/>
        <v>0000000000</v>
      </c>
      <c r="L1970" s="303" t="str">
        <f t="shared" si="104"/>
        <v>0000000000</v>
      </c>
      <c r="M1970" s="132">
        <f>INDEX('реш СГД № 265'!$A:$N,MATCH('БА расх 2019-2020'!$L1970,'реш СГД № 265'!$N:$N,0),3)</f>
        <v>0</v>
      </c>
    </row>
    <row r="1971" spans="11:13" ht="15.75">
      <c r="K1971" s="108" t="str">
        <f t="shared" si="103"/>
        <v>0000000000</v>
      </c>
      <c r="L1971" s="303" t="str">
        <f t="shared" si="104"/>
        <v>0000000000</v>
      </c>
      <c r="M1971" s="132">
        <f>INDEX('реш СГД № 265'!$A:$N,MATCH('БА расх 2019-2020'!$L1971,'реш СГД № 265'!$N:$N,0),3)</f>
        <v>0</v>
      </c>
    </row>
    <row r="1972" spans="11:13" ht="15.75">
      <c r="K1972" s="108" t="str">
        <f t="shared" si="103"/>
        <v>0000000000</v>
      </c>
      <c r="L1972" s="303" t="str">
        <f t="shared" si="104"/>
        <v>0000000000</v>
      </c>
      <c r="M1972" s="132">
        <f>INDEX('реш СГД № 265'!$A:$N,MATCH('БА расх 2019-2020'!$L1972,'реш СГД № 265'!$N:$N,0),3)</f>
        <v>0</v>
      </c>
    </row>
    <row r="1973" spans="11:13" ht="15.75">
      <c r="K1973" s="108" t="str">
        <f t="shared" si="103"/>
        <v>0000000000</v>
      </c>
      <c r="L1973" s="303" t="str">
        <f t="shared" si="104"/>
        <v>0000000000</v>
      </c>
      <c r="M1973" s="132">
        <f>INDEX('реш СГД № 265'!$A:$N,MATCH('БА расх 2019-2020'!$L1973,'реш СГД № 265'!$N:$N,0),3)</f>
        <v>0</v>
      </c>
    </row>
    <row r="1974" spans="11:13" ht="15.75">
      <c r="K1974" s="108" t="str">
        <f t="shared" si="103"/>
        <v>0000000000</v>
      </c>
      <c r="L1974" s="303" t="str">
        <f t="shared" si="104"/>
        <v>0000000000</v>
      </c>
      <c r="M1974" s="132">
        <f>INDEX('реш СГД № 265'!$A:$N,MATCH('БА расх 2019-2020'!$L1974,'реш СГД № 265'!$N:$N,0),3)</f>
        <v>0</v>
      </c>
    </row>
    <row r="1975" spans="11:13" ht="15.75">
      <c r="K1975" s="108" t="str">
        <f t="shared" si="103"/>
        <v>0000000000</v>
      </c>
      <c r="L1975" s="303" t="str">
        <f t="shared" si="104"/>
        <v>0000000000</v>
      </c>
      <c r="M1975" s="132">
        <f>INDEX('реш СГД № 265'!$A:$N,MATCH('БА расх 2019-2020'!$L1975,'реш СГД № 265'!$N:$N,0),3)</f>
        <v>0</v>
      </c>
    </row>
    <row r="1976" spans="11:13" ht="15.75">
      <c r="K1976" s="108" t="str">
        <f t="shared" si="103"/>
        <v>0000000000</v>
      </c>
      <c r="L1976" s="303" t="str">
        <f t="shared" si="104"/>
        <v>0000000000</v>
      </c>
      <c r="M1976" s="132">
        <f>INDEX('реш СГД № 265'!$A:$N,MATCH('БА расх 2019-2020'!$L1976,'реш СГД № 265'!$N:$N,0),3)</f>
        <v>0</v>
      </c>
    </row>
    <row r="1977" spans="11:13" ht="15.75">
      <c r="K1977" s="108" t="str">
        <f t="shared" si="103"/>
        <v>0000000000</v>
      </c>
      <c r="L1977" s="303" t="str">
        <f t="shared" si="104"/>
        <v>0000000000</v>
      </c>
      <c r="M1977" s="132">
        <f>INDEX('реш СГД № 265'!$A:$N,MATCH('БА расх 2019-2020'!$L1977,'реш СГД № 265'!$N:$N,0),3)</f>
        <v>0</v>
      </c>
    </row>
    <row r="1978" spans="11:13" ht="15.75">
      <c r="K1978" s="108" t="str">
        <f t="shared" si="103"/>
        <v>0000000000</v>
      </c>
      <c r="L1978" s="303" t="str">
        <f t="shared" si="104"/>
        <v>0000000000</v>
      </c>
      <c r="M1978" s="132">
        <f>INDEX('реш СГД № 265'!$A:$N,MATCH('БА расх 2019-2020'!$L1978,'реш СГД № 265'!$N:$N,0),3)</f>
        <v>0</v>
      </c>
    </row>
    <row r="1979" spans="11:13" ht="15.75">
      <c r="K1979" s="108" t="str">
        <f t="shared" si="103"/>
        <v>0000000000</v>
      </c>
      <c r="L1979" s="303" t="str">
        <f t="shared" si="104"/>
        <v>0000000000</v>
      </c>
      <c r="M1979" s="132">
        <f>INDEX('реш СГД № 265'!$A:$N,MATCH('БА расх 2019-2020'!$L1979,'реш СГД № 265'!$N:$N,0),3)</f>
        <v>0</v>
      </c>
    </row>
    <row r="1980" spans="11:13" ht="15.75">
      <c r="K1980" s="108" t="str">
        <f t="shared" si="103"/>
        <v>0000000000</v>
      </c>
      <c r="L1980" s="303" t="str">
        <f t="shared" si="104"/>
        <v>0000000000</v>
      </c>
      <c r="M1980" s="132">
        <f>INDEX('реш СГД № 265'!$A:$N,MATCH('БА расх 2019-2020'!$L1980,'реш СГД № 265'!$N:$N,0),3)</f>
        <v>0</v>
      </c>
    </row>
    <row r="1981" spans="11:13" ht="15.75">
      <c r="K1981" s="108" t="str">
        <f t="shared" si="103"/>
        <v>0000000000</v>
      </c>
      <c r="L1981" s="303" t="str">
        <f t="shared" si="104"/>
        <v>0000000000</v>
      </c>
      <c r="M1981" s="132">
        <f>INDEX('реш СГД № 265'!$A:$N,MATCH('БА расх 2019-2020'!$L1981,'реш СГД № 265'!$N:$N,0),3)</f>
        <v>0</v>
      </c>
    </row>
    <row r="1982" spans="11:13" ht="15.75">
      <c r="K1982" s="108" t="str">
        <f t="shared" si="103"/>
        <v>0000000000</v>
      </c>
      <c r="L1982" s="303" t="str">
        <f t="shared" si="104"/>
        <v>0000000000</v>
      </c>
      <c r="M1982" s="132">
        <f>INDEX('реш СГД № 265'!$A:$N,MATCH('БА расх 2019-2020'!$L1982,'реш СГД № 265'!$N:$N,0),3)</f>
        <v>0</v>
      </c>
    </row>
    <row r="1983" spans="11:13" ht="15.75">
      <c r="K1983" s="108" t="str">
        <f t="shared" si="103"/>
        <v>0000000000</v>
      </c>
      <c r="L1983" s="303" t="str">
        <f t="shared" si="104"/>
        <v>0000000000</v>
      </c>
      <c r="M1983" s="132">
        <f>INDEX('реш СГД № 265'!$A:$N,MATCH('БА расх 2019-2020'!$L1983,'реш СГД № 265'!$N:$N,0),3)</f>
        <v>0</v>
      </c>
    </row>
    <row r="1984" spans="11:13" ht="15.75">
      <c r="K1984" s="108" t="str">
        <f t="shared" si="103"/>
        <v>0000000000</v>
      </c>
      <c r="L1984" s="303" t="str">
        <f t="shared" si="104"/>
        <v>0000000000</v>
      </c>
      <c r="M1984" s="132">
        <f>INDEX('реш СГД № 265'!$A:$N,MATCH('БА расх 2019-2020'!$L1984,'реш СГД № 265'!$N:$N,0),3)</f>
        <v>0</v>
      </c>
    </row>
    <row r="1985" spans="11:13" ht="15.75">
      <c r="K1985" s="108" t="str">
        <f t="shared" si="103"/>
        <v>0000000000</v>
      </c>
      <c r="L1985" s="303" t="str">
        <f t="shared" si="104"/>
        <v>0000000000</v>
      </c>
      <c r="M1985" s="132">
        <f>INDEX('реш СГД № 265'!$A:$N,MATCH('БА расх 2019-2020'!$L1985,'реш СГД № 265'!$N:$N,0),3)</f>
        <v>0</v>
      </c>
    </row>
    <row r="1986" spans="11:13" ht="15.75">
      <c r="K1986" s="108" t="str">
        <f t="shared" si="103"/>
        <v>0000000000</v>
      </c>
      <c r="L1986" s="303" t="str">
        <f t="shared" si="104"/>
        <v>0000000000</v>
      </c>
      <c r="M1986" s="132">
        <f>INDEX('реш СГД № 265'!$A:$N,MATCH('БА расх 2019-2020'!$L1986,'реш СГД № 265'!$N:$N,0),3)</f>
        <v>0</v>
      </c>
    </row>
    <row r="1987" spans="11:13" ht="15.75">
      <c r="K1987" s="108" t="str">
        <f t="shared" si="103"/>
        <v>0000000000</v>
      </c>
      <c r="L1987" s="303" t="str">
        <f t="shared" si="104"/>
        <v>0000000000</v>
      </c>
      <c r="M1987" s="132">
        <f>INDEX('реш СГД № 265'!$A:$N,MATCH('БА расх 2019-2020'!$L1987,'реш СГД № 265'!$N:$N,0),3)</f>
        <v>0</v>
      </c>
    </row>
    <row r="1988" spans="11:13" ht="15.75">
      <c r="K1988" s="108" t="str">
        <f t="shared" si="103"/>
        <v>0000000000</v>
      </c>
      <c r="L1988" s="303" t="str">
        <f t="shared" si="104"/>
        <v>0000000000</v>
      </c>
      <c r="M1988" s="132">
        <f>INDEX('реш СГД № 265'!$A:$N,MATCH('БА расх 2019-2020'!$L1988,'реш СГД № 265'!$N:$N,0),3)</f>
        <v>0</v>
      </c>
    </row>
    <row r="1989" spans="11:13" ht="15.75">
      <c r="K1989" s="108" t="str">
        <f t="shared" si="103"/>
        <v>0000000000</v>
      </c>
      <c r="L1989" s="303" t="str">
        <f t="shared" si="104"/>
        <v>0000000000</v>
      </c>
      <c r="M1989" s="132">
        <f>INDEX('реш СГД № 265'!$A:$N,MATCH('БА расх 2019-2020'!$L1989,'реш СГД № 265'!$N:$N,0),3)</f>
        <v>0</v>
      </c>
    </row>
    <row r="1990" spans="11:13" ht="15.75">
      <c r="K1990" s="108" t="str">
        <f t="shared" si="103"/>
        <v>0000000000</v>
      </c>
      <c r="L1990" s="303" t="str">
        <f t="shared" si="104"/>
        <v>0000000000</v>
      </c>
      <c r="M1990" s="132">
        <f>INDEX('реш СГД № 265'!$A:$N,MATCH('БА расх 2019-2020'!$L1990,'реш СГД № 265'!$N:$N,0),3)</f>
        <v>0</v>
      </c>
    </row>
    <row r="1991" spans="11:13" ht="15.75">
      <c r="K1991" s="108" t="str">
        <f t="shared" si="103"/>
        <v>0000000000</v>
      </c>
      <c r="L1991" s="303" t="str">
        <f t="shared" si="104"/>
        <v>0000000000</v>
      </c>
      <c r="M1991" s="132">
        <f>INDEX('реш СГД № 265'!$A:$N,MATCH('БА расх 2019-2020'!$L1991,'реш СГД № 265'!$N:$N,0),3)</f>
        <v>0</v>
      </c>
    </row>
    <row r="1992" spans="11:13" ht="15.75">
      <c r="K1992" s="108" t="str">
        <f t="shared" si="103"/>
        <v>0000000000</v>
      </c>
      <c r="L1992" s="303" t="str">
        <f t="shared" si="104"/>
        <v>0000000000</v>
      </c>
      <c r="M1992" s="132">
        <f>INDEX('реш СГД № 265'!$A:$N,MATCH('БА расх 2019-2020'!$L1992,'реш СГД № 265'!$N:$N,0),3)</f>
        <v>0</v>
      </c>
    </row>
    <row r="1993" spans="11:13" ht="15.75">
      <c r="K1993" s="108" t="str">
        <f t="shared" si="103"/>
        <v>0000000000</v>
      </c>
      <c r="L1993" s="303" t="str">
        <f t="shared" si="104"/>
        <v>0000000000</v>
      </c>
      <c r="M1993" s="132">
        <f>INDEX('реш СГД № 265'!$A:$N,MATCH('БА расх 2019-2020'!$L1993,'реш СГД № 265'!$N:$N,0),3)</f>
        <v>0</v>
      </c>
    </row>
    <row r="1994" spans="11:13" ht="15.75">
      <c r="K1994" s="108" t="str">
        <f t="shared" si="103"/>
        <v>0000000000</v>
      </c>
      <c r="L1994" s="303" t="str">
        <f t="shared" si="104"/>
        <v>0000000000</v>
      </c>
      <c r="M1994" s="132">
        <f>INDEX('реш СГД № 265'!$A:$N,MATCH('БА расх 2019-2020'!$L1994,'реш СГД № 265'!$N:$N,0),3)</f>
        <v>0</v>
      </c>
    </row>
    <row r="1995" spans="11:13" ht="15.75">
      <c r="K1995" s="108" t="str">
        <f t="shared" si="103"/>
        <v>0000000000</v>
      </c>
      <c r="L1995" s="303" t="str">
        <f t="shared" si="104"/>
        <v>0000000000</v>
      </c>
      <c r="M1995" s="132">
        <f>INDEX('реш СГД № 265'!$A:$N,MATCH('БА расх 2019-2020'!$L1995,'реш СГД № 265'!$N:$N,0),3)</f>
        <v>0</v>
      </c>
    </row>
    <row r="1996" spans="11:13" ht="15.75">
      <c r="K1996" s="108" t="str">
        <f t="shared" si="103"/>
        <v>0000000000</v>
      </c>
      <c r="L1996" s="303" t="str">
        <f t="shared" si="104"/>
        <v>0000000000</v>
      </c>
      <c r="M1996" s="132">
        <f>INDEX('реш СГД № 265'!$A:$N,MATCH('БА расх 2019-2020'!$L1996,'реш СГД № 265'!$N:$N,0),3)</f>
        <v>0</v>
      </c>
    </row>
    <row r="1997" spans="11:13" ht="15.75">
      <c r="K1997" s="108" t="str">
        <f t="shared" si="103"/>
        <v>0000000000</v>
      </c>
      <c r="L1997" s="303" t="str">
        <f t="shared" si="104"/>
        <v>0000000000</v>
      </c>
      <c r="M1997" s="132">
        <f>INDEX('реш СГД № 265'!$A:$N,MATCH('БА расх 2019-2020'!$L1997,'реш СГД № 265'!$N:$N,0),3)</f>
        <v>0</v>
      </c>
    </row>
    <row r="1998" spans="11:13" ht="15.75">
      <c r="K1998" s="108" t="str">
        <f t="shared" si="103"/>
        <v>0000000000</v>
      </c>
      <c r="L1998" s="303" t="str">
        <f t="shared" si="104"/>
        <v>0000000000</v>
      </c>
      <c r="M1998" s="132">
        <f>INDEX('реш СГД № 265'!$A:$N,MATCH('БА расх 2019-2020'!$L1998,'реш СГД № 265'!$N:$N,0),3)</f>
        <v>0</v>
      </c>
    </row>
    <row r="1999" spans="11:13" ht="15.75">
      <c r="K1999" s="108" t="str">
        <f t="shared" si="103"/>
        <v>0000000000</v>
      </c>
      <c r="L1999" s="303" t="str">
        <f t="shared" si="104"/>
        <v>0000000000</v>
      </c>
      <c r="M1999" s="132">
        <f>INDEX('реш СГД № 265'!$A:$N,MATCH('БА расх 2019-2020'!$L1999,'реш СГД № 265'!$N:$N,0),3)</f>
        <v>0</v>
      </c>
    </row>
    <row r="2000" spans="11:13" ht="15.75">
      <c r="K2000" s="108" t="str">
        <f t="shared" si="103"/>
        <v>0000000000</v>
      </c>
      <c r="L2000" s="303" t="str">
        <f t="shared" si="104"/>
        <v>0000000000</v>
      </c>
      <c r="M2000" s="132">
        <f>INDEX('реш СГД № 265'!$A:$N,MATCH('БА расх 2019-2020'!$L2000,'реш СГД № 265'!$N:$N,0),3)</f>
        <v>0</v>
      </c>
    </row>
    <row r="2001" spans="11:13" ht="15.75">
      <c r="K2001" s="108" t="str">
        <f t="shared" si="103"/>
        <v>0000000000</v>
      </c>
      <c r="L2001" s="303" t="str">
        <f t="shared" si="104"/>
        <v>0000000000</v>
      </c>
      <c r="M2001" s="132">
        <f>INDEX('реш СГД № 265'!$A:$N,MATCH('БА расх 2019-2020'!$L2001,'реш СГД № 265'!$N:$N,0),3)</f>
        <v>0</v>
      </c>
    </row>
    <row r="2002" spans="11:13" ht="15.75">
      <c r="K2002" s="108" t="str">
        <f t="shared" si="103"/>
        <v>0000000000</v>
      </c>
      <c r="L2002" s="303" t="str">
        <f t="shared" si="104"/>
        <v>0000000000</v>
      </c>
      <c r="M2002" s="132">
        <f>INDEX('реш СГД № 265'!$A:$N,MATCH('БА расх 2019-2020'!$L2002,'реш СГД № 265'!$N:$N,0),3)</f>
        <v>0</v>
      </c>
    </row>
    <row r="2003" spans="11:13" ht="15.75">
      <c r="K2003" s="108" t="str">
        <f t="shared" si="103"/>
        <v>0000000000</v>
      </c>
      <c r="L2003" s="303" t="str">
        <f t="shared" si="104"/>
        <v>0000000000</v>
      </c>
      <c r="M2003" s="132">
        <f>INDEX('реш СГД № 265'!$A:$N,MATCH('БА расх 2019-2020'!$L2003,'реш СГД № 265'!$N:$N,0),3)</f>
        <v>0</v>
      </c>
    </row>
    <row r="2004" spans="11:13" ht="15.75">
      <c r="K2004" s="108" t="str">
        <f t="shared" si="103"/>
        <v>0000000000</v>
      </c>
      <c r="L2004" s="303" t="str">
        <f t="shared" si="104"/>
        <v>0000000000</v>
      </c>
      <c r="M2004" s="132">
        <f>INDEX('реш СГД № 265'!$A:$N,MATCH('БА расх 2019-2020'!$L2004,'реш СГД № 265'!$N:$N,0),3)</f>
        <v>0</v>
      </c>
    </row>
    <row r="2005" spans="11:13" ht="15.75">
      <c r="K2005" s="108" t="str">
        <f t="shared" si="103"/>
        <v>0000000000</v>
      </c>
      <c r="L2005" s="303" t="str">
        <f t="shared" si="104"/>
        <v>0000000000</v>
      </c>
      <c r="M2005" s="132">
        <f>INDEX('реш СГД № 265'!$A:$N,MATCH('БА расх 2019-2020'!$L2005,'реш СГД № 265'!$N:$N,0),3)</f>
        <v>0</v>
      </c>
    </row>
    <row r="2006" spans="11:13" ht="15.75">
      <c r="K2006" s="108" t="str">
        <f t="shared" si="103"/>
        <v>0000000000</v>
      </c>
      <c r="L2006" s="303" t="str">
        <f t="shared" si="104"/>
        <v>0000000000</v>
      </c>
      <c r="M2006" s="132">
        <f>INDEX('реш СГД № 265'!$A:$N,MATCH('БА расх 2019-2020'!$L2006,'реш СГД № 265'!$N:$N,0),3)</f>
        <v>0</v>
      </c>
    </row>
    <row r="2007" spans="11:13" ht="15.75">
      <c r="K2007" s="108" t="str">
        <f t="shared" si="103"/>
        <v>0000000000</v>
      </c>
      <c r="L2007" s="303" t="str">
        <f t="shared" si="104"/>
        <v>0000000000</v>
      </c>
      <c r="M2007" s="132">
        <f>INDEX('реш СГД № 265'!$A:$N,MATCH('БА расх 2019-2020'!$L2007,'реш СГД № 265'!$N:$N,0),3)</f>
        <v>0</v>
      </c>
    </row>
    <row r="2008" spans="11:13" ht="15.75">
      <c r="K2008" s="108" t="str">
        <f t="shared" si="103"/>
        <v>0000000000</v>
      </c>
      <c r="L2008" s="303" t="str">
        <f t="shared" si="104"/>
        <v>0000000000</v>
      </c>
      <c r="M2008" s="132">
        <f>INDEX('реш СГД № 265'!$A:$N,MATCH('БА расх 2019-2020'!$L2008,'реш СГД № 265'!$N:$N,0),3)</f>
        <v>0</v>
      </c>
    </row>
    <row r="2009" spans="11:13" ht="15.75">
      <c r="K2009" s="108" t="str">
        <f t="shared" si="103"/>
        <v>0000000000</v>
      </c>
      <c r="L2009" s="303" t="str">
        <f t="shared" si="104"/>
        <v>0000000000</v>
      </c>
      <c r="M2009" s="132">
        <f>INDEX('реш СГД № 265'!$A:$N,MATCH('БА расх 2019-2020'!$L2009,'реш СГД № 265'!$N:$N,0),3)</f>
        <v>0</v>
      </c>
    </row>
    <row r="2010" spans="11:13" ht="15.75">
      <c r="K2010" s="108" t="str">
        <f t="shared" si="103"/>
        <v>0000000000</v>
      </c>
      <c r="L2010" s="303" t="str">
        <f t="shared" si="104"/>
        <v>0000000000</v>
      </c>
      <c r="M2010" s="132">
        <f>INDEX('реш СГД № 265'!$A:$N,MATCH('БА расх 2019-2020'!$L2010,'реш СГД № 265'!$N:$N,0),3)</f>
        <v>0</v>
      </c>
    </row>
    <row r="2011" spans="11:13" ht="15.75">
      <c r="K2011" s="108" t="str">
        <f t="shared" si="103"/>
        <v>0000000000</v>
      </c>
      <c r="L2011" s="303" t="str">
        <f t="shared" si="104"/>
        <v>0000000000</v>
      </c>
      <c r="M2011" s="132">
        <f>INDEX('реш СГД № 265'!$A:$N,MATCH('БА расх 2019-2020'!$L2011,'реш СГД № 265'!$N:$N,0),3)</f>
        <v>0</v>
      </c>
    </row>
    <row r="2012" spans="11:13" ht="15.75">
      <c r="K2012" s="108" t="str">
        <f t="shared" si="103"/>
        <v>0000000000</v>
      </c>
      <c r="L2012" s="303" t="str">
        <f t="shared" si="104"/>
        <v>0000000000</v>
      </c>
      <c r="M2012" s="132">
        <f>INDEX('реш СГД № 265'!$A:$N,MATCH('БА расх 2019-2020'!$L2012,'реш СГД № 265'!$N:$N,0),3)</f>
        <v>0</v>
      </c>
    </row>
    <row r="2013" spans="11:13" ht="15.75">
      <c r="K2013" s="108" t="str">
        <f t="shared" si="103"/>
        <v>0000000000</v>
      </c>
      <c r="L2013" s="303" t="str">
        <f t="shared" si="104"/>
        <v>0000000000</v>
      </c>
      <c r="M2013" s="132">
        <f>INDEX('реш СГД № 265'!$A:$N,MATCH('БА расх 2019-2020'!$L2013,'реш СГД № 265'!$N:$N,0),3)</f>
        <v>0</v>
      </c>
    </row>
    <row r="2014" spans="11:13" ht="15.75">
      <c r="K2014" s="108" t="str">
        <f t="shared" si="103"/>
        <v>0000000000</v>
      </c>
      <c r="L2014" s="303" t="str">
        <f t="shared" si="104"/>
        <v>0000000000</v>
      </c>
      <c r="M2014" s="132">
        <f>INDEX('реш СГД № 265'!$A:$N,MATCH('БА расх 2019-2020'!$L2014,'реш СГД № 265'!$N:$N,0),3)</f>
        <v>0</v>
      </c>
    </row>
    <row r="2015" spans="11:13" ht="15.75">
      <c r="K2015" s="108" t="str">
        <f t="shared" si="103"/>
        <v>0000000000</v>
      </c>
      <c r="L2015" s="303" t="str">
        <f t="shared" si="104"/>
        <v>0000000000</v>
      </c>
      <c r="M2015" s="132">
        <f>INDEX('реш СГД № 265'!$A:$N,MATCH('БА расх 2019-2020'!$L2015,'реш СГД № 265'!$N:$N,0),3)</f>
        <v>0</v>
      </c>
    </row>
    <row r="2016" spans="11:13" ht="15.75">
      <c r="K2016" s="108" t="str">
        <f t="shared" si="103"/>
        <v>0000000000</v>
      </c>
      <c r="L2016" s="303" t="str">
        <f t="shared" si="104"/>
        <v>0000000000</v>
      </c>
      <c r="M2016" s="132">
        <f>INDEX('реш СГД № 265'!$A:$N,MATCH('БА расх 2019-2020'!$L2016,'реш СГД № 265'!$N:$N,0),3)</f>
        <v>0</v>
      </c>
    </row>
    <row r="2017" spans="11:13" ht="15.75">
      <c r="K2017" s="108" t="str">
        <f t="shared" si="103"/>
        <v>0000000000</v>
      </c>
      <c r="L2017" s="303" t="str">
        <f t="shared" si="104"/>
        <v>0000000000</v>
      </c>
      <c r="M2017" s="132">
        <f>INDEX('реш СГД № 265'!$A:$N,MATCH('БА расх 2019-2020'!$L2017,'реш СГД № 265'!$N:$N,0),3)</f>
        <v>0</v>
      </c>
    </row>
    <row r="2018" spans="11:13" ht="15.75">
      <c r="K2018" s="108" t="str">
        <f t="shared" si="103"/>
        <v>0000000000</v>
      </c>
      <c r="L2018" s="303" t="str">
        <f t="shared" si="104"/>
        <v>0000000000</v>
      </c>
      <c r="M2018" s="132">
        <f>INDEX('реш СГД № 265'!$A:$N,MATCH('БА расх 2019-2020'!$L2018,'реш СГД № 265'!$N:$N,0),3)</f>
        <v>0</v>
      </c>
    </row>
    <row r="2019" spans="11:13" ht="15.75">
      <c r="K2019" s="108" t="str">
        <f t="shared" si="103"/>
        <v>0000000000</v>
      </c>
      <c r="L2019" s="303" t="str">
        <f t="shared" si="104"/>
        <v>0000000000</v>
      </c>
      <c r="M2019" s="132">
        <f>INDEX('реш СГД № 265'!$A:$N,MATCH('БА расх 2019-2020'!$L2019,'реш СГД № 265'!$N:$N,0),3)</f>
        <v>0</v>
      </c>
    </row>
    <row r="2020" spans="11:13" ht="15.75">
      <c r="K2020" s="108" t="str">
        <f t="shared" ref="K2020:K2083" si="105">TEXT(J2020,"0000000000")</f>
        <v>0000000000</v>
      </c>
      <c r="L2020" s="303" t="str">
        <f t="shared" si="104"/>
        <v>0000000000</v>
      </c>
      <c r="M2020" s="132">
        <f>INDEX('реш СГД № 265'!$A:$N,MATCH('БА расх 2019-2020'!$L2020,'реш СГД № 265'!$N:$N,0),3)</f>
        <v>0</v>
      </c>
    </row>
    <row r="2021" spans="11:13" ht="15.75">
      <c r="K2021" s="108" t="str">
        <f t="shared" si="105"/>
        <v>0000000000</v>
      </c>
      <c r="L2021" s="303" t="str">
        <f t="shared" ref="L2021:L2084" si="106">C2021&amp;D2021&amp;E2021&amp;K2021&amp;G2021</f>
        <v>0000000000</v>
      </c>
      <c r="M2021" s="132">
        <f>INDEX('реш СГД № 265'!$A:$N,MATCH('БА расх 2019-2020'!$L2021,'реш СГД № 265'!$N:$N,0),3)</f>
        <v>0</v>
      </c>
    </row>
    <row r="2022" spans="11:13" ht="15.75">
      <c r="K2022" s="108" t="str">
        <f t="shared" si="105"/>
        <v>0000000000</v>
      </c>
      <c r="L2022" s="303" t="str">
        <f t="shared" si="106"/>
        <v>0000000000</v>
      </c>
      <c r="M2022" s="132">
        <f>INDEX('реш СГД № 265'!$A:$N,MATCH('БА расх 2019-2020'!$L2022,'реш СГД № 265'!$N:$N,0),3)</f>
        <v>0</v>
      </c>
    </row>
    <row r="2023" spans="11:13" ht="15.75">
      <c r="K2023" s="108" t="str">
        <f t="shared" si="105"/>
        <v>0000000000</v>
      </c>
      <c r="L2023" s="303" t="str">
        <f t="shared" si="106"/>
        <v>0000000000</v>
      </c>
      <c r="M2023" s="132">
        <f>INDEX('реш СГД № 265'!$A:$N,MATCH('БА расх 2019-2020'!$L2023,'реш СГД № 265'!$N:$N,0),3)</f>
        <v>0</v>
      </c>
    </row>
    <row r="2024" spans="11:13" ht="15.75">
      <c r="K2024" s="108" t="str">
        <f t="shared" si="105"/>
        <v>0000000000</v>
      </c>
      <c r="L2024" s="303" t="str">
        <f t="shared" si="106"/>
        <v>0000000000</v>
      </c>
      <c r="M2024" s="132">
        <f>INDEX('реш СГД № 265'!$A:$N,MATCH('БА расх 2019-2020'!$L2024,'реш СГД № 265'!$N:$N,0),3)</f>
        <v>0</v>
      </c>
    </row>
    <row r="2025" spans="11:13" ht="15.75">
      <c r="K2025" s="108" t="str">
        <f t="shared" si="105"/>
        <v>0000000000</v>
      </c>
      <c r="L2025" s="303" t="str">
        <f t="shared" si="106"/>
        <v>0000000000</v>
      </c>
      <c r="M2025" s="132">
        <f>INDEX('реш СГД № 265'!$A:$N,MATCH('БА расх 2019-2020'!$L2025,'реш СГД № 265'!$N:$N,0),3)</f>
        <v>0</v>
      </c>
    </row>
    <row r="2026" spans="11:13" ht="15.75">
      <c r="K2026" s="108" t="str">
        <f t="shared" si="105"/>
        <v>0000000000</v>
      </c>
      <c r="L2026" s="303" t="str">
        <f t="shared" si="106"/>
        <v>0000000000</v>
      </c>
      <c r="M2026" s="132">
        <f>INDEX('реш СГД № 265'!$A:$N,MATCH('БА расх 2019-2020'!$L2026,'реш СГД № 265'!$N:$N,0),3)</f>
        <v>0</v>
      </c>
    </row>
    <row r="2027" spans="11:13" ht="15.75">
      <c r="K2027" s="108" t="str">
        <f t="shared" si="105"/>
        <v>0000000000</v>
      </c>
      <c r="L2027" s="303" t="str">
        <f t="shared" si="106"/>
        <v>0000000000</v>
      </c>
      <c r="M2027" s="132">
        <f>INDEX('реш СГД № 265'!$A:$N,MATCH('БА расх 2019-2020'!$L2027,'реш СГД № 265'!$N:$N,0),3)</f>
        <v>0</v>
      </c>
    </row>
    <row r="2028" spans="11:13" ht="15.75">
      <c r="K2028" s="108" t="str">
        <f t="shared" si="105"/>
        <v>0000000000</v>
      </c>
      <c r="L2028" s="303" t="str">
        <f t="shared" si="106"/>
        <v>0000000000</v>
      </c>
      <c r="M2028" s="132">
        <f>INDEX('реш СГД № 265'!$A:$N,MATCH('БА расх 2019-2020'!$L2028,'реш СГД № 265'!$N:$N,0),3)</f>
        <v>0</v>
      </c>
    </row>
    <row r="2029" spans="11:13" ht="15.75">
      <c r="K2029" s="108" t="str">
        <f t="shared" si="105"/>
        <v>0000000000</v>
      </c>
      <c r="L2029" s="303" t="str">
        <f t="shared" si="106"/>
        <v>0000000000</v>
      </c>
      <c r="M2029" s="132">
        <f>INDEX('реш СГД № 265'!$A:$N,MATCH('БА расх 2019-2020'!$L2029,'реш СГД № 265'!$N:$N,0),3)</f>
        <v>0</v>
      </c>
    </row>
    <row r="2030" spans="11:13" ht="15.75">
      <c r="K2030" s="108" t="str">
        <f t="shared" si="105"/>
        <v>0000000000</v>
      </c>
      <c r="L2030" s="303" t="str">
        <f t="shared" si="106"/>
        <v>0000000000</v>
      </c>
      <c r="M2030" s="132">
        <f>INDEX('реш СГД № 265'!$A:$N,MATCH('БА расх 2019-2020'!$L2030,'реш СГД № 265'!$N:$N,0),3)</f>
        <v>0</v>
      </c>
    </row>
    <row r="2031" spans="11:13" ht="15.75">
      <c r="K2031" s="108" t="str">
        <f t="shared" si="105"/>
        <v>0000000000</v>
      </c>
      <c r="L2031" s="303" t="str">
        <f t="shared" si="106"/>
        <v>0000000000</v>
      </c>
      <c r="M2031" s="132">
        <f>INDEX('реш СГД № 265'!$A:$N,MATCH('БА расх 2019-2020'!$L2031,'реш СГД № 265'!$N:$N,0),3)</f>
        <v>0</v>
      </c>
    </row>
    <row r="2032" spans="11:13" ht="15.75">
      <c r="K2032" s="108" t="str">
        <f t="shared" si="105"/>
        <v>0000000000</v>
      </c>
      <c r="L2032" s="303" t="str">
        <f t="shared" si="106"/>
        <v>0000000000</v>
      </c>
      <c r="M2032" s="132">
        <f>INDEX('реш СГД № 265'!$A:$N,MATCH('БА расх 2019-2020'!$L2032,'реш СГД № 265'!$N:$N,0),3)</f>
        <v>0</v>
      </c>
    </row>
    <row r="2033" spans="11:13" ht="15.75">
      <c r="K2033" s="108" t="str">
        <f t="shared" si="105"/>
        <v>0000000000</v>
      </c>
      <c r="L2033" s="303" t="str">
        <f t="shared" si="106"/>
        <v>0000000000</v>
      </c>
      <c r="M2033" s="132">
        <f>INDEX('реш СГД № 265'!$A:$N,MATCH('БА расх 2019-2020'!$L2033,'реш СГД № 265'!$N:$N,0),3)</f>
        <v>0</v>
      </c>
    </row>
    <row r="2034" spans="11:13" ht="15.75">
      <c r="K2034" s="108" t="str">
        <f t="shared" si="105"/>
        <v>0000000000</v>
      </c>
      <c r="L2034" s="303" t="str">
        <f t="shared" si="106"/>
        <v>0000000000</v>
      </c>
      <c r="M2034" s="132">
        <f>INDEX('реш СГД № 265'!$A:$N,MATCH('БА расх 2019-2020'!$L2034,'реш СГД № 265'!$N:$N,0),3)</f>
        <v>0</v>
      </c>
    </row>
    <row r="2035" spans="11:13" ht="15.75">
      <c r="K2035" s="108" t="str">
        <f t="shared" si="105"/>
        <v>0000000000</v>
      </c>
      <c r="L2035" s="303" t="str">
        <f t="shared" si="106"/>
        <v>0000000000</v>
      </c>
      <c r="M2035" s="132">
        <f>INDEX('реш СГД № 265'!$A:$N,MATCH('БА расх 2019-2020'!$L2035,'реш СГД № 265'!$N:$N,0),3)</f>
        <v>0</v>
      </c>
    </row>
    <row r="2036" spans="11:13" ht="15.75">
      <c r="K2036" s="108" t="str">
        <f t="shared" si="105"/>
        <v>0000000000</v>
      </c>
      <c r="L2036" s="303" t="str">
        <f t="shared" si="106"/>
        <v>0000000000</v>
      </c>
      <c r="M2036" s="132">
        <f>INDEX('реш СГД № 265'!$A:$N,MATCH('БА расх 2019-2020'!$L2036,'реш СГД № 265'!$N:$N,0),3)</f>
        <v>0</v>
      </c>
    </row>
    <row r="2037" spans="11:13" ht="15.75">
      <c r="K2037" s="108" t="str">
        <f t="shared" si="105"/>
        <v>0000000000</v>
      </c>
      <c r="L2037" s="303" t="str">
        <f t="shared" si="106"/>
        <v>0000000000</v>
      </c>
      <c r="M2037" s="132">
        <f>INDEX('реш СГД № 265'!$A:$N,MATCH('БА расх 2019-2020'!$L2037,'реш СГД № 265'!$N:$N,0),3)</f>
        <v>0</v>
      </c>
    </row>
    <row r="2038" spans="11:13" ht="15.75">
      <c r="K2038" s="108" t="str">
        <f t="shared" si="105"/>
        <v>0000000000</v>
      </c>
      <c r="L2038" s="303" t="str">
        <f t="shared" si="106"/>
        <v>0000000000</v>
      </c>
      <c r="M2038" s="132">
        <f>INDEX('реш СГД № 265'!$A:$N,MATCH('БА расх 2019-2020'!$L2038,'реш СГД № 265'!$N:$N,0),3)</f>
        <v>0</v>
      </c>
    </row>
    <row r="2039" spans="11:13" ht="15.75">
      <c r="K2039" s="108" t="str">
        <f t="shared" si="105"/>
        <v>0000000000</v>
      </c>
      <c r="L2039" s="303" t="str">
        <f t="shared" si="106"/>
        <v>0000000000</v>
      </c>
      <c r="M2039" s="132">
        <f>INDEX('реш СГД № 265'!$A:$N,MATCH('БА расх 2019-2020'!$L2039,'реш СГД № 265'!$N:$N,0),3)</f>
        <v>0</v>
      </c>
    </row>
    <row r="2040" spans="11:13" ht="15.75">
      <c r="K2040" s="108" t="str">
        <f t="shared" si="105"/>
        <v>0000000000</v>
      </c>
      <c r="L2040" s="303" t="str">
        <f t="shared" si="106"/>
        <v>0000000000</v>
      </c>
      <c r="M2040" s="132">
        <f>INDEX('реш СГД № 265'!$A:$N,MATCH('БА расх 2019-2020'!$L2040,'реш СГД № 265'!$N:$N,0),3)</f>
        <v>0</v>
      </c>
    </row>
    <row r="2041" spans="11:13" ht="15.75">
      <c r="K2041" s="108" t="str">
        <f t="shared" si="105"/>
        <v>0000000000</v>
      </c>
      <c r="L2041" s="303" t="str">
        <f t="shared" si="106"/>
        <v>0000000000</v>
      </c>
      <c r="M2041" s="132">
        <f>INDEX('реш СГД № 265'!$A:$N,MATCH('БА расх 2019-2020'!$L2041,'реш СГД № 265'!$N:$N,0),3)</f>
        <v>0</v>
      </c>
    </row>
    <row r="2042" spans="11:13" ht="15.75">
      <c r="K2042" s="108" t="str">
        <f t="shared" si="105"/>
        <v>0000000000</v>
      </c>
      <c r="L2042" s="303" t="str">
        <f t="shared" si="106"/>
        <v>0000000000</v>
      </c>
      <c r="M2042" s="132">
        <f>INDEX('реш СГД № 265'!$A:$N,MATCH('БА расх 2019-2020'!$L2042,'реш СГД № 265'!$N:$N,0),3)</f>
        <v>0</v>
      </c>
    </row>
    <row r="2043" spans="11:13" ht="15.75">
      <c r="K2043" s="108" t="str">
        <f t="shared" si="105"/>
        <v>0000000000</v>
      </c>
      <c r="L2043" s="303" t="str">
        <f t="shared" si="106"/>
        <v>0000000000</v>
      </c>
      <c r="M2043" s="132">
        <f>INDEX('реш СГД № 265'!$A:$N,MATCH('БА расх 2019-2020'!$L2043,'реш СГД № 265'!$N:$N,0),3)</f>
        <v>0</v>
      </c>
    </row>
    <row r="2044" spans="11:13" ht="15.75">
      <c r="K2044" s="108" t="str">
        <f t="shared" si="105"/>
        <v>0000000000</v>
      </c>
      <c r="L2044" s="303" t="str">
        <f t="shared" si="106"/>
        <v>0000000000</v>
      </c>
      <c r="M2044" s="132">
        <f>INDEX('реш СГД № 265'!$A:$N,MATCH('БА расх 2019-2020'!$L2044,'реш СГД № 265'!$N:$N,0),3)</f>
        <v>0</v>
      </c>
    </row>
    <row r="2045" spans="11:13" ht="15.75">
      <c r="K2045" s="108" t="str">
        <f t="shared" si="105"/>
        <v>0000000000</v>
      </c>
      <c r="L2045" s="303" t="str">
        <f t="shared" si="106"/>
        <v>0000000000</v>
      </c>
      <c r="M2045" s="132">
        <f>INDEX('реш СГД № 265'!$A:$N,MATCH('БА расх 2019-2020'!$L2045,'реш СГД № 265'!$N:$N,0),3)</f>
        <v>0</v>
      </c>
    </row>
    <row r="2046" spans="11:13" ht="15.75">
      <c r="K2046" s="108" t="str">
        <f t="shared" si="105"/>
        <v>0000000000</v>
      </c>
      <c r="L2046" s="303" t="str">
        <f t="shared" si="106"/>
        <v>0000000000</v>
      </c>
      <c r="M2046" s="132">
        <f>INDEX('реш СГД № 265'!$A:$N,MATCH('БА расх 2019-2020'!$L2046,'реш СГД № 265'!$N:$N,0),3)</f>
        <v>0</v>
      </c>
    </row>
    <row r="2047" spans="11:13" ht="15.75">
      <c r="K2047" s="108" t="str">
        <f t="shared" si="105"/>
        <v>0000000000</v>
      </c>
      <c r="L2047" s="303" t="str">
        <f t="shared" si="106"/>
        <v>0000000000</v>
      </c>
      <c r="M2047" s="132">
        <f>INDEX('реш СГД № 265'!$A:$N,MATCH('БА расх 2019-2020'!$L2047,'реш СГД № 265'!$N:$N,0),3)</f>
        <v>0</v>
      </c>
    </row>
    <row r="2048" spans="11:13" ht="15.75">
      <c r="K2048" s="108" t="str">
        <f t="shared" si="105"/>
        <v>0000000000</v>
      </c>
      <c r="L2048" s="303" t="str">
        <f t="shared" si="106"/>
        <v>0000000000</v>
      </c>
      <c r="M2048" s="132">
        <f>INDEX('реш СГД № 265'!$A:$N,MATCH('БА расх 2019-2020'!$L2048,'реш СГД № 265'!$N:$N,0),3)</f>
        <v>0</v>
      </c>
    </row>
    <row r="2049" spans="11:13" ht="15.75">
      <c r="K2049" s="108" t="str">
        <f t="shared" si="105"/>
        <v>0000000000</v>
      </c>
      <c r="L2049" s="303" t="str">
        <f t="shared" si="106"/>
        <v>0000000000</v>
      </c>
      <c r="M2049" s="132">
        <f>INDEX('реш СГД № 265'!$A:$N,MATCH('БА расх 2019-2020'!$L2049,'реш СГД № 265'!$N:$N,0),3)</f>
        <v>0</v>
      </c>
    </row>
    <row r="2050" spans="11:13" ht="15.75">
      <c r="K2050" s="108" t="str">
        <f t="shared" si="105"/>
        <v>0000000000</v>
      </c>
      <c r="L2050" s="303" t="str">
        <f t="shared" si="106"/>
        <v>0000000000</v>
      </c>
      <c r="M2050" s="132">
        <f>INDEX('реш СГД № 265'!$A:$N,MATCH('БА расх 2019-2020'!$L2050,'реш СГД № 265'!$N:$N,0),3)</f>
        <v>0</v>
      </c>
    </row>
    <row r="2051" spans="11:13" ht="15.75">
      <c r="K2051" s="108" t="str">
        <f t="shared" si="105"/>
        <v>0000000000</v>
      </c>
      <c r="L2051" s="303" t="str">
        <f t="shared" si="106"/>
        <v>0000000000</v>
      </c>
      <c r="M2051" s="132">
        <f>INDEX('реш СГД № 265'!$A:$N,MATCH('БА расх 2019-2020'!$L2051,'реш СГД № 265'!$N:$N,0),3)</f>
        <v>0</v>
      </c>
    </row>
    <row r="2052" spans="11:13" ht="15.75">
      <c r="K2052" s="108" t="str">
        <f t="shared" si="105"/>
        <v>0000000000</v>
      </c>
      <c r="L2052" s="303" t="str">
        <f t="shared" si="106"/>
        <v>0000000000</v>
      </c>
      <c r="M2052" s="132">
        <f>INDEX('реш СГД № 265'!$A:$N,MATCH('БА расх 2019-2020'!$L2052,'реш СГД № 265'!$N:$N,0),3)</f>
        <v>0</v>
      </c>
    </row>
    <row r="2053" spans="11:13" ht="15.75">
      <c r="K2053" s="108" t="str">
        <f t="shared" si="105"/>
        <v>0000000000</v>
      </c>
      <c r="L2053" s="303" t="str">
        <f t="shared" si="106"/>
        <v>0000000000</v>
      </c>
      <c r="M2053" s="132">
        <f>INDEX('реш СГД № 265'!$A:$N,MATCH('БА расх 2019-2020'!$L2053,'реш СГД № 265'!$N:$N,0),3)</f>
        <v>0</v>
      </c>
    </row>
    <row r="2054" spans="11:13" ht="15.75">
      <c r="K2054" s="108" t="str">
        <f t="shared" si="105"/>
        <v>0000000000</v>
      </c>
      <c r="L2054" s="303" t="str">
        <f t="shared" si="106"/>
        <v>0000000000</v>
      </c>
      <c r="M2054" s="132">
        <f>INDEX('реш СГД № 265'!$A:$N,MATCH('БА расх 2019-2020'!$L2054,'реш СГД № 265'!$N:$N,0),3)</f>
        <v>0</v>
      </c>
    </row>
    <row r="2055" spans="11:13" ht="15.75">
      <c r="K2055" s="108" t="str">
        <f t="shared" si="105"/>
        <v>0000000000</v>
      </c>
      <c r="L2055" s="303" t="str">
        <f t="shared" si="106"/>
        <v>0000000000</v>
      </c>
      <c r="M2055" s="132">
        <f>INDEX('реш СГД № 265'!$A:$N,MATCH('БА расх 2019-2020'!$L2055,'реш СГД № 265'!$N:$N,0),3)</f>
        <v>0</v>
      </c>
    </row>
    <row r="2056" spans="11:13" ht="15.75">
      <c r="K2056" s="108" t="str">
        <f t="shared" si="105"/>
        <v>0000000000</v>
      </c>
      <c r="L2056" s="303" t="str">
        <f t="shared" si="106"/>
        <v>0000000000</v>
      </c>
      <c r="M2056" s="132">
        <f>INDEX('реш СГД № 265'!$A:$N,MATCH('БА расх 2019-2020'!$L2056,'реш СГД № 265'!$N:$N,0),3)</f>
        <v>0</v>
      </c>
    </row>
    <row r="2057" spans="11:13" ht="15.75">
      <c r="K2057" s="108" t="str">
        <f t="shared" si="105"/>
        <v>0000000000</v>
      </c>
      <c r="L2057" s="303" t="str">
        <f t="shared" si="106"/>
        <v>0000000000</v>
      </c>
      <c r="M2057" s="132">
        <f>INDEX('реш СГД № 265'!$A:$N,MATCH('БА расх 2019-2020'!$L2057,'реш СГД № 265'!$N:$N,0),3)</f>
        <v>0</v>
      </c>
    </row>
    <row r="2058" spans="11:13" ht="15.75">
      <c r="K2058" s="108" t="str">
        <f t="shared" si="105"/>
        <v>0000000000</v>
      </c>
      <c r="L2058" s="303" t="str">
        <f t="shared" si="106"/>
        <v>0000000000</v>
      </c>
      <c r="M2058" s="132">
        <f>INDEX('реш СГД № 265'!$A:$N,MATCH('БА расх 2019-2020'!$L2058,'реш СГД № 265'!$N:$N,0),3)</f>
        <v>0</v>
      </c>
    </row>
    <row r="2059" spans="11:13" ht="15.75">
      <c r="K2059" s="108" t="str">
        <f t="shared" si="105"/>
        <v>0000000000</v>
      </c>
      <c r="L2059" s="303" t="str">
        <f t="shared" si="106"/>
        <v>0000000000</v>
      </c>
      <c r="M2059" s="132">
        <f>INDEX('реш СГД № 265'!$A:$N,MATCH('БА расх 2019-2020'!$L2059,'реш СГД № 265'!$N:$N,0),3)</f>
        <v>0</v>
      </c>
    </row>
    <row r="2060" spans="11:13" ht="15.75">
      <c r="K2060" s="108" t="str">
        <f t="shared" si="105"/>
        <v>0000000000</v>
      </c>
      <c r="L2060" s="303" t="str">
        <f t="shared" si="106"/>
        <v>0000000000</v>
      </c>
      <c r="M2060" s="132">
        <f>INDEX('реш СГД № 265'!$A:$N,MATCH('БА расх 2019-2020'!$L2060,'реш СГД № 265'!$N:$N,0),3)</f>
        <v>0</v>
      </c>
    </row>
    <row r="2061" spans="11:13" ht="15.75">
      <c r="K2061" s="108" t="str">
        <f t="shared" si="105"/>
        <v>0000000000</v>
      </c>
      <c r="L2061" s="303" t="str">
        <f t="shared" si="106"/>
        <v>0000000000</v>
      </c>
      <c r="M2061" s="132">
        <f>INDEX('реш СГД № 265'!$A:$N,MATCH('БА расх 2019-2020'!$L2061,'реш СГД № 265'!$N:$N,0),3)</f>
        <v>0</v>
      </c>
    </row>
    <row r="2062" spans="11:13" ht="15.75">
      <c r="K2062" s="108" t="str">
        <f t="shared" si="105"/>
        <v>0000000000</v>
      </c>
      <c r="L2062" s="303" t="str">
        <f t="shared" si="106"/>
        <v>0000000000</v>
      </c>
      <c r="M2062" s="132">
        <f>INDEX('реш СГД № 265'!$A:$N,MATCH('БА расх 2019-2020'!$L2062,'реш СГД № 265'!$N:$N,0),3)</f>
        <v>0</v>
      </c>
    </row>
    <row r="2063" spans="11:13" ht="15.75">
      <c r="K2063" s="108" t="str">
        <f t="shared" si="105"/>
        <v>0000000000</v>
      </c>
      <c r="L2063" s="303" t="str">
        <f t="shared" si="106"/>
        <v>0000000000</v>
      </c>
      <c r="M2063" s="132">
        <f>INDEX('реш СГД № 265'!$A:$N,MATCH('БА расх 2019-2020'!$L2063,'реш СГД № 265'!$N:$N,0),3)</f>
        <v>0</v>
      </c>
    </row>
    <row r="2064" spans="11:13" ht="15.75">
      <c r="K2064" s="108" t="str">
        <f t="shared" si="105"/>
        <v>0000000000</v>
      </c>
      <c r="L2064" s="303" t="str">
        <f t="shared" si="106"/>
        <v>0000000000</v>
      </c>
      <c r="M2064" s="132">
        <f>INDEX('реш СГД № 265'!$A:$N,MATCH('БА расх 2019-2020'!$L2064,'реш СГД № 265'!$N:$N,0),3)</f>
        <v>0</v>
      </c>
    </row>
    <row r="2065" spans="11:13" ht="15.75">
      <c r="K2065" s="108" t="str">
        <f t="shared" si="105"/>
        <v>0000000000</v>
      </c>
      <c r="L2065" s="303" t="str">
        <f t="shared" si="106"/>
        <v>0000000000</v>
      </c>
      <c r="M2065" s="132">
        <f>INDEX('реш СГД № 265'!$A:$N,MATCH('БА расх 2019-2020'!$L2065,'реш СГД № 265'!$N:$N,0),3)</f>
        <v>0</v>
      </c>
    </row>
    <row r="2066" spans="11:13" ht="15.75">
      <c r="K2066" s="108" t="str">
        <f t="shared" si="105"/>
        <v>0000000000</v>
      </c>
      <c r="L2066" s="303" t="str">
        <f t="shared" si="106"/>
        <v>0000000000</v>
      </c>
      <c r="M2066" s="132">
        <f>INDEX('реш СГД № 265'!$A:$N,MATCH('БА расх 2019-2020'!$L2066,'реш СГД № 265'!$N:$N,0),3)</f>
        <v>0</v>
      </c>
    </row>
    <row r="2067" spans="11:13" ht="15.75">
      <c r="K2067" s="108" t="str">
        <f t="shared" si="105"/>
        <v>0000000000</v>
      </c>
      <c r="L2067" s="303" t="str">
        <f t="shared" si="106"/>
        <v>0000000000</v>
      </c>
      <c r="M2067" s="132">
        <f>INDEX('реш СГД № 265'!$A:$N,MATCH('БА расх 2019-2020'!$L2067,'реш СГД № 265'!$N:$N,0),3)</f>
        <v>0</v>
      </c>
    </row>
    <row r="2068" spans="11:13" ht="15.75">
      <c r="K2068" s="108" t="str">
        <f t="shared" si="105"/>
        <v>0000000000</v>
      </c>
      <c r="L2068" s="303" t="str">
        <f t="shared" si="106"/>
        <v>0000000000</v>
      </c>
      <c r="M2068" s="132">
        <f>INDEX('реш СГД № 265'!$A:$N,MATCH('БА расх 2019-2020'!$L2068,'реш СГД № 265'!$N:$N,0),3)</f>
        <v>0</v>
      </c>
    </row>
    <row r="2069" spans="11:13" ht="15.75">
      <c r="K2069" s="108" t="str">
        <f t="shared" si="105"/>
        <v>0000000000</v>
      </c>
      <c r="L2069" s="303" t="str">
        <f t="shared" si="106"/>
        <v>0000000000</v>
      </c>
      <c r="M2069" s="132">
        <f>INDEX('реш СГД № 265'!$A:$N,MATCH('БА расх 2019-2020'!$L2069,'реш СГД № 265'!$N:$N,0),3)</f>
        <v>0</v>
      </c>
    </row>
    <row r="2070" spans="11:13" ht="15.75">
      <c r="K2070" s="108" t="str">
        <f t="shared" si="105"/>
        <v>0000000000</v>
      </c>
      <c r="L2070" s="303" t="str">
        <f t="shared" si="106"/>
        <v>0000000000</v>
      </c>
      <c r="M2070" s="132">
        <f>INDEX('реш СГД № 265'!$A:$N,MATCH('БА расх 2019-2020'!$L2070,'реш СГД № 265'!$N:$N,0),3)</f>
        <v>0</v>
      </c>
    </row>
    <row r="2071" spans="11:13" ht="15.75">
      <c r="K2071" s="108" t="str">
        <f t="shared" si="105"/>
        <v>0000000000</v>
      </c>
      <c r="L2071" s="303" t="str">
        <f t="shared" si="106"/>
        <v>0000000000</v>
      </c>
      <c r="M2071" s="132">
        <f>INDEX('реш СГД № 265'!$A:$N,MATCH('БА расх 2019-2020'!$L2071,'реш СГД № 265'!$N:$N,0),3)</f>
        <v>0</v>
      </c>
    </row>
    <row r="2072" spans="11:13" ht="15.75">
      <c r="K2072" s="108" t="str">
        <f t="shared" si="105"/>
        <v>0000000000</v>
      </c>
      <c r="L2072" s="303" t="str">
        <f t="shared" si="106"/>
        <v>0000000000</v>
      </c>
      <c r="M2072" s="132">
        <f>INDEX('реш СГД № 265'!$A:$N,MATCH('БА расх 2019-2020'!$L2072,'реш СГД № 265'!$N:$N,0),3)</f>
        <v>0</v>
      </c>
    </row>
    <row r="2073" spans="11:13" ht="15.75">
      <c r="K2073" s="108" t="str">
        <f t="shared" si="105"/>
        <v>0000000000</v>
      </c>
      <c r="L2073" s="303" t="str">
        <f t="shared" si="106"/>
        <v>0000000000</v>
      </c>
      <c r="M2073" s="132">
        <f>INDEX('реш СГД № 265'!$A:$N,MATCH('БА расх 2019-2020'!$L2073,'реш СГД № 265'!$N:$N,0),3)</f>
        <v>0</v>
      </c>
    </row>
    <row r="2074" spans="11:13" ht="15.75">
      <c r="K2074" s="108" t="str">
        <f t="shared" si="105"/>
        <v>0000000000</v>
      </c>
      <c r="L2074" s="303" t="str">
        <f t="shared" si="106"/>
        <v>0000000000</v>
      </c>
      <c r="M2074" s="132">
        <f>INDEX('реш СГД № 265'!$A:$N,MATCH('БА расх 2019-2020'!$L2074,'реш СГД № 265'!$N:$N,0),3)</f>
        <v>0</v>
      </c>
    </row>
    <row r="2075" spans="11:13" ht="15.75">
      <c r="K2075" s="108" t="str">
        <f t="shared" si="105"/>
        <v>0000000000</v>
      </c>
      <c r="L2075" s="303" t="str">
        <f t="shared" si="106"/>
        <v>0000000000</v>
      </c>
      <c r="M2075" s="132">
        <f>INDEX('реш СГД № 265'!$A:$N,MATCH('БА расх 2019-2020'!$L2075,'реш СГД № 265'!$N:$N,0),3)</f>
        <v>0</v>
      </c>
    </row>
    <row r="2076" spans="11:13" ht="15.75">
      <c r="K2076" s="108" t="str">
        <f t="shared" si="105"/>
        <v>0000000000</v>
      </c>
      <c r="L2076" s="303" t="str">
        <f t="shared" si="106"/>
        <v>0000000000</v>
      </c>
      <c r="M2076" s="132">
        <f>INDEX('реш СГД № 265'!$A:$N,MATCH('БА расх 2019-2020'!$L2076,'реш СГД № 265'!$N:$N,0),3)</f>
        <v>0</v>
      </c>
    </row>
    <row r="2077" spans="11:13" ht="15.75">
      <c r="K2077" s="108" t="str">
        <f t="shared" si="105"/>
        <v>0000000000</v>
      </c>
      <c r="L2077" s="303" t="str">
        <f t="shared" si="106"/>
        <v>0000000000</v>
      </c>
      <c r="M2077" s="132">
        <f>INDEX('реш СГД № 265'!$A:$N,MATCH('БА расх 2019-2020'!$L2077,'реш СГД № 265'!$N:$N,0),3)</f>
        <v>0</v>
      </c>
    </row>
    <row r="2078" spans="11:13" ht="15.75">
      <c r="K2078" s="108" t="str">
        <f t="shared" si="105"/>
        <v>0000000000</v>
      </c>
      <c r="L2078" s="303" t="str">
        <f t="shared" si="106"/>
        <v>0000000000</v>
      </c>
      <c r="M2078" s="132">
        <f>INDEX('реш СГД № 265'!$A:$N,MATCH('БА расх 2019-2020'!$L2078,'реш СГД № 265'!$N:$N,0),3)</f>
        <v>0</v>
      </c>
    </row>
    <row r="2079" spans="11:13" ht="15.75">
      <c r="K2079" s="108" t="str">
        <f t="shared" si="105"/>
        <v>0000000000</v>
      </c>
      <c r="L2079" s="303" t="str">
        <f t="shared" si="106"/>
        <v>0000000000</v>
      </c>
      <c r="M2079" s="132">
        <f>INDEX('реш СГД № 265'!$A:$N,MATCH('БА расх 2019-2020'!$L2079,'реш СГД № 265'!$N:$N,0),3)</f>
        <v>0</v>
      </c>
    </row>
    <row r="2080" spans="11:13" ht="15.75">
      <c r="K2080" s="108" t="str">
        <f t="shared" si="105"/>
        <v>0000000000</v>
      </c>
      <c r="L2080" s="303" t="str">
        <f t="shared" si="106"/>
        <v>0000000000</v>
      </c>
      <c r="M2080" s="132">
        <f>INDEX('реш СГД № 265'!$A:$N,MATCH('БА расх 2019-2020'!$L2080,'реш СГД № 265'!$N:$N,0),3)</f>
        <v>0</v>
      </c>
    </row>
    <row r="2081" spans="11:13" ht="15.75">
      <c r="K2081" s="108" t="str">
        <f t="shared" si="105"/>
        <v>0000000000</v>
      </c>
      <c r="L2081" s="303" t="str">
        <f t="shared" si="106"/>
        <v>0000000000</v>
      </c>
      <c r="M2081" s="132">
        <f>INDEX('реш СГД № 265'!$A:$N,MATCH('БА расх 2019-2020'!$L2081,'реш СГД № 265'!$N:$N,0),3)</f>
        <v>0</v>
      </c>
    </row>
    <row r="2082" spans="11:13" ht="15.75">
      <c r="K2082" s="108" t="str">
        <f t="shared" si="105"/>
        <v>0000000000</v>
      </c>
      <c r="L2082" s="303" t="str">
        <f t="shared" si="106"/>
        <v>0000000000</v>
      </c>
      <c r="M2082" s="132">
        <f>INDEX('реш СГД № 265'!$A:$N,MATCH('БА расх 2019-2020'!$L2082,'реш СГД № 265'!$N:$N,0),3)</f>
        <v>0</v>
      </c>
    </row>
    <row r="2083" spans="11:13" ht="15.75">
      <c r="K2083" s="108" t="str">
        <f t="shared" si="105"/>
        <v>0000000000</v>
      </c>
      <c r="L2083" s="303" t="str">
        <f t="shared" si="106"/>
        <v>0000000000</v>
      </c>
      <c r="M2083" s="132">
        <f>INDEX('реш СГД № 265'!$A:$N,MATCH('БА расх 2019-2020'!$L2083,'реш СГД № 265'!$N:$N,0),3)</f>
        <v>0</v>
      </c>
    </row>
    <row r="2084" spans="11:13" ht="15.75">
      <c r="K2084" s="108" t="str">
        <f t="shared" ref="K2084:K2147" si="107">TEXT(J2084,"0000000000")</f>
        <v>0000000000</v>
      </c>
      <c r="L2084" s="303" t="str">
        <f t="shared" si="106"/>
        <v>0000000000</v>
      </c>
      <c r="M2084" s="132">
        <f>INDEX('реш СГД № 265'!$A:$N,MATCH('БА расх 2019-2020'!$L2084,'реш СГД № 265'!$N:$N,0),3)</f>
        <v>0</v>
      </c>
    </row>
    <row r="2085" spans="11:13" ht="15.75">
      <c r="K2085" s="108" t="str">
        <f t="shared" si="107"/>
        <v>0000000000</v>
      </c>
      <c r="L2085" s="303" t="str">
        <f t="shared" ref="L2085:L2148" si="108">C2085&amp;D2085&amp;E2085&amp;K2085&amp;G2085</f>
        <v>0000000000</v>
      </c>
      <c r="M2085" s="132">
        <f>INDEX('реш СГД № 265'!$A:$N,MATCH('БА расх 2019-2020'!$L2085,'реш СГД № 265'!$N:$N,0),3)</f>
        <v>0</v>
      </c>
    </row>
    <row r="2086" spans="11:13" ht="15.75">
      <c r="K2086" s="108" t="str">
        <f t="shared" si="107"/>
        <v>0000000000</v>
      </c>
      <c r="L2086" s="303" t="str">
        <f t="shared" si="108"/>
        <v>0000000000</v>
      </c>
      <c r="M2086" s="132">
        <f>INDEX('реш СГД № 265'!$A:$N,MATCH('БА расх 2019-2020'!$L2086,'реш СГД № 265'!$N:$N,0),3)</f>
        <v>0</v>
      </c>
    </row>
    <row r="2087" spans="11:13" ht="15.75">
      <c r="K2087" s="108" t="str">
        <f t="shared" si="107"/>
        <v>0000000000</v>
      </c>
      <c r="L2087" s="303" t="str">
        <f t="shared" si="108"/>
        <v>0000000000</v>
      </c>
      <c r="M2087" s="132">
        <f>INDEX('реш СГД № 265'!$A:$N,MATCH('БА расх 2019-2020'!$L2087,'реш СГД № 265'!$N:$N,0),3)</f>
        <v>0</v>
      </c>
    </row>
    <row r="2088" spans="11:13" ht="15.75">
      <c r="K2088" s="108" t="str">
        <f t="shared" si="107"/>
        <v>0000000000</v>
      </c>
      <c r="L2088" s="303" t="str">
        <f t="shared" si="108"/>
        <v>0000000000</v>
      </c>
      <c r="M2088" s="132">
        <f>INDEX('реш СГД № 265'!$A:$N,MATCH('БА расх 2019-2020'!$L2088,'реш СГД № 265'!$N:$N,0),3)</f>
        <v>0</v>
      </c>
    </row>
    <row r="2089" spans="11:13" ht="15.75">
      <c r="K2089" s="108" t="str">
        <f t="shared" si="107"/>
        <v>0000000000</v>
      </c>
      <c r="L2089" s="303" t="str">
        <f t="shared" si="108"/>
        <v>0000000000</v>
      </c>
      <c r="M2089" s="132">
        <f>INDEX('реш СГД № 265'!$A:$N,MATCH('БА расх 2019-2020'!$L2089,'реш СГД № 265'!$N:$N,0),3)</f>
        <v>0</v>
      </c>
    </row>
    <row r="2090" spans="11:13" ht="15.75">
      <c r="K2090" s="108" t="str">
        <f t="shared" si="107"/>
        <v>0000000000</v>
      </c>
      <c r="L2090" s="303" t="str">
        <f t="shared" si="108"/>
        <v>0000000000</v>
      </c>
      <c r="M2090" s="132">
        <f>INDEX('реш СГД № 265'!$A:$N,MATCH('БА расх 2019-2020'!$L2090,'реш СГД № 265'!$N:$N,0),3)</f>
        <v>0</v>
      </c>
    </row>
    <row r="2091" spans="11:13" ht="15.75">
      <c r="K2091" s="108" t="str">
        <f t="shared" si="107"/>
        <v>0000000000</v>
      </c>
      <c r="L2091" s="303" t="str">
        <f t="shared" si="108"/>
        <v>0000000000</v>
      </c>
      <c r="M2091" s="132">
        <f>INDEX('реш СГД № 265'!$A:$N,MATCH('БА расх 2019-2020'!$L2091,'реш СГД № 265'!$N:$N,0),3)</f>
        <v>0</v>
      </c>
    </row>
    <row r="2092" spans="11:13" ht="15.75">
      <c r="K2092" s="108" t="str">
        <f t="shared" si="107"/>
        <v>0000000000</v>
      </c>
      <c r="L2092" s="303" t="str">
        <f t="shared" si="108"/>
        <v>0000000000</v>
      </c>
      <c r="M2092" s="132">
        <f>INDEX('реш СГД № 265'!$A:$N,MATCH('БА расх 2019-2020'!$L2092,'реш СГД № 265'!$N:$N,0),3)</f>
        <v>0</v>
      </c>
    </row>
    <row r="2093" spans="11:13" ht="15.75">
      <c r="K2093" s="108" t="str">
        <f t="shared" si="107"/>
        <v>0000000000</v>
      </c>
      <c r="L2093" s="303" t="str">
        <f t="shared" si="108"/>
        <v>0000000000</v>
      </c>
      <c r="M2093" s="132">
        <f>INDEX('реш СГД № 265'!$A:$N,MATCH('БА расх 2019-2020'!$L2093,'реш СГД № 265'!$N:$N,0),3)</f>
        <v>0</v>
      </c>
    </row>
    <row r="2094" spans="11:13" ht="15.75">
      <c r="K2094" s="108" t="str">
        <f t="shared" si="107"/>
        <v>0000000000</v>
      </c>
      <c r="L2094" s="303" t="str">
        <f t="shared" si="108"/>
        <v>0000000000</v>
      </c>
      <c r="M2094" s="132">
        <f>INDEX('реш СГД № 265'!$A:$N,MATCH('БА расх 2019-2020'!$L2094,'реш СГД № 265'!$N:$N,0),3)</f>
        <v>0</v>
      </c>
    </row>
    <row r="2095" spans="11:13" ht="15.75">
      <c r="K2095" s="108" t="str">
        <f t="shared" si="107"/>
        <v>0000000000</v>
      </c>
      <c r="L2095" s="303" t="str">
        <f t="shared" si="108"/>
        <v>0000000000</v>
      </c>
      <c r="M2095" s="132">
        <f>INDEX('реш СГД № 265'!$A:$N,MATCH('БА расх 2019-2020'!$L2095,'реш СГД № 265'!$N:$N,0),3)</f>
        <v>0</v>
      </c>
    </row>
    <row r="2096" spans="11:13" ht="15.75">
      <c r="K2096" s="108" t="str">
        <f t="shared" si="107"/>
        <v>0000000000</v>
      </c>
      <c r="L2096" s="303" t="str">
        <f t="shared" si="108"/>
        <v>0000000000</v>
      </c>
      <c r="M2096" s="132">
        <f>INDEX('реш СГД № 265'!$A:$N,MATCH('БА расх 2019-2020'!$L2096,'реш СГД № 265'!$N:$N,0),3)</f>
        <v>0</v>
      </c>
    </row>
    <row r="2097" spans="11:13" ht="15.75">
      <c r="K2097" s="108" t="str">
        <f t="shared" si="107"/>
        <v>0000000000</v>
      </c>
      <c r="L2097" s="303" t="str">
        <f t="shared" si="108"/>
        <v>0000000000</v>
      </c>
      <c r="M2097" s="132">
        <f>INDEX('реш СГД № 265'!$A:$N,MATCH('БА расх 2019-2020'!$L2097,'реш СГД № 265'!$N:$N,0),3)</f>
        <v>0</v>
      </c>
    </row>
    <row r="2098" spans="11:13" ht="15.75">
      <c r="K2098" s="108" t="str">
        <f t="shared" si="107"/>
        <v>0000000000</v>
      </c>
      <c r="L2098" s="303" t="str">
        <f t="shared" si="108"/>
        <v>0000000000</v>
      </c>
      <c r="M2098" s="132">
        <f>INDEX('реш СГД № 265'!$A:$N,MATCH('БА расх 2019-2020'!$L2098,'реш СГД № 265'!$N:$N,0),3)</f>
        <v>0</v>
      </c>
    </row>
    <row r="2099" spans="11:13" ht="15.75">
      <c r="K2099" s="108" t="str">
        <f t="shared" si="107"/>
        <v>0000000000</v>
      </c>
      <c r="L2099" s="303" t="str">
        <f t="shared" si="108"/>
        <v>0000000000</v>
      </c>
      <c r="M2099" s="132">
        <f>INDEX('реш СГД № 265'!$A:$N,MATCH('БА расх 2019-2020'!$L2099,'реш СГД № 265'!$N:$N,0),3)</f>
        <v>0</v>
      </c>
    </row>
    <row r="2100" spans="11:13" ht="15.75">
      <c r="K2100" s="108" t="str">
        <f t="shared" si="107"/>
        <v>0000000000</v>
      </c>
      <c r="L2100" s="303" t="str">
        <f t="shared" si="108"/>
        <v>0000000000</v>
      </c>
      <c r="M2100" s="132">
        <f>INDEX('реш СГД № 265'!$A:$N,MATCH('БА расх 2019-2020'!$L2100,'реш СГД № 265'!$N:$N,0),3)</f>
        <v>0</v>
      </c>
    </row>
    <row r="2101" spans="11:13" ht="15.75">
      <c r="K2101" s="108" t="str">
        <f t="shared" si="107"/>
        <v>0000000000</v>
      </c>
      <c r="L2101" s="303" t="str">
        <f t="shared" si="108"/>
        <v>0000000000</v>
      </c>
      <c r="M2101" s="132">
        <f>INDEX('реш СГД № 265'!$A:$N,MATCH('БА расх 2019-2020'!$L2101,'реш СГД № 265'!$N:$N,0),3)</f>
        <v>0</v>
      </c>
    </row>
    <row r="2102" spans="11:13" ht="15.75">
      <c r="K2102" s="108" t="str">
        <f t="shared" si="107"/>
        <v>0000000000</v>
      </c>
      <c r="L2102" s="303" t="str">
        <f t="shared" si="108"/>
        <v>0000000000</v>
      </c>
      <c r="M2102" s="132">
        <f>INDEX('реш СГД № 265'!$A:$N,MATCH('БА расх 2019-2020'!$L2102,'реш СГД № 265'!$N:$N,0),3)</f>
        <v>0</v>
      </c>
    </row>
    <row r="2103" spans="11:13" ht="15.75">
      <c r="K2103" s="108" t="str">
        <f t="shared" si="107"/>
        <v>0000000000</v>
      </c>
      <c r="L2103" s="303" t="str">
        <f t="shared" si="108"/>
        <v>0000000000</v>
      </c>
      <c r="M2103" s="132">
        <f>INDEX('реш СГД № 265'!$A:$N,MATCH('БА расх 2019-2020'!$L2103,'реш СГД № 265'!$N:$N,0),3)</f>
        <v>0</v>
      </c>
    </row>
    <row r="2104" spans="11:13" ht="15.75">
      <c r="K2104" s="108" t="str">
        <f t="shared" si="107"/>
        <v>0000000000</v>
      </c>
      <c r="L2104" s="303" t="str">
        <f t="shared" si="108"/>
        <v>0000000000</v>
      </c>
      <c r="M2104" s="132">
        <f>INDEX('реш СГД № 265'!$A:$N,MATCH('БА расх 2019-2020'!$L2104,'реш СГД № 265'!$N:$N,0),3)</f>
        <v>0</v>
      </c>
    </row>
    <row r="2105" spans="11:13" ht="15.75">
      <c r="K2105" s="108" t="str">
        <f t="shared" si="107"/>
        <v>0000000000</v>
      </c>
      <c r="L2105" s="303" t="str">
        <f t="shared" si="108"/>
        <v>0000000000</v>
      </c>
      <c r="M2105" s="132">
        <f>INDEX('реш СГД № 265'!$A:$N,MATCH('БА расх 2019-2020'!$L2105,'реш СГД № 265'!$N:$N,0),3)</f>
        <v>0</v>
      </c>
    </row>
    <row r="2106" spans="11:13" ht="15.75">
      <c r="K2106" s="108" t="str">
        <f t="shared" si="107"/>
        <v>0000000000</v>
      </c>
      <c r="L2106" s="303" t="str">
        <f t="shared" si="108"/>
        <v>0000000000</v>
      </c>
      <c r="M2106" s="132">
        <f>INDEX('реш СГД № 265'!$A:$N,MATCH('БА расх 2019-2020'!$L2106,'реш СГД № 265'!$N:$N,0),3)</f>
        <v>0</v>
      </c>
    </row>
    <row r="2107" spans="11:13" ht="15.75">
      <c r="K2107" s="108" t="str">
        <f t="shared" si="107"/>
        <v>0000000000</v>
      </c>
      <c r="L2107" s="303" t="str">
        <f t="shared" si="108"/>
        <v>0000000000</v>
      </c>
      <c r="M2107" s="132">
        <f>INDEX('реш СГД № 265'!$A:$N,MATCH('БА расх 2019-2020'!$L2107,'реш СГД № 265'!$N:$N,0),3)</f>
        <v>0</v>
      </c>
    </row>
    <row r="2108" spans="11:13" ht="15.75">
      <c r="K2108" s="108" t="str">
        <f t="shared" si="107"/>
        <v>0000000000</v>
      </c>
      <c r="L2108" s="303" t="str">
        <f t="shared" si="108"/>
        <v>0000000000</v>
      </c>
      <c r="M2108" s="132">
        <f>INDEX('реш СГД № 265'!$A:$N,MATCH('БА расх 2019-2020'!$L2108,'реш СГД № 265'!$N:$N,0),3)</f>
        <v>0</v>
      </c>
    </row>
    <row r="2109" spans="11:13" ht="15.75">
      <c r="K2109" s="108" t="str">
        <f t="shared" si="107"/>
        <v>0000000000</v>
      </c>
      <c r="L2109" s="303" t="str">
        <f t="shared" si="108"/>
        <v>0000000000</v>
      </c>
      <c r="M2109" s="132">
        <f>INDEX('реш СГД № 265'!$A:$N,MATCH('БА расх 2019-2020'!$L2109,'реш СГД № 265'!$N:$N,0),3)</f>
        <v>0</v>
      </c>
    </row>
    <row r="2110" spans="11:13" ht="15.75">
      <c r="K2110" s="108" t="str">
        <f t="shared" si="107"/>
        <v>0000000000</v>
      </c>
      <c r="L2110" s="303" t="str">
        <f t="shared" si="108"/>
        <v>0000000000</v>
      </c>
      <c r="M2110" s="132">
        <f>INDEX('реш СГД № 265'!$A:$N,MATCH('БА расх 2019-2020'!$L2110,'реш СГД № 265'!$N:$N,0),3)</f>
        <v>0</v>
      </c>
    </row>
    <row r="2111" spans="11:13" ht="15.75">
      <c r="K2111" s="108" t="str">
        <f t="shared" si="107"/>
        <v>0000000000</v>
      </c>
      <c r="L2111" s="303" t="str">
        <f t="shared" si="108"/>
        <v>0000000000</v>
      </c>
      <c r="M2111" s="132">
        <f>INDEX('реш СГД № 265'!$A:$N,MATCH('БА расх 2019-2020'!$L2111,'реш СГД № 265'!$N:$N,0),3)</f>
        <v>0</v>
      </c>
    </row>
    <row r="2112" spans="11:13" ht="15.75">
      <c r="K2112" s="108" t="str">
        <f t="shared" si="107"/>
        <v>0000000000</v>
      </c>
      <c r="L2112" s="303" t="str">
        <f t="shared" si="108"/>
        <v>0000000000</v>
      </c>
      <c r="M2112" s="132">
        <f>INDEX('реш СГД № 265'!$A:$N,MATCH('БА расх 2019-2020'!$L2112,'реш СГД № 265'!$N:$N,0),3)</f>
        <v>0</v>
      </c>
    </row>
    <row r="2113" spans="11:13" ht="15.75">
      <c r="K2113" s="108" t="str">
        <f t="shared" si="107"/>
        <v>0000000000</v>
      </c>
      <c r="L2113" s="303" t="str">
        <f t="shared" si="108"/>
        <v>0000000000</v>
      </c>
      <c r="M2113" s="132">
        <f>INDEX('реш СГД № 265'!$A:$N,MATCH('БА расх 2019-2020'!$L2113,'реш СГД № 265'!$N:$N,0),3)</f>
        <v>0</v>
      </c>
    </row>
    <row r="2114" spans="11:13" ht="15.75">
      <c r="K2114" s="108" t="str">
        <f t="shared" si="107"/>
        <v>0000000000</v>
      </c>
      <c r="L2114" s="303" t="str">
        <f t="shared" si="108"/>
        <v>0000000000</v>
      </c>
      <c r="M2114" s="132">
        <f>INDEX('реш СГД № 265'!$A:$N,MATCH('БА расх 2019-2020'!$L2114,'реш СГД № 265'!$N:$N,0),3)</f>
        <v>0</v>
      </c>
    </row>
    <row r="2115" spans="11:13" ht="15.75">
      <c r="K2115" s="108" t="str">
        <f t="shared" si="107"/>
        <v>0000000000</v>
      </c>
      <c r="L2115" s="303" t="str">
        <f t="shared" si="108"/>
        <v>0000000000</v>
      </c>
      <c r="M2115" s="132">
        <f>INDEX('реш СГД № 265'!$A:$N,MATCH('БА расх 2019-2020'!$L2115,'реш СГД № 265'!$N:$N,0),3)</f>
        <v>0</v>
      </c>
    </row>
    <row r="2116" spans="11:13" ht="15.75">
      <c r="K2116" s="108" t="str">
        <f t="shared" si="107"/>
        <v>0000000000</v>
      </c>
      <c r="L2116" s="303" t="str">
        <f t="shared" si="108"/>
        <v>0000000000</v>
      </c>
      <c r="M2116" s="132">
        <f>INDEX('реш СГД № 265'!$A:$N,MATCH('БА расх 2019-2020'!$L2116,'реш СГД № 265'!$N:$N,0),3)</f>
        <v>0</v>
      </c>
    </row>
    <row r="2117" spans="11:13" ht="15.75">
      <c r="K2117" s="108" t="str">
        <f t="shared" si="107"/>
        <v>0000000000</v>
      </c>
      <c r="L2117" s="303" t="str">
        <f t="shared" si="108"/>
        <v>0000000000</v>
      </c>
      <c r="M2117" s="132">
        <f>INDEX('реш СГД № 265'!$A:$N,MATCH('БА расх 2019-2020'!$L2117,'реш СГД № 265'!$N:$N,0),3)</f>
        <v>0</v>
      </c>
    </row>
    <row r="2118" spans="11:13" ht="15.75">
      <c r="K2118" s="108" t="str">
        <f t="shared" si="107"/>
        <v>0000000000</v>
      </c>
      <c r="L2118" s="303" t="str">
        <f t="shared" si="108"/>
        <v>0000000000</v>
      </c>
      <c r="M2118" s="132">
        <f>INDEX('реш СГД № 265'!$A:$N,MATCH('БА расх 2019-2020'!$L2118,'реш СГД № 265'!$N:$N,0),3)</f>
        <v>0</v>
      </c>
    </row>
    <row r="2119" spans="11:13" ht="15.75">
      <c r="K2119" s="108" t="str">
        <f t="shared" si="107"/>
        <v>0000000000</v>
      </c>
      <c r="L2119" s="303" t="str">
        <f t="shared" si="108"/>
        <v>0000000000</v>
      </c>
      <c r="M2119" s="132">
        <f>INDEX('реш СГД № 265'!$A:$N,MATCH('БА расх 2019-2020'!$L2119,'реш СГД № 265'!$N:$N,0),3)</f>
        <v>0</v>
      </c>
    </row>
    <row r="2120" spans="11:13" ht="15.75">
      <c r="K2120" s="108" t="str">
        <f t="shared" si="107"/>
        <v>0000000000</v>
      </c>
      <c r="L2120" s="303" t="str">
        <f t="shared" si="108"/>
        <v>0000000000</v>
      </c>
      <c r="M2120" s="132">
        <f>INDEX('реш СГД № 265'!$A:$N,MATCH('БА расх 2019-2020'!$L2120,'реш СГД № 265'!$N:$N,0),3)</f>
        <v>0</v>
      </c>
    </row>
    <row r="2121" spans="11:13" ht="15.75">
      <c r="K2121" s="108" t="str">
        <f t="shared" si="107"/>
        <v>0000000000</v>
      </c>
      <c r="L2121" s="303" t="str">
        <f t="shared" si="108"/>
        <v>0000000000</v>
      </c>
      <c r="M2121" s="132">
        <f>INDEX('реш СГД № 265'!$A:$N,MATCH('БА расх 2019-2020'!$L2121,'реш СГД № 265'!$N:$N,0),3)</f>
        <v>0</v>
      </c>
    </row>
    <row r="2122" spans="11:13" ht="15.75">
      <c r="K2122" s="108" t="str">
        <f t="shared" si="107"/>
        <v>0000000000</v>
      </c>
      <c r="L2122" s="303" t="str">
        <f t="shared" si="108"/>
        <v>0000000000</v>
      </c>
      <c r="M2122" s="132">
        <f>INDEX('реш СГД № 265'!$A:$N,MATCH('БА расх 2019-2020'!$L2122,'реш СГД № 265'!$N:$N,0),3)</f>
        <v>0</v>
      </c>
    </row>
    <row r="2123" spans="11:13" ht="15.75">
      <c r="K2123" s="108" t="str">
        <f t="shared" si="107"/>
        <v>0000000000</v>
      </c>
      <c r="L2123" s="303" t="str">
        <f t="shared" si="108"/>
        <v>0000000000</v>
      </c>
      <c r="M2123" s="132">
        <f>INDEX('реш СГД № 265'!$A:$N,MATCH('БА расх 2019-2020'!$L2123,'реш СГД № 265'!$N:$N,0),3)</f>
        <v>0</v>
      </c>
    </row>
    <row r="2124" spans="11:13" ht="15.75">
      <c r="K2124" s="108" t="str">
        <f t="shared" si="107"/>
        <v>0000000000</v>
      </c>
      <c r="L2124" s="303" t="str">
        <f t="shared" si="108"/>
        <v>0000000000</v>
      </c>
      <c r="M2124" s="132">
        <f>INDEX('реш СГД № 265'!$A:$N,MATCH('БА расх 2019-2020'!$L2124,'реш СГД № 265'!$N:$N,0),3)</f>
        <v>0</v>
      </c>
    </row>
    <row r="2125" spans="11:13" ht="15.75">
      <c r="K2125" s="108" t="str">
        <f t="shared" si="107"/>
        <v>0000000000</v>
      </c>
      <c r="L2125" s="303" t="str">
        <f t="shared" si="108"/>
        <v>0000000000</v>
      </c>
      <c r="M2125" s="132">
        <f>INDEX('реш СГД № 265'!$A:$N,MATCH('БА расх 2019-2020'!$L2125,'реш СГД № 265'!$N:$N,0),3)</f>
        <v>0</v>
      </c>
    </row>
    <row r="2126" spans="11:13" ht="15.75">
      <c r="K2126" s="108" t="str">
        <f t="shared" si="107"/>
        <v>0000000000</v>
      </c>
      <c r="L2126" s="303" t="str">
        <f t="shared" si="108"/>
        <v>0000000000</v>
      </c>
      <c r="M2126" s="132">
        <f>INDEX('реш СГД № 265'!$A:$N,MATCH('БА расх 2019-2020'!$L2126,'реш СГД № 265'!$N:$N,0),3)</f>
        <v>0</v>
      </c>
    </row>
    <row r="2127" spans="11:13" ht="15.75">
      <c r="K2127" s="108" t="str">
        <f t="shared" si="107"/>
        <v>0000000000</v>
      </c>
      <c r="L2127" s="303" t="str">
        <f t="shared" si="108"/>
        <v>0000000000</v>
      </c>
      <c r="M2127" s="132">
        <f>INDEX('реш СГД № 265'!$A:$N,MATCH('БА расх 2019-2020'!$L2127,'реш СГД № 265'!$N:$N,0),3)</f>
        <v>0</v>
      </c>
    </row>
    <row r="2128" spans="11:13" ht="15.75">
      <c r="K2128" s="108" t="str">
        <f t="shared" si="107"/>
        <v>0000000000</v>
      </c>
      <c r="L2128" s="303" t="str">
        <f t="shared" si="108"/>
        <v>0000000000</v>
      </c>
      <c r="M2128" s="132">
        <f>INDEX('реш СГД № 265'!$A:$N,MATCH('БА расх 2019-2020'!$L2128,'реш СГД № 265'!$N:$N,0),3)</f>
        <v>0</v>
      </c>
    </row>
    <row r="2129" spans="11:13" ht="15.75">
      <c r="K2129" s="108" t="str">
        <f t="shared" si="107"/>
        <v>0000000000</v>
      </c>
      <c r="L2129" s="303" t="str">
        <f t="shared" si="108"/>
        <v>0000000000</v>
      </c>
      <c r="M2129" s="132">
        <f>INDEX('реш СГД № 265'!$A:$N,MATCH('БА расх 2019-2020'!$L2129,'реш СГД № 265'!$N:$N,0),3)</f>
        <v>0</v>
      </c>
    </row>
    <row r="2130" spans="11:13" ht="15.75">
      <c r="K2130" s="108" t="str">
        <f t="shared" si="107"/>
        <v>0000000000</v>
      </c>
      <c r="L2130" s="303" t="str">
        <f t="shared" si="108"/>
        <v>0000000000</v>
      </c>
      <c r="M2130" s="132">
        <f>INDEX('реш СГД № 265'!$A:$N,MATCH('БА расх 2019-2020'!$L2130,'реш СГД № 265'!$N:$N,0),3)</f>
        <v>0</v>
      </c>
    </row>
    <row r="2131" spans="11:13" ht="15.75">
      <c r="K2131" s="108" t="str">
        <f t="shared" si="107"/>
        <v>0000000000</v>
      </c>
      <c r="L2131" s="303" t="str">
        <f t="shared" si="108"/>
        <v>0000000000</v>
      </c>
      <c r="M2131" s="132">
        <f>INDEX('реш СГД № 265'!$A:$N,MATCH('БА расх 2019-2020'!$L2131,'реш СГД № 265'!$N:$N,0),3)</f>
        <v>0</v>
      </c>
    </row>
    <row r="2132" spans="11:13" ht="15.75">
      <c r="K2132" s="108" t="str">
        <f t="shared" si="107"/>
        <v>0000000000</v>
      </c>
      <c r="L2132" s="303" t="str">
        <f t="shared" si="108"/>
        <v>0000000000</v>
      </c>
      <c r="M2132" s="132">
        <f>INDEX('реш СГД № 265'!$A:$N,MATCH('БА расх 2019-2020'!$L2132,'реш СГД № 265'!$N:$N,0),3)</f>
        <v>0</v>
      </c>
    </row>
    <row r="2133" spans="11:13" ht="15.75">
      <c r="K2133" s="108" t="str">
        <f t="shared" si="107"/>
        <v>0000000000</v>
      </c>
      <c r="L2133" s="303" t="str">
        <f t="shared" si="108"/>
        <v>0000000000</v>
      </c>
      <c r="M2133" s="132">
        <f>INDEX('реш СГД № 265'!$A:$N,MATCH('БА расх 2019-2020'!$L2133,'реш СГД № 265'!$N:$N,0),3)</f>
        <v>0</v>
      </c>
    </row>
    <row r="2134" spans="11:13" ht="15.75">
      <c r="K2134" s="108" t="str">
        <f t="shared" si="107"/>
        <v>0000000000</v>
      </c>
      <c r="L2134" s="303" t="str">
        <f t="shared" si="108"/>
        <v>0000000000</v>
      </c>
      <c r="M2134" s="132">
        <f>INDEX('реш СГД № 265'!$A:$N,MATCH('БА расх 2019-2020'!$L2134,'реш СГД № 265'!$N:$N,0),3)</f>
        <v>0</v>
      </c>
    </row>
    <row r="2135" spans="11:13" ht="15.75">
      <c r="K2135" s="108" t="str">
        <f t="shared" si="107"/>
        <v>0000000000</v>
      </c>
      <c r="L2135" s="303" t="str">
        <f t="shared" si="108"/>
        <v>0000000000</v>
      </c>
      <c r="M2135" s="132">
        <f>INDEX('реш СГД № 265'!$A:$N,MATCH('БА расх 2019-2020'!$L2135,'реш СГД № 265'!$N:$N,0),3)</f>
        <v>0</v>
      </c>
    </row>
    <row r="2136" spans="11:13" ht="15.75">
      <c r="K2136" s="108" t="str">
        <f t="shared" si="107"/>
        <v>0000000000</v>
      </c>
      <c r="L2136" s="303" t="str">
        <f t="shared" si="108"/>
        <v>0000000000</v>
      </c>
      <c r="M2136" s="132">
        <f>INDEX('реш СГД № 265'!$A:$N,MATCH('БА расх 2019-2020'!$L2136,'реш СГД № 265'!$N:$N,0),3)</f>
        <v>0</v>
      </c>
    </row>
    <row r="2137" spans="11:13" ht="15.75">
      <c r="K2137" s="108" t="str">
        <f t="shared" si="107"/>
        <v>0000000000</v>
      </c>
      <c r="L2137" s="303" t="str">
        <f t="shared" si="108"/>
        <v>0000000000</v>
      </c>
      <c r="M2137" s="132">
        <f>INDEX('реш СГД № 265'!$A:$N,MATCH('БА расх 2019-2020'!$L2137,'реш СГД № 265'!$N:$N,0),3)</f>
        <v>0</v>
      </c>
    </row>
    <row r="2138" spans="11:13" ht="15.75">
      <c r="K2138" s="108" t="str">
        <f t="shared" si="107"/>
        <v>0000000000</v>
      </c>
      <c r="L2138" s="303" t="str">
        <f t="shared" si="108"/>
        <v>0000000000</v>
      </c>
      <c r="M2138" s="132">
        <f>INDEX('реш СГД № 265'!$A:$N,MATCH('БА расх 2019-2020'!$L2138,'реш СГД № 265'!$N:$N,0),3)</f>
        <v>0</v>
      </c>
    </row>
    <row r="2139" spans="11:13" ht="15.75">
      <c r="K2139" s="108" t="str">
        <f t="shared" si="107"/>
        <v>0000000000</v>
      </c>
      <c r="L2139" s="303" t="str">
        <f t="shared" si="108"/>
        <v>0000000000</v>
      </c>
      <c r="M2139" s="132">
        <f>INDEX('реш СГД № 265'!$A:$N,MATCH('БА расх 2019-2020'!$L2139,'реш СГД № 265'!$N:$N,0),3)</f>
        <v>0</v>
      </c>
    </row>
    <row r="2140" spans="11:13" ht="15.75">
      <c r="K2140" s="108" t="str">
        <f t="shared" si="107"/>
        <v>0000000000</v>
      </c>
      <c r="L2140" s="303" t="str">
        <f t="shared" si="108"/>
        <v>0000000000</v>
      </c>
      <c r="M2140" s="132">
        <f>INDEX('реш СГД № 265'!$A:$N,MATCH('БА расх 2019-2020'!$L2140,'реш СГД № 265'!$N:$N,0),3)</f>
        <v>0</v>
      </c>
    </row>
    <row r="2141" spans="11:13" ht="15.75">
      <c r="K2141" s="108" t="str">
        <f t="shared" si="107"/>
        <v>0000000000</v>
      </c>
      <c r="L2141" s="303" t="str">
        <f t="shared" si="108"/>
        <v>0000000000</v>
      </c>
      <c r="M2141" s="132">
        <f>INDEX('реш СГД № 265'!$A:$N,MATCH('БА расх 2019-2020'!$L2141,'реш СГД № 265'!$N:$N,0),3)</f>
        <v>0</v>
      </c>
    </row>
    <row r="2142" spans="11:13" ht="15.75">
      <c r="K2142" s="108" t="str">
        <f t="shared" si="107"/>
        <v>0000000000</v>
      </c>
      <c r="L2142" s="303" t="str">
        <f t="shared" si="108"/>
        <v>0000000000</v>
      </c>
      <c r="M2142" s="132">
        <f>INDEX('реш СГД № 265'!$A:$N,MATCH('БА расх 2019-2020'!$L2142,'реш СГД № 265'!$N:$N,0),3)</f>
        <v>0</v>
      </c>
    </row>
    <row r="2143" spans="11:13" ht="15.75">
      <c r="K2143" s="108" t="str">
        <f t="shared" si="107"/>
        <v>0000000000</v>
      </c>
      <c r="L2143" s="303" t="str">
        <f t="shared" si="108"/>
        <v>0000000000</v>
      </c>
      <c r="M2143" s="132">
        <f>INDEX('реш СГД № 265'!$A:$N,MATCH('БА расх 2019-2020'!$L2143,'реш СГД № 265'!$N:$N,0),3)</f>
        <v>0</v>
      </c>
    </row>
    <row r="2144" spans="11:13" ht="15.75">
      <c r="K2144" s="108" t="str">
        <f t="shared" si="107"/>
        <v>0000000000</v>
      </c>
      <c r="L2144" s="303" t="str">
        <f t="shared" si="108"/>
        <v>0000000000</v>
      </c>
      <c r="M2144" s="132">
        <f>INDEX('реш СГД № 265'!$A:$N,MATCH('БА расх 2019-2020'!$L2144,'реш СГД № 265'!$N:$N,0),3)</f>
        <v>0</v>
      </c>
    </row>
    <row r="2145" spans="11:13" ht="15.75">
      <c r="K2145" s="108" t="str">
        <f t="shared" si="107"/>
        <v>0000000000</v>
      </c>
      <c r="L2145" s="303" t="str">
        <f t="shared" si="108"/>
        <v>0000000000</v>
      </c>
      <c r="M2145" s="132">
        <f>INDEX('реш СГД № 265'!$A:$N,MATCH('БА расх 2019-2020'!$L2145,'реш СГД № 265'!$N:$N,0),3)</f>
        <v>0</v>
      </c>
    </row>
    <row r="2146" spans="11:13" ht="15.75">
      <c r="K2146" s="108" t="str">
        <f t="shared" si="107"/>
        <v>0000000000</v>
      </c>
      <c r="L2146" s="303" t="str">
        <f t="shared" si="108"/>
        <v>0000000000</v>
      </c>
      <c r="M2146" s="132">
        <f>INDEX('реш СГД № 265'!$A:$N,MATCH('БА расх 2019-2020'!$L2146,'реш СГД № 265'!$N:$N,0),3)</f>
        <v>0</v>
      </c>
    </row>
    <row r="2147" spans="11:13" ht="15.75">
      <c r="K2147" s="108" t="str">
        <f t="shared" si="107"/>
        <v>0000000000</v>
      </c>
      <c r="L2147" s="303" t="str">
        <f t="shared" si="108"/>
        <v>0000000000</v>
      </c>
      <c r="M2147" s="132">
        <f>INDEX('реш СГД № 265'!$A:$N,MATCH('БА расх 2019-2020'!$L2147,'реш СГД № 265'!$N:$N,0),3)</f>
        <v>0</v>
      </c>
    </row>
    <row r="2148" spans="11:13" ht="15.75">
      <c r="K2148" s="108" t="str">
        <f t="shared" ref="K2148:K2211" si="109">TEXT(J2148,"0000000000")</f>
        <v>0000000000</v>
      </c>
      <c r="L2148" s="303" t="str">
        <f t="shared" si="108"/>
        <v>0000000000</v>
      </c>
      <c r="M2148" s="132">
        <f>INDEX('реш СГД № 265'!$A:$N,MATCH('БА расх 2019-2020'!$L2148,'реш СГД № 265'!$N:$N,0),3)</f>
        <v>0</v>
      </c>
    </row>
    <row r="2149" spans="11:13" ht="15.75">
      <c r="K2149" s="108" t="str">
        <f t="shared" si="109"/>
        <v>0000000000</v>
      </c>
      <c r="L2149" s="303" t="str">
        <f t="shared" ref="L2149:L2212" si="110">C2149&amp;D2149&amp;E2149&amp;K2149&amp;G2149</f>
        <v>0000000000</v>
      </c>
      <c r="M2149" s="132">
        <f>INDEX('реш СГД № 265'!$A:$N,MATCH('БА расх 2019-2020'!$L2149,'реш СГД № 265'!$N:$N,0),3)</f>
        <v>0</v>
      </c>
    </row>
    <row r="2150" spans="11:13" ht="15.75">
      <c r="K2150" s="108" t="str">
        <f t="shared" si="109"/>
        <v>0000000000</v>
      </c>
      <c r="L2150" s="303" t="str">
        <f t="shared" si="110"/>
        <v>0000000000</v>
      </c>
      <c r="M2150" s="132">
        <f>INDEX('реш СГД № 265'!$A:$N,MATCH('БА расх 2019-2020'!$L2150,'реш СГД № 265'!$N:$N,0),3)</f>
        <v>0</v>
      </c>
    </row>
    <row r="2151" spans="11:13" ht="15.75">
      <c r="K2151" s="108" t="str">
        <f t="shared" si="109"/>
        <v>0000000000</v>
      </c>
      <c r="L2151" s="303" t="str">
        <f t="shared" si="110"/>
        <v>0000000000</v>
      </c>
      <c r="M2151" s="132">
        <f>INDEX('реш СГД № 265'!$A:$N,MATCH('БА расх 2019-2020'!$L2151,'реш СГД № 265'!$N:$N,0),3)</f>
        <v>0</v>
      </c>
    </row>
    <row r="2152" spans="11:13" ht="15.75">
      <c r="K2152" s="108" t="str">
        <f t="shared" si="109"/>
        <v>0000000000</v>
      </c>
      <c r="L2152" s="303" t="str">
        <f t="shared" si="110"/>
        <v>0000000000</v>
      </c>
      <c r="M2152" s="132">
        <f>INDEX('реш СГД № 265'!$A:$N,MATCH('БА расх 2019-2020'!$L2152,'реш СГД № 265'!$N:$N,0),3)</f>
        <v>0</v>
      </c>
    </row>
    <row r="2153" spans="11:13" ht="15.75">
      <c r="K2153" s="108" t="str">
        <f t="shared" si="109"/>
        <v>0000000000</v>
      </c>
      <c r="L2153" s="303" t="str">
        <f t="shared" si="110"/>
        <v>0000000000</v>
      </c>
      <c r="M2153" s="132">
        <f>INDEX('реш СГД № 265'!$A:$N,MATCH('БА расх 2019-2020'!$L2153,'реш СГД № 265'!$N:$N,0),3)</f>
        <v>0</v>
      </c>
    </row>
    <row r="2154" spans="11:13" ht="15.75">
      <c r="K2154" s="108" t="str">
        <f t="shared" si="109"/>
        <v>0000000000</v>
      </c>
      <c r="L2154" s="303" t="str">
        <f t="shared" si="110"/>
        <v>0000000000</v>
      </c>
      <c r="M2154" s="132">
        <f>INDEX('реш СГД № 265'!$A:$N,MATCH('БА расх 2019-2020'!$L2154,'реш СГД № 265'!$N:$N,0),3)</f>
        <v>0</v>
      </c>
    </row>
    <row r="2155" spans="11:13" ht="15.75">
      <c r="K2155" s="108" t="str">
        <f t="shared" si="109"/>
        <v>0000000000</v>
      </c>
      <c r="L2155" s="303" t="str">
        <f t="shared" si="110"/>
        <v>0000000000</v>
      </c>
      <c r="M2155" s="132">
        <f>INDEX('реш СГД № 265'!$A:$N,MATCH('БА расх 2019-2020'!$L2155,'реш СГД № 265'!$N:$N,0),3)</f>
        <v>0</v>
      </c>
    </row>
    <row r="2156" spans="11:13" ht="15.75">
      <c r="K2156" s="108" t="str">
        <f t="shared" si="109"/>
        <v>0000000000</v>
      </c>
      <c r="L2156" s="303" t="str">
        <f t="shared" si="110"/>
        <v>0000000000</v>
      </c>
      <c r="M2156" s="132">
        <f>INDEX('реш СГД № 265'!$A:$N,MATCH('БА расх 2019-2020'!$L2156,'реш СГД № 265'!$N:$N,0),3)</f>
        <v>0</v>
      </c>
    </row>
    <row r="2157" spans="11:13" ht="15.75">
      <c r="K2157" s="108" t="str">
        <f t="shared" si="109"/>
        <v>0000000000</v>
      </c>
      <c r="L2157" s="303" t="str">
        <f t="shared" si="110"/>
        <v>0000000000</v>
      </c>
      <c r="M2157" s="132">
        <f>INDEX('реш СГД № 265'!$A:$N,MATCH('БА расх 2019-2020'!$L2157,'реш СГД № 265'!$N:$N,0),3)</f>
        <v>0</v>
      </c>
    </row>
    <row r="2158" spans="11:13" ht="15.75">
      <c r="K2158" s="108" t="str">
        <f t="shared" si="109"/>
        <v>0000000000</v>
      </c>
      <c r="L2158" s="303" t="str">
        <f t="shared" si="110"/>
        <v>0000000000</v>
      </c>
      <c r="M2158" s="132">
        <f>INDEX('реш СГД № 265'!$A:$N,MATCH('БА расх 2019-2020'!$L2158,'реш СГД № 265'!$N:$N,0),3)</f>
        <v>0</v>
      </c>
    </row>
    <row r="2159" spans="11:13" ht="15.75">
      <c r="K2159" s="108" t="str">
        <f t="shared" si="109"/>
        <v>0000000000</v>
      </c>
      <c r="L2159" s="303" t="str">
        <f t="shared" si="110"/>
        <v>0000000000</v>
      </c>
      <c r="M2159" s="132">
        <f>INDEX('реш СГД № 265'!$A:$N,MATCH('БА расх 2019-2020'!$L2159,'реш СГД № 265'!$N:$N,0),3)</f>
        <v>0</v>
      </c>
    </row>
    <row r="2160" spans="11:13" ht="15.75">
      <c r="K2160" s="108" t="str">
        <f t="shared" si="109"/>
        <v>0000000000</v>
      </c>
      <c r="L2160" s="303" t="str">
        <f t="shared" si="110"/>
        <v>0000000000</v>
      </c>
      <c r="M2160" s="132">
        <f>INDEX('реш СГД № 265'!$A:$N,MATCH('БА расх 2019-2020'!$L2160,'реш СГД № 265'!$N:$N,0),3)</f>
        <v>0</v>
      </c>
    </row>
    <row r="2161" spans="11:13" ht="15.75">
      <c r="K2161" s="108" t="str">
        <f t="shared" si="109"/>
        <v>0000000000</v>
      </c>
      <c r="L2161" s="303" t="str">
        <f t="shared" si="110"/>
        <v>0000000000</v>
      </c>
      <c r="M2161" s="132">
        <f>INDEX('реш СГД № 265'!$A:$N,MATCH('БА расх 2019-2020'!$L2161,'реш СГД № 265'!$N:$N,0),3)</f>
        <v>0</v>
      </c>
    </row>
    <row r="2162" spans="11:13" ht="15.75">
      <c r="K2162" s="108" t="str">
        <f t="shared" si="109"/>
        <v>0000000000</v>
      </c>
      <c r="L2162" s="303" t="str">
        <f t="shared" si="110"/>
        <v>0000000000</v>
      </c>
      <c r="M2162" s="132">
        <f>INDEX('реш СГД № 265'!$A:$N,MATCH('БА расх 2019-2020'!$L2162,'реш СГД № 265'!$N:$N,0),3)</f>
        <v>0</v>
      </c>
    </row>
    <row r="2163" spans="11:13" ht="15.75">
      <c r="K2163" s="108" t="str">
        <f t="shared" si="109"/>
        <v>0000000000</v>
      </c>
      <c r="L2163" s="303" t="str">
        <f t="shared" si="110"/>
        <v>0000000000</v>
      </c>
      <c r="M2163" s="132">
        <f>INDEX('реш СГД № 265'!$A:$N,MATCH('БА расх 2019-2020'!$L2163,'реш СГД № 265'!$N:$N,0),3)</f>
        <v>0</v>
      </c>
    </row>
    <row r="2164" spans="11:13" ht="15.75">
      <c r="K2164" s="108" t="str">
        <f t="shared" si="109"/>
        <v>0000000000</v>
      </c>
      <c r="L2164" s="303" t="str">
        <f t="shared" si="110"/>
        <v>0000000000</v>
      </c>
      <c r="M2164" s="132">
        <f>INDEX('реш СГД № 265'!$A:$N,MATCH('БА расх 2019-2020'!$L2164,'реш СГД № 265'!$N:$N,0),3)</f>
        <v>0</v>
      </c>
    </row>
    <row r="2165" spans="11:13" ht="15.75">
      <c r="K2165" s="108" t="str">
        <f t="shared" si="109"/>
        <v>0000000000</v>
      </c>
      <c r="L2165" s="303" t="str">
        <f t="shared" si="110"/>
        <v>0000000000</v>
      </c>
      <c r="M2165" s="132">
        <f>INDEX('реш СГД № 265'!$A:$N,MATCH('БА расх 2019-2020'!$L2165,'реш СГД № 265'!$N:$N,0),3)</f>
        <v>0</v>
      </c>
    </row>
    <row r="2166" spans="11:13" ht="15.75">
      <c r="K2166" s="108" t="str">
        <f t="shared" si="109"/>
        <v>0000000000</v>
      </c>
      <c r="L2166" s="303" t="str">
        <f t="shared" si="110"/>
        <v>0000000000</v>
      </c>
      <c r="M2166" s="132">
        <f>INDEX('реш СГД № 265'!$A:$N,MATCH('БА расх 2019-2020'!$L2166,'реш СГД № 265'!$N:$N,0),3)</f>
        <v>0</v>
      </c>
    </row>
    <row r="2167" spans="11:13" ht="15.75">
      <c r="K2167" s="108" t="str">
        <f t="shared" si="109"/>
        <v>0000000000</v>
      </c>
      <c r="L2167" s="303" t="str">
        <f t="shared" si="110"/>
        <v>0000000000</v>
      </c>
      <c r="M2167" s="132">
        <f>INDEX('реш СГД № 265'!$A:$N,MATCH('БА расх 2019-2020'!$L2167,'реш СГД № 265'!$N:$N,0),3)</f>
        <v>0</v>
      </c>
    </row>
    <row r="2168" spans="11:13" ht="15.75">
      <c r="K2168" s="108" t="str">
        <f t="shared" si="109"/>
        <v>0000000000</v>
      </c>
      <c r="L2168" s="303" t="str">
        <f t="shared" si="110"/>
        <v>0000000000</v>
      </c>
      <c r="M2168" s="132">
        <f>INDEX('реш СГД № 265'!$A:$N,MATCH('БА расх 2019-2020'!$L2168,'реш СГД № 265'!$N:$N,0),3)</f>
        <v>0</v>
      </c>
    </row>
    <row r="2169" spans="11:13" ht="15.75">
      <c r="K2169" s="108" t="str">
        <f t="shared" si="109"/>
        <v>0000000000</v>
      </c>
      <c r="L2169" s="303" t="str">
        <f t="shared" si="110"/>
        <v>0000000000</v>
      </c>
      <c r="M2169" s="132">
        <f>INDEX('реш СГД № 265'!$A:$N,MATCH('БА расх 2019-2020'!$L2169,'реш СГД № 265'!$N:$N,0),3)</f>
        <v>0</v>
      </c>
    </row>
    <row r="2170" spans="11:13" ht="15.75">
      <c r="K2170" s="108" t="str">
        <f t="shared" si="109"/>
        <v>0000000000</v>
      </c>
      <c r="L2170" s="303" t="str">
        <f t="shared" si="110"/>
        <v>0000000000</v>
      </c>
      <c r="M2170" s="132">
        <f>INDEX('реш СГД № 265'!$A:$N,MATCH('БА расх 2019-2020'!$L2170,'реш СГД № 265'!$N:$N,0),3)</f>
        <v>0</v>
      </c>
    </row>
    <row r="2171" spans="11:13" ht="15.75">
      <c r="K2171" s="108" t="str">
        <f t="shared" si="109"/>
        <v>0000000000</v>
      </c>
      <c r="L2171" s="303" t="str">
        <f t="shared" si="110"/>
        <v>0000000000</v>
      </c>
      <c r="M2171" s="132">
        <f>INDEX('реш СГД № 265'!$A:$N,MATCH('БА расх 2019-2020'!$L2171,'реш СГД № 265'!$N:$N,0),3)</f>
        <v>0</v>
      </c>
    </row>
    <row r="2172" spans="11:13" ht="15.75">
      <c r="K2172" s="108" t="str">
        <f t="shared" si="109"/>
        <v>0000000000</v>
      </c>
      <c r="L2172" s="303" t="str">
        <f t="shared" si="110"/>
        <v>0000000000</v>
      </c>
      <c r="M2172" s="132">
        <f>INDEX('реш СГД № 265'!$A:$N,MATCH('БА расх 2019-2020'!$L2172,'реш СГД № 265'!$N:$N,0),3)</f>
        <v>0</v>
      </c>
    </row>
    <row r="2173" spans="11:13" ht="15.75">
      <c r="K2173" s="108" t="str">
        <f t="shared" si="109"/>
        <v>0000000000</v>
      </c>
      <c r="L2173" s="303" t="str">
        <f t="shared" si="110"/>
        <v>0000000000</v>
      </c>
      <c r="M2173" s="132">
        <f>INDEX('реш СГД № 265'!$A:$N,MATCH('БА расх 2019-2020'!$L2173,'реш СГД № 265'!$N:$N,0),3)</f>
        <v>0</v>
      </c>
    </row>
    <row r="2174" spans="11:13" ht="15.75">
      <c r="K2174" s="108" t="str">
        <f t="shared" si="109"/>
        <v>0000000000</v>
      </c>
      <c r="L2174" s="303" t="str">
        <f t="shared" si="110"/>
        <v>0000000000</v>
      </c>
      <c r="M2174" s="132">
        <f>INDEX('реш СГД № 265'!$A:$N,MATCH('БА расх 2019-2020'!$L2174,'реш СГД № 265'!$N:$N,0),3)</f>
        <v>0</v>
      </c>
    </row>
    <row r="2175" spans="11:13" ht="15.75">
      <c r="K2175" s="108" t="str">
        <f t="shared" si="109"/>
        <v>0000000000</v>
      </c>
      <c r="L2175" s="303" t="str">
        <f t="shared" si="110"/>
        <v>0000000000</v>
      </c>
      <c r="M2175" s="132">
        <f>INDEX('реш СГД № 265'!$A:$N,MATCH('БА расх 2019-2020'!$L2175,'реш СГД № 265'!$N:$N,0),3)</f>
        <v>0</v>
      </c>
    </row>
    <row r="2176" spans="11:13" ht="15.75">
      <c r="K2176" s="108" t="str">
        <f t="shared" si="109"/>
        <v>0000000000</v>
      </c>
      <c r="L2176" s="303" t="str">
        <f t="shared" si="110"/>
        <v>0000000000</v>
      </c>
      <c r="M2176" s="132">
        <f>INDEX('реш СГД № 265'!$A:$N,MATCH('БА расх 2019-2020'!$L2176,'реш СГД № 265'!$N:$N,0),3)</f>
        <v>0</v>
      </c>
    </row>
    <row r="2177" spans="11:13" ht="15.75">
      <c r="K2177" s="108" t="str">
        <f t="shared" si="109"/>
        <v>0000000000</v>
      </c>
      <c r="L2177" s="303" t="str">
        <f t="shared" si="110"/>
        <v>0000000000</v>
      </c>
      <c r="M2177" s="132">
        <f>INDEX('реш СГД № 265'!$A:$N,MATCH('БА расх 2019-2020'!$L2177,'реш СГД № 265'!$N:$N,0),3)</f>
        <v>0</v>
      </c>
    </row>
    <row r="2178" spans="11:13" ht="15.75">
      <c r="K2178" s="108" t="str">
        <f t="shared" si="109"/>
        <v>0000000000</v>
      </c>
      <c r="L2178" s="303" t="str">
        <f t="shared" si="110"/>
        <v>0000000000</v>
      </c>
      <c r="M2178" s="132">
        <f>INDEX('реш СГД № 265'!$A:$N,MATCH('БА расх 2019-2020'!$L2178,'реш СГД № 265'!$N:$N,0),3)</f>
        <v>0</v>
      </c>
    </row>
    <row r="2179" spans="11:13" ht="15.75">
      <c r="K2179" s="108" t="str">
        <f t="shared" si="109"/>
        <v>0000000000</v>
      </c>
      <c r="L2179" s="303" t="str">
        <f t="shared" si="110"/>
        <v>0000000000</v>
      </c>
      <c r="M2179" s="132">
        <f>INDEX('реш СГД № 265'!$A:$N,MATCH('БА расх 2019-2020'!$L2179,'реш СГД № 265'!$N:$N,0),3)</f>
        <v>0</v>
      </c>
    </row>
    <row r="2180" spans="11:13" ht="15.75">
      <c r="K2180" s="108" t="str">
        <f t="shared" si="109"/>
        <v>0000000000</v>
      </c>
      <c r="L2180" s="303" t="str">
        <f t="shared" si="110"/>
        <v>0000000000</v>
      </c>
      <c r="M2180" s="132">
        <f>INDEX('реш СГД № 265'!$A:$N,MATCH('БА расх 2019-2020'!$L2180,'реш СГД № 265'!$N:$N,0),3)</f>
        <v>0</v>
      </c>
    </row>
    <row r="2181" spans="11:13" ht="15.75">
      <c r="K2181" s="108" t="str">
        <f t="shared" si="109"/>
        <v>0000000000</v>
      </c>
      <c r="L2181" s="303" t="str">
        <f t="shared" si="110"/>
        <v>0000000000</v>
      </c>
      <c r="M2181" s="132">
        <f>INDEX('реш СГД № 265'!$A:$N,MATCH('БА расх 2019-2020'!$L2181,'реш СГД № 265'!$N:$N,0),3)</f>
        <v>0</v>
      </c>
    </row>
    <row r="2182" spans="11:13" ht="15.75">
      <c r="K2182" s="108" t="str">
        <f t="shared" si="109"/>
        <v>0000000000</v>
      </c>
      <c r="L2182" s="303" t="str">
        <f t="shared" si="110"/>
        <v>0000000000</v>
      </c>
      <c r="M2182" s="132">
        <f>INDEX('реш СГД № 265'!$A:$N,MATCH('БА расх 2019-2020'!$L2182,'реш СГД № 265'!$N:$N,0),3)</f>
        <v>0</v>
      </c>
    </row>
    <row r="2183" spans="11:13" ht="15.75">
      <c r="K2183" s="108" t="str">
        <f t="shared" si="109"/>
        <v>0000000000</v>
      </c>
      <c r="L2183" s="303" t="str">
        <f t="shared" si="110"/>
        <v>0000000000</v>
      </c>
      <c r="M2183" s="132">
        <f>INDEX('реш СГД № 265'!$A:$N,MATCH('БА расх 2019-2020'!$L2183,'реш СГД № 265'!$N:$N,0),3)</f>
        <v>0</v>
      </c>
    </row>
    <row r="2184" spans="11:13" ht="15.75">
      <c r="K2184" s="108" t="str">
        <f t="shared" si="109"/>
        <v>0000000000</v>
      </c>
      <c r="L2184" s="303" t="str">
        <f t="shared" si="110"/>
        <v>0000000000</v>
      </c>
      <c r="M2184" s="132">
        <f>INDEX('реш СГД № 265'!$A:$N,MATCH('БА расх 2019-2020'!$L2184,'реш СГД № 265'!$N:$N,0),3)</f>
        <v>0</v>
      </c>
    </row>
    <row r="2185" spans="11:13" ht="15.75">
      <c r="K2185" s="108" t="str">
        <f t="shared" si="109"/>
        <v>0000000000</v>
      </c>
      <c r="L2185" s="303" t="str">
        <f t="shared" si="110"/>
        <v>0000000000</v>
      </c>
      <c r="M2185" s="132">
        <f>INDEX('реш СГД № 265'!$A:$N,MATCH('БА расх 2019-2020'!$L2185,'реш СГД № 265'!$N:$N,0),3)</f>
        <v>0</v>
      </c>
    </row>
    <row r="2186" spans="11:13" ht="15.75">
      <c r="K2186" s="108" t="str">
        <f t="shared" si="109"/>
        <v>0000000000</v>
      </c>
      <c r="L2186" s="303" t="str">
        <f t="shared" si="110"/>
        <v>0000000000</v>
      </c>
      <c r="M2186" s="132">
        <f>INDEX('реш СГД № 265'!$A:$N,MATCH('БА расх 2019-2020'!$L2186,'реш СГД № 265'!$N:$N,0),3)</f>
        <v>0</v>
      </c>
    </row>
    <row r="2187" spans="11:13" ht="15.75">
      <c r="K2187" s="108" t="str">
        <f t="shared" si="109"/>
        <v>0000000000</v>
      </c>
      <c r="L2187" s="303" t="str">
        <f t="shared" si="110"/>
        <v>0000000000</v>
      </c>
      <c r="M2187" s="132">
        <f>INDEX('реш СГД № 265'!$A:$N,MATCH('БА расх 2019-2020'!$L2187,'реш СГД № 265'!$N:$N,0),3)</f>
        <v>0</v>
      </c>
    </row>
    <row r="2188" spans="11:13" ht="15.75">
      <c r="K2188" s="108" t="str">
        <f t="shared" si="109"/>
        <v>0000000000</v>
      </c>
      <c r="L2188" s="303" t="str">
        <f t="shared" si="110"/>
        <v>0000000000</v>
      </c>
      <c r="M2188" s="132">
        <f>INDEX('реш СГД № 265'!$A:$N,MATCH('БА расх 2019-2020'!$L2188,'реш СГД № 265'!$N:$N,0),3)</f>
        <v>0</v>
      </c>
    </row>
    <row r="2189" spans="11:13" ht="15.75">
      <c r="K2189" s="108" t="str">
        <f t="shared" si="109"/>
        <v>0000000000</v>
      </c>
      <c r="L2189" s="303" t="str">
        <f t="shared" si="110"/>
        <v>0000000000</v>
      </c>
      <c r="M2189" s="132">
        <f>INDEX('реш СГД № 265'!$A:$N,MATCH('БА расх 2019-2020'!$L2189,'реш СГД № 265'!$N:$N,0),3)</f>
        <v>0</v>
      </c>
    </row>
    <row r="2190" spans="11:13" ht="15.75">
      <c r="K2190" s="108" t="str">
        <f t="shared" si="109"/>
        <v>0000000000</v>
      </c>
      <c r="L2190" s="303" t="str">
        <f t="shared" si="110"/>
        <v>0000000000</v>
      </c>
      <c r="M2190" s="132">
        <f>INDEX('реш СГД № 265'!$A:$N,MATCH('БА расх 2019-2020'!$L2190,'реш СГД № 265'!$N:$N,0),3)</f>
        <v>0</v>
      </c>
    </row>
    <row r="2191" spans="11:13" ht="15.75">
      <c r="K2191" s="108" t="str">
        <f t="shared" si="109"/>
        <v>0000000000</v>
      </c>
      <c r="L2191" s="303" t="str">
        <f t="shared" si="110"/>
        <v>0000000000</v>
      </c>
      <c r="M2191" s="132">
        <f>INDEX('реш СГД № 265'!$A:$N,MATCH('БА расх 2019-2020'!$L2191,'реш СГД № 265'!$N:$N,0),3)</f>
        <v>0</v>
      </c>
    </row>
    <row r="2192" spans="11:13" ht="15.75">
      <c r="K2192" s="108" t="str">
        <f t="shared" si="109"/>
        <v>0000000000</v>
      </c>
      <c r="L2192" s="303" t="str">
        <f t="shared" si="110"/>
        <v>0000000000</v>
      </c>
      <c r="M2192" s="132">
        <f>INDEX('реш СГД № 265'!$A:$N,MATCH('БА расх 2019-2020'!$L2192,'реш СГД № 265'!$N:$N,0),3)</f>
        <v>0</v>
      </c>
    </row>
    <row r="2193" spans="11:13" ht="15.75">
      <c r="K2193" s="108" t="str">
        <f t="shared" si="109"/>
        <v>0000000000</v>
      </c>
      <c r="L2193" s="303" t="str">
        <f t="shared" si="110"/>
        <v>0000000000</v>
      </c>
      <c r="M2193" s="132">
        <f>INDEX('реш СГД № 265'!$A:$N,MATCH('БА расх 2019-2020'!$L2193,'реш СГД № 265'!$N:$N,0),3)</f>
        <v>0</v>
      </c>
    </row>
    <row r="2194" spans="11:13" ht="15.75">
      <c r="K2194" s="108" t="str">
        <f t="shared" si="109"/>
        <v>0000000000</v>
      </c>
      <c r="L2194" s="303" t="str">
        <f t="shared" si="110"/>
        <v>0000000000</v>
      </c>
      <c r="M2194" s="132">
        <f>INDEX('реш СГД № 265'!$A:$N,MATCH('БА расх 2019-2020'!$L2194,'реш СГД № 265'!$N:$N,0),3)</f>
        <v>0</v>
      </c>
    </row>
    <row r="2195" spans="11:13" ht="15.75">
      <c r="K2195" s="108" t="str">
        <f t="shared" si="109"/>
        <v>0000000000</v>
      </c>
      <c r="L2195" s="303" t="str">
        <f t="shared" si="110"/>
        <v>0000000000</v>
      </c>
      <c r="M2195" s="132">
        <f>INDEX('реш СГД № 265'!$A:$N,MATCH('БА расх 2019-2020'!$L2195,'реш СГД № 265'!$N:$N,0),3)</f>
        <v>0</v>
      </c>
    </row>
    <row r="2196" spans="11:13" ht="15.75">
      <c r="K2196" s="108" t="str">
        <f t="shared" si="109"/>
        <v>0000000000</v>
      </c>
      <c r="L2196" s="303" t="str">
        <f t="shared" si="110"/>
        <v>0000000000</v>
      </c>
      <c r="M2196" s="132">
        <f>INDEX('реш СГД № 265'!$A:$N,MATCH('БА расх 2019-2020'!$L2196,'реш СГД № 265'!$N:$N,0),3)</f>
        <v>0</v>
      </c>
    </row>
    <row r="2197" spans="11:13" ht="15.75">
      <c r="K2197" s="108" t="str">
        <f t="shared" si="109"/>
        <v>0000000000</v>
      </c>
      <c r="L2197" s="303" t="str">
        <f t="shared" si="110"/>
        <v>0000000000</v>
      </c>
      <c r="M2197" s="132">
        <f>INDEX('реш СГД № 265'!$A:$N,MATCH('БА расх 2019-2020'!$L2197,'реш СГД № 265'!$N:$N,0),3)</f>
        <v>0</v>
      </c>
    </row>
    <row r="2198" spans="11:13" ht="15.75">
      <c r="K2198" s="108" t="str">
        <f t="shared" si="109"/>
        <v>0000000000</v>
      </c>
      <c r="L2198" s="303" t="str">
        <f t="shared" si="110"/>
        <v>0000000000</v>
      </c>
      <c r="M2198" s="132">
        <f>INDEX('реш СГД № 265'!$A:$N,MATCH('БА расх 2019-2020'!$L2198,'реш СГД № 265'!$N:$N,0),3)</f>
        <v>0</v>
      </c>
    </row>
    <row r="2199" spans="11:13" ht="15.75">
      <c r="K2199" s="108" t="str">
        <f t="shared" si="109"/>
        <v>0000000000</v>
      </c>
      <c r="L2199" s="303" t="str">
        <f t="shared" si="110"/>
        <v>0000000000</v>
      </c>
      <c r="M2199" s="132">
        <f>INDEX('реш СГД № 265'!$A:$N,MATCH('БА расх 2019-2020'!$L2199,'реш СГД № 265'!$N:$N,0),3)</f>
        <v>0</v>
      </c>
    </row>
    <row r="2200" spans="11:13" ht="15.75">
      <c r="K2200" s="108" t="str">
        <f t="shared" si="109"/>
        <v>0000000000</v>
      </c>
      <c r="L2200" s="303" t="str">
        <f t="shared" si="110"/>
        <v>0000000000</v>
      </c>
      <c r="M2200" s="132">
        <f>INDEX('реш СГД № 265'!$A:$N,MATCH('БА расх 2019-2020'!$L2200,'реш СГД № 265'!$N:$N,0),3)</f>
        <v>0</v>
      </c>
    </row>
    <row r="2201" spans="11:13" ht="15.75">
      <c r="K2201" s="108" t="str">
        <f t="shared" si="109"/>
        <v>0000000000</v>
      </c>
      <c r="L2201" s="303" t="str">
        <f t="shared" si="110"/>
        <v>0000000000</v>
      </c>
      <c r="M2201" s="132">
        <f>INDEX('реш СГД № 265'!$A:$N,MATCH('БА расх 2019-2020'!$L2201,'реш СГД № 265'!$N:$N,0),3)</f>
        <v>0</v>
      </c>
    </row>
    <row r="2202" spans="11:13" ht="15.75">
      <c r="K2202" s="108" t="str">
        <f t="shared" si="109"/>
        <v>0000000000</v>
      </c>
      <c r="L2202" s="303" t="str">
        <f t="shared" si="110"/>
        <v>0000000000</v>
      </c>
      <c r="M2202" s="132">
        <f>INDEX('реш СГД № 265'!$A:$N,MATCH('БА расх 2019-2020'!$L2202,'реш СГД № 265'!$N:$N,0),3)</f>
        <v>0</v>
      </c>
    </row>
    <row r="2203" spans="11:13" ht="15.75">
      <c r="K2203" s="108" t="str">
        <f t="shared" si="109"/>
        <v>0000000000</v>
      </c>
      <c r="L2203" s="303" t="str">
        <f t="shared" si="110"/>
        <v>0000000000</v>
      </c>
      <c r="M2203" s="132">
        <f>INDEX('реш СГД № 265'!$A:$N,MATCH('БА расх 2019-2020'!$L2203,'реш СГД № 265'!$N:$N,0),3)</f>
        <v>0</v>
      </c>
    </row>
    <row r="2204" spans="11:13" ht="15.75">
      <c r="K2204" s="108" t="str">
        <f t="shared" si="109"/>
        <v>0000000000</v>
      </c>
      <c r="L2204" s="303" t="str">
        <f t="shared" si="110"/>
        <v>0000000000</v>
      </c>
      <c r="M2204" s="132">
        <f>INDEX('реш СГД № 265'!$A:$N,MATCH('БА расх 2019-2020'!$L2204,'реш СГД № 265'!$N:$N,0),3)</f>
        <v>0</v>
      </c>
    </row>
    <row r="2205" spans="11:13" ht="15.75">
      <c r="K2205" s="108" t="str">
        <f t="shared" si="109"/>
        <v>0000000000</v>
      </c>
      <c r="L2205" s="303" t="str">
        <f t="shared" si="110"/>
        <v>0000000000</v>
      </c>
      <c r="M2205" s="132">
        <f>INDEX('реш СГД № 265'!$A:$N,MATCH('БА расх 2019-2020'!$L2205,'реш СГД № 265'!$N:$N,0),3)</f>
        <v>0</v>
      </c>
    </row>
    <row r="2206" spans="11:13" ht="15.75">
      <c r="K2206" s="108" t="str">
        <f t="shared" si="109"/>
        <v>0000000000</v>
      </c>
      <c r="L2206" s="303" t="str">
        <f t="shared" si="110"/>
        <v>0000000000</v>
      </c>
      <c r="M2206" s="132">
        <f>INDEX('реш СГД № 265'!$A:$N,MATCH('БА расх 2019-2020'!$L2206,'реш СГД № 265'!$N:$N,0),3)</f>
        <v>0</v>
      </c>
    </row>
    <row r="2207" spans="11:13" ht="15.75">
      <c r="K2207" s="108" t="str">
        <f t="shared" si="109"/>
        <v>0000000000</v>
      </c>
      <c r="L2207" s="303" t="str">
        <f t="shared" si="110"/>
        <v>0000000000</v>
      </c>
      <c r="M2207" s="132">
        <f>INDEX('реш СГД № 265'!$A:$N,MATCH('БА расх 2019-2020'!$L2207,'реш СГД № 265'!$N:$N,0),3)</f>
        <v>0</v>
      </c>
    </row>
    <row r="2208" spans="11:13" ht="15.75">
      <c r="K2208" s="108" t="str">
        <f t="shared" si="109"/>
        <v>0000000000</v>
      </c>
      <c r="L2208" s="303" t="str">
        <f t="shared" si="110"/>
        <v>0000000000</v>
      </c>
      <c r="M2208" s="132">
        <f>INDEX('реш СГД № 265'!$A:$N,MATCH('БА расх 2019-2020'!$L2208,'реш СГД № 265'!$N:$N,0),3)</f>
        <v>0</v>
      </c>
    </row>
    <row r="2209" spans="11:13" ht="15.75">
      <c r="K2209" s="108" t="str">
        <f t="shared" si="109"/>
        <v>0000000000</v>
      </c>
      <c r="L2209" s="303" t="str">
        <f t="shared" si="110"/>
        <v>0000000000</v>
      </c>
      <c r="M2209" s="132">
        <f>INDEX('реш СГД № 265'!$A:$N,MATCH('БА расх 2019-2020'!$L2209,'реш СГД № 265'!$N:$N,0),3)</f>
        <v>0</v>
      </c>
    </row>
    <row r="2210" spans="11:13" ht="15.75">
      <c r="K2210" s="108" t="str">
        <f t="shared" si="109"/>
        <v>0000000000</v>
      </c>
      <c r="L2210" s="303" t="str">
        <f t="shared" si="110"/>
        <v>0000000000</v>
      </c>
      <c r="M2210" s="132">
        <f>INDEX('реш СГД № 265'!$A:$N,MATCH('БА расх 2019-2020'!$L2210,'реш СГД № 265'!$N:$N,0),3)</f>
        <v>0</v>
      </c>
    </row>
    <row r="2211" spans="11:13" ht="15.75">
      <c r="K2211" s="108" t="str">
        <f t="shared" si="109"/>
        <v>0000000000</v>
      </c>
      <c r="L2211" s="303" t="str">
        <f t="shared" si="110"/>
        <v>0000000000</v>
      </c>
      <c r="M2211" s="132">
        <f>INDEX('реш СГД № 265'!$A:$N,MATCH('БА расх 2019-2020'!$L2211,'реш СГД № 265'!$N:$N,0),3)</f>
        <v>0</v>
      </c>
    </row>
    <row r="2212" spans="11:13" ht="15.75">
      <c r="K2212" s="108" t="str">
        <f t="shared" ref="K2212:K2275" si="111">TEXT(J2212,"0000000000")</f>
        <v>0000000000</v>
      </c>
      <c r="L2212" s="303" t="str">
        <f t="shared" si="110"/>
        <v>0000000000</v>
      </c>
      <c r="M2212" s="132">
        <f>INDEX('реш СГД № 265'!$A:$N,MATCH('БА расх 2019-2020'!$L2212,'реш СГД № 265'!$N:$N,0),3)</f>
        <v>0</v>
      </c>
    </row>
    <row r="2213" spans="11:13" ht="15.75">
      <c r="K2213" s="108" t="str">
        <f t="shared" si="111"/>
        <v>0000000000</v>
      </c>
      <c r="L2213" s="303" t="str">
        <f t="shared" ref="L2213:L2276" si="112">C2213&amp;D2213&amp;E2213&amp;K2213&amp;G2213</f>
        <v>0000000000</v>
      </c>
      <c r="M2213" s="132">
        <f>INDEX('реш СГД № 265'!$A:$N,MATCH('БА расх 2019-2020'!$L2213,'реш СГД № 265'!$N:$N,0),3)</f>
        <v>0</v>
      </c>
    </row>
    <row r="2214" spans="11:13" ht="15.75">
      <c r="K2214" s="108" t="str">
        <f t="shared" si="111"/>
        <v>0000000000</v>
      </c>
      <c r="L2214" s="303" t="str">
        <f t="shared" si="112"/>
        <v>0000000000</v>
      </c>
      <c r="M2214" s="132">
        <f>INDEX('реш СГД № 265'!$A:$N,MATCH('БА расх 2019-2020'!$L2214,'реш СГД № 265'!$N:$N,0),3)</f>
        <v>0</v>
      </c>
    </row>
    <row r="2215" spans="11:13" ht="15.75">
      <c r="K2215" s="108" t="str">
        <f t="shared" si="111"/>
        <v>0000000000</v>
      </c>
      <c r="L2215" s="303" t="str">
        <f t="shared" si="112"/>
        <v>0000000000</v>
      </c>
      <c r="M2215" s="132">
        <f>INDEX('реш СГД № 265'!$A:$N,MATCH('БА расх 2019-2020'!$L2215,'реш СГД № 265'!$N:$N,0),3)</f>
        <v>0</v>
      </c>
    </row>
    <row r="2216" spans="11:13" ht="15.75">
      <c r="K2216" s="108" t="str">
        <f t="shared" si="111"/>
        <v>0000000000</v>
      </c>
      <c r="L2216" s="303" t="str">
        <f t="shared" si="112"/>
        <v>0000000000</v>
      </c>
      <c r="M2216" s="132">
        <f>INDEX('реш СГД № 265'!$A:$N,MATCH('БА расх 2019-2020'!$L2216,'реш СГД № 265'!$N:$N,0),3)</f>
        <v>0</v>
      </c>
    </row>
    <row r="2217" spans="11:13" ht="15.75">
      <c r="K2217" s="108" t="str">
        <f t="shared" si="111"/>
        <v>0000000000</v>
      </c>
      <c r="L2217" s="303" t="str">
        <f t="shared" si="112"/>
        <v>0000000000</v>
      </c>
      <c r="M2217" s="132">
        <f>INDEX('реш СГД № 265'!$A:$N,MATCH('БА расх 2019-2020'!$L2217,'реш СГД № 265'!$N:$N,0),3)</f>
        <v>0</v>
      </c>
    </row>
    <row r="2218" spans="11:13" ht="15.75">
      <c r="K2218" s="108" t="str">
        <f t="shared" si="111"/>
        <v>0000000000</v>
      </c>
      <c r="L2218" s="303" t="str">
        <f t="shared" si="112"/>
        <v>0000000000</v>
      </c>
      <c r="M2218" s="132">
        <f>INDEX('реш СГД № 265'!$A:$N,MATCH('БА расх 2019-2020'!$L2218,'реш СГД № 265'!$N:$N,0),3)</f>
        <v>0</v>
      </c>
    </row>
    <row r="2219" spans="11:13" ht="15.75">
      <c r="K2219" s="108" t="str">
        <f t="shared" si="111"/>
        <v>0000000000</v>
      </c>
      <c r="L2219" s="303" t="str">
        <f t="shared" si="112"/>
        <v>0000000000</v>
      </c>
      <c r="M2219" s="132">
        <f>INDEX('реш СГД № 265'!$A:$N,MATCH('БА расх 2019-2020'!$L2219,'реш СГД № 265'!$N:$N,0),3)</f>
        <v>0</v>
      </c>
    </row>
    <row r="2220" spans="11:13" ht="15.75">
      <c r="K2220" s="108" t="str">
        <f t="shared" si="111"/>
        <v>0000000000</v>
      </c>
      <c r="L2220" s="303" t="str">
        <f t="shared" si="112"/>
        <v>0000000000</v>
      </c>
      <c r="M2220" s="132">
        <f>INDEX('реш СГД № 265'!$A:$N,MATCH('БА расх 2019-2020'!$L2220,'реш СГД № 265'!$N:$N,0),3)</f>
        <v>0</v>
      </c>
    </row>
    <row r="2221" spans="11:13" ht="15.75">
      <c r="K2221" s="108" t="str">
        <f t="shared" si="111"/>
        <v>0000000000</v>
      </c>
      <c r="L2221" s="303" t="str">
        <f t="shared" si="112"/>
        <v>0000000000</v>
      </c>
      <c r="M2221" s="132">
        <f>INDEX('реш СГД № 265'!$A:$N,MATCH('БА расх 2019-2020'!$L2221,'реш СГД № 265'!$N:$N,0),3)</f>
        <v>0</v>
      </c>
    </row>
    <row r="2222" spans="11:13" ht="15.75">
      <c r="K2222" s="108" t="str">
        <f t="shared" si="111"/>
        <v>0000000000</v>
      </c>
      <c r="L2222" s="303" t="str">
        <f t="shared" si="112"/>
        <v>0000000000</v>
      </c>
      <c r="M2222" s="132">
        <f>INDEX('реш СГД № 265'!$A:$N,MATCH('БА расх 2019-2020'!$L2222,'реш СГД № 265'!$N:$N,0),3)</f>
        <v>0</v>
      </c>
    </row>
    <row r="2223" spans="11:13" ht="15.75">
      <c r="K2223" s="108" t="str">
        <f t="shared" si="111"/>
        <v>0000000000</v>
      </c>
      <c r="L2223" s="303" t="str">
        <f t="shared" si="112"/>
        <v>0000000000</v>
      </c>
      <c r="M2223" s="132">
        <f>INDEX('реш СГД № 265'!$A:$N,MATCH('БА расх 2019-2020'!$L2223,'реш СГД № 265'!$N:$N,0),3)</f>
        <v>0</v>
      </c>
    </row>
    <row r="2224" spans="11:13" ht="15.75">
      <c r="K2224" s="108" t="str">
        <f t="shared" si="111"/>
        <v>0000000000</v>
      </c>
      <c r="L2224" s="303" t="str">
        <f t="shared" si="112"/>
        <v>0000000000</v>
      </c>
      <c r="M2224" s="132">
        <f>INDEX('реш СГД № 265'!$A:$N,MATCH('БА расх 2019-2020'!$L2224,'реш СГД № 265'!$N:$N,0),3)</f>
        <v>0</v>
      </c>
    </row>
    <row r="2225" spans="11:13" ht="15.75">
      <c r="K2225" s="108" t="str">
        <f t="shared" si="111"/>
        <v>0000000000</v>
      </c>
      <c r="L2225" s="303" t="str">
        <f t="shared" si="112"/>
        <v>0000000000</v>
      </c>
      <c r="M2225" s="132">
        <f>INDEX('реш СГД № 265'!$A:$N,MATCH('БА расх 2019-2020'!$L2225,'реш СГД № 265'!$N:$N,0),3)</f>
        <v>0</v>
      </c>
    </row>
    <row r="2226" spans="11:13" ht="15.75">
      <c r="K2226" s="108" t="str">
        <f t="shared" si="111"/>
        <v>0000000000</v>
      </c>
      <c r="L2226" s="303" t="str">
        <f t="shared" si="112"/>
        <v>0000000000</v>
      </c>
      <c r="M2226" s="132">
        <f>INDEX('реш СГД № 265'!$A:$N,MATCH('БА расх 2019-2020'!$L2226,'реш СГД № 265'!$N:$N,0),3)</f>
        <v>0</v>
      </c>
    </row>
    <row r="2227" spans="11:13" ht="15.75">
      <c r="K2227" s="108" t="str">
        <f t="shared" si="111"/>
        <v>0000000000</v>
      </c>
      <c r="L2227" s="303" t="str">
        <f t="shared" si="112"/>
        <v>0000000000</v>
      </c>
      <c r="M2227" s="132">
        <f>INDEX('реш СГД № 265'!$A:$N,MATCH('БА расх 2019-2020'!$L2227,'реш СГД № 265'!$N:$N,0),3)</f>
        <v>0</v>
      </c>
    </row>
    <row r="2228" spans="11:13" ht="15.75">
      <c r="K2228" s="108" t="str">
        <f t="shared" si="111"/>
        <v>0000000000</v>
      </c>
      <c r="L2228" s="303" t="str">
        <f t="shared" si="112"/>
        <v>0000000000</v>
      </c>
      <c r="M2228" s="132">
        <f>INDEX('реш СГД № 265'!$A:$N,MATCH('БА расх 2019-2020'!$L2228,'реш СГД № 265'!$N:$N,0),3)</f>
        <v>0</v>
      </c>
    </row>
    <row r="2229" spans="11:13" ht="15.75">
      <c r="K2229" s="108" t="str">
        <f t="shared" si="111"/>
        <v>0000000000</v>
      </c>
      <c r="L2229" s="303" t="str">
        <f t="shared" si="112"/>
        <v>0000000000</v>
      </c>
      <c r="M2229" s="132">
        <f>INDEX('реш СГД № 265'!$A:$N,MATCH('БА расх 2019-2020'!$L2229,'реш СГД № 265'!$N:$N,0),3)</f>
        <v>0</v>
      </c>
    </row>
    <row r="2230" spans="11:13" ht="15.75">
      <c r="K2230" s="108" t="str">
        <f t="shared" si="111"/>
        <v>0000000000</v>
      </c>
      <c r="L2230" s="303" t="str">
        <f t="shared" si="112"/>
        <v>0000000000</v>
      </c>
      <c r="M2230" s="132">
        <f>INDEX('реш СГД № 265'!$A:$N,MATCH('БА расх 2019-2020'!$L2230,'реш СГД № 265'!$N:$N,0),3)</f>
        <v>0</v>
      </c>
    </row>
    <row r="2231" spans="11:13" ht="15.75">
      <c r="K2231" s="108" t="str">
        <f t="shared" si="111"/>
        <v>0000000000</v>
      </c>
      <c r="L2231" s="303" t="str">
        <f t="shared" si="112"/>
        <v>0000000000</v>
      </c>
      <c r="M2231" s="132">
        <f>INDEX('реш СГД № 265'!$A:$N,MATCH('БА расх 2019-2020'!$L2231,'реш СГД № 265'!$N:$N,0),3)</f>
        <v>0</v>
      </c>
    </row>
    <row r="2232" spans="11:13" ht="15.75">
      <c r="K2232" s="108" t="str">
        <f t="shared" si="111"/>
        <v>0000000000</v>
      </c>
      <c r="L2232" s="303" t="str">
        <f t="shared" si="112"/>
        <v>0000000000</v>
      </c>
      <c r="M2232" s="132">
        <f>INDEX('реш СГД № 265'!$A:$N,MATCH('БА расх 2019-2020'!$L2232,'реш СГД № 265'!$N:$N,0),3)</f>
        <v>0</v>
      </c>
    </row>
    <row r="2233" spans="11:13" ht="15.75">
      <c r="K2233" s="108" t="str">
        <f t="shared" si="111"/>
        <v>0000000000</v>
      </c>
      <c r="L2233" s="303" t="str">
        <f t="shared" si="112"/>
        <v>0000000000</v>
      </c>
      <c r="M2233" s="132">
        <f>INDEX('реш СГД № 265'!$A:$N,MATCH('БА расх 2019-2020'!$L2233,'реш СГД № 265'!$N:$N,0),3)</f>
        <v>0</v>
      </c>
    </row>
    <row r="2234" spans="11:13" ht="15.75">
      <c r="K2234" s="108" t="str">
        <f t="shared" si="111"/>
        <v>0000000000</v>
      </c>
      <c r="L2234" s="303" t="str">
        <f t="shared" si="112"/>
        <v>0000000000</v>
      </c>
      <c r="M2234" s="132">
        <f>INDEX('реш СГД № 265'!$A:$N,MATCH('БА расх 2019-2020'!$L2234,'реш СГД № 265'!$N:$N,0),3)</f>
        <v>0</v>
      </c>
    </row>
    <row r="2235" spans="11:13" ht="15.75">
      <c r="K2235" s="108" t="str">
        <f t="shared" si="111"/>
        <v>0000000000</v>
      </c>
      <c r="L2235" s="303" t="str">
        <f t="shared" si="112"/>
        <v>0000000000</v>
      </c>
      <c r="M2235" s="132">
        <f>INDEX('реш СГД № 265'!$A:$N,MATCH('БА расх 2019-2020'!$L2235,'реш СГД № 265'!$N:$N,0),3)</f>
        <v>0</v>
      </c>
    </row>
    <row r="2236" spans="11:13" ht="15.75">
      <c r="K2236" s="108" t="str">
        <f t="shared" si="111"/>
        <v>0000000000</v>
      </c>
      <c r="L2236" s="303" t="str">
        <f t="shared" si="112"/>
        <v>0000000000</v>
      </c>
      <c r="M2236" s="132">
        <f>INDEX('реш СГД № 265'!$A:$N,MATCH('БА расх 2019-2020'!$L2236,'реш СГД № 265'!$N:$N,0),3)</f>
        <v>0</v>
      </c>
    </row>
    <row r="2237" spans="11:13" ht="15.75">
      <c r="K2237" s="108" t="str">
        <f t="shared" si="111"/>
        <v>0000000000</v>
      </c>
      <c r="L2237" s="303" t="str">
        <f t="shared" si="112"/>
        <v>0000000000</v>
      </c>
      <c r="M2237" s="132">
        <f>INDEX('реш СГД № 265'!$A:$N,MATCH('БА расх 2019-2020'!$L2237,'реш СГД № 265'!$N:$N,0),3)</f>
        <v>0</v>
      </c>
    </row>
    <row r="2238" spans="11:13" ht="15.75">
      <c r="K2238" s="108" t="str">
        <f t="shared" si="111"/>
        <v>0000000000</v>
      </c>
      <c r="L2238" s="303" t="str">
        <f t="shared" si="112"/>
        <v>0000000000</v>
      </c>
      <c r="M2238" s="132">
        <f>INDEX('реш СГД № 265'!$A:$N,MATCH('БА расх 2019-2020'!$L2238,'реш СГД № 265'!$N:$N,0),3)</f>
        <v>0</v>
      </c>
    </row>
    <row r="2239" spans="11:13" ht="15.75">
      <c r="K2239" s="108" t="str">
        <f t="shared" si="111"/>
        <v>0000000000</v>
      </c>
      <c r="L2239" s="303" t="str">
        <f t="shared" si="112"/>
        <v>0000000000</v>
      </c>
      <c r="M2239" s="132">
        <f>INDEX('реш СГД № 265'!$A:$N,MATCH('БА расх 2019-2020'!$L2239,'реш СГД № 265'!$N:$N,0),3)</f>
        <v>0</v>
      </c>
    </row>
    <row r="2240" spans="11:13" ht="15.75">
      <c r="K2240" s="108" t="str">
        <f t="shared" si="111"/>
        <v>0000000000</v>
      </c>
      <c r="L2240" s="303" t="str">
        <f t="shared" si="112"/>
        <v>0000000000</v>
      </c>
      <c r="M2240" s="132">
        <f>INDEX('реш СГД № 265'!$A:$N,MATCH('БА расх 2019-2020'!$L2240,'реш СГД № 265'!$N:$N,0),3)</f>
        <v>0</v>
      </c>
    </row>
    <row r="2241" spans="11:13" ht="15.75">
      <c r="K2241" s="108" t="str">
        <f t="shared" si="111"/>
        <v>0000000000</v>
      </c>
      <c r="L2241" s="303" t="str">
        <f t="shared" si="112"/>
        <v>0000000000</v>
      </c>
      <c r="M2241" s="132">
        <f>INDEX('реш СГД № 265'!$A:$N,MATCH('БА расх 2019-2020'!$L2241,'реш СГД № 265'!$N:$N,0),3)</f>
        <v>0</v>
      </c>
    </row>
    <row r="2242" spans="11:13" ht="15.75">
      <c r="K2242" s="108" t="str">
        <f t="shared" si="111"/>
        <v>0000000000</v>
      </c>
      <c r="L2242" s="303" t="str">
        <f t="shared" si="112"/>
        <v>0000000000</v>
      </c>
      <c r="M2242" s="132">
        <f>INDEX('реш СГД № 265'!$A:$N,MATCH('БА расх 2019-2020'!$L2242,'реш СГД № 265'!$N:$N,0),3)</f>
        <v>0</v>
      </c>
    </row>
    <row r="2243" spans="11:13" ht="15.75">
      <c r="K2243" s="108" t="str">
        <f t="shared" si="111"/>
        <v>0000000000</v>
      </c>
      <c r="L2243" s="303" t="str">
        <f t="shared" si="112"/>
        <v>0000000000</v>
      </c>
      <c r="M2243" s="132">
        <f>INDEX('реш СГД № 265'!$A:$N,MATCH('БА расх 2019-2020'!$L2243,'реш СГД № 265'!$N:$N,0),3)</f>
        <v>0</v>
      </c>
    </row>
    <row r="2244" spans="11:13" ht="15.75">
      <c r="K2244" s="108" t="str">
        <f t="shared" si="111"/>
        <v>0000000000</v>
      </c>
      <c r="L2244" s="303" t="str">
        <f t="shared" si="112"/>
        <v>0000000000</v>
      </c>
      <c r="M2244" s="132">
        <f>INDEX('реш СГД № 265'!$A:$N,MATCH('БА расх 2019-2020'!$L2244,'реш СГД № 265'!$N:$N,0),3)</f>
        <v>0</v>
      </c>
    </row>
    <row r="2245" spans="11:13" ht="15.75">
      <c r="K2245" s="108" t="str">
        <f t="shared" si="111"/>
        <v>0000000000</v>
      </c>
      <c r="L2245" s="303" t="str">
        <f t="shared" si="112"/>
        <v>0000000000</v>
      </c>
      <c r="M2245" s="132">
        <f>INDEX('реш СГД № 265'!$A:$N,MATCH('БА расх 2019-2020'!$L2245,'реш СГД № 265'!$N:$N,0),3)</f>
        <v>0</v>
      </c>
    </row>
    <row r="2246" spans="11:13" ht="15.75">
      <c r="K2246" s="108" t="str">
        <f t="shared" si="111"/>
        <v>0000000000</v>
      </c>
      <c r="L2246" s="303" t="str">
        <f t="shared" si="112"/>
        <v>0000000000</v>
      </c>
      <c r="M2246" s="132">
        <f>INDEX('реш СГД № 265'!$A:$N,MATCH('БА расх 2019-2020'!$L2246,'реш СГД № 265'!$N:$N,0),3)</f>
        <v>0</v>
      </c>
    </row>
    <row r="2247" spans="11:13" ht="15.75">
      <c r="K2247" s="108" t="str">
        <f t="shared" si="111"/>
        <v>0000000000</v>
      </c>
      <c r="L2247" s="303" t="str">
        <f t="shared" si="112"/>
        <v>0000000000</v>
      </c>
      <c r="M2247" s="132">
        <f>INDEX('реш СГД № 265'!$A:$N,MATCH('БА расх 2019-2020'!$L2247,'реш СГД № 265'!$N:$N,0),3)</f>
        <v>0</v>
      </c>
    </row>
    <row r="2248" spans="11:13" ht="15.75">
      <c r="K2248" s="108" t="str">
        <f t="shared" si="111"/>
        <v>0000000000</v>
      </c>
      <c r="L2248" s="303" t="str">
        <f t="shared" si="112"/>
        <v>0000000000</v>
      </c>
      <c r="M2248" s="132">
        <f>INDEX('реш СГД № 265'!$A:$N,MATCH('БА расх 2019-2020'!$L2248,'реш СГД № 265'!$N:$N,0),3)</f>
        <v>0</v>
      </c>
    </row>
    <row r="2249" spans="11:13" ht="15.75">
      <c r="K2249" s="108" t="str">
        <f t="shared" si="111"/>
        <v>0000000000</v>
      </c>
      <c r="L2249" s="303" t="str">
        <f t="shared" si="112"/>
        <v>0000000000</v>
      </c>
      <c r="M2249" s="132">
        <f>INDEX('реш СГД № 265'!$A:$N,MATCH('БА расх 2019-2020'!$L2249,'реш СГД № 265'!$N:$N,0),3)</f>
        <v>0</v>
      </c>
    </row>
    <row r="2250" spans="11:13" ht="15.75">
      <c r="K2250" s="108" t="str">
        <f t="shared" si="111"/>
        <v>0000000000</v>
      </c>
      <c r="L2250" s="303" t="str">
        <f t="shared" si="112"/>
        <v>0000000000</v>
      </c>
      <c r="M2250" s="132">
        <f>INDEX('реш СГД № 265'!$A:$N,MATCH('БА расх 2019-2020'!$L2250,'реш СГД № 265'!$N:$N,0),3)</f>
        <v>0</v>
      </c>
    </row>
    <row r="2251" spans="11:13" ht="15.75">
      <c r="K2251" s="108" t="str">
        <f t="shared" si="111"/>
        <v>0000000000</v>
      </c>
      <c r="L2251" s="303" t="str">
        <f t="shared" si="112"/>
        <v>0000000000</v>
      </c>
      <c r="M2251" s="132">
        <f>INDEX('реш СГД № 265'!$A:$N,MATCH('БА расх 2019-2020'!$L2251,'реш СГД № 265'!$N:$N,0),3)</f>
        <v>0</v>
      </c>
    </row>
    <row r="2252" spans="11:13" ht="15.75">
      <c r="K2252" s="108" t="str">
        <f t="shared" si="111"/>
        <v>0000000000</v>
      </c>
      <c r="L2252" s="303" t="str">
        <f t="shared" si="112"/>
        <v>0000000000</v>
      </c>
      <c r="M2252" s="132">
        <f>INDEX('реш СГД № 265'!$A:$N,MATCH('БА расх 2019-2020'!$L2252,'реш СГД № 265'!$N:$N,0),3)</f>
        <v>0</v>
      </c>
    </row>
    <row r="2253" spans="11:13" ht="15.75">
      <c r="K2253" s="108" t="str">
        <f t="shared" si="111"/>
        <v>0000000000</v>
      </c>
      <c r="L2253" s="303" t="str">
        <f t="shared" si="112"/>
        <v>0000000000</v>
      </c>
      <c r="M2253" s="132">
        <f>INDEX('реш СГД № 265'!$A:$N,MATCH('БА расх 2019-2020'!$L2253,'реш СГД № 265'!$N:$N,0),3)</f>
        <v>0</v>
      </c>
    </row>
    <row r="2254" spans="11:13" ht="15.75">
      <c r="K2254" s="108" t="str">
        <f t="shared" si="111"/>
        <v>0000000000</v>
      </c>
      <c r="L2254" s="303" t="str">
        <f t="shared" si="112"/>
        <v>0000000000</v>
      </c>
      <c r="M2254" s="132">
        <f>INDEX('реш СГД № 265'!$A:$N,MATCH('БА расх 2019-2020'!$L2254,'реш СГД № 265'!$N:$N,0),3)</f>
        <v>0</v>
      </c>
    </row>
    <row r="2255" spans="11:13" ht="15.75">
      <c r="K2255" s="108" t="str">
        <f t="shared" si="111"/>
        <v>0000000000</v>
      </c>
      <c r="L2255" s="303" t="str">
        <f t="shared" si="112"/>
        <v>0000000000</v>
      </c>
      <c r="M2255" s="132">
        <f>INDEX('реш СГД № 265'!$A:$N,MATCH('БА расх 2019-2020'!$L2255,'реш СГД № 265'!$N:$N,0),3)</f>
        <v>0</v>
      </c>
    </row>
    <row r="2256" spans="11:13" ht="15.75">
      <c r="K2256" s="108" t="str">
        <f t="shared" si="111"/>
        <v>0000000000</v>
      </c>
      <c r="L2256" s="303" t="str">
        <f t="shared" si="112"/>
        <v>0000000000</v>
      </c>
      <c r="M2256" s="132">
        <f>INDEX('реш СГД № 265'!$A:$N,MATCH('БА расх 2019-2020'!$L2256,'реш СГД № 265'!$N:$N,0),3)</f>
        <v>0</v>
      </c>
    </row>
    <row r="2257" spans="11:13" ht="15.75">
      <c r="K2257" s="108" t="str">
        <f t="shared" si="111"/>
        <v>0000000000</v>
      </c>
      <c r="L2257" s="303" t="str">
        <f t="shared" si="112"/>
        <v>0000000000</v>
      </c>
      <c r="M2257" s="132">
        <f>INDEX('реш СГД № 265'!$A:$N,MATCH('БА расх 2019-2020'!$L2257,'реш СГД № 265'!$N:$N,0),3)</f>
        <v>0</v>
      </c>
    </row>
    <row r="2258" spans="11:13" ht="15.75">
      <c r="K2258" s="108" t="str">
        <f t="shared" si="111"/>
        <v>0000000000</v>
      </c>
      <c r="L2258" s="303" t="str">
        <f t="shared" si="112"/>
        <v>0000000000</v>
      </c>
      <c r="M2258" s="132">
        <f>INDEX('реш СГД № 265'!$A:$N,MATCH('БА расх 2019-2020'!$L2258,'реш СГД № 265'!$N:$N,0),3)</f>
        <v>0</v>
      </c>
    </row>
    <row r="2259" spans="11:13" ht="15.75">
      <c r="K2259" s="108" t="str">
        <f t="shared" si="111"/>
        <v>0000000000</v>
      </c>
      <c r="L2259" s="303" t="str">
        <f t="shared" si="112"/>
        <v>0000000000</v>
      </c>
      <c r="M2259" s="132">
        <f>INDEX('реш СГД № 265'!$A:$N,MATCH('БА расх 2019-2020'!$L2259,'реш СГД № 265'!$N:$N,0),3)</f>
        <v>0</v>
      </c>
    </row>
    <row r="2260" spans="11:13" ht="15.75">
      <c r="K2260" s="108" t="str">
        <f t="shared" si="111"/>
        <v>0000000000</v>
      </c>
      <c r="L2260" s="303" t="str">
        <f t="shared" si="112"/>
        <v>0000000000</v>
      </c>
      <c r="M2260" s="132">
        <f>INDEX('реш СГД № 265'!$A:$N,MATCH('БА расх 2019-2020'!$L2260,'реш СГД № 265'!$N:$N,0),3)</f>
        <v>0</v>
      </c>
    </row>
    <row r="2261" spans="11:13" ht="15.75">
      <c r="K2261" s="108" t="str">
        <f t="shared" si="111"/>
        <v>0000000000</v>
      </c>
      <c r="L2261" s="303" t="str">
        <f t="shared" si="112"/>
        <v>0000000000</v>
      </c>
      <c r="M2261" s="132">
        <f>INDEX('реш СГД № 265'!$A:$N,MATCH('БА расх 2019-2020'!$L2261,'реш СГД № 265'!$N:$N,0),3)</f>
        <v>0</v>
      </c>
    </row>
    <row r="2262" spans="11:13" ht="15.75">
      <c r="K2262" s="108" t="str">
        <f t="shared" si="111"/>
        <v>0000000000</v>
      </c>
      <c r="L2262" s="303" t="str">
        <f t="shared" si="112"/>
        <v>0000000000</v>
      </c>
      <c r="M2262" s="132">
        <f>INDEX('реш СГД № 265'!$A:$N,MATCH('БА расх 2019-2020'!$L2262,'реш СГД № 265'!$N:$N,0),3)</f>
        <v>0</v>
      </c>
    </row>
    <row r="2263" spans="11:13" ht="15.75">
      <c r="K2263" s="108" t="str">
        <f t="shared" si="111"/>
        <v>0000000000</v>
      </c>
      <c r="L2263" s="303" t="str">
        <f t="shared" si="112"/>
        <v>0000000000</v>
      </c>
      <c r="M2263" s="132">
        <f>INDEX('реш СГД № 265'!$A:$N,MATCH('БА расх 2019-2020'!$L2263,'реш СГД № 265'!$N:$N,0),3)</f>
        <v>0</v>
      </c>
    </row>
    <row r="2264" spans="11:13" ht="15.75">
      <c r="K2264" s="108" t="str">
        <f t="shared" si="111"/>
        <v>0000000000</v>
      </c>
      <c r="L2264" s="303" t="str">
        <f t="shared" si="112"/>
        <v>0000000000</v>
      </c>
      <c r="M2264" s="132">
        <f>INDEX('реш СГД № 265'!$A:$N,MATCH('БА расх 2019-2020'!$L2264,'реш СГД № 265'!$N:$N,0),3)</f>
        <v>0</v>
      </c>
    </row>
    <row r="2265" spans="11:13" ht="15.75">
      <c r="K2265" s="108" t="str">
        <f t="shared" si="111"/>
        <v>0000000000</v>
      </c>
      <c r="L2265" s="303" t="str">
        <f t="shared" si="112"/>
        <v>0000000000</v>
      </c>
      <c r="M2265" s="132">
        <f>INDEX('реш СГД № 265'!$A:$N,MATCH('БА расх 2019-2020'!$L2265,'реш СГД № 265'!$N:$N,0),3)</f>
        <v>0</v>
      </c>
    </row>
    <row r="2266" spans="11:13" ht="15.75">
      <c r="K2266" s="108" t="str">
        <f t="shared" si="111"/>
        <v>0000000000</v>
      </c>
      <c r="L2266" s="303" t="str">
        <f t="shared" si="112"/>
        <v>0000000000</v>
      </c>
      <c r="M2266" s="132">
        <f>INDEX('реш СГД № 265'!$A:$N,MATCH('БА расх 2019-2020'!$L2266,'реш СГД № 265'!$N:$N,0),3)</f>
        <v>0</v>
      </c>
    </row>
    <row r="2267" spans="11:13" ht="15.75">
      <c r="K2267" s="108" t="str">
        <f t="shared" si="111"/>
        <v>0000000000</v>
      </c>
      <c r="L2267" s="303" t="str">
        <f t="shared" si="112"/>
        <v>0000000000</v>
      </c>
      <c r="M2267" s="132">
        <f>INDEX('реш СГД № 265'!$A:$N,MATCH('БА расх 2019-2020'!$L2267,'реш СГД № 265'!$N:$N,0),3)</f>
        <v>0</v>
      </c>
    </row>
    <row r="2268" spans="11:13" ht="15.75">
      <c r="K2268" s="108" t="str">
        <f t="shared" si="111"/>
        <v>0000000000</v>
      </c>
      <c r="L2268" s="303" t="str">
        <f t="shared" si="112"/>
        <v>0000000000</v>
      </c>
      <c r="M2268" s="132">
        <f>INDEX('реш СГД № 265'!$A:$N,MATCH('БА расх 2019-2020'!$L2268,'реш СГД № 265'!$N:$N,0),3)</f>
        <v>0</v>
      </c>
    </row>
    <row r="2269" spans="11:13" ht="15.75">
      <c r="K2269" s="108" t="str">
        <f t="shared" si="111"/>
        <v>0000000000</v>
      </c>
      <c r="L2269" s="303" t="str">
        <f t="shared" si="112"/>
        <v>0000000000</v>
      </c>
      <c r="M2269" s="132">
        <f>INDEX('реш СГД № 265'!$A:$N,MATCH('БА расх 2019-2020'!$L2269,'реш СГД № 265'!$N:$N,0),3)</f>
        <v>0</v>
      </c>
    </row>
    <row r="2270" spans="11:13" ht="15.75">
      <c r="K2270" s="108" t="str">
        <f t="shared" si="111"/>
        <v>0000000000</v>
      </c>
      <c r="L2270" s="303" t="str">
        <f t="shared" si="112"/>
        <v>0000000000</v>
      </c>
      <c r="M2270" s="132">
        <f>INDEX('реш СГД № 265'!$A:$N,MATCH('БА расх 2019-2020'!$L2270,'реш СГД № 265'!$N:$N,0),3)</f>
        <v>0</v>
      </c>
    </row>
    <row r="2271" spans="11:13" ht="15.75">
      <c r="K2271" s="108" t="str">
        <f t="shared" si="111"/>
        <v>0000000000</v>
      </c>
      <c r="L2271" s="303" t="str">
        <f t="shared" si="112"/>
        <v>0000000000</v>
      </c>
      <c r="M2271" s="132">
        <f>INDEX('реш СГД № 265'!$A:$N,MATCH('БА расх 2019-2020'!$L2271,'реш СГД № 265'!$N:$N,0),3)</f>
        <v>0</v>
      </c>
    </row>
    <row r="2272" spans="11:13" ht="15.75">
      <c r="K2272" s="108" t="str">
        <f t="shared" si="111"/>
        <v>0000000000</v>
      </c>
      <c r="L2272" s="303" t="str">
        <f t="shared" si="112"/>
        <v>0000000000</v>
      </c>
      <c r="M2272" s="132">
        <f>INDEX('реш СГД № 265'!$A:$N,MATCH('БА расх 2019-2020'!$L2272,'реш СГД № 265'!$N:$N,0),3)</f>
        <v>0</v>
      </c>
    </row>
    <row r="2273" spans="11:13" ht="15.75">
      <c r="K2273" s="108" t="str">
        <f t="shared" si="111"/>
        <v>0000000000</v>
      </c>
      <c r="L2273" s="303" t="str">
        <f t="shared" si="112"/>
        <v>0000000000</v>
      </c>
      <c r="M2273" s="132">
        <f>INDEX('реш СГД № 265'!$A:$N,MATCH('БА расх 2019-2020'!$L2273,'реш СГД № 265'!$N:$N,0),3)</f>
        <v>0</v>
      </c>
    </row>
    <row r="2274" spans="11:13" ht="15.75">
      <c r="K2274" s="108" t="str">
        <f t="shared" si="111"/>
        <v>0000000000</v>
      </c>
      <c r="L2274" s="303" t="str">
        <f t="shared" si="112"/>
        <v>0000000000</v>
      </c>
      <c r="M2274" s="132">
        <f>INDEX('реш СГД № 265'!$A:$N,MATCH('БА расх 2019-2020'!$L2274,'реш СГД № 265'!$N:$N,0),3)</f>
        <v>0</v>
      </c>
    </row>
    <row r="2275" spans="11:13" ht="15.75">
      <c r="K2275" s="108" t="str">
        <f t="shared" si="111"/>
        <v>0000000000</v>
      </c>
      <c r="L2275" s="303" t="str">
        <f t="shared" si="112"/>
        <v>0000000000</v>
      </c>
      <c r="M2275" s="132">
        <f>INDEX('реш СГД № 265'!$A:$N,MATCH('БА расх 2019-2020'!$L2275,'реш СГД № 265'!$N:$N,0),3)</f>
        <v>0</v>
      </c>
    </row>
    <row r="2276" spans="11:13" ht="15.75">
      <c r="K2276" s="108" t="str">
        <f t="shared" ref="K2276:K2339" si="113">TEXT(J2276,"0000000000")</f>
        <v>0000000000</v>
      </c>
      <c r="L2276" s="303" t="str">
        <f t="shared" si="112"/>
        <v>0000000000</v>
      </c>
      <c r="M2276" s="132">
        <f>INDEX('реш СГД № 265'!$A:$N,MATCH('БА расх 2019-2020'!$L2276,'реш СГД № 265'!$N:$N,0),3)</f>
        <v>0</v>
      </c>
    </row>
    <row r="2277" spans="11:13" ht="15.75">
      <c r="K2277" s="108" t="str">
        <f t="shared" si="113"/>
        <v>0000000000</v>
      </c>
      <c r="L2277" s="303" t="str">
        <f t="shared" ref="L2277:L2340" si="114">C2277&amp;D2277&amp;E2277&amp;K2277&amp;G2277</f>
        <v>0000000000</v>
      </c>
      <c r="M2277" s="132">
        <f>INDEX('реш СГД № 265'!$A:$N,MATCH('БА расх 2019-2020'!$L2277,'реш СГД № 265'!$N:$N,0),3)</f>
        <v>0</v>
      </c>
    </row>
    <row r="2278" spans="11:13" ht="15.75">
      <c r="K2278" s="108" t="str">
        <f t="shared" si="113"/>
        <v>0000000000</v>
      </c>
      <c r="L2278" s="303" t="str">
        <f t="shared" si="114"/>
        <v>0000000000</v>
      </c>
      <c r="M2278" s="132">
        <f>INDEX('реш СГД № 265'!$A:$N,MATCH('БА расх 2019-2020'!$L2278,'реш СГД № 265'!$N:$N,0),3)</f>
        <v>0</v>
      </c>
    </row>
    <row r="2279" spans="11:13" ht="15.75">
      <c r="K2279" s="108" t="str">
        <f t="shared" si="113"/>
        <v>0000000000</v>
      </c>
      <c r="L2279" s="303" t="str">
        <f t="shared" si="114"/>
        <v>0000000000</v>
      </c>
      <c r="M2279" s="132">
        <f>INDEX('реш СГД № 265'!$A:$N,MATCH('БА расх 2019-2020'!$L2279,'реш СГД № 265'!$N:$N,0),3)</f>
        <v>0</v>
      </c>
    </row>
    <row r="2280" spans="11:13" ht="15.75">
      <c r="K2280" s="108" t="str">
        <f t="shared" si="113"/>
        <v>0000000000</v>
      </c>
      <c r="L2280" s="303" t="str">
        <f t="shared" si="114"/>
        <v>0000000000</v>
      </c>
      <c r="M2280" s="132">
        <f>INDEX('реш СГД № 265'!$A:$N,MATCH('БА расх 2019-2020'!$L2280,'реш СГД № 265'!$N:$N,0),3)</f>
        <v>0</v>
      </c>
    </row>
    <row r="2281" spans="11:13" ht="15.75">
      <c r="K2281" s="108" t="str">
        <f t="shared" si="113"/>
        <v>0000000000</v>
      </c>
      <c r="L2281" s="303" t="str">
        <f t="shared" si="114"/>
        <v>0000000000</v>
      </c>
      <c r="M2281" s="132">
        <f>INDEX('реш СГД № 265'!$A:$N,MATCH('БА расх 2019-2020'!$L2281,'реш СГД № 265'!$N:$N,0),3)</f>
        <v>0</v>
      </c>
    </row>
    <row r="2282" spans="11:13" ht="15.75">
      <c r="K2282" s="108" t="str">
        <f t="shared" si="113"/>
        <v>0000000000</v>
      </c>
      <c r="L2282" s="303" t="str">
        <f t="shared" si="114"/>
        <v>0000000000</v>
      </c>
      <c r="M2282" s="132">
        <f>INDEX('реш СГД № 265'!$A:$N,MATCH('БА расх 2019-2020'!$L2282,'реш СГД № 265'!$N:$N,0),3)</f>
        <v>0</v>
      </c>
    </row>
    <row r="2283" spans="11:13" ht="15.75">
      <c r="K2283" s="108" t="str">
        <f t="shared" si="113"/>
        <v>0000000000</v>
      </c>
      <c r="L2283" s="303" t="str">
        <f t="shared" si="114"/>
        <v>0000000000</v>
      </c>
      <c r="M2283" s="132">
        <f>INDEX('реш СГД № 265'!$A:$N,MATCH('БА расх 2019-2020'!$L2283,'реш СГД № 265'!$N:$N,0),3)</f>
        <v>0</v>
      </c>
    </row>
    <row r="2284" spans="11:13" ht="15.75">
      <c r="K2284" s="108" t="str">
        <f t="shared" si="113"/>
        <v>0000000000</v>
      </c>
      <c r="L2284" s="303" t="str">
        <f t="shared" si="114"/>
        <v>0000000000</v>
      </c>
      <c r="M2284" s="132">
        <f>INDEX('реш СГД № 265'!$A:$N,MATCH('БА расх 2019-2020'!$L2284,'реш СГД № 265'!$N:$N,0),3)</f>
        <v>0</v>
      </c>
    </row>
    <row r="2285" spans="11:13" ht="15.75">
      <c r="K2285" s="108" t="str">
        <f t="shared" si="113"/>
        <v>0000000000</v>
      </c>
      <c r="L2285" s="303" t="str">
        <f t="shared" si="114"/>
        <v>0000000000</v>
      </c>
      <c r="M2285" s="132">
        <f>INDEX('реш СГД № 265'!$A:$N,MATCH('БА расх 2019-2020'!$L2285,'реш СГД № 265'!$N:$N,0),3)</f>
        <v>0</v>
      </c>
    </row>
    <row r="2286" spans="11:13" ht="15.75">
      <c r="K2286" s="108" t="str">
        <f t="shared" si="113"/>
        <v>0000000000</v>
      </c>
      <c r="L2286" s="303" t="str">
        <f t="shared" si="114"/>
        <v>0000000000</v>
      </c>
      <c r="M2286" s="132">
        <f>INDEX('реш СГД № 265'!$A:$N,MATCH('БА расх 2019-2020'!$L2286,'реш СГД № 265'!$N:$N,0),3)</f>
        <v>0</v>
      </c>
    </row>
    <row r="2287" spans="11:13" ht="15.75">
      <c r="K2287" s="108" t="str">
        <f t="shared" si="113"/>
        <v>0000000000</v>
      </c>
      <c r="L2287" s="303" t="str">
        <f t="shared" si="114"/>
        <v>0000000000</v>
      </c>
      <c r="M2287" s="132">
        <f>INDEX('реш СГД № 265'!$A:$N,MATCH('БА расх 2019-2020'!$L2287,'реш СГД № 265'!$N:$N,0),3)</f>
        <v>0</v>
      </c>
    </row>
    <row r="2288" spans="11:13" ht="15.75">
      <c r="K2288" s="108" t="str">
        <f t="shared" si="113"/>
        <v>0000000000</v>
      </c>
      <c r="L2288" s="303" t="str">
        <f t="shared" si="114"/>
        <v>0000000000</v>
      </c>
      <c r="M2288" s="132">
        <f>INDEX('реш СГД № 265'!$A:$N,MATCH('БА расх 2019-2020'!$L2288,'реш СГД № 265'!$N:$N,0),3)</f>
        <v>0</v>
      </c>
    </row>
    <row r="2289" spans="11:13" ht="15.75">
      <c r="K2289" s="108" t="str">
        <f t="shared" si="113"/>
        <v>0000000000</v>
      </c>
      <c r="L2289" s="303" t="str">
        <f t="shared" si="114"/>
        <v>0000000000</v>
      </c>
      <c r="M2289" s="132">
        <f>INDEX('реш СГД № 265'!$A:$N,MATCH('БА расх 2019-2020'!$L2289,'реш СГД № 265'!$N:$N,0),3)</f>
        <v>0</v>
      </c>
    </row>
    <row r="2290" spans="11:13" ht="15.75">
      <c r="K2290" s="108" t="str">
        <f t="shared" si="113"/>
        <v>0000000000</v>
      </c>
      <c r="L2290" s="303" t="str">
        <f t="shared" si="114"/>
        <v>0000000000</v>
      </c>
      <c r="M2290" s="132">
        <f>INDEX('реш СГД № 265'!$A:$N,MATCH('БА расх 2019-2020'!$L2290,'реш СГД № 265'!$N:$N,0),3)</f>
        <v>0</v>
      </c>
    </row>
    <row r="2291" spans="11:13" ht="15.75">
      <c r="K2291" s="108" t="str">
        <f t="shared" si="113"/>
        <v>0000000000</v>
      </c>
      <c r="L2291" s="303" t="str">
        <f t="shared" si="114"/>
        <v>0000000000</v>
      </c>
      <c r="M2291" s="132">
        <f>INDEX('реш СГД № 265'!$A:$N,MATCH('БА расх 2019-2020'!$L2291,'реш СГД № 265'!$N:$N,0),3)</f>
        <v>0</v>
      </c>
    </row>
    <row r="2292" spans="11:13" ht="15.75">
      <c r="K2292" s="108" t="str">
        <f t="shared" si="113"/>
        <v>0000000000</v>
      </c>
      <c r="L2292" s="303" t="str">
        <f t="shared" si="114"/>
        <v>0000000000</v>
      </c>
      <c r="M2292" s="132">
        <f>INDEX('реш СГД № 265'!$A:$N,MATCH('БА расх 2019-2020'!$L2292,'реш СГД № 265'!$N:$N,0),3)</f>
        <v>0</v>
      </c>
    </row>
    <row r="2293" spans="11:13" ht="15.75">
      <c r="K2293" s="108" t="str">
        <f t="shared" si="113"/>
        <v>0000000000</v>
      </c>
      <c r="L2293" s="303" t="str">
        <f t="shared" si="114"/>
        <v>0000000000</v>
      </c>
      <c r="M2293" s="132">
        <f>INDEX('реш СГД № 265'!$A:$N,MATCH('БА расх 2019-2020'!$L2293,'реш СГД № 265'!$N:$N,0),3)</f>
        <v>0</v>
      </c>
    </row>
    <row r="2294" spans="11:13" ht="15.75">
      <c r="K2294" s="108" t="str">
        <f t="shared" si="113"/>
        <v>0000000000</v>
      </c>
      <c r="L2294" s="303" t="str">
        <f t="shared" si="114"/>
        <v>0000000000</v>
      </c>
      <c r="M2294" s="132">
        <f>INDEX('реш СГД № 265'!$A:$N,MATCH('БА расх 2019-2020'!$L2294,'реш СГД № 265'!$N:$N,0),3)</f>
        <v>0</v>
      </c>
    </row>
    <row r="2295" spans="11:13" ht="15.75">
      <c r="K2295" s="108" t="str">
        <f t="shared" si="113"/>
        <v>0000000000</v>
      </c>
      <c r="L2295" s="303" t="str">
        <f t="shared" si="114"/>
        <v>0000000000</v>
      </c>
      <c r="M2295" s="132">
        <f>INDEX('реш СГД № 265'!$A:$N,MATCH('БА расх 2019-2020'!$L2295,'реш СГД № 265'!$N:$N,0),3)</f>
        <v>0</v>
      </c>
    </row>
    <row r="2296" spans="11:13" ht="15.75">
      <c r="K2296" s="108" t="str">
        <f t="shared" si="113"/>
        <v>0000000000</v>
      </c>
      <c r="L2296" s="303" t="str">
        <f t="shared" si="114"/>
        <v>0000000000</v>
      </c>
      <c r="M2296" s="132">
        <f>INDEX('реш СГД № 265'!$A:$N,MATCH('БА расх 2019-2020'!$L2296,'реш СГД № 265'!$N:$N,0),3)</f>
        <v>0</v>
      </c>
    </row>
    <row r="2297" spans="11:13" ht="15.75">
      <c r="K2297" s="108" t="str">
        <f t="shared" si="113"/>
        <v>0000000000</v>
      </c>
      <c r="L2297" s="303" t="str">
        <f t="shared" si="114"/>
        <v>0000000000</v>
      </c>
      <c r="M2297" s="132">
        <f>INDEX('реш СГД № 265'!$A:$N,MATCH('БА расх 2019-2020'!$L2297,'реш СГД № 265'!$N:$N,0),3)</f>
        <v>0</v>
      </c>
    </row>
    <row r="2298" spans="11:13" ht="15.75">
      <c r="K2298" s="108" t="str">
        <f t="shared" si="113"/>
        <v>0000000000</v>
      </c>
      <c r="L2298" s="303" t="str">
        <f t="shared" si="114"/>
        <v>0000000000</v>
      </c>
      <c r="M2298" s="132">
        <f>INDEX('реш СГД № 265'!$A:$N,MATCH('БА расх 2019-2020'!$L2298,'реш СГД № 265'!$N:$N,0),3)</f>
        <v>0</v>
      </c>
    </row>
    <row r="2299" spans="11:13" ht="15.75">
      <c r="K2299" s="108" t="str">
        <f t="shared" si="113"/>
        <v>0000000000</v>
      </c>
      <c r="L2299" s="303" t="str">
        <f t="shared" si="114"/>
        <v>0000000000</v>
      </c>
      <c r="M2299" s="132">
        <f>INDEX('реш СГД № 265'!$A:$N,MATCH('БА расх 2019-2020'!$L2299,'реш СГД № 265'!$N:$N,0),3)</f>
        <v>0</v>
      </c>
    </row>
    <row r="2300" spans="11:13" ht="15.75">
      <c r="K2300" s="108" t="str">
        <f t="shared" si="113"/>
        <v>0000000000</v>
      </c>
      <c r="L2300" s="303" t="str">
        <f t="shared" si="114"/>
        <v>0000000000</v>
      </c>
      <c r="M2300" s="132">
        <f>INDEX('реш СГД № 265'!$A:$N,MATCH('БА расх 2019-2020'!$L2300,'реш СГД № 265'!$N:$N,0),3)</f>
        <v>0</v>
      </c>
    </row>
    <row r="2301" spans="11:13" ht="15.75">
      <c r="K2301" s="108" t="str">
        <f t="shared" si="113"/>
        <v>0000000000</v>
      </c>
      <c r="L2301" s="303" t="str">
        <f t="shared" si="114"/>
        <v>0000000000</v>
      </c>
      <c r="M2301" s="132">
        <f>INDEX('реш СГД № 265'!$A:$N,MATCH('БА расх 2019-2020'!$L2301,'реш СГД № 265'!$N:$N,0),3)</f>
        <v>0</v>
      </c>
    </row>
    <row r="2302" spans="11:13" ht="15.75">
      <c r="K2302" s="108" t="str">
        <f t="shared" si="113"/>
        <v>0000000000</v>
      </c>
      <c r="L2302" s="303" t="str">
        <f t="shared" si="114"/>
        <v>0000000000</v>
      </c>
      <c r="M2302" s="132">
        <f>INDEX('реш СГД № 265'!$A:$N,MATCH('БА расх 2019-2020'!$L2302,'реш СГД № 265'!$N:$N,0),3)</f>
        <v>0</v>
      </c>
    </row>
    <row r="2303" spans="11:13" ht="15.75">
      <c r="K2303" s="108" t="str">
        <f t="shared" si="113"/>
        <v>0000000000</v>
      </c>
      <c r="L2303" s="303" t="str">
        <f t="shared" si="114"/>
        <v>0000000000</v>
      </c>
      <c r="M2303" s="132">
        <f>INDEX('реш СГД № 265'!$A:$N,MATCH('БА расх 2019-2020'!$L2303,'реш СГД № 265'!$N:$N,0),3)</f>
        <v>0</v>
      </c>
    </row>
    <row r="2304" spans="11:13" ht="15.75">
      <c r="K2304" s="108" t="str">
        <f t="shared" si="113"/>
        <v>0000000000</v>
      </c>
      <c r="L2304" s="303" t="str">
        <f t="shared" si="114"/>
        <v>0000000000</v>
      </c>
      <c r="M2304" s="132">
        <f>INDEX('реш СГД № 265'!$A:$N,MATCH('БА расх 2019-2020'!$L2304,'реш СГД № 265'!$N:$N,0),3)</f>
        <v>0</v>
      </c>
    </row>
    <row r="2305" spans="11:13" ht="15.75">
      <c r="K2305" s="108" t="str">
        <f t="shared" si="113"/>
        <v>0000000000</v>
      </c>
      <c r="L2305" s="303" t="str">
        <f t="shared" si="114"/>
        <v>0000000000</v>
      </c>
      <c r="M2305" s="132">
        <f>INDEX('реш СГД № 265'!$A:$N,MATCH('БА расх 2019-2020'!$L2305,'реш СГД № 265'!$N:$N,0),3)</f>
        <v>0</v>
      </c>
    </row>
    <row r="2306" spans="11:13" ht="15.75">
      <c r="K2306" s="108" t="str">
        <f t="shared" si="113"/>
        <v>0000000000</v>
      </c>
      <c r="L2306" s="303" t="str">
        <f t="shared" si="114"/>
        <v>0000000000</v>
      </c>
      <c r="M2306" s="132">
        <f>INDEX('реш СГД № 265'!$A:$N,MATCH('БА расх 2019-2020'!$L2306,'реш СГД № 265'!$N:$N,0),3)</f>
        <v>0</v>
      </c>
    </row>
    <row r="2307" spans="11:13" ht="15.75">
      <c r="K2307" s="108" t="str">
        <f t="shared" si="113"/>
        <v>0000000000</v>
      </c>
      <c r="L2307" s="303" t="str">
        <f t="shared" si="114"/>
        <v>0000000000</v>
      </c>
      <c r="M2307" s="132">
        <f>INDEX('реш СГД № 265'!$A:$N,MATCH('БА расх 2019-2020'!$L2307,'реш СГД № 265'!$N:$N,0),3)</f>
        <v>0</v>
      </c>
    </row>
    <row r="2308" spans="11:13" ht="15.75">
      <c r="K2308" s="108" t="str">
        <f t="shared" si="113"/>
        <v>0000000000</v>
      </c>
      <c r="L2308" s="303" t="str">
        <f t="shared" si="114"/>
        <v>0000000000</v>
      </c>
      <c r="M2308" s="132">
        <f>INDEX('реш СГД № 265'!$A:$N,MATCH('БА расх 2019-2020'!$L2308,'реш СГД № 265'!$N:$N,0),3)</f>
        <v>0</v>
      </c>
    </row>
    <row r="2309" spans="11:13" ht="15.75">
      <c r="K2309" s="108" t="str">
        <f t="shared" si="113"/>
        <v>0000000000</v>
      </c>
      <c r="L2309" s="303" t="str">
        <f t="shared" si="114"/>
        <v>0000000000</v>
      </c>
      <c r="M2309" s="132">
        <f>INDEX('реш СГД № 265'!$A:$N,MATCH('БА расх 2019-2020'!$L2309,'реш СГД № 265'!$N:$N,0),3)</f>
        <v>0</v>
      </c>
    </row>
    <row r="2310" spans="11:13" ht="15.75">
      <c r="K2310" s="108" t="str">
        <f t="shared" si="113"/>
        <v>0000000000</v>
      </c>
      <c r="L2310" s="303" t="str">
        <f t="shared" si="114"/>
        <v>0000000000</v>
      </c>
      <c r="M2310" s="132">
        <f>INDEX('реш СГД № 265'!$A:$N,MATCH('БА расх 2019-2020'!$L2310,'реш СГД № 265'!$N:$N,0),3)</f>
        <v>0</v>
      </c>
    </row>
    <row r="2311" spans="11:13" ht="15.75">
      <c r="K2311" s="108" t="str">
        <f t="shared" si="113"/>
        <v>0000000000</v>
      </c>
      <c r="L2311" s="303" t="str">
        <f t="shared" si="114"/>
        <v>0000000000</v>
      </c>
      <c r="M2311" s="132">
        <f>INDEX('реш СГД № 265'!$A:$N,MATCH('БА расх 2019-2020'!$L2311,'реш СГД № 265'!$N:$N,0),3)</f>
        <v>0</v>
      </c>
    </row>
    <row r="2312" spans="11:13" ht="15.75">
      <c r="K2312" s="108" t="str">
        <f t="shared" si="113"/>
        <v>0000000000</v>
      </c>
      <c r="L2312" s="303" t="str">
        <f t="shared" si="114"/>
        <v>0000000000</v>
      </c>
      <c r="M2312" s="132">
        <f>INDEX('реш СГД № 265'!$A:$N,MATCH('БА расх 2019-2020'!$L2312,'реш СГД № 265'!$N:$N,0),3)</f>
        <v>0</v>
      </c>
    </row>
    <row r="2313" spans="11:13" ht="15.75">
      <c r="K2313" s="108" t="str">
        <f t="shared" si="113"/>
        <v>0000000000</v>
      </c>
      <c r="L2313" s="303" t="str">
        <f t="shared" si="114"/>
        <v>0000000000</v>
      </c>
      <c r="M2313" s="132">
        <f>INDEX('реш СГД № 265'!$A:$N,MATCH('БА расх 2019-2020'!$L2313,'реш СГД № 265'!$N:$N,0),3)</f>
        <v>0</v>
      </c>
    </row>
    <row r="2314" spans="11:13" ht="15.75">
      <c r="K2314" s="108" t="str">
        <f t="shared" si="113"/>
        <v>0000000000</v>
      </c>
      <c r="L2314" s="303" t="str">
        <f t="shared" si="114"/>
        <v>0000000000</v>
      </c>
      <c r="M2314" s="132">
        <f>INDEX('реш СГД № 265'!$A:$N,MATCH('БА расх 2019-2020'!$L2314,'реш СГД № 265'!$N:$N,0),3)</f>
        <v>0</v>
      </c>
    </row>
    <row r="2315" spans="11:13" ht="15.75">
      <c r="K2315" s="108" t="str">
        <f t="shared" si="113"/>
        <v>0000000000</v>
      </c>
      <c r="L2315" s="303" t="str">
        <f t="shared" si="114"/>
        <v>0000000000</v>
      </c>
      <c r="M2315" s="132">
        <f>INDEX('реш СГД № 265'!$A:$N,MATCH('БА расх 2019-2020'!$L2315,'реш СГД № 265'!$N:$N,0),3)</f>
        <v>0</v>
      </c>
    </row>
    <row r="2316" spans="11:13" ht="15.75">
      <c r="K2316" s="108" t="str">
        <f t="shared" si="113"/>
        <v>0000000000</v>
      </c>
      <c r="L2316" s="303" t="str">
        <f t="shared" si="114"/>
        <v>0000000000</v>
      </c>
      <c r="M2316" s="132">
        <f>INDEX('реш СГД № 265'!$A:$N,MATCH('БА расх 2019-2020'!$L2316,'реш СГД № 265'!$N:$N,0),3)</f>
        <v>0</v>
      </c>
    </row>
    <row r="2317" spans="11:13" ht="15.75">
      <c r="K2317" s="108" t="str">
        <f t="shared" si="113"/>
        <v>0000000000</v>
      </c>
      <c r="L2317" s="303" t="str">
        <f t="shared" si="114"/>
        <v>0000000000</v>
      </c>
      <c r="M2317" s="132">
        <f>INDEX('реш СГД № 265'!$A:$N,MATCH('БА расх 2019-2020'!$L2317,'реш СГД № 265'!$N:$N,0),3)</f>
        <v>0</v>
      </c>
    </row>
    <row r="2318" spans="11:13" ht="15.75">
      <c r="K2318" s="108" t="str">
        <f t="shared" si="113"/>
        <v>0000000000</v>
      </c>
      <c r="L2318" s="303" t="str">
        <f t="shared" si="114"/>
        <v>0000000000</v>
      </c>
      <c r="M2318" s="132">
        <f>INDEX('реш СГД № 265'!$A:$N,MATCH('БА расх 2019-2020'!$L2318,'реш СГД № 265'!$N:$N,0),3)</f>
        <v>0</v>
      </c>
    </row>
    <row r="2319" spans="11:13" ht="15.75">
      <c r="K2319" s="108" t="str">
        <f t="shared" si="113"/>
        <v>0000000000</v>
      </c>
      <c r="L2319" s="303" t="str">
        <f t="shared" si="114"/>
        <v>0000000000</v>
      </c>
      <c r="M2319" s="132">
        <f>INDEX('реш СГД № 265'!$A:$N,MATCH('БА расх 2019-2020'!$L2319,'реш СГД № 265'!$N:$N,0),3)</f>
        <v>0</v>
      </c>
    </row>
    <row r="2320" spans="11:13" ht="15.75">
      <c r="K2320" s="108" t="str">
        <f t="shared" si="113"/>
        <v>0000000000</v>
      </c>
      <c r="L2320" s="303" t="str">
        <f t="shared" si="114"/>
        <v>0000000000</v>
      </c>
      <c r="M2320" s="132">
        <f>INDEX('реш СГД № 265'!$A:$N,MATCH('БА расх 2019-2020'!$L2320,'реш СГД № 265'!$N:$N,0),3)</f>
        <v>0</v>
      </c>
    </row>
    <row r="2321" spans="11:13" ht="15.75">
      <c r="K2321" s="108" t="str">
        <f t="shared" si="113"/>
        <v>0000000000</v>
      </c>
      <c r="L2321" s="303" t="str">
        <f t="shared" si="114"/>
        <v>0000000000</v>
      </c>
      <c r="M2321" s="132">
        <f>INDEX('реш СГД № 265'!$A:$N,MATCH('БА расх 2019-2020'!$L2321,'реш СГД № 265'!$N:$N,0),3)</f>
        <v>0</v>
      </c>
    </row>
    <row r="2322" spans="11:13" ht="15.75">
      <c r="K2322" s="108" t="str">
        <f t="shared" si="113"/>
        <v>0000000000</v>
      </c>
      <c r="L2322" s="303" t="str">
        <f t="shared" si="114"/>
        <v>0000000000</v>
      </c>
      <c r="M2322" s="132">
        <f>INDEX('реш СГД № 265'!$A:$N,MATCH('БА расх 2019-2020'!$L2322,'реш СГД № 265'!$N:$N,0),3)</f>
        <v>0</v>
      </c>
    </row>
    <row r="2323" spans="11:13" ht="15.75">
      <c r="K2323" s="108" t="str">
        <f t="shared" si="113"/>
        <v>0000000000</v>
      </c>
      <c r="L2323" s="303" t="str">
        <f t="shared" si="114"/>
        <v>0000000000</v>
      </c>
      <c r="M2323" s="132">
        <f>INDEX('реш СГД № 265'!$A:$N,MATCH('БА расх 2019-2020'!$L2323,'реш СГД № 265'!$N:$N,0),3)</f>
        <v>0</v>
      </c>
    </row>
    <row r="2324" spans="11:13" ht="15.75">
      <c r="K2324" s="108" t="str">
        <f t="shared" si="113"/>
        <v>0000000000</v>
      </c>
      <c r="L2324" s="303" t="str">
        <f t="shared" si="114"/>
        <v>0000000000</v>
      </c>
      <c r="M2324" s="132">
        <f>INDEX('реш СГД № 265'!$A:$N,MATCH('БА расх 2019-2020'!$L2324,'реш СГД № 265'!$N:$N,0),3)</f>
        <v>0</v>
      </c>
    </row>
    <row r="2325" spans="11:13" ht="15.75">
      <c r="K2325" s="108" t="str">
        <f t="shared" si="113"/>
        <v>0000000000</v>
      </c>
      <c r="L2325" s="303" t="str">
        <f t="shared" si="114"/>
        <v>0000000000</v>
      </c>
      <c r="M2325" s="132">
        <f>INDEX('реш СГД № 265'!$A:$N,MATCH('БА расх 2019-2020'!$L2325,'реш СГД № 265'!$N:$N,0),3)</f>
        <v>0</v>
      </c>
    </row>
    <row r="2326" spans="11:13" ht="15.75">
      <c r="K2326" s="108" t="str">
        <f t="shared" si="113"/>
        <v>0000000000</v>
      </c>
      <c r="L2326" s="303" t="str">
        <f t="shared" si="114"/>
        <v>0000000000</v>
      </c>
      <c r="M2326" s="132">
        <f>INDEX('реш СГД № 265'!$A:$N,MATCH('БА расх 2019-2020'!$L2326,'реш СГД № 265'!$N:$N,0),3)</f>
        <v>0</v>
      </c>
    </row>
    <row r="2327" spans="11:13" ht="15.75">
      <c r="K2327" s="108" t="str">
        <f t="shared" si="113"/>
        <v>0000000000</v>
      </c>
      <c r="L2327" s="303" t="str">
        <f t="shared" si="114"/>
        <v>0000000000</v>
      </c>
      <c r="M2327" s="132">
        <f>INDEX('реш СГД № 265'!$A:$N,MATCH('БА расх 2019-2020'!$L2327,'реш СГД № 265'!$N:$N,0),3)</f>
        <v>0</v>
      </c>
    </row>
    <row r="2328" spans="11:13" ht="15.75">
      <c r="K2328" s="108" t="str">
        <f t="shared" si="113"/>
        <v>0000000000</v>
      </c>
      <c r="L2328" s="303" t="str">
        <f t="shared" si="114"/>
        <v>0000000000</v>
      </c>
      <c r="M2328" s="132">
        <f>INDEX('реш СГД № 265'!$A:$N,MATCH('БА расх 2019-2020'!$L2328,'реш СГД № 265'!$N:$N,0),3)</f>
        <v>0</v>
      </c>
    </row>
    <row r="2329" spans="11:13" ht="15.75">
      <c r="K2329" s="108" t="str">
        <f t="shared" si="113"/>
        <v>0000000000</v>
      </c>
      <c r="L2329" s="303" t="str">
        <f t="shared" si="114"/>
        <v>0000000000</v>
      </c>
      <c r="M2329" s="132">
        <f>INDEX('реш СГД № 265'!$A:$N,MATCH('БА расх 2019-2020'!$L2329,'реш СГД № 265'!$N:$N,0),3)</f>
        <v>0</v>
      </c>
    </row>
    <row r="2330" spans="11:13" ht="15.75">
      <c r="K2330" s="108" t="str">
        <f t="shared" si="113"/>
        <v>0000000000</v>
      </c>
      <c r="L2330" s="303" t="str">
        <f t="shared" si="114"/>
        <v>0000000000</v>
      </c>
      <c r="M2330" s="132">
        <f>INDEX('реш СГД № 265'!$A:$N,MATCH('БА расх 2019-2020'!$L2330,'реш СГД № 265'!$N:$N,0),3)</f>
        <v>0</v>
      </c>
    </row>
    <row r="2331" spans="11:13" ht="15.75">
      <c r="K2331" s="108" t="str">
        <f t="shared" si="113"/>
        <v>0000000000</v>
      </c>
      <c r="L2331" s="303" t="str">
        <f t="shared" si="114"/>
        <v>0000000000</v>
      </c>
      <c r="M2331" s="132">
        <f>INDEX('реш СГД № 265'!$A:$N,MATCH('БА расх 2019-2020'!$L2331,'реш СГД № 265'!$N:$N,0),3)</f>
        <v>0</v>
      </c>
    </row>
    <row r="2332" spans="11:13" ht="15.75">
      <c r="K2332" s="108" t="str">
        <f t="shared" si="113"/>
        <v>0000000000</v>
      </c>
      <c r="L2332" s="303" t="str">
        <f t="shared" si="114"/>
        <v>0000000000</v>
      </c>
      <c r="M2332" s="132">
        <f>INDEX('реш СГД № 265'!$A:$N,MATCH('БА расх 2019-2020'!$L2332,'реш СГД № 265'!$N:$N,0),3)</f>
        <v>0</v>
      </c>
    </row>
    <row r="2333" spans="11:13" ht="15.75">
      <c r="K2333" s="108" t="str">
        <f t="shared" si="113"/>
        <v>0000000000</v>
      </c>
      <c r="L2333" s="303" t="str">
        <f t="shared" si="114"/>
        <v>0000000000</v>
      </c>
      <c r="M2333" s="132">
        <f>INDEX('реш СГД № 265'!$A:$N,MATCH('БА расх 2019-2020'!$L2333,'реш СГД № 265'!$N:$N,0),3)</f>
        <v>0</v>
      </c>
    </row>
    <row r="2334" spans="11:13" ht="15.75">
      <c r="K2334" s="108" t="str">
        <f t="shared" si="113"/>
        <v>0000000000</v>
      </c>
      <c r="L2334" s="303" t="str">
        <f t="shared" si="114"/>
        <v>0000000000</v>
      </c>
      <c r="M2334" s="132">
        <f>INDEX('реш СГД № 265'!$A:$N,MATCH('БА расх 2019-2020'!$L2334,'реш СГД № 265'!$N:$N,0),3)</f>
        <v>0</v>
      </c>
    </row>
    <row r="2335" spans="11:13" ht="15.75">
      <c r="K2335" s="108" t="str">
        <f t="shared" si="113"/>
        <v>0000000000</v>
      </c>
      <c r="L2335" s="303" t="str">
        <f t="shared" si="114"/>
        <v>0000000000</v>
      </c>
      <c r="M2335" s="132">
        <f>INDEX('реш СГД № 265'!$A:$N,MATCH('БА расх 2019-2020'!$L2335,'реш СГД № 265'!$N:$N,0),3)</f>
        <v>0</v>
      </c>
    </row>
    <row r="2336" spans="11:13" ht="15.75">
      <c r="K2336" s="108" t="str">
        <f t="shared" si="113"/>
        <v>0000000000</v>
      </c>
      <c r="L2336" s="303" t="str">
        <f t="shared" si="114"/>
        <v>0000000000</v>
      </c>
      <c r="M2336" s="132">
        <f>INDEX('реш СГД № 265'!$A:$N,MATCH('БА расх 2019-2020'!$L2336,'реш СГД № 265'!$N:$N,0),3)</f>
        <v>0</v>
      </c>
    </row>
    <row r="2337" spans="11:13" ht="15.75">
      <c r="K2337" s="108" t="str">
        <f t="shared" si="113"/>
        <v>0000000000</v>
      </c>
      <c r="L2337" s="303" t="str">
        <f t="shared" si="114"/>
        <v>0000000000</v>
      </c>
      <c r="M2337" s="132">
        <f>INDEX('реш СГД № 265'!$A:$N,MATCH('БА расх 2019-2020'!$L2337,'реш СГД № 265'!$N:$N,0),3)</f>
        <v>0</v>
      </c>
    </row>
    <row r="2338" spans="11:13" ht="15.75">
      <c r="K2338" s="108" t="str">
        <f t="shared" si="113"/>
        <v>0000000000</v>
      </c>
      <c r="L2338" s="303" t="str">
        <f t="shared" si="114"/>
        <v>0000000000</v>
      </c>
      <c r="M2338" s="132">
        <f>INDEX('реш СГД № 265'!$A:$N,MATCH('БА расх 2019-2020'!$L2338,'реш СГД № 265'!$N:$N,0),3)</f>
        <v>0</v>
      </c>
    </row>
    <row r="2339" spans="11:13" ht="15.75">
      <c r="K2339" s="108" t="str">
        <f t="shared" si="113"/>
        <v>0000000000</v>
      </c>
      <c r="L2339" s="303" t="str">
        <f t="shared" si="114"/>
        <v>0000000000</v>
      </c>
      <c r="M2339" s="132">
        <f>INDEX('реш СГД № 265'!$A:$N,MATCH('БА расх 2019-2020'!$L2339,'реш СГД № 265'!$N:$N,0),3)</f>
        <v>0</v>
      </c>
    </row>
    <row r="2340" spans="11:13" ht="15.75">
      <c r="K2340" s="108" t="str">
        <f t="shared" ref="K2340:K2403" si="115">TEXT(J2340,"0000000000")</f>
        <v>0000000000</v>
      </c>
      <c r="L2340" s="303" t="str">
        <f t="shared" si="114"/>
        <v>0000000000</v>
      </c>
      <c r="M2340" s="132">
        <f>INDEX('реш СГД № 265'!$A:$N,MATCH('БА расх 2019-2020'!$L2340,'реш СГД № 265'!$N:$N,0),3)</f>
        <v>0</v>
      </c>
    </row>
    <row r="2341" spans="11:13" ht="15.75">
      <c r="K2341" s="108" t="str">
        <f t="shared" si="115"/>
        <v>0000000000</v>
      </c>
      <c r="L2341" s="303" t="str">
        <f t="shared" ref="L2341:L2404" si="116">C2341&amp;D2341&amp;E2341&amp;K2341&amp;G2341</f>
        <v>0000000000</v>
      </c>
      <c r="M2341" s="132">
        <f>INDEX('реш СГД № 265'!$A:$N,MATCH('БА расх 2019-2020'!$L2341,'реш СГД № 265'!$N:$N,0),3)</f>
        <v>0</v>
      </c>
    </row>
    <row r="2342" spans="11:13" ht="15.75">
      <c r="K2342" s="108" t="str">
        <f t="shared" si="115"/>
        <v>0000000000</v>
      </c>
      <c r="L2342" s="303" t="str">
        <f t="shared" si="116"/>
        <v>0000000000</v>
      </c>
      <c r="M2342" s="132">
        <f>INDEX('реш СГД № 265'!$A:$N,MATCH('БА расх 2019-2020'!$L2342,'реш СГД № 265'!$N:$N,0),3)</f>
        <v>0</v>
      </c>
    </row>
    <row r="2343" spans="11:13" ht="15.75">
      <c r="K2343" s="108" t="str">
        <f t="shared" si="115"/>
        <v>0000000000</v>
      </c>
      <c r="L2343" s="303" t="str">
        <f t="shared" si="116"/>
        <v>0000000000</v>
      </c>
      <c r="M2343" s="132">
        <f>INDEX('реш СГД № 265'!$A:$N,MATCH('БА расх 2019-2020'!$L2343,'реш СГД № 265'!$N:$N,0),3)</f>
        <v>0</v>
      </c>
    </row>
    <row r="2344" spans="11:13" ht="15.75">
      <c r="K2344" s="108" t="str">
        <f t="shared" si="115"/>
        <v>0000000000</v>
      </c>
      <c r="L2344" s="303" t="str">
        <f t="shared" si="116"/>
        <v>0000000000</v>
      </c>
      <c r="M2344" s="132">
        <f>INDEX('реш СГД № 265'!$A:$N,MATCH('БА расх 2019-2020'!$L2344,'реш СГД № 265'!$N:$N,0),3)</f>
        <v>0</v>
      </c>
    </row>
    <row r="2345" spans="11:13" ht="15.75">
      <c r="K2345" s="108" t="str">
        <f t="shared" si="115"/>
        <v>0000000000</v>
      </c>
      <c r="L2345" s="303" t="str">
        <f t="shared" si="116"/>
        <v>0000000000</v>
      </c>
      <c r="M2345" s="132">
        <f>INDEX('реш СГД № 265'!$A:$N,MATCH('БА расх 2019-2020'!$L2345,'реш СГД № 265'!$N:$N,0),3)</f>
        <v>0</v>
      </c>
    </row>
    <row r="2346" spans="11:13" ht="15.75">
      <c r="K2346" s="108" t="str">
        <f t="shared" si="115"/>
        <v>0000000000</v>
      </c>
      <c r="L2346" s="303" t="str">
        <f t="shared" si="116"/>
        <v>0000000000</v>
      </c>
      <c r="M2346" s="132">
        <f>INDEX('реш СГД № 265'!$A:$N,MATCH('БА расх 2019-2020'!$L2346,'реш СГД № 265'!$N:$N,0),3)</f>
        <v>0</v>
      </c>
    </row>
    <row r="2347" spans="11:13" ht="15.75">
      <c r="K2347" s="108" t="str">
        <f t="shared" si="115"/>
        <v>0000000000</v>
      </c>
      <c r="L2347" s="303" t="str">
        <f t="shared" si="116"/>
        <v>0000000000</v>
      </c>
      <c r="M2347" s="132">
        <f>INDEX('реш СГД № 265'!$A:$N,MATCH('БА расх 2019-2020'!$L2347,'реш СГД № 265'!$N:$N,0),3)</f>
        <v>0</v>
      </c>
    </row>
    <row r="2348" spans="11:13" ht="15.75">
      <c r="K2348" s="108" t="str">
        <f t="shared" si="115"/>
        <v>0000000000</v>
      </c>
      <c r="L2348" s="303" t="str">
        <f t="shared" si="116"/>
        <v>0000000000</v>
      </c>
      <c r="M2348" s="132">
        <f>INDEX('реш СГД № 265'!$A:$N,MATCH('БА расх 2019-2020'!$L2348,'реш СГД № 265'!$N:$N,0),3)</f>
        <v>0</v>
      </c>
    </row>
    <row r="2349" spans="11:13" ht="15.75">
      <c r="K2349" s="108" t="str">
        <f t="shared" si="115"/>
        <v>0000000000</v>
      </c>
      <c r="L2349" s="303" t="str">
        <f t="shared" si="116"/>
        <v>0000000000</v>
      </c>
      <c r="M2349" s="132">
        <f>INDEX('реш СГД № 265'!$A:$N,MATCH('БА расх 2019-2020'!$L2349,'реш СГД № 265'!$N:$N,0),3)</f>
        <v>0</v>
      </c>
    </row>
    <row r="2350" spans="11:13" ht="15.75">
      <c r="K2350" s="108" t="str">
        <f t="shared" si="115"/>
        <v>0000000000</v>
      </c>
      <c r="L2350" s="303" t="str">
        <f t="shared" si="116"/>
        <v>0000000000</v>
      </c>
      <c r="M2350" s="132">
        <f>INDEX('реш СГД № 265'!$A:$N,MATCH('БА расх 2019-2020'!$L2350,'реш СГД № 265'!$N:$N,0),3)</f>
        <v>0</v>
      </c>
    </row>
    <row r="2351" spans="11:13" ht="15.75">
      <c r="K2351" s="108" t="str">
        <f t="shared" si="115"/>
        <v>0000000000</v>
      </c>
      <c r="L2351" s="303" t="str">
        <f t="shared" si="116"/>
        <v>0000000000</v>
      </c>
      <c r="M2351" s="132">
        <f>INDEX('реш СГД № 265'!$A:$N,MATCH('БА расх 2019-2020'!$L2351,'реш СГД № 265'!$N:$N,0),3)</f>
        <v>0</v>
      </c>
    </row>
    <row r="2352" spans="11:13" ht="15.75">
      <c r="K2352" s="108" t="str">
        <f t="shared" si="115"/>
        <v>0000000000</v>
      </c>
      <c r="L2352" s="303" t="str">
        <f t="shared" si="116"/>
        <v>0000000000</v>
      </c>
      <c r="M2352" s="132">
        <f>INDEX('реш СГД № 265'!$A:$N,MATCH('БА расх 2019-2020'!$L2352,'реш СГД № 265'!$N:$N,0),3)</f>
        <v>0</v>
      </c>
    </row>
    <row r="2353" spans="11:13" ht="15.75">
      <c r="K2353" s="108" t="str">
        <f t="shared" si="115"/>
        <v>0000000000</v>
      </c>
      <c r="L2353" s="303" t="str">
        <f t="shared" si="116"/>
        <v>0000000000</v>
      </c>
      <c r="M2353" s="132">
        <f>INDEX('реш СГД № 265'!$A:$N,MATCH('БА расх 2019-2020'!$L2353,'реш СГД № 265'!$N:$N,0),3)</f>
        <v>0</v>
      </c>
    </row>
    <row r="2354" spans="11:13" ht="15.75">
      <c r="K2354" s="108" t="str">
        <f t="shared" si="115"/>
        <v>0000000000</v>
      </c>
      <c r="L2354" s="303" t="str">
        <f t="shared" si="116"/>
        <v>0000000000</v>
      </c>
      <c r="M2354" s="132">
        <f>INDEX('реш СГД № 265'!$A:$N,MATCH('БА расх 2019-2020'!$L2354,'реш СГД № 265'!$N:$N,0),3)</f>
        <v>0</v>
      </c>
    </row>
    <row r="2355" spans="11:13" ht="15.75">
      <c r="K2355" s="108" t="str">
        <f t="shared" si="115"/>
        <v>0000000000</v>
      </c>
      <c r="L2355" s="303" t="str">
        <f t="shared" si="116"/>
        <v>0000000000</v>
      </c>
      <c r="M2355" s="132">
        <f>INDEX('реш СГД № 265'!$A:$N,MATCH('БА расх 2019-2020'!$L2355,'реш СГД № 265'!$N:$N,0),3)</f>
        <v>0</v>
      </c>
    </row>
    <row r="2356" spans="11:13" ht="15.75">
      <c r="K2356" s="108" t="str">
        <f t="shared" si="115"/>
        <v>0000000000</v>
      </c>
      <c r="L2356" s="303" t="str">
        <f t="shared" si="116"/>
        <v>0000000000</v>
      </c>
      <c r="M2356" s="132">
        <f>INDEX('реш СГД № 265'!$A:$N,MATCH('БА расх 2019-2020'!$L2356,'реш СГД № 265'!$N:$N,0),3)</f>
        <v>0</v>
      </c>
    </row>
    <row r="2357" spans="11:13" ht="15.75">
      <c r="K2357" s="108" t="str">
        <f t="shared" si="115"/>
        <v>0000000000</v>
      </c>
      <c r="L2357" s="303" t="str">
        <f t="shared" si="116"/>
        <v>0000000000</v>
      </c>
      <c r="M2357" s="132">
        <f>INDEX('реш СГД № 265'!$A:$N,MATCH('БА расх 2019-2020'!$L2357,'реш СГД № 265'!$N:$N,0),3)</f>
        <v>0</v>
      </c>
    </row>
    <row r="2358" spans="11:13" ht="15.75">
      <c r="K2358" s="108" t="str">
        <f t="shared" si="115"/>
        <v>0000000000</v>
      </c>
      <c r="L2358" s="303" t="str">
        <f t="shared" si="116"/>
        <v>0000000000</v>
      </c>
      <c r="M2358" s="132">
        <f>INDEX('реш СГД № 265'!$A:$N,MATCH('БА расх 2019-2020'!$L2358,'реш СГД № 265'!$N:$N,0),3)</f>
        <v>0</v>
      </c>
    </row>
    <row r="2359" spans="11:13" ht="15.75">
      <c r="K2359" s="108" t="str">
        <f t="shared" si="115"/>
        <v>0000000000</v>
      </c>
      <c r="L2359" s="303" t="str">
        <f t="shared" si="116"/>
        <v>0000000000</v>
      </c>
      <c r="M2359" s="132">
        <f>INDEX('реш СГД № 265'!$A:$N,MATCH('БА расх 2019-2020'!$L2359,'реш СГД № 265'!$N:$N,0),3)</f>
        <v>0</v>
      </c>
    </row>
    <row r="2360" spans="11:13" ht="15.75">
      <c r="K2360" s="108" t="str">
        <f t="shared" si="115"/>
        <v>0000000000</v>
      </c>
      <c r="L2360" s="303" t="str">
        <f t="shared" si="116"/>
        <v>0000000000</v>
      </c>
      <c r="M2360" s="132">
        <f>INDEX('реш СГД № 265'!$A:$N,MATCH('БА расх 2019-2020'!$L2360,'реш СГД № 265'!$N:$N,0),3)</f>
        <v>0</v>
      </c>
    </row>
    <row r="2361" spans="11:13" ht="15.75">
      <c r="K2361" s="108" t="str">
        <f t="shared" si="115"/>
        <v>0000000000</v>
      </c>
      <c r="L2361" s="303" t="str">
        <f t="shared" si="116"/>
        <v>0000000000</v>
      </c>
      <c r="M2361" s="132">
        <f>INDEX('реш СГД № 265'!$A:$N,MATCH('БА расх 2019-2020'!$L2361,'реш СГД № 265'!$N:$N,0),3)</f>
        <v>0</v>
      </c>
    </row>
    <row r="2362" spans="11:13" ht="15.75">
      <c r="K2362" s="108" t="str">
        <f t="shared" si="115"/>
        <v>0000000000</v>
      </c>
      <c r="L2362" s="303" t="str">
        <f t="shared" si="116"/>
        <v>0000000000</v>
      </c>
      <c r="M2362" s="132">
        <f>INDEX('реш СГД № 265'!$A:$N,MATCH('БА расх 2019-2020'!$L2362,'реш СГД № 265'!$N:$N,0),3)</f>
        <v>0</v>
      </c>
    </row>
    <row r="2363" spans="11:13" ht="15.75">
      <c r="K2363" s="108" t="str">
        <f t="shared" si="115"/>
        <v>0000000000</v>
      </c>
      <c r="L2363" s="303" t="str">
        <f t="shared" si="116"/>
        <v>0000000000</v>
      </c>
      <c r="M2363" s="132">
        <f>INDEX('реш СГД № 265'!$A:$N,MATCH('БА расх 2019-2020'!$L2363,'реш СГД № 265'!$N:$N,0),3)</f>
        <v>0</v>
      </c>
    </row>
    <row r="2364" spans="11:13" ht="15.75">
      <c r="K2364" s="108" t="str">
        <f t="shared" si="115"/>
        <v>0000000000</v>
      </c>
      <c r="L2364" s="303" t="str">
        <f t="shared" si="116"/>
        <v>0000000000</v>
      </c>
      <c r="M2364" s="132">
        <f>INDEX('реш СГД № 265'!$A:$N,MATCH('БА расх 2019-2020'!$L2364,'реш СГД № 265'!$N:$N,0),3)</f>
        <v>0</v>
      </c>
    </row>
    <row r="2365" spans="11:13" ht="15.75">
      <c r="K2365" s="108" t="str">
        <f t="shared" si="115"/>
        <v>0000000000</v>
      </c>
      <c r="L2365" s="303" t="str">
        <f t="shared" si="116"/>
        <v>0000000000</v>
      </c>
      <c r="M2365" s="132">
        <f>INDEX('реш СГД № 265'!$A:$N,MATCH('БА расх 2019-2020'!$L2365,'реш СГД № 265'!$N:$N,0),3)</f>
        <v>0</v>
      </c>
    </row>
    <row r="2366" spans="11:13" ht="15.75">
      <c r="K2366" s="108" t="str">
        <f t="shared" si="115"/>
        <v>0000000000</v>
      </c>
      <c r="L2366" s="303" t="str">
        <f t="shared" si="116"/>
        <v>0000000000</v>
      </c>
      <c r="M2366" s="132">
        <f>INDEX('реш СГД № 265'!$A:$N,MATCH('БА расх 2019-2020'!$L2366,'реш СГД № 265'!$N:$N,0),3)</f>
        <v>0</v>
      </c>
    </row>
    <row r="2367" spans="11:13" ht="15.75">
      <c r="K2367" s="108" t="str">
        <f t="shared" si="115"/>
        <v>0000000000</v>
      </c>
      <c r="L2367" s="303" t="str">
        <f t="shared" si="116"/>
        <v>0000000000</v>
      </c>
      <c r="M2367" s="132">
        <f>INDEX('реш СГД № 265'!$A:$N,MATCH('БА расх 2019-2020'!$L2367,'реш СГД № 265'!$N:$N,0),3)</f>
        <v>0</v>
      </c>
    </row>
    <row r="2368" spans="11:13" ht="15.75">
      <c r="K2368" s="108" t="str">
        <f t="shared" si="115"/>
        <v>0000000000</v>
      </c>
      <c r="L2368" s="303" t="str">
        <f t="shared" si="116"/>
        <v>0000000000</v>
      </c>
      <c r="M2368" s="132">
        <f>INDEX('реш СГД № 265'!$A:$N,MATCH('БА расх 2019-2020'!$L2368,'реш СГД № 265'!$N:$N,0),3)</f>
        <v>0</v>
      </c>
    </row>
    <row r="2369" spans="11:13" ht="15.75">
      <c r="K2369" s="108" t="str">
        <f t="shared" si="115"/>
        <v>0000000000</v>
      </c>
      <c r="L2369" s="303" t="str">
        <f t="shared" si="116"/>
        <v>0000000000</v>
      </c>
      <c r="M2369" s="132">
        <f>INDEX('реш СГД № 265'!$A:$N,MATCH('БА расх 2019-2020'!$L2369,'реш СГД № 265'!$N:$N,0),3)</f>
        <v>0</v>
      </c>
    </row>
    <row r="2370" spans="11:13" ht="15.75">
      <c r="K2370" s="108" t="str">
        <f t="shared" si="115"/>
        <v>0000000000</v>
      </c>
      <c r="L2370" s="303" t="str">
        <f t="shared" si="116"/>
        <v>0000000000</v>
      </c>
      <c r="M2370" s="132">
        <f>INDEX('реш СГД № 265'!$A:$N,MATCH('БА расх 2019-2020'!$L2370,'реш СГД № 265'!$N:$N,0),3)</f>
        <v>0</v>
      </c>
    </row>
    <row r="2371" spans="11:13" ht="15.75">
      <c r="K2371" s="108" t="str">
        <f t="shared" si="115"/>
        <v>0000000000</v>
      </c>
      <c r="L2371" s="303" t="str">
        <f t="shared" si="116"/>
        <v>0000000000</v>
      </c>
      <c r="M2371" s="132">
        <f>INDEX('реш СГД № 265'!$A:$N,MATCH('БА расх 2019-2020'!$L2371,'реш СГД № 265'!$N:$N,0),3)</f>
        <v>0</v>
      </c>
    </row>
    <row r="2372" spans="11:13" ht="15.75">
      <c r="K2372" s="108" t="str">
        <f t="shared" si="115"/>
        <v>0000000000</v>
      </c>
      <c r="L2372" s="303" t="str">
        <f t="shared" si="116"/>
        <v>0000000000</v>
      </c>
      <c r="M2372" s="132">
        <f>INDEX('реш СГД № 265'!$A:$N,MATCH('БА расх 2019-2020'!$L2372,'реш СГД № 265'!$N:$N,0),3)</f>
        <v>0</v>
      </c>
    </row>
    <row r="2373" spans="11:13" ht="15.75">
      <c r="K2373" s="108" t="str">
        <f t="shared" si="115"/>
        <v>0000000000</v>
      </c>
      <c r="L2373" s="303" t="str">
        <f t="shared" si="116"/>
        <v>0000000000</v>
      </c>
      <c r="M2373" s="132">
        <f>INDEX('реш СГД № 265'!$A:$N,MATCH('БА расх 2019-2020'!$L2373,'реш СГД № 265'!$N:$N,0),3)</f>
        <v>0</v>
      </c>
    </row>
    <row r="2374" spans="11:13" ht="15.75">
      <c r="K2374" s="108" t="str">
        <f t="shared" si="115"/>
        <v>0000000000</v>
      </c>
      <c r="L2374" s="303" t="str">
        <f t="shared" si="116"/>
        <v>0000000000</v>
      </c>
      <c r="M2374" s="132">
        <f>INDEX('реш СГД № 265'!$A:$N,MATCH('БА расх 2019-2020'!$L2374,'реш СГД № 265'!$N:$N,0),3)</f>
        <v>0</v>
      </c>
    </row>
    <row r="2375" spans="11:13" ht="15.75">
      <c r="K2375" s="108" t="str">
        <f t="shared" si="115"/>
        <v>0000000000</v>
      </c>
      <c r="L2375" s="303" t="str">
        <f t="shared" si="116"/>
        <v>0000000000</v>
      </c>
      <c r="M2375" s="132">
        <f>INDEX('реш СГД № 265'!$A:$N,MATCH('БА расх 2019-2020'!$L2375,'реш СГД № 265'!$N:$N,0),3)</f>
        <v>0</v>
      </c>
    </row>
    <row r="2376" spans="11:13" ht="15.75">
      <c r="K2376" s="108" t="str">
        <f t="shared" si="115"/>
        <v>0000000000</v>
      </c>
      <c r="L2376" s="303" t="str">
        <f t="shared" si="116"/>
        <v>0000000000</v>
      </c>
      <c r="M2376" s="132">
        <f>INDEX('реш СГД № 265'!$A:$N,MATCH('БА расх 2019-2020'!$L2376,'реш СГД № 265'!$N:$N,0),3)</f>
        <v>0</v>
      </c>
    </row>
    <row r="2377" spans="11:13" ht="15.75">
      <c r="K2377" s="108" t="str">
        <f t="shared" si="115"/>
        <v>0000000000</v>
      </c>
      <c r="L2377" s="303" t="str">
        <f t="shared" si="116"/>
        <v>0000000000</v>
      </c>
      <c r="M2377" s="132">
        <f>INDEX('реш СГД № 265'!$A:$N,MATCH('БА расх 2019-2020'!$L2377,'реш СГД № 265'!$N:$N,0),3)</f>
        <v>0</v>
      </c>
    </row>
    <row r="2378" spans="11:13" ht="15.75">
      <c r="K2378" s="108" t="str">
        <f t="shared" si="115"/>
        <v>0000000000</v>
      </c>
      <c r="L2378" s="303" t="str">
        <f t="shared" si="116"/>
        <v>0000000000</v>
      </c>
      <c r="M2378" s="132">
        <f>INDEX('реш СГД № 265'!$A:$N,MATCH('БА расх 2019-2020'!$L2378,'реш СГД № 265'!$N:$N,0),3)</f>
        <v>0</v>
      </c>
    </row>
    <row r="2379" spans="11:13" ht="15.75">
      <c r="K2379" s="108" t="str">
        <f t="shared" si="115"/>
        <v>0000000000</v>
      </c>
      <c r="L2379" s="303" t="str">
        <f t="shared" si="116"/>
        <v>0000000000</v>
      </c>
      <c r="M2379" s="132">
        <f>INDEX('реш СГД № 265'!$A:$N,MATCH('БА расх 2019-2020'!$L2379,'реш СГД № 265'!$N:$N,0),3)</f>
        <v>0</v>
      </c>
    </row>
    <row r="2380" spans="11:13" ht="15.75">
      <c r="K2380" s="108" t="str">
        <f t="shared" si="115"/>
        <v>0000000000</v>
      </c>
      <c r="L2380" s="303" t="str">
        <f t="shared" si="116"/>
        <v>0000000000</v>
      </c>
      <c r="M2380" s="132">
        <f>INDEX('реш СГД № 265'!$A:$N,MATCH('БА расх 2019-2020'!$L2380,'реш СГД № 265'!$N:$N,0),3)</f>
        <v>0</v>
      </c>
    </row>
    <row r="2381" spans="11:13" ht="15.75">
      <c r="K2381" s="108" t="str">
        <f t="shared" si="115"/>
        <v>0000000000</v>
      </c>
      <c r="L2381" s="303" t="str">
        <f t="shared" si="116"/>
        <v>0000000000</v>
      </c>
      <c r="M2381" s="132">
        <f>INDEX('реш СГД № 265'!$A:$N,MATCH('БА расх 2019-2020'!$L2381,'реш СГД № 265'!$N:$N,0),3)</f>
        <v>0</v>
      </c>
    </row>
    <row r="2382" spans="11:13" ht="15.75">
      <c r="K2382" s="108" t="str">
        <f t="shared" si="115"/>
        <v>0000000000</v>
      </c>
      <c r="L2382" s="303" t="str">
        <f t="shared" si="116"/>
        <v>0000000000</v>
      </c>
      <c r="M2382" s="132">
        <f>INDEX('реш СГД № 265'!$A:$N,MATCH('БА расх 2019-2020'!$L2382,'реш СГД № 265'!$N:$N,0),3)</f>
        <v>0</v>
      </c>
    </row>
    <row r="2383" spans="11:13" ht="15.75">
      <c r="K2383" s="108" t="str">
        <f t="shared" si="115"/>
        <v>0000000000</v>
      </c>
      <c r="L2383" s="303" t="str">
        <f t="shared" si="116"/>
        <v>0000000000</v>
      </c>
      <c r="M2383" s="132">
        <f>INDEX('реш СГД № 265'!$A:$N,MATCH('БА расх 2019-2020'!$L2383,'реш СГД № 265'!$N:$N,0),3)</f>
        <v>0</v>
      </c>
    </row>
    <row r="2384" spans="11:13" ht="15.75">
      <c r="K2384" s="108" t="str">
        <f t="shared" si="115"/>
        <v>0000000000</v>
      </c>
      <c r="L2384" s="303" t="str">
        <f t="shared" si="116"/>
        <v>0000000000</v>
      </c>
      <c r="M2384" s="132">
        <f>INDEX('реш СГД № 265'!$A:$N,MATCH('БА расх 2019-2020'!$L2384,'реш СГД № 265'!$N:$N,0),3)</f>
        <v>0</v>
      </c>
    </row>
    <row r="2385" spans="11:13" ht="15.75">
      <c r="K2385" s="108" t="str">
        <f t="shared" si="115"/>
        <v>0000000000</v>
      </c>
      <c r="L2385" s="303" t="str">
        <f t="shared" si="116"/>
        <v>0000000000</v>
      </c>
      <c r="M2385" s="132">
        <f>INDEX('реш СГД № 265'!$A:$N,MATCH('БА расх 2019-2020'!$L2385,'реш СГД № 265'!$N:$N,0),3)</f>
        <v>0</v>
      </c>
    </row>
    <row r="2386" spans="11:13" ht="15.75">
      <c r="K2386" s="108" t="str">
        <f t="shared" si="115"/>
        <v>0000000000</v>
      </c>
      <c r="L2386" s="303" t="str">
        <f t="shared" si="116"/>
        <v>0000000000</v>
      </c>
      <c r="M2386" s="132">
        <f>INDEX('реш СГД № 265'!$A:$N,MATCH('БА расх 2019-2020'!$L2386,'реш СГД № 265'!$N:$N,0),3)</f>
        <v>0</v>
      </c>
    </row>
    <row r="2387" spans="11:13" ht="15.75">
      <c r="K2387" s="108" t="str">
        <f t="shared" si="115"/>
        <v>0000000000</v>
      </c>
      <c r="L2387" s="303" t="str">
        <f t="shared" si="116"/>
        <v>0000000000</v>
      </c>
      <c r="M2387" s="132">
        <f>INDEX('реш СГД № 265'!$A:$N,MATCH('БА расх 2019-2020'!$L2387,'реш СГД № 265'!$N:$N,0),3)</f>
        <v>0</v>
      </c>
    </row>
    <row r="2388" spans="11:13" ht="15.75">
      <c r="K2388" s="108" t="str">
        <f t="shared" si="115"/>
        <v>0000000000</v>
      </c>
      <c r="L2388" s="303" t="str">
        <f t="shared" si="116"/>
        <v>0000000000</v>
      </c>
      <c r="M2388" s="132">
        <f>INDEX('реш СГД № 265'!$A:$N,MATCH('БА расх 2019-2020'!$L2388,'реш СГД № 265'!$N:$N,0),3)</f>
        <v>0</v>
      </c>
    </row>
    <row r="2389" spans="11:13" ht="15.75">
      <c r="K2389" s="108" t="str">
        <f t="shared" si="115"/>
        <v>0000000000</v>
      </c>
      <c r="L2389" s="303" t="str">
        <f t="shared" si="116"/>
        <v>0000000000</v>
      </c>
      <c r="M2389" s="132">
        <f>INDEX('реш СГД № 265'!$A:$N,MATCH('БА расх 2019-2020'!$L2389,'реш СГД № 265'!$N:$N,0),3)</f>
        <v>0</v>
      </c>
    </row>
    <row r="2390" spans="11:13" ht="15.75">
      <c r="K2390" s="108" t="str">
        <f t="shared" si="115"/>
        <v>0000000000</v>
      </c>
      <c r="L2390" s="303" t="str">
        <f t="shared" si="116"/>
        <v>0000000000</v>
      </c>
      <c r="M2390" s="132">
        <f>INDEX('реш СГД № 265'!$A:$N,MATCH('БА расх 2019-2020'!$L2390,'реш СГД № 265'!$N:$N,0),3)</f>
        <v>0</v>
      </c>
    </row>
    <row r="2391" spans="11:13" ht="15.75">
      <c r="K2391" s="108" t="str">
        <f t="shared" si="115"/>
        <v>0000000000</v>
      </c>
      <c r="L2391" s="303" t="str">
        <f t="shared" si="116"/>
        <v>0000000000</v>
      </c>
      <c r="M2391" s="132">
        <f>INDEX('реш СГД № 265'!$A:$N,MATCH('БА расх 2019-2020'!$L2391,'реш СГД № 265'!$N:$N,0),3)</f>
        <v>0</v>
      </c>
    </row>
    <row r="2392" spans="11:13" ht="15.75">
      <c r="K2392" s="108" t="str">
        <f t="shared" si="115"/>
        <v>0000000000</v>
      </c>
      <c r="L2392" s="303" t="str">
        <f t="shared" si="116"/>
        <v>0000000000</v>
      </c>
      <c r="M2392" s="132">
        <f>INDEX('реш СГД № 265'!$A:$N,MATCH('БА расх 2019-2020'!$L2392,'реш СГД № 265'!$N:$N,0),3)</f>
        <v>0</v>
      </c>
    </row>
    <row r="2393" spans="11:13" ht="15.75">
      <c r="K2393" s="108" t="str">
        <f t="shared" si="115"/>
        <v>0000000000</v>
      </c>
      <c r="L2393" s="303" t="str">
        <f t="shared" si="116"/>
        <v>0000000000</v>
      </c>
      <c r="M2393" s="132">
        <f>INDEX('реш СГД № 265'!$A:$N,MATCH('БА расх 2019-2020'!$L2393,'реш СГД № 265'!$N:$N,0),3)</f>
        <v>0</v>
      </c>
    </row>
    <row r="2394" spans="11:13" ht="15.75">
      <c r="K2394" s="108" t="str">
        <f t="shared" si="115"/>
        <v>0000000000</v>
      </c>
      <c r="L2394" s="303" t="str">
        <f t="shared" si="116"/>
        <v>0000000000</v>
      </c>
      <c r="M2394" s="132">
        <f>INDEX('реш СГД № 265'!$A:$N,MATCH('БА расх 2019-2020'!$L2394,'реш СГД № 265'!$N:$N,0),3)</f>
        <v>0</v>
      </c>
    </row>
    <row r="2395" spans="11:13" ht="15.75">
      <c r="K2395" s="108" t="str">
        <f t="shared" si="115"/>
        <v>0000000000</v>
      </c>
      <c r="L2395" s="303" t="str">
        <f t="shared" si="116"/>
        <v>0000000000</v>
      </c>
      <c r="M2395" s="132">
        <f>INDEX('реш СГД № 265'!$A:$N,MATCH('БА расх 2019-2020'!$L2395,'реш СГД № 265'!$N:$N,0),3)</f>
        <v>0</v>
      </c>
    </row>
    <row r="2396" spans="11:13" ht="15.75">
      <c r="K2396" s="108" t="str">
        <f t="shared" si="115"/>
        <v>0000000000</v>
      </c>
      <c r="L2396" s="303" t="str">
        <f t="shared" si="116"/>
        <v>0000000000</v>
      </c>
      <c r="M2396" s="132">
        <f>INDEX('реш СГД № 265'!$A:$N,MATCH('БА расх 2019-2020'!$L2396,'реш СГД № 265'!$N:$N,0),3)</f>
        <v>0</v>
      </c>
    </row>
    <row r="2397" spans="11:13" ht="15.75">
      <c r="K2397" s="108" t="str">
        <f t="shared" si="115"/>
        <v>0000000000</v>
      </c>
      <c r="L2397" s="303" t="str">
        <f t="shared" si="116"/>
        <v>0000000000</v>
      </c>
      <c r="M2397" s="132">
        <f>INDEX('реш СГД № 265'!$A:$N,MATCH('БА расх 2019-2020'!$L2397,'реш СГД № 265'!$N:$N,0),3)</f>
        <v>0</v>
      </c>
    </row>
    <row r="2398" spans="11:13" ht="15.75">
      <c r="K2398" s="108" t="str">
        <f t="shared" si="115"/>
        <v>0000000000</v>
      </c>
      <c r="L2398" s="303" t="str">
        <f t="shared" si="116"/>
        <v>0000000000</v>
      </c>
      <c r="M2398" s="132">
        <f>INDEX('реш СГД № 265'!$A:$N,MATCH('БА расх 2019-2020'!$L2398,'реш СГД № 265'!$N:$N,0),3)</f>
        <v>0</v>
      </c>
    </row>
    <row r="2399" spans="11:13" ht="15.75">
      <c r="K2399" s="108" t="str">
        <f t="shared" si="115"/>
        <v>0000000000</v>
      </c>
      <c r="L2399" s="303" t="str">
        <f t="shared" si="116"/>
        <v>0000000000</v>
      </c>
      <c r="M2399" s="132">
        <f>INDEX('реш СГД № 265'!$A:$N,MATCH('БА расх 2019-2020'!$L2399,'реш СГД № 265'!$N:$N,0),3)</f>
        <v>0</v>
      </c>
    </row>
    <row r="2400" spans="11:13" ht="15.75">
      <c r="K2400" s="108" t="str">
        <f t="shared" si="115"/>
        <v>0000000000</v>
      </c>
      <c r="L2400" s="303" t="str">
        <f t="shared" si="116"/>
        <v>0000000000</v>
      </c>
      <c r="M2400" s="132">
        <f>INDEX('реш СГД № 265'!$A:$N,MATCH('БА расх 2019-2020'!$L2400,'реш СГД № 265'!$N:$N,0),3)</f>
        <v>0</v>
      </c>
    </row>
    <row r="2401" spans="11:13" ht="15.75">
      <c r="K2401" s="108" t="str">
        <f t="shared" si="115"/>
        <v>0000000000</v>
      </c>
      <c r="L2401" s="303" t="str">
        <f t="shared" si="116"/>
        <v>0000000000</v>
      </c>
      <c r="M2401" s="132">
        <f>INDEX('реш СГД № 265'!$A:$N,MATCH('БА расх 2019-2020'!$L2401,'реш СГД № 265'!$N:$N,0),3)</f>
        <v>0</v>
      </c>
    </row>
    <row r="2402" spans="11:13" ht="15.75">
      <c r="K2402" s="108" t="str">
        <f t="shared" si="115"/>
        <v>0000000000</v>
      </c>
      <c r="L2402" s="303" t="str">
        <f t="shared" si="116"/>
        <v>0000000000</v>
      </c>
      <c r="M2402" s="132">
        <f>INDEX('реш СГД № 265'!$A:$N,MATCH('БА расх 2019-2020'!$L2402,'реш СГД № 265'!$N:$N,0),3)</f>
        <v>0</v>
      </c>
    </row>
    <row r="2403" spans="11:13" ht="15.75">
      <c r="K2403" s="108" t="str">
        <f t="shared" si="115"/>
        <v>0000000000</v>
      </c>
      <c r="L2403" s="303" t="str">
        <f t="shared" si="116"/>
        <v>0000000000</v>
      </c>
      <c r="M2403" s="132">
        <f>INDEX('реш СГД № 265'!$A:$N,MATCH('БА расх 2019-2020'!$L2403,'реш СГД № 265'!$N:$N,0),3)</f>
        <v>0</v>
      </c>
    </row>
    <row r="2404" spans="11:13" ht="15.75">
      <c r="K2404" s="108" t="str">
        <f t="shared" ref="K2404:K2467" si="117">TEXT(J2404,"0000000000")</f>
        <v>0000000000</v>
      </c>
      <c r="L2404" s="303" t="str">
        <f t="shared" si="116"/>
        <v>0000000000</v>
      </c>
      <c r="M2404" s="132">
        <f>INDEX('реш СГД № 265'!$A:$N,MATCH('БА расх 2019-2020'!$L2404,'реш СГД № 265'!$N:$N,0),3)</f>
        <v>0</v>
      </c>
    </row>
    <row r="2405" spans="11:13" ht="15.75">
      <c r="K2405" s="108" t="str">
        <f t="shared" si="117"/>
        <v>0000000000</v>
      </c>
      <c r="L2405" s="303" t="str">
        <f t="shared" ref="L2405:L2468" si="118">C2405&amp;D2405&amp;E2405&amp;K2405&amp;G2405</f>
        <v>0000000000</v>
      </c>
      <c r="M2405" s="132">
        <f>INDEX('реш СГД № 265'!$A:$N,MATCH('БА расх 2019-2020'!$L2405,'реш СГД № 265'!$N:$N,0),3)</f>
        <v>0</v>
      </c>
    </row>
    <row r="2406" spans="11:13" ht="15.75">
      <c r="K2406" s="108" t="str">
        <f t="shared" si="117"/>
        <v>0000000000</v>
      </c>
      <c r="L2406" s="303" t="str">
        <f t="shared" si="118"/>
        <v>0000000000</v>
      </c>
      <c r="M2406" s="132">
        <f>INDEX('реш СГД № 265'!$A:$N,MATCH('БА расх 2019-2020'!$L2406,'реш СГД № 265'!$N:$N,0),3)</f>
        <v>0</v>
      </c>
    </row>
    <row r="2407" spans="11:13" ht="15.75">
      <c r="K2407" s="108" t="str">
        <f t="shared" si="117"/>
        <v>0000000000</v>
      </c>
      <c r="L2407" s="303" t="str">
        <f t="shared" si="118"/>
        <v>0000000000</v>
      </c>
      <c r="M2407" s="132">
        <f>INDEX('реш СГД № 265'!$A:$N,MATCH('БА расх 2019-2020'!$L2407,'реш СГД № 265'!$N:$N,0),3)</f>
        <v>0</v>
      </c>
    </row>
    <row r="2408" spans="11:13" ht="15.75">
      <c r="K2408" s="108" t="str">
        <f t="shared" si="117"/>
        <v>0000000000</v>
      </c>
      <c r="L2408" s="303" t="str">
        <f t="shared" si="118"/>
        <v>0000000000</v>
      </c>
      <c r="M2408" s="132">
        <f>INDEX('реш СГД № 265'!$A:$N,MATCH('БА расх 2019-2020'!$L2408,'реш СГД № 265'!$N:$N,0),3)</f>
        <v>0</v>
      </c>
    </row>
    <row r="2409" spans="11:13" ht="15.75">
      <c r="K2409" s="108" t="str">
        <f t="shared" si="117"/>
        <v>0000000000</v>
      </c>
      <c r="L2409" s="303" t="str">
        <f t="shared" si="118"/>
        <v>0000000000</v>
      </c>
      <c r="M2409" s="132">
        <f>INDEX('реш СГД № 265'!$A:$N,MATCH('БА расх 2019-2020'!$L2409,'реш СГД № 265'!$N:$N,0),3)</f>
        <v>0</v>
      </c>
    </row>
    <row r="2410" spans="11:13" ht="15.75">
      <c r="K2410" s="108" t="str">
        <f t="shared" si="117"/>
        <v>0000000000</v>
      </c>
      <c r="L2410" s="303" t="str">
        <f t="shared" si="118"/>
        <v>0000000000</v>
      </c>
      <c r="M2410" s="132">
        <f>INDEX('реш СГД № 265'!$A:$N,MATCH('БА расх 2019-2020'!$L2410,'реш СГД № 265'!$N:$N,0),3)</f>
        <v>0</v>
      </c>
    </row>
    <row r="2411" spans="11:13" ht="15.75">
      <c r="K2411" s="108" t="str">
        <f t="shared" si="117"/>
        <v>0000000000</v>
      </c>
      <c r="L2411" s="303" t="str">
        <f t="shared" si="118"/>
        <v>0000000000</v>
      </c>
      <c r="M2411" s="132">
        <f>INDEX('реш СГД № 265'!$A:$N,MATCH('БА расх 2019-2020'!$L2411,'реш СГД № 265'!$N:$N,0),3)</f>
        <v>0</v>
      </c>
    </row>
    <row r="2412" spans="11:13" ht="15.75">
      <c r="K2412" s="108" t="str">
        <f t="shared" si="117"/>
        <v>0000000000</v>
      </c>
      <c r="L2412" s="303" t="str">
        <f t="shared" si="118"/>
        <v>0000000000</v>
      </c>
      <c r="M2412" s="132">
        <f>INDEX('реш СГД № 265'!$A:$N,MATCH('БА расх 2019-2020'!$L2412,'реш СГД № 265'!$N:$N,0),3)</f>
        <v>0</v>
      </c>
    </row>
    <row r="2413" spans="11:13" ht="15.75">
      <c r="K2413" s="108" t="str">
        <f t="shared" si="117"/>
        <v>0000000000</v>
      </c>
      <c r="L2413" s="303" t="str">
        <f t="shared" si="118"/>
        <v>0000000000</v>
      </c>
      <c r="M2413" s="132">
        <f>INDEX('реш СГД № 265'!$A:$N,MATCH('БА расх 2019-2020'!$L2413,'реш СГД № 265'!$N:$N,0),3)</f>
        <v>0</v>
      </c>
    </row>
    <row r="2414" spans="11:13" ht="15.75">
      <c r="K2414" s="108" t="str">
        <f t="shared" si="117"/>
        <v>0000000000</v>
      </c>
      <c r="L2414" s="303" t="str">
        <f t="shared" si="118"/>
        <v>0000000000</v>
      </c>
      <c r="M2414" s="132">
        <f>INDEX('реш СГД № 265'!$A:$N,MATCH('БА расх 2019-2020'!$L2414,'реш СГД № 265'!$N:$N,0),3)</f>
        <v>0</v>
      </c>
    </row>
    <row r="2415" spans="11:13" ht="15.75">
      <c r="K2415" s="108" t="str">
        <f t="shared" si="117"/>
        <v>0000000000</v>
      </c>
      <c r="L2415" s="303" t="str">
        <f t="shared" si="118"/>
        <v>0000000000</v>
      </c>
      <c r="M2415" s="132">
        <f>INDEX('реш СГД № 265'!$A:$N,MATCH('БА расх 2019-2020'!$L2415,'реш СГД № 265'!$N:$N,0),3)</f>
        <v>0</v>
      </c>
    </row>
    <row r="2416" spans="11:13" ht="15.75">
      <c r="K2416" s="108" t="str">
        <f t="shared" si="117"/>
        <v>0000000000</v>
      </c>
      <c r="L2416" s="303" t="str">
        <f t="shared" si="118"/>
        <v>0000000000</v>
      </c>
      <c r="M2416" s="132">
        <f>INDEX('реш СГД № 265'!$A:$N,MATCH('БА расх 2019-2020'!$L2416,'реш СГД № 265'!$N:$N,0),3)</f>
        <v>0</v>
      </c>
    </row>
    <row r="2417" spans="11:13" ht="15.75">
      <c r="K2417" s="108" t="str">
        <f t="shared" si="117"/>
        <v>0000000000</v>
      </c>
      <c r="L2417" s="303" t="str">
        <f t="shared" si="118"/>
        <v>0000000000</v>
      </c>
      <c r="M2417" s="132">
        <f>INDEX('реш СГД № 265'!$A:$N,MATCH('БА расх 2019-2020'!$L2417,'реш СГД № 265'!$N:$N,0),3)</f>
        <v>0</v>
      </c>
    </row>
    <row r="2418" spans="11:13" ht="15.75">
      <c r="K2418" s="108" t="str">
        <f t="shared" si="117"/>
        <v>0000000000</v>
      </c>
      <c r="L2418" s="303" t="str">
        <f t="shared" si="118"/>
        <v>0000000000</v>
      </c>
      <c r="M2418" s="132">
        <f>INDEX('реш СГД № 265'!$A:$N,MATCH('БА расх 2019-2020'!$L2418,'реш СГД № 265'!$N:$N,0),3)</f>
        <v>0</v>
      </c>
    </row>
    <row r="2419" spans="11:13" ht="15.75">
      <c r="K2419" s="108" t="str">
        <f t="shared" si="117"/>
        <v>0000000000</v>
      </c>
      <c r="L2419" s="303" t="str">
        <f t="shared" si="118"/>
        <v>0000000000</v>
      </c>
      <c r="M2419" s="132">
        <f>INDEX('реш СГД № 265'!$A:$N,MATCH('БА расх 2019-2020'!$L2419,'реш СГД № 265'!$N:$N,0),3)</f>
        <v>0</v>
      </c>
    </row>
    <row r="2420" spans="11:13" ht="15.75">
      <c r="K2420" s="108" t="str">
        <f t="shared" si="117"/>
        <v>0000000000</v>
      </c>
      <c r="L2420" s="303" t="str">
        <f t="shared" si="118"/>
        <v>0000000000</v>
      </c>
      <c r="M2420" s="132">
        <f>INDEX('реш СГД № 265'!$A:$N,MATCH('БА расх 2019-2020'!$L2420,'реш СГД № 265'!$N:$N,0),3)</f>
        <v>0</v>
      </c>
    </row>
    <row r="2421" spans="11:13" ht="15.75">
      <c r="K2421" s="108" t="str">
        <f t="shared" si="117"/>
        <v>0000000000</v>
      </c>
      <c r="L2421" s="303" t="str">
        <f t="shared" si="118"/>
        <v>0000000000</v>
      </c>
      <c r="M2421" s="132">
        <f>INDEX('реш СГД № 265'!$A:$N,MATCH('БА расх 2019-2020'!$L2421,'реш СГД № 265'!$N:$N,0),3)</f>
        <v>0</v>
      </c>
    </row>
    <row r="2422" spans="11:13" ht="15.75">
      <c r="K2422" s="108" t="str">
        <f t="shared" si="117"/>
        <v>0000000000</v>
      </c>
      <c r="L2422" s="303" t="str">
        <f t="shared" si="118"/>
        <v>0000000000</v>
      </c>
      <c r="M2422" s="132">
        <f>INDEX('реш СГД № 265'!$A:$N,MATCH('БА расх 2019-2020'!$L2422,'реш СГД № 265'!$N:$N,0),3)</f>
        <v>0</v>
      </c>
    </row>
    <row r="2423" spans="11:13" ht="15.75">
      <c r="K2423" s="108" t="str">
        <f t="shared" si="117"/>
        <v>0000000000</v>
      </c>
      <c r="L2423" s="303" t="str">
        <f t="shared" si="118"/>
        <v>0000000000</v>
      </c>
      <c r="M2423" s="132">
        <f>INDEX('реш СГД № 265'!$A:$N,MATCH('БА расх 2019-2020'!$L2423,'реш СГД № 265'!$N:$N,0),3)</f>
        <v>0</v>
      </c>
    </row>
    <row r="2424" spans="11:13" ht="15.75">
      <c r="K2424" s="108" t="str">
        <f t="shared" si="117"/>
        <v>0000000000</v>
      </c>
      <c r="L2424" s="303" t="str">
        <f t="shared" si="118"/>
        <v>0000000000</v>
      </c>
      <c r="M2424" s="132">
        <f>INDEX('реш СГД № 265'!$A:$N,MATCH('БА расх 2019-2020'!$L2424,'реш СГД № 265'!$N:$N,0),3)</f>
        <v>0</v>
      </c>
    </row>
    <row r="2425" spans="11:13" ht="15.75">
      <c r="K2425" s="108" t="str">
        <f t="shared" si="117"/>
        <v>0000000000</v>
      </c>
      <c r="L2425" s="303" t="str">
        <f t="shared" si="118"/>
        <v>0000000000</v>
      </c>
      <c r="M2425" s="132">
        <f>INDEX('реш СГД № 265'!$A:$N,MATCH('БА расх 2019-2020'!$L2425,'реш СГД № 265'!$N:$N,0),3)</f>
        <v>0</v>
      </c>
    </row>
    <row r="2426" spans="11:13" ht="15.75">
      <c r="K2426" s="108" t="str">
        <f t="shared" si="117"/>
        <v>0000000000</v>
      </c>
      <c r="L2426" s="303" t="str">
        <f t="shared" si="118"/>
        <v>0000000000</v>
      </c>
      <c r="M2426" s="132">
        <f>INDEX('реш СГД № 265'!$A:$N,MATCH('БА расх 2019-2020'!$L2426,'реш СГД № 265'!$N:$N,0),3)</f>
        <v>0</v>
      </c>
    </row>
    <row r="2427" spans="11:13" ht="15.75">
      <c r="K2427" s="108" t="str">
        <f t="shared" si="117"/>
        <v>0000000000</v>
      </c>
      <c r="L2427" s="303" t="str">
        <f t="shared" si="118"/>
        <v>0000000000</v>
      </c>
      <c r="M2427" s="132">
        <f>INDEX('реш СГД № 265'!$A:$N,MATCH('БА расх 2019-2020'!$L2427,'реш СГД № 265'!$N:$N,0),3)</f>
        <v>0</v>
      </c>
    </row>
    <row r="2428" spans="11:13" ht="15.75">
      <c r="K2428" s="108" t="str">
        <f t="shared" si="117"/>
        <v>0000000000</v>
      </c>
      <c r="L2428" s="303" t="str">
        <f t="shared" si="118"/>
        <v>0000000000</v>
      </c>
      <c r="M2428" s="132">
        <f>INDEX('реш СГД № 265'!$A:$N,MATCH('БА расх 2019-2020'!$L2428,'реш СГД № 265'!$N:$N,0),3)</f>
        <v>0</v>
      </c>
    </row>
    <row r="2429" spans="11:13" ht="15.75">
      <c r="K2429" s="108" t="str">
        <f t="shared" si="117"/>
        <v>0000000000</v>
      </c>
      <c r="L2429" s="303" t="str">
        <f t="shared" si="118"/>
        <v>0000000000</v>
      </c>
      <c r="M2429" s="132">
        <f>INDEX('реш СГД № 265'!$A:$N,MATCH('БА расх 2019-2020'!$L2429,'реш СГД № 265'!$N:$N,0),3)</f>
        <v>0</v>
      </c>
    </row>
    <row r="2430" spans="11:13" ht="15.75">
      <c r="K2430" s="108" t="str">
        <f t="shared" si="117"/>
        <v>0000000000</v>
      </c>
      <c r="L2430" s="303" t="str">
        <f t="shared" si="118"/>
        <v>0000000000</v>
      </c>
      <c r="M2430" s="132">
        <f>INDEX('реш СГД № 265'!$A:$N,MATCH('БА расх 2019-2020'!$L2430,'реш СГД № 265'!$N:$N,0),3)</f>
        <v>0</v>
      </c>
    </row>
    <row r="2431" spans="11:13" ht="15.75">
      <c r="K2431" s="108" t="str">
        <f t="shared" si="117"/>
        <v>0000000000</v>
      </c>
      <c r="L2431" s="303" t="str">
        <f t="shared" si="118"/>
        <v>0000000000</v>
      </c>
      <c r="M2431" s="132">
        <f>INDEX('реш СГД № 265'!$A:$N,MATCH('БА расх 2019-2020'!$L2431,'реш СГД № 265'!$N:$N,0),3)</f>
        <v>0</v>
      </c>
    </row>
    <row r="2432" spans="11:13" ht="15.75">
      <c r="K2432" s="108" t="str">
        <f t="shared" si="117"/>
        <v>0000000000</v>
      </c>
      <c r="L2432" s="303" t="str">
        <f t="shared" si="118"/>
        <v>0000000000</v>
      </c>
      <c r="M2432" s="132">
        <f>INDEX('реш СГД № 265'!$A:$N,MATCH('БА расх 2019-2020'!$L2432,'реш СГД № 265'!$N:$N,0),3)</f>
        <v>0</v>
      </c>
    </row>
    <row r="2433" spans="11:13" ht="15.75">
      <c r="K2433" s="108" t="str">
        <f t="shared" si="117"/>
        <v>0000000000</v>
      </c>
      <c r="L2433" s="303" t="str">
        <f t="shared" si="118"/>
        <v>0000000000</v>
      </c>
      <c r="M2433" s="132">
        <f>INDEX('реш СГД № 265'!$A:$N,MATCH('БА расх 2019-2020'!$L2433,'реш СГД № 265'!$N:$N,0),3)</f>
        <v>0</v>
      </c>
    </row>
    <row r="2434" spans="11:13" ht="15.75">
      <c r="K2434" s="108" t="str">
        <f t="shared" si="117"/>
        <v>0000000000</v>
      </c>
      <c r="L2434" s="303" t="str">
        <f t="shared" si="118"/>
        <v>0000000000</v>
      </c>
      <c r="M2434" s="132">
        <f>INDEX('реш СГД № 265'!$A:$N,MATCH('БА расх 2019-2020'!$L2434,'реш СГД № 265'!$N:$N,0),3)</f>
        <v>0</v>
      </c>
    </row>
    <row r="2435" spans="11:13" ht="15.75">
      <c r="K2435" s="108" t="str">
        <f t="shared" si="117"/>
        <v>0000000000</v>
      </c>
      <c r="L2435" s="303" t="str">
        <f t="shared" si="118"/>
        <v>0000000000</v>
      </c>
      <c r="M2435" s="132">
        <f>INDEX('реш СГД № 265'!$A:$N,MATCH('БА расх 2019-2020'!$L2435,'реш СГД № 265'!$N:$N,0),3)</f>
        <v>0</v>
      </c>
    </row>
    <row r="2436" spans="11:13" ht="15.75">
      <c r="K2436" s="108" t="str">
        <f t="shared" si="117"/>
        <v>0000000000</v>
      </c>
      <c r="L2436" s="303" t="str">
        <f t="shared" si="118"/>
        <v>0000000000</v>
      </c>
      <c r="M2436" s="132">
        <f>INDEX('реш СГД № 265'!$A:$N,MATCH('БА расх 2019-2020'!$L2436,'реш СГД № 265'!$N:$N,0),3)</f>
        <v>0</v>
      </c>
    </row>
    <row r="2437" spans="11:13" ht="15.75">
      <c r="K2437" s="108" t="str">
        <f t="shared" si="117"/>
        <v>0000000000</v>
      </c>
      <c r="L2437" s="303" t="str">
        <f t="shared" si="118"/>
        <v>0000000000</v>
      </c>
      <c r="M2437" s="132">
        <f>INDEX('реш СГД № 265'!$A:$N,MATCH('БА расх 2019-2020'!$L2437,'реш СГД № 265'!$N:$N,0),3)</f>
        <v>0</v>
      </c>
    </row>
    <row r="2438" spans="11:13" ht="15.75">
      <c r="K2438" s="108" t="str">
        <f t="shared" si="117"/>
        <v>0000000000</v>
      </c>
      <c r="L2438" s="303" t="str">
        <f t="shared" si="118"/>
        <v>0000000000</v>
      </c>
      <c r="M2438" s="132">
        <f>INDEX('реш СГД № 265'!$A:$N,MATCH('БА расх 2019-2020'!$L2438,'реш СГД № 265'!$N:$N,0),3)</f>
        <v>0</v>
      </c>
    </row>
    <row r="2439" spans="11:13" ht="15.75">
      <c r="K2439" s="108" t="str">
        <f t="shared" si="117"/>
        <v>0000000000</v>
      </c>
      <c r="L2439" s="303" t="str">
        <f t="shared" si="118"/>
        <v>0000000000</v>
      </c>
      <c r="M2439" s="132">
        <f>INDEX('реш СГД № 265'!$A:$N,MATCH('БА расх 2019-2020'!$L2439,'реш СГД № 265'!$N:$N,0),3)</f>
        <v>0</v>
      </c>
    </row>
    <row r="2440" spans="11:13" ht="15.75">
      <c r="K2440" s="108" t="str">
        <f t="shared" si="117"/>
        <v>0000000000</v>
      </c>
      <c r="L2440" s="303" t="str">
        <f t="shared" si="118"/>
        <v>0000000000</v>
      </c>
      <c r="M2440" s="132">
        <f>INDEX('реш СГД № 265'!$A:$N,MATCH('БА расх 2019-2020'!$L2440,'реш СГД № 265'!$N:$N,0),3)</f>
        <v>0</v>
      </c>
    </row>
    <row r="2441" spans="11:13" ht="15.75">
      <c r="K2441" s="108" t="str">
        <f t="shared" si="117"/>
        <v>0000000000</v>
      </c>
      <c r="L2441" s="303" t="str">
        <f t="shared" si="118"/>
        <v>0000000000</v>
      </c>
      <c r="M2441" s="132">
        <f>INDEX('реш СГД № 265'!$A:$N,MATCH('БА расх 2019-2020'!$L2441,'реш СГД № 265'!$N:$N,0),3)</f>
        <v>0</v>
      </c>
    </row>
    <row r="2442" spans="11:13" ht="15.75">
      <c r="K2442" s="108" t="str">
        <f t="shared" si="117"/>
        <v>0000000000</v>
      </c>
      <c r="L2442" s="303" t="str">
        <f t="shared" si="118"/>
        <v>0000000000</v>
      </c>
      <c r="M2442" s="132">
        <f>INDEX('реш СГД № 265'!$A:$N,MATCH('БА расх 2019-2020'!$L2442,'реш СГД № 265'!$N:$N,0),3)</f>
        <v>0</v>
      </c>
    </row>
    <row r="2443" spans="11:13" ht="15.75">
      <c r="K2443" s="108" t="str">
        <f t="shared" si="117"/>
        <v>0000000000</v>
      </c>
      <c r="L2443" s="303" t="str">
        <f t="shared" si="118"/>
        <v>0000000000</v>
      </c>
      <c r="M2443" s="132">
        <f>INDEX('реш СГД № 265'!$A:$N,MATCH('БА расх 2019-2020'!$L2443,'реш СГД № 265'!$N:$N,0),3)</f>
        <v>0</v>
      </c>
    </row>
    <row r="2444" spans="11:13" ht="15.75">
      <c r="K2444" s="108" t="str">
        <f t="shared" si="117"/>
        <v>0000000000</v>
      </c>
      <c r="L2444" s="303" t="str">
        <f t="shared" si="118"/>
        <v>0000000000</v>
      </c>
      <c r="M2444" s="132">
        <f>INDEX('реш СГД № 265'!$A:$N,MATCH('БА расх 2019-2020'!$L2444,'реш СГД № 265'!$N:$N,0),3)</f>
        <v>0</v>
      </c>
    </row>
    <row r="2445" spans="11:13" ht="15.75">
      <c r="K2445" s="108" t="str">
        <f t="shared" si="117"/>
        <v>0000000000</v>
      </c>
      <c r="L2445" s="303" t="str">
        <f t="shared" si="118"/>
        <v>0000000000</v>
      </c>
      <c r="M2445" s="132">
        <f>INDEX('реш СГД № 265'!$A:$N,MATCH('БА расх 2019-2020'!$L2445,'реш СГД № 265'!$N:$N,0),3)</f>
        <v>0</v>
      </c>
    </row>
    <row r="2446" spans="11:13" ht="15.75">
      <c r="K2446" s="108" t="str">
        <f t="shared" si="117"/>
        <v>0000000000</v>
      </c>
      <c r="L2446" s="303" t="str">
        <f t="shared" si="118"/>
        <v>0000000000</v>
      </c>
      <c r="M2446" s="132">
        <f>INDEX('реш СГД № 265'!$A:$N,MATCH('БА расх 2019-2020'!$L2446,'реш СГД № 265'!$N:$N,0),3)</f>
        <v>0</v>
      </c>
    </row>
    <row r="2447" spans="11:13" ht="15.75">
      <c r="K2447" s="108" t="str">
        <f t="shared" si="117"/>
        <v>0000000000</v>
      </c>
      <c r="L2447" s="303" t="str">
        <f t="shared" si="118"/>
        <v>0000000000</v>
      </c>
      <c r="M2447" s="132">
        <f>INDEX('реш СГД № 265'!$A:$N,MATCH('БА расх 2019-2020'!$L2447,'реш СГД № 265'!$N:$N,0),3)</f>
        <v>0</v>
      </c>
    </row>
    <row r="2448" spans="11:13" ht="15.75">
      <c r="K2448" s="108" t="str">
        <f t="shared" si="117"/>
        <v>0000000000</v>
      </c>
      <c r="L2448" s="303" t="str">
        <f t="shared" si="118"/>
        <v>0000000000</v>
      </c>
      <c r="M2448" s="132">
        <f>INDEX('реш СГД № 265'!$A:$N,MATCH('БА расх 2019-2020'!$L2448,'реш СГД № 265'!$N:$N,0),3)</f>
        <v>0</v>
      </c>
    </row>
    <row r="2449" spans="11:13" ht="15.75">
      <c r="K2449" s="108" t="str">
        <f t="shared" si="117"/>
        <v>0000000000</v>
      </c>
      <c r="L2449" s="303" t="str">
        <f t="shared" si="118"/>
        <v>0000000000</v>
      </c>
      <c r="M2449" s="132">
        <f>INDEX('реш СГД № 265'!$A:$N,MATCH('БА расх 2019-2020'!$L2449,'реш СГД № 265'!$N:$N,0),3)</f>
        <v>0</v>
      </c>
    </row>
    <row r="2450" spans="11:13" ht="15.75">
      <c r="K2450" s="108" t="str">
        <f t="shared" si="117"/>
        <v>0000000000</v>
      </c>
      <c r="L2450" s="303" t="str">
        <f t="shared" si="118"/>
        <v>0000000000</v>
      </c>
      <c r="M2450" s="132">
        <f>INDEX('реш СГД № 265'!$A:$N,MATCH('БА расх 2019-2020'!$L2450,'реш СГД № 265'!$N:$N,0),3)</f>
        <v>0</v>
      </c>
    </row>
    <row r="2451" spans="11:13" ht="15.75">
      <c r="K2451" s="108" t="str">
        <f t="shared" si="117"/>
        <v>0000000000</v>
      </c>
      <c r="L2451" s="303" t="str">
        <f t="shared" si="118"/>
        <v>0000000000</v>
      </c>
      <c r="M2451" s="132">
        <f>INDEX('реш СГД № 265'!$A:$N,MATCH('БА расх 2019-2020'!$L2451,'реш СГД № 265'!$N:$N,0),3)</f>
        <v>0</v>
      </c>
    </row>
    <row r="2452" spans="11:13" ht="15.75">
      <c r="K2452" s="108" t="str">
        <f t="shared" si="117"/>
        <v>0000000000</v>
      </c>
      <c r="L2452" s="303" t="str">
        <f t="shared" si="118"/>
        <v>0000000000</v>
      </c>
      <c r="M2452" s="132">
        <f>INDEX('реш СГД № 265'!$A:$N,MATCH('БА расх 2019-2020'!$L2452,'реш СГД № 265'!$N:$N,0),3)</f>
        <v>0</v>
      </c>
    </row>
    <row r="2453" spans="11:13" ht="15.75">
      <c r="K2453" s="108" t="str">
        <f t="shared" si="117"/>
        <v>0000000000</v>
      </c>
      <c r="L2453" s="303" t="str">
        <f t="shared" si="118"/>
        <v>0000000000</v>
      </c>
      <c r="M2453" s="132">
        <f>INDEX('реш СГД № 265'!$A:$N,MATCH('БА расх 2019-2020'!$L2453,'реш СГД № 265'!$N:$N,0),3)</f>
        <v>0</v>
      </c>
    </row>
    <row r="2454" spans="11:13" ht="15.75">
      <c r="K2454" s="108" t="str">
        <f t="shared" si="117"/>
        <v>0000000000</v>
      </c>
      <c r="L2454" s="303" t="str">
        <f t="shared" si="118"/>
        <v>0000000000</v>
      </c>
      <c r="M2454" s="132">
        <f>INDEX('реш СГД № 265'!$A:$N,MATCH('БА расх 2019-2020'!$L2454,'реш СГД № 265'!$N:$N,0),3)</f>
        <v>0</v>
      </c>
    </row>
    <row r="2455" spans="11:13" ht="15.75">
      <c r="K2455" s="108" t="str">
        <f t="shared" si="117"/>
        <v>0000000000</v>
      </c>
      <c r="L2455" s="303" t="str">
        <f t="shared" si="118"/>
        <v>0000000000</v>
      </c>
      <c r="M2455" s="132">
        <f>INDEX('реш СГД № 265'!$A:$N,MATCH('БА расх 2019-2020'!$L2455,'реш СГД № 265'!$N:$N,0),3)</f>
        <v>0</v>
      </c>
    </row>
    <row r="2456" spans="11:13" ht="15.75">
      <c r="K2456" s="108" t="str">
        <f t="shared" si="117"/>
        <v>0000000000</v>
      </c>
      <c r="L2456" s="303" t="str">
        <f t="shared" si="118"/>
        <v>0000000000</v>
      </c>
      <c r="M2456" s="132">
        <f>INDEX('реш СГД № 265'!$A:$N,MATCH('БА расх 2019-2020'!$L2456,'реш СГД № 265'!$N:$N,0),3)</f>
        <v>0</v>
      </c>
    </row>
    <row r="2457" spans="11:13" ht="15.75">
      <c r="K2457" s="108" t="str">
        <f t="shared" si="117"/>
        <v>0000000000</v>
      </c>
      <c r="L2457" s="303" t="str">
        <f t="shared" si="118"/>
        <v>0000000000</v>
      </c>
      <c r="M2457" s="132">
        <f>INDEX('реш СГД № 265'!$A:$N,MATCH('БА расх 2019-2020'!$L2457,'реш СГД № 265'!$N:$N,0),3)</f>
        <v>0</v>
      </c>
    </row>
    <row r="2458" spans="11:13" ht="15.75">
      <c r="K2458" s="108" t="str">
        <f t="shared" si="117"/>
        <v>0000000000</v>
      </c>
      <c r="L2458" s="303" t="str">
        <f t="shared" si="118"/>
        <v>0000000000</v>
      </c>
      <c r="M2458" s="132">
        <f>INDEX('реш СГД № 265'!$A:$N,MATCH('БА расх 2019-2020'!$L2458,'реш СГД № 265'!$N:$N,0),3)</f>
        <v>0</v>
      </c>
    </row>
    <row r="2459" spans="11:13" ht="15.75">
      <c r="K2459" s="108" t="str">
        <f t="shared" si="117"/>
        <v>0000000000</v>
      </c>
      <c r="L2459" s="303" t="str">
        <f t="shared" si="118"/>
        <v>0000000000</v>
      </c>
      <c r="M2459" s="132">
        <f>INDEX('реш СГД № 265'!$A:$N,MATCH('БА расх 2019-2020'!$L2459,'реш СГД № 265'!$N:$N,0),3)</f>
        <v>0</v>
      </c>
    </row>
    <row r="2460" spans="11:13" ht="15.75">
      <c r="K2460" s="108" t="str">
        <f t="shared" si="117"/>
        <v>0000000000</v>
      </c>
      <c r="L2460" s="303" t="str">
        <f t="shared" si="118"/>
        <v>0000000000</v>
      </c>
      <c r="M2460" s="132">
        <f>INDEX('реш СГД № 265'!$A:$N,MATCH('БА расх 2019-2020'!$L2460,'реш СГД № 265'!$N:$N,0),3)</f>
        <v>0</v>
      </c>
    </row>
    <row r="2461" spans="11:13" ht="15.75">
      <c r="K2461" s="108" t="str">
        <f t="shared" si="117"/>
        <v>0000000000</v>
      </c>
      <c r="L2461" s="303" t="str">
        <f t="shared" si="118"/>
        <v>0000000000</v>
      </c>
      <c r="M2461" s="132">
        <f>INDEX('реш СГД № 265'!$A:$N,MATCH('БА расх 2019-2020'!$L2461,'реш СГД № 265'!$N:$N,0),3)</f>
        <v>0</v>
      </c>
    </row>
    <row r="2462" spans="11:13" ht="15.75">
      <c r="K2462" s="108" t="str">
        <f t="shared" si="117"/>
        <v>0000000000</v>
      </c>
      <c r="L2462" s="303" t="str">
        <f t="shared" si="118"/>
        <v>0000000000</v>
      </c>
      <c r="M2462" s="132">
        <f>INDEX('реш СГД № 265'!$A:$N,MATCH('БА расх 2019-2020'!$L2462,'реш СГД № 265'!$N:$N,0),3)</f>
        <v>0</v>
      </c>
    </row>
    <row r="2463" spans="11:13" ht="15.75">
      <c r="K2463" s="108" t="str">
        <f t="shared" si="117"/>
        <v>0000000000</v>
      </c>
      <c r="L2463" s="303" t="str">
        <f t="shared" si="118"/>
        <v>0000000000</v>
      </c>
      <c r="M2463" s="132">
        <f>INDEX('реш СГД № 265'!$A:$N,MATCH('БА расх 2019-2020'!$L2463,'реш СГД № 265'!$N:$N,0),3)</f>
        <v>0</v>
      </c>
    </row>
    <row r="2464" spans="11:13" ht="15.75">
      <c r="K2464" s="108" t="str">
        <f t="shared" si="117"/>
        <v>0000000000</v>
      </c>
      <c r="L2464" s="303" t="str">
        <f t="shared" si="118"/>
        <v>0000000000</v>
      </c>
      <c r="M2464" s="132">
        <f>INDEX('реш СГД № 265'!$A:$N,MATCH('БА расх 2019-2020'!$L2464,'реш СГД № 265'!$N:$N,0),3)</f>
        <v>0</v>
      </c>
    </row>
    <row r="2465" spans="11:13" ht="15.75">
      <c r="K2465" s="108" t="str">
        <f t="shared" si="117"/>
        <v>0000000000</v>
      </c>
      <c r="L2465" s="303" t="str">
        <f t="shared" si="118"/>
        <v>0000000000</v>
      </c>
      <c r="M2465" s="132">
        <f>INDEX('реш СГД № 265'!$A:$N,MATCH('БА расх 2019-2020'!$L2465,'реш СГД № 265'!$N:$N,0),3)</f>
        <v>0</v>
      </c>
    </row>
    <row r="2466" spans="11:13" ht="15.75">
      <c r="K2466" s="108" t="str">
        <f t="shared" si="117"/>
        <v>0000000000</v>
      </c>
      <c r="L2466" s="303" t="str">
        <f t="shared" si="118"/>
        <v>0000000000</v>
      </c>
      <c r="M2466" s="132">
        <f>INDEX('реш СГД № 265'!$A:$N,MATCH('БА расх 2019-2020'!$L2466,'реш СГД № 265'!$N:$N,0),3)</f>
        <v>0</v>
      </c>
    </row>
    <row r="2467" spans="11:13" ht="15.75">
      <c r="K2467" s="108" t="str">
        <f t="shared" si="117"/>
        <v>0000000000</v>
      </c>
      <c r="L2467" s="303" t="str">
        <f t="shared" si="118"/>
        <v>0000000000</v>
      </c>
      <c r="M2467" s="132">
        <f>INDEX('реш СГД № 265'!$A:$N,MATCH('БА расх 2019-2020'!$L2467,'реш СГД № 265'!$N:$N,0),3)</f>
        <v>0</v>
      </c>
    </row>
    <row r="2468" spans="11:13" ht="15.75">
      <c r="K2468" s="108" t="str">
        <f t="shared" ref="K2468:K2525" si="119">TEXT(J2468,"0000000000")</f>
        <v>0000000000</v>
      </c>
      <c r="L2468" s="303" t="str">
        <f t="shared" si="118"/>
        <v>0000000000</v>
      </c>
      <c r="M2468" s="132">
        <f>INDEX('реш СГД № 265'!$A:$N,MATCH('БА расх 2019-2020'!$L2468,'реш СГД № 265'!$N:$N,0),3)</f>
        <v>0</v>
      </c>
    </row>
    <row r="2469" spans="11:13" ht="15.75">
      <c r="K2469" s="108" t="str">
        <f t="shared" si="119"/>
        <v>0000000000</v>
      </c>
      <c r="L2469" s="303" t="str">
        <f t="shared" ref="L2469:L2525" si="120">C2469&amp;D2469&amp;E2469&amp;K2469&amp;G2469</f>
        <v>0000000000</v>
      </c>
      <c r="M2469" s="132">
        <f>INDEX('реш СГД № 265'!$A:$N,MATCH('БА расх 2019-2020'!$L2469,'реш СГД № 265'!$N:$N,0),3)</f>
        <v>0</v>
      </c>
    </row>
    <row r="2470" spans="11:13" ht="15.75">
      <c r="K2470" s="108" t="str">
        <f t="shared" si="119"/>
        <v>0000000000</v>
      </c>
      <c r="L2470" s="303" t="str">
        <f t="shared" si="120"/>
        <v>0000000000</v>
      </c>
      <c r="M2470" s="132">
        <f>INDEX('реш СГД № 265'!$A:$N,MATCH('БА расх 2019-2020'!$L2470,'реш СГД № 265'!$N:$N,0),3)</f>
        <v>0</v>
      </c>
    </row>
    <row r="2471" spans="11:13" ht="15.75">
      <c r="K2471" s="108" t="str">
        <f t="shared" si="119"/>
        <v>0000000000</v>
      </c>
      <c r="L2471" s="303" t="str">
        <f t="shared" si="120"/>
        <v>0000000000</v>
      </c>
      <c r="M2471" s="132">
        <f>INDEX('реш СГД № 265'!$A:$N,MATCH('БА расх 2019-2020'!$L2471,'реш СГД № 265'!$N:$N,0),3)</f>
        <v>0</v>
      </c>
    </row>
    <row r="2472" spans="11:13" ht="15.75">
      <c r="K2472" s="108" t="str">
        <f t="shared" si="119"/>
        <v>0000000000</v>
      </c>
      <c r="L2472" s="303" t="str">
        <f t="shared" si="120"/>
        <v>0000000000</v>
      </c>
      <c r="M2472" s="132">
        <f>INDEX('реш СГД № 265'!$A:$N,MATCH('БА расх 2019-2020'!$L2472,'реш СГД № 265'!$N:$N,0),3)</f>
        <v>0</v>
      </c>
    </row>
    <row r="2473" spans="11:13" ht="15.75">
      <c r="K2473" s="108" t="str">
        <f t="shared" si="119"/>
        <v>0000000000</v>
      </c>
      <c r="L2473" s="303" t="str">
        <f t="shared" si="120"/>
        <v>0000000000</v>
      </c>
      <c r="M2473" s="132">
        <f>INDEX('реш СГД № 265'!$A:$N,MATCH('БА расх 2019-2020'!$L2473,'реш СГД № 265'!$N:$N,0),3)</f>
        <v>0</v>
      </c>
    </row>
    <row r="2474" spans="11:13" ht="15.75">
      <c r="K2474" s="108" t="str">
        <f t="shared" si="119"/>
        <v>0000000000</v>
      </c>
      <c r="L2474" s="303" t="str">
        <f t="shared" si="120"/>
        <v>0000000000</v>
      </c>
      <c r="M2474" s="132">
        <f>INDEX('реш СГД № 265'!$A:$N,MATCH('БА расх 2019-2020'!$L2474,'реш СГД № 265'!$N:$N,0),3)</f>
        <v>0</v>
      </c>
    </row>
    <row r="2475" spans="11:13" ht="15.75">
      <c r="K2475" s="108" t="str">
        <f t="shared" si="119"/>
        <v>0000000000</v>
      </c>
      <c r="L2475" s="303" t="str">
        <f t="shared" si="120"/>
        <v>0000000000</v>
      </c>
      <c r="M2475" s="132">
        <f>INDEX('реш СГД № 265'!$A:$N,MATCH('БА расх 2019-2020'!$L2475,'реш СГД № 265'!$N:$N,0),3)</f>
        <v>0</v>
      </c>
    </row>
    <row r="2476" spans="11:13" ht="15.75">
      <c r="K2476" s="108" t="str">
        <f t="shared" si="119"/>
        <v>0000000000</v>
      </c>
      <c r="L2476" s="303" t="str">
        <f t="shared" si="120"/>
        <v>0000000000</v>
      </c>
      <c r="M2476" s="132">
        <f>INDEX('реш СГД № 265'!$A:$N,MATCH('БА расх 2019-2020'!$L2476,'реш СГД № 265'!$N:$N,0),3)</f>
        <v>0</v>
      </c>
    </row>
    <row r="2477" spans="11:13" ht="15.75">
      <c r="K2477" s="108" t="str">
        <f t="shared" si="119"/>
        <v>0000000000</v>
      </c>
      <c r="L2477" s="303" t="str">
        <f t="shared" si="120"/>
        <v>0000000000</v>
      </c>
      <c r="M2477" s="132">
        <f>INDEX('реш СГД № 265'!$A:$N,MATCH('БА расх 2019-2020'!$L2477,'реш СГД № 265'!$N:$N,0),3)</f>
        <v>0</v>
      </c>
    </row>
    <row r="2478" spans="11:13" ht="15.75">
      <c r="K2478" s="108" t="str">
        <f t="shared" si="119"/>
        <v>0000000000</v>
      </c>
      <c r="L2478" s="303" t="str">
        <f t="shared" si="120"/>
        <v>0000000000</v>
      </c>
      <c r="M2478" s="132">
        <f>INDEX('реш СГД № 265'!$A:$N,MATCH('БА расх 2019-2020'!$L2478,'реш СГД № 265'!$N:$N,0),3)</f>
        <v>0</v>
      </c>
    </row>
    <row r="2479" spans="11:13" ht="15.75">
      <c r="K2479" s="108" t="str">
        <f t="shared" si="119"/>
        <v>0000000000</v>
      </c>
      <c r="L2479" s="303" t="str">
        <f t="shared" si="120"/>
        <v>0000000000</v>
      </c>
      <c r="M2479" s="132">
        <f>INDEX('реш СГД № 265'!$A:$N,MATCH('БА расх 2019-2020'!$L2479,'реш СГД № 265'!$N:$N,0),3)</f>
        <v>0</v>
      </c>
    </row>
    <row r="2480" spans="11:13" ht="15.75">
      <c r="K2480" s="108" t="str">
        <f t="shared" si="119"/>
        <v>0000000000</v>
      </c>
      <c r="L2480" s="303" t="str">
        <f t="shared" si="120"/>
        <v>0000000000</v>
      </c>
      <c r="M2480" s="132">
        <f>INDEX('реш СГД № 265'!$A:$N,MATCH('БА расх 2019-2020'!$L2480,'реш СГД № 265'!$N:$N,0),3)</f>
        <v>0</v>
      </c>
    </row>
    <row r="2481" spans="11:13" ht="15.75">
      <c r="K2481" s="108" t="str">
        <f t="shared" si="119"/>
        <v>0000000000</v>
      </c>
      <c r="L2481" s="303" t="str">
        <f t="shared" si="120"/>
        <v>0000000000</v>
      </c>
      <c r="M2481" s="132">
        <f>INDEX('реш СГД № 265'!$A:$N,MATCH('БА расх 2019-2020'!$L2481,'реш СГД № 265'!$N:$N,0),3)</f>
        <v>0</v>
      </c>
    </row>
    <row r="2482" spans="11:13" ht="15.75">
      <c r="K2482" s="108" t="str">
        <f t="shared" si="119"/>
        <v>0000000000</v>
      </c>
      <c r="L2482" s="303" t="str">
        <f t="shared" si="120"/>
        <v>0000000000</v>
      </c>
      <c r="M2482" s="132">
        <f>INDEX('реш СГД № 265'!$A:$N,MATCH('БА расх 2019-2020'!$L2482,'реш СГД № 265'!$N:$N,0),3)</f>
        <v>0</v>
      </c>
    </row>
    <row r="2483" spans="11:13" ht="15.75">
      <c r="K2483" s="108" t="str">
        <f t="shared" si="119"/>
        <v>0000000000</v>
      </c>
      <c r="L2483" s="303" t="str">
        <f t="shared" si="120"/>
        <v>0000000000</v>
      </c>
      <c r="M2483" s="132">
        <f>INDEX('реш СГД № 265'!$A:$N,MATCH('БА расх 2019-2020'!$L2483,'реш СГД № 265'!$N:$N,0),3)</f>
        <v>0</v>
      </c>
    </row>
    <row r="2484" spans="11:13" ht="15.75">
      <c r="K2484" s="108" t="str">
        <f t="shared" si="119"/>
        <v>0000000000</v>
      </c>
      <c r="L2484" s="303" t="str">
        <f t="shared" si="120"/>
        <v>0000000000</v>
      </c>
      <c r="M2484" s="132">
        <f>INDEX('реш СГД № 265'!$A:$N,MATCH('БА расх 2019-2020'!$L2484,'реш СГД № 265'!$N:$N,0),3)</f>
        <v>0</v>
      </c>
    </row>
    <row r="2485" spans="11:13" ht="15.75">
      <c r="K2485" s="108" t="str">
        <f t="shared" si="119"/>
        <v>0000000000</v>
      </c>
      <c r="L2485" s="303" t="str">
        <f t="shared" si="120"/>
        <v>0000000000</v>
      </c>
      <c r="M2485" s="132">
        <f>INDEX('реш СГД № 265'!$A:$N,MATCH('БА расх 2019-2020'!$L2485,'реш СГД № 265'!$N:$N,0),3)</f>
        <v>0</v>
      </c>
    </row>
    <row r="2486" spans="11:13" ht="15.75">
      <c r="K2486" s="108" t="str">
        <f t="shared" si="119"/>
        <v>0000000000</v>
      </c>
      <c r="L2486" s="303" t="str">
        <f t="shared" si="120"/>
        <v>0000000000</v>
      </c>
      <c r="M2486" s="132">
        <f>INDEX('реш СГД № 265'!$A:$N,MATCH('БА расх 2019-2020'!$L2486,'реш СГД № 265'!$N:$N,0),3)</f>
        <v>0</v>
      </c>
    </row>
    <row r="2487" spans="11:13" ht="15.75">
      <c r="K2487" s="108" t="str">
        <f t="shared" si="119"/>
        <v>0000000000</v>
      </c>
      <c r="L2487" s="303" t="str">
        <f t="shared" si="120"/>
        <v>0000000000</v>
      </c>
      <c r="M2487" s="132">
        <f>INDEX('реш СГД № 265'!$A:$N,MATCH('БА расх 2019-2020'!$L2487,'реш СГД № 265'!$N:$N,0),3)</f>
        <v>0</v>
      </c>
    </row>
    <row r="2488" spans="11:13" ht="15.75">
      <c r="K2488" s="108" t="str">
        <f t="shared" si="119"/>
        <v>0000000000</v>
      </c>
      <c r="L2488" s="303" t="str">
        <f t="shared" si="120"/>
        <v>0000000000</v>
      </c>
      <c r="M2488" s="132">
        <f>INDEX('реш СГД № 265'!$A:$N,MATCH('БА расх 2019-2020'!$L2488,'реш СГД № 265'!$N:$N,0),3)</f>
        <v>0</v>
      </c>
    </row>
    <row r="2489" spans="11:13" ht="15.75">
      <c r="K2489" s="108" t="str">
        <f t="shared" si="119"/>
        <v>0000000000</v>
      </c>
      <c r="L2489" s="303" t="str">
        <f t="shared" si="120"/>
        <v>0000000000</v>
      </c>
      <c r="M2489" s="132">
        <f>INDEX('реш СГД № 265'!$A:$N,MATCH('БА расх 2019-2020'!$L2489,'реш СГД № 265'!$N:$N,0),3)</f>
        <v>0</v>
      </c>
    </row>
    <row r="2490" spans="11:13" ht="15.75">
      <c r="K2490" s="108" t="str">
        <f t="shared" si="119"/>
        <v>0000000000</v>
      </c>
      <c r="L2490" s="303" t="str">
        <f t="shared" si="120"/>
        <v>0000000000</v>
      </c>
      <c r="M2490" s="132">
        <f>INDEX('реш СГД № 265'!$A:$N,MATCH('БА расх 2019-2020'!$L2490,'реш СГД № 265'!$N:$N,0),3)</f>
        <v>0</v>
      </c>
    </row>
    <row r="2491" spans="11:13" ht="15.75">
      <c r="K2491" s="108" t="str">
        <f t="shared" si="119"/>
        <v>0000000000</v>
      </c>
      <c r="L2491" s="303" t="str">
        <f t="shared" si="120"/>
        <v>0000000000</v>
      </c>
      <c r="M2491" s="132">
        <f>INDEX('реш СГД № 265'!$A:$N,MATCH('БА расх 2019-2020'!$L2491,'реш СГД № 265'!$N:$N,0),3)</f>
        <v>0</v>
      </c>
    </row>
    <row r="2492" spans="11:13" ht="15.75">
      <c r="K2492" s="108" t="str">
        <f t="shared" si="119"/>
        <v>0000000000</v>
      </c>
      <c r="L2492" s="303" t="str">
        <f t="shared" si="120"/>
        <v>0000000000</v>
      </c>
      <c r="M2492" s="132">
        <f>INDEX('реш СГД № 265'!$A:$N,MATCH('БА расх 2019-2020'!$L2492,'реш СГД № 265'!$N:$N,0),3)</f>
        <v>0</v>
      </c>
    </row>
    <row r="2493" spans="11:13" ht="15.75">
      <c r="K2493" s="108" t="str">
        <f t="shared" si="119"/>
        <v>0000000000</v>
      </c>
      <c r="L2493" s="303" t="str">
        <f t="shared" si="120"/>
        <v>0000000000</v>
      </c>
      <c r="M2493" s="132">
        <f>INDEX('реш СГД № 265'!$A:$N,MATCH('БА расх 2019-2020'!$L2493,'реш СГД № 265'!$N:$N,0),3)</f>
        <v>0</v>
      </c>
    </row>
    <row r="2494" spans="11:13" ht="15.75">
      <c r="K2494" s="108" t="str">
        <f t="shared" si="119"/>
        <v>0000000000</v>
      </c>
      <c r="L2494" s="303" t="str">
        <f t="shared" si="120"/>
        <v>0000000000</v>
      </c>
      <c r="M2494" s="132">
        <f>INDEX('реш СГД № 265'!$A:$N,MATCH('БА расх 2019-2020'!$L2494,'реш СГД № 265'!$N:$N,0),3)</f>
        <v>0</v>
      </c>
    </row>
    <row r="2495" spans="11:13" ht="15.75">
      <c r="K2495" s="108" t="str">
        <f t="shared" si="119"/>
        <v>0000000000</v>
      </c>
      <c r="L2495" s="303" t="str">
        <f t="shared" si="120"/>
        <v>0000000000</v>
      </c>
      <c r="M2495" s="132">
        <f>INDEX('реш СГД № 265'!$A:$N,MATCH('БА расх 2019-2020'!$L2495,'реш СГД № 265'!$N:$N,0),3)</f>
        <v>0</v>
      </c>
    </row>
    <row r="2496" spans="11:13" ht="15.75">
      <c r="K2496" s="108" t="str">
        <f t="shared" si="119"/>
        <v>0000000000</v>
      </c>
      <c r="L2496" s="303" t="str">
        <f t="shared" si="120"/>
        <v>0000000000</v>
      </c>
      <c r="M2496" s="132">
        <f>INDEX('реш СГД № 265'!$A:$N,MATCH('БА расх 2019-2020'!$L2496,'реш СГД № 265'!$N:$N,0),3)</f>
        <v>0</v>
      </c>
    </row>
    <row r="2497" spans="11:13" ht="15.75">
      <c r="K2497" s="108" t="str">
        <f t="shared" si="119"/>
        <v>0000000000</v>
      </c>
      <c r="L2497" s="303" t="str">
        <f t="shared" si="120"/>
        <v>0000000000</v>
      </c>
      <c r="M2497" s="132">
        <f>INDEX('реш СГД № 265'!$A:$N,MATCH('БА расх 2019-2020'!$L2497,'реш СГД № 265'!$N:$N,0),3)</f>
        <v>0</v>
      </c>
    </row>
    <row r="2498" spans="11:13" ht="15.75">
      <c r="K2498" s="108" t="str">
        <f t="shared" si="119"/>
        <v>0000000000</v>
      </c>
      <c r="L2498" s="303" t="str">
        <f t="shared" si="120"/>
        <v>0000000000</v>
      </c>
      <c r="M2498" s="132">
        <f>INDEX('реш СГД № 265'!$A:$N,MATCH('БА расх 2019-2020'!$L2498,'реш СГД № 265'!$N:$N,0),3)</f>
        <v>0</v>
      </c>
    </row>
    <row r="2499" spans="11:13" ht="15.75">
      <c r="K2499" s="108" t="str">
        <f t="shared" si="119"/>
        <v>0000000000</v>
      </c>
      <c r="L2499" s="303" t="str">
        <f t="shared" si="120"/>
        <v>0000000000</v>
      </c>
      <c r="M2499" s="132">
        <f>INDEX('реш СГД № 265'!$A:$N,MATCH('БА расх 2019-2020'!$L2499,'реш СГД № 265'!$N:$N,0),3)</f>
        <v>0</v>
      </c>
    </row>
    <row r="2500" spans="11:13" ht="15.75">
      <c r="K2500" s="108" t="str">
        <f t="shared" si="119"/>
        <v>0000000000</v>
      </c>
      <c r="L2500" s="303" t="str">
        <f t="shared" si="120"/>
        <v>0000000000</v>
      </c>
      <c r="M2500" s="132">
        <f>INDEX('реш СГД № 265'!$A:$N,MATCH('БА расх 2019-2020'!$L2500,'реш СГД № 265'!$N:$N,0),3)</f>
        <v>0</v>
      </c>
    </row>
    <row r="2501" spans="11:13" ht="15.75">
      <c r="K2501" s="108" t="str">
        <f t="shared" si="119"/>
        <v>0000000000</v>
      </c>
      <c r="L2501" s="303" t="str">
        <f t="shared" si="120"/>
        <v>0000000000</v>
      </c>
      <c r="M2501" s="132">
        <f>INDEX('реш СГД № 265'!$A:$N,MATCH('БА расх 2019-2020'!$L2501,'реш СГД № 265'!$N:$N,0),3)</f>
        <v>0</v>
      </c>
    </row>
    <row r="2502" spans="11:13" ht="15.75">
      <c r="K2502" s="108" t="str">
        <f t="shared" si="119"/>
        <v>0000000000</v>
      </c>
      <c r="L2502" s="303" t="str">
        <f t="shared" si="120"/>
        <v>0000000000</v>
      </c>
      <c r="M2502" s="132">
        <f>INDEX('реш СГД № 265'!$A:$N,MATCH('БА расх 2019-2020'!$L2502,'реш СГД № 265'!$N:$N,0),3)</f>
        <v>0</v>
      </c>
    </row>
    <row r="2503" spans="11:13" ht="15.75">
      <c r="K2503" s="108" t="str">
        <f t="shared" si="119"/>
        <v>0000000000</v>
      </c>
      <c r="L2503" s="303" t="str">
        <f t="shared" si="120"/>
        <v>0000000000</v>
      </c>
      <c r="M2503" s="132">
        <f>INDEX('реш СГД № 265'!$A:$N,MATCH('БА расх 2019-2020'!$L2503,'реш СГД № 265'!$N:$N,0),3)</f>
        <v>0</v>
      </c>
    </row>
    <row r="2504" spans="11:13" ht="15.75">
      <c r="K2504" s="108" t="str">
        <f t="shared" si="119"/>
        <v>0000000000</v>
      </c>
      <c r="L2504" s="303" t="str">
        <f t="shared" si="120"/>
        <v>0000000000</v>
      </c>
      <c r="M2504" s="132">
        <f>INDEX('реш СГД № 265'!$A:$N,MATCH('БА расх 2019-2020'!$L2504,'реш СГД № 265'!$N:$N,0),3)</f>
        <v>0</v>
      </c>
    </row>
    <row r="2505" spans="11:13" ht="15.75">
      <c r="K2505" s="108" t="str">
        <f t="shared" si="119"/>
        <v>0000000000</v>
      </c>
      <c r="L2505" s="303" t="str">
        <f t="shared" si="120"/>
        <v>0000000000</v>
      </c>
      <c r="M2505" s="132">
        <f>INDEX('реш СГД № 265'!$A:$N,MATCH('БА расх 2019-2020'!$L2505,'реш СГД № 265'!$N:$N,0),3)</f>
        <v>0</v>
      </c>
    </row>
    <row r="2506" spans="11:13" ht="15.75">
      <c r="K2506" s="108" t="str">
        <f t="shared" si="119"/>
        <v>0000000000</v>
      </c>
      <c r="L2506" s="303" t="str">
        <f t="shared" si="120"/>
        <v>0000000000</v>
      </c>
      <c r="M2506" s="132">
        <f>INDEX('реш СГД № 265'!$A:$N,MATCH('БА расх 2019-2020'!$L2506,'реш СГД № 265'!$N:$N,0),3)</f>
        <v>0</v>
      </c>
    </row>
    <row r="2507" spans="11:13" ht="15.75">
      <c r="K2507" s="108" t="str">
        <f t="shared" si="119"/>
        <v>0000000000</v>
      </c>
      <c r="L2507" s="303" t="str">
        <f t="shared" si="120"/>
        <v>0000000000</v>
      </c>
      <c r="M2507" s="132">
        <f>INDEX('реш СГД № 265'!$A:$N,MATCH('БА расх 2019-2020'!$L2507,'реш СГД № 265'!$N:$N,0),3)</f>
        <v>0</v>
      </c>
    </row>
    <row r="2508" spans="11:13" ht="15.75">
      <c r="K2508" s="108" t="str">
        <f t="shared" si="119"/>
        <v>0000000000</v>
      </c>
      <c r="L2508" s="303" t="str">
        <f t="shared" si="120"/>
        <v>0000000000</v>
      </c>
      <c r="M2508" s="132">
        <f>INDEX('реш СГД № 265'!$A:$N,MATCH('БА расх 2019-2020'!$L2508,'реш СГД № 265'!$N:$N,0),3)</f>
        <v>0</v>
      </c>
    </row>
    <row r="2509" spans="11:13" ht="15.75">
      <c r="K2509" s="108" t="str">
        <f t="shared" si="119"/>
        <v>0000000000</v>
      </c>
      <c r="L2509" s="303" t="str">
        <f t="shared" si="120"/>
        <v>0000000000</v>
      </c>
      <c r="M2509" s="132">
        <f>INDEX('реш СГД № 265'!$A:$N,MATCH('БА расх 2019-2020'!$L2509,'реш СГД № 265'!$N:$N,0),3)</f>
        <v>0</v>
      </c>
    </row>
    <row r="2510" spans="11:13" ht="15.75">
      <c r="K2510" s="108" t="str">
        <f t="shared" si="119"/>
        <v>0000000000</v>
      </c>
      <c r="L2510" s="303" t="str">
        <f t="shared" si="120"/>
        <v>0000000000</v>
      </c>
      <c r="M2510" s="132">
        <f>INDEX('реш СГД № 265'!$A:$N,MATCH('БА расх 2019-2020'!$L2510,'реш СГД № 265'!$N:$N,0),3)</f>
        <v>0</v>
      </c>
    </row>
    <row r="2511" spans="11:13" ht="15.75">
      <c r="K2511" s="108" t="str">
        <f t="shared" si="119"/>
        <v>0000000000</v>
      </c>
      <c r="L2511" s="303" t="str">
        <f t="shared" si="120"/>
        <v>0000000000</v>
      </c>
      <c r="M2511" s="132">
        <f>INDEX('реш СГД № 265'!$A:$N,MATCH('БА расх 2019-2020'!$L2511,'реш СГД № 265'!$N:$N,0),3)</f>
        <v>0</v>
      </c>
    </row>
    <row r="2512" spans="11:13" ht="15.75">
      <c r="K2512" s="108" t="str">
        <f t="shared" si="119"/>
        <v>0000000000</v>
      </c>
      <c r="L2512" s="303" t="str">
        <f t="shared" si="120"/>
        <v>0000000000</v>
      </c>
      <c r="M2512" s="132">
        <f>INDEX('реш СГД № 265'!$A:$N,MATCH('БА расх 2019-2020'!$L2512,'реш СГД № 265'!$N:$N,0),3)</f>
        <v>0</v>
      </c>
    </row>
    <row r="2513" spans="11:13" ht="15.75">
      <c r="K2513" s="108" t="str">
        <f t="shared" si="119"/>
        <v>0000000000</v>
      </c>
      <c r="L2513" s="303" t="str">
        <f t="shared" si="120"/>
        <v>0000000000</v>
      </c>
      <c r="M2513" s="132">
        <f>INDEX('реш СГД № 265'!$A:$N,MATCH('БА расх 2019-2020'!$L2513,'реш СГД № 265'!$N:$N,0),3)</f>
        <v>0</v>
      </c>
    </row>
    <row r="2514" spans="11:13" ht="15.75">
      <c r="K2514" s="108" t="str">
        <f t="shared" si="119"/>
        <v>0000000000</v>
      </c>
      <c r="L2514" s="303" t="str">
        <f t="shared" si="120"/>
        <v>0000000000</v>
      </c>
      <c r="M2514" s="132">
        <f>INDEX('реш СГД № 265'!$A:$N,MATCH('БА расх 2019-2020'!$L2514,'реш СГД № 265'!$N:$N,0),3)</f>
        <v>0</v>
      </c>
    </row>
    <row r="2515" spans="11:13" ht="15.75">
      <c r="K2515" s="108" t="str">
        <f t="shared" si="119"/>
        <v>0000000000</v>
      </c>
      <c r="L2515" s="303" t="str">
        <f t="shared" si="120"/>
        <v>0000000000</v>
      </c>
      <c r="M2515" s="132">
        <f>INDEX('реш СГД № 265'!$A:$N,MATCH('БА расх 2019-2020'!$L2515,'реш СГД № 265'!$N:$N,0),3)</f>
        <v>0</v>
      </c>
    </row>
    <row r="2516" spans="11:13" ht="15.75">
      <c r="K2516" s="108" t="str">
        <f t="shared" si="119"/>
        <v>0000000000</v>
      </c>
      <c r="L2516" s="303" t="str">
        <f t="shared" si="120"/>
        <v>0000000000</v>
      </c>
      <c r="M2516" s="132">
        <f>INDEX('реш СГД № 265'!$A:$N,MATCH('БА расх 2019-2020'!$L2516,'реш СГД № 265'!$N:$N,0),3)</f>
        <v>0</v>
      </c>
    </row>
    <row r="2517" spans="11:13" ht="15.75">
      <c r="K2517" s="108" t="str">
        <f t="shared" si="119"/>
        <v>0000000000</v>
      </c>
      <c r="L2517" s="303" t="str">
        <f t="shared" si="120"/>
        <v>0000000000</v>
      </c>
      <c r="M2517" s="132">
        <f>INDEX('реш СГД № 265'!$A:$N,MATCH('БА расх 2019-2020'!$L2517,'реш СГД № 265'!$N:$N,0),3)</f>
        <v>0</v>
      </c>
    </row>
    <row r="2518" spans="11:13" ht="15.75">
      <c r="K2518" s="108" t="str">
        <f t="shared" si="119"/>
        <v>0000000000</v>
      </c>
      <c r="L2518" s="303" t="str">
        <f t="shared" si="120"/>
        <v>0000000000</v>
      </c>
      <c r="M2518" s="132">
        <f>INDEX('реш СГД № 265'!$A:$N,MATCH('БА расх 2019-2020'!$L2518,'реш СГД № 265'!$N:$N,0),3)</f>
        <v>0</v>
      </c>
    </row>
    <row r="2519" spans="11:13" ht="15.75">
      <c r="K2519" s="108" t="str">
        <f t="shared" si="119"/>
        <v>0000000000</v>
      </c>
      <c r="L2519" s="303" t="str">
        <f t="shared" si="120"/>
        <v>0000000000</v>
      </c>
      <c r="M2519" s="132">
        <f>INDEX('реш СГД № 265'!$A:$N,MATCH('БА расх 2019-2020'!$L2519,'реш СГД № 265'!$N:$N,0),3)</f>
        <v>0</v>
      </c>
    </row>
    <row r="2520" spans="11:13" ht="15.75">
      <c r="K2520" s="108" t="str">
        <f t="shared" si="119"/>
        <v>0000000000</v>
      </c>
      <c r="L2520" s="303" t="str">
        <f t="shared" si="120"/>
        <v>0000000000</v>
      </c>
      <c r="M2520" s="132">
        <f>INDEX('реш СГД № 265'!$A:$N,MATCH('БА расх 2019-2020'!$L2520,'реш СГД № 265'!$N:$N,0),3)</f>
        <v>0</v>
      </c>
    </row>
    <row r="2521" spans="11:13" ht="15.75">
      <c r="K2521" s="108" t="str">
        <f t="shared" si="119"/>
        <v>0000000000</v>
      </c>
      <c r="L2521" s="303" t="str">
        <f t="shared" si="120"/>
        <v>0000000000</v>
      </c>
      <c r="M2521" s="132">
        <f>INDEX('реш СГД № 265'!$A:$N,MATCH('БА расх 2019-2020'!$L2521,'реш СГД № 265'!$N:$N,0),3)</f>
        <v>0</v>
      </c>
    </row>
    <row r="2522" spans="11:13" ht="15.75">
      <c r="K2522" s="108" t="str">
        <f t="shared" si="119"/>
        <v>0000000000</v>
      </c>
      <c r="L2522" s="303" t="str">
        <f t="shared" si="120"/>
        <v>0000000000</v>
      </c>
      <c r="M2522" s="132">
        <f>INDEX('реш СГД № 265'!$A:$N,MATCH('БА расх 2019-2020'!$L2522,'реш СГД № 265'!$N:$N,0),3)</f>
        <v>0</v>
      </c>
    </row>
    <row r="2523" spans="11:13" ht="15.75">
      <c r="K2523" s="108" t="str">
        <f t="shared" si="119"/>
        <v>0000000000</v>
      </c>
      <c r="L2523" s="303" t="str">
        <f t="shared" si="120"/>
        <v>0000000000</v>
      </c>
      <c r="M2523" s="132">
        <f>INDEX('реш СГД № 265'!$A:$N,MATCH('БА расх 2019-2020'!$L2523,'реш СГД № 265'!$N:$N,0),3)</f>
        <v>0</v>
      </c>
    </row>
    <row r="2524" spans="11:13" ht="15.75">
      <c r="K2524" s="108" t="str">
        <f t="shared" si="119"/>
        <v>0000000000</v>
      </c>
      <c r="L2524" s="303" t="str">
        <f t="shared" si="120"/>
        <v>0000000000</v>
      </c>
      <c r="M2524" s="132">
        <f>INDEX('реш СГД № 265'!$A:$N,MATCH('БА расх 2019-2020'!$L2524,'реш СГД № 265'!$N:$N,0),3)</f>
        <v>0</v>
      </c>
    </row>
    <row r="2525" spans="11:13" ht="15.75">
      <c r="K2525" s="108" t="str">
        <f t="shared" si="119"/>
        <v>0000000000</v>
      </c>
      <c r="L2525" s="303" t="str">
        <f t="shared" si="120"/>
        <v>0000000000</v>
      </c>
      <c r="M2525" s="132">
        <f>INDEX('реш СГД № 265'!$A:$N,MATCH('БА расх 2019-2020'!$L2525,'реш СГД № 265'!$N:$N,0),3)</f>
        <v>0</v>
      </c>
    </row>
  </sheetData>
  <mergeCells count="8">
    <mergeCell ref="B8:B9"/>
    <mergeCell ref="C8:G8"/>
    <mergeCell ref="H8:I8"/>
    <mergeCell ref="B1:I1"/>
    <mergeCell ref="B2:I2"/>
    <mergeCell ref="B3:I3"/>
    <mergeCell ref="B5:I5"/>
    <mergeCell ref="B6:I6"/>
  </mergeCells>
  <pageMargins left="0.59055118110236227" right="0.15748031496062992" top="0.51181102362204722" bottom="0.27559055118110237" header="0.19685039370078741" footer="0.15748031496062992"/>
  <pageSetup paperSize="9" scale="80" fitToHeight="2" orientation="portrait" r:id="rId1"/>
  <headerFooter differentFirst="1" alignWithMargins="0">
    <oddHeader>&amp;C&amp;"Times New Roman,обычный"&amp;P</oddHeader>
  </headerFooter>
</worksheet>
</file>

<file path=xl/worksheets/sheet11.xml><?xml version="1.0" encoding="utf-8"?>
<worksheet xmlns="http://schemas.openxmlformats.org/spreadsheetml/2006/main" xmlns:r="http://schemas.openxmlformats.org/officeDocument/2006/relationships">
  <sheetPr>
    <tabColor rgb="FFFF99FF"/>
  </sheetPr>
  <dimension ref="A1:E24"/>
  <sheetViews>
    <sheetView view="pageBreakPreview" zoomScale="75" zoomScaleNormal="75" zoomScaleSheetLayoutView="75" workbookViewId="0">
      <selection activeCell="D16" sqref="D16"/>
    </sheetView>
  </sheetViews>
  <sheetFormatPr defaultColWidth="8.7265625" defaultRowHeight="15"/>
  <cols>
    <col min="1" max="1" width="34.6328125" style="455" customWidth="1"/>
    <col min="2" max="2" width="12.26953125" style="455" customWidth="1"/>
    <col min="3" max="3" width="18.54296875" style="455" customWidth="1"/>
    <col min="4" max="4" width="13.1796875" style="455" customWidth="1"/>
    <col min="5" max="5" width="13" style="455" customWidth="1"/>
    <col min="6" max="6" width="12.90625" style="455" customWidth="1"/>
    <col min="7" max="16384" width="8.7265625" style="455"/>
  </cols>
  <sheetData>
    <row r="1" spans="1:5" ht="15.75">
      <c r="A1" s="529" t="s">
        <v>1012</v>
      </c>
      <c r="B1" s="529"/>
      <c r="C1" s="529"/>
      <c r="D1" s="529"/>
      <c r="E1" s="529"/>
    </row>
    <row r="2" spans="1:5" ht="15.6" customHeight="1">
      <c r="A2" s="529" t="s">
        <v>1013</v>
      </c>
      <c r="B2" s="529"/>
      <c r="C2" s="529"/>
      <c r="D2" s="529"/>
      <c r="E2" s="529"/>
    </row>
    <row r="3" spans="1:5" ht="15.75">
      <c r="A3" s="527"/>
      <c r="B3" s="527"/>
      <c r="C3" s="456"/>
      <c r="D3" s="456"/>
    </row>
    <row r="4" spans="1:5" ht="15.75">
      <c r="A4" s="457"/>
      <c r="B4" s="457"/>
      <c r="C4" s="456"/>
      <c r="E4" s="458" t="s">
        <v>996</v>
      </c>
    </row>
    <row r="5" spans="1:5" ht="25.5" customHeight="1">
      <c r="A5" s="530" t="s">
        <v>997</v>
      </c>
      <c r="B5" s="532" t="s">
        <v>1014</v>
      </c>
      <c r="C5" s="533"/>
      <c r="D5" s="536" t="s">
        <v>999</v>
      </c>
      <c r="E5" s="536"/>
    </row>
    <row r="6" spans="1:5" ht="87.75" customHeight="1">
      <c r="A6" s="531"/>
      <c r="B6" s="534"/>
      <c r="C6" s="535"/>
      <c r="D6" s="348" t="s">
        <v>1095</v>
      </c>
      <c r="E6" s="348" t="s">
        <v>1096</v>
      </c>
    </row>
    <row r="7" spans="1:5" ht="18">
      <c r="A7" s="459">
        <v>1</v>
      </c>
      <c r="B7" s="536">
        <v>2</v>
      </c>
      <c r="C7" s="537"/>
      <c r="D7" s="459">
        <v>3</v>
      </c>
      <c r="E7" s="459">
        <v>4</v>
      </c>
    </row>
    <row r="8" spans="1:5" ht="15.75">
      <c r="A8" s="460" t="s">
        <v>1016</v>
      </c>
      <c r="B8" s="527"/>
      <c r="C8" s="527"/>
      <c r="D8" s="461">
        <v>8487038216.4099998</v>
      </c>
      <c r="E8" s="461">
        <v>7819803116.4700003</v>
      </c>
    </row>
    <row r="9" spans="1:5" ht="15.75">
      <c r="A9" s="460" t="s">
        <v>1017</v>
      </c>
      <c r="B9" s="527"/>
      <c r="C9" s="527"/>
      <c r="D9" s="461">
        <v>8918565034.5</v>
      </c>
      <c r="E9" s="461">
        <v>8182659928.2399998</v>
      </c>
    </row>
    <row r="10" spans="1:5" ht="15.75">
      <c r="A10" s="460" t="s">
        <v>1018</v>
      </c>
      <c r="B10" s="527"/>
      <c r="C10" s="527"/>
      <c r="D10" s="461">
        <f>D8-D9</f>
        <v>-431526818.09000015</v>
      </c>
      <c r="E10" s="461">
        <f>E8-E9</f>
        <v>-362856811.7699995</v>
      </c>
    </row>
    <row r="11" spans="1:5" ht="31.5">
      <c r="A11" s="460" t="s">
        <v>1019</v>
      </c>
      <c r="B11" s="527"/>
      <c r="C11" s="527"/>
      <c r="D11" s="461">
        <f>D13+D14+D15+D16</f>
        <v>431526818.08999991</v>
      </c>
      <c r="E11" s="461">
        <f>E13+E14+E15+E16</f>
        <v>362856811.76999998</v>
      </c>
    </row>
    <row r="12" spans="1:5" ht="31.5">
      <c r="A12" s="460" t="str">
        <f>'[5]БА по источн (2017)'!A12</f>
        <v xml:space="preserve">Кредиты кредитных организаций в валюте Российской Федерации </v>
      </c>
      <c r="B12" s="527" t="s">
        <v>2324</v>
      </c>
      <c r="C12" s="527"/>
      <c r="D12" s="461">
        <f>D13+D14+D15+D16</f>
        <v>431526818.08999991</v>
      </c>
      <c r="E12" s="461">
        <f>E13+E14+E15+E16</f>
        <v>362856811.76999998</v>
      </c>
    </row>
    <row r="13" spans="1:5" ht="47.25">
      <c r="A13" s="460" t="s">
        <v>1022</v>
      </c>
      <c r="B13" s="527" t="s">
        <v>2325</v>
      </c>
      <c r="C13" s="527"/>
      <c r="D13" s="462">
        <f>4009526830-4.5</f>
        <v>4009526825.5</v>
      </c>
      <c r="E13" s="462">
        <f>3144856820-3.96</f>
        <v>3144856816.04</v>
      </c>
    </row>
    <row r="14" spans="1:5" ht="63">
      <c r="A14" s="460" t="s">
        <v>1026</v>
      </c>
      <c r="B14" s="527" t="s">
        <v>2326</v>
      </c>
      <c r="C14" s="527"/>
      <c r="D14" s="462">
        <f>1778000000</f>
        <v>1778000000</v>
      </c>
      <c r="E14" s="462">
        <v>1852000000</v>
      </c>
    </row>
    <row r="15" spans="1:5" ht="47.25">
      <c r="A15" s="460" t="s">
        <v>1024</v>
      </c>
      <c r="B15" s="527" t="s">
        <v>2327</v>
      </c>
      <c r="C15" s="527"/>
      <c r="D15" s="462">
        <f>-3578000000-4.5</f>
        <v>-3578000004.5</v>
      </c>
      <c r="E15" s="462">
        <f>-2782000000-4.27</f>
        <v>-2782000004.27</v>
      </c>
    </row>
    <row r="16" spans="1:5" ht="47.25">
      <c r="A16" s="460" t="s">
        <v>1028</v>
      </c>
      <c r="B16" s="527" t="s">
        <v>2328</v>
      </c>
      <c r="C16" s="527"/>
      <c r="D16" s="462">
        <f>-1778000000-2.91</f>
        <v>-1778000002.9100001</v>
      </c>
      <c r="E16" s="462">
        <f>-1852000000</f>
        <v>-1852000000</v>
      </c>
    </row>
    <row r="17" spans="1:5" ht="31.5">
      <c r="A17" s="460" t="str">
        <f>'[5]БА по источн (2017)'!A18</f>
        <v>Изменение остатков средств на счетах по учету средств бюджетов</v>
      </c>
      <c r="B17" s="527" t="s">
        <v>2329</v>
      </c>
      <c r="C17" s="527"/>
      <c r="D17" s="462">
        <f>D18+D19</f>
        <v>0</v>
      </c>
      <c r="E17" s="462">
        <f>E18+E19</f>
        <v>0</v>
      </c>
    </row>
    <row r="18" spans="1:5" ht="31.5">
      <c r="A18" s="460" t="s">
        <v>1032</v>
      </c>
      <c r="B18" s="527" t="s">
        <v>2330</v>
      </c>
      <c r="C18" s="527"/>
      <c r="D18" s="462">
        <f>-(D8+D13+D14)</f>
        <v>-14274565041.91</v>
      </c>
      <c r="E18" s="462">
        <f>-(E8+E13+E14)</f>
        <v>-12816659932.51</v>
      </c>
    </row>
    <row r="19" spans="1:5" ht="31.5">
      <c r="A19" s="460" t="s">
        <v>1034</v>
      </c>
      <c r="B19" s="527" t="s">
        <v>2331</v>
      </c>
      <c r="C19" s="527"/>
      <c r="D19" s="462">
        <f>D9-D15-D16</f>
        <v>14274565041.91</v>
      </c>
      <c r="E19" s="462">
        <f>E9-E15-E16</f>
        <v>12816659932.51</v>
      </c>
    </row>
    <row r="20" spans="1:5" ht="15.75">
      <c r="A20" s="460"/>
      <c r="B20" s="463"/>
      <c r="C20" s="463"/>
      <c r="D20" s="464"/>
      <c r="E20" s="464"/>
    </row>
    <row r="21" spans="1:5" s="467" customFormat="1" ht="15.75">
      <c r="A21" s="465" t="s">
        <v>1036</v>
      </c>
      <c r="B21" s="528"/>
      <c r="C21" s="528"/>
      <c r="D21" s="466">
        <v>0</v>
      </c>
      <c r="E21" s="466">
        <v>0</v>
      </c>
    </row>
    <row r="23" spans="1:5">
      <c r="D23" s="468"/>
    </row>
    <row r="24" spans="1:5">
      <c r="D24" s="468"/>
    </row>
  </sheetData>
  <mergeCells count="20">
    <mergeCell ref="B12:C12"/>
    <mergeCell ref="A1:E1"/>
    <mergeCell ref="A2:E2"/>
    <mergeCell ref="A3:B3"/>
    <mergeCell ref="A5:A6"/>
    <mergeCell ref="B5:C6"/>
    <mergeCell ref="D5:E5"/>
    <mergeCell ref="B7:C7"/>
    <mergeCell ref="B8:C8"/>
    <mergeCell ref="B9:C9"/>
    <mergeCell ref="B10:C10"/>
    <mergeCell ref="B11:C11"/>
    <mergeCell ref="B19:C19"/>
    <mergeCell ref="B21:C21"/>
    <mergeCell ref="B13:C13"/>
    <mergeCell ref="B14:C14"/>
    <mergeCell ref="B15:C15"/>
    <mergeCell ref="B16:C16"/>
    <mergeCell ref="B17:C17"/>
    <mergeCell ref="B18:C18"/>
  </mergeCells>
  <pageMargins left="0.73" right="0.23622047244094491" top="0.35433070866141736" bottom="0.74803149606299213" header="0.31496062992125984" footer="0.31496062992125984"/>
  <pageSetup paperSize="9" scale="69" orientation="portrait" r:id="rId1"/>
</worksheet>
</file>

<file path=xl/worksheets/sheet12.xml><?xml version="1.0" encoding="utf-8"?>
<worksheet xmlns="http://schemas.openxmlformats.org/spreadsheetml/2006/main" xmlns:r="http://schemas.openxmlformats.org/officeDocument/2006/relationships">
  <sheetPr>
    <tabColor rgb="FF00B050"/>
  </sheetPr>
  <dimension ref="B2:F771"/>
  <sheetViews>
    <sheetView workbookViewId="0">
      <selection activeCell="B14" sqref="B14:C14"/>
    </sheetView>
  </sheetViews>
  <sheetFormatPr defaultRowHeight="18"/>
  <cols>
    <col min="2" max="2" width="18.7265625" customWidth="1"/>
    <col min="5" max="5" width="18.7265625" customWidth="1"/>
  </cols>
  <sheetData>
    <row r="2" spans="2:6">
      <c r="E2" s="132"/>
    </row>
    <row r="3" spans="2:6">
      <c r="B3" s="132" t="s">
        <v>1374</v>
      </c>
      <c r="C3" s="295">
        <f>IFERROR(MATCH($B3,$E$3:$E$3000,0),"НЕ НАЙДЕН")</f>
        <v>1</v>
      </c>
      <c r="E3" s="344" t="s">
        <v>1374</v>
      </c>
      <c r="F3" s="295">
        <f>IFERROR(MATCH($E3,$B$3:$B$3003,0),"НЕ НАЙДЕН")</f>
        <v>1</v>
      </c>
    </row>
    <row r="4" spans="2:6">
      <c r="B4" s="132" t="s">
        <v>1375</v>
      </c>
      <c r="C4" s="295">
        <f t="shared" ref="C4:C67" si="0">IFERROR(MATCH($B4,$E$3:$E$3000,0),"НЕ НАЙДЕН")</f>
        <v>2</v>
      </c>
      <c r="D4" s="132"/>
      <c r="E4" s="344" t="s">
        <v>1375</v>
      </c>
      <c r="F4" s="295">
        <f t="shared" ref="F4:F67" si="1">IFERROR(MATCH($E4,$B$3:$B$3003,0),"НЕ НАЙДЕН")</f>
        <v>2</v>
      </c>
    </row>
    <row r="5" spans="2:6">
      <c r="B5" s="132" t="s">
        <v>1376</v>
      </c>
      <c r="C5" s="295">
        <f t="shared" si="0"/>
        <v>3</v>
      </c>
      <c r="E5" s="344" t="s">
        <v>1376</v>
      </c>
      <c r="F5" s="295">
        <f t="shared" si="1"/>
        <v>3</v>
      </c>
    </row>
    <row r="6" spans="2:6">
      <c r="B6" s="344" t="s">
        <v>1377</v>
      </c>
      <c r="C6" s="295">
        <f t="shared" si="0"/>
        <v>4</v>
      </c>
      <c r="E6" s="344" t="s">
        <v>1377</v>
      </c>
      <c r="F6" s="295">
        <f t="shared" si="1"/>
        <v>4</v>
      </c>
    </row>
    <row r="7" spans="2:6">
      <c r="B7" s="344" t="s">
        <v>1378</v>
      </c>
      <c r="C7" s="295">
        <f t="shared" si="0"/>
        <v>5</v>
      </c>
      <c r="E7" s="344" t="s">
        <v>1378</v>
      </c>
      <c r="F7" s="295">
        <f t="shared" si="1"/>
        <v>5</v>
      </c>
    </row>
    <row r="8" spans="2:6">
      <c r="B8" s="344" t="s">
        <v>1379</v>
      </c>
      <c r="C8" s="295">
        <f t="shared" si="0"/>
        <v>6</v>
      </c>
      <c r="E8" s="344" t="s">
        <v>1379</v>
      </c>
      <c r="F8" s="295">
        <f t="shared" si="1"/>
        <v>6</v>
      </c>
    </row>
    <row r="9" spans="2:6">
      <c r="B9" s="344" t="s">
        <v>1380</v>
      </c>
      <c r="C9" s="295">
        <f t="shared" si="0"/>
        <v>7</v>
      </c>
      <c r="E9" s="344" t="s">
        <v>1380</v>
      </c>
      <c r="F9" s="295">
        <f t="shared" si="1"/>
        <v>7</v>
      </c>
    </row>
    <row r="10" spans="2:6">
      <c r="B10" s="344" t="s">
        <v>1381</v>
      </c>
      <c r="C10" s="295">
        <f t="shared" si="0"/>
        <v>8</v>
      </c>
      <c r="E10" s="344" t="s">
        <v>1381</v>
      </c>
      <c r="F10" s="295">
        <f t="shared" si="1"/>
        <v>8</v>
      </c>
    </row>
    <row r="11" spans="2:6">
      <c r="B11" s="344" t="s">
        <v>1382</v>
      </c>
      <c r="C11" s="295">
        <f t="shared" si="0"/>
        <v>9</v>
      </c>
      <c r="E11" s="344" t="s">
        <v>1382</v>
      </c>
      <c r="F11" s="295">
        <f t="shared" si="1"/>
        <v>9</v>
      </c>
    </row>
    <row r="12" spans="2:6">
      <c r="B12" s="344" t="s">
        <v>1383</v>
      </c>
      <c r="C12" s="295">
        <f t="shared" si="0"/>
        <v>10</v>
      </c>
      <c r="E12" s="344" t="s">
        <v>1383</v>
      </c>
      <c r="F12" s="295">
        <f t="shared" si="1"/>
        <v>10</v>
      </c>
    </row>
    <row r="13" spans="2:6">
      <c r="B13" s="344" t="s">
        <v>1384</v>
      </c>
      <c r="C13" s="295">
        <f t="shared" si="0"/>
        <v>11</v>
      </c>
      <c r="E13" s="344" t="s">
        <v>1384</v>
      </c>
      <c r="F13" s="295">
        <f t="shared" si="1"/>
        <v>11</v>
      </c>
    </row>
    <row r="14" spans="2:6">
      <c r="B14" s="344" t="s">
        <v>1385</v>
      </c>
      <c r="C14" s="295">
        <f t="shared" si="0"/>
        <v>12</v>
      </c>
      <c r="E14" s="344" t="s">
        <v>1385</v>
      </c>
      <c r="F14" s="295">
        <f t="shared" si="1"/>
        <v>12</v>
      </c>
    </row>
    <row r="15" spans="2:6">
      <c r="B15" s="344" t="s">
        <v>1386</v>
      </c>
      <c r="C15" s="295">
        <f t="shared" si="0"/>
        <v>13</v>
      </c>
      <c r="E15" s="344" t="s">
        <v>1386</v>
      </c>
      <c r="F15" s="295">
        <f t="shared" si="1"/>
        <v>13</v>
      </c>
    </row>
    <row r="16" spans="2:6">
      <c r="B16" s="344" t="s">
        <v>1387</v>
      </c>
      <c r="C16" s="295">
        <f t="shared" si="0"/>
        <v>14</v>
      </c>
      <c r="E16" s="344" t="s">
        <v>1387</v>
      </c>
      <c r="F16" s="295">
        <f t="shared" si="1"/>
        <v>14</v>
      </c>
    </row>
    <row r="17" spans="2:6">
      <c r="B17" s="344" t="s">
        <v>1388</v>
      </c>
      <c r="C17" s="295">
        <f t="shared" si="0"/>
        <v>15</v>
      </c>
      <c r="E17" s="344" t="s">
        <v>1388</v>
      </c>
      <c r="F17" s="295">
        <f t="shared" si="1"/>
        <v>15</v>
      </c>
    </row>
    <row r="18" spans="2:6">
      <c r="B18" s="344" t="s">
        <v>1389</v>
      </c>
      <c r="C18" s="295">
        <f t="shared" si="0"/>
        <v>16</v>
      </c>
      <c r="E18" s="344" t="s">
        <v>1389</v>
      </c>
      <c r="F18" s="295">
        <f t="shared" si="1"/>
        <v>16</v>
      </c>
    </row>
    <row r="19" spans="2:6">
      <c r="B19" s="344" t="s">
        <v>1390</v>
      </c>
      <c r="C19" s="295">
        <f t="shared" si="0"/>
        <v>17</v>
      </c>
      <c r="E19" s="344" t="s">
        <v>1390</v>
      </c>
      <c r="F19" s="295">
        <f t="shared" si="1"/>
        <v>17</v>
      </c>
    </row>
    <row r="20" spans="2:6">
      <c r="B20" s="344" t="s">
        <v>1391</v>
      </c>
      <c r="C20" s="295">
        <f t="shared" si="0"/>
        <v>18</v>
      </c>
      <c r="E20" s="344" t="s">
        <v>1391</v>
      </c>
      <c r="F20" s="295">
        <f t="shared" si="1"/>
        <v>18</v>
      </c>
    </row>
    <row r="21" spans="2:6">
      <c r="B21" s="344" t="s">
        <v>1392</v>
      </c>
      <c r="C21" s="295">
        <f t="shared" si="0"/>
        <v>19</v>
      </c>
      <c r="E21" s="344" t="s">
        <v>1392</v>
      </c>
      <c r="F21" s="295">
        <f t="shared" si="1"/>
        <v>19</v>
      </c>
    </row>
    <row r="22" spans="2:6">
      <c r="B22" s="344" t="s">
        <v>1393</v>
      </c>
      <c r="C22" s="295">
        <f t="shared" si="0"/>
        <v>20</v>
      </c>
      <c r="E22" s="344" t="s">
        <v>1393</v>
      </c>
      <c r="F22" s="295">
        <f t="shared" si="1"/>
        <v>20</v>
      </c>
    </row>
    <row r="23" spans="2:6">
      <c r="B23" s="344" t="s">
        <v>1394</v>
      </c>
      <c r="C23" s="295">
        <f t="shared" si="0"/>
        <v>21</v>
      </c>
      <c r="E23" s="344" t="s">
        <v>1394</v>
      </c>
      <c r="F23" s="295">
        <f t="shared" si="1"/>
        <v>21</v>
      </c>
    </row>
    <row r="24" spans="2:6">
      <c r="B24" s="344" t="s">
        <v>1395</v>
      </c>
      <c r="C24" s="295">
        <f t="shared" si="0"/>
        <v>22</v>
      </c>
      <c r="E24" s="344" t="s">
        <v>1395</v>
      </c>
      <c r="F24" s="295">
        <f t="shared" si="1"/>
        <v>22</v>
      </c>
    </row>
    <row r="25" spans="2:6">
      <c r="B25" s="344" t="s">
        <v>1396</v>
      </c>
      <c r="C25" s="295">
        <f t="shared" si="0"/>
        <v>23</v>
      </c>
      <c r="E25" s="344" t="s">
        <v>1396</v>
      </c>
      <c r="F25" s="295">
        <f t="shared" si="1"/>
        <v>23</v>
      </c>
    </row>
    <row r="26" spans="2:6">
      <c r="B26" s="344" t="s">
        <v>1397</v>
      </c>
      <c r="C26" s="295">
        <f t="shared" si="0"/>
        <v>24</v>
      </c>
      <c r="E26" s="344" t="s">
        <v>1397</v>
      </c>
      <c r="F26" s="295">
        <f t="shared" si="1"/>
        <v>24</v>
      </c>
    </row>
    <row r="27" spans="2:6">
      <c r="B27" s="344" t="s">
        <v>1398</v>
      </c>
      <c r="C27" s="295">
        <f t="shared" si="0"/>
        <v>25</v>
      </c>
      <c r="E27" s="344" t="s">
        <v>1398</v>
      </c>
      <c r="F27" s="295">
        <f t="shared" si="1"/>
        <v>25</v>
      </c>
    </row>
    <row r="28" spans="2:6">
      <c r="B28" s="344" t="s">
        <v>1399</v>
      </c>
      <c r="C28" s="295">
        <f t="shared" si="0"/>
        <v>26</v>
      </c>
      <c r="E28" s="344" t="s">
        <v>1399</v>
      </c>
      <c r="F28" s="295">
        <f t="shared" si="1"/>
        <v>26</v>
      </c>
    </row>
    <row r="29" spans="2:6">
      <c r="B29" s="344" t="s">
        <v>1400</v>
      </c>
      <c r="C29" s="295">
        <f t="shared" si="0"/>
        <v>27</v>
      </c>
      <c r="E29" s="344" t="s">
        <v>1400</v>
      </c>
      <c r="F29" s="295">
        <f t="shared" si="1"/>
        <v>27</v>
      </c>
    </row>
    <row r="30" spans="2:6">
      <c r="B30" s="344" t="s">
        <v>1401</v>
      </c>
      <c r="C30" s="295">
        <f t="shared" si="0"/>
        <v>28</v>
      </c>
      <c r="E30" s="344" t="s">
        <v>1401</v>
      </c>
      <c r="F30" s="295">
        <f t="shared" si="1"/>
        <v>28</v>
      </c>
    </row>
    <row r="31" spans="2:6">
      <c r="B31" s="344" t="s">
        <v>1402</v>
      </c>
      <c r="C31" s="295">
        <f t="shared" si="0"/>
        <v>29</v>
      </c>
      <c r="E31" s="344" t="s">
        <v>1402</v>
      </c>
      <c r="F31" s="295">
        <f t="shared" si="1"/>
        <v>29</v>
      </c>
    </row>
    <row r="32" spans="2:6">
      <c r="B32" s="344" t="s">
        <v>1403</v>
      </c>
      <c r="C32" s="295">
        <f t="shared" si="0"/>
        <v>30</v>
      </c>
      <c r="E32" s="344" t="s">
        <v>1403</v>
      </c>
      <c r="F32" s="295">
        <f t="shared" si="1"/>
        <v>30</v>
      </c>
    </row>
    <row r="33" spans="2:6">
      <c r="B33" s="344" t="s">
        <v>1404</v>
      </c>
      <c r="C33" s="295">
        <f t="shared" si="0"/>
        <v>31</v>
      </c>
      <c r="E33" s="344" t="s">
        <v>1404</v>
      </c>
      <c r="F33" s="295">
        <f t="shared" si="1"/>
        <v>31</v>
      </c>
    </row>
    <row r="34" spans="2:6">
      <c r="B34" s="344" t="s">
        <v>1405</v>
      </c>
      <c r="C34" s="295">
        <f t="shared" si="0"/>
        <v>32</v>
      </c>
      <c r="E34" s="344" t="s">
        <v>1405</v>
      </c>
      <c r="F34" s="295">
        <f t="shared" si="1"/>
        <v>32</v>
      </c>
    </row>
    <row r="35" spans="2:6">
      <c r="B35" s="344" t="s">
        <v>1406</v>
      </c>
      <c r="C35" s="295">
        <f t="shared" si="0"/>
        <v>33</v>
      </c>
      <c r="E35" s="344" t="s">
        <v>1406</v>
      </c>
      <c r="F35" s="295">
        <f t="shared" si="1"/>
        <v>33</v>
      </c>
    </row>
    <row r="36" spans="2:6">
      <c r="B36" s="344" t="s">
        <v>1407</v>
      </c>
      <c r="C36" s="295">
        <f t="shared" si="0"/>
        <v>34</v>
      </c>
      <c r="E36" s="344" t="s">
        <v>1407</v>
      </c>
      <c r="F36" s="295">
        <f t="shared" si="1"/>
        <v>34</v>
      </c>
    </row>
    <row r="37" spans="2:6">
      <c r="B37" s="344" t="s">
        <v>1408</v>
      </c>
      <c r="C37" s="295">
        <f t="shared" si="0"/>
        <v>35</v>
      </c>
      <c r="E37" s="344" t="s">
        <v>1408</v>
      </c>
      <c r="F37" s="295">
        <f t="shared" si="1"/>
        <v>35</v>
      </c>
    </row>
    <row r="38" spans="2:6">
      <c r="B38" s="344" t="s">
        <v>1409</v>
      </c>
      <c r="C38" s="295">
        <f t="shared" si="0"/>
        <v>36</v>
      </c>
      <c r="E38" s="344" t="s">
        <v>1409</v>
      </c>
      <c r="F38" s="295">
        <f t="shared" si="1"/>
        <v>36</v>
      </c>
    </row>
    <row r="39" spans="2:6">
      <c r="B39" s="344" t="s">
        <v>1410</v>
      </c>
      <c r="C39" s="295">
        <f t="shared" si="0"/>
        <v>37</v>
      </c>
      <c r="E39" s="344" t="s">
        <v>1410</v>
      </c>
      <c r="F39" s="295">
        <f t="shared" si="1"/>
        <v>37</v>
      </c>
    </row>
    <row r="40" spans="2:6">
      <c r="B40" s="344" t="s">
        <v>1411</v>
      </c>
      <c r="C40" s="295">
        <f t="shared" si="0"/>
        <v>38</v>
      </c>
      <c r="E40" s="344" t="s">
        <v>1411</v>
      </c>
      <c r="F40" s="295">
        <f t="shared" si="1"/>
        <v>38</v>
      </c>
    </row>
    <row r="41" spans="2:6">
      <c r="B41" s="344" t="s">
        <v>1412</v>
      </c>
      <c r="C41" s="295">
        <f t="shared" si="0"/>
        <v>39</v>
      </c>
      <c r="E41" s="344" t="s">
        <v>1412</v>
      </c>
      <c r="F41" s="295">
        <f t="shared" si="1"/>
        <v>39</v>
      </c>
    </row>
    <row r="42" spans="2:6">
      <c r="B42" s="344" t="s">
        <v>1413</v>
      </c>
      <c r="C42" s="295">
        <f t="shared" si="0"/>
        <v>40</v>
      </c>
      <c r="E42" s="344" t="s">
        <v>1413</v>
      </c>
      <c r="F42" s="295">
        <f t="shared" si="1"/>
        <v>40</v>
      </c>
    </row>
    <row r="43" spans="2:6">
      <c r="B43" s="344" t="s">
        <v>1414</v>
      </c>
      <c r="C43" s="295">
        <f t="shared" si="0"/>
        <v>41</v>
      </c>
      <c r="E43" s="344" t="s">
        <v>1414</v>
      </c>
      <c r="F43" s="295">
        <f t="shared" si="1"/>
        <v>41</v>
      </c>
    </row>
    <row r="44" spans="2:6">
      <c r="B44" s="344" t="s">
        <v>1415</v>
      </c>
      <c r="C44" s="295">
        <f t="shared" si="0"/>
        <v>42</v>
      </c>
      <c r="E44" s="344" t="s">
        <v>1415</v>
      </c>
      <c r="F44" s="295">
        <f t="shared" si="1"/>
        <v>42</v>
      </c>
    </row>
    <row r="45" spans="2:6">
      <c r="B45" s="344" t="s">
        <v>1416</v>
      </c>
      <c r="C45" s="295">
        <f t="shared" si="0"/>
        <v>43</v>
      </c>
      <c r="E45" s="344" t="s">
        <v>1416</v>
      </c>
      <c r="F45" s="295">
        <f t="shared" si="1"/>
        <v>43</v>
      </c>
    </row>
    <row r="46" spans="2:6">
      <c r="B46" s="344" t="s">
        <v>1417</v>
      </c>
      <c r="C46" s="295">
        <f t="shared" si="0"/>
        <v>44</v>
      </c>
      <c r="E46" s="344" t="s">
        <v>1417</v>
      </c>
      <c r="F46" s="295">
        <f t="shared" si="1"/>
        <v>44</v>
      </c>
    </row>
    <row r="47" spans="2:6">
      <c r="B47" s="344" t="s">
        <v>1418</v>
      </c>
      <c r="C47" s="295">
        <f t="shared" si="0"/>
        <v>45</v>
      </c>
      <c r="E47" s="344" t="s">
        <v>1418</v>
      </c>
      <c r="F47" s="295">
        <f t="shared" si="1"/>
        <v>45</v>
      </c>
    </row>
    <row r="48" spans="2:6">
      <c r="B48" s="344" t="s">
        <v>1419</v>
      </c>
      <c r="C48" s="295">
        <f t="shared" si="0"/>
        <v>46</v>
      </c>
      <c r="E48" s="344" t="s">
        <v>1419</v>
      </c>
      <c r="F48" s="295">
        <f t="shared" si="1"/>
        <v>46</v>
      </c>
    </row>
    <row r="49" spans="2:6">
      <c r="B49" s="344" t="s">
        <v>1420</v>
      </c>
      <c r="C49" s="295">
        <f t="shared" si="0"/>
        <v>47</v>
      </c>
      <c r="E49" s="344" t="s">
        <v>1420</v>
      </c>
      <c r="F49" s="295">
        <f t="shared" si="1"/>
        <v>47</v>
      </c>
    </row>
    <row r="50" spans="2:6">
      <c r="B50" s="344" t="s">
        <v>1421</v>
      </c>
      <c r="C50" s="295">
        <f t="shared" si="0"/>
        <v>48</v>
      </c>
      <c r="E50" s="344" t="s">
        <v>1421</v>
      </c>
      <c r="F50" s="295">
        <f t="shared" si="1"/>
        <v>48</v>
      </c>
    </row>
    <row r="51" spans="2:6">
      <c r="B51" s="344" t="s">
        <v>1422</v>
      </c>
      <c r="C51" s="295">
        <f t="shared" si="0"/>
        <v>49</v>
      </c>
      <c r="E51" s="344" t="s">
        <v>1422</v>
      </c>
      <c r="F51" s="295">
        <f t="shared" si="1"/>
        <v>49</v>
      </c>
    </row>
    <row r="52" spans="2:6">
      <c r="B52" s="344" t="s">
        <v>1423</v>
      </c>
      <c r="C52" s="295">
        <f t="shared" si="0"/>
        <v>50</v>
      </c>
      <c r="E52" s="344" t="s">
        <v>1423</v>
      </c>
      <c r="F52" s="295">
        <f t="shared" si="1"/>
        <v>50</v>
      </c>
    </row>
    <row r="53" spans="2:6">
      <c r="B53" s="344" t="s">
        <v>1424</v>
      </c>
      <c r="C53" s="295">
        <f t="shared" si="0"/>
        <v>51</v>
      </c>
      <c r="E53" s="344" t="s">
        <v>1424</v>
      </c>
      <c r="F53" s="295">
        <f t="shared" si="1"/>
        <v>51</v>
      </c>
    </row>
    <row r="54" spans="2:6">
      <c r="B54" s="344" t="s">
        <v>1425</v>
      </c>
      <c r="C54" s="295">
        <f t="shared" si="0"/>
        <v>52</v>
      </c>
      <c r="E54" s="344" t="s">
        <v>1425</v>
      </c>
      <c r="F54" s="295">
        <f t="shared" si="1"/>
        <v>52</v>
      </c>
    </row>
    <row r="55" spans="2:6">
      <c r="B55" s="344" t="s">
        <v>1426</v>
      </c>
      <c r="C55" s="295">
        <f t="shared" si="0"/>
        <v>53</v>
      </c>
      <c r="E55" s="344" t="s">
        <v>1426</v>
      </c>
      <c r="F55" s="295">
        <f t="shared" si="1"/>
        <v>53</v>
      </c>
    </row>
    <row r="56" spans="2:6">
      <c r="B56" s="344" t="s">
        <v>1427</v>
      </c>
      <c r="C56" s="295">
        <f t="shared" si="0"/>
        <v>54</v>
      </c>
      <c r="E56" s="344" t="s">
        <v>1427</v>
      </c>
      <c r="F56" s="295">
        <f t="shared" si="1"/>
        <v>54</v>
      </c>
    </row>
    <row r="57" spans="2:6">
      <c r="B57" s="344" t="s">
        <v>1428</v>
      </c>
      <c r="C57" s="295">
        <f t="shared" si="0"/>
        <v>55</v>
      </c>
      <c r="E57" s="344" t="s">
        <v>1428</v>
      </c>
      <c r="F57" s="295">
        <f t="shared" si="1"/>
        <v>55</v>
      </c>
    </row>
    <row r="58" spans="2:6">
      <c r="B58" s="344" t="s">
        <v>1429</v>
      </c>
      <c r="C58" s="295">
        <f t="shared" si="0"/>
        <v>56</v>
      </c>
      <c r="E58" s="344" t="s">
        <v>1429</v>
      </c>
      <c r="F58" s="295">
        <f t="shared" si="1"/>
        <v>56</v>
      </c>
    </row>
    <row r="59" spans="2:6">
      <c r="B59" s="344" t="s">
        <v>1430</v>
      </c>
      <c r="C59" s="295">
        <f t="shared" si="0"/>
        <v>57</v>
      </c>
      <c r="E59" s="344" t="s">
        <v>1430</v>
      </c>
      <c r="F59" s="295">
        <f t="shared" si="1"/>
        <v>57</v>
      </c>
    </row>
    <row r="60" spans="2:6">
      <c r="B60" s="344" t="s">
        <v>1431</v>
      </c>
      <c r="C60" s="295">
        <f t="shared" si="0"/>
        <v>58</v>
      </c>
      <c r="E60" s="344" t="s">
        <v>1431</v>
      </c>
      <c r="F60" s="295">
        <f t="shared" si="1"/>
        <v>58</v>
      </c>
    </row>
    <row r="61" spans="2:6">
      <c r="B61" s="344" t="s">
        <v>1432</v>
      </c>
      <c r="C61" s="295">
        <f t="shared" si="0"/>
        <v>59</v>
      </c>
      <c r="E61" s="344" t="s">
        <v>1432</v>
      </c>
      <c r="F61" s="295">
        <f t="shared" si="1"/>
        <v>59</v>
      </c>
    </row>
    <row r="62" spans="2:6">
      <c r="B62" s="344" t="s">
        <v>1433</v>
      </c>
      <c r="C62" s="295">
        <f t="shared" si="0"/>
        <v>60</v>
      </c>
      <c r="E62" s="344" t="s">
        <v>1433</v>
      </c>
      <c r="F62" s="295">
        <f t="shared" si="1"/>
        <v>60</v>
      </c>
    </row>
    <row r="63" spans="2:6">
      <c r="B63" s="344" t="s">
        <v>1434</v>
      </c>
      <c r="C63" s="295">
        <f t="shared" si="0"/>
        <v>61</v>
      </c>
      <c r="E63" s="132" t="s">
        <v>1434</v>
      </c>
      <c r="F63" s="295">
        <f t="shared" si="1"/>
        <v>61</v>
      </c>
    </row>
    <row r="64" spans="2:6">
      <c r="B64" s="344" t="s">
        <v>1435</v>
      </c>
      <c r="C64" s="295">
        <f t="shared" si="0"/>
        <v>62</v>
      </c>
      <c r="E64" s="132" t="s">
        <v>1435</v>
      </c>
      <c r="F64" s="295">
        <f t="shared" si="1"/>
        <v>62</v>
      </c>
    </row>
    <row r="65" spans="2:6">
      <c r="B65" s="344" t="s">
        <v>1436</v>
      </c>
      <c r="C65" s="295">
        <f t="shared" si="0"/>
        <v>63</v>
      </c>
      <c r="E65" s="344" t="s">
        <v>1436</v>
      </c>
      <c r="F65" s="295">
        <f t="shared" si="1"/>
        <v>63</v>
      </c>
    </row>
    <row r="66" spans="2:6">
      <c r="B66" s="344" t="s">
        <v>1437</v>
      </c>
      <c r="C66" s="295">
        <f t="shared" si="0"/>
        <v>64</v>
      </c>
      <c r="E66" s="344" t="s">
        <v>1437</v>
      </c>
      <c r="F66" s="295">
        <f t="shared" si="1"/>
        <v>64</v>
      </c>
    </row>
    <row r="67" spans="2:6">
      <c r="B67" s="344" t="s">
        <v>1438</v>
      </c>
      <c r="C67" s="295">
        <f t="shared" si="0"/>
        <v>65</v>
      </c>
      <c r="E67" s="344" t="s">
        <v>1438</v>
      </c>
      <c r="F67" s="295">
        <f t="shared" si="1"/>
        <v>65</v>
      </c>
    </row>
    <row r="68" spans="2:6">
      <c r="B68" s="344" t="s">
        <v>1439</v>
      </c>
      <c r="C68" s="295">
        <f t="shared" ref="C68:C131" si="2">IFERROR(MATCH($B68,$E$3:$E$3000,0),"НЕ НАЙДЕН")</f>
        <v>66</v>
      </c>
      <c r="E68" s="344" t="s">
        <v>1439</v>
      </c>
      <c r="F68" s="295">
        <f t="shared" ref="F68:F131" si="3">IFERROR(MATCH($E68,$B$3:$B$3003,0),"НЕ НАЙДЕН")</f>
        <v>66</v>
      </c>
    </row>
    <row r="69" spans="2:6">
      <c r="B69" s="344" t="s">
        <v>1440</v>
      </c>
      <c r="C69" s="295">
        <f t="shared" si="2"/>
        <v>67</v>
      </c>
      <c r="E69" s="344" t="s">
        <v>1440</v>
      </c>
      <c r="F69" s="295">
        <f t="shared" si="3"/>
        <v>67</v>
      </c>
    </row>
    <row r="70" spans="2:6">
      <c r="B70" s="344" t="s">
        <v>1441</v>
      </c>
      <c r="C70" s="295">
        <f t="shared" si="2"/>
        <v>68</v>
      </c>
      <c r="E70" s="344" t="s">
        <v>1441</v>
      </c>
      <c r="F70" s="295">
        <f t="shared" si="3"/>
        <v>68</v>
      </c>
    </row>
    <row r="71" spans="2:6">
      <c r="B71" s="344" t="s">
        <v>1442</v>
      </c>
      <c r="C71" s="295">
        <f t="shared" si="2"/>
        <v>69</v>
      </c>
      <c r="E71" s="344" t="s">
        <v>1442</v>
      </c>
      <c r="F71" s="295">
        <f t="shared" si="3"/>
        <v>69</v>
      </c>
    </row>
    <row r="72" spans="2:6">
      <c r="B72" s="344" t="s">
        <v>1443</v>
      </c>
      <c r="C72" s="295">
        <f t="shared" si="2"/>
        <v>70</v>
      </c>
      <c r="E72" s="344" t="s">
        <v>1443</v>
      </c>
      <c r="F72" s="295">
        <f t="shared" si="3"/>
        <v>70</v>
      </c>
    </row>
    <row r="73" spans="2:6">
      <c r="B73" s="344" t="s">
        <v>1444</v>
      </c>
      <c r="C73" s="295">
        <f t="shared" si="2"/>
        <v>71</v>
      </c>
      <c r="E73" s="344" t="s">
        <v>1444</v>
      </c>
      <c r="F73" s="295">
        <f t="shared" si="3"/>
        <v>71</v>
      </c>
    </row>
    <row r="74" spans="2:6">
      <c r="B74" s="344" t="s">
        <v>1445</v>
      </c>
      <c r="C74" s="295">
        <f t="shared" si="2"/>
        <v>72</v>
      </c>
      <c r="E74" s="344" t="s">
        <v>1445</v>
      </c>
      <c r="F74" s="295">
        <f t="shared" si="3"/>
        <v>72</v>
      </c>
    </row>
    <row r="75" spans="2:6">
      <c r="B75" s="344" t="s">
        <v>1857</v>
      </c>
      <c r="C75" s="295">
        <f t="shared" si="2"/>
        <v>73</v>
      </c>
      <c r="E75" s="344" t="s">
        <v>1857</v>
      </c>
      <c r="F75" s="295">
        <f t="shared" si="3"/>
        <v>73</v>
      </c>
    </row>
    <row r="76" spans="2:6">
      <c r="B76" s="344" t="s">
        <v>1446</v>
      </c>
      <c r="C76" s="295">
        <f t="shared" si="2"/>
        <v>74</v>
      </c>
      <c r="E76" s="344" t="s">
        <v>1446</v>
      </c>
      <c r="F76" s="295">
        <f t="shared" si="3"/>
        <v>74</v>
      </c>
    </row>
    <row r="77" spans="2:6">
      <c r="B77" s="344" t="s">
        <v>1447</v>
      </c>
      <c r="C77" s="295">
        <f t="shared" si="2"/>
        <v>75</v>
      </c>
      <c r="E77" s="344" t="s">
        <v>1447</v>
      </c>
      <c r="F77" s="295">
        <f t="shared" si="3"/>
        <v>75</v>
      </c>
    </row>
    <row r="78" spans="2:6">
      <c r="B78" s="344" t="s">
        <v>1448</v>
      </c>
      <c r="C78" s="295">
        <f t="shared" si="2"/>
        <v>76</v>
      </c>
      <c r="E78" s="344" t="s">
        <v>1448</v>
      </c>
      <c r="F78" s="295">
        <f t="shared" si="3"/>
        <v>76</v>
      </c>
    </row>
    <row r="79" spans="2:6">
      <c r="B79" s="344" t="s">
        <v>1449</v>
      </c>
      <c r="C79" s="295">
        <f t="shared" si="2"/>
        <v>77</v>
      </c>
      <c r="E79" s="344" t="s">
        <v>1449</v>
      </c>
      <c r="F79" s="295">
        <f t="shared" si="3"/>
        <v>77</v>
      </c>
    </row>
    <row r="80" spans="2:6">
      <c r="B80" s="344" t="s">
        <v>1450</v>
      </c>
      <c r="C80" s="295">
        <f t="shared" si="2"/>
        <v>78</v>
      </c>
      <c r="E80" s="344" t="s">
        <v>1450</v>
      </c>
      <c r="F80" s="295">
        <f t="shared" si="3"/>
        <v>78</v>
      </c>
    </row>
    <row r="81" spans="2:6">
      <c r="B81" s="344" t="s">
        <v>1451</v>
      </c>
      <c r="C81" s="295">
        <f t="shared" si="2"/>
        <v>79</v>
      </c>
      <c r="E81" s="344" t="s">
        <v>1451</v>
      </c>
      <c r="F81" s="295">
        <f t="shared" si="3"/>
        <v>79</v>
      </c>
    </row>
    <row r="82" spans="2:6">
      <c r="B82" s="344" t="s">
        <v>1452</v>
      </c>
      <c r="C82" s="295">
        <f t="shared" si="2"/>
        <v>80</v>
      </c>
      <c r="E82" s="344" t="s">
        <v>1452</v>
      </c>
      <c r="F82" s="295">
        <f t="shared" si="3"/>
        <v>80</v>
      </c>
    </row>
    <row r="83" spans="2:6">
      <c r="B83" s="344" t="s">
        <v>1453</v>
      </c>
      <c r="C83" s="295">
        <f t="shared" si="2"/>
        <v>81</v>
      </c>
      <c r="E83" s="344" t="s">
        <v>1453</v>
      </c>
      <c r="F83" s="295">
        <f t="shared" si="3"/>
        <v>81</v>
      </c>
    </row>
    <row r="84" spans="2:6">
      <c r="B84" s="344" t="s">
        <v>1454</v>
      </c>
      <c r="C84" s="295">
        <f t="shared" si="2"/>
        <v>82</v>
      </c>
      <c r="E84" s="344" t="s">
        <v>1454</v>
      </c>
      <c r="F84" s="295">
        <f t="shared" si="3"/>
        <v>82</v>
      </c>
    </row>
    <row r="85" spans="2:6">
      <c r="B85" s="344" t="s">
        <v>1455</v>
      </c>
      <c r="C85" s="295">
        <f t="shared" si="2"/>
        <v>83</v>
      </c>
      <c r="E85" s="344" t="s">
        <v>1455</v>
      </c>
      <c r="F85" s="295">
        <f t="shared" si="3"/>
        <v>83</v>
      </c>
    </row>
    <row r="86" spans="2:6">
      <c r="B86" s="344" t="s">
        <v>1456</v>
      </c>
      <c r="C86" s="295">
        <f t="shared" si="2"/>
        <v>84</v>
      </c>
      <c r="E86" s="344" t="s">
        <v>1456</v>
      </c>
      <c r="F86" s="295">
        <f t="shared" si="3"/>
        <v>84</v>
      </c>
    </row>
    <row r="87" spans="2:6">
      <c r="B87" s="344" t="s">
        <v>1457</v>
      </c>
      <c r="C87" s="295">
        <f t="shared" si="2"/>
        <v>85</v>
      </c>
      <c r="E87" s="344" t="s">
        <v>1457</v>
      </c>
      <c r="F87" s="295">
        <f t="shared" si="3"/>
        <v>85</v>
      </c>
    </row>
    <row r="88" spans="2:6">
      <c r="B88" s="344" t="s">
        <v>1458</v>
      </c>
      <c r="C88" s="295">
        <f t="shared" si="2"/>
        <v>86</v>
      </c>
      <c r="E88" s="344" t="s">
        <v>1458</v>
      </c>
      <c r="F88" s="295">
        <f t="shared" si="3"/>
        <v>86</v>
      </c>
    </row>
    <row r="89" spans="2:6">
      <c r="B89" s="344" t="s">
        <v>1459</v>
      </c>
      <c r="C89" s="295">
        <f t="shared" si="2"/>
        <v>87</v>
      </c>
      <c r="E89" s="344" t="s">
        <v>1459</v>
      </c>
      <c r="F89" s="295">
        <f t="shared" si="3"/>
        <v>87</v>
      </c>
    </row>
    <row r="90" spans="2:6">
      <c r="B90" s="344" t="s">
        <v>1460</v>
      </c>
      <c r="C90" s="295">
        <f t="shared" si="2"/>
        <v>88</v>
      </c>
      <c r="E90" s="344" t="s">
        <v>1460</v>
      </c>
      <c r="F90" s="295">
        <f t="shared" si="3"/>
        <v>88</v>
      </c>
    </row>
    <row r="91" spans="2:6">
      <c r="B91" s="344" t="s">
        <v>1461</v>
      </c>
      <c r="C91" s="295">
        <f t="shared" si="2"/>
        <v>89</v>
      </c>
      <c r="E91" s="344" t="s">
        <v>1461</v>
      </c>
      <c r="F91" s="295">
        <f t="shared" si="3"/>
        <v>89</v>
      </c>
    </row>
    <row r="92" spans="2:6">
      <c r="B92" s="344" t="s">
        <v>1462</v>
      </c>
      <c r="C92" s="295">
        <f t="shared" si="2"/>
        <v>90</v>
      </c>
      <c r="E92" s="344" t="s">
        <v>1462</v>
      </c>
      <c r="F92" s="295">
        <f t="shared" si="3"/>
        <v>90</v>
      </c>
    </row>
    <row r="93" spans="2:6">
      <c r="B93" s="344" t="s">
        <v>1463</v>
      </c>
      <c r="C93" s="295">
        <f t="shared" si="2"/>
        <v>91</v>
      </c>
      <c r="E93" s="344" t="s">
        <v>1463</v>
      </c>
      <c r="F93" s="295">
        <f t="shared" si="3"/>
        <v>91</v>
      </c>
    </row>
    <row r="94" spans="2:6">
      <c r="B94" s="344" t="s">
        <v>1464</v>
      </c>
      <c r="C94" s="295">
        <f t="shared" si="2"/>
        <v>92</v>
      </c>
      <c r="E94" s="344" t="s">
        <v>1464</v>
      </c>
      <c r="F94" s="295">
        <f t="shared" si="3"/>
        <v>92</v>
      </c>
    </row>
    <row r="95" spans="2:6">
      <c r="B95" s="344" t="s">
        <v>1465</v>
      </c>
      <c r="C95" s="295">
        <f t="shared" si="2"/>
        <v>93</v>
      </c>
      <c r="E95" s="344" t="s">
        <v>1465</v>
      </c>
      <c r="F95" s="295">
        <f t="shared" si="3"/>
        <v>93</v>
      </c>
    </row>
    <row r="96" spans="2:6">
      <c r="B96" s="344" t="s">
        <v>1466</v>
      </c>
      <c r="C96" s="295">
        <f t="shared" si="2"/>
        <v>94</v>
      </c>
      <c r="E96" s="344" t="s">
        <v>1466</v>
      </c>
      <c r="F96" s="295">
        <f t="shared" si="3"/>
        <v>94</v>
      </c>
    </row>
    <row r="97" spans="2:6">
      <c r="B97" s="344" t="s">
        <v>1467</v>
      </c>
      <c r="C97" s="295">
        <f t="shared" si="2"/>
        <v>95</v>
      </c>
      <c r="E97" s="344" t="s">
        <v>1467</v>
      </c>
      <c r="F97" s="295">
        <f t="shared" si="3"/>
        <v>95</v>
      </c>
    </row>
    <row r="98" spans="2:6">
      <c r="B98" s="344" t="s">
        <v>1468</v>
      </c>
      <c r="C98" s="295">
        <f t="shared" si="2"/>
        <v>96</v>
      </c>
      <c r="E98" s="344" t="s">
        <v>1468</v>
      </c>
      <c r="F98" s="295">
        <f t="shared" si="3"/>
        <v>96</v>
      </c>
    </row>
    <row r="99" spans="2:6">
      <c r="B99" s="344" t="s">
        <v>1469</v>
      </c>
      <c r="C99" s="295">
        <f t="shared" si="2"/>
        <v>97</v>
      </c>
      <c r="E99" s="344" t="s">
        <v>1469</v>
      </c>
      <c r="F99" s="295">
        <f t="shared" si="3"/>
        <v>97</v>
      </c>
    </row>
    <row r="100" spans="2:6">
      <c r="B100" s="344" t="s">
        <v>1470</v>
      </c>
      <c r="C100" s="295">
        <f t="shared" si="2"/>
        <v>98</v>
      </c>
      <c r="E100" s="344" t="s">
        <v>1470</v>
      </c>
      <c r="F100" s="295">
        <f t="shared" si="3"/>
        <v>98</v>
      </c>
    </row>
    <row r="101" spans="2:6">
      <c r="B101" s="344" t="s">
        <v>1858</v>
      </c>
      <c r="C101" s="295">
        <f t="shared" si="2"/>
        <v>99</v>
      </c>
      <c r="E101" s="344" t="s">
        <v>1858</v>
      </c>
      <c r="F101" s="295">
        <f t="shared" si="3"/>
        <v>99</v>
      </c>
    </row>
    <row r="102" spans="2:6">
      <c r="B102" s="344" t="s">
        <v>1471</v>
      </c>
      <c r="C102" s="295" t="str">
        <f t="shared" si="2"/>
        <v>НЕ НАЙДЕН</v>
      </c>
      <c r="E102" s="344" t="s">
        <v>1859</v>
      </c>
      <c r="F102" s="295" t="str">
        <f t="shared" si="3"/>
        <v>НЕ НАЙДЕН</v>
      </c>
    </row>
    <row r="103" spans="2:6">
      <c r="B103" s="344" t="s">
        <v>1472</v>
      </c>
      <c r="C103" s="295">
        <f t="shared" si="2"/>
        <v>101</v>
      </c>
      <c r="E103" s="344" t="s">
        <v>1472</v>
      </c>
      <c r="F103" s="295">
        <f t="shared" si="3"/>
        <v>101</v>
      </c>
    </row>
    <row r="104" spans="2:6">
      <c r="B104" s="344" t="s">
        <v>1473</v>
      </c>
      <c r="C104" s="295">
        <f t="shared" si="2"/>
        <v>102</v>
      </c>
      <c r="E104" s="344" t="s">
        <v>1473</v>
      </c>
      <c r="F104" s="295">
        <f t="shared" si="3"/>
        <v>102</v>
      </c>
    </row>
    <row r="105" spans="2:6">
      <c r="B105" s="344" t="s">
        <v>1474</v>
      </c>
      <c r="C105" s="295">
        <f t="shared" si="2"/>
        <v>103</v>
      </c>
      <c r="E105" s="344" t="s">
        <v>1474</v>
      </c>
      <c r="F105" s="295">
        <f t="shared" si="3"/>
        <v>103</v>
      </c>
    </row>
    <row r="106" spans="2:6">
      <c r="B106" s="344" t="s">
        <v>1475</v>
      </c>
      <c r="C106" s="295">
        <f t="shared" si="2"/>
        <v>104</v>
      </c>
      <c r="E106" s="344" t="s">
        <v>1475</v>
      </c>
      <c r="F106" s="295">
        <f t="shared" si="3"/>
        <v>104</v>
      </c>
    </row>
    <row r="107" spans="2:6">
      <c r="B107" s="344" t="s">
        <v>1476</v>
      </c>
      <c r="C107" s="295">
        <f t="shared" si="2"/>
        <v>105</v>
      </c>
      <c r="E107" s="344" t="s">
        <v>1476</v>
      </c>
      <c r="F107" s="295">
        <f t="shared" si="3"/>
        <v>105</v>
      </c>
    </row>
    <row r="108" spans="2:6">
      <c r="B108" s="344" t="s">
        <v>1477</v>
      </c>
      <c r="C108" s="295">
        <f t="shared" si="2"/>
        <v>106</v>
      </c>
      <c r="E108" s="344" t="s">
        <v>1477</v>
      </c>
      <c r="F108" s="295">
        <f t="shared" si="3"/>
        <v>106</v>
      </c>
    </row>
    <row r="109" spans="2:6">
      <c r="B109" s="344" t="s">
        <v>1478</v>
      </c>
      <c r="C109" s="295">
        <f t="shared" si="2"/>
        <v>107</v>
      </c>
      <c r="E109" s="344" t="s">
        <v>1478</v>
      </c>
      <c r="F109" s="295">
        <f t="shared" si="3"/>
        <v>107</v>
      </c>
    </row>
    <row r="110" spans="2:6">
      <c r="B110" s="344" t="s">
        <v>1479</v>
      </c>
      <c r="C110" s="295">
        <f t="shared" si="2"/>
        <v>108</v>
      </c>
      <c r="E110" s="344" t="s">
        <v>1479</v>
      </c>
      <c r="F110" s="295">
        <f t="shared" si="3"/>
        <v>108</v>
      </c>
    </row>
    <row r="111" spans="2:6">
      <c r="B111" s="344" t="s">
        <v>1480</v>
      </c>
      <c r="C111" s="295">
        <f t="shared" si="2"/>
        <v>109</v>
      </c>
      <c r="E111" s="344" t="s">
        <v>1480</v>
      </c>
      <c r="F111" s="295">
        <f t="shared" si="3"/>
        <v>109</v>
      </c>
    </row>
    <row r="112" spans="2:6">
      <c r="B112" s="344" t="s">
        <v>1481</v>
      </c>
      <c r="C112" s="295">
        <f t="shared" si="2"/>
        <v>110</v>
      </c>
      <c r="E112" s="344" t="s">
        <v>1481</v>
      </c>
      <c r="F112" s="295">
        <f t="shared" si="3"/>
        <v>110</v>
      </c>
    </row>
    <row r="113" spans="2:6">
      <c r="B113" s="344" t="s">
        <v>1482</v>
      </c>
      <c r="C113" s="295">
        <f t="shared" si="2"/>
        <v>111</v>
      </c>
      <c r="E113" s="344" t="s">
        <v>1482</v>
      </c>
      <c r="F113" s="295">
        <f t="shared" si="3"/>
        <v>111</v>
      </c>
    </row>
    <row r="114" spans="2:6">
      <c r="B114" s="344" t="s">
        <v>1483</v>
      </c>
      <c r="C114" s="295">
        <f t="shared" si="2"/>
        <v>112</v>
      </c>
      <c r="E114" s="344" t="s">
        <v>1483</v>
      </c>
      <c r="F114" s="295">
        <f t="shared" si="3"/>
        <v>112</v>
      </c>
    </row>
    <row r="115" spans="2:6">
      <c r="B115" s="344" t="s">
        <v>1860</v>
      </c>
      <c r="C115" s="295">
        <f t="shared" si="2"/>
        <v>113</v>
      </c>
      <c r="E115" s="344" t="s">
        <v>1860</v>
      </c>
      <c r="F115" s="295">
        <f t="shared" si="3"/>
        <v>113</v>
      </c>
    </row>
    <row r="116" spans="2:6">
      <c r="B116" s="344" t="s">
        <v>1484</v>
      </c>
      <c r="C116" s="295">
        <f t="shared" si="2"/>
        <v>114</v>
      </c>
      <c r="E116" s="344" t="s">
        <v>1484</v>
      </c>
      <c r="F116" s="295">
        <f t="shared" si="3"/>
        <v>114</v>
      </c>
    </row>
    <row r="117" spans="2:6">
      <c r="B117" s="344" t="s">
        <v>1485</v>
      </c>
      <c r="C117" s="295">
        <f t="shared" si="2"/>
        <v>115</v>
      </c>
      <c r="E117" s="344" t="s">
        <v>1485</v>
      </c>
      <c r="F117" s="295">
        <f t="shared" si="3"/>
        <v>115</v>
      </c>
    </row>
    <row r="118" spans="2:6">
      <c r="B118" s="344" t="s">
        <v>1486</v>
      </c>
      <c r="C118" s="295">
        <f t="shared" si="2"/>
        <v>116</v>
      </c>
      <c r="E118" s="344" t="s">
        <v>1486</v>
      </c>
      <c r="F118" s="295">
        <f t="shared" si="3"/>
        <v>116</v>
      </c>
    </row>
    <row r="119" spans="2:6">
      <c r="B119" s="344" t="s">
        <v>1487</v>
      </c>
      <c r="C119" s="295">
        <f t="shared" si="2"/>
        <v>117</v>
      </c>
      <c r="E119" s="344" t="s">
        <v>1487</v>
      </c>
      <c r="F119" s="295">
        <f t="shared" si="3"/>
        <v>117</v>
      </c>
    </row>
    <row r="120" spans="2:6">
      <c r="B120" s="344" t="s">
        <v>1488</v>
      </c>
      <c r="C120" s="295">
        <f t="shared" si="2"/>
        <v>118</v>
      </c>
      <c r="E120" s="344" t="s">
        <v>1488</v>
      </c>
      <c r="F120" s="295">
        <f t="shared" si="3"/>
        <v>118</v>
      </c>
    </row>
    <row r="121" spans="2:6">
      <c r="B121" s="344" t="s">
        <v>1489</v>
      </c>
      <c r="C121" s="295">
        <f t="shared" si="2"/>
        <v>119</v>
      </c>
      <c r="E121" s="344" t="s">
        <v>1489</v>
      </c>
      <c r="F121" s="295">
        <f t="shared" si="3"/>
        <v>119</v>
      </c>
    </row>
    <row r="122" spans="2:6">
      <c r="B122" s="344" t="s">
        <v>1490</v>
      </c>
      <c r="C122" s="295">
        <f t="shared" si="2"/>
        <v>120</v>
      </c>
      <c r="E122" s="344" t="s">
        <v>1490</v>
      </c>
      <c r="F122" s="295">
        <f t="shared" si="3"/>
        <v>120</v>
      </c>
    </row>
    <row r="123" spans="2:6">
      <c r="B123" s="344" t="s">
        <v>1491</v>
      </c>
      <c r="C123" s="295">
        <f t="shared" si="2"/>
        <v>121</v>
      </c>
      <c r="E123" s="344" t="s">
        <v>1491</v>
      </c>
      <c r="F123" s="295">
        <f t="shared" si="3"/>
        <v>121</v>
      </c>
    </row>
    <row r="124" spans="2:6">
      <c r="B124" s="344" t="s">
        <v>1492</v>
      </c>
      <c r="C124" s="295">
        <f t="shared" si="2"/>
        <v>122</v>
      </c>
      <c r="E124" s="344" t="s">
        <v>1492</v>
      </c>
      <c r="F124" s="295">
        <f t="shared" si="3"/>
        <v>122</v>
      </c>
    </row>
    <row r="125" spans="2:6">
      <c r="B125" s="344" t="s">
        <v>1493</v>
      </c>
      <c r="C125" s="295">
        <f t="shared" si="2"/>
        <v>123</v>
      </c>
      <c r="E125" s="344" t="s">
        <v>1493</v>
      </c>
      <c r="F125" s="295">
        <f t="shared" si="3"/>
        <v>123</v>
      </c>
    </row>
    <row r="126" spans="2:6">
      <c r="B126" s="344" t="s">
        <v>1494</v>
      </c>
      <c r="C126" s="295">
        <f t="shared" si="2"/>
        <v>124</v>
      </c>
      <c r="E126" s="344" t="s">
        <v>1494</v>
      </c>
      <c r="F126" s="295">
        <f t="shared" si="3"/>
        <v>124</v>
      </c>
    </row>
    <row r="127" spans="2:6">
      <c r="B127" s="344" t="s">
        <v>1495</v>
      </c>
      <c r="C127" s="295">
        <f t="shared" si="2"/>
        <v>125</v>
      </c>
      <c r="E127" s="344" t="s">
        <v>1495</v>
      </c>
      <c r="F127" s="295">
        <f t="shared" si="3"/>
        <v>125</v>
      </c>
    </row>
    <row r="128" spans="2:6">
      <c r="B128" s="344" t="s">
        <v>1496</v>
      </c>
      <c r="C128" s="295">
        <f t="shared" si="2"/>
        <v>126</v>
      </c>
      <c r="E128" s="344" t="s">
        <v>1496</v>
      </c>
      <c r="F128" s="295">
        <f t="shared" si="3"/>
        <v>126</v>
      </c>
    </row>
    <row r="129" spans="2:6">
      <c r="B129" s="344" t="s">
        <v>1497</v>
      </c>
      <c r="C129" s="295">
        <f t="shared" si="2"/>
        <v>127</v>
      </c>
      <c r="E129" s="344" t="s">
        <v>1497</v>
      </c>
      <c r="F129" s="295">
        <f t="shared" si="3"/>
        <v>127</v>
      </c>
    </row>
    <row r="130" spans="2:6">
      <c r="B130" s="344" t="s">
        <v>1498</v>
      </c>
      <c r="C130" s="295">
        <f t="shared" si="2"/>
        <v>128</v>
      </c>
      <c r="E130" s="344" t="s">
        <v>1498</v>
      </c>
      <c r="F130" s="295">
        <f t="shared" si="3"/>
        <v>128</v>
      </c>
    </row>
    <row r="131" spans="2:6">
      <c r="B131" s="344" t="s">
        <v>1499</v>
      </c>
      <c r="C131" s="295">
        <f t="shared" si="2"/>
        <v>129</v>
      </c>
      <c r="E131" s="344" t="s">
        <v>1499</v>
      </c>
      <c r="F131" s="295">
        <f t="shared" si="3"/>
        <v>129</v>
      </c>
    </row>
    <row r="132" spans="2:6">
      <c r="B132" s="344" t="s">
        <v>1500</v>
      </c>
      <c r="C132" s="295">
        <f t="shared" ref="C132:C195" si="4">IFERROR(MATCH($B132,$E$3:$E$3000,0),"НЕ НАЙДЕН")</f>
        <v>130</v>
      </c>
      <c r="E132" s="344" t="s">
        <v>1500</v>
      </c>
      <c r="F132" s="295">
        <f t="shared" ref="F132:F195" si="5">IFERROR(MATCH($E132,$B$3:$B$3003,0),"НЕ НАЙДЕН")</f>
        <v>130</v>
      </c>
    </row>
    <row r="133" spans="2:6">
      <c r="B133" s="344" t="s">
        <v>1501</v>
      </c>
      <c r="C133" s="295">
        <f t="shared" si="4"/>
        <v>131</v>
      </c>
      <c r="E133" s="344" t="s">
        <v>1501</v>
      </c>
      <c r="F133" s="295">
        <f t="shared" si="5"/>
        <v>131</v>
      </c>
    </row>
    <row r="134" spans="2:6">
      <c r="B134" s="344" t="s">
        <v>1502</v>
      </c>
      <c r="C134" s="295">
        <f t="shared" si="4"/>
        <v>132</v>
      </c>
      <c r="E134" s="344" t="s">
        <v>1502</v>
      </c>
      <c r="F134" s="295">
        <f t="shared" si="5"/>
        <v>132</v>
      </c>
    </row>
    <row r="135" spans="2:6">
      <c r="B135" s="344" t="s">
        <v>1503</v>
      </c>
      <c r="C135" s="295">
        <f t="shared" si="4"/>
        <v>133</v>
      </c>
      <c r="E135" s="344" t="s">
        <v>1503</v>
      </c>
      <c r="F135" s="295">
        <f t="shared" si="5"/>
        <v>133</v>
      </c>
    </row>
    <row r="136" spans="2:6">
      <c r="B136" s="344" t="s">
        <v>1504</v>
      </c>
      <c r="C136" s="295">
        <f t="shared" si="4"/>
        <v>134</v>
      </c>
      <c r="E136" s="344" t="s">
        <v>1504</v>
      </c>
      <c r="F136" s="295">
        <f t="shared" si="5"/>
        <v>134</v>
      </c>
    </row>
    <row r="137" spans="2:6">
      <c r="B137" s="344" t="s">
        <v>1505</v>
      </c>
      <c r="C137" s="295">
        <f t="shared" si="4"/>
        <v>135</v>
      </c>
      <c r="E137" s="344" t="s">
        <v>1505</v>
      </c>
      <c r="F137" s="295">
        <f t="shared" si="5"/>
        <v>135</v>
      </c>
    </row>
    <row r="138" spans="2:6">
      <c r="B138" s="344" t="s">
        <v>1506</v>
      </c>
      <c r="C138" s="295">
        <f t="shared" si="4"/>
        <v>136</v>
      </c>
      <c r="E138" s="344" t="s">
        <v>1506</v>
      </c>
      <c r="F138" s="295">
        <f t="shared" si="5"/>
        <v>136</v>
      </c>
    </row>
    <row r="139" spans="2:6">
      <c r="B139" s="344" t="s">
        <v>1507</v>
      </c>
      <c r="C139" s="295">
        <f t="shared" si="4"/>
        <v>137</v>
      </c>
      <c r="E139" s="344" t="s">
        <v>1507</v>
      </c>
      <c r="F139" s="295">
        <f t="shared" si="5"/>
        <v>137</v>
      </c>
    </row>
    <row r="140" spans="2:6">
      <c r="B140" s="344" t="s">
        <v>1508</v>
      </c>
      <c r="C140" s="295">
        <f t="shared" si="4"/>
        <v>138</v>
      </c>
      <c r="E140" s="344" t="s">
        <v>1508</v>
      </c>
      <c r="F140" s="295">
        <f t="shared" si="5"/>
        <v>138</v>
      </c>
    </row>
    <row r="141" spans="2:6">
      <c r="B141" s="344" t="s">
        <v>1509</v>
      </c>
      <c r="C141" s="295">
        <f t="shared" si="4"/>
        <v>139</v>
      </c>
      <c r="E141" s="344" t="s">
        <v>1509</v>
      </c>
      <c r="F141" s="295">
        <f t="shared" si="5"/>
        <v>139</v>
      </c>
    </row>
    <row r="142" spans="2:6">
      <c r="B142" s="344" t="s">
        <v>1510</v>
      </c>
      <c r="C142" s="295">
        <f t="shared" si="4"/>
        <v>140</v>
      </c>
      <c r="E142" s="344" t="s">
        <v>1510</v>
      </c>
      <c r="F142" s="295">
        <f t="shared" si="5"/>
        <v>140</v>
      </c>
    </row>
    <row r="143" spans="2:6">
      <c r="B143" s="344" t="s">
        <v>1511</v>
      </c>
      <c r="C143" s="295">
        <f t="shared" si="4"/>
        <v>141</v>
      </c>
      <c r="E143" s="344" t="s">
        <v>1511</v>
      </c>
      <c r="F143" s="295">
        <f t="shared" si="5"/>
        <v>141</v>
      </c>
    </row>
    <row r="144" spans="2:6">
      <c r="B144" s="344" t="s">
        <v>1512</v>
      </c>
      <c r="C144" s="295">
        <f t="shared" si="4"/>
        <v>142</v>
      </c>
      <c r="E144" s="344" t="s">
        <v>1512</v>
      </c>
      <c r="F144" s="295">
        <f t="shared" si="5"/>
        <v>142</v>
      </c>
    </row>
    <row r="145" spans="2:6">
      <c r="B145" s="344" t="s">
        <v>1513</v>
      </c>
      <c r="C145" s="295">
        <f t="shared" si="4"/>
        <v>143</v>
      </c>
      <c r="E145" s="344" t="s">
        <v>1513</v>
      </c>
      <c r="F145" s="295">
        <f t="shared" si="5"/>
        <v>143</v>
      </c>
    </row>
    <row r="146" spans="2:6">
      <c r="B146" s="344" t="s">
        <v>1514</v>
      </c>
      <c r="C146" s="295">
        <f t="shared" si="4"/>
        <v>144</v>
      </c>
      <c r="E146" s="344" t="s">
        <v>1514</v>
      </c>
      <c r="F146" s="295">
        <f t="shared" si="5"/>
        <v>144</v>
      </c>
    </row>
    <row r="147" spans="2:6">
      <c r="B147" s="344" t="s">
        <v>1515</v>
      </c>
      <c r="C147" s="295">
        <f t="shared" si="4"/>
        <v>145</v>
      </c>
      <c r="E147" s="344" t="s">
        <v>1515</v>
      </c>
      <c r="F147" s="295">
        <f t="shared" si="5"/>
        <v>145</v>
      </c>
    </row>
    <row r="148" spans="2:6">
      <c r="B148" s="344" t="s">
        <v>1516</v>
      </c>
      <c r="C148" s="295">
        <f t="shared" si="4"/>
        <v>146</v>
      </c>
      <c r="E148" s="344" t="s">
        <v>1516</v>
      </c>
      <c r="F148" s="295">
        <f t="shared" si="5"/>
        <v>146</v>
      </c>
    </row>
    <row r="149" spans="2:6">
      <c r="B149" s="344" t="s">
        <v>1517</v>
      </c>
      <c r="C149" s="295">
        <f t="shared" si="4"/>
        <v>147</v>
      </c>
      <c r="E149" s="344" t="s">
        <v>1517</v>
      </c>
      <c r="F149" s="295">
        <f t="shared" si="5"/>
        <v>147</v>
      </c>
    </row>
    <row r="150" spans="2:6">
      <c r="B150" s="344" t="s">
        <v>1518</v>
      </c>
      <c r="C150" s="295">
        <f t="shared" si="4"/>
        <v>148</v>
      </c>
      <c r="E150" s="344" t="s">
        <v>1518</v>
      </c>
      <c r="F150" s="295">
        <f t="shared" si="5"/>
        <v>148</v>
      </c>
    </row>
    <row r="151" spans="2:6">
      <c r="B151" s="344" t="s">
        <v>1519</v>
      </c>
      <c r="C151" s="295">
        <f t="shared" si="4"/>
        <v>149</v>
      </c>
      <c r="E151" s="344" t="s">
        <v>1519</v>
      </c>
      <c r="F151" s="295">
        <f t="shared" si="5"/>
        <v>149</v>
      </c>
    </row>
    <row r="152" spans="2:6">
      <c r="B152" s="344" t="s">
        <v>1520</v>
      </c>
      <c r="C152" s="295">
        <f t="shared" si="4"/>
        <v>150</v>
      </c>
      <c r="E152" s="344" t="s">
        <v>1520</v>
      </c>
      <c r="F152" s="295">
        <f t="shared" si="5"/>
        <v>150</v>
      </c>
    </row>
    <row r="153" spans="2:6">
      <c r="B153" s="344" t="s">
        <v>1521</v>
      </c>
      <c r="C153" s="295">
        <f t="shared" si="4"/>
        <v>151</v>
      </c>
      <c r="E153" s="344" t="s">
        <v>1521</v>
      </c>
      <c r="F153" s="295">
        <f t="shared" si="5"/>
        <v>151</v>
      </c>
    </row>
    <row r="154" spans="2:6">
      <c r="B154" s="344" t="s">
        <v>1522</v>
      </c>
      <c r="C154" s="295">
        <f t="shared" si="4"/>
        <v>152</v>
      </c>
      <c r="E154" s="344" t="s">
        <v>1522</v>
      </c>
      <c r="F154" s="295">
        <f t="shared" si="5"/>
        <v>152</v>
      </c>
    </row>
    <row r="155" spans="2:6">
      <c r="B155" s="344" t="s">
        <v>1523</v>
      </c>
      <c r="C155" s="295">
        <f t="shared" si="4"/>
        <v>153</v>
      </c>
      <c r="E155" s="344" t="s">
        <v>1523</v>
      </c>
      <c r="F155" s="295">
        <f t="shared" si="5"/>
        <v>153</v>
      </c>
    </row>
    <row r="156" spans="2:6">
      <c r="B156" s="344" t="s">
        <v>1524</v>
      </c>
      <c r="C156" s="295">
        <f t="shared" si="4"/>
        <v>154</v>
      </c>
      <c r="E156" s="344" t="s">
        <v>1524</v>
      </c>
      <c r="F156" s="295">
        <f t="shared" si="5"/>
        <v>154</v>
      </c>
    </row>
    <row r="157" spans="2:6">
      <c r="B157" s="344" t="s">
        <v>1525</v>
      </c>
      <c r="C157" s="295">
        <f t="shared" si="4"/>
        <v>155</v>
      </c>
      <c r="E157" s="344" t="s">
        <v>1525</v>
      </c>
      <c r="F157" s="295">
        <f t="shared" si="5"/>
        <v>155</v>
      </c>
    </row>
    <row r="158" spans="2:6">
      <c r="B158" s="344" t="s">
        <v>1526</v>
      </c>
      <c r="C158" s="295">
        <f t="shared" si="4"/>
        <v>156</v>
      </c>
      <c r="E158" s="344" t="s">
        <v>1526</v>
      </c>
      <c r="F158" s="295">
        <f t="shared" si="5"/>
        <v>156</v>
      </c>
    </row>
    <row r="159" spans="2:6">
      <c r="B159" s="344" t="s">
        <v>1527</v>
      </c>
      <c r="C159" s="295">
        <f t="shared" si="4"/>
        <v>157</v>
      </c>
      <c r="E159" s="344" t="s">
        <v>1527</v>
      </c>
      <c r="F159" s="295">
        <f t="shared" si="5"/>
        <v>157</v>
      </c>
    </row>
    <row r="160" spans="2:6">
      <c r="B160" s="344" t="s">
        <v>1528</v>
      </c>
      <c r="C160" s="295">
        <f t="shared" si="4"/>
        <v>158</v>
      </c>
      <c r="E160" s="344" t="s">
        <v>1528</v>
      </c>
      <c r="F160" s="295">
        <f t="shared" si="5"/>
        <v>158</v>
      </c>
    </row>
    <row r="161" spans="2:6">
      <c r="B161" s="344" t="s">
        <v>1529</v>
      </c>
      <c r="C161" s="295">
        <f t="shared" si="4"/>
        <v>159</v>
      </c>
      <c r="E161" s="344" t="s">
        <v>1529</v>
      </c>
      <c r="F161" s="295">
        <f t="shared" si="5"/>
        <v>159</v>
      </c>
    </row>
    <row r="162" spans="2:6">
      <c r="B162" s="344" t="s">
        <v>1530</v>
      </c>
      <c r="C162" s="295">
        <f t="shared" si="4"/>
        <v>160</v>
      </c>
      <c r="E162" s="344" t="s">
        <v>1530</v>
      </c>
      <c r="F162" s="295">
        <f t="shared" si="5"/>
        <v>160</v>
      </c>
    </row>
    <row r="163" spans="2:6">
      <c r="B163" s="344" t="s">
        <v>1531</v>
      </c>
      <c r="C163" s="295">
        <f t="shared" si="4"/>
        <v>161</v>
      </c>
      <c r="E163" s="344" t="s">
        <v>1531</v>
      </c>
      <c r="F163" s="295">
        <f t="shared" si="5"/>
        <v>161</v>
      </c>
    </row>
    <row r="164" spans="2:6">
      <c r="B164" s="344" t="s">
        <v>1532</v>
      </c>
      <c r="C164" s="295">
        <f t="shared" si="4"/>
        <v>162</v>
      </c>
      <c r="E164" s="344" t="s">
        <v>1532</v>
      </c>
      <c r="F164" s="295">
        <f t="shared" si="5"/>
        <v>162</v>
      </c>
    </row>
    <row r="165" spans="2:6">
      <c r="B165" s="344" t="s">
        <v>1533</v>
      </c>
      <c r="C165" s="295">
        <f t="shared" si="4"/>
        <v>163</v>
      </c>
      <c r="E165" s="344" t="s">
        <v>1533</v>
      </c>
      <c r="F165" s="295">
        <f t="shared" si="5"/>
        <v>163</v>
      </c>
    </row>
    <row r="166" spans="2:6">
      <c r="B166" s="344" t="s">
        <v>1534</v>
      </c>
      <c r="C166" s="295">
        <f t="shared" si="4"/>
        <v>164</v>
      </c>
      <c r="E166" s="344" t="s">
        <v>1534</v>
      </c>
      <c r="F166" s="295">
        <f t="shared" si="5"/>
        <v>164</v>
      </c>
    </row>
    <row r="167" spans="2:6">
      <c r="B167" s="344" t="s">
        <v>1535</v>
      </c>
      <c r="C167" s="295">
        <f t="shared" si="4"/>
        <v>165</v>
      </c>
      <c r="E167" s="344" t="s">
        <v>1535</v>
      </c>
      <c r="F167" s="295">
        <f t="shared" si="5"/>
        <v>165</v>
      </c>
    </row>
    <row r="168" spans="2:6">
      <c r="B168" s="344" t="s">
        <v>1536</v>
      </c>
      <c r="C168" s="295">
        <f t="shared" si="4"/>
        <v>166</v>
      </c>
      <c r="E168" s="344" t="s">
        <v>1536</v>
      </c>
      <c r="F168" s="295">
        <f t="shared" si="5"/>
        <v>166</v>
      </c>
    </row>
    <row r="169" spans="2:6">
      <c r="B169" s="344" t="s">
        <v>1537</v>
      </c>
      <c r="C169" s="295">
        <f t="shared" si="4"/>
        <v>167</v>
      </c>
      <c r="E169" s="344" t="s">
        <v>1537</v>
      </c>
      <c r="F169" s="295">
        <f t="shared" si="5"/>
        <v>167</v>
      </c>
    </row>
    <row r="170" spans="2:6">
      <c r="B170" s="344" t="s">
        <v>1538</v>
      </c>
      <c r="C170" s="295">
        <f t="shared" si="4"/>
        <v>168</v>
      </c>
      <c r="E170" s="344" t="s">
        <v>1538</v>
      </c>
      <c r="F170" s="295">
        <f t="shared" si="5"/>
        <v>168</v>
      </c>
    </row>
    <row r="171" spans="2:6">
      <c r="B171" s="344" t="s">
        <v>1539</v>
      </c>
      <c r="C171" s="295">
        <f t="shared" si="4"/>
        <v>169</v>
      </c>
      <c r="E171" s="344" t="s">
        <v>1539</v>
      </c>
      <c r="F171" s="295">
        <f t="shared" si="5"/>
        <v>169</v>
      </c>
    </row>
    <row r="172" spans="2:6">
      <c r="B172" s="344" t="s">
        <v>1540</v>
      </c>
      <c r="C172" s="295">
        <f t="shared" si="4"/>
        <v>170</v>
      </c>
      <c r="E172" s="344" t="s">
        <v>1540</v>
      </c>
      <c r="F172" s="295">
        <f t="shared" si="5"/>
        <v>170</v>
      </c>
    </row>
    <row r="173" spans="2:6">
      <c r="B173" s="344" t="s">
        <v>1541</v>
      </c>
      <c r="C173" s="295">
        <f t="shared" si="4"/>
        <v>171</v>
      </c>
      <c r="E173" s="344" t="s">
        <v>1541</v>
      </c>
      <c r="F173" s="295">
        <f t="shared" si="5"/>
        <v>171</v>
      </c>
    </row>
    <row r="174" spans="2:6">
      <c r="B174" s="344" t="s">
        <v>1542</v>
      </c>
      <c r="C174" s="295">
        <f t="shared" si="4"/>
        <v>172</v>
      </c>
      <c r="E174" s="344" t="s">
        <v>1542</v>
      </c>
      <c r="F174" s="295">
        <f t="shared" si="5"/>
        <v>172</v>
      </c>
    </row>
    <row r="175" spans="2:6">
      <c r="B175" s="344" t="s">
        <v>1543</v>
      </c>
      <c r="C175" s="295">
        <f t="shared" si="4"/>
        <v>173</v>
      </c>
      <c r="E175" s="344" t="s">
        <v>1543</v>
      </c>
      <c r="F175" s="295">
        <f t="shared" si="5"/>
        <v>173</v>
      </c>
    </row>
    <row r="176" spans="2:6">
      <c r="B176" s="344" t="s">
        <v>1544</v>
      </c>
      <c r="C176" s="295">
        <f t="shared" si="4"/>
        <v>174</v>
      </c>
      <c r="E176" s="344" t="s">
        <v>1544</v>
      </c>
      <c r="F176" s="295">
        <f t="shared" si="5"/>
        <v>174</v>
      </c>
    </row>
    <row r="177" spans="2:6">
      <c r="B177" s="344" t="s">
        <v>1545</v>
      </c>
      <c r="C177" s="295">
        <f t="shared" si="4"/>
        <v>175</v>
      </c>
      <c r="E177" s="344" t="s">
        <v>1545</v>
      </c>
      <c r="F177" s="295">
        <f t="shared" si="5"/>
        <v>175</v>
      </c>
    </row>
    <row r="178" spans="2:6">
      <c r="B178" s="344" t="s">
        <v>1546</v>
      </c>
      <c r="C178" s="295">
        <f t="shared" si="4"/>
        <v>176</v>
      </c>
      <c r="E178" s="344" t="s">
        <v>1546</v>
      </c>
      <c r="F178" s="295">
        <f t="shared" si="5"/>
        <v>176</v>
      </c>
    </row>
    <row r="179" spans="2:6">
      <c r="B179" s="344" t="s">
        <v>1547</v>
      </c>
      <c r="C179" s="295">
        <f t="shared" si="4"/>
        <v>177</v>
      </c>
      <c r="E179" s="344" t="s">
        <v>1547</v>
      </c>
      <c r="F179" s="295">
        <f t="shared" si="5"/>
        <v>177</v>
      </c>
    </row>
    <row r="180" spans="2:6">
      <c r="B180" s="344" t="s">
        <v>1548</v>
      </c>
      <c r="C180" s="295">
        <f t="shared" si="4"/>
        <v>178</v>
      </c>
      <c r="E180" s="344" t="s">
        <v>1548</v>
      </c>
      <c r="F180" s="295">
        <f t="shared" si="5"/>
        <v>178</v>
      </c>
    </row>
    <row r="181" spans="2:6">
      <c r="B181" s="344" t="s">
        <v>1549</v>
      </c>
      <c r="C181" s="295">
        <f t="shared" si="4"/>
        <v>180</v>
      </c>
      <c r="E181" s="344" t="s">
        <v>2241</v>
      </c>
      <c r="F181" s="295" t="str">
        <f t="shared" si="5"/>
        <v>НЕ НАЙДЕН</v>
      </c>
    </row>
    <row r="182" spans="2:6">
      <c r="B182" s="344" t="s">
        <v>1550</v>
      </c>
      <c r="C182" s="295">
        <f t="shared" si="4"/>
        <v>181</v>
      </c>
      <c r="E182" s="344" t="s">
        <v>1549</v>
      </c>
      <c r="F182" s="295">
        <f t="shared" si="5"/>
        <v>179</v>
      </c>
    </row>
    <row r="183" spans="2:6">
      <c r="B183" s="344" t="s">
        <v>1551</v>
      </c>
      <c r="C183" s="295">
        <f t="shared" si="4"/>
        <v>182</v>
      </c>
      <c r="E183" s="344" t="s">
        <v>1550</v>
      </c>
      <c r="F183" s="295">
        <f t="shared" si="5"/>
        <v>180</v>
      </c>
    </row>
    <row r="184" spans="2:6">
      <c r="B184" s="344" t="s">
        <v>1552</v>
      </c>
      <c r="C184" s="295">
        <f t="shared" si="4"/>
        <v>183</v>
      </c>
      <c r="E184" s="344" t="s">
        <v>1551</v>
      </c>
      <c r="F184" s="295">
        <f t="shared" si="5"/>
        <v>181</v>
      </c>
    </row>
    <row r="185" spans="2:6">
      <c r="B185" s="344" t="s">
        <v>1553</v>
      </c>
      <c r="C185" s="295">
        <f t="shared" si="4"/>
        <v>184</v>
      </c>
      <c r="E185" s="344" t="s">
        <v>1552</v>
      </c>
      <c r="F185" s="295">
        <f t="shared" si="5"/>
        <v>182</v>
      </c>
    </row>
    <row r="186" spans="2:6">
      <c r="B186" s="344" t="s">
        <v>1554</v>
      </c>
      <c r="C186" s="295">
        <f t="shared" si="4"/>
        <v>185</v>
      </c>
      <c r="E186" s="344" t="s">
        <v>1553</v>
      </c>
      <c r="F186" s="295">
        <f t="shared" si="5"/>
        <v>183</v>
      </c>
    </row>
    <row r="187" spans="2:6">
      <c r="B187" s="344" t="s">
        <v>1555</v>
      </c>
      <c r="C187" s="295">
        <f t="shared" si="4"/>
        <v>186</v>
      </c>
      <c r="E187" s="344" t="s">
        <v>1554</v>
      </c>
      <c r="F187" s="295">
        <f t="shared" si="5"/>
        <v>184</v>
      </c>
    </row>
    <row r="188" spans="2:6">
      <c r="B188" s="344" t="s">
        <v>1556</v>
      </c>
      <c r="C188" s="295">
        <f t="shared" si="4"/>
        <v>187</v>
      </c>
      <c r="E188" s="344" t="s">
        <v>1555</v>
      </c>
      <c r="F188" s="295">
        <f t="shared" si="5"/>
        <v>185</v>
      </c>
    </row>
    <row r="189" spans="2:6">
      <c r="B189" s="344" t="s">
        <v>1557</v>
      </c>
      <c r="C189" s="295">
        <f t="shared" si="4"/>
        <v>188</v>
      </c>
      <c r="E189" s="344" t="s">
        <v>1556</v>
      </c>
      <c r="F189" s="295">
        <f t="shared" si="5"/>
        <v>186</v>
      </c>
    </row>
    <row r="190" spans="2:6">
      <c r="B190" s="344" t="s">
        <v>1558</v>
      </c>
      <c r="C190" s="295">
        <f t="shared" si="4"/>
        <v>189</v>
      </c>
      <c r="E190" s="344" t="s">
        <v>1557</v>
      </c>
      <c r="F190" s="295">
        <f t="shared" si="5"/>
        <v>187</v>
      </c>
    </row>
    <row r="191" spans="2:6">
      <c r="B191" s="344" t="s">
        <v>1559</v>
      </c>
      <c r="C191" s="295">
        <f t="shared" si="4"/>
        <v>190</v>
      </c>
      <c r="E191" s="344" t="s">
        <v>1558</v>
      </c>
      <c r="F191" s="295">
        <f t="shared" si="5"/>
        <v>188</v>
      </c>
    </row>
    <row r="192" spans="2:6">
      <c r="B192" s="344" t="s">
        <v>1560</v>
      </c>
      <c r="C192" s="295">
        <f t="shared" si="4"/>
        <v>191</v>
      </c>
      <c r="E192" s="344" t="s">
        <v>1559</v>
      </c>
      <c r="F192" s="295">
        <f t="shared" si="5"/>
        <v>189</v>
      </c>
    </row>
    <row r="193" spans="2:6">
      <c r="B193" s="344" t="s">
        <v>1561</v>
      </c>
      <c r="C193" s="295">
        <f t="shared" si="4"/>
        <v>192</v>
      </c>
      <c r="E193" s="344" t="s">
        <v>1560</v>
      </c>
      <c r="F193" s="295">
        <f t="shared" si="5"/>
        <v>190</v>
      </c>
    </row>
    <row r="194" spans="2:6">
      <c r="B194" s="344" t="s">
        <v>1562</v>
      </c>
      <c r="C194" s="295">
        <f t="shared" si="4"/>
        <v>193</v>
      </c>
      <c r="E194" s="344" t="s">
        <v>1561</v>
      </c>
      <c r="F194" s="295">
        <f t="shared" si="5"/>
        <v>191</v>
      </c>
    </row>
    <row r="195" spans="2:6">
      <c r="B195" s="344" t="s">
        <v>1563</v>
      </c>
      <c r="C195" s="295">
        <f t="shared" si="4"/>
        <v>194</v>
      </c>
      <c r="E195" s="344" t="s">
        <v>1562</v>
      </c>
      <c r="F195" s="295">
        <f t="shared" si="5"/>
        <v>192</v>
      </c>
    </row>
    <row r="196" spans="2:6">
      <c r="B196" s="344" t="s">
        <v>1564</v>
      </c>
      <c r="C196" s="295">
        <f t="shared" ref="C196:C259" si="6">IFERROR(MATCH($B196,$E$3:$E$3000,0),"НЕ НАЙДЕН")</f>
        <v>195</v>
      </c>
      <c r="E196" s="344" t="s">
        <v>1563</v>
      </c>
      <c r="F196" s="295">
        <f t="shared" ref="F196:F259" si="7">IFERROR(MATCH($E196,$B$3:$B$3003,0),"НЕ НАЙДЕН")</f>
        <v>193</v>
      </c>
    </row>
    <row r="197" spans="2:6">
      <c r="B197" s="344" t="s">
        <v>1565</v>
      </c>
      <c r="C197" s="295">
        <f t="shared" si="6"/>
        <v>196</v>
      </c>
      <c r="E197" s="344" t="s">
        <v>1564</v>
      </c>
      <c r="F197" s="295">
        <f t="shared" si="7"/>
        <v>194</v>
      </c>
    </row>
    <row r="198" spans="2:6">
      <c r="B198" s="344" t="s">
        <v>1566</v>
      </c>
      <c r="C198" s="295">
        <f t="shared" si="6"/>
        <v>197</v>
      </c>
      <c r="E198" s="344" t="s">
        <v>1565</v>
      </c>
      <c r="F198" s="295">
        <f t="shared" si="7"/>
        <v>195</v>
      </c>
    </row>
    <row r="199" spans="2:6">
      <c r="B199" s="344" t="s">
        <v>1861</v>
      </c>
      <c r="C199" s="295">
        <f t="shared" si="6"/>
        <v>198</v>
      </c>
      <c r="E199" s="344" t="s">
        <v>1566</v>
      </c>
      <c r="F199" s="295">
        <f t="shared" si="7"/>
        <v>196</v>
      </c>
    </row>
    <row r="200" spans="2:6">
      <c r="B200" s="344" t="s">
        <v>1567</v>
      </c>
      <c r="C200" s="295">
        <f t="shared" si="6"/>
        <v>199</v>
      </c>
      <c r="E200" s="344" t="s">
        <v>1861</v>
      </c>
      <c r="F200" s="295">
        <f t="shared" si="7"/>
        <v>197</v>
      </c>
    </row>
    <row r="201" spans="2:6">
      <c r="B201" s="344" t="s">
        <v>1568</v>
      </c>
      <c r="C201" s="295">
        <f t="shared" si="6"/>
        <v>200</v>
      </c>
      <c r="E201" s="344" t="s">
        <v>1567</v>
      </c>
      <c r="F201" s="295">
        <f t="shared" si="7"/>
        <v>198</v>
      </c>
    </row>
    <row r="202" spans="2:6">
      <c r="B202" s="344" t="s">
        <v>1569</v>
      </c>
      <c r="C202" s="295">
        <f t="shared" si="6"/>
        <v>201</v>
      </c>
      <c r="E202" s="344" t="s">
        <v>1568</v>
      </c>
      <c r="F202" s="295">
        <f t="shared" si="7"/>
        <v>199</v>
      </c>
    </row>
    <row r="203" spans="2:6">
      <c r="B203" s="344" t="s">
        <v>1570</v>
      </c>
      <c r="C203" s="295">
        <f t="shared" si="6"/>
        <v>202</v>
      </c>
      <c r="E203" s="344" t="s">
        <v>1569</v>
      </c>
      <c r="F203" s="295">
        <f t="shared" si="7"/>
        <v>200</v>
      </c>
    </row>
    <row r="204" spans="2:6">
      <c r="B204" s="344" t="s">
        <v>1571</v>
      </c>
      <c r="C204" s="295">
        <f t="shared" si="6"/>
        <v>203</v>
      </c>
      <c r="E204" s="344" t="s">
        <v>1570</v>
      </c>
      <c r="F204" s="295">
        <f t="shared" si="7"/>
        <v>201</v>
      </c>
    </row>
    <row r="205" spans="2:6">
      <c r="B205" s="344" t="s">
        <v>1862</v>
      </c>
      <c r="C205" s="295">
        <f t="shared" si="6"/>
        <v>204</v>
      </c>
      <c r="E205" s="344" t="s">
        <v>1571</v>
      </c>
      <c r="F205" s="295">
        <f t="shared" si="7"/>
        <v>202</v>
      </c>
    </row>
    <row r="206" spans="2:6">
      <c r="B206" s="344" t="s">
        <v>1572</v>
      </c>
      <c r="C206" s="295">
        <f t="shared" si="6"/>
        <v>205</v>
      </c>
      <c r="E206" s="344" t="s">
        <v>1862</v>
      </c>
      <c r="F206" s="295">
        <f t="shared" si="7"/>
        <v>203</v>
      </c>
    </row>
    <row r="207" spans="2:6">
      <c r="B207" s="344" t="s">
        <v>1573</v>
      </c>
      <c r="C207" s="295">
        <f t="shared" si="6"/>
        <v>206</v>
      </c>
      <c r="E207" s="344" t="s">
        <v>1572</v>
      </c>
      <c r="F207" s="295">
        <f t="shared" si="7"/>
        <v>204</v>
      </c>
    </row>
    <row r="208" spans="2:6">
      <c r="B208" s="344" t="s">
        <v>1574</v>
      </c>
      <c r="C208" s="295">
        <f t="shared" si="6"/>
        <v>207</v>
      </c>
      <c r="E208" s="344" t="s">
        <v>1573</v>
      </c>
      <c r="F208" s="295">
        <f t="shared" si="7"/>
        <v>205</v>
      </c>
    </row>
    <row r="209" spans="2:6">
      <c r="B209" s="344" t="s">
        <v>1575</v>
      </c>
      <c r="C209" s="295">
        <f t="shared" si="6"/>
        <v>208</v>
      </c>
      <c r="E209" s="344" t="s">
        <v>1574</v>
      </c>
      <c r="F209" s="295">
        <f t="shared" si="7"/>
        <v>206</v>
      </c>
    </row>
    <row r="210" spans="2:6">
      <c r="B210" s="344" t="s">
        <v>1576</v>
      </c>
      <c r="C210" s="295">
        <f t="shared" si="6"/>
        <v>209</v>
      </c>
      <c r="E210" s="344" t="s">
        <v>1575</v>
      </c>
      <c r="F210" s="295">
        <f t="shared" si="7"/>
        <v>207</v>
      </c>
    </row>
    <row r="211" spans="2:6">
      <c r="B211" s="344" t="s">
        <v>1577</v>
      </c>
      <c r="C211" s="295">
        <f t="shared" si="6"/>
        <v>210</v>
      </c>
      <c r="E211" s="344" t="s">
        <v>1576</v>
      </c>
      <c r="F211" s="295">
        <f t="shared" si="7"/>
        <v>208</v>
      </c>
    </row>
    <row r="212" spans="2:6">
      <c r="B212" s="344" t="s">
        <v>1578</v>
      </c>
      <c r="C212" s="295">
        <f t="shared" si="6"/>
        <v>211</v>
      </c>
      <c r="E212" s="344" t="s">
        <v>1577</v>
      </c>
      <c r="F212" s="295">
        <f t="shared" si="7"/>
        <v>209</v>
      </c>
    </row>
    <row r="213" spans="2:6">
      <c r="B213" s="344" t="s">
        <v>1579</v>
      </c>
      <c r="C213" s="295">
        <f t="shared" si="6"/>
        <v>212</v>
      </c>
      <c r="E213" s="344" t="s">
        <v>1578</v>
      </c>
      <c r="F213" s="295">
        <f t="shared" si="7"/>
        <v>210</v>
      </c>
    </row>
    <row r="214" spans="2:6">
      <c r="B214" s="344" t="s">
        <v>1580</v>
      </c>
      <c r="C214" s="295">
        <f t="shared" si="6"/>
        <v>213</v>
      </c>
      <c r="E214" s="344" t="s">
        <v>1579</v>
      </c>
      <c r="F214" s="295">
        <f t="shared" si="7"/>
        <v>211</v>
      </c>
    </row>
    <row r="215" spans="2:6">
      <c r="B215" s="344" t="s">
        <v>1581</v>
      </c>
      <c r="C215" s="295">
        <f t="shared" si="6"/>
        <v>214</v>
      </c>
      <c r="E215" s="344" t="s">
        <v>1580</v>
      </c>
      <c r="F215" s="295">
        <f t="shared" si="7"/>
        <v>212</v>
      </c>
    </row>
    <row r="216" spans="2:6">
      <c r="B216" s="344" t="s">
        <v>1582</v>
      </c>
      <c r="C216" s="295">
        <f t="shared" si="6"/>
        <v>215</v>
      </c>
      <c r="E216" s="344" t="s">
        <v>1581</v>
      </c>
      <c r="F216" s="295">
        <f t="shared" si="7"/>
        <v>213</v>
      </c>
    </row>
    <row r="217" spans="2:6">
      <c r="B217" s="344" t="s">
        <v>1583</v>
      </c>
      <c r="C217" s="295">
        <f t="shared" si="6"/>
        <v>216</v>
      </c>
      <c r="E217" s="344" t="s">
        <v>1582</v>
      </c>
      <c r="F217" s="295">
        <f t="shared" si="7"/>
        <v>214</v>
      </c>
    </row>
    <row r="218" spans="2:6">
      <c r="B218" s="344" t="s">
        <v>1584</v>
      </c>
      <c r="C218" s="295">
        <f t="shared" si="6"/>
        <v>217</v>
      </c>
      <c r="E218" s="344" t="s">
        <v>1583</v>
      </c>
      <c r="F218" s="295">
        <f t="shared" si="7"/>
        <v>215</v>
      </c>
    </row>
    <row r="219" spans="2:6">
      <c r="B219" s="344" t="s">
        <v>1585</v>
      </c>
      <c r="C219" s="295">
        <f t="shared" si="6"/>
        <v>218</v>
      </c>
      <c r="E219" s="344" t="s">
        <v>1584</v>
      </c>
      <c r="F219" s="295">
        <f t="shared" si="7"/>
        <v>216</v>
      </c>
    </row>
    <row r="220" spans="2:6">
      <c r="B220" s="344" t="s">
        <v>1586</v>
      </c>
      <c r="C220" s="295">
        <f t="shared" si="6"/>
        <v>219</v>
      </c>
      <c r="E220" s="344" t="s">
        <v>1585</v>
      </c>
      <c r="F220" s="295">
        <f t="shared" si="7"/>
        <v>217</v>
      </c>
    </row>
    <row r="221" spans="2:6">
      <c r="B221" s="344" t="s">
        <v>1587</v>
      </c>
      <c r="C221" s="295">
        <f t="shared" si="6"/>
        <v>220</v>
      </c>
      <c r="E221" s="344" t="s">
        <v>1586</v>
      </c>
      <c r="F221" s="295">
        <f t="shared" si="7"/>
        <v>218</v>
      </c>
    </row>
    <row r="222" spans="2:6">
      <c r="B222" s="344" t="s">
        <v>1588</v>
      </c>
      <c r="C222" s="295">
        <f t="shared" si="6"/>
        <v>221</v>
      </c>
      <c r="E222" s="344" t="s">
        <v>1587</v>
      </c>
      <c r="F222" s="295">
        <f t="shared" si="7"/>
        <v>219</v>
      </c>
    </row>
    <row r="223" spans="2:6">
      <c r="B223" s="344" t="s">
        <v>1589</v>
      </c>
      <c r="C223" s="295">
        <f t="shared" si="6"/>
        <v>222</v>
      </c>
      <c r="E223" s="344" t="s">
        <v>1588</v>
      </c>
      <c r="F223" s="295">
        <f t="shared" si="7"/>
        <v>220</v>
      </c>
    </row>
    <row r="224" spans="2:6">
      <c r="B224" s="344" t="s">
        <v>1590</v>
      </c>
      <c r="C224" s="295">
        <f t="shared" si="6"/>
        <v>223</v>
      </c>
      <c r="E224" s="344" t="s">
        <v>1589</v>
      </c>
      <c r="F224" s="295">
        <f t="shared" si="7"/>
        <v>221</v>
      </c>
    </row>
    <row r="225" spans="2:6">
      <c r="B225" s="344" t="s">
        <v>1591</v>
      </c>
      <c r="C225" s="295">
        <f t="shared" si="6"/>
        <v>224</v>
      </c>
      <c r="E225" s="344" t="s">
        <v>1590</v>
      </c>
      <c r="F225" s="295">
        <f t="shared" si="7"/>
        <v>222</v>
      </c>
    </row>
    <row r="226" spans="2:6">
      <c r="B226" s="344" t="s">
        <v>1863</v>
      </c>
      <c r="C226" s="295">
        <f t="shared" si="6"/>
        <v>225</v>
      </c>
      <c r="E226" s="344" t="s">
        <v>1591</v>
      </c>
      <c r="F226" s="295">
        <f t="shared" si="7"/>
        <v>223</v>
      </c>
    </row>
    <row r="227" spans="2:6">
      <c r="B227" s="344" t="s">
        <v>1592</v>
      </c>
      <c r="C227" s="295">
        <f t="shared" si="6"/>
        <v>226</v>
      </c>
      <c r="E227" s="344" t="s">
        <v>1863</v>
      </c>
      <c r="F227" s="295">
        <f t="shared" si="7"/>
        <v>224</v>
      </c>
    </row>
    <row r="228" spans="2:6">
      <c r="B228" s="344" t="s">
        <v>1593</v>
      </c>
      <c r="C228" s="295">
        <f t="shared" si="6"/>
        <v>227</v>
      </c>
      <c r="E228" s="344" t="s">
        <v>1592</v>
      </c>
      <c r="F228" s="295">
        <f t="shared" si="7"/>
        <v>225</v>
      </c>
    </row>
    <row r="229" spans="2:6">
      <c r="B229" s="344" t="s">
        <v>1594</v>
      </c>
      <c r="C229" s="295">
        <f t="shared" si="6"/>
        <v>228</v>
      </c>
      <c r="E229" s="344" t="s">
        <v>1593</v>
      </c>
      <c r="F229" s="295">
        <f t="shared" si="7"/>
        <v>226</v>
      </c>
    </row>
    <row r="230" spans="2:6">
      <c r="B230" s="344" t="s">
        <v>1595</v>
      </c>
      <c r="C230" s="295">
        <f t="shared" si="6"/>
        <v>229</v>
      </c>
      <c r="E230" s="344" t="s">
        <v>1594</v>
      </c>
      <c r="F230" s="295">
        <f t="shared" si="7"/>
        <v>227</v>
      </c>
    </row>
    <row r="231" spans="2:6">
      <c r="B231" s="344" t="s">
        <v>1596</v>
      </c>
      <c r="C231" s="295">
        <f t="shared" si="6"/>
        <v>230</v>
      </c>
      <c r="E231" s="344" t="s">
        <v>1595</v>
      </c>
      <c r="F231" s="295">
        <f t="shared" si="7"/>
        <v>228</v>
      </c>
    </row>
    <row r="232" spans="2:6">
      <c r="B232" s="344" t="s">
        <v>1597</v>
      </c>
      <c r="C232" s="295">
        <f t="shared" si="6"/>
        <v>231</v>
      </c>
      <c r="E232" s="344" t="s">
        <v>1596</v>
      </c>
      <c r="F232" s="295">
        <f t="shared" si="7"/>
        <v>229</v>
      </c>
    </row>
    <row r="233" spans="2:6">
      <c r="B233" s="344" t="s">
        <v>1598</v>
      </c>
      <c r="C233" s="295">
        <f t="shared" si="6"/>
        <v>232</v>
      </c>
      <c r="E233" s="344" t="s">
        <v>1597</v>
      </c>
      <c r="F233" s="295">
        <f t="shared" si="7"/>
        <v>230</v>
      </c>
    </row>
    <row r="234" spans="2:6">
      <c r="B234" s="344" t="s">
        <v>1599</v>
      </c>
      <c r="C234" s="295">
        <f t="shared" si="6"/>
        <v>233</v>
      </c>
      <c r="E234" s="344" t="s">
        <v>1598</v>
      </c>
      <c r="F234" s="295">
        <f t="shared" si="7"/>
        <v>231</v>
      </c>
    </row>
    <row r="235" spans="2:6">
      <c r="B235" s="344" t="s">
        <v>1600</v>
      </c>
      <c r="C235" s="295">
        <f t="shared" si="6"/>
        <v>234</v>
      </c>
      <c r="E235" s="344" t="s">
        <v>1599</v>
      </c>
      <c r="F235" s="295">
        <f t="shared" si="7"/>
        <v>232</v>
      </c>
    </row>
    <row r="236" spans="2:6">
      <c r="B236" s="344" t="s">
        <v>1601</v>
      </c>
      <c r="C236" s="295">
        <f t="shared" si="6"/>
        <v>235</v>
      </c>
      <c r="E236" s="344" t="s">
        <v>1600</v>
      </c>
      <c r="F236" s="295">
        <f t="shared" si="7"/>
        <v>233</v>
      </c>
    </row>
    <row r="237" spans="2:6">
      <c r="B237" s="344" t="s">
        <v>1602</v>
      </c>
      <c r="C237" s="295">
        <f t="shared" si="6"/>
        <v>236</v>
      </c>
      <c r="E237" s="344" t="s">
        <v>1601</v>
      </c>
      <c r="F237" s="295">
        <f t="shared" si="7"/>
        <v>234</v>
      </c>
    </row>
    <row r="238" spans="2:6">
      <c r="B238" s="344" t="s">
        <v>1603</v>
      </c>
      <c r="C238" s="295">
        <f t="shared" si="6"/>
        <v>237</v>
      </c>
      <c r="E238" s="344" t="s">
        <v>1602</v>
      </c>
      <c r="F238" s="295">
        <f t="shared" si="7"/>
        <v>235</v>
      </c>
    </row>
    <row r="239" spans="2:6">
      <c r="B239" s="344" t="s">
        <v>1604</v>
      </c>
      <c r="C239" s="295">
        <f t="shared" si="6"/>
        <v>238</v>
      </c>
      <c r="E239" s="344" t="s">
        <v>1603</v>
      </c>
      <c r="F239" s="295">
        <f t="shared" si="7"/>
        <v>236</v>
      </c>
    </row>
    <row r="240" spans="2:6">
      <c r="B240" s="344" t="s">
        <v>1605</v>
      </c>
      <c r="C240" s="295">
        <f t="shared" si="6"/>
        <v>239</v>
      </c>
      <c r="E240" s="344" t="s">
        <v>1604</v>
      </c>
      <c r="F240" s="295">
        <f t="shared" si="7"/>
        <v>237</v>
      </c>
    </row>
    <row r="241" spans="2:6">
      <c r="B241" s="344" t="s">
        <v>1606</v>
      </c>
      <c r="C241" s="295">
        <f t="shared" si="6"/>
        <v>240</v>
      </c>
      <c r="E241" s="344" t="s">
        <v>1605</v>
      </c>
      <c r="F241" s="295">
        <f t="shared" si="7"/>
        <v>238</v>
      </c>
    </row>
    <row r="242" spans="2:6">
      <c r="B242" s="344" t="s">
        <v>1607</v>
      </c>
      <c r="C242" s="295">
        <f t="shared" si="6"/>
        <v>241</v>
      </c>
      <c r="E242" s="344" t="s">
        <v>1606</v>
      </c>
      <c r="F242" s="295">
        <f t="shared" si="7"/>
        <v>239</v>
      </c>
    </row>
    <row r="243" spans="2:6">
      <c r="B243" s="344" t="s">
        <v>1608</v>
      </c>
      <c r="C243" s="295">
        <f t="shared" si="6"/>
        <v>242</v>
      </c>
      <c r="E243" s="344" t="s">
        <v>1607</v>
      </c>
      <c r="F243" s="295">
        <f t="shared" si="7"/>
        <v>240</v>
      </c>
    </row>
    <row r="244" spans="2:6">
      <c r="B244" s="344" t="s">
        <v>1609</v>
      </c>
      <c r="C244" s="295">
        <f t="shared" si="6"/>
        <v>243</v>
      </c>
      <c r="E244" s="344" t="s">
        <v>1608</v>
      </c>
      <c r="F244" s="295">
        <f t="shared" si="7"/>
        <v>241</v>
      </c>
    </row>
    <row r="245" spans="2:6">
      <c r="B245" s="344" t="s">
        <v>1610</v>
      </c>
      <c r="C245" s="295">
        <f t="shared" si="6"/>
        <v>244</v>
      </c>
      <c r="E245" s="344" t="s">
        <v>1609</v>
      </c>
      <c r="F245" s="295">
        <f t="shared" si="7"/>
        <v>242</v>
      </c>
    </row>
    <row r="246" spans="2:6">
      <c r="B246" s="344" t="s">
        <v>1611</v>
      </c>
      <c r="C246" s="295">
        <f t="shared" si="6"/>
        <v>245</v>
      </c>
      <c r="E246" s="344" t="s">
        <v>1610</v>
      </c>
      <c r="F246" s="295">
        <f t="shared" si="7"/>
        <v>243</v>
      </c>
    </row>
    <row r="247" spans="2:6">
      <c r="B247" s="344" t="s">
        <v>1612</v>
      </c>
      <c r="C247" s="295">
        <f t="shared" si="6"/>
        <v>246</v>
      </c>
      <c r="E247" s="344" t="s">
        <v>1611</v>
      </c>
      <c r="F247" s="295">
        <f t="shared" si="7"/>
        <v>244</v>
      </c>
    </row>
    <row r="248" spans="2:6">
      <c r="B248" s="344" t="s">
        <v>1613</v>
      </c>
      <c r="C248" s="295">
        <f t="shared" si="6"/>
        <v>247</v>
      </c>
      <c r="E248" s="344" t="s">
        <v>1612</v>
      </c>
      <c r="F248" s="295">
        <f t="shared" si="7"/>
        <v>245</v>
      </c>
    </row>
    <row r="249" spans="2:6">
      <c r="B249" s="344" t="s">
        <v>1614</v>
      </c>
      <c r="C249" s="295">
        <f t="shared" si="6"/>
        <v>248</v>
      </c>
      <c r="E249" s="344" t="s">
        <v>1613</v>
      </c>
      <c r="F249" s="295">
        <f t="shared" si="7"/>
        <v>246</v>
      </c>
    </row>
    <row r="250" spans="2:6">
      <c r="B250" s="344" t="s">
        <v>1615</v>
      </c>
      <c r="C250" s="295">
        <f t="shared" si="6"/>
        <v>249</v>
      </c>
      <c r="E250" s="344" t="s">
        <v>1614</v>
      </c>
      <c r="F250" s="295">
        <f t="shared" si="7"/>
        <v>247</v>
      </c>
    </row>
    <row r="251" spans="2:6">
      <c r="B251" s="344" t="s">
        <v>1616</v>
      </c>
      <c r="C251" s="295">
        <f t="shared" si="6"/>
        <v>250</v>
      </c>
      <c r="E251" s="344" t="s">
        <v>1615</v>
      </c>
      <c r="F251" s="295">
        <f t="shared" si="7"/>
        <v>248</v>
      </c>
    </row>
    <row r="252" spans="2:6">
      <c r="B252" s="344" t="s">
        <v>1617</v>
      </c>
      <c r="C252" s="295">
        <f t="shared" si="6"/>
        <v>251</v>
      </c>
      <c r="E252" s="344" t="s">
        <v>1616</v>
      </c>
      <c r="F252" s="295">
        <f t="shared" si="7"/>
        <v>249</v>
      </c>
    </row>
    <row r="253" spans="2:6">
      <c r="B253" s="344" t="s">
        <v>1618</v>
      </c>
      <c r="C253" s="295">
        <f t="shared" si="6"/>
        <v>252</v>
      </c>
      <c r="E253" s="344" t="s">
        <v>1617</v>
      </c>
      <c r="F253" s="295">
        <f t="shared" si="7"/>
        <v>250</v>
      </c>
    </row>
    <row r="254" spans="2:6">
      <c r="B254" s="344" t="s">
        <v>1619</v>
      </c>
      <c r="C254" s="295">
        <f t="shared" si="6"/>
        <v>253</v>
      </c>
      <c r="E254" s="344" t="s">
        <v>1618</v>
      </c>
      <c r="F254" s="295">
        <f t="shared" si="7"/>
        <v>251</v>
      </c>
    </row>
    <row r="255" spans="2:6">
      <c r="B255" s="344" t="s">
        <v>1620</v>
      </c>
      <c r="C255" s="295">
        <f t="shared" si="6"/>
        <v>254</v>
      </c>
      <c r="E255" s="344" t="s">
        <v>1619</v>
      </c>
      <c r="F255" s="295">
        <f t="shared" si="7"/>
        <v>252</v>
      </c>
    </row>
    <row r="256" spans="2:6">
      <c r="B256" s="344" t="s">
        <v>1621</v>
      </c>
      <c r="C256" s="295">
        <f t="shared" si="6"/>
        <v>255</v>
      </c>
      <c r="E256" s="344" t="s">
        <v>1620</v>
      </c>
      <c r="F256" s="295">
        <f t="shared" si="7"/>
        <v>253</v>
      </c>
    </row>
    <row r="257" spans="2:6">
      <c r="B257" s="344" t="s">
        <v>1622</v>
      </c>
      <c r="C257" s="295">
        <f t="shared" si="6"/>
        <v>256</v>
      </c>
      <c r="E257" s="344" t="s">
        <v>1621</v>
      </c>
      <c r="F257" s="295">
        <f t="shared" si="7"/>
        <v>254</v>
      </c>
    </row>
    <row r="258" spans="2:6">
      <c r="B258" s="344" t="s">
        <v>1623</v>
      </c>
      <c r="C258" s="295">
        <f t="shared" si="6"/>
        <v>257</v>
      </c>
      <c r="E258" s="344" t="s">
        <v>1622</v>
      </c>
      <c r="F258" s="295">
        <f t="shared" si="7"/>
        <v>255</v>
      </c>
    </row>
    <row r="259" spans="2:6">
      <c r="B259" s="344" t="s">
        <v>1624</v>
      </c>
      <c r="C259" s="295">
        <f t="shared" si="6"/>
        <v>258</v>
      </c>
      <c r="E259" s="344" t="s">
        <v>1623</v>
      </c>
      <c r="F259" s="295">
        <f t="shared" si="7"/>
        <v>256</v>
      </c>
    </row>
    <row r="260" spans="2:6">
      <c r="B260" s="344" t="s">
        <v>1625</v>
      </c>
      <c r="C260" s="295">
        <f t="shared" ref="C260:C323" si="8">IFERROR(MATCH($B260,$E$3:$E$3000,0),"НЕ НАЙДЕН")</f>
        <v>259</v>
      </c>
      <c r="E260" s="344" t="s">
        <v>1624</v>
      </c>
      <c r="F260" s="295">
        <f t="shared" ref="F260:F323" si="9">IFERROR(MATCH($E260,$B$3:$B$3003,0),"НЕ НАЙДЕН")</f>
        <v>257</v>
      </c>
    </row>
    <row r="261" spans="2:6">
      <c r="B261" s="344" t="s">
        <v>1626</v>
      </c>
      <c r="C261" s="295">
        <f t="shared" si="8"/>
        <v>260</v>
      </c>
      <c r="E261" s="344" t="s">
        <v>1625</v>
      </c>
      <c r="F261" s="295">
        <f t="shared" si="9"/>
        <v>258</v>
      </c>
    </row>
    <row r="262" spans="2:6">
      <c r="B262" s="344" t="s">
        <v>1627</v>
      </c>
      <c r="C262" s="295">
        <f t="shared" si="8"/>
        <v>261</v>
      </c>
      <c r="E262" s="344" t="s">
        <v>1626</v>
      </c>
      <c r="F262" s="295">
        <f t="shared" si="9"/>
        <v>259</v>
      </c>
    </row>
    <row r="263" spans="2:6">
      <c r="B263" s="344" t="s">
        <v>1628</v>
      </c>
      <c r="C263" s="295">
        <f t="shared" si="8"/>
        <v>262</v>
      </c>
      <c r="E263" s="344" t="s">
        <v>1627</v>
      </c>
      <c r="F263" s="295">
        <f t="shared" si="9"/>
        <v>260</v>
      </c>
    </row>
    <row r="264" spans="2:6">
      <c r="B264" s="344" t="s">
        <v>1629</v>
      </c>
      <c r="C264" s="295">
        <f t="shared" si="8"/>
        <v>263</v>
      </c>
      <c r="E264" s="344" t="s">
        <v>1628</v>
      </c>
      <c r="F264" s="295">
        <f t="shared" si="9"/>
        <v>261</v>
      </c>
    </row>
    <row r="265" spans="2:6">
      <c r="B265" s="344" t="s">
        <v>1630</v>
      </c>
      <c r="C265" s="295">
        <f t="shared" si="8"/>
        <v>264</v>
      </c>
      <c r="E265" s="344" t="s">
        <v>1629</v>
      </c>
      <c r="F265" s="295">
        <f t="shared" si="9"/>
        <v>262</v>
      </c>
    </row>
    <row r="266" spans="2:6">
      <c r="B266" s="344" t="s">
        <v>1631</v>
      </c>
      <c r="C266" s="295">
        <f t="shared" si="8"/>
        <v>265</v>
      </c>
      <c r="E266" s="344" t="s">
        <v>1630</v>
      </c>
      <c r="F266" s="295">
        <f t="shared" si="9"/>
        <v>263</v>
      </c>
    </row>
    <row r="267" spans="2:6">
      <c r="B267" s="344" t="s">
        <v>1632</v>
      </c>
      <c r="C267" s="295">
        <f t="shared" si="8"/>
        <v>266</v>
      </c>
      <c r="E267" s="344" t="s">
        <v>1631</v>
      </c>
      <c r="F267" s="295">
        <f t="shared" si="9"/>
        <v>264</v>
      </c>
    </row>
    <row r="268" spans="2:6">
      <c r="B268" s="344" t="s">
        <v>1633</v>
      </c>
      <c r="C268" s="295">
        <f t="shared" si="8"/>
        <v>267</v>
      </c>
      <c r="E268" s="344" t="s">
        <v>1632</v>
      </c>
      <c r="F268" s="295">
        <f t="shared" si="9"/>
        <v>265</v>
      </c>
    </row>
    <row r="269" spans="2:6">
      <c r="B269" s="344" t="s">
        <v>1634</v>
      </c>
      <c r="C269" s="295">
        <f t="shared" si="8"/>
        <v>268</v>
      </c>
      <c r="E269" s="344" t="s">
        <v>1633</v>
      </c>
      <c r="F269" s="295">
        <f t="shared" si="9"/>
        <v>266</v>
      </c>
    </row>
    <row r="270" spans="2:6">
      <c r="B270" s="344" t="s">
        <v>1635</v>
      </c>
      <c r="C270" s="295">
        <f t="shared" si="8"/>
        <v>269</v>
      </c>
      <c r="E270" s="344" t="s">
        <v>1634</v>
      </c>
      <c r="F270" s="295">
        <f t="shared" si="9"/>
        <v>267</v>
      </c>
    </row>
    <row r="271" spans="2:6">
      <c r="B271" s="344" t="s">
        <v>1636</v>
      </c>
      <c r="C271" s="295">
        <f t="shared" si="8"/>
        <v>270</v>
      </c>
      <c r="E271" s="344" t="s">
        <v>1635</v>
      </c>
      <c r="F271" s="295">
        <f t="shared" si="9"/>
        <v>268</v>
      </c>
    </row>
    <row r="272" spans="2:6">
      <c r="B272" s="344" t="s">
        <v>1637</v>
      </c>
      <c r="C272" s="295">
        <f t="shared" si="8"/>
        <v>271</v>
      </c>
      <c r="E272" s="344" t="s">
        <v>1636</v>
      </c>
      <c r="F272" s="295">
        <f t="shared" si="9"/>
        <v>269</v>
      </c>
    </row>
    <row r="273" spans="2:6">
      <c r="B273" s="344" t="s">
        <v>1864</v>
      </c>
      <c r="C273" s="295">
        <f t="shared" si="8"/>
        <v>272</v>
      </c>
      <c r="E273" s="344" t="s">
        <v>1637</v>
      </c>
      <c r="F273" s="295">
        <f t="shared" si="9"/>
        <v>270</v>
      </c>
    </row>
    <row r="274" spans="2:6">
      <c r="B274" s="344" t="s">
        <v>1638</v>
      </c>
      <c r="C274" s="295">
        <f t="shared" si="8"/>
        <v>273</v>
      </c>
      <c r="E274" s="344" t="s">
        <v>1864</v>
      </c>
      <c r="F274" s="295">
        <f t="shared" si="9"/>
        <v>271</v>
      </c>
    </row>
    <row r="275" spans="2:6">
      <c r="B275" s="344" t="s">
        <v>1865</v>
      </c>
      <c r="C275" s="295">
        <f t="shared" si="8"/>
        <v>274</v>
      </c>
      <c r="E275" s="344" t="s">
        <v>1638</v>
      </c>
      <c r="F275" s="295">
        <f t="shared" si="9"/>
        <v>272</v>
      </c>
    </row>
    <row r="276" spans="2:6">
      <c r="B276" s="344" t="s">
        <v>1866</v>
      </c>
      <c r="C276" s="295">
        <f t="shared" si="8"/>
        <v>275</v>
      </c>
      <c r="E276" s="344" t="s">
        <v>1865</v>
      </c>
      <c r="F276" s="295">
        <f t="shared" si="9"/>
        <v>273</v>
      </c>
    </row>
    <row r="277" spans="2:6">
      <c r="B277" s="344" t="s">
        <v>1639</v>
      </c>
      <c r="C277" s="295">
        <f t="shared" si="8"/>
        <v>276</v>
      </c>
      <c r="E277" s="344" t="s">
        <v>1866</v>
      </c>
      <c r="F277" s="295">
        <f t="shared" si="9"/>
        <v>274</v>
      </c>
    </row>
    <row r="278" spans="2:6">
      <c r="B278" s="344" t="s">
        <v>1640</v>
      </c>
      <c r="C278" s="295">
        <f t="shared" si="8"/>
        <v>277</v>
      </c>
      <c r="E278" s="344" t="s">
        <v>1639</v>
      </c>
      <c r="F278" s="295">
        <f t="shared" si="9"/>
        <v>275</v>
      </c>
    </row>
    <row r="279" spans="2:6">
      <c r="B279" s="344" t="s">
        <v>1867</v>
      </c>
      <c r="C279" s="295">
        <f t="shared" si="8"/>
        <v>278</v>
      </c>
      <c r="E279" s="344" t="s">
        <v>1640</v>
      </c>
      <c r="F279" s="295">
        <f t="shared" si="9"/>
        <v>276</v>
      </c>
    </row>
    <row r="280" spans="2:6">
      <c r="B280" s="344" t="s">
        <v>1641</v>
      </c>
      <c r="C280" s="295">
        <f t="shared" si="8"/>
        <v>279</v>
      </c>
      <c r="E280" s="344" t="s">
        <v>1867</v>
      </c>
      <c r="F280" s="295">
        <f t="shared" si="9"/>
        <v>277</v>
      </c>
    </row>
    <row r="281" spans="2:6">
      <c r="B281" s="344" t="s">
        <v>1642</v>
      </c>
      <c r="C281" s="295">
        <f t="shared" si="8"/>
        <v>280</v>
      </c>
      <c r="E281" s="344" t="s">
        <v>1641</v>
      </c>
      <c r="F281" s="295">
        <f t="shared" si="9"/>
        <v>278</v>
      </c>
    </row>
    <row r="282" spans="2:6">
      <c r="B282" s="344" t="s">
        <v>1643</v>
      </c>
      <c r="C282" s="295">
        <f t="shared" si="8"/>
        <v>281</v>
      </c>
      <c r="E282" s="344" t="s">
        <v>1642</v>
      </c>
      <c r="F282" s="295">
        <f t="shared" si="9"/>
        <v>279</v>
      </c>
    </row>
    <row r="283" spans="2:6">
      <c r="B283" s="344" t="s">
        <v>1868</v>
      </c>
      <c r="C283" s="295">
        <f t="shared" si="8"/>
        <v>282</v>
      </c>
      <c r="E283" s="344" t="s">
        <v>1643</v>
      </c>
      <c r="F283" s="295">
        <f t="shared" si="9"/>
        <v>280</v>
      </c>
    </row>
    <row r="284" spans="2:6">
      <c r="B284" s="344" t="s">
        <v>1644</v>
      </c>
      <c r="C284" s="295">
        <f t="shared" si="8"/>
        <v>283</v>
      </c>
      <c r="E284" s="344" t="s">
        <v>1868</v>
      </c>
      <c r="F284" s="295">
        <f t="shared" si="9"/>
        <v>281</v>
      </c>
    </row>
    <row r="285" spans="2:6">
      <c r="B285" s="344" t="s">
        <v>1645</v>
      </c>
      <c r="C285" s="295">
        <f t="shared" si="8"/>
        <v>284</v>
      </c>
      <c r="E285" s="344" t="s">
        <v>1644</v>
      </c>
      <c r="F285" s="295">
        <f t="shared" si="9"/>
        <v>282</v>
      </c>
    </row>
    <row r="286" spans="2:6">
      <c r="B286" s="344" t="s">
        <v>1646</v>
      </c>
      <c r="C286" s="295">
        <f t="shared" si="8"/>
        <v>285</v>
      </c>
      <c r="E286" s="344" t="s">
        <v>1645</v>
      </c>
      <c r="F286" s="295">
        <f t="shared" si="9"/>
        <v>283</v>
      </c>
    </row>
    <row r="287" spans="2:6">
      <c r="B287" s="344" t="s">
        <v>1869</v>
      </c>
      <c r="C287" s="295">
        <f t="shared" si="8"/>
        <v>286</v>
      </c>
      <c r="E287" s="344" t="s">
        <v>1646</v>
      </c>
      <c r="F287" s="295">
        <f t="shared" si="9"/>
        <v>284</v>
      </c>
    </row>
    <row r="288" spans="2:6">
      <c r="B288" s="344" t="s">
        <v>1647</v>
      </c>
      <c r="C288" s="295">
        <f t="shared" si="8"/>
        <v>287</v>
      </c>
      <c r="E288" s="344" t="s">
        <v>1869</v>
      </c>
      <c r="F288" s="295">
        <f t="shared" si="9"/>
        <v>285</v>
      </c>
    </row>
    <row r="289" spans="2:6">
      <c r="B289" s="344" t="s">
        <v>1648</v>
      </c>
      <c r="C289" s="295">
        <f t="shared" si="8"/>
        <v>288</v>
      </c>
      <c r="E289" s="344" t="s">
        <v>1647</v>
      </c>
      <c r="F289" s="295">
        <f t="shared" si="9"/>
        <v>286</v>
      </c>
    </row>
    <row r="290" spans="2:6">
      <c r="B290" s="344" t="s">
        <v>1870</v>
      </c>
      <c r="C290" s="295">
        <f t="shared" si="8"/>
        <v>289</v>
      </c>
      <c r="E290" s="344" t="s">
        <v>1648</v>
      </c>
      <c r="F290" s="295">
        <f t="shared" si="9"/>
        <v>287</v>
      </c>
    </row>
    <row r="291" spans="2:6">
      <c r="B291" s="344" t="s">
        <v>1649</v>
      </c>
      <c r="C291" s="295">
        <f t="shared" si="8"/>
        <v>290</v>
      </c>
      <c r="E291" s="344" t="s">
        <v>1870</v>
      </c>
      <c r="F291" s="295">
        <f t="shared" si="9"/>
        <v>288</v>
      </c>
    </row>
    <row r="292" spans="2:6">
      <c r="B292" s="344" t="s">
        <v>1650</v>
      </c>
      <c r="C292" s="295">
        <f t="shared" si="8"/>
        <v>291</v>
      </c>
      <c r="E292" s="344" t="s">
        <v>1649</v>
      </c>
      <c r="F292" s="295">
        <f t="shared" si="9"/>
        <v>289</v>
      </c>
    </row>
    <row r="293" spans="2:6">
      <c r="B293" s="344" t="s">
        <v>1651</v>
      </c>
      <c r="C293" s="295">
        <f t="shared" si="8"/>
        <v>292</v>
      </c>
      <c r="E293" s="344" t="s">
        <v>1650</v>
      </c>
      <c r="F293" s="295">
        <f t="shared" si="9"/>
        <v>290</v>
      </c>
    </row>
    <row r="294" spans="2:6">
      <c r="B294" s="344" t="s">
        <v>1652</v>
      </c>
      <c r="C294" s="295">
        <f t="shared" si="8"/>
        <v>293</v>
      </c>
      <c r="E294" s="344" t="s">
        <v>1651</v>
      </c>
      <c r="F294" s="295">
        <f t="shared" si="9"/>
        <v>291</v>
      </c>
    </row>
    <row r="295" spans="2:6">
      <c r="B295" s="344" t="s">
        <v>1653</v>
      </c>
      <c r="C295" s="295">
        <f t="shared" si="8"/>
        <v>294</v>
      </c>
      <c r="E295" s="344" t="s">
        <v>1652</v>
      </c>
      <c r="F295" s="295">
        <f t="shared" si="9"/>
        <v>292</v>
      </c>
    </row>
    <row r="296" spans="2:6">
      <c r="B296" s="344" t="s">
        <v>1654</v>
      </c>
      <c r="C296" s="295">
        <f t="shared" si="8"/>
        <v>295</v>
      </c>
      <c r="E296" s="344" t="s">
        <v>1653</v>
      </c>
      <c r="F296" s="295">
        <f t="shared" si="9"/>
        <v>293</v>
      </c>
    </row>
    <row r="297" spans="2:6">
      <c r="B297" s="344" t="s">
        <v>1655</v>
      </c>
      <c r="C297" s="295">
        <f t="shared" si="8"/>
        <v>296</v>
      </c>
      <c r="E297" s="344" t="s">
        <v>1654</v>
      </c>
      <c r="F297" s="295">
        <f t="shared" si="9"/>
        <v>294</v>
      </c>
    </row>
    <row r="298" spans="2:6">
      <c r="B298" s="344" t="s">
        <v>1656</v>
      </c>
      <c r="C298" s="295">
        <f t="shared" si="8"/>
        <v>297</v>
      </c>
      <c r="E298" s="344" t="s">
        <v>1655</v>
      </c>
      <c r="F298" s="295">
        <f t="shared" si="9"/>
        <v>295</v>
      </c>
    </row>
    <row r="299" spans="2:6">
      <c r="B299" s="344" t="s">
        <v>1657</v>
      </c>
      <c r="C299" s="295">
        <f t="shared" si="8"/>
        <v>298</v>
      </c>
      <c r="E299" s="344" t="s">
        <v>1656</v>
      </c>
      <c r="F299" s="295">
        <f t="shared" si="9"/>
        <v>296</v>
      </c>
    </row>
    <row r="300" spans="2:6">
      <c r="B300" s="344" t="s">
        <v>1658</v>
      </c>
      <c r="C300" s="295">
        <f t="shared" si="8"/>
        <v>299</v>
      </c>
      <c r="E300" s="344" t="s">
        <v>1657</v>
      </c>
      <c r="F300" s="295">
        <f t="shared" si="9"/>
        <v>297</v>
      </c>
    </row>
    <row r="301" spans="2:6">
      <c r="B301" s="344" t="s">
        <v>1659</v>
      </c>
      <c r="C301" s="295">
        <f t="shared" si="8"/>
        <v>300</v>
      </c>
      <c r="E301" s="344" t="s">
        <v>1658</v>
      </c>
      <c r="F301" s="295">
        <f t="shared" si="9"/>
        <v>298</v>
      </c>
    </row>
    <row r="302" spans="2:6">
      <c r="B302" s="344" t="s">
        <v>1660</v>
      </c>
      <c r="C302" s="295">
        <f t="shared" si="8"/>
        <v>301</v>
      </c>
      <c r="E302" s="344" t="s">
        <v>1659</v>
      </c>
      <c r="F302" s="295">
        <f t="shared" si="9"/>
        <v>299</v>
      </c>
    </row>
    <row r="303" spans="2:6">
      <c r="B303" s="344" t="s">
        <v>1661</v>
      </c>
      <c r="C303" s="295">
        <f t="shared" si="8"/>
        <v>302</v>
      </c>
      <c r="E303" s="344" t="s">
        <v>1660</v>
      </c>
      <c r="F303" s="295">
        <f t="shared" si="9"/>
        <v>300</v>
      </c>
    </row>
    <row r="304" spans="2:6">
      <c r="B304" s="344" t="s">
        <v>1662</v>
      </c>
      <c r="C304" s="295">
        <f t="shared" si="8"/>
        <v>303</v>
      </c>
      <c r="E304" s="344" t="s">
        <v>1661</v>
      </c>
      <c r="F304" s="295">
        <f t="shared" si="9"/>
        <v>301</v>
      </c>
    </row>
    <row r="305" spans="2:6">
      <c r="B305" s="344" t="s">
        <v>1663</v>
      </c>
      <c r="C305" s="295">
        <f t="shared" si="8"/>
        <v>304</v>
      </c>
      <c r="E305" s="344" t="s">
        <v>1662</v>
      </c>
      <c r="F305" s="295">
        <f t="shared" si="9"/>
        <v>302</v>
      </c>
    </row>
    <row r="306" spans="2:6">
      <c r="B306" s="344" t="s">
        <v>1664</v>
      </c>
      <c r="C306" s="295">
        <f t="shared" si="8"/>
        <v>305</v>
      </c>
      <c r="E306" s="344" t="s">
        <v>1663</v>
      </c>
      <c r="F306" s="295">
        <f t="shared" si="9"/>
        <v>303</v>
      </c>
    </row>
    <row r="307" spans="2:6">
      <c r="B307" s="344" t="s">
        <v>1665</v>
      </c>
      <c r="C307" s="295">
        <f t="shared" si="8"/>
        <v>306</v>
      </c>
      <c r="E307" s="344" t="s">
        <v>1664</v>
      </c>
      <c r="F307" s="295">
        <f t="shared" si="9"/>
        <v>304</v>
      </c>
    </row>
    <row r="308" spans="2:6">
      <c r="B308" s="344" t="s">
        <v>1666</v>
      </c>
      <c r="C308" s="295">
        <f t="shared" si="8"/>
        <v>307</v>
      </c>
      <c r="E308" s="344" t="s">
        <v>1665</v>
      </c>
      <c r="F308" s="295">
        <f t="shared" si="9"/>
        <v>305</v>
      </c>
    </row>
    <row r="309" spans="2:6">
      <c r="B309" s="344" t="s">
        <v>1667</v>
      </c>
      <c r="C309" s="295">
        <f t="shared" si="8"/>
        <v>308</v>
      </c>
      <c r="E309" s="344" t="s">
        <v>1666</v>
      </c>
      <c r="F309" s="295">
        <f t="shared" si="9"/>
        <v>306</v>
      </c>
    </row>
    <row r="310" spans="2:6">
      <c r="B310" s="344" t="s">
        <v>1668</v>
      </c>
      <c r="C310" s="295">
        <f t="shared" si="8"/>
        <v>309</v>
      </c>
      <c r="E310" s="344" t="s">
        <v>1667</v>
      </c>
      <c r="F310" s="295">
        <f t="shared" si="9"/>
        <v>307</v>
      </c>
    </row>
    <row r="311" spans="2:6">
      <c r="B311" s="344" t="s">
        <v>1669</v>
      </c>
      <c r="C311" s="295">
        <f t="shared" si="8"/>
        <v>310</v>
      </c>
      <c r="E311" s="344" t="s">
        <v>1668</v>
      </c>
      <c r="F311" s="295">
        <f t="shared" si="9"/>
        <v>308</v>
      </c>
    </row>
    <row r="312" spans="2:6">
      <c r="B312" s="344" t="s">
        <v>1670</v>
      </c>
      <c r="C312" s="295">
        <f t="shared" si="8"/>
        <v>311</v>
      </c>
      <c r="E312" s="344" t="s">
        <v>1669</v>
      </c>
      <c r="F312" s="295">
        <f t="shared" si="9"/>
        <v>309</v>
      </c>
    </row>
    <row r="313" spans="2:6">
      <c r="B313" s="344" t="s">
        <v>1671</v>
      </c>
      <c r="C313" s="295">
        <f t="shared" si="8"/>
        <v>312</v>
      </c>
      <c r="E313" s="344" t="s">
        <v>1670</v>
      </c>
      <c r="F313" s="295">
        <f t="shared" si="9"/>
        <v>310</v>
      </c>
    </row>
    <row r="314" spans="2:6">
      <c r="B314" s="344" t="s">
        <v>1672</v>
      </c>
      <c r="C314" s="295">
        <f t="shared" si="8"/>
        <v>313</v>
      </c>
      <c r="E314" s="344" t="s">
        <v>1671</v>
      </c>
      <c r="F314" s="295">
        <f t="shared" si="9"/>
        <v>311</v>
      </c>
    </row>
    <row r="315" spans="2:6">
      <c r="B315" s="344" t="s">
        <v>1673</v>
      </c>
      <c r="C315" s="295">
        <f t="shared" si="8"/>
        <v>314</v>
      </c>
      <c r="E315" s="344" t="s">
        <v>1672</v>
      </c>
      <c r="F315" s="295">
        <f t="shared" si="9"/>
        <v>312</v>
      </c>
    </row>
    <row r="316" spans="2:6">
      <c r="B316" s="344" t="s">
        <v>1674</v>
      </c>
      <c r="C316" s="295">
        <f t="shared" si="8"/>
        <v>315</v>
      </c>
      <c r="E316" s="344" t="s">
        <v>1673</v>
      </c>
      <c r="F316" s="295">
        <f t="shared" si="9"/>
        <v>313</v>
      </c>
    </row>
    <row r="317" spans="2:6">
      <c r="B317" s="344" t="s">
        <v>1675</v>
      </c>
      <c r="C317" s="295">
        <f t="shared" si="8"/>
        <v>316</v>
      </c>
      <c r="E317" s="344" t="s">
        <v>1674</v>
      </c>
      <c r="F317" s="295">
        <f t="shared" si="9"/>
        <v>314</v>
      </c>
    </row>
    <row r="318" spans="2:6">
      <c r="B318" s="344" t="s">
        <v>1676</v>
      </c>
      <c r="C318" s="295">
        <f t="shared" si="8"/>
        <v>317</v>
      </c>
      <c r="E318" s="344" t="s">
        <v>1675</v>
      </c>
      <c r="F318" s="295">
        <f t="shared" si="9"/>
        <v>315</v>
      </c>
    </row>
    <row r="319" spans="2:6">
      <c r="B319" s="344" t="s">
        <v>1677</v>
      </c>
      <c r="C319" s="295">
        <f t="shared" si="8"/>
        <v>318</v>
      </c>
      <c r="E319" s="344" t="s">
        <v>1676</v>
      </c>
      <c r="F319" s="295">
        <f t="shared" si="9"/>
        <v>316</v>
      </c>
    </row>
    <row r="320" spans="2:6">
      <c r="B320" s="344" t="s">
        <v>1678</v>
      </c>
      <c r="C320" s="295">
        <f t="shared" si="8"/>
        <v>319</v>
      </c>
      <c r="E320" s="344" t="s">
        <v>1677</v>
      </c>
      <c r="F320" s="295">
        <f t="shared" si="9"/>
        <v>317</v>
      </c>
    </row>
    <row r="321" spans="2:6">
      <c r="B321" s="344" t="s">
        <v>1679</v>
      </c>
      <c r="C321" s="295">
        <f t="shared" si="8"/>
        <v>320</v>
      </c>
      <c r="E321" s="344" t="s">
        <v>1678</v>
      </c>
      <c r="F321" s="295">
        <f t="shared" si="9"/>
        <v>318</v>
      </c>
    </row>
    <row r="322" spans="2:6">
      <c r="B322" s="344" t="s">
        <v>1680</v>
      </c>
      <c r="C322" s="295">
        <f t="shared" si="8"/>
        <v>321</v>
      </c>
      <c r="E322" s="344" t="s">
        <v>1679</v>
      </c>
      <c r="F322" s="295">
        <f t="shared" si="9"/>
        <v>319</v>
      </c>
    </row>
    <row r="323" spans="2:6">
      <c r="B323" s="344" t="s">
        <v>1681</v>
      </c>
      <c r="C323" s="295">
        <f t="shared" si="8"/>
        <v>322</v>
      </c>
      <c r="E323" s="344" t="s">
        <v>1680</v>
      </c>
      <c r="F323" s="295">
        <f t="shared" si="9"/>
        <v>320</v>
      </c>
    </row>
    <row r="324" spans="2:6">
      <c r="B324" s="344" t="s">
        <v>1682</v>
      </c>
      <c r="C324" s="295">
        <f t="shared" ref="C324:C387" si="10">IFERROR(MATCH($B324,$E$3:$E$3000,0),"НЕ НАЙДЕН")</f>
        <v>323</v>
      </c>
      <c r="E324" s="344" t="s">
        <v>1681</v>
      </c>
      <c r="F324" s="295">
        <f t="shared" ref="F324:F387" si="11">IFERROR(MATCH($E324,$B$3:$B$3003,0),"НЕ НАЙДЕН")</f>
        <v>321</v>
      </c>
    </row>
    <row r="325" spans="2:6">
      <c r="B325" s="344" t="s">
        <v>1683</v>
      </c>
      <c r="C325" s="295">
        <f t="shared" si="10"/>
        <v>324</v>
      </c>
      <c r="E325" s="344" t="s">
        <v>1682</v>
      </c>
      <c r="F325" s="295">
        <f t="shared" si="11"/>
        <v>322</v>
      </c>
    </row>
    <row r="326" spans="2:6">
      <c r="B326" s="344" t="s">
        <v>1684</v>
      </c>
      <c r="C326" s="295">
        <f t="shared" si="10"/>
        <v>325</v>
      </c>
      <c r="E326" s="344" t="s">
        <v>1683</v>
      </c>
      <c r="F326" s="295">
        <f t="shared" si="11"/>
        <v>323</v>
      </c>
    </row>
    <row r="327" spans="2:6">
      <c r="B327" s="344" t="s">
        <v>1685</v>
      </c>
      <c r="C327" s="295">
        <f t="shared" si="10"/>
        <v>326</v>
      </c>
      <c r="E327" s="344" t="s">
        <v>1684</v>
      </c>
      <c r="F327" s="295">
        <f t="shared" si="11"/>
        <v>324</v>
      </c>
    </row>
    <row r="328" spans="2:6">
      <c r="B328" s="344" t="s">
        <v>1686</v>
      </c>
      <c r="C328" s="295">
        <f t="shared" si="10"/>
        <v>327</v>
      </c>
      <c r="E328" s="344" t="s">
        <v>1685</v>
      </c>
      <c r="F328" s="295">
        <f t="shared" si="11"/>
        <v>325</v>
      </c>
    </row>
    <row r="329" spans="2:6">
      <c r="B329" s="344" t="s">
        <v>1687</v>
      </c>
      <c r="C329" s="295">
        <f t="shared" si="10"/>
        <v>328</v>
      </c>
      <c r="E329" s="344" t="s">
        <v>1686</v>
      </c>
      <c r="F329" s="295">
        <f t="shared" si="11"/>
        <v>326</v>
      </c>
    </row>
    <row r="330" spans="2:6">
      <c r="B330" s="344" t="s">
        <v>1688</v>
      </c>
      <c r="C330" s="295">
        <f t="shared" si="10"/>
        <v>329</v>
      </c>
      <c r="E330" s="344" t="s">
        <v>1687</v>
      </c>
      <c r="F330" s="295">
        <f t="shared" si="11"/>
        <v>327</v>
      </c>
    </row>
    <row r="331" spans="2:6">
      <c r="B331" s="344" t="s">
        <v>1689</v>
      </c>
      <c r="C331" s="295">
        <f t="shared" si="10"/>
        <v>330</v>
      </c>
      <c r="E331" s="344" t="s">
        <v>1688</v>
      </c>
      <c r="F331" s="295">
        <f t="shared" si="11"/>
        <v>328</v>
      </c>
    </row>
    <row r="332" spans="2:6">
      <c r="B332" s="344" t="s">
        <v>1690</v>
      </c>
      <c r="C332" s="295">
        <f t="shared" si="10"/>
        <v>331</v>
      </c>
      <c r="E332" s="344" t="s">
        <v>1689</v>
      </c>
      <c r="F332" s="295">
        <f t="shared" si="11"/>
        <v>329</v>
      </c>
    </row>
    <row r="333" spans="2:6">
      <c r="B333" s="344" t="s">
        <v>1691</v>
      </c>
      <c r="C333" s="295">
        <f t="shared" si="10"/>
        <v>332</v>
      </c>
      <c r="E333" s="344" t="s">
        <v>1690</v>
      </c>
      <c r="F333" s="295">
        <f t="shared" si="11"/>
        <v>330</v>
      </c>
    </row>
    <row r="334" spans="2:6">
      <c r="B334" s="344" t="s">
        <v>1692</v>
      </c>
      <c r="C334" s="295">
        <f t="shared" si="10"/>
        <v>333</v>
      </c>
      <c r="E334" s="344" t="s">
        <v>1691</v>
      </c>
      <c r="F334" s="295">
        <f t="shared" si="11"/>
        <v>331</v>
      </c>
    </row>
    <row r="335" spans="2:6">
      <c r="B335" s="344" t="s">
        <v>1693</v>
      </c>
      <c r="C335" s="295">
        <f t="shared" si="10"/>
        <v>334</v>
      </c>
      <c r="E335" s="344" t="s">
        <v>1692</v>
      </c>
      <c r="F335" s="295">
        <f t="shared" si="11"/>
        <v>332</v>
      </c>
    </row>
    <row r="336" spans="2:6">
      <c r="B336" s="344" t="s">
        <v>1694</v>
      </c>
      <c r="C336" s="295">
        <f t="shared" si="10"/>
        <v>335</v>
      </c>
      <c r="E336" s="344" t="s">
        <v>1693</v>
      </c>
      <c r="F336" s="295">
        <f t="shared" si="11"/>
        <v>333</v>
      </c>
    </row>
    <row r="337" spans="2:6">
      <c r="B337" s="344" t="s">
        <v>1695</v>
      </c>
      <c r="C337" s="295">
        <f t="shared" si="10"/>
        <v>336</v>
      </c>
      <c r="E337" s="344" t="s">
        <v>1694</v>
      </c>
      <c r="F337" s="295">
        <f t="shared" si="11"/>
        <v>334</v>
      </c>
    </row>
    <row r="338" spans="2:6">
      <c r="B338" s="344" t="s">
        <v>1696</v>
      </c>
      <c r="C338" s="295">
        <f t="shared" si="10"/>
        <v>337</v>
      </c>
      <c r="E338" s="344" t="s">
        <v>1695</v>
      </c>
      <c r="F338" s="295">
        <f t="shared" si="11"/>
        <v>335</v>
      </c>
    </row>
    <row r="339" spans="2:6">
      <c r="B339" s="344" t="s">
        <v>1697</v>
      </c>
      <c r="C339" s="295">
        <f t="shared" si="10"/>
        <v>338</v>
      </c>
      <c r="E339" s="344" t="s">
        <v>1696</v>
      </c>
      <c r="F339" s="295">
        <f t="shared" si="11"/>
        <v>336</v>
      </c>
    </row>
    <row r="340" spans="2:6">
      <c r="B340" s="344" t="s">
        <v>1698</v>
      </c>
      <c r="C340" s="295">
        <f t="shared" si="10"/>
        <v>339</v>
      </c>
      <c r="E340" s="344" t="s">
        <v>1697</v>
      </c>
      <c r="F340" s="295">
        <f t="shared" si="11"/>
        <v>337</v>
      </c>
    </row>
    <row r="341" spans="2:6">
      <c r="B341" s="344" t="s">
        <v>1699</v>
      </c>
      <c r="C341" s="295">
        <f t="shared" si="10"/>
        <v>340</v>
      </c>
      <c r="E341" s="344" t="s">
        <v>1698</v>
      </c>
      <c r="F341" s="295">
        <f t="shared" si="11"/>
        <v>338</v>
      </c>
    </row>
    <row r="342" spans="2:6">
      <c r="B342" s="344" t="s">
        <v>1700</v>
      </c>
      <c r="C342" s="295">
        <f t="shared" si="10"/>
        <v>341</v>
      </c>
      <c r="E342" s="344" t="s">
        <v>1699</v>
      </c>
      <c r="F342" s="295">
        <f t="shared" si="11"/>
        <v>339</v>
      </c>
    </row>
    <row r="343" spans="2:6">
      <c r="B343" s="344" t="s">
        <v>1701</v>
      </c>
      <c r="C343" s="295">
        <f t="shared" si="10"/>
        <v>342</v>
      </c>
      <c r="E343" s="344" t="s">
        <v>1700</v>
      </c>
      <c r="F343" s="295">
        <f t="shared" si="11"/>
        <v>340</v>
      </c>
    </row>
    <row r="344" spans="2:6">
      <c r="B344" s="344" t="s">
        <v>1702</v>
      </c>
      <c r="C344" s="295">
        <f t="shared" si="10"/>
        <v>343</v>
      </c>
      <c r="E344" s="344" t="s">
        <v>1701</v>
      </c>
      <c r="F344" s="295">
        <f t="shared" si="11"/>
        <v>341</v>
      </c>
    </row>
    <row r="345" spans="2:6">
      <c r="B345" s="344" t="s">
        <v>1703</v>
      </c>
      <c r="C345" s="295">
        <f t="shared" si="10"/>
        <v>344</v>
      </c>
      <c r="E345" s="344" t="s">
        <v>1702</v>
      </c>
      <c r="F345" s="295">
        <f t="shared" si="11"/>
        <v>342</v>
      </c>
    </row>
    <row r="346" spans="2:6">
      <c r="B346" s="344" t="s">
        <v>1704</v>
      </c>
      <c r="C346" s="295">
        <f t="shared" si="10"/>
        <v>345</v>
      </c>
      <c r="E346" s="344" t="s">
        <v>1703</v>
      </c>
      <c r="F346" s="295">
        <f t="shared" si="11"/>
        <v>343</v>
      </c>
    </row>
    <row r="347" spans="2:6">
      <c r="B347" s="344" t="s">
        <v>1705</v>
      </c>
      <c r="C347" s="295">
        <f t="shared" si="10"/>
        <v>346</v>
      </c>
      <c r="E347" s="344" t="s">
        <v>1704</v>
      </c>
      <c r="F347" s="295">
        <f t="shared" si="11"/>
        <v>344</v>
      </c>
    </row>
    <row r="348" spans="2:6">
      <c r="B348" s="344" t="s">
        <v>1706</v>
      </c>
      <c r="C348" s="295">
        <f t="shared" si="10"/>
        <v>347</v>
      </c>
      <c r="E348" s="344" t="s">
        <v>1705</v>
      </c>
      <c r="F348" s="295">
        <f t="shared" si="11"/>
        <v>345</v>
      </c>
    </row>
    <row r="349" spans="2:6">
      <c r="B349" s="344" t="s">
        <v>1707</v>
      </c>
      <c r="C349" s="295">
        <f t="shared" si="10"/>
        <v>348</v>
      </c>
      <c r="E349" s="344" t="s">
        <v>1706</v>
      </c>
      <c r="F349" s="295">
        <f t="shared" si="11"/>
        <v>346</v>
      </c>
    </row>
    <row r="350" spans="2:6">
      <c r="B350" s="344" t="s">
        <v>1708</v>
      </c>
      <c r="C350" s="295">
        <f t="shared" si="10"/>
        <v>349</v>
      </c>
      <c r="E350" s="344" t="s">
        <v>1707</v>
      </c>
      <c r="F350" s="295">
        <f t="shared" si="11"/>
        <v>347</v>
      </c>
    </row>
    <row r="351" spans="2:6">
      <c r="B351" s="344" t="s">
        <v>1709</v>
      </c>
      <c r="C351" s="295">
        <f t="shared" si="10"/>
        <v>350</v>
      </c>
      <c r="E351" s="344" t="s">
        <v>1708</v>
      </c>
      <c r="F351" s="295">
        <f t="shared" si="11"/>
        <v>348</v>
      </c>
    </row>
    <row r="352" spans="2:6">
      <c r="B352" s="344" t="s">
        <v>1710</v>
      </c>
      <c r="C352" s="295">
        <f t="shared" si="10"/>
        <v>351</v>
      </c>
      <c r="E352" s="344" t="s">
        <v>1709</v>
      </c>
      <c r="F352" s="295">
        <f t="shared" si="11"/>
        <v>349</v>
      </c>
    </row>
    <row r="353" spans="2:6">
      <c r="B353" s="344" t="s">
        <v>1711</v>
      </c>
      <c r="C353" s="295">
        <f t="shared" si="10"/>
        <v>352</v>
      </c>
      <c r="E353" s="344" t="s">
        <v>1710</v>
      </c>
      <c r="F353" s="295">
        <f t="shared" si="11"/>
        <v>350</v>
      </c>
    </row>
    <row r="354" spans="2:6">
      <c r="B354" s="344" t="s">
        <v>1712</v>
      </c>
      <c r="C354" s="295">
        <f t="shared" si="10"/>
        <v>353</v>
      </c>
      <c r="E354" s="344" t="s">
        <v>1711</v>
      </c>
      <c r="F354" s="295">
        <f t="shared" si="11"/>
        <v>351</v>
      </c>
    </row>
    <row r="355" spans="2:6">
      <c r="B355" s="344" t="s">
        <v>1713</v>
      </c>
      <c r="C355" s="295">
        <f t="shared" si="10"/>
        <v>354</v>
      </c>
      <c r="E355" s="344" t="s">
        <v>1712</v>
      </c>
      <c r="F355" s="295">
        <f t="shared" si="11"/>
        <v>352</v>
      </c>
    </row>
    <row r="356" spans="2:6">
      <c r="B356" s="344" t="s">
        <v>1714</v>
      </c>
      <c r="C356" s="295">
        <f t="shared" si="10"/>
        <v>355</v>
      </c>
      <c r="E356" s="344" t="s">
        <v>1713</v>
      </c>
      <c r="F356" s="295">
        <f t="shared" si="11"/>
        <v>353</v>
      </c>
    </row>
    <row r="357" spans="2:6">
      <c r="B357" s="344" t="s">
        <v>1715</v>
      </c>
      <c r="C357" s="295">
        <f t="shared" si="10"/>
        <v>356</v>
      </c>
      <c r="E357" s="344" t="s">
        <v>1714</v>
      </c>
      <c r="F357" s="295">
        <f t="shared" si="11"/>
        <v>354</v>
      </c>
    </row>
    <row r="358" spans="2:6">
      <c r="B358" s="344" t="s">
        <v>1716</v>
      </c>
      <c r="C358" s="295">
        <f t="shared" si="10"/>
        <v>357</v>
      </c>
      <c r="E358" s="344" t="s">
        <v>1715</v>
      </c>
      <c r="F358" s="295">
        <f t="shared" si="11"/>
        <v>355</v>
      </c>
    </row>
    <row r="359" spans="2:6">
      <c r="B359" s="344" t="s">
        <v>1717</v>
      </c>
      <c r="C359" s="295" t="str">
        <f t="shared" si="10"/>
        <v>НЕ НАЙДЕН</v>
      </c>
      <c r="E359" s="344" t="s">
        <v>1716</v>
      </c>
      <c r="F359" s="295">
        <f t="shared" si="11"/>
        <v>356</v>
      </c>
    </row>
    <row r="360" spans="2:6">
      <c r="B360" s="344" t="s">
        <v>1718</v>
      </c>
      <c r="C360" s="295">
        <f t="shared" si="10"/>
        <v>359</v>
      </c>
      <c r="E360" s="344" t="s">
        <v>1871</v>
      </c>
      <c r="F360" s="295" t="str">
        <f t="shared" si="11"/>
        <v>НЕ НАЙДЕН</v>
      </c>
    </row>
    <row r="361" spans="2:6">
      <c r="B361" s="344" t="s">
        <v>1719</v>
      </c>
      <c r="C361" s="295">
        <f t="shared" si="10"/>
        <v>360</v>
      </c>
      <c r="E361" s="344" t="s">
        <v>1718</v>
      </c>
      <c r="F361" s="295">
        <f t="shared" si="11"/>
        <v>358</v>
      </c>
    </row>
    <row r="362" spans="2:6">
      <c r="B362" s="344" t="s">
        <v>1720</v>
      </c>
      <c r="C362" s="295">
        <f t="shared" si="10"/>
        <v>361</v>
      </c>
      <c r="E362" s="344" t="s">
        <v>1719</v>
      </c>
      <c r="F362" s="295">
        <f t="shared" si="11"/>
        <v>359</v>
      </c>
    </row>
    <row r="363" spans="2:6">
      <c r="B363" s="344" t="s">
        <v>1721</v>
      </c>
      <c r="C363" s="295">
        <f t="shared" si="10"/>
        <v>362</v>
      </c>
      <c r="E363" s="344" t="s">
        <v>1720</v>
      </c>
      <c r="F363" s="295">
        <f t="shared" si="11"/>
        <v>360</v>
      </c>
    </row>
    <row r="364" spans="2:6">
      <c r="B364" s="344" t="s">
        <v>1722</v>
      </c>
      <c r="C364" s="295">
        <f t="shared" si="10"/>
        <v>363</v>
      </c>
      <c r="E364" s="344" t="s">
        <v>1721</v>
      </c>
      <c r="F364" s="295">
        <f t="shared" si="11"/>
        <v>361</v>
      </c>
    </row>
    <row r="365" spans="2:6">
      <c r="B365" s="344" t="s">
        <v>1723</v>
      </c>
      <c r="C365" s="295">
        <f t="shared" si="10"/>
        <v>364</v>
      </c>
      <c r="E365" s="344" t="s">
        <v>1722</v>
      </c>
      <c r="F365" s="295">
        <f t="shared" si="11"/>
        <v>362</v>
      </c>
    </row>
    <row r="366" spans="2:6">
      <c r="B366" s="344" t="s">
        <v>1724</v>
      </c>
      <c r="C366" s="295">
        <f t="shared" si="10"/>
        <v>365</v>
      </c>
      <c r="E366" s="344" t="s">
        <v>1723</v>
      </c>
      <c r="F366" s="295">
        <f t="shared" si="11"/>
        <v>363</v>
      </c>
    </row>
    <row r="367" spans="2:6">
      <c r="B367" s="344" t="s">
        <v>1725</v>
      </c>
      <c r="C367" s="295">
        <f t="shared" si="10"/>
        <v>366</v>
      </c>
      <c r="E367" s="344" t="s">
        <v>1724</v>
      </c>
      <c r="F367" s="295">
        <f t="shared" si="11"/>
        <v>364</v>
      </c>
    </row>
    <row r="368" spans="2:6">
      <c r="B368" s="344" t="s">
        <v>1726</v>
      </c>
      <c r="C368" s="295">
        <f t="shared" si="10"/>
        <v>367</v>
      </c>
      <c r="E368" s="344" t="s">
        <v>1725</v>
      </c>
      <c r="F368" s="295">
        <f t="shared" si="11"/>
        <v>365</v>
      </c>
    </row>
    <row r="369" spans="2:6">
      <c r="B369" s="344" t="s">
        <v>1727</v>
      </c>
      <c r="C369" s="295">
        <f t="shared" si="10"/>
        <v>368</v>
      </c>
      <c r="E369" s="344" t="s">
        <v>1726</v>
      </c>
      <c r="F369" s="295">
        <f t="shared" si="11"/>
        <v>366</v>
      </c>
    </row>
    <row r="370" spans="2:6">
      <c r="B370" s="344" t="s">
        <v>1728</v>
      </c>
      <c r="C370" s="295">
        <f t="shared" si="10"/>
        <v>369</v>
      </c>
      <c r="E370" s="344" t="s">
        <v>1727</v>
      </c>
      <c r="F370" s="295">
        <f t="shared" si="11"/>
        <v>367</v>
      </c>
    </row>
    <row r="371" spans="2:6">
      <c r="B371" s="344" t="s">
        <v>1729</v>
      </c>
      <c r="C371" s="295">
        <f t="shared" si="10"/>
        <v>370</v>
      </c>
      <c r="E371" s="344" t="s">
        <v>1728</v>
      </c>
      <c r="F371" s="295">
        <f t="shared" si="11"/>
        <v>368</v>
      </c>
    </row>
    <row r="372" spans="2:6">
      <c r="B372" s="344" t="s">
        <v>1730</v>
      </c>
      <c r="C372" s="295">
        <f t="shared" si="10"/>
        <v>371</v>
      </c>
      <c r="E372" s="344" t="s">
        <v>1729</v>
      </c>
      <c r="F372" s="295">
        <f t="shared" si="11"/>
        <v>369</v>
      </c>
    </row>
    <row r="373" spans="2:6">
      <c r="B373" s="344" t="s">
        <v>1731</v>
      </c>
      <c r="C373" s="295">
        <f t="shared" si="10"/>
        <v>372</v>
      </c>
      <c r="E373" s="344" t="s">
        <v>1730</v>
      </c>
      <c r="F373" s="295">
        <f t="shared" si="11"/>
        <v>370</v>
      </c>
    </row>
    <row r="374" spans="2:6">
      <c r="B374" s="344" t="s">
        <v>1732</v>
      </c>
      <c r="C374" s="295">
        <f t="shared" si="10"/>
        <v>373</v>
      </c>
      <c r="E374" s="344" t="s">
        <v>1731</v>
      </c>
      <c r="F374" s="295">
        <f t="shared" si="11"/>
        <v>371</v>
      </c>
    </row>
    <row r="375" spans="2:6">
      <c r="B375" s="344" t="s">
        <v>1733</v>
      </c>
      <c r="C375" s="295">
        <f t="shared" si="10"/>
        <v>374</v>
      </c>
      <c r="E375" s="344" t="s">
        <v>1732</v>
      </c>
      <c r="F375" s="295">
        <f t="shared" si="11"/>
        <v>372</v>
      </c>
    </row>
    <row r="376" spans="2:6">
      <c r="B376" s="344" t="s">
        <v>1734</v>
      </c>
      <c r="C376" s="295">
        <f t="shared" si="10"/>
        <v>375</v>
      </c>
      <c r="E376" s="344" t="s">
        <v>1733</v>
      </c>
      <c r="F376" s="295">
        <f t="shared" si="11"/>
        <v>373</v>
      </c>
    </row>
    <row r="377" spans="2:6">
      <c r="B377" s="344" t="s">
        <v>1735</v>
      </c>
      <c r="C377" s="295">
        <f t="shared" si="10"/>
        <v>376</v>
      </c>
      <c r="E377" s="344" t="s">
        <v>1734</v>
      </c>
      <c r="F377" s="295">
        <f t="shared" si="11"/>
        <v>374</v>
      </c>
    </row>
    <row r="378" spans="2:6">
      <c r="B378" s="344" t="s">
        <v>1736</v>
      </c>
      <c r="C378" s="295">
        <f t="shared" si="10"/>
        <v>377</v>
      </c>
      <c r="E378" s="344" t="s">
        <v>1735</v>
      </c>
      <c r="F378" s="295">
        <f t="shared" si="11"/>
        <v>375</v>
      </c>
    </row>
    <row r="379" spans="2:6">
      <c r="B379" s="344" t="s">
        <v>1737</v>
      </c>
      <c r="C379" s="295">
        <f t="shared" si="10"/>
        <v>378</v>
      </c>
      <c r="E379" s="344" t="s">
        <v>1736</v>
      </c>
      <c r="F379" s="295">
        <f t="shared" si="11"/>
        <v>376</v>
      </c>
    </row>
    <row r="380" spans="2:6">
      <c r="B380" s="344" t="s">
        <v>1738</v>
      </c>
      <c r="C380" s="295">
        <f t="shared" si="10"/>
        <v>379</v>
      </c>
      <c r="E380" s="344" t="s">
        <v>1737</v>
      </c>
      <c r="F380" s="295">
        <f t="shared" si="11"/>
        <v>377</v>
      </c>
    </row>
    <row r="381" spans="2:6">
      <c r="B381" s="344" t="s">
        <v>1739</v>
      </c>
      <c r="C381" s="295" t="str">
        <f t="shared" si="10"/>
        <v>НЕ НАЙДЕН</v>
      </c>
      <c r="E381" s="344" t="s">
        <v>1738</v>
      </c>
      <c r="F381" s="295">
        <f t="shared" si="11"/>
        <v>378</v>
      </c>
    </row>
    <row r="382" spans="2:6">
      <c r="B382" s="344" t="s">
        <v>1740</v>
      </c>
      <c r="C382" s="295">
        <f t="shared" si="10"/>
        <v>381</v>
      </c>
      <c r="E382" s="344" t="s">
        <v>1872</v>
      </c>
      <c r="F382" s="295" t="str">
        <f t="shared" si="11"/>
        <v>НЕ НАЙДЕН</v>
      </c>
    </row>
    <row r="383" spans="2:6">
      <c r="B383" s="344" t="s">
        <v>1741</v>
      </c>
      <c r="C383" s="295">
        <f t="shared" si="10"/>
        <v>382</v>
      </c>
      <c r="E383" s="344" t="s">
        <v>1740</v>
      </c>
      <c r="F383" s="295">
        <f t="shared" si="11"/>
        <v>380</v>
      </c>
    </row>
    <row r="384" spans="2:6">
      <c r="B384" s="344" t="s">
        <v>1742</v>
      </c>
      <c r="C384" s="295">
        <f t="shared" si="10"/>
        <v>383</v>
      </c>
      <c r="E384" s="344" t="s">
        <v>1741</v>
      </c>
      <c r="F384" s="295">
        <f t="shared" si="11"/>
        <v>381</v>
      </c>
    </row>
    <row r="385" spans="2:6">
      <c r="B385" s="344" t="s">
        <v>1743</v>
      </c>
      <c r="C385" s="295">
        <f t="shared" si="10"/>
        <v>384</v>
      </c>
      <c r="E385" s="344" t="s">
        <v>1742</v>
      </c>
      <c r="F385" s="295">
        <f t="shared" si="11"/>
        <v>382</v>
      </c>
    </row>
    <row r="386" spans="2:6">
      <c r="B386" s="344" t="s">
        <v>1744</v>
      </c>
      <c r="C386" s="295">
        <f t="shared" si="10"/>
        <v>385</v>
      </c>
      <c r="E386" s="344" t="s">
        <v>1743</v>
      </c>
      <c r="F386" s="295">
        <f t="shared" si="11"/>
        <v>383</v>
      </c>
    </row>
    <row r="387" spans="2:6">
      <c r="B387" s="344" t="s">
        <v>1745</v>
      </c>
      <c r="C387" s="295">
        <f t="shared" si="10"/>
        <v>386</v>
      </c>
      <c r="E387" s="344" t="s">
        <v>1744</v>
      </c>
      <c r="F387" s="295">
        <f t="shared" si="11"/>
        <v>384</v>
      </c>
    </row>
    <row r="388" spans="2:6">
      <c r="B388" s="344" t="s">
        <v>1746</v>
      </c>
      <c r="C388" s="295">
        <f t="shared" ref="C388:C451" si="12">IFERROR(MATCH($B388,$E$3:$E$3000,0),"НЕ НАЙДЕН")</f>
        <v>387</v>
      </c>
      <c r="E388" s="344" t="s">
        <v>1745</v>
      </c>
      <c r="F388" s="295">
        <f t="shared" ref="F388:F451" si="13">IFERROR(MATCH($E388,$B$3:$B$3003,0),"НЕ НАЙДЕН")</f>
        <v>385</v>
      </c>
    </row>
    <row r="389" spans="2:6">
      <c r="B389" s="344" t="s">
        <v>1747</v>
      </c>
      <c r="C389" s="295">
        <f t="shared" si="12"/>
        <v>388</v>
      </c>
      <c r="E389" s="344" t="s">
        <v>1746</v>
      </c>
      <c r="F389" s="295">
        <f t="shared" si="13"/>
        <v>386</v>
      </c>
    </row>
    <row r="390" spans="2:6">
      <c r="B390" s="344" t="s">
        <v>1748</v>
      </c>
      <c r="C390" s="295">
        <f t="shared" si="12"/>
        <v>389</v>
      </c>
      <c r="E390" s="344" t="s">
        <v>1747</v>
      </c>
      <c r="F390" s="295">
        <f t="shared" si="13"/>
        <v>387</v>
      </c>
    </row>
    <row r="391" spans="2:6">
      <c r="B391" s="344" t="s">
        <v>1749</v>
      </c>
      <c r="C391" s="295">
        <f t="shared" si="12"/>
        <v>390</v>
      </c>
      <c r="E391" s="344" t="s">
        <v>1748</v>
      </c>
      <c r="F391" s="295">
        <f t="shared" si="13"/>
        <v>388</v>
      </c>
    </row>
    <row r="392" spans="2:6">
      <c r="B392" s="344" t="s">
        <v>1750</v>
      </c>
      <c r="C392" s="295">
        <f t="shared" si="12"/>
        <v>391</v>
      </c>
      <c r="E392" s="344" t="s">
        <v>1749</v>
      </c>
      <c r="F392" s="295">
        <f t="shared" si="13"/>
        <v>389</v>
      </c>
    </row>
    <row r="393" spans="2:6">
      <c r="B393" s="344" t="s">
        <v>1751</v>
      </c>
      <c r="C393" s="295">
        <f t="shared" si="12"/>
        <v>392</v>
      </c>
      <c r="E393" s="344" t="s">
        <v>1750</v>
      </c>
      <c r="F393" s="295">
        <f t="shared" si="13"/>
        <v>390</v>
      </c>
    </row>
    <row r="394" spans="2:6">
      <c r="B394" s="344" t="s">
        <v>1752</v>
      </c>
      <c r="C394" s="295">
        <f t="shared" si="12"/>
        <v>393</v>
      </c>
      <c r="E394" s="344" t="s">
        <v>1751</v>
      </c>
      <c r="F394" s="295">
        <f t="shared" si="13"/>
        <v>391</v>
      </c>
    </row>
    <row r="395" spans="2:6">
      <c r="B395" s="344" t="s">
        <v>1753</v>
      </c>
      <c r="C395" s="295">
        <f t="shared" si="12"/>
        <v>394</v>
      </c>
      <c r="E395" s="344" t="s">
        <v>1752</v>
      </c>
      <c r="F395" s="295">
        <f t="shared" si="13"/>
        <v>392</v>
      </c>
    </row>
    <row r="396" spans="2:6">
      <c r="B396" s="344" t="s">
        <v>1754</v>
      </c>
      <c r="C396" s="295">
        <f t="shared" si="12"/>
        <v>395</v>
      </c>
      <c r="E396" s="344" t="s">
        <v>1753</v>
      </c>
      <c r="F396" s="295">
        <f t="shared" si="13"/>
        <v>393</v>
      </c>
    </row>
    <row r="397" spans="2:6">
      <c r="B397" s="344" t="s">
        <v>1755</v>
      </c>
      <c r="C397" s="295">
        <f t="shared" si="12"/>
        <v>396</v>
      </c>
      <c r="E397" s="344" t="s">
        <v>1754</v>
      </c>
      <c r="F397" s="295">
        <f t="shared" si="13"/>
        <v>394</v>
      </c>
    </row>
    <row r="398" spans="2:6">
      <c r="B398" s="344" t="s">
        <v>1756</v>
      </c>
      <c r="C398" s="295">
        <f t="shared" si="12"/>
        <v>397</v>
      </c>
      <c r="E398" s="344" t="s">
        <v>1755</v>
      </c>
      <c r="F398" s="295">
        <f t="shared" si="13"/>
        <v>395</v>
      </c>
    </row>
    <row r="399" spans="2:6">
      <c r="B399" s="344" t="s">
        <v>1757</v>
      </c>
      <c r="C399" s="295">
        <f t="shared" si="12"/>
        <v>398</v>
      </c>
      <c r="E399" s="344" t="s">
        <v>1756</v>
      </c>
      <c r="F399" s="295">
        <f t="shared" si="13"/>
        <v>396</v>
      </c>
    </row>
    <row r="400" spans="2:6">
      <c r="B400" s="344" t="s">
        <v>1758</v>
      </c>
      <c r="C400" s="295">
        <f t="shared" si="12"/>
        <v>399</v>
      </c>
      <c r="E400" s="344" t="s">
        <v>1757</v>
      </c>
      <c r="F400" s="295">
        <f t="shared" si="13"/>
        <v>397</v>
      </c>
    </row>
    <row r="401" spans="2:6">
      <c r="B401" s="344" t="s">
        <v>1759</v>
      </c>
      <c r="C401" s="295">
        <f t="shared" si="12"/>
        <v>400</v>
      </c>
      <c r="E401" s="344" t="s">
        <v>1758</v>
      </c>
      <c r="F401" s="295">
        <f t="shared" si="13"/>
        <v>398</v>
      </c>
    </row>
    <row r="402" spans="2:6">
      <c r="B402" s="344" t="s">
        <v>1760</v>
      </c>
      <c r="C402" s="295">
        <f t="shared" si="12"/>
        <v>401</v>
      </c>
      <c r="E402" s="344" t="s">
        <v>1759</v>
      </c>
      <c r="F402" s="295">
        <f t="shared" si="13"/>
        <v>399</v>
      </c>
    </row>
    <row r="403" spans="2:6">
      <c r="B403" s="344" t="s">
        <v>1761</v>
      </c>
      <c r="C403" s="295">
        <f t="shared" si="12"/>
        <v>402</v>
      </c>
      <c r="E403" s="344" t="s">
        <v>1760</v>
      </c>
      <c r="F403" s="295">
        <f t="shared" si="13"/>
        <v>400</v>
      </c>
    </row>
    <row r="404" spans="2:6">
      <c r="B404" s="344" t="s">
        <v>1762</v>
      </c>
      <c r="C404" s="295">
        <f t="shared" si="12"/>
        <v>403</v>
      </c>
      <c r="E404" s="344" t="s">
        <v>1761</v>
      </c>
      <c r="F404" s="295">
        <f t="shared" si="13"/>
        <v>401</v>
      </c>
    </row>
    <row r="405" spans="2:6">
      <c r="B405" s="344" t="s">
        <v>1763</v>
      </c>
      <c r="C405" s="295">
        <f t="shared" si="12"/>
        <v>404</v>
      </c>
      <c r="E405" s="344" t="s">
        <v>1762</v>
      </c>
      <c r="F405" s="295">
        <f t="shared" si="13"/>
        <v>402</v>
      </c>
    </row>
    <row r="406" spans="2:6">
      <c r="B406" s="344" t="s">
        <v>1764</v>
      </c>
      <c r="C406" s="295">
        <f t="shared" si="12"/>
        <v>405</v>
      </c>
      <c r="E406" s="344" t="s">
        <v>1763</v>
      </c>
      <c r="F406" s="295">
        <f t="shared" si="13"/>
        <v>403</v>
      </c>
    </row>
    <row r="407" spans="2:6">
      <c r="B407" s="344" t="s">
        <v>1765</v>
      </c>
      <c r="C407" s="295">
        <f t="shared" si="12"/>
        <v>406</v>
      </c>
      <c r="E407" s="344" t="s">
        <v>1764</v>
      </c>
      <c r="F407" s="295">
        <f t="shared" si="13"/>
        <v>404</v>
      </c>
    </row>
    <row r="408" spans="2:6">
      <c r="B408" s="344" t="s">
        <v>1766</v>
      </c>
      <c r="C408" s="295">
        <f t="shared" si="12"/>
        <v>407</v>
      </c>
      <c r="E408" s="344" t="s">
        <v>1765</v>
      </c>
      <c r="F408" s="295">
        <f t="shared" si="13"/>
        <v>405</v>
      </c>
    </row>
    <row r="409" spans="2:6">
      <c r="B409" s="344" t="s">
        <v>1767</v>
      </c>
      <c r="C409" s="295">
        <f t="shared" si="12"/>
        <v>408</v>
      </c>
      <c r="E409" s="344" t="s">
        <v>1766</v>
      </c>
      <c r="F409" s="295">
        <f t="shared" si="13"/>
        <v>406</v>
      </c>
    </row>
    <row r="410" spans="2:6">
      <c r="B410" s="344" t="s">
        <v>1768</v>
      </c>
      <c r="C410" s="295">
        <f t="shared" si="12"/>
        <v>409</v>
      </c>
      <c r="E410" s="344" t="s">
        <v>1767</v>
      </c>
      <c r="F410" s="295">
        <f t="shared" si="13"/>
        <v>407</v>
      </c>
    </row>
    <row r="411" spans="2:6">
      <c r="B411" s="344" t="s">
        <v>1769</v>
      </c>
      <c r="C411" s="295">
        <f t="shared" si="12"/>
        <v>410</v>
      </c>
      <c r="E411" s="344" t="s">
        <v>1768</v>
      </c>
      <c r="F411" s="295">
        <f t="shared" si="13"/>
        <v>408</v>
      </c>
    </row>
    <row r="412" spans="2:6">
      <c r="B412" s="344" t="s">
        <v>1770</v>
      </c>
      <c r="C412" s="295">
        <f t="shared" si="12"/>
        <v>411</v>
      </c>
      <c r="E412" s="344" t="s">
        <v>1769</v>
      </c>
      <c r="F412" s="295">
        <f t="shared" si="13"/>
        <v>409</v>
      </c>
    </row>
    <row r="413" spans="2:6">
      <c r="B413" s="344" t="s">
        <v>1771</v>
      </c>
      <c r="C413" s="295">
        <f t="shared" si="12"/>
        <v>412</v>
      </c>
      <c r="E413" s="344" t="s">
        <v>1770</v>
      </c>
      <c r="F413" s="295">
        <f t="shared" si="13"/>
        <v>410</v>
      </c>
    </row>
    <row r="414" spans="2:6">
      <c r="B414" s="344" t="s">
        <v>1772</v>
      </c>
      <c r="C414" s="295">
        <f t="shared" si="12"/>
        <v>413</v>
      </c>
      <c r="E414" s="344" t="s">
        <v>1771</v>
      </c>
      <c r="F414" s="295">
        <f t="shared" si="13"/>
        <v>411</v>
      </c>
    </row>
    <row r="415" spans="2:6">
      <c r="B415" s="344" t="s">
        <v>1773</v>
      </c>
      <c r="C415" s="295">
        <f t="shared" si="12"/>
        <v>414</v>
      </c>
      <c r="E415" s="344" t="s">
        <v>1772</v>
      </c>
      <c r="F415" s="295">
        <f t="shared" si="13"/>
        <v>412</v>
      </c>
    </row>
    <row r="416" spans="2:6">
      <c r="B416" s="344" t="s">
        <v>1774</v>
      </c>
      <c r="C416" s="295" t="str">
        <f t="shared" si="12"/>
        <v>НЕ НАЙДЕН</v>
      </c>
      <c r="E416" s="344" t="s">
        <v>1773</v>
      </c>
      <c r="F416" s="295">
        <f t="shared" si="13"/>
        <v>413</v>
      </c>
    </row>
    <row r="417" spans="2:6">
      <c r="B417" s="344" t="s">
        <v>1775</v>
      </c>
      <c r="C417" s="295">
        <f t="shared" si="12"/>
        <v>415</v>
      </c>
      <c r="E417" s="344" t="s">
        <v>1775</v>
      </c>
      <c r="F417" s="295">
        <f t="shared" si="13"/>
        <v>415</v>
      </c>
    </row>
    <row r="418" spans="2:6">
      <c r="B418" s="344" t="s">
        <v>1776</v>
      </c>
      <c r="C418" s="295">
        <f t="shared" si="12"/>
        <v>416</v>
      </c>
      <c r="E418" s="344" t="s">
        <v>1776</v>
      </c>
      <c r="F418" s="295">
        <f t="shared" si="13"/>
        <v>416</v>
      </c>
    </row>
    <row r="419" spans="2:6">
      <c r="B419" s="344" t="s">
        <v>1777</v>
      </c>
      <c r="C419" s="295">
        <f t="shared" si="12"/>
        <v>417</v>
      </c>
      <c r="E419" s="344" t="s">
        <v>1777</v>
      </c>
      <c r="F419" s="295">
        <f t="shared" si="13"/>
        <v>417</v>
      </c>
    </row>
    <row r="420" spans="2:6">
      <c r="B420" s="344" t="s">
        <v>1778</v>
      </c>
      <c r="C420" s="295">
        <f t="shared" si="12"/>
        <v>420</v>
      </c>
      <c r="E420" s="344" t="s">
        <v>1873</v>
      </c>
      <c r="F420" s="295" t="str">
        <f t="shared" si="13"/>
        <v>НЕ НАЙДЕН</v>
      </c>
    </row>
    <row r="421" spans="2:6">
      <c r="B421" s="344" t="s">
        <v>1779</v>
      </c>
      <c r="C421" s="295">
        <f t="shared" si="12"/>
        <v>421</v>
      </c>
      <c r="E421" s="344" t="s">
        <v>1874</v>
      </c>
      <c r="F421" s="295" t="str">
        <f t="shared" si="13"/>
        <v>НЕ НАЙДЕН</v>
      </c>
    </row>
    <row r="422" spans="2:6">
      <c r="B422" s="344" t="s">
        <v>1780</v>
      </c>
      <c r="C422" s="295">
        <f t="shared" si="12"/>
        <v>422</v>
      </c>
      <c r="E422" s="344" t="s">
        <v>1778</v>
      </c>
      <c r="F422" s="295">
        <f t="shared" si="13"/>
        <v>418</v>
      </c>
    </row>
    <row r="423" spans="2:6">
      <c r="B423" s="344" t="s">
        <v>1781</v>
      </c>
      <c r="C423" s="295">
        <f t="shared" si="12"/>
        <v>423</v>
      </c>
      <c r="E423" s="344" t="s">
        <v>1779</v>
      </c>
      <c r="F423" s="295">
        <f t="shared" si="13"/>
        <v>419</v>
      </c>
    </row>
    <row r="424" spans="2:6">
      <c r="B424" s="344" t="s">
        <v>1782</v>
      </c>
      <c r="C424" s="295">
        <f t="shared" si="12"/>
        <v>424</v>
      </c>
      <c r="E424" s="344" t="s">
        <v>1780</v>
      </c>
      <c r="F424" s="295">
        <f t="shared" si="13"/>
        <v>420</v>
      </c>
    </row>
    <row r="425" spans="2:6">
      <c r="B425" s="344" t="s">
        <v>1783</v>
      </c>
      <c r="C425" s="295">
        <f t="shared" si="12"/>
        <v>425</v>
      </c>
      <c r="E425" s="344" t="s">
        <v>1781</v>
      </c>
      <c r="F425" s="295">
        <f t="shared" si="13"/>
        <v>421</v>
      </c>
    </row>
    <row r="426" spans="2:6">
      <c r="B426" s="344" t="s">
        <v>1784</v>
      </c>
      <c r="C426" s="295">
        <f t="shared" si="12"/>
        <v>426</v>
      </c>
      <c r="E426" s="344" t="s">
        <v>1782</v>
      </c>
      <c r="F426" s="295">
        <f t="shared" si="13"/>
        <v>422</v>
      </c>
    </row>
    <row r="427" spans="2:6">
      <c r="B427" s="344" t="s">
        <v>1785</v>
      </c>
      <c r="C427" s="295">
        <f t="shared" si="12"/>
        <v>427</v>
      </c>
      <c r="E427" s="344" t="s">
        <v>1783</v>
      </c>
      <c r="F427" s="295">
        <f t="shared" si="13"/>
        <v>423</v>
      </c>
    </row>
    <row r="428" spans="2:6">
      <c r="B428" s="344" t="s">
        <v>1786</v>
      </c>
      <c r="C428" s="295">
        <f t="shared" si="12"/>
        <v>428</v>
      </c>
      <c r="E428" s="344" t="s">
        <v>1784</v>
      </c>
      <c r="F428" s="295">
        <f t="shared" si="13"/>
        <v>424</v>
      </c>
    </row>
    <row r="429" spans="2:6">
      <c r="B429" s="344" t="s">
        <v>1787</v>
      </c>
      <c r="C429" s="295">
        <f t="shared" si="12"/>
        <v>429</v>
      </c>
      <c r="E429" s="344" t="s">
        <v>1785</v>
      </c>
      <c r="F429" s="295">
        <f t="shared" si="13"/>
        <v>425</v>
      </c>
    </row>
    <row r="430" spans="2:6">
      <c r="B430" s="344" t="s">
        <v>1788</v>
      </c>
      <c r="C430" s="295">
        <f t="shared" si="12"/>
        <v>430</v>
      </c>
      <c r="E430" s="344" t="s">
        <v>1786</v>
      </c>
      <c r="F430" s="295">
        <f t="shared" si="13"/>
        <v>426</v>
      </c>
    </row>
    <row r="431" spans="2:6">
      <c r="B431" s="344" t="s">
        <v>1789</v>
      </c>
      <c r="C431" s="295" t="str">
        <f t="shared" si="12"/>
        <v>НЕ НАЙДЕН</v>
      </c>
      <c r="E431" s="344" t="s">
        <v>1787</v>
      </c>
      <c r="F431" s="295">
        <f t="shared" si="13"/>
        <v>427</v>
      </c>
    </row>
    <row r="432" spans="2:6">
      <c r="B432" s="344" t="s">
        <v>1790</v>
      </c>
      <c r="C432" s="295">
        <f t="shared" si="12"/>
        <v>431</v>
      </c>
      <c r="E432" s="344" t="s">
        <v>1788</v>
      </c>
      <c r="F432" s="295">
        <f t="shared" si="13"/>
        <v>428</v>
      </c>
    </row>
    <row r="433" spans="2:6">
      <c r="B433" s="344" t="s">
        <v>1791</v>
      </c>
      <c r="C433" s="295" t="str">
        <f t="shared" si="12"/>
        <v>НЕ НАЙДЕН</v>
      </c>
      <c r="E433" s="344" t="s">
        <v>1790</v>
      </c>
      <c r="F433" s="295">
        <f t="shared" si="13"/>
        <v>430</v>
      </c>
    </row>
    <row r="434" spans="2:6">
      <c r="B434" s="344" t="s">
        <v>1792</v>
      </c>
      <c r="C434" s="295">
        <f t="shared" si="12"/>
        <v>434</v>
      </c>
      <c r="E434" s="344" t="s">
        <v>1875</v>
      </c>
      <c r="F434" s="295" t="str">
        <f t="shared" si="13"/>
        <v>НЕ НАЙДЕН</v>
      </c>
    </row>
    <row r="435" spans="2:6">
      <c r="B435" s="344" t="s">
        <v>1793</v>
      </c>
      <c r="C435" s="295">
        <f t="shared" si="12"/>
        <v>435</v>
      </c>
      <c r="E435" s="344" t="s">
        <v>1876</v>
      </c>
      <c r="F435" s="295" t="str">
        <f t="shared" si="13"/>
        <v>НЕ НАЙДЕН</v>
      </c>
    </row>
    <row r="436" spans="2:6">
      <c r="B436" s="344" t="s">
        <v>1794</v>
      </c>
      <c r="C436" s="295">
        <f t="shared" si="12"/>
        <v>436</v>
      </c>
      <c r="E436" s="344" t="s">
        <v>1792</v>
      </c>
      <c r="F436" s="295">
        <f t="shared" si="13"/>
        <v>432</v>
      </c>
    </row>
    <row r="437" spans="2:6">
      <c r="B437" s="344" t="s">
        <v>1795</v>
      </c>
      <c r="C437" s="295">
        <f t="shared" si="12"/>
        <v>437</v>
      </c>
      <c r="E437" s="344" t="s">
        <v>1793</v>
      </c>
      <c r="F437" s="295">
        <f t="shared" si="13"/>
        <v>433</v>
      </c>
    </row>
    <row r="438" spans="2:6">
      <c r="B438" s="344" t="s">
        <v>1796</v>
      </c>
      <c r="C438" s="295">
        <f t="shared" si="12"/>
        <v>438</v>
      </c>
      <c r="E438" s="344" t="s">
        <v>1794</v>
      </c>
      <c r="F438" s="295">
        <f t="shared" si="13"/>
        <v>434</v>
      </c>
    </row>
    <row r="439" spans="2:6">
      <c r="B439" s="344" t="s">
        <v>1797</v>
      </c>
      <c r="C439" s="295">
        <f t="shared" si="12"/>
        <v>439</v>
      </c>
      <c r="E439" s="344" t="s">
        <v>1795</v>
      </c>
      <c r="F439" s="295">
        <f t="shared" si="13"/>
        <v>435</v>
      </c>
    </row>
    <row r="440" spans="2:6">
      <c r="B440" s="344" t="s">
        <v>1798</v>
      </c>
      <c r="C440" s="295">
        <f t="shared" si="12"/>
        <v>440</v>
      </c>
      <c r="E440" s="344" t="s">
        <v>1796</v>
      </c>
      <c r="F440" s="295">
        <f t="shared" si="13"/>
        <v>436</v>
      </c>
    </row>
    <row r="441" spans="2:6">
      <c r="B441" s="344" t="s">
        <v>1799</v>
      </c>
      <c r="C441" s="295">
        <f t="shared" si="12"/>
        <v>441</v>
      </c>
      <c r="E441" s="344" t="s">
        <v>1797</v>
      </c>
      <c r="F441" s="295">
        <f t="shared" si="13"/>
        <v>437</v>
      </c>
    </row>
    <row r="442" spans="2:6">
      <c r="B442" s="344" t="s">
        <v>1800</v>
      </c>
      <c r="C442" s="295">
        <f t="shared" si="12"/>
        <v>442</v>
      </c>
      <c r="E442" s="344" t="s">
        <v>1798</v>
      </c>
      <c r="F442" s="295">
        <f t="shared" si="13"/>
        <v>438</v>
      </c>
    </row>
    <row r="443" spans="2:6">
      <c r="B443" s="344" t="s">
        <v>1801</v>
      </c>
      <c r="C443" s="295">
        <f t="shared" si="12"/>
        <v>443</v>
      </c>
      <c r="E443" s="344" t="s">
        <v>1799</v>
      </c>
      <c r="F443" s="295">
        <f t="shared" si="13"/>
        <v>439</v>
      </c>
    </row>
    <row r="444" spans="2:6">
      <c r="B444" s="344" t="s">
        <v>1802</v>
      </c>
      <c r="C444" s="295">
        <f t="shared" si="12"/>
        <v>444</v>
      </c>
      <c r="E444" s="344" t="s">
        <v>1800</v>
      </c>
      <c r="F444" s="295">
        <f t="shared" si="13"/>
        <v>440</v>
      </c>
    </row>
    <row r="445" spans="2:6">
      <c r="B445" s="344" t="s">
        <v>1803</v>
      </c>
      <c r="C445" s="295">
        <f t="shared" si="12"/>
        <v>445</v>
      </c>
      <c r="E445" s="344" t="s">
        <v>1801</v>
      </c>
      <c r="F445" s="295">
        <f t="shared" si="13"/>
        <v>441</v>
      </c>
    </row>
    <row r="446" spans="2:6">
      <c r="B446" s="344" t="s">
        <v>1804</v>
      </c>
      <c r="C446" s="295">
        <f t="shared" si="12"/>
        <v>446</v>
      </c>
      <c r="E446" s="344" t="s">
        <v>1802</v>
      </c>
      <c r="F446" s="295">
        <f t="shared" si="13"/>
        <v>442</v>
      </c>
    </row>
    <row r="447" spans="2:6">
      <c r="B447" s="344" t="s">
        <v>1805</v>
      </c>
      <c r="C447" s="295">
        <f t="shared" si="12"/>
        <v>447</v>
      </c>
      <c r="E447" s="344" t="s">
        <v>1803</v>
      </c>
      <c r="F447" s="295">
        <f t="shared" si="13"/>
        <v>443</v>
      </c>
    </row>
    <row r="448" spans="2:6">
      <c r="B448" s="344" t="s">
        <v>1806</v>
      </c>
      <c r="C448" s="295">
        <f t="shared" si="12"/>
        <v>448</v>
      </c>
      <c r="E448" s="344" t="s">
        <v>1804</v>
      </c>
      <c r="F448" s="295">
        <f t="shared" si="13"/>
        <v>444</v>
      </c>
    </row>
    <row r="449" spans="2:6">
      <c r="B449" s="344" t="s">
        <v>1807</v>
      </c>
      <c r="C449" s="295">
        <f t="shared" si="12"/>
        <v>449</v>
      </c>
      <c r="E449" s="344" t="s">
        <v>1805</v>
      </c>
      <c r="F449" s="295">
        <f t="shared" si="13"/>
        <v>445</v>
      </c>
    </row>
    <row r="450" spans="2:6">
      <c r="B450" s="344" t="s">
        <v>1808</v>
      </c>
      <c r="C450" s="295">
        <f t="shared" si="12"/>
        <v>450</v>
      </c>
      <c r="E450" s="132" t="s">
        <v>1806</v>
      </c>
      <c r="F450" s="295">
        <f t="shared" si="13"/>
        <v>446</v>
      </c>
    </row>
    <row r="451" spans="2:6">
      <c r="B451" s="344" t="s">
        <v>1809</v>
      </c>
      <c r="C451" s="295">
        <f t="shared" si="12"/>
        <v>451</v>
      </c>
      <c r="E451" s="132" t="s">
        <v>1807</v>
      </c>
      <c r="F451" s="295">
        <f t="shared" si="13"/>
        <v>447</v>
      </c>
    </row>
    <row r="452" spans="2:6">
      <c r="B452" s="344" t="s">
        <v>1810</v>
      </c>
      <c r="C452" s="295">
        <f t="shared" ref="C452:C515" si="14">IFERROR(MATCH($B452,$E$3:$E$3000,0),"НЕ НАЙДЕН")</f>
        <v>452</v>
      </c>
      <c r="E452" s="344" t="s">
        <v>1808</v>
      </c>
      <c r="F452" s="295">
        <f t="shared" ref="F452:F515" si="15">IFERROR(MATCH($E452,$B$3:$B$3003,0),"НЕ НАЙДЕН")</f>
        <v>448</v>
      </c>
    </row>
    <row r="453" spans="2:6">
      <c r="B453" s="344" t="s">
        <v>1811</v>
      </c>
      <c r="C453" s="295">
        <f t="shared" si="14"/>
        <v>453</v>
      </c>
      <c r="E453" s="344" t="s">
        <v>1809</v>
      </c>
      <c r="F453" s="295">
        <f t="shared" si="15"/>
        <v>449</v>
      </c>
    </row>
    <row r="454" spans="2:6">
      <c r="B454" s="344" t="s">
        <v>1812</v>
      </c>
      <c r="C454" s="295">
        <f t="shared" si="14"/>
        <v>454</v>
      </c>
      <c r="E454" s="344" t="s">
        <v>1810</v>
      </c>
      <c r="F454" s="295">
        <f t="shared" si="15"/>
        <v>450</v>
      </c>
    </row>
    <row r="455" spans="2:6">
      <c r="B455" s="344" t="s">
        <v>1813</v>
      </c>
      <c r="C455" s="295">
        <f t="shared" si="14"/>
        <v>455</v>
      </c>
      <c r="E455" s="344" t="s">
        <v>1811</v>
      </c>
      <c r="F455" s="295">
        <f t="shared" si="15"/>
        <v>451</v>
      </c>
    </row>
    <row r="456" spans="2:6">
      <c r="B456" s="344" t="s">
        <v>1814</v>
      </c>
      <c r="C456" s="295">
        <f t="shared" si="14"/>
        <v>456</v>
      </c>
      <c r="E456" s="344" t="s">
        <v>1812</v>
      </c>
      <c r="F456" s="295">
        <f t="shared" si="15"/>
        <v>452</v>
      </c>
    </row>
    <row r="457" spans="2:6">
      <c r="B457" s="344" t="s">
        <v>1815</v>
      </c>
      <c r="C457" s="295">
        <f t="shared" si="14"/>
        <v>457</v>
      </c>
      <c r="E457" s="344" t="s">
        <v>1813</v>
      </c>
      <c r="F457" s="295">
        <f t="shared" si="15"/>
        <v>453</v>
      </c>
    </row>
    <row r="458" spans="2:6">
      <c r="B458" s="344" t="s">
        <v>1816</v>
      </c>
      <c r="C458" s="295">
        <f t="shared" si="14"/>
        <v>458</v>
      </c>
      <c r="E458" s="344" t="s">
        <v>1814</v>
      </c>
      <c r="F458" s="295">
        <f t="shared" si="15"/>
        <v>454</v>
      </c>
    </row>
    <row r="459" spans="2:6">
      <c r="B459" s="344" t="s">
        <v>1817</v>
      </c>
      <c r="C459" s="295">
        <f t="shared" si="14"/>
        <v>459</v>
      </c>
      <c r="E459" s="344" t="s">
        <v>1815</v>
      </c>
      <c r="F459" s="295">
        <f t="shared" si="15"/>
        <v>455</v>
      </c>
    </row>
    <row r="460" spans="2:6">
      <c r="B460" s="344" t="s">
        <v>2315</v>
      </c>
      <c r="C460" s="295" t="str">
        <f t="shared" si="14"/>
        <v>НЕ НАЙДЕН</v>
      </c>
      <c r="E460" s="344" t="s">
        <v>1816</v>
      </c>
      <c r="F460" s="295">
        <f t="shared" si="15"/>
        <v>456</v>
      </c>
    </row>
    <row r="461" spans="2:6">
      <c r="B461" s="344" t="s">
        <v>1877</v>
      </c>
      <c r="C461" s="295">
        <f t="shared" si="14"/>
        <v>460</v>
      </c>
      <c r="E461" s="344" t="s">
        <v>1817</v>
      </c>
      <c r="F461" s="295">
        <f t="shared" si="15"/>
        <v>457</v>
      </c>
    </row>
    <row r="462" spans="2:6">
      <c r="B462" s="344" t="s">
        <v>1818</v>
      </c>
      <c r="C462" s="295">
        <f t="shared" si="14"/>
        <v>465</v>
      </c>
      <c r="E462" s="344" t="s">
        <v>1877</v>
      </c>
      <c r="F462" s="295">
        <f t="shared" si="15"/>
        <v>459</v>
      </c>
    </row>
    <row r="463" spans="2:6">
      <c r="B463" s="344" t="s">
        <v>1819</v>
      </c>
      <c r="C463" s="295">
        <f t="shared" si="14"/>
        <v>467</v>
      </c>
      <c r="E463" s="344" t="s">
        <v>1878</v>
      </c>
      <c r="F463" s="295" t="str">
        <f t="shared" si="15"/>
        <v>НЕ НАЙДЕН</v>
      </c>
    </row>
    <row r="464" spans="2:6">
      <c r="B464" s="344" t="s">
        <v>1820</v>
      </c>
      <c r="C464" s="295">
        <f t="shared" si="14"/>
        <v>468</v>
      </c>
      <c r="E464" s="344" t="s">
        <v>2242</v>
      </c>
      <c r="F464" s="295" t="str">
        <f t="shared" si="15"/>
        <v>НЕ НАЙДЕН</v>
      </c>
    </row>
    <row r="465" spans="2:6">
      <c r="B465" s="344" t="s">
        <v>1821</v>
      </c>
      <c r="C465" s="295">
        <f t="shared" si="14"/>
        <v>469</v>
      </c>
      <c r="E465" s="344" t="s">
        <v>2243</v>
      </c>
      <c r="F465" s="295" t="str">
        <f t="shared" si="15"/>
        <v>НЕ НАЙДЕН</v>
      </c>
    </row>
    <row r="466" spans="2:6">
      <c r="B466" s="344" t="s">
        <v>1822</v>
      </c>
      <c r="C466" s="295">
        <f t="shared" si="14"/>
        <v>470</v>
      </c>
      <c r="E466" s="344" t="s">
        <v>2244</v>
      </c>
      <c r="F466" s="295" t="str">
        <f t="shared" si="15"/>
        <v>НЕ НАЙДЕН</v>
      </c>
    </row>
    <row r="467" spans="2:6">
      <c r="B467" s="344" t="s">
        <v>1823</v>
      </c>
      <c r="C467" s="295">
        <f t="shared" si="14"/>
        <v>471</v>
      </c>
      <c r="E467" s="344" t="s">
        <v>1818</v>
      </c>
      <c r="F467" s="295">
        <f t="shared" si="15"/>
        <v>460</v>
      </c>
    </row>
    <row r="468" spans="2:6">
      <c r="B468" s="344" t="s">
        <v>1824</v>
      </c>
      <c r="C468" s="295">
        <f t="shared" si="14"/>
        <v>472</v>
      </c>
      <c r="E468" s="344" t="s">
        <v>1879</v>
      </c>
      <c r="F468" s="295" t="str">
        <f t="shared" si="15"/>
        <v>НЕ НАЙДЕН</v>
      </c>
    </row>
    <row r="469" spans="2:6">
      <c r="B469" s="344" t="s">
        <v>1825</v>
      </c>
      <c r="C469" s="295">
        <f t="shared" si="14"/>
        <v>473</v>
      </c>
      <c r="E469" s="344" t="s">
        <v>1819</v>
      </c>
      <c r="F469" s="295">
        <f t="shared" si="15"/>
        <v>461</v>
      </c>
    </row>
    <row r="470" spans="2:6">
      <c r="B470" s="344" t="s">
        <v>1826</v>
      </c>
      <c r="C470" s="295">
        <f t="shared" si="14"/>
        <v>474</v>
      </c>
      <c r="E470" s="344" t="s">
        <v>1820</v>
      </c>
      <c r="F470" s="295">
        <f t="shared" si="15"/>
        <v>462</v>
      </c>
    </row>
    <row r="471" spans="2:6">
      <c r="B471" s="344" t="s">
        <v>1827</v>
      </c>
      <c r="C471" s="295">
        <f t="shared" si="14"/>
        <v>475</v>
      </c>
      <c r="E471" s="344" t="s">
        <v>1821</v>
      </c>
      <c r="F471" s="295">
        <f t="shared" si="15"/>
        <v>463</v>
      </c>
    </row>
    <row r="472" spans="2:6">
      <c r="B472" s="344" t="s">
        <v>1828</v>
      </c>
      <c r="C472" s="295">
        <f t="shared" si="14"/>
        <v>476</v>
      </c>
      <c r="E472" s="344" t="s">
        <v>1822</v>
      </c>
      <c r="F472" s="295">
        <f t="shared" si="15"/>
        <v>464</v>
      </c>
    </row>
    <row r="473" spans="2:6">
      <c r="B473" s="344" t="s">
        <v>1829</v>
      </c>
      <c r="C473" s="295">
        <f t="shared" si="14"/>
        <v>477</v>
      </c>
      <c r="E473" s="344" t="s">
        <v>1823</v>
      </c>
      <c r="F473" s="295">
        <f t="shared" si="15"/>
        <v>465</v>
      </c>
    </row>
    <row r="474" spans="2:6">
      <c r="B474" s="344" t="s">
        <v>1830</v>
      </c>
      <c r="C474" s="295">
        <f t="shared" si="14"/>
        <v>478</v>
      </c>
      <c r="E474" s="344" t="s">
        <v>1824</v>
      </c>
      <c r="F474" s="295">
        <f t="shared" si="15"/>
        <v>466</v>
      </c>
    </row>
    <row r="475" spans="2:6">
      <c r="B475" s="344" t="s">
        <v>1831</v>
      </c>
      <c r="C475" s="295">
        <f t="shared" si="14"/>
        <v>479</v>
      </c>
      <c r="E475" s="344" t="s">
        <v>1825</v>
      </c>
      <c r="F475" s="295">
        <f t="shared" si="15"/>
        <v>467</v>
      </c>
    </row>
    <row r="476" spans="2:6">
      <c r="B476" s="344" t="s">
        <v>1832</v>
      </c>
      <c r="C476" s="295">
        <f t="shared" si="14"/>
        <v>480</v>
      </c>
      <c r="E476" s="344" t="s">
        <v>1826</v>
      </c>
      <c r="F476" s="295">
        <f t="shared" si="15"/>
        <v>468</v>
      </c>
    </row>
    <row r="477" spans="2:6">
      <c r="B477" s="344" t="s">
        <v>1833</v>
      </c>
      <c r="C477" s="295">
        <f t="shared" si="14"/>
        <v>481</v>
      </c>
      <c r="E477" s="344" t="s">
        <v>1827</v>
      </c>
      <c r="F477" s="295">
        <f t="shared" si="15"/>
        <v>469</v>
      </c>
    </row>
    <row r="478" spans="2:6">
      <c r="B478" s="344" t="s">
        <v>1834</v>
      </c>
      <c r="C478" s="295">
        <f t="shared" si="14"/>
        <v>482</v>
      </c>
      <c r="E478" s="344" t="s">
        <v>1828</v>
      </c>
      <c r="F478" s="295">
        <f t="shared" si="15"/>
        <v>470</v>
      </c>
    </row>
    <row r="479" spans="2:6">
      <c r="B479" s="344" t="s">
        <v>1835</v>
      </c>
      <c r="C479" s="295">
        <f t="shared" si="14"/>
        <v>483</v>
      </c>
      <c r="E479" s="344" t="s">
        <v>1829</v>
      </c>
      <c r="F479" s="295">
        <f t="shared" si="15"/>
        <v>471</v>
      </c>
    </row>
    <row r="480" spans="2:6">
      <c r="B480" s="344" t="s">
        <v>1836</v>
      </c>
      <c r="C480" s="295">
        <f t="shared" si="14"/>
        <v>484</v>
      </c>
      <c r="E480" s="344" t="s">
        <v>1830</v>
      </c>
      <c r="F480" s="295">
        <f t="shared" si="15"/>
        <v>472</v>
      </c>
    </row>
    <row r="481" spans="2:6">
      <c r="B481" s="344" t="s">
        <v>1837</v>
      </c>
      <c r="C481" s="295">
        <f t="shared" si="14"/>
        <v>485</v>
      </c>
      <c r="E481" s="344" t="s">
        <v>1831</v>
      </c>
      <c r="F481" s="295">
        <f t="shared" si="15"/>
        <v>473</v>
      </c>
    </row>
    <row r="482" spans="2:6">
      <c r="B482" s="344" t="s">
        <v>1838</v>
      </c>
      <c r="C482" s="295">
        <f t="shared" si="14"/>
        <v>486</v>
      </c>
      <c r="E482" s="344" t="s">
        <v>1832</v>
      </c>
      <c r="F482" s="295">
        <f t="shared" si="15"/>
        <v>474</v>
      </c>
    </row>
    <row r="483" spans="2:6">
      <c r="B483" s="344" t="s">
        <v>1839</v>
      </c>
      <c r="C483" s="295">
        <f t="shared" si="14"/>
        <v>487</v>
      </c>
      <c r="E483" s="344" t="s">
        <v>1833</v>
      </c>
      <c r="F483" s="295">
        <f t="shared" si="15"/>
        <v>475</v>
      </c>
    </row>
    <row r="484" spans="2:6">
      <c r="B484" s="344" t="s">
        <v>1840</v>
      </c>
      <c r="C484" s="295">
        <f t="shared" si="14"/>
        <v>488</v>
      </c>
      <c r="E484" s="344" t="s">
        <v>1834</v>
      </c>
      <c r="F484" s="295">
        <f t="shared" si="15"/>
        <v>476</v>
      </c>
    </row>
    <row r="485" spans="2:6">
      <c r="B485" s="344" t="s">
        <v>1841</v>
      </c>
      <c r="C485" s="295">
        <f t="shared" si="14"/>
        <v>489</v>
      </c>
      <c r="E485" s="344" t="s">
        <v>1835</v>
      </c>
      <c r="F485" s="295">
        <f t="shared" si="15"/>
        <v>477</v>
      </c>
    </row>
    <row r="486" spans="2:6">
      <c r="B486" s="344" t="s">
        <v>1842</v>
      </c>
      <c r="C486" s="295">
        <f t="shared" si="14"/>
        <v>490</v>
      </c>
      <c r="E486" s="344" t="s">
        <v>1836</v>
      </c>
      <c r="F486" s="295">
        <f t="shared" si="15"/>
        <v>478</v>
      </c>
    </row>
    <row r="487" spans="2:6">
      <c r="B487" s="344" t="s">
        <v>1843</v>
      </c>
      <c r="C487" s="295">
        <f t="shared" si="14"/>
        <v>491</v>
      </c>
      <c r="E487" s="344" t="s">
        <v>1837</v>
      </c>
      <c r="F487" s="295">
        <f t="shared" si="15"/>
        <v>479</v>
      </c>
    </row>
    <row r="488" spans="2:6">
      <c r="B488" s="344" t="s">
        <v>1844</v>
      </c>
      <c r="C488" s="295">
        <f t="shared" si="14"/>
        <v>492</v>
      </c>
      <c r="E488" s="344" t="s">
        <v>1838</v>
      </c>
      <c r="F488" s="295">
        <f t="shared" si="15"/>
        <v>480</v>
      </c>
    </row>
    <row r="489" spans="2:6">
      <c r="B489" s="344" t="s">
        <v>1845</v>
      </c>
      <c r="C489" s="295">
        <f t="shared" si="14"/>
        <v>493</v>
      </c>
      <c r="E489" s="344" t="s">
        <v>1839</v>
      </c>
      <c r="F489" s="295">
        <f t="shared" si="15"/>
        <v>481</v>
      </c>
    </row>
    <row r="490" spans="2:6">
      <c r="B490" s="344" t="s">
        <v>1846</v>
      </c>
      <c r="C490" s="295">
        <f t="shared" si="14"/>
        <v>494</v>
      </c>
      <c r="E490" s="344" t="s">
        <v>1840</v>
      </c>
      <c r="F490" s="295">
        <f t="shared" si="15"/>
        <v>482</v>
      </c>
    </row>
    <row r="491" spans="2:6">
      <c r="B491" s="344" t="s">
        <v>1847</v>
      </c>
      <c r="C491" s="295">
        <f t="shared" si="14"/>
        <v>495</v>
      </c>
      <c r="E491" s="344" t="s">
        <v>1841</v>
      </c>
      <c r="F491" s="295">
        <f t="shared" si="15"/>
        <v>483</v>
      </c>
    </row>
    <row r="492" spans="2:6">
      <c r="B492" s="344" t="s">
        <v>1848</v>
      </c>
      <c r="C492" s="295">
        <f t="shared" si="14"/>
        <v>496</v>
      </c>
      <c r="E492" s="344" t="s">
        <v>1842</v>
      </c>
      <c r="F492" s="295">
        <f t="shared" si="15"/>
        <v>484</v>
      </c>
    </row>
    <row r="493" spans="2:6">
      <c r="B493" s="344" t="s">
        <v>1849</v>
      </c>
      <c r="C493" s="295">
        <f t="shared" si="14"/>
        <v>497</v>
      </c>
      <c r="E493" s="344" t="s">
        <v>1843</v>
      </c>
      <c r="F493" s="295">
        <f t="shared" si="15"/>
        <v>485</v>
      </c>
    </row>
    <row r="494" spans="2:6">
      <c r="B494" s="344" t="s">
        <v>1850</v>
      </c>
      <c r="C494" s="295">
        <f t="shared" si="14"/>
        <v>498</v>
      </c>
      <c r="E494" s="344" t="s">
        <v>1844</v>
      </c>
      <c r="F494" s="295">
        <f t="shared" si="15"/>
        <v>486</v>
      </c>
    </row>
    <row r="495" spans="2:6">
      <c r="B495" s="344" t="s">
        <v>1851</v>
      </c>
      <c r="C495" s="295">
        <f t="shared" si="14"/>
        <v>499</v>
      </c>
      <c r="E495" s="344" t="s">
        <v>1845</v>
      </c>
      <c r="F495" s="295">
        <f t="shared" si="15"/>
        <v>487</v>
      </c>
    </row>
    <row r="496" spans="2:6">
      <c r="B496" s="344" t="s">
        <v>1852</v>
      </c>
      <c r="C496" s="295">
        <f t="shared" si="14"/>
        <v>500</v>
      </c>
      <c r="E496" s="344" t="s">
        <v>1846</v>
      </c>
      <c r="F496" s="295">
        <f t="shared" si="15"/>
        <v>488</v>
      </c>
    </row>
    <row r="497" spans="2:6">
      <c r="B497" s="344" t="s">
        <v>1853</v>
      </c>
      <c r="C497" s="295">
        <f t="shared" si="14"/>
        <v>501</v>
      </c>
      <c r="E497" s="344" t="s">
        <v>1847</v>
      </c>
      <c r="F497" s="295">
        <f t="shared" si="15"/>
        <v>489</v>
      </c>
    </row>
    <row r="498" spans="2:6">
      <c r="B498" s="344"/>
      <c r="C498" s="295" t="str">
        <f t="shared" si="14"/>
        <v>НЕ НАЙДЕН</v>
      </c>
      <c r="E498" s="344" t="s">
        <v>1848</v>
      </c>
      <c r="F498" s="295">
        <f t="shared" si="15"/>
        <v>490</v>
      </c>
    </row>
    <row r="499" spans="2:6">
      <c r="B499" s="344"/>
      <c r="C499" s="295" t="str">
        <f t="shared" si="14"/>
        <v>НЕ НАЙДЕН</v>
      </c>
      <c r="E499" s="344" t="s">
        <v>1849</v>
      </c>
      <c r="F499" s="295">
        <f t="shared" si="15"/>
        <v>491</v>
      </c>
    </row>
    <row r="500" spans="2:6">
      <c r="B500" s="344"/>
      <c r="C500" s="295" t="str">
        <f t="shared" si="14"/>
        <v>НЕ НАЙДЕН</v>
      </c>
      <c r="E500" s="344" t="s">
        <v>1850</v>
      </c>
      <c r="F500" s="295">
        <f t="shared" si="15"/>
        <v>492</v>
      </c>
    </row>
    <row r="501" spans="2:6">
      <c r="B501" s="344"/>
      <c r="C501" s="295" t="str">
        <f t="shared" si="14"/>
        <v>НЕ НАЙДЕН</v>
      </c>
      <c r="E501" s="344" t="s">
        <v>1851</v>
      </c>
      <c r="F501" s="295">
        <f t="shared" si="15"/>
        <v>493</v>
      </c>
    </row>
    <row r="502" spans="2:6">
      <c r="B502" s="344"/>
      <c r="C502" s="295" t="str">
        <f t="shared" si="14"/>
        <v>НЕ НАЙДЕН</v>
      </c>
      <c r="E502" s="344" t="s">
        <v>1852</v>
      </c>
      <c r="F502" s="295">
        <f t="shared" si="15"/>
        <v>494</v>
      </c>
    </row>
    <row r="503" spans="2:6">
      <c r="B503" s="344"/>
      <c r="C503" s="295" t="str">
        <f t="shared" si="14"/>
        <v>НЕ НАЙДЕН</v>
      </c>
      <c r="E503" s="344" t="s">
        <v>1853</v>
      </c>
      <c r="F503" s="295">
        <f t="shared" si="15"/>
        <v>495</v>
      </c>
    </row>
    <row r="504" spans="2:6">
      <c r="B504" s="344"/>
      <c r="C504" s="295" t="str">
        <f t="shared" si="14"/>
        <v>НЕ НАЙДЕН</v>
      </c>
      <c r="E504" s="344"/>
      <c r="F504" s="295" t="str">
        <f t="shared" si="15"/>
        <v>НЕ НАЙДЕН</v>
      </c>
    </row>
    <row r="505" spans="2:6">
      <c r="B505" s="344"/>
      <c r="C505" s="295" t="str">
        <f t="shared" si="14"/>
        <v>НЕ НАЙДЕН</v>
      </c>
      <c r="E505" s="344"/>
      <c r="F505" s="295" t="str">
        <f t="shared" si="15"/>
        <v>НЕ НАЙДЕН</v>
      </c>
    </row>
    <row r="506" spans="2:6">
      <c r="B506" s="344"/>
      <c r="C506" s="295" t="str">
        <f t="shared" si="14"/>
        <v>НЕ НАЙДЕН</v>
      </c>
      <c r="E506" s="344"/>
      <c r="F506" s="295" t="str">
        <f t="shared" si="15"/>
        <v>НЕ НАЙДЕН</v>
      </c>
    </row>
    <row r="507" spans="2:6">
      <c r="B507" s="344"/>
      <c r="C507" s="295" t="str">
        <f t="shared" si="14"/>
        <v>НЕ НАЙДЕН</v>
      </c>
      <c r="E507" s="344"/>
      <c r="F507" s="295" t="str">
        <f t="shared" si="15"/>
        <v>НЕ НАЙДЕН</v>
      </c>
    </row>
    <row r="508" spans="2:6">
      <c r="B508" s="344"/>
      <c r="C508" s="295" t="str">
        <f t="shared" si="14"/>
        <v>НЕ НАЙДЕН</v>
      </c>
      <c r="E508" s="344"/>
      <c r="F508" s="295" t="str">
        <f t="shared" si="15"/>
        <v>НЕ НАЙДЕН</v>
      </c>
    </row>
    <row r="509" spans="2:6">
      <c r="B509" s="344"/>
      <c r="C509" s="295" t="str">
        <f t="shared" si="14"/>
        <v>НЕ НАЙДЕН</v>
      </c>
      <c r="E509" s="344"/>
      <c r="F509" s="295" t="str">
        <f t="shared" si="15"/>
        <v>НЕ НАЙДЕН</v>
      </c>
    </row>
    <row r="510" spans="2:6">
      <c r="B510" s="344"/>
      <c r="C510" s="295" t="str">
        <f t="shared" si="14"/>
        <v>НЕ НАЙДЕН</v>
      </c>
      <c r="E510" s="344"/>
      <c r="F510" s="295" t="str">
        <f t="shared" si="15"/>
        <v>НЕ НАЙДЕН</v>
      </c>
    </row>
    <row r="511" spans="2:6">
      <c r="B511" s="344"/>
      <c r="C511" s="295" t="str">
        <f t="shared" si="14"/>
        <v>НЕ НАЙДЕН</v>
      </c>
      <c r="E511" s="344"/>
      <c r="F511" s="295" t="str">
        <f t="shared" si="15"/>
        <v>НЕ НАЙДЕН</v>
      </c>
    </row>
    <row r="512" spans="2:6">
      <c r="B512" s="344"/>
      <c r="C512" s="295" t="str">
        <f t="shared" si="14"/>
        <v>НЕ НАЙДЕН</v>
      </c>
      <c r="E512" s="344"/>
      <c r="F512" s="295" t="str">
        <f t="shared" si="15"/>
        <v>НЕ НАЙДЕН</v>
      </c>
    </row>
    <row r="513" spans="2:6">
      <c r="B513" s="344"/>
      <c r="C513" s="295" t="str">
        <f t="shared" si="14"/>
        <v>НЕ НАЙДЕН</v>
      </c>
      <c r="E513" s="344"/>
      <c r="F513" s="295" t="str">
        <f t="shared" si="15"/>
        <v>НЕ НАЙДЕН</v>
      </c>
    </row>
    <row r="514" spans="2:6">
      <c r="B514" s="344"/>
      <c r="C514" s="295" t="str">
        <f t="shared" si="14"/>
        <v>НЕ НАЙДЕН</v>
      </c>
      <c r="E514" s="344"/>
      <c r="F514" s="295" t="str">
        <f t="shared" si="15"/>
        <v>НЕ НАЙДЕН</v>
      </c>
    </row>
    <row r="515" spans="2:6">
      <c r="B515" s="344"/>
      <c r="C515" s="295" t="str">
        <f t="shared" si="14"/>
        <v>НЕ НАЙДЕН</v>
      </c>
      <c r="E515" s="344"/>
      <c r="F515" s="295" t="str">
        <f t="shared" si="15"/>
        <v>НЕ НАЙДЕН</v>
      </c>
    </row>
    <row r="516" spans="2:6">
      <c r="B516" s="344"/>
      <c r="C516" s="295" t="str">
        <f t="shared" ref="C516:C579" si="16">IFERROR(MATCH($B516,$E$3:$E$3000,0),"НЕ НАЙДЕН")</f>
        <v>НЕ НАЙДЕН</v>
      </c>
      <c r="E516" s="344"/>
      <c r="F516" s="295" t="str">
        <f t="shared" ref="F516:F579" si="17">IFERROR(MATCH($E516,$B$3:$B$3003,0),"НЕ НАЙДЕН")</f>
        <v>НЕ НАЙДЕН</v>
      </c>
    </row>
    <row r="517" spans="2:6">
      <c r="B517" s="344"/>
      <c r="C517" s="295" t="str">
        <f t="shared" si="16"/>
        <v>НЕ НАЙДЕН</v>
      </c>
      <c r="E517" s="344"/>
      <c r="F517" s="295" t="str">
        <f t="shared" si="17"/>
        <v>НЕ НАЙДЕН</v>
      </c>
    </row>
    <row r="518" spans="2:6">
      <c r="B518" s="344"/>
      <c r="C518" s="295" t="str">
        <f t="shared" si="16"/>
        <v>НЕ НАЙДЕН</v>
      </c>
      <c r="E518" s="344"/>
      <c r="F518" s="295" t="str">
        <f t="shared" si="17"/>
        <v>НЕ НАЙДЕН</v>
      </c>
    </row>
    <row r="519" spans="2:6">
      <c r="B519" s="344"/>
      <c r="C519" s="295" t="str">
        <f t="shared" si="16"/>
        <v>НЕ НАЙДЕН</v>
      </c>
      <c r="E519" s="344"/>
      <c r="F519" s="295" t="str">
        <f t="shared" si="17"/>
        <v>НЕ НАЙДЕН</v>
      </c>
    </row>
    <row r="520" spans="2:6">
      <c r="B520" s="344"/>
      <c r="C520" s="295" t="str">
        <f t="shared" si="16"/>
        <v>НЕ НАЙДЕН</v>
      </c>
      <c r="E520" s="344"/>
      <c r="F520" s="295" t="str">
        <f t="shared" si="17"/>
        <v>НЕ НАЙДЕН</v>
      </c>
    </row>
    <row r="521" spans="2:6">
      <c r="B521" s="344"/>
      <c r="C521" s="295" t="str">
        <f t="shared" si="16"/>
        <v>НЕ НАЙДЕН</v>
      </c>
      <c r="E521" s="344"/>
      <c r="F521" s="295" t="str">
        <f t="shared" si="17"/>
        <v>НЕ НАЙДЕН</v>
      </c>
    </row>
    <row r="522" spans="2:6">
      <c r="B522" s="344"/>
      <c r="C522" s="295" t="str">
        <f t="shared" si="16"/>
        <v>НЕ НАЙДЕН</v>
      </c>
      <c r="E522" s="344"/>
      <c r="F522" s="295" t="str">
        <f t="shared" si="17"/>
        <v>НЕ НАЙДЕН</v>
      </c>
    </row>
    <row r="523" spans="2:6">
      <c r="B523" s="344"/>
      <c r="C523" s="295" t="str">
        <f t="shared" si="16"/>
        <v>НЕ НАЙДЕН</v>
      </c>
      <c r="E523" s="344"/>
      <c r="F523" s="295" t="str">
        <f t="shared" si="17"/>
        <v>НЕ НАЙДЕН</v>
      </c>
    </row>
    <row r="524" spans="2:6">
      <c r="B524" s="344"/>
      <c r="C524" s="295" t="str">
        <f t="shared" si="16"/>
        <v>НЕ НАЙДЕН</v>
      </c>
      <c r="E524" s="344"/>
      <c r="F524" s="295" t="str">
        <f t="shared" si="17"/>
        <v>НЕ НАЙДЕН</v>
      </c>
    </row>
    <row r="525" spans="2:6">
      <c r="B525" s="344"/>
      <c r="C525" s="295" t="str">
        <f t="shared" si="16"/>
        <v>НЕ НАЙДЕН</v>
      </c>
      <c r="E525" s="344"/>
      <c r="F525" s="295" t="str">
        <f t="shared" si="17"/>
        <v>НЕ НАЙДЕН</v>
      </c>
    </row>
    <row r="526" spans="2:6">
      <c r="B526" s="344"/>
      <c r="C526" s="295" t="str">
        <f t="shared" si="16"/>
        <v>НЕ НАЙДЕН</v>
      </c>
      <c r="E526" s="344"/>
      <c r="F526" s="295" t="str">
        <f t="shared" si="17"/>
        <v>НЕ НАЙДЕН</v>
      </c>
    </row>
    <row r="527" spans="2:6">
      <c r="B527" s="344"/>
      <c r="C527" s="295" t="str">
        <f t="shared" si="16"/>
        <v>НЕ НАЙДЕН</v>
      </c>
      <c r="E527" s="344"/>
      <c r="F527" s="295" t="str">
        <f t="shared" si="17"/>
        <v>НЕ НАЙДЕН</v>
      </c>
    </row>
    <row r="528" spans="2:6">
      <c r="B528" s="344"/>
      <c r="C528" s="295" t="str">
        <f t="shared" si="16"/>
        <v>НЕ НАЙДЕН</v>
      </c>
      <c r="E528" s="344"/>
      <c r="F528" s="295" t="str">
        <f t="shared" si="17"/>
        <v>НЕ НАЙДЕН</v>
      </c>
    </row>
    <row r="529" spans="2:6">
      <c r="B529" s="344"/>
      <c r="C529" s="295" t="str">
        <f t="shared" si="16"/>
        <v>НЕ НАЙДЕН</v>
      </c>
      <c r="E529" s="344"/>
      <c r="F529" s="295" t="str">
        <f t="shared" si="17"/>
        <v>НЕ НАЙДЕН</v>
      </c>
    </row>
    <row r="530" spans="2:6">
      <c r="B530" s="344"/>
      <c r="C530" s="295" t="str">
        <f t="shared" si="16"/>
        <v>НЕ НАЙДЕН</v>
      </c>
      <c r="E530" s="344"/>
      <c r="F530" s="295" t="str">
        <f t="shared" si="17"/>
        <v>НЕ НАЙДЕН</v>
      </c>
    </row>
    <row r="531" spans="2:6">
      <c r="B531" s="344"/>
      <c r="C531" s="295" t="str">
        <f t="shared" si="16"/>
        <v>НЕ НАЙДЕН</v>
      </c>
      <c r="E531" s="344"/>
      <c r="F531" s="295" t="str">
        <f t="shared" si="17"/>
        <v>НЕ НАЙДЕН</v>
      </c>
    </row>
    <row r="532" spans="2:6">
      <c r="B532" s="344"/>
      <c r="C532" s="295" t="str">
        <f t="shared" si="16"/>
        <v>НЕ НАЙДЕН</v>
      </c>
      <c r="E532" s="344"/>
      <c r="F532" s="295" t="str">
        <f t="shared" si="17"/>
        <v>НЕ НАЙДЕН</v>
      </c>
    </row>
    <row r="533" spans="2:6">
      <c r="B533" s="344"/>
      <c r="C533" s="295" t="str">
        <f t="shared" si="16"/>
        <v>НЕ НАЙДЕН</v>
      </c>
      <c r="E533" s="344"/>
      <c r="F533" s="295" t="str">
        <f t="shared" si="17"/>
        <v>НЕ НАЙДЕН</v>
      </c>
    </row>
    <row r="534" spans="2:6">
      <c r="B534" s="344"/>
      <c r="C534" s="295" t="str">
        <f t="shared" si="16"/>
        <v>НЕ НАЙДЕН</v>
      </c>
      <c r="E534" s="344"/>
      <c r="F534" s="295" t="str">
        <f t="shared" si="17"/>
        <v>НЕ НАЙДЕН</v>
      </c>
    </row>
    <row r="535" spans="2:6">
      <c r="B535" s="344"/>
      <c r="C535" s="295" t="str">
        <f t="shared" si="16"/>
        <v>НЕ НАЙДЕН</v>
      </c>
      <c r="E535" s="344"/>
      <c r="F535" s="295" t="str">
        <f t="shared" si="17"/>
        <v>НЕ НАЙДЕН</v>
      </c>
    </row>
    <row r="536" spans="2:6">
      <c r="B536" s="344"/>
      <c r="C536" s="295" t="str">
        <f t="shared" si="16"/>
        <v>НЕ НАЙДЕН</v>
      </c>
      <c r="E536" s="344"/>
      <c r="F536" s="295" t="str">
        <f t="shared" si="17"/>
        <v>НЕ НАЙДЕН</v>
      </c>
    </row>
    <row r="537" spans="2:6">
      <c r="B537" s="344"/>
      <c r="C537" s="295" t="str">
        <f t="shared" si="16"/>
        <v>НЕ НАЙДЕН</v>
      </c>
      <c r="E537" s="344"/>
      <c r="F537" s="295" t="str">
        <f t="shared" si="17"/>
        <v>НЕ НАЙДЕН</v>
      </c>
    </row>
    <row r="538" spans="2:6">
      <c r="B538" s="344"/>
      <c r="C538" s="295" t="str">
        <f t="shared" si="16"/>
        <v>НЕ НАЙДЕН</v>
      </c>
      <c r="E538" s="344"/>
      <c r="F538" s="295" t="str">
        <f t="shared" si="17"/>
        <v>НЕ НАЙДЕН</v>
      </c>
    </row>
    <row r="539" spans="2:6">
      <c r="B539" s="344"/>
      <c r="C539" s="295" t="str">
        <f t="shared" si="16"/>
        <v>НЕ НАЙДЕН</v>
      </c>
      <c r="E539" s="344"/>
      <c r="F539" s="295" t="str">
        <f t="shared" si="17"/>
        <v>НЕ НАЙДЕН</v>
      </c>
    </row>
    <row r="540" spans="2:6">
      <c r="B540" s="344"/>
      <c r="C540" s="295" t="str">
        <f t="shared" si="16"/>
        <v>НЕ НАЙДЕН</v>
      </c>
      <c r="E540" s="344"/>
      <c r="F540" s="295" t="str">
        <f t="shared" si="17"/>
        <v>НЕ НАЙДЕН</v>
      </c>
    </row>
    <row r="541" spans="2:6">
      <c r="B541" s="344"/>
      <c r="C541" s="295" t="str">
        <f t="shared" si="16"/>
        <v>НЕ НАЙДЕН</v>
      </c>
      <c r="E541" s="344"/>
      <c r="F541" s="295" t="str">
        <f t="shared" si="17"/>
        <v>НЕ НАЙДЕН</v>
      </c>
    </row>
    <row r="542" spans="2:6">
      <c r="B542" s="344"/>
      <c r="C542" s="295" t="str">
        <f t="shared" si="16"/>
        <v>НЕ НАЙДЕН</v>
      </c>
      <c r="E542" s="344"/>
      <c r="F542" s="295" t="str">
        <f t="shared" si="17"/>
        <v>НЕ НАЙДЕН</v>
      </c>
    </row>
    <row r="543" spans="2:6">
      <c r="B543" s="344"/>
      <c r="C543" s="295" t="str">
        <f t="shared" si="16"/>
        <v>НЕ НАЙДЕН</v>
      </c>
      <c r="E543" s="344"/>
      <c r="F543" s="295" t="str">
        <f t="shared" si="17"/>
        <v>НЕ НАЙДЕН</v>
      </c>
    </row>
    <row r="544" spans="2:6">
      <c r="B544" s="344"/>
      <c r="C544" s="295" t="str">
        <f t="shared" si="16"/>
        <v>НЕ НАЙДЕН</v>
      </c>
      <c r="E544" s="344"/>
      <c r="F544" s="295" t="str">
        <f t="shared" si="17"/>
        <v>НЕ НАЙДЕН</v>
      </c>
    </row>
    <row r="545" spans="2:6">
      <c r="B545" s="344"/>
      <c r="C545" s="295" t="str">
        <f t="shared" si="16"/>
        <v>НЕ НАЙДЕН</v>
      </c>
      <c r="E545" s="344"/>
      <c r="F545" s="295" t="str">
        <f t="shared" si="17"/>
        <v>НЕ НАЙДЕН</v>
      </c>
    </row>
    <row r="546" spans="2:6">
      <c r="B546" s="344"/>
      <c r="C546" s="295" t="str">
        <f t="shared" si="16"/>
        <v>НЕ НАЙДЕН</v>
      </c>
      <c r="E546" s="344"/>
      <c r="F546" s="295" t="str">
        <f t="shared" si="17"/>
        <v>НЕ НАЙДЕН</v>
      </c>
    </row>
    <row r="547" spans="2:6">
      <c r="B547" s="344"/>
      <c r="C547" s="295" t="str">
        <f t="shared" si="16"/>
        <v>НЕ НАЙДЕН</v>
      </c>
      <c r="E547" s="344"/>
      <c r="F547" s="295" t="str">
        <f t="shared" si="17"/>
        <v>НЕ НАЙДЕН</v>
      </c>
    </row>
    <row r="548" spans="2:6">
      <c r="B548" s="344"/>
      <c r="C548" s="295" t="str">
        <f t="shared" si="16"/>
        <v>НЕ НАЙДЕН</v>
      </c>
      <c r="E548" s="344"/>
      <c r="F548" s="295" t="str">
        <f t="shared" si="17"/>
        <v>НЕ НАЙДЕН</v>
      </c>
    </row>
    <row r="549" spans="2:6">
      <c r="B549" s="344"/>
      <c r="C549" s="295" t="str">
        <f t="shared" si="16"/>
        <v>НЕ НАЙДЕН</v>
      </c>
      <c r="E549" s="344"/>
      <c r="F549" s="295" t="str">
        <f t="shared" si="17"/>
        <v>НЕ НАЙДЕН</v>
      </c>
    </row>
    <row r="550" spans="2:6">
      <c r="B550" s="344"/>
      <c r="C550" s="295" t="str">
        <f t="shared" si="16"/>
        <v>НЕ НАЙДЕН</v>
      </c>
      <c r="E550" s="344"/>
      <c r="F550" s="295" t="str">
        <f t="shared" si="17"/>
        <v>НЕ НАЙДЕН</v>
      </c>
    </row>
    <row r="551" spans="2:6">
      <c r="B551" s="344"/>
      <c r="C551" s="295" t="str">
        <f t="shared" si="16"/>
        <v>НЕ НАЙДЕН</v>
      </c>
      <c r="E551" s="344"/>
      <c r="F551" s="295" t="str">
        <f t="shared" si="17"/>
        <v>НЕ НАЙДЕН</v>
      </c>
    </row>
    <row r="552" spans="2:6">
      <c r="B552" s="344"/>
      <c r="C552" s="295" t="str">
        <f t="shared" si="16"/>
        <v>НЕ НАЙДЕН</v>
      </c>
      <c r="E552" s="344"/>
      <c r="F552" s="295" t="str">
        <f t="shared" si="17"/>
        <v>НЕ НАЙДЕН</v>
      </c>
    </row>
    <row r="553" spans="2:6">
      <c r="B553" s="344"/>
      <c r="C553" s="295" t="str">
        <f t="shared" si="16"/>
        <v>НЕ НАЙДЕН</v>
      </c>
      <c r="E553" s="344"/>
      <c r="F553" s="295" t="str">
        <f t="shared" si="17"/>
        <v>НЕ НАЙДЕН</v>
      </c>
    </row>
    <row r="554" spans="2:6">
      <c r="B554" s="344"/>
      <c r="C554" s="295" t="str">
        <f t="shared" si="16"/>
        <v>НЕ НАЙДЕН</v>
      </c>
      <c r="E554" s="344"/>
      <c r="F554" s="295" t="str">
        <f t="shared" si="17"/>
        <v>НЕ НАЙДЕН</v>
      </c>
    </row>
    <row r="555" spans="2:6">
      <c r="B555" s="344"/>
      <c r="C555" s="295" t="str">
        <f t="shared" si="16"/>
        <v>НЕ НАЙДЕН</v>
      </c>
      <c r="E555" s="344"/>
      <c r="F555" s="295" t="str">
        <f t="shared" si="17"/>
        <v>НЕ НАЙДЕН</v>
      </c>
    </row>
    <row r="556" spans="2:6">
      <c r="B556" s="344"/>
      <c r="C556" s="295" t="str">
        <f t="shared" si="16"/>
        <v>НЕ НАЙДЕН</v>
      </c>
      <c r="E556" s="344"/>
      <c r="F556" s="295" t="str">
        <f t="shared" si="17"/>
        <v>НЕ НАЙДЕН</v>
      </c>
    </row>
    <row r="557" spans="2:6">
      <c r="B557" s="344"/>
      <c r="C557" s="295" t="str">
        <f t="shared" si="16"/>
        <v>НЕ НАЙДЕН</v>
      </c>
      <c r="E557" s="344"/>
      <c r="F557" s="295" t="str">
        <f t="shared" si="17"/>
        <v>НЕ НАЙДЕН</v>
      </c>
    </row>
    <row r="558" spans="2:6">
      <c r="B558" s="344"/>
      <c r="C558" s="295" t="str">
        <f t="shared" si="16"/>
        <v>НЕ НАЙДЕН</v>
      </c>
      <c r="E558" s="344"/>
      <c r="F558" s="295" t="str">
        <f t="shared" si="17"/>
        <v>НЕ НАЙДЕН</v>
      </c>
    </row>
    <row r="559" spans="2:6">
      <c r="B559" s="344"/>
      <c r="C559" s="295" t="str">
        <f t="shared" si="16"/>
        <v>НЕ НАЙДЕН</v>
      </c>
      <c r="E559" s="344"/>
      <c r="F559" s="295" t="str">
        <f t="shared" si="17"/>
        <v>НЕ НАЙДЕН</v>
      </c>
    </row>
    <row r="560" spans="2:6">
      <c r="B560" s="344"/>
      <c r="C560" s="295" t="str">
        <f t="shared" si="16"/>
        <v>НЕ НАЙДЕН</v>
      </c>
      <c r="E560" s="344"/>
      <c r="F560" s="295" t="str">
        <f t="shared" si="17"/>
        <v>НЕ НАЙДЕН</v>
      </c>
    </row>
    <row r="561" spans="2:6">
      <c r="B561" s="344"/>
      <c r="C561" s="295" t="str">
        <f t="shared" si="16"/>
        <v>НЕ НАЙДЕН</v>
      </c>
      <c r="E561" s="344"/>
      <c r="F561" s="295" t="str">
        <f t="shared" si="17"/>
        <v>НЕ НАЙДЕН</v>
      </c>
    </row>
    <row r="562" spans="2:6">
      <c r="B562" s="344"/>
      <c r="C562" s="295" t="str">
        <f t="shared" si="16"/>
        <v>НЕ НАЙДЕН</v>
      </c>
      <c r="E562" s="344"/>
      <c r="F562" s="295" t="str">
        <f t="shared" si="17"/>
        <v>НЕ НАЙДЕН</v>
      </c>
    </row>
    <row r="563" spans="2:6">
      <c r="B563" s="344"/>
      <c r="C563" s="295" t="str">
        <f t="shared" si="16"/>
        <v>НЕ НАЙДЕН</v>
      </c>
      <c r="E563" s="344"/>
      <c r="F563" s="295" t="str">
        <f t="shared" si="17"/>
        <v>НЕ НАЙДЕН</v>
      </c>
    </row>
    <row r="564" spans="2:6">
      <c r="B564" s="344"/>
      <c r="C564" s="295" t="str">
        <f t="shared" si="16"/>
        <v>НЕ НАЙДЕН</v>
      </c>
      <c r="E564" s="344"/>
      <c r="F564" s="295" t="str">
        <f t="shared" si="17"/>
        <v>НЕ НАЙДЕН</v>
      </c>
    </row>
    <row r="565" spans="2:6">
      <c r="B565" s="344"/>
      <c r="C565" s="295" t="str">
        <f t="shared" si="16"/>
        <v>НЕ НАЙДЕН</v>
      </c>
      <c r="E565" s="344"/>
      <c r="F565" s="295" t="str">
        <f t="shared" si="17"/>
        <v>НЕ НАЙДЕН</v>
      </c>
    </row>
    <row r="566" spans="2:6">
      <c r="B566" s="344"/>
      <c r="C566" s="295" t="str">
        <f t="shared" si="16"/>
        <v>НЕ НАЙДЕН</v>
      </c>
      <c r="E566" s="344"/>
      <c r="F566" s="295" t="str">
        <f t="shared" si="17"/>
        <v>НЕ НАЙДЕН</v>
      </c>
    </row>
    <row r="567" spans="2:6">
      <c r="B567" s="344"/>
      <c r="C567" s="295" t="str">
        <f t="shared" si="16"/>
        <v>НЕ НАЙДЕН</v>
      </c>
      <c r="E567" s="344"/>
      <c r="F567" s="295" t="str">
        <f t="shared" si="17"/>
        <v>НЕ НАЙДЕН</v>
      </c>
    </row>
    <row r="568" spans="2:6">
      <c r="B568" s="344"/>
      <c r="C568" s="295" t="str">
        <f t="shared" si="16"/>
        <v>НЕ НАЙДЕН</v>
      </c>
      <c r="E568" s="344"/>
      <c r="F568" s="295" t="str">
        <f t="shared" si="17"/>
        <v>НЕ НАЙДЕН</v>
      </c>
    </row>
    <row r="569" spans="2:6">
      <c r="B569" s="344"/>
      <c r="C569" s="295" t="str">
        <f t="shared" si="16"/>
        <v>НЕ НАЙДЕН</v>
      </c>
      <c r="E569" s="344"/>
      <c r="F569" s="295" t="str">
        <f t="shared" si="17"/>
        <v>НЕ НАЙДЕН</v>
      </c>
    </row>
    <row r="570" spans="2:6">
      <c r="B570" s="344"/>
      <c r="C570" s="295" t="str">
        <f t="shared" si="16"/>
        <v>НЕ НАЙДЕН</v>
      </c>
      <c r="E570" s="344"/>
      <c r="F570" s="295" t="str">
        <f t="shared" si="17"/>
        <v>НЕ НАЙДЕН</v>
      </c>
    </row>
    <row r="571" spans="2:6">
      <c r="B571" s="344"/>
      <c r="C571" s="295" t="str">
        <f t="shared" si="16"/>
        <v>НЕ НАЙДЕН</v>
      </c>
      <c r="E571" s="344"/>
      <c r="F571" s="295" t="str">
        <f t="shared" si="17"/>
        <v>НЕ НАЙДЕН</v>
      </c>
    </row>
    <row r="572" spans="2:6">
      <c r="B572" s="344"/>
      <c r="C572" s="295" t="str">
        <f t="shared" si="16"/>
        <v>НЕ НАЙДЕН</v>
      </c>
      <c r="E572" s="344"/>
      <c r="F572" s="295" t="str">
        <f t="shared" si="17"/>
        <v>НЕ НАЙДЕН</v>
      </c>
    </row>
    <row r="573" spans="2:6">
      <c r="B573" s="344"/>
      <c r="C573" s="295" t="str">
        <f t="shared" si="16"/>
        <v>НЕ НАЙДЕН</v>
      </c>
      <c r="E573" s="344"/>
      <c r="F573" s="295" t="str">
        <f t="shared" si="17"/>
        <v>НЕ НАЙДЕН</v>
      </c>
    </row>
    <row r="574" spans="2:6">
      <c r="B574" s="344"/>
      <c r="C574" s="295" t="str">
        <f t="shared" si="16"/>
        <v>НЕ НАЙДЕН</v>
      </c>
      <c r="E574" s="344"/>
      <c r="F574" s="295" t="str">
        <f t="shared" si="17"/>
        <v>НЕ НАЙДЕН</v>
      </c>
    </row>
    <row r="575" spans="2:6">
      <c r="B575" s="344"/>
      <c r="C575" s="295" t="str">
        <f t="shared" si="16"/>
        <v>НЕ НАЙДЕН</v>
      </c>
      <c r="E575" s="344"/>
      <c r="F575" s="295" t="str">
        <f t="shared" si="17"/>
        <v>НЕ НАЙДЕН</v>
      </c>
    </row>
    <row r="576" spans="2:6">
      <c r="B576" s="344"/>
      <c r="C576" s="295" t="str">
        <f t="shared" si="16"/>
        <v>НЕ НАЙДЕН</v>
      </c>
      <c r="E576" s="344"/>
      <c r="F576" s="295" t="str">
        <f t="shared" si="17"/>
        <v>НЕ НАЙДЕН</v>
      </c>
    </row>
    <row r="577" spans="2:6">
      <c r="B577" s="344"/>
      <c r="C577" s="295" t="str">
        <f t="shared" si="16"/>
        <v>НЕ НАЙДЕН</v>
      </c>
      <c r="E577" s="344"/>
      <c r="F577" s="295" t="str">
        <f t="shared" si="17"/>
        <v>НЕ НАЙДЕН</v>
      </c>
    </row>
    <row r="578" spans="2:6">
      <c r="B578" s="344"/>
      <c r="C578" s="295" t="str">
        <f t="shared" si="16"/>
        <v>НЕ НАЙДЕН</v>
      </c>
      <c r="E578" s="344"/>
      <c r="F578" s="295" t="str">
        <f t="shared" si="17"/>
        <v>НЕ НАЙДЕН</v>
      </c>
    </row>
    <row r="579" spans="2:6">
      <c r="B579" s="344"/>
      <c r="C579" s="295" t="str">
        <f t="shared" si="16"/>
        <v>НЕ НАЙДЕН</v>
      </c>
      <c r="E579" s="344"/>
      <c r="F579" s="295" t="str">
        <f t="shared" si="17"/>
        <v>НЕ НАЙДЕН</v>
      </c>
    </row>
    <row r="580" spans="2:6">
      <c r="B580" s="344"/>
      <c r="C580" s="295" t="str">
        <f t="shared" ref="C580:C643" si="18">IFERROR(MATCH($B580,$E$3:$E$3000,0),"НЕ НАЙДЕН")</f>
        <v>НЕ НАЙДЕН</v>
      </c>
      <c r="E580" s="344"/>
      <c r="F580" s="295" t="str">
        <f t="shared" ref="F580:F643" si="19">IFERROR(MATCH($E580,$B$3:$B$3003,0),"НЕ НАЙДЕН")</f>
        <v>НЕ НАЙДЕН</v>
      </c>
    </row>
    <row r="581" spans="2:6">
      <c r="B581" s="344"/>
      <c r="C581" s="295" t="str">
        <f t="shared" si="18"/>
        <v>НЕ НАЙДЕН</v>
      </c>
      <c r="E581" s="344"/>
      <c r="F581" s="295" t="str">
        <f t="shared" si="19"/>
        <v>НЕ НАЙДЕН</v>
      </c>
    </row>
    <row r="582" spans="2:6">
      <c r="B582" s="344"/>
      <c r="C582" s="295" t="str">
        <f t="shared" si="18"/>
        <v>НЕ НАЙДЕН</v>
      </c>
      <c r="E582" s="344"/>
      <c r="F582" s="295" t="str">
        <f t="shared" si="19"/>
        <v>НЕ НАЙДЕН</v>
      </c>
    </row>
    <row r="583" spans="2:6">
      <c r="B583" s="344"/>
      <c r="C583" s="295" t="str">
        <f t="shared" si="18"/>
        <v>НЕ НАЙДЕН</v>
      </c>
      <c r="E583" s="344"/>
      <c r="F583" s="295" t="str">
        <f t="shared" si="19"/>
        <v>НЕ НАЙДЕН</v>
      </c>
    </row>
    <row r="584" spans="2:6">
      <c r="B584" s="344"/>
      <c r="C584" s="295" t="str">
        <f t="shared" si="18"/>
        <v>НЕ НАЙДЕН</v>
      </c>
      <c r="E584" s="344"/>
      <c r="F584" s="295" t="str">
        <f t="shared" si="19"/>
        <v>НЕ НАЙДЕН</v>
      </c>
    </row>
    <row r="585" spans="2:6">
      <c r="B585" s="344"/>
      <c r="C585" s="295" t="str">
        <f t="shared" si="18"/>
        <v>НЕ НАЙДЕН</v>
      </c>
      <c r="E585" s="344"/>
      <c r="F585" s="295" t="str">
        <f t="shared" si="19"/>
        <v>НЕ НАЙДЕН</v>
      </c>
    </row>
    <row r="586" spans="2:6">
      <c r="B586" s="344"/>
      <c r="C586" s="295" t="str">
        <f t="shared" si="18"/>
        <v>НЕ НАЙДЕН</v>
      </c>
      <c r="E586" s="344"/>
      <c r="F586" s="295" t="str">
        <f t="shared" si="19"/>
        <v>НЕ НАЙДЕН</v>
      </c>
    </row>
    <row r="587" spans="2:6">
      <c r="B587" s="344"/>
      <c r="C587" s="295" t="str">
        <f t="shared" si="18"/>
        <v>НЕ НАЙДЕН</v>
      </c>
      <c r="E587" s="344"/>
      <c r="F587" s="295" t="str">
        <f t="shared" si="19"/>
        <v>НЕ НАЙДЕН</v>
      </c>
    </row>
    <row r="588" spans="2:6">
      <c r="B588" s="344"/>
      <c r="C588" s="295" t="str">
        <f t="shared" si="18"/>
        <v>НЕ НАЙДЕН</v>
      </c>
      <c r="E588" s="344"/>
      <c r="F588" s="295" t="str">
        <f t="shared" si="19"/>
        <v>НЕ НАЙДЕН</v>
      </c>
    </row>
    <row r="589" spans="2:6">
      <c r="B589" s="344"/>
      <c r="C589" s="295" t="str">
        <f t="shared" si="18"/>
        <v>НЕ НАЙДЕН</v>
      </c>
      <c r="E589" s="344"/>
      <c r="F589" s="295" t="str">
        <f t="shared" si="19"/>
        <v>НЕ НАЙДЕН</v>
      </c>
    </row>
    <row r="590" spans="2:6">
      <c r="B590" s="344"/>
      <c r="C590" s="295" t="str">
        <f t="shared" si="18"/>
        <v>НЕ НАЙДЕН</v>
      </c>
      <c r="E590" s="344"/>
      <c r="F590" s="295" t="str">
        <f t="shared" si="19"/>
        <v>НЕ НАЙДЕН</v>
      </c>
    </row>
    <row r="591" spans="2:6">
      <c r="B591" s="344"/>
      <c r="C591" s="295" t="str">
        <f t="shared" si="18"/>
        <v>НЕ НАЙДЕН</v>
      </c>
      <c r="E591" s="344"/>
      <c r="F591" s="295" t="str">
        <f t="shared" si="19"/>
        <v>НЕ НАЙДЕН</v>
      </c>
    </row>
    <row r="592" spans="2:6">
      <c r="B592" s="344"/>
      <c r="C592" s="295" t="str">
        <f t="shared" si="18"/>
        <v>НЕ НАЙДЕН</v>
      </c>
      <c r="E592" s="344"/>
      <c r="F592" s="295" t="str">
        <f t="shared" si="19"/>
        <v>НЕ НАЙДЕН</v>
      </c>
    </row>
    <row r="593" spans="2:6">
      <c r="B593" s="344"/>
      <c r="C593" s="295" t="str">
        <f t="shared" si="18"/>
        <v>НЕ НАЙДЕН</v>
      </c>
      <c r="E593" s="344"/>
      <c r="F593" s="295" t="str">
        <f t="shared" si="19"/>
        <v>НЕ НАЙДЕН</v>
      </c>
    </row>
    <row r="594" spans="2:6">
      <c r="B594" s="344"/>
      <c r="C594" s="295" t="str">
        <f t="shared" si="18"/>
        <v>НЕ НАЙДЕН</v>
      </c>
      <c r="E594" s="344"/>
      <c r="F594" s="295" t="str">
        <f t="shared" si="19"/>
        <v>НЕ НАЙДЕН</v>
      </c>
    </row>
    <row r="595" spans="2:6">
      <c r="B595" s="344"/>
      <c r="C595" s="295" t="str">
        <f t="shared" si="18"/>
        <v>НЕ НАЙДЕН</v>
      </c>
      <c r="E595" s="344"/>
      <c r="F595" s="295" t="str">
        <f t="shared" si="19"/>
        <v>НЕ НАЙДЕН</v>
      </c>
    </row>
    <row r="596" spans="2:6">
      <c r="B596" s="344"/>
      <c r="C596" s="295" t="str">
        <f t="shared" si="18"/>
        <v>НЕ НАЙДЕН</v>
      </c>
      <c r="E596" s="344"/>
      <c r="F596" s="295" t="str">
        <f t="shared" si="19"/>
        <v>НЕ НАЙДЕН</v>
      </c>
    </row>
    <row r="597" spans="2:6">
      <c r="B597" s="344"/>
      <c r="C597" s="295" t="str">
        <f t="shared" si="18"/>
        <v>НЕ НАЙДЕН</v>
      </c>
      <c r="E597" s="344"/>
      <c r="F597" s="295" t="str">
        <f t="shared" si="19"/>
        <v>НЕ НАЙДЕН</v>
      </c>
    </row>
    <row r="598" spans="2:6">
      <c r="B598" s="344"/>
      <c r="C598" s="295" t="str">
        <f t="shared" si="18"/>
        <v>НЕ НАЙДЕН</v>
      </c>
      <c r="E598" s="344"/>
      <c r="F598" s="295" t="str">
        <f t="shared" si="19"/>
        <v>НЕ НАЙДЕН</v>
      </c>
    </row>
    <row r="599" spans="2:6">
      <c r="B599" s="344"/>
      <c r="C599" s="295" t="str">
        <f t="shared" si="18"/>
        <v>НЕ НАЙДЕН</v>
      </c>
      <c r="E599" s="344"/>
      <c r="F599" s="295" t="str">
        <f t="shared" si="19"/>
        <v>НЕ НАЙДЕН</v>
      </c>
    </row>
    <row r="600" spans="2:6">
      <c r="B600" s="344"/>
      <c r="C600" s="295" t="str">
        <f t="shared" si="18"/>
        <v>НЕ НАЙДЕН</v>
      </c>
      <c r="E600" s="344"/>
      <c r="F600" s="295" t="str">
        <f t="shared" si="19"/>
        <v>НЕ НАЙДЕН</v>
      </c>
    </row>
    <row r="601" spans="2:6">
      <c r="B601" s="344"/>
      <c r="C601" s="295" t="str">
        <f t="shared" si="18"/>
        <v>НЕ НАЙДЕН</v>
      </c>
      <c r="E601" s="344"/>
      <c r="F601" s="295" t="str">
        <f t="shared" si="19"/>
        <v>НЕ НАЙДЕН</v>
      </c>
    </row>
    <row r="602" spans="2:6">
      <c r="B602" s="344"/>
      <c r="C602" s="295" t="str">
        <f t="shared" si="18"/>
        <v>НЕ НАЙДЕН</v>
      </c>
      <c r="E602" s="344"/>
      <c r="F602" s="295" t="str">
        <f t="shared" si="19"/>
        <v>НЕ НАЙДЕН</v>
      </c>
    </row>
    <row r="603" spans="2:6">
      <c r="B603" s="344"/>
      <c r="C603" s="295" t="str">
        <f t="shared" si="18"/>
        <v>НЕ НАЙДЕН</v>
      </c>
      <c r="E603" s="344"/>
      <c r="F603" s="295" t="str">
        <f t="shared" si="19"/>
        <v>НЕ НАЙДЕН</v>
      </c>
    </row>
    <row r="604" spans="2:6">
      <c r="B604" s="344"/>
      <c r="C604" s="295" t="str">
        <f t="shared" si="18"/>
        <v>НЕ НАЙДЕН</v>
      </c>
      <c r="E604" s="344"/>
      <c r="F604" s="295" t="str">
        <f t="shared" si="19"/>
        <v>НЕ НАЙДЕН</v>
      </c>
    </row>
    <row r="605" spans="2:6">
      <c r="B605" s="344"/>
      <c r="C605" s="295" t="str">
        <f t="shared" si="18"/>
        <v>НЕ НАЙДЕН</v>
      </c>
      <c r="E605" s="344"/>
      <c r="F605" s="295" t="str">
        <f t="shared" si="19"/>
        <v>НЕ НАЙДЕН</v>
      </c>
    </row>
    <row r="606" spans="2:6">
      <c r="B606" s="344"/>
      <c r="C606" s="295" t="str">
        <f t="shared" si="18"/>
        <v>НЕ НАЙДЕН</v>
      </c>
      <c r="E606" s="344"/>
      <c r="F606" s="295" t="str">
        <f t="shared" si="19"/>
        <v>НЕ НАЙДЕН</v>
      </c>
    </row>
    <row r="607" spans="2:6">
      <c r="B607" s="344"/>
      <c r="C607" s="295" t="str">
        <f t="shared" si="18"/>
        <v>НЕ НАЙДЕН</v>
      </c>
      <c r="E607" s="344"/>
      <c r="F607" s="295" t="str">
        <f t="shared" si="19"/>
        <v>НЕ НАЙДЕН</v>
      </c>
    </row>
    <row r="608" spans="2:6">
      <c r="B608" s="344"/>
      <c r="C608" s="295" t="str">
        <f t="shared" si="18"/>
        <v>НЕ НАЙДЕН</v>
      </c>
      <c r="E608" s="344"/>
      <c r="F608" s="295" t="str">
        <f t="shared" si="19"/>
        <v>НЕ НАЙДЕН</v>
      </c>
    </row>
    <row r="609" spans="2:6">
      <c r="B609" s="344"/>
      <c r="C609" s="295" t="str">
        <f t="shared" si="18"/>
        <v>НЕ НАЙДЕН</v>
      </c>
      <c r="E609" s="344"/>
      <c r="F609" s="295" t="str">
        <f t="shared" si="19"/>
        <v>НЕ НАЙДЕН</v>
      </c>
    </row>
    <row r="610" spans="2:6">
      <c r="B610" s="344"/>
      <c r="C610" s="295" t="str">
        <f t="shared" si="18"/>
        <v>НЕ НАЙДЕН</v>
      </c>
      <c r="E610" s="344"/>
      <c r="F610" s="295" t="str">
        <f t="shared" si="19"/>
        <v>НЕ НАЙДЕН</v>
      </c>
    </row>
    <row r="611" spans="2:6">
      <c r="B611" s="344"/>
      <c r="C611" s="295" t="str">
        <f t="shared" si="18"/>
        <v>НЕ НАЙДЕН</v>
      </c>
      <c r="E611" s="344"/>
      <c r="F611" s="295" t="str">
        <f t="shared" si="19"/>
        <v>НЕ НАЙДЕН</v>
      </c>
    </row>
    <row r="612" spans="2:6">
      <c r="B612" s="344"/>
      <c r="C612" s="295" t="str">
        <f t="shared" si="18"/>
        <v>НЕ НАЙДЕН</v>
      </c>
      <c r="E612" s="344"/>
      <c r="F612" s="295" t="str">
        <f t="shared" si="19"/>
        <v>НЕ НАЙДЕН</v>
      </c>
    </row>
    <row r="613" spans="2:6">
      <c r="B613" s="344"/>
      <c r="C613" s="295" t="str">
        <f t="shared" si="18"/>
        <v>НЕ НАЙДЕН</v>
      </c>
      <c r="E613" s="344"/>
      <c r="F613" s="295" t="str">
        <f t="shared" si="19"/>
        <v>НЕ НАЙДЕН</v>
      </c>
    </row>
    <row r="614" spans="2:6">
      <c r="B614" s="344"/>
      <c r="C614" s="295" t="str">
        <f t="shared" si="18"/>
        <v>НЕ НАЙДЕН</v>
      </c>
      <c r="E614" s="344"/>
      <c r="F614" s="295" t="str">
        <f t="shared" si="19"/>
        <v>НЕ НАЙДЕН</v>
      </c>
    </row>
    <row r="615" spans="2:6">
      <c r="B615" s="344"/>
      <c r="C615" s="295" t="str">
        <f t="shared" si="18"/>
        <v>НЕ НАЙДЕН</v>
      </c>
      <c r="E615" s="344"/>
      <c r="F615" s="295" t="str">
        <f t="shared" si="19"/>
        <v>НЕ НАЙДЕН</v>
      </c>
    </row>
    <row r="616" spans="2:6">
      <c r="B616" s="344"/>
      <c r="C616" s="295" t="str">
        <f t="shared" si="18"/>
        <v>НЕ НАЙДЕН</v>
      </c>
      <c r="E616" s="344"/>
      <c r="F616" s="295" t="str">
        <f t="shared" si="19"/>
        <v>НЕ НАЙДЕН</v>
      </c>
    </row>
    <row r="617" spans="2:6">
      <c r="B617" s="344"/>
      <c r="C617" s="295" t="str">
        <f t="shared" si="18"/>
        <v>НЕ НАЙДЕН</v>
      </c>
      <c r="E617" s="344"/>
      <c r="F617" s="295" t="str">
        <f t="shared" si="19"/>
        <v>НЕ НАЙДЕН</v>
      </c>
    </row>
    <row r="618" spans="2:6">
      <c r="B618" s="344"/>
      <c r="C618" s="295" t="str">
        <f t="shared" si="18"/>
        <v>НЕ НАЙДЕН</v>
      </c>
      <c r="E618" s="344"/>
      <c r="F618" s="295" t="str">
        <f t="shared" si="19"/>
        <v>НЕ НАЙДЕН</v>
      </c>
    </row>
    <row r="619" spans="2:6">
      <c r="B619" s="344"/>
      <c r="C619" s="295" t="str">
        <f t="shared" si="18"/>
        <v>НЕ НАЙДЕН</v>
      </c>
      <c r="E619" s="344"/>
      <c r="F619" s="295" t="str">
        <f t="shared" si="19"/>
        <v>НЕ НАЙДЕН</v>
      </c>
    </row>
    <row r="620" spans="2:6">
      <c r="B620" s="344"/>
      <c r="C620" s="295" t="str">
        <f t="shared" si="18"/>
        <v>НЕ НАЙДЕН</v>
      </c>
      <c r="E620" s="344"/>
      <c r="F620" s="295" t="str">
        <f t="shared" si="19"/>
        <v>НЕ НАЙДЕН</v>
      </c>
    </row>
    <row r="621" spans="2:6">
      <c r="B621" s="344"/>
      <c r="C621" s="295" t="str">
        <f t="shared" si="18"/>
        <v>НЕ НАЙДЕН</v>
      </c>
      <c r="E621" s="344"/>
      <c r="F621" s="295" t="str">
        <f t="shared" si="19"/>
        <v>НЕ НАЙДЕН</v>
      </c>
    </row>
    <row r="622" spans="2:6">
      <c r="B622" s="344"/>
      <c r="C622" s="295" t="str">
        <f t="shared" si="18"/>
        <v>НЕ НАЙДЕН</v>
      </c>
      <c r="E622" s="344"/>
      <c r="F622" s="295" t="str">
        <f t="shared" si="19"/>
        <v>НЕ НАЙДЕН</v>
      </c>
    </row>
    <row r="623" spans="2:6">
      <c r="B623" s="344"/>
      <c r="C623" s="295" t="str">
        <f t="shared" si="18"/>
        <v>НЕ НАЙДЕН</v>
      </c>
      <c r="E623" s="344"/>
      <c r="F623" s="295" t="str">
        <f t="shared" si="19"/>
        <v>НЕ НАЙДЕН</v>
      </c>
    </row>
    <row r="624" spans="2:6">
      <c r="B624" s="344"/>
      <c r="C624" s="295" t="str">
        <f t="shared" si="18"/>
        <v>НЕ НАЙДЕН</v>
      </c>
      <c r="E624" s="344"/>
      <c r="F624" s="295" t="str">
        <f t="shared" si="19"/>
        <v>НЕ НАЙДЕН</v>
      </c>
    </row>
    <row r="625" spans="2:6">
      <c r="B625" s="344"/>
      <c r="C625" s="295" t="str">
        <f t="shared" si="18"/>
        <v>НЕ НАЙДЕН</v>
      </c>
      <c r="E625" s="344"/>
      <c r="F625" s="295" t="str">
        <f t="shared" si="19"/>
        <v>НЕ НАЙДЕН</v>
      </c>
    </row>
    <row r="626" spans="2:6">
      <c r="B626" s="344"/>
      <c r="C626" s="295" t="str">
        <f t="shared" si="18"/>
        <v>НЕ НАЙДЕН</v>
      </c>
      <c r="E626" s="344"/>
      <c r="F626" s="295" t="str">
        <f t="shared" si="19"/>
        <v>НЕ НАЙДЕН</v>
      </c>
    </row>
    <row r="627" spans="2:6">
      <c r="B627" s="344"/>
      <c r="C627" s="295" t="str">
        <f t="shared" si="18"/>
        <v>НЕ НАЙДЕН</v>
      </c>
      <c r="E627" s="344"/>
      <c r="F627" s="295" t="str">
        <f t="shared" si="19"/>
        <v>НЕ НАЙДЕН</v>
      </c>
    </row>
    <row r="628" spans="2:6">
      <c r="B628" s="344"/>
      <c r="C628" s="295" t="str">
        <f t="shared" si="18"/>
        <v>НЕ НАЙДЕН</v>
      </c>
      <c r="E628" s="344"/>
      <c r="F628" s="295" t="str">
        <f t="shared" si="19"/>
        <v>НЕ НАЙДЕН</v>
      </c>
    </row>
    <row r="629" spans="2:6">
      <c r="B629" s="344"/>
      <c r="C629" s="295" t="str">
        <f t="shared" si="18"/>
        <v>НЕ НАЙДЕН</v>
      </c>
      <c r="E629" s="344"/>
      <c r="F629" s="295" t="str">
        <f t="shared" si="19"/>
        <v>НЕ НАЙДЕН</v>
      </c>
    </row>
    <row r="630" spans="2:6">
      <c r="B630" s="344"/>
      <c r="C630" s="295" t="str">
        <f t="shared" si="18"/>
        <v>НЕ НАЙДЕН</v>
      </c>
      <c r="E630" s="344"/>
      <c r="F630" s="295" t="str">
        <f t="shared" si="19"/>
        <v>НЕ НАЙДЕН</v>
      </c>
    </row>
    <row r="631" spans="2:6">
      <c r="B631" s="344"/>
      <c r="C631" s="295" t="str">
        <f t="shared" si="18"/>
        <v>НЕ НАЙДЕН</v>
      </c>
      <c r="E631" s="344"/>
      <c r="F631" s="295" t="str">
        <f t="shared" si="19"/>
        <v>НЕ НАЙДЕН</v>
      </c>
    </row>
    <row r="632" spans="2:6">
      <c r="B632" s="344"/>
      <c r="C632" s="295" t="str">
        <f t="shared" si="18"/>
        <v>НЕ НАЙДЕН</v>
      </c>
      <c r="E632" s="344"/>
      <c r="F632" s="295" t="str">
        <f t="shared" si="19"/>
        <v>НЕ НАЙДЕН</v>
      </c>
    </row>
    <row r="633" spans="2:6">
      <c r="B633" s="344"/>
      <c r="C633" s="295" t="str">
        <f t="shared" si="18"/>
        <v>НЕ НАЙДЕН</v>
      </c>
      <c r="E633" s="344"/>
      <c r="F633" s="295" t="str">
        <f t="shared" si="19"/>
        <v>НЕ НАЙДЕН</v>
      </c>
    </row>
    <row r="634" spans="2:6">
      <c r="B634" s="344"/>
      <c r="C634" s="295" t="str">
        <f t="shared" si="18"/>
        <v>НЕ НАЙДЕН</v>
      </c>
      <c r="E634" s="344"/>
      <c r="F634" s="295" t="str">
        <f t="shared" si="19"/>
        <v>НЕ НАЙДЕН</v>
      </c>
    </row>
    <row r="635" spans="2:6">
      <c r="B635" s="344"/>
      <c r="C635" s="295" t="str">
        <f t="shared" si="18"/>
        <v>НЕ НАЙДЕН</v>
      </c>
      <c r="E635" s="344"/>
      <c r="F635" s="295" t="str">
        <f t="shared" si="19"/>
        <v>НЕ НАЙДЕН</v>
      </c>
    </row>
    <row r="636" spans="2:6">
      <c r="B636" s="344"/>
      <c r="C636" s="295" t="str">
        <f t="shared" si="18"/>
        <v>НЕ НАЙДЕН</v>
      </c>
      <c r="E636" s="344"/>
      <c r="F636" s="295" t="str">
        <f t="shared" si="19"/>
        <v>НЕ НАЙДЕН</v>
      </c>
    </row>
    <row r="637" spans="2:6">
      <c r="B637" s="344"/>
      <c r="C637" s="295" t="str">
        <f t="shared" si="18"/>
        <v>НЕ НАЙДЕН</v>
      </c>
      <c r="E637" s="344"/>
      <c r="F637" s="295" t="str">
        <f t="shared" si="19"/>
        <v>НЕ НАЙДЕН</v>
      </c>
    </row>
    <row r="638" spans="2:6">
      <c r="B638" s="344"/>
      <c r="C638" s="295" t="str">
        <f t="shared" si="18"/>
        <v>НЕ НАЙДЕН</v>
      </c>
      <c r="E638" s="344"/>
      <c r="F638" s="295" t="str">
        <f t="shared" si="19"/>
        <v>НЕ НАЙДЕН</v>
      </c>
    </row>
    <row r="639" spans="2:6">
      <c r="B639" s="344"/>
      <c r="C639" s="295" t="str">
        <f t="shared" si="18"/>
        <v>НЕ НАЙДЕН</v>
      </c>
      <c r="E639" s="344"/>
      <c r="F639" s="295" t="str">
        <f t="shared" si="19"/>
        <v>НЕ НАЙДЕН</v>
      </c>
    </row>
    <row r="640" spans="2:6">
      <c r="B640" s="344"/>
      <c r="C640" s="295" t="str">
        <f t="shared" si="18"/>
        <v>НЕ НАЙДЕН</v>
      </c>
      <c r="E640" s="344"/>
      <c r="F640" s="295" t="str">
        <f t="shared" si="19"/>
        <v>НЕ НАЙДЕН</v>
      </c>
    </row>
    <row r="641" spans="2:6">
      <c r="B641" s="344"/>
      <c r="C641" s="295" t="str">
        <f t="shared" si="18"/>
        <v>НЕ НАЙДЕН</v>
      </c>
      <c r="E641" s="344"/>
      <c r="F641" s="295" t="str">
        <f t="shared" si="19"/>
        <v>НЕ НАЙДЕН</v>
      </c>
    </row>
    <row r="642" spans="2:6">
      <c r="B642" s="344"/>
      <c r="C642" s="295" t="str">
        <f t="shared" si="18"/>
        <v>НЕ НАЙДЕН</v>
      </c>
      <c r="E642" s="344"/>
      <c r="F642" s="295" t="str">
        <f t="shared" si="19"/>
        <v>НЕ НАЙДЕН</v>
      </c>
    </row>
    <row r="643" spans="2:6">
      <c r="B643" s="344"/>
      <c r="C643" s="295" t="str">
        <f t="shared" si="18"/>
        <v>НЕ НАЙДЕН</v>
      </c>
      <c r="E643" s="344"/>
      <c r="F643" s="295" t="str">
        <f t="shared" si="19"/>
        <v>НЕ НАЙДЕН</v>
      </c>
    </row>
    <row r="644" spans="2:6">
      <c r="B644" s="344"/>
      <c r="C644" s="295" t="str">
        <f t="shared" ref="C644:C667" si="20">IFERROR(MATCH($B644,$E$3:$E$3000,0),"НЕ НАЙДЕН")</f>
        <v>НЕ НАЙДЕН</v>
      </c>
      <c r="E644" s="344"/>
      <c r="F644" s="295" t="str">
        <f t="shared" ref="F644:F707" si="21">IFERROR(MATCH($E644,$B$3:$B$3003,0),"НЕ НАЙДЕН")</f>
        <v>НЕ НАЙДЕН</v>
      </c>
    </row>
    <row r="645" spans="2:6">
      <c r="B645" s="344"/>
      <c r="C645" s="295" t="str">
        <f t="shared" si="20"/>
        <v>НЕ НАЙДЕН</v>
      </c>
      <c r="E645" s="344"/>
      <c r="F645" s="295" t="str">
        <f t="shared" si="21"/>
        <v>НЕ НАЙДЕН</v>
      </c>
    </row>
    <row r="646" spans="2:6">
      <c r="B646" s="344"/>
      <c r="C646" s="295" t="str">
        <f t="shared" si="20"/>
        <v>НЕ НАЙДЕН</v>
      </c>
      <c r="E646" s="344"/>
      <c r="F646" s="295" t="str">
        <f t="shared" si="21"/>
        <v>НЕ НАЙДЕН</v>
      </c>
    </row>
    <row r="647" spans="2:6">
      <c r="B647" s="344"/>
      <c r="C647" s="295" t="str">
        <f t="shared" si="20"/>
        <v>НЕ НАЙДЕН</v>
      </c>
      <c r="E647" s="344"/>
      <c r="F647" s="295" t="str">
        <f t="shared" si="21"/>
        <v>НЕ НАЙДЕН</v>
      </c>
    </row>
    <row r="648" spans="2:6">
      <c r="B648" s="344"/>
      <c r="C648" s="295" t="str">
        <f t="shared" si="20"/>
        <v>НЕ НАЙДЕН</v>
      </c>
      <c r="E648" s="344"/>
      <c r="F648" s="295" t="str">
        <f t="shared" si="21"/>
        <v>НЕ НАЙДЕН</v>
      </c>
    </row>
    <row r="649" spans="2:6">
      <c r="B649" s="344"/>
      <c r="C649" s="295" t="str">
        <f t="shared" si="20"/>
        <v>НЕ НАЙДЕН</v>
      </c>
      <c r="E649" s="344"/>
      <c r="F649" s="295" t="str">
        <f t="shared" si="21"/>
        <v>НЕ НАЙДЕН</v>
      </c>
    </row>
    <row r="650" spans="2:6">
      <c r="B650" s="344"/>
      <c r="C650" s="295" t="str">
        <f t="shared" si="20"/>
        <v>НЕ НАЙДЕН</v>
      </c>
      <c r="E650" s="344"/>
      <c r="F650" s="295" t="str">
        <f t="shared" si="21"/>
        <v>НЕ НАЙДЕН</v>
      </c>
    </row>
    <row r="651" spans="2:6">
      <c r="B651" s="344"/>
      <c r="C651" s="295" t="str">
        <f t="shared" si="20"/>
        <v>НЕ НАЙДЕН</v>
      </c>
      <c r="E651" s="344"/>
      <c r="F651" s="295" t="str">
        <f t="shared" si="21"/>
        <v>НЕ НАЙДЕН</v>
      </c>
    </row>
    <row r="652" spans="2:6">
      <c r="B652" s="344"/>
      <c r="C652" s="295" t="str">
        <f t="shared" si="20"/>
        <v>НЕ НАЙДЕН</v>
      </c>
      <c r="E652" s="344"/>
      <c r="F652" s="295" t="str">
        <f t="shared" si="21"/>
        <v>НЕ НАЙДЕН</v>
      </c>
    </row>
    <row r="653" spans="2:6">
      <c r="B653" s="344"/>
      <c r="C653" s="295" t="str">
        <f t="shared" si="20"/>
        <v>НЕ НАЙДЕН</v>
      </c>
      <c r="E653" s="344"/>
      <c r="F653" s="295" t="str">
        <f t="shared" si="21"/>
        <v>НЕ НАЙДЕН</v>
      </c>
    </row>
    <row r="654" spans="2:6">
      <c r="B654" s="344"/>
      <c r="C654" s="295" t="str">
        <f t="shared" si="20"/>
        <v>НЕ НАЙДЕН</v>
      </c>
      <c r="E654" s="344"/>
      <c r="F654" s="295" t="str">
        <f t="shared" si="21"/>
        <v>НЕ НАЙДЕН</v>
      </c>
    </row>
    <row r="655" spans="2:6">
      <c r="B655" s="344"/>
      <c r="C655" s="295" t="str">
        <f t="shared" si="20"/>
        <v>НЕ НАЙДЕН</v>
      </c>
      <c r="E655" s="344"/>
      <c r="F655" s="295" t="str">
        <f t="shared" si="21"/>
        <v>НЕ НАЙДЕН</v>
      </c>
    </row>
    <row r="656" spans="2:6">
      <c r="B656" s="344"/>
      <c r="C656" s="295" t="str">
        <f t="shared" si="20"/>
        <v>НЕ НАЙДЕН</v>
      </c>
      <c r="E656" s="344"/>
      <c r="F656" s="295" t="str">
        <f t="shared" si="21"/>
        <v>НЕ НАЙДЕН</v>
      </c>
    </row>
    <row r="657" spans="2:6">
      <c r="B657" s="344"/>
      <c r="C657" s="295" t="str">
        <f t="shared" si="20"/>
        <v>НЕ НАЙДЕН</v>
      </c>
      <c r="E657" s="344"/>
      <c r="F657" s="295" t="str">
        <f t="shared" si="21"/>
        <v>НЕ НАЙДЕН</v>
      </c>
    </row>
    <row r="658" spans="2:6">
      <c r="B658" s="344"/>
      <c r="C658" s="295" t="str">
        <f t="shared" si="20"/>
        <v>НЕ НАЙДЕН</v>
      </c>
      <c r="E658" s="344"/>
      <c r="F658" s="295" t="str">
        <f t="shared" si="21"/>
        <v>НЕ НАЙДЕН</v>
      </c>
    </row>
    <row r="659" spans="2:6">
      <c r="B659" s="344"/>
      <c r="C659" s="295" t="str">
        <f t="shared" si="20"/>
        <v>НЕ НАЙДЕН</v>
      </c>
      <c r="E659" s="344"/>
      <c r="F659" s="295" t="str">
        <f t="shared" si="21"/>
        <v>НЕ НАЙДЕН</v>
      </c>
    </row>
    <row r="660" spans="2:6">
      <c r="B660" s="344"/>
      <c r="C660" s="295" t="str">
        <f t="shared" si="20"/>
        <v>НЕ НАЙДЕН</v>
      </c>
      <c r="E660" s="344"/>
      <c r="F660" s="295" t="str">
        <f t="shared" si="21"/>
        <v>НЕ НАЙДЕН</v>
      </c>
    </row>
    <row r="661" spans="2:6">
      <c r="B661" s="344"/>
      <c r="C661" s="295" t="str">
        <f t="shared" si="20"/>
        <v>НЕ НАЙДЕН</v>
      </c>
      <c r="E661" s="344"/>
      <c r="F661" s="295" t="str">
        <f t="shared" si="21"/>
        <v>НЕ НАЙДЕН</v>
      </c>
    </row>
    <row r="662" spans="2:6">
      <c r="B662" s="344"/>
      <c r="C662" s="295" t="str">
        <f t="shared" si="20"/>
        <v>НЕ НАЙДЕН</v>
      </c>
      <c r="E662" s="344"/>
      <c r="F662" s="295" t="str">
        <f t="shared" si="21"/>
        <v>НЕ НАЙДЕН</v>
      </c>
    </row>
    <row r="663" spans="2:6">
      <c r="B663" s="344"/>
      <c r="C663" s="295" t="str">
        <f t="shared" si="20"/>
        <v>НЕ НАЙДЕН</v>
      </c>
      <c r="E663" s="344"/>
      <c r="F663" s="295" t="str">
        <f t="shared" si="21"/>
        <v>НЕ НАЙДЕН</v>
      </c>
    </row>
    <row r="664" spans="2:6">
      <c r="B664" s="344"/>
      <c r="C664" s="295" t="str">
        <f t="shared" si="20"/>
        <v>НЕ НАЙДЕН</v>
      </c>
      <c r="E664" s="344"/>
      <c r="F664" s="295" t="str">
        <f t="shared" si="21"/>
        <v>НЕ НАЙДЕН</v>
      </c>
    </row>
    <row r="665" spans="2:6">
      <c r="B665" s="344"/>
      <c r="C665" s="295" t="str">
        <f t="shared" si="20"/>
        <v>НЕ НАЙДЕН</v>
      </c>
      <c r="E665" s="344"/>
      <c r="F665" s="295" t="str">
        <f t="shared" si="21"/>
        <v>НЕ НАЙДЕН</v>
      </c>
    </row>
    <row r="666" spans="2:6">
      <c r="B666" s="344"/>
      <c r="C666" s="295" t="str">
        <f t="shared" si="20"/>
        <v>НЕ НАЙДЕН</v>
      </c>
      <c r="E666" s="344"/>
      <c r="F666" s="295" t="str">
        <f t="shared" si="21"/>
        <v>НЕ НАЙДЕН</v>
      </c>
    </row>
    <row r="667" spans="2:6">
      <c r="B667" s="344"/>
      <c r="C667" s="295" t="str">
        <f t="shared" si="20"/>
        <v>НЕ НАЙДЕН</v>
      </c>
      <c r="E667" s="344"/>
      <c r="F667" s="295" t="str">
        <f t="shared" si="21"/>
        <v>НЕ НАЙДЕН</v>
      </c>
    </row>
    <row r="668" spans="2:6">
      <c r="B668" s="344"/>
      <c r="E668" s="344"/>
      <c r="F668" s="295" t="str">
        <f t="shared" si="21"/>
        <v>НЕ НАЙДЕН</v>
      </c>
    </row>
    <row r="669" spans="2:6">
      <c r="B669" s="344"/>
      <c r="E669" s="344"/>
      <c r="F669" s="295" t="str">
        <f t="shared" si="21"/>
        <v>НЕ НАЙДЕН</v>
      </c>
    </row>
    <row r="670" spans="2:6">
      <c r="B670" s="344"/>
      <c r="E670" s="344"/>
      <c r="F670" s="295" t="str">
        <f t="shared" si="21"/>
        <v>НЕ НАЙДЕН</v>
      </c>
    </row>
    <row r="671" spans="2:6">
      <c r="B671" s="344"/>
      <c r="E671" s="344"/>
      <c r="F671" s="295" t="str">
        <f t="shared" si="21"/>
        <v>НЕ НАЙДЕН</v>
      </c>
    </row>
    <row r="672" spans="2:6">
      <c r="B672" s="344"/>
      <c r="E672" s="344"/>
      <c r="F672" s="295" t="str">
        <f t="shared" si="21"/>
        <v>НЕ НАЙДЕН</v>
      </c>
    </row>
    <row r="673" spans="2:6">
      <c r="B673" s="344"/>
      <c r="E673" s="344"/>
      <c r="F673" s="295" t="str">
        <f t="shared" si="21"/>
        <v>НЕ НАЙДЕН</v>
      </c>
    </row>
    <row r="674" spans="2:6">
      <c r="B674" s="344"/>
      <c r="E674" s="344"/>
      <c r="F674" s="295" t="str">
        <f t="shared" si="21"/>
        <v>НЕ НАЙДЕН</v>
      </c>
    </row>
    <row r="675" spans="2:6">
      <c r="B675" s="344"/>
      <c r="E675" s="344"/>
      <c r="F675" s="295" t="str">
        <f t="shared" si="21"/>
        <v>НЕ НАЙДЕН</v>
      </c>
    </row>
    <row r="676" spans="2:6">
      <c r="B676" s="344"/>
      <c r="E676" s="344"/>
      <c r="F676" s="295" t="str">
        <f t="shared" si="21"/>
        <v>НЕ НАЙДЕН</v>
      </c>
    </row>
    <row r="677" spans="2:6">
      <c r="B677" s="344"/>
      <c r="E677" s="344"/>
      <c r="F677" s="295" t="str">
        <f t="shared" si="21"/>
        <v>НЕ НАЙДЕН</v>
      </c>
    </row>
    <row r="678" spans="2:6">
      <c r="B678" s="344"/>
      <c r="E678" s="344"/>
      <c r="F678" s="295" t="str">
        <f t="shared" si="21"/>
        <v>НЕ НАЙДЕН</v>
      </c>
    </row>
    <row r="679" spans="2:6">
      <c r="B679" s="344"/>
      <c r="E679" s="344"/>
      <c r="F679" s="295" t="str">
        <f t="shared" si="21"/>
        <v>НЕ НАЙДЕН</v>
      </c>
    </row>
    <row r="680" spans="2:6">
      <c r="B680" s="344"/>
      <c r="E680" s="344"/>
      <c r="F680" s="295" t="str">
        <f t="shared" si="21"/>
        <v>НЕ НАЙДЕН</v>
      </c>
    </row>
    <row r="681" spans="2:6">
      <c r="B681" s="344"/>
      <c r="E681" s="344"/>
      <c r="F681" s="295" t="str">
        <f t="shared" si="21"/>
        <v>НЕ НАЙДЕН</v>
      </c>
    </row>
    <row r="682" spans="2:6">
      <c r="B682" s="344"/>
      <c r="E682" s="344"/>
      <c r="F682" s="295" t="str">
        <f t="shared" si="21"/>
        <v>НЕ НАЙДЕН</v>
      </c>
    </row>
    <row r="683" spans="2:6">
      <c r="B683" s="344"/>
      <c r="E683" s="344"/>
      <c r="F683" s="295" t="str">
        <f t="shared" si="21"/>
        <v>НЕ НАЙДЕН</v>
      </c>
    </row>
    <row r="684" spans="2:6">
      <c r="B684" s="344"/>
      <c r="E684" s="344"/>
      <c r="F684" s="295" t="str">
        <f t="shared" si="21"/>
        <v>НЕ НАЙДЕН</v>
      </c>
    </row>
    <row r="685" spans="2:6">
      <c r="B685" s="344"/>
      <c r="E685" s="344"/>
      <c r="F685" s="295" t="str">
        <f t="shared" si="21"/>
        <v>НЕ НАЙДЕН</v>
      </c>
    </row>
    <row r="686" spans="2:6">
      <c r="B686" s="344"/>
      <c r="E686" s="344"/>
      <c r="F686" s="295" t="str">
        <f t="shared" si="21"/>
        <v>НЕ НАЙДЕН</v>
      </c>
    </row>
    <row r="687" spans="2:6">
      <c r="B687" s="344"/>
      <c r="E687" s="344"/>
      <c r="F687" s="295" t="str">
        <f t="shared" si="21"/>
        <v>НЕ НАЙДЕН</v>
      </c>
    </row>
    <row r="688" spans="2:6">
      <c r="B688" s="344"/>
      <c r="E688" s="344"/>
      <c r="F688" s="295" t="str">
        <f t="shared" si="21"/>
        <v>НЕ НАЙДЕН</v>
      </c>
    </row>
    <row r="689" spans="2:6">
      <c r="B689" s="344"/>
      <c r="E689" s="344"/>
      <c r="F689" s="295" t="str">
        <f t="shared" si="21"/>
        <v>НЕ НАЙДЕН</v>
      </c>
    </row>
    <row r="690" spans="2:6">
      <c r="B690" s="344"/>
      <c r="E690" s="344"/>
      <c r="F690" s="295" t="str">
        <f t="shared" si="21"/>
        <v>НЕ НАЙДЕН</v>
      </c>
    </row>
    <row r="691" spans="2:6">
      <c r="B691" s="344"/>
      <c r="E691" s="344"/>
      <c r="F691" s="295" t="str">
        <f t="shared" si="21"/>
        <v>НЕ НАЙДЕН</v>
      </c>
    </row>
    <row r="692" spans="2:6">
      <c r="B692" s="344"/>
      <c r="E692" s="344"/>
      <c r="F692" s="295" t="str">
        <f t="shared" si="21"/>
        <v>НЕ НАЙДЕН</v>
      </c>
    </row>
    <row r="693" spans="2:6">
      <c r="B693" s="344"/>
      <c r="E693" s="344"/>
      <c r="F693" s="295" t="str">
        <f t="shared" si="21"/>
        <v>НЕ НАЙДЕН</v>
      </c>
    </row>
    <row r="694" spans="2:6">
      <c r="E694" s="344"/>
      <c r="F694" s="295" t="str">
        <f t="shared" si="21"/>
        <v>НЕ НАЙДЕН</v>
      </c>
    </row>
    <row r="695" spans="2:6">
      <c r="E695" s="344"/>
      <c r="F695" s="295" t="str">
        <f t="shared" si="21"/>
        <v>НЕ НАЙДЕН</v>
      </c>
    </row>
    <row r="696" spans="2:6">
      <c r="E696" s="344"/>
      <c r="F696" s="295" t="str">
        <f t="shared" si="21"/>
        <v>НЕ НАЙДЕН</v>
      </c>
    </row>
    <row r="697" spans="2:6">
      <c r="E697" s="344"/>
      <c r="F697" s="295" t="str">
        <f t="shared" si="21"/>
        <v>НЕ НАЙДЕН</v>
      </c>
    </row>
    <row r="698" spans="2:6">
      <c r="E698" s="344"/>
      <c r="F698" s="295" t="str">
        <f t="shared" si="21"/>
        <v>НЕ НАЙДЕН</v>
      </c>
    </row>
    <row r="699" spans="2:6">
      <c r="E699" s="344"/>
      <c r="F699" s="295" t="str">
        <f t="shared" si="21"/>
        <v>НЕ НАЙДЕН</v>
      </c>
    </row>
    <row r="700" spans="2:6">
      <c r="E700" s="344"/>
      <c r="F700" s="295" t="str">
        <f t="shared" si="21"/>
        <v>НЕ НАЙДЕН</v>
      </c>
    </row>
    <row r="701" spans="2:6">
      <c r="E701" s="344"/>
      <c r="F701" s="295" t="str">
        <f t="shared" si="21"/>
        <v>НЕ НАЙДЕН</v>
      </c>
    </row>
    <row r="702" spans="2:6">
      <c r="E702" s="344"/>
      <c r="F702" s="295" t="str">
        <f t="shared" si="21"/>
        <v>НЕ НАЙДЕН</v>
      </c>
    </row>
    <row r="703" spans="2:6">
      <c r="E703" s="344"/>
      <c r="F703" s="295" t="str">
        <f t="shared" si="21"/>
        <v>НЕ НАЙДЕН</v>
      </c>
    </row>
    <row r="704" spans="2:6">
      <c r="E704" s="344"/>
      <c r="F704" s="295" t="str">
        <f t="shared" si="21"/>
        <v>НЕ НАЙДЕН</v>
      </c>
    </row>
    <row r="705" spans="5:6">
      <c r="E705" s="344"/>
      <c r="F705" s="295" t="str">
        <f t="shared" si="21"/>
        <v>НЕ НАЙДЕН</v>
      </c>
    </row>
    <row r="706" spans="5:6">
      <c r="E706" s="344"/>
      <c r="F706" s="295" t="str">
        <f t="shared" si="21"/>
        <v>НЕ НАЙДЕН</v>
      </c>
    </row>
    <row r="707" spans="5:6">
      <c r="E707" s="344"/>
      <c r="F707" s="295" t="str">
        <f t="shared" si="21"/>
        <v>НЕ НАЙДЕН</v>
      </c>
    </row>
    <row r="708" spans="5:6">
      <c r="E708" s="344"/>
      <c r="F708" s="295" t="str">
        <f t="shared" ref="F708:F771" si="22">IFERROR(MATCH($E708,$B$3:$B$3003,0),"НЕ НАЙДЕН")</f>
        <v>НЕ НАЙДЕН</v>
      </c>
    </row>
    <row r="709" spans="5:6">
      <c r="E709" s="344"/>
      <c r="F709" s="295" t="str">
        <f t="shared" si="22"/>
        <v>НЕ НАЙДЕН</v>
      </c>
    </row>
    <row r="710" spans="5:6">
      <c r="E710" s="344"/>
      <c r="F710" s="295" t="str">
        <f t="shared" si="22"/>
        <v>НЕ НАЙДЕН</v>
      </c>
    </row>
    <row r="711" spans="5:6">
      <c r="E711" s="344"/>
      <c r="F711" s="295" t="str">
        <f t="shared" si="22"/>
        <v>НЕ НАЙДЕН</v>
      </c>
    </row>
    <row r="712" spans="5:6">
      <c r="E712" s="344"/>
      <c r="F712" s="295" t="str">
        <f t="shared" si="22"/>
        <v>НЕ НАЙДЕН</v>
      </c>
    </row>
    <row r="713" spans="5:6">
      <c r="E713" s="344"/>
      <c r="F713" s="295" t="str">
        <f t="shared" si="22"/>
        <v>НЕ НАЙДЕН</v>
      </c>
    </row>
    <row r="714" spans="5:6">
      <c r="E714" s="344"/>
      <c r="F714" s="295" t="str">
        <f t="shared" si="22"/>
        <v>НЕ НАЙДЕН</v>
      </c>
    </row>
    <row r="715" spans="5:6">
      <c r="E715" s="344"/>
      <c r="F715" s="295" t="str">
        <f t="shared" si="22"/>
        <v>НЕ НАЙДЕН</v>
      </c>
    </row>
    <row r="716" spans="5:6">
      <c r="E716" s="344"/>
      <c r="F716" s="295" t="str">
        <f t="shared" si="22"/>
        <v>НЕ НАЙДЕН</v>
      </c>
    </row>
    <row r="717" spans="5:6">
      <c r="E717" s="344"/>
      <c r="F717" s="295" t="str">
        <f t="shared" si="22"/>
        <v>НЕ НАЙДЕН</v>
      </c>
    </row>
    <row r="718" spans="5:6">
      <c r="E718" s="344"/>
      <c r="F718" s="295" t="str">
        <f t="shared" si="22"/>
        <v>НЕ НАЙДЕН</v>
      </c>
    </row>
    <row r="719" spans="5:6">
      <c r="E719" s="344"/>
      <c r="F719" s="295" t="str">
        <f t="shared" si="22"/>
        <v>НЕ НАЙДЕН</v>
      </c>
    </row>
    <row r="720" spans="5:6">
      <c r="E720" s="344"/>
      <c r="F720" s="295" t="str">
        <f t="shared" si="22"/>
        <v>НЕ НАЙДЕН</v>
      </c>
    </row>
    <row r="721" spans="5:6">
      <c r="E721" s="344"/>
      <c r="F721" s="295" t="str">
        <f t="shared" si="22"/>
        <v>НЕ НАЙДЕН</v>
      </c>
    </row>
    <row r="722" spans="5:6">
      <c r="E722" s="344"/>
      <c r="F722" s="295" t="str">
        <f t="shared" si="22"/>
        <v>НЕ НАЙДЕН</v>
      </c>
    </row>
    <row r="723" spans="5:6">
      <c r="E723" s="344"/>
      <c r="F723" s="295" t="str">
        <f t="shared" si="22"/>
        <v>НЕ НАЙДЕН</v>
      </c>
    </row>
    <row r="724" spans="5:6">
      <c r="E724" s="344"/>
      <c r="F724" s="295" t="str">
        <f t="shared" si="22"/>
        <v>НЕ НАЙДЕН</v>
      </c>
    </row>
    <row r="725" spans="5:6">
      <c r="E725" s="344"/>
      <c r="F725" s="295" t="str">
        <f t="shared" si="22"/>
        <v>НЕ НАЙДЕН</v>
      </c>
    </row>
    <row r="726" spans="5:6">
      <c r="E726" s="344"/>
      <c r="F726" s="295" t="str">
        <f t="shared" si="22"/>
        <v>НЕ НАЙДЕН</v>
      </c>
    </row>
    <row r="727" spans="5:6">
      <c r="E727" s="344"/>
      <c r="F727" s="295" t="str">
        <f t="shared" si="22"/>
        <v>НЕ НАЙДЕН</v>
      </c>
    </row>
    <row r="728" spans="5:6">
      <c r="E728" s="344"/>
      <c r="F728" s="295" t="str">
        <f t="shared" si="22"/>
        <v>НЕ НАЙДЕН</v>
      </c>
    </row>
    <row r="729" spans="5:6">
      <c r="E729" s="344"/>
      <c r="F729" s="295" t="str">
        <f t="shared" si="22"/>
        <v>НЕ НАЙДЕН</v>
      </c>
    </row>
    <row r="730" spans="5:6">
      <c r="E730" s="344"/>
      <c r="F730" s="295" t="str">
        <f t="shared" si="22"/>
        <v>НЕ НАЙДЕН</v>
      </c>
    </row>
    <row r="731" spans="5:6">
      <c r="E731" s="344"/>
      <c r="F731" s="295" t="str">
        <f t="shared" si="22"/>
        <v>НЕ НАЙДЕН</v>
      </c>
    </row>
    <row r="732" spans="5:6">
      <c r="E732" s="344"/>
      <c r="F732" s="295" t="str">
        <f t="shared" si="22"/>
        <v>НЕ НАЙДЕН</v>
      </c>
    </row>
    <row r="733" spans="5:6">
      <c r="E733" s="344"/>
      <c r="F733" s="295" t="str">
        <f t="shared" si="22"/>
        <v>НЕ НАЙДЕН</v>
      </c>
    </row>
    <row r="734" spans="5:6">
      <c r="E734" s="344"/>
      <c r="F734" s="295" t="str">
        <f t="shared" si="22"/>
        <v>НЕ НАЙДЕН</v>
      </c>
    </row>
    <row r="735" spans="5:6">
      <c r="E735" s="344"/>
      <c r="F735" s="295" t="str">
        <f t="shared" si="22"/>
        <v>НЕ НАЙДЕН</v>
      </c>
    </row>
    <row r="736" spans="5:6">
      <c r="E736" s="344"/>
      <c r="F736" s="295" t="str">
        <f t="shared" si="22"/>
        <v>НЕ НАЙДЕН</v>
      </c>
    </row>
    <row r="737" spans="5:6">
      <c r="E737" s="344"/>
      <c r="F737" s="295" t="str">
        <f t="shared" si="22"/>
        <v>НЕ НАЙДЕН</v>
      </c>
    </row>
    <row r="738" spans="5:6">
      <c r="E738" s="344"/>
      <c r="F738" s="295" t="str">
        <f t="shared" si="22"/>
        <v>НЕ НАЙДЕН</v>
      </c>
    </row>
    <row r="739" spans="5:6">
      <c r="E739" s="344"/>
      <c r="F739" s="295" t="str">
        <f t="shared" si="22"/>
        <v>НЕ НАЙДЕН</v>
      </c>
    </row>
    <row r="740" spans="5:6">
      <c r="E740" s="344"/>
      <c r="F740" s="295" t="str">
        <f t="shared" si="22"/>
        <v>НЕ НАЙДЕН</v>
      </c>
    </row>
    <row r="741" spans="5:6">
      <c r="E741" s="344"/>
      <c r="F741" s="295" t="str">
        <f t="shared" si="22"/>
        <v>НЕ НАЙДЕН</v>
      </c>
    </row>
    <row r="742" spans="5:6">
      <c r="E742" s="344"/>
      <c r="F742" s="295" t="str">
        <f t="shared" si="22"/>
        <v>НЕ НАЙДЕН</v>
      </c>
    </row>
    <row r="743" spans="5:6">
      <c r="E743" s="344"/>
      <c r="F743" s="295" t="str">
        <f t="shared" si="22"/>
        <v>НЕ НАЙДЕН</v>
      </c>
    </row>
    <row r="744" spans="5:6">
      <c r="E744" s="344"/>
      <c r="F744" s="295" t="str">
        <f t="shared" si="22"/>
        <v>НЕ НАЙДЕН</v>
      </c>
    </row>
    <row r="745" spans="5:6">
      <c r="E745" s="344"/>
      <c r="F745" s="295" t="str">
        <f t="shared" si="22"/>
        <v>НЕ НАЙДЕН</v>
      </c>
    </row>
    <row r="746" spans="5:6">
      <c r="E746" s="344"/>
      <c r="F746" s="295" t="str">
        <f t="shared" si="22"/>
        <v>НЕ НАЙДЕН</v>
      </c>
    </row>
    <row r="747" spans="5:6">
      <c r="E747" s="344"/>
      <c r="F747" s="295" t="str">
        <f t="shared" si="22"/>
        <v>НЕ НАЙДЕН</v>
      </c>
    </row>
    <row r="748" spans="5:6">
      <c r="E748" s="344"/>
      <c r="F748" s="295" t="str">
        <f t="shared" si="22"/>
        <v>НЕ НАЙДЕН</v>
      </c>
    </row>
    <row r="749" spans="5:6">
      <c r="E749" s="344"/>
      <c r="F749" s="295" t="str">
        <f t="shared" si="22"/>
        <v>НЕ НАЙДЕН</v>
      </c>
    </row>
    <row r="750" spans="5:6">
      <c r="E750" s="344"/>
      <c r="F750" s="295" t="str">
        <f t="shared" si="22"/>
        <v>НЕ НАЙДЕН</v>
      </c>
    </row>
    <row r="751" spans="5:6">
      <c r="E751" s="344"/>
      <c r="F751" s="295" t="str">
        <f t="shared" si="22"/>
        <v>НЕ НАЙДЕН</v>
      </c>
    </row>
    <row r="752" spans="5:6">
      <c r="E752" s="344"/>
      <c r="F752" s="295" t="str">
        <f t="shared" si="22"/>
        <v>НЕ НАЙДЕН</v>
      </c>
    </row>
    <row r="753" spans="5:6">
      <c r="E753" s="344"/>
      <c r="F753" s="295" t="str">
        <f t="shared" si="22"/>
        <v>НЕ НАЙДЕН</v>
      </c>
    </row>
    <row r="754" spans="5:6">
      <c r="E754" s="344"/>
      <c r="F754" s="295" t="str">
        <f t="shared" si="22"/>
        <v>НЕ НАЙДЕН</v>
      </c>
    </row>
    <row r="755" spans="5:6">
      <c r="E755" s="344"/>
      <c r="F755" s="295" t="str">
        <f t="shared" si="22"/>
        <v>НЕ НАЙДЕН</v>
      </c>
    </row>
    <row r="756" spans="5:6">
      <c r="E756" s="344"/>
      <c r="F756" s="295" t="str">
        <f t="shared" si="22"/>
        <v>НЕ НАЙДЕН</v>
      </c>
    </row>
    <row r="757" spans="5:6">
      <c r="E757" s="344"/>
      <c r="F757" s="295" t="str">
        <f t="shared" si="22"/>
        <v>НЕ НАЙДЕН</v>
      </c>
    </row>
    <row r="758" spans="5:6">
      <c r="E758" s="344"/>
      <c r="F758" s="295" t="str">
        <f t="shared" si="22"/>
        <v>НЕ НАЙДЕН</v>
      </c>
    </row>
    <row r="759" spans="5:6">
      <c r="E759" s="344"/>
      <c r="F759" s="295" t="str">
        <f t="shared" si="22"/>
        <v>НЕ НАЙДЕН</v>
      </c>
    </row>
    <row r="760" spans="5:6">
      <c r="E760" s="344"/>
      <c r="F760" s="295" t="str">
        <f t="shared" si="22"/>
        <v>НЕ НАЙДЕН</v>
      </c>
    </row>
    <row r="761" spans="5:6">
      <c r="E761" s="344"/>
      <c r="F761" s="295" t="str">
        <f t="shared" si="22"/>
        <v>НЕ НАЙДЕН</v>
      </c>
    </row>
    <row r="762" spans="5:6">
      <c r="E762" s="344"/>
      <c r="F762" s="295" t="str">
        <f t="shared" si="22"/>
        <v>НЕ НАЙДЕН</v>
      </c>
    </row>
    <row r="763" spans="5:6">
      <c r="E763" s="344"/>
      <c r="F763" s="295" t="str">
        <f t="shared" si="22"/>
        <v>НЕ НАЙДЕН</v>
      </c>
    </row>
    <row r="764" spans="5:6">
      <c r="E764" s="344"/>
      <c r="F764" s="295" t="str">
        <f t="shared" si="22"/>
        <v>НЕ НАЙДЕН</v>
      </c>
    </row>
    <row r="765" spans="5:6">
      <c r="E765" s="344"/>
      <c r="F765" s="295" t="str">
        <f t="shared" si="22"/>
        <v>НЕ НАЙДЕН</v>
      </c>
    </row>
    <row r="766" spans="5:6">
      <c r="E766" s="344"/>
      <c r="F766" s="295" t="str">
        <f t="shared" si="22"/>
        <v>НЕ НАЙДЕН</v>
      </c>
    </row>
    <row r="767" spans="5:6">
      <c r="E767" s="344"/>
      <c r="F767" s="295" t="str">
        <f t="shared" si="22"/>
        <v>НЕ НАЙДЕН</v>
      </c>
    </row>
    <row r="768" spans="5:6">
      <c r="E768" s="344"/>
      <c r="F768" s="295" t="str">
        <f t="shared" si="22"/>
        <v>НЕ НАЙДЕН</v>
      </c>
    </row>
    <row r="769" spans="5:6">
      <c r="E769" s="344"/>
      <c r="F769" s="295" t="str">
        <f t="shared" si="22"/>
        <v>НЕ НАЙДЕН</v>
      </c>
    </row>
    <row r="770" spans="5:6">
      <c r="E770" s="344"/>
      <c r="F770" s="295" t="str">
        <f t="shared" si="22"/>
        <v>НЕ НАЙДЕН</v>
      </c>
    </row>
    <row r="771" spans="5:6">
      <c r="E771" s="344"/>
      <c r="F771" s="295" t="str">
        <f t="shared" si="22"/>
        <v>НЕ НАЙДЕН</v>
      </c>
    </row>
  </sheetData>
  <autoFilter ref="F1:F1046680">
    <filterColumn colId="0"/>
  </autoFilter>
  <conditionalFormatting sqref="C3:C667">
    <cfRule type="containsText" dxfId="1" priority="2" operator="containsText" text="НЕ НАЙДЕН">
      <formula>NOT(ISERROR(SEARCH("НЕ НАЙДЕН",C3)))</formula>
    </cfRule>
  </conditionalFormatting>
  <conditionalFormatting sqref="F3:F771">
    <cfRule type="containsText" dxfId="0" priority="1" operator="containsText" text="НЕ НАЙДЕН">
      <formula>NOT(ISERROR(SEARCH("НЕ НАЙДЕН",F3)))</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sheetPr filterMode="1">
    <tabColor rgb="FF92D050"/>
  </sheetPr>
  <dimension ref="A1:K864"/>
  <sheetViews>
    <sheetView workbookViewId="0">
      <selection activeCell="B14" sqref="B14:C14"/>
    </sheetView>
  </sheetViews>
  <sheetFormatPr defaultRowHeight="18"/>
  <cols>
    <col min="1" max="1" width="15.08984375" customWidth="1"/>
    <col min="2" max="3" width="3.26953125" style="372" customWidth="1"/>
    <col min="4" max="4" width="7.453125" style="372" customWidth="1"/>
    <col min="5" max="5" width="2.453125" style="372" customWidth="1"/>
    <col min="6" max="6" width="8.90625" style="373" customWidth="1"/>
    <col min="7" max="8" width="8.36328125" style="373" customWidth="1"/>
    <col min="9" max="9" width="2.7265625" style="292" bestFit="1" customWidth="1"/>
    <col min="10" max="10" width="6.90625" style="292" customWidth="1"/>
    <col min="11" max="11" width="9.26953125" style="292"/>
  </cols>
  <sheetData>
    <row r="1" spans="1:10">
      <c r="B1" s="352"/>
      <c r="C1" s="352"/>
      <c r="D1" s="352"/>
      <c r="E1" s="352"/>
      <c r="F1" s="353"/>
      <c r="G1" s="353"/>
      <c r="H1" s="353"/>
    </row>
    <row r="2" spans="1:10">
      <c r="B2" s="352"/>
      <c r="C2" s="352"/>
      <c r="D2" s="352"/>
      <c r="E2" s="352"/>
      <c r="F2" s="353"/>
      <c r="G2" s="353"/>
      <c r="H2" s="353"/>
    </row>
    <row r="3" spans="1:10">
      <c r="B3" s="354"/>
      <c r="C3" s="354"/>
      <c r="D3" s="354"/>
      <c r="E3" s="354"/>
      <c r="F3" s="353"/>
      <c r="G3" s="353"/>
      <c r="H3" s="353"/>
    </row>
    <row r="4" spans="1:10">
      <c r="B4" s="355"/>
      <c r="C4" s="355"/>
      <c r="D4" s="355"/>
      <c r="E4" s="355"/>
      <c r="F4" s="356"/>
      <c r="G4" s="353"/>
      <c r="H4" s="353"/>
    </row>
    <row r="5" spans="1:10">
      <c r="B5" s="356"/>
      <c r="C5" s="356"/>
      <c r="D5" s="356"/>
      <c r="E5" s="356"/>
      <c r="F5" s="356"/>
      <c r="G5" s="353"/>
      <c r="H5" s="353"/>
    </row>
    <row r="6" spans="1:10">
      <c r="B6" s="356"/>
      <c r="C6" s="356"/>
      <c r="D6" s="356"/>
      <c r="E6" s="356"/>
      <c r="F6" s="356"/>
      <c r="G6" s="353"/>
      <c r="H6" s="353"/>
    </row>
    <row r="7" spans="1:10" ht="18.75" thickBot="1">
      <c r="B7" s="357"/>
      <c r="C7" s="358"/>
      <c r="D7" s="358"/>
      <c r="E7" s="358"/>
      <c r="F7" s="357"/>
      <c r="G7" s="357"/>
      <c r="H7" s="357"/>
    </row>
    <row r="8" spans="1:10" ht="23.25" thickBot="1">
      <c r="B8" s="359" t="s">
        <v>1890</v>
      </c>
      <c r="C8" s="359" t="s">
        <v>1891</v>
      </c>
      <c r="D8" s="360" t="s">
        <v>1892</v>
      </c>
      <c r="E8" s="361" t="s">
        <v>1893</v>
      </c>
      <c r="F8" s="361" t="s">
        <v>1894</v>
      </c>
      <c r="G8" s="361" t="s">
        <v>1895</v>
      </c>
      <c r="H8" s="361" t="s">
        <v>1896</v>
      </c>
    </row>
    <row r="9" spans="1:10" hidden="1">
      <c r="A9" s="346" t="str">
        <f>B9&amp;I9&amp;J9&amp;E9</f>
        <v>60001037010010010122</v>
      </c>
      <c r="B9" s="480">
        <v>600</v>
      </c>
      <c r="C9" s="479">
        <v>103</v>
      </c>
      <c r="D9" s="478" t="s">
        <v>1897</v>
      </c>
      <c r="E9" s="477" t="s">
        <v>23</v>
      </c>
      <c r="F9" s="486">
        <v>1198057.0900000001</v>
      </c>
      <c r="G9" s="486">
        <v>0</v>
      </c>
      <c r="H9" s="485">
        <v>0</v>
      </c>
      <c r="I9" s="345" t="str">
        <f>TEXT(C9,"0000")</f>
        <v>0103</v>
      </c>
      <c r="J9" s="346" t="str">
        <f>TEXT(D9,"0000000000")</f>
        <v>7010010010</v>
      </c>
    </row>
    <row r="10" spans="1:10" hidden="1">
      <c r="A10" s="346" t="str">
        <f>B10&amp;I10&amp;J10&amp;E10</f>
        <v>60001037010010010123</v>
      </c>
      <c r="B10" s="476">
        <v>600</v>
      </c>
      <c r="C10" s="475">
        <v>103</v>
      </c>
      <c r="D10" s="474" t="s">
        <v>1897</v>
      </c>
      <c r="E10" s="473" t="s">
        <v>25</v>
      </c>
      <c r="F10" s="484">
        <v>2426598</v>
      </c>
      <c r="G10" s="484">
        <v>0</v>
      </c>
      <c r="H10" s="483">
        <v>0</v>
      </c>
      <c r="I10" s="345" t="str">
        <f>TEXT(C10,"0000")</f>
        <v>0103</v>
      </c>
      <c r="J10" s="346" t="str">
        <f>TEXT(D10,"0000000000")</f>
        <v>7010010010</v>
      </c>
    </row>
    <row r="11" spans="1:10" hidden="1">
      <c r="A11" s="346" t="str">
        <f t="shared" ref="A11:A74" si="0">B11&amp;I11&amp;J11&amp;E11</f>
        <v>60001037010010010129</v>
      </c>
      <c r="B11" s="476">
        <v>600</v>
      </c>
      <c r="C11" s="475">
        <v>103</v>
      </c>
      <c r="D11" s="474" t="s">
        <v>1897</v>
      </c>
      <c r="E11" s="473" t="s">
        <v>27</v>
      </c>
      <c r="F11" s="484">
        <v>201720.16</v>
      </c>
      <c r="G11" s="484">
        <v>0</v>
      </c>
      <c r="H11" s="483">
        <v>0</v>
      </c>
      <c r="I11" s="345" t="str">
        <f t="shared" ref="I11:I74" si="1">TEXT(C11,"0000")</f>
        <v>0103</v>
      </c>
      <c r="J11" s="346" t="str">
        <f t="shared" ref="J11:J74" si="2">TEXT(D11,"0000000000")</f>
        <v>7010010010</v>
      </c>
    </row>
    <row r="12" spans="1:10" hidden="1">
      <c r="A12" s="346" t="str">
        <f t="shared" si="0"/>
        <v>60001037010010010244</v>
      </c>
      <c r="B12" s="476">
        <v>600</v>
      </c>
      <c r="C12" s="475">
        <v>103</v>
      </c>
      <c r="D12" s="474" t="s">
        <v>1897</v>
      </c>
      <c r="E12" s="473" t="s">
        <v>31</v>
      </c>
      <c r="F12" s="484">
        <v>5976392.9900000002</v>
      </c>
      <c r="G12" s="484">
        <v>0</v>
      </c>
      <c r="H12" s="483">
        <v>0</v>
      </c>
      <c r="I12" s="345" t="str">
        <f t="shared" si="1"/>
        <v>0103</v>
      </c>
      <c r="J12" s="346" t="str">
        <f t="shared" si="2"/>
        <v>7010010010</v>
      </c>
    </row>
    <row r="13" spans="1:10" hidden="1">
      <c r="A13" s="346" t="str">
        <f t="shared" si="0"/>
        <v>60001037010010010851</v>
      </c>
      <c r="B13" s="476">
        <v>600</v>
      </c>
      <c r="C13" s="475">
        <v>103</v>
      </c>
      <c r="D13" s="474" t="s">
        <v>1897</v>
      </c>
      <c r="E13" s="473" t="s">
        <v>35</v>
      </c>
      <c r="F13" s="484">
        <v>0</v>
      </c>
      <c r="G13" s="484">
        <v>0</v>
      </c>
      <c r="H13" s="483">
        <v>0</v>
      </c>
      <c r="I13" s="345" t="str">
        <f t="shared" si="1"/>
        <v>0103</v>
      </c>
      <c r="J13" s="346" t="str">
        <f t="shared" si="2"/>
        <v>7010010010</v>
      </c>
    </row>
    <row r="14" spans="1:10" hidden="1">
      <c r="A14" s="346" t="str">
        <f t="shared" si="0"/>
        <v>60001037010010010852</v>
      </c>
      <c r="B14" s="476">
        <v>600</v>
      </c>
      <c r="C14" s="475">
        <v>103</v>
      </c>
      <c r="D14" s="474" t="s">
        <v>1897</v>
      </c>
      <c r="E14" s="473" t="s">
        <v>37</v>
      </c>
      <c r="F14" s="484">
        <v>76341</v>
      </c>
      <c r="G14" s="484">
        <v>0</v>
      </c>
      <c r="H14" s="483">
        <v>0</v>
      </c>
      <c r="I14" s="345" t="str">
        <f t="shared" si="1"/>
        <v>0103</v>
      </c>
      <c r="J14" s="346" t="str">
        <f t="shared" si="2"/>
        <v>7010010010</v>
      </c>
    </row>
    <row r="15" spans="1:10" hidden="1">
      <c r="A15" s="346" t="str">
        <f t="shared" si="0"/>
        <v>60001037010010010853</v>
      </c>
      <c r="B15" s="476">
        <v>600</v>
      </c>
      <c r="C15" s="475">
        <v>103</v>
      </c>
      <c r="D15" s="474" t="s">
        <v>1897</v>
      </c>
      <c r="E15" s="473" t="s">
        <v>78</v>
      </c>
      <c r="F15" s="484">
        <v>142.83000000000001</v>
      </c>
      <c r="G15" s="484">
        <v>0</v>
      </c>
      <c r="H15" s="483">
        <v>0</v>
      </c>
      <c r="I15" s="345" t="str">
        <f t="shared" si="1"/>
        <v>0103</v>
      </c>
      <c r="J15" s="346" t="str">
        <f t="shared" si="2"/>
        <v>7010010010</v>
      </c>
    </row>
    <row r="16" spans="1:10" hidden="1">
      <c r="A16" s="346" t="str">
        <f t="shared" si="0"/>
        <v>60001037010010020121</v>
      </c>
      <c r="B16" s="476">
        <v>600</v>
      </c>
      <c r="C16" s="475">
        <v>103</v>
      </c>
      <c r="D16" s="474" t="s">
        <v>1898</v>
      </c>
      <c r="E16" s="473" t="s">
        <v>41</v>
      </c>
      <c r="F16" s="484">
        <v>25738976.350000001</v>
      </c>
      <c r="G16" s="484">
        <v>0</v>
      </c>
      <c r="H16" s="483">
        <v>0</v>
      </c>
      <c r="I16" s="345" t="str">
        <f t="shared" si="1"/>
        <v>0103</v>
      </c>
      <c r="J16" s="346" t="str">
        <f t="shared" si="2"/>
        <v>7010010020</v>
      </c>
    </row>
    <row r="17" spans="1:10" hidden="1">
      <c r="A17" s="346" t="str">
        <f t="shared" si="0"/>
        <v>60001037010010020129</v>
      </c>
      <c r="B17" s="476">
        <v>600</v>
      </c>
      <c r="C17" s="475">
        <v>103</v>
      </c>
      <c r="D17" s="474" t="s">
        <v>1898</v>
      </c>
      <c r="E17" s="473" t="s">
        <v>27</v>
      </c>
      <c r="F17" s="484">
        <v>7640271.3600000003</v>
      </c>
      <c r="G17" s="484">
        <v>0</v>
      </c>
      <c r="H17" s="483">
        <v>0</v>
      </c>
      <c r="I17" s="345" t="str">
        <f t="shared" si="1"/>
        <v>0103</v>
      </c>
      <c r="J17" s="346" t="str">
        <f t="shared" si="2"/>
        <v>7010010020</v>
      </c>
    </row>
    <row r="18" spans="1:10" hidden="1">
      <c r="A18" s="346" t="str">
        <f t="shared" si="0"/>
        <v>60001037010077460121</v>
      </c>
      <c r="B18" s="476">
        <v>600</v>
      </c>
      <c r="C18" s="475">
        <v>103</v>
      </c>
      <c r="D18" s="474" t="s">
        <v>1899</v>
      </c>
      <c r="E18" s="473" t="s">
        <v>41</v>
      </c>
      <c r="F18" s="484">
        <v>806556.46</v>
      </c>
      <c r="G18" s="484">
        <v>0</v>
      </c>
      <c r="H18" s="483">
        <v>0</v>
      </c>
      <c r="I18" s="345" t="str">
        <f t="shared" si="1"/>
        <v>0103</v>
      </c>
      <c r="J18" s="346" t="str">
        <f t="shared" si="2"/>
        <v>7010077460</v>
      </c>
    </row>
    <row r="19" spans="1:10" hidden="1">
      <c r="A19" s="346" t="str">
        <f t="shared" si="0"/>
        <v>60001037010077460129</v>
      </c>
      <c r="B19" s="476">
        <v>600</v>
      </c>
      <c r="C19" s="475">
        <v>103</v>
      </c>
      <c r="D19" s="474" t="s">
        <v>1899</v>
      </c>
      <c r="E19" s="473" t="s">
        <v>27</v>
      </c>
      <c r="F19" s="484">
        <v>258080.05</v>
      </c>
      <c r="G19" s="484">
        <v>0</v>
      </c>
      <c r="H19" s="483">
        <v>0</v>
      </c>
      <c r="I19" s="345" t="str">
        <f t="shared" si="1"/>
        <v>0103</v>
      </c>
      <c r="J19" s="346" t="str">
        <f t="shared" si="2"/>
        <v>7010077460</v>
      </c>
    </row>
    <row r="20" spans="1:10" hidden="1">
      <c r="A20" s="346" t="str">
        <f t="shared" si="0"/>
        <v>60001037010077580121</v>
      </c>
      <c r="B20" s="476">
        <v>600</v>
      </c>
      <c r="C20" s="475">
        <v>103</v>
      </c>
      <c r="D20" s="474" t="s">
        <v>1900</v>
      </c>
      <c r="E20" s="473" t="s">
        <v>41</v>
      </c>
      <c r="F20" s="484">
        <v>54396</v>
      </c>
      <c r="G20" s="484">
        <v>0</v>
      </c>
      <c r="H20" s="483">
        <v>0</v>
      </c>
      <c r="I20" s="345" t="str">
        <f t="shared" si="1"/>
        <v>0103</v>
      </c>
      <c r="J20" s="346" t="str">
        <f t="shared" si="2"/>
        <v>7010077580</v>
      </c>
    </row>
    <row r="21" spans="1:10" hidden="1">
      <c r="A21" s="346" t="str">
        <f t="shared" si="0"/>
        <v>60001037010077580129</v>
      </c>
      <c r="B21" s="476">
        <v>600</v>
      </c>
      <c r="C21" s="475">
        <v>103</v>
      </c>
      <c r="D21" s="474" t="s">
        <v>1900</v>
      </c>
      <c r="E21" s="473" t="s">
        <v>27</v>
      </c>
      <c r="F21" s="484">
        <v>16427.59</v>
      </c>
      <c r="G21" s="484">
        <v>0</v>
      </c>
      <c r="H21" s="483">
        <v>0</v>
      </c>
      <c r="I21" s="345" t="str">
        <f t="shared" si="1"/>
        <v>0103</v>
      </c>
      <c r="J21" s="346" t="str">
        <f t="shared" si="2"/>
        <v>7010077580</v>
      </c>
    </row>
    <row r="22" spans="1:10" hidden="1">
      <c r="A22" s="346" t="str">
        <f t="shared" si="0"/>
        <v>60001037020010010122</v>
      </c>
      <c r="B22" s="476">
        <v>600</v>
      </c>
      <c r="C22" s="475">
        <v>103</v>
      </c>
      <c r="D22" s="474" t="s">
        <v>1901</v>
      </c>
      <c r="E22" s="473" t="s">
        <v>23</v>
      </c>
      <c r="F22" s="484">
        <v>31912.5</v>
      </c>
      <c r="G22" s="484">
        <v>0</v>
      </c>
      <c r="H22" s="483">
        <v>0</v>
      </c>
      <c r="I22" s="345" t="str">
        <f t="shared" si="1"/>
        <v>0103</v>
      </c>
      <c r="J22" s="346" t="str">
        <f t="shared" si="2"/>
        <v>7020010010</v>
      </c>
    </row>
    <row r="23" spans="1:10" hidden="1">
      <c r="A23" s="346" t="str">
        <f t="shared" si="0"/>
        <v>60001037020010010129</v>
      </c>
      <c r="B23" s="476">
        <v>600</v>
      </c>
      <c r="C23" s="475">
        <v>103</v>
      </c>
      <c r="D23" s="474" t="s">
        <v>1901</v>
      </c>
      <c r="E23" s="473" t="s">
        <v>27</v>
      </c>
      <c r="F23" s="484">
        <v>9637.5</v>
      </c>
      <c r="G23" s="484">
        <v>0</v>
      </c>
      <c r="H23" s="483">
        <v>0</v>
      </c>
      <c r="I23" s="345" t="str">
        <f t="shared" si="1"/>
        <v>0103</v>
      </c>
      <c r="J23" s="346" t="str">
        <f t="shared" si="2"/>
        <v>7020010010</v>
      </c>
    </row>
    <row r="24" spans="1:10" hidden="1">
      <c r="A24" s="346" t="str">
        <f t="shared" si="0"/>
        <v>60001037020010020121</v>
      </c>
      <c r="B24" s="476">
        <v>600</v>
      </c>
      <c r="C24" s="475">
        <v>103</v>
      </c>
      <c r="D24" s="474" t="s">
        <v>1902</v>
      </c>
      <c r="E24" s="473" t="s">
        <v>41</v>
      </c>
      <c r="F24" s="484">
        <v>1235043.81</v>
      </c>
      <c r="G24" s="484">
        <v>0</v>
      </c>
      <c r="H24" s="483">
        <v>0</v>
      </c>
      <c r="I24" s="345" t="str">
        <f t="shared" si="1"/>
        <v>0103</v>
      </c>
      <c r="J24" s="346" t="str">
        <f t="shared" si="2"/>
        <v>7020010020</v>
      </c>
    </row>
    <row r="25" spans="1:10" hidden="1">
      <c r="A25" s="346" t="str">
        <f t="shared" si="0"/>
        <v>60001037020010020129</v>
      </c>
      <c r="B25" s="476">
        <v>600</v>
      </c>
      <c r="C25" s="475">
        <v>103</v>
      </c>
      <c r="D25" s="474" t="s">
        <v>1902</v>
      </c>
      <c r="E25" s="473" t="s">
        <v>27</v>
      </c>
      <c r="F25" s="484">
        <v>331209.59999999998</v>
      </c>
      <c r="G25" s="484">
        <v>0</v>
      </c>
      <c r="H25" s="483">
        <v>0</v>
      </c>
      <c r="I25" s="345" t="str">
        <f t="shared" si="1"/>
        <v>0103</v>
      </c>
      <c r="J25" s="346" t="str">
        <f t="shared" si="2"/>
        <v>7020010020</v>
      </c>
    </row>
    <row r="26" spans="1:10" hidden="1">
      <c r="A26" s="346" t="str">
        <f t="shared" si="0"/>
        <v>60001037020077460121</v>
      </c>
      <c r="B26" s="476">
        <v>600</v>
      </c>
      <c r="C26" s="475">
        <v>103</v>
      </c>
      <c r="D26" s="474" t="s">
        <v>1903</v>
      </c>
      <c r="E26" s="473" t="s">
        <v>41</v>
      </c>
      <c r="F26" s="484">
        <v>46090.67</v>
      </c>
      <c r="G26" s="484">
        <v>0</v>
      </c>
      <c r="H26" s="483">
        <v>0</v>
      </c>
      <c r="I26" s="345" t="str">
        <f t="shared" si="1"/>
        <v>0103</v>
      </c>
      <c r="J26" s="346" t="str">
        <f t="shared" si="2"/>
        <v>7020077460</v>
      </c>
    </row>
    <row r="27" spans="1:10" hidden="1">
      <c r="A27" s="346" t="str">
        <f t="shared" si="0"/>
        <v>60001037020077460129</v>
      </c>
      <c r="B27" s="476">
        <v>600</v>
      </c>
      <c r="C27" s="475">
        <v>103</v>
      </c>
      <c r="D27" s="474" t="s">
        <v>1903</v>
      </c>
      <c r="E27" s="473" t="s">
        <v>27</v>
      </c>
      <c r="F27" s="484">
        <v>5600.1</v>
      </c>
      <c r="G27" s="484">
        <v>0</v>
      </c>
      <c r="H27" s="483">
        <v>0</v>
      </c>
      <c r="I27" s="345" t="str">
        <f t="shared" si="1"/>
        <v>0103</v>
      </c>
      <c r="J27" s="346" t="str">
        <f t="shared" si="2"/>
        <v>7020077460</v>
      </c>
    </row>
    <row r="28" spans="1:10" hidden="1">
      <c r="A28" s="346" t="str">
        <f t="shared" si="0"/>
        <v>60001037030010010122</v>
      </c>
      <c r="B28" s="476">
        <v>600</v>
      </c>
      <c r="C28" s="475">
        <v>103</v>
      </c>
      <c r="D28" s="474" t="s">
        <v>1904</v>
      </c>
      <c r="E28" s="473" t="s">
        <v>23</v>
      </c>
      <c r="F28" s="484">
        <v>63825</v>
      </c>
      <c r="G28" s="484">
        <v>0</v>
      </c>
      <c r="H28" s="483">
        <v>0</v>
      </c>
      <c r="I28" s="345" t="str">
        <f t="shared" si="1"/>
        <v>0103</v>
      </c>
      <c r="J28" s="346" t="str">
        <f t="shared" si="2"/>
        <v>7030010010</v>
      </c>
    </row>
    <row r="29" spans="1:10" hidden="1">
      <c r="A29" s="346" t="str">
        <f t="shared" si="0"/>
        <v>60001037030010010129</v>
      </c>
      <c r="B29" s="476">
        <v>600</v>
      </c>
      <c r="C29" s="475">
        <v>103</v>
      </c>
      <c r="D29" s="474" t="s">
        <v>1904</v>
      </c>
      <c r="E29" s="473" t="s">
        <v>27</v>
      </c>
      <c r="F29" s="484">
        <v>19280</v>
      </c>
      <c r="G29" s="484">
        <v>0</v>
      </c>
      <c r="H29" s="483">
        <v>0</v>
      </c>
      <c r="I29" s="345" t="str">
        <f t="shared" si="1"/>
        <v>0103</v>
      </c>
      <c r="J29" s="346" t="str">
        <f t="shared" si="2"/>
        <v>7030010010</v>
      </c>
    </row>
    <row r="30" spans="1:10" hidden="1">
      <c r="A30" s="346" t="str">
        <f t="shared" si="0"/>
        <v>60001037030010020121</v>
      </c>
      <c r="B30" s="476">
        <v>600</v>
      </c>
      <c r="C30" s="475">
        <v>103</v>
      </c>
      <c r="D30" s="474" t="s">
        <v>1905</v>
      </c>
      <c r="E30" s="473" t="s">
        <v>41</v>
      </c>
      <c r="F30" s="484">
        <v>1766855.36</v>
      </c>
      <c r="G30" s="484">
        <v>0</v>
      </c>
      <c r="H30" s="483">
        <v>0</v>
      </c>
      <c r="I30" s="345" t="str">
        <f t="shared" si="1"/>
        <v>0103</v>
      </c>
      <c r="J30" s="346" t="str">
        <f t="shared" si="2"/>
        <v>7030010020</v>
      </c>
    </row>
    <row r="31" spans="1:10" hidden="1">
      <c r="A31" s="346" t="str">
        <f t="shared" si="0"/>
        <v>60001037030010020129</v>
      </c>
      <c r="B31" s="476">
        <v>600</v>
      </c>
      <c r="C31" s="475">
        <v>103</v>
      </c>
      <c r="D31" s="474" t="s">
        <v>1905</v>
      </c>
      <c r="E31" s="473" t="s">
        <v>27</v>
      </c>
      <c r="F31" s="484">
        <v>527667.49</v>
      </c>
      <c r="G31" s="484">
        <v>0</v>
      </c>
      <c r="H31" s="483">
        <v>0</v>
      </c>
      <c r="I31" s="345" t="str">
        <f t="shared" si="1"/>
        <v>0103</v>
      </c>
      <c r="J31" s="346" t="str">
        <f t="shared" si="2"/>
        <v>7030010020</v>
      </c>
    </row>
    <row r="32" spans="1:10" hidden="1">
      <c r="A32" s="346" t="str">
        <f t="shared" si="0"/>
        <v>60001037030077460121</v>
      </c>
      <c r="B32" s="476">
        <v>600</v>
      </c>
      <c r="C32" s="475">
        <v>103</v>
      </c>
      <c r="D32" s="474" t="s">
        <v>1906</v>
      </c>
      <c r="E32" s="473" t="s">
        <v>41</v>
      </c>
      <c r="F32" s="484">
        <v>68556.94</v>
      </c>
      <c r="G32" s="484">
        <v>0</v>
      </c>
      <c r="H32" s="483">
        <v>0</v>
      </c>
      <c r="I32" s="345" t="str">
        <f t="shared" si="1"/>
        <v>0103</v>
      </c>
      <c r="J32" s="346" t="str">
        <f t="shared" si="2"/>
        <v>7030077460</v>
      </c>
    </row>
    <row r="33" spans="1:10" hidden="1">
      <c r="A33" s="346" t="str">
        <f t="shared" si="0"/>
        <v>60001037030077460129</v>
      </c>
      <c r="B33" s="476">
        <v>600</v>
      </c>
      <c r="C33" s="475">
        <v>103</v>
      </c>
      <c r="D33" s="474" t="s">
        <v>1906</v>
      </c>
      <c r="E33" s="473" t="s">
        <v>27</v>
      </c>
      <c r="F33" s="484">
        <v>14523.48</v>
      </c>
      <c r="G33" s="484">
        <v>0</v>
      </c>
      <c r="H33" s="483">
        <v>0</v>
      </c>
      <c r="I33" s="345" t="str">
        <f t="shared" si="1"/>
        <v>0103</v>
      </c>
      <c r="J33" s="346" t="str">
        <f t="shared" si="2"/>
        <v>7030077460</v>
      </c>
    </row>
    <row r="34" spans="1:10" hidden="1">
      <c r="A34" s="346" t="str">
        <f t="shared" si="0"/>
        <v>60001137040020090244</v>
      </c>
      <c r="B34" s="476">
        <v>600</v>
      </c>
      <c r="C34" s="475">
        <v>113</v>
      </c>
      <c r="D34" s="474" t="s">
        <v>1907</v>
      </c>
      <c r="E34" s="473" t="s">
        <v>31</v>
      </c>
      <c r="F34" s="484">
        <v>0</v>
      </c>
      <c r="G34" s="484">
        <v>0</v>
      </c>
      <c r="H34" s="483">
        <v>0</v>
      </c>
      <c r="I34" s="345" t="str">
        <f t="shared" si="1"/>
        <v>0113</v>
      </c>
      <c r="J34" s="346" t="str">
        <f t="shared" si="2"/>
        <v>7040020090</v>
      </c>
    </row>
    <row r="35" spans="1:10" hidden="1">
      <c r="A35" s="346" t="str">
        <f t="shared" si="0"/>
        <v>60012017040098710244</v>
      </c>
      <c r="B35" s="476">
        <v>600</v>
      </c>
      <c r="C35" s="475">
        <v>1201</v>
      </c>
      <c r="D35" s="474" t="s">
        <v>1908</v>
      </c>
      <c r="E35" s="473" t="s">
        <v>31</v>
      </c>
      <c r="F35" s="484">
        <v>5090499</v>
      </c>
      <c r="G35" s="484">
        <v>0</v>
      </c>
      <c r="H35" s="483">
        <v>0</v>
      </c>
      <c r="I35" s="345" t="str">
        <f t="shared" si="1"/>
        <v>1201</v>
      </c>
      <c r="J35" s="346" t="str">
        <f t="shared" si="2"/>
        <v>7040098710</v>
      </c>
    </row>
    <row r="36" spans="1:10" hidden="1">
      <c r="A36" s="346" t="str">
        <f t="shared" si="0"/>
        <v>60012027040098710244</v>
      </c>
      <c r="B36" s="476">
        <v>600</v>
      </c>
      <c r="C36" s="475">
        <v>1202</v>
      </c>
      <c r="D36" s="474" t="s">
        <v>1908</v>
      </c>
      <c r="E36" s="473" t="s">
        <v>31</v>
      </c>
      <c r="F36" s="484">
        <v>1999940</v>
      </c>
      <c r="G36" s="484">
        <v>0</v>
      </c>
      <c r="H36" s="483">
        <v>0</v>
      </c>
      <c r="I36" s="345" t="str">
        <f t="shared" si="1"/>
        <v>1202</v>
      </c>
      <c r="J36" s="346" t="str">
        <f t="shared" si="2"/>
        <v>7040098710</v>
      </c>
    </row>
    <row r="37" spans="1:10" hidden="1">
      <c r="A37" s="346" t="str">
        <f t="shared" si="0"/>
        <v>60101027120010010122</v>
      </c>
      <c r="B37" s="476">
        <v>601</v>
      </c>
      <c r="C37" s="475">
        <v>102</v>
      </c>
      <c r="D37" s="474" t="s">
        <v>1909</v>
      </c>
      <c r="E37" s="473" t="s">
        <v>23</v>
      </c>
      <c r="F37" s="484">
        <v>31912.5</v>
      </c>
      <c r="G37" s="484">
        <v>0</v>
      </c>
      <c r="H37" s="483">
        <v>0</v>
      </c>
      <c r="I37" s="345" t="str">
        <f t="shared" si="1"/>
        <v>0102</v>
      </c>
      <c r="J37" s="346" t="str">
        <f t="shared" si="2"/>
        <v>7120010010</v>
      </c>
    </row>
    <row r="38" spans="1:10" hidden="1">
      <c r="A38" s="346" t="str">
        <f t="shared" si="0"/>
        <v>60101027120010010129</v>
      </c>
      <c r="B38" s="476">
        <v>601</v>
      </c>
      <c r="C38" s="475">
        <v>102</v>
      </c>
      <c r="D38" s="474" t="s">
        <v>1909</v>
      </c>
      <c r="E38" s="473" t="s">
        <v>27</v>
      </c>
      <c r="F38" s="484">
        <v>9637.5</v>
      </c>
      <c r="G38" s="484">
        <v>0</v>
      </c>
      <c r="H38" s="483">
        <v>0</v>
      </c>
      <c r="I38" s="345" t="str">
        <f t="shared" si="1"/>
        <v>0102</v>
      </c>
      <c r="J38" s="346" t="str">
        <f t="shared" si="2"/>
        <v>7120010010</v>
      </c>
    </row>
    <row r="39" spans="1:10" hidden="1">
      <c r="A39" s="346" t="str">
        <f t="shared" si="0"/>
        <v>60101027120010020121</v>
      </c>
      <c r="B39" s="476">
        <v>601</v>
      </c>
      <c r="C39" s="475">
        <v>102</v>
      </c>
      <c r="D39" s="474" t="s">
        <v>1910</v>
      </c>
      <c r="E39" s="473" t="s">
        <v>41</v>
      </c>
      <c r="F39" s="484">
        <v>1259698.3700000001</v>
      </c>
      <c r="G39" s="484">
        <v>0</v>
      </c>
      <c r="H39" s="483">
        <v>0</v>
      </c>
      <c r="I39" s="345" t="str">
        <f t="shared" si="1"/>
        <v>0102</v>
      </c>
      <c r="J39" s="346" t="str">
        <f t="shared" si="2"/>
        <v>7120010020</v>
      </c>
    </row>
    <row r="40" spans="1:10" hidden="1">
      <c r="A40" s="346" t="str">
        <f t="shared" si="0"/>
        <v>60101027120010020129</v>
      </c>
      <c r="B40" s="476">
        <v>601</v>
      </c>
      <c r="C40" s="475">
        <v>102</v>
      </c>
      <c r="D40" s="474" t="s">
        <v>1910</v>
      </c>
      <c r="E40" s="473" t="s">
        <v>27</v>
      </c>
      <c r="F40" s="484">
        <v>326579.39</v>
      </c>
      <c r="G40" s="484">
        <v>0</v>
      </c>
      <c r="H40" s="483">
        <v>0</v>
      </c>
      <c r="I40" s="345" t="str">
        <f t="shared" si="1"/>
        <v>0102</v>
      </c>
      <c r="J40" s="346" t="str">
        <f t="shared" si="2"/>
        <v>7120010020</v>
      </c>
    </row>
    <row r="41" spans="1:10" hidden="1">
      <c r="A41" s="346" t="str">
        <f t="shared" si="0"/>
        <v>60101027120077460121</v>
      </c>
      <c r="B41" s="476">
        <v>601</v>
      </c>
      <c r="C41" s="475">
        <v>102</v>
      </c>
      <c r="D41" s="474" t="s">
        <v>1911</v>
      </c>
      <c r="E41" s="473" t="s">
        <v>41</v>
      </c>
      <c r="F41" s="484">
        <v>40378.36</v>
      </c>
      <c r="G41" s="484">
        <v>0</v>
      </c>
      <c r="H41" s="483">
        <v>0</v>
      </c>
      <c r="I41" s="345" t="str">
        <f t="shared" si="1"/>
        <v>0102</v>
      </c>
      <c r="J41" s="346" t="str">
        <f t="shared" si="2"/>
        <v>7120077460</v>
      </c>
    </row>
    <row r="42" spans="1:10" hidden="1">
      <c r="A42" s="346" t="str">
        <f t="shared" si="0"/>
        <v>60101027120077460129</v>
      </c>
      <c r="B42" s="476">
        <v>601</v>
      </c>
      <c r="C42" s="475">
        <v>102</v>
      </c>
      <c r="D42" s="474" t="s">
        <v>1911</v>
      </c>
      <c r="E42" s="473" t="s">
        <v>27</v>
      </c>
      <c r="F42" s="484">
        <v>12194.28</v>
      </c>
      <c r="G42" s="484">
        <v>0</v>
      </c>
      <c r="H42" s="483">
        <v>0</v>
      </c>
      <c r="I42" s="345" t="str">
        <f t="shared" si="1"/>
        <v>0102</v>
      </c>
      <c r="J42" s="346" t="str">
        <f t="shared" si="2"/>
        <v>7120077460</v>
      </c>
    </row>
    <row r="43" spans="1:10" hidden="1">
      <c r="A43" s="346" t="str">
        <f t="shared" si="0"/>
        <v>60101047110010010122</v>
      </c>
      <c r="B43" s="476">
        <v>601</v>
      </c>
      <c r="C43" s="475">
        <v>104</v>
      </c>
      <c r="D43" s="474" t="s">
        <v>1912</v>
      </c>
      <c r="E43" s="473" t="s">
        <v>23</v>
      </c>
      <c r="F43" s="484">
        <v>3304613.55</v>
      </c>
      <c r="G43" s="484">
        <v>0</v>
      </c>
      <c r="H43" s="483">
        <v>0</v>
      </c>
      <c r="I43" s="345" t="str">
        <f t="shared" si="1"/>
        <v>0104</v>
      </c>
      <c r="J43" s="346" t="str">
        <f t="shared" si="2"/>
        <v>7110010010</v>
      </c>
    </row>
    <row r="44" spans="1:10" hidden="1">
      <c r="A44" s="346" t="str">
        <f t="shared" si="0"/>
        <v>60101047110010010129</v>
      </c>
      <c r="B44" s="476">
        <v>601</v>
      </c>
      <c r="C44" s="475">
        <v>104</v>
      </c>
      <c r="D44" s="474" t="s">
        <v>1912</v>
      </c>
      <c r="E44" s="473" t="s">
        <v>27</v>
      </c>
      <c r="F44" s="484">
        <v>648122.07999999996</v>
      </c>
      <c r="G44" s="484">
        <v>0</v>
      </c>
      <c r="H44" s="483">
        <v>0</v>
      </c>
      <c r="I44" s="345" t="str">
        <f t="shared" si="1"/>
        <v>0104</v>
      </c>
      <c r="J44" s="346" t="str">
        <f t="shared" si="2"/>
        <v>7110010010</v>
      </c>
    </row>
    <row r="45" spans="1:10" hidden="1">
      <c r="A45" s="346" t="str">
        <f t="shared" si="0"/>
        <v>60101047110010010244</v>
      </c>
      <c r="B45" s="476">
        <v>601</v>
      </c>
      <c r="C45" s="475">
        <v>104</v>
      </c>
      <c r="D45" s="474" t="s">
        <v>1912</v>
      </c>
      <c r="E45" s="473" t="s">
        <v>31</v>
      </c>
      <c r="F45" s="484">
        <v>7236461.3700000001</v>
      </c>
      <c r="G45" s="484">
        <v>0</v>
      </c>
      <c r="H45" s="483">
        <v>0</v>
      </c>
      <c r="I45" s="345" t="str">
        <f t="shared" si="1"/>
        <v>0104</v>
      </c>
      <c r="J45" s="346" t="str">
        <f t="shared" si="2"/>
        <v>7110010010</v>
      </c>
    </row>
    <row r="46" spans="1:10" hidden="1">
      <c r="A46" s="346" t="str">
        <f t="shared" si="0"/>
        <v>60101047110010010852</v>
      </c>
      <c r="B46" s="476">
        <v>601</v>
      </c>
      <c r="C46" s="475">
        <v>104</v>
      </c>
      <c r="D46" s="474" t="s">
        <v>1912</v>
      </c>
      <c r="E46" s="473" t="s">
        <v>37</v>
      </c>
      <c r="F46" s="484">
        <v>300</v>
      </c>
      <c r="G46" s="484">
        <v>0</v>
      </c>
      <c r="H46" s="483">
        <v>0</v>
      </c>
      <c r="I46" s="345" t="str">
        <f t="shared" si="1"/>
        <v>0104</v>
      </c>
      <c r="J46" s="346" t="str">
        <f t="shared" si="2"/>
        <v>7110010010</v>
      </c>
    </row>
    <row r="47" spans="1:10" hidden="1">
      <c r="A47" s="346" t="str">
        <f t="shared" si="0"/>
        <v>60101047110010010853</v>
      </c>
      <c r="B47" s="476">
        <v>601</v>
      </c>
      <c r="C47" s="475">
        <v>104</v>
      </c>
      <c r="D47" s="474" t="s">
        <v>1912</v>
      </c>
      <c r="E47" s="473" t="s">
        <v>78</v>
      </c>
      <c r="F47" s="484">
        <v>150344.32000000001</v>
      </c>
      <c r="G47" s="484">
        <v>0</v>
      </c>
      <c r="H47" s="483">
        <v>0</v>
      </c>
      <c r="I47" s="345" t="str">
        <f t="shared" si="1"/>
        <v>0104</v>
      </c>
      <c r="J47" s="346" t="str">
        <f t="shared" si="2"/>
        <v>7110010010</v>
      </c>
    </row>
    <row r="48" spans="1:10" hidden="1">
      <c r="A48" s="346" t="str">
        <f t="shared" si="0"/>
        <v>60101047110010020121</v>
      </c>
      <c r="B48" s="476">
        <v>601</v>
      </c>
      <c r="C48" s="475">
        <v>104</v>
      </c>
      <c r="D48" s="474" t="s">
        <v>1913</v>
      </c>
      <c r="E48" s="473" t="s">
        <v>41</v>
      </c>
      <c r="F48" s="484">
        <v>72140147.090000004</v>
      </c>
      <c r="G48" s="484">
        <v>0</v>
      </c>
      <c r="H48" s="483">
        <v>0</v>
      </c>
      <c r="I48" s="345" t="str">
        <f t="shared" si="1"/>
        <v>0104</v>
      </c>
      <c r="J48" s="346" t="str">
        <f t="shared" si="2"/>
        <v>7110010020</v>
      </c>
    </row>
    <row r="49" spans="1:10" hidden="1">
      <c r="A49" s="346" t="str">
        <f t="shared" si="0"/>
        <v>60101047110010020129</v>
      </c>
      <c r="B49" s="476">
        <v>601</v>
      </c>
      <c r="C49" s="475">
        <v>104</v>
      </c>
      <c r="D49" s="474" t="s">
        <v>1913</v>
      </c>
      <c r="E49" s="473" t="s">
        <v>27</v>
      </c>
      <c r="F49" s="484">
        <v>21658897.050000001</v>
      </c>
      <c r="G49" s="484">
        <v>0</v>
      </c>
      <c r="H49" s="483">
        <v>0</v>
      </c>
      <c r="I49" s="345" t="str">
        <f t="shared" si="1"/>
        <v>0104</v>
      </c>
      <c r="J49" s="346" t="str">
        <f t="shared" si="2"/>
        <v>7110010020</v>
      </c>
    </row>
    <row r="50" spans="1:10" hidden="1">
      <c r="A50" s="346" t="str">
        <f t="shared" si="0"/>
        <v>60101047110010020321</v>
      </c>
      <c r="B50" s="476">
        <v>601</v>
      </c>
      <c r="C50" s="475">
        <v>104</v>
      </c>
      <c r="D50" s="474" t="s">
        <v>1913</v>
      </c>
      <c r="E50" s="473" t="s">
        <v>1856</v>
      </c>
      <c r="F50" s="484">
        <v>137304.41</v>
      </c>
      <c r="G50" s="484">
        <v>0</v>
      </c>
      <c r="H50" s="483">
        <v>0</v>
      </c>
      <c r="I50" s="345" t="str">
        <f t="shared" si="1"/>
        <v>0104</v>
      </c>
      <c r="J50" s="346" t="str">
        <f t="shared" si="2"/>
        <v>7110010020</v>
      </c>
    </row>
    <row r="51" spans="1:10" hidden="1">
      <c r="A51" s="346" t="str">
        <f t="shared" si="0"/>
        <v>60101047110076630121</v>
      </c>
      <c r="B51" s="476">
        <v>601</v>
      </c>
      <c r="C51" s="475">
        <v>104</v>
      </c>
      <c r="D51" s="474" t="s">
        <v>1914</v>
      </c>
      <c r="E51" s="473" t="s">
        <v>41</v>
      </c>
      <c r="F51" s="484">
        <v>640094.92000000004</v>
      </c>
      <c r="G51" s="484">
        <v>0</v>
      </c>
      <c r="H51" s="483">
        <v>0</v>
      </c>
      <c r="I51" s="345" t="str">
        <f t="shared" si="1"/>
        <v>0104</v>
      </c>
      <c r="J51" s="346" t="str">
        <f t="shared" si="2"/>
        <v>7110076630</v>
      </c>
    </row>
    <row r="52" spans="1:10" hidden="1">
      <c r="A52" s="346" t="str">
        <f t="shared" si="0"/>
        <v>60101047110076630129</v>
      </c>
      <c r="B52" s="476">
        <v>601</v>
      </c>
      <c r="C52" s="475">
        <v>104</v>
      </c>
      <c r="D52" s="474" t="s">
        <v>1914</v>
      </c>
      <c r="E52" s="473" t="s">
        <v>27</v>
      </c>
      <c r="F52" s="484">
        <v>193308.67</v>
      </c>
      <c r="G52" s="484">
        <v>0</v>
      </c>
      <c r="H52" s="483">
        <v>0</v>
      </c>
      <c r="I52" s="345" t="str">
        <f t="shared" si="1"/>
        <v>0104</v>
      </c>
      <c r="J52" s="346" t="str">
        <f t="shared" si="2"/>
        <v>7110076630</v>
      </c>
    </row>
    <row r="53" spans="1:10" hidden="1">
      <c r="A53" s="346" t="str">
        <f t="shared" si="0"/>
        <v>60101047110076630244</v>
      </c>
      <c r="B53" s="476">
        <v>601</v>
      </c>
      <c r="C53" s="475">
        <v>104</v>
      </c>
      <c r="D53" s="474" t="s">
        <v>1914</v>
      </c>
      <c r="E53" s="473" t="s">
        <v>31</v>
      </c>
      <c r="F53" s="484">
        <v>220019</v>
      </c>
      <c r="G53" s="484">
        <v>0</v>
      </c>
      <c r="H53" s="483">
        <v>0</v>
      </c>
      <c r="I53" s="345" t="str">
        <f t="shared" si="1"/>
        <v>0104</v>
      </c>
      <c r="J53" s="346" t="str">
        <f t="shared" si="2"/>
        <v>7110076630</v>
      </c>
    </row>
    <row r="54" spans="1:10" hidden="1">
      <c r="A54" s="346" t="str">
        <f t="shared" si="0"/>
        <v>60101047110076930244</v>
      </c>
      <c r="B54" s="476">
        <v>601</v>
      </c>
      <c r="C54" s="475">
        <v>104</v>
      </c>
      <c r="D54" s="474" t="s">
        <v>1915</v>
      </c>
      <c r="E54" s="473" t="s">
        <v>31</v>
      </c>
      <c r="F54" s="484">
        <v>9000</v>
      </c>
      <c r="G54" s="484">
        <v>0</v>
      </c>
      <c r="H54" s="483">
        <v>0</v>
      </c>
      <c r="I54" s="345" t="str">
        <f t="shared" si="1"/>
        <v>0104</v>
      </c>
      <c r="J54" s="346" t="str">
        <f t="shared" si="2"/>
        <v>7110076930</v>
      </c>
    </row>
    <row r="55" spans="1:10" hidden="1">
      <c r="A55" s="346" t="str">
        <f t="shared" si="0"/>
        <v>60101047110077460121</v>
      </c>
      <c r="B55" s="476">
        <v>601</v>
      </c>
      <c r="C55" s="475">
        <v>104</v>
      </c>
      <c r="D55" s="474" t="s">
        <v>1916</v>
      </c>
      <c r="E55" s="473" t="s">
        <v>41</v>
      </c>
      <c r="F55" s="484">
        <v>2447277.25</v>
      </c>
      <c r="G55" s="484">
        <v>0</v>
      </c>
      <c r="H55" s="483">
        <v>0</v>
      </c>
      <c r="I55" s="345" t="str">
        <f t="shared" si="1"/>
        <v>0104</v>
      </c>
      <c r="J55" s="346" t="str">
        <f t="shared" si="2"/>
        <v>7110077460</v>
      </c>
    </row>
    <row r="56" spans="1:10" hidden="1">
      <c r="A56" s="346" t="str">
        <f t="shared" si="0"/>
        <v>60101047110077460129</v>
      </c>
      <c r="B56" s="476">
        <v>601</v>
      </c>
      <c r="C56" s="475">
        <v>104</v>
      </c>
      <c r="D56" s="474" t="s">
        <v>1916</v>
      </c>
      <c r="E56" s="473" t="s">
        <v>27</v>
      </c>
      <c r="F56" s="484">
        <v>739077.72</v>
      </c>
      <c r="G56" s="484">
        <v>0</v>
      </c>
      <c r="H56" s="483">
        <v>0</v>
      </c>
      <c r="I56" s="345" t="str">
        <f t="shared" si="1"/>
        <v>0104</v>
      </c>
      <c r="J56" s="346" t="str">
        <f t="shared" si="2"/>
        <v>7110077460</v>
      </c>
    </row>
    <row r="57" spans="1:10" hidden="1">
      <c r="A57" s="346" t="str">
        <f t="shared" si="0"/>
        <v>60101059810051200244</v>
      </c>
      <c r="B57" s="476">
        <v>601</v>
      </c>
      <c r="C57" s="475">
        <v>105</v>
      </c>
      <c r="D57" s="474" t="s">
        <v>1917</v>
      </c>
      <c r="E57" s="473" t="s">
        <v>31</v>
      </c>
      <c r="F57" s="484">
        <v>1291440</v>
      </c>
      <c r="G57" s="484">
        <v>0</v>
      </c>
      <c r="H57" s="483">
        <v>0</v>
      </c>
      <c r="I57" s="345" t="str">
        <f t="shared" si="1"/>
        <v>0105</v>
      </c>
      <c r="J57" s="346" t="str">
        <f t="shared" si="2"/>
        <v>9810051200</v>
      </c>
    </row>
    <row r="58" spans="1:10" hidden="1">
      <c r="A58" s="346" t="str">
        <f t="shared" si="0"/>
        <v>60101131220320040853</v>
      </c>
      <c r="B58" s="476">
        <v>601</v>
      </c>
      <c r="C58" s="475">
        <v>113</v>
      </c>
      <c r="D58" s="474" t="s">
        <v>1918</v>
      </c>
      <c r="E58" s="473" t="s">
        <v>78</v>
      </c>
      <c r="F58" s="484">
        <v>1329080</v>
      </c>
      <c r="G58" s="484">
        <v>0</v>
      </c>
      <c r="H58" s="483">
        <v>0</v>
      </c>
      <c r="I58" s="345" t="str">
        <f t="shared" si="1"/>
        <v>0113</v>
      </c>
      <c r="J58" s="346" t="str">
        <f t="shared" si="2"/>
        <v>1220320040</v>
      </c>
    </row>
    <row r="59" spans="1:10" hidden="1">
      <c r="A59" s="346" t="str">
        <f t="shared" si="0"/>
        <v>60101131220320090244</v>
      </c>
      <c r="B59" s="476">
        <v>601</v>
      </c>
      <c r="C59" s="475">
        <v>113</v>
      </c>
      <c r="D59" s="474" t="s">
        <v>1919</v>
      </c>
      <c r="E59" s="473" t="s">
        <v>31</v>
      </c>
      <c r="F59" s="484">
        <v>236150.96</v>
      </c>
      <c r="G59" s="484">
        <v>0</v>
      </c>
      <c r="H59" s="483">
        <v>0</v>
      </c>
      <c r="I59" s="345" t="str">
        <f t="shared" si="1"/>
        <v>0113</v>
      </c>
      <c r="J59" s="346" t="str">
        <f t="shared" si="2"/>
        <v>1220320090</v>
      </c>
    </row>
    <row r="60" spans="1:10" hidden="1">
      <c r="A60" s="346" t="str">
        <f t="shared" si="0"/>
        <v>60101131320120620244</v>
      </c>
      <c r="B60" s="476">
        <v>601</v>
      </c>
      <c r="C60" s="475">
        <v>113</v>
      </c>
      <c r="D60" s="474" t="s">
        <v>1920</v>
      </c>
      <c r="E60" s="473" t="s">
        <v>31</v>
      </c>
      <c r="F60" s="484">
        <v>0</v>
      </c>
      <c r="G60" s="484">
        <v>0</v>
      </c>
      <c r="H60" s="483">
        <v>0</v>
      </c>
      <c r="I60" s="345" t="str">
        <f t="shared" si="1"/>
        <v>0113</v>
      </c>
      <c r="J60" s="346" t="str">
        <f t="shared" si="2"/>
        <v>1320120620</v>
      </c>
    </row>
    <row r="61" spans="1:10" hidden="1">
      <c r="A61" s="346" t="str">
        <f t="shared" si="0"/>
        <v>60101131410120630244</v>
      </c>
      <c r="B61" s="476">
        <v>601</v>
      </c>
      <c r="C61" s="475">
        <v>113</v>
      </c>
      <c r="D61" s="474" t="s">
        <v>1921</v>
      </c>
      <c r="E61" s="473" t="s">
        <v>31</v>
      </c>
      <c r="F61" s="484">
        <v>15900651.109999999</v>
      </c>
      <c r="G61" s="484">
        <v>0</v>
      </c>
      <c r="H61" s="483">
        <v>0</v>
      </c>
      <c r="I61" s="345" t="str">
        <f t="shared" si="1"/>
        <v>0113</v>
      </c>
      <c r="J61" s="346" t="str">
        <f t="shared" si="2"/>
        <v>1410120630</v>
      </c>
    </row>
    <row r="62" spans="1:10" hidden="1">
      <c r="A62" s="346" t="str">
        <f t="shared" si="0"/>
        <v>60101131410220630244</v>
      </c>
      <c r="B62" s="476">
        <v>601</v>
      </c>
      <c r="C62" s="475">
        <v>113</v>
      </c>
      <c r="D62" s="474" t="s">
        <v>1922</v>
      </c>
      <c r="E62" s="473" t="s">
        <v>31</v>
      </c>
      <c r="F62" s="484">
        <v>5701859</v>
      </c>
      <c r="G62" s="484">
        <v>0</v>
      </c>
      <c r="H62" s="483">
        <v>0</v>
      </c>
      <c r="I62" s="345" t="str">
        <f t="shared" si="1"/>
        <v>0113</v>
      </c>
      <c r="J62" s="346" t="str">
        <f t="shared" si="2"/>
        <v>1410220630</v>
      </c>
    </row>
    <row r="63" spans="1:10" hidden="1">
      <c r="A63" s="346" t="str">
        <f t="shared" si="0"/>
        <v>60101131420120710244</v>
      </c>
      <c r="B63" s="476">
        <v>601</v>
      </c>
      <c r="C63" s="475">
        <v>113</v>
      </c>
      <c r="D63" s="474" t="s">
        <v>1923</v>
      </c>
      <c r="E63" s="473" t="s">
        <v>31</v>
      </c>
      <c r="F63" s="484">
        <v>150000</v>
      </c>
      <c r="G63" s="484">
        <v>0</v>
      </c>
      <c r="H63" s="483">
        <v>0</v>
      </c>
      <c r="I63" s="345" t="str">
        <f t="shared" si="1"/>
        <v>0113</v>
      </c>
      <c r="J63" s="346" t="str">
        <f t="shared" si="2"/>
        <v>1420120710</v>
      </c>
    </row>
    <row r="64" spans="1:10" hidden="1">
      <c r="A64" s="346" t="str">
        <f t="shared" si="0"/>
        <v>60101131420220710244</v>
      </c>
      <c r="B64" s="476">
        <v>601</v>
      </c>
      <c r="C64" s="475">
        <v>113</v>
      </c>
      <c r="D64" s="474" t="s">
        <v>1924</v>
      </c>
      <c r="E64" s="473" t="s">
        <v>31</v>
      </c>
      <c r="F64" s="484">
        <v>76500</v>
      </c>
      <c r="G64" s="484">
        <v>0</v>
      </c>
      <c r="H64" s="483">
        <v>0</v>
      </c>
      <c r="I64" s="345" t="str">
        <f t="shared" si="1"/>
        <v>0113</v>
      </c>
      <c r="J64" s="346" t="str">
        <f t="shared" si="2"/>
        <v>1420220710</v>
      </c>
    </row>
    <row r="65" spans="1:10" hidden="1">
      <c r="A65" s="346" t="str">
        <f t="shared" si="0"/>
        <v>60101131420320710244</v>
      </c>
      <c r="B65" s="476">
        <v>601</v>
      </c>
      <c r="C65" s="475">
        <v>113</v>
      </c>
      <c r="D65" s="474" t="s">
        <v>1925</v>
      </c>
      <c r="E65" s="473" t="s">
        <v>31</v>
      </c>
      <c r="F65" s="484">
        <v>76500</v>
      </c>
      <c r="G65" s="484">
        <v>0</v>
      </c>
      <c r="H65" s="483">
        <v>0</v>
      </c>
      <c r="I65" s="345" t="str">
        <f t="shared" si="1"/>
        <v>0113</v>
      </c>
      <c r="J65" s="346" t="str">
        <f t="shared" si="2"/>
        <v>1420320710</v>
      </c>
    </row>
    <row r="66" spans="1:10" hidden="1">
      <c r="A66" s="346" t="str">
        <f t="shared" si="0"/>
        <v>60101131420411010111</v>
      </c>
      <c r="B66" s="476">
        <v>601</v>
      </c>
      <c r="C66" s="475">
        <v>113</v>
      </c>
      <c r="D66" s="474" t="s">
        <v>1926</v>
      </c>
      <c r="E66" s="473" t="s">
        <v>141</v>
      </c>
      <c r="F66" s="484">
        <v>47514162.119999997</v>
      </c>
      <c r="G66" s="484">
        <v>0</v>
      </c>
      <c r="H66" s="483">
        <v>0</v>
      </c>
      <c r="I66" s="345" t="str">
        <f t="shared" si="1"/>
        <v>0113</v>
      </c>
      <c r="J66" s="346" t="str">
        <f t="shared" si="2"/>
        <v>1420411010</v>
      </c>
    </row>
    <row r="67" spans="1:10" hidden="1">
      <c r="A67" s="346" t="str">
        <f t="shared" si="0"/>
        <v>60101131420411010112</v>
      </c>
      <c r="B67" s="476">
        <v>601</v>
      </c>
      <c r="C67" s="475">
        <v>113</v>
      </c>
      <c r="D67" s="474" t="s">
        <v>1926</v>
      </c>
      <c r="E67" s="473" t="s">
        <v>143</v>
      </c>
      <c r="F67" s="484">
        <v>20650.86</v>
      </c>
      <c r="G67" s="484">
        <v>0</v>
      </c>
      <c r="H67" s="483">
        <v>0</v>
      </c>
      <c r="I67" s="345" t="str">
        <f t="shared" si="1"/>
        <v>0113</v>
      </c>
      <c r="J67" s="346" t="str">
        <f t="shared" si="2"/>
        <v>1420411010</v>
      </c>
    </row>
    <row r="68" spans="1:10" hidden="1">
      <c r="A68" s="346" t="str">
        <f t="shared" si="0"/>
        <v>60101131420411010119</v>
      </c>
      <c r="B68" s="476">
        <v>601</v>
      </c>
      <c r="C68" s="475">
        <v>113</v>
      </c>
      <c r="D68" s="474" t="s">
        <v>1926</v>
      </c>
      <c r="E68" s="473" t="s">
        <v>145</v>
      </c>
      <c r="F68" s="484">
        <v>14349273.15</v>
      </c>
      <c r="G68" s="484">
        <v>0</v>
      </c>
      <c r="H68" s="483">
        <v>0</v>
      </c>
      <c r="I68" s="345" t="str">
        <f t="shared" si="1"/>
        <v>0113</v>
      </c>
      <c r="J68" s="346" t="str">
        <f t="shared" si="2"/>
        <v>1420411010</v>
      </c>
    </row>
    <row r="69" spans="1:10" hidden="1">
      <c r="A69" s="346" t="str">
        <f t="shared" si="0"/>
        <v>60101131420411010244</v>
      </c>
      <c r="B69" s="476">
        <v>601</v>
      </c>
      <c r="C69" s="475">
        <v>113</v>
      </c>
      <c r="D69" s="474" t="s">
        <v>1926</v>
      </c>
      <c r="E69" s="473" t="s">
        <v>31</v>
      </c>
      <c r="F69" s="484">
        <v>11351892.5</v>
      </c>
      <c r="G69" s="484">
        <v>0</v>
      </c>
      <c r="H69" s="483">
        <v>0</v>
      </c>
      <c r="I69" s="345" t="str">
        <f t="shared" si="1"/>
        <v>0113</v>
      </c>
      <c r="J69" s="346" t="str">
        <f t="shared" si="2"/>
        <v>1420411010</v>
      </c>
    </row>
    <row r="70" spans="1:10" hidden="1">
      <c r="A70" s="346" t="str">
        <f t="shared" si="0"/>
        <v>60101131420411010851</v>
      </c>
      <c r="B70" s="476">
        <v>601</v>
      </c>
      <c r="C70" s="475">
        <v>113</v>
      </c>
      <c r="D70" s="474" t="s">
        <v>1926</v>
      </c>
      <c r="E70" s="473" t="s">
        <v>35</v>
      </c>
      <c r="F70" s="484">
        <v>1337418</v>
      </c>
      <c r="G70" s="484">
        <v>0</v>
      </c>
      <c r="H70" s="483">
        <v>0</v>
      </c>
      <c r="I70" s="345" t="str">
        <f t="shared" si="1"/>
        <v>0113</v>
      </c>
      <c r="J70" s="346" t="str">
        <f t="shared" si="2"/>
        <v>1420411010</v>
      </c>
    </row>
    <row r="71" spans="1:10" hidden="1">
      <c r="A71" s="346" t="str">
        <f t="shared" si="0"/>
        <v>60101131420411010852</v>
      </c>
      <c r="B71" s="476">
        <v>601</v>
      </c>
      <c r="C71" s="475">
        <v>113</v>
      </c>
      <c r="D71" s="474" t="s">
        <v>1926</v>
      </c>
      <c r="E71" s="473" t="s">
        <v>37</v>
      </c>
      <c r="F71" s="484">
        <v>2772</v>
      </c>
      <c r="G71" s="484">
        <v>0</v>
      </c>
      <c r="H71" s="483">
        <v>0</v>
      </c>
      <c r="I71" s="345" t="str">
        <f t="shared" si="1"/>
        <v>0113</v>
      </c>
      <c r="J71" s="346" t="str">
        <f t="shared" si="2"/>
        <v>1420411010</v>
      </c>
    </row>
    <row r="72" spans="1:10" hidden="1">
      <c r="A72" s="346" t="str">
        <f t="shared" si="0"/>
        <v>60101131420411010853</v>
      </c>
      <c r="B72" s="476">
        <v>601</v>
      </c>
      <c r="C72" s="475">
        <v>113</v>
      </c>
      <c r="D72" s="474" t="s">
        <v>1926</v>
      </c>
      <c r="E72" s="473" t="s">
        <v>78</v>
      </c>
      <c r="F72" s="484">
        <v>3596.71</v>
      </c>
      <c r="G72" s="484">
        <v>0</v>
      </c>
      <c r="H72" s="483">
        <v>0</v>
      </c>
      <c r="I72" s="345" t="str">
        <f t="shared" si="1"/>
        <v>0113</v>
      </c>
      <c r="J72" s="346" t="str">
        <f t="shared" si="2"/>
        <v>1420411010</v>
      </c>
    </row>
    <row r="73" spans="1:10" hidden="1">
      <c r="A73" s="346" t="str">
        <f t="shared" si="0"/>
        <v>60101131420477460111</v>
      </c>
      <c r="B73" s="476">
        <v>601</v>
      </c>
      <c r="C73" s="475">
        <v>113</v>
      </c>
      <c r="D73" s="474" t="s">
        <v>1927</v>
      </c>
      <c r="E73" s="473" t="s">
        <v>141</v>
      </c>
      <c r="F73" s="484">
        <v>1816543.28</v>
      </c>
      <c r="G73" s="484">
        <v>0</v>
      </c>
      <c r="H73" s="483">
        <v>0</v>
      </c>
      <c r="I73" s="345" t="str">
        <f t="shared" si="1"/>
        <v>0113</v>
      </c>
      <c r="J73" s="346" t="str">
        <f t="shared" si="2"/>
        <v>1420477460</v>
      </c>
    </row>
    <row r="74" spans="1:10" hidden="1">
      <c r="A74" s="346" t="str">
        <f t="shared" si="0"/>
        <v>60101131420477460119</v>
      </c>
      <c r="B74" s="476">
        <v>601</v>
      </c>
      <c r="C74" s="475">
        <v>113</v>
      </c>
      <c r="D74" s="474" t="s">
        <v>1927</v>
      </c>
      <c r="E74" s="473" t="s">
        <v>145</v>
      </c>
      <c r="F74" s="484">
        <v>548596.06999999995</v>
      </c>
      <c r="G74" s="484">
        <v>0</v>
      </c>
      <c r="H74" s="483">
        <v>0</v>
      </c>
      <c r="I74" s="345" t="str">
        <f t="shared" si="1"/>
        <v>0113</v>
      </c>
      <c r="J74" s="346" t="str">
        <f t="shared" si="2"/>
        <v>1420477460</v>
      </c>
    </row>
    <row r="75" spans="1:10" hidden="1">
      <c r="A75" s="346" t="str">
        <f t="shared" ref="A75:A138" si="3">B75&amp;I75&amp;J75&amp;E75</f>
        <v>60101131510120350244</v>
      </c>
      <c r="B75" s="476">
        <v>601</v>
      </c>
      <c r="C75" s="475">
        <v>113</v>
      </c>
      <c r="D75" s="474" t="s">
        <v>1928</v>
      </c>
      <c r="E75" s="473" t="s">
        <v>31</v>
      </c>
      <c r="F75" s="484">
        <v>0</v>
      </c>
      <c r="G75" s="484">
        <v>0</v>
      </c>
      <c r="H75" s="483">
        <v>0</v>
      </c>
      <c r="I75" s="345" t="str">
        <f t="shared" ref="I75:I138" si="4">TEXT(C75,"0000")</f>
        <v>0113</v>
      </c>
      <c r="J75" s="346" t="str">
        <f t="shared" ref="J75:J138" si="5">TEXT(D75,"0000000000")</f>
        <v>1510120350</v>
      </c>
    </row>
    <row r="76" spans="1:10" hidden="1">
      <c r="A76" s="346" t="str">
        <f t="shared" si="3"/>
        <v>60101131510220350244</v>
      </c>
      <c r="B76" s="476">
        <v>601</v>
      </c>
      <c r="C76" s="475">
        <v>113</v>
      </c>
      <c r="D76" s="474" t="s">
        <v>1929</v>
      </c>
      <c r="E76" s="473" t="s">
        <v>31</v>
      </c>
      <c r="F76" s="484">
        <v>185300</v>
      </c>
      <c r="G76" s="484">
        <v>0</v>
      </c>
      <c r="H76" s="483">
        <v>0</v>
      </c>
      <c r="I76" s="345" t="str">
        <f t="shared" si="4"/>
        <v>0113</v>
      </c>
      <c r="J76" s="346" t="str">
        <f t="shared" si="5"/>
        <v>1510220350</v>
      </c>
    </row>
    <row r="77" spans="1:10" hidden="1">
      <c r="A77" s="346" t="str">
        <f t="shared" si="3"/>
        <v>60101131510320350244</v>
      </c>
      <c r="B77" s="476">
        <v>601</v>
      </c>
      <c r="C77" s="475">
        <v>113</v>
      </c>
      <c r="D77" s="474" t="s">
        <v>1930</v>
      </c>
      <c r="E77" s="473" t="s">
        <v>31</v>
      </c>
      <c r="F77" s="484">
        <v>0</v>
      </c>
      <c r="G77" s="484">
        <v>0</v>
      </c>
      <c r="H77" s="483">
        <v>0</v>
      </c>
      <c r="I77" s="345" t="str">
        <f t="shared" si="4"/>
        <v>0113</v>
      </c>
      <c r="J77" s="346" t="str">
        <f t="shared" si="5"/>
        <v>1510320350</v>
      </c>
    </row>
    <row r="78" spans="1:10" hidden="1">
      <c r="A78" s="346" t="str">
        <f t="shared" si="3"/>
        <v>60101131520120370244</v>
      </c>
      <c r="B78" s="476">
        <v>601</v>
      </c>
      <c r="C78" s="475">
        <v>113</v>
      </c>
      <c r="D78" s="474" t="s">
        <v>1931</v>
      </c>
      <c r="E78" s="473" t="s">
        <v>31</v>
      </c>
      <c r="F78" s="484">
        <v>0</v>
      </c>
      <c r="G78" s="484">
        <v>0</v>
      </c>
      <c r="H78" s="483">
        <v>0</v>
      </c>
      <c r="I78" s="345" t="str">
        <f t="shared" si="4"/>
        <v>0113</v>
      </c>
      <c r="J78" s="346" t="str">
        <f t="shared" si="5"/>
        <v>1520120370</v>
      </c>
    </row>
    <row r="79" spans="1:10" hidden="1">
      <c r="A79" s="346" t="str">
        <f t="shared" si="3"/>
        <v>60101131520220370244</v>
      </c>
      <c r="B79" s="476">
        <v>601</v>
      </c>
      <c r="C79" s="475">
        <v>113</v>
      </c>
      <c r="D79" s="474" t="s">
        <v>1932</v>
      </c>
      <c r="E79" s="473" t="s">
        <v>31</v>
      </c>
      <c r="F79" s="484">
        <v>13500</v>
      </c>
      <c r="G79" s="484">
        <v>0</v>
      </c>
      <c r="H79" s="483">
        <v>0</v>
      </c>
      <c r="I79" s="345" t="str">
        <f t="shared" si="4"/>
        <v>0113</v>
      </c>
      <c r="J79" s="346" t="str">
        <f t="shared" si="5"/>
        <v>1520220370</v>
      </c>
    </row>
    <row r="80" spans="1:10" hidden="1">
      <c r="A80" s="346" t="str">
        <f t="shared" si="3"/>
        <v>60101131520220370350</v>
      </c>
      <c r="B80" s="476">
        <v>601</v>
      </c>
      <c r="C80" s="475">
        <v>113</v>
      </c>
      <c r="D80" s="474" t="s">
        <v>1932</v>
      </c>
      <c r="E80" s="473" t="s">
        <v>164</v>
      </c>
      <c r="F80" s="484">
        <v>0</v>
      </c>
      <c r="G80" s="484">
        <v>0</v>
      </c>
      <c r="H80" s="483">
        <v>0</v>
      </c>
      <c r="I80" s="345" t="str">
        <f t="shared" si="4"/>
        <v>0113</v>
      </c>
      <c r="J80" s="346" t="str">
        <f t="shared" si="5"/>
        <v>1520220370</v>
      </c>
    </row>
    <row r="81" spans="1:10" hidden="1">
      <c r="A81" s="346" t="str">
        <f t="shared" si="3"/>
        <v>60101131520320370244</v>
      </c>
      <c r="B81" s="476">
        <v>601</v>
      </c>
      <c r="C81" s="475">
        <v>113</v>
      </c>
      <c r="D81" s="474" t="s">
        <v>1933</v>
      </c>
      <c r="E81" s="473" t="s">
        <v>31</v>
      </c>
      <c r="F81" s="484">
        <v>200800</v>
      </c>
      <c r="G81" s="484">
        <v>0</v>
      </c>
      <c r="H81" s="483">
        <v>0</v>
      </c>
      <c r="I81" s="345" t="str">
        <f t="shared" si="4"/>
        <v>0113</v>
      </c>
      <c r="J81" s="346" t="str">
        <f t="shared" si="5"/>
        <v>1520320370</v>
      </c>
    </row>
    <row r="82" spans="1:10" hidden="1">
      <c r="A82" s="346" t="str">
        <f t="shared" si="3"/>
        <v>60101131520320370350</v>
      </c>
      <c r="B82" s="476">
        <v>601</v>
      </c>
      <c r="C82" s="475">
        <v>113</v>
      </c>
      <c r="D82" s="474" t="s">
        <v>1933</v>
      </c>
      <c r="E82" s="473" t="s">
        <v>164</v>
      </c>
      <c r="F82" s="484">
        <v>0</v>
      </c>
      <c r="G82" s="484">
        <v>0</v>
      </c>
      <c r="H82" s="483">
        <v>0</v>
      </c>
      <c r="I82" s="345" t="str">
        <f t="shared" si="4"/>
        <v>0113</v>
      </c>
      <c r="J82" s="346" t="str">
        <f t="shared" si="5"/>
        <v>1520320370</v>
      </c>
    </row>
    <row r="83" spans="1:10" hidden="1">
      <c r="A83" s="346" t="str">
        <f t="shared" si="3"/>
        <v>60101131530320100350</v>
      </c>
      <c r="B83" s="476">
        <v>601</v>
      </c>
      <c r="C83" s="475">
        <v>113</v>
      </c>
      <c r="D83" s="474" t="s">
        <v>1934</v>
      </c>
      <c r="E83" s="473" t="s">
        <v>164</v>
      </c>
      <c r="F83" s="484">
        <v>250920</v>
      </c>
      <c r="G83" s="484">
        <v>0</v>
      </c>
      <c r="H83" s="483">
        <v>0</v>
      </c>
      <c r="I83" s="345" t="str">
        <f t="shared" si="4"/>
        <v>0113</v>
      </c>
      <c r="J83" s="346" t="str">
        <f t="shared" si="5"/>
        <v>1530320100</v>
      </c>
    </row>
    <row r="84" spans="1:10" hidden="1">
      <c r="A84" s="346" t="str">
        <f t="shared" si="3"/>
        <v>601011318Б0160080631</v>
      </c>
      <c r="B84" s="476">
        <v>601</v>
      </c>
      <c r="C84" s="475">
        <v>113</v>
      </c>
      <c r="D84" s="474" t="s">
        <v>1169</v>
      </c>
      <c r="E84" s="473" t="s">
        <v>185</v>
      </c>
      <c r="F84" s="484">
        <v>2292500</v>
      </c>
      <c r="G84" s="484">
        <v>0</v>
      </c>
      <c r="H84" s="483">
        <v>0</v>
      </c>
      <c r="I84" s="345" t="str">
        <f t="shared" si="4"/>
        <v>0113</v>
      </c>
      <c r="J84" s="346" t="str">
        <f t="shared" si="5"/>
        <v>18Б0160080</v>
      </c>
    </row>
    <row r="85" spans="1:10" hidden="1">
      <c r="A85" s="346" t="str">
        <f t="shared" si="3"/>
        <v>60101137110010050121</v>
      </c>
      <c r="B85" s="476">
        <v>601</v>
      </c>
      <c r="C85" s="475">
        <v>113</v>
      </c>
      <c r="D85" s="474" t="s">
        <v>1935</v>
      </c>
      <c r="E85" s="473" t="s">
        <v>41</v>
      </c>
      <c r="F85" s="484">
        <v>407200</v>
      </c>
      <c r="G85" s="484">
        <v>0</v>
      </c>
      <c r="H85" s="483">
        <v>0</v>
      </c>
      <c r="I85" s="345" t="str">
        <f t="shared" si="4"/>
        <v>0113</v>
      </c>
      <c r="J85" s="346" t="str">
        <f t="shared" si="5"/>
        <v>7110010050</v>
      </c>
    </row>
    <row r="86" spans="1:10" hidden="1">
      <c r="A86" s="346" t="str">
        <f t="shared" si="3"/>
        <v>60101137110010050122</v>
      </c>
      <c r="B86" s="476">
        <v>601</v>
      </c>
      <c r="C86" s="475">
        <v>113</v>
      </c>
      <c r="D86" s="474" t="s">
        <v>1935</v>
      </c>
      <c r="E86" s="473" t="s">
        <v>23</v>
      </c>
      <c r="F86" s="484">
        <v>0</v>
      </c>
      <c r="G86" s="484">
        <v>0</v>
      </c>
      <c r="H86" s="483">
        <v>0</v>
      </c>
      <c r="I86" s="345" t="str">
        <f t="shared" si="4"/>
        <v>0113</v>
      </c>
      <c r="J86" s="346" t="str">
        <f t="shared" si="5"/>
        <v>7110010050</v>
      </c>
    </row>
    <row r="87" spans="1:10" hidden="1">
      <c r="A87" s="346" t="str">
        <f t="shared" si="3"/>
        <v>60101137110010050129</v>
      </c>
      <c r="B87" s="476">
        <v>601</v>
      </c>
      <c r="C87" s="475">
        <v>113</v>
      </c>
      <c r="D87" s="474" t="s">
        <v>1935</v>
      </c>
      <c r="E87" s="473" t="s">
        <v>27</v>
      </c>
      <c r="F87" s="484">
        <v>122974.39999999999</v>
      </c>
      <c r="G87" s="484">
        <v>0</v>
      </c>
      <c r="H87" s="483">
        <v>0</v>
      </c>
      <c r="I87" s="345" t="str">
        <f t="shared" si="4"/>
        <v>0113</v>
      </c>
      <c r="J87" s="346" t="str">
        <f t="shared" si="5"/>
        <v>7110010050</v>
      </c>
    </row>
    <row r="88" spans="1:10" hidden="1">
      <c r="A88" s="346" t="str">
        <f t="shared" si="3"/>
        <v>60101137110011010111</v>
      </c>
      <c r="B88" s="476">
        <v>601</v>
      </c>
      <c r="C88" s="475">
        <v>113</v>
      </c>
      <c r="D88" s="474" t="s">
        <v>1936</v>
      </c>
      <c r="E88" s="473" t="s">
        <v>141</v>
      </c>
      <c r="F88" s="484">
        <v>10278445.869999999</v>
      </c>
      <c r="G88" s="484">
        <v>0</v>
      </c>
      <c r="H88" s="483">
        <v>0</v>
      </c>
      <c r="I88" s="345" t="str">
        <f t="shared" si="4"/>
        <v>0113</v>
      </c>
      <c r="J88" s="346" t="str">
        <f t="shared" si="5"/>
        <v>7110011010</v>
      </c>
    </row>
    <row r="89" spans="1:10" hidden="1">
      <c r="A89" s="346" t="str">
        <f t="shared" si="3"/>
        <v>60101137110011010112</v>
      </c>
      <c r="B89" s="476">
        <v>601</v>
      </c>
      <c r="C89" s="475">
        <v>113</v>
      </c>
      <c r="D89" s="474" t="s">
        <v>1936</v>
      </c>
      <c r="E89" s="473" t="s">
        <v>143</v>
      </c>
      <c r="F89" s="484">
        <v>0</v>
      </c>
      <c r="G89" s="484">
        <v>0</v>
      </c>
      <c r="H89" s="483">
        <v>0</v>
      </c>
      <c r="I89" s="345" t="str">
        <f t="shared" si="4"/>
        <v>0113</v>
      </c>
      <c r="J89" s="346" t="str">
        <f t="shared" si="5"/>
        <v>7110011010</v>
      </c>
    </row>
    <row r="90" spans="1:10" hidden="1">
      <c r="A90" s="346" t="str">
        <f t="shared" si="3"/>
        <v>60101137110011010119</v>
      </c>
      <c r="B90" s="476">
        <v>601</v>
      </c>
      <c r="C90" s="475">
        <v>113</v>
      </c>
      <c r="D90" s="474" t="s">
        <v>1936</v>
      </c>
      <c r="E90" s="473" t="s">
        <v>145</v>
      </c>
      <c r="F90" s="484">
        <v>3043358.82</v>
      </c>
      <c r="G90" s="484">
        <v>0</v>
      </c>
      <c r="H90" s="483">
        <v>0</v>
      </c>
      <c r="I90" s="345" t="str">
        <f t="shared" si="4"/>
        <v>0113</v>
      </c>
      <c r="J90" s="346" t="str">
        <f t="shared" si="5"/>
        <v>7110011010</v>
      </c>
    </row>
    <row r="91" spans="1:10" hidden="1">
      <c r="A91" s="346" t="str">
        <f t="shared" si="3"/>
        <v>60101137110011010244</v>
      </c>
      <c r="B91" s="476">
        <v>601</v>
      </c>
      <c r="C91" s="475">
        <v>113</v>
      </c>
      <c r="D91" s="474" t="s">
        <v>1936</v>
      </c>
      <c r="E91" s="473" t="s">
        <v>31</v>
      </c>
      <c r="F91" s="484">
        <v>27147399.219999999</v>
      </c>
      <c r="G91" s="484">
        <v>0</v>
      </c>
      <c r="H91" s="483">
        <v>0</v>
      </c>
      <c r="I91" s="345" t="str">
        <f t="shared" si="4"/>
        <v>0113</v>
      </c>
      <c r="J91" s="346" t="str">
        <f t="shared" si="5"/>
        <v>7110011010</v>
      </c>
    </row>
    <row r="92" spans="1:10" hidden="1">
      <c r="A92" s="346" t="str">
        <f t="shared" si="3"/>
        <v>60101137110011010851</v>
      </c>
      <c r="B92" s="476">
        <v>601</v>
      </c>
      <c r="C92" s="475">
        <v>113</v>
      </c>
      <c r="D92" s="474" t="s">
        <v>1936</v>
      </c>
      <c r="E92" s="473" t="s">
        <v>35</v>
      </c>
      <c r="F92" s="484">
        <v>107277</v>
      </c>
      <c r="G92" s="484">
        <v>0</v>
      </c>
      <c r="H92" s="483">
        <v>0</v>
      </c>
      <c r="I92" s="345" t="str">
        <f t="shared" si="4"/>
        <v>0113</v>
      </c>
      <c r="J92" s="346" t="str">
        <f t="shared" si="5"/>
        <v>7110011010</v>
      </c>
    </row>
    <row r="93" spans="1:10" hidden="1">
      <c r="A93" s="346" t="str">
        <f t="shared" si="3"/>
        <v>60101137110011010852</v>
      </c>
      <c r="B93" s="476">
        <v>601</v>
      </c>
      <c r="C93" s="475">
        <v>113</v>
      </c>
      <c r="D93" s="474" t="s">
        <v>1936</v>
      </c>
      <c r="E93" s="473" t="s">
        <v>37</v>
      </c>
      <c r="F93" s="484">
        <v>73673.75</v>
      </c>
      <c r="G93" s="484">
        <v>0</v>
      </c>
      <c r="H93" s="483">
        <v>0</v>
      </c>
      <c r="I93" s="345" t="str">
        <f t="shared" si="4"/>
        <v>0113</v>
      </c>
      <c r="J93" s="346" t="str">
        <f t="shared" si="5"/>
        <v>7110011010</v>
      </c>
    </row>
    <row r="94" spans="1:10" hidden="1">
      <c r="A94" s="346" t="str">
        <f t="shared" si="3"/>
        <v>60101137110011010853</v>
      </c>
      <c r="B94" s="476">
        <v>601</v>
      </c>
      <c r="C94" s="475">
        <v>113</v>
      </c>
      <c r="D94" s="474" t="s">
        <v>1936</v>
      </c>
      <c r="E94" s="473" t="s">
        <v>78</v>
      </c>
      <c r="F94" s="484">
        <v>7000</v>
      </c>
      <c r="G94" s="484">
        <v>0</v>
      </c>
      <c r="H94" s="483">
        <v>0</v>
      </c>
      <c r="I94" s="345" t="str">
        <f t="shared" si="4"/>
        <v>0113</v>
      </c>
      <c r="J94" s="346" t="str">
        <f t="shared" si="5"/>
        <v>7110011010</v>
      </c>
    </row>
    <row r="95" spans="1:10" hidden="1">
      <c r="A95" s="346" t="str">
        <f t="shared" si="3"/>
        <v>60101137110020050831</v>
      </c>
      <c r="B95" s="476">
        <v>601</v>
      </c>
      <c r="C95" s="475">
        <v>113</v>
      </c>
      <c r="D95" s="474" t="s">
        <v>1937</v>
      </c>
      <c r="E95" s="473" t="s">
        <v>192</v>
      </c>
      <c r="F95" s="484">
        <v>1108276.52</v>
      </c>
      <c r="G95" s="484">
        <v>0</v>
      </c>
      <c r="H95" s="483">
        <v>0</v>
      </c>
      <c r="I95" s="345" t="str">
        <f t="shared" si="4"/>
        <v>0113</v>
      </c>
      <c r="J95" s="346" t="str">
        <f t="shared" si="5"/>
        <v>7110020050</v>
      </c>
    </row>
    <row r="96" spans="1:10" hidden="1">
      <c r="A96" s="346" t="str">
        <f t="shared" si="3"/>
        <v>60101137110077460111</v>
      </c>
      <c r="B96" s="476">
        <v>601</v>
      </c>
      <c r="C96" s="475">
        <v>113</v>
      </c>
      <c r="D96" s="474" t="s">
        <v>1916</v>
      </c>
      <c r="E96" s="473" t="s">
        <v>141</v>
      </c>
      <c r="F96" s="484">
        <v>381623.02</v>
      </c>
      <c r="G96" s="484">
        <v>0</v>
      </c>
      <c r="H96" s="483">
        <v>0</v>
      </c>
      <c r="I96" s="345" t="str">
        <f t="shared" si="4"/>
        <v>0113</v>
      </c>
      <c r="J96" s="346" t="str">
        <f t="shared" si="5"/>
        <v>7110077460</v>
      </c>
    </row>
    <row r="97" spans="1:10" hidden="1">
      <c r="A97" s="346" t="str">
        <f t="shared" si="3"/>
        <v>60101137110077460119</v>
      </c>
      <c r="B97" s="476">
        <v>601</v>
      </c>
      <c r="C97" s="475">
        <v>113</v>
      </c>
      <c r="D97" s="474" t="s">
        <v>1916</v>
      </c>
      <c r="E97" s="473" t="s">
        <v>145</v>
      </c>
      <c r="F97" s="484">
        <v>115250.15</v>
      </c>
      <c r="G97" s="484">
        <v>0</v>
      </c>
      <c r="H97" s="483">
        <v>0</v>
      </c>
      <c r="I97" s="345" t="str">
        <f t="shared" si="4"/>
        <v>0113</v>
      </c>
      <c r="J97" s="346" t="str">
        <f t="shared" si="5"/>
        <v>7110077460</v>
      </c>
    </row>
    <row r="98" spans="1:10" hidden="1">
      <c r="A98" s="346" t="str">
        <f t="shared" si="3"/>
        <v>60101137140021040853</v>
      </c>
      <c r="B98" s="476">
        <v>601</v>
      </c>
      <c r="C98" s="475">
        <v>113</v>
      </c>
      <c r="D98" s="474" t="s">
        <v>1938</v>
      </c>
      <c r="E98" s="473" t="s">
        <v>78</v>
      </c>
      <c r="F98" s="484">
        <v>13000</v>
      </c>
      <c r="G98" s="484">
        <v>0</v>
      </c>
      <c r="H98" s="483">
        <v>0</v>
      </c>
      <c r="I98" s="345" t="str">
        <f t="shared" si="4"/>
        <v>0113</v>
      </c>
      <c r="J98" s="346" t="str">
        <f t="shared" si="5"/>
        <v>7140021040</v>
      </c>
    </row>
    <row r="99" spans="1:10" hidden="1">
      <c r="A99" s="346" t="str">
        <f t="shared" si="3"/>
        <v>60101139810076610121</v>
      </c>
      <c r="B99" s="476">
        <v>601</v>
      </c>
      <c r="C99" s="475">
        <v>113</v>
      </c>
      <c r="D99" s="474" t="s">
        <v>1939</v>
      </c>
      <c r="E99" s="473" t="s">
        <v>41</v>
      </c>
      <c r="F99" s="484">
        <v>6642954.4000000004</v>
      </c>
      <c r="G99" s="484">
        <v>0</v>
      </c>
      <c r="H99" s="483">
        <v>0</v>
      </c>
      <c r="I99" s="345" t="str">
        <f t="shared" si="4"/>
        <v>0113</v>
      </c>
      <c r="J99" s="346" t="str">
        <f t="shared" si="5"/>
        <v>9810076610</v>
      </c>
    </row>
    <row r="100" spans="1:10" hidden="1">
      <c r="A100" s="346" t="str">
        <f t="shared" si="3"/>
        <v>60101139810076610129</v>
      </c>
      <c r="B100" s="476">
        <v>601</v>
      </c>
      <c r="C100" s="475">
        <v>113</v>
      </c>
      <c r="D100" s="474" t="s">
        <v>1939</v>
      </c>
      <c r="E100" s="473" t="s">
        <v>27</v>
      </c>
      <c r="F100" s="484">
        <v>2005575.6</v>
      </c>
      <c r="G100" s="484">
        <v>0</v>
      </c>
      <c r="H100" s="483">
        <v>0</v>
      </c>
      <c r="I100" s="345" t="str">
        <f t="shared" si="4"/>
        <v>0113</v>
      </c>
      <c r="J100" s="346" t="str">
        <f t="shared" si="5"/>
        <v>9810076610</v>
      </c>
    </row>
    <row r="101" spans="1:10" hidden="1">
      <c r="A101" s="346" t="str">
        <f t="shared" si="3"/>
        <v>60101139810076610244</v>
      </c>
      <c r="B101" s="476">
        <v>601</v>
      </c>
      <c r="C101" s="475">
        <v>113</v>
      </c>
      <c r="D101" s="474" t="s">
        <v>1939</v>
      </c>
      <c r="E101" s="473" t="s">
        <v>31</v>
      </c>
      <c r="F101" s="484">
        <v>173650</v>
      </c>
      <c r="G101" s="484">
        <v>0</v>
      </c>
      <c r="H101" s="483">
        <v>0</v>
      </c>
      <c r="I101" s="345" t="str">
        <f t="shared" si="4"/>
        <v>0113</v>
      </c>
      <c r="J101" s="346" t="str">
        <f t="shared" si="5"/>
        <v>9810076610</v>
      </c>
    </row>
    <row r="102" spans="1:10" hidden="1">
      <c r="A102" s="346" t="str">
        <f t="shared" si="3"/>
        <v>60104121210160130811</v>
      </c>
      <c r="B102" s="476">
        <v>601</v>
      </c>
      <c r="C102" s="475">
        <v>412</v>
      </c>
      <c r="D102" s="474" t="s">
        <v>1940</v>
      </c>
      <c r="E102" s="473" t="s">
        <v>206</v>
      </c>
      <c r="F102" s="484">
        <v>2975000</v>
      </c>
      <c r="G102" s="484">
        <v>0</v>
      </c>
      <c r="H102" s="483">
        <v>0</v>
      </c>
      <c r="I102" s="345" t="str">
        <f t="shared" si="4"/>
        <v>0412</v>
      </c>
      <c r="J102" s="346" t="str">
        <f t="shared" si="5"/>
        <v>1210160130</v>
      </c>
    </row>
    <row r="103" spans="1:10" hidden="1">
      <c r="A103" s="346" t="str">
        <f t="shared" si="3"/>
        <v>60104121210160130812</v>
      </c>
      <c r="B103" s="476">
        <v>601</v>
      </c>
      <c r="C103" s="475">
        <v>412</v>
      </c>
      <c r="D103" s="474" t="s">
        <v>1940</v>
      </c>
      <c r="E103" s="473" t="s">
        <v>208</v>
      </c>
      <c r="F103" s="484">
        <v>2000000</v>
      </c>
      <c r="G103" s="484">
        <v>0</v>
      </c>
      <c r="H103" s="483">
        <v>0</v>
      </c>
      <c r="I103" s="345" t="str">
        <f t="shared" si="4"/>
        <v>0412</v>
      </c>
      <c r="J103" s="346" t="str">
        <f t="shared" si="5"/>
        <v>1210160130</v>
      </c>
    </row>
    <row r="104" spans="1:10" hidden="1">
      <c r="A104" s="346" t="str">
        <f t="shared" si="3"/>
        <v>60104121210220480244</v>
      </c>
      <c r="B104" s="476">
        <v>601</v>
      </c>
      <c r="C104" s="475">
        <v>412</v>
      </c>
      <c r="D104" s="474" t="s">
        <v>1941</v>
      </c>
      <c r="E104" s="473" t="s">
        <v>31</v>
      </c>
      <c r="F104" s="484">
        <v>0</v>
      </c>
      <c r="G104" s="484">
        <v>0</v>
      </c>
      <c r="H104" s="483">
        <v>0</v>
      </c>
      <c r="I104" s="345" t="str">
        <f t="shared" si="4"/>
        <v>0412</v>
      </c>
      <c r="J104" s="346" t="str">
        <f t="shared" si="5"/>
        <v>1210220480</v>
      </c>
    </row>
    <row r="105" spans="1:10" hidden="1">
      <c r="A105" s="346" t="str">
        <f t="shared" si="3"/>
        <v>60104121210220480634</v>
      </c>
      <c r="B105" s="476">
        <v>601</v>
      </c>
      <c r="C105" s="475">
        <v>412</v>
      </c>
      <c r="D105" s="474" t="s">
        <v>1941</v>
      </c>
      <c r="E105" s="473" t="s">
        <v>214</v>
      </c>
      <c r="F105" s="484">
        <v>4500000</v>
      </c>
      <c r="G105" s="484">
        <v>0</v>
      </c>
      <c r="H105" s="483">
        <v>0</v>
      </c>
      <c r="I105" s="345" t="str">
        <f t="shared" si="4"/>
        <v>0412</v>
      </c>
      <c r="J105" s="346" t="str">
        <f t="shared" si="5"/>
        <v>1210220480</v>
      </c>
    </row>
    <row r="106" spans="1:10" hidden="1">
      <c r="A106" s="346" t="str">
        <f t="shared" si="3"/>
        <v>60104121210320480244</v>
      </c>
      <c r="B106" s="476">
        <v>601</v>
      </c>
      <c r="C106" s="475">
        <v>412</v>
      </c>
      <c r="D106" s="474" t="s">
        <v>1942</v>
      </c>
      <c r="E106" s="473" t="s">
        <v>31</v>
      </c>
      <c r="F106" s="484">
        <v>49500</v>
      </c>
      <c r="G106" s="484">
        <v>0</v>
      </c>
      <c r="H106" s="483">
        <v>0</v>
      </c>
      <c r="I106" s="345" t="str">
        <f t="shared" si="4"/>
        <v>0412</v>
      </c>
      <c r="J106" s="346" t="str">
        <f t="shared" si="5"/>
        <v>1210320480</v>
      </c>
    </row>
    <row r="107" spans="1:10" hidden="1">
      <c r="A107" s="346" t="str">
        <f t="shared" si="3"/>
        <v>60104121220120650244</v>
      </c>
      <c r="B107" s="476">
        <v>601</v>
      </c>
      <c r="C107" s="475">
        <v>412</v>
      </c>
      <c r="D107" s="474" t="s">
        <v>1943</v>
      </c>
      <c r="E107" s="473" t="s">
        <v>31</v>
      </c>
      <c r="F107" s="484">
        <v>50000</v>
      </c>
      <c r="G107" s="484">
        <v>0</v>
      </c>
      <c r="H107" s="483">
        <v>0</v>
      </c>
      <c r="I107" s="345" t="str">
        <f t="shared" si="4"/>
        <v>0412</v>
      </c>
      <c r="J107" s="346" t="str">
        <f t="shared" si="5"/>
        <v>1220120650</v>
      </c>
    </row>
    <row r="108" spans="1:10" hidden="1">
      <c r="A108" s="346" t="str">
        <f t="shared" si="3"/>
        <v>60104121220220640244</v>
      </c>
      <c r="B108" s="476">
        <v>601</v>
      </c>
      <c r="C108" s="475">
        <v>412</v>
      </c>
      <c r="D108" s="474" t="s">
        <v>1944</v>
      </c>
      <c r="E108" s="473" t="s">
        <v>31</v>
      </c>
      <c r="F108" s="484">
        <v>1433070</v>
      </c>
      <c r="G108" s="484">
        <v>0</v>
      </c>
      <c r="H108" s="483">
        <v>0</v>
      </c>
      <c r="I108" s="345" t="str">
        <f t="shared" si="4"/>
        <v>0412</v>
      </c>
      <c r="J108" s="346" t="str">
        <f t="shared" si="5"/>
        <v>1220220640</v>
      </c>
    </row>
    <row r="109" spans="1:10" hidden="1">
      <c r="A109" s="346" t="str">
        <f t="shared" si="3"/>
        <v>60104121220220640812</v>
      </c>
      <c r="B109" s="476">
        <v>601</v>
      </c>
      <c r="C109" s="475">
        <v>412</v>
      </c>
      <c r="D109" s="474" t="s">
        <v>1944</v>
      </c>
      <c r="E109" s="473" t="s">
        <v>208</v>
      </c>
      <c r="F109" s="484">
        <v>200000</v>
      </c>
      <c r="G109" s="484">
        <v>0</v>
      </c>
      <c r="H109" s="483">
        <v>0</v>
      </c>
      <c r="I109" s="345" t="str">
        <f t="shared" si="4"/>
        <v>0412</v>
      </c>
      <c r="J109" s="346" t="str">
        <f t="shared" si="5"/>
        <v>1220220640</v>
      </c>
    </row>
    <row r="110" spans="1:10" hidden="1">
      <c r="A110" s="346" t="str">
        <f t="shared" si="3"/>
        <v>60104121220220640813</v>
      </c>
      <c r="B110" s="476">
        <v>601</v>
      </c>
      <c r="C110" s="475">
        <v>412</v>
      </c>
      <c r="D110" s="474" t="s">
        <v>1944</v>
      </c>
      <c r="E110" s="473" t="s">
        <v>227</v>
      </c>
      <c r="F110" s="484">
        <v>0</v>
      </c>
      <c r="G110" s="484">
        <v>0</v>
      </c>
      <c r="H110" s="483">
        <v>0</v>
      </c>
      <c r="I110" s="345" t="str">
        <f t="shared" si="4"/>
        <v>0412</v>
      </c>
      <c r="J110" s="346" t="str">
        <f t="shared" si="5"/>
        <v>1220220640</v>
      </c>
    </row>
    <row r="111" spans="1:10" hidden="1">
      <c r="A111" s="346" t="str">
        <f t="shared" si="3"/>
        <v>60107051310120450244</v>
      </c>
      <c r="B111" s="476">
        <v>601</v>
      </c>
      <c r="C111" s="475">
        <v>705</v>
      </c>
      <c r="D111" s="474" t="s">
        <v>1945</v>
      </c>
      <c r="E111" s="473" t="s">
        <v>31</v>
      </c>
      <c r="F111" s="484">
        <v>69200</v>
      </c>
      <c r="G111" s="484">
        <v>0</v>
      </c>
      <c r="H111" s="483">
        <v>0</v>
      </c>
      <c r="I111" s="345" t="str">
        <f t="shared" si="4"/>
        <v>0705</v>
      </c>
      <c r="J111" s="346" t="str">
        <f t="shared" si="5"/>
        <v>1310120450</v>
      </c>
    </row>
    <row r="112" spans="1:10" hidden="1">
      <c r="A112" s="346" t="str">
        <f t="shared" si="3"/>
        <v>60108010710120060244</v>
      </c>
      <c r="B112" s="476">
        <v>601</v>
      </c>
      <c r="C112" s="475">
        <v>801</v>
      </c>
      <c r="D112" s="474" t="s">
        <v>1946</v>
      </c>
      <c r="E112" s="473" t="s">
        <v>31</v>
      </c>
      <c r="F112" s="484">
        <v>2111000</v>
      </c>
      <c r="G112" s="484">
        <v>0</v>
      </c>
      <c r="H112" s="483">
        <v>0</v>
      </c>
      <c r="I112" s="345" t="str">
        <f t="shared" si="4"/>
        <v>0801</v>
      </c>
      <c r="J112" s="346" t="str">
        <f t="shared" si="5"/>
        <v>0710120060</v>
      </c>
    </row>
    <row r="113" spans="1:10" hidden="1">
      <c r="A113" s="346" t="str">
        <f t="shared" si="3"/>
        <v>60112011410398710244</v>
      </c>
      <c r="B113" s="476">
        <v>601</v>
      </c>
      <c r="C113" s="475">
        <v>1201</v>
      </c>
      <c r="D113" s="474" t="s">
        <v>1947</v>
      </c>
      <c r="E113" s="473" t="s">
        <v>31</v>
      </c>
      <c r="F113" s="484">
        <v>5900500</v>
      </c>
      <c r="G113" s="484">
        <v>0</v>
      </c>
      <c r="H113" s="483">
        <v>0</v>
      </c>
      <c r="I113" s="345" t="str">
        <f t="shared" si="4"/>
        <v>1201</v>
      </c>
      <c r="J113" s="346" t="str">
        <f t="shared" si="5"/>
        <v>1410398710</v>
      </c>
    </row>
    <row r="114" spans="1:10" hidden="1">
      <c r="A114" s="346" t="str">
        <f t="shared" si="3"/>
        <v>60112021410398710244</v>
      </c>
      <c r="B114" s="476">
        <v>601</v>
      </c>
      <c r="C114" s="475">
        <v>1202</v>
      </c>
      <c r="D114" s="474" t="s">
        <v>1947</v>
      </c>
      <c r="E114" s="473" t="s">
        <v>31</v>
      </c>
      <c r="F114" s="484">
        <v>1190000</v>
      </c>
      <c r="G114" s="484">
        <v>0</v>
      </c>
      <c r="H114" s="483">
        <v>0</v>
      </c>
      <c r="I114" s="345" t="str">
        <f t="shared" si="4"/>
        <v>1202</v>
      </c>
      <c r="J114" s="346" t="str">
        <f t="shared" si="5"/>
        <v>1410398710</v>
      </c>
    </row>
    <row r="115" spans="1:10" hidden="1">
      <c r="A115" s="346" t="str">
        <f t="shared" si="3"/>
        <v>60112021410498720811</v>
      </c>
      <c r="B115" s="476">
        <v>601</v>
      </c>
      <c r="C115" s="475">
        <v>1202</v>
      </c>
      <c r="D115" s="474" t="s">
        <v>1948</v>
      </c>
      <c r="E115" s="473" t="s">
        <v>206</v>
      </c>
      <c r="F115" s="484">
        <v>13367000</v>
      </c>
      <c r="G115" s="484">
        <v>0</v>
      </c>
      <c r="H115" s="483">
        <v>0</v>
      </c>
      <c r="I115" s="345" t="str">
        <f t="shared" si="4"/>
        <v>1202</v>
      </c>
      <c r="J115" s="346" t="str">
        <f t="shared" si="5"/>
        <v>1410498720</v>
      </c>
    </row>
    <row r="116" spans="1:10" hidden="1">
      <c r="A116" s="346" t="str">
        <f t="shared" si="3"/>
        <v>602011311Б0120030244</v>
      </c>
      <c r="B116" s="476">
        <v>602</v>
      </c>
      <c r="C116" s="475">
        <v>113</v>
      </c>
      <c r="D116" s="474" t="s">
        <v>1173</v>
      </c>
      <c r="E116" s="473" t="s">
        <v>31</v>
      </c>
      <c r="F116" s="484">
        <v>1196728.75</v>
      </c>
      <c r="G116" s="484">
        <v>0</v>
      </c>
      <c r="H116" s="483">
        <v>0</v>
      </c>
      <c r="I116" s="345" t="str">
        <f t="shared" si="4"/>
        <v>0113</v>
      </c>
      <c r="J116" s="346" t="str">
        <f t="shared" si="5"/>
        <v>11Б0120030</v>
      </c>
    </row>
    <row r="117" spans="1:10" hidden="1">
      <c r="A117" s="346" t="str">
        <f t="shared" si="3"/>
        <v>602011311Б0120030852</v>
      </c>
      <c r="B117" s="476">
        <v>602</v>
      </c>
      <c r="C117" s="475">
        <v>113</v>
      </c>
      <c r="D117" s="474" t="s">
        <v>1173</v>
      </c>
      <c r="E117" s="473" t="s">
        <v>37</v>
      </c>
      <c r="F117" s="484">
        <v>0</v>
      </c>
      <c r="G117" s="484">
        <v>0</v>
      </c>
      <c r="H117" s="483">
        <v>0</v>
      </c>
      <c r="I117" s="345" t="str">
        <f t="shared" si="4"/>
        <v>0113</v>
      </c>
      <c r="J117" s="346" t="str">
        <f t="shared" si="5"/>
        <v>11Б0120030</v>
      </c>
    </row>
    <row r="118" spans="1:10" hidden="1">
      <c r="A118" s="346" t="str">
        <f t="shared" si="3"/>
        <v>602011311Б0120070244</v>
      </c>
      <c r="B118" s="476">
        <v>602</v>
      </c>
      <c r="C118" s="475">
        <v>113</v>
      </c>
      <c r="D118" s="474" t="s">
        <v>1174</v>
      </c>
      <c r="E118" s="473" t="s">
        <v>31</v>
      </c>
      <c r="F118" s="484">
        <v>1523920</v>
      </c>
      <c r="G118" s="484">
        <v>0</v>
      </c>
      <c r="H118" s="483">
        <v>0</v>
      </c>
      <c r="I118" s="345" t="str">
        <f t="shared" si="4"/>
        <v>0113</v>
      </c>
      <c r="J118" s="346" t="str">
        <f t="shared" si="5"/>
        <v>11Б0120070</v>
      </c>
    </row>
    <row r="119" spans="1:10" hidden="1">
      <c r="A119" s="346" t="str">
        <f t="shared" si="3"/>
        <v>602011311Б0121120244</v>
      </c>
      <c r="B119" s="476">
        <v>602</v>
      </c>
      <c r="C119" s="475">
        <v>113</v>
      </c>
      <c r="D119" s="474" t="s">
        <v>1175</v>
      </c>
      <c r="E119" s="473" t="s">
        <v>31</v>
      </c>
      <c r="F119" s="484">
        <v>1801476.88</v>
      </c>
      <c r="G119" s="484">
        <v>0</v>
      </c>
      <c r="H119" s="483">
        <v>0</v>
      </c>
      <c r="I119" s="345" t="str">
        <f t="shared" si="4"/>
        <v>0113</v>
      </c>
      <c r="J119" s="346" t="str">
        <f t="shared" si="5"/>
        <v>11Б0121120</v>
      </c>
    </row>
    <row r="120" spans="1:10" hidden="1">
      <c r="A120" s="346" t="str">
        <f t="shared" si="3"/>
        <v>602011311Б0320340244</v>
      </c>
      <c r="B120" s="476">
        <v>602</v>
      </c>
      <c r="C120" s="475">
        <v>113</v>
      </c>
      <c r="D120" s="474" t="s">
        <v>1177</v>
      </c>
      <c r="E120" s="473" t="s">
        <v>31</v>
      </c>
      <c r="F120" s="484">
        <v>567430</v>
      </c>
      <c r="G120" s="484">
        <v>0</v>
      </c>
      <c r="H120" s="483">
        <v>0</v>
      </c>
      <c r="I120" s="345" t="str">
        <f t="shared" si="4"/>
        <v>0113</v>
      </c>
      <c r="J120" s="346" t="str">
        <f t="shared" si="5"/>
        <v>11Б0320340</v>
      </c>
    </row>
    <row r="121" spans="1:10" hidden="1">
      <c r="A121" s="346" t="str">
        <f t="shared" si="3"/>
        <v>60201131510220350244</v>
      </c>
      <c r="B121" s="476">
        <v>602</v>
      </c>
      <c r="C121" s="475">
        <v>113</v>
      </c>
      <c r="D121" s="474" t="s">
        <v>1929</v>
      </c>
      <c r="E121" s="473" t="s">
        <v>31</v>
      </c>
      <c r="F121" s="484">
        <v>0</v>
      </c>
      <c r="G121" s="484">
        <v>0</v>
      </c>
      <c r="H121" s="483">
        <v>0</v>
      </c>
      <c r="I121" s="345" t="str">
        <f t="shared" si="4"/>
        <v>0113</v>
      </c>
      <c r="J121" s="346" t="str">
        <f t="shared" si="5"/>
        <v>1510220350</v>
      </c>
    </row>
    <row r="122" spans="1:10" hidden="1">
      <c r="A122" s="346" t="str">
        <f t="shared" si="3"/>
        <v>60201131510277310244</v>
      </c>
      <c r="B122" s="476">
        <v>602</v>
      </c>
      <c r="C122" s="475">
        <v>113</v>
      </c>
      <c r="D122" s="474" t="s">
        <v>2332</v>
      </c>
      <c r="E122" s="473" t="s">
        <v>31</v>
      </c>
      <c r="F122" s="484">
        <v>0</v>
      </c>
      <c r="G122" s="484">
        <v>0</v>
      </c>
      <c r="H122" s="483">
        <v>0</v>
      </c>
      <c r="I122" s="345" t="str">
        <f t="shared" si="4"/>
        <v>0113</v>
      </c>
      <c r="J122" s="346" t="str">
        <f t="shared" si="5"/>
        <v>1510277310</v>
      </c>
    </row>
    <row r="123" spans="1:10" hidden="1">
      <c r="A123" s="346" t="str">
        <f t="shared" si="3"/>
        <v>602011315102S7310244</v>
      </c>
      <c r="B123" s="476">
        <v>602</v>
      </c>
      <c r="C123" s="475">
        <v>113</v>
      </c>
      <c r="D123" s="474" t="s">
        <v>2333</v>
      </c>
      <c r="E123" s="473" t="s">
        <v>31</v>
      </c>
      <c r="F123" s="484">
        <v>0</v>
      </c>
      <c r="G123" s="484">
        <v>0</v>
      </c>
      <c r="H123" s="483">
        <v>0</v>
      </c>
      <c r="I123" s="345" t="str">
        <f t="shared" si="4"/>
        <v>0113</v>
      </c>
      <c r="J123" s="346" t="str">
        <f t="shared" si="5"/>
        <v>15102S7310</v>
      </c>
    </row>
    <row r="124" spans="1:10" hidden="1">
      <c r="A124" s="346" t="str">
        <f t="shared" si="3"/>
        <v>60201131510420350244</v>
      </c>
      <c r="B124" s="476">
        <v>602</v>
      </c>
      <c r="C124" s="475">
        <v>113</v>
      </c>
      <c r="D124" s="474" t="s">
        <v>1949</v>
      </c>
      <c r="E124" s="473" t="s">
        <v>31</v>
      </c>
      <c r="F124" s="484">
        <v>3000000</v>
      </c>
      <c r="G124" s="484">
        <v>0</v>
      </c>
      <c r="H124" s="483">
        <v>0</v>
      </c>
      <c r="I124" s="345" t="str">
        <f t="shared" si="4"/>
        <v>0113</v>
      </c>
      <c r="J124" s="346" t="str">
        <f t="shared" si="5"/>
        <v>1510420350</v>
      </c>
    </row>
    <row r="125" spans="1:10" hidden="1">
      <c r="A125" s="346" t="str">
        <f t="shared" si="3"/>
        <v>60201131510477310244</v>
      </c>
      <c r="B125" s="476">
        <v>602</v>
      </c>
      <c r="C125" s="475">
        <v>113</v>
      </c>
      <c r="D125" s="474" t="s">
        <v>1950</v>
      </c>
      <c r="E125" s="473" t="s">
        <v>31</v>
      </c>
      <c r="F125" s="484">
        <v>1400000</v>
      </c>
      <c r="G125" s="484">
        <v>0</v>
      </c>
      <c r="H125" s="483">
        <v>0</v>
      </c>
      <c r="I125" s="345" t="str">
        <f t="shared" si="4"/>
        <v>0113</v>
      </c>
      <c r="J125" s="346" t="str">
        <f t="shared" si="5"/>
        <v>1510477310</v>
      </c>
    </row>
    <row r="126" spans="1:10" hidden="1">
      <c r="A126" s="346" t="str">
        <f t="shared" si="3"/>
        <v>602011315104S7310244</v>
      </c>
      <c r="B126" s="476">
        <v>602</v>
      </c>
      <c r="C126" s="475">
        <v>113</v>
      </c>
      <c r="D126" s="474" t="s">
        <v>1180</v>
      </c>
      <c r="E126" s="473" t="s">
        <v>31</v>
      </c>
      <c r="F126" s="484">
        <v>350000</v>
      </c>
      <c r="G126" s="484">
        <v>0</v>
      </c>
      <c r="H126" s="483">
        <v>0</v>
      </c>
      <c r="I126" s="345" t="str">
        <f t="shared" si="4"/>
        <v>0113</v>
      </c>
      <c r="J126" s="346" t="str">
        <f t="shared" si="5"/>
        <v>15104S7310</v>
      </c>
    </row>
    <row r="127" spans="1:10" hidden="1">
      <c r="A127" s="346" t="str">
        <f t="shared" si="3"/>
        <v>60201137210010010122</v>
      </c>
      <c r="B127" s="476">
        <v>602</v>
      </c>
      <c r="C127" s="475">
        <v>113</v>
      </c>
      <c r="D127" s="474" t="s">
        <v>1951</v>
      </c>
      <c r="E127" s="473" t="s">
        <v>23</v>
      </c>
      <c r="F127" s="484">
        <v>1244455.73</v>
      </c>
      <c r="G127" s="484">
        <v>0</v>
      </c>
      <c r="H127" s="483">
        <v>0</v>
      </c>
      <c r="I127" s="345" t="str">
        <f t="shared" si="4"/>
        <v>0113</v>
      </c>
      <c r="J127" s="346" t="str">
        <f t="shared" si="5"/>
        <v>7210010010</v>
      </c>
    </row>
    <row r="128" spans="1:10" hidden="1">
      <c r="A128" s="346" t="str">
        <f t="shared" si="3"/>
        <v>60201137210010010129</v>
      </c>
      <c r="B128" s="476">
        <v>602</v>
      </c>
      <c r="C128" s="475">
        <v>113</v>
      </c>
      <c r="D128" s="474" t="s">
        <v>1951</v>
      </c>
      <c r="E128" s="473" t="s">
        <v>27</v>
      </c>
      <c r="F128" s="484">
        <v>327334.27</v>
      </c>
      <c r="G128" s="484">
        <v>0</v>
      </c>
      <c r="H128" s="483">
        <v>0</v>
      </c>
      <c r="I128" s="345" t="str">
        <f t="shared" si="4"/>
        <v>0113</v>
      </c>
      <c r="J128" s="346" t="str">
        <f t="shared" si="5"/>
        <v>7210010010</v>
      </c>
    </row>
    <row r="129" spans="1:10" hidden="1">
      <c r="A129" s="346" t="str">
        <f t="shared" si="3"/>
        <v>60201137210010010244</v>
      </c>
      <c r="B129" s="476">
        <v>602</v>
      </c>
      <c r="C129" s="475">
        <v>113</v>
      </c>
      <c r="D129" s="474" t="s">
        <v>1951</v>
      </c>
      <c r="E129" s="473" t="s">
        <v>31</v>
      </c>
      <c r="F129" s="484">
        <v>10976733.9</v>
      </c>
      <c r="G129" s="484">
        <v>0</v>
      </c>
      <c r="H129" s="483">
        <v>0</v>
      </c>
      <c r="I129" s="345" t="str">
        <f t="shared" si="4"/>
        <v>0113</v>
      </c>
      <c r="J129" s="346" t="str">
        <f t="shared" si="5"/>
        <v>7210010010</v>
      </c>
    </row>
    <row r="130" spans="1:10" hidden="1">
      <c r="A130" s="346" t="str">
        <f t="shared" si="3"/>
        <v>60201137210010010831</v>
      </c>
      <c r="B130" s="476">
        <v>602</v>
      </c>
      <c r="C130" s="475">
        <v>113</v>
      </c>
      <c r="D130" s="474" t="s">
        <v>1951</v>
      </c>
      <c r="E130" s="473" t="s">
        <v>192</v>
      </c>
      <c r="F130" s="484">
        <v>30000</v>
      </c>
      <c r="G130" s="484">
        <v>0</v>
      </c>
      <c r="H130" s="483">
        <v>0</v>
      </c>
      <c r="I130" s="345" t="str">
        <f t="shared" si="4"/>
        <v>0113</v>
      </c>
      <c r="J130" s="346" t="str">
        <f t="shared" si="5"/>
        <v>7210010010</v>
      </c>
    </row>
    <row r="131" spans="1:10" hidden="1">
      <c r="A131" s="346" t="str">
        <f t="shared" si="3"/>
        <v>60201137210010010851</v>
      </c>
      <c r="B131" s="476">
        <v>602</v>
      </c>
      <c r="C131" s="475">
        <v>113</v>
      </c>
      <c r="D131" s="474" t="s">
        <v>1951</v>
      </c>
      <c r="E131" s="473" t="s">
        <v>35</v>
      </c>
      <c r="F131" s="484">
        <v>69102</v>
      </c>
      <c r="G131" s="484">
        <v>0</v>
      </c>
      <c r="H131" s="483">
        <v>0</v>
      </c>
      <c r="I131" s="345" t="str">
        <f t="shared" si="4"/>
        <v>0113</v>
      </c>
      <c r="J131" s="346" t="str">
        <f t="shared" si="5"/>
        <v>7210010010</v>
      </c>
    </row>
    <row r="132" spans="1:10" hidden="1">
      <c r="A132" s="346" t="str">
        <f t="shared" si="3"/>
        <v>60201137210010010852</v>
      </c>
      <c r="B132" s="476">
        <v>602</v>
      </c>
      <c r="C132" s="475">
        <v>113</v>
      </c>
      <c r="D132" s="474" t="s">
        <v>1951</v>
      </c>
      <c r="E132" s="473" t="s">
        <v>37</v>
      </c>
      <c r="F132" s="484">
        <v>17487</v>
      </c>
      <c r="G132" s="484">
        <v>0</v>
      </c>
      <c r="H132" s="483">
        <v>0</v>
      </c>
      <c r="I132" s="345" t="str">
        <f t="shared" si="4"/>
        <v>0113</v>
      </c>
      <c r="J132" s="346" t="str">
        <f t="shared" si="5"/>
        <v>7210010010</v>
      </c>
    </row>
    <row r="133" spans="1:10" hidden="1">
      <c r="A133" s="346" t="str">
        <f t="shared" si="3"/>
        <v>60201137210010010853</v>
      </c>
      <c r="B133" s="476">
        <v>602</v>
      </c>
      <c r="C133" s="475">
        <v>113</v>
      </c>
      <c r="D133" s="474" t="s">
        <v>1951</v>
      </c>
      <c r="E133" s="473" t="s">
        <v>78</v>
      </c>
      <c r="F133" s="484">
        <v>7688</v>
      </c>
      <c r="G133" s="484">
        <v>0</v>
      </c>
      <c r="H133" s="483">
        <v>0</v>
      </c>
      <c r="I133" s="345" t="str">
        <f t="shared" si="4"/>
        <v>0113</v>
      </c>
      <c r="J133" s="346" t="str">
        <f t="shared" si="5"/>
        <v>7210010010</v>
      </c>
    </row>
    <row r="134" spans="1:10" hidden="1">
      <c r="A134" s="346" t="str">
        <f t="shared" si="3"/>
        <v>60201137210010020121</v>
      </c>
      <c r="B134" s="476">
        <v>602</v>
      </c>
      <c r="C134" s="475">
        <v>113</v>
      </c>
      <c r="D134" s="474" t="s">
        <v>1952</v>
      </c>
      <c r="E134" s="473" t="s">
        <v>41</v>
      </c>
      <c r="F134" s="484">
        <v>45828114.700000003</v>
      </c>
      <c r="G134" s="484">
        <v>0</v>
      </c>
      <c r="H134" s="483">
        <v>0</v>
      </c>
      <c r="I134" s="345" t="str">
        <f t="shared" si="4"/>
        <v>0113</v>
      </c>
      <c r="J134" s="346" t="str">
        <f t="shared" si="5"/>
        <v>7210010020</v>
      </c>
    </row>
    <row r="135" spans="1:10" hidden="1">
      <c r="A135" s="346" t="str">
        <f t="shared" si="3"/>
        <v>60201137210010020129</v>
      </c>
      <c r="B135" s="476">
        <v>602</v>
      </c>
      <c r="C135" s="475">
        <v>113</v>
      </c>
      <c r="D135" s="474" t="s">
        <v>1952</v>
      </c>
      <c r="E135" s="473" t="s">
        <v>27</v>
      </c>
      <c r="F135" s="484">
        <v>13686227.65</v>
      </c>
      <c r="G135" s="484">
        <v>0</v>
      </c>
      <c r="H135" s="483">
        <v>0</v>
      </c>
      <c r="I135" s="345" t="str">
        <f t="shared" si="4"/>
        <v>0113</v>
      </c>
      <c r="J135" s="346" t="str">
        <f t="shared" si="5"/>
        <v>7210010020</v>
      </c>
    </row>
    <row r="136" spans="1:10" hidden="1">
      <c r="A136" s="346" t="str">
        <f t="shared" si="3"/>
        <v>60201137210010050121</v>
      </c>
      <c r="B136" s="476">
        <v>602</v>
      </c>
      <c r="C136" s="475">
        <v>113</v>
      </c>
      <c r="D136" s="474" t="s">
        <v>1953</v>
      </c>
      <c r="E136" s="473" t="s">
        <v>41</v>
      </c>
      <c r="F136" s="484">
        <v>105480</v>
      </c>
      <c r="G136" s="484">
        <v>0</v>
      </c>
      <c r="H136" s="483">
        <v>0</v>
      </c>
      <c r="I136" s="345" t="str">
        <f t="shared" si="4"/>
        <v>0113</v>
      </c>
      <c r="J136" s="346" t="str">
        <f t="shared" si="5"/>
        <v>7210010050</v>
      </c>
    </row>
    <row r="137" spans="1:10" hidden="1">
      <c r="A137" s="346" t="str">
        <f t="shared" si="3"/>
        <v>60201137210010050122</v>
      </c>
      <c r="B137" s="476">
        <v>602</v>
      </c>
      <c r="C137" s="475">
        <v>113</v>
      </c>
      <c r="D137" s="474" t="s">
        <v>1953</v>
      </c>
      <c r="E137" s="473" t="s">
        <v>23</v>
      </c>
      <c r="F137" s="484">
        <v>0</v>
      </c>
      <c r="G137" s="484">
        <v>0</v>
      </c>
      <c r="H137" s="483">
        <v>0</v>
      </c>
      <c r="I137" s="345" t="str">
        <f t="shared" si="4"/>
        <v>0113</v>
      </c>
      <c r="J137" s="346" t="str">
        <f t="shared" si="5"/>
        <v>7210010050</v>
      </c>
    </row>
    <row r="138" spans="1:10" hidden="1">
      <c r="A138" s="346" t="str">
        <f t="shared" si="3"/>
        <v>60201137210010050129</v>
      </c>
      <c r="B138" s="476">
        <v>602</v>
      </c>
      <c r="C138" s="475">
        <v>113</v>
      </c>
      <c r="D138" s="474" t="s">
        <v>1953</v>
      </c>
      <c r="E138" s="473" t="s">
        <v>27</v>
      </c>
      <c r="F138" s="484">
        <v>31939.34</v>
      </c>
      <c r="G138" s="484">
        <v>0</v>
      </c>
      <c r="H138" s="483">
        <v>0</v>
      </c>
      <c r="I138" s="345" t="str">
        <f t="shared" si="4"/>
        <v>0113</v>
      </c>
      <c r="J138" s="346" t="str">
        <f t="shared" si="5"/>
        <v>7210010050</v>
      </c>
    </row>
    <row r="139" spans="1:10" hidden="1">
      <c r="A139" s="346" t="str">
        <f t="shared" ref="A139:A202" si="6">B139&amp;I139&amp;J139&amp;E139</f>
        <v>60201137210020050831</v>
      </c>
      <c r="B139" s="476">
        <v>602</v>
      </c>
      <c r="C139" s="475">
        <v>113</v>
      </c>
      <c r="D139" s="474" t="s">
        <v>1954</v>
      </c>
      <c r="E139" s="473" t="s">
        <v>192</v>
      </c>
      <c r="F139" s="484">
        <v>1399004.04</v>
      </c>
      <c r="G139" s="484">
        <v>0</v>
      </c>
      <c r="H139" s="483">
        <v>0</v>
      </c>
      <c r="I139" s="345" t="str">
        <f t="shared" ref="I139:I202" si="7">TEXT(C139,"0000")</f>
        <v>0113</v>
      </c>
      <c r="J139" s="346" t="str">
        <f t="shared" ref="J139:J202" si="8">TEXT(D139,"0000000000")</f>
        <v>7210020050</v>
      </c>
    </row>
    <row r="140" spans="1:10" hidden="1">
      <c r="A140" s="346" t="str">
        <f t="shared" si="6"/>
        <v>60201137210077460121</v>
      </c>
      <c r="B140" s="476">
        <v>602</v>
      </c>
      <c r="C140" s="475">
        <v>113</v>
      </c>
      <c r="D140" s="474" t="s">
        <v>1955</v>
      </c>
      <c r="E140" s="473" t="s">
        <v>41</v>
      </c>
      <c r="F140" s="484">
        <v>1509673.64</v>
      </c>
      <c r="G140" s="484">
        <v>0</v>
      </c>
      <c r="H140" s="483">
        <v>0</v>
      </c>
      <c r="I140" s="345" t="str">
        <f t="shared" si="7"/>
        <v>0113</v>
      </c>
      <c r="J140" s="346" t="str">
        <f t="shared" si="8"/>
        <v>7210077460</v>
      </c>
    </row>
    <row r="141" spans="1:10" hidden="1">
      <c r="A141" s="346" t="str">
        <f t="shared" si="6"/>
        <v>60201137210077460129</v>
      </c>
      <c r="B141" s="476">
        <v>602</v>
      </c>
      <c r="C141" s="475">
        <v>113</v>
      </c>
      <c r="D141" s="474" t="s">
        <v>1955</v>
      </c>
      <c r="E141" s="473" t="s">
        <v>27</v>
      </c>
      <c r="F141" s="484">
        <v>455921.44</v>
      </c>
      <c r="G141" s="484">
        <v>0</v>
      </c>
      <c r="H141" s="483">
        <v>0</v>
      </c>
      <c r="I141" s="345" t="str">
        <f t="shared" si="7"/>
        <v>0113</v>
      </c>
      <c r="J141" s="346" t="str">
        <f t="shared" si="8"/>
        <v>7210077460</v>
      </c>
    </row>
    <row r="142" spans="1:10" hidden="1">
      <c r="A142" s="346" t="str">
        <f t="shared" si="6"/>
        <v>60201137210077580121</v>
      </c>
      <c r="B142" s="476">
        <v>602</v>
      </c>
      <c r="C142" s="475">
        <v>113</v>
      </c>
      <c r="D142" s="474" t="s">
        <v>1956</v>
      </c>
      <c r="E142" s="473" t="s">
        <v>41</v>
      </c>
      <c r="F142" s="484">
        <v>66860</v>
      </c>
      <c r="G142" s="484">
        <v>0</v>
      </c>
      <c r="H142" s="483">
        <v>0</v>
      </c>
      <c r="I142" s="345" t="str">
        <f t="shared" si="7"/>
        <v>0113</v>
      </c>
      <c r="J142" s="346" t="str">
        <f t="shared" si="8"/>
        <v>7210077580</v>
      </c>
    </row>
    <row r="143" spans="1:10" hidden="1">
      <c r="A143" s="346" t="str">
        <f t="shared" si="6"/>
        <v>60201137210077580129</v>
      </c>
      <c r="B143" s="476">
        <v>602</v>
      </c>
      <c r="C143" s="475">
        <v>113</v>
      </c>
      <c r="D143" s="474" t="s">
        <v>1956</v>
      </c>
      <c r="E143" s="473" t="s">
        <v>27</v>
      </c>
      <c r="F143" s="484">
        <v>20191.72</v>
      </c>
      <c r="G143" s="484">
        <v>0</v>
      </c>
      <c r="H143" s="483">
        <v>0</v>
      </c>
      <c r="I143" s="345" t="str">
        <f t="shared" si="7"/>
        <v>0113</v>
      </c>
      <c r="J143" s="346" t="str">
        <f t="shared" si="8"/>
        <v>7210077580</v>
      </c>
    </row>
    <row r="144" spans="1:10" hidden="1">
      <c r="A144" s="346" t="str">
        <f t="shared" si="6"/>
        <v>60201137220020970852</v>
      </c>
      <c r="B144" s="476">
        <v>602</v>
      </c>
      <c r="C144" s="475">
        <v>113</v>
      </c>
      <c r="D144" s="474" t="s">
        <v>1957</v>
      </c>
      <c r="E144" s="473" t="s">
        <v>37</v>
      </c>
      <c r="F144" s="484">
        <v>1088184.97</v>
      </c>
      <c r="G144" s="484">
        <v>0</v>
      </c>
      <c r="H144" s="483">
        <v>0</v>
      </c>
      <c r="I144" s="345" t="str">
        <f t="shared" si="7"/>
        <v>0113</v>
      </c>
      <c r="J144" s="346" t="str">
        <f t="shared" si="8"/>
        <v>7220020970</v>
      </c>
    </row>
    <row r="145" spans="1:10" hidden="1">
      <c r="A145" s="346" t="str">
        <f t="shared" si="6"/>
        <v>60201139810021350831</v>
      </c>
      <c r="B145" s="476">
        <v>602</v>
      </c>
      <c r="C145" s="475">
        <v>113</v>
      </c>
      <c r="D145" s="474" t="s">
        <v>1958</v>
      </c>
      <c r="E145" s="473" t="s">
        <v>192</v>
      </c>
      <c r="F145" s="484">
        <v>250000</v>
      </c>
      <c r="G145" s="484">
        <v>0</v>
      </c>
      <c r="H145" s="483">
        <v>0</v>
      </c>
      <c r="I145" s="345" t="str">
        <f t="shared" si="7"/>
        <v>0113</v>
      </c>
      <c r="J145" s="346" t="str">
        <f t="shared" si="8"/>
        <v>9810021350</v>
      </c>
    </row>
    <row r="146" spans="1:10" hidden="1">
      <c r="A146" s="346" t="str">
        <f t="shared" si="6"/>
        <v>60201139810021580244</v>
      </c>
      <c r="B146" s="476">
        <v>602</v>
      </c>
      <c r="C146" s="475">
        <v>113</v>
      </c>
      <c r="D146" s="474" t="s">
        <v>1959</v>
      </c>
      <c r="E146" s="473" t="s">
        <v>31</v>
      </c>
      <c r="F146" s="484">
        <v>30156800</v>
      </c>
      <c r="G146" s="484">
        <v>0</v>
      </c>
      <c r="H146" s="483">
        <v>0</v>
      </c>
      <c r="I146" s="345" t="str">
        <f t="shared" si="7"/>
        <v>0113</v>
      </c>
      <c r="J146" s="346" t="str">
        <f t="shared" si="8"/>
        <v>9810021580</v>
      </c>
    </row>
    <row r="147" spans="1:10" hidden="1">
      <c r="A147" s="346" t="str">
        <f t="shared" si="6"/>
        <v>602041202Б0120160244</v>
      </c>
      <c r="B147" s="476">
        <v>602</v>
      </c>
      <c r="C147" s="475">
        <v>412</v>
      </c>
      <c r="D147" s="474" t="s">
        <v>1184</v>
      </c>
      <c r="E147" s="473" t="s">
        <v>31</v>
      </c>
      <c r="F147" s="484">
        <v>180000</v>
      </c>
      <c r="G147" s="484">
        <v>0</v>
      </c>
      <c r="H147" s="483">
        <v>0</v>
      </c>
      <c r="I147" s="345" t="str">
        <f t="shared" si="7"/>
        <v>0412</v>
      </c>
      <c r="J147" s="346" t="str">
        <f t="shared" si="8"/>
        <v>02Б0120160</v>
      </c>
    </row>
    <row r="148" spans="1:10" hidden="1">
      <c r="A148" s="346" t="str">
        <f t="shared" si="6"/>
        <v>602041202Б0220160244</v>
      </c>
      <c r="B148" s="476">
        <v>602</v>
      </c>
      <c r="C148" s="475">
        <v>412</v>
      </c>
      <c r="D148" s="474" t="s">
        <v>2334</v>
      </c>
      <c r="E148" s="473" t="s">
        <v>31</v>
      </c>
      <c r="F148" s="484">
        <v>0</v>
      </c>
      <c r="G148" s="484">
        <v>0</v>
      </c>
      <c r="H148" s="483">
        <v>0</v>
      </c>
      <c r="I148" s="345" t="str">
        <f t="shared" si="7"/>
        <v>0412</v>
      </c>
      <c r="J148" s="346" t="str">
        <f t="shared" si="8"/>
        <v>02Б0220160</v>
      </c>
    </row>
    <row r="149" spans="1:10" hidden="1">
      <c r="A149" s="346" t="str">
        <f t="shared" si="6"/>
        <v>60204120420221470244</v>
      </c>
      <c r="B149" s="476">
        <v>602</v>
      </c>
      <c r="C149" s="475">
        <v>412</v>
      </c>
      <c r="D149" s="474" t="s">
        <v>1960</v>
      </c>
      <c r="E149" s="473" t="s">
        <v>31</v>
      </c>
      <c r="F149" s="484">
        <v>10521351.300000001</v>
      </c>
      <c r="G149" s="484">
        <v>0</v>
      </c>
      <c r="H149" s="483">
        <v>0</v>
      </c>
      <c r="I149" s="345" t="str">
        <f t="shared" si="7"/>
        <v>0412</v>
      </c>
      <c r="J149" s="346" t="str">
        <f t="shared" si="8"/>
        <v>0420221470</v>
      </c>
    </row>
    <row r="150" spans="1:10" hidden="1">
      <c r="A150" s="346" t="str">
        <f t="shared" si="6"/>
        <v>60204120420277480244</v>
      </c>
      <c r="B150" s="476">
        <v>602</v>
      </c>
      <c r="C150" s="475">
        <v>412</v>
      </c>
      <c r="D150" s="474" t="s">
        <v>1961</v>
      </c>
      <c r="E150" s="473" t="s">
        <v>31</v>
      </c>
      <c r="F150" s="484">
        <v>44445320</v>
      </c>
      <c r="G150" s="484">
        <v>0</v>
      </c>
      <c r="H150" s="483">
        <v>0</v>
      </c>
      <c r="I150" s="345" t="str">
        <f t="shared" si="7"/>
        <v>0412</v>
      </c>
      <c r="J150" s="346" t="str">
        <f t="shared" si="8"/>
        <v>0420277480</v>
      </c>
    </row>
    <row r="151" spans="1:10" hidden="1">
      <c r="A151" s="346" t="str">
        <f t="shared" si="6"/>
        <v>602041204202S7480244</v>
      </c>
      <c r="B151" s="476">
        <v>602</v>
      </c>
      <c r="C151" s="475">
        <v>412</v>
      </c>
      <c r="D151" s="474" t="s">
        <v>1854</v>
      </c>
      <c r="E151" s="473" t="s">
        <v>31</v>
      </c>
      <c r="F151" s="484">
        <v>2339227.37</v>
      </c>
      <c r="G151" s="484">
        <v>0</v>
      </c>
      <c r="H151" s="483">
        <v>0</v>
      </c>
      <c r="I151" s="345" t="str">
        <f t="shared" si="7"/>
        <v>0412</v>
      </c>
      <c r="J151" s="346" t="str">
        <f t="shared" si="8"/>
        <v>04202S7480</v>
      </c>
    </row>
    <row r="152" spans="1:10" hidden="1">
      <c r="A152" s="346" t="str">
        <f t="shared" si="6"/>
        <v>602041211Б0220180244</v>
      </c>
      <c r="B152" s="476">
        <v>602</v>
      </c>
      <c r="C152" s="475">
        <v>412</v>
      </c>
      <c r="D152" s="474" t="s">
        <v>1186</v>
      </c>
      <c r="E152" s="473" t="s">
        <v>31</v>
      </c>
      <c r="F152" s="484">
        <v>651857.15</v>
      </c>
      <c r="G152" s="484">
        <v>0</v>
      </c>
      <c r="H152" s="483">
        <v>0</v>
      </c>
      <c r="I152" s="345" t="str">
        <f t="shared" si="7"/>
        <v>0412</v>
      </c>
      <c r="J152" s="346" t="str">
        <f t="shared" si="8"/>
        <v>11Б0220180</v>
      </c>
    </row>
    <row r="153" spans="1:10" hidden="1">
      <c r="A153" s="346" t="str">
        <f t="shared" si="6"/>
        <v>602041211Б0221550244</v>
      </c>
      <c r="B153" s="476">
        <v>602</v>
      </c>
      <c r="C153" s="475">
        <v>412</v>
      </c>
      <c r="D153" s="474" t="s">
        <v>1962</v>
      </c>
      <c r="E153" s="473" t="s">
        <v>31</v>
      </c>
      <c r="F153" s="484">
        <v>0</v>
      </c>
      <c r="G153" s="484">
        <v>0</v>
      </c>
      <c r="H153" s="483">
        <v>0</v>
      </c>
      <c r="I153" s="345" t="str">
        <f t="shared" si="7"/>
        <v>0412</v>
      </c>
      <c r="J153" s="346" t="str">
        <f t="shared" si="8"/>
        <v>11Б0221550</v>
      </c>
    </row>
    <row r="154" spans="1:10" hidden="1">
      <c r="A154" s="346" t="str">
        <f t="shared" si="6"/>
        <v>60205017220020200412</v>
      </c>
      <c r="B154" s="476">
        <v>602</v>
      </c>
      <c r="C154" s="475">
        <v>501</v>
      </c>
      <c r="D154" s="474" t="s">
        <v>1963</v>
      </c>
      <c r="E154" s="473" t="s">
        <v>1162</v>
      </c>
      <c r="F154" s="484">
        <v>3171045.11</v>
      </c>
      <c r="G154" s="484">
        <v>0</v>
      </c>
      <c r="H154" s="483">
        <v>0</v>
      </c>
      <c r="I154" s="345" t="str">
        <f t="shared" si="7"/>
        <v>0501</v>
      </c>
      <c r="J154" s="346" t="str">
        <f t="shared" si="8"/>
        <v>7220020200</v>
      </c>
    </row>
    <row r="155" spans="1:10" hidden="1">
      <c r="A155" s="346" t="str">
        <f t="shared" si="6"/>
        <v>60205019820076910412</v>
      </c>
      <c r="B155" s="476">
        <v>602</v>
      </c>
      <c r="C155" s="475">
        <v>501</v>
      </c>
      <c r="D155" s="474" t="s">
        <v>1964</v>
      </c>
      <c r="E155" s="473" t="s">
        <v>1162</v>
      </c>
      <c r="F155" s="484">
        <v>6641700</v>
      </c>
      <c r="G155" s="484">
        <v>0</v>
      </c>
      <c r="H155" s="483">
        <v>0</v>
      </c>
      <c r="I155" s="345" t="str">
        <f t="shared" si="7"/>
        <v>0501</v>
      </c>
      <c r="J155" s="346" t="str">
        <f t="shared" si="8"/>
        <v>9820076910</v>
      </c>
    </row>
    <row r="156" spans="1:10" hidden="1">
      <c r="A156" s="346" t="str">
        <f t="shared" si="6"/>
        <v>602050198200S6910412</v>
      </c>
      <c r="B156" s="476">
        <v>602</v>
      </c>
      <c r="C156" s="475">
        <v>501</v>
      </c>
      <c r="D156" s="474" t="s">
        <v>1187</v>
      </c>
      <c r="E156" s="473" t="s">
        <v>1162</v>
      </c>
      <c r="F156" s="484">
        <v>2213900</v>
      </c>
      <c r="G156" s="484">
        <v>0</v>
      </c>
      <c r="H156" s="483">
        <v>0</v>
      </c>
      <c r="I156" s="345" t="str">
        <f t="shared" si="7"/>
        <v>0501</v>
      </c>
      <c r="J156" s="346" t="str">
        <f t="shared" si="8"/>
        <v>98200S6910</v>
      </c>
    </row>
    <row r="157" spans="1:10" hidden="1">
      <c r="A157" s="346" t="str">
        <f t="shared" si="6"/>
        <v>60205030430421510244</v>
      </c>
      <c r="B157" s="476">
        <v>602</v>
      </c>
      <c r="C157" s="475">
        <v>503</v>
      </c>
      <c r="D157" s="474" t="s">
        <v>1965</v>
      </c>
      <c r="E157" s="473" t="s">
        <v>31</v>
      </c>
      <c r="F157" s="484">
        <v>7484648.7000000002</v>
      </c>
      <c r="G157" s="484">
        <v>0</v>
      </c>
      <c r="H157" s="483">
        <v>0</v>
      </c>
      <c r="I157" s="345" t="str">
        <f t="shared" si="7"/>
        <v>0503</v>
      </c>
      <c r="J157" s="346" t="str">
        <f t="shared" si="8"/>
        <v>0430421510</v>
      </c>
    </row>
    <row r="158" spans="1:10" hidden="1">
      <c r="A158" s="346" t="str">
        <f t="shared" si="6"/>
        <v>60205059810020950244</v>
      </c>
      <c r="B158" s="476">
        <v>602</v>
      </c>
      <c r="C158" s="475">
        <v>505</v>
      </c>
      <c r="D158" s="474" t="s">
        <v>1966</v>
      </c>
      <c r="E158" s="473" t="s">
        <v>31</v>
      </c>
      <c r="F158" s="484">
        <v>1308314.21</v>
      </c>
      <c r="G158" s="484">
        <v>0</v>
      </c>
      <c r="H158" s="483">
        <v>0</v>
      </c>
      <c r="I158" s="345" t="str">
        <f t="shared" si="7"/>
        <v>0505</v>
      </c>
      <c r="J158" s="346" t="str">
        <f t="shared" si="8"/>
        <v>9810020950</v>
      </c>
    </row>
    <row r="159" spans="1:10" hidden="1">
      <c r="A159" s="346" t="str">
        <f t="shared" si="6"/>
        <v>602100306Б0174970322</v>
      </c>
      <c r="B159" s="476">
        <v>602</v>
      </c>
      <c r="C159" s="475">
        <v>1003</v>
      </c>
      <c r="D159" s="474" t="s">
        <v>1967</v>
      </c>
      <c r="E159" s="473" t="s">
        <v>330</v>
      </c>
      <c r="F159" s="484">
        <v>15408422.4</v>
      </c>
      <c r="G159" s="484">
        <v>0</v>
      </c>
      <c r="H159" s="483">
        <v>0</v>
      </c>
      <c r="I159" s="345" t="str">
        <f t="shared" si="7"/>
        <v>1003</v>
      </c>
      <c r="J159" s="346" t="str">
        <f t="shared" si="8"/>
        <v>06Б0174970</v>
      </c>
    </row>
    <row r="160" spans="1:10" hidden="1">
      <c r="A160" s="346" t="str">
        <f t="shared" si="6"/>
        <v>602100306Б0177360322</v>
      </c>
      <c r="B160" s="476">
        <v>602</v>
      </c>
      <c r="C160" s="475">
        <v>1003</v>
      </c>
      <c r="D160" s="474" t="s">
        <v>1190</v>
      </c>
      <c r="E160" s="473" t="s">
        <v>330</v>
      </c>
      <c r="F160" s="484">
        <v>957243.42</v>
      </c>
      <c r="G160" s="484">
        <v>0</v>
      </c>
      <c r="H160" s="483">
        <v>0</v>
      </c>
      <c r="I160" s="345" t="str">
        <f t="shared" si="7"/>
        <v>1003</v>
      </c>
      <c r="J160" s="346" t="str">
        <f t="shared" si="8"/>
        <v>06Б0177360</v>
      </c>
    </row>
    <row r="161" spans="1:10" hidden="1">
      <c r="A161" s="346" t="str">
        <f t="shared" si="6"/>
        <v>602100306Б0177520322</v>
      </c>
      <c r="B161" s="476">
        <v>602</v>
      </c>
      <c r="C161" s="475">
        <v>1003</v>
      </c>
      <c r="D161" s="474" t="s">
        <v>1968</v>
      </c>
      <c r="E161" s="473" t="s">
        <v>330</v>
      </c>
      <c r="F161" s="484">
        <v>13867580.16</v>
      </c>
      <c r="G161" s="484">
        <v>0</v>
      </c>
      <c r="H161" s="483">
        <v>0</v>
      </c>
      <c r="I161" s="345" t="str">
        <f t="shared" si="7"/>
        <v>1003</v>
      </c>
      <c r="J161" s="346" t="str">
        <f t="shared" si="8"/>
        <v>06Б0177520</v>
      </c>
    </row>
    <row r="162" spans="1:10" hidden="1">
      <c r="A162" s="346" t="str">
        <f t="shared" si="6"/>
        <v>602100306Б01L0200322</v>
      </c>
      <c r="B162" s="476">
        <v>602</v>
      </c>
      <c r="C162" s="475">
        <v>1003</v>
      </c>
      <c r="D162" s="474" t="s">
        <v>2335</v>
      </c>
      <c r="E162" s="473" t="s">
        <v>330</v>
      </c>
      <c r="F162" s="484">
        <v>0</v>
      </c>
      <c r="G162" s="484">
        <v>0</v>
      </c>
      <c r="H162" s="483">
        <v>0</v>
      </c>
      <c r="I162" s="345" t="str">
        <f t="shared" si="7"/>
        <v>1003</v>
      </c>
      <c r="J162" s="346" t="str">
        <f t="shared" si="8"/>
        <v>06Б01L0200</v>
      </c>
    </row>
    <row r="163" spans="1:10" hidden="1">
      <c r="A163" s="346" t="str">
        <f t="shared" si="6"/>
        <v>602100306Б01L4970322</v>
      </c>
      <c r="B163" s="476">
        <v>602</v>
      </c>
      <c r="C163" s="475">
        <v>1003</v>
      </c>
      <c r="D163" s="474" t="s">
        <v>1191</v>
      </c>
      <c r="E163" s="473" t="s">
        <v>330</v>
      </c>
      <c r="F163" s="484">
        <v>8399328</v>
      </c>
      <c r="G163" s="484">
        <v>0</v>
      </c>
      <c r="H163" s="483">
        <v>0</v>
      </c>
      <c r="I163" s="345" t="str">
        <f t="shared" si="7"/>
        <v>1003</v>
      </c>
      <c r="J163" s="346" t="str">
        <f t="shared" si="8"/>
        <v>06Б01L4970</v>
      </c>
    </row>
    <row r="164" spans="1:10" hidden="1">
      <c r="A164" s="346" t="str">
        <f t="shared" si="6"/>
        <v>602100306Б01S4970322</v>
      </c>
      <c r="B164" s="476">
        <v>602</v>
      </c>
      <c r="C164" s="475">
        <v>1003</v>
      </c>
      <c r="D164" s="474" t="s">
        <v>1855</v>
      </c>
      <c r="E164" s="473" t="s">
        <v>330</v>
      </c>
      <c r="F164" s="484">
        <v>810969.59999999998</v>
      </c>
      <c r="G164" s="484">
        <v>0</v>
      </c>
      <c r="H164" s="483">
        <v>0</v>
      </c>
      <c r="I164" s="345" t="str">
        <f t="shared" si="7"/>
        <v>1003</v>
      </c>
      <c r="J164" s="346" t="str">
        <f t="shared" si="8"/>
        <v>06Б01S4970</v>
      </c>
    </row>
    <row r="165" spans="1:10" hidden="1">
      <c r="A165" s="346" t="str">
        <f t="shared" si="6"/>
        <v>602100306Б01S7360322</v>
      </c>
      <c r="B165" s="476">
        <v>602</v>
      </c>
      <c r="C165" s="475">
        <v>1003</v>
      </c>
      <c r="D165" s="474" t="s">
        <v>1192</v>
      </c>
      <c r="E165" s="473" t="s">
        <v>330</v>
      </c>
      <c r="F165" s="484">
        <v>72050.58</v>
      </c>
      <c r="G165" s="484">
        <v>0</v>
      </c>
      <c r="H165" s="483">
        <v>0</v>
      </c>
      <c r="I165" s="345" t="str">
        <f t="shared" si="7"/>
        <v>1003</v>
      </c>
      <c r="J165" s="346" t="str">
        <f t="shared" si="8"/>
        <v>06Б01S7360</v>
      </c>
    </row>
    <row r="166" spans="1:10" hidden="1">
      <c r="A166" s="346" t="str">
        <f t="shared" si="6"/>
        <v>602100306Б01S7520322</v>
      </c>
      <c r="B166" s="476">
        <v>602</v>
      </c>
      <c r="C166" s="475">
        <v>1003</v>
      </c>
      <c r="D166" s="474" t="s">
        <v>1969</v>
      </c>
      <c r="E166" s="473" t="s">
        <v>330</v>
      </c>
      <c r="F166" s="484">
        <v>729872.64</v>
      </c>
      <c r="G166" s="484">
        <v>0</v>
      </c>
      <c r="H166" s="483">
        <v>0</v>
      </c>
      <c r="I166" s="345" t="str">
        <f t="shared" si="7"/>
        <v>1003</v>
      </c>
      <c r="J166" s="346" t="str">
        <f t="shared" si="8"/>
        <v>06Б01S7520</v>
      </c>
    </row>
    <row r="167" spans="1:10" hidden="1">
      <c r="A167" s="346" t="str">
        <f t="shared" si="6"/>
        <v>60401067310010010122</v>
      </c>
      <c r="B167" s="476">
        <v>604</v>
      </c>
      <c r="C167" s="475">
        <v>106</v>
      </c>
      <c r="D167" s="474" t="s">
        <v>1970</v>
      </c>
      <c r="E167" s="473" t="s">
        <v>23</v>
      </c>
      <c r="F167" s="484">
        <v>939558</v>
      </c>
      <c r="G167" s="484">
        <v>0</v>
      </c>
      <c r="H167" s="483">
        <v>0</v>
      </c>
      <c r="I167" s="345" t="str">
        <f t="shared" si="7"/>
        <v>0106</v>
      </c>
      <c r="J167" s="346" t="str">
        <f t="shared" si="8"/>
        <v>7310010010</v>
      </c>
    </row>
    <row r="168" spans="1:10" hidden="1">
      <c r="A168" s="346" t="str">
        <f t="shared" si="6"/>
        <v>60401067310010010129</v>
      </c>
      <c r="B168" s="476">
        <v>604</v>
      </c>
      <c r="C168" s="475">
        <v>106</v>
      </c>
      <c r="D168" s="474" t="s">
        <v>1970</v>
      </c>
      <c r="E168" s="473" t="s">
        <v>27</v>
      </c>
      <c r="F168" s="484">
        <v>271780</v>
      </c>
      <c r="G168" s="484">
        <v>0</v>
      </c>
      <c r="H168" s="483">
        <v>0</v>
      </c>
      <c r="I168" s="345" t="str">
        <f t="shared" si="7"/>
        <v>0106</v>
      </c>
      <c r="J168" s="346" t="str">
        <f t="shared" si="8"/>
        <v>7310010010</v>
      </c>
    </row>
    <row r="169" spans="1:10" hidden="1">
      <c r="A169" s="346" t="str">
        <f t="shared" si="6"/>
        <v>60401067310010010244</v>
      </c>
      <c r="B169" s="476">
        <v>604</v>
      </c>
      <c r="C169" s="475">
        <v>106</v>
      </c>
      <c r="D169" s="474" t="s">
        <v>1970</v>
      </c>
      <c r="E169" s="473" t="s">
        <v>31</v>
      </c>
      <c r="F169" s="484">
        <v>4535340.96</v>
      </c>
      <c r="G169" s="484">
        <v>0</v>
      </c>
      <c r="H169" s="483">
        <v>0</v>
      </c>
      <c r="I169" s="345" t="str">
        <f t="shared" si="7"/>
        <v>0106</v>
      </c>
      <c r="J169" s="346" t="str">
        <f t="shared" si="8"/>
        <v>7310010010</v>
      </c>
    </row>
    <row r="170" spans="1:10" hidden="1">
      <c r="A170" s="346" t="str">
        <f t="shared" si="6"/>
        <v>60401067310010010851</v>
      </c>
      <c r="B170" s="476">
        <v>604</v>
      </c>
      <c r="C170" s="475">
        <v>106</v>
      </c>
      <c r="D170" s="474" t="s">
        <v>1970</v>
      </c>
      <c r="E170" s="473" t="s">
        <v>35</v>
      </c>
      <c r="F170" s="484">
        <v>3463.75</v>
      </c>
      <c r="G170" s="484">
        <v>0</v>
      </c>
      <c r="H170" s="483">
        <v>0</v>
      </c>
      <c r="I170" s="345" t="str">
        <f t="shared" si="7"/>
        <v>0106</v>
      </c>
      <c r="J170" s="346" t="str">
        <f t="shared" si="8"/>
        <v>7310010010</v>
      </c>
    </row>
    <row r="171" spans="1:10" hidden="1">
      <c r="A171" s="346" t="str">
        <f t="shared" si="6"/>
        <v>60401067310010010852</v>
      </c>
      <c r="B171" s="476">
        <v>604</v>
      </c>
      <c r="C171" s="475">
        <v>106</v>
      </c>
      <c r="D171" s="474" t="s">
        <v>1970</v>
      </c>
      <c r="E171" s="473" t="s">
        <v>37</v>
      </c>
      <c r="F171" s="484">
        <v>17006.25</v>
      </c>
      <c r="G171" s="484">
        <v>0</v>
      </c>
      <c r="H171" s="483">
        <v>0</v>
      </c>
      <c r="I171" s="345" t="str">
        <f t="shared" si="7"/>
        <v>0106</v>
      </c>
      <c r="J171" s="346" t="str">
        <f t="shared" si="8"/>
        <v>7310010010</v>
      </c>
    </row>
    <row r="172" spans="1:10" hidden="1">
      <c r="A172" s="346" t="str">
        <f t="shared" si="6"/>
        <v>60401067310010010853</v>
      </c>
      <c r="B172" s="476">
        <v>604</v>
      </c>
      <c r="C172" s="475">
        <v>106</v>
      </c>
      <c r="D172" s="474" t="s">
        <v>1970</v>
      </c>
      <c r="E172" s="473" t="s">
        <v>78</v>
      </c>
      <c r="F172" s="484">
        <v>40000</v>
      </c>
      <c r="G172" s="484">
        <v>0</v>
      </c>
      <c r="H172" s="483">
        <v>0</v>
      </c>
      <c r="I172" s="345" t="str">
        <f t="shared" si="7"/>
        <v>0106</v>
      </c>
      <c r="J172" s="346" t="str">
        <f t="shared" si="8"/>
        <v>7310010010</v>
      </c>
    </row>
    <row r="173" spans="1:10" hidden="1">
      <c r="A173" s="346" t="str">
        <f t="shared" si="6"/>
        <v>60401067310010020121</v>
      </c>
      <c r="B173" s="476">
        <v>604</v>
      </c>
      <c r="C173" s="475">
        <v>106</v>
      </c>
      <c r="D173" s="474" t="s">
        <v>1971</v>
      </c>
      <c r="E173" s="473" t="s">
        <v>41</v>
      </c>
      <c r="F173" s="484">
        <v>30823355.710000001</v>
      </c>
      <c r="G173" s="484">
        <v>0</v>
      </c>
      <c r="H173" s="483">
        <v>0</v>
      </c>
      <c r="I173" s="345" t="str">
        <f t="shared" si="7"/>
        <v>0106</v>
      </c>
      <c r="J173" s="346" t="str">
        <f t="shared" si="8"/>
        <v>7310010020</v>
      </c>
    </row>
    <row r="174" spans="1:10" hidden="1">
      <c r="A174" s="346" t="str">
        <f t="shared" si="6"/>
        <v>60401067310010020129</v>
      </c>
      <c r="B174" s="476">
        <v>604</v>
      </c>
      <c r="C174" s="475">
        <v>106</v>
      </c>
      <c r="D174" s="474" t="s">
        <v>1971</v>
      </c>
      <c r="E174" s="473" t="s">
        <v>27</v>
      </c>
      <c r="F174" s="484">
        <v>9113229.7300000004</v>
      </c>
      <c r="G174" s="484">
        <v>0</v>
      </c>
      <c r="H174" s="483">
        <v>0</v>
      </c>
      <c r="I174" s="345" t="str">
        <f t="shared" si="7"/>
        <v>0106</v>
      </c>
      <c r="J174" s="346" t="str">
        <f t="shared" si="8"/>
        <v>7310010020</v>
      </c>
    </row>
    <row r="175" spans="1:10" hidden="1">
      <c r="A175" s="346" t="str">
        <f t="shared" si="6"/>
        <v>60401067310077460121</v>
      </c>
      <c r="B175" s="476">
        <v>604</v>
      </c>
      <c r="C175" s="475">
        <v>106</v>
      </c>
      <c r="D175" s="474" t="s">
        <v>1972</v>
      </c>
      <c r="E175" s="473" t="s">
        <v>41</v>
      </c>
      <c r="F175" s="484">
        <v>1026084.32</v>
      </c>
      <c r="G175" s="484">
        <v>0</v>
      </c>
      <c r="H175" s="483">
        <v>0</v>
      </c>
      <c r="I175" s="345" t="str">
        <f t="shared" si="7"/>
        <v>0106</v>
      </c>
      <c r="J175" s="346" t="str">
        <f t="shared" si="8"/>
        <v>7310077460</v>
      </c>
    </row>
    <row r="176" spans="1:10" hidden="1">
      <c r="A176" s="346" t="str">
        <f t="shared" si="6"/>
        <v>60401067310077460129</v>
      </c>
      <c r="B176" s="476">
        <v>604</v>
      </c>
      <c r="C176" s="475">
        <v>106</v>
      </c>
      <c r="D176" s="474" t="s">
        <v>1972</v>
      </c>
      <c r="E176" s="473" t="s">
        <v>27</v>
      </c>
      <c r="F176" s="484">
        <v>309877.46999999997</v>
      </c>
      <c r="G176" s="484">
        <v>0</v>
      </c>
      <c r="H176" s="483">
        <v>0</v>
      </c>
      <c r="I176" s="345" t="str">
        <f t="shared" si="7"/>
        <v>0106</v>
      </c>
      <c r="J176" s="346" t="str">
        <f t="shared" si="8"/>
        <v>7310077460</v>
      </c>
    </row>
    <row r="177" spans="1:10" hidden="1">
      <c r="A177" s="346" t="str">
        <f t="shared" si="6"/>
        <v>60401119810020020870</v>
      </c>
      <c r="B177" s="476">
        <v>604</v>
      </c>
      <c r="C177" s="475">
        <v>111</v>
      </c>
      <c r="D177" s="474" t="s">
        <v>1973</v>
      </c>
      <c r="E177" s="473" t="s">
        <v>347</v>
      </c>
      <c r="F177" s="484">
        <v>0</v>
      </c>
      <c r="G177" s="484">
        <v>0</v>
      </c>
      <c r="H177" s="483">
        <v>0</v>
      </c>
      <c r="I177" s="345" t="str">
        <f t="shared" si="7"/>
        <v>0111</v>
      </c>
      <c r="J177" s="346" t="str">
        <f t="shared" si="8"/>
        <v>9810020020</v>
      </c>
    </row>
    <row r="178" spans="1:10" hidden="1">
      <c r="A178" s="346" t="str">
        <f t="shared" si="6"/>
        <v>604011310Б0120050831</v>
      </c>
      <c r="B178" s="476">
        <v>604</v>
      </c>
      <c r="C178" s="475">
        <v>113</v>
      </c>
      <c r="D178" s="474" t="s">
        <v>1195</v>
      </c>
      <c r="E178" s="473" t="s">
        <v>192</v>
      </c>
      <c r="F178" s="484">
        <v>1308795.3</v>
      </c>
      <c r="G178" s="484">
        <v>0</v>
      </c>
      <c r="H178" s="483">
        <v>0</v>
      </c>
      <c r="I178" s="345" t="str">
        <f t="shared" si="7"/>
        <v>0113</v>
      </c>
      <c r="J178" s="346" t="str">
        <f t="shared" si="8"/>
        <v>10Б0120050</v>
      </c>
    </row>
    <row r="179" spans="1:10" hidden="1">
      <c r="A179" s="346" t="str">
        <f t="shared" si="6"/>
        <v>60401137310010050121</v>
      </c>
      <c r="B179" s="476">
        <v>604</v>
      </c>
      <c r="C179" s="475">
        <v>113</v>
      </c>
      <c r="D179" s="474" t="s">
        <v>1974</v>
      </c>
      <c r="E179" s="473" t="s">
        <v>41</v>
      </c>
      <c r="F179" s="484">
        <v>397800</v>
      </c>
      <c r="G179" s="484">
        <v>0</v>
      </c>
      <c r="H179" s="483">
        <v>0</v>
      </c>
      <c r="I179" s="345" t="str">
        <f t="shared" si="7"/>
        <v>0113</v>
      </c>
      <c r="J179" s="346" t="str">
        <f t="shared" si="8"/>
        <v>7310010050</v>
      </c>
    </row>
    <row r="180" spans="1:10" hidden="1">
      <c r="A180" s="346" t="str">
        <f t="shared" si="6"/>
        <v>60401137310010050122</v>
      </c>
      <c r="B180" s="476">
        <v>604</v>
      </c>
      <c r="C180" s="475">
        <v>113</v>
      </c>
      <c r="D180" s="474" t="s">
        <v>1974</v>
      </c>
      <c r="E180" s="473" t="s">
        <v>23</v>
      </c>
      <c r="F180" s="484">
        <v>0</v>
      </c>
      <c r="G180" s="484">
        <v>0</v>
      </c>
      <c r="H180" s="483">
        <v>0</v>
      </c>
      <c r="I180" s="345" t="str">
        <f t="shared" si="7"/>
        <v>0113</v>
      </c>
      <c r="J180" s="346" t="str">
        <f t="shared" si="8"/>
        <v>7310010050</v>
      </c>
    </row>
    <row r="181" spans="1:10" hidden="1">
      <c r="A181" s="346" t="str">
        <f t="shared" si="6"/>
        <v>60401137310010050129</v>
      </c>
      <c r="B181" s="476">
        <v>604</v>
      </c>
      <c r="C181" s="475">
        <v>113</v>
      </c>
      <c r="D181" s="474" t="s">
        <v>1974</v>
      </c>
      <c r="E181" s="473" t="s">
        <v>27</v>
      </c>
      <c r="F181" s="484">
        <v>120135.6</v>
      </c>
      <c r="G181" s="484">
        <v>0</v>
      </c>
      <c r="H181" s="483">
        <v>0</v>
      </c>
      <c r="I181" s="345" t="str">
        <f t="shared" si="7"/>
        <v>0113</v>
      </c>
      <c r="J181" s="346" t="str">
        <f t="shared" si="8"/>
        <v>7310010050</v>
      </c>
    </row>
    <row r="182" spans="1:10" hidden="1">
      <c r="A182" s="346" t="str">
        <f t="shared" si="6"/>
        <v>60401139810010050880</v>
      </c>
      <c r="B182" s="476">
        <v>604</v>
      </c>
      <c r="C182" s="475">
        <v>113</v>
      </c>
      <c r="D182" s="474" t="s">
        <v>1975</v>
      </c>
      <c r="E182" s="473" t="s">
        <v>358</v>
      </c>
      <c r="F182" s="484">
        <v>1780622.58</v>
      </c>
      <c r="G182" s="484">
        <v>0</v>
      </c>
      <c r="H182" s="483">
        <v>0</v>
      </c>
      <c r="I182" s="345" t="str">
        <f t="shared" si="7"/>
        <v>0113</v>
      </c>
      <c r="J182" s="346" t="str">
        <f t="shared" si="8"/>
        <v>9810010050</v>
      </c>
    </row>
    <row r="183" spans="1:10" hidden="1">
      <c r="A183" s="346" t="str">
        <f t="shared" si="6"/>
        <v>60401139810021350244</v>
      </c>
      <c r="B183" s="476">
        <v>604</v>
      </c>
      <c r="C183" s="475">
        <v>113</v>
      </c>
      <c r="D183" s="474" t="s">
        <v>1958</v>
      </c>
      <c r="E183" s="473" t="s">
        <v>31</v>
      </c>
      <c r="F183" s="484">
        <v>500000</v>
      </c>
      <c r="G183" s="484">
        <v>0</v>
      </c>
      <c r="H183" s="483">
        <v>0</v>
      </c>
      <c r="I183" s="345" t="str">
        <f t="shared" si="7"/>
        <v>0113</v>
      </c>
      <c r="J183" s="346" t="str">
        <f t="shared" si="8"/>
        <v>9810021350</v>
      </c>
    </row>
    <row r="184" spans="1:10" hidden="1">
      <c r="A184" s="346" t="str">
        <f t="shared" si="6"/>
        <v>60401139810021440880</v>
      </c>
      <c r="B184" s="476">
        <v>604</v>
      </c>
      <c r="C184" s="475">
        <v>113</v>
      </c>
      <c r="D184" s="474" t="s">
        <v>1976</v>
      </c>
      <c r="E184" s="473" t="s">
        <v>358</v>
      </c>
      <c r="F184" s="484">
        <v>0</v>
      </c>
      <c r="G184" s="484">
        <v>0</v>
      </c>
      <c r="H184" s="483">
        <v>0</v>
      </c>
      <c r="I184" s="345" t="str">
        <f t="shared" si="7"/>
        <v>0113</v>
      </c>
      <c r="J184" s="346" t="str">
        <f t="shared" si="8"/>
        <v>9810021440</v>
      </c>
    </row>
    <row r="185" spans="1:10" hidden="1">
      <c r="A185" s="346" t="str">
        <f t="shared" si="6"/>
        <v>60401139810021520880</v>
      </c>
      <c r="B185" s="476">
        <v>604</v>
      </c>
      <c r="C185" s="475">
        <v>113</v>
      </c>
      <c r="D185" s="474" t="s">
        <v>1977</v>
      </c>
      <c r="E185" s="473" t="s">
        <v>358</v>
      </c>
      <c r="F185" s="484">
        <v>0</v>
      </c>
      <c r="G185" s="484">
        <v>0</v>
      </c>
      <c r="H185" s="483">
        <v>0</v>
      </c>
      <c r="I185" s="345" t="str">
        <f t="shared" si="7"/>
        <v>0113</v>
      </c>
      <c r="J185" s="346" t="str">
        <f t="shared" si="8"/>
        <v>9810021520</v>
      </c>
    </row>
    <row r="186" spans="1:10" hidden="1">
      <c r="A186" s="346" t="str">
        <f t="shared" si="6"/>
        <v>60401139810077580870</v>
      </c>
      <c r="B186" s="476">
        <v>604</v>
      </c>
      <c r="C186" s="475">
        <v>113</v>
      </c>
      <c r="D186" s="474" t="s">
        <v>2336</v>
      </c>
      <c r="E186" s="473" t="s">
        <v>347</v>
      </c>
      <c r="F186" s="484">
        <v>0</v>
      </c>
      <c r="G186" s="484">
        <v>0</v>
      </c>
      <c r="H186" s="483">
        <v>0</v>
      </c>
      <c r="I186" s="345" t="str">
        <f t="shared" si="7"/>
        <v>0113</v>
      </c>
      <c r="J186" s="346" t="str">
        <f t="shared" si="8"/>
        <v>9810077580</v>
      </c>
    </row>
    <row r="187" spans="1:10" hidden="1">
      <c r="A187" s="346" t="str">
        <f t="shared" si="6"/>
        <v>604011398100S6420880</v>
      </c>
      <c r="B187" s="476">
        <v>604</v>
      </c>
      <c r="C187" s="475">
        <v>113</v>
      </c>
      <c r="D187" s="474" t="s">
        <v>2337</v>
      </c>
      <c r="E187" s="473" t="s">
        <v>358</v>
      </c>
      <c r="F187" s="484">
        <v>0</v>
      </c>
      <c r="G187" s="484">
        <v>0</v>
      </c>
      <c r="H187" s="483">
        <v>0</v>
      </c>
      <c r="I187" s="345" t="str">
        <f t="shared" si="7"/>
        <v>0113</v>
      </c>
      <c r="J187" s="346" t="str">
        <f t="shared" si="8"/>
        <v>98100S6420</v>
      </c>
    </row>
    <row r="188" spans="1:10" hidden="1">
      <c r="A188" s="346" t="str">
        <f t="shared" si="6"/>
        <v>604130110Б0220010730</v>
      </c>
      <c r="B188" s="476">
        <v>604</v>
      </c>
      <c r="C188" s="475">
        <v>1301</v>
      </c>
      <c r="D188" s="474" t="s">
        <v>1197</v>
      </c>
      <c r="E188" s="473" t="s">
        <v>370</v>
      </c>
      <c r="F188" s="484">
        <v>93000000</v>
      </c>
      <c r="G188" s="484">
        <v>0</v>
      </c>
      <c r="H188" s="483">
        <v>0</v>
      </c>
      <c r="I188" s="345" t="str">
        <f t="shared" si="7"/>
        <v>1301</v>
      </c>
      <c r="J188" s="346" t="str">
        <f t="shared" si="8"/>
        <v>10Б0220010</v>
      </c>
    </row>
    <row r="189" spans="1:10" hidden="1">
      <c r="A189" s="346" t="str">
        <f t="shared" si="6"/>
        <v>60501131530120660244</v>
      </c>
      <c r="B189" s="476">
        <v>605</v>
      </c>
      <c r="C189" s="475">
        <v>113</v>
      </c>
      <c r="D189" s="474" t="s">
        <v>1978</v>
      </c>
      <c r="E189" s="473" t="s">
        <v>31</v>
      </c>
      <c r="F189" s="484">
        <v>7650</v>
      </c>
      <c r="G189" s="484">
        <v>0</v>
      </c>
      <c r="H189" s="483">
        <v>0</v>
      </c>
      <c r="I189" s="345" t="str">
        <f t="shared" si="7"/>
        <v>0113</v>
      </c>
      <c r="J189" s="346" t="str">
        <f t="shared" si="8"/>
        <v>1530120660</v>
      </c>
    </row>
    <row r="190" spans="1:10" hidden="1">
      <c r="A190" s="346" t="str">
        <f t="shared" si="6"/>
        <v>60501137410010010122</v>
      </c>
      <c r="B190" s="476">
        <v>605</v>
      </c>
      <c r="C190" s="475">
        <v>113</v>
      </c>
      <c r="D190" s="474" t="s">
        <v>1979</v>
      </c>
      <c r="E190" s="473" t="s">
        <v>23</v>
      </c>
      <c r="F190" s="484">
        <v>575928.27</v>
      </c>
      <c r="G190" s="484">
        <v>0</v>
      </c>
      <c r="H190" s="483">
        <v>0</v>
      </c>
      <c r="I190" s="345" t="str">
        <f t="shared" si="7"/>
        <v>0113</v>
      </c>
      <c r="J190" s="346" t="str">
        <f t="shared" si="8"/>
        <v>7410010010</v>
      </c>
    </row>
    <row r="191" spans="1:10" hidden="1">
      <c r="A191" s="346" t="str">
        <f t="shared" si="6"/>
        <v>60501137410010010129</v>
      </c>
      <c r="B191" s="476">
        <v>605</v>
      </c>
      <c r="C191" s="475">
        <v>113</v>
      </c>
      <c r="D191" s="474" t="s">
        <v>1979</v>
      </c>
      <c r="E191" s="473" t="s">
        <v>27</v>
      </c>
      <c r="F191" s="484">
        <v>170597.96</v>
      </c>
      <c r="G191" s="484">
        <v>0</v>
      </c>
      <c r="H191" s="483">
        <v>0</v>
      </c>
      <c r="I191" s="345" t="str">
        <f t="shared" si="7"/>
        <v>0113</v>
      </c>
      <c r="J191" s="346" t="str">
        <f t="shared" si="8"/>
        <v>7410010010</v>
      </c>
    </row>
    <row r="192" spans="1:10" hidden="1">
      <c r="A192" s="346" t="str">
        <f t="shared" si="6"/>
        <v>60501137410010010244</v>
      </c>
      <c r="B192" s="476">
        <v>605</v>
      </c>
      <c r="C192" s="475">
        <v>113</v>
      </c>
      <c r="D192" s="474" t="s">
        <v>1979</v>
      </c>
      <c r="E192" s="473" t="s">
        <v>31</v>
      </c>
      <c r="F192" s="484">
        <v>2593012.59</v>
      </c>
      <c r="G192" s="484">
        <v>0</v>
      </c>
      <c r="H192" s="483">
        <v>0</v>
      </c>
      <c r="I192" s="345" t="str">
        <f t="shared" si="7"/>
        <v>0113</v>
      </c>
      <c r="J192" s="346" t="str">
        <f t="shared" si="8"/>
        <v>7410010010</v>
      </c>
    </row>
    <row r="193" spans="1:10" hidden="1">
      <c r="A193" s="346" t="str">
        <f t="shared" si="6"/>
        <v>60501137410010010851</v>
      </c>
      <c r="B193" s="476">
        <v>605</v>
      </c>
      <c r="C193" s="475">
        <v>113</v>
      </c>
      <c r="D193" s="474" t="s">
        <v>1979</v>
      </c>
      <c r="E193" s="473" t="s">
        <v>35</v>
      </c>
      <c r="F193" s="484">
        <v>0</v>
      </c>
      <c r="G193" s="484">
        <v>0</v>
      </c>
      <c r="H193" s="483">
        <v>0</v>
      </c>
      <c r="I193" s="345" t="str">
        <f t="shared" si="7"/>
        <v>0113</v>
      </c>
      <c r="J193" s="346" t="str">
        <f t="shared" si="8"/>
        <v>7410010010</v>
      </c>
    </row>
    <row r="194" spans="1:10" hidden="1">
      <c r="A194" s="346" t="str">
        <f t="shared" si="6"/>
        <v>60501137410010010852</v>
      </c>
      <c r="B194" s="476">
        <v>605</v>
      </c>
      <c r="C194" s="475">
        <v>113</v>
      </c>
      <c r="D194" s="474" t="s">
        <v>1979</v>
      </c>
      <c r="E194" s="473" t="s">
        <v>37</v>
      </c>
      <c r="F194" s="484">
        <v>12960</v>
      </c>
      <c r="G194" s="484">
        <v>0</v>
      </c>
      <c r="H194" s="483">
        <v>0</v>
      </c>
      <c r="I194" s="345" t="str">
        <f t="shared" si="7"/>
        <v>0113</v>
      </c>
      <c r="J194" s="346" t="str">
        <f t="shared" si="8"/>
        <v>7410010010</v>
      </c>
    </row>
    <row r="195" spans="1:10" hidden="1">
      <c r="A195" s="346" t="str">
        <f t="shared" si="6"/>
        <v>60501137410010010853</v>
      </c>
      <c r="B195" s="476">
        <v>605</v>
      </c>
      <c r="C195" s="475">
        <v>113</v>
      </c>
      <c r="D195" s="474" t="s">
        <v>1979</v>
      </c>
      <c r="E195" s="473" t="s">
        <v>78</v>
      </c>
      <c r="F195" s="484">
        <v>0</v>
      </c>
      <c r="G195" s="484">
        <v>0</v>
      </c>
      <c r="H195" s="483">
        <v>0</v>
      </c>
      <c r="I195" s="345" t="str">
        <f t="shared" si="7"/>
        <v>0113</v>
      </c>
      <c r="J195" s="346" t="str">
        <f t="shared" si="8"/>
        <v>7410010010</v>
      </c>
    </row>
    <row r="196" spans="1:10" hidden="1">
      <c r="A196" s="346" t="str">
        <f t="shared" si="6"/>
        <v>60501137410010020121</v>
      </c>
      <c r="B196" s="476">
        <v>605</v>
      </c>
      <c r="C196" s="475">
        <v>113</v>
      </c>
      <c r="D196" s="474" t="s">
        <v>1980</v>
      </c>
      <c r="E196" s="473" t="s">
        <v>41</v>
      </c>
      <c r="F196" s="484">
        <v>19645176.379999999</v>
      </c>
      <c r="G196" s="484">
        <v>0</v>
      </c>
      <c r="H196" s="483">
        <v>0</v>
      </c>
      <c r="I196" s="345" t="str">
        <f t="shared" si="7"/>
        <v>0113</v>
      </c>
      <c r="J196" s="346" t="str">
        <f t="shared" si="8"/>
        <v>7410010020</v>
      </c>
    </row>
    <row r="197" spans="1:10" hidden="1">
      <c r="A197" s="346" t="str">
        <f t="shared" si="6"/>
        <v>60501137410010020129</v>
      </c>
      <c r="B197" s="476">
        <v>605</v>
      </c>
      <c r="C197" s="475">
        <v>113</v>
      </c>
      <c r="D197" s="474" t="s">
        <v>1980</v>
      </c>
      <c r="E197" s="473" t="s">
        <v>27</v>
      </c>
      <c r="F197" s="484">
        <v>5909496.2699999996</v>
      </c>
      <c r="G197" s="484">
        <v>0</v>
      </c>
      <c r="H197" s="483">
        <v>0</v>
      </c>
      <c r="I197" s="345" t="str">
        <f t="shared" si="7"/>
        <v>0113</v>
      </c>
      <c r="J197" s="346" t="str">
        <f t="shared" si="8"/>
        <v>7410010020</v>
      </c>
    </row>
    <row r="198" spans="1:10" hidden="1">
      <c r="A198" s="346" t="str">
        <f t="shared" si="6"/>
        <v>60501137410010050121</v>
      </c>
      <c r="B198" s="476">
        <v>605</v>
      </c>
      <c r="C198" s="475">
        <v>113</v>
      </c>
      <c r="D198" s="474" t="s">
        <v>1981</v>
      </c>
      <c r="E198" s="473" t="s">
        <v>41</v>
      </c>
      <c r="F198" s="484">
        <v>196520</v>
      </c>
      <c r="G198" s="484">
        <v>0</v>
      </c>
      <c r="H198" s="483">
        <v>0</v>
      </c>
      <c r="I198" s="345" t="str">
        <f t="shared" si="7"/>
        <v>0113</v>
      </c>
      <c r="J198" s="346" t="str">
        <f t="shared" si="8"/>
        <v>7410010050</v>
      </c>
    </row>
    <row r="199" spans="1:10" hidden="1">
      <c r="A199" s="346" t="str">
        <f t="shared" si="6"/>
        <v>60501137410010050129</v>
      </c>
      <c r="B199" s="476">
        <v>605</v>
      </c>
      <c r="C199" s="475">
        <v>113</v>
      </c>
      <c r="D199" s="474" t="s">
        <v>1981</v>
      </c>
      <c r="E199" s="473" t="s">
        <v>27</v>
      </c>
      <c r="F199" s="484">
        <v>59349.04</v>
      </c>
      <c r="G199" s="484">
        <v>0</v>
      </c>
      <c r="H199" s="483">
        <v>0</v>
      </c>
      <c r="I199" s="345" t="str">
        <f t="shared" si="7"/>
        <v>0113</v>
      </c>
      <c r="J199" s="346" t="str">
        <f t="shared" si="8"/>
        <v>7410010050</v>
      </c>
    </row>
    <row r="200" spans="1:10" hidden="1">
      <c r="A200" s="346" t="str">
        <f t="shared" si="6"/>
        <v>60501137410077460121</v>
      </c>
      <c r="B200" s="476">
        <v>605</v>
      </c>
      <c r="C200" s="475">
        <v>113</v>
      </c>
      <c r="D200" s="474" t="s">
        <v>1982</v>
      </c>
      <c r="E200" s="473" t="s">
        <v>41</v>
      </c>
      <c r="F200" s="484">
        <v>638415.92000000004</v>
      </c>
      <c r="G200" s="484">
        <v>0</v>
      </c>
      <c r="H200" s="483">
        <v>0</v>
      </c>
      <c r="I200" s="345" t="str">
        <f t="shared" si="7"/>
        <v>0113</v>
      </c>
      <c r="J200" s="346" t="str">
        <f t="shared" si="8"/>
        <v>7410077460</v>
      </c>
    </row>
    <row r="201" spans="1:10" hidden="1">
      <c r="A201" s="346" t="str">
        <f t="shared" si="6"/>
        <v>60501137410077460129</v>
      </c>
      <c r="B201" s="476">
        <v>605</v>
      </c>
      <c r="C201" s="475">
        <v>113</v>
      </c>
      <c r="D201" s="474" t="s">
        <v>1982</v>
      </c>
      <c r="E201" s="473" t="s">
        <v>27</v>
      </c>
      <c r="F201" s="484">
        <v>192801.61</v>
      </c>
      <c r="G201" s="484">
        <v>0</v>
      </c>
      <c r="H201" s="483">
        <v>0</v>
      </c>
      <c r="I201" s="345" t="str">
        <f t="shared" si="7"/>
        <v>0113</v>
      </c>
      <c r="J201" s="346" t="str">
        <f t="shared" si="8"/>
        <v>7410077460</v>
      </c>
    </row>
    <row r="202" spans="1:10" hidden="1">
      <c r="A202" s="346" t="str">
        <f t="shared" si="6"/>
        <v>60501137410077580121</v>
      </c>
      <c r="B202" s="476">
        <v>605</v>
      </c>
      <c r="C202" s="475">
        <v>113</v>
      </c>
      <c r="D202" s="474" t="s">
        <v>1983</v>
      </c>
      <c r="E202" s="473" t="s">
        <v>41</v>
      </c>
      <c r="F202" s="484">
        <v>39012</v>
      </c>
      <c r="G202" s="484">
        <v>0</v>
      </c>
      <c r="H202" s="483">
        <v>0</v>
      </c>
      <c r="I202" s="345" t="str">
        <f t="shared" si="7"/>
        <v>0113</v>
      </c>
      <c r="J202" s="346" t="str">
        <f t="shared" si="8"/>
        <v>7410077580</v>
      </c>
    </row>
    <row r="203" spans="1:10" hidden="1">
      <c r="A203" s="346" t="str">
        <f t="shared" ref="A203:A266" si="9">B203&amp;I203&amp;J203&amp;E203</f>
        <v>60501137410077580129</v>
      </c>
      <c r="B203" s="476">
        <v>605</v>
      </c>
      <c r="C203" s="475">
        <v>113</v>
      </c>
      <c r="D203" s="474" t="s">
        <v>1983</v>
      </c>
      <c r="E203" s="473" t="s">
        <v>27</v>
      </c>
      <c r="F203" s="484">
        <v>11781.63</v>
      </c>
      <c r="G203" s="484">
        <v>0</v>
      </c>
      <c r="H203" s="483">
        <v>0</v>
      </c>
      <c r="I203" s="345" t="str">
        <f t="shared" ref="I203:I266" si="10">TEXT(C203,"0000")</f>
        <v>0113</v>
      </c>
      <c r="J203" s="346" t="str">
        <f t="shared" ref="J203:J266" si="11">TEXT(D203,"0000000000")</f>
        <v>7410077580</v>
      </c>
    </row>
    <row r="204" spans="1:10" hidden="1">
      <c r="A204" s="346" t="str">
        <f t="shared" si="9"/>
        <v>60508010710120060244</v>
      </c>
      <c r="B204" s="476">
        <v>605</v>
      </c>
      <c r="C204" s="475">
        <v>801</v>
      </c>
      <c r="D204" s="474" t="s">
        <v>1946</v>
      </c>
      <c r="E204" s="473" t="s">
        <v>31</v>
      </c>
      <c r="F204" s="484">
        <v>881440</v>
      </c>
      <c r="G204" s="484">
        <v>0</v>
      </c>
      <c r="H204" s="483">
        <v>0</v>
      </c>
      <c r="I204" s="345" t="str">
        <f t="shared" si="10"/>
        <v>0801</v>
      </c>
      <c r="J204" s="346" t="str">
        <f t="shared" si="11"/>
        <v>0710120060</v>
      </c>
    </row>
    <row r="205" spans="1:10" hidden="1">
      <c r="A205" s="346" t="str">
        <f t="shared" si="9"/>
        <v>60510030320280240811</v>
      </c>
      <c r="B205" s="476">
        <v>605</v>
      </c>
      <c r="C205" s="475">
        <v>1003</v>
      </c>
      <c r="D205" s="474" t="s">
        <v>1984</v>
      </c>
      <c r="E205" s="473" t="s">
        <v>206</v>
      </c>
      <c r="F205" s="484">
        <v>2250227</v>
      </c>
      <c r="G205" s="484">
        <v>0</v>
      </c>
      <c r="H205" s="483">
        <v>0</v>
      </c>
      <c r="I205" s="345" t="str">
        <f t="shared" si="10"/>
        <v>1003</v>
      </c>
      <c r="J205" s="346" t="str">
        <f t="shared" si="11"/>
        <v>0320280240</v>
      </c>
    </row>
    <row r="206" spans="1:10" hidden="1">
      <c r="A206" s="346" t="str">
        <f t="shared" si="9"/>
        <v>60601137510010050121</v>
      </c>
      <c r="B206" s="476">
        <v>606</v>
      </c>
      <c r="C206" s="475">
        <v>113</v>
      </c>
      <c r="D206" s="474" t="s">
        <v>1985</v>
      </c>
      <c r="E206" s="473" t="s">
        <v>41</v>
      </c>
      <c r="F206" s="484">
        <v>105480</v>
      </c>
      <c r="G206" s="484">
        <v>0</v>
      </c>
      <c r="H206" s="483">
        <v>0</v>
      </c>
      <c r="I206" s="345" t="str">
        <f t="shared" si="10"/>
        <v>0113</v>
      </c>
      <c r="J206" s="346" t="str">
        <f t="shared" si="11"/>
        <v>7510010050</v>
      </c>
    </row>
    <row r="207" spans="1:10" hidden="1">
      <c r="A207" s="346" t="str">
        <f t="shared" si="9"/>
        <v>60601137510010050122</v>
      </c>
      <c r="B207" s="476">
        <v>606</v>
      </c>
      <c r="C207" s="475">
        <v>113</v>
      </c>
      <c r="D207" s="474" t="s">
        <v>1985</v>
      </c>
      <c r="E207" s="473" t="s">
        <v>23</v>
      </c>
      <c r="F207" s="484">
        <v>0</v>
      </c>
      <c r="G207" s="484">
        <v>0</v>
      </c>
      <c r="H207" s="483">
        <v>0</v>
      </c>
      <c r="I207" s="345" t="str">
        <f t="shared" si="10"/>
        <v>0113</v>
      </c>
      <c r="J207" s="346" t="str">
        <f t="shared" si="11"/>
        <v>7510010050</v>
      </c>
    </row>
    <row r="208" spans="1:10" hidden="1">
      <c r="A208" s="346" t="str">
        <f t="shared" si="9"/>
        <v>60601137510010050129</v>
      </c>
      <c r="B208" s="476">
        <v>606</v>
      </c>
      <c r="C208" s="475">
        <v>113</v>
      </c>
      <c r="D208" s="474" t="s">
        <v>1985</v>
      </c>
      <c r="E208" s="473" t="s">
        <v>27</v>
      </c>
      <c r="F208" s="484">
        <v>31854.959999999999</v>
      </c>
      <c r="G208" s="484">
        <v>0</v>
      </c>
      <c r="H208" s="483">
        <v>0</v>
      </c>
      <c r="I208" s="345" t="str">
        <f t="shared" si="10"/>
        <v>0113</v>
      </c>
      <c r="J208" s="346" t="str">
        <f t="shared" si="11"/>
        <v>7510010050</v>
      </c>
    </row>
    <row r="209" spans="1:10" hidden="1">
      <c r="A209" s="346" t="str">
        <f t="shared" si="9"/>
        <v>60607010110111010611</v>
      </c>
      <c r="B209" s="476">
        <v>606</v>
      </c>
      <c r="C209" s="475">
        <v>701</v>
      </c>
      <c r="D209" s="474" t="s">
        <v>1986</v>
      </c>
      <c r="E209" s="473" t="s">
        <v>406</v>
      </c>
      <c r="F209" s="484">
        <v>692399964.76999998</v>
      </c>
      <c r="G209" s="484">
        <v>0</v>
      </c>
      <c r="H209" s="483">
        <v>0</v>
      </c>
      <c r="I209" s="345" t="str">
        <f t="shared" si="10"/>
        <v>0701</v>
      </c>
      <c r="J209" s="346" t="str">
        <f t="shared" si="11"/>
        <v>0110111010</v>
      </c>
    </row>
    <row r="210" spans="1:10" hidden="1">
      <c r="A210" s="346" t="str">
        <f t="shared" si="9"/>
        <v>60607010110111010612</v>
      </c>
      <c r="B210" s="476">
        <v>606</v>
      </c>
      <c r="C210" s="475">
        <v>701</v>
      </c>
      <c r="D210" s="474" t="s">
        <v>1986</v>
      </c>
      <c r="E210" s="473" t="s">
        <v>408</v>
      </c>
      <c r="F210" s="484">
        <v>3350078</v>
      </c>
      <c r="G210" s="484">
        <v>0</v>
      </c>
      <c r="H210" s="483">
        <v>0</v>
      </c>
      <c r="I210" s="345" t="str">
        <f t="shared" si="10"/>
        <v>0701</v>
      </c>
      <c r="J210" s="346" t="str">
        <f t="shared" si="11"/>
        <v>0110111010</v>
      </c>
    </row>
    <row r="211" spans="1:10" hidden="1">
      <c r="A211" s="346" t="str">
        <f t="shared" si="9"/>
        <v>60607010110111010621</v>
      </c>
      <c r="B211" s="476">
        <v>606</v>
      </c>
      <c r="C211" s="475">
        <v>701</v>
      </c>
      <c r="D211" s="474" t="s">
        <v>1986</v>
      </c>
      <c r="E211" s="473" t="s">
        <v>412</v>
      </c>
      <c r="F211" s="484">
        <v>32203000.809999999</v>
      </c>
      <c r="G211" s="484">
        <v>0</v>
      </c>
      <c r="H211" s="483">
        <v>0</v>
      </c>
      <c r="I211" s="345" t="str">
        <f t="shared" si="10"/>
        <v>0701</v>
      </c>
      <c r="J211" s="346" t="str">
        <f t="shared" si="11"/>
        <v>0110111010</v>
      </c>
    </row>
    <row r="212" spans="1:10" hidden="1">
      <c r="A212" s="346" t="str">
        <f t="shared" si="9"/>
        <v>60607010110111010622</v>
      </c>
      <c r="B212" s="476">
        <v>606</v>
      </c>
      <c r="C212" s="475">
        <v>701</v>
      </c>
      <c r="D212" s="474" t="s">
        <v>1986</v>
      </c>
      <c r="E212" s="473" t="s">
        <v>429</v>
      </c>
      <c r="F212" s="484">
        <v>350000</v>
      </c>
      <c r="G212" s="484">
        <v>0</v>
      </c>
      <c r="H212" s="483">
        <v>0</v>
      </c>
      <c r="I212" s="345" t="str">
        <f t="shared" si="10"/>
        <v>0701</v>
      </c>
      <c r="J212" s="346" t="str">
        <f t="shared" si="11"/>
        <v>0110111010</v>
      </c>
    </row>
    <row r="213" spans="1:10" hidden="1">
      <c r="A213" s="346" t="str">
        <f t="shared" si="9"/>
        <v>60607010110177170321</v>
      </c>
      <c r="B213" s="476">
        <v>606</v>
      </c>
      <c r="C213" s="475">
        <v>701</v>
      </c>
      <c r="D213" s="474" t="s">
        <v>1987</v>
      </c>
      <c r="E213" s="473" t="s">
        <v>1856</v>
      </c>
      <c r="F213" s="484">
        <v>8237.14</v>
      </c>
      <c r="G213" s="484">
        <v>0</v>
      </c>
      <c r="H213" s="483">
        <v>0</v>
      </c>
      <c r="I213" s="345" t="str">
        <f t="shared" si="10"/>
        <v>0701</v>
      </c>
      <c r="J213" s="346" t="str">
        <f t="shared" si="11"/>
        <v>0110177170</v>
      </c>
    </row>
    <row r="214" spans="1:10" hidden="1">
      <c r="A214" s="346" t="str">
        <f t="shared" si="9"/>
        <v>60607010110177170611</v>
      </c>
      <c r="B214" s="476">
        <v>606</v>
      </c>
      <c r="C214" s="475">
        <v>701</v>
      </c>
      <c r="D214" s="474" t="s">
        <v>1987</v>
      </c>
      <c r="E214" s="473" t="s">
        <v>406</v>
      </c>
      <c r="F214" s="484">
        <v>777240535.86000001</v>
      </c>
      <c r="G214" s="484">
        <v>0</v>
      </c>
      <c r="H214" s="483">
        <v>0</v>
      </c>
      <c r="I214" s="345" t="str">
        <f t="shared" si="10"/>
        <v>0701</v>
      </c>
      <c r="J214" s="346" t="str">
        <f t="shared" si="11"/>
        <v>0110177170</v>
      </c>
    </row>
    <row r="215" spans="1:10" hidden="1">
      <c r="A215" s="346" t="str">
        <f t="shared" si="9"/>
        <v>60607010110177170621</v>
      </c>
      <c r="B215" s="476">
        <v>606</v>
      </c>
      <c r="C215" s="475">
        <v>701</v>
      </c>
      <c r="D215" s="474" t="s">
        <v>1987</v>
      </c>
      <c r="E215" s="473" t="s">
        <v>412</v>
      </c>
      <c r="F215" s="484">
        <v>34124541</v>
      </c>
      <c r="G215" s="484">
        <v>0</v>
      </c>
      <c r="H215" s="483">
        <v>0</v>
      </c>
      <c r="I215" s="345" t="str">
        <f t="shared" si="10"/>
        <v>0701</v>
      </c>
      <c r="J215" s="346" t="str">
        <f t="shared" si="11"/>
        <v>0110177170</v>
      </c>
    </row>
    <row r="216" spans="1:10" hidden="1">
      <c r="A216" s="346" t="str">
        <f t="shared" si="9"/>
        <v>60607010110177170632</v>
      </c>
      <c r="B216" s="476">
        <v>606</v>
      </c>
      <c r="C216" s="475">
        <v>701</v>
      </c>
      <c r="D216" s="474" t="s">
        <v>1987</v>
      </c>
      <c r="E216" s="473" t="s">
        <v>416</v>
      </c>
      <c r="F216" s="484">
        <v>4839903</v>
      </c>
      <c r="G216" s="484">
        <v>0</v>
      </c>
      <c r="H216" s="483">
        <v>0</v>
      </c>
      <c r="I216" s="345" t="str">
        <f t="shared" si="10"/>
        <v>0701</v>
      </c>
      <c r="J216" s="346" t="str">
        <f t="shared" si="11"/>
        <v>0110177170</v>
      </c>
    </row>
    <row r="217" spans="1:10" hidden="1">
      <c r="A217" s="346" t="str">
        <f t="shared" si="9"/>
        <v>60607010110177460611</v>
      </c>
      <c r="B217" s="476">
        <v>606</v>
      </c>
      <c r="C217" s="475">
        <v>701</v>
      </c>
      <c r="D217" s="474" t="s">
        <v>1988</v>
      </c>
      <c r="E217" s="473" t="s">
        <v>406</v>
      </c>
      <c r="F217" s="484">
        <v>12215674.34</v>
      </c>
      <c r="G217" s="484">
        <v>0</v>
      </c>
      <c r="H217" s="483">
        <v>0</v>
      </c>
      <c r="I217" s="345" t="str">
        <f t="shared" si="10"/>
        <v>0701</v>
      </c>
      <c r="J217" s="346" t="str">
        <f t="shared" si="11"/>
        <v>0110177460</v>
      </c>
    </row>
    <row r="218" spans="1:10" hidden="1">
      <c r="A218" s="346" t="str">
        <f t="shared" si="9"/>
        <v>60607010110177460621</v>
      </c>
      <c r="B218" s="476">
        <v>606</v>
      </c>
      <c r="C218" s="475">
        <v>701</v>
      </c>
      <c r="D218" s="474" t="s">
        <v>1988</v>
      </c>
      <c r="E218" s="473" t="s">
        <v>412</v>
      </c>
      <c r="F218" s="484">
        <v>507015</v>
      </c>
      <c r="G218" s="484">
        <v>0</v>
      </c>
      <c r="H218" s="483">
        <v>0</v>
      </c>
      <c r="I218" s="345" t="str">
        <f t="shared" si="10"/>
        <v>0701</v>
      </c>
      <c r="J218" s="346" t="str">
        <f t="shared" si="11"/>
        <v>0110177460</v>
      </c>
    </row>
    <row r="219" spans="1:10" hidden="1">
      <c r="A219" s="346" t="str">
        <f t="shared" si="9"/>
        <v>60607010110177580611</v>
      </c>
      <c r="B219" s="476">
        <v>606</v>
      </c>
      <c r="C219" s="475">
        <v>701</v>
      </c>
      <c r="D219" s="474" t="s">
        <v>1989</v>
      </c>
      <c r="E219" s="473" t="s">
        <v>406</v>
      </c>
      <c r="F219" s="484">
        <v>42600528</v>
      </c>
      <c r="G219" s="484">
        <v>0</v>
      </c>
      <c r="H219" s="483">
        <v>0</v>
      </c>
      <c r="I219" s="345" t="str">
        <f t="shared" si="10"/>
        <v>0701</v>
      </c>
      <c r="J219" s="346" t="str">
        <f t="shared" si="11"/>
        <v>0110177580</v>
      </c>
    </row>
    <row r="220" spans="1:10" hidden="1">
      <c r="A220" s="346" t="str">
        <f t="shared" si="9"/>
        <v>60607010110177580621</v>
      </c>
      <c r="B220" s="476">
        <v>606</v>
      </c>
      <c r="C220" s="475">
        <v>701</v>
      </c>
      <c r="D220" s="474" t="s">
        <v>1989</v>
      </c>
      <c r="E220" s="473" t="s">
        <v>412</v>
      </c>
      <c r="F220" s="484">
        <v>1607774</v>
      </c>
      <c r="G220" s="484">
        <v>0</v>
      </c>
      <c r="H220" s="483">
        <v>0</v>
      </c>
      <c r="I220" s="345" t="str">
        <f t="shared" si="10"/>
        <v>0701</v>
      </c>
      <c r="J220" s="346" t="str">
        <f t="shared" si="11"/>
        <v>0110177580</v>
      </c>
    </row>
    <row r="221" spans="1:10" hidden="1">
      <c r="A221" s="346" t="str">
        <f t="shared" si="9"/>
        <v>60607010110611010612</v>
      </c>
      <c r="B221" s="476">
        <v>606</v>
      </c>
      <c r="C221" s="475">
        <v>701</v>
      </c>
      <c r="D221" s="474" t="s">
        <v>1990</v>
      </c>
      <c r="E221" s="473" t="s">
        <v>408</v>
      </c>
      <c r="F221" s="484">
        <v>33782149.719999999</v>
      </c>
      <c r="G221" s="484">
        <v>0</v>
      </c>
      <c r="H221" s="483">
        <v>0</v>
      </c>
      <c r="I221" s="345" t="str">
        <f t="shared" si="10"/>
        <v>0701</v>
      </c>
      <c r="J221" s="346" t="str">
        <f t="shared" si="11"/>
        <v>0110611010</v>
      </c>
    </row>
    <row r="222" spans="1:10" hidden="1">
      <c r="A222" s="346" t="str">
        <f t="shared" si="9"/>
        <v>60607010110611010622</v>
      </c>
      <c r="B222" s="476">
        <v>606</v>
      </c>
      <c r="C222" s="475">
        <v>701</v>
      </c>
      <c r="D222" s="474" t="s">
        <v>1990</v>
      </c>
      <c r="E222" s="473" t="s">
        <v>429</v>
      </c>
      <c r="F222" s="484">
        <v>100000</v>
      </c>
      <c r="G222" s="484">
        <v>0</v>
      </c>
      <c r="H222" s="483">
        <v>0</v>
      </c>
      <c r="I222" s="345" t="str">
        <f t="shared" si="10"/>
        <v>0701</v>
      </c>
      <c r="J222" s="346" t="str">
        <f t="shared" si="11"/>
        <v>0110611010</v>
      </c>
    </row>
    <row r="223" spans="1:10" hidden="1">
      <c r="A223" s="346" t="str">
        <f t="shared" si="9"/>
        <v>60607011510220350612</v>
      </c>
      <c r="B223" s="476">
        <v>606</v>
      </c>
      <c r="C223" s="475">
        <v>701</v>
      </c>
      <c r="D223" s="474" t="s">
        <v>1929</v>
      </c>
      <c r="E223" s="473" t="s">
        <v>408</v>
      </c>
      <c r="F223" s="484">
        <v>0</v>
      </c>
      <c r="G223" s="484">
        <v>0</v>
      </c>
      <c r="H223" s="483">
        <v>0</v>
      </c>
      <c r="I223" s="345" t="str">
        <f t="shared" si="10"/>
        <v>0701</v>
      </c>
      <c r="J223" s="346" t="str">
        <f t="shared" si="11"/>
        <v>1510220350</v>
      </c>
    </row>
    <row r="224" spans="1:10" hidden="1">
      <c r="A224" s="346" t="str">
        <f t="shared" si="9"/>
        <v>60607011510420350612</v>
      </c>
      <c r="B224" s="476">
        <v>606</v>
      </c>
      <c r="C224" s="475">
        <v>701</v>
      </c>
      <c r="D224" s="474" t="s">
        <v>1949</v>
      </c>
      <c r="E224" s="473" t="s">
        <v>408</v>
      </c>
      <c r="F224" s="484">
        <v>5166917.18</v>
      </c>
      <c r="G224" s="484">
        <v>0</v>
      </c>
      <c r="H224" s="483">
        <v>0</v>
      </c>
      <c r="I224" s="345" t="str">
        <f t="shared" si="10"/>
        <v>0701</v>
      </c>
      <c r="J224" s="346" t="str">
        <f t="shared" si="11"/>
        <v>1510420350</v>
      </c>
    </row>
    <row r="225" spans="1:10" hidden="1">
      <c r="A225" s="346" t="str">
        <f t="shared" si="9"/>
        <v>60607011620220550612</v>
      </c>
      <c r="B225" s="476">
        <v>606</v>
      </c>
      <c r="C225" s="475">
        <v>701</v>
      </c>
      <c r="D225" s="474" t="s">
        <v>1991</v>
      </c>
      <c r="E225" s="473" t="s">
        <v>408</v>
      </c>
      <c r="F225" s="484">
        <v>3969663.64</v>
      </c>
      <c r="G225" s="484">
        <v>0</v>
      </c>
      <c r="H225" s="483">
        <v>0</v>
      </c>
      <c r="I225" s="345" t="str">
        <f t="shared" si="10"/>
        <v>0701</v>
      </c>
      <c r="J225" s="346" t="str">
        <f t="shared" si="11"/>
        <v>1620220550</v>
      </c>
    </row>
    <row r="226" spans="1:10" hidden="1">
      <c r="A226" s="346" t="str">
        <f t="shared" si="9"/>
        <v>60607011620220550622</v>
      </c>
      <c r="B226" s="476">
        <v>606</v>
      </c>
      <c r="C226" s="475">
        <v>701</v>
      </c>
      <c r="D226" s="474" t="s">
        <v>1991</v>
      </c>
      <c r="E226" s="473" t="s">
        <v>429</v>
      </c>
      <c r="F226" s="484">
        <v>133775</v>
      </c>
      <c r="G226" s="484">
        <v>0</v>
      </c>
      <c r="H226" s="483">
        <v>0</v>
      </c>
      <c r="I226" s="345" t="str">
        <f t="shared" si="10"/>
        <v>0701</v>
      </c>
      <c r="J226" s="346" t="str">
        <f t="shared" si="11"/>
        <v>1620220550</v>
      </c>
    </row>
    <row r="227" spans="1:10" hidden="1">
      <c r="A227" s="346" t="str">
        <f t="shared" si="9"/>
        <v>606070117Б0120490612</v>
      </c>
      <c r="B227" s="476">
        <v>606</v>
      </c>
      <c r="C227" s="475">
        <v>701</v>
      </c>
      <c r="D227" s="474" t="s">
        <v>1200</v>
      </c>
      <c r="E227" s="473" t="s">
        <v>408</v>
      </c>
      <c r="F227" s="484">
        <v>422809.53</v>
      </c>
      <c r="G227" s="484">
        <v>0</v>
      </c>
      <c r="H227" s="483">
        <v>0</v>
      </c>
      <c r="I227" s="345" t="str">
        <f t="shared" si="10"/>
        <v>0701</v>
      </c>
      <c r="J227" s="346" t="str">
        <f t="shared" si="11"/>
        <v>17Б0120490</v>
      </c>
    </row>
    <row r="228" spans="1:10" hidden="1">
      <c r="A228" s="346" t="str">
        <f t="shared" si="9"/>
        <v>60607020110211010111</v>
      </c>
      <c r="B228" s="476">
        <v>606</v>
      </c>
      <c r="C228" s="475">
        <v>702</v>
      </c>
      <c r="D228" s="474" t="s">
        <v>1992</v>
      </c>
      <c r="E228" s="473" t="s">
        <v>141</v>
      </c>
      <c r="F228" s="484">
        <v>303678.36</v>
      </c>
      <c r="G228" s="484">
        <v>0</v>
      </c>
      <c r="H228" s="483">
        <v>0</v>
      </c>
      <c r="I228" s="345" t="str">
        <f t="shared" si="10"/>
        <v>0702</v>
      </c>
      <c r="J228" s="346" t="str">
        <f t="shared" si="11"/>
        <v>0110211010</v>
      </c>
    </row>
    <row r="229" spans="1:10" hidden="1">
      <c r="A229" s="346" t="str">
        <f t="shared" si="9"/>
        <v>60607020110211010119</v>
      </c>
      <c r="B229" s="476">
        <v>606</v>
      </c>
      <c r="C229" s="475">
        <v>702</v>
      </c>
      <c r="D229" s="474" t="s">
        <v>1992</v>
      </c>
      <c r="E229" s="473" t="s">
        <v>145</v>
      </c>
      <c r="F229" s="484">
        <v>91710.86</v>
      </c>
      <c r="G229" s="484">
        <v>0</v>
      </c>
      <c r="H229" s="483">
        <v>0</v>
      </c>
      <c r="I229" s="345" t="str">
        <f t="shared" si="10"/>
        <v>0702</v>
      </c>
      <c r="J229" s="346" t="str">
        <f t="shared" si="11"/>
        <v>0110211010</v>
      </c>
    </row>
    <row r="230" spans="1:10" hidden="1">
      <c r="A230" s="346" t="str">
        <f t="shared" si="9"/>
        <v>60607020110211010611</v>
      </c>
      <c r="B230" s="476">
        <v>606</v>
      </c>
      <c r="C230" s="475">
        <v>702</v>
      </c>
      <c r="D230" s="474" t="s">
        <v>1992</v>
      </c>
      <c r="E230" s="473" t="s">
        <v>406</v>
      </c>
      <c r="F230" s="484">
        <v>545546009.55999994</v>
      </c>
      <c r="G230" s="484">
        <v>0</v>
      </c>
      <c r="H230" s="483">
        <v>0</v>
      </c>
      <c r="I230" s="345" t="str">
        <f t="shared" si="10"/>
        <v>0702</v>
      </c>
      <c r="J230" s="346" t="str">
        <f t="shared" si="11"/>
        <v>0110211010</v>
      </c>
    </row>
    <row r="231" spans="1:10" hidden="1">
      <c r="A231" s="346" t="str">
        <f t="shared" si="9"/>
        <v>60607020110211010612</v>
      </c>
      <c r="B231" s="476">
        <v>606</v>
      </c>
      <c r="C231" s="475">
        <v>702</v>
      </c>
      <c r="D231" s="474" t="s">
        <v>1992</v>
      </c>
      <c r="E231" s="473" t="s">
        <v>408</v>
      </c>
      <c r="F231" s="484">
        <v>5485599.3700000001</v>
      </c>
      <c r="G231" s="484">
        <v>0</v>
      </c>
      <c r="H231" s="483">
        <v>0</v>
      </c>
      <c r="I231" s="345" t="str">
        <f t="shared" si="10"/>
        <v>0702</v>
      </c>
      <c r="J231" s="346" t="str">
        <f t="shared" si="11"/>
        <v>0110211010</v>
      </c>
    </row>
    <row r="232" spans="1:10" hidden="1">
      <c r="A232" s="346" t="str">
        <f t="shared" si="9"/>
        <v>60607020110211010621</v>
      </c>
      <c r="B232" s="476">
        <v>606</v>
      </c>
      <c r="C232" s="475">
        <v>702</v>
      </c>
      <c r="D232" s="474" t="s">
        <v>1992</v>
      </c>
      <c r="E232" s="473" t="s">
        <v>412</v>
      </c>
      <c r="F232" s="484">
        <v>41222496.079999998</v>
      </c>
      <c r="G232" s="484">
        <v>0</v>
      </c>
      <c r="H232" s="483">
        <v>0</v>
      </c>
      <c r="I232" s="345" t="str">
        <f t="shared" si="10"/>
        <v>0702</v>
      </c>
      <c r="J232" s="346" t="str">
        <f t="shared" si="11"/>
        <v>0110211010</v>
      </c>
    </row>
    <row r="233" spans="1:10" hidden="1">
      <c r="A233" s="346" t="str">
        <f t="shared" si="9"/>
        <v>60607020110211010622</v>
      </c>
      <c r="B233" s="476">
        <v>606</v>
      </c>
      <c r="C233" s="475">
        <v>702</v>
      </c>
      <c r="D233" s="474" t="s">
        <v>1992</v>
      </c>
      <c r="E233" s="473" t="s">
        <v>429</v>
      </c>
      <c r="F233" s="484">
        <v>1935120</v>
      </c>
      <c r="G233" s="484">
        <v>0</v>
      </c>
      <c r="H233" s="483">
        <v>0</v>
      </c>
      <c r="I233" s="345" t="str">
        <f t="shared" si="10"/>
        <v>0702</v>
      </c>
      <c r="J233" s="346" t="str">
        <f t="shared" si="11"/>
        <v>0110211010</v>
      </c>
    </row>
    <row r="234" spans="1:10" hidden="1">
      <c r="A234" s="346" t="str">
        <f t="shared" si="9"/>
        <v>60607020110211010632</v>
      </c>
      <c r="B234" s="476">
        <v>606</v>
      </c>
      <c r="C234" s="475">
        <v>702</v>
      </c>
      <c r="D234" s="474" t="s">
        <v>1992</v>
      </c>
      <c r="E234" s="473" t="s">
        <v>416</v>
      </c>
      <c r="F234" s="484">
        <v>3446682.4</v>
      </c>
      <c r="G234" s="484">
        <v>0</v>
      </c>
      <c r="H234" s="483">
        <v>0</v>
      </c>
      <c r="I234" s="345" t="str">
        <f t="shared" si="10"/>
        <v>0702</v>
      </c>
      <c r="J234" s="346" t="str">
        <f t="shared" si="11"/>
        <v>0110211010</v>
      </c>
    </row>
    <row r="235" spans="1:10" hidden="1">
      <c r="A235" s="346" t="str">
        <f t="shared" si="9"/>
        <v>60607020110277160111</v>
      </c>
      <c r="B235" s="476">
        <v>606</v>
      </c>
      <c r="C235" s="475">
        <v>702</v>
      </c>
      <c r="D235" s="474" t="s">
        <v>1993</v>
      </c>
      <c r="E235" s="473" t="s">
        <v>141</v>
      </c>
      <c r="F235" s="484">
        <v>2213335.02</v>
      </c>
      <c r="G235" s="484">
        <v>0</v>
      </c>
      <c r="H235" s="483">
        <v>0</v>
      </c>
      <c r="I235" s="345" t="str">
        <f t="shared" si="10"/>
        <v>0702</v>
      </c>
      <c r="J235" s="346" t="str">
        <f t="shared" si="11"/>
        <v>0110277160</v>
      </c>
    </row>
    <row r="236" spans="1:10" hidden="1">
      <c r="A236" s="346" t="str">
        <f t="shared" si="9"/>
        <v>60607020110277160119</v>
      </c>
      <c r="B236" s="476">
        <v>606</v>
      </c>
      <c r="C236" s="475">
        <v>702</v>
      </c>
      <c r="D236" s="474" t="s">
        <v>1993</v>
      </c>
      <c r="E236" s="473" t="s">
        <v>145</v>
      </c>
      <c r="F236" s="484">
        <v>901533.13</v>
      </c>
      <c r="G236" s="484">
        <v>0</v>
      </c>
      <c r="H236" s="483">
        <v>0</v>
      </c>
      <c r="I236" s="345" t="str">
        <f t="shared" si="10"/>
        <v>0702</v>
      </c>
      <c r="J236" s="346" t="str">
        <f t="shared" si="11"/>
        <v>0110277160</v>
      </c>
    </row>
    <row r="237" spans="1:10" hidden="1">
      <c r="A237" s="346" t="str">
        <f t="shared" si="9"/>
        <v>60607020110277160611</v>
      </c>
      <c r="B237" s="476">
        <v>606</v>
      </c>
      <c r="C237" s="475">
        <v>702</v>
      </c>
      <c r="D237" s="474" t="s">
        <v>1993</v>
      </c>
      <c r="E237" s="473" t="s">
        <v>406</v>
      </c>
      <c r="F237" s="484">
        <v>1047135573.72</v>
      </c>
      <c r="G237" s="484">
        <v>0</v>
      </c>
      <c r="H237" s="483">
        <v>0</v>
      </c>
      <c r="I237" s="345" t="str">
        <f t="shared" si="10"/>
        <v>0702</v>
      </c>
      <c r="J237" s="346" t="str">
        <f t="shared" si="11"/>
        <v>0110277160</v>
      </c>
    </row>
    <row r="238" spans="1:10" hidden="1">
      <c r="A238" s="346" t="str">
        <f t="shared" si="9"/>
        <v>60607020110277160621</v>
      </c>
      <c r="B238" s="476">
        <v>606</v>
      </c>
      <c r="C238" s="475">
        <v>702</v>
      </c>
      <c r="D238" s="474" t="s">
        <v>1993</v>
      </c>
      <c r="E238" s="473" t="s">
        <v>412</v>
      </c>
      <c r="F238" s="484">
        <v>102714569.13</v>
      </c>
      <c r="G238" s="484">
        <v>0</v>
      </c>
      <c r="H238" s="483">
        <v>0</v>
      </c>
      <c r="I238" s="345" t="str">
        <f t="shared" si="10"/>
        <v>0702</v>
      </c>
      <c r="J238" s="346" t="str">
        <f t="shared" si="11"/>
        <v>0110277160</v>
      </c>
    </row>
    <row r="239" spans="1:10" hidden="1">
      <c r="A239" s="346" t="str">
        <f t="shared" si="9"/>
        <v>60607020110277160632</v>
      </c>
      <c r="B239" s="476">
        <v>606</v>
      </c>
      <c r="C239" s="475">
        <v>702</v>
      </c>
      <c r="D239" s="474" t="s">
        <v>1993</v>
      </c>
      <c r="E239" s="473" t="s">
        <v>416</v>
      </c>
      <c r="F239" s="484">
        <v>4530854</v>
      </c>
      <c r="G239" s="484">
        <v>0</v>
      </c>
      <c r="H239" s="483">
        <v>0</v>
      </c>
      <c r="I239" s="345" t="str">
        <f t="shared" si="10"/>
        <v>0702</v>
      </c>
      <c r="J239" s="346" t="str">
        <f t="shared" si="11"/>
        <v>0110277160</v>
      </c>
    </row>
    <row r="240" spans="1:10" hidden="1">
      <c r="A240" s="346" t="str">
        <f t="shared" si="9"/>
        <v>60607020110277460611</v>
      </c>
      <c r="B240" s="476">
        <v>606</v>
      </c>
      <c r="C240" s="475">
        <v>702</v>
      </c>
      <c r="D240" s="474" t="s">
        <v>1994</v>
      </c>
      <c r="E240" s="473" t="s">
        <v>406</v>
      </c>
      <c r="F240" s="484">
        <v>6991675.3899999997</v>
      </c>
      <c r="G240" s="484">
        <v>0</v>
      </c>
      <c r="H240" s="483">
        <v>0</v>
      </c>
      <c r="I240" s="345" t="str">
        <f t="shared" si="10"/>
        <v>0702</v>
      </c>
      <c r="J240" s="346" t="str">
        <f t="shared" si="11"/>
        <v>0110277460</v>
      </c>
    </row>
    <row r="241" spans="1:10" hidden="1">
      <c r="A241" s="346" t="str">
        <f t="shared" si="9"/>
        <v>60607020110277460621</v>
      </c>
      <c r="B241" s="476">
        <v>606</v>
      </c>
      <c r="C241" s="475">
        <v>702</v>
      </c>
      <c r="D241" s="474" t="s">
        <v>1994</v>
      </c>
      <c r="E241" s="473" t="s">
        <v>412</v>
      </c>
      <c r="F241" s="484">
        <v>764774.02</v>
      </c>
      <c r="G241" s="484">
        <v>0</v>
      </c>
      <c r="H241" s="483">
        <v>0</v>
      </c>
      <c r="I241" s="345" t="str">
        <f t="shared" si="10"/>
        <v>0702</v>
      </c>
      <c r="J241" s="346" t="str">
        <f t="shared" si="11"/>
        <v>0110277460</v>
      </c>
    </row>
    <row r="242" spans="1:10" hidden="1">
      <c r="A242" s="346" t="str">
        <f t="shared" si="9"/>
        <v>60607020110277580611</v>
      </c>
      <c r="B242" s="476">
        <v>606</v>
      </c>
      <c r="C242" s="475">
        <v>702</v>
      </c>
      <c r="D242" s="474" t="s">
        <v>1995</v>
      </c>
      <c r="E242" s="473" t="s">
        <v>406</v>
      </c>
      <c r="F242" s="484">
        <v>37726129.57</v>
      </c>
      <c r="G242" s="484">
        <v>0</v>
      </c>
      <c r="H242" s="483">
        <v>0</v>
      </c>
      <c r="I242" s="345" t="str">
        <f t="shared" si="10"/>
        <v>0702</v>
      </c>
      <c r="J242" s="346" t="str">
        <f t="shared" si="11"/>
        <v>0110277580</v>
      </c>
    </row>
    <row r="243" spans="1:10" hidden="1">
      <c r="A243" s="346" t="str">
        <f t="shared" si="9"/>
        <v>60607020110277580621</v>
      </c>
      <c r="B243" s="476">
        <v>606</v>
      </c>
      <c r="C243" s="475">
        <v>702</v>
      </c>
      <c r="D243" s="474" t="s">
        <v>1995</v>
      </c>
      <c r="E243" s="473" t="s">
        <v>412</v>
      </c>
      <c r="F243" s="484">
        <v>3195540</v>
      </c>
      <c r="G243" s="484">
        <v>0</v>
      </c>
      <c r="H243" s="483">
        <v>0</v>
      </c>
      <c r="I243" s="345" t="str">
        <f t="shared" si="10"/>
        <v>0702</v>
      </c>
      <c r="J243" s="346" t="str">
        <f t="shared" si="11"/>
        <v>0110277580</v>
      </c>
    </row>
    <row r="244" spans="1:10" hidden="1">
      <c r="A244" s="346" t="str">
        <f t="shared" si="9"/>
        <v>60607020110611010612</v>
      </c>
      <c r="B244" s="476">
        <v>606</v>
      </c>
      <c r="C244" s="475">
        <v>702</v>
      </c>
      <c r="D244" s="474" t="s">
        <v>1990</v>
      </c>
      <c r="E244" s="473" t="s">
        <v>408</v>
      </c>
      <c r="F244" s="484">
        <v>51244357.82</v>
      </c>
      <c r="G244" s="484">
        <v>0</v>
      </c>
      <c r="H244" s="483">
        <v>0</v>
      </c>
      <c r="I244" s="345" t="str">
        <f t="shared" si="10"/>
        <v>0702</v>
      </c>
      <c r="J244" s="346" t="str">
        <f t="shared" si="11"/>
        <v>0110611010</v>
      </c>
    </row>
    <row r="245" spans="1:10" hidden="1">
      <c r="A245" s="346" t="str">
        <f t="shared" si="9"/>
        <v>60607020110611010622</v>
      </c>
      <c r="B245" s="476">
        <v>606</v>
      </c>
      <c r="C245" s="475">
        <v>702</v>
      </c>
      <c r="D245" s="474" t="s">
        <v>1990</v>
      </c>
      <c r="E245" s="473" t="s">
        <v>429</v>
      </c>
      <c r="F245" s="484">
        <v>14468190.939999999</v>
      </c>
      <c r="G245" s="484">
        <v>0</v>
      </c>
      <c r="H245" s="483">
        <v>0</v>
      </c>
      <c r="I245" s="345" t="str">
        <f t="shared" si="10"/>
        <v>0702</v>
      </c>
      <c r="J245" s="346" t="str">
        <f t="shared" si="11"/>
        <v>0110611010</v>
      </c>
    </row>
    <row r="246" spans="1:10" hidden="1">
      <c r="A246" s="346" t="str">
        <f t="shared" si="9"/>
        <v>60607020110677300612</v>
      </c>
      <c r="B246" s="476">
        <v>606</v>
      </c>
      <c r="C246" s="475">
        <v>702</v>
      </c>
      <c r="D246" s="474" t="s">
        <v>1996</v>
      </c>
      <c r="E246" s="473" t="s">
        <v>408</v>
      </c>
      <c r="F246" s="484">
        <v>8797170.0500000007</v>
      </c>
      <c r="G246" s="484">
        <v>0</v>
      </c>
      <c r="H246" s="483">
        <v>0</v>
      </c>
      <c r="I246" s="345" t="str">
        <f t="shared" si="10"/>
        <v>0702</v>
      </c>
      <c r="J246" s="346" t="str">
        <f t="shared" si="11"/>
        <v>0110677300</v>
      </c>
    </row>
    <row r="247" spans="1:10" hidden="1">
      <c r="A247" s="346" t="str">
        <f t="shared" si="9"/>
        <v>606070201106S6690622</v>
      </c>
      <c r="B247" s="476">
        <v>606</v>
      </c>
      <c r="C247" s="475">
        <v>702</v>
      </c>
      <c r="D247" s="474" t="s">
        <v>1206</v>
      </c>
      <c r="E247" s="473" t="s">
        <v>429</v>
      </c>
      <c r="F247" s="484">
        <v>2182427.21</v>
      </c>
      <c r="G247" s="484">
        <v>0</v>
      </c>
      <c r="H247" s="483">
        <v>0</v>
      </c>
      <c r="I247" s="345" t="str">
        <f t="shared" si="10"/>
        <v>0702</v>
      </c>
      <c r="J247" s="346" t="str">
        <f t="shared" si="11"/>
        <v>01106S6690</v>
      </c>
    </row>
    <row r="248" spans="1:10" hidden="1">
      <c r="A248" s="346" t="str">
        <f t="shared" si="9"/>
        <v>606070201106S7300612</v>
      </c>
      <c r="B248" s="476">
        <v>606</v>
      </c>
      <c r="C248" s="475">
        <v>702</v>
      </c>
      <c r="D248" s="474" t="s">
        <v>1203</v>
      </c>
      <c r="E248" s="473" t="s">
        <v>408</v>
      </c>
      <c r="F248" s="484">
        <v>10782217.93</v>
      </c>
      <c r="G248" s="484">
        <v>0</v>
      </c>
      <c r="H248" s="483">
        <v>0</v>
      </c>
      <c r="I248" s="345" t="str">
        <f t="shared" si="10"/>
        <v>0702</v>
      </c>
      <c r="J248" s="346" t="str">
        <f t="shared" si="11"/>
        <v>01106S7300</v>
      </c>
    </row>
    <row r="249" spans="1:10" hidden="1">
      <c r="A249" s="346" t="str">
        <f t="shared" si="9"/>
        <v>60607020120140010465</v>
      </c>
      <c r="B249" s="476">
        <v>606</v>
      </c>
      <c r="C249" s="475">
        <v>702</v>
      </c>
      <c r="D249" s="474" t="s">
        <v>1997</v>
      </c>
      <c r="E249" s="473" t="s">
        <v>453</v>
      </c>
      <c r="F249" s="484">
        <v>0</v>
      </c>
      <c r="G249" s="484">
        <v>0</v>
      </c>
      <c r="H249" s="483">
        <v>0</v>
      </c>
      <c r="I249" s="345" t="str">
        <f t="shared" si="10"/>
        <v>0702</v>
      </c>
      <c r="J249" s="346" t="str">
        <f t="shared" si="11"/>
        <v>0120140010</v>
      </c>
    </row>
    <row r="250" spans="1:10" hidden="1">
      <c r="A250" s="346" t="str">
        <f t="shared" si="9"/>
        <v>60607021510220350612</v>
      </c>
      <c r="B250" s="476">
        <v>606</v>
      </c>
      <c r="C250" s="475">
        <v>702</v>
      </c>
      <c r="D250" s="474" t="s">
        <v>1929</v>
      </c>
      <c r="E250" s="473" t="s">
        <v>408</v>
      </c>
      <c r="F250" s="484">
        <v>0</v>
      </c>
      <c r="G250" s="484">
        <v>0</v>
      </c>
      <c r="H250" s="483">
        <v>0</v>
      </c>
      <c r="I250" s="345" t="str">
        <f t="shared" si="10"/>
        <v>0702</v>
      </c>
      <c r="J250" s="346" t="str">
        <f t="shared" si="11"/>
        <v>1510220350</v>
      </c>
    </row>
    <row r="251" spans="1:10" hidden="1">
      <c r="A251" s="346" t="str">
        <f t="shared" si="9"/>
        <v>60607021510420350612</v>
      </c>
      <c r="B251" s="476">
        <v>606</v>
      </c>
      <c r="C251" s="475">
        <v>702</v>
      </c>
      <c r="D251" s="474" t="s">
        <v>1949</v>
      </c>
      <c r="E251" s="473" t="s">
        <v>408</v>
      </c>
      <c r="F251" s="484">
        <v>10083066</v>
      </c>
      <c r="G251" s="484">
        <v>0</v>
      </c>
      <c r="H251" s="483">
        <v>0</v>
      </c>
      <c r="I251" s="345" t="str">
        <f t="shared" si="10"/>
        <v>0702</v>
      </c>
      <c r="J251" s="346" t="str">
        <f t="shared" si="11"/>
        <v>1510420350</v>
      </c>
    </row>
    <row r="252" spans="1:10" hidden="1">
      <c r="A252" s="346" t="str">
        <f t="shared" si="9"/>
        <v>60607021520220370612</v>
      </c>
      <c r="B252" s="476">
        <v>606</v>
      </c>
      <c r="C252" s="475">
        <v>702</v>
      </c>
      <c r="D252" s="474" t="s">
        <v>1932</v>
      </c>
      <c r="E252" s="473" t="s">
        <v>408</v>
      </c>
      <c r="F252" s="484">
        <v>223816.66</v>
      </c>
      <c r="G252" s="484">
        <v>0</v>
      </c>
      <c r="H252" s="483">
        <v>0</v>
      </c>
      <c r="I252" s="345" t="str">
        <f t="shared" si="10"/>
        <v>0702</v>
      </c>
      <c r="J252" s="346" t="str">
        <f t="shared" si="11"/>
        <v>1520220370</v>
      </c>
    </row>
    <row r="253" spans="1:10" hidden="1">
      <c r="A253" s="346" t="str">
        <f t="shared" si="9"/>
        <v>60607021530120660612</v>
      </c>
      <c r="B253" s="476">
        <v>606</v>
      </c>
      <c r="C253" s="475">
        <v>702</v>
      </c>
      <c r="D253" s="474" t="s">
        <v>1978</v>
      </c>
      <c r="E253" s="473" t="s">
        <v>408</v>
      </c>
      <c r="F253" s="484">
        <v>1581229.52</v>
      </c>
      <c r="G253" s="484">
        <v>0</v>
      </c>
      <c r="H253" s="483">
        <v>0</v>
      </c>
      <c r="I253" s="345" t="str">
        <f t="shared" si="10"/>
        <v>0702</v>
      </c>
      <c r="J253" s="346" t="str">
        <f t="shared" si="11"/>
        <v>1530120660</v>
      </c>
    </row>
    <row r="254" spans="1:10" hidden="1">
      <c r="A254" s="346" t="str">
        <f t="shared" si="9"/>
        <v>60607021530120660622</v>
      </c>
      <c r="B254" s="476">
        <v>606</v>
      </c>
      <c r="C254" s="475">
        <v>702</v>
      </c>
      <c r="D254" s="474" t="s">
        <v>1978</v>
      </c>
      <c r="E254" s="473" t="s">
        <v>429</v>
      </c>
      <c r="F254" s="484">
        <v>90888.84</v>
      </c>
      <c r="G254" s="484">
        <v>0</v>
      </c>
      <c r="H254" s="483">
        <v>0</v>
      </c>
      <c r="I254" s="345" t="str">
        <f t="shared" si="10"/>
        <v>0702</v>
      </c>
      <c r="J254" s="346" t="str">
        <f t="shared" si="11"/>
        <v>1530120660</v>
      </c>
    </row>
    <row r="255" spans="1:10" hidden="1">
      <c r="A255" s="346" t="str">
        <f t="shared" si="9"/>
        <v>60607021620220550612</v>
      </c>
      <c r="B255" s="476">
        <v>606</v>
      </c>
      <c r="C255" s="475">
        <v>702</v>
      </c>
      <c r="D255" s="474" t="s">
        <v>1991</v>
      </c>
      <c r="E255" s="473" t="s">
        <v>408</v>
      </c>
      <c r="F255" s="484">
        <v>5350926.29</v>
      </c>
      <c r="G255" s="484">
        <v>0</v>
      </c>
      <c r="H255" s="483">
        <v>0</v>
      </c>
      <c r="I255" s="345" t="str">
        <f t="shared" si="10"/>
        <v>0702</v>
      </c>
      <c r="J255" s="346" t="str">
        <f t="shared" si="11"/>
        <v>1620220550</v>
      </c>
    </row>
    <row r="256" spans="1:10" hidden="1">
      <c r="A256" s="346" t="str">
        <f t="shared" si="9"/>
        <v>60607021620220550622</v>
      </c>
      <c r="B256" s="476">
        <v>606</v>
      </c>
      <c r="C256" s="475">
        <v>702</v>
      </c>
      <c r="D256" s="474" t="s">
        <v>1991</v>
      </c>
      <c r="E256" s="473" t="s">
        <v>429</v>
      </c>
      <c r="F256" s="484">
        <v>619670</v>
      </c>
      <c r="G256" s="484">
        <v>0</v>
      </c>
      <c r="H256" s="483">
        <v>0</v>
      </c>
      <c r="I256" s="345" t="str">
        <f t="shared" si="10"/>
        <v>0702</v>
      </c>
      <c r="J256" s="346" t="str">
        <f t="shared" si="11"/>
        <v>1620220550</v>
      </c>
    </row>
    <row r="257" spans="1:10" hidden="1">
      <c r="A257" s="346" t="str">
        <f t="shared" si="9"/>
        <v>606070217Б0120490612</v>
      </c>
      <c r="B257" s="476">
        <v>606</v>
      </c>
      <c r="C257" s="475">
        <v>702</v>
      </c>
      <c r="D257" s="474" t="s">
        <v>1200</v>
      </c>
      <c r="E257" s="473" t="s">
        <v>408</v>
      </c>
      <c r="F257" s="484">
        <v>4021319.56</v>
      </c>
      <c r="G257" s="484">
        <v>0</v>
      </c>
      <c r="H257" s="483">
        <v>0</v>
      </c>
      <c r="I257" s="345" t="str">
        <f t="shared" si="10"/>
        <v>0702</v>
      </c>
      <c r="J257" s="346" t="str">
        <f t="shared" si="11"/>
        <v>17Б0120490</v>
      </c>
    </row>
    <row r="258" spans="1:10" hidden="1">
      <c r="A258" s="346" t="str">
        <f t="shared" si="9"/>
        <v>606070217Б0120490622</v>
      </c>
      <c r="B258" s="476">
        <v>606</v>
      </c>
      <c r="C258" s="475">
        <v>702</v>
      </c>
      <c r="D258" s="474" t="s">
        <v>1200</v>
      </c>
      <c r="E258" s="473" t="s">
        <v>429</v>
      </c>
      <c r="F258" s="484">
        <v>633610.91</v>
      </c>
      <c r="G258" s="484">
        <v>0</v>
      </c>
      <c r="H258" s="483">
        <v>0</v>
      </c>
      <c r="I258" s="345" t="str">
        <f t="shared" si="10"/>
        <v>0702</v>
      </c>
      <c r="J258" s="346" t="str">
        <f t="shared" si="11"/>
        <v>17Б0120490</v>
      </c>
    </row>
    <row r="259" spans="1:10" hidden="1">
      <c r="A259" s="346" t="str">
        <f t="shared" si="9"/>
        <v>606070218Б0220360612</v>
      </c>
      <c r="B259" s="476">
        <v>606</v>
      </c>
      <c r="C259" s="475">
        <v>702</v>
      </c>
      <c r="D259" s="474" t="s">
        <v>1205</v>
      </c>
      <c r="E259" s="473" t="s">
        <v>408</v>
      </c>
      <c r="F259" s="484">
        <v>91800</v>
      </c>
      <c r="G259" s="484">
        <v>0</v>
      </c>
      <c r="H259" s="483">
        <v>0</v>
      </c>
      <c r="I259" s="345" t="str">
        <f t="shared" si="10"/>
        <v>0702</v>
      </c>
      <c r="J259" s="346" t="str">
        <f t="shared" si="11"/>
        <v>18Б0220360</v>
      </c>
    </row>
    <row r="260" spans="1:10" hidden="1">
      <c r="A260" s="346" t="str">
        <f t="shared" si="9"/>
        <v>60607029810076900612</v>
      </c>
      <c r="B260" s="476">
        <v>606</v>
      </c>
      <c r="C260" s="475">
        <v>702</v>
      </c>
      <c r="D260" s="474" t="s">
        <v>2338</v>
      </c>
      <c r="E260" s="473" t="s">
        <v>408</v>
      </c>
      <c r="F260" s="484">
        <v>10231000</v>
      </c>
      <c r="G260" s="484">
        <v>0</v>
      </c>
      <c r="H260" s="483">
        <v>0</v>
      </c>
      <c r="I260" s="345" t="str">
        <f t="shared" si="10"/>
        <v>0702</v>
      </c>
      <c r="J260" s="346" t="str">
        <f t="shared" si="11"/>
        <v>9810076900</v>
      </c>
    </row>
    <row r="261" spans="1:10" hidden="1">
      <c r="A261" s="346" t="str">
        <f t="shared" si="9"/>
        <v>60607029810076900622</v>
      </c>
      <c r="B261" s="476">
        <v>606</v>
      </c>
      <c r="C261" s="475">
        <v>702</v>
      </c>
      <c r="D261" s="474" t="s">
        <v>2338</v>
      </c>
      <c r="E261" s="473" t="s">
        <v>429</v>
      </c>
      <c r="F261" s="484">
        <v>802500</v>
      </c>
      <c r="G261" s="484">
        <v>0</v>
      </c>
      <c r="H261" s="483">
        <v>0</v>
      </c>
      <c r="I261" s="345" t="str">
        <f t="shared" si="10"/>
        <v>0702</v>
      </c>
      <c r="J261" s="346" t="str">
        <f t="shared" si="11"/>
        <v>9810076900</v>
      </c>
    </row>
    <row r="262" spans="1:10" hidden="1">
      <c r="A262" s="346" t="str">
        <f t="shared" si="9"/>
        <v>60607030110311010611</v>
      </c>
      <c r="B262" s="476">
        <v>606</v>
      </c>
      <c r="C262" s="475">
        <v>703</v>
      </c>
      <c r="D262" s="474" t="s">
        <v>1998</v>
      </c>
      <c r="E262" s="473" t="s">
        <v>406</v>
      </c>
      <c r="F262" s="484">
        <v>127151673.81999999</v>
      </c>
      <c r="G262" s="484">
        <v>0</v>
      </c>
      <c r="H262" s="483">
        <v>0</v>
      </c>
      <c r="I262" s="345" t="str">
        <f t="shared" si="10"/>
        <v>0703</v>
      </c>
      <c r="J262" s="346" t="str">
        <f t="shared" si="11"/>
        <v>0110311010</v>
      </c>
    </row>
    <row r="263" spans="1:10" hidden="1">
      <c r="A263" s="346" t="str">
        <f t="shared" si="9"/>
        <v>60607030110311010621</v>
      </c>
      <c r="B263" s="476">
        <v>606</v>
      </c>
      <c r="C263" s="475">
        <v>703</v>
      </c>
      <c r="D263" s="474" t="s">
        <v>1998</v>
      </c>
      <c r="E263" s="473" t="s">
        <v>412</v>
      </c>
      <c r="F263" s="484">
        <v>74975389.640000001</v>
      </c>
      <c r="G263" s="484">
        <v>0</v>
      </c>
      <c r="H263" s="483">
        <v>0</v>
      </c>
      <c r="I263" s="345" t="str">
        <f t="shared" si="10"/>
        <v>0703</v>
      </c>
      <c r="J263" s="346" t="str">
        <f t="shared" si="11"/>
        <v>0110311010</v>
      </c>
    </row>
    <row r="264" spans="1:10" hidden="1">
      <c r="A264" s="346" t="str">
        <f t="shared" si="9"/>
        <v>60607030110311010622</v>
      </c>
      <c r="B264" s="476">
        <v>606</v>
      </c>
      <c r="C264" s="475">
        <v>703</v>
      </c>
      <c r="D264" s="474" t="s">
        <v>1998</v>
      </c>
      <c r="E264" s="473" t="s">
        <v>429</v>
      </c>
      <c r="F264" s="484">
        <v>611000</v>
      </c>
      <c r="G264" s="484">
        <v>0</v>
      </c>
      <c r="H264" s="483">
        <v>0</v>
      </c>
      <c r="I264" s="345" t="str">
        <f t="shared" si="10"/>
        <v>0703</v>
      </c>
      <c r="J264" s="346" t="str">
        <f t="shared" si="11"/>
        <v>0110311010</v>
      </c>
    </row>
    <row r="265" spans="1:10" hidden="1">
      <c r="A265" s="346" t="str">
        <f t="shared" si="9"/>
        <v>60607030110377080611</v>
      </c>
      <c r="B265" s="476">
        <v>606</v>
      </c>
      <c r="C265" s="475">
        <v>703</v>
      </c>
      <c r="D265" s="474" t="s">
        <v>2339</v>
      </c>
      <c r="E265" s="473" t="s">
        <v>406</v>
      </c>
      <c r="F265" s="484">
        <v>1349760.92</v>
      </c>
      <c r="G265" s="484">
        <v>0</v>
      </c>
      <c r="H265" s="483">
        <v>0</v>
      </c>
      <c r="I265" s="345" t="str">
        <f t="shared" si="10"/>
        <v>0703</v>
      </c>
      <c r="J265" s="346" t="str">
        <f t="shared" si="11"/>
        <v>0110377080</v>
      </c>
    </row>
    <row r="266" spans="1:10" hidden="1">
      <c r="A266" s="346" t="str">
        <f t="shared" si="9"/>
        <v>60607030110377080621</v>
      </c>
      <c r="B266" s="476">
        <v>606</v>
      </c>
      <c r="C266" s="475">
        <v>703</v>
      </c>
      <c r="D266" s="474" t="s">
        <v>2339</v>
      </c>
      <c r="E266" s="473" t="s">
        <v>412</v>
      </c>
      <c r="F266" s="484">
        <v>3124799.08</v>
      </c>
      <c r="G266" s="484">
        <v>0</v>
      </c>
      <c r="H266" s="483">
        <v>0</v>
      </c>
      <c r="I266" s="345" t="str">
        <f t="shared" si="10"/>
        <v>0703</v>
      </c>
      <c r="J266" s="346" t="str">
        <f t="shared" si="11"/>
        <v>0110377080</v>
      </c>
    </row>
    <row r="267" spans="1:10" hidden="1">
      <c r="A267" s="346" t="str">
        <f t="shared" ref="A267:A330" si="12">B267&amp;I267&amp;J267&amp;E267</f>
        <v>60607030110377460611</v>
      </c>
      <c r="B267" s="476">
        <v>606</v>
      </c>
      <c r="C267" s="475">
        <v>703</v>
      </c>
      <c r="D267" s="474" t="s">
        <v>1999</v>
      </c>
      <c r="E267" s="473" t="s">
        <v>406</v>
      </c>
      <c r="F267" s="484">
        <v>1257782.51</v>
      </c>
      <c r="G267" s="484">
        <v>0</v>
      </c>
      <c r="H267" s="483">
        <v>0</v>
      </c>
      <c r="I267" s="345" t="str">
        <f t="shared" ref="I267:I330" si="13">TEXT(C267,"0000")</f>
        <v>0703</v>
      </c>
      <c r="J267" s="346" t="str">
        <f t="shared" ref="J267:J330" si="14">TEXT(D267,"0000000000")</f>
        <v>0110377460</v>
      </c>
    </row>
    <row r="268" spans="1:10" hidden="1">
      <c r="A268" s="346" t="str">
        <f t="shared" si="12"/>
        <v>60607030110377460621</v>
      </c>
      <c r="B268" s="476">
        <v>606</v>
      </c>
      <c r="C268" s="475">
        <v>703</v>
      </c>
      <c r="D268" s="474" t="s">
        <v>1999</v>
      </c>
      <c r="E268" s="473" t="s">
        <v>412</v>
      </c>
      <c r="F268" s="484">
        <v>497384.65</v>
      </c>
      <c r="G268" s="484">
        <v>0</v>
      </c>
      <c r="H268" s="483">
        <v>0</v>
      </c>
      <c r="I268" s="345" t="str">
        <f t="shared" si="13"/>
        <v>0703</v>
      </c>
      <c r="J268" s="346" t="str">
        <f t="shared" si="14"/>
        <v>0110377460</v>
      </c>
    </row>
    <row r="269" spans="1:10" hidden="1">
      <c r="A269" s="346" t="str">
        <f t="shared" si="12"/>
        <v>60607030110377580611</v>
      </c>
      <c r="B269" s="476">
        <v>606</v>
      </c>
      <c r="C269" s="475">
        <v>703</v>
      </c>
      <c r="D269" s="474" t="s">
        <v>2000</v>
      </c>
      <c r="E269" s="473" t="s">
        <v>406</v>
      </c>
      <c r="F269" s="484">
        <v>4003650</v>
      </c>
      <c r="G269" s="484">
        <v>0</v>
      </c>
      <c r="H269" s="483">
        <v>0</v>
      </c>
      <c r="I269" s="345" t="str">
        <f t="shared" si="13"/>
        <v>0703</v>
      </c>
      <c r="J269" s="346" t="str">
        <f t="shared" si="14"/>
        <v>0110377580</v>
      </c>
    </row>
    <row r="270" spans="1:10" hidden="1">
      <c r="A270" s="346" t="str">
        <f t="shared" si="12"/>
        <v>60607030110377580621</v>
      </c>
      <c r="B270" s="476">
        <v>606</v>
      </c>
      <c r="C270" s="475">
        <v>703</v>
      </c>
      <c r="D270" s="474" t="s">
        <v>2000</v>
      </c>
      <c r="E270" s="473" t="s">
        <v>412</v>
      </c>
      <c r="F270" s="484">
        <v>3665130</v>
      </c>
      <c r="G270" s="484">
        <v>0</v>
      </c>
      <c r="H270" s="483">
        <v>0</v>
      </c>
      <c r="I270" s="345" t="str">
        <f t="shared" si="13"/>
        <v>0703</v>
      </c>
      <c r="J270" s="346" t="str">
        <f t="shared" si="14"/>
        <v>0110377580</v>
      </c>
    </row>
    <row r="271" spans="1:10" hidden="1">
      <c r="A271" s="346" t="str">
        <f t="shared" si="12"/>
        <v>60607030110377620622</v>
      </c>
      <c r="B271" s="476">
        <v>606</v>
      </c>
      <c r="C271" s="475">
        <v>703</v>
      </c>
      <c r="D271" s="474" t="s">
        <v>2001</v>
      </c>
      <c r="E271" s="473" t="s">
        <v>429</v>
      </c>
      <c r="F271" s="484">
        <v>15915268</v>
      </c>
      <c r="G271" s="484">
        <v>0</v>
      </c>
      <c r="H271" s="483">
        <v>0</v>
      </c>
      <c r="I271" s="345" t="str">
        <f t="shared" si="13"/>
        <v>0703</v>
      </c>
      <c r="J271" s="346" t="str">
        <f t="shared" si="14"/>
        <v>0110377620</v>
      </c>
    </row>
    <row r="272" spans="1:10" hidden="1">
      <c r="A272" s="346" t="str">
        <f t="shared" si="12"/>
        <v>606070301103S7080611</v>
      </c>
      <c r="B272" s="476">
        <v>606</v>
      </c>
      <c r="C272" s="475">
        <v>703</v>
      </c>
      <c r="D272" s="474" t="s">
        <v>2340</v>
      </c>
      <c r="E272" s="473" t="s">
        <v>406</v>
      </c>
      <c r="F272" s="484">
        <v>174532</v>
      </c>
      <c r="G272" s="484">
        <v>0</v>
      </c>
      <c r="H272" s="483">
        <v>0</v>
      </c>
      <c r="I272" s="345" t="str">
        <f t="shared" si="13"/>
        <v>0703</v>
      </c>
      <c r="J272" s="346" t="str">
        <f t="shared" si="14"/>
        <v>01103S7080</v>
      </c>
    </row>
    <row r="273" spans="1:10" hidden="1">
      <c r="A273" s="346" t="str">
        <f t="shared" si="12"/>
        <v>606070301103S7080621</v>
      </c>
      <c r="B273" s="476">
        <v>606</v>
      </c>
      <c r="C273" s="475">
        <v>703</v>
      </c>
      <c r="D273" s="474" t="s">
        <v>2340</v>
      </c>
      <c r="E273" s="473" t="s">
        <v>412</v>
      </c>
      <c r="F273" s="484">
        <v>268007</v>
      </c>
      <c r="G273" s="484">
        <v>0</v>
      </c>
      <c r="H273" s="483">
        <v>0</v>
      </c>
      <c r="I273" s="345" t="str">
        <f t="shared" si="13"/>
        <v>0703</v>
      </c>
      <c r="J273" s="346" t="str">
        <f t="shared" si="14"/>
        <v>01103S7080</v>
      </c>
    </row>
    <row r="274" spans="1:10" hidden="1">
      <c r="A274" s="346" t="str">
        <f t="shared" si="12"/>
        <v>60607030110611010622</v>
      </c>
      <c r="B274" s="476">
        <v>606</v>
      </c>
      <c r="C274" s="475">
        <v>703</v>
      </c>
      <c r="D274" s="474" t="s">
        <v>1990</v>
      </c>
      <c r="E274" s="473" t="s">
        <v>429</v>
      </c>
      <c r="F274" s="484">
        <v>1574636.4</v>
      </c>
      <c r="G274" s="484">
        <v>0</v>
      </c>
      <c r="H274" s="483">
        <v>0</v>
      </c>
      <c r="I274" s="345" t="str">
        <f t="shared" si="13"/>
        <v>0703</v>
      </c>
      <c r="J274" s="346" t="str">
        <f t="shared" si="14"/>
        <v>0110611010</v>
      </c>
    </row>
    <row r="275" spans="1:10" hidden="1">
      <c r="A275" s="346" t="str">
        <f t="shared" si="12"/>
        <v>606070301106S6690612</v>
      </c>
      <c r="B275" s="476">
        <v>606</v>
      </c>
      <c r="C275" s="475">
        <v>703</v>
      </c>
      <c r="D275" s="474" t="s">
        <v>1206</v>
      </c>
      <c r="E275" s="473" t="s">
        <v>408</v>
      </c>
      <c r="F275" s="484">
        <v>0</v>
      </c>
      <c r="G275" s="484">
        <v>0</v>
      </c>
      <c r="H275" s="483">
        <v>0</v>
      </c>
      <c r="I275" s="345" t="str">
        <f t="shared" si="13"/>
        <v>0703</v>
      </c>
      <c r="J275" s="346" t="str">
        <f t="shared" si="14"/>
        <v>01106S6690</v>
      </c>
    </row>
    <row r="276" spans="1:10" hidden="1">
      <c r="A276" s="346" t="str">
        <f t="shared" si="12"/>
        <v>606070301106S6690622</v>
      </c>
      <c r="B276" s="476">
        <v>606</v>
      </c>
      <c r="C276" s="475">
        <v>703</v>
      </c>
      <c r="D276" s="474" t="s">
        <v>1206</v>
      </c>
      <c r="E276" s="473" t="s">
        <v>429</v>
      </c>
      <c r="F276" s="484">
        <v>4323681.5999999996</v>
      </c>
      <c r="G276" s="484">
        <v>0</v>
      </c>
      <c r="H276" s="483">
        <v>0</v>
      </c>
      <c r="I276" s="345" t="str">
        <f t="shared" si="13"/>
        <v>0703</v>
      </c>
      <c r="J276" s="346" t="str">
        <f t="shared" si="14"/>
        <v>01106S6690</v>
      </c>
    </row>
    <row r="277" spans="1:10" hidden="1">
      <c r="A277" s="346" t="str">
        <f t="shared" si="12"/>
        <v>60607031510220350612</v>
      </c>
      <c r="B277" s="476">
        <v>606</v>
      </c>
      <c r="C277" s="475">
        <v>703</v>
      </c>
      <c r="D277" s="474" t="s">
        <v>1929</v>
      </c>
      <c r="E277" s="473" t="s">
        <v>408</v>
      </c>
      <c r="F277" s="484">
        <v>0</v>
      </c>
      <c r="G277" s="484">
        <v>0</v>
      </c>
      <c r="H277" s="483">
        <v>0</v>
      </c>
      <c r="I277" s="345" t="str">
        <f t="shared" si="13"/>
        <v>0703</v>
      </c>
      <c r="J277" s="346" t="str">
        <f t="shared" si="14"/>
        <v>1510220350</v>
      </c>
    </row>
    <row r="278" spans="1:10" hidden="1">
      <c r="A278" s="346" t="str">
        <f t="shared" si="12"/>
        <v>60607031510420350612</v>
      </c>
      <c r="B278" s="476">
        <v>606</v>
      </c>
      <c r="C278" s="475">
        <v>703</v>
      </c>
      <c r="D278" s="474" t="s">
        <v>1949</v>
      </c>
      <c r="E278" s="473" t="s">
        <v>408</v>
      </c>
      <c r="F278" s="484">
        <v>892354.67</v>
      </c>
      <c r="G278" s="484">
        <v>0</v>
      </c>
      <c r="H278" s="483">
        <v>0</v>
      </c>
      <c r="I278" s="345" t="str">
        <f t="shared" si="13"/>
        <v>0703</v>
      </c>
      <c r="J278" s="346" t="str">
        <f t="shared" si="14"/>
        <v>1510420350</v>
      </c>
    </row>
    <row r="279" spans="1:10" hidden="1">
      <c r="A279" s="346" t="str">
        <f t="shared" si="12"/>
        <v>60607031520220370612</v>
      </c>
      <c r="B279" s="476">
        <v>606</v>
      </c>
      <c r="C279" s="475">
        <v>703</v>
      </c>
      <c r="D279" s="474" t="s">
        <v>1932</v>
      </c>
      <c r="E279" s="473" t="s">
        <v>408</v>
      </c>
      <c r="F279" s="484">
        <v>10000</v>
      </c>
      <c r="G279" s="484">
        <v>0</v>
      </c>
      <c r="H279" s="483">
        <v>0</v>
      </c>
      <c r="I279" s="345" t="str">
        <f t="shared" si="13"/>
        <v>0703</v>
      </c>
      <c r="J279" s="346" t="str">
        <f t="shared" si="14"/>
        <v>1520220370</v>
      </c>
    </row>
    <row r="280" spans="1:10" hidden="1">
      <c r="A280" s="346" t="str">
        <f t="shared" si="12"/>
        <v>60607031520220370622</v>
      </c>
      <c r="B280" s="476">
        <v>606</v>
      </c>
      <c r="C280" s="475">
        <v>703</v>
      </c>
      <c r="D280" s="474" t="s">
        <v>1932</v>
      </c>
      <c r="E280" s="473" t="s">
        <v>429</v>
      </c>
      <c r="F280" s="484">
        <v>10000</v>
      </c>
      <c r="G280" s="484">
        <v>0</v>
      </c>
      <c r="H280" s="483">
        <v>0</v>
      </c>
      <c r="I280" s="345" t="str">
        <f t="shared" si="13"/>
        <v>0703</v>
      </c>
      <c r="J280" s="346" t="str">
        <f t="shared" si="14"/>
        <v>1520220370</v>
      </c>
    </row>
    <row r="281" spans="1:10" hidden="1">
      <c r="A281" s="346" t="str">
        <f t="shared" si="12"/>
        <v>60607031530120660612</v>
      </c>
      <c r="B281" s="476">
        <v>606</v>
      </c>
      <c r="C281" s="475">
        <v>703</v>
      </c>
      <c r="D281" s="474" t="s">
        <v>1978</v>
      </c>
      <c r="E281" s="473" t="s">
        <v>408</v>
      </c>
      <c r="F281" s="484">
        <v>0</v>
      </c>
      <c r="G281" s="484">
        <v>0</v>
      </c>
      <c r="H281" s="483">
        <v>0</v>
      </c>
      <c r="I281" s="345" t="str">
        <f t="shared" si="13"/>
        <v>0703</v>
      </c>
      <c r="J281" s="346" t="str">
        <f t="shared" si="14"/>
        <v>1530120660</v>
      </c>
    </row>
    <row r="282" spans="1:10" hidden="1">
      <c r="A282" s="346" t="str">
        <f t="shared" si="12"/>
        <v>60607031530120660622</v>
      </c>
      <c r="B282" s="476">
        <v>606</v>
      </c>
      <c r="C282" s="475">
        <v>703</v>
      </c>
      <c r="D282" s="474" t="s">
        <v>1978</v>
      </c>
      <c r="E282" s="473" t="s">
        <v>429</v>
      </c>
      <c r="F282" s="484">
        <v>99999.96</v>
      </c>
      <c r="G282" s="484">
        <v>0</v>
      </c>
      <c r="H282" s="483">
        <v>0</v>
      </c>
      <c r="I282" s="345" t="str">
        <f t="shared" si="13"/>
        <v>0703</v>
      </c>
      <c r="J282" s="346" t="str">
        <f t="shared" si="14"/>
        <v>1530120660</v>
      </c>
    </row>
    <row r="283" spans="1:10" hidden="1">
      <c r="A283" s="346" t="str">
        <f t="shared" si="12"/>
        <v>60607031620220550612</v>
      </c>
      <c r="B283" s="476">
        <v>606</v>
      </c>
      <c r="C283" s="475">
        <v>703</v>
      </c>
      <c r="D283" s="474" t="s">
        <v>1991</v>
      </c>
      <c r="E283" s="473" t="s">
        <v>408</v>
      </c>
      <c r="F283" s="484">
        <v>295100</v>
      </c>
      <c r="G283" s="484">
        <v>0</v>
      </c>
      <c r="H283" s="483">
        <v>0</v>
      </c>
      <c r="I283" s="345" t="str">
        <f t="shared" si="13"/>
        <v>0703</v>
      </c>
      <c r="J283" s="346" t="str">
        <f t="shared" si="14"/>
        <v>1620220550</v>
      </c>
    </row>
    <row r="284" spans="1:10" hidden="1">
      <c r="A284" s="346" t="str">
        <f t="shared" si="12"/>
        <v>60607031620220550622</v>
      </c>
      <c r="B284" s="476">
        <v>606</v>
      </c>
      <c r="C284" s="475">
        <v>703</v>
      </c>
      <c r="D284" s="474" t="s">
        <v>1991</v>
      </c>
      <c r="E284" s="473" t="s">
        <v>429</v>
      </c>
      <c r="F284" s="484">
        <v>79800</v>
      </c>
      <c r="G284" s="484">
        <v>0</v>
      </c>
      <c r="H284" s="483">
        <v>0</v>
      </c>
      <c r="I284" s="345" t="str">
        <f t="shared" si="13"/>
        <v>0703</v>
      </c>
      <c r="J284" s="346" t="str">
        <f t="shared" si="14"/>
        <v>1620220550</v>
      </c>
    </row>
    <row r="285" spans="1:10" hidden="1">
      <c r="A285" s="346" t="str">
        <f t="shared" si="12"/>
        <v>60607070110411010621</v>
      </c>
      <c r="B285" s="476">
        <v>606</v>
      </c>
      <c r="C285" s="475">
        <v>707</v>
      </c>
      <c r="D285" s="474" t="s">
        <v>2002</v>
      </c>
      <c r="E285" s="473" t="s">
        <v>412</v>
      </c>
      <c r="F285" s="484">
        <v>9101893.2899999991</v>
      </c>
      <c r="G285" s="484">
        <v>0</v>
      </c>
      <c r="H285" s="483">
        <v>0</v>
      </c>
      <c r="I285" s="345" t="str">
        <f t="shared" si="13"/>
        <v>0707</v>
      </c>
      <c r="J285" s="346" t="str">
        <f t="shared" si="14"/>
        <v>0110411010</v>
      </c>
    </row>
    <row r="286" spans="1:10" hidden="1">
      <c r="A286" s="346" t="str">
        <f t="shared" si="12"/>
        <v>60607070110420330612</v>
      </c>
      <c r="B286" s="476">
        <v>606</v>
      </c>
      <c r="C286" s="475">
        <v>707</v>
      </c>
      <c r="D286" s="474" t="s">
        <v>2003</v>
      </c>
      <c r="E286" s="473" t="s">
        <v>408</v>
      </c>
      <c r="F286" s="484">
        <v>15557242.27</v>
      </c>
      <c r="G286" s="484">
        <v>0</v>
      </c>
      <c r="H286" s="483">
        <v>0</v>
      </c>
      <c r="I286" s="345" t="str">
        <f t="shared" si="13"/>
        <v>0707</v>
      </c>
      <c r="J286" s="346" t="str">
        <f t="shared" si="14"/>
        <v>0110420330</v>
      </c>
    </row>
    <row r="287" spans="1:10" hidden="1">
      <c r="A287" s="346" t="str">
        <f t="shared" si="12"/>
        <v>60607070110420330622</v>
      </c>
      <c r="B287" s="476">
        <v>606</v>
      </c>
      <c r="C287" s="475">
        <v>707</v>
      </c>
      <c r="D287" s="474" t="s">
        <v>2003</v>
      </c>
      <c r="E287" s="473" t="s">
        <v>429</v>
      </c>
      <c r="F287" s="484">
        <v>2310127.73</v>
      </c>
      <c r="G287" s="484">
        <v>0</v>
      </c>
      <c r="H287" s="483">
        <v>0</v>
      </c>
      <c r="I287" s="345" t="str">
        <f t="shared" si="13"/>
        <v>0707</v>
      </c>
      <c r="J287" s="346" t="str">
        <f t="shared" si="14"/>
        <v>0110420330</v>
      </c>
    </row>
    <row r="288" spans="1:10" hidden="1">
      <c r="A288" s="346" t="str">
        <f t="shared" si="12"/>
        <v>60607070110477460621</v>
      </c>
      <c r="B288" s="476">
        <v>606</v>
      </c>
      <c r="C288" s="475">
        <v>707</v>
      </c>
      <c r="D288" s="474" t="s">
        <v>2004</v>
      </c>
      <c r="E288" s="473" t="s">
        <v>412</v>
      </c>
      <c r="F288" s="484">
        <v>165876.4</v>
      </c>
      <c r="G288" s="484">
        <v>0</v>
      </c>
      <c r="H288" s="483">
        <v>0</v>
      </c>
      <c r="I288" s="345" t="str">
        <f t="shared" si="13"/>
        <v>0707</v>
      </c>
      <c r="J288" s="346" t="str">
        <f t="shared" si="14"/>
        <v>0110477460</v>
      </c>
    </row>
    <row r="289" spans="1:10" hidden="1">
      <c r="A289" s="346" t="str">
        <f t="shared" si="12"/>
        <v>60607070110477580621</v>
      </c>
      <c r="B289" s="476">
        <v>606</v>
      </c>
      <c r="C289" s="475">
        <v>707</v>
      </c>
      <c r="D289" s="474" t="s">
        <v>2005</v>
      </c>
      <c r="E289" s="473" t="s">
        <v>412</v>
      </c>
      <c r="F289" s="484">
        <v>1204350</v>
      </c>
      <c r="G289" s="484">
        <v>0</v>
      </c>
      <c r="H289" s="483">
        <v>0</v>
      </c>
      <c r="I289" s="345" t="str">
        <f t="shared" si="13"/>
        <v>0707</v>
      </c>
      <c r="J289" s="346" t="str">
        <f t="shared" si="14"/>
        <v>0110477580</v>
      </c>
    </row>
    <row r="290" spans="1:10" hidden="1">
      <c r="A290" s="346" t="str">
        <f t="shared" si="12"/>
        <v>60607071620220550622</v>
      </c>
      <c r="B290" s="476">
        <v>606</v>
      </c>
      <c r="C290" s="475">
        <v>707</v>
      </c>
      <c r="D290" s="474" t="s">
        <v>1991</v>
      </c>
      <c r="E290" s="473" t="s">
        <v>429</v>
      </c>
      <c r="F290" s="484">
        <v>45200</v>
      </c>
      <c r="G290" s="484">
        <v>0</v>
      </c>
      <c r="H290" s="483">
        <v>0</v>
      </c>
      <c r="I290" s="345" t="str">
        <f t="shared" si="13"/>
        <v>0707</v>
      </c>
      <c r="J290" s="346" t="str">
        <f t="shared" si="14"/>
        <v>1620220550</v>
      </c>
    </row>
    <row r="291" spans="1:10" hidden="1">
      <c r="A291" s="346" t="str">
        <f t="shared" si="12"/>
        <v>60607090110520240122</v>
      </c>
      <c r="B291" s="476">
        <v>606</v>
      </c>
      <c r="C291" s="475">
        <v>709</v>
      </c>
      <c r="D291" s="474" t="s">
        <v>2006</v>
      </c>
      <c r="E291" s="473" t="s">
        <v>23</v>
      </c>
      <c r="F291" s="484">
        <v>22512</v>
      </c>
      <c r="G291" s="484">
        <v>0</v>
      </c>
      <c r="H291" s="483">
        <v>0</v>
      </c>
      <c r="I291" s="345" t="str">
        <f t="shared" si="13"/>
        <v>0709</v>
      </c>
      <c r="J291" s="346" t="str">
        <f t="shared" si="14"/>
        <v>0110520240</v>
      </c>
    </row>
    <row r="292" spans="1:10" hidden="1">
      <c r="A292" s="346" t="str">
        <f t="shared" si="12"/>
        <v>60607090110520240129</v>
      </c>
      <c r="B292" s="476">
        <v>606</v>
      </c>
      <c r="C292" s="475">
        <v>709</v>
      </c>
      <c r="D292" s="474" t="s">
        <v>2006</v>
      </c>
      <c r="E292" s="473" t="s">
        <v>27</v>
      </c>
      <c r="F292" s="484">
        <v>3020</v>
      </c>
      <c r="G292" s="484">
        <v>0</v>
      </c>
      <c r="H292" s="483">
        <v>0</v>
      </c>
      <c r="I292" s="345" t="str">
        <f t="shared" si="13"/>
        <v>0709</v>
      </c>
      <c r="J292" s="346" t="str">
        <f t="shared" si="14"/>
        <v>0110520240</v>
      </c>
    </row>
    <row r="293" spans="1:10" hidden="1">
      <c r="A293" s="346" t="str">
        <f t="shared" si="12"/>
        <v>60607090110520240244</v>
      </c>
      <c r="B293" s="476">
        <v>606</v>
      </c>
      <c r="C293" s="475">
        <v>709</v>
      </c>
      <c r="D293" s="474" t="s">
        <v>2006</v>
      </c>
      <c r="E293" s="473" t="s">
        <v>31</v>
      </c>
      <c r="F293" s="484">
        <v>174468</v>
      </c>
      <c r="G293" s="484">
        <v>0</v>
      </c>
      <c r="H293" s="483">
        <v>0</v>
      </c>
      <c r="I293" s="345" t="str">
        <f t="shared" si="13"/>
        <v>0709</v>
      </c>
      <c r="J293" s="346" t="str">
        <f t="shared" si="14"/>
        <v>0110520240</v>
      </c>
    </row>
    <row r="294" spans="1:10" hidden="1">
      <c r="A294" s="346" t="str">
        <f t="shared" si="12"/>
        <v>60607090110520240612</v>
      </c>
      <c r="B294" s="476">
        <v>606</v>
      </c>
      <c r="C294" s="475">
        <v>709</v>
      </c>
      <c r="D294" s="474" t="s">
        <v>2006</v>
      </c>
      <c r="E294" s="473" t="s">
        <v>408</v>
      </c>
      <c r="F294" s="484">
        <v>4250017.3</v>
      </c>
      <c r="G294" s="484">
        <v>0</v>
      </c>
      <c r="H294" s="483">
        <v>0</v>
      </c>
      <c r="I294" s="345" t="str">
        <f t="shared" si="13"/>
        <v>0709</v>
      </c>
      <c r="J294" s="346" t="str">
        <f t="shared" si="14"/>
        <v>0110520240</v>
      </c>
    </row>
    <row r="295" spans="1:10" hidden="1">
      <c r="A295" s="346" t="str">
        <f t="shared" si="12"/>
        <v>60607090110520240622</v>
      </c>
      <c r="B295" s="476">
        <v>606</v>
      </c>
      <c r="C295" s="475">
        <v>709</v>
      </c>
      <c r="D295" s="474" t="s">
        <v>2006</v>
      </c>
      <c r="E295" s="473" t="s">
        <v>429</v>
      </c>
      <c r="F295" s="484">
        <v>708772.7</v>
      </c>
      <c r="G295" s="484">
        <v>0</v>
      </c>
      <c r="H295" s="483">
        <v>0</v>
      </c>
      <c r="I295" s="345" t="str">
        <f t="shared" si="13"/>
        <v>0709</v>
      </c>
      <c r="J295" s="346" t="str">
        <f t="shared" si="14"/>
        <v>0110520240</v>
      </c>
    </row>
    <row r="296" spans="1:10" hidden="1">
      <c r="A296" s="346" t="str">
        <f t="shared" si="12"/>
        <v>60607090110811010611</v>
      </c>
      <c r="B296" s="476">
        <v>606</v>
      </c>
      <c r="C296" s="475">
        <v>709</v>
      </c>
      <c r="D296" s="474" t="s">
        <v>2007</v>
      </c>
      <c r="E296" s="473" t="s">
        <v>406</v>
      </c>
      <c r="F296" s="484">
        <v>7064221</v>
      </c>
      <c r="G296" s="484">
        <v>0</v>
      </c>
      <c r="H296" s="483">
        <v>0</v>
      </c>
      <c r="I296" s="345" t="str">
        <f t="shared" si="13"/>
        <v>0709</v>
      </c>
      <c r="J296" s="346" t="str">
        <f t="shared" si="14"/>
        <v>0110811010</v>
      </c>
    </row>
    <row r="297" spans="1:10" hidden="1">
      <c r="A297" s="346" t="str">
        <f t="shared" si="12"/>
        <v>60607090110877460611</v>
      </c>
      <c r="B297" s="476">
        <v>606</v>
      </c>
      <c r="C297" s="475">
        <v>709</v>
      </c>
      <c r="D297" s="474" t="s">
        <v>2008</v>
      </c>
      <c r="E297" s="473" t="s">
        <v>406</v>
      </c>
      <c r="F297" s="484">
        <v>228324.98</v>
      </c>
      <c r="G297" s="484">
        <v>0</v>
      </c>
      <c r="H297" s="483">
        <v>0</v>
      </c>
      <c r="I297" s="345" t="str">
        <f t="shared" si="13"/>
        <v>0709</v>
      </c>
      <c r="J297" s="346" t="str">
        <f t="shared" si="14"/>
        <v>0110877460</v>
      </c>
    </row>
    <row r="298" spans="1:10" hidden="1">
      <c r="A298" s="346" t="str">
        <f t="shared" si="12"/>
        <v>60607090110877580611</v>
      </c>
      <c r="B298" s="476">
        <v>606</v>
      </c>
      <c r="C298" s="475">
        <v>709</v>
      </c>
      <c r="D298" s="474" t="s">
        <v>2009</v>
      </c>
      <c r="E298" s="473" t="s">
        <v>406</v>
      </c>
      <c r="F298" s="484">
        <v>75448.3</v>
      </c>
      <c r="G298" s="484">
        <v>0</v>
      </c>
      <c r="H298" s="483">
        <v>0</v>
      </c>
      <c r="I298" s="345" t="str">
        <f t="shared" si="13"/>
        <v>0709</v>
      </c>
      <c r="J298" s="346" t="str">
        <f t="shared" si="14"/>
        <v>0110877580</v>
      </c>
    </row>
    <row r="299" spans="1:10" hidden="1">
      <c r="A299" s="346" t="str">
        <f t="shared" si="12"/>
        <v>60607091620220550612</v>
      </c>
      <c r="B299" s="476">
        <v>606</v>
      </c>
      <c r="C299" s="475">
        <v>709</v>
      </c>
      <c r="D299" s="474" t="s">
        <v>1991</v>
      </c>
      <c r="E299" s="473" t="s">
        <v>408</v>
      </c>
      <c r="F299" s="484">
        <v>58600</v>
      </c>
      <c r="G299" s="484">
        <v>0</v>
      </c>
      <c r="H299" s="483">
        <v>0</v>
      </c>
      <c r="I299" s="345" t="str">
        <f t="shared" si="13"/>
        <v>0709</v>
      </c>
      <c r="J299" s="346" t="str">
        <f t="shared" si="14"/>
        <v>1620220550</v>
      </c>
    </row>
    <row r="300" spans="1:10" hidden="1">
      <c r="A300" s="346" t="str">
        <f t="shared" si="12"/>
        <v>60607097510010010122</v>
      </c>
      <c r="B300" s="476">
        <v>606</v>
      </c>
      <c r="C300" s="475">
        <v>709</v>
      </c>
      <c r="D300" s="474" t="s">
        <v>2010</v>
      </c>
      <c r="E300" s="473" t="s">
        <v>23</v>
      </c>
      <c r="F300" s="484">
        <v>489217.26</v>
      </c>
      <c r="G300" s="484">
        <v>0</v>
      </c>
      <c r="H300" s="483">
        <v>0</v>
      </c>
      <c r="I300" s="345" t="str">
        <f t="shared" si="13"/>
        <v>0709</v>
      </c>
      <c r="J300" s="346" t="str">
        <f t="shared" si="14"/>
        <v>7510010010</v>
      </c>
    </row>
    <row r="301" spans="1:10" hidden="1">
      <c r="A301" s="346" t="str">
        <f t="shared" si="12"/>
        <v>60607097510010010129</v>
      </c>
      <c r="B301" s="476">
        <v>606</v>
      </c>
      <c r="C301" s="475">
        <v>709</v>
      </c>
      <c r="D301" s="474" t="s">
        <v>2010</v>
      </c>
      <c r="E301" s="473" t="s">
        <v>27</v>
      </c>
      <c r="F301" s="484">
        <v>146855.59</v>
      </c>
      <c r="G301" s="484">
        <v>0</v>
      </c>
      <c r="H301" s="483">
        <v>0</v>
      </c>
      <c r="I301" s="345" t="str">
        <f t="shared" si="13"/>
        <v>0709</v>
      </c>
      <c r="J301" s="346" t="str">
        <f t="shared" si="14"/>
        <v>7510010010</v>
      </c>
    </row>
    <row r="302" spans="1:10" hidden="1">
      <c r="A302" s="346" t="str">
        <f t="shared" si="12"/>
        <v>60607097510010010244</v>
      </c>
      <c r="B302" s="476">
        <v>606</v>
      </c>
      <c r="C302" s="475">
        <v>709</v>
      </c>
      <c r="D302" s="474" t="s">
        <v>2010</v>
      </c>
      <c r="E302" s="473" t="s">
        <v>31</v>
      </c>
      <c r="F302" s="484">
        <v>2716297.49</v>
      </c>
      <c r="G302" s="484">
        <v>0</v>
      </c>
      <c r="H302" s="483">
        <v>0</v>
      </c>
      <c r="I302" s="345" t="str">
        <f t="shared" si="13"/>
        <v>0709</v>
      </c>
      <c r="J302" s="346" t="str">
        <f t="shared" si="14"/>
        <v>7510010010</v>
      </c>
    </row>
    <row r="303" spans="1:10" hidden="1">
      <c r="A303" s="346" t="str">
        <f t="shared" si="12"/>
        <v>60607097510010010851</v>
      </c>
      <c r="B303" s="476">
        <v>606</v>
      </c>
      <c r="C303" s="475">
        <v>709</v>
      </c>
      <c r="D303" s="474" t="s">
        <v>2010</v>
      </c>
      <c r="E303" s="473" t="s">
        <v>35</v>
      </c>
      <c r="F303" s="484">
        <v>39576</v>
      </c>
      <c r="G303" s="484">
        <v>0</v>
      </c>
      <c r="H303" s="483">
        <v>0</v>
      </c>
      <c r="I303" s="345" t="str">
        <f t="shared" si="13"/>
        <v>0709</v>
      </c>
      <c r="J303" s="346" t="str">
        <f t="shared" si="14"/>
        <v>7510010010</v>
      </c>
    </row>
    <row r="304" spans="1:10" hidden="1">
      <c r="A304" s="346" t="str">
        <f t="shared" si="12"/>
        <v>60607097510010010852</v>
      </c>
      <c r="B304" s="476">
        <v>606</v>
      </c>
      <c r="C304" s="475">
        <v>709</v>
      </c>
      <c r="D304" s="474" t="s">
        <v>2010</v>
      </c>
      <c r="E304" s="473" t="s">
        <v>37</v>
      </c>
      <c r="F304" s="484">
        <v>1878</v>
      </c>
      <c r="G304" s="484">
        <v>0</v>
      </c>
      <c r="H304" s="483">
        <v>0</v>
      </c>
      <c r="I304" s="345" t="str">
        <f t="shared" si="13"/>
        <v>0709</v>
      </c>
      <c r="J304" s="346" t="str">
        <f t="shared" si="14"/>
        <v>7510010010</v>
      </c>
    </row>
    <row r="305" spans="1:10" hidden="1">
      <c r="A305" s="346" t="str">
        <f t="shared" si="12"/>
        <v>60607097510010010853</v>
      </c>
      <c r="B305" s="476">
        <v>606</v>
      </c>
      <c r="C305" s="475">
        <v>709</v>
      </c>
      <c r="D305" s="474" t="s">
        <v>2010</v>
      </c>
      <c r="E305" s="473" t="s">
        <v>78</v>
      </c>
      <c r="F305" s="484">
        <v>2803.96</v>
      </c>
      <c r="G305" s="484">
        <v>0</v>
      </c>
      <c r="H305" s="483">
        <v>0</v>
      </c>
      <c r="I305" s="345" t="str">
        <f t="shared" si="13"/>
        <v>0709</v>
      </c>
      <c r="J305" s="346" t="str">
        <f t="shared" si="14"/>
        <v>7510010010</v>
      </c>
    </row>
    <row r="306" spans="1:10" hidden="1">
      <c r="A306" s="346" t="str">
        <f t="shared" si="12"/>
        <v>60607097510010020121</v>
      </c>
      <c r="B306" s="476">
        <v>606</v>
      </c>
      <c r="C306" s="475">
        <v>709</v>
      </c>
      <c r="D306" s="474" t="s">
        <v>2011</v>
      </c>
      <c r="E306" s="473" t="s">
        <v>41</v>
      </c>
      <c r="F306" s="484">
        <v>16764176.34</v>
      </c>
      <c r="G306" s="484">
        <v>0</v>
      </c>
      <c r="H306" s="483">
        <v>0</v>
      </c>
      <c r="I306" s="345" t="str">
        <f t="shared" si="13"/>
        <v>0709</v>
      </c>
      <c r="J306" s="346" t="str">
        <f t="shared" si="14"/>
        <v>7510010020</v>
      </c>
    </row>
    <row r="307" spans="1:10" hidden="1">
      <c r="A307" s="346" t="str">
        <f t="shared" si="12"/>
        <v>60607097510010020129</v>
      </c>
      <c r="B307" s="476">
        <v>606</v>
      </c>
      <c r="C307" s="475">
        <v>709</v>
      </c>
      <c r="D307" s="474" t="s">
        <v>2011</v>
      </c>
      <c r="E307" s="473" t="s">
        <v>27</v>
      </c>
      <c r="F307" s="484">
        <v>4942608.4400000004</v>
      </c>
      <c r="G307" s="484">
        <v>0</v>
      </c>
      <c r="H307" s="483">
        <v>0</v>
      </c>
      <c r="I307" s="345" t="str">
        <f t="shared" si="13"/>
        <v>0709</v>
      </c>
      <c r="J307" s="346" t="str">
        <f t="shared" si="14"/>
        <v>7510010020</v>
      </c>
    </row>
    <row r="308" spans="1:10" hidden="1">
      <c r="A308" s="346" t="str">
        <f t="shared" si="12"/>
        <v>60607097510011010111</v>
      </c>
      <c r="B308" s="476">
        <v>606</v>
      </c>
      <c r="C308" s="475">
        <v>709</v>
      </c>
      <c r="D308" s="474" t="s">
        <v>2012</v>
      </c>
      <c r="E308" s="473" t="s">
        <v>141</v>
      </c>
      <c r="F308" s="484">
        <v>4747132</v>
      </c>
      <c r="G308" s="484">
        <v>0</v>
      </c>
      <c r="H308" s="483">
        <v>0</v>
      </c>
      <c r="I308" s="345" t="str">
        <f t="shared" si="13"/>
        <v>0709</v>
      </c>
      <c r="J308" s="346" t="str">
        <f t="shared" si="14"/>
        <v>7510011010</v>
      </c>
    </row>
    <row r="309" spans="1:10" hidden="1">
      <c r="A309" s="346" t="str">
        <f t="shared" si="12"/>
        <v>60607097510011010119</v>
      </c>
      <c r="B309" s="476">
        <v>606</v>
      </c>
      <c r="C309" s="475">
        <v>709</v>
      </c>
      <c r="D309" s="474" t="s">
        <v>2012</v>
      </c>
      <c r="E309" s="473" t="s">
        <v>145</v>
      </c>
      <c r="F309" s="484">
        <v>1433629.6</v>
      </c>
      <c r="G309" s="484">
        <v>0</v>
      </c>
      <c r="H309" s="483">
        <v>0</v>
      </c>
      <c r="I309" s="345" t="str">
        <f t="shared" si="13"/>
        <v>0709</v>
      </c>
      <c r="J309" s="346" t="str">
        <f t="shared" si="14"/>
        <v>7510011010</v>
      </c>
    </row>
    <row r="310" spans="1:10" hidden="1">
      <c r="A310" s="346" t="str">
        <f t="shared" si="12"/>
        <v>60607097510011010244</v>
      </c>
      <c r="B310" s="476">
        <v>606</v>
      </c>
      <c r="C310" s="475">
        <v>709</v>
      </c>
      <c r="D310" s="474" t="s">
        <v>2012</v>
      </c>
      <c r="E310" s="473" t="s">
        <v>31</v>
      </c>
      <c r="F310" s="484">
        <v>875946.76</v>
      </c>
      <c r="G310" s="484">
        <v>0</v>
      </c>
      <c r="H310" s="483">
        <v>0</v>
      </c>
      <c r="I310" s="345" t="str">
        <f t="shared" si="13"/>
        <v>0709</v>
      </c>
      <c r="J310" s="346" t="str">
        <f t="shared" si="14"/>
        <v>7510011010</v>
      </c>
    </row>
    <row r="311" spans="1:10" hidden="1">
      <c r="A311" s="346" t="str">
        <f t="shared" si="12"/>
        <v>60607097510011010851</v>
      </c>
      <c r="B311" s="476">
        <v>606</v>
      </c>
      <c r="C311" s="475">
        <v>709</v>
      </c>
      <c r="D311" s="474" t="s">
        <v>2012</v>
      </c>
      <c r="E311" s="473" t="s">
        <v>35</v>
      </c>
      <c r="F311" s="484">
        <v>948</v>
      </c>
      <c r="G311" s="484">
        <v>0</v>
      </c>
      <c r="H311" s="483">
        <v>0</v>
      </c>
      <c r="I311" s="345" t="str">
        <f t="shared" si="13"/>
        <v>0709</v>
      </c>
      <c r="J311" s="346" t="str">
        <f t="shared" si="14"/>
        <v>7510011010</v>
      </c>
    </row>
    <row r="312" spans="1:10" hidden="1">
      <c r="A312" s="346" t="str">
        <f t="shared" si="12"/>
        <v>60607097510076200121</v>
      </c>
      <c r="B312" s="476">
        <v>606</v>
      </c>
      <c r="C312" s="475">
        <v>709</v>
      </c>
      <c r="D312" s="474" t="s">
        <v>2013</v>
      </c>
      <c r="E312" s="473" t="s">
        <v>41</v>
      </c>
      <c r="F312" s="484">
        <v>1495774.59</v>
      </c>
      <c r="G312" s="484">
        <v>0</v>
      </c>
      <c r="H312" s="483">
        <v>0</v>
      </c>
      <c r="I312" s="345" t="str">
        <f t="shared" si="13"/>
        <v>0709</v>
      </c>
      <c r="J312" s="346" t="str">
        <f t="shared" si="14"/>
        <v>7510076200</v>
      </c>
    </row>
    <row r="313" spans="1:10" hidden="1">
      <c r="A313" s="346" t="str">
        <f t="shared" si="12"/>
        <v>60607097510076200122</v>
      </c>
      <c r="B313" s="476">
        <v>606</v>
      </c>
      <c r="C313" s="475">
        <v>709</v>
      </c>
      <c r="D313" s="474" t="s">
        <v>2013</v>
      </c>
      <c r="E313" s="473" t="s">
        <v>23</v>
      </c>
      <c r="F313" s="484">
        <v>51660</v>
      </c>
      <c r="G313" s="484">
        <v>0</v>
      </c>
      <c r="H313" s="483">
        <v>0</v>
      </c>
      <c r="I313" s="345" t="str">
        <f t="shared" si="13"/>
        <v>0709</v>
      </c>
      <c r="J313" s="346" t="str">
        <f t="shared" si="14"/>
        <v>7510076200</v>
      </c>
    </row>
    <row r="314" spans="1:10" hidden="1">
      <c r="A314" s="346" t="str">
        <f t="shared" si="12"/>
        <v>60607097510076200129</v>
      </c>
      <c r="B314" s="476">
        <v>606</v>
      </c>
      <c r="C314" s="475">
        <v>709</v>
      </c>
      <c r="D314" s="474" t="s">
        <v>2013</v>
      </c>
      <c r="E314" s="473" t="s">
        <v>27</v>
      </c>
      <c r="F314" s="484">
        <v>472068.36</v>
      </c>
      <c r="G314" s="484">
        <v>0</v>
      </c>
      <c r="H314" s="483">
        <v>0</v>
      </c>
      <c r="I314" s="345" t="str">
        <f t="shared" si="13"/>
        <v>0709</v>
      </c>
      <c r="J314" s="346" t="str">
        <f t="shared" si="14"/>
        <v>7510076200</v>
      </c>
    </row>
    <row r="315" spans="1:10" hidden="1">
      <c r="A315" s="346" t="str">
        <f t="shared" si="12"/>
        <v>60607097510076200244</v>
      </c>
      <c r="B315" s="476">
        <v>606</v>
      </c>
      <c r="C315" s="475">
        <v>709</v>
      </c>
      <c r="D315" s="474" t="s">
        <v>2013</v>
      </c>
      <c r="E315" s="473" t="s">
        <v>31</v>
      </c>
      <c r="F315" s="484">
        <v>19490</v>
      </c>
      <c r="G315" s="484">
        <v>0</v>
      </c>
      <c r="H315" s="483">
        <v>0</v>
      </c>
      <c r="I315" s="345" t="str">
        <f t="shared" si="13"/>
        <v>0709</v>
      </c>
      <c r="J315" s="346" t="str">
        <f t="shared" si="14"/>
        <v>7510076200</v>
      </c>
    </row>
    <row r="316" spans="1:10" hidden="1">
      <c r="A316" s="346" t="str">
        <f t="shared" si="12"/>
        <v>60607097510077460121</v>
      </c>
      <c r="B316" s="476">
        <v>606</v>
      </c>
      <c r="C316" s="475">
        <v>709</v>
      </c>
      <c r="D316" s="474" t="s">
        <v>2014</v>
      </c>
      <c r="E316" s="473" t="s">
        <v>41</v>
      </c>
      <c r="F316" s="484">
        <v>557750.98</v>
      </c>
      <c r="G316" s="484">
        <v>0</v>
      </c>
      <c r="H316" s="483">
        <v>0</v>
      </c>
      <c r="I316" s="345" t="str">
        <f t="shared" si="13"/>
        <v>0709</v>
      </c>
      <c r="J316" s="346" t="str">
        <f t="shared" si="14"/>
        <v>7510077460</v>
      </c>
    </row>
    <row r="317" spans="1:10" hidden="1">
      <c r="A317" s="346" t="str">
        <f t="shared" si="12"/>
        <v>60607097510077460129</v>
      </c>
      <c r="B317" s="476">
        <v>606</v>
      </c>
      <c r="C317" s="475">
        <v>709</v>
      </c>
      <c r="D317" s="474" t="s">
        <v>2014</v>
      </c>
      <c r="E317" s="473" t="s">
        <v>27</v>
      </c>
      <c r="F317" s="484">
        <v>168440.79</v>
      </c>
      <c r="G317" s="484">
        <v>0</v>
      </c>
      <c r="H317" s="483">
        <v>0</v>
      </c>
      <c r="I317" s="345" t="str">
        <f t="shared" si="13"/>
        <v>0709</v>
      </c>
      <c r="J317" s="346" t="str">
        <f t="shared" si="14"/>
        <v>7510077460</v>
      </c>
    </row>
    <row r="318" spans="1:10" hidden="1">
      <c r="A318" s="346" t="str">
        <f t="shared" si="12"/>
        <v>60610040110176140244</v>
      </c>
      <c r="B318" s="476">
        <v>606</v>
      </c>
      <c r="C318" s="475">
        <v>1004</v>
      </c>
      <c r="D318" s="474" t="s">
        <v>2015</v>
      </c>
      <c r="E318" s="473" t="s">
        <v>31</v>
      </c>
      <c r="F318" s="484">
        <v>1271827</v>
      </c>
      <c r="G318" s="484">
        <v>0</v>
      </c>
      <c r="H318" s="483">
        <v>0</v>
      </c>
      <c r="I318" s="345" t="str">
        <f t="shared" si="13"/>
        <v>1004</v>
      </c>
      <c r="J318" s="346" t="str">
        <f t="shared" si="14"/>
        <v>0110176140</v>
      </c>
    </row>
    <row r="319" spans="1:10" hidden="1">
      <c r="A319" s="346" t="str">
        <f t="shared" si="12"/>
        <v>60610040110176140313</v>
      </c>
      <c r="B319" s="476">
        <v>606</v>
      </c>
      <c r="C319" s="475">
        <v>1004</v>
      </c>
      <c r="D319" s="474" t="s">
        <v>2015</v>
      </c>
      <c r="E319" s="473" t="s">
        <v>496</v>
      </c>
      <c r="F319" s="484">
        <v>83714893</v>
      </c>
      <c r="G319" s="484">
        <v>0</v>
      </c>
      <c r="H319" s="483">
        <v>0</v>
      </c>
      <c r="I319" s="345" t="str">
        <f t="shared" si="13"/>
        <v>1004</v>
      </c>
      <c r="J319" s="346" t="str">
        <f t="shared" si="14"/>
        <v>0110176140</v>
      </c>
    </row>
    <row r="320" spans="1:10" hidden="1">
      <c r="A320" s="346" t="str">
        <f t="shared" si="12"/>
        <v>60610040110280260321</v>
      </c>
      <c r="B320" s="476">
        <v>606</v>
      </c>
      <c r="C320" s="475">
        <v>1004</v>
      </c>
      <c r="D320" s="474" t="s">
        <v>2016</v>
      </c>
      <c r="E320" s="473" t="s">
        <v>1856</v>
      </c>
      <c r="F320" s="484">
        <v>0</v>
      </c>
      <c r="G320" s="484">
        <v>0</v>
      </c>
      <c r="H320" s="483">
        <v>0</v>
      </c>
      <c r="I320" s="345" t="str">
        <f t="shared" si="13"/>
        <v>1004</v>
      </c>
      <c r="J320" s="346" t="str">
        <f t="shared" si="14"/>
        <v>0110280260</v>
      </c>
    </row>
    <row r="321" spans="1:10" hidden="1">
      <c r="A321" s="346" t="str">
        <f t="shared" si="12"/>
        <v>60610040110778110321</v>
      </c>
      <c r="B321" s="476">
        <v>606</v>
      </c>
      <c r="C321" s="475">
        <v>1004</v>
      </c>
      <c r="D321" s="474" t="s">
        <v>2017</v>
      </c>
      <c r="E321" s="473" t="s">
        <v>1856</v>
      </c>
      <c r="F321" s="484">
        <v>21802251.969999999</v>
      </c>
      <c r="G321" s="484">
        <v>0</v>
      </c>
      <c r="H321" s="483">
        <v>0</v>
      </c>
      <c r="I321" s="345" t="str">
        <f t="shared" si="13"/>
        <v>1004</v>
      </c>
      <c r="J321" s="346" t="str">
        <f t="shared" si="14"/>
        <v>0110778110</v>
      </c>
    </row>
    <row r="322" spans="1:10" hidden="1">
      <c r="A322" s="346" t="str">
        <f t="shared" si="12"/>
        <v>60610040110778110323</v>
      </c>
      <c r="B322" s="476">
        <v>606</v>
      </c>
      <c r="C322" s="475">
        <v>1004</v>
      </c>
      <c r="D322" s="474" t="s">
        <v>2017</v>
      </c>
      <c r="E322" s="473" t="s">
        <v>502</v>
      </c>
      <c r="F322" s="484">
        <v>0</v>
      </c>
      <c r="G322" s="484">
        <v>0</v>
      </c>
      <c r="H322" s="483">
        <v>0</v>
      </c>
      <c r="I322" s="345" t="str">
        <f t="shared" si="13"/>
        <v>1004</v>
      </c>
      <c r="J322" s="346" t="str">
        <f t="shared" si="14"/>
        <v>0110778110</v>
      </c>
    </row>
    <row r="323" spans="1:10" hidden="1">
      <c r="A323" s="346" t="str">
        <f t="shared" si="12"/>
        <v>60610040110778120323</v>
      </c>
      <c r="B323" s="476">
        <v>606</v>
      </c>
      <c r="C323" s="475">
        <v>1004</v>
      </c>
      <c r="D323" s="474" t="s">
        <v>2018</v>
      </c>
      <c r="E323" s="473" t="s">
        <v>502</v>
      </c>
      <c r="F323" s="484">
        <v>1825365.48</v>
      </c>
      <c r="G323" s="484">
        <v>0</v>
      </c>
      <c r="H323" s="483">
        <v>0</v>
      </c>
      <c r="I323" s="345" t="str">
        <f t="shared" si="13"/>
        <v>1004</v>
      </c>
      <c r="J323" s="346" t="str">
        <f t="shared" si="14"/>
        <v>0110778120</v>
      </c>
    </row>
    <row r="324" spans="1:10" hidden="1">
      <c r="A324" s="346" t="str">
        <f t="shared" si="12"/>
        <v>60610040110778130323</v>
      </c>
      <c r="B324" s="476">
        <v>606</v>
      </c>
      <c r="C324" s="475">
        <v>1004</v>
      </c>
      <c r="D324" s="474" t="s">
        <v>2019</v>
      </c>
      <c r="E324" s="473" t="s">
        <v>502</v>
      </c>
      <c r="F324" s="484">
        <v>13709312.16</v>
      </c>
      <c r="G324" s="484">
        <v>0</v>
      </c>
      <c r="H324" s="483">
        <v>0</v>
      </c>
      <c r="I324" s="345" t="str">
        <f t="shared" si="13"/>
        <v>1004</v>
      </c>
      <c r="J324" s="346" t="str">
        <f t="shared" si="14"/>
        <v>0110778130</v>
      </c>
    </row>
    <row r="325" spans="1:10" hidden="1">
      <c r="A325" s="346" t="str">
        <f t="shared" si="12"/>
        <v>60610040110778140323</v>
      </c>
      <c r="B325" s="476">
        <v>606</v>
      </c>
      <c r="C325" s="475">
        <v>1004</v>
      </c>
      <c r="D325" s="474" t="s">
        <v>2020</v>
      </c>
      <c r="E325" s="473" t="s">
        <v>502</v>
      </c>
      <c r="F325" s="484">
        <v>3150000</v>
      </c>
      <c r="G325" s="484">
        <v>0</v>
      </c>
      <c r="H325" s="483">
        <v>0</v>
      </c>
      <c r="I325" s="345" t="str">
        <f t="shared" si="13"/>
        <v>1004</v>
      </c>
      <c r="J325" s="346" t="str">
        <f t="shared" si="14"/>
        <v>0110778140</v>
      </c>
    </row>
    <row r="326" spans="1:10" hidden="1">
      <c r="A326" s="346" t="str">
        <f t="shared" si="12"/>
        <v>60701139810020110244</v>
      </c>
      <c r="B326" s="476">
        <v>607</v>
      </c>
      <c r="C326" s="475">
        <v>113</v>
      </c>
      <c r="D326" s="474" t="s">
        <v>2021</v>
      </c>
      <c r="E326" s="473" t="s">
        <v>31</v>
      </c>
      <c r="F326" s="484">
        <v>0</v>
      </c>
      <c r="G326" s="484">
        <v>0</v>
      </c>
      <c r="H326" s="483">
        <v>0</v>
      </c>
      <c r="I326" s="345" t="str">
        <f t="shared" si="13"/>
        <v>0113</v>
      </c>
      <c r="J326" s="346" t="str">
        <f t="shared" si="14"/>
        <v>9810020110</v>
      </c>
    </row>
    <row r="327" spans="1:10" hidden="1">
      <c r="A327" s="346" t="str">
        <f t="shared" si="12"/>
        <v>60701139810020110360</v>
      </c>
      <c r="B327" s="476">
        <v>607</v>
      </c>
      <c r="C327" s="475">
        <v>113</v>
      </c>
      <c r="D327" s="474" t="s">
        <v>2021</v>
      </c>
      <c r="E327" s="473" t="s">
        <v>514</v>
      </c>
      <c r="F327" s="484">
        <v>26400</v>
      </c>
      <c r="G327" s="484">
        <v>0</v>
      </c>
      <c r="H327" s="483">
        <v>0</v>
      </c>
      <c r="I327" s="345" t="str">
        <f t="shared" si="13"/>
        <v>0113</v>
      </c>
      <c r="J327" s="346" t="str">
        <f t="shared" si="14"/>
        <v>9810020110</v>
      </c>
    </row>
    <row r="328" spans="1:10" hidden="1">
      <c r="A328" s="346" t="str">
        <f t="shared" si="12"/>
        <v>60701139810020110853</v>
      </c>
      <c r="B328" s="476">
        <v>607</v>
      </c>
      <c r="C328" s="475">
        <v>113</v>
      </c>
      <c r="D328" s="474" t="s">
        <v>2021</v>
      </c>
      <c r="E328" s="473" t="s">
        <v>78</v>
      </c>
      <c r="F328" s="484">
        <v>42000</v>
      </c>
      <c r="G328" s="484">
        <v>0</v>
      </c>
      <c r="H328" s="483">
        <v>0</v>
      </c>
      <c r="I328" s="345" t="str">
        <f t="shared" si="13"/>
        <v>0113</v>
      </c>
      <c r="J328" s="346" t="str">
        <f t="shared" si="14"/>
        <v>9810020110</v>
      </c>
    </row>
    <row r="329" spans="1:10" hidden="1">
      <c r="A329" s="346" t="str">
        <f t="shared" si="12"/>
        <v>60701139810020110862</v>
      </c>
      <c r="B329" s="476">
        <v>607</v>
      </c>
      <c r="C329" s="475">
        <v>113</v>
      </c>
      <c r="D329" s="474" t="s">
        <v>2021</v>
      </c>
      <c r="E329" s="473" t="s">
        <v>518</v>
      </c>
      <c r="F329" s="484">
        <v>218830</v>
      </c>
      <c r="G329" s="484">
        <v>0</v>
      </c>
      <c r="H329" s="483">
        <v>0</v>
      </c>
      <c r="I329" s="345" t="str">
        <f t="shared" si="13"/>
        <v>0113</v>
      </c>
      <c r="J329" s="346" t="str">
        <f t="shared" si="14"/>
        <v>9810020110</v>
      </c>
    </row>
    <row r="330" spans="1:10" hidden="1">
      <c r="A330" s="346" t="str">
        <f t="shared" si="12"/>
        <v>60707030710120060611</v>
      </c>
      <c r="B330" s="476">
        <v>607</v>
      </c>
      <c r="C330" s="475">
        <v>703</v>
      </c>
      <c r="D330" s="474" t="s">
        <v>1946</v>
      </c>
      <c r="E330" s="473" t="s">
        <v>406</v>
      </c>
      <c r="F330" s="484">
        <v>296500</v>
      </c>
      <c r="G330" s="484">
        <v>0</v>
      </c>
      <c r="H330" s="483">
        <v>0</v>
      </c>
      <c r="I330" s="345" t="str">
        <f t="shared" si="13"/>
        <v>0703</v>
      </c>
      <c r="J330" s="346" t="str">
        <f t="shared" si="14"/>
        <v>0710120060</v>
      </c>
    </row>
    <row r="331" spans="1:10" hidden="1">
      <c r="A331" s="346" t="str">
        <f t="shared" ref="A331:A394" si="15">B331&amp;I331&amp;J331&amp;E331</f>
        <v>60707030710120060621</v>
      </c>
      <c r="B331" s="476">
        <v>607</v>
      </c>
      <c r="C331" s="475">
        <v>703</v>
      </c>
      <c r="D331" s="474" t="s">
        <v>1946</v>
      </c>
      <c r="E331" s="473" t="s">
        <v>412</v>
      </c>
      <c r="F331" s="484">
        <v>65000</v>
      </c>
      <c r="G331" s="484">
        <v>0</v>
      </c>
      <c r="H331" s="483">
        <v>0</v>
      </c>
      <c r="I331" s="345" t="str">
        <f t="shared" ref="I331:I394" si="16">TEXT(C331,"0000")</f>
        <v>0703</v>
      </c>
      <c r="J331" s="346" t="str">
        <f t="shared" ref="J331:J394" si="17">TEXT(D331,"0000000000")</f>
        <v>0710120060</v>
      </c>
    </row>
    <row r="332" spans="1:10" hidden="1">
      <c r="A332" s="346" t="str">
        <f t="shared" si="15"/>
        <v>60707030720111010611</v>
      </c>
      <c r="B332" s="476">
        <v>607</v>
      </c>
      <c r="C332" s="475">
        <v>703</v>
      </c>
      <c r="D332" s="474" t="s">
        <v>2022</v>
      </c>
      <c r="E332" s="473" t="s">
        <v>406</v>
      </c>
      <c r="F332" s="484">
        <v>116805129.01000001</v>
      </c>
      <c r="G332" s="484">
        <v>0</v>
      </c>
      <c r="H332" s="483">
        <v>0</v>
      </c>
      <c r="I332" s="345" t="str">
        <f t="shared" si="16"/>
        <v>0703</v>
      </c>
      <c r="J332" s="346" t="str">
        <f t="shared" si="17"/>
        <v>0720111010</v>
      </c>
    </row>
    <row r="333" spans="1:10" hidden="1">
      <c r="A333" s="346" t="str">
        <f t="shared" si="15"/>
        <v>60707030720111010621</v>
      </c>
      <c r="B333" s="476">
        <v>607</v>
      </c>
      <c r="C333" s="475">
        <v>703</v>
      </c>
      <c r="D333" s="474" t="s">
        <v>2022</v>
      </c>
      <c r="E333" s="473" t="s">
        <v>412</v>
      </c>
      <c r="F333" s="484">
        <v>14815168.91</v>
      </c>
      <c r="G333" s="484">
        <v>0</v>
      </c>
      <c r="H333" s="483">
        <v>0</v>
      </c>
      <c r="I333" s="345" t="str">
        <f t="shared" si="16"/>
        <v>0703</v>
      </c>
      <c r="J333" s="346" t="str">
        <f t="shared" si="17"/>
        <v>0720111010</v>
      </c>
    </row>
    <row r="334" spans="1:10" hidden="1">
      <c r="A334" s="346" t="str">
        <f t="shared" si="15"/>
        <v>60707030720177080611</v>
      </c>
      <c r="B334" s="476">
        <v>607</v>
      </c>
      <c r="C334" s="475">
        <v>703</v>
      </c>
      <c r="D334" s="474" t="s">
        <v>2341</v>
      </c>
      <c r="E334" s="473" t="s">
        <v>406</v>
      </c>
      <c r="F334" s="484">
        <v>2446700</v>
      </c>
      <c r="G334" s="484">
        <v>0</v>
      </c>
      <c r="H334" s="483">
        <v>0</v>
      </c>
      <c r="I334" s="345" t="str">
        <f t="shared" si="16"/>
        <v>0703</v>
      </c>
      <c r="J334" s="346" t="str">
        <f t="shared" si="17"/>
        <v>0720177080</v>
      </c>
    </row>
    <row r="335" spans="1:10" hidden="1">
      <c r="A335" s="346" t="str">
        <f t="shared" si="15"/>
        <v>60707030720177080621</v>
      </c>
      <c r="B335" s="476">
        <v>607</v>
      </c>
      <c r="C335" s="475">
        <v>703</v>
      </c>
      <c r="D335" s="474" t="s">
        <v>2341</v>
      </c>
      <c r="E335" s="473" t="s">
        <v>412</v>
      </c>
      <c r="F335" s="484">
        <v>430030</v>
      </c>
      <c r="G335" s="484">
        <v>0</v>
      </c>
      <c r="H335" s="483">
        <v>0</v>
      </c>
      <c r="I335" s="345" t="str">
        <f t="shared" si="16"/>
        <v>0703</v>
      </c>
      <c r="J335" s="346" t="str">
        <f t="shared" si="17"/>
        <v>0720177080</v>
      </c>
    </row>
    <row r="336" spans="1:10" hidden="1">
      <c r="A336" s="346" t="str">
        <f t="shared" si="15"/>
        <v>60707030720177460611</v>
      </c>
      <c r="B336" s="476">
        <v>607</v>
      </c>
      <c r="C336" s="475">
        <v>703</v>
      </c>
      <c r="D336" s="474" t="s">
        <v>2023</v>
      </c>
      <c r="E336" s="473" t="s">
        <v>406</v>
      </c>
      <c r="F336" s="484">
        <v>1061756.93</v>
      </c>
      <c r="G336" s="484">
        <v>0</v>
      </c>
      <c r="H336" s="483">
        <v>0</v>
      </c>
      <c r="I336" s="345" t="str">
        <f t="shared" si="16"/>
        <v>0703</v>
      </c>
      <c r="J336" s="346" t="str">
        <f t="shared" si="17"/>
        <v>0720177460</v>
      </c>
    </row>
    <row r="337" spans="1:10" hidden="1">
      <c r="A337" s="346" t="str">
        <f t="shared" si="15"/>
        <v>60707030720177460621</v>
      </c>
      <c r="B337" s="476">
        <v>607</v>
      </c>
      <c r="C337" s="475">
        <v>703</v>
      </c>
      <c r="D337" s="474" t="s">
        <v>2023</v>
      </c>
      <c r="E337" s="473" t="s">
        <v>412</v>
      </c>
      <c r="F337" s="484">
        <v>114814.41</v>
      </c>
      <c r="G337" s="484">
        <v>0</v>
      </c>
      <c r="H337" s="483">
        <v>0</v>
      </c>
      <c r="I337" s="345" t="str">
        <f t="shared" si="16"/>
        <v>0703</v>
      </c>
      <c r="J337" s="346" t="str">
        <f t="shared" si="17"/>
        <v>0720177460</v>
      </c>
    </row>
    <row r="338" spans="1:10" hidden="1">
      <c r="A338" s="346" t="str">
        <f t="shared" si="15"/>
        <v>60707030720177580611</v>
      </c>
      <c r="B338" s="476">
        <v>607</v>
      </c>
      <c r="C338" s="475">
        <v>703</v>
      </c>
      <c r="D338" s="474" t="s">
        <v>2024</v>
      </c>
      <c r="E338" s="473" t="s">
        <v>406</v>
      </c>
      <c r="F338" s="484">
        <v>1133315.75</v>
      </c>
      <c r="G338" s="484">
        <v>0</v>
      </c>
      <c r="H338" s="483">
        <v>0</v>
      </c>
      <c r="I338" s="345" t="str">
        <f t="shared" si="16"/>
        <v>0703</v>
      </c>
      <c r="J338" s="346" t="str">
        <f t="shared" si="17"/>
        <v>0720177580</v>
      </c>
    </row>
    <row r="339" spans="1:10" hidden="1">
      <c r="A339" s="346" t="str">
        <f t="shared" si="15"/>
        <v>60707030720177580621</v>
      </c>
      <c r="B339" s="476">
        <v>607</v>
      </c>
      <c r="C339" s="475">
        <v>703</v>
      </c>
      <c r="D339" s="474" t="s">
        <v>2024</v>
      </c>
      <c r="E339" s="473" t="s">
        <v>412</v>
      </c>
      <c r="F339" s="484">
        <v>70167.34</v>
      </c>
      <c r="G339" s="484">
        <v>0</v>
      </c>
      <c r="H339" s="483">
        <v>0</v>
      </c>
      <c r="I339" s="345" t="str">
        <f t="shared" si="16"/>
        <v>0703</v>
      </c>
      <c r="J339" s="346" t="str">
        <f t="shared" si="17"/>
        <v>0720177580</v>
      </c>
    </row>
    <row r="340" spans="1:10" hidden="1">
      <c r="A340" s="346" t="str">
        <f t="shared" si="15"/>
        <v>607070307201S7080611</v>
      </c>
      <c r="B340" s="476">
        <v>607</v>
      </c>
      <c r="C340" s="475">
        <v>703</v>
      </c>
      <c r="D340" s="474" t="s">
        <v>2342</v>
      </c>
      <c r="E340" s="473" t="s">
        <v>406</v>
      </c>
      <c r="F340" s="484">
        <v>261372</v>
      </c>
      <c r="G340" s="484">
        <v>0</v>
      </c>
      <c r="H340" s="483">
        <v>0</v>
      </c>
      <c r="I340" s="345" t="str">
        <f t="shared" si="16"/>
        <v>0703</v>
      </c>
      <c r="J340" s="346" t="str">
        <f t="shared" si="17"/>
        <v>07201S7080</v>
      </c>
    </row>
    <row r="341" spans="1:10" hidden="1">
      <c r="A341" s="346" t="str">
        <f t="shared" si="15"/>
        <v>607070307201S7080621</v>
      </c>
      <c r="B341" s="476">
        <v>607</v>
      </c>
      <c r="C341" s="475">
        <v>703</v>
      </c>
      <c r="D341" s="474" t="s">
        <v>2342</v>
      </c>
      <c r="E341" s="473" t="s">
        <v>412</v>
      </c>
      <c r="F341" s="484">
        <v>23140</v>
      </c>
      <c r="G341" s="484">
        <v>0</v>
      </c>
      <c r="H341" s="483">
        <v>0</v>
      </c>
      <c r="I341" s="345" t="str">
        <f t="shared" si="16"/>
        <v>0703</v>
      </c>
      <c r="J341" s="346" t="str">
        <f t="shared" si="17"/>
        <v>07201S7080</v>
      </c>
    </row>
    <row r="342" spans="1:10" hidden="1">
      <c r="A342" s="346" t="str">
        <f t="shared" si="15"/>
        <v>60707030720620400612</v>
      </c>
      <c r="B342" s="476">
        <v>607</v>
      </c>
      <c r="C342" s="475">
        <v>703</v>
      </c>
      <c r="D342" s="474" t="s">
        <v>2025</v>
      </c>
      <c r="E342" s="473" t="s">
        <v>408</v>
      </c>
      <c r="F342" s="484">
        <v>0</v>
      </c>
      <c r="G342" s="484">
        <v>0</v>
      </c>
      <c r="H342" s="483">
        <v>0</v>
      </c>
      <c r="I342" s="345" t="str">
        <f t="shared" si="16"/>
        <v>0703</v>
      </c>
      <c r="J342" s="346" t="str">
        <f t="shared" si="17"/>
        <v>0720620400</v>
      </c>
    </row>
    <row r="343" spans="1:10" hidden="1">
      <c r="A343" s="346" t="str">
        <f t="shared" si="15"/>
        <v>60707030720821230612</v>
      </c>
      <c r="B343" s="476">
        <v>607</v>
      </c>
      <c r="C343" s="475">
        <v>703</v>
      </c>
      <c r="D343" s="474" t="s">
        <v>2026</v>
      </c>
      <c r="E343" s="473" t="s">
        <v>408</v>
      </c>
      <c r="F343" s="484">
        <v>955200</v>
      </c>
      <c r="G343" s="484">
        <v>0</v>
      </c>
      <c r="H343" s="483">
        <v>0</v>
      </c>
      <c r="I343" s="345" t="str">
        <f t="shared" si="16"/>
        <v>0703</v>
      </c>
      <c r="J343" s="346" t="str">
        <f t="shared" si="17"/>
        <v>0720821230</v>
      </c>
    </row>
    <row r="344" spans="1:10" hidden="1">
      <c r="A344" s="346" t="str">
        <f t="shared" si="15"/>
        <v>60707030720921280612</v>
      </c>
      <c r="B344" s="476">
        <v>607</v>
      </c>
      <c r="C344" s="475">
        <v>703</v>
      </c>
      <c r="D344" s="474" t="s">
        <v>2027</v>
      </c>
      <c r="E344" s="473" t="s">
        <v>408</v>
      </c>
      <c r="F344" s="484">
        <v>163800</v>
      </c>
      <c r="G344" s="484">
        <v>0</v>
      </c>
      <c r="H344" s="483">
        <v>0</v>
      </c>
      <c r="I344" s="345" t="str">
        <f t="shared" si="16"/>
        <v>0703</v>
      </c>
      <c r="J344" s="346" t="str">
        <f t="shared" si="17"/>
        <v>0720921280</v>
      </c>
    </row>
    <row r="345" spans="1:10" hidden="1">
      <c r="A345" s="346" t="str">
        <f t="shared" si="15"/>
        <v>60707030720921280622</v>
      </c>
      <c r="B345" s="476">
        <v>607</v>
      </c>
      <c r="C345" s="475">
        <v>703</v>
      </c>
      <c r="D345" s="474" t="s">
        <v>2027</v>
      </c>
      <c r="E345" s="473" t="s">
        <v>429</v>
      </c>
      <c r="F345" s="484">
        <v>54600</v>
      </c>
      <c r="G345" s="484">
        <v>0</v>
      </c>
      <c r="H345" s="483">
        <v>0</v>
      </c>
      <c r="I345" s="345" t="str">
        <f t="shared" si="16"/>
        <v>0703</v>
      </c>
      <c r="J345" s="346" t="str">
        <f t="shared" si="17"/>
        <v>0720921280</v>
      </c>
    </row>
    <row r="346" spans="1:10" hidden="1">
      <c r="A346" s="346" t="str">
        <f t="shared" si="15"/>
        <v>60707030721221430622</v>
      </c>
      <c r="B346" s="476">
        <v>607</v>
      </c>
      <c r="C346" s="475">
        <v>703</v>
      </c>
      <c r="D346" s="474" t="s">
        <v>2028</v>
      </c>
      <c r="E346" s="473" t="s">
        <v>429</v>
      </c>
      <c r="F346" s="484">
        <v>1162445</v>
      </c>
      <c r="G346" s="484">
        <v>0</v>
      </c>
      <c r="H346" s="483">
        <v>0</v>
      </c>
      <c r="I346" s="345" t="str">
        <f t="shared" si="16"/>
        <v>0703</v>
      </c>
      <c r="J346" s="346" t="str">
        <f t="shared" si="17"/>
        <v>0721221430</v>
      </c>
    </row>
    <row r="347" spans="1:10" hidden="1">
      <c r="A347" s="346" t="str">
        <f t="shared" si="15"/>
        <v>60707031620220550612</v>
      </c>
      <c r="B347" s="476">
        <v>607</v>
      </c>
      <c r="C347" s="475">
        <v>703</v>
      </c>
      <c r="D347" s="474" t="s">
        <v>1991</v>
      </c>
      <c r="E347" s="473" t="s">
        <v>408</v>
      </c>
      <c r="F347" s="484">
        <v>344800</v>
      </c>
      <c r="G347" s="484">
        <v>0</v>
      </c>
      <c r="H347" s="483">
        <v>0</v>
      </c>
      <c r="I347" s="345" t="str">
        <f t="shared" si="16"/>
        <v>0703</v>
      </c>
      <c r="J347" s="346" t="str">
        <f t="shared" si="17"/>
        <v>1620220550</v>
      </c>
    </row>
    <row r="348" spans="1:10" hidden="1">
      <c r="A348" s="346" t="str">
        <f t="shared" si="15"/>
        <v>60707031620220550622</v>
      </c>
      <c r="B348" s="476">
        <v>607</v>
      </c>
      <c r="C348" s="475">
        <v>703</v>
      </c>
      <c r="D348" s="474" t="s">
        <v>1991</v>
      </c>
      <c r="E348" s="473" t="s">
        <v>429</v>
      </c>
      <c r="F348" s="484">
        <v>48000</v>
      </c>
      <c r="G348" s="484">
        <v>0</v>
      </c>
      <c r="H348" s="483">
        <v>0</v>
      </c>
      <c r="I348" s="345" t="str">
        <f t="shared" si="16"/>
        <v>0703</v>
      </c>
      <c r="J348" s="346" t="str">
        <f t="shared" si="17"/>
        <v>1620220550</v>
      </c>
    </row>
    <row r="349" spans="1:10" hidden="1">
      <c r="A349" s="346" t="str">
        <f t="shared" si="15"/>
        <v>607070317Б0120490612</v>
      </c>
      <c r="B349" s="476">
        <v>607</v>
      </c>
      <c r="C349" s="475">
        <v>703</v>
      </c>
      <c r="D349" s="474" t="s">
        <v>1200</v>
      </c>
      <c r="E349" s="473" t="s">
        <v>408</v>
      </c>
      <c r="F349" s="484">
        <v>692250</v>
      </c>
      <c r="G349" s="484">
        <v>0</v>
      </c>
      <c r="H349" s="483">
        <v>0</v>
      </c>
      <c r="I349" s="345" t="str">
        <f t="shared" si="16"/>
        <v>0703</v>
      </c>
      <c r="J349" s="346" t="str">
        <f t="shared" si="17"/>
        <v>17Б0120490</v>
      </c>
    </row>
    <row r="350" spans="1:10" hidden="1">
      <c r="A350" s="346" t="str">
        <f t="shared" si="15"/>
        <v>607070317Б0120490622</v>
      </c>
      <c r="B350" s="476">
        <v>607</v>
      </c>
      <c r="C350" s="475">
        <v>703</v>
      </c>
      <c r="D350" s="474" t="s">
        <v>1200</v>
      </c>
      <c r="E350" s="473" t="s">
        <v>429</v>
      </c>
      <c r="F350" s="484">
        <v>0</v>
      </c>
      <c r="G350" s="484">
        <v>0</v>
      </c>
      <c r="H350" s="483">
        <v>0</v>
      </c>
      <c r="I350" s="345" t="str">
        <f t="shared" si="16"/>
        <v>0703</v>
      </c>
      <c r="J350" s="346" t="str">
        <f t="shared" si="17"/>
        <v>17Б0120490</v>
      </c>
    </row>
    <row r="351" spans="1:10" hidden="1">
      <c r="A351" s="346" t="str">
        <f t="shared" si="15"/>
        <v>60707039810021530612</v>
      </c>
      <c r="B351" s="476">
        <v>607</v>
      </c>
      <c r="C351" s="475">
        <v>703</v>
      </c>
      <c r="D351" s="474" t="s">
        <v>2029</v>
      </c>
      <c r="E351" s="473" t="s">
        <v>408</v>
      </c>
      <c r="F351" s="484">
        <v>6608176</v>
      </c>
      <c r="G351" s="484">
        <v>0</v>
      </c>
      <c r="H351" s="483">
        <v>0</v>
      </c>
      <c r="I351" s="345" t="str">
        <f t="shared" si="16"/>
        <v>0703</v>
      </c>
      <c r="J351" s="346" t="str">
        <f t="shared" si="17"/>
        <v>9810021530</v>
      </c>
    </row>
    <row r="352" spans="1:10" hidden="1">
      <c r="A352" s="346" t="str">
        <f t="shared" si="15"/>
        <v>60707039810021530622</v>
      </c>
      <c r="B352" s="476">
        <v>607</v>
      </c>
      <c r="C352" s="475">
        <v>703</v>
      </c>
      <c r="D352" s="474" t="s">
        <v>2029</v>
      </c>
      <c r="E352" s="473" t="s">
        <v>429</v>
      </c>
      <c r="F352" s="484">
        <v>1260893.72</v>
      </c>
      <c r="G352" s="484">
        <v>0</v>
      </c>
      <c r="H352" s="483">
        <v>0</v>
      </c>
      <c r="I352" s="345" t="str">
        <f t="shared" si="16"/>
        <v>0703</v>
      </c>
      <c r="J352" s="346" t="str">
        <f t="shared" si="17"/>
        <v>9810021530</v>
      </c>
    </row>
    <row r="353" spans="1:10" hidden="1">
      <c r="A353" s="346" t="str">
        <f t="shared" si="15"/>
        <v>60707070430420300244</v>
      </c>
      <c r="B353" s="476">
        <v>607</v>
      </c>
      <c r="C353" s="475">
        <v>707</v>
      </c>
      <c r="D353" s="474" t="s">
        <v>2030</v>
      </c>
      <c r="E353" s="473" t="s">
        <v>31</v>
      </c>
      <c r="F353" s="484">
        <v>187500</v>
      </c>
      <c r="G353" s="484">
        <v>0</v>
      </c>
      <c r="H353" s="483">
        <v>0</v>
      </c>
      <c r="I353" s="345" t="str">
        <f t="shared" si="16"/>
        <v>0707</v>
      </c>
      <c r="J353" s="346" t="str">
        <f t="shared" si="17"/>
        <v>0430420300</v>
      </c>
    </row>
    <row r="354" spans="1:10" hidden="1">
      <c r="A354" s="346" t="str">
        <f t="shared" si="15"/>
        <v>607070709Б0120460611</v>
      </c>
      <c r="B354" s="476">
        <v>607</v>
      </c>
      <c r="C354" s="475">
        <v>707</v>
      </c>
      <c r="D354" s="474" t="s">
        <v>1209</v>
      </c>
      <c r="E354" s="473" t="s">
        <v>406</v>
      </c>
      <c r="F354" s="484">
        <v>779000</v>
      </c>
      <c r="G354" s="484">
        <v>0</v>
      </c>
      <c r="H354" s="483">
        <v>0</v>
      </c>
      <c r="I354" s="345" t="str">
        <f t="shared" si="16"/>
        <v>0707</v>
      </c>
      <c r="J354" s="346" t="str">
        <f t="shared" si="17"/>
        <v>09Б0120460</v>
      </c>
    </row>
    <row r="355" spans="1:10" hidden="1">
      <c r="A355" s="346" t="str">
        <f t="shared" si="15"/>
        <v>607070709Б0220460244</v>
      </c>
      <c r="B355" s="476">
        <v>607</v>
      </c>
      <c r="C355" s="475">
        <v>707</v>
      </c>
      <c r="D355" s="474" t="s">
        <v>1211</v>
      </c>
      <c r="E355" s="473" t="s">
        <v>31</v>
      </c>
      <c r="F355" s="484">
        <v>549500</v>
      </c>
      <c r="G355" s="484">
        <v>0</v>
      </c>
      <c r="H355" s="483">
        <v>0</v>
      </c>
      <c r="I355" s="345" t="str">
        <f t="shared" si="16"/>
        <v>0707</v>
      </c>
      <c r="J355" s="346" t="str">
        <f t="shared" si="17"/>
        <v>09Б0220460</v>
      </c>
    </row>
    <row r="356" spans="1:10" hidden="1">
      <c r="A356" s="346" t="str">
        <f t="shared" si="15"/>
        <v>607070709Б0220460340</v>
      </c>
      <c r="B356" s="476">
        <v>607</v>
      </c>
      <c r="C356" s="475">
        <v>707</v>
      </c>
      <c r="D356" s="474" t="s">
        <v>1211</v>
      </c>
      <c r="E356" s="473" t="s">
        <v>556</v>
      </c>
      <c r="F356" s="484">
        <v>2835000</v>
      </c>
      <c r="G356" s="484">
        <v>0</v>
      </c>
      <c r="H356" s="483">
        <v>0</v>
      </c>
      <c r="I356" s="345" t="str">
        <f t="shared" si="16"/>
        <v>0707</v>
      </c>
      <c r="J356" s="346" t="str">
        <f t="shared" si="17"/>
        <v>09Б0220460</v>
      </c>
    </row>
    <row r="357" spans="1:10" hidden="1">
      <c r="A357" s="346" t="str">
        <f t="shared" si="15"/>
        <v>607070709Б0220460350</v>
      </c>
      <c r="B357" s="476">
        <v>607</v>
      </c>
      <c r="C357" s="475">
        <v>707</v>
      </c>
      <c r="D357" s="474" t="s">
        <v>1211</v>
      </c>
      <c r="E357" s="473" t="s">
        <v>164</v>
      </c>
      <c r="F357" s="484">
        <v>250000</v>
      </c>
      <c r="G357" s="484">
        <v>0</v>
      </c>
      <c r="H357" s="483">
        <v>0</v>
      </c>
      <c r="I357" s="345" t="str">
        <f t="shared" si="16"/>
        <v>0707</v>
      </c>
      <c r="J357" s="346" t="str">
        <f t="shared" si="17"/>
        <v>09Б0220460</v>
      </c>
    </row>
    <row r="358" spans="1:10" hidden="1">
      <c r="A358" s="346" t="str">
        <f t="shared" si="15"/>
        <v>607070709Б0220460611</v>
      </c>
      <c r="B358" s="476">
        <v>607</v>
      </c>
      <c r="C358" s="475">
        <v>707</v>
      </c>
      <c r="D358" s="474" t="s">
        <v>1211</v>
      </c>
      <c r="E358" s="473" t="s">
        <v>406</v>
      </c>
      <c r="F358" s="484">
        <v>1430000</v>
      </c>
      <c r="G358" s="484">
        <v>0</v>
      </c>
      <c r="H358" s="483">
        <v>0</v>
      </c>
      <c r="I358" s="345" t="str">
        <f t="shared" si="16"/>
        <v>0707</v>
      </c>
      <c r="J358" s="346" t="str">
        <f t="shared" si="17"/>
        <v>09Б0220460</v>
      </c>
    </row>
    <row r="359" spans="1:10" hidden="1">
      <c r="A359" s="346" t="str">
        <f t="shared" si="15"/>
        <v>607070709Б0277430622</v>
      </c>
      <c r="B359" s="476">
        <v>607</v>
      </c>
      <c r="C359" s="475">
        <v>707</v>
      </c>
      <c r="D359" s="474" t="s">
        <v>1212</v>
      </c>
      <c r="E359" s="473" t="s">
        <v>429</v>
      </c>
      <c r="F359" s="484">
        <v>23315000</v>
      </c>
      <c r="G359" s="484">
        <v>0</v>
      </c>
      <c r="H359" s="483">
        <v>0</v>
      </c>
      <c r="I359" s="345" t="str">
        <f t="shared" si="16"/>
        <v>0707</v>
      </c>
      <c r="J359" s="346" t="str">
        <f t="shared" si="17"/>
        <v>09Б0277430</v>
      </c>
    </row>
    <row r="360" spans="1:10" hidden="1">
      <c r="A360" s="346" t="str">
        <f t="shared" si="15"/>
        <v>607070709Б0320460611</v>
      </c>
      <c r="B360" s="476">
        <v>607</v>
      </c>
      <c r="C360" s="475">
        <v>707</v>
      </c>
      <c r="D360" s="474" t="s">
        <v>1214</v>
      </c>
      <c r="E360" s="473" t="s">
        <v>406</v>
      </c>
      <c r="F360" s="484">
        <v>180000</v>
      </c>
      <c r="G360" s="484">
        <v>0</v>
      </c>
      <c r="H360" s="483">
        <v>0</v>
      </c>
      <c r="I360" s="345" t="str">
        <f t="shared" si="16"/>
        <v>0707</v>
      </c>
      <c r="J360" s="346" t="str">
        <f t="shared" si="17"/>
        <v>09Б0320460</v>
      </c>
    </row>
    <row r="361" spans="1:10" hidden="1">
      <c r="A361" s="346" t="str">
        <f t="shared" si="15"/>
        <v>607070709Б0420460611</v>
      </c>
      <c r="B361" s="476">
        <v>607</v>
      </c>
      <c r="C361" s="475">
        <v>707</v>
      </c>
      <c r="D361" s="474" t="s">
        <v>1216</v>
      </c>
      <c r="E361" s="473" t="s">
        <v>406</v>
      </c>
      <c r="F361" s="484">
        <v>310000</v>
      </c>
      <c r="G361" s="484">
        <v>0</v>
      </c>
      <c r="H361" s="483">
        <v>0</v>
      </c>
      <c r="I361" s="345" t="str">
        <f t="shared" si="16"/>
        <v>0707</v>
      </c>
      <c r="J361" s="346" t="str">
        <f t="shared" si="17"/>
        <v>09Б0420460</v>
      </c>
    </row>
    <row r="362" spans="1:10" hidden="1">
      <c r="A362" s="346" t="str">
        <f t="shared" si="15"/>
        <v>607070709Б0520460611</v>
      </c>
      <c r="B362" s="476">
        <v>607</v>
      </c>
      <c r="C362" s="475">
        <v>707</v>
      </c>
      <c r="D362" s="474" t="s">
        <v>1218</v>
      </c>
      <c r="E362" s="473" t="s">
        <v>406</v>
      </c>
      <c r="F362" s="484">
        <v>25540</v>
      </c>
      <c r="G362" s="484">
        <v>0</v>
      </c>
      <c r="H362" s="483">
        <v>0</v>
      </c>
      <c r="I362" s="345" t="str">
        <f t="shared" si="16"/>
        <v>0707</v>
      </c>
      <c r="J362" s="346" t="str">
        <f t="shared" si="17"/>
        <v>09Б0520460</v>
      </c>
    </row>
    <row r="363" spans="1:10" hidden="1">
      <c r="A363" s="346" t="str">
        <f t="shared" si="15"/>
        <v>607070709Б0611010611</v>
      </c>
      <c r="B363" s="476">
        <v>607</v>
      </c>
      <c r="C363" s="475">
        <v>707</v>
      </c>
      <c r="D363" s="474" t="s">
        <v>1220</v>
      </c>
      <c r="E363" s="473" t="s">
        <v>406</v>
      </c>
      <c r="F363" s="484">
        <v>3832530.64</v>
      </c>
      <c r="G363" s="484">
        <v>0</v>
      </c>
      <c r="H363" s="483">
        <v>0</v>
      </c>
      <c r="I363" s="345" t="str">
        <f t="shared" si="16"/>
        <v>0707</v>
      </c>
      <c r="J363" s="346" t="str">
        <f t="shared" si="17"/>
        <v>09Б0611010</v>
      </c>
    </row>
    <row r="364" spans="1:10" hidden="1">
      <c r="A364" s="346" t="str">
        <f t="shared" si="15"/>
        <v>607070709Б0677460611</v>
      </c>
      <c r="B364" s="476">
        <v>607</v>
      </c>
      <c r="C364" s="475">
        <v>707</v>
      </c>
      <c r="D364" s="474" t="s">
        <v>2031</v>
      </c>
      <c r="E364" s="473" t="s">
        <v>406</v>
      </c>
      <c r="F364" s="484">
        <v>112725</v>
      </c>
      <c r="G364" s="484">
        <v>0</v>
      </c>
      <c r="H364" s="483">
        <v>0</v>
      </c>
      <c r="I364" s="345" t="str">
        <f t="shared" si="16"/>
        <v>0707</v>
      </c>
      <c r="J364" s="346" t="str">
        <f t="shared" si="17"/>
        <v>09Б0677460</v>
      </c>
    </row>
    <row r="365" spans="1:10" hidden="1">
      <c r="A365" s="346" t="str">
        <f t="shared" si="15"/>
        <v>60707071510120350612</v>
      </c>
      <c r="B365" s="476">
        <v>607</v>
      </c>
      <c r="C365" s="475">
        <v>707</v>
      </c>
      <c r="D365" s="474" t="s">
        <v>1928</v>
      </c>
      <c r="E365" s="473" t="s">
        <v>408</v>
      </c>
      <c r="F365" s="484">
        <v>0</v>
      </c>
      <c r="G365" s="484">
        <v>0</v>
      </c>
      <c r="H365" s="483">
        <v>0</v>
      </c>
      <c r="I365" s="345" t="str">
        <f t="shared" si="16"/>
        <v>0707</v>
      </c>
      <c r="J365" s="346" t="str">
        <f t="shared" si="17"/>
        <v>1510120350</v>
      </c>
    </row>
    <row r="366" spans="1:10" hidden="1">
      <c r="A366" s="346" t="str">
        <f t="shared" si="15"/>
        <v>60707071510220350612</v>
      </c>
      <c r="B366" s="476">
        <v>607</v>
      </c>
      <c r="C366" s="475">
        <v>707</v>
      </c>
      <c r="D366" s="474" t="s">
        <v>1929</v>
      </c>
      <c r="E366" s="473" t="s">
        <v>408</v>
      </c>
      <c r="F366" s="484">
        <v>390000</v>
      </c>
      <c r="G366" s="484">
        <v>0</v>
      </c>
      <c r="H366" s="483">
        <v>0</v>
      </c>
      <c r="I366" s="345" t="str">
        <f t="shared" si="16"/>
        <v>0707</v>
      </c>
      <c r="J366" s="346" t="str">
        <f t="shared" si="17"/>
        <v>1510220350</v>
      </c>
    </row>
    <row r="367" spans="1:10" hidden="1">
      <c r="A367" s="346" t="str">
        <f t="shared" si="15"/>
        <v>60708010710120060611</v>
      </c>
      <c r="B367" s="476">
        <v>607</v>
      </c>
      <c r="C367" s="475">
        <v>801</v>
      </c>
      <c r="D367" s="474" t="s">
        <v>1946</v>
      </c>
      <c r="E367" s="473" t="s">
        <v>406</v>
      </c>
      <c r="F367" s="484">
        <v>3172500</v>
      </c>
      <c r="G367" s="484">
        <v>0</v>
      </c>
      <c r="H367" s="483">
        <v>0</v>
      </c>
      <c r="I367" s="345" t="str">
        <f t="shared" si="16"/>
        <v>0801</v>
      </c>
      <c r="J367" s="346" t="str">
        <f t="shared" si="17"/>
        <v>0710120060</v>
      </c>
    </row>
    <row r="368" spans="1:10" hidden="1">
      <c r="A368" s="346" t="str">
        <f t="shared" si="15"/>
        <v>60708010710120060621</v>
      </c>
      <c r="B368" s="476">
        <v>607</v>
      </c>
      <c r="C368" s="475">
        <v>801</v>
      </c>
      <c r="D368" s="474" t="s">
        <v>1946</v>
      </c>
      <c r="E368" s="473" t="s">
        <v>412</v>
      </c>
      <c r="F368" s="484">
        <v>2471500</v>
      </c>
      <c r="G368" s="484">
        <v>0</v>
      </c>
      <c r="H368" s="483">
        <v>0</v>
      </c>
      <c r="I368" s="345" t="str">
        <f t="shared" si="16"/>
        <v>0801</v>
      </c>
      <c r="J368" s="346" t="str">
        <f t="shared" si="17"/>
        <v>0710120060</v>
      </c>
    </row>
    <row r="369" spans="1:10" hidden="1">
      <c r="A369" s="346" t="str">
        <f t="shared" si="15"/>
        <v>60708010720211010611</v>
      </c>
      <c r="B369" s="476">
        <v>607</v>
      </c>
      <c r="C369" s="475">
        <v>801</v>
      </c>
      <c r="D369" s="474" t="s">
        <v>2032</v>
      </c>
      <c r="E369" s="473" t="s">
        <v>406</v>
      </c>
      <c r="F369" s="484">
        <v>40971296</v>
      </c>
      <c r="G369" s="484">
        <v>0</v>
      </c>
      <c r="H369" s="483">
        <v>0</v>
      </c>
      <c r="I369" s="345" t="str">
        <f t="shared" si="16"/>
        <v>0801</v>
      </c>
      <c r="J369" s="346" t="str">
        <f t="shared" si="17"/>
        <v>0720211010</v>
      </c>
    </row>
    <row r="370" spans="1:10" hidden="1">
      <c r="A370" s="346" t="str">
        <f t="shared" si="15"/>
        <v>60708010720211010621</v>
      </c>
      <c r="B370" s="476">
        <v>607</v>
      </c>
      <c r="C370" s="475">
        <v>801</v>
      </c>
      <c r="D370" s="474" t="s">
        <v>2032</v>
      </c>
      <c r="E370" s="473" t="s">
        <v>412</v>
      </c>
      <c r="F370" s="484">
        <v>22229198</v>
      </c>
      <c r="G370" s="484">
        <v>0</v>
      </c>
      <c r="H370" s="483">
        <v>0</v>
      </c>
      <c r="I370" s="345" t="str">
        <f t="shared" si="16"/>
        <v>0801</v>
      </c>
      <c r="J370" s="346" t="str">
        <f t="shared" si="17"/>
        <v>0720211010</v>
      </c>
    </row>
    <row r="371" spans="1:10" hidden="1">
      <c r="A371" s="346" t="str">
        <f t="shared" si="15"/>
        <v>60708010720211010622</v>
      </c>
      <c r="B371" s="476">
        <v>607</v>
      </c>
      <c r="C371" s="475">
        <v>801</v>
      </c>
      <c r="D371" s="474" t="s">
        <v>2032</v>
      </c>
      <c r="E371" s="473" t="s">
        <v>429</v>
      </c>
      <c r="F371" s="484">
        <v>895420</v>
      </c>
      <c r="G371" s="484">
        <v>0</v>
      </c>
      <c r="H371" s="483">
        <v>0</v>
      </c>
      <c r="I371" s="345" t="str">
        <f t="shared" si="16"/>
        <v>0801</v>
      </c>
      <c r="J371" s="346" t="str">
        <f t="shared" si="17"/>
        <v>0720211010</v>
      </c>
    </row>
    <row r="372" spans="1:10" hidden="1">
      <c r="A372" s="346" t="str">
        <f t="shared" si="15"/>
        <v>60708010720277090611</v>
      </c>
      <c r="B372" s="476">
        <v>607</v>
      </c>
      <c r="C372" s="475">
        <v>801</v>
      </c>
      <c r="D372" s="474" t="s">
        <v>2033</v>
      </c>
      <c r="E372" s="473" t="s">
        <v>406</v>
      </c>
      <c r="F372" s="484">
        <v>4867590</v>
      </c>
      <c r="G372" s="484">
        <v>0</v>
      </c>
      <c r="H372" s="483">
        <v>0</v>
      </c>
      <c r="I372" s="345" t="str">
        <f t="shared" si="16"/>
        <v>0801</v>
      </c>
      <c r="J372" s="346" t="str">
        <f t="shared" si="17"/>
        <v>0720277090</v>
      </c>
    </row>
    <row r="373" spans="1:10" hidden="1">
      <c r="A373" s="346" t="str">
        <f t="shared" si="15"/>
        <v>60708010720277090621</v>
      </c>
      <c r="B373" s="476">
        <v>607</v>
      </c>
      <c r="C373" s="475">
        <v>801</v>
      </c>
      <c r="D373" s="474" t="s">
        <v>2033</v>
      </c>
      <c r="E373" s="473" t="s">
        <v>412</v>
      </c>
      <c r="F373" s="484">
        <v>1605040</v>
      </c>
      <c r="G373" s="484">
        <v>0</v>
      </c>
      <c r="H373" s="483">
        <v>0</v>
      </c>
      <c r="I373" s="345" t="str">
        <f t="shared" si="16"/>
        <v>0801</v>
      </c>
      <c r="J373" s="346" t="str">
        <f t="shared" si="17"/>
        <v>0720277090</v>
      </c>
    </row>
    <row r="374" spans="1:10" hidden="1">
      <c r="A374" s="346" t="str">
        <f t="shared" si="15"/>
        <v>607080107202S7090611</v>
      </c>
      <c r="B374" s="476">
        <v>607</v>
      </c>
      <c r="C374" s="475">
        <v>801</v>
      </c>
      <c r="D374" s="474" t="s">
        <v>2034</v>
      </c>
      <c r="E374" s="473" t="s">
        <v>406</v>
      </c>
      <c r="F374" s="484">
        <v>189887</v>
      </c>
      <c r="G374" s="484">
        <v>0</v>
      </c>
      <c r="H374" s="483">
        <v>0</v>
      </c>
      <c r="I374" s="345" t="str">
        <f t="shared" si="16"/>
        <v>0801</v>
      </c>
      <c r="J374" s="346" t="str">
        <f t="shared" si="17"/>
        <v>07202S7090</v>
      </c>
    </row>
    <row r="375" spans="1:10" hidden="1">
      <c r="A375" s="346" t="str">
        <f t="shared" si="15"/>
        <v>607080107202S7090621</v>
      </c>
      <c r="B375" s="476">
        <v>607</v>
      </c>
      <c r="C375" s="475">
        <v>801</v>
      </c>
      <c r="D375" s="474" t="s">
        <v>2034</v>
      </c>
      <c r="E375" s="473" t="s">
        <v>412</v>
      </c>
      <c r="F375" s="484">
        <v>77187</v>
      </c>
      <c r="G375" s="484">
        <v>0</v>
      </c>
      <c r="H375" s="483">
        <v>0</v>
      </c>
      <c r="I375" s="345" t="str">
        <f t="shared" si="16"/>
        <v>0801</v>
      </c>
      <c r="J375" s="346" t="str">
        <f t="shared" si="17"/>
        <v>07202S7090</v>
      </c>
    </row>
    <row r="376" spans="1:10" hidden="1">
      <c r="A376" s="346" t="str">
        <f t="shared" si="15"/>
        <v>60708010720311010611</v>
      </c>
      <c r="B376" s="476">
        <v>607</v>
      </c>
      <c r="C376" s="475">
        <v>801</v>
      </c>
      <c r="D376" s="474" t="s">
        <v>2035</v>
      </c>
      <c r="E376" s="473" t="s">
        <v>406</v>
      </c>
      <c r="F376" s="484">
        <v>3647322</v>
      </c>
      <c r="G376" s="484">
        <v>0</v>
      </c>
      <c r="H376" s="483">
        <v>0</v>
      </c>
      <c r="I376" s="345" t="str">
        <f t="shared" si="16"/>
        <v>0801</v>
      </c>
      <c r="J376" s="346" t="str">
        <f t="shared" si="17"/>
        <v>0720311010</v>
      </c>
    </row>
    <row r="377" spans="1:10" hidden="1">
      <c r="A377" s="346" t="str">
        <f t="shared" si="15"/>
        <v>60708010720377090611</v>
      </c>
      <c r="B377" s="476">
        <v>607</v>
      </c>
      <c r="C377" s="475">
        <v>801</v>
      </c>
      <c r="D377" s="474" t="s">
        <v>2036</v>
      </c>
      <c r="E377" s="473" t="s">
        <v>406</v>
      </c>
      <c r="F377" s="484">
        <v>207220</v>
      </c>
      <c r="G377" s="484">
        <v>0</v>
      </c>
      <c r="H377" s="483">
        <v>0</v>
      </c>
      <c r="I377" s="345" t="str">
        <f t="shared" si="16"/>
        <v>0801</v>
      </c>
      <c r="J377" s="346" t="str">
        <f t="shared" si="17"/>
        <v>0720377090</v>
      </c>
    </row>
    <row r="378" spans="1:10" hidden="1">
      <c r="A378" s="346" t="str">
        <f t="shared" si="15"/>
        <v>607080107203S7090611</v>
      </c>
      <c r="B378" s="476">
        <v>607</v>
      </c>
      <c r="C378" s="475">
        <v>801</v>
      </c>
      <c r="D378" s="474" t="s">
        <v>2037</v>
      </c>
      <c r="E378" s="473" t="s">
        <v>406</v>
      </c>
      <c r="F378" s="484">
        <v>31434</v>
      </c>
      <c r="G378" s="484">
        <v>0</v>
      </c>
      <c r="H378" s="483">
        <v>0</v>
      </c>
      <c r="I378" s="345" t="str">
        <f t="shared" si="16"/>
        <v>0801</v>
      </c>
      <c r="J378" s="346" t="str">
        <f t="shared" si="17"/>
        <v>07203S7090</v>
      </c>
    </row>
    <row r="379" spans="1:10" hidden="1">
      <c r="A379" s="346" t="str">
        <f t="shared" si="15"/>
        <v>60708010720411010611</v>
      </c>
      <c r="B379" s="476">
        <v>607</v>
      </c>
      <c r="C379" s="475">
        <v>801</v>
      </c>
      <c r="D379" s="474" t="s">
        <v>2038</v>
      </c>
      <c r="E379" s="473" t="s">
        <v>406</v>
      </c>
      <c r="F379" s="484">
        <v>49710862</v>
      </c>
      <c r="G379" s="484">
        <v>0</v>
      </c>
      <c r="H379" s="483">
        <v>0</v>
      </c>
      <c r="I379" s="345" t="str">
        <f t="shared" si="16"/>
        <v>0801</v>
      </c>
      <c r="J379" s="346" t="str">
        <f t="shared" si="17"/>
        <v>0720411010</v>
      </c>
    </row>
    <row r="380" spans="1:10" hidden="1">
      <c r="A380" s="346" t="str">
        <f t="shared" si="15"/>
        <v>60708010720477090611</v>
      </c>
      <c r="B380" s="476">
        <v>607</v>
      </c>
      <c r="C380" s="475">
        <v>801</v>
      </c>
      <c r="D380" s="474" t="s">
        <v>2039</v>
      </c>
      <c r="E380" s="473" t="s">
        <v>406</v>
      </c>
      <c r="F380" s="484">
        <v>5524910</v>
      </c>
      <c r="G380" s="484">
        <v>0</v>
      </c>
      <c r="H380" s="483">
        <v>0</v>
      </c>
      <c r="I380" s="345" t="str">
        <f t="shared" si="16"/>
        <v>0801</v>
      </c>
      <c r="J380" s="346" t="str">
        <f t="shared" si="17"/>
        <v>0720477090</v>
      </c>
    </row>
    <row r="381" spans="1:10" hidden="1">
      <c r="A381" s="346" t="str">
        <f t="shared" si="15"/>
        <v>607080107204L5194611</v>
      </c>
      <c r="B381" s="476">
        <v>607</v>
      </c>
      <c r="C381" s="475">
        <v>801</v>
      </c>
      <c r="D381" s="474" t="s">
        <v>1221</v>
      </c>
      <c r="E381" s="473" t="s">
        <v>406</v>
      </c>
      <c r="F381" s="484">
        <v>2174766.4900000002</v>
      </c>
      <c r="G381" s="484">
        <v>0</v>
      </c>
      <c r="H381" s="483">
        <v>0</v>
      </c>
      <c r="I381" s="345" t="str">
        <f t="shared" si="16"/>
        <v>0801</v>
      </c>
      <c r="J381" s="346" t="str">
        <f t="shared" si="17"/>
        <v>07204L5194</v>
      </c>
    </row>
    <row r="382" spans="1:10" hidden="1">
      <c r="A382" s="346" t="str">
        <f t="shared" si="15"/>
        <v>607080107204S7090611</v>
      </c>
      <c r="B382" s="476">
        <v>607</v>
      </c>
      <c r="C382" s="475">
        <v>801</v>
      </c>
      <c r="D382" s="474" t="s">
        <v>2040</v>
      </c>
      <c r="E382" s="473" t="s">
        <v>406</v>
      </c>
      <c r="F382" s="484">
        <v>358246</v>
      </c>
      <c r="G382" s="484">
        <v>0</v>
      </c>
      <c r="H382" s="483">
        <v>0</v>
      </c>
      <c r="I382" s="345" t="str">
        <f t="shared" si="16"/>
        <v>0801</v>
      </c>
      <c r="J382" s="346" t="str">
        <f t="shared" si="17"/>
        <v>07204S7090</v>
      </c>
    </row>
    <row r="383" spans="1:10" hidden="1">
      <c r="A383" s="346" t="str">
        <f t="shared" si="15"/>
        <v>60708010720511010611</v>
      </c>
      <c r="B383" s="476">
        <v>607</v>
      </c>
      <c r="C383" s="475">
        <v>801</v>
      </c>
      <c r="D383" s="474" t="s">
        <v>2041</v>
      </c>
      <c r="E383" s="473" t="s">
        <v>406</v>
      </c>
      <c r="F383" s="484">
        <v>47197215</v>
      </c>
      <c r="G383" s="484">
        <v>0</v>
      </c>
      <c r="H383" s="483">
        <v>0</v>
      </c>
      <c r="I383" s="345" t="str">
        <f t="shared" si="16"/>
        <v>0801</v>
      </c>
      <c r="J383" s="346" t="str">
        <f t="shared" si="17"/>
        <v>0720511010</v>
      </c>
    </row>
    <row r="384" spans="1:10" hidden="1">
      <c r="A384" s="346" t="str">
        <f t="shared" si="15"/>
        <v>60708010720511010612</v>
      </c>
      <c r="B384" s="476">
        <v>607</v>
      </c>
      <c r="C384" s="475">
        <v>801</v>
      </c>
      <c r="D384" s="474" t="s">
        <v>2041</v>
      </c>
      <c r="E384" s="473" t="s">
        <v>408</v>
      </c>
      <c r="F384" s="484">
        <v>540000</v>
      </c>
      <c r="G384" s="484">
        <v>0</v>
      </c>
      <c r="H384" s="483">
        <v>0</v>
      </c>
      <c r="I384" s="345" t="str">
        <f t="shared" si="16"/>
        <v>0801</v>
      </c>
      <c r="J384" s="346" t="str">
        <f t="shared" si="17"/>
        <v>0720511010</v>
      </c>
    </row>
    <row r="385" spans="1:10" hidden="1">
      <c r="A385" s="346" t="str">
        <f t="shared" si="15"/>
        <v>60708010720511010621</v>
      </c>
      <c r="B385" s="476">
        <v>607</v>
      </c>
      <c r="C385" s="475">
        <v>801</v>
      </c>
      <c r="D385" s="474" t="s">
        <v>2041</v>
      </c>
      <c r="E385" s="473" t="s">
        <v>412</v>
      </c>
      <c r="F385" s="484">
        <v>10615710</v>
      </c>
      <c r="G385" s="484">
        <v>0</v>
      </c>
      <c r="H385" s="483">
        <v>0</v>
      </c>
      <c r="I385" s="345" t="str">
        <f t="shared" si="16"/>
        <v>0801</v>
      </c>
      <c r="J385" s="346" t="str">
        <f t="shared" si="17"/>
        <v>0720511010</v>
      </c>
    </row>
    <row r="386" spans="1:10" hidden="1">
      <c r="A386" s="346" t="str">
        <f t="shared" si="15"/>
        <v>60708010720577090611</v>
      </c>
      <c r="B386" s="476">
        <v>607</v>
      </c>
      <c r="C386" s="475">
        <v>801</v>
      </c>
      <c r="D386" s="474" t="s">
        <v>2042</v>
      </c>
      <c r="E386" s="473" t="s">
        <v>406</v>
      </c>
      <c r="F386" s="484">
        <v>4342470</v>
      </c>
      <c r="G386" s="484">
        <v>0</v>
      </c>
      <c r="H386" s="483">
        <v>0</v>
      </c>
      <c r="I386" s="345" t="str">
        <f t="shared" si="16"/>
        <v>0801</v>
      </c>
      <c r="J386" s="346" t="str">
        <f t="shared" si="17"/>
        <v>0720577090</v>
      </c>
    </row>
    <row r="387" spans="1:10" hidden="1">
      <c r="A387" s="346" t="str">
        <f t="shared" si="15"/>
        <v>60708010720577090621</v>
      </c>
      <c r="B387" s="476">
        <v>607</v>
      </c>
      <c r="C387" s="475">
        <v>801</v>
      </c>
      <c r="D387" s="474" t="s">
        <v>2042</v>
      </c>
      <c r="E387" s="473" t="s">
        <v>412</v>
      </c>
      <c r="F387" s="484">
        <v>599400</v>
      </c>
      <c r="G387" s="484">
        <v>0</v>
      </c>
      <c r="H387" s="483">
        <v>0</v>
      </c>
      <c r="I387" s="345" t="str">
        <f t="shared" si="16"/>
        <v>0801</v>
      </c>
      <c r="J387" s="346" t="str">
        <f t="shared" si="17"/>
        <v>0720577090</v>
      </c>
    </row>
    <row r="388" spans="1:10" hidden="1">
      <c r="A388" s="346" t="str">
        <f t="shared" si="15"/>
        <v>607080107205S7090611</v>
      </c>
      <c r="B388" s="476">
        <v>607</v>
      </c>
      <c r="C388" s="475">
        <v>801</v>
      </c>
      <c r="D388" s="474" t="s">
        <v>2043</v>
      </c>
      <c r="E388" s="473" t="s">
        <v>406</v>
      </c>
      <c r="F388" s="484">
        <v>217921</v>
      </c>
      <c r="G388" s="484">
        <v>0</v>
      </c>
      <c r="H388" s="483">
        <v>0</v>
      </c>
      <c r="I388" s="345" t="str">
        <f t="shared" si="16"/>
        <v>0801</v>
      </c>
      <c r="J388" s="346" t="str">
        <f t="shared" si="17"/>
        <v>07205S7090</v>
      </c>
    </row>
    <row r="389" spans="1:10" hidden="1">
      <c r="A389" s="346" t="str">
        <f t="shared" si="15"/>
        <v>607080107205S7090621</v>
      </c>
      <c r="B389" s="476">
        <v>607</v>
      </c>
      <c r="C389" s="475">
        <v>801</v>
      </c>
      <c r="D389" s="474" t="s">
        <v>2043</v>
      </c>
      <c r="E389" s="473" t="s">
        <v>412</v>
      </c>
      <c r="F389" s="484">
        <v>27780</v>
      </c>
      <c r="G389" s="484">
        <v>0</v>
      </c>
      <c r="H389" s="483">
        <v>0</v>
      </c>
      <c r="I389" s="345" t="str">
        <f t="shared" si="16"/>
        <v>0801</v>
      </c>
      <c r="J389" s="346" t="str">
        <f t="shared" si="17"/>
        <v>07205S7090</v>
      </c>
    </row>
    <row r="390" spans="1:10" hidden="1">
      <c r="A390" s="346" t="str">
        <f t="shared" si="15"/>
        <v>60708010720620400612</v>
      </c>
      <c r="B390" s="476">
        <v>607</v>
      </c>
      <c r="C390" s="475">
        <v>801</v>
      </c>
      <c r="D390" s="474" t="s">
        <v>2025</v>
      </c>
      <c r="E390" s="473" t="s">
        <v>408</v>
      </c>
      <c r="F390" s="484">
        <v>1034079</v>
      </c>
      <c r="G390" s="484">
        <v>0</v>
      </c>
      <c r="H390" s="483">
        <v>0</v>
      </c>
      <c r="I390" s="345" t="str">
        <f t="shared" si="16"/>
        <v>0801</v>
      </c>
      <c r="J390" s="346" t="str">
        <f t="shared" si="17"/>
        <v>0720620400</v>
      </c>
    </row>
    <row r="391" spans="1:10" hidden="1">
      <c r="A391" s="346" t="str">
        <f t="shared" si="15"/>
        <v>607080107207G6420622</v>
      </c>
      <c r="B391" s="476">
        <v>607</v>
      </c>
      <c r="C391" s="475">
        <v>801</v>
      </c>
      <c r="D391" s="474" t="s">
        <v>1222</v>
      </c>
      <c r="E391" s="473" t="s">
        <v>429</v>
      </c>
      <c r="F391" s="484">
        <v>1521000</v>
      </c>
      <c r="G391" s="484">
        <v>0</v>
      </c>
      <c r="H391" s="483">
        <v>0</v>
      </c>
      <c r="I391" s="345" t="str">
        <f t="shared" si="16"/>
        <v>0801</v>
      </c>
      <c r="J391" s="346" t="str">
        <f t="shared" si="17"/>
        <v>07207G6420</v>
      </c>
    </row>
    <row r="392" spans="1:10" hidden="1">
      <c r="A392" s="346" t="str">
        <f t="shared" si="15"/>
        <v>607080107207S6420622</v>
      </c>
      <c r="B392" s="476">
        <v>607</v>
      </c>
      <c r="C392" s="475">
        <v>801</v>
      </c>
      <c r="D392" s="474" t="s">
        <v>1223</v>
      </c>
      <c r="E392" s="473" t="s">
        <v>429</v>
      </c>
      <c r="F392" s="484">
        <v>8699020</v>
      </c>
      <c r="G392" s="484">
        <v>0</v>
      </c>
      <c r="H392" s="483">
        <v>0</v>
      </c>
      <c r="I392" s="345" t="str">
        <f t="shared" si="16"/>
        <v>0801</v>
      </c>
      <c r="J392" s="346" t="str">
        <f t="shared" si="17"/>
        <v>07207S6420</v>
      </c>
    </row>
    <row r="393" spans="1:10" hidden="1">
      <c r="A393" s="346" t="str">
        <f t="shared" si="15"/>
        <v>60708010720821230612</v>
      </c>
      <c r="B393" s="476">
        <v>607</v>
      </c>
      <c r="C393" s="475">
        <v>801</v>
      </c>
      <c r="D393" s="474" t="s">
        <v>2026</v>
      </c>
      <c r="E393" s="473" t="s">
        <v>408</v>
      </c>
      <c r="F393" s="484">
        <v>0</v>
      </c>
      <c r="G393" s="484">
        <v>0</v>
      </c>
      <c r="H393" s="483">
        <v>0</v>
      </c>
      <c r="I393" s="345" t="str">
        <f t="shared" si="16"/>
        <v>0801</v>
      </c>
      <c r="J393" s="346" t="str">
        <f t="shared" si="17"/>
        <v>0720821230</v>
      </c>
    </row>
    <row r="394" spans="1:10" hidden="1">
      <c r="A394" s="346" t="str">
        <f t="shared" si="15"/>
        <v>60708010720921280612</v>
      </c>
      <c r="B394" s="476">
        <v>607</v>
      </c>
      <c r="C394" s="475">
        <v>801</v>
      </c>
      <c r="D394" s="474" t="s">
        <v>2027</v>
      </c>
      <c r="E394" s="473" t="s">
        <v>408</v>
      </c>
      <c r="F394" s="484">
        <v>817509</v>
      </c>
      <c r="G394" s="484">
        <v>0</v>
      </c>
      <c r="H394" s="483">
        <v>0</v>
      </c>
      <c r="I394" s="345" t="str">
        <f t="shared" si="16"/>
        <v>0801</v>
      </c>
      <c r="J394" s="346" t="str">
        <f t="shared" si="17"/>
        <v>0720921280</v>
      </c>
    </row>
    <row r="395" spans="1:10" hidden="1">
      <c r="A395" s="346" t="str">
        <f t="shared" ref="A395:A458" si="18">B395&amp;I395&amp;J395&amp;E395</f>
        <v>60708010721221430612</v>
      </c>
      <c r="B395" s="476">
        <v>607</v>
      </c>
      <c r="C395" s="475">
        <v>801</v>
      </c>
      <c r="D395" s="474" t="s">
        <v>2028</v>
      </c>
      <c r="E395" s="473" t="s">
        <v>408</v>
      </c>
      <c r="F395" s="484">
        <v>1099436</v>
      </c>
      <c r="G395" s="484">
        <v>0</v>
      </c>
      <c r="H395" s="483">
        <v>0</v>
      </c>
      <c r="I395" s="345" t="str">
        <f t="shared" ref="I395:I458" si="19">TEXT(C395,"0000")</f>
        <v>0801</v>
      </c>
      <c r="J395" s="346" t="str">
        <f t="shared" ref="J395:J458" si="20">TEXT(D395,"0000000000")</f>
        <v>0721221430</v>
      </c>
    </row>
    <row r="396" spans="1:10" hidden="1">
      <c r="A396" s="346" t="str">
        <f t="shared" si="18"/>
        <v>60708010721221430622</v>
      </c>
      <c r="B396" s="476">
        <v>607</v>
      </c>
      <c r="C396" s="475">
        <v>801</v>
      </c>
      <c r="D396" s="474" t="s">
        <v>2028</v>
      </c>
      <c r="E396" s="473" t="s">
        <v>429</v>
      </c>
      <c r="F396" s="484">
        <v>305928</v>
      </c>
      <c r="G396" s="484">
        <v>0</v>
      </c>
      <c r="H396" s="483">
        <v>0</v>
      </c>
      <c r="I396" s="345" t="str">
        <f t="shared" si="19"/>
        <v>0801</v>
      </c>
      <c r="J396" s="346" t="str">
        <f t="shared" si="20"/>
        <v>0721221430</v>
      </c>
    </row>
    <row r="397" spans="1:10" hidden="1">
      <c r="A397" s="346" t="str">
        <f t="shared" si="18"/>
        <v>60708011510120350612</v>
      </c>
      <c r="B397" s="476">
        <v>607</v>
      </c>
      <c r="C397" s="475">
        <v>801</v>
      </c>
      <c r="D397" s="474" t="s">
        <v>1928</v>
      </c>
      <c r="E397" s="473" t="s">
        <v>408</v>
      </c>
      <c r="F397" s="484">
        <v>0</v>
      </c>
      <c r="G397" s="484">
        <v>0</v>
      </c>
      <c r="H397" s="483">
        <v>0</v>
      </c>
      <c r="I397" s="345" t="str">
        <f t="shared" si="19"/>
        <v>0801</v>
      </c>
      <c r="J397" s="346" t="str">
        <f t="shared" si="20"/>
        <v>1510120350</v>
      </c>
    </row>
    <row r="398" spans="1:10" hidden="1">
      <c r="A398" s="346" t="str">
        <f t="shared" si="18"/>
        <v>60708011510320350612</v>
      </c>
      <c r="B398" s="476">
        <v>607</v>
      </c>
      <c r="C398" s="475">
        <v>801</v>
      </c>
      <c r="D398" s="474" t="s">
        <v>1930</v>
      </c>
      <c r="E398" s="473" t="s">
        <v>408</v>
      </c>
      <c r="F398" s="484">
        <v>76500</v>
      </c>
      <c r="G398" s="484">
        <v>0</v>
      </c>
      <c r="H398" s="483">
        <v>0</v>
      </c>
      <c r="I398" s="345" t="str">
        <f t="shared" si="19"/>
        <v>0801</v>
      </c>
      <c r="J398" s="346" t="str">
        <f t="shared" si="20"/>
        <v>1510320350</v>
      </c>
    </row>
    <row r="399" spans="1:10" hidden="1">
      <c r="A399" s="346" t="str">
        <f t="shared" si="18"/>
        <v>60708011620220550612</v>
      </c>
      <c r="B399" s="476">
        <v>607</v>
      </c>
      <c r="C399" s="475">
        <v>801</v>
      </c>
      <c r="D399" s="474" t="s">
        <v>1991</v>
      </c>
      <c r="E399" s="473" t="s">
        <v>408</v>
      </c>
      <c r="F399" s="484">
        <v>547838</v>
      </c>
      <c r="G399" s="484">
        <v>0</v>
      </c>
      <c r="H399" s="483">
        <v>0</v>
      </c>
      <c r="I399" s="345" t="str">
        <f t="shared" si="19"/>
        <v>0801</v>
      </c>
      <c r="J399" s="346" t="str">
        <f t="shared" si="20"/>
        <v>1620220550</v>
      </c>
    </row>
    <row r="400" spans="1:10" hidden="1">
      <c r="A400" s="346" t="str">
        <f t="shared" si="18"/>
        <v>607080117Б0120490612</v>
      </c>
      <c r="B400" s="476">
        <v>607</v>
      </c>
      <c r="C400" s="475">
        <v>801</v>
      </c>
      <c r="D400" s="474" t="s">
        <v>1200</v>
      </c>
      <c r="E400" s="473" t="s">
        <v>408</v>
      </c>
      <c r="F400" s="484">
        <v>203830</v>
      </c>
      <c r="G400" s="484">
        <v>0</v>
      </c>
      <c r="H400" s="483">
        <v>0</v>
      </c>
      <c r="I400" s="345" t="str">
        <f t="shared" si="19"/>
        <v>0801</v>
      </c>
      <c r="J400" s="346" t="str">
        <f t="shared" si="20"/>
        <v>17Б0120490</v>
      </c>
    </row>
    <row r="401" spans="1:10" hidden="1">
      <c r="A401" s="346" t="str">
        <f t="shared" si="18"/>
        <v>60708019810021570612</v>
      </c>
      <c r="B401" s="476">
        <v>607</v>
      </c>
      <c r="C401" s="475">
        <v>801</v>
      </c>
      <c r="D401" s="474" t="s">
        <v>2044</v>
      </c>
      <c r="E401" s="473" t="s">
        <v>408</v>
      </c>
      <c r="F401" s="484">
        <v>57023.77</v>
      </c>
      <c r="G401" s="484">
        <v>0</v>
      </c>
      <c r="H401" s="483">
        <v>0</v>
      </c>
      <c r="I401" s="345" t="str">
        <f t="shared" si="19"/>
        <v>0801</v>
      </c>
      <c r="J401" s="346" t="str">
        <f t="shared" si="20"/>
        <v>9810021570</v>
      </c>
    </row>
    <row r="402" spans="1:10" hidden="1">
      <c r="A402" s="346" t="str">
        <f t="shared" si="18"/>
        <v>60708019810021590622</v>
      </c>
      <c r="B402" s="476">
        <v>607</v>
      </c>
      <c r="C402" s="475">
        <v>801</v>
      </c>
      <c r="D402" s="474" t="s">
        <v>2045</v>
      </c>
      <c r="E402" s="473" t="s">
        <v>429</v>
      </c>
      <c r="F402" s="484">
        <v>5000000</v>
      </c>
      <c r="G402" s="484">
        <v>0</v>
      </c>
      <c r="H402" s="483">
        <v>0</v>
      </c>
      <c r="I402" s="345" t="str">
        <f t="shared" si="19"/>
        <v>0801</v>
      </c>
      <c r="J402" s="346" t="str">
        <f t="shared" si="20"/>
        <v>9810021590</v>
      </c>
    </row>
    <row r="403" spans="1:10" hidden="1">
      <c r="A403" s="346" t="str">
        <f t="shared" si="18"/>
        <v>60708040720177580121</v>
      </c>
      <c r="B403" s="476">
        <v>607</v>
      </c>
      <c r="C403" s="475">
        <v>804</v>
      </c>
      <c r="D403" s="474" t="s">
        <v>2024</v>
      </c>
      <c r="E403" s="473" t="s">
        <v>41</v>
      </c>
      <c r="F403" s="484">
        <v>0</v>
      </c>
      <c r="G403" s="484">
        <v>0</v>
      </c>
      <c r="H403" s="483">
        <v>0</v>
      </c>
      <c r="I403" s="345" t="str">
        <f t="shared" si="19"/>
        <v>0804</v>
      </c>
      <c r="J403" s="346" t="str">
        <f t="shared" si="20"/>
        <v>0720177580</v>
      </c>
    </row>
    <row r="404" spans="1:10" hidden="1">
      <c r="A404" s="346" t="str">
        <f t="shared" si="18"/>
        <v>60708040720177580129</v>
      </c>
      <c r="B404" s="476">
        <v>607</v>
      </c>
      <c r="C404" s="475">
        <v>804</v>
      </c>
      <c r="D404" s="474" t="s">
        <v>2024</v>
      </c>
      <c r="E404" s="473" t="s">
        <v>27</v>
      </c>
      <c r="F404" s="484">
        <v>0</v>
      </c>
      <c r="G404" s="484">
        <v>0</v>
      </c>
      <c r="H404" s="483">
        <v>0</v>
      </c>
      <c r="I404" s="345" t="str">
        <f t="shared" si="19"/>
        <v>0804</v>
      </c>
      <c r="J404" s="346" t="str">
        <f t="shared" si="20"/>
        <v>0720177580</v>
      </c>
    </row>
    <row r="405" spans="1:10" hidden="1">
      <c r="A405" s="346" t="str">
        <f t="shared" si="18"/>
        <v>60708047610010010122</v>
      </c>
      <c r="B405" s="476">
        <v>607</v>
      </c>
      <c r="C405" s="475">
        <v>804</v>
      </c>
      <c r="D405" s="474" t="s">
        <v>2046</v>
      </c>
      <c r="E405" s="473" t="s">
        <v>23</v>
      </c>
      <c r="F405" s="484">
        <v>276287.82</v>
      </c>
      <c r="G405" s="484">
        <v>0</v>
      </c>
      <c r="H405" s="483">
        <v>0</v>
      </c>
      <c r="I405" s="345" t="str">
        <f t="shared" si="19"/>
        <v>0804</v>
      </c>
      <c r="J405" s="346" t="str">
        <f t="shared" si="20"/>
        <v>7610010010</v>
      </c>
    </row>
    <row r="406" spans="1:10" hidden="1">
      <c r="A406" s="346" t="str">
        <f t="shared" si="18"/>
        <v>60708047610010010129</v>
      </c>
      <c r="B406" s="476">
        <v>607</v>
      </c>
      <c r="C406" s="475">
        <v>804</v>
      </c>
      <c r="D406" s="474" t="s">
        <v>2046</v>
      </c>
      <c r="E406" s="473" t="s">
        <v>27</v>
      </c>
      <c r="F406" s="484">
        <v>81042.179999999993</v>
      </c>
      <c r="G406" s="484">
        <v>0</v>
      </c>
      <c r="H406" s="483">
        <v>0</v>
      </c>
      <c r="I406" s="345" t="str">
        <f t="shared" si="19"/>
        <v>0804</v>
      </c>
      <c r="J406" s="346" t="str">
        <f t="shared" si="20"/>
        <v>7610010010</v>
      </c>
    </row>
    <row r="407" spans="1:10" hidden="1">
      <c r="A407" s="346" t="str">
        <f t="shared" si="18"/>
        <v>60708047610010010244</v>
      </c>
      <c r="B407" s="476">
        <v>607</v>
      </c>
      <c r="C407" s="475">
        <v>804</v>
      </c>
      <c r="D407" s="474" t="s">
        <v>2046</v>
      </c>
      <c r="E407" s="473" t="s">
        <v>31</v>
      </c>
      <c r="F407" s="484">
        <v>2367060</v>
      </c>
      <c r="G407" s="484">
        <v>0</v>
      </c>
      <c r="H407" s="483">
        <v>0</v>
      </c>
      <c r="I407" s="345" t="str">
        <f t="shared" si="19"/>
        <v>0804</v>
      </c>
      <c r="J407" s="346" t="str">
        <f t="shared" si="20"/>
        <v>7610010010</v>
      </c>
    </row>
    <row r="408" spans="1:10" hidden="1">
      <c r="A408" s="346" t="str">
        <f t="shared" si="18"/>
        <v>60708047610010010851</v>
      </c>
      <c r="B408" s="476">
        <v>607</v>
      </c>
      <c r="C408" s="475">
        <v>804</v>
      </c>
      <c r="D408" s="474" t="s">
        <v>2046</v>
      </c>
      <c r="E408" s="473" t="s">
        <v>35</v>
      </c>
      <c r="F408" s="484">
        <v>174200</v>
      </c>
      <c r="G408" s="484">
        <v>0</v>
      </c>
      <c r="H408" s="483">
        <v>0</v>
      </c>
      <c r="I408" s="345" t="str">
        <f t="shared" si="19"/>
        <v>0804</v>
      </c>
      <c r="J408" s="346" t="str">
        <f t="shared" si="20"/>
        <v>7610010010</v>
      </c>
    </row>
    <row r="409" spans="1:10" hidden="1">
      <c r="A409" s="346" t="str">
        <f t="shared" si="18"/>
        <v>60708047610010010852</v>
      </c>
      <c r="B409" s="476">
        <v>607</v>
      </c>
      <c r="C409" s="475">
        <v>804</v>
      </c>
      <c r="D409" s="474" t="s">
        <v>2046</v>
      </c>
      <c r="E409" s="473" t="s">
        <v>37</v>
      </c>
      <c r="F409" s="484">
        <v>6072</v>
      </c>
      <c r="G409" s="484">
        <v>0</v>
      </c>
      <c r="H409" s="483">
        <v>0</v>
      </c>
      <c r="I409" s="345" t="str">
        <f t="shared" si="19"/>
        <v>0804</v>
      </c>
      <c r="J409" s="346" t="str">
        <f t="shared" si="20"/>
        <v>7610010010</v>
      </c>
    </row>
    <row r="410" spans="1:10" hidden="1">
      <c r="A410" s="346" t="str">
        <f t="shared" si="18"/>
        <v>60708047610010010853</v>
      </c>
      <c r="B410" s="476">
        <v>607</v>
      </c>
      <c r="C410" s="475">
        <v>804</v>
      </c>
      <c r="D410" s="474" t="s">
        <v>2046</v>
      </c>
      <c r="E410" s="473" t="s">
        <v>78</v>
      </c>
      <c r="F410" s="484">
        <v>928</v>
      </c>
      <c r="G410" s="484">
        <v>0</v>
      </c>
      <c r="H410" s="483">
        <v>0</v>
      </c>
      <c r="I410" s="345" t="str">
        <f t="shared" si="19"/>
        <v>0804</v>
      </c>
      <c r="J410" s="346" t="str">
        <f t="shared" si="20"/>
        <v>7610010010</v>
      </c>
    </row>
    <row r="411" spans="1:10" hidden="1">
      <c r="A411" s="346" t="str">
        <f t="shared" si="18"/>
        <v>60708047610010020121</v>
      </c>
      <c r="B411" s="476">
        <v>607</v>
      </c>
      <c r="C411" s="475">
        <v>804</v>
      </c>
      <c r="D411" s="474" t="s">
        <v>2047</v>
      </c>
      <c r="E411" s="473" t="s">
        <v>41</v>
      </c>
      <c r="F411" s="484">
        <v>9295696.5700000003</v>
      </c>
      <c r="G411" s="484">
        <v>0</v>
      </c>
      <c r="H411" s="483">
        <v>0</v>
      </c>
      <c r="I411" s="345" t="str">
        <f t="shared" si="19"/>
        <v>0804</v>
      </c>
      <c r="J411" s="346" t="str">
        <f t="shared" si="20"/>
        <v>7610010020</v>
      </c>
    </row>
    <row r="412" spans="1:10" hidden="1">
      <c r="A412" s="346" t="str">
        <f t="shared" si="18"/>
        <v>60708047610010020129</v>
      </c>
      <c r="B412" s="476">
        <v>607</v>
      </c>
      <c r="C412" s="475">
        <v>804</v>
      </c>
      <c r="D412" s="474" t="s">
        <v>2047</v>
      </c>
      <c r="E412" s="473" t="s">
        <v>27</v>
      </c>
      <c r="F412" s="484">
        <v>2820936.19</v>
      </c>
      <c r="G412" s="484">
        <v>0</v>
      </c>
      <c r="H412" s="483">
        <v>0</v>
      </c>
      <c r="I412" s="345" t="str">
        <f t="shared" si="19"/>
        <v>0804</v>
      </c>
      <c r="J412" s="346" t="str">
        <f t="shared" si="20"/>
        <v>7610010020</v>
      </c>
    </row>
    <row r="413" spans="1:10" hidden="1">
      <c r="A413" s="346" t="str">
        <f t="shared" si="18"/>
        <v>60708047610077460121</v>
      </c>
      <c r="B413" s="476">
        <v>607</v>
      </c>
      <c r="C413" s="475">
        <v>804</v>
      </c>
      <c r="D413" s="474" t="s">
        <v>2048</v>
      </c>
      <c r="E413" s="473" t="s">
        <v>41</v>
      </c>
      <c r="F413" s="484">
        <v>305021.12</v>
      </c>
      <c r="G413" s="484">
        <v>0</v>
      </c>
      <c r="H413" s="483">
        <v>0</v>
      </c>
      <c r="I413" s="345" t="str">
        <f t="shared" si="19"/>
        <v>0804</v>
      </c>
      <c r="J413" s="346" t="str">
        <f t="shared" si="20"/>
        <v>7610077460</v>
      </c>
    </row>
    <row r="414" spans="1:10" hidden="1">
      <c r="A414" s="346" t="str">
        <f t="shared" si="18"/>
        <v>60708047610077460129</v>
      </c>
      <c r="B414" s="476">
        <v>607</v>
      </c>
      <c r="C414" s="475">
        <v>804</v>
      </c>
      <c r="D414" s="474" t="s">
        <v>2048</v>
      </c>
      <c r="E414" s="473" t="s">
        <v>27</v>
      </c>
      <c r="F414" s="484">
        <v>92116.37</v>
      </c>
      <c r="G414" s="484">
        <v>0</v>
      </c>
      <c r="H414" s="483">
        <v>0</v>
      </c>
      <c r="I414" s="345" t="str">
        <f t="shared" si="19"/>
        <v>0804</v>
      </c>
      <c r="J414" s="346" t="str">
        <f t="shared" si="20"/>
        <v>7610077460</v>
      </c>
    </row>
    <row r="415" spans="1:10" hidden="1">
      <c r="A415" s="346" t="str">
        <f t="shared" si="18"/>
        <v>60708047610077580121</v>
      </c>
      <c r="B415" s="476">
        <v>607</v>
      </c>
      <c r="C415" s="475">
        <v>804</v>
      </c>
      <c r="D415" s="474" t="s">
        <v>2049</v>
      </c>
      <c r="E415" s="473" t="s">
        <v>41</v>
      </c>
      <c r="F415" s="484">
        <v>10256</v>
      </c>
      <c r="G415" s="484">
        <v>0</v>
      </c>
      <c r="H415" s="483">
        <v>0</v>
      </c>
      <c r="I415" s="345" t="str">
        <f t="shared" si="19"/>
        <v>0804</v>
      </c>
      <c r="J415" s="346" t="str">
        <f t="shared" si="20"/>
        <v>7610077580</v>
      </c>
    </row>
    <row r="416" spans="1:10" hidden="1">
      <c r="A416" s="346" t="str">
        <f t="shared" si="18"/>
        <v>60708047610077580129</v>
      </c>
      <c r="B416" s="476">
        <v>607</v>
      </c>
      <c r="C416" s="475">
        <v>804</v>
      </c>
      <c r="D416" s="474" t="s">
        <v>2049</v>
      </c>
      <c r="E416" s="473" t="s">
        <v>27</v>
      </c>
      <c r="F416" s="484">
        <v>3097.31</v>
      </c>
      <c r="G416" s="484">
        <v>0</v>
      </c>
      <c r="H416" s="483">
        <v>0</v>
      </c>
      <c r="I416" s="345" t="str">
        <f t="shared" si="19"/>
        <v>0804</v>
      </c>
      <c r="J416" s="346" t="str">
        <f t="shared" si="20"/>
        <v>7610077580</v>
      </c>
    </row>
    <row r="417" spans="1:10" hidden="1">
      <c r="A417" s="346" t="str">
        <f t="shared" si="18"/>
        <v>60708047620020250244</v>
      </c>
      <c r="B417" s="476">
        <v>607</v>
      </c>
      <c r="C417" s="475">
        <v>804</v>
      </c>
      <c r="D417" s="474" t="s">
        <v>2050</v>
      </c>
      <c r="E417" s="473" t="s">
        <v>31</v>
      </c>
      <c r="F417" s="484">
        <v>160000</v>
      </c>
      <c r="G417" s="484">
        <v>0</v>
      </c>
      <c r="H417" s="483">
        <v>0</v>
      </c>
      <c r="I417" s="345" t="str">
        <f t="shared" si="19"/>
        <v>0804</v>
      </c>
      <c r="J417" s="346" t="str">
        <f t="shared" si="20"/>
        <v>7620020250</v>
      </c>
    </row>
    <row r="418" spans="1:10" hidden="1">
      <c r="A418" s="346" t="str">
        <f t="shared" si="18"/>
        <v>609011311Б0121120244</v>
      </c>
      <c r="B418" s="476">
        <v>609</v>
      </c>
      <c r="C418" s="475">
        <v>113</v>
      </c>
      <c r="D418" s="474" t="s">
        <v>1175</v>
      </c>
      <c r="E418" s="473" t="s">
        <v>31</v>
      </c>
      <c r="F418" s="484">
        <v>6982.8</v>
      </c>
      <c r="G418" s="484">
        <v>0</v>
      </c>
      <c r="H418" s="483">
        <v>0</v>
      </c>
      <c r="I418" s="345" t="str">
        <f t="shared" si="19"/>
        <v>0113</v>
      </c>
      <c r="J418" s="346" t="str">
        <f t="shared" si="20"/>
        <v>11Б0121120</v>
      </c>
    </row>
    <row r="419" spans="1:10" hidden="1">
      <c r="A419" s="346" t="str">
        <f t="shared" si="18"/>
        <v>60901137710010050121</v>
      </c>
      <c r="B419" s="476">
        <v>609</v>
      </c>
      <c r="C419" s="475">
        <v>113</v>
      </c>
      <c r="D419" s="474" t="s">
        <v>2051</v>
      </c>
      <c r="E419" s="473" t="s">
        <v>41</v>
      </c>
      <c r="F419" s="484">
        <v>773520</v>
      </c>
      <c r="G419" s="484">
        <v>0</v>
      </c>
      <c r="H419" s="483">
        <v>0</v>
      </c>
      <c r="I419" s="345" t="str">
        <f t="shared" si="19"/>
        <v>0113</v>
      </c>
      <c r="J419" s="346" t="str">
        <f t="shared" si="20"/>
        <v>7710010050</v>
      </c>
    </row>
    <row r="420" spans="1:10" hidden="1">
      <c r="A420" s="346" t="str">
        <f t="shared" si="18"/>
        <v>60901137710010050122</v>
      </c>
      <c r="B420" s="476">
        <v>609</v>
      </c>
      <c r="C420" s="475">
        <v>113</v>
      </c>
      <c r="D420" s="474" t="s">
        <v>2051</v>
      </c>
      <c r="E420" s="473" t="s">
        <v>23</v>
      </c>
      <c r="F420" s="484">
        <v>0</v>
      </c>
      <c r="G420" s="484">
        <v>0</v>
      </c>
      <c r="H420" s="483">
        <v>0</v>
      </c>
      <c r="I420" s="345" t="str">
        <f t="shared" si="19"/>
        <v>0113</v>
      </c>
      <c r="J420" s="346" t="str">
        <f t="shared" si="20"/>
        <v>7710010050</v>
      </c>
    </row>
    <row r="421" spans="1:10" hidden="1">
      <c r="A421" s="346" t="str">
        <f t="shared" si="18"/>
        <v>60901137710010050129</v>
      </c>
      <c r="B421" s="476">
        <v>609</v>
      </c>
      <c r="C421" s="475">
        <v>113</v>
      </c>
      <c r="D421" s="474" t="s">
        <v>2051</v>
      </c>
      <c r="E421" s="473" t="s">
        <v>27</v>
      </c>
      <c r="F421" s="484">
        <v>211170.96</v>
      </c>
      <c r="G421" s="484">
        <v>0</v>
      </c>
      <c r="H421" s="483">
        <v>0</v>
      </c>
      <c r="I421" s="345" t="str">
        <f t="shared" si="19"/>
        <v>0113</v>
      </c>
      <c r="J421" s="346" t="str">
        <f t="shared" si="20"/>
        <v>7710010050</v>
      </c>
    </row>
    <row r="422" spans="1:10" hidden="1">
      <c r="A422" s="346" t="str">
        <f t="shared" si="18"/>
        <v>60908010710120060244</v>
      </c>
      <c r="B422" s="476">
        <v>609</v>
      </c>
      <c r="C422" s="475">
        <v>801</v>
      </c>
      <c r="D422" s="474" t="s">
        <v>1946</v>
      </c>
      <c r="E422" s="473" t="s">
        <v>31</v>
      </c>
      <c r="F422" s="484">
        <v>2226457.1</v>
      </c>
      <c r="G422" s="484">
        <v>0</v>
      </c>
      <c r="H422" s="483">
        <v>0</v>
      </c>
      <c r="I422" s="345" t="str">
        <f t="shared" si="19"/>
        <v>0801</v>
      </c>
      <c r="J422" s="346" t="str">
        <f t="shared" si="20"/>
        <v>0710120060</v>
      </c>
    </row>
    <row r="423" spans="1:10" hidden="1">
      <c r="A423" s="346" t="str">
        <f t="shared" si="18"/>
        <v>60910030310152200244</v>
      </c>
      <c r="B423" s="476">
        <v>609</v>
      </c>
      <c r="C423" s="475">
        <v>1003</v>
      </c>
      <c r="D423" s="474" t="s">
        <v>2052</v>
      </c>
      <c r="E423" s="473" t="s">
        <v>31</v>
      </c>
      <c r="F423" s="484">
        <v>257991.37</v>
      </c>
      <c r="G423" s="484">
        <v>0</v>
      </c>
      <c r="H423" s="483">
        <v>0</v>
      </c>
      <c r="I423" s="345" t="str">
        <f t="shared" si="19"/>
        <v>1003</v>
      </c>
      <c r="J423" s="346" t="str">
        <f t="shared" si="20"/>
        <v>0310152200</v>
      </c>
    </row>
    <row r="424" spans="1:10" hidden="1">
      <c r="A424" s="346" t="str">
        <f t="shared" si="18"/>
        <v>60910030310152200313</v>
      </c>
      <c r="B424" s="476">
        <v>609</v>
      </c>
      <c r="C424" s="475">
        <v>1003</v>
      </c>
      <c r="D424" s="474" t="s">
        <v>2052</v>
      </c>
      <c r="E424" s="473" t="s">
        <v>496</v>
      </c>
      <c r="F424" s="484">
        <v>17199427.030000001</v>
      </c>
      <c r="G424" s="484">
        <v>0</v>
      </c>
      <c r="H424" s="483">
        <v>0</v>
      </c>
      <c r="I424" s="345" t="str">
        <f t="shared" si="19"/>
        <v>1003</v>
      </c>
      <c r="J424" s="346" t="str">
        <f t="shared" si="20"/>
        <v>0310152200</v>
      </c>
    </row>
    <row r="425" spans="1:10" hidden="1">
      <c r="A425" s="346" t="str">
        <f t="shared" si="18"/>
        <v>60910030310152500244</v>
      </c>
      <c r="B425" s="476">
        <v>609</v>
      </c>
      <c r="C425" s="475">
        <v>1003</v>
      </c>
      <c r="D425" s="474" t="s">
        <v>2053</v>
      </c>
      <c r="E425" s="473" t="s">
        <v>31</v>
      </c>
      <c r="F425" s="484">
        <v>2254131.7599999998</v>
      </c>
      <c r="G425" s="484">
        <v>0</v>
      </c>
      <c r="H425" s="483">
        <v>0</v>
      </c>
      <c r="I425" s="345" t="str">
        <f t="shared" si="19"/>
        <v>1003</v>
      </c>
      <c r="J425" s="346" t="str">
        <f t="shared" si="20"/>
        <v>0310152500</v>
      </c>
    </row>
    <row r="426" spans="1:10" hidden="1">
      <c r="A426" s="346" t="str">
        <f t="shared" si="18"/>
        <v>60910030310152500313</v>
      </c>
      <c r="B426" s="476">
        <v>609</v>
      </c>
      <c r="C426" s="475">
        <v>1003</v>
      </c>
      <c r="D426" s="474" t="s">
        <v>2053</v>
      </c>
      <c r="E426" s="473" t="s">
        <v>496</v>
      </c>
      <c r="F426" s="484">
        <v>381970445</v>
      </c>
      <c r="G426" s="484">
        <v>0</v>
      </c>
      <c r="H426" s="483">
        <v>0</v>
      </c>
      <c r="I426" s="345" t="str">
        <f t="shared" si="19"/>
        <v>1003</v>
      </c>
      <c r="J426" s="346" t="str">
        <f t="shared" si="20"/>
        <v>0310152500</v>
      </c>
    </row>
    <row r="427" spans="1:10" hidden="1">
      <c r="A427" s="346" t="str">
        <f t="shared" si="18"/>
        <v>60910030310152800244</v>
      </c>
      <c r="B427" s="476">
        <v>609</v>
      </c>
      <c r="C427" s="475">
        <v>1003</v>
      </c>
      <c r="D427" s="474" t="s">
        <v>2054</v>
      </c>
      <c r="E427" s="473" t="s">
        <v>31</v>
      </c>
      <c r="F427" s="484">
        <v>1433.29</v>
      </c>
      <c r="G427" s="484">
        <v>0</v>
      </c>
      <c r="H427" s="483">
        <v>0</v>
      </c>
      <c r="I427" s="345" t="str">
        <f t="shared" si="19"/>
        <v>1003</v>
      </c>
      <c r="J427" s="346" t="str">
        <f t="shared" si="20"/>
        <v>0310152800</v>
      </c>
    </row>
    <row r="428" spans="1:10" hidden="1">
      <c r="A428" s="346" t="str">
        <f t="shared" si="18"/>
        <v>60910030310152800313</v>
      </c>
      <c r="B428" s="476">
        <v>609</v>
      </c>
      <c r="C428" s="475">
        <v>1003</v>
      </c>
      <c r="D428" s="474" t="s">
        <v>2054</v>
      </c>
      <c r="E428" s="473" t="s">
        <v>496</v>
      </c>
      <c r="F428" s="484">
        <v>106366.71</v>
      </c>
      <c r="G428" s="484">
        <v>0</v>
      </c>
      <c r="H428" s="483">
        <v>0</v>
      </c>
      <c r="I428" s="345" t="str">
        <f t="shared" si="19"/>
        <v>1003</v>
      </c>
      <c r="J428" s="346" t="str">
        <f t="shared" si="20"/>
        <v>0310152800</v>
      </c>
    </row>
    <row r="429" spans="1:10" hidden="1">
      <c r="A429" s="346" t="str">
        <f t="shared" si="18"/>
        <v>60910030310176240313</v>
      </c>
      <c r="B429" s="476">
        <v>609</v>
      </c>
      <c r="C429" s="475">
        <v>1003</v>
      </c>
      <c r="D429" s="474" t="s">
        <v>2055</v>
      </c>
      <c r="E429" s="473" t="s">
        <v>496</v>
      </c>
      <c r="F429" s="484">
        <v>13120360</v>
      </c>
      <c r="G429" s="484">
        <v>0</v>
      </c>
      <c r="H429" s="483">
        <v>0</v>
      </c>
      <c r="I429" s="345" t="str">
        <f t="shared" si="19"/>
        <v>1003</v>
      </c>
      <c r="J429" s="346" t="str">
        <f t="shared" si="20"/>
        <v>0310176240</v>
      </c>
    </row>
    <row r="430" spans="1:10" hidden="1">
      <c r="A430" s="346" t="str">
        <f t="shared" si="18"/>
        <v>60910030310176250313</v>
      </c>
      <c r="B430" s="476">
        <v>609</v>
      </c>
      <c r="C430" s="475">
        <v>1003</v>
      </c>
      <c r="D430" s="474" t="s">
        <v>2056</v>
      </c>
      <c r="E430" s="473" t="s">
        <v>496</v>
      </c>
      <c r="F430" s="484">
        <v>1810930.68</v>
      </c>
      <c r="G430" s="484">
        <v>0</v>
      </c>
      <c r="H430" s="483">
        <v>0</v>
      </c>
      <c r="I430" s="345" t="str">
        <f t="shared" si="19"/>
        <v>1003</v>
      </c>
      <c r="J430" s="346" t="str">
        <f t="shared" si="20"/>
        <v>0310176250</v>
      </c>
    </row>
    <row r="431" spans="1:10" hidden="1">
      <c r="A431" s="346" t="str">
        <f t="shared" si="18"/>
        <v>60910030310177220244</v>
      </c>
      <c r="B431" s="476">
        <v>609</v>
      </c>
      <c r="C431" s="475">
        <v>1003</v>
      </c>
      <c r="D431" s="474" t="s">
        <v>2057</v>
      </c>
      <c r="E431" s="473" t="s">
        <v>31</v>
      </c>
      <c r="F431" s="484">
        <v>54277.83</v>
      </c>
      <c r="G431" s="484">
        <v>0</v>
      </c>
      <c r="H431" s="483">
        <v>0</v>
      </c>
      <c r="I431" s="345" t="str">
        <f t="shared" si="19"/>
        <v>1003</v>
      </c>
      <c r="J431" s="346" t="str">
        <f t="shared" si="20"/>
        <v>0310177220</v>
      </c>
    </row>
    <row r="432" spans="1:10" hidden="1">
      <c r="A432" s="346" t="str">
        <f t="shared" si="18"/>
        <v>60910030310177220313</v>
      </c>
      <c r="B432" s="476">
        <v>609</v>
      </c>
      <c r="C432" s="475">
        <v>1003</v>
      </c>
      <c r="D432" s="474" t="s">
        <v>2057</v>
      </c>
      <c r="E432" s="473" t="s">
        <v>496</v>
      </c>
      <c r="F432" s="484">
        <v>1702140.17</v>
      </c>
      <c r="G432" s="484">
        <v>0</v>
      </c>
      <c r="H432" s="483">
        <v>0</v>
      </c>
      <c r="I432" s="345" t="str">
        <f t="shared" si="19"/>
        <v>1003</v>
      </c>
      <c r="J432" s="346" t="str">
        <f t="shared" si="20"/>
        <v>0310177220</v>
      </c>
    </row>
    <row r="433" spans="1:10" hidden="1">
      <c r="A433" s="346" t="str">
        <f t="shared" si="18"/>
        <v>60910030310178210244</v>
      </c>
      <c r="B433" s="476">
        <v>609</v>
      </c>
      <c r="C433" s="475">
        <v>1003</v>
      </c>
      <c r="D433" s="474" t="s">
        <v>2058</v>
      </c>
      <c r="E433" s="473" t="s">
        <v>31</v>
      </c>
      <c r="F433" s="484">
        <v>5315035.58</v>
      </c>
      <c r="G433" s="484">
        <v>0</v>
      </c>
      <c r="H433" s="483">
        <v>0</v>
      </c>
      <c r="I433" s="345" t="str">
        <f t="shared" si="19"/>
        <v>1003</v>
      </c>
      <c r="J433" s="346" t="str">
        <f t="shared" si="20"/>
        <v>0310178210</v>
      </c>
    </row>
    <row r="434" spans="1:10" hidden="1">
      <c r="A434" s="346" t="str">
        <f t="shared" si="18"/>
        <v>60910030310178210313</v>
      </c>
      <c r="B434" s="476">
        <v>609</v>
      </c>
      <c r="C434" s="475">
        <v>1003</v>
      </c>
      <c r="D434" s="474" t="s">
        <v>2058</v>
      </c>
      <c r="E434" s="473" t="s">
        <v>496</v>
      </c>
      <c r="F434" s="484">
        <v>377972741.25</v>
      </c>
      <c r="G434" s="484">
        <v>0</v>
      </c>
      <c r="H434" s="483">
        <v>0</v>
      </c>
      <c r="I434" s="345" t="str">
        <f t="shared" si="19"/>
        <v>1003</v>
      </c>
      <c r="J434" s="346" t="str">
        <f t="shared" si="20"/>
        <v>0310178210</v>
      </c>
    </row>
    <row r="435" spans="1:10" hidden="1">
      <c r="A435" s="346" t="str">
        <f t="shared" si="18"/>
        <v>60910030310178220244</v>
      </c>
      <c r="B435" s="476">
        <v>609</v>
      </c>
      <c r="C435" s="475">
        <v>1003</v>
      </c>
      <c r="D435" s="474" t="s">
        <v>2059</v>
      </c>
      <c r="E435" s="473" t="s">
        <v>31</v>
      </c>
      <c r="F435" s="484">
        <v>3812772.9</v>
      </c>
      <c r="G435" s="484">
        <v>0</v>
      </c>
      <c r="H435" s="483">
        <v>0</v>
      </c>
      <c r="I435" s="345" t="str">
        <f t="shared" si="19"/>
        <v>1003</v>
      </c>
      <c r="J435" s="346" t="str">
        <f t="shared" si="20"/>
        <v>0310178220</v>
      </c>
    </row>
    <row r="436" spans="1:10" hidden="1">
      <c r="A436" s="346" t="str">
        <f t="shared" si="18"/>
        <v>60910030310178220313</v>
      </c>
      <c r="B436" s="476">
        <v>609</v>
      </c>
      <c r="C436" s="475">
        <v>1003</v>
      </c>
      <c r="D436" s="474" t="s">
        <v>2059</v>
      </c>
      <c r="E436" s="473" t="s">
        <v>496</v>
      </c>
      <c r="F436" s="484">
        <v>276251359.22000003</v>
      </c>
      <c r="G436" s="484">
        <v>0</v>
      </c>
      <c r="H436" s="483">
        <v>0</v>
      </c>
      <c r="I436" s="345" t="str">
        <f t="shared" si="19"/>
        <v>1003</v>
      </c>
      <c r="J436" s="346" t="str">
        <f t="shared" si="20"/>
        <v>0310178220</v>
      </c>
    </row>
    <row r="437" spans="1:10" hidden="1">
      <c r="A437" s="346" t="str">
        <f t="shared" si="18"/>
        <v>60910030310178230244</v>
      </c>
      <c r="B437" s="476">
        <v>609</v>
      </c>
      <c r="C437" s="475">
        <v>1003</v>
      </c>
      <c r="D437" s="474" t="s">
        <v>2060</v>
      </c>
      <c r="E437" s="473" t="s">
        <v>31</v>
      </c>
      <c r="F437" s="484">
        <v>92467.49</v>
      </c>
      <c r="G437" s="484">
        <v>0</v>
      </c>
      <c r="H437" s="483">
        <v>0</v>
      </c>
      <c r="I437" s="345" t="str">
        <f t="shared" si="19"/>
        <v>1003</v>
      </c>
      <c r="J437" s="346" t="str">
        <f t="shared" si="20"/>
        <v>0310178230</v>
      </c>
    </row>
    <row r="438" spans="1:10" hidden="1">
      <c r="A438" s="346" t="str">
        <f t="shared" si="18"/>
        <v>60910030310178230313</v>
      </c>
      <c r="B438" s="476">
        <v>609</v>
      </c>
      <c r="C438" s="475">
        <v>1003</v>
      </c>
      <c r="D438" s="474" t="s">
        <v>2060</v>
      </c>
      <c r="E438" s="473" t="s">
        <v>496</v>
      </c>
      <c r="F438" s="484">
        <v>6528587.0300000003</v>
      </c>
      <c r="G438" s="484">
        <v>0</v>
      </c>
      <c r="H438" s="483">
        <v>0</v>
      </c>
      <c r="I438" s="345" t="str">
        <f t="shared" si="19"/>
        <v>1003</v>
      </c>
      <c r="J438" s="346" t="str">
        <f t="shared" si="20"/>
        <v>0310178230</v>
      </c>
    </row>
    <row r="439" spans="1:10" hidden="1">
      <c r="A439" s="346" t="str">
        <f t="shared" si="18"/>
        <v>60910030310178240244</v>
      </c>
      <c r="B439" s="476">
        <v>609</v>
      </c>
      <c r="C439" s="475">
        <v>1003</v>
      </c>
      <c r="D439" s="474" t="s">
        <v>2061</v>
      </c>
      <c r="E439" s="473" t="s">
        <v>31</v>
      </c>
      <c r="F439" s="484">
        <v>870.42</v>
      </c>
      <c r="G439" s="484">
        <v>0</v>
      </c>
      <c r="H439" s="483">
        <v>0</v>
      </c>
      <c r="I439" s="345" t="str">
        <f t="shared" si="19"/>
        <v>1003</v>
      </c>
      <c r="J439" s="346" t="str">
        <f t="shared" si="20"/>
        <v>0310178240</v>
      </c>
    </row>
    <row r="440" spans="1:10" hidden="1">
      <c r="A440" s="346" t="str">
        <f t="shared" si="18"/>
        <v>60910030310178240313</v>
      </c>
      <c r="B440" s="476">
        <v>609</v>
      </c>
      <c r="C440" s="475">
        <v>1003</v>
      </c>
      <c r="D440" s="474" t="s">
        <v>2061</v>
      </c>
      <c r="E440" s="473" t="s">
        <v>496</v>
      </c>
      <c r="F440" s="484">
        <v>161953.89000000001</v>
      </c>
      <c r="G440" s="484">
        <v>0</v>
      </c>
      <c r="H440" s="483">
        <v>0</v>
      </c>
      <c r="I440" s="345" t="str">
        <f t="shared" si="19"/>
        <v>1003</v>
      </c>
      <c r="J440" s="346" t="str">
        <f t="shared" si="20"/>
        <v>0310178240</v>
      </c>
    </row>
    <row r="441" spans="1:10" hidden="1">
      <c r="A441" s="346" t="str">
        <f t="shared" si="18"/>
        <v>60910030310178250244</v>
      </c>
      <c r="B441" s="476">
        <v>609</v>
      </c>
      <c r="C441" s="475">
        <v>1003</v>
      </c>
      <c r="D441" s="474" t="s">
        <v>2062</v>
      </c>
      <c r="E441" s="473" t="s">
        <v>31</v>
      </c>
      <c r="F441" s="484">
        <v>8124.8</v>
      </c>
      <c r="G441" s="484">
        <v>0</v>
      </c>
      <c r="H441" s="483">
        <v>0</v>
      </c>
      <c r="I441" s="345" t="str">
        <f t="shared" si="19"/>
        <v>1003</v>
      </c>
      <c r="J441" s="346" t="str">
        <f t="shared" si="20"/>
        <v>0310178250</v>
      </c>
    </row>
    <row r="442" spans="1:10" hidden="1">
      <c r="A442" s="346" t="str">
        <f t="shared" si="18"/>
        <v>60910030310178250313</v>
      </c>
      <c r="B442" s="476">
        <v>609</v>
      </c>
      <c r="C442" s="475">
        <v>1003</v>
      </c>
      <c r="D442" s="474" t="s">
        <v>2062</v>
      </c>
      <c r="E442" s="473" t="s">
        <v>496</v>
      </c>
      <c r="F442" s="484">
        <v>601836.72</v>
      </c>
      <c r="G442" s="484">
        <v>0</v>
      </c>
      <c r="H442" s="483">
        <v>0</v>
      </c>
      <c r="I442" s="345" t="str">
        <f t="shared" si="19"/>
        <v>1003</v>
      </c>
      <c r="J442" s="346" t="str">
        <f t="shared" si="20"/>
        <v>0310178250</v>
      </c>
    </row>
    <row r="443" spans="1:10" hidden="1">
      <c r="A443" s="346" t="str">
        <f t="shared" si="18"/>
        <v>60910030310178260244</v>
      </c>
      <c r="B443" s="476">
        <v>609</v>
      </c>
      <c r="C443" s="475">
        <v>1003</v>
      </c>
      <c r="D443" s="474" t="s">
        <v>2063</v>
      </c>
      <c r="E443" s="473" t="s">
        <v>31</v>
      </c>
      <c r="F443" s="484">
        <v>4036185.1</v>
      </c>
      <c r="G443" s="484">
        <v>0</v>
      </c>
      <c r="H443" s="483">
        <v>0</v>
      </c>
      <c r="I443" s="345" t="str">
        <f t="shared" si="19"/>
        <v>1003</v>
      </c>
      <c r="J443" s="346" t="str">
        <f t="shared" si="20"/>
        <v>0310178260</v>
      </c>
    </row>
    <row r="444" spans="1:10" hidden="1">
      <c r="A444" s="346" t="str">
        <f t="shared" si="18"/>
        <v>60910030310178260313</v>
      </c>
      <c r="B444" s="476">
        <v>609</v>
      </c>
      <c r="C444" s="475">
        <v>1003</v>
      </c>
      <c r="D444" s="474" t="s">
        <v>2063</v>
      </c>
      <c r="E444" s="473" t="s">
        <v>496</v>
      </c>
      <c r="F444" s="484">
        <v>299262914.89999998</v>
      </c>
      <c r="G444" s="484">
        <v>0</v>
      </c>
      <c r="H444" s="483">
        <v>0</v>
      </c>
      <c r="I444" s="345" t="str">
        <f t="shared" si="19"/>
        <v>1003</v>
      </c>
      <c r="J444" s="346" t="str">
        <f t="shared" si="20"/>
        <v>0310178260</v>
      </c>
    </row>
    <row r="445" spans="1:10" hidden="1">
      <c r="A445" s="346" t="str">
        <f t="shared" si="18"/>
        <v>609100303101R4620244</v>
      </c>
      <c r="B445" s="476">
        <v>609</v>
      </c>
      <c r="C445" s="475">
        <v>1003</v>
      </c>
      <c r="D445" s="474" t="s">
        <v>1227</v>
      </c>
      <c r="E445" s="473" t="s">
        <v>31</v>
      </c>
      <c r="F445" s="484">
        <v>0</v>
      </c>
      <c r="G445" s="484">
        <v>0</v>
      </c>
      <c r="H445" s="483">
        <v>0</v>
      </c>
      <c r="I445" s="345" t="str">
        <f t="shared" si="19"/>
        <v>1003</v>
      </c>
      <c r="J445" s="346" t="str">
        <f t="shared" si="20"/>
        <v>03101R4620</v>
      </c>
    </row>
    <row r="446" spans="1:10" hidden="1">
      <c r="A446" s="346" t="str">
        <f t="shared" si="18"/>
        <v>609100303101R4620313</v>
      </c>
      <c r="B446" s="476">
        <v>609</v>
      </c>
      <c r="C446" s="475">
        <v>1003</v>
      </c>
      <c r="D446" s="474" t="s">
        <v>1227</v>
      </c>
      <c r="E446" s="473" t="s">
        <v>496</v>
      </c>
      <c r="F446" s="484">
        <v>3450582</v>
      </c>
      <c r="G446" s="484">
        <v>0</v>
      </c>
      <c r="H446" s="483">
        <v>0</v>
      </c>
      <c r="I446" s="345" t="str">
        <f t="shared" si="19"/>
        <v>1003</v>
      </c>
      <c r="J446" s="346" t="str">
        <f t="shared" si="20"/>
        <v>03101R4620</v>
      </c>
    </row>
    <row r="447" spans="1:10" hidden="1">
      <c r="A447" s="346" t="str">
        <f t="shared" si="18"/>
        <v>60910030310253800244</v>
      </c>
      <c r="B447" s="476">
        <v>609</v>
      </c>
      <c r="C447" s="475">
        <v>1003</v>
      </c>
      <c r="D447" s="474" t="s">
        <v>2064</v>
      </c>
      <c r="E447" s="473" t="s">
        <v>31</v>
      </c>
      <c r="F447" s="484">
        <v>2227713.13</v>
      </c>
      <c r="G447" s="484">
        <v>0</v>
      </c>
      <c r="H447" s="483">
        <v>0</v>
      </c>
      <c r="I447" s="345" t="str">
        <f t="shared" si="19"/>
        <v>1003</v>
      </c>
      <c r="J447" s="346" t="str">
        <f t="shared" si="20"/>
        <v>0310253800</v>
      </c>
    </row>
    <row r="448" spans="1:10" hidden="1">
      <c r="A448" s="346" t="str">
        <f t="shared" si="18"/>
        <v>60910030310253800313</v>
      </c>
      <c r="B448" s="476">
        <v>609</v>
      </c>
      <c r="C448" s="475">
        <v>1003</v>
      </c>
      <c r="D448" s="474" t="s">
        <v>2064</v>
      </c>
      <c r="E448" s="473" t="s">
        <v>496</v>
      </c>
      <c r="F448" s="484">
        <v>181951796.58000001</v>
      </c>
      <c r="G448" s="484">
        <v>0</v>
      </c>
      <c r="H448" s="483">
        <v>0</v>
      </c>
      <c r="I448" s="345" t="str">
        <f t="shared" si="19"/>
        <v>1003</v>
      </c>
      <c r="J448" s="346" t="str">
        <f t="shared" si="20"/>
        <v>0310253800</v>
      </c>
    </row>
    <row r="449" spans="1:10" hidden="1">
      <c r="A449" s="346" t="str">
        <f t="shared" si="18"/>
        <v>60910030310276260244</v>
      </c>
      <c r="B449" s="476">
        <v>609</v>
      </c>
      <c r="C449" s="475">
        <v>1003</v>
      </c>
      <c r="D449" s="474" t="s">
        <v>2065</v>
      </c>
      <c r="E449" s="473" t="s">
        <v>31</v>
      </c>
      <c r="F449" s="484">
        <v>5030.6000000000004</v>
      </c>
      <c r="G449" s="484">
        <v>0</v>
      </c>
      <c r="H449" s="483">
        <v>0</v>
      </c>
      <c r="I449" s="345" t="str">
        <f t="shared" si="19"/>
        <v>1003</v>
      </c>
      <c r="J449" s="346" t="str">
        <f t="shared" si="20"/>
        <v>0310276260</v>
      </c>
    </row>
    <row r="450" spans="1:10" hidden="1">
      <c r="A450" s="346" t="str">
        <f t="shared" si="18"/>
        <v>60910030310276260313</v>
      </c>
      <c r="B450" s="476">
        <v>609</v>
      </c>
      <c r="C450" s="475">
        <v>1003</v>
      </c>
      <c r="D450" s="474" t="s">
        <v>2065</v>
      </c>
      <c r="E450" s="473" t="s">
        <v>496</v>
      </c>
      <c r="F450" s="484">
        <v>375138</v>
      </c>
      <c r="G450" s="484">
        <v>0</v>
      </c>
      <c r="H450" s="483">
        <v>0</v>
      </c>
      <c r="I450" s="345" t="str">
        <f t="shared" si="19"/>
        <v>1003</v>
      </c>
      <c r="J450" s="346" t="str">
        <f t="shared" si="20"/>
        <v>0310276260</v>
      </c>
    </row>
    <row r="451" spans="1:10" hidden="1">
      <c r="A451" s="346" t="str">
        <f t="shared" si="18"/>
        <v>60910030310277190244</v>
      </c>
      <c r="B451" s="476">
        <v>609</v>
      </c>
      <c r="C451" s="475">
        <v>1003</v>
      </c>
      <c r="D451" s="474" t="s">
        <v>2066</v>
      </c>
      <c r="E451" s="473" t="s">
        <v>31</v>
      </c>
      <c r="F451" s="484">
        <v>36051.47</v>
      </c>
      <c r="G451" s="484">
        <v>0</v>
      </c>
      <c r="H451" s="483">
        <v>0</v>
      </c>
      <c r="I451" s="345" t="str">
        <f t="shared" si="19"/>
        <v>1003</v>
      </c>
      <c r="J451" s="346" t="str">
        <f t="shared" si="20"/>
        <v>0310277190</v>
      </c>
    </row>
    <row r="452" spans="1:10" hidden="1">
      <c r="A452" s="346" t="str">
        <f t="shared" si="18"/>
        <v>60910030310277190313</v>
      </c>
      <c r="B452" s="476">
        <v>609</v>
      </c>
      <c r="C452" s="475">
        <v>1003</v>
      </c>
      <c r="D452" s="474" t="s">
        <v>2066</v>
      </c>
      <c r="E452" s="473" t="s">
        <v>496</v>
      </c>
      <c r="F452" s="484">
        <v>3658811.52</v>
      </c>
      <c r="G452" s="484">
        <v>0</v>
      </c>
      <c r="H452" s="483">
        <v>0</v>
      </c>
      <c r="I452" s="345" t="str">
        <f t="shared" si="19"/>
        <v>1003</v>
      </c>
      <c r="J452" s="346" t="str">
        <f t="shared" si="20"/>
        <v>0310277190</v>
      </c>
    </row>
    <row r="453" spans="1:10" hidden="1">
      <c r="A453" s="346" t="str">
        <f t="shared" si="18"/>
        <v>60910030310278280244</v>
      </c>
      <c r="B453" s="476">
        <v>609</v>
      </c>
      <c r="C453" s="475">
        <v>1003</v>
      </c>
      <c r="D453" s="474" t="s">
        <v>2067</v>
      </c>
      <c r="E453" s="473" t="s">
        <v>31</v>
      </c>
      <c r="F453" s="484">
        <v>537704.30000000005</v>
      </c>
      <c r="G453" s="484">
        <v>0</v>
      </c>
      <c r="H453" s="483">
        <v>0</v>
      </c>
      <c r="I453" s="345" t="str">
        <f t="shared" si="19"/>
        <v>1003</v>
      </c>
      <c r="J453" s="346" t="str">
        <f t="shared" si="20"/>
        <v>0310278280</v>
      </c>
    </row>
    <row r="454" spans="1:10" hidden="1">
      <c r="A454" s="346" t="str">
        <f t="shared" si="18"/>
        <v>60910030310278280313</v>
      </c>
      <c r="B454" s="476">
        <v>609</v>
      </c>
      <c r="C454" s="475">
        <v>1003</v>
      </c>
      <c r="D454" s="474" t="s">
        <v>2067</v>
      </c>
      <c r="E454" s="473" t="s">
        <v>496</v>
      </c>
      <c r="F454" s="484">
        <v>43762136.399999999</v>
      </c>
      <c r="G454" s="484">
        <v>0</v>
      </c>
      <c r="H454" s="483">
        <v>0</v>
      </c>
      <c r="I454" s="345" t="str">
        <f t="shared" si="19"/>
        <v>1003</v>
      </c>
      <c r="J454" s="346" t="str">
        <f t="shared" si="20"/>
        <v>0310278280</v>
      </c>
    </row>
    <row r="455" spans="1:10" hidden="1">
      <c r="A455" s="346" t="str">
        <f t="shared" si="18"/>
        <v>60910030320180010313</v>
      </c>
      <c r="B455" s="476">
        <v>609</v>
      </c>
      <c r="C455" s="475">
        <v>1003</v>
      </c>
      <c r="D455" s="474" t="s">
        <v>2068</v>
      </c>
      <c r="E455" s="473" t="s">
        <v>496</v>
      </c>
      <c r="F455" s="484">
        <v>0</v>
      </c>
      <c r="G455" s="484">
        <v>0</v>
      </c>
      <c r="H455" s="483">
        <v>0</v>
      </c>
      <c r="I455" s="345" t="str">
        <f t="shared" si="19"/>
        <v>1003</v>
      </c>
      <c r="J455" s="346" t="str">
        <f t="shared" si="20"/>
        <v>0320180010</v>
      </c>
    </row>
    <row r="456" spans="1:10" hidden="1">
      <c r="A456" s="346" t="str">
        <f t="shared" si="18"/>
        <v>60910030320180030313</v>
      </c>
      <c r="B456" s="476">
        <v>609</v>
      </c>
      <c r="C456" s="475">
        <v>1003</v>
      </c>
      <c r="D456" s="474" t="s">
        <v>2069</v>
      </c>
      <c r="E456" s="473" t="s">
        <v>496</v>
      </c>
      <c r="F456" s="484">
        <v>4978500</v>
      </c>
      <c r="G456" s="484">
        <v>0</v>
      </c>
      <c r="H456" s="483">
        <v>0</v>
      </c>
      <c r="I456" s="345" t="str">
        <f t="shared" si="19"/>
        <v>1003</v>
      </c>
      <c r="J456" s="346" t="str">
        <f t="shared" si="20"/>
        <v>0320180030</v>
      </c>
    </row>
    <row r="457" spans="1:10" hidden="1">
      <c r="A457" s="346" t="str">
        <f t="shared" si="18"/>
        <v>60910030320180040313</v>
      </c>
      <c r="B457" s="476">
        <v>609</v>
      </c>
      <c r="C457" s="475">
        <v>1003</v>
      </c>
      <c r="D457" s="474" t="s">
        <v>2070</v>
      </c>
      <c r="E457" s="473" t="s">
        <v>496</v>
      </c>
      <c r="F457" s="484">
        <v>0</v>
      </c>
      <c r="G457" s="484">
        <v>0</v>
      </c>
      <c r="H457" s="483">
        <v>0</v>
      </c>
      <c r="I457" s="345" t="str">
        <f t="shared" si="19"/>
        <v>1003</v>
      </c>
      <c r="J457" s="346" t="str">
        <f t="shared" si="20"/>
        <v>0320180040</v>
      </c>
    </row>
    <row r="458" spans="1:10" hidden="1">
      <c r="A458" s="346" t="str">
        <f t="shared" si="18"/>
        <v>60910030320180050313</v>
      </c>
      <c r="B458" s="476">
        <v>609</v>
      </c>
      <c r="C458" s="475">
        <v>1003</v>
      </c>
      <c r="D458" s="474" t="s">
        <v>2071</v>
      </c>
      <c r="E458" s="473" t="s">
        <v>496</v>
      </c>
      <c r="F458" s="484">
        <v>0</v>
      </c>
      <c r="G458" s="484">
        <v>0</v>
      </c>
      <c r="H458" s="483">
        <v>0</v>
      </c>
      <c r="I458" s="345" t="str">
        <f t="shared" si="19"/>
        <v>1003</v>
      </c>
      <c r="J458" s="346" t="str">
        <f t="shared" si="20"/>
        <v>0320180050</v>
      </c>
    </row>
    <row r="459" spans="1:10" hidden="1">
      <c r="A459" s="346" t="str">
        <f t="shared" ref="A459:A522" si="21">B459&amp;I459&amp;J459&amp;E459</f>
        <v>60910030320180070313</v>
      </c>
      <c r="B459" s="476">
        <v>609</v>
      </c>
      <c r="C459" s="475">
        <v>1003</v>
      </c>
      <c r="D459" s="474" t="s">
        <v>2072</v>
      </c>
      <c r="E459" s="473" t="s">
        <v>496</v>
      </c>
      <c r="F459" s="484">
        <v>715057.05</v>
      </c>
      <c r="G459" s="484">
        <v>0</v>
      </c>
      <c r="H459" s="483">
        <v>0</v>
      </c>
      <c r="I459" s="345" t="str">
        <f t="shared" ref="I459:I522" si="22">TEXT(C459,"0000")</f>
        <v>1003</v>
      </c>
      <c r="J459" s="346" t="str">
        <f t="shared" ref="J459:J522" si="23">TEXT(D459,"0000000000")</f>
        <v>0320180070</v>
      </c>
    </row>
    <row r="460" spans="1:10" hidden="1">
      <c r="A460" s="346" t="str">
        <f t="shared" si="21"/>
        <v>60910030320180080313</v>
      </c>
      <c r="B460" s="476">
        <v>609</v>
      </c>
      <c r="C460" s="475">
        <v>1003</v>
      </c>
      <c r="D460" s="474" t="s">
        <v>2073</v>
      </c>
      <c r="E460" s="473" t="s">
        <v>496</v>
      </c>
      <c r="F460" s="484">
        <v>1435389.49</v>
      </c>
      <c r="G460" s="484">
        <v>0</v>
      </c>
      <c r="H460" s="483">
        <v>0</v>
      </c>
      <c r="I460" s="345" t="str">
        <f t="shared" si="22"/>
        <v>1003</v>
      </c>
      <c r="J460" s="346" t="str">
        <f t="shared" si="23"/>
        <v>0320180080</v>
      </c>
    </row>
    <row r="461" spans="1:10" hidden="1">
      <c r="A461" s="346" t="str">
        <f t="shared" si="21"/>
        <v>60910030320180090313</v>
      </c>
      <c r="B461" s="476">
        <v>609</v>
      </c>
      <c r="C461" s="475">
        <v>1003</v>
      </c>
      <c r="D461" s="474" t="s">
        <v>2074</v>
      </c>
      <c r="E461" s="473" t="s">
        <v>496</v>
      </c>
      <c r="F461" s="484">
        <v>0</v>
      </c>
      <c r="G461" s="484">
        <v>0</v>
      </c>
      <c r="H461" s="483">
        <v>0</v>
      </c>
      <c r="I461" s="345" t="str">
        <f t="shared" si="22"/>
        <v>1003</v>
      </c>
      <c r="J461" s="346" t="str">
        <f t="shared" si="23"/>
        <v>0320180090</v>
      </c>
    </row>
    <row r="462" spans="1:10" hidden="1">
      <c r="A462" s="346" t="str">
        <f t="shared" si="21"/>
        <v>60910030320180100313</v>
      </c>
      <c r="B462" s="476">
        <v>609</v>
      </c>
      <c r="C462" s="475">
        <v>1003</v>
      </c>
      <c r="D462" s="474" t="s">
        <v>2075</v>
      </c>
      <c r="E462" s="473" t="s">
        <v>496</v>
      </c>
      <c r="F462" s="484">
        <v>5914500</v>
      </c>
      <c r="G462" s="484">
        <v>0</v>
      </c>
      <c r="H462" s="483">
        <v>0</v>
      </c>
      <c r="I462" s="345" t="str">
        <f t="shared" si="22"/>
        <v>1003</v>
      </c>
      <c r="J462" s="346" t="str">
        <f t="shared" si="23"/>
        <v>0320180100</v>
      </c>
    </row>
    <row r="463" spans="1:10" hidden="1">
      <c r="A463" s="346" t="str">
        <f t="shared" si="21"/>
        <v>60910030320180110313</v>
      </c>
      <c r="B463" s="476">
        <v>609</v>
      </c>
      <c r="C463" s="475">
        <v>1003</v>
      </c>
      <c r="D463" s="474" t="s">
        <v>2076</v>
      </c>
      <c r="E463" s="473" t="s">
        <v>496</v>
      </c>
      <c r="F463" s="484">
        <v>1131480</v>
      </c>
      <c r="G463" s="484">
        <v>0</v>
      </c>
      <c r="H463" s="483">
        <v>0</v>
      </c>
      <c r="I463" s="345" t="str">
        <f t="shared" si="22"/>
        <v>1003</v>
      </c>
      <c r="J463" s="346" t="str">
        <f t="shared" si="23"/>
        <v>0320180110</v>
      </c>
    </row>
    <row r="464" spans="1:10" hidden="1">
      <c r="A464" s="346" t="str">
        <f t="shared" si="21"/>
        <v>60910030320180120313</v>
      </c>
      <c r="B464" s="476">
        <v>609</v>
      </c>
      <c r="C464" s="475">
        <v>1003</v>
      </c>
      <c r="D464" s="474" t="s">
        <v>2077</v>
      </c>
      <c r="E464" s="473" t="s">
        <v>496</v>
      </c>
      <c r="F464" s="484">
        <v>1022220</v>
      </c>
      <c r="G464" s="484">
        <v>0</v>
      </c>
      <c r="H464" s="483">
        <v>0</v>
      </c>
      <c r="I464" s="345" t="str">
        <f t="shared" si="22"/>
        <v>1003</v>
      </c>
      <c r="J464" s="346" t="str">
        <f t="shared" si="23"/>
        <v>0320180120</v>
      </c>
    </row>
    <row r="465" spans="1:10" hidden="1">
      <c r="A465" s="346" t="str">
        <f t="shared" si="21"/>
        <v>60910030320180130313</v>
      </c>
      <c r="B465" s="476">
        <v>609</v>
      </c>
      <c r="C465" s="475">
        <v>1003</v>
      </c>
      <c r="D465" s="474" t="s">
        <v>2078</v>
      </c>
      <c r="E465" s="473" t="s">
        <v>496</v>
      </c>
      <c r="F465" s="484">
        <v>0</v>
      </c>
      <c r="G465" s="484">
        <v>0</v>
      </c>
      <c r="H465" s="483">
        <v>0</v>
      </c>
      <c r="I465" s="345" t="str">
        <f t="shared" si="22"/>
        <v>1003</v>
      </c>
      <c r="J465" s="346" t="str">
        <f t="shared" si="23"/>
        <v>0320180130</v>
      </c>
    </row>
    <row r="466" spans="1:10" hidden="1">
      <c r="A466" s="346" t="str">
        <f t="shared" si="21"/>
        <v>60910030320180140313</v>
      </c>
      <c r="B466" s="476">
        <v>609</v>
      </c>
      <c r="C466" s="475">
        <v>1003</v>
      </c>
      <c r="D466" s="474" t="s">
        <v>2079</v>
      </c>
      <c r="E466" s="473" t="s">
        <v>496</v>
      </c>
      <c r="F466" s="484">
        <v>587000</v>
      </c>
      <c r="G466" s="484">
        <v>0</v>
      </c>
      <c r="H466" s="483">
        <v>0</v>
      </c>
      <c r="I466" s="345" t="str">
        <f t="shared" si="22"/>
        <v>1003</v>
      </c>
      <c r="J466" s="346" t="str">
        <f t="shared" si="23"/>
        <v>0320180140</v>
      </c>
    </row>
    <row r="467" spans="1:10" hidden="1">
      <c r="A467" s="346" t="str">
        <f t="shared" si="21"/>
        <v>60910030320180150313</v>
      </c>
      <c r="B467" s="476">
        <v>609</v>
      </c>
      <c r="C467" s="475">
        <v>1003</v>
      </c>
      <c r="D467" s="474" t="s">
        <v>2080</v>
      </c>
      <c r="E467" s="473" t="s">
        <v>496</v>
      </c>
      <c r="F467" s="484">
        <v>300000</v>
      </c>
      <c r="G467" s="484">
        <v>0</v>
      </c>
      <c r="H467" s="483">
        <v>0</v>
      </c>
      <c r="I467" s="345" t="str">
        <f t="shared" si="22"/>
        <v>1003</v>
      </c>
      <c r="J467" s="346" t="str">
        <f t="shared" si="23"/>
        <v>0320180150</v>
      </c>
    </row>
    <row r="468" spans="1:10" hidden="1">
      <c r="A468" s="346" t="str">
        <f t="shared" si="21"/>
        <v>60910030320180160313</v>
      </c>
      <c r="B468" s="476">
        <v>609</v>
      </c>
      <c r="C468" s="475">
        <v>1003</v>
      </c>
      <c r="D468" s="474" t="s">
        <v>2081</v>
      </c>
      <c r="E468" s="473" t="s">
        <v>496</v>
      </c>
      <c r="F468" s="484">
        <v>1020000</v>
      </c>
      <c r="G468" s="484">
        <v>0</v>
      </c>
      <c r="H468" s="483">
        <v>0</v>
      </c>
      <c r="I468" s="345" t="str">
        <f t="shared" si="22"/>
        <v>1003</v>
      </c>
      <c r="J468" s="346" t="str">
        <f t="shared" si="23"/>
        <v>0320180160</v>
      </c>
    </row>
    <row r="469" spans="1:10" hidden="1">
      <c r="A469" s="346" t="str">
        <f t="shared" si="21"/>
        <v>60910030320180170313</v>
      </c>
      <c r="B469" s="476">
        <v>609</v>
      </c>
      <c r="C469" s="475">
        <v>1003</v>
      </c>
      <c r="D469" s="474" t="s">
        <v>2082</v>
      </c>
      <c r="E469" s="473" t="s">
        <v>496</v>
      </c>
      <c r="F469" s="484">
        <v>0</v>
      </c>
      <c r="G469" s="484">
        <v>0</v>
      </c>
      <c r="H469" s="483">
        <v>0</v>
      </c>
      <c r="I469" s="345" t="str">
        <f t="shared" si="22"/>
        <v>1003</v>
      </c>
      <c r="J469" s="346" t="str">
        <f t="shared" si="23"/>
        <v>0320180170</v>
      </c>
    </row>
    <row r="470" spans="1:10" hidden="1">
      <c r="A470" s="346" t="str">
        <f t="shared" si="21"/>
        <v>60910030320180180313</v>
      </c>
      <c r="B470" s="476">
        <v>609</v>
      </c>
      <c r="C470" s="475">
        <v>1003</v>
      </c>
      <c r="D470" s="474" t="s">
        <v>2083</v>
      </c>
      <c r="E470" s="473" t="s">
        <v>496</v>
      </c>
      <c r="F470" s="484">
        <v>1854000</v>
      </c>
      <c r="G470" s="484">
        <v>0</v>
      </c>
      <c r="H470" s="483">
        <v>0</v>
      </c>
      <c r="I470" s="345" t="str">
        <f t="shared" si="22"/>
        <v>1003</v>
      </c>
      <c r="J470" s="346" t="str">
        <f t="shared" si="23"/>
        <v>0320180180</v>
      </c>
    </row>
    <row r="471" spans="1:10" hidden="1">
      <c r="A471" s="346" t="str">
        <f t="shared" si="21"/>
        <v>60910030320180190313</v>
      </c>
      <c r="B471" s="476">
        <v>609</v>
      </c>
      <c r="C471" s="475">
        <v>1003</v>
      </c>
      <c r="D471" s="474" t="s">
        <v>2084</v>
      </c>
      <c r="E471" s="473" t="s">
        <v>496</v>
      </c>
      <c r="F471" s="484">
        <v>0</v>
      </c>
      <c r="G471" s="484">
        <v>0</v>
      </c>
      <c r="H471" s="483">
        <v>0</v>
      </c>
      <c r="I471" s="345" t="str">
        <f t="shared" si="22"/>
        <v>1003</v>
      </c>
      <c r="J471" s="346" t="str">
        <f t="shared" si="23"/>
        <v>0320180190</v>
      </c>
    </row>
    <row r="472" spans="1:10" hidden="1">
      <c r="A472" s="346" t="str">
        <f t="shared" si="21"/>
        <v>60910030320180200313</v>
      </c>
      <c r="B472" s="476">
        <v>609</v>
      </c>
      <c r="C472" s="475">
        <v>1003</v>
      </c>
      <c r="D472" s="474" t="s">
        <v>2085</v>
      </c>
      <c r="E472" s="473" t="s">
        <v>496</v>
      </c>
      <c r="F472" s="484">
        <v>0</v>
      </c>
      <c r="G472" s="484">
        <v>0</v>
      </c>
      <c r="H472" s="483">
        <v>0</v>
      </c>
      <c r="I472" s="345" t="str">
        <f t="shared" si="22"/>
        <v>1003</v>
      </c>
      <c r="J472" s="346" t="str">
        <f t="shared" si="23"/>
        <v>0320180200</v>
      </c>
    </row>
    <row r="473" spans="1:10" hidden="1">
      <c r="A473" s="346" t="str">
        <f t="shared" si="21"/>
        <v>60910030320180210313</v>
      </c>
      <c r="B473" s="476">
        <v>609</v>
      </c>
      <c r="C473" s="475">
        <v>1003</v>
      </c>
      <c r="D473" s="474" t="s">
        <v>2086</v>
      </c>
      <c r="E473" s="473" t="s">
        <v>496</v>
      </c>
      <c r="F473" s="484">
        <v>40000</v>
      </c>
      <c r="G473" s="484">
        <v>0</v>
      </c>
      <c r="H473" s="483">
        <v>0</v>
      </c>
      <c r="I473" s="345" t="str">
        <f t="shared" si="22"/>
        <v>1003</v>
      </c>
      <c r="J473" s="346" t="str">
        <f t="shared" si="23"/>
        <v>0320180210</v>
      </c>
    </row>
    <row r="474" spans="1:10" hidden="1">
      <c r="A474" s="346" t="str">
        <f t="shared" si="21"/>
        <v>60910030320520500323</v>
      </c>
      <c r="B474" s="476">
        <v>609</v>
      </c>
      <c r="C474" s="475">
        <v>1003</v>
      </c>
      <c r="D474" s="474" t="s">
        <v>2087</v>
      </c>
      <c r="E474" s="473" t="s">
        <v>502</v>
      </c>
      <c r="F474" s="484">
        <v>79488</v>
      </c>
      <c r="G474" s="484">
        <v>0</v>
      </c>
      <c r="H474" s="483">
        <v>0</v>
      </c>
      <c r="I474" s="345" t="str">
        <f t="shared" si="22"/>
        <v>1003</v>
      </c>
      <c r="J474" s="346" t="str">
        <f t="shared" si="23"/>
        <v>0320520500</v>
      </c>
    </row>
    <row r="475" spans="1:10" hidden="1">
      <c r="A475" s="346" t="str">
        <f t="shared" si="21"/>
        <v>60910030320620520244</v>
      </c>
      <c r="B475" s="476">
        <v>609</v>
      </c>
      <c r="C475" s="475">
        <v>1003</v>
      </c>
      <c r="D475" s="474" t="s">
        <v>2088</v>
      </c>
      <c r="E475" s="473" t="s">
        <v>31</v>
      </c>
      <c r="F475" s="484">
        <v>25000</v>
      </c>
      <c r="G475" s="484">
        <v>0</v>
      </c>
      <c r="H475" s="483">
        <v>0</v>
      </c>
      <c r="I475" s="345" t="str">
        <f t="shared" si="22"/>
        <v>1003</v>
      </c>
      <c r="J475" s="346" t="str">
        <f t="shared" si="23"/>
        <v>0320620520</v>
      </c>
    </row>
    <row r="476" spans="1:10" hidden="1">
      <c r="A476" s="346" t="str">
        <f t="shared" si="21"/>
        <v>60910030320820510244</v>
      </c>
      <c r="B476" s="476">
        <v>609</v>
      </c>
      <c r="C476" s="475">
        <v>1003</v>
      </c>
      <c r="D476" s="474" t="s">
        <v>2089</v>
      </c>
      <c r="E476" s="473" t="s">
        <v>31</v>
      </c>
      <c r="F476" s="484">
        <v>75000</v>
      </c>
      <c r="G476" s="484">
        <v>0</v>
      </c>
      <c r="H476" s="483">
        <v>0</v>
      </c>
      <c r="I476" s="345" t="str">
        <f t="shared" si="22"/>
        <v>1003</v>
      </c>
      <c r="J476" s="346" t="str">
        <f t="shared" si="23"/>
        <v>0320820510</v>
      </c>
    </row>
    <row r="477" spans="1:10" hidden="1">
      <c r="A477" s="346" t="str">
        <f t="shared" si="21"/>
        <v>60910030330120530323</v>
      </c>
      <c r="B477" s="476">
        <v>609</v>
      </c>
      <c r="C477" s="475">
        <v>1003</v>
      </c>
      <c r="D477" s="474" t="s">
        <v>2090</v>
      </c>
      <c r="E477" s="473" t="s">
        <v>502</v>
      </c>
      <c r="F477" s="484">
        <v>2174365.6</v>
      </c>
      <c r="G477" s="484">
        <v>0</v>
      </c>
      <c r="H477" s="483">
        <v>0</v>
      </c>
      <c r="I477" s="345" t="str">
        <f t="shared" si="22"/>
        <v>1003</v>
      </c>
      <c r="J477" s="346" t="str">
        <f t="shared" si="23"/>
        <v>0330120530</v>
      </c>
    </row>
    <row r="478" spans="1:10" hidden="1">
      <c r="A478" s="346" t="str">
        <f t="shared" si="21"/>
        <v>60910040310276270313</v>
      </c>
      <c r="B478" s="476">
        <v>609</v>
      </c>
      <c r="C478" s="475">
        <v>1004</v>
      </c>
      <c r="D478" s="474" t="s">
        <v>2091</v>
      </c>
      <c r="E478" s="473" t="s">
        <v>496</v>
      </c>
      <c r="F478" s="484">
        <v>114600000</v>
      </c>
      <c r="G478" s="484">
        <v>0</v>
      </c>
      <c r="H478" s="483">
        <v>0</v>
      </c>
      <c r="I478" s="345" t="str">
        <f t="shared" si="22"/>
        <v>1004</v>
      </c>
      <c r="J478" s="346" t="str">
        <f t="shared" si="23"/>
        <v>0310276270</v>
      </c>
    </row>
    <row r="479" spans="1:10" hidden="1">
      <c r="A479" s="346" t="str">
        <f t="shared" si="21"/>
        <v>609100403102R0840313</v>
      </c>
      <c r="B479" s="476">
        <v>609</v>
      </c>
      <c r="C479" s="475">
        <v>1004</v>
      </c>
      <c r="D479" s="474" t="s">
        <v>1228</v>
      </c>
      <c r="E479" s="473" t="s">
        <v>496</v>
      </c>
      <c r="F479" s="484">
        <v>133200000</v>
      </c>
      <c r="G479" s="484">
        <v>0</v>
      </c>
      <c r="H479" s="483">
        <v>0</v>
      </c>
      <c r="I479" s="345" t="str">
        <f t="shared" si="22"/>
        <v>1004</v>
      </c>
      <c r="J479" s="346" t="str">
        <f t="shared" si="23"/>
        <v>03102R0840</v>
      </c>
    </row>
    <row r="480" spans="1:10" hidden="1">
      <c r="A480" s="346" t="str">
        <f t="shared" si="21"/>
        <v>60910060310152500121</v>
      </c>
      <c r="B480" s="476">
        <v>609</v>
      </c>
      <c r="C480" s="475">
        <v>1006</v>
      </c>
      <c r="D480" s="474" t="s">
        <v>2053</v>
      </c>
      <c r="E480" s="473" t="s">
        <v>41</v>
      </c>
      <c r="F480" s="484">
        <v>2730105</v>
      </c>
      <c r="G480" s="484">
        <v>0</v>
      </c>
      <c r="H480" s="483">
        <v>0</v>
      </c>
      <c r="I480" s="345" t="str">
        <f t="shared" si="22"/>
        <v>1006</v>
      </c>
      <c r="J480" s="346" t="str">
        <f t="shared" si="23"/>
        <v>0310152500</v>
      </c>
    </row>
    <row r="481" spans="1:10" hidden="1">
      <c r="A481" s="346" t="str">
        <f t="shared" si="21"/>
        <v>60910060310152500129</v>
      </c>
      <c r="B481" s="476">
        <v>609</v>
      </c>
      <c r="C481" s="475">
        <v>1006</v>
      </c>
      <c r="D481" s="474" t="s">
        <v>2053</v>
      </c>
      <c r="E481" s="473" t="s">
        <v>27</v>
      </c>
      <c r="F481" s="484">
        <v>745318.24</v>
      </c>
      <c r="G481" s="484">
        <v>0</v>
      </c>
      <c r="H481" s="483">
        <v>0</v>
      </c>
      <c r="I481" s="345" t="str">
        <f t="shared" si="22"/>
        <v>1006</v>
      </c>
      <c r="J481" s="346" t="str">
        <f t="shared" si="23"/>
        <v>0310152500</v>
      </c>
    </row>
    <row r="482" spans="1:10" hidden="1">
      <c r="A482" s="346" t="str">
        <f t="shared" si="21"/>
        <v>60910060310253800121</v>
      </c>
      <c r="B482" s="476">
        <v>609</v>
      </c>
      <c r="C482" s="475">
        <v>1006</v>
      </c>
      <c r="D482" s="474" t="s">
        <v>2064</v>
      </c>
      <c r="E482" s="473" t="s">
        <v>41</v>
      </c>
      <c r="F482" s="484">
        <v>357914</v>
      </c>
      <c r="G482" s="484">
        <v>0</v>
      </c>
      <c r="H482" s="483">
        <v>0</v>
      </c>
      <c r="I482" s="345" t="str">
        <f t="shared" si="22"/>
        <v>1006</v>
      </c>
      <c r="J482" s="346" t="str">
        <f t="shared" si="23"/>
        <v>0310253800</v>
      </c>
    </row>
    <row r="483" spans="1:10" hidden="1">
      <c r="A483" s="346" t="str">
        <f t="shared" si="21"/>
        <v>60910060310253800129</v>
      </c>
      <c r="B483" s="476">
        <v>609</v>
      </c>
      <c r="C483" s="475">
        <v>1006</v>
      </c>
      <c r="D483" s="474" t="s">
        <v>2064</v>
      </c>
      <c r="E483" s="473" t="s">
        <v>27</v>
      </c>
      <c r="F483" s="484">
        <v>97711</v>
      </c>
      <c r="G483" s="484">
        <v>0</v>
      </c>
      <c r="H483" s="483">
        <v>0</v>
      </c>
      <c r="I483" s="345" t="str">
        <f t="shared" si="22"/>
        <v>1006</v>
      </c>
      <c r="J483" s="346" t="str">
        <f t="shared" si="23"/>
        <v>0310253800</v>
      </c>
    </row>
    <row r="484" spans="1:10" hidden="1">
      <c r="A484" s="346" t="str">
        <f t="shared" si="21"/>
        <v>60910060320760040632</v>
      </c>
      <c r="B484" s="476">
        <v>609</v>
      </c>
      <c r="C484" s="475">
        <v>1006</v>
      </c>
      <c r="D484" s="474" t="s">
        <v>2092</v>
      </c>
      <c r="E484" s="473" t="s">
        <v>416</v>
      </c>
      <c r="F484" s="484">
        <v>1232510</v>
      </c>
      <c r="G484" s="484">
        <v>0</v>
      </c>
      <c r="H484" s="483">
        <v>0</v>
      </c>
      <c r="I484" s="345" t="str">
        <f t="shared" si="22"/>
        <v>1006</v>
      </c>
      <c r="J484" s="346" t="str">
        <f t="shared" si="23"/>
        <v>0320760040</v>
      </c>
    </row>
    <row r="485" spans="1:10" hidden="1">
      <c r="A485" s="346" t="str">
        <f t="shared" si="21"/>
        <v>60910060330120530244</v>
      </c>
      <c r="B485" s="476">
        <v>609</v>
      </c>
      <c r="C485" s="475">
        <v>1006</v>
      </c>
      <c r="D485" s="474" t="s">
        <v>2090</v>
      </c>
      <c r="E485" s="473" t="s">
        <v>31</v>
      </c>
      <c r="F485" s="484">
        <v>432414.76</v>
      </c>
      <c r="G485" s="484">
        <v>0</v>
      </c>
      <c r="H485" s="483">
        <v>0</v>
      </c>
      <c r="I485" s="345" t="str">
        <f t="shared" si="22"/>
        <v>1006</v>
      </c>
      <c r="J485" s="346" t="str">
        <f t="shared" si="23"/>
        <v>0330120530</v>
      </c>
    </row>
    <row r="486" spans="1:10" hidden="1">
      <c r="A486" s="346" t="str">
        <f t="shared" si="21"/>
        <v>60910060330120530851</v>
      </c>
      <c r="B486" s="476">
        <v>609</v>
      </c>
      <c r="C486" s="475">
        <v>1006</v>
      </c>
      <c r="D486" s="474" t="s">
        <v>2090</v>
      </c>
      <c r="E486" s="473" t="s">
        <v>35</v>
      </c>
      <c r="F486" s="484">
        <v>27552</v>
      </c>
      <c r="G486" s="484">
        <v>0</v>
      </c>
      <c r="H486" s="483">
        <v>0</v>
      </c>
      <c r="I486" s="345" t="str">
        <f t="shared" si="22"/>
        <v>1006</v>
      </c>
      <c r="J486" s="346" t="str">
        <f t="shared" si="23"/>
        <v>0330120530</v>
      </c>
    </row>
    <row r="487" spans="1:10" hidden="1">
      <c r="A487" s="346" t="str">
        <f t="shared" si="21"/>
        <v>60910060330120530852</v>
      </c>
      <c r="B487" s="476">
        <v>609</v>
      </c>
      <c r="C487" s="475">
        <v>1006</v>
      </c>
      <c r="D487" s="474" t="s">
        <v>2090</v>
      </c>
      <c r="E487" s="473" t="s">
        <v>37</v>
      </c>
      <c r="F487" s="484">
        <v>2757</v>
      </c>
      <c r="G487" s="484">
        <v>0</v>
      </c>
      <c r="H487" s="483">
        <v>0</v>
      </c>
      <c r="I487" s="345" t="str">
        <f t="shared" si="22"/>
        <v>1006</v>
      </c>
      <c r="J487" s="346" t="str">
        <f t="shared" si="23"/>
        <v>0330120530</v>
      </c>
    </row>
    <row r="488" spans="1:10" hidden="1">
      <c r="A488" s="346" t="str">
        <f t="shared" si="21"/>
        <v>609100603301S0270244</v>
      </c>
      <c r="B488" s="476">
        <v>609</v>
      </c>
      <c r="C488" s="475">
        <v>1006</v>
      </c>
      <c r="D488" s="474" t="s">
        <v>1229</v>
      </c>
      <c r="E488" s="473" t="s">
        <v>31</v>
      </c>
      <c r="F488" s="484">
        <v>0</v>
      </c>
      <c r="G488" s="484">
        <v>0</v>
      </c>
      <c r="H488" s="483">
        <v>0</v>
      </c>
      <c r="I488" s="345" t="str">
        <f t="shared" si="22"/>
        <v>1006</v>
      </c>
      <c r="J488" s="346" t="str">
        <f t="shared" si="23"/>
        <v>03301S0270</v>
      </c>
    </row>
    <row r="489" spans="1:10" hidden="1">
      <c r="A489" s="346" t="str">
        <f t="shared" si="21"/>
        <v>60910067710010010122</v>
      </c>
      <c r="B489" s="476">
        <v>609</v>
      </c>
      <c r="C489" s="475">
        <v>1006</v>
      </c>
      <c r="D489" s="474" t="s">
        <v>2093</v>
      </c>
      <c r="E489" s="473" t="s">
        <v>23</v>
      </c>
      <c r="F489" s="484">
        <v>110630</v>
      </c>
      <c r="G489" s="484">
        <v>0</v>
      </c>
      <c r="H489" s="483">
        <v>0</v>
      </c>
      <c r="I489" s="345" t="str">
        <f t="shared" si="22"/>
        <v>1006</v>
      </c>
      <c r="J489" s="346" t="str">
        <f t="shared" si="23"/>
        <v>7710010010</v>
      </c>
    </row>
    <row r="490" spans="1:10" hidden="1">
      <c r="A490" s="346" t="str">
        <f t="shared" si="21"/>
        <v>60910067710010010129</v>
      </c>
      <c r="B490" s="476">
        <v>609</v>
      </c>
      <c r="C490" s="475">
        <v>1006</v>
      </c>
      <c r="D490" s="474" t="s">
        <v>2093</v>
      </c>
      <c r="E490" s="473" t="s">
        <v>27</v>
      </c>
      <c r="F490" s="484">
        <v>33410</v>
      </c>
      <c r="G490" s="484">
        <v>0</v>
      </c>
      <c r="H490" s="483">
        <v>0</v>
      </c>
      <c r="I490" s="345" t="str">
        <f t="shared" si="22"/>
        <v>1006</v>
      </c>
      <c r="J490" s="346" t="str">
        <f t="shared" si="23"/>
        <v>7710010010</v>
      </c>
    </row>
    <row r="491" spans="1:10" hidden="1">
      <c r="A491" s="346" t="str">
        <f t="shared" si="21"/>
        <v>60910067710010010244</v>
      </c>
      <c r="B491" s="476">
        <v>609</v>
      </c>
      <c r="C491" s="475">
        <v>1006</v>
      </c>
      <c r="D491" s="474" t="s">
        <v>2093</v>
      </c>
      <c r="E491" s="473" t="s">
        <v>31</v>
      </c>
      <c r="F491" s="484">
        <v>1226291.53</v>
      </c>
      <c r="G491" s="484">
        <v>0</v>
      </c>
      <c r="H491" s="483">
        <v>0</v>
      </c>
      <c r="I491" s="345" t="str">
        <f t="shared" si="22"/>
        <v>1006</v>
      </c>
      <c r="J491" s="346" t="str">
        <f t="shared" si="23"/>
        <v>7710010010</v>
      </c>
    </row>
    <row r="492" spans="1:10" hidden="1">
      <c r="A492" s="346" t="str">
        <f t="shared" si="21"/>
        <v>60910067710010010852</v>
      </c>
      <c r="B492" s="476">
        <v>609</v>
      </c>
      <c r="C492" s="475">
        <v>1006</v>
      </c>
      <c r="D492" s="474" t="s">
        <v>2093</v>
      </c>
      <c r="E492" s="473" t="s">
        <v>37</v>
      </c>
      <c r="F492" s="484">
        <v>1940</v>
      </c>
      <c r="G492" s="484">
        <v>0</v>
      </c>
      <c r="H492" s="483">
        <v>0</v>
      </c>
      <c r="I492" s="345" t="str">
        <f t="shared" si="22"/>
        <v>1006</v>
      </c>
      <c r="J492" s="346" t="str">
        <f t="shared" si="23"/>
        <v>7710010010</v>
      </c>
    </row>
    <row r="493" spans="1:10" hidden="1">
      <c r="A493" s="346" t="str">
        <f t="shared" si="21"/>
        <v>60910067710010020121</v>
      </c>
      <c r="B493" s="476">
        <v>609</v>
      </c>
      <c r="C493" s="475">
        <v>1006</v>
      </c>
      <c r="D493" s="474" t="s">
        <v>2094</v>
      </c>
      <c r="E493" s="473" t="s">
        <v>41</v>
      </c>
      <c r="F493" s="484">
        <v>4733973.43</v>
      </c>
      <c r="G493" s="484">
        <v>0</v>
      </c>
      <c r="H493" s="483">
        <v>0</v>
      </c>
      <c r="I493" s="345" t="str">
        <f t="shared" si="22"/>
        <v>1006</v>
      </c>
      <c r="J493" s="346" t="str">
        <f t="shared" si="23"/>
        <v>7710010020</v>
      </c>
    </row>
    <row r="494" spans="1:10" hidden="1">
      <c r="A494" s="346" t="str">
        <f t="shared" si="21"/>
        <v>60910067710010020129</v>
      </c>
      <c r="B494" s="476">
        <v>609</v>
      </c>
      <c r="C494" s="475">
        <v>1006</v>
      </c>
      <c r="D494" s="474" t="s">
        <v>2094</v>
      </c>
      <c r="E494" s="473" t="s">
        <v>27</v>
      </c>
      <c r="F494" s="484">
        <v>1429658.38</v>
      </c>
      <c r="G494" s="484">
        <v>0</v>
      </c>
      <c r="H494" s="483">
        <v>0</v>
      </c>
      <c r="I494" s="345" t="str">
        <f t="shared" si="22"/>
        <v>1006</v>
      </c>
      <c r="J494" s="346" t="str">
        <f t="shared" si="23"/>
        <v>7710010020</v>
      </c>
    </row>
    <row r="495" spans="1:10" hidden="1">
      <c r="A495" s="346" t="str">
        <f t="shared" si="21"/>
        <v>60910067710076100121</v>
      </c>
      <c r="B495" s="476">
        <v>609</v>
      </c>
      <c r="C495" s="475">
        <v>1006</v>
      </c>
      <c r="D495" s="474" t="s">
        <v>2095</v>
      </c>
      <c r="E495" s="473" t="s">
        <v>41</v>
      </c>
      <c r="F495" s="484">
        <v>912861</v>
      </c>
      <c r="G495" s="484">
        <v>0</v>
      </c>
      <c r="H495" s="483">
        <v>0</v>
      </c>
      <c r="I495" s="345" t="str">
        <f t="shared" si="22"/>
        <v>1006</v>
      </c>
      <c r="J495" s="346" t="str">
        <f t="shared" si="23"/>
        <v>7710076100</v>
      </c>
    </row>
    <row r="496" spans="1:10" hidden="1">
      <c r="A496" s="346" t="str">
        <f t="shared" si="21"/>
        <v>60910067710076100122</v>
      </c>
      <c r="B496" s="476">
        <v>609</v>
      </c>
      <c r="C496" s="475">
        <v>1006</v>
      </c>
      <c r="D496" s="474" t="s">
        <v>2095</v>
      </c>
      <c r="E496" s="473" t="s">
        <v>23</v>
      </c>
      <c r="F496" s="484">
        <v>38295</v>
      </c>
      <c r="G496" s="484">
        <v>0</v>
      </c>
      <c r="H496" s="483">
        <v>0</v>
      </c>
      <c r="I496" s="345" t="str">
        <f t="shared" si="22"/>
        <v>1006</v>
      </c>
      <c r="J496" s="346" t="str">
        <f t="shared" si="23"/>
        <v>7710076100</v>
      </c>
    </row>
    <row r="497" spans="1:10" hidden="1">
      <c r="A497" s="346" t="str">
        <f t="shared" si="21"/>
        <v>60910067710076100129</v>
      </c>
      <c r="B497" s="476">
        <v>609</v>
      </c>
      <c r="C497" s="475">
        <v>1006</v>
      </c>
      <c r="D497" s="474" t="s">
        <v>2095</v>
      </c>
      <c r="E497" s="473" t="s">
        <v>27</v>
      </c>
      <c r="F497" s="484">
        <v>287249.2</v>
      </c>
      <c r="G497" s="484">
        <v>0</v>
      </c>
      <c r="H497" s="483">
        <v>0</v>
      </c>
      <c r="I497" s="345" t="str">
        <f t="shared" si="22"/>
        <v>1006</v>
      </c>
      <c r="J497" s="346" t="str">
        <f t="shared" si="23"/>
        <v>7710076100</v>
      </c>
    </row>
    <row r="498" spans="1:10" hidden="1">
      <c r="A498" s="346" t="str">
        <f t="shared" si="21"/>
        <v>60910067710076100244</v>
      </c>
      <c r="B498" s="476">
        <v>609</v>
      </c>
      <c r="C498" s="475">
        <v>1006</v>
      </c>
      <c r="D498" s="474" t="s">
        <v>2095</v>
      </c>
      <c r="E498" s="473" t="s">
        <v>31</v>
      </c>
      <c r="F498" s="484">
        <v>210528</v>
      </c>
      <c r="G498" s="484">
        <v>0</v>
      </c>
      <c r="H498" s="483">
        <v>0</v>
      </c>
      <c r="I498" s="345" t="str">
        <f t="shared" si="22"/>
        <v>1006</v>
      </c>
      <c r="J498" s="346" t="str">
        <f t="shared" si="23"/>
        <v>7710076100</v>
      </c>
    </row>
    <row r="499" spans="1:10" hidden="1">
      <c r="A499" s="346" t="str">
        <f t="shared" si="21"/>
        <v>60910067710076210121</v>
      </c>
      <c r="B499" s="476">
        <v>609</v>
      </c>
      <c r="C499" s="475">
        <v>1006</v>
      </c>
      <c r="D499" s="474" t="s">
        <v>2096</v>
      </c>
      <c r="E499" s="473" t="s">
        <v>41</v>
      </c>
      <c r="F499" s="484">
        <v>40463903.060000002</v>
      </c>
      <c r="G499" s="484">
        <v>0</v>
      </c>
      <c r="H499" s="483">
        <v>0</v>
      </c>
      <c r="I499" s="345" t="str">
        <f t="shared" si="22"/>
        <v>1006</v>
      </c>
      <c r="J499" s="346" t="str">
        <f t="shared" si="23"/>
        <v>7710076210</v>
      </c>
    </row>
    <row r="500" spans="1:10" hidden="1">
      <c r="A500" s="346" t="str">
        <f t="shared" si="21"/>
        <v>60910067710076210122</v>
      </c>
      <c r="B500" s="476">
        <v>609</v>
      </c>
      <c r="C500" s="475">
        <v>1006</v>
      </c>
      <c r="D500" s="474" t="s">
        <v>2096</v>
      </c>
      <c r="E500" s="473" t="s">
        <v>23</v>
      </c>
      <c r="F500" s="484">
        <v>1309339.3999999999</v>
      </c>
      <c r="G500" s="484">
        <v>0</v>
      </c>
      <c r="H500" s="483">
        <v>0</v>
      </c>
      <c r="I500" s="345" t="str">
        <f t="shared" si="22"/>
        <v>1006</v>
      </c>
      <c r="J500" s="346" t="str">
        <f t="shared" si="23"/>
        <v>7710076210</v>
      </c>
    </row>
    <row r="501" spans="1:10" hidden="1">
      <c r="A501" s="346" t="str">
        <f t="shared" si="21"/>
        <v>60910067710076210129</v>
      </c>
      <c r="B501" s="476">
        <v>609</v>
      </c>
      <c r="C501" s="475">
        <v>1006</v>
      </c>
      <c r="D501" s="474" t="s">
        <v>2096</v>
      </c>
      <c r="E501" s="473" t="s">
        <v>27</v>
      </c>
      <c r="F501" s="484">
        <v>12444576.65</v>
      </c>
      <c r="G501" s="484">
        <v>0</v>
      </c>
      <c r="H501" s="483">
        <v>0</v>
      </c>
      <c r="I501" s="345" t="str">
        <f t="shared" si="22"/>
        <v>1006</v>
      </c>
      <c r="J501" s="346" t="str">
        <f t="shared" si="23"/>
        <v>7710076210</v>
      </c>
    </row>
    <row r="502" spans="1:10" hidden="1">
      <c r="A502" s="346" t="str">
        <f t="shared" si="21"/>
        <v>60910067710076210244</v>
      </c>
      <c r="B502" s="476">
        <v>609</v>
      </c>
      <c r="C502" s="475">
        <v>1006</v>
      </c>
      <c r="D502" s="474" t="s">
        <v>2096</v>
      </c>
      <c r="E502" s="473" t="s">
        <v>31</v>
      </c>
      <c r="F502" s="484">
        <v>1352857.28</v>
      </c>
      <c r="G502" s="484">
        <v>0</v>
      </c>
      <c r="H502" s="483">
        <v>0</v>
      </c>
      <c r="I502" s="345" t="str">
        <f t="shared" si="22"/>
        <v>1006</v>
      </c>
      <c r="J502" s="346" t="str">
        <f t="shared" si="23"/>
        <v>7710076210</v>
      </c>
    </row>
    <row r="503" spans="1:10" hidden="1">
      <c r="A503" s="346" t="str">
        <f t="shared" si="21"/>
        <v>60910067710076210851</v>
      </c>
      <c r="B503" s="476">
        <v>609</v>
      </c>
      <c r="C503" s="475">
        <v>1006</v>
      </c>
      <c r="D503" s="474" t="s">
        <v>2096</v>
      </c>
      <c r="E503" s="473" t="s">
        <v>35</v>
      </c>
      <c r="F503" s="484">
        <v>100000</v>
      </c>
      <c r="G503" s="484">
        <v>0</v>
      </c>
      <c r="H503" s="483">
        <v>0</v>
      </c>
      <c r="I503" s="345" t="str">
        <f t="shared" si="22"/>
        <v>1006</v>
      </c>
      <c r="J503" s="346" t="str">
        <f t="shared" si="23"/>
        <v>7710076210</v>
      </c>
    </row>
    <row r="504" spans="1:10" hidden="1">
      <c r="A504" s="346" t="str">
        <f t="shared" si="21"/>
        <v>60910067710076210852</v>
      </c>
      <c r="B504" s="476">
        <v>609</v>
      </c>
      <c r="C504" s="475">
        <v>1006</v>
      </c>
      <c r="D504" s="474" t="s">
        <v>2096</v>
      </c>
      <c r="E504" s="473" t="s">
        <v>37</v>
      </c>
      <c r="F504" s="484">
        <v>2500</v>
      </c>
      <c r="G504" s="484">
        <v>0</v>
      </c>
      <c r="H504" s="483">
        <v>0</v>
      </c>
      <c r="I504" s="345" t="str">
        <f t="shared" si="22"/>
        <v>1006</v>
      </c>
      <c r="J504" s="346" t="str">
        <f t="shared" si="23"/>
        <v>7710076210</v>
      </c>
    </row>
    <row r="505" spans="1:10" hidden="1">
      <c r="A505" s="346" t="str">
        <f t="shared" si="21"/>
        <v>60910067710077460121</v>
      </c>
      <c r="B505" s="476">
        <v>609</v>
      </c>
      <c r="C505" s="475">
        <v>1006</v>
      </c>
      <c r="D505" s="474" t="s">
        <v>2097</v>
      </c>
      <c r="E505" s="473" t="s">
        <v>41</v>
      </c>
      <c r="F505" s="484">
        <v>160058.56</v>
      </c>
      <c r="G505" s="484">
        <v>0</v>
      </c>
      <c r="H505" s="483">
        <v>0</v>
      </c>
      <c r="I505" s="345" t="str">
        <f t="shared" si="22"/>
        <v>1006</v>
      </c>
      <c r="J505" s="346" t="str">
        <f t="shared" si="23"/>
        <v>7710077460</v>
      </c>
    </row>
    <row r="506" spans="1:10" hidden="1">
      <c r="A506" s="346" t="str">
        <f t="shared" si="21"/>
        <v>60910067710077460129</v>
      </c>
      <c r="B506" s="476">
        <v>609</v>
      </c>
      <c r="C506" s="475">
        <v>1006</v>
      </c>
      <c r="D506" s="474" t="s">
        <v>2097</v>
      </c>
      <c r="E506" s="473" t="s">
        <v>27</v>
      </c>
      <c r="F506" s="484">
        <v>48337.69</v>
      </c>
      <c r="G506" s="484">
        <v>0</v>
      </c>
      <c r="H506" s="483">
        <v>0</v>
      </c>
      <c r="I506" s="345" t="str">
        <f t="shared" si="22"/>
        <v>1006</v>
      </c>
      <c r="J506" s="346" t="str">
        <f t="shared" si="23"/>
        <v>7710077460</v>
      </c>
    </row>
    <row r="507" spans="1:10" hidden="1">
      <c r="A507" s="346" t="str">
        <f t="shared" si="21"/>
        <v>61107030810111010611</v>
      </c>
      <c r="B507" s="476">
        <v>611</v>
      </c>
      <c r="C507" s="475">
        <v>703</v>
      </c>
      <c r="D507" s="474" t="s">
        <v>2098</v>
      </c>
      <c r="E507" s="473" t="s">
        <v>406</v>
      </c>
      <c r="F507" s="484">
        <v>153774440.47</v>
      </c>
      <c r="G507" s="484">
        <v>0</v>
      </c>
      <c r="H507" s="483">
        <v>0</v>
      </c>
      <c r="I507" s="345" t="str">
        <f t="shared" si="22"/>
        <v>0703</v>
      </c>
      <c r="J507" s="346" t="str">
        <f t="shared" si="23"/>
        <v>0810111010</v>
      </c>
    </row>
    <row r="508" spans="1:10" hidden="1">
      <c r="A508" s="346" t="str">
        <f t="shared" si="21"/>
        <v>61107030810111010612</v>
      </c>
      <c r="B508" s="476">
        <v>611</v>
      </c>
      <c r="C508" s="475">
        <v>703</v>
      </c>
      <c r="D508" s="474" t="s">
        <v>2098</v>
      </c>
      <c r="E508" s="473" t="s">
        <v>408</v>
      </c>
      <c r="F508" s="484">
        <v>250000</v>
      </c>
      <c r="G508" s="484">
        <v>0</v>
      </c>
      <c r="H508" s="483">
        <v>0</v>
      </c>
      <c r="I508" s="345" t="str">
        <f t="shared" si="22"/>
        <v>0703</v>
      </c>
      <c r="J508" s="346" t="str">
        <f t="shared" si="23"/>
        <v>0810111010</v>
      </c>
    </row>
    <row r="509" spans="1:10" hidden="1">
      <c r="A509" s="346" t="str">
        <f t="shared" si="21"/>
        <v>61107030810177460611</v>
      </c>
      <c r="B509" s="476">
        <v>611</v>
      </c>
      <c r="C509" s="475">
        <v>703</v>
      </c>
      <c r="D509" s="474" t="s">
        <v>2099</v>
      </c>
      <c r="E509" s="473" t="s">
        <v>406</v>
      </c>
      <c r="F509" s="484">
        <v>1587907.77</v>
      </c>
      <c r="G509" s="484">
        <v>0</v>
      </c>
      <c r="H509" s="483">
        <v>0</v>
      </c>
      <c r="I509" s="345" t="str">
        <f t="shared" si="22"/>
        <v>0703</v>
      </c>
      <c r="J509" s="346" t="str">
        <f t="shared" si="23"/>
        <v>0810177460</v>
      </c>
    </row>
    <row r="510" spans="1:10" hidden="1">
      <c r="A510" s="346" t="str">
        <f t="shared" si="21"/>
        <v>61107030810177580611</v>
      </c>
      <c r="B510" s="476">
        <v>611</v>
      </c>
      <c r="C510" s="475">
        <v>703</v>
      </c>
      <c r="D510" s="474" t="s">
        <v>2100</v>
      </c>
      <c r="E510" s="473" t="s">
        <v>406</v>
      </c>
      <c r="F510" s="484">
        <v>1461547.01</v>
      </c>
      <c r="G510" s="484">
        <v>0</v>
      </c>
      <c r="H510" s="483">
        <v>0</v>
      </c>
      <c r="I510" s="345" t="str">
        <f t="shared" si="22"/>
        <v>0703</v>
      </c>
      <c r="J510" s="346" t="str">
        <f t="shared" si="23"/>
        <v>0810177580</v>
      </c>
    </row>
    <row r="511" spans="1:10" hidden="1">
      <c r="A511" s="346" t="str">
        <f t="shared" si="21"/>
        <v>61107031620220550612</v>
      </c>
      <c r="B511" s="476">
        <v>611</v>
      </c>
      <c r="C511" s="475">
        <v>703</v>
      </c>
      <c r="D511" s="474" t="s">
        <v>1991</v>
      </c>
      <c r="E511" s="473" t="s">
        <v>408</v>
      </c>
      <c r="F511" s="484">
        <v>233550</v>
      </c>
      <c r="G511" s="484">
        <v>0</v>
      </c>
      <c r="H511" s="483">
        <v>0</v>
      </c>
      <c r="I511" s="345" t="str">
        <f t="shared" si="22"/>
        <v>0703</v>
      </c>
      <c r="J511" s="346" t="str">
        <f t="shared" si="23"/>
        <v>1620220550</v>
      </c>
    </row>
    <row r="512" spans="1:10" hidden="1">
      <c r="A512" s="346" t="str">
        <f t="shared" si="21"/>
        <v>61111010810111010611</v>
      </c>
      <c r="B512" s="476">
        <v>611</v>
      </c>
      <c r="C512" s="475">
        <v>1101</v>
      </c>
      <c r="D512" s="474" t="s">
        <v>2098</v>
      </c>
      <c r="E512" s="473" t="s">
        <v>406</v>
      </c>
      <c r="F512" s="484">
        <v>0</v>
      </c>
      <c r="G512" s="484">
        <v>0</v>
      </c>
      <c r="H512" s="483">
        <v>0</v>
      </c>
      <c r="I512" s="345" t="str">
        <f t="shared" si="22"/>
        <v>1101</v>
      </c>
      <c r="J512" s="346" t="str">
        <f t="shared" si="23"/>
        <v>0810111010</v>
      </c>
    </row>
    <row r="513" spans="1:10" hidden="1">
      <c r="A513" s="346" t="str">
        <f t="shared" si="21"/>
        <v>61111010810211010611</v>
      </c>
      <c r="B513" s="476">
        <v>611</v>
      </c>
      <c r="C513" s="475">
        <v>1101</v>
      </c>
      <c r="D513" s="474" t="s">
        <v>2101</v>
      </c>
      <c r="E513" s="473" t="s">
        <v>406</v>
      </c>
      <c r="F513" s="484">
        <v>2962169.68</v>
      </c>
      <c r="G513" s="484">
        <v>0</v>
      </c>
      <c r="H513" s="483">
        <v>0</v>
      </c>
      <c r="I513" s="345" t="str">
        <f t="shared" si="22"/>
        <v>1101</v>
      </c>
      <c r="J513" s="346" t="str">
        <f t="shared" si="23"/>
        <v>0810211010</v>
      </c>
    </row>
    <row r="514" spans="1:10" hidden="1">
      <c r="A514" s="346" t="str">
        <f t="shared" si="21"/>
        <v>61111010810277460611</v>
      </c>
      <c r="B514" s="476">
        <v>611</v>
      </c>
      <c r="C514" s="475">
        <v>1101</v>
      </c>
      <c r="D514" s="474" t="s">
        <v>2102</v>
      </c>
      <c r="E514" s="473" t="s">
        <v>406</v>
      </c>
      <c r="F514" s="484">
        <v>100534.65</v>
      </c>
      <c r="G514" s="484">
        <v>0</v>
      </c>
      <c r="H514" s="483">
        <v>0</v>
      </c>
      <c r="I514" s="345" t="str">
        <f t="shared" si="22"/>
        <v>1101</v>
      </c>
      <c r="J514" s="346" t="str">
        <f t="shared" si="23"/>
        <v>0810277460</v>
      </c>
    </row>
    <row r="515" spans="1:10" hidden="1">
      <c r="A515" s="346" t="str">
        <f t="shared" si="21"/>
        <v>61111010810277580611</v>
      </c>
      <c r="B515" s="476">
        <v>611</v>
      </c>
      <c r="C515" s="475">
        <v>1101</v>
      </c>
      <c r="D515" s="474" t="s">
        <v>2103</v>
      </c>
      <c r="E515" s="473" t="s">
        <v>406</v>
      </c>
      <c r="F515" s="484">
        <v>38739</v>
      </c>
      <c r="G515" s="484">
        <v>0</v>
      </c>
      <c r="H515" s="483">
        <v>0</v>
      </c>
      <c r="I515" s="345" t="str">
        <f t="shared" si="22"/>
        <v>1101</v>
      </c>
      <c r="J515" s="346" t="str">
        <f t="shared" si="23"/>
        <v>0810277580</v>
      </c>
    </row>
    <row r="516" spans="1:10" hidden="1">
      <c r="A516" s="346" t="str">
        <f t="shared" si="21"/>
        <v>61111020810311010611</v>
      </c>
      <c r="B516" s="476">
        <v>611</v>
      </c>
      <c r="C516" s="475">
        <v>1102</v>
      </c>
      <c r="D516" s="474" t="s">
        <v>2104</v>
      </c>
      <c r="E516" s="473" t="s">
        <v>406</v>
      </c>
      <c r="F516" s="484">
        <v>9806500</v>
      </c>
      <c r="G516" s="484">
        <v>0</v>
      </c>
      <c r="H516" s="483">
        <v>0</v>
      </c>
      <c r="I516" s="345" t="str">
        <f t="shared" si="22"/>
        <v>1102</v>
      </c>
      <c r="J516" s="346" t="str">
        <f t="shared" si="23"/>
        <v>0810311010</v>
      </c>
    </row>
    <row r="517" spans="1:10" hidden="1">
      <c r="A517" s="346" t="str">
        <f t="shared" si="21"/>
        <v>61111020820120420113</v>
      </c>
      <c r="B517" s="476">
        <v>611</v>
      </c>
      <c r="C517" s="475">
        <v>1102</v>
      </c>
      <c r="D517" s="474" t="s">
        <v>2105</v>
      </c>
      <c r="E517" s="473" t="s">
        <v>722</v>
      </c>
      <c r="F517" s="484">
        <v>2817500</v>
      </c>
      <c r="G517" s="484">
        <v>0</v>
      </c>
      <c r="H517" s="483">
        <v>0</v>
      </c>
      <c r="I517" s="345" t="str">
        <f t="shared" si="22"/>
        <v>1102</v>
      </c>
      <c r="J517" s="346" t="str">
        <f t="shared" si="23"/>
        <v>0820120420</v>
      </c>
    </row>
    <row r="518" spans="1:10" hidden="1">
      <c r="A518" s="346" t="str">
        <f t="shared" si="21"/>
        <v>61111020820120420244</v>
      </c>
      <c r="B518" s="476">
        <v>611</v>
      </c>
      <c r="C518" s="475">
        <v>1102</v>
      </c>
      <c r="D518" s="474" t="s">
        <v>2105</v>
      </c>
      <c r="E518" s="473" t="s">
        <v>31</v>
      </c>
      <c r="F518" s="484">
        <v>2088351.25</v>
      </c>
      <c r="G518" s="484">
        <v>0</v>
      </c>
      <c r="H518" s="483">
        <v>0</v>
      </c>
      <c r="I518" s="345" t="str">
        <f t="shared" si="22"/>
        <v>1102</v>
      </c>
      <c r="J518" s="346" t="str">
        <f t="shared" si="23"/>
        <v>0820120420</v>
      </c>
    </row>
    <row r="519" spans="1:10" hidden="1">
      <c r="A519" s="346" t="str">
        <f t="shared" si="21"/>
        <v>61111020820220440244</v>
      </c>
      <c r="B519" s="476">
        <v>611</v>
      </c>
      <c r="C519" s="475">
        <v>1102</v>
      </c>
      <c r="D519" s="474" t="s">
        <v>2106</v>
      </c>
      <c r="E519" s="473" t="s">
        <v>31</v>
      </c>
      <c r="F519" s="484">
        <v>0</v>
      </c>
      <c r="G519" s="484">
        <v>0</v>
      </c>
      <c r="H519" s="483">
        <v>0</v>
      </c>
      <c r="I519" s="345" t="str">
        <f t="shared" si="22"/>
        <v>1102</v>
      </c>
      <c r="J519" s="346" t="str">
        <f t="shared" si="23"/>
        <v>0820220440</v>
      </c>
    </row>
    <row r="520" spans="1:10" hidden="1">
      <c r="A520" s="346" t="str">
        <f t="shared" si="21"/>
        <v>61111020820321060244</v>
      </c>
      <c r="B520" s="476">
        <v>611</v>
      </c>
      <c r="C520" s="475">
        <v>1102</v>
      </c>
      <c r="D520" s="474" t="s">
        <v>2107</v>
      </c>
      <c r="E520" s="473" t="s">
        <v>31</v>
      </c>
      <c r="F520" s="484">
        <v>0</v>
      </c>
      <c r="G520" s="484">
        <v>0</v>
      </c>
      <c r="H520" s="483">
        <v>0</v>
      </c>
      <c r="I520" s="345" t="str">
        <f t="shared" si="22"/>
        <v>1102</v>
      </c>
      <c r="J520" s="346" t="str">
        <f t="shared" si="23"/>
        <v>0820321060</v>
      </c>
    </row>
    <row r="521" spans="1:10" hidden="1">
      <c r="A521" s="346" t="str">
        <f t="shared" si="21"/>
        <v>61111030820460120634</v>
      </c>
      <c r="B521" s="476">
        <v>611</v>
      </c>
      <c r="C521" s="475">
        <v>1103</v>
      </c>
      <c r="D521" s="474" t="s">
        <v>2108</v>
      </c>
      <c r="E521" s="473" t="s">
        <v>214</v>
      </c>
      <c r="F521" s="484">
        <v>1550000</v>
      </c>
      <c r="G521" s="484">
        <v>0</v>
      </c>
      <c r="H521" s="483">
        <v>0</v>
      </c>
      <c r="I521" s="345" t="str">
        <f t="shared" si="22"/>
        <v>1103</v>
      </c>
      <c r="J521" s="346" t="str">
        <f t="shared" si="23"/>
        <v>0820460120</v>
      </c>
    </row>
    <row r="522" spans="1:10" hidden="1">
      <c r="A522" s="346" t="str">
        <f t="shared" si="21"/>
        <v>61111030820460150632</v>
      </c>
      <c r="B522" s="476">
        <v>611</v>
      </c>
      <c r="C522" s="475">
        <v>1103</v>
      </c>
      <c r="D522" s="474" t="s">
        <v>2109</v>
      </c>
      <c r="E522" s="473" t="s">
        <v>416</v>
      </c>
      <c r="F522" s="484">
        <v>20000000</v>
      </c>
      <c r="G522" s="484">
        <v>0</v>
      </c>
      <c r="H522" s="483">
        <v>0</v>
      </c>
      <c r="I522" s="345" t="str">
        <f t="shared" si="22"/>
        <v>1103</v>
      </c>
      <c r="J522" s="346" t="str">
        <f t="shared" si="23"/>
        <v>0820460150</v>
      </c>
    </row>
    <row r="523" spans="1:10" hidden="1">
      <c r="A523" s="346" t="str">
        <f t="shared" ref="A523:A586" si="24">B523&amp;I523&amp;J523&amp;E523</f>
        <v>61111057810010010122</v>
      </c>
      <c r="B523" s="476">
        <v>611</v>
      </c>
      <c r="C523" s="475">
        <v>1105</v>
      </c>
      <c r="D523" s="474" t="s">
        <v>2110</v>
      </c>
      <c r="E523" s="473" t="s">
        <v>23</v>
      </c>
      <c r="F523" s="484">
        <v>155477.25</v>
      </c>
      <c r="G523" s="484">
        <v>0</v>
      </c>
      <c r="H523" s="483">
        <v>0</v>
      </c>
      <c r="I523" s="345" t="str">
        <f t="shared" ref="I523:I586" si="25">TEXT(C523,"0000")</f>
        <v>1105</v>
      </c>
      <c r="J523" s="346" t="str">
        <f t="shared" ref="J523:J586" si="26">TEXT(D523,"0000000000")</f>
        <v>7810010010</v>
      </c>
    </row>
    <row r="524" spans="1:10" hidden="1">
      <c r="A524" s="346" t="str">
        <f t="shared" si="24"/>
        <v>61111057810010010129</v>
      </c>
      <c r="B524" s="476">
        <v>611</v>
      </c>
      <c r="C524" s="475">
        <v>1105</v>
      </c>
      <c r="D524" s="474" t="s">
        <v>2110</v>
      </c>
      <c r="E524" s="473" t="s">
        <v>27</v>
      </c>
      <c r="F524" s="484">
        <v>43309.3</v>
      </c>
      <c r="G524" s="484">
        <v>0</v>
      </c>
      <c r="H524" s="483">
        <v>0</v>
      </c>
      <c r="I524" s="345" t="str">
        <f t="shared" si="25"/>
        <v>1105</v>
      </c>
      <c r="J524" s="346" t="str">
        <f t="shared" si="26"/>
        <v>7810010010</v>
      </c>
    </row>
    <row r="525" spans="1:10" hidden="1">
      <c r="A525" s="346" t="str">
        <f t="shared" si="24"/>
        <v>61111057810010010244</v>
      </c>
      <c r="B525" s="476">
        <v>611</v>
      </c>
      <c r="C525" s="475">
        <v>1105</v>
      </c>
      <c r="D525" s="474" t="s">
        <v>2110</v>
      </c>
      <c r="E525" s="473" t="s">
        <v>31</v>
      </c>
      <c r="F525" s="484">
        <v>571423.44999999995</v>
      </c>
      <c r="G525" s="484">
        <v>0</v>
      </c>
      <c r="H525" s="483">
        <v>0</v>
      </c>
      <c r="I525" s="345" t="str">
        <f t="shared" si="25"/>
        <v>1105</v>
      </c>
      <c r="J525" s="346" t="str">
        <f t="shared" si="26"/>
        <v>7810010010</v>
      </c>
    </row>
    <row r="526" spans="1:10" hidden="1">
      <c r="A526" s="346" t="str">
        <f t="shared" si="24"/>
        <v>61111057810010010851</v>
      </c>
      <c r="B526" s="476">
        <v>611</v>
      </c>
      <c r="C526" s="475">
        <v>1105</v>
      </c>
      <c r="D526" s="474" t="s">
        <v>2110</v>
      </c>
      <c r="E526" s="473" t="s">
        <v>35</v>
      </c>
      <c r="F526" s="484">
        <v>5000</v>
      </c>
      <c r="G526" s="484">
        <v>0</v>
      </c>
      <c r="H526" s="483">
        <v>0</v>
      </c>
      <c r="I526" s="345" t="str">
        <f t="shared" si="25"/>
        <v>1105</v>
      </c>
      <c r="J526" s="346" t="str">
        <f t="shared" si="26"/>
        <v>7810010010</v>
      </c>
    </row>
    <row r="527" spans="1:10" hidden="1">
      <c r="A527" s="346" t="str">
        <f t="shared" si="24"/>
        <v>61111057810010010852</v>
      </c>
      <c r="B527" s="476">
        <v>611</v>
      </c>
      <c r="C527" s="475">
        <v>1105</v>
      </c>
      <c r="D527" s="474" t="s">
        <v>2110</v>
      </c>
      <c r="E527" s="473" t="s">
        <v>37</v>
      </c>
      <c r="F527" s="484">
        <v>3000</v>
      </c>
      <c r="G527" s="484">
        <v>0</v>
      </c>
      <c r="H527" s="483">
        <v>0</v>
      </c>
      <c r="I527" s="345" t="str">
        <f t="shared" si="25"/>
        <v>1105</v>
      </c>
      <c r="J527" s="346" t="str">
        <f t="shared" si="26"/>
        <v>7810010010</v>
      </c>
    </row>
    <row r="528" spans="1:10" hidden="1">
      <c r="A528" s="346" t="str">
        <f t="shared" si="24"/>
        <v>61111057810010020121</v>
      </c>
      <c r="B528" s="476">
        <v>611</v>
      </c>
      <c r="C528" s="475">
        <v>1105</v>
      </c>
      <c r="D528" s="474" t="s">
        <v>2111</v>
      </c>
      <c r="E528" s="473" t="s">
        <v>41</v>
      </c>
      <c r="F528" s="484">
        <v>5542247.9100000001</v>
      </c>
      <c r="G528" s="484">
        <v>0</v>
      </c>
      <c r="H528" s="483">
        <v>0</v>
      </c>
      <c r="I528" s="345" t="str">
        <f t="shared" si="25"/>
        <v>1105</v>
      </c>
      <c r="J528" s="346" t="str">
        <f t="shared" si="26"/>
        <v>7810010020</v>
      </c>
    </row>
    <row r="529" spans="1:10" hidden="1">
      <c r="A529" s="346" t="str">
        <f t="shared" si="24"/>
        <v>61111057810010020129</v>
      </c>
      <c r="B529" s="476">
        <v>611</v>
      </c>
      <c r="C529" s="475">
        <v>1105</v>
      </c>
      <c r="D529" s="474" t="s">
        <v>2111</v>
      </c>
      <c r="E529" s="473" t="s">
        <v>27</v>
      </c>
      <c r="F529" s="484">
        <v>1643714.92</v>
      </c>
      <c r="G529" s="484">
        <v>0</v>
      </c>
      <c r="H529" s="483">
        <v>0</v>
      </c>
      <c r="I529" s="345" t="str">
        <f t="shared" si="25"/>
        <v>1105</v>
      </c>
      <c r="J529" s="346" t="str">
        <f t="shared" si="26"/>
        <v>7810010020</v>
      </c>
    </row>
    <row r="530" spans="1:10" hidden="1">
      <c r="A530" s="346" t="str">
        <f t="shared" si="24"/>
        <v>61111057810011010111</v>
      </c>
      <c r="B530" s="476">
        <v>611</v>
      </c>
      <c r="C530" s="475">
        <v>1105</v>
      </c>
      <c r="D530" s="474" t="s">
        <v>2112</v>
      </c>
      <c r="E530" s="473" t="s">
        <v>141</v>
      </c>
      <c r="F530" s="484">
        <v>6531504.54</v>
      </c>
      <c r="G530" s="484">
        <v>0</v>
      </c>
      <c r="H530" s="483">
        <v>0</v>
      </c>
      <c r="I530" s="345" t="str">
        <f t="shared" si="25"/>
        <v>1105</v>
      </c>
      <c r="J530" s="346" t="str">
        <f t="shared" si="26"/>
        <v>7810011010</v>
      </c>
    </row>
    <row r="531" spans="1:10" hidden="1">
      <c r="A531" s="346" t="str">
        <f t="shared" si="24"/>
        <v>61111057810011010119</v>
      </c>
      <c r="B531" s="476">
        <v>611</v>
      </c>
      <c r="C531" s="475">
        <v>1105</v>
      </c>
      <c r="D531" s="474" t="s">
        <v>2112</v>
      </c>
      <c r="E531" s="473" t="s">
        <v>145</v>
      </c>
      <c r="F531" s="484">
        <v>1928371.65</v>
      </c>
      <c r="G531" s="484">
        <v>0</v>
      </c>
      <c r="H531" s="483">
        <v>0</v>
      </c>
      <c r="I531" s="345" t="str">
        <f t="shared" si="25"/>
        <v>1105</v>
      </c>
      <c r="J531" s="346" t="str">
        <f t="shared" si="26"/>
        <v>7810011010</v>
      </c>
    </row>
    <row r="532" spans="1:10" hidden="1">
      <c r="A532" s="346" t="str">
        <f t="shared" si="24"/>
        <v>61111057810011010244</v>
      </c>
      <c r="B532" s="476">
        <v>611</v>
      </c>
      <c r="C532" s="475">
        <v>1105</v>
      </c>
      <c r="D532" s="474" t="s">
        <v>2112</v>
      </c>
      <c r="E532" s="473" t="s">
        <v>31</v>
      </c>
      <c r="F532" s="484">
        <v>1140000</v>
      </c>
      <c r="G532" s="484">
        <v>0</v>
      </c>
      <c r="H532" s="483">
        <v>0</v>
      </c>
      <c r="I532" s="345" t="str">
        <f t="shared" si="25"/>
        <v>1105</v>
      </c>
      <c r="J532" s="346" t="str">
        <f t="shared" si="26"/>
        <v>7810011010</v>
      </c>
    </row>
    <row r="533" spans="1:10" hidden="1">
      <c r="A533" s="346" t="str">
        <f t="shared" si="24"/>
        <v>61111057810077460111</v>
      </c>
      <c r="B533" s="476">
        <v>611</v>
      </c>
      <c r="C533" s="475">
        <v>1105</v>
      </c>
      <c r="D533" s="474" t="s">
        <v>2113</v>
      </c>
      <c r="E533" s="473" t="s">
        <v>141</v>
      </c>
      <c r="F533" s="484">
        <v>255145.27</v>
      </c>
      <c r="G533" s="484">
        <v>0</v>
      </c>
      <c r="H533" s="483">
        <v>0</v>
      </c>
      <c r="I533" s="345" t="str">
        <f t="shared" si="25"/>
        <v>1105</v>
      </c>
      <c r="J533" s="346" t="str">
        <f t="shared" si="26"/>
        <v>7810077460</v>
      </c>
    </row>
    <row r="534" spans="1:10" hidden="1">
      <c r="A534" s="346" t="str">
        <f t="shared" si="24"/>
        <v>61111057810077460119</v>
      </c>
      <c r="B534" s="476">
        <v>611</v>
      </c>
      <c r="C534" s="475">
        <v>1105</v>
      </c>
      <c r="D534" s="474" t="s">
        <v>2113</v>
      </c>
      <c r="E534" s="473" t="s">
        <v>145</v>
      </c>
      <c r="F534" s="484">
        <v>77053.87</v>
      </c>
      <c r="G534" s="484">
        <v>0</v>
      </c>
      <c r="H534" s="483">
        <v>0</v>
      </c>
      <c r="I534" s="345" t="str">
        <f t="shared" si="25"/>
        <v>1105</v>
      </c>
      <c r="J534" s="346" t="str">
        <f t="shared" si="26"/>
        <v>7810077460</v>
      </c>
    </row>
    <row r="535" spans="1:10" hidden="1">
      <c r="A535" s="346" t="str">
        <f t="shared" si="24"/>
        <v>61111057810077460121</v>
      </c>
      <c r="B535" s="476">
        <v>611</v>
      </c>
      <c r="C535" s="475">
        <v>1105</v>
      </c>
      <c r="D535" s="474" t="s">
        <v>2113</v>
      </c>
      <c r="E535" s="473" t="s">
        <v>41</v>
      </c>
      <c r="F535" s="484">
        <v>177267.32</v>
      </c>
      <c r="G535" s="484">
        <v>0</v>
      </c>
      <c r="H535" s="483">
        <v>0</v>
      </c>
      <c r="I535" s="345" t="str">
        <f t="shared" si="25"/>
        <v>1105</v>
      </c>
      <c r="J535" s="346" t="str">
        <f t="shared" si="26"/>
        <v>7810077460</v>
      </c>
    </row>
    <row r="536" spans="1:10" hidden="1">
      <c r="A536" s="346" t="str">
        <f t="shared" si="24"/>
        <v>61111057810077460129</v>
      </c>
      <c r="B536" s="476">
        <v>611</v>
      </c>
      <c r="C536" s="475">
        <v>1105</v>
      </c>
      <c r="D536" s="474" t="s">
        <v>2113</v>
      </c>
      <c r="E536" s="473" t="s">
        <v>27</v>
      </c>
      <c r="F536" s="484">
        <v>53534.73</v>
      </c>
      <c r="G536" s="484">
        <v>0</v>
      </c>
      <c r="H536" s="483">
        <v>0</v>
      </c>
      <c r="I536" s="345" t="str">
        <f t="shared" si="25"/>
        <v>1105</v>
      </c>
      <c r="J536" s="346" t="str">
        <f t="shared" si="26"/>
        <v>7810077460</v>
      </c>
    </row>
    <row r="537" spans="1:10" hidden="1">
      <c r="A537" s="346" t="str">
        <f t="shared" si="24"/>
        <v>61111057810077580121</v>
      </c>
      <c r="B537" s="476">
        <v>611</v>
      </c>
      <c r="C537" s="475">
        <v>1105</v>
      </c>
      <c r="D537" s="474" t="s">
        <v>2114</v>
      </c>
      <c r="E537" s="473" t="s">
        <v>41</v>
      </c>
      <c r="F537" s="484">
        <v>13372</v>
      </c>
      <c r="G537" s="484">
        <v>0</v>
      </c>
      <c r="H537" s="483">
        <v>0</v>
      </c>
      <c r="I537" s="345" t="str">
        <f t="shared" si="25"/>
        <v>1105</v>
      </c>
      <c r="J537" s="346" t="str">
        <f t="shared" si="26"/>
        <v>7810077580</v>
      </c>
    </row>
    <row r="538" spans="1:10" hidden="1">
      <c r="A538" s="346" t="str">
        <f t="shared" si="24"/>
        <v>61111057810077580129</v>
      </c>
      <c r="B538" s="476">
        <v>611</v>
      </c>
      <c r="C538" s="475">
        <v>1105</v>
      </c>
      <c r="D538" s="474" t="s">
        <v>2114</v>
      </c>
      <c r="E538" s="473" t="s">
        <v>27</v>
      </c>
      <c r="F538" s="484">
        <v>4038.34</v>
      </c>
      <c r="G538" s="484">
        <v>0</v>
      </c>
      <c r="H538" s="483">
        <v>0</v>
      </c>
      <c r="I538" s="345" t="str">
        <f t="shared" si="25"/>
        <v>1105</v>
      </c>
      <c r="J538" s="346" t="str">
        <f t="shared" si="26"/>
        <v>7810077580</v>
      </c>
    </row>
    <row r="539" spans="1:10" hidden="1">
      <c r="A539" s="346" t="str">
        <f t="shared" si="24"/>
        <v>61701048010010010122</v>
      </c>
      <c r="B539" s="476">
        <v>617</v>
      </c>
      <c r="C539" s="475">
        <v>104</v>
      </c>
      <c r="D539" s="474" t="s">
        <v>2115</v>
      </c>
      <c r="E539" s="473" t="s">
        <v>23</v>
      </c>
      <c r="F539" s="484">
        <v>444154.56</v>
      </c>
      <c r="G539" s="484">
        <v>0</v>
      </c>
      <c r="H539" s="483">
        <v>0</v>
      </c>
      <c r="I539" s="345" t="str">
        <f t="shared" si="25"/>
        <v>0104</v>
      </c>
      <c r="J539" s="346" t="str">
        <f t="shared" si="26"/>
        <v>8010010010</v>
      </c>
    </row>
    <row r="540" spans="1:10" hidden="1">
      <c r="A540" s="346" t="str">
        <f t="shared" si="24"/>
        <v>61701048010010010129</v>
      </c>
      <c r="B540" s="476">
        <v>617</v>
      </c>
      <c r="C540" s="475">
        <v>104</v>
      </c>
      <c r="D540" s="474" t="s">
        <v>2115</v>
      </c>
      <c r="E540" s="473" t="s">
        <v>27</v>
      </c>
      <c r="F540" s="484">
        <v>130999.83</v>
      </c>
      <c r="G540" s="484">
        <v>0</v>
      </c>
      <c r="H540" s="483">
        <v>0</v>
      </c>
      <c r="I540" s="345" t="str">
        <f t="shared" si="25"/>
        <v>0104</v>
      </c>
      <c r="J540" s="346" t="str">
        <f t="shared" si="26"/>
        <v>8010010010</v>
      </c>
    </row>
    <row r="541" spans="1:10" hidden="1">
      <c r="A541" s="346" t="str">
        <f t="shared" si="24"/>
        <v>61701048010010010244</v>
      </c>
      <c r="B541" s="476">
        <v>617</v>
      </c>
      <c r="C541" s="475">
        <v>104</v>
      </c>
      <c r="D541" s="474" t="s">
        <v>2115</v>
      </c>
      <c r="E541" s="473" t="s">
        <v>31</v>
      </c>
      <c r="F541" s="484">
        <v>3418410.47</v>
      </c>
      <c r="G541" s="484">
        <v>0</v>
      </c>
      <c r="H541" s="483">
        <v>0</v>
      </c>
      <c r="I541" s="345" t="str">
        <f t="shared" si="25"/>
        <v>0104</v>
      </c>
      <c r="J541" s="346" t="str">
        <f t="shared" si="26"/>
        <v>8010010010</v>
      </c>
    </row>
    <row r="542" spans="1:10" hidden="1">
      <c r="A542" s="346" t="str">
        <f t="shared" si="24"/>
        <v>61701048010010010851</v>
      </c>
      <c r="B542" s="476">
        <v>617</v>
      </c>
      <c r="C542" s="475">
        <v>104</v>
      </c>
      <c r="D542" s="474" t="s">
        <v>2115</v>
      </c>
      <c r="E542" s="473" t="s">
        <v>35</v>
      </c>
      <c r="F542" s="484">
        <v>90459</v>
      </c>
      <c r="G542" s="484">
        <v>0</v>
      </c>
      <c r="H542" s="483">
        <v>0</v>
      </c>
      <c r="I542" s="345" t="str">
        <f t="shared" si="25"/>
        <v>0104</v>
      </c>
      <c r="J542" s="346" t="str">
        <f t="shared" si="26"/>
        <v>8010010010</v>
      </c>
    </row>
    <row r="543" spans="1:10" hidden="1">
      <c r="A543" s="346" t="str">
        <f t="shared" si="24"/>
        <v>61701048010010010852</v>
      </c>
      <c r="B543" s="476">
        <v>617</v>
      </c>
      <c r="C543" s="475">
        <v>104</v>
      </c>
      <c r="D543" s="474" t="s">
        <v>2115</v>
      </c>
      <c r="E543" s="473" t="s">
        <v>37</v>
      </c>
      <c r="F543" s="484">
        <v>17449</v>
      </c>
      <c r="G543" s="484">
        <v>0</v>
      </c>
      <c r="H543" s="483">
        <v>0</v>
      </c>
      <c r="I543" s="345" t="str">
        <f t="shared" si="25"/>
        <v>0104</v>
      </c>
      <c r="J543" s="346" t="str">
        <f t="shared" si="26"/>
        <v>8010010010</v>
      </c>
    </row>
    <row r="544" spans="1:10" hidden="1">
      <c r="A544" s="346" t="str">
        <f t="shared" si="24"/>
        <v>61701048010010010853</v>
      </c>
      <c r="B544" s="476">
        <v>617</v>
      </c>
      <c r="C544" s="475">
        <v>104</v>
      </c>
      <c r="D544" s="474" t="s">
        <v>2115</v>
      </c>
      <c r="E544" s="473" t="s">
        <v>78</v>
      </c>
      <c r="F544" s="484">
        <v>231.53</v>
      </c>
      <c r="G544" s="484">
        <v>0</v>
      </c>
      <c r="H544" s="483">
        <v>0</v>
      </c>
      <c r="I544" s="345" t="str">
        <f t="shared" si="25"/>
        <v>0104</v>
      </c>
      <c r="J544" s="346" t="str">
        <f t="shared" si="26"/>
        <v>8010010010</v>
      </c>
    </row>
    <row r="545" spans="1:10" hidden="1">
      <c r="A545" s="346" t="str">
        <f t="shared" si="24"/>
        <v>61701048010010020121</v>
      </c>
      <c r="B545" s="476">
        <v>617</v>
      </c>
      <c r="C545" s="475">
        <v>104</v>
      </c>
      <c r="D545" s="474" t="s">
        <v>2116</v>
      </c>
      <c r="E545" s="473" t="s">
        <v>41</v>
      </c>
      <c r="F545" s="484">
        <v>21915419.350000001</v>
      </c>
      <c r="G545" s="484">
        <v>0</v>
      </c>
      <c r="H545" s="483">
        <v>0</v>
      </c>
      <c r="I545" s="345" t="str">
        <f t="shared" si="25"/>
        <v>0104</v>
      </c>
      <c r="J545" s="346" t="str">
        <f t="shared" si="26"/>
        <v>8010010020</v>
      </c>
    </row>
    <row r="546" spans="1:10" hidden="1">
      <c r="A546" s="346" t="str">
        <f t="shared" si="24"/>
        <v>61701048010010020129</v>
      </c>
      <c r="B546" s="476">
        <v>617</v>
      </c>
      <c r="C546" s="475">
        <v>104</v>
      </c>
      <c r="D546" s="474" t="s">
        <v>2116</v>
      </c>
      <c r="E546" s="473" t="s">
        <v>27</v>
      </c>
      <c r="F546" s="484">
        <v>6558293.5599999996</v>
      </c>
      <c r="G546" s="484">
        <v>0</v>
      </c>
      <c r="H546" s="483">
        <v>0</v>
      </c>
      <c r="I546" s="345" t="str">
        <f t="shared" si="25"/>
        <v>0104</v>
      </c>
      <c r="J546" s="346" t="str">
        <f t="shared" si="26"/>
        <v>8010010020</v>
      </c>
    </row>
    <row r="547" spans="1:10" hidden="1">
      <c r="A547" s="346" t="str">
        <f t="shared" si="24"/>
        <v>61701048010020050831</v>
      </c>
      <c r="B547" s="476">
        <v>617</v>
      </c>
      <c r="C547" s="475">
        <v>104</v>
      </c>
      <c r="D547" s="474" t="s">
        <v>2121</v>
      </c>
      <c r="E547" s="473" t="s">
        <v>192</v>
      </c>
      <c r="F547" s="484">
        <v>0</v>
      </c>
      <c r="G547" s="484">
        <v>0</v>
      </c>
      <c r="H547" s="483">
        <v>0</v>
      </c>
      <c r="I547" s="345" t="str">
        <f t="shared" si="25"/>
        <v>0104</v>
      </c>
      <c r="J547" s="346" t="str">
        <f t="shared" si="26"/>
        <v>8010020050</v>
      </c>
    </row>
    <row r="548" spans="1:10" hidden="1">
      <c r="A548" s="346" t="str">
        <f t="shared" si="24"/>
        <v>61701048010076200121</v>
      </c>
      <c r="B548" s="476">
        <v>617</v>
      </c>
      <c r="C548" s="475">
        <v>104</v>
      </c>
      <c r="D548" s="474" t="s">
        <v>2117</v>
      </c>
      <c r="E548" s="473" t="s">
        <v>41</v>
      </c>
      <c r="F548" s="484">
        <v>754275.49</v>
      </c>
      <c r="G548" s="484">
        <v>0</v>
      </c>
      <c r="H548" s="483">
        <v>0</v>
      </c>
      <c r="I548" s="345" t="str">
        <f t="shared" si="25"/>
        <v>0104</v>
      </c>
      <c r="J548" s="346" t="str">
        <f t="shared" si="26"/>
        <v>8010076200</v>
      </c>
    </row>
    <row r="549" spans="1:10" hidden="1">
      <c r="A549" s="346" t="str">
        <f t="shared" si="24"/>
        <v>61701048010076200122</v>
      </c>
      <c r="B549" s="476">
        <v>617</v>
      </c>
      <c r="C549" s="475">
        <v>104</v>
      </c>
      <c r="D549" s="474" t="s">
        <v>2117</v>
      </c>
      <c r="E549" s="473" t="s">
        <v>23</v>
      </c>
      <c r="F549" s="484">
        <v>30374.14</v>
      </c>
      <c r="G549" s="484">
        <v>0</v>
      </c>
      <c r="H549" s="483">
        <v>0</v>
      </c>
      <c r="I549" s="345" t="str">
        <f t="shared" si="25"/>
        <v>0104</v>
      </c>
      <c r="J549" s="346" t="str">
        <f t="shared" si="26"/>
        <v>8010076200</v>
      </c>
    </row>
    <row r="550" spans="1:10" hidden="1">
      <c r="A550" s="346" t="str">
        <f t="shared" si="24"/>
        <v>61701048010076200129</v>
      </c>
      <c r="B550" s="476">
        <v>617</v>
      </c>
      <c r="C550" s="475">
        <v>104</v>
      </c>
      <c r="D550" s="474" t="s">
        <v>2117</v>
      </c>
      <c r="E550" s="473" t="s">
        <v>27</v>
      </c>
      <c r="F550" s="484">
        <v>190257.34</v>
      </c>
      <c r="G550" s="484">
        <v>0</v>
      </c>
      <c r="H550" s="483">
        <v>0</v>
      </c>
      <c r="I550" s="345" t="str">
        <f t="shared" si="25"/>
        <v>0104</v>
      </c>
      <c r="J550" s="346" t="str">
        <f t="shared" si="26"/>
        <v>8010076200</v>
      </c>
    </row>
    <row r="551" spans="1:10" hidden="1">
      <c r="A551" s="346" t="str">
        <f t="shared" si="24"/>
        <v>61701048010076200244</v>
      </c>
      <c r="B551" s="476">
        <v>617</v>
      </c>
      <c r="C551" s="475">
        <v>104</v>
      </c>
      <c r="D551" s="474" t="s">
        <v>2117</v>
      </c>
      <c r="E551" s="473" t="s">
        <v>31</v>
      </c>
      <c r="F551" s="484">
        <v>108756</v>
      </c>
      <c r="G551" s="484">
        <v>0</v>
      </c>
      <c r="H551" s="483">
        <v>0</v>
      </c>
      <c r="I551" s="345" t="str">
        <f t="shared" si="25"/>
        <v>0104</v>
      </c>
      <c r="J551" s="346" t="str">
        <f t="shared" si="26"/>
        <v>8010076200</v>
      </c>
    </row>
    <row r="552" spans="1:10" hidden="1">
      <c r="A552" s="346" t="str">
        <f t="shared" si="24"/>
        <v>61701048010076360244</v>
      </c>
      <c r="B552" s="476">
        <v>617</v>
      </c>
      <c r="C552" s="475">
        <v>104</v>
      </c>
      <c r="D552" s="474" t="s">
        <v>2118</v>
      </c>
      <c r="E552" s="473" t="s">
        <v>31</v>
      </c>
      <c r="F552" s="484">
        <v>70900</v>
      </c>
      <c r="G552" s="484">
        <v>0</v>
      </c>
      <c r="H552" s="483">
        <v>0</v>
      </c>
      <c r="I552" s="345" t="str">
        <f t="shared" si="25"/>
        <v>0104</v>
      </c>
      <c r="J552" s="346" t="str">
        <f t="shared" si="26"/>
        <v>8010076360</v>
      </c>
    </row>
    <row r="553" spans="1:10" hidden="1">
      <c r="A553" s="346" t="str">
        <f t="shared" si="24"/>
        <v>61701048010077460121</v>
      </c>
      <c r="B553" s="476">
        <v>617</v>
      </c>
      <c r="C553" s="475">
        <v>104</v>
      </c>
      <c r="D553" s="474" t="s">
        <v>2119</v>
      </c>
      <c r="E553" s="473" t="s">
        <v>41</v>
      </c>
      <c r="F553" s="484">
        <v>712632.47</v>
      </c>
      <c r="G553" s="484">
        <v>0</v>
      </c>
      <c r="H553" s="483">
        <v>0</v>
      </c>
      <c r="I553" s="345" t="str">
        <f t="shared" si="25"/>
        <v>0104</v>
      </c>
      <c r="J553" s="346" t="str">
        <f t="shared" si="26"/>
        <v>8010077460</v>
      </c>
    </row>
    <row r="554" spans="1:10" hidden="1">
      <c r="A554" s="346" t="str">
        <f t="shared" si="24"/>
        <v>61701048010077460129</v>
      </c>
      <c r="B554" s="476">
        <v>617</v>
      </c>
      <c r="C554" s="475">
        <v>104</v>
      </c>
      <c r="D554" s="474" t="s">
        <v>2119</v>
      </c>
      <c r="E554" s="473" t="s">
        <v>27</v>
      </c>
      <c r="F554" s="484">
        <v>215215</v>
      </c>
      <c r="G554" s="484">
        <v>0</v>
      </c>
      <c r="H554" s="483">
        <v>0</v>
      </c>
      <c r="I554" s="345" t="str">
        <f t="shared" si="25"/>
        <v>0104</v>
      </c>
      <c r="J554" s="346" t="str">
        <f t="shared" si="26"/>
        <v>8010077460</v>
      </c>
    </row>
    <row r="555" spans="1:10" hidden="1">
      <c r="A555" s="346" t="str">
        <f t="shared" si="24"/>
        <v>61701048010077580121</v>
      </c>
      <c r="B555" s="476">
        <v>617</v>
      </c>
      <c r="C555" s="475">
        <v>104</v>
      </c>
      <c r="D555" s="474" t="s">
        <v>2120</v>
      </c>
      <c r="E555" s="473" t="s">
        <v>41</v>
      </c>
      <c r="F555" s="484">
        <v>13372</v>
      </c>
      <c r="G555" s="484">
        <v>0</v>
      </c>
      <c r="H555" s="483">
        <v>0</v>
      </c>
      <c r="I555" s="345" t="str">
        <f t="shared" si="25"/>
        <v>0104</v>
      </c>
      <c r="J555" s="346" t="str">
        <f t="shared" si="26"/>
        <v>8010077580</v>
      </c>
    </row>
    <row r="556" spans="1:10" hidden="1">
      <c r="A556" s="346" t="str">
        <f t="shared" si="24"/>
        <v>61701048010077580129</v>
      </c>
      <c r="B556" s="476">
        <v>617</v>
      </c>
      <c r="C556" s="475">
        <v>104</v>
      </c>
      <c r="D556" s="474" t="s">
        <v>2120</v>
      </c>
      <c r="E556" s="473" t="s">
        <v>27</v>
      </c>
      <c r="F556" s="484">
        <v>4038.34</v>
      </c>
      <c r="G556" s="484">
        <v>0</v>
      </c>
      <c r="H556" s="483">
        <v>0</v>
      </c>
      <c r="I556" s="345" t="str">
        <f t="shared" si="25"/>
        <v>0104</v>
      </c>
      <c r="J556" s="346" t="str">
        <f t="shared" si="26"/>
        <v>8010077580</v>
      </c>
    </row>
    <row r="557" spans="1:10" hidden="1">
      <c r="A557" s="346" t="str">
        <f t="shared" si="24"/>
        <v>617011311Б0120840244</v>
      </c>
      <c r="B557" s="476">
        <v>617</v>
      </c>
      <c r="C557" s="475">
        <v>113</v>
      </c>
      <c r="D557" s="474" t="s">
        <v>1230</v>
      </c>
      <c r="E557" s="473" t="s">
        <v>31</v>
      </c>
      <c r="F557" s="484">
        <v>350000</v>
      </c>
      <c r="G557" s="484">
        <v>0</v>
      </c>
      <c r="H557" s="483">
        <v>0</v>
      </c>
      <c r="I557" s="345" t="str">
        <f t="shared" si="25"/>
        <v>0113</v>
      </c>
      <c r="J557" s="346" t="str">
        <f t="shared" si="26"/>
        <v>11Б0120840</v>
      </c>
    </row>
    <row r="558" spans="1:10" hidden="1">
      <c r="A558" s="346" t="str">
        <f t="shared" si="24"/>
        <v>617011311Б0121120244</v>
      </c>
      <c r="B558" s="476">
        <v>617</v>
      </c>
      <c r="C558" s="475">
        <v>113</v>
      </c>
      <c r="D558" s="474" t="s">
        <v>1175</v>
      </c>
      <c r="E558" s="473" t="s">
        <v>31</v>
      </c>
      <c r="F558" s="484">
        <v>25748.63</v>
      </c>
      <c r="G558" s="484">
        <v>0</v>
      </c>
      <c r="H558" s="483">
        <v>0</v>
      </c>
      <c r="I558" s="345" t="str">
        <f t="shared" si="25"/>
        <v>0113</v>
      </c>
      <c r="J558" s="346" t="str">
        <f t="shared" si="26"/>
        <v>11Б0121120</v>
      </c>
    </row>
    <row r="559" spans="1:10" hidden="1">
      <c r="A559" s="346" t="str">
        <f t="shared" si="24"/>
        <v>61701138010020050831</v>
      </c>
      <c r="B559" s="476">
        <v>617</v>
      </c>
      <c r="C559" s="475">
        <v>113</v>
      </c>
      <c r="D559" s="474" t="s">
        <v>2121</v>
      </c>
      <c r="E559" s="473" t="s">
        <v>192</v>
      </c>
      <c r="F559" s="484">
        <v>153140</v>
      </c>
      <c r="G559" s="484">
        <v>0</v>
      </c>
      <c r="H559" s="483">
        <v>0</v>
      </c>
      <c r="I559" s="345" t="str">
        <f t="shared" si="25"/>
        <v>0113</v>
      </c>
      <c r="J559" s="346" t="str">
        <f t="shared" si="26"/>
        <v>8010020050</v>
      </c>
    </row>
    <row r="560" spans="1:10" hidden="1">
      <c r="A560" s="346" t="str">
        <f t="shared" si="24"/>
        <v>61701139810021020244</v>
      </c>
      <c r="B560" s="476">
        <v>617</v>
      </c>
      <c r="C560" s="475">
        <v>113</v>
      </c>
      <c r="D560" s="474" t="s">
        <v>2122</v>
      </c>
      <c r="E560" s="473" t="s">
        <v>31</v>
      </c>
      <c r="F560" s="484">
        <v>1215210</v>
      </c>
      <c r="G560" s="484">
        <v>0</v>
      </c>
      <c r="H560" s="483">
        <v>0</v>
      </c>
      <c r="I560" s="345" t="str">
        <f t="shared" si="25"/>
        <v>0113</v>
      </c>
      <c r="J560" s="346" t="str">
        <f t="shared" si="26"/>
        <v>9810021020</v>
      </c>
    </row>
    <row r="561" spans="1:10" hidden="1">
      <c r="A561" s="346" t="str">
        <f t="shared" si="24"/>
        <v>61701139810021350244</v>
      </c>
      <c r="B561" s="476">
        <v>617</v>
      </c>
      <c r="C561" s="475">
        <v>113</v>
      </c>
      <c r="D561" s="474" t="s">
        <v>1958</v>
      </c>
      <c r="E561" s="473" t="s">
        <v>31</v>
      </c>
      <c r="F561" s="484">
        <v>66286</v>
      </c>
      <c r="G561" s="484">
        <v>0</v>
      </c>
      <c r="H561" s="483">
        <v>0</v>
      </c>
      <c r="I561" s="345" t="str">
        <f t="shared" si="25"/>
        <v>0113</v>
      </c>
      <c r="J561" s="346" t="str">
        <f t="shared" si="26"/>
        <v>9810021350</v>
      </c>
    </row>
    <row r="562" spans="1:10" hidden="1">
      <c r="A562" s="346" t="str">
        <f t="shared" si="24"/>
        <v>61704090420220820244</v>
      </c>
      <c r="B562" s="476">
        <v>617</v>
      </c>
      <c r="C562" s="475">
        <v>409</v>
      </c>
      <c r="D562" s="474" t="s">
        <v>2123</v>
      </c>
      <c r="E562" s="473" t="s">
        <v>31</v>
      </c>
      <c r="F562" s="484">
        <v>10882407.859999999</v>
      </c>
      <c r="G562" s="484">
        <v>0</v>
      </c>
      <c r="H562" s="483">
        <v>0</v>
      </c>
      <c r="I562" s="345" t="str">
        <f t="shared" si="25"/>
        <v>0409</v>
      </c>
      <c r="J562" s="346" t="str">
        <f t="shared" si="26"/>
        <v>0420220820</v>
      </c>
    </row>
    <row r="563" spans="1:10" hidden="1">
      <c r="A563" s="346" t="str">
        <f t="shared" si="24"/>
        <v>61704090420221030244</v>
      </c>
      <c r="B563" s="476">
        <v>617</v>
      </c>
      <c r="C563" s="475">
        <v>409</v>
      </c>
      <c r="D563" s="474" t="s">
        <v>2343</v>
      </c>
      <c r="E563" s="473" t="s">
        <v>31</v>
      </c>
      <c r="F563" s="484">
        <v>0</v>
      </c>
      <c r="G563" s="484">
        <v>0</v>
      </c>
      <c r="H563" s="483">
        <v>0</v>
      </c>
      <c r="I563" s="345" t="str">
        <f t="shared" si="25"/>
        <v>0409</v>
      </c>
      <c r="J563" s="346" t="str">
        <f t="shared" si="26"/>
        <v>0420221030</v>
      </c>
    </row>
    <row r="564" spans="1:10" hidden="1">
      <c r="A564" s="346" t="str">
        <f t="shared" si="24"/>
        <v>61704090420221090244</v>
      </c>
      <c r="B564" s="476">
        <v>617</v>
      </c>
      <c r="C564" s="475">
        <v>409</v>
      </c>
      <c r="D564" s="474" t="s">
        <v>2124</v>
      </c>
      <c r="E564" s="473" t="s">
        <v>31</v>
      </c>
      <c r="F564" s="484">
        <v>62925140</v>
      </c>
      <c r="G564" s="484">
        <v>0</v>
      </c>
      <c r="H564" s="483">
        <v>0</v>
      </c>
      <c r="I564" s="345" t="str">
        <f t="shared" si="25"/>
        <v>0409</v>
      </c>
      <c r="J564" s="346" t="str">
        <f t="shared" si="26"/>
        <v>0420221090</v>
      </c>
    </row>
    <row r="565" spans="1:10" hidden="1">
      <c r="A565" s="346" t="str">
        <f t="shared" si="24"/>
        <v>61704090420221410244</v>
      </c>
      <c r="B565" s="476">
        <v>617</v>
      </c>
      <c r="C565" s="475">
        <v>409</v>
      </c>
      <c r="D565" s="474" t="s">
        <v>2125</v>
      </c>
      <c r="E565" s="473" t="s">
        <v>31</v>
      </c>
      <c r="F565" s="484">
        <v>2000000</v>
      </c>
      <c r="G565" s="484">
        <v>0</v>
      </c>
      <c r="H565" s="483">
        <v>0</v>
      </c>
      <c r="I565" s="345" t="str">
        <f t="shared" si="25"/>
        <v>0409</v>
      </c>
      <c r="J565" s="346" t="str">
        <f t="shared" si="26"/>
        <v>0420221410</v>
      </c>
    </row>
    <row r="566" spans="1:10" hidden="1">
      <c r="A566" s="346" t="str">
        <f t="shared" si="24"/>
        <v>61704090420276416244</v>
      </c>
      <c r="B566" s="476">
        <v>617</v>
      </c>
      <c r="C566" s="475">
        <v>409</v>
      </c>
      <c r="D566" s="474" t="s">
        <v>2344</v>
      </c>
      <c r="E566" s="473" t="s">
        <v>31</v>
      </c>
      <c r="F566" s="484">
        <v>1164821</v>
      </c>
      <c r="G566" s="484">
        <v>0</v>
      </c>
      <c r="H566" s="483">
        <v>0</v>
      </c>
      <c r="I566" s="345" t="str">
        <f t="shared" si="25"/>
        <v>0409</v>
      </c>
      <c r="J566" s="346" t="str">
        <f t="shared" si="26"/>
        <v>0420276416</v>
      </c>
    </row>
    <row r="567" spans="1:10" hidden="1">
      <c r="A567" s="346" t="str">
        <f t="shared" si="24"/>
        <v>61704090420276417244</v>
      </c>
      <c r="B567" s="476">
        <v>617</v>
      </c>
      <c r="C567" s="475">
        <v>409</v>
      </c>
      <c r="D567" s="474" t="s">
        <v>2148</v>
      </c>
      <c r="E567" s="473" t="s">
        <v>31</v>
      </c>
      <c r="F567" s="484">
        <v>1300000</v>
      </c>
      <c r="G567" s="484">
        <v>0</v>
      </c>
      <c r="H567" s="483">
        <v>0</v>
      </c>
      <c r="I567" s="345" t="str">
        <f t="shared" si="25"/>
        <v>0409</v>
      </c>
      <c r="J567" s="346" t="str">
        <f t="shared" si="26"/>
        <v>0420276417</v>
      </c>
    </row>
    <row r="568" spans="1:10" hidden="1">
      <c r="A568" s="346" t="str">
        <f t="shared" si="24"/>
        <v>617040904202G6420244</v>
      </c>
      <c r="B568" s="476">
        <v>617</v>
      </c>
      <c r="C568" s="475">
        <v>409</v>
      </c>
      <c r="D568" s="474" t="s">
        <v>2345</v>
      </c>
      <c r="E568" s="473" t="s">
        <v>31</v>
      </c>
      <c r="F568" s="484">
        <v>0</v>
      </c>
      <c r="G568" s="484">
        <v>0</v>
      </c>
      <c r="H568" s="483">
        <v>0</v>
      </c>
      <c r="I568" s="345" t="str">
        <f t="shared" si="25"/>
        <v>0409</v>
      </c>
      <c r="J568" s="346" t="str">
        <f t="shared" si="26"/>
        <v>04202G6420</v>
      </c>
    </row>
    <row r="569" spans="1:10" hidden="1">
      <c r="A569" s="346" t="str">
        <f t="shared" si="24"/>
        <v>617040904202S6420244</v>
      </c>
      <c r="B569" s="476">
        <v>617</v>
      </c>
      <c r="C569" s="475">
        <v>409</v>
      </c>
      <c r="D569" s="474" t="s">
        <v>2346</v>
      </c>
      <c r="E569" s="473" t="s">
        <v>31</v>
      </c>
      <c r="F569" s="484">
        <v>0</v>
      </c>
      <c r="G569" s="484">
        <v>0</v>
      </c>
      <c r="H569" s="483">
        <v>0</v>
      </c>
      <c r="I569" s="345" t="str">
        <f t="shared" si="25"/>
        <v>0409</v>
      </c>
      <c r="J569" s="346" t="str">
        <f t="shared" si="26"/>
        <v>04202S6420</v>
      </c>
    </row>
    <row r="570" spans="1:10" hidden="1">
      <c r="A570" s="346" t="str">
        <f t="shared" si="24"/>
        <v>61704099810021450244</v>
      </c>
      <c r="B570" s="476">
        <v>617</v>
      </c>
      <c r="C570" s="475">
        <v>409</v>
      </c>
      <c r="D570" s="474" t="s">
        <v>2126</v>
      </c>
      <c r="E570" s="473" t="s">
        <v>31</v>
      </c>
      <c r="F570" s="484">
        <v>1818266</v>
      </c>
      <c r="G570" s="484">
        <v>0</v>
      </c>
      <c r="H570" s="483">
        <v>0</v>
      </c>
      <c r="I570" s="345" t="str">
        <f t="shared" si="25"/>
        <v>0409</v>
      </c>
      <c r="J570" s="346" t="str">
        <f t="shared" si="26"/>
        <v>9810021450</v>
      </c>
    </row>
    <row r="571" spans="1:10" hidden="1">
      <c r="A571" s="346" t="str">
        <f t="shared" si="24"/>
        <v>61705010410120190243</v>
      </c>
      <c r="B571" s="476">
        <v>617</v>
      </c>
      <c r="C571" s="475">
        <v>501</v>
      </c>
      <c r="D571" s="474" t="s">
        <v>2127</v>
      </c>
      <c r="E571" s="473" t="s">
        <v>773</v>
      </c>
      <c r="F571" s="484">
        <v>443000</v>
      </c>
      <c r="G571" s="484">
        <v>0</v>
      </c>
      <c r="H571" s="483">
        <v>0</v>
      </c>
      <c r="I571" s="345" t="str">
        <f t="shared" si="25"/>
        <v>0501</v>
      </c>
      <c r="J571" s="346" t="str">
        <f t="shared" si="26"/>
        <v>0410120190</v>
      </c>
    </row>
    <row r="572" spans="1:10" hidden="1">
      <c r="A572" s="346" t="str">
        <f t="shared" si="24"/>
        <v>61705010410120190244</v>
      </c>
      <c r="B572" s="476">
        <v>617</v>
      </c>
      <c r="C572" s="475">
        <v>501</v>
      </c>
      <c r="D572" s="474" t="s">
        <v>2127</v>
      </c>
      <c r="E572" s="473" t="s">
        <v>31</v>
      </c>
      <c r="F572" s="484">
        <v>630857.21</v>
      </c>
      <c r="G572" s="484">
        <v>0</v>
      </c>
      <c r="H572" s="483">
        <v>0</v>
      </c>
      <c r="I572" s="345" t="str">
        <f t="shared" si="25"/>
        <v>0501</v>
      </c>
      <c r="J572" s="346" t="str">
        <f t="shared" si="26"/>
        <v>0410120190</v>
      </c>
    </row>
    <row r="573" spans="1:10" hidden="1">
      <c r="A573" s="346" t="str">
        <f t="shared" si="24"/>
        <v>61705030430420300244</v>
      </c>
      <c r="B573" s="476">
        <v>617</v>
      </c>
      <c r="C573" s="475">
        <v>503</v>
      </c>
      <c r="D573" s="474" t="s">
        <v>2030</v>
      </c>
      <c r="E573" s="473" t="s">
        <v>31</v>
      </c>
      <c r="F573" s="484">
        <v>11100054.050000001</v>
      </c>
      <c r="G573" s="484">
        <v>0</v>
      </c>
      <c r="H573" s="483">
        <v>0</v>
      </c>
      <c r="I573" s="345" t="str">
        <f t="shared" si="25"/>
        <v>0503</v>
      </c>
      <c r="J573" s="346" t="str">
        <f t="shared" si="26"/>
        <v>0430420300</v>
      </c>
    </row>
    <row r="574" spans="1:10" hidden="1">
      <c r="A574" s="346" t="str">
        <f t="shared" si="24"/>
        <v>61705030430421070244</v>
      </c>
      <c r="B574" s="476">
        <v>617</v>
      </c>
      <c r="C574" s="475">
        <v>503</v>
      </c>
      <c r="D574" s="474" t="s">
        <v>2128</v>
      </c>
      <c r="E574" s="473" t="s">
        <v>31</v>
      </c>
      <c r="F574" s="484">
        <v>473000</v>
      </c>
      <c r="G574" s="484">
        <v>0</v>
      </c>
      <c r="H574" s="483">
        <v>0</v>
      </c>
      <c r="I574" s="345" t="str">
        <f t="shared" si="25"/>
        <v>0503</v>
      </c>
      <c r="J574" s="346" t="str">
        <f t="shared" si="26"/>
        <v>0430421070</v>
      </c>
    </row>
    <row r="575" spans="1:10" hidden="1">
      <c r="A575" s="346" t="str">
        <f t="shared" si="24"/>
        <v>61705030430421080244</v>
      </c>
      <c r="B575" s="476">
        <v>617</v>
      </c>
      <c r="C575" s="475">
        <v>503</v>
      </c>
      <c r="D575" s="474" t="s">
        <v>2347</v>
      </c>
      <c r="E575" s="473" t="s">
        <v>31</v>
      </c>
      <c r="F575" s="484">
        <v>0</v>
      </c>
      <c r="G575" s="484">
        <v>0</v>
      </c>
      <c r="H575" s="483">
        <v>0</v>
      </c>
      <c r="I575" s="345" t="str">
        <f t="shared" si="25"/>
        <v>0503</v>
      </c>
      <c r="J575" s="346" t="str">
        <f t="shared" si="26"/>
        <v>0430421080</v>
      </c>
    </row>
    <row r="576" spans="1:10" hidden="1">
      <c r="A576" s="346" t="str">
        <f t="shared" si="24"/>
        <v>61705030430476416244</v>
      </c>
      <c r="B576" s="476">
        <v>617</v>
      </c>
      <c r="C576" s="475">
        <v>503</v>
      </c>
      <c r="D576" s="474" t="s">
        <v>2129</v>
      </c>
      <c r="E576" s="473" t="s">
        <v>31</v>
      </c>
      <c r="F576" s="484">
        <v>11311259</v>
      </c>
      <c r="G576" s="484">
        <v>0</v>
      </c>
      <c r="H576" s="483">
        <v>0</v>
      </c>
      <c r="I576" s="345" t="str">
        <f t="shared" si="25"/>
        <v>0503</v>
      </c>
      <c r="J576" s="346" t="str">
        <f t="shared" si="26"/>
        <v>0430476416</v>
      </c>
    </row>
    <row r="577" spans="1:10" hidden="1">
      <c r="A577" s="346" t="str">
        <f t="shared" si="24"/>
        <v>617050304304G6420244</v>
      </c>
      <c r="B577" s="476">
        <v>617</v>
      </c>
      <c r="C577" s="475">
        <v>503</v>
      </c>
      <c r="D577" s="474" t="s">
        <v>1231</v>
      </c>
      <c r="E577" s="473" t="s">
        <v>31</v>
      </c>
      <c r="F577" s="484">
        <v>1508530</v>
      </c>
      <c r="G577" s="484">
        <v>0</v>
      </c>
      <c r="H577" s="483">
        <v>0</v>
      </c>
      <c r="I577" s="345" t="str">
        <f t="shared" si="25"/>
        <v>0503</v>
      </c>
      <c r="J577" s="346" t="str">
        <f t="shared" si="26"/>
        <v>04304G6420</v>
      </c>
    </row>
    <row r="578" spans="1:10" hidden="1">
      <c r="A578" s="346" t="str">
        <f t="shared" si="24"/>
        <v>617050304304S6420244</v>
      </c>
      <c r="B578" s="476">
        <v>617</v>
      </c>
      <c r="C578" s="475">
        <v>503</v>
      </c>
      <c r="D578" s="474" t="s">
        <v>1232</v>
      </c>
      <c r="E578" s="473" t="s">
        <v>31</v>
      </c>
      <c r="F578" s="484">
        <v>8607814.6999999993</v>
      </c>
      <c r="G578" s="484">
        <v>0</v>
      </c>
      <c r="H578" s="483">
        <v>0</v>
      </c>
      <c r="I578" s="345" t="str">
        <f t="shared" si="25"/>
        <v>0503</v>
      </c>
      <c r="J578" s="346" t="str">
        <f t="shared" si="26"/>
        <v>04304S6420</v>
      </c>
    </row>
    <row r="579" spans="1:10" hidden="1">
      <c r="A579" s="346" t="str">
        <f t="shared" si="24"/>
        <v>61705039810021450244</v>
      </c>
      <c r="B579" s="476">
        <v>617</v>
      </c>
      <c r="C579" s="475">
        <v>503</v>
      </c>
      <c r="D579" s="474" t="s">
        <v>2126</v>
      </c>
      <c r="E579" s="473" t="s">
        <v>31</v>
      </c>
      <c r="F579" s="484">
        <v>649520</v>
      </c>
      <c r="G579" s="484">
        <v>0</v>
      </c>
      <c r="H579" s="483">
        <v>0</v>
      </c>
      <c r="I579" s="345" t="str">
        <f t="shared" si="25"/>
        <v>0503</v>
      </c>
      <c r="J579" s="346" t="str">
        <f t="shared" si="26"/>
        <v>9810021450</v>
      </c>
    </row>
    <row r="580" spans="1:10" hidden="1">
      <c r="A580" s="346" t="str">
        <f t="shared" si="24"/>
        <v>61708010710120060244</v>
      </c>
      <c r="B580" s="476">
        <v>617</v>
      </c>
      <c r="C580" s="475">
        <v>801</v>
      </c>
      <c r="D580" s="474" t="s">
        <v>1946</v>
      </c>
      <c r="E580" s="473" t="s">
        <v>31</v>
      </c>
      <c r="F580" s="484">
        <v>1095450</v>
      </c>
      <c r="G580" s="484">
        <v>0</v>
      </c>
      <c r="H580" s="483">
        <v>0</v>
      </c>
      <c r="I580" s="345" t="str">
        <f t="shared" si="25"/>
        <v>0801</v>
      </c>
      <c r="J580" s="346" t="str">
        <f t="shared" si="26"/>
        <v>0710120060</v>
      </c>
    </row>
    <row r="581" spans="1:10" hidden="1">
      <c r="A581" s="346" t="str">
        <f t="shared" si="24"/>
        <v>61708010710121130244</v>
      </c>
      <c r="B581" s="476">
        <v>617</v>
      </c>
      <c r="C581" s="475">
        <v>801</v>
      </c>
      <c r="D581" s="474" t="s">
        <v>2130</v>
      </c>
      <c r="E581" s="473" t="s">
        <v>31</v>
      </c>
      <c r="F581" s="484">
        <v>490000</v>
      </c>
      <c r="G581" s="484">
        <v>0</v>
      </c>
      <c r="H581" s="483">
        <v>0</v>
      </c>
      <c r="I581" s="345" t="str">
        <f t="shared" si="25"/>
        <v>0801</v>
      </c>
      <c r="J581" s="346" t="str">
        <f t="shared" si="26"/>
        <v>0710121130</v>
      </c>
    </row>
    <row r="582" spans="1:10" hidden="1">
      <c r="A582" s="346" t="str">
        <f t="shared" si="24"/>
        <v>61801048110010010122</v>
      </c>
      <c r="B582" s="476">
        <v>618</v>
      </c>
      <c r="C582" s="475">
        <v>104</v>
      </c>
      <c r="D582" s="474" t="s">
        <v>2131</v>
      </c>
      <c r="E582" s="473" t="s">
        <v>23</v>
      </c>
      <c r="F582" s="484">
        <v>474166.97</v>
      </c>
      <c r="G582" s="484">
        <v>0</v>
      </c>
      <c r="H582" s="483">
        <v>0</v>
      </c>
      <c r="I582" s="345" t="str">
        <f t="shared" si="25"/>
        <v>0104</v>
      </c>
      <c r="J582" s="346" t="str">
        <f t="shared" si="26"/>
        <v>8110010010</v>
      </c>
    </row>
    <row r="583" spans="1:10" hidden="1">
      <c r="A583" s="346" t="str">
        <f t="shared" si="24"/>
        <v>61801048110010010129</v>
      </c>
      <c r="B583" s="476">
        <v>618</v>
      </c>
      <c r="C583" s="475">
        <v>104</v>
      </c>
      <c r="D583" s="474" t="s">
        <v>2131</v>
      </c>
      <c r="E583" s="473" t="s">
        <v>27</v>
      </c>
      <c r="F583" s="484">
        <v>142410.78</v>
      </c>
      <c r="G583" s="484">
        <v>0</v>
      </c>
      <c r="H583" s="483">
        <v>0</v>
      </c>
      <c r="I583" s="345" t="str">
        <f t="shared" si="25"/>
        <v>0104</v>
      </c>
      <c r="J583" s="346" t="str">
        <f t="shared" si="26"/>
        <v>8110010010</v>
      </c>
    </row>
    <row r="584" spans="1:10" hidden="1">
      <c r="A584" s="346" t="str">
        <f t="shared" si="24"/>
        <v>61801048110010010244</v>
      </c>
      <c r="B584" s="476">
        <v>618</v>
      </c>
      <c r="C584" s="475">
        <v>104</v>
      </c>
      <c r="D584" s="474" t="s">
        <v>2131</v>
      </c>
      <c r="E584" s="473" t="s">
        <v>31</v>
      </c>
      <c r="F584" s="484">
        <v>3720930.76</v>
      </c>
      <c r="G584" s="484">
        <v>0</v>
      </c>
      <c r="H584" s="483">
        <v>0</v>
      </c>
      <c r="I584" s="345" t="str">
        <f t="shared" si="25"/>
        <v>0104</v>
      </c>
      <c r="J584" s="346" t="str">
        <f t="shared" si="26"/>
        <v>8110010010</v>
      </c>
    </row>
    <row r="585" spans="1:10" hidden="1">
      <c r="A585" s="346" t="str">
        <f t="shared" si="24"/>
        <v>61801048110010010851</v>
      </c>
      <c r="B585" s="476">
        <v>618</v>
      </c>
      <c r="C585" s="475">
        <v>104</v>
      </c>
      <c r="D585" s="474" t="s">
        <v>2131</v>
      </c>
      <c r="E585" s="473" t="s">
        <v>35</v>
      </c>
      <c r="F585" s="484">
        <v>39432</v>
      </c>
      <c r="G585" s="484">
        <v>0</v>
      </c>
      <c r="H585" s="483">
        <v>0</v>
      </c>
      <c r="I585" s="345" t="str">
        <f t="shared" si="25"/>
        <v>0104</v>
      </c>
      <c r="J585" s="346" t="str">
        <f t="shared" si="26"/>
        <v>8110010010</v>
      </c>
    </row>
    <row r="586" spans="1:10" hidden="1">
      <c r="A586" s="346" t="str">
        <f t="shared" si="24"/>
        <v>61801048110010010852</v>
      </c>
      <c r="B586" s="476">
        <v>618</v>
      </c>
      <c r="C586" s="475">
        <v>104</v>
      </c>
      <c r="D586" s="474" t="s">
        <v>2131</v>
      </c>
      <c r="E586" s="473" t="s">
        <v>37</v>
      </c>
      <c r="F586" s="484">
        <v>19018</v>
      </c>
      <c r="G586" s="484">
        <v>0</v>
      </c>
      <c r="H586" s="483">
        <v>0</v>
      </c>
      <c r="I586" s="345" t="str">
        <f t="shared" si="25"/>
        <v>0104</v>
      </c>
      <c r="J586" s="346" t="str">
        <f t="shared" si="26"/>
        <v>8110010010</v>
      </c>
    </row>
    <row r="587" spans="1:10" hidden="1">
      <c r="A587" s="346" t="str">
        <f t="shared" ref="A587:A650" si="27">B587&amp;I587&amp;J587&amp;E587</f>
        <v>61801048110010020121</v>
      </c>
      <c r="B587" s="476">
        <v>618</v>
      </c>
      <c r="C587" s="475">
        <v>104</v>
      </c>
      <c r="D587" s="474" t="s">
        <v>2132</v>
      </c>
      <c r="E587" s="473" t="s">
        <v>41</v>
      </c>
      <c r="F587" s="484">
        <v>19946400.34</v>
      </c>
      <c r="G587" s="484">
        <v>0</v>
      </c>
      <c r="H587" s="483">
        <v>0</v>
      </c>
      <c r="I587" s="345" t="str">
        <f t="shared" ref="I587:I650" si="28">TEXT(C587,"0000")</f>
        <v>0104</v>
      </c>
      <c r="J587" s="346" t="str">
        <f t="shared" ref="J587:J650" si="29">TEXT(D587,"0000000000")</f>
        <v>8110010020</v>
      </c>
    </row>
    <row r="588" spans="1:10" hidden="1">
      <c r="A588" s="346" t="str">
        <f t="shared" si="27"/>
        <v>61801048110010020129</v>
      </c>
      <c r="B588" s="476">
        <v>618</v>
      </c>
      <c r="C588" s="475">
        <v>104</v>
      </c>
      <c r="D588" s="474" t="s">
        <v>2132</v>
      </c>
      <c r="E588" s="473" t="s">
        <v>27</v>
      </c>
      <c r="F588" s="484">
        <v>5932348.2000000002</v>
      </c>
      <c r="G588" s="484">
        <v>0</v>
      </c>
      <c r="H588" s="483">
        <v>0</v>
      </c>
      <c r="I588" s="345" t="str">
        <f t="shared" si="28"/>
        <v>0104</v>
      </c>
      <c r="J588" s="346" t="str">
        <f t="shared" si="29"/>
        <v>8110010020</v>
      </c>
    </row>
    <row r="589" spans="1:10" hidden="1">
      <c r="A589" s="346" t="str">
        <f t="shared" si="27"/>
        <v>61801048110076200121</v>
      </c>
      <c r="B589" s="476">
        <v>618</v>
      </c>
      <c r="C589" s="475">
        <v>104</v>
      </c>
      <c r="D589" s="474" t="s">
        <v>2133</v>
      </c>
      <c r="E589" s="473" t="s">
        <v>41</v>
      </c>
      <c r="F589" s="484">
        <v>904458.57</v>
      </c>
      <c r="G589" s="484">
        <v>0</v>
      </c>
      <c r="H589" s="483">
        <v>0</v>
      </c>
      <c r="I589" s="345" t="str">
        <f t="shared" si="28"/>
        <v>0104</v>
      </c>
      <c r="J589" s="346" t="str">
        <f t="shared" si="29"/>
        <v>8110076200</v>
      </c>
    </row>
    <row r="590" spans="1:10" hidden="1">
      <c r="A590" s="346" t="str">
        <f t="shared" si="27"/>
        <v>61801048110076200122</v>
      </c>
      <c r="B590" s="476">
        <v>618</v>
      </c>
      <c r="C590" s="475">
        <v>104</v>
      </c>
      <c r="D590" s="474" t="s">
        <v>2133</v>
      </c>
      <c r="E590" s="473" t="s">
        <v>23</v>
      </c>
      <c r="F590" s="484">
        <v>41615.980000000003</v>
      </c>
      <c r="G590" s="484">
        <v>0</v>
      </c>
      <c r="H590" s="483">
        <v>0</v>
      </c>
      <c r="I590" s="345" t="str">
        <f t="shared" si="28"/>
        <v>0104</v>
      </c>
      <c r="J590" s="346" t="str">
        <f t="shared" si="29"/>
        <v>8110076200</v>
      </c>
    </row>
    <row r="591" spans="1:10" hidden="1">
      <c r="A591" s="346" t="str">
        <f t="shared" si="27"/>
        <v>61801048110076200129</v>
      </c>
      <c r="B591" s="476">
        <v>618</v>
      </c>
      <c r="C591" s="475">
        <v>104</v>
      </c>
      <c r="D591" s="474" t="s">
        <v>2133</v>
      </c>
      <c r="E591" s="473" t="s">
        <v>27</v>
      </c>
      <c r="F591" s="484">
        <v>285836.31</v>
      </c>
      <c r="G591" s="484">
        <v>0</v>
      </c>
      <c r="H591" s="483">
        <v>0</v>
      </c>
      <c r="I591" s="345" t="str">
        <f t="shared" si="28"/>
        <v>0104</v>
      </c>
      <c r="J591" s="346" t="str">
        <f t="shared" si="29"/>
        <v>8110076200</v>
      </c>
    </row>
    <row r="592" spans="1:10" hidden="1">
      <c r="A592" s="346" t="str">
        <f t="shared" si="27"/>
        <v>61801048110076200244</v>
      </c>
      <c r="B592" s="476">
        <v>618</v>
      </c>
      <c r="C592" s="475">
        <v>104</v>
      </c>
      <c r="D592" s="474" t="s">
        <v>2133</v>
      </c>
      <c r="E592" s="473" t="s">
        <v>31</v>
      </c>
      <c r="F592" s="484">
        <v>28489.24</v>
      </c>
      <c r="G592" s="484">
        <v>0</v>
      </c>
      <c r="H592" s="483">
        <v>0</v>
      </c>
      <c r="I592" s="345" t="str">
        <f t="shared" si="28"/>
        <v>0104</v>
      </c>
      <c r="J592" s="346" t="str">
        <f t="shared" si="29"/>
        <v>8110076200</v>
      </c>
    </row>
    <row r="593" spans="1:10" hidden="1">
      <c r="A593" s="346" t="str">
        <f t="shared" si="27"/>
        <v>61801048110076360244</v>
      </c>
      <c r="B593" s="476">
        <v>618</v>
      </c>
      <c r="C593" s="475">
        <v>104</v>
      </c>
      <c r="D593" s="474" t="s">
        <v>2134</v>
      </c>
      <c r="E593" s="473" t="s">
        <v>31</v>
      </c>
      <c r="F593" s="484">
        <v>70900</v>
      </c>
      <c r="G593" s="484">
        <v>0</v>
      </c>
      <c r="H593" s="483">
        <v>0</v>
      </c>
      <c r="I593" s="345" t="str">
        <f t="shared" si="28"/>
        <v>0104</v>
      </c>
      <c r="J593" s="346" t="str">
        <f t="shared" si="29"/>
        <v>8110076360</v>
      </c>
    </row>
    <row r="594" spans="1:10" hidden="1">
      <c r="A594" s="346" t="str">
        <f t="shared" si="27"/>
        <v>61801048110077460121</v>
      </c>
      <c r="B594" s="476">
        <v>618</v>
      </c>
      <c r="C594" s="475">
        <v>104</v>
      </c>
      <c r="D594" s="474" t="s">
        <v>2135</v>
      </c>
      <c r="E594" s="473" t="s">
        <v>41</v>
      </c>
      <c r="F594" s="484">
        <v>635167.02</v>
      </c>
      <c r="G594" s="484">
        <v>0</v>
      </c>
      <c r="H594" s="483">
        <v>0</v>
      </c>
      <c r="I594" s="345" t="str">
        <f t="shared" si="28"/>
        <v>0104</v>
      </c>
      <c r="J594" s="346" t="str">
        <f t="shared" si="29"/>
        <v>8110077460</v>
      </c>
    </row>
    <row r="595" spans="1:10" hidden="1">
      <c r="A595" s="346" t="str">
        <f t="shared" si="27"/>
        <v>61801048110077460129</v>
      </c>
      <c r="B595" s="476">
        <v>618</v>
      </c>
      <c r="C595" s="475">
        <v>104</v>
      </c>
      <c r="D595" s="474" t="s">
        <v>2135</v>
      </c>
      <c r="E595" s="473" t="s">
        <v>27</v>
      </c>
      <c r="F595" s="484">
        <v>191820.44</v>
      </c>
      <c r="G595" s="484">
        <v>0</v>
      </c>
      <c r="H595" s="483">
        <v>0</v>
      </c>
      <c r="I595" s="345" t="str">
        <f t="shared" si="28"/>
        <v>0104</v>
      </c>
      <c r="J595" s="346" t="str">
        <f t="shared" si="29"/>
        <v>8110077460</v>
      </c>
    </row>
    <row r="596" spans="1:10" hidden="1">
      <c r="A596" s="346" t="str">
        <f t="shared" si="27"/>
        <v>61801048110077580121</v>
      </c>
      <c r="B596" s="476">
        <v>618</v>
      </c>
      <c r="C596" s="475">
        <v>104</v>
      </c>
      <c r="D596" s="474" t="s">
        <v>2136</v>
      </c>
      <c r="E596" s="473" t="s">
        <v>41</v>
      </c>
      <c r="F596" s="484">
        <v>37000</v>
      </c>
      <c r="G596" s="484">
        <v>0</v>
      </c>
      <c r="H596" s="483">
        <v>0</v>
      </c>
      <c r="I596" s="345" t="str">
        <f t="shared" si="28"/>
        <v>0104</v>
      </c>
      <c r="J596" s="346" t="str">
        <f t="shared" si="29"/>
        <v>8110077580</v>
      </c>
    </row>
    <row r="597" spans="1:10" hidden="1">
      <c r="A597" s="346" t="str">
        <f t="shared" si="27"/>
        <v>61801048110077580129</v>
      </c>
      <c r="B597" s="476">
        <v>618</v>
      </c>
      <c r="C597" s="475">
        <v>104</v>
      </c>
      <c r="D597" s="474" t="s">
        <v>2136</v>
      </c>
      <c r="E597" s="473" t="s">
        <v>27</v>
      </c>
      <c r="F597" s="484">
        <v>11174</v>
      </c>
      <c r="G597" s="484">
        <v>0</v>
      </c>
      <c r="H597" s="483">
        <v>0</v>
      </c>
      <c r="I597" s="345" t="str">
        <f t="shared" si="28"/>
        <v>0104</v>
      </c>
      <c r="J597" s="346" t="str">
        <f t="shared" si="29"/>
        <v>8110077580</v>
      </c>
    </row>
    <row r="598" spans="1:10" hidden="1">
      <c r="A598" s="346" t="str">
        <f t="shared" si="27"/>
        <v>618011311Б0120840244</v>
      </c>
      <c r="B598" s="476">
        <v>618</v>
      </c>
      <c r="C598" s="475">
        <v>113</v>
      </c>
      <c r="D598" s="474" t="s">
        <v>1230</v>
      </c>
      <c r="E598" s="473" t="s">
        <v>31</v>
      </c>
      <c r="F598" s="484">
        <v>404360.28</v>
      </c>
      <c r="G598" s="484">
        <v>0</v>
      </c>
      <c r="H598" s="483">
        <v>0</v>
      </c>
      <c r="I598" s="345" t="str">
        <f t="shared" si="28"/>
        <v>0113</v>
      </c>
      <c r="J598" s="346" t="str">
        <f t="shared" si="29"/>
        <v>11Б0120840</v>
      </c>
    </row>
    <row r="599" spans="1:10" hidden="1">
      <c r="A599" s="346" t="str">
        <f t="shared" si="27"/>
        <v>61801138110020050831</v>
      </c>
      <c r="B599" s="476">
        <v>618</v>
      </c>
      <c r="C599" s="475">
        <v>113</v>
      </c>
      <c r="D599" s="474" t="s">
        <v>2137</v>
      </c>
      <c r="E599" s="473" t="s">
        <v>192</v>
      </c>
      <c r="F599" s="484">
        <v>57122.81</v>
      </c>
      <c r="G599" s="484">
        <v>0</v>
      </c>
      <c r="H599" s="483">
        <v>0</v>
      </c>
      <c r="I599" s="345" t="str">
        <f t="shared" si="28"/>
        <v>0113</v>
      </c>
      <c r="J599" s="346" t="str">
        <f t="shared" si="29"/>
        <v>8110020050</v>
      </c>
    </row>
    <row r="600" spans="1:10" hidden="1">
      <c r="A600" s="346" t="str">
        <f t="shared" si="27"/>
        <v>61801138110021040831</v>
      </c>
      <c r="B600" s="476">
        <v>618</v>
      </c>
      <c r="C600" s="475">
        <v>113</v>
      </c>
      <c r="D600" s="474" t="s">
        <v>2138</v>
      </c>
      <c r="E600" s="473" t="s">
        <v>192</v>
      </c>
      <c r="F600" s="484">
        <v>200000</v>
      </c>
      <c r="G600" s="484">
        <v>0</v>
      </c>
      <c r="H600" s="483">
        <v>0</v>
      </c>
      <c r="I600" s="345" t="str">
        <f t="shared" si="28"/>
        <v>0113</v>
      </c>
      <c r="J600" s="346" t="str">
        <f t="shared" si="29"/>
        <v>8110021040</v>
      </c>
    </row>
    <row r="601" spans="1:10" hidden="1">
      <c r="A601" s="346" t="str">
        <f t="shared" si="27"/>
        <v>61804090420220820244</v>
      </c>
      <c r="B601" s="476">
        <v>618</v>
      </c>
      <c r="C601" s="475">
        <v>409</v>
      </c>
      <c r="D601" s="474" t="s">
        <v>2123</v>
      </c>
      <c r="E601" s="473" t="s">
        <v>31</v>
      </c>
      <c r="F601" s="484">
        <v>10296735.380000001</v>
      </c>
      <c r="G601" s="484">
        <v>0</v>
      </c>
      <c r="H601" s="483">
        <v>0</v>
      </c>
      <c r="I601" s="345" t="str">
        <f t="shared" si="28"/>
        <v>0409</v>
      </c>
      <c r="J601" s="346" t="str">
        <f t="shared" si="29"/>
        <v>0420220820</v>
      </c>
    </row>
    <row r="602" spans="1:10" hidden="1">
      <c r="A602" s="346" t="str">
        <f t="shared" si="27"/>
        <v>61804090420221090244</v>
      </c>
      <c r="B602" s="476">
        <v>618</v>
      </c>
      <c r="C602" s="475">
        <v>409</v>
      </c>
      <c r="D602" s="474" t="s">
        <v>2124</v>
      </c>
      <c r="E602" s="473" t="s">
        <v>31</v>
      </c>
      <c r="F602" s="484">
        <v>48835820</v>
      </c>
      <c r="G602" s="484">
        <v>0</v>
      </c>
      <c r="H602" s="483">
        <v>0</v>
      </c>
      <c r="I602" s="345" t="str">
        <f t="shared" si="28"/>
        <v>0409</v>
      </c>
      <c r="J602" s="346" t="str">
        <f t="shared" si="29"/>
        <v>0420221090</v>
      </c>
    </row>
    <row r="603" spans="1:10" hidden="1">
      <c r="A603" s="346" t="str">
        <f t="shared" si="27"/>
        <v>61804090420276417244</v>
      </c>
      <c r="B603" s="476">
        <v>618</v>
      </c>
      <c r="C603" s="475">
        <v>409</v>
      </c>
      <c r="D603" s="474" t="s">
        <v>2148</v>
      </c>
      <c r="E603" s="473" t="s">
        <v>31</v>
      </c>
      <c r="F603" s="484">
        <v>1300000</v>
      </c>
      <c r="G603" s="484">
        <v>0</v>
      </c>
      <c r="H603" s="483">
        <v>0</v>
      </c>
      <c r="I603" s="345" t="str">
        <f t="shared" si="28"/>
        <v>0409</v>
      </c>
      <c r="J603" s="346" t="str">
        <f t="shared" si="29"/>
        <v>0420276417</v>
      </c>
    </row>
    <row r="604" spans="1:10" hidden="1">
      <c r="A604" s="346" t="str">
        <f t="shared" si="27"/>
        <v>618040904202G6420244</v>
      </c>
      <c r="B604" s="476">
        <v>618</v>
      </c>
      <c r="C604" s="475">
        <v>409</v>
      </c>
      <c r="D604" s="474" t="s">
        <v>2345</v>
      </c>
      <c r="E604" s="473" t="s">
        <v>31</v>
      </c>
      <c r="F604" s="484">
        <v>0</v>
      </c>
      <c r="G604" s="484">
        <v>0</v>
      </c>
      <c r="H604" s="483">
        <v>0</v>
      </c>
      <c r="I604" s="345" t="str">
        <f t="shared" si="28"/>
        <v>0409</v>
      </c>
      <c r="J604" s="346" t="str">
        <f t="shared" si="29"/>
        <v>04202G6420</v>
      </c>
    </row>
    <row r="605" spans="1:10" hidden="1">
      <c r="A605" s="346" t="str">
        <f t="shared" si="27"/>
        <v>618040904202S6420244</v>
      </c>
      <c r="B605" s="476">
        <v>618</v>
      </c>
      <c r="C605" s="475">
        <v>409</v>
      </c>
      <c r="D605" s="474" t="s">
        <v>2346</v>
      </c>
      <c r="E605" s="473" t="s">
        <v>31</v>
      </c>
      <c r="F605" s="484">
        <v>0</v>
      </c>
      <c r="G605" s="484">
        <v>0</v>
      </c>
      <c r="H605" s="483">
        <v>0</v>
      </c>
      <c r="I605" s="345" t="str">
        <f t="shared" si="28"/>
        <v>0409</v>
      </c>
      <c r="J605" s="346" t="str">
        <f t="shared" si="29"/>
        <v>04202S6420</v>
      </c>
    </row>
    <row r="606" spans="1:10" hidden="1">
      <c r="A606" s="346" t="str">
        <f t="shared" si="27"/>
        <v>61805010410120190243</v>
      </c>
      <c r="B606" s="476">
        <v>618</v>
      </c>
      <c r="C606" s="475">
        <v>501</v>
      </c>
      <c r="D606" s="474" t="s">
        <v>2127</v>
      </c>
      <c r="E606" s="473" t="s">
        <v>773</v>
      </c>
      <c r="F606" s="484">
        <v>1178000</v>
      </c>
      <c r="G606" s="484">
        <v>0</v>
      </c>
      <c r="H606" s="483">
        <v>0</v>
      </c>
      <c r="I606" s="345" t="str">
        <f t="shared" si="28"/>
        <v>0501</v>
      </c>
      <c r="J606" s="346" t="str">
        <f t="shared" si="29"/>
        <v>0410120190</v>
      </c>
    </row>
    <row r="607" spans="1:10" hidden="1">
      <c r="A607" s="346" t="str">
        <f t="shared" si="27"/>
        <v>61805010410120190244</v>
      </c>
      <c r="B607" s="476">
        <v>618</v>
      </c>
      <c r="C607" s="475">
        <v>501</v>
      </c>
      <c r="D607" s="474" t="s">
        <v>2127</v>
      </c>
      <c r="E607" s="473" t="s">
        <v>31</v>
      </c>
      <c r="F607" s="484">
        <v>395614.47</v>
      </c>
      <c r="G607" s="484">
        <v>0</v>
      </c>
      <c r="H607" s="483">
        <v>0</v>
      </c>
      <c r="I607" s="345" t="str">
        <f t="shared" si="28"/>
        <v>0501</v>
      </c>
      <c r="J607" s="346" t="str">
        <f t="shared" si="29"/>
        <v>0410120190</v>
      </c>
    </row>
    <row r="608" spans="1:10" hidden="1">
      <c r="A608" s="346" t="str">
        <f t="shared" si="27"/>
        <v>61805030430420300244</v>
      </c>
      <c r="B608" s="476">
        <v>618</v>
      </c>
      <c r="C608" s="475">
        <v>503</v>
      </c>
      <c r="D608" s="474" t="s">
        <v>2030</v>
      </c>
      <c r="E608" s="473" t="s">
        <v>31</v>
      </c>
      <c r="F608" s="484">
        <v>9209802.6500000004</v>
      </c>
      <c r="G608" s="484">
        <v>0</v>
      </c>
      <c r="H608" s="483">
        <v>0</v>
      </c>
      <c r="I608" s="345" t="str">
        <f t="shared" si="28"/>
        <v>0503</v>
      </c>
      <c r="J608" s="346" t="str">
        <f t="shared" si="29"/>
        <v>0430420300</v>
      </c>
    </row>
    <row r="609" spans="1:10" hidden="1">
      <c r="A609" s="346" t="str">
        <f t="shared" si="27"/>
        <v>61805030430421070244</v>
      </c>
      <c r="B609" s="476">
        <v>618</v>
      </c>
      <c r="C609" s="475">
        <v>503</v>
      </c>
      <c r="D609" s="474" t="s">
        <v>2128</v>
      </c>
      <c r="E609" s="473" t="s">
        <v>31</v>
      </c>
      <c r="F609" s="484">
        <v>775000</v>
      </c>
      <c r="G609" s="484">
        <v>0</v>
      </c>
      <c r="H609" s="483">
        <v>0</v>
      </c>
      <c r="I609" s="345" t="str">
        <f t="shared" si="28"/>
        <v>0503</v>
      </c>
      <c r="J609" s="346" t="str">
        <f t="shared" si="29"/>
        <v>0430421070</v>
      </c>
    </row>
    <row r="610" spans="1:10" hidden="1">
      <c r="A610" s="346" t="str">
        <f t="shared" si="27"/>
        <v>61805030430421080244</v>
      </c>
      <c r="B610" s="476">
        <v>618</v>
      </c>
      <c r="C610" s="475">
        <v>503</v>
      </c>
      <c r="D610" s="474" t="s">
        <v>2347</v>
      </c>
      <c r="E610" s="473" t="s">
        <v>31</v>
      </c>
      <c r="F610" s="484">
        <v>0</v>
      </c>
      <c r="G610" s="484">
        <v>0</v>
      </c>
      <c r="H610" s="483">
        <v>0</v>
      </c>
      <c r="I610" s="345" t="str">
        <f t="shared" si="28"/>
        <v>0503</v>
      </c>
      <c r="J610" s="346" t="str">
        <f t="shared" si="29"/>
        <v>0430421080</v>
      </c>
    </row>
    <row r="611" spans="1:10" hidden="1">
      <c r="A611" s="346" t="str">
        <f t="shared" si="27"/>
        <v>61805030430476416244</v>
      </c>
      <c r="B611" s="476">
        <v>618</v>
      </c>
      <c r="C611" s="475">
        <v>503</v>
      </c>
      <c r="D611" s="474" t="s">
        <v>2129</v>
      </c>
      <c r="E611" s="473" t="s">
        <v>31</v>
      </c>
      <c r="F611" s="484">
        <v>15996870</v>
      </c>
      <c r="G611" s="484">
        <v>0</v>
      </c>
      <c r="H611" s="483">
        <v>0</v>
      </c>
      <c r="I611" s="345" t="str">
        <f t="shared" si="28"/>
        <v>0503</v>
      </c>
      <c r="J611" s="346" t="str">
        <f t="shared" si="29"/>
        <v>0430476416</v>
      </c>
    </row>
    <row r="612" spans="1:10" hidden="1">
      <c r="A612" s="346" t="str">
        <f t="shared" si="27"/>
        <v>618050304304G6420244</v>
      </c>
      <c r="B612" s="476">
        <v>618</v>
      </c>
      <c r="C612" s="475">
        <v>503</v>
      </c>
      <c r="D612" s="474" t="s">
        <v>1231</v>
      </c>
      <c r="E612" s="473" t="s">
        <v>31</v>
      </c>
      <c r="F612" s="484">
        <v>1501000</v>
      </c>
      <c r="G612" s="484">
        <v>0</v>
      </c>
      <c r="H612" s="483">
        <v>0</v>
      </c>
      <c r="I612" s="345" t="str">
        <f t="shared" si="28"/>
        <v>0503</v>
      </c>
      <c r="J612" s="346" t="str">
        <f t="shared" si="29"/>
        <v>04304G6420</v>
      </c>
    </row>
    <row r="613" spans="1:10" hidden="1">
      <c r="A613" s="346" t="str">
        <f t="shared" si="27"/>
        <v>618050304304S6420244</v>
      </c>
      <c r="B613" s="476">
        <v>618</v>
      </c>
      <c r="C613" s="475">
        <v>503</v>
      </c>
      <c r="D613" s="474" t="s">
        <v>1232</v>
      </c>
      <c r="E613" s="473" t="s">
        <v>31</v>
      </c>
      <c r="F613" s="484">
        <v>8597000</v>
      </c>
      <c r="G613" s="484">
        <v>0</v>
      </c>
      <c r="H613" s="483">
        <v>0</v>
      </c>
      <c r="I613" s="345" t="str">
        <f t="shared" si="28"/>
        <v>0503</v>
      </c>
      <c r="J613" s="346" t="str">
        <f t="shared" si="29"/>
        <v>04304S6420</v>
      </c>
    </row>
    <row r="614" spans="1:10" hidden="1">
      <c r="A614" s="346" t="str">
        <f t="shared" si="27"/>
        <v>61805039810021450244</v>
      </c>
      <c r="B614" s="476">
        <v>618</v>
      </c>
      <c r="C614" s="475">
        <v>503</v>
      </c>
      <c r="D614" s="474" t="s">
        <v>2126</v>
      </c>
      <c r="E614" s="473" t="s">
        <v>31</v>
      </c>
      <c r="F614" s="484">
        <v>1971617</v>
      </c>
      <c r="G614" s="484">
        <v>0</v>
      </c>
      <c r="H614" s="483">
        <v>0</v>
      </c>
      <c r="I614" s="345" t="str">
        <f t="shared" si="28"/>
        <v>0503</v>
      </c>
      <c r="J614" s="346" t="str">
        <f t="shared" si="29"/>
        <v>9810021450</v>
      </c>
    </row>
    <row r="615" spans="1:10" hidden="1">
      <c r="A615" s="346" t="str">
        <f t="shared" si="27"/>
        <v>61808010710120060244</v>
      </c>
      <c r="B615" s="476">
        <v>618</v>
      </c>
      <c r="C615" s="475">
        <v>801</v>
      </c>
      <c r="D615" s="474" t="s">
        <v>1946</v>
      </c>
      <c r="E615" s="473" t="s">
        <v>31</v>
      </c>
      <c r="F615" s="484">
        <v>874500</v>
      </c>
      <c r="G615" s="484">
        <v>0</v>
      </c>
      <c r="H615" s="483">
        <v>0</v>
      </c>
      <c r="I615" s="345" t="str">
        <f t="shared" si="28"/>
        <v>0801</v>
      </c>
      <c r="J615" s="346" t="str">
        <f t="shared" si="29"/>
        <v>0710120060</v>
      </c>
    </row>
    <row r="616" spans="1:10" hidden="1">
      <c r="A616" s="346" t="str">
        <f t="shared" si="27"/>
        <v>61808010710121130244</v>
      </c>
      <c r="B616" s="476">
        <v>618</v>
      </c>
      <c r="C616" s="475">
        <v>801</v>
      </c>
      <c r="D616" s="474" t="s">
        <v>2130</v>
      </c>
      <c r="E616" s="473" t="s">
        <v>31</v>
      </c>
      <c r="F616" s="484">
        <v>522324</v>
      </c>
      <c r="G616" s="484">
        <v>0</v>
      </c>
      <c r="H616" s="483">
        <v>0</v>
      </c>
      <c r="I616" s="345" t="str">
        <f t="shared" si="28"/>
        <v>0801</v>
      </c>
      <c r="J616" s="346" t="str">
        <f t="shared" si="29"/>
        <v>0710121130</v>
      </c>
    </row>
    <row r="617" spans="1:10" hidden="1">
      <c r="A617" s="346" t="str">
        <f t="shared" si="27"/>
        <v>61810039810021560811</v>
      </c>
      <c r="B617" s="476">
        <v>618</v>
      </c>
      <c r="C617" s="475">
        <v>1003</v>
      </c>
      <c r="D617" s="474" t="s">
        <v>2139</v>
      </c>
      <c r="E617" s="473" t="s">
        <v>206</v>
      </c>
      <c r="F617" s="484">
        <v>569116.5</v>
      </c>
      <c r="G617" s="484">
        <v>0</v>
      </c>
      <c r="H617" s="483">
        <v>0</v>
      </c>
      <c r="I617" s="345" t="str">
        <f t="shared" si="28"/>
        <v>1003</v>
      </c>
      <c r="J617" s="346" t="str">
        <f t="shared" si="29"/>
        <v>9810021560</v>
      </c>
    </row>
    <row r="618" spans="1:10" hidden="1">
      <c r="A618" s="346" t="str">
        <f t="shared" si="27"/>
        <v>61901048210010010122</v>
      </c>
      <c r="B618" s="476">
        <v>619</v>
      </c>
      <c r="C618" s="475">
        <v>104</v>
      </c>
      <c r="D618" s="474" t="s">
        <v>2140</v>
      </c>
      <c r="E618" s="473" t="s">
        <v>23</v>
      </c>
      <c r="F618" s="484">
        <v>647125.26</v>
      </c>
      <c r="G618" s="484">
        <v>0</v>
      </c>
      <c r="H618" s="483">
        <v>0</v>
      </c>
      <c r="I618" s="345" t="str">
        <f t="shared" si="28"/>
        <v>0104</v>
      </c>
      <c r="J618" s="346" t="str">
        <f t="shared" si="29"/>
        <v>8210010010</v>
      </c>
    </row>
    <row r="619" spans="1:10" hidden="1">
      <c r="A619" s="346" t="str">
        <f t="shared" si="27"/>
        <v>61901048210010010129</v>
      </c>
      <c r="B619" s="476">
        <v>619</v>
      </c>
      <c r="C619" s="475">
        <v>104</v>
      </c>
      <c r="D619" s="474" t="s">
        <v>2140</v>
      </c>
      <c r="E619" s="473" t="s">
        <v>27</v>
      </c>
      <c r="F619" s="484">
        <v>195049.5</v>
      </c>
      <c r="G619" s="484">
        <v>0</v>
      </c>
      <c r="H619" s="483">
        <v>0</v>
      </c>
      <c r="I619" s="345" t="str">
        <f t="shared" si="28"/>
        <v>0104</v>
      </c>
      <c r="J619" s="346" t="str">
        <f t="shared" si="29"/>
        <v>8210010010</v>
      </c>
    </row>
    <row r="620" spans="1:10" hidden="1">
      <c r="A620" s="346" t="str">
        <f t="shared" si="27"/>
        <v>61901048210010010244</v>
      </c>
      <c r="B620" s="476">
        <v>619</v>
      </c>
      <c r="C620" s="475">
        <v>104</v>
      </c>
      <c r="D620" s="474" t="s">
        <v>2140</v>
      </c>
      <c r="E620" s="473" t="s">
        <v>31</v>
      </c>
      <c r="F620" s="484">
        <v>4251355.99</v>
      </c>
      <c r="G620" s="484">
        <v>0</v>
      </c>
      <c r="H620" s="483">
        <v>0</v>
      </c>
      <c r="I620" s="345" t="str">
        <f t="shared" si="28"/>
        <v>0104</v>
      </c>
      <c r="J620" s="346" t="str">
        <f t="shared" si="29"/>
        <v>8210010010</v>
      </c>
    </row>
    <row r="621" spans="1:10" hidden="1">
      <c r="A621" s="346" t="str">
        <f t="shared" si="27"/>
        <v>61901048210010010851</v>
      </c>
      <c r="B621" s="476">
        <v>619</v>
      </c>
      <c r="C621" s="475">
        <v>104</v>
      </c>
      <c r="D621" s="474" t="s">
        <v>2140</v>
      </c>
      <c r="E621" s="473" t="s">
        <v>35</v>
      </c>
      <c r="F621" s="484">
        <v>332938.19</v>
      </c>
      <c r="G621" s="484">
        <v>0</v>
      </c>
      <c r="H621" s="483">
        <v>0</v>
      </c>
      <c r="I621" s="345" t="str">
        <f t="shared" si="28"/>
        <v>0104</v>
      </c>
      <c r="J621" s="346" t="str">
        <f t="shared" si="29"/>
        <v>8210010010</v>
      </c>
    </row>
    <row r="622" spans="1:10" hidden="1">
      <c r="A622" s="346" t="str">
        <f t="shared" si="27"/>
        <v>61901048210010010852</v>
      </c>
      <c r="B622" s="476">
        <v>619</v>
      </c>
      <c r="C622" s="475">
        <v>104</v>
      </c>
      <c r="D622" s="474" t="s">
        <v>2140</v>
      </c>
      <c r="E622" s="473" t="s">
        <v>37</v>
      </c>
      <c r="F622" s="484">
        <v>6472</v>
      </c>
      <c r="G622" s="484">
        <v>0</v>
      </c>
      <c r="H622" s="483">
        <v>0</v>
      </c>
      <c r="I622" s="345" t="str">
        <f t="shared" si="28"/>
        <v>0104</v>
      </c>
      <c r="J622" s="346" t="str">
        <f t="shared" si="29"/>
        <v>8210010010</v>
      </c>
    </row>
    <row r="623" spans="1:10" hidden="1">
      <c r="A623" s="346" t="str">
        <f t="shared" si="27"/>
        <v>61901048210010010853</v>
      </c>
      <c r="B623" s="476">
        <v>619</v>
      </c>
      <c r="C623" s="475">
        <v>104</v>
      </c>
      <c r="D623" s="474" t="s">
        <v>2140</v>
      </c>
      <c r="E623" s="473" t="s">
        <v>78</v>
      </c>
      <c r="F623" s="484">
        <v>589.80999999999995</v>
      </c>
      <c r="G623" s="484">
        <v>0</v>
      </c>
      <c r="H623" s="483">
        <v>0</v>
      </c>
      <c r="I623" s="345" t="str">
        <f t="shared" si="28"/>
        <v>0104</v>
      </c>
      <c r="J623" s="346" t="str">
        <f t="shared" si="29"/>
        <v>8210010010</v>
      </c>
    </row>
    <row r="624" spans="1:10" hidden="1">
      <c r="A624" s="346" t="str">
        <f t="shared" si="27"/>
        <v>61901048210010020121</v>
      </c>
      <c r="B624" s="476">
        <v>619</v>
      </c>
      <c r="C624" s="475">
        <v>104</v>
      </c>
      <c r="D624" s="474" t="s">
        <v>2141</v>
      </c>
      <c r="E624" s="473" t="s">
        <v>41</v>
      </c>
      <c r="F624" s="484">
        <v>27938471.059999999</v>
      </c>
      <c r="G624" s="484">
        <v>0</v>
      </c>
      <c r="H624" s="483">
        <v>0</v>
      </c>
      <c r="I624" s="345" t="str">
        <f t="shared" si="28"/>
        <v>0104</v>
      </c>
      <c r="J624" s="346" t="str">
        <f t="shared" si="29"/>
        <v>8210010020</v>
      </c>
    </row>
    <row r="625" spans="1:10" hidden="1">
      <c r="A625" s="346" t="str">
        <f t="shared" si="27"/>
        <v>61901048210010020129</v>
      </c>
      <c r="B625" s="476">
        <v>619</v>
      </c>
      <c r="C625" s="475">
        <v>104</v>
      </c>
      <c r="D625" s="474" t="s">
        <v>2141</v>
      </c>
      <c r="E625" s="473" t="s">
        <v>27</v>
      </c>
      <c r="F625" s="484">
        <v>8339654.8499999996</v>
      </c>
      <c r="G625" s="484">
        <v>0</v>
      </c>
      <c r="H625" s="483">
        <v>0</v>
      </c>
      <c r="I625" s="345" t="str">
        <f t="shared" si="28"/>
        <v>0104</v>
      </c>
      <c r="J625" s="346" t="str">
        <f t="shared" si="29"/>
        <v>8210010020</v>
      </c>
    </row>
    <row r="626" spans="1:10" hidden="1">
      <c r="A626" s="346" t="str">
        <f t="shared" si="27"/>
        <v>61901048210076200121</v>
      </c>
      <c r="B626" s="476">
        <v>619</v>
      </c>
      <c r="C626" s="475">
        <v>104</v>
      </c>
      <c r="D626" s="474" t="s">
        <v>2142</v>
      </c>
      <c r="E626" s="473" t="s">
        <v>41</v>
      </c>
      <c r="F626" s="484">
        <v>1157704.01</v>
      </c>
      <c r="G626" s="484">
        <v>0</v>
      </c>
      <c r="H626" s="483">
        <v>0</v>
      </c>
      <c r="I626" s="345" t="str">
        <f t="shared" si="28"/>
        <v>0104</v>
      </c>
      <c r="J626" s="346" t="str">
        <f t="shared" si="29"/>
        <v>8210076200</v>
      </c>
    </row>
    <row r="627" spans="1:10" hidden="1">
      <c r="A627" s="346" t="str">
        <f t="shared" si="27"/>
        <v>61901048210076200122</v>
      </c>
      <c r="B627" s="476">
        <v>619</v>
      </c>
      <c r="C627" s="475">
        <v>104</v>
      </c>
      <c r="D627" s="474" t="s">
        <v>2142</v>
      </c>
      <c r="E627" s="473" t="s">
        <v>23</v>
      </c>
      <c r="F627" s="484">
        <v>51060</v>
      </c>
      <c r="G627" s="484">
        <v>0</v>
      </c>
      <c r="H627" s="483">
        <v>0</v>
      </c>
      <c r="I627" s="345" t="str">
        <f t="shared" si="28"/>
        <v>0104</v>
      </c>
      <c r="J627" s="346" t="str">
        <f t="shared" si="29"/>
        <v>8210076200</v>
      </c>
    </row>
    <row r="628" spans="1:10" hidden="1">
      <c r="A628" s="346" t="str">
        <f t="shared" si="27"/>
        <v>61901048210076200129</v>
      </c>
      <c r="B628" s="476">
        <v>619</v>
      </c>
      <c r="C628" s="475">
        <v>104</v>
      </c>
      <c r="D628" s="474" t="s">
        <v>2142</v>
      </c>
      <c r="E628" s="473" t="s">
        <v>27</v>
      </c>
      <c r="F628" s="484">
        <v>359864.93</v>
      </c>
      <c r="G628" s="484">
        <v>0</v>
      </c>
      <c r="H628" s="483">
        <v>0</v>
      </c>
      <c r="I628" s="345" t="str">
        <f t="shared" si="28"/>
        <v>0104</v>
      </c>
      <c r="J628" s="346" t="str">
        <f t="shared" si="29"/>
        <v>8210076200</v>
      </c>
    </row>
    <row r="629" spans="1:10" hidden="1">
      <c r="A629" s="346" t="str">
        <f t="shared" si="27"/>
        <v>61901048210076200244</v>
      </c>
      <c r="B629" s="476">
        <v>619</v>
      </c>
      <c r="C629" s="475">
        <v>104</v>
      </c>
      <c r="D629" s="474" t="s">
        <v>2142</v>
      </c>
      <c r="E629" s="473" t="s">
        <v>31</v>
      </c>
      <c r="F629" s="484">
        <v>18964.46</v>
      </c>
      <c r="G629" s="484">
        <v>0</v>
      </c>
      <c r="H629" s="483">
        <v>0</v>
      </c>
      <c r="I629" s="345" t="str">
        <f t="shared" si="28"/>
        <v>0104</v>
      </c>
      <c r="J629" s="346" t="str">
        <f t="shared" si="29"/>
        <v>8210076200</v>
      </c>
    </row>
    <row r="630" spans="1:10" hidden="1">
      <c r="A630" s="346" t="str">
        <f t="shared" si="27"/>
        <v>61901048210076360244</v>
      </c>
      <c r="B630" s="476">
        <v>619</v>
      </c>
      <c r="C630" s="475">
        <v>104</v>
      </c>
      <c r="D630" s="474" t="s">
        <v>2143</v>
      </c>
      <c r="E630" s="473" t="s">
        <v>31</v>
      </c>
      <c r="F630" s="484">
        <v>70900</v>
      </c>
      <c r="G630" s="484">
        <v>0</v>
      </c>
      <c r="H630" s="483">
        <v>0</v>
      </c>
      <c r="I630" s="345" t="str">
        <f t="shared" si="28"/>
        <v>0104</v>
      </c>
      <c r="J630" s="346" t="str">
        <f t="shared" si="29"/>
        <v>8210076360</v>
      </c>
    </row>
    <row r="631" spans="1:10" hidden="1">
      <c r="A631" s="346" t="str">
        <f t="shared" si="27"/>
        <v>61901048210077460121</v>
      </c>
      <c r="B631" s="476">
        <v>619</v>
      </c>
      <c r="C631" s="475">
        <v>104</v>
      </c>
      <c r="D631" s="474" t="s">
        <v>2144</v>
      </c>
      <c r="E631" s="473" t="s">
        <v>41</v>
      </c>
      <c r="F631" s="484">
        <v>907777.15</v>
      </c>
      <c r="G631" s="484">
        <v>0</v>
      </c>
      <c r="H631" s="483">
        <v>0</v>
      </c>
      <c r="I631" s="345" t="str">
        <f t="shared" si="28"/>
        <v>0104</v>
      </c>
      <c r="J631" s="346" t="str">
        <f t="shared" si="29"/>
        <v>8210077460</v>
      </c>
    </row>
    <row r="632" spans="1:10" hidden="1">
      <c r="A632" s="346" t="str">
        <f t="shared" si="27"/>
        <v>61901048210077460129</v>
      </c>
      <c r="B632" s="476">
        <v>619</v>
      </c>
      <c r="C632" s="475">
        <v>104</v>
      </c>
      <c r="D632" s="474" t="s">
        <v>2144</v>
      </c>
      <c r="E632" s="473" t="s">
        <v>27</v>
      </c>
      <c r="F632" s="484">
        <v>274148.7</v>
      </c>
      <c r="G632" s="484">
        <v>0</v>
      </c>
      <c r="H632" s="483">
        <v>0</v>
      </c>
      <c r="I632" s="345" t="str">
        <f t="shared" si="28"/>
        <v>0104</v>
      </c>
      <c r="J632" s="346" t="str">
        <f t="shared" si="29"/>
        <v>8210077460</v>
      </c>
    </row>
    <row r="633" spans="1:10" hidden="1">
      <c r="A633" s="346" t="str">
        <f t="shared" si="27"/>
        <v>61901048210077580121</v>
      </c>
      <c r="B633" s="476">
        <v>619</v>
      </c>
      <c r="C633" s="475">
        <v>104</v>
      </c>
      <c r="D633" s="474" t="s">
        <v>2145</v>
      </c>
      <c r="E633" s="473" t="s">
        <v>41</v>
      </c>
      <c r="F633" s="484">
        <v>47256</v>
      </c>
      <c r="G633" s="484">
        <v>0</v>
      </c>
      <c r="H633" s="483">
        <v>0</v>
      </c>
      <c r="I633" s="345" t="str">
        <f t="shared" si="28"/>
        <v>0104</v>
      </c>
      <c r="J633" s="346" t="str">
        <f t="shared" si="29"/>
        <v>8210077580</v>
      </c>
    </row>
    <row r="634" spans="1:10" hidden="1">
      <c r="A634" s="346" t="str">
        <f t="shared" si="27"/>
        <v>61901048210077580129</v>
      </c>
      <c r="B634" s="476">
        <v>619</v>
      </c>
      <c r="C634" s="475">
        <v>104</v>
      </c>
      <c r="D634" s="474" t="s">
        <v>2145</v>
      </c>
      <c r="E634" s="473" t="s">
        <v>27</v>
      </c>
      <c r="F634" s="484">
        <v>14271.31</v>
      </c>
      <c r="G634" s="484">
        <v>0</v>
      </c>
      <c r="H634" s="483">
        <v>0</v>
      </c>
      <c r="I634" s="345" t="str">
        <f t="shared" si="28"/>
        <v>0104</v>
      </c>
      <c r="J634" s="346" t="str">
        <f t="shared" si="29"/>
        <v>8210077580</v>
      </c>
    </row>
    <row r="635" spans="1:10" hidden="1">
      <c r="A635" s="346" t="str">
        <f t="shared" si="27"/>
        <v>619011311Б0120840244</v>
      </c>
      <c r="B635" s="476">
        <v>619</v>
      </c>
      <c r="C635" s="475">
        <v>113</v>
      </c>
      <c r="D635" s="474" t="s">
        <v>1230</v>
      </c>
      <c r="E635" s="473" t="s">
        <v>31</v>
      </c>
      <c r="F635" s="484">
        <v>476640</v>
      </c>
      <c r="G635" s="484">
        <v>0</v>
      </c>
      <c r="H635" s="483">
        <v>0</v>
      </c>
      <c r="I635" s="345" t="str">
        <f t="shared" si="28"/>
        <v>0113</v>
      </c>
      <c r="J635" s="346" t="str">
        <f t="shared" si="29"/>
        <v>11Б0120840</v>
      </c>
    </row>
    <row r="636" spans="1:10" hidden="1">
      <c r="A636" s="346" t="str">
        <f t="shared" si="27"/>
        <v>619011311Б0121120244</v>
      </c>
      <c r="B636" s="476">
        <v>619</v>
      </c>
      <c r="C636" s="475">
        <v>113</v>
      </c>
      <c r="D636" s="474" t="s">
        <v>1175</v>
      </c>
      <c r="E636" s="473" t="s">
        <v>31</v>
      </c>
      <c r="F636" s="484">
        <v>76064.67</v>
      </c>
      <c r="G636" s="484">
        <v>0</v>
      </c>
      <c r="H636" s="483">
        <v>0</v>
      </c>
      <c r="I636" s="345" t="str">
        <f t="shared" si="28"/>
        <v>0113</v>
      </c>
      <c r="J636" s="346" t="str">
        <f t="shared" si="29"/>
        <v>11Б0121120</v>
      </c>
    </row>
    <row r="637" spans="1:10" hidden="1">
      <c r="A637" s="346" t="str">
        <f t="shared" si="27"/>
        <v>61901138210010050121</v>
      </c>
      <c r="B637" s="476">
        <v>619</v>
      </c>
      <c r="C637" s="475">
        <v>113</v>
      </c>
      <c r="D637" s="474" t="s">
        <v>2146</v>
      </c>
      <c r="E637" s="473" t="s">
        <v>41</v>
      </c>
      <c r="F637" s="484">
        <v>245650</v>
      </c>
      <c r="G637" s="484">
        <v>0</v>
      </c>
      <c r="H637" s="483">
        <v>0</v>
      </c>
      <c r="I637" s="345" t="str">
        <f t="shared" si="28"/>
        <v>0113</v>
      </c>
      <c r="J637" s="346" t="str">
        <f t="shared" si="29"/>
        <v>8210010050</v>
      </c>
    </row>
    <row r="638" spans="1:10" hidden="1">
      <c r="A638" s="346" t="str">
        <f t="shared" si="27"/>
        <v>61901138210010050122</v>
      </c>
      <c r="B638" s="476">
        <v>619</v>
      </c>
      <c r="C638" s="475">
        <v>113</v>
      </c>
      <c r="D638" s="474" t="s">
        <v>2146</v>
      </c>
      <c r="E638" s="473" t="s">
        <v>23</v>
      </c>
      <c r="F638" s="484">
        <v>0</v>
      </c>
      <c r="G638" s="484">
        <v>0</v>
      </c>
      <c r="H638" s="483">
        <v>0</v>
      </c>
      <c r="I638" s="345" t="str">
        <f t="shared" si="28"/>
        <v>0113</v>
      </c>
      <c r="J638" s="346" t="str">
        <f t="shared" si="29"/>
        <v>8210010050</v>
      </c>
    </row>
    <row r="639" spans="1:10" hidden="1">
      <c r="A639" s="346" t="str">
        <f t="shared" si="27"/>
        <v>61901138210010050129</v>
      </c>
      <c r="B639" s="476">
        <v>619</v>
      </c>
      <c r="C639" s="475">
        <v>113</v>
      </c>
      <c r="D639" s="474" t="s">
        <v>2146</v>
      </c>
      <c r="E639" s="473" t="s">
        <v>27</v>
      </c>
      <c r="F639" s="484">
        <v>74186.3</v>
      </c>
      <c r="G639" s="484">
        <v>0</v>
      </c>
      <c r="H639" s="483">
        <v>0</v>
      </c>
      <c r="I639" s="345" t="str">
        <f t="shared" si="28"/>
        <v>0113</v>
      </c>
      <c r="J639" s="346" t="str">
        <f t="shared" si="29"/>
        <v>8210010050</v>
      </c>
    </row>
    <row r="640" spans="1:10" hidden="1">
      <c r="A640" s="346" t="str">
        <f t="shared" si="27"/>
        <v>61901138210020050831</v>
      </c>
      <c r="B640" s="476">
        <v>619</v>
      </c>
      <c r="C640" s="475">
        <v>113</v>
      </c>
      <c r="D640" s="474" t="s">
        <v>2147</v>
      </c>
      <c r="E640" s="473" t="s">
        <v>192</v>
      </c>
      <c r="F640" s="484">
        <v>607672.85</v>
      </c>
      <c r="G640" s="484">
        <v>0</v>
      </c>
      <c r="H640" s="483">
        <v>0</v>
      </c>
      <c r="I640" s="345" t="str">
        <f t="shared" si="28"/>
        <v>0113</v>
      </c>
      <c r="J640" s="346" t="str">
        <f t="shared" si="29"/>
        <v>8210020050</v>
      </c>
    </row>
    <row r="641" spans="1:10" hidden="1">
      <c r="A641" s="346" t="str">
        <f t="shared" si="27"/>
        <v>61901139810021020244</v>
      </c>
      <c r="B641" s="476">
        <v>619</v>
      </c>
      <c r="C641" s="475">
        <v>113</v>
      </c>
      <c r="D641" s="474" t="s">
        <v>2122</v>
      </c>
      <c r="E641" s="473" t="s">
        <v>31</v>
      </c>
      <c r="F641" s="484">
        <v>701979.97</v>
      </c>
      <c r="G641" s="484">
        <v>0</v>
      </c>
      <c r="H641" s="483">
        <v>0</v>
      </c>
      <c r="I641" s="345" t="str">
        <f t="shared" si="28"/>
        <v>0113</v>
      </c>
      <c r="J641" s="346" t="str">
        <f t="shared" si="29"/>
        <v>9810021020</v>
      </c>
    </row>
    <row r="642" spans="1:10" hidden="1">
      <c r="A642" s="346" t="str">
        <f t="shared" si="27"/>
        <v>61901139810021350243</v>
      </c>
      <c r="B642" s="476">
        <v>619</v>
      </c>
      <c r="C642" s="475">
        <v>113</v>
      </c>
      <c r="D642" s="474" t="s">
        <v>1958</v>
      </c>
      <c r="E642" s="473" t="s">
        <v>773</v>
      </c>
      <c r="F642" s="484">
        <v>2660000</v>
      </c>
      <c r="G642" s="484">
        <v>0</v>
      </c>
      <c r="H642" s="483">
        <v>0</v>
      </c>
      <c r="I642" s="345" t="str">
        <f t="shared" si="28"/>
        <v>0113</v>
      </c>
      <c r="J642" s="346" t="str">
        <f t="shared" si="29"/>
        <v>9810021350</v>
      </c>
    </row>
    <row r="643" spans="1:10" hidden="1">
      <c r="A643" s="346" t="str">
        <f t="shared" si="27"/>
        <v>61901139810021350244</v>
      </c>
      <c r="B643" s="476">
        <v>619</v>
      </c>
      <c r="C643" s="475">
        <v>113</v>
      </c>
      <c r="D643" s="474" t="s">
        <v>1958</v>
      </c>
      <c r="E643" s="473" t="s">
        <v>31</v>
      </c>
      <c r="F643" s="484">
        <v>0</v>
      </c>
      <c r="G643" s="484">
        <v>0</v>
      </c>
      <c r="H643" s="483">
        <v>0</v>
      </c>
      <c r="I643" s="345" t="str">
        <f t="shared" si="28"/>
        <v>0113</v>
      </c>
      <c r="J643" s="346" t="str">
        <f t="shared" si="29"/>
        <v>9810021350</v>
      </c>
    </row>
    <row r="644" spans="1:10" hidden="1">
      <c r="A644" s="346" t="str">
        <f t="shared" si="27"/>
        <v>61904090420220820244</v>
      </c>
      <c r="B644" s="476">
        <v>619</v>
      </c>
      <c r="C644" s="475">
        <v>409</v>
      </c>
      <c r="D644" s="474" t="s">
        <v>2123</v>
      </c>
      <c r="E644" s="473" t="s">
        <v>31</v>
      </c>
      <c r="F644" s="484">
        <v>10599528.220000001</v>
      </c>
      <c r="G644" s="484">
        <v>0</v>
      </c>
      <c r="H644" s="483">
        <v>0</v>
      </c>
      <c r="I644" s="345" t="str">
        <f t="shared" si="28"/>
        <v>0409</v>
      </c>
      <c r="J644" s="346" t="str">
        <f t="shared" si="29"/>
        <v>0420220820</v>
      </c>
    </row>
    <row r="645" spans="1:10" hidden="1">
      <c r="A645" s="346" t="str">
        <f t="shared" si="27"/>
        <v>61904090420221030244</v>
      </c>
      <c r="B645" s="476">
        <v>619</v>
      </c>
      <c r="C645" s="475">
        <v>409</v>
      </c>
      <c r="D645" s="474" t="s">
        <v>2343</v>
      </c>
      <c r="E645" s="473" t="s">
        <v>31</v>
      </c>
      <c r="F645" s="484">
        <v>0</v>
      </c>
      <c r="G645" s="484">
        <v>0</v>
      </c>
      <c r="H645" s="483">
        <v>0</v>
      </c>
      <c r="I645" s="345" t="str">
        <f t="shared" si="28"/>
        <v>0409</v>
      </c>
      <c r="J645" s="346" t="str">
        <f t="shared" si="29"/>
        <v>0420221030</v>
      </c>
    </row>
    <row r="646" spans="1:10" hidden="1">
      <c r="A646" s="346" t="str">
        <f t="shared" si="27"/>
        <v>61904090420221090244</v>
      </c>
      <c r="B646" s="476">
        <v>619</v>
      </c>
      <c r="C646" s="475">
        <v>409</v>
      </c>
      <c r="D646" s="474" t="s">
        <v>2124</v>
      </c>
      <c r="E646" s="473" t="s">
        <v>31</v>
      </c>
      <c r="F646" s="484">
        <v>97281341.670000002</v>
      </c>
      <c r="G646" s="484">
        <v>0</v>
      </c>
      <c r="H646" s="483">
        <v>0</v>
      </c>
      <c r="I646" s="345" t="str">
        <f t="shared" si="28"/>
        <v>0409</v>
      </c>
      <c r="J646" s="346" t="str">
        <f t="shared" si="29"/>
        <v>0420221090</v>
      </c>
    </row>
    <row r="647" spans="1:10" hidden="1">
      <c r="A647" s="346" t="str">
        <f t="shared" si="27"/>
        <v>61904090420276417244</v>
      </c>
      <c r="B647" s="476">
        <v>619</v>
      </c>
      <c r="C647" s="475">
        <v>409</v>
      </c>
      <c r="D647" s="474" t="s">
        <v>2148</v>
      </c>
      <c r="E647" s="473" t="s">
        <v>31</v>
      </c>
      <c r="F647" s="484">
        <v>10862329</v>
      </c>
      <c r="G647" s="484">
        <v>0</v>
      </c>
      <c r="H647" s="483">
        <v>0</v>
      </c>
      <c r="I647" s="345" t="str">
        <f t="shared" si="28"/>
        <v>0409</v>
      </c>
      <c r="J647" s="346" t="str">
        <f t="shared" si="29"/>
        <v>0420276417</v>
      </c>
    </row>
    <row r="648" spans="1:10" hidden="1">
      <c r="A648" s="346" t="str">
        <f t="shared" si="27"/>
        <v>619040904202G6420244</v>
      </c>
      <c r="B648" s="476">
        <v>619</v>
      </c>
      <c r="C648" s="475">
        <v>409</v>
      </c>
      <c r="D648" s="474" t="s">
        <v>2345</v>
      </c>
      <c r="E648" s="473" t="s">
        <v>31</v>
      </c>
      <c r="F648" s="484">
        <v>0</v>
      </c>
      <c r="G648" s="484">
        <v>0</v>
      </c>
      <c r="H648" s="483">
        <v>0</v>
      </c>
      <c r="I648" s="345" t="str">
        <f t="shared" si="28"/>
        <v>0409</v>
      </c>
      <c r="J648" s="346" t="str">
        <f t="shared" si="29"/>
        <v>04202G6420</v>
      </c>
    </row>
    <row r="649" spans="1:10" hidden="1">
      <c r="A649" s="346" t="str">
        <f t="shared" si="27"/>
        <v>619040904202S6417244</v>
      </c>
      <c r="B649" s="476">
        <v>619</v>
      </c>
      <c r="C649" s="475">
        <v>409</v>
      </c>
      <c r="D649" s="474" t="s">
        <v>2348</v>
      </c>
      <c r="E649" s="473" t="s">
        <v>31</v>
      </c>
      <c r="F649" s="484">
        <v>349681</v>
      </c>
      <c r="G649" s="484">
        <v>0</v>
      </c>
      <c r="H649" s="483">
        <v>0</v>
      </c>
      <c r="I649" s="345" t="str">
        <f t="shared" si="28"/>
        <v>0409</v>
      </c>
      <c r="J649" s="346" t="str">
        <f t="shared" si="29"/>
        <v>04202S6417</v>
      </c>
    </row>
    <row r="650" spans="1:10" hidden="1">
      <c r="A650" s="346" t="str">
        <f t="shared" si="27"/>
        <v>619040904202S6420244</v>
      </c>
      <c r="B650" s="476">
        <v>619</v>
      </c>
      <c r="C650" s="475">
        <v>409</v>
      </c>
      <c r="D650" s="474" t="s">
        <v>2346</v>
      </c>
      <c r="E650" s="473" t="s">
        <v>31</v>
      </c>
      <c r="F650" s="484">
        <v>0</v>
      </c>
      <c r="G650" s="484">
        <v>0</v>
      </c>
      <c r="H650" s="483">
        <v>0</v>
      </c>
      <c r="I650" s="345" t="str">
        <f t="shared" si="28"/>
        <v>0409</v>
      </c>
      <c r="J650" s="346" t="str">
        <f t="shared" si="29"/>
        <v>04202S6420</v>
      </c>
    </row>
    <row r="651" spans="1:10" hidden="1">
      <c r="A651" s="346" t="str">
        <f t="shared" ref="A651:A714" si="30">B651&amp;I651&amp;J651&amp;E651</f>
        <v>61904099810021450244</v>
      </c>
      <c r="B651" s="476">
        <v>619</v>
      </c>
      <c r="C651" s="475">
        <v>409</v>
      </c>
      <c r="D651" s="474" t="s">
        <v>2126</v>
      </c>
      <c r="E651" s="473" t="s">
        <v>31</v>
      </c>
      <c r="F651" s="484">
        <v>2000000</v>
      </c>
      <c r="G651" s="484">
        <v>0</v>
      </c>
      <c r="H651" s="483">
        <v>0</v>
      </c>
      <c r="I651" s="345" t="str">
        <f t="shared" ref="I651:I714" si="31">TEXT(C651,"0000")</f>
        <v>0409</v>
      </c>
      <c r="J651" s="346" t="str">
        <f t="shared" ref="J651:J714" si="32">TEXT(D651,"0000000000")</f>
        <v>9810021450</v>
      </c>
    </row>
    <row r="652" spans="1:10" hidden="1">
      <c r="A652" s="346" t="str">
        <f t="shared" si="30"/>
        <v>61905010410120190243</v>
      </c>
      <c r="B652" s="476">
        <v>619</v>
      </c>
      <c r="C652" s="475">
        <v>501</v>
      </c>
      <c r="D652" s="474" t="s">
        <v>2127</v>
      </c>
      <c r="E652" s="473" t="s">
        <v>773</v>
      </c>
      <c r="F652" s="484">
        <v>1599147.24</v>
      </c>
      <c r="G652" s="484">
        <v>0</v>
      </c>
      <c r="H652" s="483">
        <v>0</v>
      </c>
      <c r="I652" s="345" t="str">
        <f t="shared" si="31"/>
        <v>0501</v>
      </c>
      <c r="J652" s="346" t="str">
        <f t="shared" si="32"/>
        <v>0410120190</v>
      </c>
    </row>
    <row r="653" spans="1:10" hidden="1">
      <c r="A653" s="346" t="str">
        <f t="shared" si="30"/>
        <v>61905010410120190244</v>
      </c>
      <c r="B653" s="476">
        <v>619</v>
      </c>
      <c r="C653" s="475">
        <v>501</v>
      </c>
      <c r="D653" s="474" t="s">
        <v>2127</v>
      </c>
      <c r="E653" s="473" t="s">
        <v>31</v>
      </c>
      <c r="F653" s="484">
        <v>1959156.04</v>
      </c>
      <c r="G653" s="484">
        <v>0</v>
      </c>
      <c r="H653" s="483">
        <v>0</v>
      </c>
      <c r="I653" s="345" t="str">
        <f t="shared" si="31"/>
        <v>0501</v>
      </c>
      <c r="J653" s="346" t="str">
        <f t="shared" si="32"/>
        <v>0410120190</v>
      </c>
    </row>
    <row r="654" spans="1:10" hidden="1">
      <c r="A654" s="346" t="str">
        <f t="shared" si="30"/>
        <v>61905018220020200244</v>
      </c>
      <c r="B654" s="476">
        <v>619</v>
      </c>
      <c r="C654" s="475">
        <v>501</v>
      </c>
      <c r="D654" s="474" t="s">
        <v>2149</v>
      </c>
      <c r="E654" s="473" t="s">
        <v>31</v>
      </c>
      <c r="F654" s="484">
        <v>10998640</v>
      </c>
      <c r="G654" s="484">
        <v>0</v>
      </c>
      <c r="H654" s="483">
        <v>0</v>
      </c>
      <c r="I654" s="345" t="str">
        <f t="shared" si="31"/>
        <v>0501</v>
      </c>
      <c r="J654" s="346" t="str">
        <f t="shared" si="32"/>
        <v>8220020200</v>
      </c>
    </row>
    <row r="655" spans="1:10" hidden="1">
      <c r="A655" s="346" t="str">
        <f t="shared" si="30"/>
        <v>61905018220076900244</v>
      </c>
      <c r="B655" s="476">
        <v>619</v>
      </c>
      <c r="C655" s="475">
        <v>501</v>
      </c>
      <c r="D655" s="474" t="s">
        <v>2150</v>
      </c>
      <c r="E655" s="473" t="s">
        <v>31</v>
      </c>
      <c r="F655" s="484">
        <v>10226340</v>
      </c>
      <c r="G655" s="484">
        <v>0</v>
      </c>
      <c r="H655" s="483">
        <v>0</v>
      </c>
      <c r="I655" s="345" t="str">
        <f t="shared" si="31"/>
        <v>0501</v>
      </c>
      <c r="J655" s="346" t="str">
        <f t="shared" si="32"/>
        <v>8220076900</v>
      </c>
    </row>
    <row r="656" spans="1:10" hidden="1">
      <c r="A656" s="346" t="str">
        <f t="shared" si="30"/>
        <v>61905030430420300244</v>
      </c>
      <c r="B656" s="476">
        <v>619</v>
      </c>
      <c r="C656" s="475">
        <v>503</v>
      </c>
      <c r="D656" s="474" t="s">
        <v>2030</v>
      </c>
      <c r="E656" s="473" t="s">
        <v>31</v>
      </c>
      <c r="F656" s="484">
        <v>20209760.5</v>
      </c>
      <c r="G656" s="484">
        <v>0</v>
      </c>
      <c r="H656" s="483">
        <v>0</v>
      </c>
      <c r="I656" s="345" t="str">
        <f t="shared" si="31"/>
        <v>0503</v>
      </c>
      <c r="J656" s="346" t="str">
        <f t="shared" si="32"/>
        <v>0430420300</v>
      </c>
    </row>
    <row r="657" spans="1:10" hidden="1">
      <c r="A657" s="346" t="str">
        <f t="shared" si="30"/>
        <v>61905030430421070244</v>
      </c>
      <c r="B657" s="476">
        <v>619</v>
      </c>
      <c r="C657" s="475">
        <v>503</v>
      </c>
      <c r="D657" s="474" t="s">
        <v>2128</v>
      </c>
      <c r="E657" s="473" t="s">
        <v>31</v>
      </c>
      <c r="F657" s="484">
        <v>1170000</v>
      </c>
      <c r="G657" s="484">
        <v>0</v>
      </c>
      <c r="H657" s="483">
        <v>0</v>
      </c>
      <c r="I657" s="345" t="str">
        <f t="shared" si="31"/>
        <v>0503</v>
      </c>
      <c r="J657" s="346" t="str">
        <f t="shared" si="32"/>
        <v>0430421070</v>
      </c>
    </row>
    <row r="658" spans="1:10" hidden="1">
      <c r="A658" s="346" t="str">
        <f t="shared" si="30"/>
        <v>619050304304G6420244</v>
      </c>
      <c r="B658" s="476">
        <v>619</v>
      </c>
      <c r="C658" s="475">
        <v>503</v>
      </c>
      <c r="D658" s="474" t="s">
        <v>1231</v>
      </c>
      <c r="E658" s="473" t="s">
        <v>31</v>
      </c>
      <c r="F658" s="484">
        <v>1505500</v>
      </c>
      <c r="G658" s="484">
        <v>0</v>
      </c>
      <c r="H658" s="483">
        <v>0</v>
      </c>
      <c r="I658" s="345" t="str">
        <f t="shared" si="31"/>
        <v>0503</v>
      </c>
      <c r="J658" s="346" t="str">
        <f t="shared" si="32"/>
        <v>04304G6420</v>
      </c>
    </row>
    <row r="659" spans="1:10" hidden="1">
      <c r="A659" s="346" t="str">
        <f t="shared" si="30"/>
        <v>619050304304S6420244</v>
      </c>
      <c r="B659" s="476">
        <v>619</v>
      </c>
      <c r="C659" s="475">
        <v>503</v>
      </c>
      <c r="D659" s="474" t="s">
        <v>1232</v>
      </c>
      <c r="E659" s="473" t="s">
        <v>31</v>
      </c>
      <c r="F659" s="484">
        <v>8594500</v>
      </c>
      <c r="G659" s="484">
        <v>0</v>
      </c>
      <c r="H659" s="483">
        <v>0</v>
      </c>
      <c r="I659" s="345" t="str">
        <f t="shared" si="31"/>
        <v>0503</v>
      </c>
      <c r="J659" s="346" t="str">
        <f t="shared" si="32"/>
        <v>04304S6420</v>
      </c>
    </row>
    <row r="660" spans="1:10" hidden="1">
      <c r="A660" s="346" t="str">
        <f t="shared" si="30"/>
        <v>61905039810021450244</v>
      </c>
      <c r="B660" s="476">
        <v>619</v>
      </c>
      <c r="C660" s="475">
        <v>503</v>
      </c>
      <c r="D660" s="474" t="s">
        <v>2126</v>
      </c>
      <c r="E660" s="473" t="s">
        <v>31</v>
      </c>
      <c r="F660" s="484">
        <v>3420896.2</v>
      </c>
      <c r="G660" s="484">
        <v>0</v>
      </c>
      <c r="H660" s="483">
        <v>0</v>
      </c>
      <c r="I660" s="345" t="str">
        <f t="shared" si="31"/>
        <v>0503</v>
      </c>
      <c r="J660" s="346" t="str">
        <f t="shared" si="32"/>
        <v>9810021450</v>
      </c>
    </row>
    <row r="661" spans="1:10" hidden="1">
      <c r="A661" s="346" t="str">
        <f t="shared" si="30"/>
        <v>61908010710120060244</v>
      </c>
      <c r="B661" s="476">
        <v>619</v>
      </c>
      <c r="C661" s="475">
        <v>801</v>
      </c>
      <c r="D661" s="474" t="s">
        <v>1946</v>
      </c>
      <c r="E661" s="473" t="s">
        <v>31</v>
      </c>
      <c r="F661" s="484">
        <v>911500</v>
      </c>
      <c r="G661" s="484">
        <v>0</v>
      </c>
      <c r="H661" s="483">
        <v>0</v>
      </c>
      <c r="I661" s="345" t="str">
        <f t="shared" si="31"/>
        <v>0801</v>
      </c>
      <c r="J661" s="346" t="str">
        <f t="shared" si="32"/>
        <v>0710120060</v>
      </c>
    </row>
    <row r="662" spans="1:10" hidden="1">
      <c r="A662" s="346" t="str">
        <f t="shared" si="30"/>
        <v>61908010710121130244</v>
      </c>
      <c r="B662" s="476">
        <v>619</v>
      </c>
      <c r="C662" s="475">
        <v>801</v>
      </c>
      <c r="D662" s="474" t="s">
        <v>2130</v>
      </c>
      <c r="E662" s="473" t="s">
        <v>31</v>
      </c>
      <c r="F662" s="484">
        <v>987800</v>
      </c>
      <c r="G662" s="484">
        <v>0</v>
      </c>
      <c r="H662" s="483">
        <v>0</v>
      </c>
      <c r="I662" s="345" t="str">
        <f t="shared" si="31"/>
        <v>0801</v>
      </c>
      <c r="J662" s="346" t="str">
        <f t="shared" si="32"/>
        <v>0710121130</v>
      </c>
    </row>
    <row r="663" spans="1:10" hidden="1">
      <c r="A663" s="346" t="str">
        <f t="shared" si="30"/>
        <v>61910030320180270323</v>
      </c>
      <c r="B663" s="476">
        <v>619</v>
      </c>
      <c r="C663" s="475">
        <v>1003</v>
      </c>
      <c r="D663" s="474" t="s">
        <v>2151</v>
      </c>
      <c r="E663" s="473" t="s">
        <v>502</v>
      </c>
      <c r="F663" s="484">
        <v>36192860</v>
      </c>
      <c r="G663" s="484">
        <v>0</v>
      </c>
      <c r="H663" s="483">
        <v>0</v>
      </c>
      <c r="I663" s="345" t="str">
        <f t="shared" si="31"/>
        <v>1003</v>
      </c>
      <c r="J663" s="346" t="str">
        <f t="shared" si="32"/>
        <v>0320180270</v>
      </c>
    </row>
    <row r="664" spans="1:10" hidden="1">
      <c r="A664" s="346" t="str">
        <f t="shared" si="30"/>
        <v>61910039810021610811</v>
      </c>
      <c r="B664" s="476">
        <v>619</v>
      </c>
      <c r="C664" s="475">
        <v>1003</v>
      </c>
      <c r="D664" s="474" t="s">
        <v>2152</v>
      </c>
      <c r="E664" s="473" t="s">
        <v>206</v>
      </c>
      <c r="F664" s="484">
        <v>19494</v>
      </c>
      <c r="G664" s="484">
        <v>0</v>
      </c>
      <c r="H664" s="483">
        <v>0</v>
      </c>
      <c r="I664" s="345" t="str">
        <f t="shared" si="31"/>
        <v>1003</v>
      </c>
      <c r="J664" s="346" t="str">
        <f t="shared" si="32"/>
        <v>9810021610</v>
      </c>
    </row>
    <row r="665" spans="1:10" hidden="1">
      <c r="A665" s="346" t="str">
        <f t="shared" si="30"/>
        <v>620011311Б0121120244</v>
      </c>
      <c r="B665" s="476">
        <v>620</v>
      </c>
      <c r="C665" s="475">
        <v>113</v>
      </c>
      <c r="D665" s="474" t="s">
        <v>1175</v>
      </c>
      <c r="E665" s="473" t="s">
        <v>31</v>
      </c>
      <c r="F665" s="484">
        <v>71660</v>
      </c>
      <c r="G665" s="484">
        <v>0</v>
      </c>
      <c r="H665" s="483">
        <v>0</v>
      </c>
      <c r="I665" s="345" t="str">
        <f t="shared" si="31"/>
        <v>0113</v>
      </c>
      <c r="J665" s="346" t="str">
        <f t="shared" si="32"/>
        <v>11Б0121120</v>
      </c>
    </row>
    <row r="666" spans="1:10" hidden="1">
      <c r="A666" s="346" t="str">
        <f t="shared" si="30"/>
        <v>62001138310010050121</v>
      </c>
      <c r="B666" s="476">
        <v>620</v>
      </c>
      <c r="C666" s="475">
        <v>113</v>
      </c>
      <c r="D666" s="474" t="s">
        <v>2153</v>
      </c>
      <c r="E666" s="473" t="s">
        <v>41</v>
      </c>
      <c r="F666" s="484">
        <v>70320</v>
      </c>
      <c r="G666" s="484">
        <v>0</v>
      </c>
      <c r="H666" s="483">
        <v>0</v>
      </c>
      <c r="I666" s="345" t="str">
        <f t="shared" si="31"/>
        <v>0113</v>
      </c>
      <c r="J666" s="346" t="str">
        <f t="shared" si="32"/>
        <v>8310010050</v>
      </c>
    </row>
    <row r="667" spans="1:10" hidden="1">
      <c r="A667" s="346" t="str">
        <f t="shared" si="30"/>
        <v>62001138310010050122</v>
      </c>
      <c r="B667" s="476">
        <v>620</v>
      </c>
      <c r="C667" s="475">
        <v>113</v>
      </c>
      <c r="D667" s="474" t="s">
        <v>2153</v>
      </c>
      <c r="E667" s="473" t="s">
        <v>23</v>
      </c>
      <c r="F667" s="484">
        <v>0</v>
      </c>
      <c r="G667" s="484">
        <v>0</v>
      </c>
      <c r="H667" s="483">
        <v>0</v>
      </c>
      <c r="I667" s="345" t="str">
        <f t="shared" si="31"/>
        <v>0113</v>
      </c>
      <c r="J667" s="346" t="str">
        <f t="shared" si="32"/>
        <v>8310010050</v>
      </c>
    </row>
    <row r="668" spans="1:10" hidden="1">
      <c r="A668" s="346" t="str">
        <f t="shared" si="30"/>
        <v>62001138310010050129</v>
      </c>
      <c r="B668" s="476">
        <v>620</v>
      </c>
      <c r="C668" s="475">
        <v>113</v>
      </c>
      <c r="D668" s="474" t="s">
        <v>2153</v>
      </c>
      <c r="E668" s="473" t="s">
        <v>27</v>
      </c>
      <c r="F668" s="484">
        <v>21236.639999999999</v>
      </c>
      <c r="G668" s="484">
        <v>0</v>
      </c>
      <c r="H668" s="483">
        <v>0</v>
      </c>
      <c r="I668" s="345" t="str">
        <f t="shared" si="31"/>
        <v>0113</v>
      </c>
      <c r="J668" s="346" t="str">
        <f t="shared" si="32"/>
        <v>8310010050</v>
      </c>
    </row>
    <row r="669" spans="1:10" hidden="1">
      <c r="A669" s="346" t="str">
        <f t="shared" si="30"/>
        <v>62001138310020050831</v>
      </c>
      <c r="B669" s="476">
        <v>620</v>
      </c>
      <c r="C669" s="475">
        <v>113</v>
      </c>
      <c r="D669" s="474" t="s">
        <v>2154</v>
      </c>
      <c r="E669" s="473" t="s">
        <v>192</v>
      </c>
      <c r="F669" s="484">
        <v>4079760.42</v>
      </c>
      <c r="G669" s="484">
        <v>0</v>
      </c>
      <c r="H669" s="483">
        <v>0</v>
      </c>
      <c r="I669" s="345" t="str">
        <f t="shared" si="31"/>
        <v>0113</v>
      </c>
      <c r="J669" s="346" t="str">
        <f t="shared" si="32"/>
        <v>8310020050</v>
      </c>
    </row>
    <row r="670" spans="1:10" hidden="1">
      <c r="A670" s="346" t="str">
        <f t="shared" si="30"/>
        <v>62001138310021040831</v>
      </c>
      <c r="B670" s="476">
        <v>620</v>
      </c>
      <c r="C670" s="475">
        <v>113</v>
      </c>
      <c r="D670" s="474" t="s">
        <v>2155</v>
      </c>
      <c r="E670" s="473" t="s">
        <v>192</v>
      </c>
      <c r="F670" s="484">
        <v>100000</v>
      </c>
      <c r="G670" s="484">
        <v>0</v>
      </c>
      <c r="H670" s="483">
        <v>0</v>
      </c>
      <c r="I670" s="345" t="str">
        <f t="shared" si="31"/>
        <v>0113</v>
      </c>
      <c r="J670" s="346" t="str">
        <f t="shared" si="32"/>
        <v>8310021040</v>
      </c>
    </row>
    <row r="671" spans="1:10" hidden="1">
      <c r="A671" s="346" t="str">
        <f t="shared" si="30"/>
        <v>62001138310021040853</v>
      </c>
      <c r="B671" s="476">
        <v>620</v>
      </c>
      <c r="C671" s="475">
        <v>113</v>
      </c>
      <c r="D671" s="474" t="s">
        <v>2155</v>
      </c>
      <c r="E671" s="473" t="s">
        <v>78</v>
      </c>
      <c r="F671" s="484">
        <v>1310500</v>
      </c>
      <c r="G671" s="484">
        <v>0</v>
      </c>
      <c r="H671" s="483">
        <v>0</v>
      </c>
      <c r="I671" s="345" t="str">
        <f t="shared" si="31"/>
        <v>0113</v>
      </c>
      <c r="J671" s="346" t="str">
        <f t="shared" si="32"/>
        <v>8310021040</v>
      </c>
    </row>
    <row r="672" spans="1:10" hidden="1">
      <c r="A672" s="346" t="str">
        <f t="shared" si="30"/>
        <v>62001139810021350244</v>
      </c>
      <c r="B672" s="476">
        <v>620</v>
      </c>
      <c r="C672" s="475">
        <v>113</v>
      </c>
      <c r="D672" s="474" t="s">
        <v>1958</v>
      </c>
      <c r="E672" s="473" t="s">
        <v>31</v>
      </c>
      <c r="F672" s="484">
        <v>296915</v>
      </c>
      <c r="G672" s="484">
        <v>0</v>
      </c>
      <c r="H672" s="483">
        <v>0</v>
      </c>
      <c r="I672" s="345" t="str">
        <f t="shared" si="31"/>
        <v>0113</v>
      </c>
      <c r="J672" s="346" t="str">
        <f t="shared" si="32"/>
        <v>9810021350</v>
      </c>
    </row>
    <row r="673" spans="1:10" hidden="1">
      <c r="A673" s="346" t="str">
        <f t="shared" si="30"/>
        <v>62004070430111010611</v>
      </c>
      <c r="B673" s="476">
        <v>620</v>
      </c>
      <c r="C673" s="475">
        <v>407</v>
      </c>
      <c r="D673" s="474" t="s">
        <v>2156</v>
      </c>
      <c r="E673" s="473" t="s">
        <v>406</v>
      </c>
      <c r="F673" s="484">
        <v>14492681.039999999</v>
      </c>
      <c r="G673" s="484">
        <v>0</v>
      </c>
      <c r="H673" s="483">
        <v>0</v>
      </c>
      <c r="I673" s="345" t="str">
        <f t="shared" si="31"/>
        <v>0407</v>
      </c>
      <c r="J673" s="346" t="str">
        <f t="shared" si="32"/>
        <v>0430111010</v>
      </c>
    </row>
    <row r="674" spans="1:10" hidden="1">
      <c r="A674" s="346" t="str">
        <f t="shared" si="30"/>
        <v>62004070430111010612</v>
      </c>
      <c r="B674" s="476">
        <v>620</v>
      </c>
      <c r="C674" s="475">
        <v>407</v>
      </c>
      <c r="D674" s="474" t="s">
        <v>2156</v>
      </c>
      <c r="E674" s="473" t="s">
        <v>408</v>
      </c>
      <c r="F674" s="484">
        <v>550000</v>
      </c>
      <c r="G674" s="484">
        <v>0</v>
      </c>
      <c r="H674" s="483">
        <v>0</v>
      </c>
      <c r="I674" s="345" t="str">
        <f t="shared" si="31"/>
        <v>0407</v>
      </c>
      <c r="J674" s="346" t="str">
        <f t="shared" si="32"/>
        <v>0430111010</v>
      </c>
    </row>
    <row r="675" spans="1:10" hidden="1">
      <c r="A675" s="346" t="str">
        <f t="shared" si="30"/>
        <v>62004070430177460611</v>
      </c>
      <c r="B675" s="476">
        <v>620</v>
      </c>
      <c r="C675" s="475">
        <v>407</v>
      </c>
      <c r="D675" s="474" t="s">
        <v>2157</v>
      </c>
      <c r="E675" s="473" t="s">
        <v>406</v>
      </c>
      <c r="F675" s="484">
        <v>451919.06</v>
      </c>
      <c r="G675" s="484">
        <v>0</v>
      </c>
      <c r="H675" s="483">
        <v>0</v>
      </c>
      <c r="I675" s="345" t="str">
        <f t="shared" si="31"/>
        <v>0407</v>
      </c>
      <c r="J675" s="346" t="str">
        <f t="shared" si="32"/>
        <v>0430177460</v>
      </c>
    </row>
    <row r="676" spans="1:10" hidden="1">
      <c r="A676" s="346" t="str">
        <f t="shared" si="30"/>
        <v>62004070430177580611</v>
      </c>
      <c r="B676" s="476">
        <v>620</v>
      </c>
      <c r="C676" s="475">
        <v>407</v>
      </c>
      <c r="D676" s="474" t="s">
        <v>2158</v>
      </c>
      <c r="E676" s="473" t="s">
        <v>406</v>
      </c>
      <c r="F676" s="484">
        <v>69745.53</v>
      </c>
      <c r="G676" s="484">
        <v>0</v>
      </c>
      <c r="H676" s="483">
        <v>0</v>
      </c>
      <c r="I676" s="345" t="str">
        <f t="shared" si="31"/>
        <v>0407</v>
      </c>
      <c r="J676" s="346" t="str">
        <f t="shared" si="32"/>
        <v>0430177580</v>
      </c>
    </row>
    <row r="677" spans="1:10" hidden="1">
      <c r="A677" s="346" t="str">
        <f t="shared" si="30"/>
        <v>62004080420111010611</v>
      </c>
      <c r="B677" s="476">
        <v>620</v>
      </c>
      <c r="C677" s="475">
        <v>408</v>
      </c>
      <c r="D677" s="474" t="s">
        <v>2159</v>
      </c>
      <c r="E677" s="473" t="s">
        <v>406</v>
      </c>
      <c r="F677" s="484">
        <v>4025935.92</v>
      </c>
      <c r="G677" s="484">
        <v>0</v>
      </c>
      <c r="H677" s="483">
        <v>0</v>
      </c>
      <c r="I677" s="345" t="str">
        <f t="shared" si="31"/>
        <v>0408</v>
      </c>
      <c r="J677" s="346" t="str">
        <f t="shared" si="32"/>
        <v>0420111010</v>
      </c>
    </row>
    <row r="678" spans="1:10" hidden="1">
      <c r="A678" s="346" t="str">
        <f t="shared" si="30"/>
        <v>62004080420160020812</v>
      </c>
      <c r="B678" s="476">
        <v>620</v>
      </c>
      <c r="C678" s="475">
        <v>408</v>
      </c>
      <c r="D678" s="474" t="s">
        <v>2160</v>
      </c>
      <c r="E678" s="473" t="s">
        <v>208</v>
      </c>
      <c r="F678" s="484">
        <v>18056861.98</v>
      </c>
      <c r="G678" s="484">
        <v>0</v>
      </c>
      <c r="H678" s="483">
        <v>0</v>
      </c>
      <c r="I678" s="345" t="str">
        <f t="shared" si="31"/>
        <v>0408</v>
      </c>
      <c r="J678" s="346" t="str">
        <f t="shared" si="32"/>
        <v>0420160020</v>
      </c>
    </row>
    <row r="679" spans="1:10" hidden="1">
      <c r="A679" s="346" t="str">
        <f t="shared" si="30"/>
        <v>62004080420160070812</v>
      </c>
      <c r="B679" s="476">
        <v>620</v>
      </c>
      <c r="C679" s="475">
        <v>408</v>
      </c>
      <c r="D679" s="474" t="s">
        <v>2161</v>
      </c>
      <c r="E679" s="473" t="s">
        <v>208</v>
      </c>
      <c r="F679" s="484">
        <v>161070923.05000001</v>
      </c>
      <c r="G679" s="484">
        <v>0</v>
      </c>
      <c r="H679" s="483">
        <v>0</v>
      </c>
      <c r="I679" s="345" t="str">
        <f t="shared" si="31"/>
        <v>0408</v>
      </c>
      <c r="J679" s="346" t="str">
        <f t="shared" si="32"/>
        <v>0420160070</v>
      </c>
    </row>
    <row r="680" spans="1:10" hidden="1">
      <c r="A680" s="346" t="str">
        <f t="shared" si="30"/>
        <v>62004080420177460611</v>
      </c>
      <c r="B680" s="476">
        <v>620</v>
      </c>
      <c r="C680" s="475">
        <v>408</v>
      </c>
      <c r="D680" s="474" t="s">
        <v>2162</v>
      </c>
      <c r="E680" s="473" t="s">
        <v>406</v>
      </c>
      <c r="F680" s="484">
        <v>133921.63</v>
      </c>
      <c r="G680" s="484">
        <v>0</v>
      </c>
      <c r="H680" s="483">
        <v>0</v>
      </c>
      <c r="I680" s="345" t="str">
        <f t="shared" si="31"/>
        <v>0408</v>
      </c>
      <c r="J680" s="346" t="str">
        <f t="shared" si="32"/>
        <v>0420177460</v>
      </c>
    </row>
    <row r="681" spans="1:10" hidden="1">
      <c r="A681" s="346" t="str">
        <f t="shared" si="30"/>
        <v>62004089810021170244</v>
      </c>
      <c r="B681" s="476">
        <v>620</v>
      </c>
      <c r="C681" s="475">
        <v>408</v>
      </c>
      <c r="D681" s="474" t="s">
        <v>2163</v>
      </c>
      <c r="E681" s="473" t="s">
        <v>31</v>
      </c>
      <c r="F681" s="484">
        <v>22.01</v>
      </c>
      <c r="G681" s="484">
        <v>0</v>
      </c>
      <c r="H681" s="483">
        <v>0</v>
      </c>
      <c r="I681" s="345" t="str">
        <f t="shared" si="31"/>
        <v>0408</v>
      </c>
      <c r="J681" s="346" t="str">
        <f t="shared" si="32"/>
        <v>9810021170</v>
      </c>
    </row>
    <row r="682" spans="1:10" hidden="1">
      <c r="A682" s="346" t="str">
        <f t="shared" si="30"/>
        <v>620040902Б0220560244</v>
      </c>
      <c r="B682" s="476">
        <v>620</v>
      </c>
      <c r="C682" s="475">
        <v>409</v>
      </c>
      <c r="D682" s="474" t="s">
        <v>1237</v>
      </c>
      <c r="E682" s="473" t="s">
        <v>31</v>
      </c>
      <c r="F682" s="484">
        <v>5251078.6100000003</v>
      </c>
      <c r="G682" s="484">
        <v>0</v>
      </c>
      <c r="H682" s="483">
        <v>0</v>
      </c>
      <c r="I682" s="345" t="str">
        <f t="shared" si="31"/>
        <v>0409</v>
      </c>
      <c r="J682" s="346" t="str">
        <f t="shared" si="32"/>
        <v>02Б0220560</v>
      </c>
    </row>
    <row r="683" spans="1:10" hidden="1">
      <c r="A683" s="346" t="str">
        <f t="shared" si="30"/>
        <v>62004090420220130244</v>
      </c>
      <c r="B683" s="476">
        <v>620</v>
      </c>
      <c r="C683" s="475">
        <v>409</v>
      </c>
      <c r="D683" s="474" t="s">
        <v>2164</v>
      </c>
      <c r="E683" s="473" t="s">
        <v>31</v>
      </c>
      <c r="F683" s="484">
        <v>90278969.349999994</v>
      </c>
      <c r="G683" s="484">
        <v>0</v>
      </c>
      <c r="H683" s="483">
        <v>0</v>
      </c>
      <c r="I683" s="345" t="str">
        <f t="shared" si="31"/>
        <v>0409</v>
      </c>
      <c r="J683" s="346" t="str">
        <f t="shared" si="32"/>
        <v>0420220130</v>
      </c>
    </row>
    <row r="684" spans="1:10" hidden="1">
      <c r="A684" s="346" t="str">
        <f t="shared" si="30"/>
        <v>62004090420220130414</v>
      </c>
      <c r="B684" s="476">
        <v>620</v>
      </c>
      <c r="C684" s="475">
        <v>409</v>
      </c>
      <c r="D684" s="474" t="s">
        <v>2164</v>
      </c>
      <c r="E684" s="473" t="s">
        <v>840</v>
      </c>
      <c r="F684" s="484">
        <v>0</v>
      </c>
      <c r="G684" s="484">
        <v>0</v>
      </c>
      <c r="H684" s="483">
        <v>0</v>
      </c>
      <c r="I684" s="345" t="str">
        <f t="shared" si="31"/>
        <v>0409</v>
      </c>
      <c r="J684" s="346" t="str">
        <f t="shared" si="32"/>
        <v>0420220130</v>
      </c>
    </row>
    <row r="685" spans="1:10" hidden="1">
      <c r="A685" s="346" t="str">
        <f t="shared" si="30"/>
        <v>62004090420220810244</v>
      </c>
      <c r="B685" s="476">
        <v>620</v>
      </c>
      <c r="C685" s="475">
        <v>409</v>
      </c>
      <c r="D685" s="474" t="s">
        <v>2349</v>
      </c>
      <c r="E685" s="473" t="s">
        <v>31</v>
      </c>
      <c r="F685" s="484">
        <v>0</v>
      </c>
      <c r="G685" s="484">
        <v>0</v>
      </c>
      <c r="H685" s="483">
        <v>0</v>
      </c>
      <c r="I685" s="345" t="str">
        <f t="shared" si="31"/>
        <v>0409</v>
      </c>
      <c r="J685" s="346" t="str">
        <f t="shared" si="32"/>
        <v>0420220810</v>
      </c>
    </row>
    <row r="686" spans="1:10" hidden="1">
      <c r="A686" s="346" t="str">
        <f t="shared" si="30"/>
        <v>62004090420220830244</v>
      </c>
      <c r="B686" s="476">
        <v>620</v>
      </c>
      <c r="C686" s="475">
        <v>409</v>
      </c>
      <c r="D686" s="474" t="s">
        <v>2165</v>
      </c>
      <c r="E686" s="473" t="s">
        <v>31</v>
      </c>
      <c r="F686" s="484">
        <v>2311630</v>
      </c>
      <c r="G686" s="484">
        <v>0</v>
      </c>
      <c r="H686" s="483">
        <v>0</v>
      </c>
      <c r="I686" s="345" t="str">
        <f t="shared" si="31"/>
        <v>0409</v>
      </c>
      <c r="J686" s="346" t="str">
        <f t="shared" si="32"/>
        <v>0420220830</v>
      </c>
    </row>
    <row r="687" spans="1:10" hidden="1">
      <c r="A687" s="346" t="str">
        <f t="shared" si="30"/>
        <v>62004090420221180414</v>
      </c>
      <c r="B687" s="476">
        <v>620</v>
      </c>
      <c r="C687" s="475">
        <v>409</v>
      </c>
      <c r="D687" s="474" t="s">
        <v>2166</v>
      </c>
      <c r="E687" s="473" t="s">
        <v>840</v>
      </c>
      <c r="F687" s="484">
        <v>10027949.859999999</v>
      </c>
      <c r="G687" s="484">
        <v>0</v>
      </c>
      <c r="H687" s="483">
        <v>0</v>
      </c>
      <c r="I687" s="345" t="str">
        <f t="shared" si="31"/>
        <v>0409</v>
      </c>
      <c r="J687" s="346" t="str">
        <f t="shared" si="32"/>
        <v>0420221180</v>
      </c>
    </row>
    <row r="688" spans="1:10" hidden="1">
      <c r="A688" s="346" t="str">
        <f t="shared" si="30"/>
        <v>62004090420221410244</v>
      </c>
      <c r="B688" s="476">
        <v>620</v>
      </c>
      <c r="C688" s="475">
        <v>409</v>
      </c>
      <c r="D688" s="474" t="s">
        <v>2125</v>
      </c>
      <c r="E688" s="473" t="s">
        <v>31</v>
      </c>
      <c r="F688" s="484">
        <v>3925.93</v>
      </c>
      <c r="G688" s="484">
        <v>0</v>
      </c>
      <c r="H688" s="483">
        <v>0</v>
      </c>
      <c r="I688" s="345" t="str">
        <f t="shared" si="31"/>
        <v>0409</v>
      </c>
      <c r="J688" s="346" t="str">
        <f t="shared" si="32"/>
        <v>0420221410</v>
      </c>
    </row>
    <row r="689" spans="1:10" hidden="1">
      <c r="A689" s="346" t="str">
        <f t="shared" si="30"/>
        <v>62004090420221460244</v>
      </c>
      <c r="B689" s="476">
        <v>620</v>
      </c>
      <c r="C689" s="475">
        <v>409</v>
      </c>
      <c r="D689" s="474" t="s">
        <v>2350</v>
      </c>
      <c r="E689" s="473" t="s">
        <v>31</v>
      </c>
      <c r="F689" s="484">
        <v>0</v>
      </c>
      <c r="G689" s="484">
        <v>0</v>
      </c>
      <c r="H689" s="483">
        <v>0</v>
      </c>
      <c r="I689" s="345" t="str">
        <f t="shared" si="31"/>
        <v>0409</v>
      </c>
      <c r="J689" s="346" t="str">
        <f t="shared" si="32"/>
        <v>0420221460</v>
      </c>
    </row>
    <row r="690" spans="1:10" hidden="1">
      <c r="A690" s="346" t="str">
        <f t="shared" si="30"/>
        <v>62004090420221490244</v>
      </c>
      <c r="B690" s="476">
        <v>620</v>
      </c>
      <c r="C690" s="475">
        <v>409</v>
      </c>
      <c r="D690" s="474" t="s">
        <v>2351</v>
      </c>
      <c r="E690" s="473" t="s">
        <v>31</v>
      </c>
      <c r="F690" s="484">
        <v>0</v>
      </c>
      <c r="G690" s="484">
        <v>0</v>
      </c>
      <c r="H690" s="483">
        <v>0</v>
      </c>
      <c r="I690" s="345" t="str">
        <f t="shared" si="31"/>
        <v>0409</v>
      </c>
      <c r="J690" s="346" t="str">
        <f t="shared" si="32"/>
        <v>0420221490</v>
      </c>
    </row>
    <row r="691" spans="1:10" hidden="1">
      <c r="A691" s="346" t="str">
        <f t="shared" si="30"/>
        <v>62004090420260090811</v>
      </c>
      <c r="B691" s="476">
        <v>620</v>
      </c>
      <c r="C691" s="475">
        <v>409</v>
      </c>
      <c r="D691" s="474" t="s">
        <v>2167</v>
      </c>
      <c r="E691" s="473" t="s">
        <v>206</v>
      </c>
      <c r="F691" s="484">
        <v>17461526.109999999</v>
      </c>
      <c r="G691" s="484">
        <v>0</v>
      </c>
      <c r="H691" s="483">
        <v>0</v>
      </c>
      <c r="I691" s="345" t="str">
        <f t="shared" si="31"/>
        <v>0409</v>
      </c>
      <c r="J691" s="346" t="str">
        <f t="shared" si="32"/>
        <v>0420260090</v>
      </c>
    </row>
    <row r="692" spans="1:10" hidden="1">
      <c r="A692" s="346" t="str">
        <f t="shared" si="30"/>
        <v>62004090420276411244</v>
      </c>
      <c r="B692" s="476">
        <v>620</v>
      </c>
      <c r="C692" s="475">
        <v>409</v>
      </c>
      <c r="D692" s="474" t="s">
        <v>2168</v>
      </c>
      <c r="E692" s="473" t="s">
        <v>31</v>
      </c>
      <c r="F692" s="484">
        <v>0</v>
      </c>
      <c r="G692" s="484">
        <v>0</v>
      </c>
      <c r="H692" s="483">
        <v>0</v>
      </c>
      <c r="I692" s="345" t="str">
        <f t="shared" si="31"/>
        <v>0409</v>
      </c>
      <c r="J692" s="346" t="str">
        <f t="shared" si="32"/>
        <v>0420276411</v>
      </c>
    </row>
    <row r="693" spans="1:10" hidden="1">
      <c r="A693" s="346" t="str">
        <f t="shared" si="30"/>
        <v>62004090420276412244</v>
      </c>
      <c r="B693" s="476">
        <v>620</v>
      </c>
      <c r="C693" s="475">
        <v>409</v>
      </c>
      <c r="D693" s="474" t="s">
        <v>2169</v>
      </c>
      <c r="E693" s="473" t="s">
        <v>31</v>
      </c>
      <c r="F693" s="484">
        <v>6350000</v>
      </c>
      <c r="G693" s="484">
        <v>0</v>
      </c>
      <c r="H693" s="483">
        <v>0</v>
      </c>
      <c r="I693" s="345" t="str">
        <f t="shared" si="31"/>
        <v>0409</v>
      </c>
      <c r="J693" s="346" t="str">
        <f t="shared" si="32"/>
        <v>0420276412</v>
      </c>
    </row>
    <row r="694" spans="1:10" hidden="1">
      <c r="A694" s="346" t="str">
        <f t="shared" si="30"/>
        <v>62004090420276414244</v>
      </c>
      <c r="B694" s="476">
        <v>620</v>
      </c>
      <c r="C694" s="475">
        <v>409</v>
      </c>
      <c r="D694" s="474" t="s">
        <v>2170</v>
      </c>
      <c r="E694" s="473" t="s">
        <v>31</v>
      </c>
      <c r="F694" s="484">
        <v>16991149.550000001</v>
      </c>
      <c r="G694" s="484">
        <v>0</v>
      </c>
      <c r="H694" s="483">
        <v>0</v>
      </c>
      <c r="I694" s="345" t="str">
        <f t="shared" si="31"/>
        <v>0409</v>
      </c>
      <c r="J694" s="346" t="str">
        <f t="shared" si="32"/>
        <v>0420276414</v>
      </c>
    </row>
    <row r="695" spans="1:10" hidden="1">
      <c r="A695" s="346" t="str">
        <f t="shared" si="30"/>
        <v>62004090420276422244</v>
      </c>
      <c r="B695" s="476">
        <v>620</v>
      </c>
      <c r="C695" s="475">
        <v>409</v>
      </c>
      <c r="D695" s="474" t="s">
        <v>2352</v>
      </c>
      <c r="E695" s="473" t="s">
        <v>31</v>
      </c>
      <c r="F695" s="484">
        <v>1662500</v>
      </c>
      <c r="G695" s="484">
        <v>0</v>
      </c>
      <c r="H695" s="483">
        <v>0</v>
      </c>
      <c r="I695" s="345" t="str">
        <f t="shared" si="31"/>
        <v>0409</v>
      </c>
      <c r="J695" s="346" t="str">
        <f t="shared" si="32"/>
        <v>0420276422</v>
      </c>
    </row>
    <row r="696" spans="1:10" hidden="1">
      <c r="A696" s="346" t="str">
        <f t="shared" si="30"/>
        <v>62004090420276460244</v>
      </c>
      <c r="B696" s="476">
        <v>620</v>
      </c>
      <c r="C696" s="475">
        <v>409</v>
      </c>
      <c r="D696" s="474" t="s">
        <v>2171</v>
      </c>
      <c r="E696" s="473" t="s">
        <v>31</v>
      </c>
      <c r="F696" s="484">
        <v>307978159.45999998</v>
      </c>
      <c r="G696" s="484">
        <v>0</v>
      </c>
      <c r="H696" s="483">
        <v>0</v>
      </c>
      <c r="I696" s="345" t="str">
        <f t="shared" si="31"/>
        <v>0409</v>
      </c>
      <c r="J696" s="346" t="str">
        <f t="shared" si="32"/>
        <v>0420276460</v>
      </c>
    </row>
    <row r="697" spans="1:10" hidden="1">
      <c r="A697" s="346" t="str">
        <f t="shared" si="30"/>
        <v>62004090420276490414</v>
      </c>
      <c r="B697" s="476">
        <v>620</v>
      </c>
      <c r="C697" s="475">
        <v>409</v>
      </c>
      <c r="D697" s="474" t="s">
        <v>2353</v>
      </c>
      <c r="E697" s="473" t="s">
        <v>840</v>
      </c>
      <c r="F697" s="484">
        <v>0</v>
      </c>
      <c r="G697" s="484">
        <v>0</v>
      </c>
      <c r="H697" s="483">
        <v>0</v>
      </c>
      <c r="I697" s="345" t="str">
        <f t="shared" si="31"/>
        <v>0409</v>
      </c>
      <c r="J697" s="346" t="str">
        <f t="shared" si="32"/>
        <v>0420276490</v>
      </c>
    </row>
    <row r="698" spans="1:10" hidden="1">
      <c r="A698" s="346" t="str">
        <f t="shared" si="30"/>
        <v>62004090420276494414</v>
      </c>
      <c r="B698" s="476">
        <v>620</v>
      </c>
      <c r="C698" s="475">
        <v>409</v>
      </c>
      <c r="D698" s="474" t="s">
        <v>2172</v>
      </c>
      <c r="E698" s="473" t="s">
        <v>840</v>
      </c>
      <c r="F698" s="484">
        <v>191855264.25</v>
      </c>
      <c r="G698" s="484">
        <v>0</v>
      </c>
      <c r="H698" s="483">
        <v>0</v>
      </c>
      <c r="I698" s="345" t="str">
        <f t="shared" si="31"/>
        <v>0409</v>
      </c>
      <c r="J698" s="346" t="str">
        <f t="shared" si="32"/>
        <v>0420276494</v>
      </c>
    </row>
    <row r="699" spans="1:10" hidden="1">
      <c r="A699" s="346" t="str">
        <f t="shared" si="30"/>
        <v>620040904202S6411244</v>
      </c>
      <c r="B699" s="476">
        <v>620</v>
      </c>
      <c r="C699" s="475">
        <v>409</v>
      </c>
      <c r="D699" s="474" t="s">
        <v>2173</v>
      </c>
      <c r="E699" s="473" t="s">
        <v>31</v>
      </c>
      <c r="F699" s="484">
        <v>0</v>
      </c>
      <c r="G699" s="484">
        <v>0</v>
      </c>
      <c r="H699" s="483">
        <v>0</v>
      </c>
      <c r="I699" s="345" t="str">
        <f t="shared" si="31"/>
        <v>0409</v>
      </c>
      <c r="J699" s="346" t="str">
        <f t="shared" si="32"/>
        <v>04202S6411</v>
      </c>
    </row>
    <row r="700" spans="1:10" hidden="1">
      <c r="A700" s="346" t="str">
        <f t="shared" si="30"/>
        <v>620040904202S6422244</v>
      </c>
      <c r="B700" s="476">
        <v>620</v>
      </c>
      <c r="C700" s="475">
        <v>409</v>
      </c>
      <c r="D700" s="474" t="s">
        <v>2354</v>
      </c>
      <c r="E700" s="473" t="s">
        <v>31</v>
      </c>
      <c r="F700" s="484">
        <v>87500</v>
      </c>
      <c r="G700" s="484">
        <v>0</v>
      </c>
      <c r="H700" s="483">
        <v>0</v>
      </c>
      <c r="I700" s="345" t="str">
        <f t="shared" si="31"/>
        <v>0409</v>
      </c>
      <c r="J700" s="346" t="str">
        <f t="shared" si="32"/>
        <v>04202S6422</v>
      </c>
    </row>
    <row r="701" spans="1:10" hidden="1">
      <c r="A701" s="346" t="str">
        <f t="shared" si="30"/>
        <v>620040904202S6460244</v>
      </c>
      <c r="B701" s="476">
        <v>620</v>
      </c>
      <c r="C701" s="475">
        <v>409</v>
      </c>
      <c r="D701" s="474" t="s">
        <v>1238</v>
      </c>
      <c r="E701" s="473" t="s">
        <v>31</v>
      </c>
      <c r="F701" s="484">
        <v>17924654.789999999</v>
      </c>
      <c r="G701" s="484">
        <v>0</v>
      </c>
      <c r="H701" s="483">
        <v>0</v>
      </c>
      <c r="I701" s="345" t="str">
        <f t="shared" si="31"/>
        <v>0409</v>
      </c>
      <c r="J701" s="346" t="str">
        <f t="shared" si="32"/>
        <v>04202S6460</v>
      </c>
    </row>
    <row r="702" spans="1:10" hidden="1">
      <c r="A702" s="346" t="str">
        <f t="shared" si="30"/>
        <v>620040904202S6490414</v>
      </c>
      <c r="B702" s="476">
        <v>620</v>
      </c>
      <c r="C702" s="475">
        <v>409</v>
      </c>
      <c r="D702" s="474" t="s">
        <v>2307</v>
      </c>
      <c r="E702" s="473" t="s">
        <v>840</v>
      </c>
      <c r="F702" s="484">
        <v>0</v>
      </c>
      <c r="G702" s="484">
        <v>0</v>
      </c>
      <c r="H702" s="483">
        <v>0</v>
      </c>
      <c r="I702" s="345" t="str">
        <f t="shared" si="31"/>
        <v>0409</v>
      </c>
      <c r="J702" s="346" t="str">
        <f t="shared" si="32"/>
        <v>04202S6490</v>
      </c>
    </row>
    <row r="703" spans="1:10" hidden="1">
      <c r="A703" s="346" t="str">
        <f t="shared" si="30"/>
        <v>620040904202S6494414</v>
      </c>
      <c r="B703" s="476">
        <v>620</v>
      </c>
      <c r="C703" s="475">
        <v>409</v>
      </c>
      <c r="D703" s="474" t="s">
        <v>2174</v>
      </c>
      <c r="E703" s="473" t="s">
        <v>840</v>
      </c>
      <c r="F703" s="484">
        <v>4919365.75</v>
      </c>
      <c r="G703" s="484">
        <v>0</v>
      </c>
      <c r="H703" s="483">
        <v>0</v>
      </c>
      <c r="I703" s="345" t="str">
        <f t="shared" si="31"/>
        <v>0409</v>
      </c>
      <c r="J703" s="346" t="str">
        <f t="shared" si="32"/>
        <v>04202S6494</v>
      </c>
    </row>
    <row r="704" spans="1:10" hidden="1">
      <c r="A704" s="346" t="str">
        <f t="shared" si="30"/>
        <v>62004090420311010611</v>
      </c>
      <c r="B704" s="476">
        <v>620</v>
      </c>
      <c r="C704" s="475">
        <v>409</v>
      </c>
      <c r="D704" s="474" t="s">
        <v>2175</v>
      </c>
      <c r="E704" s="473" t="s">
        <v>406</v>
      </c>
      <c r="F704" s="484">
        <v>43844924.240000002</v>
      </c>
      <c r="G704" s="484">
        <v>0</v>
      </c>
      <c r="H704" s="483">
        <v>0</v>
      </c>
      <c r="I704" s="345" t="str">
        <f t="shared" si="31"/>
        <v>0409</v>
      </c>
      <c r="J704" s="346" t="str">
        <f t="shared" si="32"/>
        <v>0420311010</v>
      </c>
    </row>
    <row r="705" spans="1:10" hidden="1">
      <c r="A705" s="346" t="str">
        <f t="shared" si="30"/>
        <v>62004090420311010612</v>
      </c>
      <c r="B705" s="476">
        <v>620</v>
      </c>
      <c r="C705" s="475">
        <v>409</v>
      </c>
      <c r="D705" s="474" t="s">
        <v>2175</v>
      </c>
      <c r="E705" s="473" t="s">
        <v>408</v>
      </c>
      <c r="F705" s="484">
        <v>0</v>
      </c>
      <c r="G705" s="484">
        <v>0</v>
      </c>
      <c r="H705" s="483">
        <v>0</v>
      </c>
      <c r="I705" s="345" t="str">
        <f t="shared" si="31"/>
        <v>0409</v>
      </c>
      <c r="J705" s="346" t="str">
        <f t="shared" si="32"/>
        <v>0420311010</v>
      </c>
    </row>
    <row r="706" spans="1:10" hidden="1">
      <c r="A706" s="346" t="str">
        <f t="shared" si="30"/>
        <v>62004090420320570244</v>
      </c>
      <c r="B706" s="476">
        <v>620</v>
      </c>
      <c r="C706" s="475">
        <v>409</v>
      </c>
      <c r="D706" s="474" t="s">
        <v>2176</v>
      </c>
      <c r="E706" s="473" t="s">
        <v>31</v>
      </c>
      <c r="F706" s="484">
        <v>14266610.529999999</v>
      </c>
      <c r="G706" s="484">
        <v>0</v>
      </c>
      <c r="H706" s="483">
        <v>0</v>
      </c>
      <c r="I706" s="345" t="str">
        <f t="shared" si="31"/>
        <v>0409</v>
      </c>
      <c r="J706" s="346" t="str">
        <f t="shared" si="32"/>
        <v>0420320570</v>
      </c>
    </row>
    <row r="707" spans="1:10" hidden="1">
      <c r="A707" s="346" t="str">
        <f t="shared" si="30"/>
        <v>62004090420376418244</v>
      </c>
      <c r="B707" s="476">
        <v>620</v>
      </c>
      <c r="C707" s="475">
        <v>409</v>
      </c>
      <c r="D707" s="474" t="s">
        <v>2355</v>
      </c>
      <c r="E707" s="473" t="s">
        <v>31</v>
      </c>
      <c r="F707" s="484">
        <v>1906751</v>
      </c>
      <c r="G707" s="484">
        <v>0</v>
      </c>
      <c r="H707" s="483">
        <v>0</v>
      </c>
      <c r="I707" s="345" t="str">
        <f t="shared" si="31"/>
        <v>0409</v>
      </c>
      <c r="J707" s="346" t="str">
        <f t="shared" si="32"/>
        <v>0420376418</v>
      </c>
    </row>
    <row r="708" spans="1:10" hidden="1">
      <c r="A708" s="346" t="str">
        <f t="shared" si="30"/>
        <v>62004090420376419244</v>
      </c>
      <c r="B708" s="476">
        <v>620</v>
      </c>
      <c r="C708" s="475">
        <v>409</v>
      </c>
      <c r="D708" s="474" t="s">
        <v>2356</v>
      </c>
      <c r="E708" s="473" t="s">
        <v>31</v>
      </c>
      <c r="F708" s="484">
        <v>4942106</v>
      </c>
      <c r="G708" s="484">
        <v>0</v>
      </c>
      <c r="H708" s="483">
        <v>0</v>
      </c>
      <c r="I708" s="345" t="str">
        <f t="shared" si="31"/>
        <v>0409</v>
      </c>
      <c r="J708" s="346" t="str">
        <f t="shared" si="32"/>
        <v>0420376419</v>
      </c>
    </row>
    <row r="709" spans="1:10" hidden="1">
      <c r="A709" s="346" t="str">
        <f t="shared" si="30"/>
        <v>62004090420376421244</v>
      </c>
      <c r="B709" s="476">
        <v>620</v>
      </c>
      <c r="C709" s="475">
        <v>409</v>
      </c>
      <c r="D709" s="474" t="s">
        <v>2357</v>
      </c>
      <c r="E709" s="473" t="s">
        <v>31</v>
      </c>
      <c r="F709" s="484">
        <v>1894841</v>
      </c>
      <c r="G709" s="484">
        <v>0</v>
      </c>
      <c r="H709" s="483">
        <v>0</v>
      </c>
      <c r="I709" s="345" t="str">
        <f t="shared" si="31"/>
        <v>0409</v>
      </c>
      <c r="J709" s="346" t="str">
        <f t="shared" si="32"/>
        <v>0420376421</v>
      </c>
    </row>
    <row r="710" spans="1:10" hidden="1">
      <c r="A710" s="346" t="str">
        <f t="shared" si="30"/>
        <v>62004090420377460611</v>
      </c>
      <c r="B710" s="476">
        <v>620</v>
      </c>
      <c r="C710" s="475">
        <v>409</v>
      </c>
      <c r="D710" s="474" t="s">
        <v>2177</v>
      </c>
      <c r="E710" s="473" t="s">
        <v>406</v>
      </c>
      <c r="F710" s="484">
        <v>951057.99</v>
      </c>
      <c r="G710" s="484">
        <v>0</v>
      </c>
      <c r="H710" s="483">
        <v>0</v>
      </c>
      <c r="I710" s="345" t="str">
        <f t="shared" si="31"/>
        <v>0409</v>
      </c>
      <c r="J710" s="346" t="str">
        <f t="shared" si="32"/>
        <v>0420377460</v>
      </c>
    </row>
    <row r="711" spans="1:10" hidden="1">
      <c r="A711" s="346" t="str">
        <f t="shared" si="30"/>
        <v>620040904203S6418244</v>
      </c>
      <c r="B711" s="476">
        <v>620</v>
      </c>
      <c r="C711" s="475">
        <v>409</v>
      </c>
      <c r="D711" s="474" t="s">
        <v>2358</v>
      </c>
      <c r="E711" s="473" t="s">
        <v>31</v>
      </c>
      <c r="F711" s="484">
        <v>100355</v>
      </c>
      <c r="G711" s="484">
        <v>0</v>
      </c>
      <c r="H711" s="483">
        <v>0</v>
      </c>
      <c r="I711" s="345" t="str">
        <f t="shared" si="31"/>
        <v>0409</v>
      </c>
      <c r="J711" s="346" t="str">
        <f t="shared" si="32"/>
        <v>04203S6418</v>
      </c>
    </row>
    <row r="712" spans="1:10" hidden="1">
      <c r="A712" s="346" t="str">
        <f t="shared" si="30"/>
        <v>620040904203S6419244</v>
      </c>
      <c r="B712" s="476">
        <v>620</v>
      </c>
      <c r="C712" s="475">
        <v>409</v>
      </c>
      <c r="D712" s="474" t="s">
        <v>2359</v>
      </c>
      <c r="E712" s="473" t="s">
        <v>31</v>
      </c>
      <c r="F712" s="484">
        <v>260110.46</v>
      </c>
      <c r="G712" s="484">
        <v>0</v>
      </c>
      <c r="H712" s="483">
        <v>0</v>
      </c>
      <c r="I712" s="345" t="str">
        <f t="shared" si="31"/>
        <v>0409</v>
      </c>
      <c r="J712" s="346" t="str">
        <f t="shared" si="32"/>
        <v>04203S6419</v>
      </c>
    </row>
    <row r="713" spans="1:10" hidden="1">
      <c r="A713" s="346" t="str">
        <f t="shared" si="30"/>
        <v>620040904203S6421244</v>
      </c>
      <c r="B713" s="476">
        <v>620</v>
      </c>
      <c r="C713" s="475">
        <v>409</v>
      </c>
      <c r="D713" s="474" t="s">
        <v>2360</v>
      </c>
      <c r="E713" s="473" t="s">
        <v>31</v>
      </c>
      <c r="F713" s="484">
        <v>2474958</v>
      </c>
      <c r="G713" s="484">
        <v>0</v>
      </c>
      <c r="H713" s="483">
        <v>0</v>
      </c>
      <c r="I713" s="345" t="str">
        <f t="shared" si="31"/>
        <v>0409</v>
      </c>
      <c r="J713" s="346" t="str">
        <f t="shared" si="32"/>
        <v>04203S6421</v>
      </c>
    </row>
    <row r="714" spans="1:10" hidden="1">
      <c r="A714" s="346" t="str">
        <f t="shared" si="30"/>
        <v>62004129810021540244</v>
      </c>
      <c r="B714" s="476">
        <v>620</v>
      </c>
      <c r="C714" s="475">
        <v>412</v>
      </c>
      <c r="D714" s="474" t="s">
        <v>2178</v>
      </c>
      <c r="E714" s="473" t="s">
        <v>31</v>
      </c>
      <c r="F714" s="484">
        <v>670000</v>
      </c>
      <c r="G714" s="484">
        <v>0</v>
      </c>
      <c r="H714" s="483">
        <v>0</v>
      </c>
      <c r="I714" s="345" t="str">
        <f t="shared" si="31"/>
        <v>0412</v>
      </c>
      <c r="J714" s="346" t="str">
        <f t="shared" si="32"/>
        <v>9810021540</v>
      </c>
    </row>
    <row r="715" spans="1:10" hidden="1">
      <c r="A715" s="346" t="str">
        <f t="shared" ref="A715:A778" si="33">B715&amp;I715&amp;J715&amp;E715</f>
        <v>62005010410120200244</v>
      </c>
      <c r="B715" s="476">
        <v>620</v>
      </c>
      <c r="C715" s="475">
        <v>501</v>
      </c>
      <c r="D715" s="474" t="s">
        <v>2179</v>
      </c>
      <c r="E715" s="473" t="s">
        <v>31</v>
      </c>
      <c r="F715" s="484">
        <v>90000</v>
      </c>
      <c r="G715" s="484">
        <v>0</v>
      </c>
      <c r="H715" s="483">
        <v>0</v>
      </c>
      <c r="I715" s="345" t="str">
        <f t="shared" ref="I715:I753" si="34">TEXT(C715,"0000")</f>
        <v>0501</v>
      </c>
      <c r="J715" s="346" t="str">
        <f t="shared" ref="J715:J753" si="35">TEXT(D715,"0000000000")</f>
        <v>0410120200</v>
      </c>
    </row>
    <row r="716" spans="1:10" hidden="1">
      <c r="A716" s="346" t="str">
        <f t="shared" si="33"/>
        <v>62005020410220220244</v>
      </c>
      <c r="B716" s="476">
        <v>620</v>
      </c>
      <c r="C716" s="475">
        <v>502</v>
      </c>
      <c r="D716" s="474" t="s">
        <v>2180</v>
      </c>
      <c r="E716" s="473" t="s">
        <v>31</v>
      </c>
      <c r="F716" s="484">
        <v>4059</v>
      </c>
      <c r="G716" s="484">
        <v>0</v>
      </c>
      <c r="H716" s="483">
        <v>0</v>
      </c>
      <c r="I716" s="345" t="str">
        <f t="shared" si="34"/>
        <v>0502</v>
      </c>
      <c r="J716" s="346" t="str">
        <f t="shared" si="35"/>
        <v>0410220220</v>
      </c>
    </row>
    <row r="717" spans="1:10" hidden="1">
      <c r="A717" s="346" t="str">
        <f t="shared" si="33"/>
        <v>62005020410320220244</v>
      </c>
      <c r="B717" s="476">
        <v>620</v>
      </c>
      <c r="C717" s="475">
        <v>502</v>
      </c>
      <c r="D717" s="474" t="s">
        <v>2181</v>
      </c>
      <c r="E717" s="473" t="s">
        <v>31</v>
      </c>
      <c r="F717" s="484">
        <v>13557447.789999999</v>
      </c>
      <c r="G717" s="484">
        <v>0</v>
      </c>
      <c r="H717" s="483">
        <v>0</v>
      </c>
      <c r="I717" s="345" t="str">
        <f t="shared" si="34"/>
        <v>0502</v>
      </c>
      <c r="J717" s="346" t="str">
        <f t="shared" si="35"/>
        <v>0410320220</v>
      </c>
    </row>
    <row r="718" spans="1:10" hidden="1">
      <c r="A718" s="346" t="str">
        <f t="shared" si="33"/>
        <v>620050302Б0160050634</v>
      </c>
      <c r="B718" s="476">
        <v>620</v>
      </c>
      <c r="C718" s="475">
        <v>503</v>
      </c>
      <c r="D718" s="474" t="s">
        <v>2182</v>
      </c>
      <c r="E718" s="473" t="s">
        <v>214</v>
      </c>
      <c r="F718" s="484">
        <v>0</v>
      </c>
      <c r="G718" s="484">
        <v>0</v>
      </c>
      <c r="H718" s="483">
        <v>0</v>
      </c>
      <c r="I718" s="345" t="str">
        <f t="shared" si="34"/>
        <v>0503</v>
      </c>
      <c r="J718" s="346" t="str">
        <f t="shared" si="35"/>
        <v>02Б0160050</v>
      </c>
    </row>
    <row r="719" spans="1:10" hidden="1">
      <c r="A719" s="346" t="str">
        <f t="shared" si="33"/>
        <v>62005030430220290244</v>
      </c>
      <c r="B719" s="476">
        <v>620</v>
      </c>
      <c r="C719" s="475">
        <v>503</v>
      </c>
      <c r="D719" s="474" t="s">
        <v>2183</v>
      </c>
      <c r="E719" s="473" t="s">
        <v>31</v>
      </c>
      <c r="F719" s="484">
        <v>20792388.780000001</v>
      </c>
      <c r="G719" s="484">
        <v>0</v>
      </c>
      <c r="H719" s="483">
        <v>0</v>
      </c>
      <c r="I719" s="345" t="str">
        <f t="shared" si="34"/>
        <v>0503</v>
      </c>
      <c r="J719" s="346" t="str">
        <f t="shared" si="35"/>
        <v>0430220290</v>
      </c>
    </row>
    <row r="720" spans="1:10" hidden="1">
      <c r="A720" s="346" t="str">
        <f t="shared" si="33"/>
        <v>62005030430377150244</v>
      </c>
      <c r="B720" s="476">
        <v>620</v>
      </c>
      <c r="C720" s="475">
        <v>503</v>
      </c>
      <c r="D720" s="474" t="s">
        <v>2184</v>
      </c>
      <c r="E720" s="473" t="s">
        <v>31</v>
      </c>
      <c r="F720" s="484">
        <v>2284560</v>
      </c>
      <c r="G720" s="484">
        <v>0</v>
      </c>
      <c r="H720" s="483">
        <v>0</v>
      </c>
      <c r="I720" s="345" t="str">
        <f t="shared" si="34"/>
        <v>0503</v>
      </c>
      <c r="J720" s="346" t="str">
        <f t="shared" si="35"/>
        <v>0430377150</v>
      </c>
    </row>
    <row r="721" spans="1:10" hidden="1">
      <c r="A721" s="346" t="str">
        <f t="shared" si="33"/>
        <v>62005030430411010611</v>
      </c>
      <c r="B721" s="476">
        <v>620</v>
      </c>
      <c r="C721" s="475">
        <v>503</v>
      </c>
      <c r="D721" s="474" t="s">
        <v>2185</v>
      </c>
      <c r="E721" s="473" t="s">
        <v>406</v>
      </c>
      <c r="F721" s="484">
        <v>17760929.800000001</v>
      </c>
      <c r="G721" s="484">
        <v>0</v>
      </c>
      <c r="H721" s="483">
        <v>0</v>
      </c>
      <c r="I721" s="345" t="str">
        <f t="shared" si="34"/>
        <v>0503</v>
      </c>
      <c r="J721" s="346" t="str">
        <f t="shared" si="35"/>
        <v>0430411010</v>
      </c>
    </row>
    <row r="722" spans="1:10" hidden="1">
      <c r="A722" s="346" t="str">
        <f t="shared" si="33"/>
        <v>62005030430411010612</v>
      </c>
      <c r="B722" s="476">
        <v>620</v>
      </c>
      <c r="C722" s="475">
        <v>503</v>
      </c>
      <c r="D722" s="474" t="s">
        <v>2185</v>
      </c>
      <c r="E722" s="473" t="s">
        <v>408</v>
      </c>
      <c r="F722" s="484">
        <v>5415984.9000000004</v>
      </c>
      <c r="G722" s="484">
        <v>0</v>
      </c>
      <c r="H722" s="483">
        <v>0</v>
      </c>
      <c r="I722" s="345" t="str">
        <f t="shared" si="34"/>
        <v>0503</v>
      </c>
      <c r="J722" s="346" t="str">
        <f t="shared" si="35"/>
        <v>0430411010</v>
      </c>
    </row>
    <row r="723" spans="1:10" hidden="1">
      <c r="A723" s="346" t="str">
        <f t="shared" si="33"/>
        <v>62005030430420280244</v>
      </c>
      <c r="B723" s="476">
        <v>620</v>
      </c>
      <c r="C723" s="475">
        <v>503</v>
      </c>
      <c r="D723" s="474" t="s">
        <v>2186</v>
      </c>
      <c r="E723" s="473" t="s">
        <v>31</v>
      </c>
      <c r="F723" s="484">
        <v>135383870.80000001</v>
      </c>
      <c r="G723" s="484">
        <v>0</v>
      </c>
      <c r="H723" s="483">
        <v>0</v>
      </c>
      <c r="I723" s="345" t="str">
        <f t="shared" si="34"/>
        <v>0503</v>
      </c>
      <c r="J723" s="346" t="str">
        <f t="shared" si="35"/>
        <v>0430420280</v>
      </c>
    </row>
    <row r="724" spans="1:10" hidden="1">
      <c r="A724" s="346" t="str">
        <f t="shared" si="33"/>
        <v>62005030430420300244</v>
      </c>
      <c r="B724" s="476">
        <v>620</v>
      </c>
      <c r="C724" s="475">
        <v>503</v>
      </c>
      <c r="D724" s="474" t="s">
        <v>2030</v>
      </c>
      <c r="E724" s="473" t="s">
        <v>31</v>
      </c>
      <c r="F724" s="484">
        <v>11468942.390000001</v>
      </c>
      <c r="G724" s="484">
        <v>0</v>
      </c>
      <c r="H724" s="483">
        <v>0</v>
      </c>
      <c r="I724" s="345" t="str">
        <f t="shared" si="34"/>
        <v>0503</v>
      </c>
      <c r="J724" s="346" t="str">
        <f t="shared" si="35"/>
        <v>0430420300</v>
      </c>
    </row>
    <row r="725" spans="1:10" hidden="1">
      <c r="A725" s="346" t="str">
        <f t="shared" si="33"/>
        <v>62005030430420300414</v>
      </c>
      <c r="B725" s="476">
        <v>620</v>
      </c>
      <c r="C725" s="475">
        <v>503</v>
      </c>
      <c r="D725" s="474" t="s">
        <v>2030</v>
      </c>
      <c r="E725" s="473" t="s">
        <v>840</v>
      </c>
      <c r="F725" s="484">
        <v>210</v>
      </c>
      <c r="G725" s="484">
        <v>0</v>
      </c>
      <c r="H725" s="483">
        <v>0</v>
      </c>
      <c r="I725" s="345" t="str">
        <f t="shared" si="34"/>
        <v>0503</v>
      </c>
      <c r="J725" s="346" t="str">
        <f t="shared" si="35"/>
        <v>0430420300</v>
      </c>
    </row>
    <row r="726" spans="1:10" hidden="1">
      <c r="A726" s="346" t="str">
        <f t="shared" si="33"/>
        <v>62005030430420300813</v>
      </c>
      <c r="B726" s="476">
        <v>620</v>
      </c>
      <c r="C726" s="475">
        <v>503</v>
      </c>
      <c r="D726" s="474" t="s">
        <v>2030</v>
      </c>
      <c r="E726" s="473" t="s">
        <v>227</v>
      </c>
      <c r="F726" s="484">
        <v>0</v>
      </c>
      <c r="G726" s="484">
        <v>0</v>
      </c>
      <c r="H726" s="483">
        <v>0</v>
      </c>
      <c r="I726" s="345" t="str">
        <f t="shared" si="34"/>
        <v>0503</v>
      </c>
      <c r="J726" s="346" t="str">
        <f t="shared" si="35"/>
        <v>0430420300</v>
      </c>
    </row>
    <row r="727" spans="1:10" hidden="1">
      <c r="A727" s="346" t="str">
        <f t="shared" si="33"/>
        <v>62005030430420780244</v>
      </c>
      <c r="B727" s="476">
        <v>620</v>
      </c>
      <c r="C727" s="475">
        <v>503</v>
      </c>
      <c r="D727" s="474" t="s">
        <v>2187</v>
      </c>
      <c r="E727" s="473" t="s">
        <v>31</v>
      </c>
      <c r="F727" s="484">
        <v>9680568.8900000006</v>
      </c>
      <c r="G727" s="484">
        <v>0</v>
      </c>
      <c r="H727" s="483">
        <v>0</v>
      </c>
      <c r="I727" s="345" t="str">
        <f t="shared" si="34"/>
        <v>0503</v>
      </c>
      <c r="J727" s="346" t="str">
        <f t="shared" si="35"/>
        <v>0430420780</v>
      </c>
    </row>
    <row r="728" spans="1:10" hidden="1">
      <c r="A728" s="346" t="str">
        <f t="shared" si="33"/>
        <v>62005030430420790244</v>
      </c>
      <c r="B728" s="476">
        <v>620</v>
      </c>
      <c r="C728" s="475">
        <v>503</v>
      </c>
      <c r="D728" s="474" t="s">
        <v>2361</v>
      </c>
      <c r="E728" s="473" t="s">
        <v>31</v>
      </c>
      <c r="F728" s="484">
        <v>0</v>
      </c>
      <c r="G728" s="484">
        <v>0</v>
      </c>
      <c r="H728" s="483">
        <v>0</v>
      </c>
      <c r="I728" s="345" t="str">
        <f t="shared" si="34"/>
        <v>0503</v>
      </c>
      <c r="J728" s="346" t="str">
        <f t="shared" si="35"/>
        <v>0430420790</v>
      </c>
    </row>
    <row r="729" spans="1:10" hidden="1">
      <c r="A729" s="346" t="str">
        <f t="shared" si="33"/>
        <v>62005030430421480244</v>
      </c>
      <c r="B729" s="476">
        <v>620</v>
      </c>
      <c r="C729" s="475">
        <v>503</v>
      </c>
      <c r="D729" s="474" t="s">
        <v>2362</v>
      </c>
      <c r="E729" s="473" t="s">
        <v>31</v>
      </c>
      <c r="F729" s="484">
        <v>0</v>
      </c>
      <c r="G729" s="484">
        <v>0</v>
      </c>
      <c r="H729" s="483">
        <v>0</v>
      </c>
      <c r="I729" s="345" t="str">
        <f t="shared" si="34"/>
        <v>0503</v>
      </c>
      <c r="J729" s="346" t="str">
        <f t="shared" si="35"/>
        <v>0430421480</v>
      </c>
    </row>
    <row r="730" spans="1:10" hidden="1">
      <c r="A730" s="346" t="str">
        <f t="shared" si="33"/>
        <v>62005030430440010464</v>
      </c>
      <c r="B730" s="476">
        <v>620</v>
      </c>
      <c r="C730" s="475">
        <v>503</v>
      </c>
      <c r="D730" s="474" t="s">
        <v>2363</v>
      </c>
      <c r="E730" s="473" t="s">
        <v>2364</v>
      </c>
      <c r="F730" s="484">
        <v>0</v>
      </c>
      <c r="G730" s="484">
        <v>0</v>
      </c>
      <c r="H730" s="483">
        <v>0</v>
      </c>
      <c r="I730" s="345" t="str">
        <f t="shared" si="34"/>
        <v>0503</v>
      </c>
      <c r="J730" s="346" t="str">
        <f t="shared" si="35"/>
        <v>0430440010</v>
      </c>
    </row>
    <row r="731" spans="1:10" hidden="1">
      <c r="A731" s="346" t="str">
        <f t="shared" si="33"/>
        <v>62005030430476413244</v>
      </c>
      <c r="B731" s="476">
        <v>620</v>
      </c>
      <c r="C731" s="475">
        <v>503</v>
      </c>
      <c r="D731" s="474" t="s">
        <v>2188</v>
      </c>
      <c r="E731" s="473" t="s">
        <v>31</v>
      </c>
      <c r="F731" s="484">
        <v>19744080</v>
      </c>
      <c r="G731" s="484">
        <v>0</v>
      </c>
      <c r="H731" s="483">
        <v>0</v>
      </c>
      <c r="I731" s="345" t="str">
        <f t="shared" si="34"/>
        <v>0503</v>
      </c>
      <c r="J731" s="346" t="str">
        <f t="shared" si="35"/>
        <v>0430476413</v>
      </c>
    </row>
    <row r="732" spans="1:10" hidden="1">
      <c r="A732" s="346" t="str">
        <f t="shared" si="33"/>
        <v>62005030430476415244</v>
      </c>
      <c r="B732" s="476">
        <v>620</v>
      </c>
      <c r="C732" s="475">
        <v>503</v>
      </c>
      <c r="D732" s="474" t="s">
        <v>2189</v>
      </c>
      <c r="E732" s="473" t="s">
        <v>31</v>
      </c>
      <c r="F732" s="484">
        <v>9752830.4499999993</v>
      </c>
      <c r="G732" s="484">
        <v>0</v>
      </c>
      <c r="H732" s="483">
        <v>0</v>
      </c>
      <c r="I732" s="345" t="str">
        <f t="shared" si="34"/>
        <v>0503</v>
      </c>
      <c r="J732" s="346" t="str">
        <f t="shared" si="35"/>
        <v>0430476415</v>
      </c>
    </row>
    <row r="733" spans="1:10" hidden="1">
      <c r="A733" s="346" t="str">
        <f t="shared" si="33"/>
        <v>62005030430476423244</v>
      </c>
      <c r="B733" s="476">
        <v>620</v>
      </c>
      <c r="C733" s="475">
        <v>503</v>
      </c>
      <c r="D733" s="474" t="s">
        <v>2365</v>
      </c>
      <c r="E733" s="473" t="s">
        <v>31</v>
      </c>
      <c r="F733" s="484">
        <v>1487602.12</v>
      </c>
      <c r="G733" s="484">
        <v>0</v>
      </c>
      <c r="H733" s="483">
        <v>0</v>
      </c>
      <c r="I733" s="345" t="str">
        <f t="shared" si="34"/>
        <v>0503</v>
      </c>
      <c r="J733" s="346" t="str">
        <f t="shared" si="35"/>
        <v>0430476423</v>
      </c>
    </row>
    <row r="734" spans="1:10" hidden="1">
      <c r="A734" s="346" t="str">
        <f t="shared" si="33"/>
        <v>62005030430477241414</v>
      </c>
      <c r="B734" s="476">
        <v>620</v>
      </c>
      <c r="C734" s="475">
        <v>503</v>
      </c>
      <c r="D734" s="474" t="s">
        <v>2366</v>
      </c>
      <c r="E734" s="473" t="s">
        <v>840</v>
      </c>
      <c r="F734" s="484">
        <v>0</v>
      </c>
      <c r="G734" s="484">
        <v>0</v>
      </c>
      <c r="H734" s="483">
        <v>0</v>
      </c>
      <c r="I734" s="345" t="str">
        <f t="shared" si="34"/>
        <v>0503</v>
      </c>
      <c r="J734" s="346" t="str">
        <f t="shared" si="35"/>
        <v>0430477241</v>
      </c>
    </row>
    <row r="735" spans="1:10" hidden="1">
      <c r="A735" s="346" t="str">
        <f t="shared" si="33"/>
        <v>62005030430477247414</v>
      </c>
      <c r="B735" s="476">
        <v>620</v>
      </c>
      <c r="C735" s="475">
        <v>503</v>
      </c>
      <c r="D735" s="474" t="s">
        <v>2190</v>
      </c>
      <c r="E735" s="473" t="s">
        <v>840</v>
      </c>
      <c r="F735" s="484">
        <v>16509546.5</v>
      </c>
      <c r="G735" s="484">
        <v>0</v>
      </c>
      <c r="H735" s="483">
        <v>0</v>
      </c>
      <c r="I735" s="345" t="str">
        <f t="shared" si="34"/>
        <v>0503</v>
      </c>
      <c r="J735" s="346" t="str">
        <f t="shared" si="35"/>
        <v>0430477247</v>
      </c>
    </row>
    <row r="736" spans="1:10" hidden="1">
      <c r="A736" s="346" t="str">
        <f t="shared" si="33"/>
        <v>62005030430477330244</v>
      </c>
      <c r="B736" s="476">
        <v>620</v>
      </c>
      <c r="C736" s="475">
        <v>503</v>
      </c>
      <c r="D736" s="474" t="s">
        <v>2191</v>
      </c>
      <c r="E736" s="473" t="s">
        <v>31</v>
      </c>
      <c r="F736" s="484">
        <v>40877015.229999997</v>
      </c>
      <c r="G736" s="484">
        <v>0</v>
      </c>
      <c r="H736" s="483">
        <v>0</v>
      </c>
      <c r="I736" s="345" t="str">
        <f t="shared" si="34"/>
        <v>0503</v>
      </c>
      <c r="J736" s="346" t="str">
        <f t="shared" si="35"/>
        <v>0430477330</v>
      </c>
    </row>
    <row r="737" spans="1:10" hidden="1">
      <c r="A737" s="346" t="str">
        <f t="shared" si="33"/>
        <v>62005030430477460611</v>
      </c>
      <c r="B737" s="476">
        <v>620</v>
      </c>
      <c r="C737" s="475">
        <v>503</v>
      </c>
      <c r="D737" s="474" t="s">
        <v>2192</v>
      </c>
      <c r="E737" s="473" t="s">
        <v>406</v>
      </c>
      <c r="F737" s="484">
        <v>402451.52</v>
      </c>
      <c r="G737" s="484">
        <v>0</v>
      </c>
      <c r="H737" s="483">
        <v>0</v>
      </c>
      <c r="I737" s="345" t="str">
        <f t="shared" si="34"/>
        <v>0503</v>
      </c>
      <c r="J737" s="346" t="str">
        <f t="shared" si="35"/>
        <v>0430477460</v>
      </c>
    </row>
    <row r="738" spans="1:10" hidden="1">
      <c r="A738" s="346" t="str">
        <f t="shared" si="33"/>
        <v>62005030430477580611</v>
      </c>
      <c r="B738" s="476">
        <v>620</v>
      </c>
      <c r="C738" s="475">
        <v>503</v>
      </c>
      <c r="D738" s="474" t="s">
        <v>2367</v>
      </c>
      <c r="E738" s="473" t="s">
        <v>406</v>
      </c>
      <c r="F738" s="484">
        <v>206271.32</v>
      </c>
      <c r="G738" s="484">
        <v>0</v>
      </c>
      <c r="H738" s="483">
        <v>0</v>
      </c>
      <c r="I738" s="345" t="str">
        <f t="shared" si="34"/>
        <v>0503</v>
      </c>
      <c r="J738" s="346" t="str">
        <f t="shared" si="35"/>
        <v>0430477580</v>
      </c>
    </row>
    <row r="739" spans="1:10" hidden="1">
      <c r="A739" s="346" t="str">
        <f t="shared" si="33"/>
        <v>620050304304S6413244</v>
      </c>
      <c r="B739" s="476">
        <v>620</v>
      </c>
      <c r="C739" s="475">
        <v>503</v>
      </c>
      <c r="D739" s="474" t="s">
        <v>2193</v>
      </c>
      <c r="E739" s="473" t="s">
        <v>31</v>
      </c>
      <c r="F739" s="484">
        <v>2263160</v>
      </c>
      <c r="G739" s="484">
        <v>0</v>
      </c>
      <c r="H739" s="483">
        <v>0</v>
      </c>
      <c r="I739" s="345" t="str">
        <f t="shared" si="34"/>
        <v>0503</v>
      </c>
      <c r="J739" s="346" t="str">
        <f t="shared" si="35"/>
        <v>04304S6413</v>
      </c>
    </row>
    <row r="740" spans="1:10" hidden="1">
      <c r="A740" s="346" t="str">
        <f t="shared" si="33"/>
        <v>620050304304S6423244</v>
      </c>
      <c r="B740" s="476">
        <v>620</v>
      </c>
      <c r="C740" s="475">
        <v>503</v>
      </c>
      <c r="D740" s="474" t="s">
        <v>2368</v>
      </c>
      <c r="E740" s="473" t="s">
        <v>31</v>
      </c>
      <c r="F740" s="484">
        <v>78294.759999999995</v>
      </c>
      <c r="G740" s="484">
        <v>0</v>
      </c>
      <c r="H740" s="483">
        <v>0</v>
      </c>
      <c r="I740" s="345" t="str">
        <f t="shared" si="34"/>
        <v>0503</v>
      </c>
      <c r="J740" s="346" t="str">
        <f t="shared" si="35"/>
        <v>04304S6423</v>
      </c>
    </row>
    <row r="741" spans="1:10" hidden="1">
      <c r="A741" s="346" t="str">
        <f t="shared" si="33"/>
        <v>620050304304S7241414</v>
      </c>
      <c r="B741" s="476">
        <v>620</v>
      </c>
      <c r="C741" s="475">
        <v>503</v>
      </c>
      <c r="D741" s="474" t="s">
        <v>1239</v>
      </c>
      <c r="E741" s="473" t="s">
        <v>840</v>
      </c>
      <c r="F741" s="484">
        <v>0</v>
      </c>
      <c r="G741" s="484">
        <v>0</v>
      </c>
      <c r="H741" s="483">
        <v>0</v>
      </c>
      <c r="I741" s="345" t="str">
        <f t="shared" si="34"/>
        <v>0503</v>
      </c>
      <c r="J741" s="346" t="str">
        <f t="shared" si="35"/>
        <v>04304S7241</v>
      </c>
    </row>
    <row r="742" spans="1:10" hidden="1">
      <c r="A742" s="346" t="str">
        <f t="shared" si="33"/>
        <v>620050304304S7247414</v>
      </c>
      <c r="B742" s="476">
        <v>620</v>
      </c>
      <c r="C742" s="475">
        <v>503</v>
      </c>
      <c r="D742" s="474" t="s">
        <v>2194</v>
      </c>
      <c r="E742" s="473" t="s">
        <v>840</v>
      </c>
      <c r="F742" s="484">
        <v>868923.5</v>
      </c>
      <c r="G742" s="484">
        <v>0</v>
      </c>
      <c r="H742" s="483">
        <v>0</v>
      </c>
      <c r="I742" s="345" t="str">
        <f t="shared" si="34"/>
        <v>0503</v>
      </c>
      <c r="J742" s="346" t="str">
        <f t="shared" si="35"/>
        <v>04304S7247</v>
      </c>
    </row>
    <row r="743" spans="1:10" hidden="1">
      <c r="A743" s="346" t="str">
        <f t="shared" si="33"/>
        <v>620050304304S7330244</v>
      </c>
      <c r="B743" s="476">
        <v>620</v>
      </c>
      <c r="C743" s="475">
        <v>503</v>
      </c>
      <c r="D743" s="474" t="s">
        <v>1256</v>
      </c>
      <c r="E743" s="473" t="s">
        <v>31</v>
      </c>
      <c r="F743" s="484">
        <v>2449997.27</v>
      </c>
      <c r="G743" s="484">
        <v>0</v>
      </c>
      <c r="H743" s="483">
        <v>0</v>
      </c>
      <c r="I743" s="345" t="str">
        <f t="shared" si="34"/>
        <v>0503</v>
      </c>
      <c r="J743" s="346" t="str">
        <f t="shared" si="35"/>
        <v>04304S7330</v>
      </c>
    </row>
    <row r="744" spans="1:10" hidden="1">
      <c r="A744" s="346" t="str">
        <f t="shared" si="33"/>
        <v>620050317Б0220490244</v>
      </c>
      <c r="B744" s="476">
        <v>620</v>
      </c>
      <c r="C744" s="475">
        <v>503</v>
      </c>
      <c r="D744" s="474" t="s">
        <v>1241</v>
      </c>
      <c r="E744" s="473" t="s">
        <v>31</v>
      </c>
      <c r="F744" s="484">
        <v>6607633.9199999999</v>
      </c>
      <c r="G744" s="484">
        <v>0</v>
      </c>
      <c r="H744" s="483">
        <v>0</v>
      </c>
      <c r="I744" s="345" t="str">
        <f t="shared" si="34"/>
        <v>0503</v>
      </c>
      <c r="J744" s="346" t="str">
        <f t="shared" si="35"/>
        <v>17Б0220490</v>
      </c>
    </row>
    <row r="745" spans="1:10" hidden="1">
      <c r="A745" s="346" t="str">
        <f t="shared" si="33"/>
        <v>620050320Б01L5550244</v>
      </c>
      <c r="B745" s="476">
        <v>620</v>
      </c>
      <c r="C745" s="475">
        <v>503</v>
      </c>
      <c r="D745" s="474" t="s">
        <v>1244</v>
      </c>
      <c r="E745" s="473" t="s">
        <v>31</v>
      </c>
      <c r="F745" s="484">
        <v>80283766.489999995</v>
      </c>
      <c r="G745" s="484">
        <v>0</v>
      </c>
      <c r="H745" s="483">
        <v>0</v>
      </c>
      <c r="I745" s="345" t="str">
        <f t="shared" si="34"/>
        <v>0503</v>
      </c>
      <c r="J745" s="346" t="str">
        <f t="shared" si="35"/>
        <v>20Б01L5550</v>
      </c>
    </row>
    <row r="746" spans="1:10" hidden="1">
      <c r="A746" s="346" t="str">
        <f t="shared" si="33"/>
        <v>620050320Б02L5550244</v>
      </c>
      <c r="B746" s="476">
        <v>620</v>
      </c>
      <c r="C746" s="475">
        <v>503</v>
      </c>
      <c r="D746" s="474" t="s">
        <v>1246</v>
      </c>
      <c r="E746" s="473" t="s">
        <v>31</v>
      </c>
      <c r="F746" s="484">
        <v>105582796.18000001</v>
      </c>
      <c r="G746" s="484">
        <v>0</v>
      </c>
      <c r="H746" s="483">
        <v>0</v>
      </c>
      <c r="I746" s="345" t="str">
        <f t="shared" si="34"/>
        <v>0503</v>
      </c>
      <c r="J746" s="346" t="str">
        <f t="shared" si="35"/>
        <v>20Б02L5550</v>
      </c>
    </row>
    <row r="747" spans="1:10" hidden="1">
      <c r="A747" s="346" t="str">
        <f t="shared" si="33"/>
        <v>620050320Б0320300244</v>
      </c>
      <c r="B747" s="476">
        <v>620</v>
      </c>
      <c r="C747" s="475">
        <v>503</v>
      </c>
      <c r="D747" s="474" t="s">
        <v>1248</v>
      </c>
      <c r="E747" s="473" t="s">
        <v>31</v>
      </c>
      <c r="F747" s="484">
        <v>710000</v>
      </c>
      <c r="G747" s="484">
        <v>0</v>
      </c>
      <c r="H747" s="483">
        <v>0</v>
      </c>
      <c r="I747" s="345" t="str">
        <f t="shared" si="34"/>
        <v>0503</v>
      </c>
      <c r="J747" s="346" t="str">
        <f t="shared" si="35"/>
        <v>20Б0320300</v>
      </c>
    </row>
    <row r="748" spans="1:10" hidden="1">
      <c r="A748" s="346" t="str">
        <f t="shared" si="33"/>
        <v>62005058310010010122</v>
      </c>
      <c r="B748" s="476">
        <v>620</v>
      </c>
      <c r="C748" s="475">
        <v>505</v>
      </c>
      <c r="D748" s="474" t="s">
        <v>2195</v>
      </c>
      <c r="E748" s="473" t="s">
        <v>23</v>
      </c>
      <c r="F748" s="484">
        <v>908442.5</v>
      </c>
      <c r="G748" s="484">
        <v>0</v>
      </c>
      <c r="H748" s="483">
        <v>0</v>
      </c>
      <c r="I748" s="345" t="str">
        <f t="shared" si="34"/>
        <v>0505</v>
      </c>
      <c r="J748" s="346" t="str">
        <f t="shared" si="35"/>
        <v>8310010010</v>
      </c>
    </row>
    <row r="749" spans="1:10" hidden="1">
      <c r="A749" s="346" t="str">
        <f t="shared" si="33"/>
        <v>62005058310010010129</v>
      </c>
      <c r="B749" s="476">
        <v>620</v>
      </c>
      <c r="C749" s="475">
        <v>505</v>
      </c>
      <c r="D749" s="474" t="s">
        <v>2195</v>
      </c>
      <c r="E749" s="473" t="s">
        <v>27</v>
      </c>
      <c r="F749" s="484">
        <v>274317.5</v>
      </c>
      <c r="G749" s="484">
        <v>0</v>
      </c>
      <c r="H749" s="483">
        <v>0</v>
      </c>
      <c r="I749" s="345" t="str">
        <f t="shared" si="34"/>
        <v>0505</v>
      </c>
      <c r="J749" s="346" t="str">
        <f t="shared" si="35"/>
        <v>8310010010</v>
      </c>
    </row>
    <row r="750" spans="1:10" hidden="1">
      <c r="A750" s="346" t="str">
        <f t="shared" si="33"/>
        <v>62005058310010010244</v>
      </c>
      <c r="B750" s="476">
        <v>620</v>
      </c>
      <c r="C750" s="475">
        <v>505</v>
      </c>
      <c r="D750" s="474" t="s">
        <v>2195</v>
      </c>
      <c r="E750" s="473" t="s">
        <v>31</v>
      </c>
      <c r="F750" s="484">
        <v>5511459.2800000003</v>
      </c>
      <c r="G750" s="484">
        <v>0</v>
      </c>
      <c r="H750" s="483">
        <v>0</v>
      </c>
      <c r="I750" s="345" t="str">
        <f t="shared" si="34"/>
        <v>0505</v>
      </c>
      <c r="J750" s="346" t="str">
        <f t="shared" si="35"/>
        <v>8310010010</v>
      </c>
    </row>
    <row r="751" spans="1:10" hidden="1">
      <c r="A751" s="346" t="str">
        <f t="shared" si="33"/>
        <v>62005058310010010851</v>
      </c>
      <c r="B751" s="476">
        <v>620</v>
      </c>
      <c r="C751" s="475">
        <v>505</v>
      </c>
      <c r="D751" s="474" t="s">
        <v>2195</v>
      </c>
      <c r="E751" s="473" t="s">
        <v>35</v>
      </c>
      <c r="F751" s="484">
        <v>12846.44</v>
      </c>
      <c r="G751" s="484">
        <v>0</v>
      </c>
      <c r="H751" s="483">
        <v>0</v>
      </c>
      <c r="I751" s="345" t="str">
        <f t="shared" si="34"/>
        <v>0505</v>
      </c>
      <c r="J751" s="346" t="str">
        <f t="shared" si="35"/>
        <v>8310010010</v>
      </c>
    </row>
    <row r="752" spans="1:10" hidden="1">
      <c r="A752" s="346" t="str">
        <f t="shared" si="33"/>
        <v>62005058310010010852</v>
      </c>
      <c r="B752" s="476">
        <v>620</v>
      </c>
      <c r="C752" s="475">
        <v>505</v>
      </c>
      <c r="D752" s="474" t="s">
        <v>2195</v>
      </c>
      <c r="E752" s="473" t="s">
        <v>37</v>
      </c>
      <c r="F752" s="484">
        <v>17156.25</v>
      </c>
      <c r="G752" s="484">
        <v>0</v>
      </c>
      <c r="H752" s="483">
        <v>0</v>
      </c>
      <c r="I752" s="345" t="str">
        <f t="shared" si="34"/>
        <v>0505</v>
      </c>
      <c r="J752" s="346" t="str">
        <f t="shared" si="35"/>
        <v>8310010010</v>
      </c>
    </row>
    <row r="753" spans="1:10" hidden="1">
      <c r="A753" s="346" t="str">
        <f t="shared" si="33"/>
        <v>62005058310010010853</v>
      </c>
      <c r="B753" s="476">
        <v>620</v>
      </c>
      <c r="C753" s="475">
        <v>505</v>
      </c>
      <c r="D753" s="474" t="s">
        <v>2195</v>
      </c>
      <c r="E753" s="473" t="s">
        <v>78</v>
      </c>
      <c r="F753" s="484">
        <v>233.18</v>
      </c>
      <c r="G753" s="484">
        <v>0</v>
      </c>
      <c r="H753" s="483">
        <v>0</v>
      </c>
      <c r="I753" s="345" t="str">
        <f t="shared" si="34"/>
        <v>0505</v>
      </c>
      <c r="J753" s="346" t="str">
        <f t="shared" si="35"/>
        <v>8310010010</v>
      </c>
    </row>
    <row r="754" spans="1:10" hidden="1">
      <c r="A754" s="346" t="str">
        <f t="shared" si="33"/>
        <v>62005058310010020121</v>
      </c>
      <c r="B754" s="476">
        <v>620</v>
      </c>
      <c r="C754" s="475">
        <v>505</v>
      </c>
      <c r="D754" s="474" t="s">
        <v>2196</v>
      </c>
      <c r="E754" s="473" t="s">
        <v>41</v>
      </c>
      <c r="F754" s="484">
        <v>32473320.109999999</v>
      </c>
      <c r="G754" s="484">
        <v>0</v>
      </c>
      <c r="H754" s="483">
        <v>0</v>
      </c>
      <c r="I754" s="345" t="str">
        <f t="shared" ref="I754:I777" si="36">TEXT(C754,"0000")</f>
        <v>0505</v>
      </c>
      <c r="J754" s="346" t="str">
        <f t="shared" ref="J754:J777" si="37">TEXT(D754,"0000000000")</f>
        <v>8310010020</v>
      </c>
    </row>
    <row r="755" spans="1:10" hidden="1">
      <c r="A755" s="346" t="str">
        <f t="shared" si="33"/>
        <v>62005058310010020129</v>
      </c>
      <c r="B755" s="476">
        <v>620</v>
      </c>
      <c r="C755" s="475">
        <v>505</v>
      </c>
      <c r="D755" s="474" t="s">
        <v>2196</v>
      </c>
      <c r="E755" s="473" t="s">
        <v>27</v>
      </c>
      <c r="F755" s="484">
        <v>9602443.0399999991</v>
      </c>
      <c r="G755" s="484">
        <v>0</v>
      </c>
      <c r="H755" s="483">
        <v>0</v>
      </c>
      <c r="I755" s="345" t="str">
        <f t="shared" si="36"/>
        <v>0505</v>
      </c>
      <c r="J755" s="346" t="str">
        <f t="shared" si="37"/>
        <v>8310010020</v>
      </c>
    </row>
    <row r="756" spans="1:10" hidden="1">
      <c r="A756" s="346" t="str">
        <f t="shared" si="33"/>
        <v>62005058310077460121</v>
      </c>
      <c r="B756" s="476">
        <v>620</v>
      </c>
      <c r="C756" s="475">
        <v>505</v>
      </c>
      <c r="D756" s="474" t="s">
        <v>2197</v>
      </c>
      <c r="E756" s="473" t="s">
        <v>41</v>
      </c>
      <c r="F756" s="484">
        <v>1054883.56</v>
      </c>
      <c r="G756" s="484">
        <v>0</v>
      </c>
      <c r="H756" s="483">
        <v>0</v>
      </c>
      <c r="I756" s="345" t="str">
        <f t="shared" si="36"/>
        <v>0505</v>
      </c>
      <c r="J756" s="346" t="str">
        <f t="shared" si="37"/>
        <v>8310077460</v>
      </c>
    </row>
    <row r="757" spans="1:10" hidden="1">
      <c r="A757" s="346" t="str">
        <f t="shared" si="33"/>
        <v>62005058310077460129</v>
      </c>
      <c r="B757" s="476">
        <v>620</v>
      </c>
      <c r="C757" s="475">
        <v>505</v>
      </c>
      <c r="D757" s="474" t="s">
        <v>2197</v>
      </c>
      <c r="E757" s="473" t="s">
        <v>27</v>
      </c>
      <c r="F757" s="484">
        <v>318574.83</v>
      </c>
      <c r="G757" s="484">
        <v>0</v>
      </c>
      <c r="H757" s="483">
        <v>0</v>
      </c>
      <c r="I757" s="345" t="str">
        <f t="shared" si="36"/>
        <v>0505</v>
      </c>
      <c r="J757" s="346" t="str">
        <f t="shared" si="37"/>
        <v>8310077460</v>
      </c>
    </row>
    <row r="758" spans="1:10" hidden="1">
      <c r="A758" s="346" t="str">
        <f t="shared" si="33"/>
        <v>62008010710120060244</v>
      </c>
      <c r="B758" s="476">
        <v>620</v>
      </c>
      <c r="C758" s="475">
        <v>801</v>
      </c>
      <c r="D758" s="474" t="s">
        <v>1946</v>
      </c>
      <c r="E758" s="473" t="s">
        <v>31</v>
      </c>
      <c r="F758" s="484">
        <v>2333539.12</v>
      </c>
      <c r="G758" s="484">
        <v>0</v>
      </c>
      <c r="H758" s="483">
        <v>0</v>
      </c>
      <c r="I758" s="345" t="str">
        <f t="shared" si="36"/>
        <v>0801</v>
      </c>
      <c r="J758" s="346" t="str">
        <f t="shared" si="37"/>
        <v>0710120060</v>
      </c>
    </row>
    <row r="759" spans="1:10" hidden="1">
      <c r="A759" s="346" t="str">
        <f t="shared" si="33"/>
        <v>62010030320380020811</v>
      </c>
      <c r="B759" s="476">
        <v>620</v>
      </c>
      <c r="C759" s="475">
        <v>1003</v>
      </c>
      <c r="D759" s="474" t="s">
        <v>2198</v>
      </c>
      <c r="E759" s="473" t="s">
        <v>206</v>
      </c>
      <c r="F759" s="484">
        <v>3319260</v>
      </c>
      <c r="G759" s="484">
        <v>0</v>
      </c>
      <c r="H759" s="483">
        <v>0</v>
      </c>
      <c r="I759" s="345" t="str">
        <f t="shared" si="36"/>
        <v>1003</v>
      </c>
      <c r="J759" s="346" t="str">
        <f t="shared" si="37"/>
        <v>0320380020</v>
      </c>
    </row>
    <row r="760" spans="1:10" hidden="1">
      <c r="A760" s="346" t="str">
        <f t="shared" si="33"/>
        <v>62010030320480220812</v>
      </c>
      <c r="B760" s="476">
        <v>620</v>
      </c>
      <c r="C760" s="475">
        <v>1003</v>
      </c>
      <c r="D760" s="474" t="s">
        <v>2199</v>
      </c>
      <c r="E760" s="473" t="s">
        <v>208</v>
      </c>
      <c r="F760" s="484">
        <v>11543385</v>
      </c>
      <c r="G760" s="484">
        <v>0</v>
      </c>
      <c r="H760" s="483">
        <v>0</v>
      </c>
      <c r="I760" s="345" t="str">
        <f t="shared" si="36"/>
        <v>1003</v>
      </c>
      <c r="J760" s="346" t="str">
        <f t="shared" si="37"/>
        <v>0320480220</v>
      </c>
    </row>
    <row r="761" spans="1:10" hidden="1">
      <c r="A761" s="346" t="str">
        <f t="shared" si="33"/>
        <v>621011311Б0121120244</v>
      </c>
      <c r="B761" s="476">
        <v>621</v>
      </c>
      <c r="C761" s="475">
        <v>113</v>
      </c>
      <c r="D761" s="474" t="s">
        <v>1175</v>
      </c>
      <c r="E761" s="473" t="s">
        <v>31</v>
      </c>
      <c r="F761" s="484">
        <v>100193.8</v>
      </c>
      <c r="G761" s="484">
        <v>0</v>
      </c>
      <c r="H761" s="483">
        <v>0</v>
      </c>
      <c r="I761" s="345" t="str">
        <f t="shared" si="36"/>
        <v>0113</v>
      </c>
      <c r="J761" s="346" t="str">
        <f t="shared" si="37"/>
        <v>11Б0121120</v>
      </c>
    </row>
    <row r="762" spans="1:10" hidden="1">
      <c r="A762" s="346" t="str">
        <f t="shared" si="33"/>
        <v>62101138410010010122</v>
      </c>
      <c r="B762" s="476">
        <v>621</v>
      </c>
      <c r="C762" s="475">
        <v>113</v>
      </c>
      <c r="D762" s="474" t="s">
        <v>2200</v>
      </c>
      <c r="E762" s="473" t="s">
        <v>23</v>
      </c>
      <c r="F762" s="484">
        <v>655069.74</v>
      </c>
      <c r="G762" s="484">
        <v>0</v>
      </c>
      <c r="H762" s="483">
        <v>0</v>
      </c>
      <c r="I762" s="345" t="str">
        <f t="shared" si="36"/>
        <v>0113</v>
      </c>
      <c r="J762" s="346" t="str">
        <f t="shared" si="37"/>
        <v>8410010010</v>
      </c>
    </row>
    <row r="763" spans="1:10" hidden="1">
      <c r="A763" s="346" t="str">
        <f t="shared" si="33"/>
        <v>62101138410010010129</v>
      </c>
      <c r="B763" s="476">
        <v>621</v>
      </c>
      <c r="C763" s="475">
        <v>113</v>
      </c>
      <c r="D763" s="474" t="s">
        <v>2200</v>
      </c>
      <c r="E763" s="473" t="s">
        <v>27</v>
      </c>
      <c r="F763" s="484">
        <v>188253.16</v>
      </c>
      <c r="G763" s="484">
        <v>0</v>
      </c>
      <c r="H763" s="483">
        <v>0</v>
      </c>
      <c r="I763" s="345" t="str">
        <f t="shared" si="36"/>
        <v>0113</v>
      </c>
      <c r="J763" s="346" t="str">
        <f t="shared" si="37"/>
        <v>8410010010</v>
      </c>
    </row>
    <row r="764" spans="1:10" hidden="1">
      <c r="A764" s="346" t="str">
        <f t="shared" si="33"/>
        <v>62101138410010010244</v>
      </c>
      <c r="B764" s="476">
        <v>621</v>
      </c>
      <c r="C764" s="475">
        <v>113</v>
      </c>
      <c r="D764" s="474" t="s">
        <v>2200</v>
      </c>
      <c r="E764" s="473" t="s">
        <v>31</v>
      </c>
      <c r="F764" s="484">
        <v>2755865.93</v>
      </c>
      <c r="G764" s="484">
        <v>0</v>
      </c>
      <c r="H764" s="483">
        <v>0</v>
      </c>
      <c r="I764" s="345" t="str">
        <f t="shared" si="36"/>
        <v>0113</v>
      </c>
      <c r="J764" s="346" t="str">
        <f t="shared" si="37"/>
        <v>8410010010</v>
      </c>
    </row>
    <row r="765" spans="1:10" hidden="1">
      <c r="A765" s="346" t="str">
        <f t="shared" si="33"/>
        <v>62101138410010010851</v>
      </c>
      <c r="B765" s="476">
        <v>621</v>
      </c>
      <c r="C765" s="475">
        <v>113</v>
      </c>
      <c r="D765" s="474" t="s">
        <v>2200</v>
      </c>
      <c r="E765" s="473" t="s">
        <v>35</v>
      </c>
      <c r="F765" s="484">
        <v>215000</v>
      </c>
      <c r="G765" s="484">
        <v>0</v>
      </c>
      <c r="H765" s="483">
        <v>0</v>
      </c>
      <c r="I765" s="345" t="str">
        <f t="shared" si="36"/>
        <v>0113</v>
      </c>
      <c r="J765" s="346" t="str">
        <f t="shared" si="37"/>
        <v>8410010010</v>
      </c>
    </row>
    <row r="766" spans="1:10" hidden="1">
      <c r="A766" s="346" t="str">
        <f t="shared" si="33"/>
        <v>62101138410010010852</v>
      </c>
      <c r="B766" s="476">
        <v>621</v>
      </c>
      <c r="C766" s="475">
        <v>113</v>
      </c>
      <c r="D766" s="474" t="s">
        <v>2200</v>
      </c>
      <c r="E766" s="473" t="s">
        <v>37</v>
      </c>
      <c r="F766" s="484">
        <v>10774.06</v>
      </c>
      <c r="G766" s="484">
        <v>0</v>
      </c>
      <c r="H766" s="483">
        <v>0</v>
      </c>
      <c r="I766" s="345" t="str">
        <f t="shared" si="36"/>
        <v>0113</v>
      </c>
      <c r="J766" s="346" t="str">
        <f t="shared" si="37"/>
        <v>8410010010</v>
      </c>
    </row>
    <row r="767" spans="1:10" hidden="1">
      <c r="A767" s="346" t="str">
        <f t="shared" si="33"/>
        <v>62101138410010010853</v>
      </c>
      <c r="B767" s="476">
        <v>621</v>
      </c>
      <c r="C767" s="475">
        <v>113</v>
      </c>
      <c r="D767" s="474" t="s">
        <v>2200</v>
      </c>
      <c r="E767" s="473" t="s">
        <v>78</v>
      </c>
      <c r="F767" s="484">
        <v>525.94000000000005</v>
      </c>
      <c r="G767" s="484">
        <v>0</v>
      </c>
      <c r="H767" s="483">
        <v>0</v>
      </c>
      <c r="I767" s="345" t="str">
        <f t="shared" si="36"/>
        <v>0113</v>
      </c>
      <c r="J767" s="346" t="str">
        <f t="shared" si="37"/>
        <v>8410010010</v>
      </c>
    </row>
    <row r="768" spans="1:10" hidden="1">
      <c r="A768" s="346" t="str">
        <f t="shared" si="33"/>
        <v>62101138410010020121</v>
      </c>
      <c r="B768" s="476">
        <v>621</v>
      </c>
      <c r="C768" s="475">
        <v>113</v>
      </c>
      <c r="D768" s="474" t="s">
        <v>2201</v>
      </c>
      <c r="E768" s="473" t="s">
        <v>41</v>
      </c>
      <c r="F768" s="484">
        <v>25714307.780000001</v>
      </c>
      <c r="G768" s="484">
        <v>0</v>
      </c>
      <c r="H768" s="483">
        <v>0</v>
      </c>
      <c r="I768" s="345" t="str">
        <f t="shared" si="36"/>
        <v>0113</v>
      </c>
      <c r="J768" s="346" t="str">
        <f t="shared" si="37"/>
        <v>8410010020</v>
      </c>
    </row>
    <row r="769" spans="1:10" hidden="1">
      <c r="A769" s="346" t="str">
        <f t="shared" si="33"/>
        <v>62101138410010020129</v>
      </c>
      <c r="B769" s="476">
        <v>621</v>
      </c>
      <c r="C769" s="475">
        <v>113</v>
      </c>
      <c r="D769" s="474" t="s">
        <v>2201</v>
      </c>
      <c r="E769" s="473" t="s">
        <v>27</v>
      </c>
      <c r="F769" s="484">
        <v>7563979.2599999998</v>
      </c>
      <c r="G769" s="484">
        <v>0</v>
      </c>
      <c r="H769" s="483">
        <v>0</v>
      </c>
      <c r="I769" s="345" t="str">
        <f t="shared" si="36"/>
        <v>0113</v>
      </c>
      <c r="J769" s="346" t="str">
        <f t="shared" si="37"/>
        <v>8410010020</v>
      </c>
    </row>
    <row r="770" spans="1:10" hidden="1">
      <c r="A770" s="346" t="str">
        <f t="shared" si="33"/>
        <v>62101138410010050121</v>
      </c>
      <c r="B770" s="476">
        <v>621</v>
      </c>
      <c r="C770" s="475">
        <v>113</v>
      </c>
      <c r="D770" s="474" t="s">
        <v>2202</v>
      </c>
      <c r="E770" s="473" t="s">
        <v>41</v>
      </c>
      <c r="F770" s="484">
        <v>343910</v>
      </c>
      <c r="G770" s="484">
        <v>0</v>
      </c>
      <c r="H770" s="483">
        <v>0</v>
      </c>
      <c r="I770" s="345" t="str">
        <f t="shared" si="36"/>
        <v>0113</v>
      </c>
      <c r="J770" s="346" t="str">
        <f t="shared" si="37"/>
        <v>8410010050</v>
      </c>
    </row>
    <row r="771" spans="1:10" hidden="1">
      <c r="A771" s="346" t="str">
        <f>B771&amp;I771&amp;J771&amp;E771</f>
        <v>62101138410010050122</v>
      </c>
      <c r="B771" s="476">
        <v>621</v>
      </c>
      <c r="C771" s="475">
        <v>113</v>
      </c>
      <c r="D771" s="474" t="s">
        <v>2202</v>
      </c>
      <c r="E771" s="473" t="s">
        <v>23</v>
      </c>
      <c r="F771" s="484">
        <v>0</v>
      </c>
      <c r="G771" s="484">
        <v>0</v>
      </c>
      <c r="H771" s="483">
        <v>0</v>
      </c>
      <c r="I771" s="345" t="str">
        <f t="shared" si="36"/>
        <v>0113</v>
      </c>
      <c r="J771" s="346" t="str">
        <f t="shared" si="37"/>
        <v>8410010050</v>
      </c>
    </row>
    <row r="772" spans="1:10" hidden="1">
      <c r="A772" s="346" t="str">
        <f t="shared" si="33"/>
        <v>62101138410010050129</v>
      </c>
      <c r="B772" s="476">
        <v>621</v>
      </c>
      <c r="C772" s="475">
        <v>113</v>
      </c>
      <c r="D772" s="474" t="s">
        <v>2202</v>
      </c>
      <c r="E772" s="473" t="s">
        <v>27</v>
      </c>
      <c r="F772" s="484">
        <v>103860.82</v>
      </c>
      <c r="G772" s="484">
        <v>0</v>
      </c>
      <c r="H772" s="483">
        <v>0</v>
      </c>
      <c r="I772" s="345" t="str">
        <f t="shared" si="36"/>
        <v>0113</v>
      </c>
      <c r="J772" s="346" t="str">
        <f t="shared" si="37"/>
        <v>8410010050</v>
      </c>
    </row>
    <row r="773" spans="1:10" hidden="1">
      <c r="A773" s="346" t="str">
        <f t="shared" si="33"/>
        <v>62101138410020050831</v>
      </c>
      <c r="B773" s="476">
        <v>621</v>
      </c>
      <c r="C773" s="475">
        <v>113</v>
      </c>
      <c r="D773" s="474" t="s">
        <v>2203</v>
      </c>
      <c r="E773" s="473" t="s">
        <v>192</v>
      </c>
      <c r="F773" s="484">
        <v>63610</v>
      </c>
      <c r="G773" s="484">
        <v>0</v>
      </c>
      <c r="H773" s="483">
        <v>0</v>
      </c>
      <c r="I773" s="345" t="str">
        <f t="shared" si="36"/>
        <v>0113</v>
      </c>
      <c r="J773" s="346" t="str">
        <f t="shared" si="37"/>
        <v>8410020050</v>
      </c>
    </row>
    <row r="774" spans="1:10" hidden="1">
      <c r="A774" s="346" t="str">
        <f t="shared" si="33"/>
        <v>62101138410021040853</v>
      </c>
      <c r="B774" s="476">
        <v>621</v>
      </c>
      <c r="C774" s="475">
        <v>113</v>
      </c>
      <c r="D774" s="474" t="s">
        <v>2204</v>
      </c>
      <c r="E774" s="473" t="s">
        <v>78</v>
      </c>
      <c r="F774" s="484">
        <v>10000</v>
      </c>
      <c r="G774" s="484">
        <v>0</v>
      </c>
      <c r="H774" s="483">
        <v>0</v>
      </c>
      <c r="I774" s="345" t="str">
        <f t="shared" si="36"/>
        <v>0113</v>
      </c>
      <c r="J774" s="346" t="str">
        <f t="shared" si="37"/>
        <v>8410021040</v>
      </c>
    </row>
    <row r="775" spans="1:10" hidden="1">
      <c r="A775" s="346" t="str">
        <f t="shared" si="33"/>
        <v>62101138410077460121</v>
      </c>
      <c r="B775" s="476">
        <v>621</v>
      </c>
      <c r="C775" s="475">
        <v>113</v>
      </c>
      <c r="D775" s="474" t="s">
        <v>2205</v>
      </c>
      <c r="E775" s="473" t="s">
        <v>41</v>
      </c>
      <c r="F775" s="484">
        <v>1095111.3400000001</v>
      </c>
      <c r="G775" s="484">
        <v>0</v>
      </c>
      <c r="H775" s="483">
        <v>0</v>
      </c>
      <c r="I775" s="345" t="str">
        <f t="shared" si="36"/>
        <v>0113</v>
      </c>
      <c r="J775" s="346" t="str">
        <f t="shared" si="37"/>
        <v>8410077460</v>
      </c>
    </row>
    <row r="776" spans="1:10" hidden="1">
      <c r="A776" s="346" t="str">
        <f t="shared" si="33"/>
        <v>62101138410077460129</v>
      </c>
      <c r="B776" s="476">
        <v>621</v>
      </c>
      <c r="C776" s="475">
        <v>113</v>
      </c>
      <c r="D776" s="474" t="s">
        <v>2205</v>
      </c>
      <c r="E776" s="473" t="s">
        <v>27</v>
      </c>
      <c r="F776" s="484">
        <v>330723.63</v>
      </c>
      <c r="G776" s="484">
        <v>0</v>
      </c>
      <c r="H776" s="483">
        <v>0</v>
      </c>
      <c r="I776" s="345" t="str">
        <f t="shared" si="36"/>
        <v>0113</v>
      </c>
      <c r="J776" s="346" t="str">
        <f t="shared" si="37"/>
        <v>8410077460</v>
      </c>
    </row>
    <row r="777" spans="1:10" hidden="1">
      <c r="A777" s="346" t="str">
        <f t="shared" si="33"/>
        <v>62101138410077500121</v>
      </c>
      <c r="B777" s="476">
        <v>621</v>
      </c>
      <c r="C777" s="475">
        <v>113</v>
      </c>
      <c r="D777" s="474" t="s">
        <v>2206</v>
      </c>
      <c r="E777" s="473" t="s">
        <v>41</v>
      </c>
      <c r="F777" s="484">
        <v>7320500</v>
      </c>
      <c r="G777" s="484">
        <v>0</v>
      </c>
      <c r="H777" s="483">
        <v>0</v>
      </c>
      <c r="I777" s="345" t="str">
        <f t="shared" si="36"/>
        <v>0113</v>
      </c>
      <c r="J777" s="346" t="str">
        <f t="shared" si="37"/>
        <v>8410077500</v>
      </c>
    </row>
    <row r="778" spans="1:10" hidden="1">
      <c r="A778" s="346" t="str">
        <f t="shared" si="33"/>
        <v>62101138410077500122</v>
      </c>
      <c r="B778" s="476">
        <v>621</v>
      </c>
      <c r="C778" s="475">
        <v>113</v>
      </c>
      <c r="D778" s="474" t="s">
        <v>2206</v>
      </c>
      <c r="E778" s="473" t="s">
        <v>23</v>
      </c>
      <c r="F778" s="484">
        <v>140420</v>
      </c>
      <c r="G778" s="484">
        <v>0</v>
      </c>
      <c r="H778" s="483">
        <v>0</v>
      </c>
      <c r="I778" s="345" t="str">
        <f t="shared" ref="I778:I841" si="38">TEXT(C778,"0000")</f>
        <v>0113</v>
      </c>
      <c r="J778" s="346" t="str">
        <f t="shared" ref="J778:J841" si="39">TEXT(D778,"0000000000")</f>
        <v>8410077500</v>
      </c>
    </row>
    <row r="779" spans="1:10" hidden="1">
      <c r="A779" s="346" t="str">
        <f t="shared" ref="A779:A842" si="40">B779&amp;I779&amp;J779&amp;E779</f>
        <v>62101138410077500129</v>
      </c>
      <c r="B779" s="476">
        <v>621</v>
      </c>
      <c r="C779" s="475">
        <v>113</v>
      </c>
      <c r="D779" s="474" t="s">
        <v>2206</v>
      </c>
      <c r="E779" s="473" t="s">
        <v>27</v>
      </c>
      <c r="F779" s="484">
        <v>2253200</v>
      </c>
      <c r="G779" s="484">
        <v>0</v>
      </c>
      <c r="H779" s="483">
        <v>0</v>
      </c>
      <c r="I779" s="345" t="str">
        <f t="shared" si="38"/>
        <v>0113</v>
      </c>
      <c r="J779" s="346" t="str">
        <f t="shared" si="39"/>
        <v>8410077500</v>
      </c>
    </row>
    <row r="780" spans="1:10" hidden="1">
      <c r="A780" s="346" t="str">
        <f t="shared" si="40"/>
        <v>62101138410077500244</v>
      </c>
      <c r="B780" s="476">
        <v>621</v>
      </c>
      <c r="C780" s="475">
        <v>113</v>
      </c>
      <c r="D780" s="474" t="s">
        <v>2206</v>
      </c>
      <c r="E780" s="473" t="s">
        <v>31</v>
      </c>
      <c r="F780" s="484">
        <v>165000</v>
      </c>
      <c r="G780" s="484">
        <v>0</v>
      </c>
      <c r="H780" s="483">
        <v>0</v>
      </c>
      <c r="I780" s="345" t="str">
        <f t="shared" si="38"/>
        <v>0113</v>
      </c>
      <c r="J780" s="346" t="str">
        <f t="shared" si="39"/>
        <v>8410077500</v>
      </c>
    </row>
    <row r="781" spans="1:10" hidden="1">
      <c r="A781" s="346" t="str">
        <f t="shared" si="40"/>
        <v>62101138410077580121</v>
      </c>
      <c r="B781" s="476">
        <v>621</v>
      </c>
      <c r="C781" s="475">
        <v>113</v>
      </c>
      <c r="D781" s="474" t="s">
        <v>2207</v>
      </c>
      <c r="E781" s="473" t="s">
        <v>41</v>
      </c>
      <c r="F781" s="484">
        <v>20512</v>
      </c>
      <c r="G781" s="484">
        <v>0</v>
      </c>
      <c r="H781" s="483">
        <v>0</v>
      </c>
      <c r="I781" s="345" t="str">
        <f t="shared" si="38"/>
        <v>0113</v>
      </c>
      <c r="J781" s="346" t="str">
        <f t="shared" si="39"/>
        <v>8410077580</v>
      </c>
    </row>
    <row r="782" spans="1:10" hidden="1">
      <c r="A782" s="346" t="str">
        <f t="shared" si="40"/>
        <v>62101138410077580129</v>
      </c>
      <c r="B782" s="476">
        <v>621</v>
      </c>
      <c r="C782" s="475">
        <v>113</v>
      </c>
      <c r="D782" s="474" t="s">
        <v>2207</v>
      </c>
      <c r="E782" s="473" t="s">
        <v>27</v>
      </c>
      <c r="F782" s="484">
        <v>6194.63</v>
      </c>
      <c r="G782" s="484">
        <v>0</v>
      </c>
      <c r="H782" s="483">
        <v>0</v>
      </c>
      <c r="I782" s="345" t="str">
        <f t="shared" si="38"/>
        <v>0113</v>
      </c>
      <c r="J782" s="346" t="str">
        <f t="shared" si="39"/>
        <v>8410077580</v>
      </c>
    </row>
    <row r="783" spans="1:10" hidden="1">
      <c r="A783" s="346" t="str">
        <f t="shared" si="40"/>
        <v>621011384100S7500121</v>
      </c>
      <c r="B783" s="476">
        <v>621</v>
      </c>
      <c r="C783" s="475">
        <v>113</v>
      </c>
      <c r="D783" s="474" t="s">
        <v>2208</v>
      </c>
      <c r="E783" s="473" t="s">
        <v>41</v>
      </c>
      <c r="F783" s="484">
        <v>385289.47</v>
      </c>
      <c r="G783" s="484">
        <v>0</v>
      </c>
      <c r="H783" s="483">
        <v>0</v>
      </c>
      <c r="I783" s="345" t="str">
        <f t="shared" si="38"/>
        <v>0113</v>
      </c>
      <c r="J783" s="346" t="str">
        <f t="shared" si="39"/>
        <v>84100S7500</v>
      </c>
    </row>
    <row r="784" spans="1:10" hidden="1">
      <c r="A784" s="346" t="str">
        <f t="shared" si="40"/>
        <v>621011384100S7500122</v>
      </c>
      <c r="B784" s="476">
        <v>621</v>
      </c>
      <c r="C784" s="475">
        <v>113</v>
      </c>
      <c r="D784" s="474" t="s">
        <v>2208</v>
      </c>
      <c r="E784" s="473" t="s">
        <v>23</v>
      </c>
      <c r="F784" s="484">
        <v>7390.53</v>
      </c>
      <c r="G784" s="484">
        <v>0</v>
      </c>
      <c r="H784" s="483">
        <v>0</v>
      </c>
      <c r="I784" s="345" t="str">
        <f t="shared" si="38"/>
        <v>0113</v>
      </c>
      <c r="J784" s="346" t="str">
        <f t="shared" si="39"/>
        <v>84100S7500</v>
      </c>
    </row>
    <row r="785" spans="1:10" hidden="1">
      <c r="A785" s="346" t="str">
        <f t="shared" si="40"/>
        <v>621011384100S7500129</v>
      </c>
      <c r="B785" s="476">
        <v>621</v>
      </c>
      <c r="C785" s="475">
        <v>113</v>
      </c>
      <c r="D785" s="474" t="s">
        <v>2208</v>
      </c>
      <c r="E785" s="473" t="s">
        <v>27</v>
      </c>
      <c r="F785" s="484">
        <v>118589.47</v>
      </c>
      <c r="G785" s="484">
        <v>0</v>
      </c>
      <c r="H785" s="483">
        <v>0</v>
      </c>
      <c r="I785" s="345" t="str">
        <f t="shared" si="38"/>
        <v>0113</v>
      </c>
      <c r="J785" s="346" t="str">
        <f t="shared" si="39"/>
        <v>84100S7500</v>
      </c>
    </row>
    <row r="786" spans="1:10" hidden="1">
      <c r="A786" s="346" t="str">
        <f t="shared" si="40"/>
        <v>621011384100S7500244</v>
      </c>
      <c r="B786" s="476">
        <v>621</v>
      </c>
      <c r="C786" s="475">
        <v>113</v>
      </c>
      <c r="D786" s="474" t="s">
        <v>2208</v>
      </c>
      <c r="E786" s="473" t="s">
        <v>31</v>
      </c>
      <c r="F786" s="484">
        <v>8684.2099999999991</v>
      </c>
      <c r="G786" s="484">
        <v>0</v>
      </c>
      <c r="H786" s="483">
        <v>0</v>
      </c>
      <c r="I786" s="345" t="str">
        <f t="shared" si="38"/>
        <v>0113</v>
      </c>
      <c r="J786" s="346" t="str">
        <f t="shared" si="39"/>
        <v>84100S7500</v>
      </c>
    </row>
    <row r="787" spans="1:10" hidden="1">
      <c r="A787" s="346" t="str">
        <f t="shared" si="40"/>
        <v>62101138420020740244</v>
      </c>
      <c r="B787" s="476">
        <v>621</v>
      </c>
      <c r="C787" s="475">
        <v>113</v>
      </c>
      <c r="D787" s="474" t="s">
        <v>2209</v>
      </c>
      <c r="E787" s="473" t="s">
        <v>31</v>
      </c>
      <c r="F787" s="484">
        <v>180794</v>
      </c>
      <c r="G787" s="484">
        <v>0</v>
      </c>
      <c r="H787" s="483">
        <v>0</v>
      </c>
      <c r="I787" s="345" t="str">
        <f t="shared" si="38"/>
        <v>0113</v>
      </c>
      <c r="J787" s="346" t="str">
        <f t="shared" si="39"/>
        <v>8420020740</v>
      </c>
    </row>
    <row r="788" spans="1:10" hidden="1">
      <c r="A788" s="346" t="str">
        <f t="shared" si="40"/>
        <v>62101138420020740831</v>
      </c>
      <c r="B788" s="476">
        <v>621</v>
      </c>
      <c r="C788" s="475">
        <v>113</v>
      </c>
      <c r="D788" s="474" t="s">
        <v>2209</v>
      </c>
      <c r="E788" s="473" t="s">
        <v>192</v>
      </c>
      <c r="F788" s="484">
        <v>212856</v>
      </c>
      <c r="G788" s="484">
        <v>0</v>
      </c>
      <c r="H788" s="483">
        <v>0</v>
      </c>
      <c r="I788" s="345" t="str">
        <f t="shared" si="38"/>
        <v>0113</v>
      </c>
      <c r="J788" s="346" t="str">
        <f t="shared" si="39"/>
        <v>8420020740</v>
      </c>
    </row>
    <row r="789" spans="1:10" hidden="1">
      <c r="A789" s="346" t="str">
        <f t="shared" si="40"/>
        <v>62101138420021100244</v>
      </c>
      <c r="B789" s="476">
        <v>621</v>
      </c>
      <c r="C789" s="475">
        <v>113</v>
      </c>
      <c r="D789" s="474" t="s">
        <v>2210</v>
      </c>
      <c r="E789" s="473" t="s">
        <v>31</v>
      </c>
      <c r="F789" s="484">
        <v>4248850.46</v>
      </c>
      <c r="G789" s="484">
        <v>0</v>
      </c>
      <c r="H789" s="483">
        <v>0</v>
      </c>
      <c r="I789" s="345" t="str">
        <f t="shared" si="38"/>
        <v>0113</v>
      </c>
      <c r="J789" s="346" t="str">
        <f t="shared" si="39"/>
        <v>8420021100</v>
      </c>
    </row>
    <row r="790" spans="1:10" hidden="1">
      <c r="A790" s="346" t="str">
        <f t="shared" si="40"/>
        <v>621041205Б0120390244</v>
      </c>
      <c r="B790" s="476">
        <v>621</v>
      </c>
      <c r="C790" s="475">
        <v>412</v>
      </c>
      <c r="D790" s="474" t="s">
        <v>1253</v>
      </c>
      <c r="E790" s="473" t="s">
        <v>31</v>
      </c>
      <c r="F790" s="484">
        <v>4690744.41</v>
      </c>
      <c r="G790" s="484">
        <v>0</v>
      </c>
      <c r="H790" s="483">
        <v>0</v>
      </c>
      <c r="I790" s="345" t="str">
        <f t="shared" si="38"/>
        <v>0412</v>
      </c>
      <c r="J790" s="346" t="str">
        <f t="shared" si="39"/>
        <v>05Б0120390</v>
      </c>
    </row>
    <row r="791" spans="1:10" hidden="1">
      <c r="A791" s="346" t="str">
        <f t="shared" si="40"/>
        <v>621041205Б0221190244</v>
      </c>
      <c r="B791" s="476">
        <v>621</v>
      </c>
      <c r="C791" s="475">
        <v>412</v>
      </c>
      <c r="D791" s="474" t="s">
        <v>1255</v>
      </c>
      <c r="E791" s="473" t="s">
        <v>31</v>
      </c>
      <c r="F791" s="484">
        <v>390000</v>
      </c>
      <c r="G791" s="484">
        <v>0</v>
      </c>
      <c r="H791" s="483">
        <v>0</v>
      </c>
      <c r="I791" s="345" t="str">
        <f t="shared" si="38"/>
        <v>0412</v>
      </c>
      <c r="J791" s="346" t="str">
        <f t="shared" si="39"/>
        <v>05Б0221190</v>
      </c>
    </row>
    <row r="792" spans="1:10" hidden="1">
      <c r="A792" s="346" t="str">
        <f t="shared" si="40"/>
        <v>62104128420021210244</v>
      </c>
      <c r="B792" s="476">
        <v>621</v>
      </c>
      <c r="C792" s="475">
        <v>412</v>
      </c>
      <c r="D792" s="474" t="s">
        <v>2211</v>
      </c>
      <c r="E792" s="473" t="s">
        <v>31</v>
      </c>
      <c r="F792" s="484">
        <v>0</v>
      </c>
      <c r="G792" s="484">
        <v>0</v>
      </c>
      <c r="H792" s="483">
        <v>0</v>
      </c>
      <c r="I792" s="345" t="str">
        <f t="shared" si="38"/>
        <v>0412</v>
      </c>
      <c r="J792" s="346" t="str">
        <f t="shared" si="39"/>
        <v>8420021210</v>
      </c>
    </row>
    <row r="793" spans="1:10" hidden="1">
      <c r="A793" s="346" t="str">
        <f t="shared" si="40"/>
        <v>62105018420020200244</v>
      </c>
      <c r="B793" s="476">
        <v>621</v>
      </c>
      <c r="C793" s="475">
        <v>501</v>
      </c>
      <c r="D793" s="474" t="s">
        <v>2212</v>
      </c>
      <c r="E793" s="473" t="s">
        <v>31</v>
      </c>
      <c r="F793" s="484">
        <v>1139500</v>
      </c>
      <c r="G793" s="484">
        <v>0</v>
      </c>
      <c r="H793" s="483">
        <v>0</v>
      </c>
      <c r="I793" s="345" t="str">
        <f t="shared" si="38"/>
        <v>0501</v>
      </c>
      <c r="J793" s="346" t="str">
        <f t="shared" si="39"/>
        <v>8420020200</v>
      </c>
    </row>
    <row r="794" spans="1:10" hidden="1">
      <c r="A794" s="346" t="str">
        <f t="shared" si="40"/>
        <v>62105030430420300244</v>
      </c>
      <c r="B794" s="476">
        <v>621</v>
      </c>
      <c r="C794" s="475">
        <v>503</v>
      </c>
      <c r="D794" s="474" t="s">
        <v>2030</v>
      </c>
      <c r="E794" s="473" t="s">
        <v>31</v>
      </c>
      <c r="F794" s="484">
        <v>0</v>
      </c>
      <c r="G794" s="484">
        <v>0</v>
      </c>
      <c r="H794" s="483">
        <v>0</v>
      </c>
      <c r="I794" s="345" t="str">
        <f t="shared" si="38"/>
        <v>0503</v>
      </c>
      <c r="J794" s="346" t="str">
        <f t="shared" si="39"/>
        <v>0430420300</v>
      </c>
    </row>
    <row r="795" spans="1:10" hidden="1">
      <c r="A795" s="346" t="str">
        <f t="shared" si="40"/>
        <v>62105030430420300414</v>
      </c>
      <c r="B795" s="476">
        <v>621</v>
      </c>
      <c r="C795" s="475">
        <v>503</v>
      </c>
      <c r="D795" s="474" t="s">
        <v>2030</v>
      </c>
      <c r="E795" s="473" t="s">
        <v>840</v>
      </c>
      <c r="F795" s="484">
        <v>0</v>
      </c>
      <c r="G795" s="484">
        <v>0</v>
      </c>
      <c r="H795" s="483">
        <v>0</v>
      </c>
      <c r="I795" s="345" t="str">
        <f t="shared" si="38"/>
        <v>0503</v>
      </c>
      <c r="J795" s="346" t="str">
        <f t="shared" si="39"/>
        <v>0430420300</v>
      </c>
    </row>
    <row r="796" spans="1:10" hidden="1">
      <c r="A796" s="346" t="str">
        <f t="shared" si="40"/>
        <v>62105030430420800244</v>
      </c>
      <c r="B796" s="476">
        <v>621</v>
      </c>
      <c r="C796" s="475">
        <v>503</v>
      </c>
      <c r="D796" s="474" t="s">
        <v>2213</v>
      </c>
      <c r="E796" s="473" t="s">
        <v>31</v>
      </c>
      <c r="F796" s="484">
        <v>1936474.25</v>
      </c>
      <c r="G796" s="484">
        <v>0</v>
      </c>
      <c r="H796" s="483">
        <v>0</v>
      </c>
      <c r="I796" s="345" t="str">
        <f t="shared" si="38"/>
        <v>0503</v>
      </c>
      <c r="J796" s="346" t="str">
        <f t="shared" si="39"/>
        <v>0430420800</v>
      </c>
    </row>
    <row r="797" spans="1:10" hidden="1">
      <c r="A797" s="346" t="str">
        <f t="shared" si="40"/>
        <v>62105030430477330244</v>
      </c>
      <c r="B797" s="476">
        <v>621</v>
      </c>
      <c r="C797" s="475">
        <v>503</v>
      </c>
      <c r="D797" s="474" t="s">
        <v>2191</v>
      </c>
      <c r="E797" s="473" t="s">
        <v>31</v>
      </c>
      <c r="F797" s="484">
        <v>332160378.54000002</v>
      </c>
      <c r="G797" s="484">
        <v>0</v>
      </c>
      <c r="H797" s="483">
        <v>0</v>
      </c>
      <c r="I797" s="345" t="str">
        <f t="shared" si="38"/>
        <v>0503</v>
      </c>
      <c r="J797" s="346" t="str">
        <f t="shared" si="39"/>
        <v>0430477330</v>
      </c>
    </row>
    <row r="798" spans="1:10" hidden="1">
      <c r="A798" s="346" t="str">
        <f t="shared" si="40"/>
        <v>621050304304G6420244</v>
      </c>
      <c r="B798" s="476">
        <v>621</v>
      </c>
      <c r="C798" s="475">
        <v>503</v>
      </c>
      <c r="D798" s="474" t="s">
        <v>1231</v>
      </c>
      <c r="E798" s="473" t="s">
        <v>31</v>
      </c>
      <c r="F798" s="484">
        <v>10646693.439999999</v>
      </c>
      <c r="G798" s="484">
        <v>0</v>
      </c>
      <c r="H798" s="483">
        <v>0</v>
      </c>
      <c r="I798" s="345" t="str">
        <f t="shared" si="38"/>
        <v>0503</v>
      </c>
      <c r="J798" s="346" t="str">
        <f t="shared" si="39"/>
        <v>04304G6420</v>
      </c>
    </row>
    <row r="799" spans="1:10" hidden="1">
      <c r="A799" s="346" t="str">
        <f t="shared" si="40"/>
        <v>621050304304S6420244</v>
      </c>
      <c r="B799" s="476">
        <v>621</v>
      </c>
      <c r="C799" s="475">
        <v>503</v>
      </c>
      <c r="D799" s="474" t="s">
        <v>1232</v>
      </c>
      <c r="E799" s="473" t="s">
        <v>31</v>
      </c>
      <c r="F799" s="484">
        <v>8709800</v>
      </c>
      <c r="G799" s="484">
        <v>0</v>
      </c>
      <c r="H799" s="483">
        <v>0</v>
      </c>
      <c r="I799" s="345" t="str">
        <f t="shared" si="38"/>
        <v>0503</v>
      </c>
      <c r="J799" s="346" t="str">
        <f t="shared" si="39"/>
        <v>04304S6420</v>
      </c>
    </row>
    <row r="800" spans="1:10" hidden="1">
      <c r="A800" s="346" t="str">
        <f t="shared" si="40"/>
        <v>621050304304S7330244</v>
      </c>
      <c r="B800" s="476">
        <v>621</v>
      </c>
      <c r="C800" s="475">
        <v>503</v>
      </c>
      <c r="D800" s="474" t="s">
        <v>1256</v>
      </c>
      <c r="E800" s="473" t="s">
        <v>31</v>
      </c>
      <c r="F800" s="484">
        <v>27107761.66</v>
      </c>
      <c r="G800" s="484">
        <v>0</v>
      </c>
      <c r="H800" s="483">
        <v>0</v>
      </c>
      <c r="I800" s="345" t="str">
        <f t="shared" si="38"/>
        <v>0503</v>
      </c>
      <c r="J800" s="346" t="str">
        <f t="shared" si="39"/>
        <v>04304S7330</v>
      </c>
    </row>
    <row r="801" spans="1:10" hidden="1">
      <c r="A801" s="346" t="str">
        <f t="shared" si="40"/>
        <v>62105039820020800414</v>
      </c>
      <c r="B801" s="476">
        <v>621</v>
      </c>
      <c r="C801" s="475">
        <v>503</v>
      </c>
      <c r="D801" s="474" t="s">
        <v>2214</v>
      </c>
      <c r="E801" s="473" t="s">
        <v>840</v>
      </c>
      <c r="F801" s="484">
        <v>37603730.520000003</v>
      </c>
      <c r="G801" s="484">
        <v>0</v>
      </c>
      <c r="H801" s="483">
        <v>0</v>
      </c>
      <c r="I801" s="345" t="str">
        <f t="shared" si="38"/>
        <v>0503</v>
      </c>
      <c r="J801" s="346" t="str">
        <f t="shared" si="39"/>
        <v>9820020800</v>
      </c>
    </row>
    <row r="802" spans="1:10" hidden="1">
      <c r="A802" s="346" t="str">
        <f t="shared" si="40"/>
        <v>62107010120140010412</v>
      </c>
      <c r="B802" s="476">
        <v>621</v>
      </c>
      <c r="C802" s="475">
        <v>701</v>
      </c>
      <c r="D802" s="474" t="s">
        <v>1997</v>
      </c>
      <c r="E802" s="473" t="s">
        <v>1162</v>
      </c>
      <c r="F802" s="484">
        <v>0</v>
      </c>
      <c r="G802" s="484">
        <v>0</v>
      </c>
      <c r="H802" s="483">
        <v>0</v>
      </c>
      <c r="I802" s="345" t="str">
        <f t="shared" si="38"/>
        <v>0701</v>
      </c>
      <c r="J802" s="346" t="str">
        <f t="shared" si="39"/>
        <v>0120140010</v>
      </c>
    </row>
    <row r="803" spans="1:10" hidden="1">
      <c r="A803" s="346" t="str">
        <f t="shared" si="40"/>
        <v>62107010120140010414</v>
      </c>
      <c r="B803" s="476">
        <v>621</v>
      </c>
      <c r="C803" s="475">
        <v>701</v>
      </c>
      <c r="D803" s="474" t="s">
        <v>1997</v>
      </c>
      <c r="E803" s="473" t="s">
        <v>840</v>
      </c>
      <c r="F803" s="484">
        <v>0</v>
      </c>
      <c r="G803" s="484">
        <v>0</v>
      </c>
      <c r="H803" s="483">
        <v>0</v>
      </c>
      <c r="I803" s="345" t="str">
        <f t="shared" si="38"/>
        <v>0701</v>
      </c>
      <c r="J803" s="346" t="str">
        <f t="shared" si="39"/>
        <v>0120140010</v>
      </c>
    </row>
    <row r="804" spans="1:10" hidden="1">
      <c r="A804" s="346" t="str">
        <f t="shared" si="40"/>
        <v>62107010120140060412</v>
      </c>
      <c r="B804" s="476">
        <v>621</v>
      </c>
      <c r="C804" s="475">
        <v>701</v>
      </c>
      <c r="D804" s="474" t="s">
        <v>2215</v>
      </c>
      <c r="E804" s="473" t="s">
        <v>1162</v>
      </c>
      <c r="F804" s="484">
        <v>0</v>
      </c>
      <c r="G804" s="484">
        <v>0</v>
      </c>
      <c r="H804" s="483">
        <v>0</v>
      </c>
      <c r="I804" s="345" t="str">
        <f t="shared" si="38"/>
        <v>0701</v>
      </c>
      <c r="J804" s="346" t="str">
        <f t="shared" si="39"/>
        <v>0120140060</v>
      </c>
    </row>
    <row r="805" spans="1:10" hidden="1">
      <c r="A805" s="346" t="str">
        <f t="shared" si="40"/>
        <v>62107010120177470414</v>
      </c>
      <c r="B805" s="476">
        <v>621</v>
      </c>
      <c r="C805" s="475">
        <v>701</v>
      </c>
      <c r="D805" s="474" t="s">
        <v>2369</v>
      </c>
      <c r="E805" s="473" t="s">
        <v>840</v>
      </c>
      <c r="F805" s="484">
        <v>0</v>
      </c>
      <c r="G805" s="484">
        <v>0</v>
      </c>
      <c r="H805" s="483">
        <v>0</v>
      </c>
      <c r="I805" s="345" t="str">
        <f t="shared" si="38"/>
        <v>0701</v>
      </c>
      <c r="J805" s="346" t="str">
        <f t="shared" si="39"/>
        <v>0120177470</v>
      </c>
    </row>
    <row r="806" spans="1:10" hidden="1">
      <c r="A806" s="346" t="str">
        <f t="shared" si="40"/>
        <v>62107010120177471414</v>
      </c>
      <c r="B806" s="476">
        <v>621</v>
      </c>
      <c r="C806" s="475">
        <v>701</v>
      </c>
      <c r="D806" s="474" t="s">
        <v>2216</v>
      </c>
      <c r="E806" s="473" t="s">
        <v>840</v>
      </c>
      <c r="F806" s="484">
        <v>0</v>
      </c>
      <c r="G806" s="484">
        <v>0</v>
      </c>
      <c r="H806" s="483">
        <v>0</v>
      </c>
      <c r="I806" s="345" t="str">
        <f t="shared" si="38"/>
        <v>0701</v>
      </c>
      <c r="J806" s="346" t="str">
        <f t="shared" si="39"/>
        <v>0120177471</v>
      </c>
    </row>
    <row r="807" spans="1:10" hidden="1">
      <c r="A807" s="346" t="str">
        <f t="shared" si="40"/>
        <v>62107010120197471414</v>
      </c>
      <c r="B807" s="476">
        <v>621</v>
      </c>
      <c r="C807" s="475">
        <v>701</v>
      </c>
      <c r="D807" s="474" t="s">
        <v>2217</v>
      </c>
      <c r="E807" s="473" t="s">
        <v>840</v>
      </c>
      <c r="F807" s="484">
        <v>0</v>
      </c>
      <c r="G807" s="484">
        <v>0</v>
      </c>
      <c r="H807" s="483">
        <v>0</v>
      </c>
      <c r="I807" s="345" t="str">
        <f t="shared" si="38"/>
        <v>0701</v>
      </c>
      <c r="J807" s="346" t="str">
        <f t="shared" si="39"/>
        <v>0120197471</v>
      </c>
    </row>
    <row r="808" spans="1:10" hidden="1">
      <c r="A808" s="346" t="str">
        <f t="shared" si="40"/>
        <v>621070101201L1591414</v>
      </c>
      <c r="B808" s="476">
        <v>621</v>
      </c>
      <c r="C808" s="475">
        <v>701</v>
      </c>
      <c r="D808" s="474" t="s">
        <v>2218</v>
      </c>
      <c r="E808" s="473" t="s">
        <v>840</v>
      </c>
      <c r="F808" s="484">
        <v>7865611.6900000004</v>
      </c>
      <c r="G808" s="484">
        <v>0</v>
      </c>
      <c r="H808" s="483">
        <v>0</v>
      </c>
      <c r="I808" s="345" t="str">
        <f t="shared" si="38"/>
        <v>0701</v>
      </c>
      <c r="J808" s="346" t="str">
        <f t="shared" si="39"/>
        <v>01201L1591</v>
      </c>
    </row>
    <row r="809" spans="1:10" hidden="1">
      <c r="A809" s="346" t="str">
        <f t="shared" si="40"/>
        <v>621070101201L1592412</v>
      </c>
      <c r="B809" s="476">
        <v>621</v>
      </c>
      <c r="C809" s="475">
        <v>701</v>
      </c>
      <c r="D809" s="474" t="s">
        <v>2219</v>
      </c>
      <c r="E809" s="473" t="s">
        <v>1162</v>
      </c>
      <c r="F809" s="484">
        <v>276817910</v>
      </c>
      <c r="G809" s="484">
        <v>0</v>
      </c>
      <c r="H809" s="483">
        <v>0</v>
      </c>
      <c r="I809" s="345" t="str">
        <f t="shared" si="38"/>
        <v>0701</v>
      </c>
      <c r="J809" s="346" t="str">
        <f t="shared" si="39"/>
        <v>01201L1592</v>
      </c>
    </row>
    <row r="810" spans="1:10" hidden="1">
      <c r="A810" s="346" t="str">
        <f t="shared" si="40"/>
        <v>621070101201S7470414</v>
      </c>
      <c r="B810" s="476">
        <v>621</v>
      </c>
      <c r="C810" s="475">
        <v>701</v>
      </c>
      <c r="D810" s="474" t="s">
        <v>2370</v>
      </c>
      <c r="E810" s="473" t="s">
        <v>840</v>
      </c>
      <c r="F810" s="484">
        <v>0</v>
      </c>
      <c r="G810" s="484">
        <v>0</v>
      </c>
      <c r="H810" s="483">
        <v>0</v>
      </c>
      <c r="I810" s="345" t="str">
        <f t="shared" si="38"/>
        <v>0701</v>
      </c>
      <c r="J810" s="346" t="str">
        <f t="shared" si="39"/>
        <v>01201S7470</v>
      </c>
    </row>
    <row r="811" spans="1:10">
      <c r="A811" s="346" t="str">
        <f t="shared" si="40"/>
        <v>62107020120140010414</v>
      </c>
      <c r="B811" s="476">
        <v>621</v>
      </c>
      <c r="C811" s="475">
        <v>702</v>
      </c>
      <c r="D811" s="474" t="s">
        <v>1997</v>
      </c>
      <c r="E811" s="473" t="s">
        <v>840</v>
      </c>
      <c r="F811" s="484">
        <v>16253.27</v>
      </c>
      <c r="G811" s="484">
        <v>0</v>
      </c>
      <c r="H811" s="483">
        <v>0</v>
      </c>
      <c r="I811" s="345" t="str">
        <f t="shared" si="38"/>
        <v>0702</v>
      </c>
      <c r="J811" s="346" t="str">
        <f t="shared" si="39"/>
        <v>0120140010</v>
      </c>
    </row>
    <row r="812" spans="1:10">
      <c r="A812" s="346" t="str">
        <f t="shared" si="40"/>
        <v>62107020120177203414</v>
      </c>
      <c r="B812" s="476">
        <v>621</v>
      </c>
      <c r="C812" s="475">
        <v>702</v>
      </c>
      <c r="D812" s="474" t="s">
        <v>2371</v>
      </c>
      <c r="E812" s="473" t="s">
        <v>840</v>
      </c>
      <c r="F812" s="484">
        <v>496523768.43000001</v>
      </c>
      <c r="G812" s="484">
        <v>0</v>
      </c>
      <c r="H812" s="483">
        <v>0</v>
      </c>
      <c r="I812" s="345" t="str">
        <f t="shared" si="38"/>
        <v>0702</v>
      </c>
      <c r="J812" s="346" t="str">
        <f t="shared" si="39"/>
        <v>0120177203</v>
      </c>
    </row>
    <row r="813" spans="1:10">
      <c r="A813" s="346" t="str">
        <f t="shared" si="40"/>
        <v>621070201201L5200414</v>
      </c>
      <c r="B813" s="476">
        <v>621</v>
      </c>
      <c r="C813" s="475">
        <v>702</v>
      </c>
      <c r="D813" s="474" t="s">
        <v>2220</v>
      </c>
      <c r="E813" s="473" t="s">
        <v>840</v>
      </c>
      <c r="F813" s="484">
        <v>0</v>
      </c>
      <c r="G813" s="484">
        <v>0</v>
      </c>
      <c r="H813" s="483">
        <v>0</v>
      </c>
      <c r="I813" s="345" t="str">
        <f t="shared" si="38"/>
        <v>0702</v>
      </c>
      <c r="J813" s="346" t="str">
        <f t="shared" si="39"/>
        <v>01201L5200</v>
      </c>
    </row>
    <row r="814" spans="1:10">
      <c r="A814" s="346" t="str">
        <f t="shared" si="40"/>
        <v>621070201201R5200414</v>
      </c>
      <c r="B814" s="476">
        <v>621</v>
      </c>
      <c r="C814" s="475">
        <v>702</v>
      </c>
      <c r="D814" s="474" t="s">
        <v>1258</v>
      </c>
      <c r="E814" s="473" t="s">
        <v>840</v>
      </c>
      <c r="F814" s="484">
        <v>9054.76</v>
      </c>
      <c r="G814" s="484">
        <v>0</v>
      </c>
      <c r="H814" s="483">
        <v>0</v>
      </c>
      <c r="I814" s="345" t="str">
        <f t="shared" si="38"/>
        <v>0702</v>
      </c>
      <c r="J814" s="346" t="str">
        <f t="shared" si="39"/>
        <v>01201R5200</v>
      </c>
    </row>
    <row r="815" spans="1:10">
      <c r="A815" s="346" t="str">
        <f t="shared" si="40"/>
        <v>621070201201S7203414</v>
      </c>
      <c r="B815" s="476">
        <v>621</v>
      </c>
      <c r="C815" s="475">
        <v>702</v>
      </c>
      <c r="D815" s="474" t="s">
        <v>2372</v>
      </c>
      <c r="E815" s="473" t="s">
        <v>840</v>
      </c>
      <c r="F815" s="484">
        <v>26132829.920000002</v>
      </c>
      <c r="G815" s="484">
        <v>0</v>
      </c>
      <c r="H815" s="483">
        <v>0</v>
      </c>
      <c r="I815" s="345" t="str">
        <f t="shared" si="38"/>
        <v>0702</v>
      </c>
      <c r="J815" s="346" t="str">
        <f t="shared" si="39"/>
        <v>01201S7203</v>
      </c>
    </row>
    <row r="816" spans="1:10" hidden="1">
      <c r="A816" s="346" t="str">
        <f t="shared" si="40"/>
        <v>62108010710120060244</v>
      </c>
      <c r="B816" s="476">
        <v>621</v>
      </c>
      <c r="C816" s="475">
        <v>801</v>
      </c>
      <c r="D816" s="474" t="s">
        <v>1946</v>
      </c>
      <c r="E816" s="473" t="s">
        <v>31</v>
      </c>
      <c r="F816" s="484">
        <v>3100440</v>
      </c>
      <c r="G816" s="484">
        <v>0</v>
      </c>
      <c r="H816" s="483">
        <v>0</v>
      </c>
      <c r="I816" s="345" t="str">
        <f t="shared" si="38"/>
        <v>0801</v>
      </c>
      <c r="J816" s="346" t="str">
        <f t="shared" si="39"/>
        <v>0710120060</v>
      </c>
    </row>
    <row r="817" spans="1:10" hidden="1">
      <c r="A817" s="346" t="str">
        <f t="shared" si="40"/>
        <v>62108010721340020414</v>
      </c>
      <c r="B817" s="476">
        <v>621</v>
      </c>
      <c r="C817" s="475">
        <v>801</v>
      </c>
      <c r="D817" s="474" t="s">
        <v>2221</v>
      </c>
      <c r="E817" s="473" t="s">
        <v>840</v>
      </c>
      <c r="F817" s="484">
        <v>94528.4</v>
      </c>
      <c r="G817" s="484">
        <v>0</v>
      </c>
      <c r="H817" s="483">
        <v>0</v>
      </c>
      <c r="I817" s="345" t="str">
        <f t="shared" si="38"/>
        <v>0801</v>
      </c>
      <c r="J817" s="346" t="str">
        <f t="shared" si="39"/>
        <v>0721340020</v>
      </c>
    </row>
    <row r="818" spans="1:10" hidden="1">
      <c r="A818" s="346" t="str">
        <f t="shared" si="40"/>
        <v>62111020810421380244</v>
      </c>
      <c r="B818" s="476">
        <v>621</v>
      </c>
      <c r="C818" s="475">
        <v>1102</v>
      </c>
      <c r="D818" s="474" t="s">
        <v>2222</v>
      </c>
      <c r="E818" s="473" t="s">
        <v>31</v>
      </c>
      <c r="F818" s="484">
        <v>88000</v>
      </c>
      <c r="G818" s="484">
        <v>0</v>
      </c>
      <c r="H818" s="483">
        <v>0</v>
      </c>
      <c r="I818" s="345" t="str">
        <f t="shared" si="38"/>
        <v>1102</v>
      </c>
      <c r="J818" s="346" t="str">
        <f t="shared" si="39"/>
        <v>0810421380</v>
      </c>
    </row>
    <row r="819" spans="1:10" hidden="1">
      <c r="A819" s="346" t="str">
        <f t="shared" si="40"/>
        <v>62403091530221290244</v>
      </c>
      <c r="B819" s="476">
        <v>624</v>
      </c>
      <c r="C819" s="475">
        <v>309</v>
      </c>
      <c r="D819" s="474" t="s">
        <v>2223</v>
      </c>
      <c r="E819" s="473" t="s">
        <v>31</v>
      </c>
      <c r="F819" s="484">
        <v>22950</v>
      </c>
      <c r="G819" s="484">
        <v>0</v>
      </c>
      <c r="H819" s="483">
        <v>0</v>
      </c>
      <c r="I819" s="345" t="str">
        <f t="shared" si="38"/>
        <v>0309</v>
      </c>
      <c r="J819" s="346" t="str">
        <f t="shared" si="39"/>
        <v>1530221290</v>
      </c>
    </row>
    <row r="820" spans="1:10" hidden="1">
      <c r="A820" s="346" t="str">
        <f t="shared" si="40"/>
        <v>62403091610120120244</v>
      </c>
      <c r="B820" s="476">
        <v>624</v>
      </c>
      <c r="C820" s="475">
        <v>309</v>
      </c>
      <c r="D820" s="474" t="s">
        <v>2224</v>
      </c>
      <c r="E820" s="473" t="s">
        <v>31</v>
      </c>
      <c r="F820" s="484">
        <v>100000</v>
      </c>
      <c r="G820" s="484">
        <v>0</v>
      </c>
      <c r="H820" s="483">
        <v>0</v>
      </c>
      <c r="I820" s="345" t="str">
        <f t="shared" si="38"/>
        <v>0309</v>
      </c>
      <c r="J820" s="346" t="str">
        <f t="shared" si="39"/>
        <v>1610120120</v>
      </c>
    </row>
    <row r="821" spans="1:10" hidden="1">
      <c r="A821" s="346" t="str">
        <f t="shared" si="40"/>
        <v>62403091610211010111</v>
      </c>
      <c r="B821" s="476">
        <v>624</v>
      </c>
      <c r="C821" s="475">
        <v>309</v>
      </c>
      <c r="D821" s="474" t="s">
        <v>2225</v>
      </c>
      <c r="E821" s="473" t="s">
        <v>141</v>
      </c>
      <c r="F821" s="484">
        <v>22075691.890000001</v>
      </c>
      <c r="G821" s="484">
        <v>0</v>
      </c>
      <c r="H821" s="483">
        <v>0</v>
      </c>
      <c r="I821" s="345" t="str">
        <f t="shared" si="38"/>
        <v>0309</v>
      </c>
      <c r="J821" s="346" t="str">
        <f t="shared" si="39"/>
        <v>1610211010</v>
      </c>
    </row>
    <row r="822" spans="1:10" hidden="1">
      <c r="A822" s="346" t="str">
        <f t="shared" si="40"/>
        <v>62403091610211010119</v>
      </c>
      <c r="B822" s="476">
        <v>624</v>
      </c>
      <c r="C822" s="475">
        <v>309</v>
      </c>
      <c r="D822" s="474" t="s">
        <v>2225</v>
      </c>
      <c r="E822" s="473" t="s">
        <v>145</v>
      </c>
      <c r="F822" s="484">
        <v>6617156.4900000002</v>
      </c>
      <c r="G822" s="484">
        <v>0</v>
      </c>
      <c r="H822" s="483">
        <v>0</v>
      </c>
      <c r="I822" s="345" t="str">
        <f t="shared" si="38"/>
        <v>0309</v>
      </c>
      <c r="J822" s="346" t="str">
        <f t="shared" si="39"/>
        <v>1610211010</v>
      </c>
    </row>
    <row r="823" spans="1:10" hidden="1">
      <c r="A823" s="346" t="str">
        <f t="shared" si="40"/>
        <v>62403091610211010244</v>
      </c>
      <c r="B823" s="476">
        <v>624</v>
      </c>
      <c r="C823" s="475">
        <v>309</v>
      </c>
      <c r="D823" s="474" t="s">
        <v>2225</v>
      </c>
      <c r="E823" s="473" t="s">
        <v>31</v>
      </c>
      <c r="F823" s="484">
        <v>4575946.8</v>
      </c>
      <c r="G823" s="484">
        <v>0</v>
      </c>
      <c r="H823" s="483">
        <v>0</v>
      </c>
      <c r="I823" s="345" t="str">
        <f t="shared" si="38"/>
        <v>0309</v>
      </c>
      <c r="J823" s="346" t="str">
        <f t="shared" si="39"/>
        <v>1610211010</v>
      </c>
    </row>
    <row r="824" spans="1:10" hidden="1">
      <c r="A824" s="346" t="str">
        <f t="shared" si="40"/>
        <v>62403091610211010851</v>
      </c>
      <c r="B824" s="476">
        <v>624</v>
      </c>
      <c r="C824" s="475">
        <v>309</v>
      </c>
      <c r="D824" s="474" t="s">
        <v>2225</v>
      </c>
      <c r="E824" s="473" t="s">
        <v>35</v>
      </c>
      <c r="F824" s="484">
        <v>720000</v>
      </c>
      <c r="G824" s="484">
        <v>0</v>
      </c>
      <c r="H824" s="483">
        <v>0</v>
      </c>
      <c r="I824" s="345" t="str">
        <f t="shared" si="38"/>
        <v>0309</v>
      </c>
      <c r="J824" s="346" t="str">
        <f t="shared" si="39"/>
        <v>1610211010</v>
      </c>
    </row>
    <row r="825" spans="1:10" hidden="1">
      <c r="A825" s="346" t="str">
        <f t="shared" si="40"/>
        <v>62403091610211010852</v>
      </c>
      <c r="B825" s="476">
        <v>624</v>
      </c>
      <c r="C825" s="475">
        <v>309</v>
      </c>
      <c r="D825" s="474" t="s">
        <v>2225</v>
      </c>
      <c r="E825" s="473" t="s">
        <v>37</v>
      </c>
      <c r="F825" s="484">
        <v>41000</v>
      </c>
      <c r="G825" s="484">
        <v>0</v>
      </c>
      <c r="H825" s="483">
        <v>0</v>
      </c>
      <c r="I825" s="345" t="str">
        <f t="shared" si="38"/>
        <v>0309</v>
      </c>
      <c r="J825" s="346" t="str">
        <f t="shared" si="39"/>
        <v>1610211010</v>
      </c>
    </row>
    <row r="826" spans="1:10" hidden="1">
      <c r="A826" s="346" t="str">
        <f t="shared" si="40"/>
        <v>62403091610211010853</v>
      </c>
      <c r="B826" s="476">
        <v>624</v>
      </c>
      <c r="C826" s="475">
        <v>309</v>
      </c>
      <c r="D826" s="474" t="s">
        <v>2225</v>
      </c>
      <c r="E826" s="473" t="s">
        <v>78</v>
      </c>
      <c r="F826" s="484">
        <v>0</v>
      </c>
      <c r="G826" s="484">
        <v>0</v>
      </c>
      <c r="H826" s="483">
        <v>0</v>
      </c>
      <c r="I826" s="345" t="str">
        <f t="shared" si="38"/>
        <v>0309</v>
      </c>
      <c r="J826" s="346" t="str">
        <f t="shared" si="39"/>
        <v>1610211010</v>
      </c>
    </row>
    <row r="827" spans="1:10" hidden="1">
      <c r="A827" s="346" t="str">
        <f t="shared" si="40"/>
        <v>62403091610277460111</v>
      </c>
      <c r="B827" s="476">
        <v>624</v>
      </c>
      <c r="C827" s="475">
        <v>309</v>
      </c>
      <c r="D827" s="474" t="s">
        <v>2226</v>
      </c>
      <c r="E827" s="473" t="s">
        <v>141</v>
      </c>
      <c r="F827" s="484">
        <v>766182.52</v>
      </c>
      <c r="G827" s="484">
        <v>0</v>
      </c>
      <c r="H827" s="483">
        <v>0</v>
      </c>
      <c r="I827" s="345" t="str">
        <f t="shared" si="38"/>
        <v>0309</v>
      </c>
      <c r="J827" s="346" t="str">
        <f t="shared" si="39"/>
        <v>1610277460</v>
      </c>
    </row>
    <row r="828" spans="1:10" hidden="1">
      <c r="A828" s="346" t="str">
        <f t="shared" si="40"/>
        <v>62403091610277460119</v>
      </c>
      <c r="B828" s="476">
        <v>624</v>
      </c>
      <c r="C828" s="475">
        <v>309</v>
      </c>
      <c r="D828" s="474" t="s">
        <v>2226</v>
      </c>
      <c r="E828" s="473" t="s">
        <v>145</v>
      </c>
      <c r="F828" s="484">
        <v>231387.12</v>
      </c>
      <c r="G828" s="484">
        <v>0</v>
      </c>
      <c r="H828" s="483">
        <v>0</v>
      </c>
      <c r="I828" s="345" t="str">
        <f t="shared" si="38"/>
        <v>0309</v>
      </c>
      <c r="J828" s="346" t="str">
        <f t="shared" si="39"/>
        <v>1610277460</v>
      </c>
    </row>
    <row r="829" spans="1:10" hidden="1">
      <c r="A829" s="346" t="str">
        <f t="shared" si="40"/>
        <v>62403091610320120244</v>
      </c>
      <c r="B829" s="476">
        <v>624</v>
      </c>
      <c r="C829" s="475">
        <v>309</v>
      </c>
      <c r="D829" s="474" t="s">
        <v>2227</v>
      </c>
      <c r="E829" s="473" t="s">
        <v>31</v>
      </c>
      <c r="F829" s="484">
        <v>423500</v>
      </c>
      <c r="G829" s="484">
        <v>0</v>
      </c>
      <c r="H829" s="483">
        <v>0</v>
      </c>
      <c r="I829" s="345" t="str">
        <f t="shared" si="38"/>
        <v>0309</v>
      </c>
      <c r="J829" s="346" t="str">
        <f t="shared" si="39"/>
        <v>1610320120</v>
      </c>
    </row>
    <row r="830" spans="1:10" hidden="1">
      <c r="A830" s="346" t="str">
        <f t="shared" si="40"/>
        <v>62403091610320120852</v>
      </c>
      <c r="B830" s="476">
        <v>624</v>
      </c>
      <c r="C830" s="475">
        <v>309</v>
      </c>
      <c r="D830" s="474" t="s">
        <v>2227</v>
      </c>
      <c r="E830" s="473" t="s">
        <v>37</v>
      </c>
      <c r="F830" s="484">
        <v>6500</v>
      </c>
      <c r="G830" s="484">
        <v>0</v>
      </c>
      <c r="H830" s="483">
        <v>0</v>
      </c>
      <c r="I830" s="345" t="str">
        <f t="shared" si="38"/>
        <v>0309</v>
      </c>
      <c r="J830" s="346" t="str">
        <f t="shared" si="39"/>
        <v>1610320120</v>
      </c>
    </row>
    <row r="831" spans="1:10" hidden="1">
      <c r="A831" s="346" t="str">
        <f t="shared" si="40"/>
        <v>62403091620120540244</v>
      </c>
      <c r="B831" s="476">
        <v>624</v>
      </c>
      <c r="C831" s="475">
        <v>309</v>
      </c>
      <c r="D831" s="474" t="s">
        <v>2228</v>
      </c>
      <c r="E831" s="473" t="s">
        <v>31</v>
      </c>
      <c r="F831" s="484">
        <v>534757</v>
      </c>
      <c r="G831" s="484">
        <v>0</v>
      </c>
      <c r="H831" s="483">
        <v>0</v>
      </c>
      <c r="I831" s="345" t="str">
        <f t="shared" si="38"/>
        <v>0309</v>
      </c>
      <c r="J831" s="346" t="str">
        <f t="shared" si="39"/>
        <v>1620120540</v>
      </c>
    </row>
    <row r="832" spans="1:10" hidden="1">
      <c r="A832" s="346" t="str">
        <f t="shared" si="40"/>
        <v>62403091620120540813</v>
      </c>
      <c r="B832" s="476">
        <v>624</v>
      </c>
      <c r="C832" s="475">
        <v>309</v>
      </c>
      <c r="D832" s="474" t="s">
        <v>2228</v>
      </c>
      <c r="E832" s="473" t="s">
        <v>227</v>
      </c>
      <c r="F832" s="484">
        <v>0</v>
      </c>
      <c r="G832" s="484">
        <v>0</v>
      </c>
      <c r="H832" s="483">
        <v>0</v>
      </c>
      <c r="I832" s="345" t="str">
        <f t="shared" si="38"/>
        <v>0309</v>
      </c>
      <c r="J832" s="346" t="str">
        <f t="shared" si="39"/>
        <v>1620120540</v>
      </c>
    </row>
    <row r="833" spans="1:10" hidden="1">
      <c r="A833" s="346" t="str">
        <f t="shared" si="40"/>
        <v>62403091630111010111</v>
      </c>
      <c r="B833" s="476">
        <v>624</v>
      </c>
      <c r="C833" s="475">
        <v>309</v>
      </c>
      <c r="D833" s="474" t="s">
        <v>2229</v>
      </c>
      <c r="E833" s="473" t="s">
        <v>141</v>
      </c>
      <c r="F833" s="484">
        <v>15407228.85</v>
      </c>
      <c r="G833" s="484">
        <v>0</v>
      </c>
      <c r="H833" s="483">
        <v>0</v>
      </c>
      <c r="I833" s="345" t="str">
        <f t="shared" si="38"/>
        <v>0309</v>
      </c>
      <c r="J833" s="346" t="str">
        <f t="shared" si="39"/>
        <v>1630111010</v>
      </c>
    </row>
    <row r="834" spans="1:10" hidden="1">
      <c r="A834" s="346" t="str">
        <f t="shared" si="40"/>
        <v>62403091630111010119</v>
      </c>
      <c r="B834" s="476">
        <v>624</v>
      </c>
      <c r="C834" s="475">
        <v>309</v>
      </c>
      <c r="D834" s="474" t="s">
        <v>2229</v>
      </c>
      <c r="E834" s="473" t="s">
        <v>145</v>
      </c>
      <c r="F834" s="484">
        <v>4622382.9000000004</v>
      </c>
      <c r="G834" s="484">
        <v>0</v>
      </c>
      <c r="H834" s="483">
        <v>0</v>
      </c>
      <c r="I834" s="345" t="str">
        <f t="shared" si="38"/>
        <v>0309</v>
      </c>
      <c r="J834" s="346" t="str">
        <f t="shared" si="39"/>
        <v>1630111010</v>
      </c>
    </row>
    <row r="835" spans="1:10" hidden="1">
      <c r="A835" s="346" t="str">
        <f t="shared" si="40"/>
        <v>62403091630111010244</v>
      </c>
      <c r="B835" s="476">
        <v>624</v>
      </c>
      <c r="C835" s="475">
        <v>309</v>
      </c>
      <c r="D835" s="474" t="s">
        <v>2229</v>
      </c>
      <c r="E835" s="473" t="s">
        <v>31</v>
      </c>
      <c r="F835" s="484">
        <v>2991237.04</v>
      </c>
      <c r="G835" s="484">
        <v>0</v>
      </c>
      <c r="H835" s="483">
        <v>0</v>
      </c>
      <c r="I835" s="345" t="str">
        <f t="shared" si="38"/>
        <v>0309</v>
      </c>
      <c r="J835" s="346" t="str">
        <f t="shared" si="39"/>
        <v>1630111010</v>
      </c>
    </row>
    <row r="836" spans="1:10" hidden="1">
      <c r="A836" s="346" t="str">
        <f t="shared" si="40"/>
        <v>62403091630111010851</v>
      </c>
      <c r="B836" s="476">
        <v>624</v>
      </c>
      <c r="C836" s="475">
        <v>309</v>
      </c>
      <c r="D836" s="474" t="s">
        <v>2229</v>
      </c>
      <c r="E836" s="473" t="s">
        <v>35</v>
      </c>
      <c r="F836" s="484">
        <v>287722</v>
      </c>
      <c r="G836" s="484">
        <v>0</v>
      </c>
      <c r="H836" s="483">
        <v>0</v>
      </c>
      <c r="I836" s="345" t="str">
        <f t="shared" si="38"/>
        <v>0309</v>
      </c>
      <c r="J836" s="346" t="str">
        <f t="shared" si="39"/>
        <v>1630111010</v>
      </c>
    </row>
    <row r="837" spans="1:10" hidden="1">
      <c r="A837" s="346" t="str">
        <f t="shared" si="40"/>
        <v>62403091630111010852</v>
      </c>
      <c r="B837" s="476">
        <v>624</v>
      </c>
      <c r="C837" s="475">
        <v>309</v>
      </c>
      <c r="D837" s="474" t="s">
        <v>2229</v>
      </c>
      <c r="E837" s="473" t="s">
        <v>37</v>
      </c>
      <c r="F837" s="484">
        <v>2670</v>
      </c>
      <c r="G837" s="484">
        <v>0</v>
      </c>
      <c r="H837" s="483">
        <v>0</v>
      </c>
      <c r="I837" s="345" t="str">
        <f t="shared" si="38"/>
        <v>0309</v>
      </c>
      <c r="J837" s="346" t="str">
        <f t="shared" si="39"/>
        <v>1630111010</v>
      </c>
    </row>
    <row r="838" spans="1:10" hidden="1">
      <c r="A838" s="346" t="str">
        <f t="shared" si="40"/>
        <v>62403091630111010853</v>
      </c>
      <c r="B838" s="476">
        <v>624</v>
      </c>
      <c r="C838" s="475">
        <v>309</v>
      </c>
      <c r="D838" s="474" t="s">
        <v>2229</v>
      </c>
      <c r="E838" s="473" t="s">
        <v>78</v>
      </c>
      <c r="F838" s="484">
        <v>2135.52</v>
      </c>
      <c r="G838" s="484">
        <v>0</v>
      </c>
      <c r="H838" s="483">
        <v>0</v>
      </c>
      <c r="I838" s="345" t="str">
        <f t="shared" si="38"/>
        <v>0309</v>
      </c>
      <c r="J838" s="346" t="str">
        <f t="shared" si="39"/>
        <v>1630111010</v>
      </c>
    </row>
    <row r="839" spans="1:10" hidden="1">
      <c r="A839" s="346" t="str">
        <f t="shared" si="40"/>
        <v>62403091630177460111</v>
      </c>
      <c r="B839" s="476">
        <v>624</v>
      </c>
      <c r="C839" s="475">
        <v>309</v>
      </c>
      <c r="D839" s="474" t="s">
        <v>2230</v>
      </c>
      <c r="E839" s="473" t="s">
        <v>141</v>
      </c>
      <c r="F839" s="484">
        <v>514525.69</v>
      </c>
      <c r="G839" s="484">
        <v>0</v>
      </c>
      <c r="H839" s="483">
        <v>0</v>
      </c>
      <c r="I839" s="345" t="str">
        <f t="shared" si="38"/>
        <v>0309</v>
      </c>
      <c r="J839" s="346" t="str">
        <f t="shared" si="39"/>
        <v>1630177460</v>
      </c>
    </row>
    <row r="840" spans="1:10" hidden="1">
      <c r="A840" s="346" t="str">
        <f t="shared" si="40"/>
        <v>62403091630177460119</v>
      </c>
      <c r="B840" s="476">
        <v>624</v>
      </c>
      <c r="C840" s="475">
        <v>309</v>
      </c>
      <c r="D840" s="474" t="s">
        <v>2230</v>
      </c>
      <c r="E840" s="473" t="s">
        <v>145</v>
      </c>
      <c r="F840" s="484">
        <v>155386.76</v>
      </c>
      <c r="G840" s="484">
        <v>0</v>
      </c>
      <c r="H840" s="483">
        <v>0</v>
      </c>
      <c r="I840" s="345" t="str">
        <f t="shared" si="38"/>
        <v>0309</v>
      </c>
      <c r="J840" s="346" t="str">
        <f t="shared" si="39"/>
        <v>1630177460</v>
      </c>
    </row>
    <row r="841" spans="1:10" hidden="1">
      <c r="A841" s="346" t="str">
        <f t="shared" si="40"/>
        <v>62403091630220690244</v>
      </c>
      <c r="B841" s="476">
        <v>624</v>
      </c>
      <c r="C841" s="475">
        <v>309</v>
      </c>
      <c r="D841" s="474" t="s">
        <v>2231</v>
      </c>
      <c r="E841" s="473" t="s">
        <v>31</v>
      </c>
      <c r="F841" s="484">
        <v>2201810</v>
      </c>
      <c r="G841" s="484">
        <v>0</v>
      </c>
      <c r="H841" s="483">
        <v>0</v>
      </c>
      <c r="I841" s="345" t="str">
        <f t="shared" si="38"/>
        <v>0309</v>
      </c>
      <c r="J841" s="346" t="str">
        <f t="shared" si="39"/>
        <v>1630220690</v>
      </c>
    </row>
    <row r="842" spans="1:10" hidden="1">
      <c r="A842" s="346" t="str">
        <f t="shared" si="40"/>
        <v>62403091630320350244</v>
      </c>
      <c r="B842" s="476">
        <v>624</v>
      </c>
      <c r="C842" s="475">
        <v>309</v>
      </c>
      <c r="D842" s="474" t="s">
        <v>2232</v>
      </c>
      <c r="E842" s="473" t="s">
        <v>31</v>
      </c>
      <c r="F842" s="484">
        <v>2686500</v>
      </c>
      <c r="G842" s="484">
        <v>0</v>
      </c>
      <c r="H842" s="483">
        <v>0</v>
      </c>
      <c r="I842" s="345" t="str">
        <f t="shared" ref="I842:I864" si="41">TEXT(C842,"0000")</f>
        <v>0309</v>
      </c>
      <c r="J842" s="346" t="str">
        <f t="shared" ref="J842:J864" si="42">TEXT(D842,"0000000000")</f>
        <v>1630320350</v>
      </c>
    </row>
    <row r="843" spans="1:10" hidden="1">
      <c r="A843" s="346" t="str">
        <f t="shared" ref="A843:A864" si="43">B843&amp;I843&amp;J843&amp;E843</f>
        <v>62403091630420350244</v>
      </c>
      <c r="B843" s="476">
        <v>624</v>
      </c>
      <c r="C843" s="475">
        <v>309</v>
      </c>
      <c r="D843" s="474" t="s">
        <v>2233</v>
      </c>
      <c r="E843" s="473" t="s">
        <v>31</v>
      </c>
      <c r="F843" s="484">
        <v>700525.5</v>
      </c>
      <c r="G843" s="484">
        <v>0</v>
      </c>
      <c r="H843" s="483">
        <v>0</v>
      </c>
      <c r="I843" s="345" t="str">
        <f t="shared" si="41"/>
        <v>0309</v>
      </c>
      <c r="J843" s="346" t="str">
        <f t="shared" si="42"/>
        <v>1630420350</v>
      </c>
    </row>
    <row r="844" spans="1:10" hidden="1">
      <c r="A844" s="346" t="str">
        <f t="shared" si="43"/>
        <v>62403098510010010122</v>
      </c>
      <c r="B844" s="476">
        <v>624</v>
      </c>
      <c r="C844" s="475">
        <v>309</v>
      </c>
      <c r="D844" s="474" t="s">
        <v>2234</v>
      </c>
      <c r="E844" s="473" t="s">
        <v>23</v>
      </c>
      <c r="F844" s="484">
        <v>291683.52</v>
      </c>
      <c r="G844" s="484">
        <v>0</v>
      </c>
      <c r="H844" s="483">
        <v>0</v>
      </c>
      <c r="I844" s="345" t="str">
        <f t="shared" si="41"/>
        <v>0309</v>
      </c>
      <c r="J844" s="346" t="str">
        <f t="shared" si="42"/>
        <v>8510010010</v>
      </c>
    </row>
    <row r="845" spans="1:10" hidden="1">
      <c r="A845" s="346" t="str">
        <f t="shared" si="43"/>
        <v>62403098510010010129</v>
      </c>
      <c r="B845" s="476">
        <v>624</v>
      </c>
      <c r="C845" s="475">
        <v>309</v>
      </c>
      <c r="D845" s="474" t="s">
        <v>2234</v>
      </c>
      <c r="E845" s="473" t="s">
        <v>27</v>
      </c>
      <c r="F845" s="484">
        <v>87991.57</v>
      </c>
      <c r="G845" s="484">
        <v>0</v>
      </c>
      <c r="H845" s="483">
        <v>0</v>
      </c>
      <c r="I845" s="345" t="str">
        <f t="shared" si="41"/>
        <v>0309</v>
      </c>
      <c r="J845" s="346" t="str">
        <f t="shared" si="42"/>
        <v>8510010010</v>
      </c>
    </row>
    <row r="846" spans="1:10" hidden="1">
      <c r="A846" s="346" t="str">
        <f t="shared" si="43"/>
        <v>62403098510010010244</v>
      </c>
      <c r="B846" s="476">
        <v>624</v>
      </c>
      <c r="C846" s="475">
        <v>309</v>
      </c>
      <c r="D846" s="474" t="s">
        <v>2234</v>
      </c>
      <c r="E846" s="473" t="s">
        <v>31</v>
      </c>
      <c r="F846" s="484">
        <v>1255763.72</v>
      </c>
      <c r="G846" s="484">
        <v>0</v>
      </c>
      <c r="H846" s="483">
        <v>0</v>
      </c>
      <c r="I846" s="345" t="str">
        <f t="shared" si="41"/>
        <v>0309</v>
      </c>
      <c r="J846" s="346" t="str">
        <f t="shared" si="42"/>
        <v>8510010010</v>
      </c>
    </row>
    <row r="847" spans="1:10" hidden="1">
      <c r="A847" s="346" t="str">
        <f t="shared" si="43"/>
        <v>62403098510010010851</v>
      </c>
      <c r="B847" s="476">
        <v>624</v>
      </c>
      <c r="C847" s="475">
        <v>309</v>
      </c>
      <c r="D847" s="474" t="s">
        <v>2234</v>
      </c>
      <c r="E847" s="473" t="s">
        <v>35</v>
      </c>
      <c r="F847" s="484">
        <v>9777</v>
      </c>
      <c r="G847" s="484">
        <v>0</v>
      </c>
      <c r="H847" s="483">
        <v>0</v>
      </c>
      <c r="I847" s="345" t="str">
        <f t="shared" si="41"/>
        <v>0309</v>
      </c>
      <c r="J847" s="346" t="str">
        <f t="shared" si="42"/>
        <v>8510010010</v>
      </c>
    </row>
    <row r="848" spans="1:10" hidden="1">
      <c r="A848" s="346" t="str">
        <f t="shared" si="43"/>
        <v>62403098510010010853</v>
      </c>
      <c r="B848" s="476">
        <v>624</v>
      </c>
      <c r="C848" s="475">
        <v>309</v>
      </c>
      <c r="D848" s="474" t="s">
        <v>2234</v>
      </c>
      <c r="E848" s="473" t="s">
        <v>78</v>
      </c>
      <c r="F848" s="484">
        <v>2.19</v>
      </c>
      <c r="G848" s="484">
        <v>0</v>
      </c>
      <c r="H848" s="483">
        <v>0</v>
      </c>
      <c r="I848" s="345" t="str">
        <f t="shared" si="41"/>
        <v>0309</v>
      </c>
      <c r="J848" s="346" t="str">
        <f t="shared" si="42"/>
        <v>8510010010</v>
      </c>
    </row>
    <row r="849" spans="1:10" hidden="1">
      <c r="A849" s="346" t="str">
        <f t="shared" si="43"/>
        <v>62403098510010020121</v>
      </c>
      <c r="B849" s="476">
        <v>624</v>
      </c>
      <c r="C849" s="475">
        <v>309</v>
      </c>
      <c r="D849" s="474" t="s">
        <v>2235</v>
      </c>
      <c r="E849" s="473" t="s">
        <v>41</v>
      </c>
      <c r="F849" s="484">
        <v>10531994.34</v>
      </c>
      <c r="G849" s="484">
        <v>0</v>
      </c>
      <c r="H849" s="483">
        <v>0</v>
      </c>
      <c r="I849" s="345" t="str">
        <f t="shared" si="41"/>
        <v>0309</v>
      </c>
      <c r="J849" s="346" t="str">
        <f t="shared" si="42"/>
        <v>8510010020</v>
      </c>
    </row>
    <row r="850" spans="1:10" hidden="1">
      <c r="A850" s="346" t="str">
        <f t="shared" si="43"/>
        <v>62403098510010020129</v>
      </c>
      <c r="B850" s="476">
        <v>624</v>
      </c>
      <c r="C850" s="475">
        <v>309</v>
      </c>
      <c r="D850" s="474" t="s">
        <v>2235</v>
      </c>
      <c r="E850" s="473" t="s">
        <v>27</v>
      </c>
      <c r="F850" s="484">
        <v>3125837.94</v>
      </c>
      <c r="G850" s="484">
        <v>0</v>
      </c>
      <c r="H850" s="483">
        <v>0</v>
      </c>
      <c r="I850" s="345" t="str">
        <f t="shared" si="41"/>
        <v>0309</v>
      </c>
      <c r="J850" s="346" t="str">
        <f t="shared" si="42"/>
        <v>8510010020</v>
      </c>
    </row>
    <row r="851" spans="1:10" hidden="1">
      <c r="A851" s="346" t="str">
        <f t="shared" si="43"/>
        <v>62403098510077460121</v>
      </c>
      <c r="B851" s="476">
        <v>624</v>
      </c>
      <c r="C851" s="475">
        <v>309</v>
      </c>
      <c r="D851" s="474" t="s">
        <v>2236</v>
      </c>
      <c r="E851" s="473" t="s">
        <v>41</v>
      </c>
      <c r="F851" s="484">
        <v>354669.61</v>
      </c>
      <c r="G851" s="484">
        <v>0</v>
      </c>
      <c r="H851" s="483">
        <v>0</v>
      </c>
      <c r="I851" s="345" t="str">
        <f t="shared" si="41"/>
        <v>0309</v>
      </c>
      <c r="J851" s="346" t="str">
        <f t="shared" si="42"/>
        <v>8510077460</v>
      </c>
    </row>
    <row r="852" spans="1:10" hidden="1">
      <c r="A852" s="346" t="str">
        <f t="shared" si="43"/>
        <v>62403098510077460129</v>
      </c>
      <c r="B852" s="476">
        <v>624</v>
      </c>
      <c r="C852" s="475">
        <v>309</v>
      </c>
      <c r="D852" s="474" t="s">
        <v>2236</v>
      </c>
      <c r="E852" s="473" t="s">
        <v>27</v>
      </c>
      <c r="F852" s="484">
        <v>107110.23</v>
      </c>
      <c r="G852" s="484">
        <v>0</v>
      </c>
      <c r="H852" s="483">
        <v>0</v>
      </c>
      <c r="I852" s="345" t="str">
        <f t="shared" si="41"/>
        <v>0309</v>
      </c>
      <c r="J852" s="346" t="str">
        <f t="shared" si="42"/>
        <v>8510077460</v>
      </c>
    </row>
    <row r="853" spans="1:10" hidden="1">
      <c r="A853" s="346" t="str">
        <f t="shared" si="43"/>
        <v>64301068610010010122</v>
      </c>
      <c r="B853" s="476">
        <v>643</v>
      </c>
      <c r="C853" s="475">
        <v>106</v>
      </c>
      <c r="D853" s="474" t="s">
        <v>2237</v>
      </c>
      <c r="E853" s="473" t="s">
        <v>23</v>
      </c>
      <c r="F853" s="484">
        <v>371826.78</v>
      </c>
      <c r="G853" s="484">
        <v>0</v>
      </c>
      <c r="H853" s="483">
        <v>0</v>
      </c>
      <c r="I853" s="345" t="str">
        <f t="shared" si="41"/>
        <v>0106</v>
      </c>
      <c r="J853" s="346" t="str">
        <f t="shared" si="42"/>
        <v>8610010010</v>
      </c>
    </row>
    <row r="854" spans="1:10" hidden="1">
      <c r="A854" s="346" t="str">
        <f t="shared" si="43"/>
        <v>64301068610010010129</v>
      </c>
      <c r="B854" s="476">
        <v>643</v>
      </c>
      <c r="C854" s="475">
        <v>106</v>
      </c>
      <c r="D854" s="474" t="s">
        <v>2237</v>
      </c>
      <c r="E854" s="473" t="s">
        <v>27</v>
      </c>
      <c r="F854" s="484">
        <v>65032.34</v>
      </c>
      <c r="G854" s="484">
        <v>0</v>
      </c>
      <c r="H854" s="483">
        <v>0</v>
      </c>
      <c r="I854" s="345" t="str">
        <f t="shared" si="41"/>
        <v>0106</v>
      </c>
      <c r="J854" s="346" t="str">
        <f t="shared" si="42"/>
        <v>8610010010</v>
      </c>
    </row>
    <row r="855" spans="1:10" hidden="1">
      <c r="A855" s="346" t="str">
        <f t="shared" si="43"/>
        <v>64301068610010010244</v>
      </c>
      <c r="B855" s="476">
        <v>643</v>
      </c>
      <c r="C855" s="475">
        <v>106</v>
      </c>
      <c r="D855" s="474" t="s">
        <v>2237</v>
      </c>
      <c r="E855" s="473" t="s">
        <v>31</v>
      </c>
      <c r="F855" s="484">
        <v>3329602</v>
      </c>
      <c r="G855" s="484">
        <v>0</v>
      </c>
      <c r="H855" s="483">
        <v>0</v>
      </c>
      <c r="I855" s="345" t="str">
        <f t="shared" si="41"/>
        <v>0106</v>
      </c>
      <c r="J855" s="346" t="str">
        <f t="shared" si="42"/>
        <v>8610010010</v>
      </c>
    </row>
    <row r="856" spans="1:10" hidden="1">
      <c r="A856" s="346" t="str">
        <f t="shared" si="43"/>
        <v>64301068610010010851</v>
      </c>
      <c r="B856" s="476">
        <v>643</v>
      </c>
      <c r="C856" s="475">
        <v>106</v>
      </c>
      <c r="D856" s="474" t="s">
        <v>2237</v>
      </c>
      <c r="E856" s="473" t="s">
        <v>35</v>
      </c>
      <c r="F856" s="484">
        <v>24308</v>
      </c>
      <c r="G856" s="484">
        <v>0</v>
      </c>
      <c r="H856" s="483">
        <v>0</v>
      </c>
      <c r="I856" s="345" t="str">
        <f t="shared" si="41"/>
        <v>0106</v>
      </c>
      <c r="J856" s="346" t="str">
        <f t="shared" si="42"/>
        <v>8610010010</v>
      </c>
    </row>
    <row r="857" spans="1:10" hidden="1">
      <c r="A857" s="346" t="str">
        <f t="shared" si="43"/>
        <v>64301068610010010852</v>
      </c>
      <c r="B857" s="476">
        <v>643</v>
      </c>
      <c r="C857" s="475">
        <v>106</v>
      </c>
      <c r="D857" s="474" t="s">
        <v>2237</v>
      </c>
      <c r="E857" s="473" t="s">
        <v>37</v>
      </c>
      <c r="F857" s="484">
        <v>1875</v>
      </c>
      <c r="G857" s="484">
        <v>0</v>
      </c>
      <c r="H857" s="483">
        <v>0</v>
      </c>
      <c r="I857" s="345" t="str">
        <f t="shared" si="41"/>
        <v>0106</v>
      </c>
      <c r="J857" s="346" t="str">
        <f t="shared" si="42"/>
        <v>8610010010</v>
      </c>
    </row>
    <row r="858" spans="1:10" hidden="1">
      <c r="A858" s="346" t="str">
        <f t="shared" si="43"/>
        <v>64301068610010010853</v>
      </c>
      <c r="B858" s="476">
        <v>643</v>
      </c>
      <c r="C858" s="475">
        <v>106</v>
      </c>
      <c r="D858" s="474" t="s">
        <v>2237</v>
      </c>
      <c r="E858" s="473" t="s">
        <v>78</v>
      </c>
      <c r="F858" s="484">
        <v>25112.68</v>
      </c>
      <c r="G858" s="484">
        <v>0</v>
      </c>
      <c r="H858" s="483">
        <v>0</v>
      </c>
      <c r="I858" s="345" t="str">
        <f t="shared" si="41"/>
        <v>0106</v>
      </c>
      <c r="J858" s="346" t="str">
        <f t="shared" si="42"/>
        <v>8610010010</v>
      </c>
    </row>
    <row r="859" spans="1:10" hidden="1">
      <c r="A859" s="346" t="str">
        <f t="shared" si="43"/>
        <v>64301068610010020121</v>
      </c>
      <c r="B859" s="476">
        <v>643</v>
      </c>
      <c r="C859" s="475">
        <v>106</v>
      </c>
      <c r="D859" s="474" t="s">
        <v>2238</v>
      </c>
      <c r="E859" s="473" t="s">
        <v>41</v>
      </c>
      <c r="F859" s="484">
        <v>8222654.71</v>
      </c>
      <c r="G859" s="484">
        <v>0</v>
      </c>
      <c r="H859" s="483">
        <v>0</v>
      </c>
      <c r="I859" s="345" t="str">
        <f t="shared" si="41"/>
        <v>0106</v>
      </c>
      <c r="J859" s="346" t="str">
        <f t="shared" si="42"/>
        <v>8610010020</v>
      </c>
    </row>
    <row r="860" spans="1:10" hidden="1">
      <c r="A860" s="346" t="str">
        <f t="shared" si="43"/>
        <v>64301068610010020129</v>
      </c>
      <c r="B860" s="476">
        <v>643</v>
      </c>
      <c r="C860" s="475">
        <v>106</v>
      </c>
      <c r="D860" s="474" t="s">
        <v>2238</v>
      </c>
      <c r="E860" s="473" t="s">
        <v>27</v>
      </c>
      <c r="F860" s="484">
        <v>2382908.54</v>
      </c>
      <c r="G860" s="484">
        <v>0</v>
      </c>
      <c r="H860" s="483">
        <v>0</v>
      </c>
      <c r="I860" s="345" t="str">
        <f t="shared" si="41"/>
        <v>0106</v>
      </c>
      <c r="J860" s="346" t="str">
        <f t="shared" si="42"/>
        <v>8610010020</v>
      </c>
    </row>
    <row r="861" spans="1:10" hidden="1">
      <c r="A861" s="346" t="str">
        <f t="shared" si="43"/>
        <v>64301068610077460121</v>
      </c>
      <c r="B861" s="476">
        <v>643</v>
      </c>
      <c r="C861" s="475">
        <v>106</v>
      </c>
      <c r="D861" s="474" t="s">
        <v>2239</v>
      </c>
      <c r="E861" s="473" t="s">
        <v>41</v>
      </c>
      <c r="F861" s="484">
        <v>265774.77</v>
      </c>
      <c r="G861" s="484">
        <v>0</v>
      </c>
      <c r="H861" s="483">
        <v>0</v>
      </c>
      <c r="I861" s="345" t="str">
        <f t="shared" si="41"/>
        <v>0106</v>
      </c>
      <c r="J861" s="346" t="str">
        <f t="shared" si="42"/>
        <v>8610077460</v>
      </c>
    </row>
    <row r="862" spans="1:10" hidden="1">
      <c r="A862" s="346" t="str">
        <f t="shared" si="43"/>
        <v>64301068610077460129</v>
      </c>
      <c r="B862" s="476">
        <v>643</v>
      </c>
      <c r="C862" s="475">
        <v>106</v>
      </c>
      <c r="D862" s="474" t="s">
        <v>2239</v>
      </c>
      <c r="E862" s="473" t="s">
        <v>27</v>
      </c>
      <c r="F862" s="484">
        <v>80263.98</v>
      </c>
      <c r="G862" s="484">
        <v>0</v>
      </c>
      <c r="H862" s="483">
        <v>0</v>
      </c>
      <c r="I862" s="345" t="str">
        <f t="shared" si="41"/>
        <v>0106</v>
      </c>
      <c r="J862" s="346" t="str">
        <f t="shared" si="42"/>
        <v>8610077460</v>
      </c>
    </row>
    <row r="863" spans="1:10" hidden="1">
      <c r="A863" s="346" t="str">
        <f t="shared" si="43"/>
        <v>64301068610077580121</v>
      </c>
      <c r="B863" s="476">
        <v>643</v>
      </c>
      <c r="C863" s="475">
        <v>106</v>
      </c>
      <c r="D863" s="474" t="s">
        <v>2240</v>
      </c>
      <c r="E863" s="473" t="s">
        <v>41</v>
      </c>
      <c r="F863" s="484">
        <v>10256</v>
      </c>
      <c r="G863" s="484">
        <v>0</v>
      </c>
      <c r="H863" s="483">
        <v>0</v>
      </c>
      <c r="I863" s="345" t="str">
        <f t="shared" si="41"/>
        <v>0106</v>
      </c>
      <c r="J863" s="346" t="str">
        <f t="shared" si="42"/>
        <v>8610077580</v>
      </c>
    </row>
    <row r="864" spans="1:10" ht="18.75" hidden="1" thickBot="1">
      <c r="A864" s="346" t="str">
        <f t="shared" si="43"/>
        <v>64301068610077580129</v>
      </c>
      <c r="B864" s="472">
        <v>643</v>
      </c>
      <c r="C864" s="471">
        <v>106</v>
      </c>
      <c r="D864" s="470" t="s">
        <v>2240</v>
      </c>
      <c r="E864" s="469" t="s">
        <v>27</v>
      </c>
      <c r="F864" s="482">
        <v>3097.31</v>
      </c>
      <c r="G864" s="482">
        <v>0</v>
      </c>
      <c r="H864" s="481">
        <v>0</v>
      </c>
      <c r="I864" s="345" t="str">
        <f t="shared" si="41"/>
        <v>0106</v>
      </c>
      <c r="J864" s="346" t="str">
        <f t="shared" si="42"/>
        <v>8610077580</v>
      </c>
    </row>
  </sheetData>
  <autoFilter ref="A8:K864">
    <filterColumn colId="1">
      <filters>
        <filter val="621"/>
      </filters>
    </filterColumn>
    <filterColumn colId="2">
      <filters>
        <filter val="0702"/>
      </filters>
    </filterColumn>
  </autoFilter>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sheetPr>
    <tabColor rgb="FFFFFF00"/>
    <pageSetUpPr fitToPage="1"/>
  </sheetPr>
  <dimension ref="A1:P3067"/>
  <sheetViews>
    <sheetView view="pageBreakPreview" topLeftCell="A1795" zoomScaleNormal="100" zoomScaleSheetLayoutView="100" workbookViewId="0">
      <selection activeCell="B14" sqref="B14:C14"/>
    </sheetView>
  </sheetViews>
  <sheetFormatPr defaultColWidth="8.7265625" defaultRowHeight="15.75"/>
  <cols>
    <col min="1" max="1" width="8.7265625" style="48"/>
    <col min="2" max="2" width="6.81640625" style="40" customWidth="1"/>
    <col min="3" max="3" width="35.90625" style="287" customWidth="1"/>
    <col min="4" max="4" width="5.26953125" style="73" customWidth="1"/>
    <col min="5" max="5" width="3.36328125" style="74" customWidth="1"/>
    <col min="6" max="6" width="3" style="74" customWidth="1"/>
    <col min="7" max="7" width="9.36328125" style="74" customWidth="1"/>
    <col min="8" max="8" width="4" style="74" customWidth="1"/>
    <col min="9" max="9" width="11.90625" style="75" customWidth="1"/>
    <col min="10" max="10" width="10.36328125" style="75" customWidth="1"/>
    <col min="11" max="11" width="10.36328125" style="84" customWidth="1"/>
    <col min="12" max="16384" width="8.7265625" style="48"/>
  </cols>
  <sheetData>
    <row r="1" spans="2:14" s="6" customFormat="1">
      <c r="B1" s="1"/>
      <c r="C1" s="179"/>
      <c r="D1" s="3"/>
      <c r="E1" s="4"/>
      <c r="F1" s="180"/>
      <c r="G1" s="180"/>
      <c r="H1" s="180"/>
      <c r="I1" s="3"/>
      <c r="J1" s="3"/>
      <c r="K1" s="5"/>
    </row>
    <row r="2" spans="2:14" s="6" customFormat="1" ht="42" customHeight="1" thickBot="1">
      <c r="B2" s="1"/>
      <c r="C2" s="99"/>
      <c r="D2" s="7"/>
      <c r="E2" s="8"/>
      <c r="F2" s="8"/>
      <c r="H2" s="181"/>
      <c r="I2" s="9"/>
      <c r="J2" s="10"/>
      <c r="K2" s="11" t="s">
        <v>1091</v>
      </c>
    </row>
    <row r="3" spans="2:14" s="6" customFormat="1" ht="67.150000000000006" customHeight="1" thickBot="1">
      <c r="B3" s="1"/>
      <c r="C3" s="183" t="s">
        <v>1092</v>
      </c>
      <c r="D3" s="184" t="s">
        <v>1093</v>
      </c>
      <c r="E3" s="184" t="s">
        <v>0</v>
      </c>
      <c r="F3" s="184" t="s">
        <v>1</v>
      </c>
      <c r="G3" s="184" t="s">
        <v>2</v>
      </c>
      <c r="H3" s="185" t="s">
        <v>3</v>
      </c>
      <c r="I3" s="186" t="s">
        <v>1094</v>
      </c>
      <c r="J3" s="186" t="s">
        <v>1095</v>
      </c>
      <c r="K3" s="186" t="s">
        <v>1096</v>
      </c>
    </row>
    <row r="4" spans="2:14" s="13" customFormat="1" ht="16.5" thickBot="1">
      <c r="B4" s="1"/>
      <c r="C4" s="187">
        <v>1</v>
      </c>
      <c r="D4" s="12">
        <v>2</v>
      </c>
      <c r="E4" s="12">
        <v>3</v>
      </c>
      <c r="F4" s="12" t="s">
        <v>4</v>
      </c>
      <c r="G4" s="12">
        <v>5</v>
      </c>
      <c r="H4" s="12">
        <v>6</v>
      </c>
      <c r="I4" s="12">
        <v>7</v>
      </c>
      <c r="J4" s="12">
        <v>8</v>
      </c>
      <c r="K4" s="12">
        <v>9</v>
      </c>
    </row>
    <row r="5" spans="2:14" s="16" customFormat="1">
      <c r="B5" s="14"/>
      <c r="C5" s="188" t="s">
        <v>5</v>
      </c>
      <c r="D5" s="189" t="s">
        <v>6</v>
      </c>
      <c r="E5" s="190" t="s">
        <v>7</v>
      </c>
      <c r="F5" s="190" t="s">
        <v>7</v>
      </c>
      <c r="G5" s="190" t="s">
        <v>8</v>
      </c>
      <c r="H5" s="190" t="s">
        <v>9</v>
      </c>
      <c r="I5" s="15">
        <f>I6+I39</f>
        <v>56222.03</v>
      </c>
      <c r="J5" s="15">
        <f>J6+J39</f>
        <v>56684.04</v>
      </c>
      <c r="K5" s="15">
        <f>K6+K39</f>
        <v>56684.04</v>
      </c>
      <c r="L5" s="16">
        <v>0</v>
      </c>
      <c r="M5" s="16" t="str">
        <f>TEXT(L5,"0000000000")</f>
        <v>0000000000</v>
      </c>
      <c r="N5" s="16" t="str">
        <f>D5&amp;E5&amp;F5&amp;M5&amp;H5</f>
        <v>60000000000000000000</v>
      </c>
    </row>
    <row r="6" spans="2:14" s="16" customFormat="1">
      <c r="B6" s="14"/>
      <c r="C6" s="191" t="s">
        <v>10</v>
      </c>
      <c r="D6" s="192" t="s">
        <v>6</v>
      </c>
      <c r="E6" s="193" t="s">
        <v>11</v>
      </c>
      <c r="F6" s="193" t="s">
        <v>7</v>
      </c>
      <c r="G6" s="193" t="s">
        <v>8</v>
      </c>
      <c r="H6" s="193" t="s">
        <v>9</v>
      </c>
      <c r="I6" s="18">
        <f>I7+I34</f>
        <v>49131.53</v>
      </c>
      <c r="J6" s="18">
        <f t="shared" ref="J6:K6" si="0">J7+J34</f>
        <v>49593.54</v>
      </c>
      <c r="K6" s="18">
        <f t="shared" si="0"/>
        <v>49593.54</v>
      </c>
      <c r="L6" s="16">
        <v>0</v>
      </c>
      <c r="M6" s="16" t="str">
        <f t="shared" ref="M6:M69" si="1">TEXT(L6,"0000000000")</f>
        <v>0000000000</v>
      </c>
      <c r="N6" s="16" t="str">
        <f t="shared" ref="N6:N69" si="2">D6&amp;E6&amp;F6&amp;M6&amp;H6</f>
        <v>60001000000000000000</v>
      </c>
    </row>
    <row r="7" spans="2:14" s="16" customFormat="1" ht="38.25">
      <c r="B7" s="14"/>
      <c r="C7" s="194" t="s">
        <v>12</v>
      </c>
      <c r="D7" s="195" t="s">
        <v>6</v>
      </c>
      <c r="E7" s="196" t="s">
        <v>11</v>
      </c>
      <c r="F7" s="196" t="s">
        <v>13</v>
      </c>
      <c r="G7" s="196" t="s">
        <v>8</v>
      </c>
      <c r="H7" s="196" t="s">
        <v>9</v>
      </c>
      <c r="I7" s="19">
        <f>I8</f>
        <v>48631.53</v>
      </c>
      <c r="J7" s="19">
        <f>J8</f>
        <v>49093.54</v>
      </c>
      <c r="K7" s="19">
        <f>K8</f>
        <v>49093.54</v>
      </c>
      <c r="L7" s="16">
        <v>0</v>
      </c>
      <c r="M7" s="16" t="str">
        <f t="shared" si="1"/>
        <v>0000000000</v>
      </c>
      <c r="N7" s="16" t="str">
        <f t="shared" si="2"/>
        <v>60001030000000000000</v>
      </c>
    </row>
    <row r="8" spans="2:14" s="16" customFormat="1">
      <c r="B8" s="14"/>
      <c r="C8" s="197" t="s">
        <v>14</v>
      </c>
      <c r="D8" s="198" t="s">
        <v>6</v>
      </c>
      <c r="E8" s="199" t="s">
        <v>11</v>
      </c>
      <c r="F8" s="199" t="s">
        <v>13</v>
      </c>
      <c r="G8" s="199" t="s">
        <v>15</v>
      </c>
      <c r="H8" s="199" t="s">
        <v>9</v>
      </c>
      <c r="I8" s="20">
        <f>I9+I27+I20</f>
        <v>48631.53</v>
      </c>
      <c r="J8" s="20">
        <f t="shared" ref="J8:K8" si="3">J9+J27+J20</f>
        <v>49093.54</v>
      </c>
      <c r="K8" s="20">
        <f t="shared" si="3"/>
        <v>49093.54</v>
      </c>
      <c r="L8" s="16">
        <v>7000000000</v>
      </c>
      <c r="M8" s="16" t="str">
        <f t="shared" si="1"/>
        <v>7000000000</v>
      </c>
      <c r="N8" s="16" t="str">
        <f t="shared" si="2"/>
        <v>60001037000000000000</v>
      </c>
    </row>
    <row r="9" spans="2:14" s="16" customFormat="1" ht="25.5">
      <c r="B9" s="14"/>
      <c r="C9" s="197" t="s">
        <v>16</v>
      </c>
      <c r="D9" s="198" t="s">
        <v>6</v>
      </c>
      <c r="E9" s="199" t="s">
        <v>11</v>
      </c>
      <c r="F9" s="199" t="s">
        <v>13</v>
      </c>
      <c r="G9" s="199" t="s">
        <v>17</v>
      </c>
      <c r="H9" s="199" t="s">
        <v>9</v>
      </c>
      <c r="I9" s="20">
        <f>I10+I14+I16+I18</f>
        <v>44364.54</v>
      </c>
      <c r="J9" s="20">
        <f t="shared" ref="J9:K9" si="4">J10+J14+J16+J18</f>
        <v>44826.55</v>
      </c>
      <c r="K9" s="20">
        <f t="shared" si="4"/>
        <v>44826.55</v>
      </c>
      <c r="L9" s="16">
        <v>7010000000</v>
      </c>
      <c r="M9" s="16" t="str">
        <f t="shared" si="1"/>
        <v>7010000000</v>
      </c>
      <c r="N9" s="16" t="str">
        <f t="shared" si="2"/>
        <v>60001037010000000000</v>
      </c>
    </row>
    <row r="10" spans="2:14" s="16" customFormat="1" ht="25.5">
      <c r="B10" s="14"/>
      <c r="C10" s="197" t="s">
        <v>18</v>
      </c>
      <c r="D10" s="198" t="s">
        <v>6</v>
      </c>
      <c r="E10" s="199" t="s">
        <v>11</v>
      </c>
      <c r="F10" s="199" t="s">
        <v>13</v>
      </c>
      <c r="G10" s="199" t="s">
        <v>19</v>
      </c>
      <c r="H10" s="199" t="s">
        <v>9</v>
      </c>
      <c r="I10" s="20">
        <f>I11+I12+I13</f>
        <v>10130.450000000001</v>
      </c>
      <c r="J10" s="20">
        <f>J11+J12+J13</f>
        <v>10501.400000000001</v>
      </c>
      <c r="K10" s="20">
        <f>K11+K12+K13</f>
        <v>10501.400000000001</v>
      </c>
      <c r="L10" s="16">
        <v>7010010010</v>
      </c>
      <c r="M10" s="16" t="str">
        <f t="shared" si="1"/>
        <v>7010010010</v>
      </c>
      <c r="N10" s="16" t="str">
        <f t="shared" si="2"/>
        <v>60001037010010010000</v>
      </c>
    </row>
    <row r="11" spans="2:14" s="16" customFormat="1" ht="25.5">
      <c r="B11" s="14"/>
      <c r="C11" s="200" t="s">
        <v>20</v>
      </c>
      <c r="D11" s="198" t="s">
        <v>6</v>
      </c>
      <c r="E11" s="199" t="s">
        <v>11</v>
      </c>
      <c r="F11" s="199" t="s">
        <v>13</v>
      </c>
      <c r="G11" s="199" t="s">
        <v>19</v>
      </c>
      <c r="H11" s="199" t="s">
        <v>21</v>
      </c>
      <c r="I11" s="20">
        <f>1285.77+2333.12+234.51-16.62+103.86</f>
        <v>3940.64</v>
      </c>
      <c r="J11" s="20">
        <f>1285.77+2333.12+234.51-16.62+103.86</f>
        <v>3940.64</v>
      </c>
      <c r="K11" s="20">
        <f>1285.77+2333.12+234.51-16.62+103.86</f>
        <v>3940.64</v>
      </c>
      <c r="L11" s="16">
        <v>7010010010</v>
      </c>
      <c r="M11" s="16" t="str">
        <f t="shared" si="1"/>
        <v>7010010010</v>
      </c>
      <c r="N11" s="16" t="str">
        <f t="shared" si="2"/>
        <v>60001037010010010120</v>
      </c>
    </row>
    <row r="12" spans="2:14" s="16" customFormat="1" ht="25.5">
      <c r="B12" s="14"/>
      <c r="C12" s="197" t="s">
        <v>28</v>
      </c>
      <c r="D12" s="198" t="s">
        <v>6</v>
      </c>
      <c r="E12" s="199" t="s">
        <v>11</v>
      </c>
      <c r="F12" s="199" t="s">
        <v>13</v>
      </c>
      <c r="G12" s="199" t="s">
        <v>19</v>
      </c>
      <c r="H12" s="199" t="s">
        <v>29</v>
      </c>
      <c r="I12" s="20">
        <f>6454.14-232.8-125.59-12.56</f>
        <v>6083.19</v>
      </c>
      <c r="J12" s="20">
        <f t="shared" ref="J12:K12" si="5">6454.14</f>
        <v>6454.14</v>
      </c>
      <c r="K12" s="20">
        <f t="shared" si="5"/>
        <v>6454.14</v>
      </c>
      <c r="L12" s="16">
        <v>7010010010</v>
      </c>
      <c r="M12" s="16" t="str">
        <f t="shared" si="1"/>
        <v>7010010010</v>
      </c>
      <c r="N12" s="16" t="str">
        <f t="shared" si="2"/>
        <v>60001037010010010240</v>
      </c>
    </row>
    <row r="13" spans="2:14" s="16" customFormat="1">
      <c r="B13" s="14"/>
      <c r="C13" s="197" t="s">
        <v>32</v>
      </c>
      <c r="D13" s="198" t="s">
        <v>6</v>
      </c>
      <c r="E13" s="199" t="s">
        <v>11</v>
      </c>
      <c r="F13" s="199" t="s">
        <v>13</v>
      </c>
      <c r="G13" s="199" t="s">
        <v>19</v>
      </c>
      <c r="H13" s="199" t="s">
        <v>33</v>
      </c>
      <c r="I13" s="20">
        <f>30.28+76.34</f>
        <v>106.62</v>
      </c>
      <c r="J13" s="20">
        <f t="shared" ref="J13:K13" si="6">30.28+76.34</f>
        <v>106.62</v>
      </c>
      <c r="K13" s="20">
        <f t="shared" si="6"/>
        <v>106.62</v>
      </c>
      <c r="L13" s="16">
        <v>7010010010</v>
      </c>
      <c r="M13" s="16" t="str">
        <f t="shared" si="1"/>
        <v>7010010010</v>
      </c>
      <c r="N13" s="16" t="str">
        <f t="shared" si="2"/>
        <v>60001037010010010850</v>
      </c>
    </row>
    <row r="14" spans="2:14" s="16" customFormat="1" ht="25.5">
      <c r="B14" s="14"/>
      <c r="C14" s="200" t="s">
        <v>38</v>
      </c>
      <c r="D14" s="198" t="s">
        <v>6</v>
      </c>
      <c r="E14" s="199" t="s">
        <v>11</v>
      </c>
      <c r="F14" s="199" t="s">
        <v>13</v>
      </c>
      <c r="G14" s="199" t="s">
        <v>39</v>
      </c>
      <c r="H14" s="199" t="s">
        <v>9</v>
      </c>
      <c r="I14" s="20">
        <f>I15</f>
        <v>33098.629999999997</v>
      </c>
      <c r="J14" s="20">
        <f>J15</f>
        <v>34325.15</v>
      </c>
      <c r="K14" s="20">
        <f>K15</f>
        <v>34325.15</v>
      </c>
      <c r="L14" s="16">
        <v>7010010020</v>
      </c>
      <c r="M14" s="16" t="str">
        <f t="shared" si="1"/>
        <v>7010010020</v>
      </c>
      <c r="N14" s="16" t="str">
        <f t="shared" si="2"/>
        <v>60001037010010020000</v>
      </c>
    </row>
    <row r="15" spans="2:14" s="16" customFormat="1" ht="25.5">
      <c r="B15" s="14"/>
      <c r="C15" s="200" t="s">
        <v>20</v>
      </c>
      <c r="D15" s="198" t="s">
        <v>6</v>
      </c>
      <c r="E15" s="199" t="s">
        <v>11</v>
      </c>
      <c r="F15" s="199" t="s">
        <v>13</v>
      </c>
      <c r="G15" s="199" t="s">
        <v>39</v>
      </c>
      <c r="H15" s="199" t="s">
        <v>21</v>
      </c>
      <c r="I15" s="20">
        <f>25333.84+7663.94-411.58+57.18+159.87+21.84+162.26+111.28</f>
        <v>33098.629999999997</v>
      </c>
      <c r="J15" s="20">
        <f>25333.84+7663.94-411.58+1303.53+162.26+273.16</f>
        <v>34325.15</v>
      </c>
      <c r="K15" s="20">
        <f>25333.84+7663.94-411.58+1303.53+162.26+273.16</f>
        <v>34325.15</v>
      </c>
      <c r="L15" s="16">
        <v>7010010020</v>
      </c>
      <c r="M15" s="16" t="str">
        <f t="shared" si="1"/>
        <v>7010010020</v>
      </c>
      <c r="N15" s="16" t="str">
        <f t="shared" si="2"/>
        <v>60001037010010020120</v>
      </c>
    </row>
    <row r="16" spans="2:14" s="16" customFormat="1" ht="191.25">
      <c r="B16" s="14" t="s">
        <v>80</v>
      </c>
      <c r="C16" s="200" t="s">
        <v>2269</v>
      </c>
      <c r="D16" s="198" t="s">
        <v>6</v>
      </c>
      <c r="E16" s="199" t="s">
        <v>11</v>
      </c>
      <c r="F16" s="199" t="s">
        <v>13</v>
      </c>
      <c r="G16" s="199" t="s">
        <v>1264</v>
      </c>
      <c r="H16" s="199" t="s">
        <v>9</v>
      </c>
      <c r="I16" s="20">
        <f>I17</f>
        <v>1064.6400000000001</v>
      </c>
      <c r="J16" s="20">
        <f t="shared" ref="J16:K18" si="7">J17</f>
        <v>0</v>
      </c>
      <c r="K16" s="20">
        <f t="shared" si="7"/>
        <v>0</v>
      </c>
      <c r="L16" s="16">
        <v>7010077460</v>
      </c>
      <c r="M16" s="16" t="str">
        <f t="shared" si="1"/>
        <v>7010077460</v>
      </c>
      <c r="N16" s="16" t="str">
        <f t="shared" si="2"/>
        <v>60001037010077460000</v>
      </c>
    </row>
    <row r="17" spans="2:14" s="16" customFormat="1" ht="25.5">
      <c r="B17" s="14"/>
      <c r="C17" s="200" t="s">
        <v>20</v>
      </c>
      <c r="D17" s="198" t="s">
        <v>6</v>
      </c>
      <c r="E17" s="199" t="s">
        <v>11</v>
      </c>
      <c r="F17" s="199" t="s">
        <v>13</v>
      </c>
      <c r="G17" s="199" t="s">
        <v>1264</v>
      </c>
      <c r="H17" s="199" t="s">
        <v>21</v>
      </c>
      <c r="I17" s="20">
        <f>1086.48-21.84</f>
        <v>1064.6400000000001</v>
      </c>
      <c r="J17" s="20">
        <v>0</v>
      </c>
      <c r="K17" s="20">
        <v>0</v>
      </c>
      <c r="L17" s="16">
        <v>7010077460</v>
      </c>
      <c r="M17" s="16" t="str">
        <f t="shared" si="1"/>
        <v>7010077460</v>
      </c>
      <c r="N17" s="16" t="str">
        <f t="shared" si="2"/>
        <v>60001037010077460120</v>
      </c>
    </row>
    <row r="18" spans="2:14" s="16" customFormat="1" ht="165.75">
      <c r="B18" s="14"/>
      <c r="C18" s="200" t="s">
        <v>2247</v>
      </c>
      <c r="D18" s="198" t="s">
        <v>6</v>
      </c>
      <c r="E18" s="199" t="s">
        <v>11</v>
      </c>
      <c r="F18" s="199" t="s">
        <v>13</v>
      </c>
      <c r="G18" s="199" t="s">
        <v>2245</v>
      </c>
      <c r="H18" s="199" t="s">
        <v>9</v>
      </c>
      <c r="I18" s="20">
        <f>I19</f>
        <v>70.819999999999993</v>
      </c>
      <c r="J18" s="20">
        <f t="shared" si="7"/>
        <v>0</v>
      </c>
      <c r="K18" s="20">
        <f t="shared" si="7"/>
        <v>0</v>
      </c>
      <c r="L18" s="16">
        <v>7010077580</v>
      </c>
      <c r="M18" s="16" t="str">
        <f t="shared" si="1"/>
        <v>7010077580</v>
      </c>
      <c r="N18" s="16" t="str">
        <f t="shared" si="2"/>
        <v>60001037010077580000</v>
      </c>
    </row>
    <row r="19" spans="2:14" s="16" customFormat="1" ht="25.5">
      <c r="B19" s="14"/>
      <c r="C19" s="200" t="s">
        <v>20</v>
      </c>
      <c r="D19" s="198" t="s">
        <v>6</v>
      </c>
      <c r="E19" s="199" t="s">
        <v>11</v>
      </c>
      <c r="F19" s="199" t="s">
        <v>13</v>
      </c>
      <c r="G19" s="199" t="s">
        <v>2245</v>
      </c>
      <c r="H19" s="199" t="s">
        <v>21</v>
      </c>
      <c r="I19" s="20">
        <f>70.82</f>
        <v>70.819999999999993</v>
      </c>
      <c r="J19" s="20">
        <v>0</v>
      </c>
      <c r="K19" s="20">
        <v>0</v>
      </c>
      <c r="L19" s="16">
        <v>7010077580</v>
      </c>
      <c r="M19" s="16" t="str">
        <f t="shared" si="1"/>
        <v>7010077580</v>
      </c>
      <c r="N19" s="16" t="str">
        <f t="shared" si="2"/>
        <v>60001037010077580120</v>
      </c>
    </row>
    <row r="20" spans="2:14" s="16" customFormat="1" ht="25.5">
      <c r="B20" s="14"/>
      <c r="C20" s="200" t="s">
        <v>42</v>
      </c>
      <c r="D20" s="198" t="s">
        <v>6</v>
      </c>
      <c r="E20" s="199" t="s">
        <v>11</v>
      </c>
      <c r="F20" s="199" t="s">
        <v>13</v>
      </c>
      <c r="G20" s="199" t="s">
        <v>43</v>
      </c>
      <c r="H20" s="199" t="s">
        <v>9</v>
      </c>
      <c r="I20" s="20">
        <f>I23+I21+I25</f>
        <v>1658.1000000000001</v>
      </c>
      <c r="J20" s="20">
        <f t="shared" ref="J20:K20" si="8">J23+J21+J25</f>
        <v>1658.1</v>
      </c>
      <c r="K20" s="20">
        <f t="shared" si="8"/>
        <v>1658.1</v>
      </c>
      <c r="L20" s="16">
        <v>7020000000</v>
      </c>
      <c r="M20" s="16" t="str">
        <f t="shared" si="1"/>
        <v>7020000000</v>
      </c>
      <c r="N20" s="16" t="str">
        <f t="shared" si="2"/>
        <v>60001037020000000000</v>
      </c>
    </row>
    <row r="21" spans="2:14" s="16" customFormat="1" ht="25.5">
      <c r="B21" s="14"/>
      <c r="C21" s="197" t="s">
        <v>18</v>
      </c>
      <c r="D21" s="198" t="s">
        <v>6</v>
      </c>
      <c r="E21" s="199" t="s">
        <v>11</v>
      </c>
      <c r="F21" s="199" t="s">
        <v>13</v>
      </c>
      <c r="G21" s="199" t="s">
        <v>44</v>
      </c>
      <c r="H21" s="199" t="s">
        <v>9</v>
      </c>
      <c r="I21" s="20">
        <f>I22</f>
        <v>41.55</v>
      </c>
      <c r="J21" s="20">
        <f>J22</f>
        <v>41.55</v>
      </c>
      <c r="K21" s="20">
        <f>K22</f>
        <v>41.55</v>
      </c>
      <c r="L21" s="16">
        <v>7020010010</v>
      </c>
      <c r="M21" s="16" t="str">
        <f t="shared" si="1"/>
        <v>7020010010</v>
      </c>
      <c r="N21" s="16" t="str">
        <f t="shared" si="2"/>
        <v>60001037020010010000</v>
      </c>
    </row>
    <row r="22" spans="2:14" s="16" customFormat="1" ht="25.5">
      <c r="B22" s="14"/>
      <c r="C22" s="200" t="s">
        <v>20</v>
      </c>
      <c r="D22" s="198" t="s">
        <v>6</v>
      </c>
      <c r="E22" s="199" t="s">
        <v>11</v>
      </c>
      <c r="F22" s="199" t="s">
        <v>13</v>
      </c>
      <c r="G22" s="199" t="s">
        <v>44</v>
      </c>
      <c r="H22" s="199" t="s">
        <v>21</v>
      </c>
      <c r="I22" s="20">
        <f>31.91+9.64</f>
        <v>41.55</v>
      </c>
      <c r="J22" s="20">
        <f t="shared" ref="J22:K22" si="9">31.91+9.64</f>
        <v>41.55</v>
      </c>
      <c r="K22" s="20">
        <f t="shared" si="9"/>
        <v>41.55</v>
      </c>
      <c r="L22" s="16">
        <v>7020010010</v>
      </c>
      <c r="M22" s="16" t="str">
        <f t="shared" si="1"/>
        <v>7020010010</v>
      </c>
      <c r="N22" s="16" t="str">
        <f t="shared" si="2"/>
        <v>60001037020010010120</v>
      </c>
    </row>
    <row r="23" spans="2:14" s="16" customFormat="1" ht="25.5">
      <c r="B23" s="14"/>
      <c r="C23" s="200" t="s">
        <v>38</v>
      </c>
      <c r="D23" s="198" t="s">
        <v>6</v>
      </c>
      <c r="E23" s="199" t="s">
        <v>11</v>
      </c>
      <c r="F23" s="199" t="s">
        <v>13</v>
      </c>
      <c r="G23" s="199" t="s">
        <v>45</v>
      </c>
      <c r="H23" s="199" t="s">
        <v>9</v>
      </c>
      <c r="I23" s="20">
        <f>I24</f>
        <v>1564.8600000000001</v>
      </c>
      <c r="J23" s="20">
        <f>J24</f>
        <v>1616.55</v>
      </c>
      <c r="K23" s="20">
        <f>K24</f>
        <v>1616.55</v>
      </c>
      <c r="L23" s="16">
        <v>7020010020</v>
      </c>
      <c r="M23" s="16" t="str">
        <f t="shared" si="1"/>
        <v>7020010020</v>
      </c>
      <c r="N23" s="16" t="str">
        <f t="shared" si="2"/>
        <v>60001037020010020000</v>
      </c>
    </row>
    <row r="24" spans="2:14" s="16" customFormat="1" ht="25.5">
      <c r="B24" s="14"/>
      <c r="C24" s="200" t="s">
        <v>20</v>
      </c>
      <c r="D24" s="198" t="s">
        <v>6</v>
      </c>
      <c r="E24" s="199" t="s">
        <v>11</v>
      </c>
      <c r="F24" s="199" t="s">
        <v>13</v>
      </c>
      <c r="G24" s="199" t="s">
        <v>45</v>
      </c>
      <c r="H24" s="199" t="s">
        <v>21</v>
      </c>
      <c r="I24" s="20">
        <f>1192+360+2.72+10.14</f>
        <v>1564.8600000000001</v>
      </c>
      <c r="J24" s="20">
        <f>1192+360+64.55</f>
        <v>1616.55</v>
      </c>
      <c r="K24" s="20">
        <f>1192+360+64.55</f>
        <v>1616.55</v>
      </c>
      <c r="L24" s="16">
        <v>7020010020</v>
      </c>
      <c r="M24" s="16" t="str">
        <f t="shared" si="1"/>
        <v>7020010020</v>
      </c>
      <c r="N24" s="16" t="str">
        <f t="shared" si="2"/>
        <v>60001037020010020120</v>
      </c>
    </row>
    <row r="25" spans="2:14" s="16" customFormat="1" ht="191.25">
      <c r="B25" s="14" t="s">
        <v>80</v>
      </c>
      <c r="C25" s="200" t="s">
        <v>2269</v>
      </c>
      <c r="D25" s="198" t="s">
        <v>6</v>
      </c>
      <c r="E25" s="199" t="s">
        <v>11</v>
      </c>
      <c r="F25" s="199" t="s">
        <v>13</v>
      </c>
      <c r="G25" s="199" t="s">
        <v>1265</v>
      </c>
      <c r="H25" s="199" t="s">
        <v>9</v>
      </c>
      <c r="I25" s="20">
        <f>I26</f>
        <v>51.69</v>
      </c>
      <c r="J25" s="20">
        <f t="shared" ref="J25:K25" si="10">J26</f>
        <v>0</v>
      </c>
      <c r="K25" s="20">
        <f t="shared" si="10"/>
        <v>0</v>
      </c>
      <c r="L25" s="16">
        <v>7020077460</v>
      </c>
      <c r="M25" s="16" t="str">
        <f t="shared" si="1"/>
        <v>7020077460</v>
      </c>
      <c r="N25" s="16" t="str">
        <f t="shared" si="2"/>
        <v>60001037020077460000</v>
      </c>
    </row>
    <row r="26" spans="2:14" s="16" customFormat="1" ht="25.5">
      <c r="B26" s="14"/>
      <c r="C26" s="200" t="s">
        <v>20</v>
      </c>
      <c r="D26" s="198" t="s">
        <v>6</v>
      </c>
      <c r="E26" s="199" t="s">
        <v>11</v>
      </c>
      <c r="F26" s="199" t="s">
        <v>13</v>
      </c>
      <c r="G26" s="199" t="s">
        <v>1265</v>
      </c>
      <c r="H26" s="199" t="s">
        <v>21</v>
      </c>
      <c r="I26" s="20">
        <f>51.69</f>
        <v>51.69</v>
      </c>
      <c r="J26" s="20">
        <v>0</v>
      </c>
      <c r="K26" s="20">
        <v>0</v>
      </c>
      <c r="L26" s="16">
        <v>7020077460</v>
      </c>
      <c r="M26" s="16" t="str">
        <f t="shared" si="1"/>
        <v>7020077460</v>
      </c>
      <c r="N26" s="16" t="str">
        <f t="shared" si="2"/>
        <v>60001037020077460120</v>
      </c>
    </row>
    <row r="27" spans="2:14" s="16" customFormat="1">
      <c r="B27" s="14"/>
      <c r="C27" s="200" t="s">
        <v>46</v>
      </c>
      <c r="D27" s="198" t="s">
        <v>6</v>
      </c>
      <c r="E27" s="199" t="s">
        <v>11</v>
      </c>
      <c r="F27" s="199" t="s">
        <v>13</v>
      </c>
      <c r="G27" s="199" t="s">
        <v>47</v>
      </c>
      <c r="H27" s="199" t="s">
        <v>9</v>
      </c>
      <c r="I27" s="20">
        <f>I30+I28+I32</f>
        <v>2608.89</v>
      </c>
      <c r="J27" s="20">
        <f t="shared" ref="J27:K27" si="11">J30+J28+J32</f>
        <v>2608.89</v>
      </c>
      <c r="K27" s="20">
        <f t="shared" si="11"/>
        <v>2608.89</v>
      </c>
      <c r="L27" s="16">
        <v>7030000000</v>
      </c>
      <c r="M27" s="16" t="str">
        <f t="shared" si="1"/>
        <v>7030000000</v>
      </c>
      <c r="N27" s="16" t="str">
        <f t="shared" si="2"/>
        <v>60001037030000000000</v>
      </c>
    </row>
    <row r="28" spans="2:14" s="16" customFormat="1" ht="25.5">
      <c r="B28" s="14"/>
      <c r="C28" s="197" t="s">
        <v>18</v>
      </c>
      <c r="D28" s="198" t="s">
        <v>6</v>
      </c>
      <c r="E28" s="199" t="s">
        <v>11</v>
      </c>
      <c r="F28" s="199" t="s">
        <v>13</v>
      </c>
      <c r="G28" s="199" t="s">
        <v>48</v>
      </c>
      <c r="H28" s="199" t="s">
        <v>9</v>
      </c>
      <c r="I28" s="20">
        <f>I29</f>
        <v>83.11</v>
      </c>
      <c r="J28" s="20">
        <f>J29</f>
        <v>83.11</v>
      </c>
      <c r="K28" s="20">
        <f>K29</f>
        <v>83.11</v>
      </c>
      <c r="L28" s="16">
        <v>7030010010</v>
      </c>
      <c r="M28" s="16" t="str">
        <f t="shared" si="1"/>
        <v>7030010010</v>
      </c>
      <c r="N28" s="16" t="str">
        <f t="shared" si="2"/>
        <v>60001037030010010000</v>
      </c>
    </row>
    <row r="29" spans="2:14" s="16" customFormat="1" ht="25.5">
      <c r="B29" s="14"/>
      <c r="C29" s="200" t="s">
        <v>20</v>
      </c>
      <c r="D29" s="198" t="s">
        <v>6</v>
      </c>
      <c r="E29" s="199" t="s">
        <v>11</v>
      </c>
      <c r="F29" s="199" t="s">
        <v>13</v>
      </c>
      <c r="G29" s="199" t="s">
        <v>48</v>
      </c>
      <c r="H29" s="199" t="s">
        <v>21</v>
      </c>
      <c r="I29" s="20">
        <f>63.83+19.28</f>
        <v>83.11</v>
      </c>
      <c r="J29" s="20">
        <f t="shared" ref="J29:K29" si="12">63.83+19.28</f>
        <v>83.11</v>
      </c>
      <c r="K29" s="20">
        <f t="shared" si="12"/>
        <v>83.11</v>
      </c>
      <c r="L29" s="16">
        <v>7030010010</v>
      </c>
      <c r="M29" s="16" t="str">
        <f t="shared" si="1"/>
        <v>7030010010</v>
      </c>
      <c r="N29" s="16" t="str">
        <f t="shared" si="2"/>
        <v>60001037030010010120</v>
      </c>
    </row>
    <row r="30" spans="2:14" s="16" customFormat="1" ht="25.5">
      <c r="B30" s="14"/>
      <c r="C30" s="200" t="s">
        <v>38</v>
      </c>
      <c r="D30" s="198" t="s">
        <v>6</v>
      </c>
      <c r="E30" s="199" t="s">
        <v>11</v>
      </c>
      <c r="F30" s="199" t="s">
        <v>13</v>
      </c>
      <c r="G30" s="199" t="s">
        <v>49</v>
      </c>
      <c r="H30" s="199" t="s">
        <v>9</v>
      </c>
      <c r="I30" s="20">
        <f>I31</f>
        <v>2442.6999999999998</v>
      </c>
      <c r="J30" s="20">
        <f>J31</f>
        <v>2525.7799999999997</v>
      </c>
      <c r="K30" s="20">
        <f>K31</f>
        <v>2525.7799999999997</v>
      </c>
      <c r="L30" s="16">
        <v>7030010020</v>
      </c>
      <c r="M30" s="16" t="str">
        <f t="shared" si="1"/>
        <v>7030010020</v>
      </c>
      <c r="N30" s="16" t="str">
        <f t="shared" si="2"/>
        <v>60001037030010020000</v>
      </c>
    </row>
    <row r="31" spans="2:14" s="16" customFormat="1" ht="25.5">
      <c r="B31" s="14"/>
      <c r="C31" s="200" t="s">
        <v>20</v>
      </c>
      <c r="D31" s="198" t="s">
        <v>6</v>
      </c>
      <c r="E31" s="199" t="s">
        <v>11</v>
      </c>
      <c r="F31" s="199" t="s">
        <v>13</v>
      </c>
      <c r="G31" s="199" t="s">
        <v>49</v>
      </c>
      <c r="H31" s="199" t="s">
        <v>21</v>
      </c>
      <c r="I31" s="20">
        <f>1875.42+553.24+4.26+11.91-2.13</f>
        <v>2442.6999999999998</v>
      </c>
      <c r="J31" s="20">
        <f>1875.42+553.24+97.12</f>
        <v>2525.7799999999997</v>
      </c>
      <c r="K31" s="20">
        <f>1875.42+553.24+97.12</f>
        <v>2525.7799999999997</v>
      </c>
      <c r="L31" s="16">
        <v>7030010020</v>
      </c>
      <c r="M31" s="16" t="str">
        <f t="shared" si="1"/>
        <v>7030010020</v>
      </c>
      <c r="N31" s="16" t="str">
        <f t="shared" si="2"/>
        <v>60001037030010020120</v>
      </c>
    </row>
    <row r="32" spans="2:14" s="16" customFormat="1" ht="191.25">
      <c r="B32" s="14"/>
      <c r="C32" s="200" t="s">
        <v>2269</v>
      </c>
      <c r="D32" s="198" t="s">
        <v>6</v>
      </c>
      <c r="E32" s="199" t="s">
        <v>11</v>
      </c>
      <c r="F32" s="199" t="s">
        <v>13</v>
      </c>
      <c r="G32" s="199" t="s">
        <v>1266</v>
      </c>
      <c r="H32" s="199" t="s">
        <v>9</v>
      </c>
      <c r="I32" s="20">
        <f>I33</f>
        <v>83.08</v>
      </c>
      <c r="J32" s="20">
        <f>J33</f>
        <v>0</v>
      </c>
      <c r="K32" s="20">
        <f>K33</f>
        <v>0</v>
      </c>
      <c r="L32" s="16">
        <v>7030077460</v>
      </c>
      <c r="M32" s="16" t="str">
        <f t="shared" si="1"/>
        <v>7030077460</v>
      </c>
      <c r="N32" s="16" t="str">
        <f t="shared" si="2"/>
        <v>60001037030077460000</v>
      </c>
    </row>
    <row r="33" spans="2:14" s="16" customFormat="1" ht="25.5">
      <c r="B33" s="14"/>
      <c r="C33" s="200" t="s">
        <v>20</v>
      </c>
      <c r="D33" s="198" t="s">
        <v>6</v>
      </c>
      <c r="E33" s="199" t="s">
        <v>11</v>
      </c>
      <c r="F33" s="199" t="s">
        <v>13</v>
      </c>
      <c r="G33" s="199" t="s">
        <v>1266</v>
      </c>
      <c r="H33" s="199" t="s">
        <v>21</v>
      </c>
      <c r="I33" s="20">
        <f>80.95+2.13</f>
        <v>83.08</v>
      </c>
      <c r="J33" s="20">
        <v>0</v>
      </c>
      <c r="K33" s="20">
        <v>0</v>
      </c>
      <c r="L33" s="16">
        <v>7030077460</v>
      </c>
      <c r="M33" s="16" t="str">
        <f t="shared" si="1"/>
        <v>7030077460</v>
      </c>
      <c r="N33" s="16" t="str">
        <f t="shared" si="2"/>
        <v>60001037030077460120</v>
      </c>
    </row>
    <row r="34" spans="2:14" s="16" customFormat="1">
      <c r="B34" s="14"/>
      <c r="C34" s="194" t="s">
        <v>50</v>
      </c>
      <c r="D34" s="195" t="s">
        <v>6</v>
      </c>
      <c r="E34" s="196" t="s">
        <v>11</v>
      </c>
      <c r="F34" s="196" t="s">
        <v>51</v>
      </c>
      <c r="G34" s="196" t="s">
        <v>8</v>
      </c>
      <c r="H34" s="196" t="s">
        <v>9</v>
      </c>
      <c r="I34" s="19">
        <f t="shared" ref="I34:K36" si="13">I35</f>
        <v>500</v>
      </c>
      <c r="J34" s="19">
        <f t="shared" si="13"/>
        <v>500</v>
      </c>
      <c r="K34" s="19">
        <f t="shared" si="13"/>
        <v>500</v>
      </c>
      <c r="L34" s="16">
        <v>0</v>
      </c>
      <c r="M34" s="16" t="str">
        <f t="shared" si="1"/>
        <v>0000000000</v>
      </c>
      <c r="N34" s="16" t="str">
        <f t="shared" si="2"/>
        <v>60001130000000000000</v>
      </c>
    </row>
    <row r="35" spans="2:14" s="16" customFormat="1">
      <c r="B35" s="14"/>
      <c r="C35" s="197" t="s">
        <v>14</v>
      </c>
      <c r="D35" s="198" t="s">
        <v>6</v>
      </c>
      <c r="E35" s="199" t="s">
        <v>11</v>
      </c>
      <c r="F35" s="199" t="s">
        <v>51</v>
      </c>
      <c r="G35" s="199" t="s">
        <v>15</v>
      </c>
      <c r="H35" s="199" t="s">
        <v>9</v>
      </c>
      <c r="I35" s="20">
        <f>I36</f>
        <v>500</v>
      </c>
      <c r="J35" s="20">
        <f t="shared" si="13"/>
        <v>500</v>
      </c>
      <c r="K35" s="20">
        <f t="shared" si="13"/>
        <v>500</v>
      </c>
      <c r="L35" s="16">
        <v>7000000000</v>
      </c>
      <c r="M35" s="16" t="str">
        <f t="shared" si="1"/>
        <v>7000000000</v>
      </c>
      <c r="N35" s="16" t="str">
        <f t="shared" si="2"/>
        <v>60001137000000000000</v>
      </c>
    </row>
    <row r="36" spans="2:14" s="16" customFormat="1">
      <c r="B36" s="14"/>
      <c r="C36" s="197" t="s">
        <v>52</v>
      </c>
      <c r="D36" s="198" t="s">
        <v>6</v>
      </c>
      <c r="E36" s="199" t="s">
        <v>11</v>
      </c>
      <c r="F36" s="199" t="s">
        <v>51</v>
      </c>
      <c r="G36" s="199" t="s">
        <v>53</v>
      </c>
      <c r="H36" s="199" t="s">
        <v>9</v>
      </c>
      <c r="I36" s="20">
        <f>I37</f>
        <v>500</v>
      </c>
      <c r="J36" s="20">
        <f t="shared" si="13"/>
        <v>500</v>
      </c>
      <c r="K36" s="20">
        <f t="shared" si="13"/>
        <v>500</v>
      </c>
      <c r="L36" s="16">
        <v>7040000000</v>
      </c>
      <c r="M36" s="16" t="str">
        <f t="shared" si="1"/>
        <v>7040000000</v>
      </c>
      <c r="N36" s="16" t="str">
        <f t="shared" si="2"/>
        <v>60001137040000000000</v>
      </c>
    </row>
    <row r="37" spans="2:14" s="16" customFormat="1" ht="63.75">
      <c r="B37" s="14"/>
      <c r="C37" s="201" t="s">
        <v>54</v>
      </c>
      <c r="D37" s="198" t="s">
        <v>6</v>
      </c>
      <c r="E37" s="199" t="s">
        <v>11</v>
      </c>
      <c r="F37" s="199" t="s">
        <v>51</v>
      </c>
      <c r="G37" s="199" t="s">
        <v>55</v>
      </c>
      <c r="H37" s="199" t="s">
        <v>9</v>
      </c>
      <c r="I37" s="20">
        <f t="shared" ref="I37:K37" si="14">I38</f>
        <v>500</v>
      </c>
      <c r="J37" s="20">
        <f t="shared" si="14"/>
        <v>500</v>
      </c>
      <c r="K37" s="20">
        <f t="shared" si="14"/>
        <v>500</v>
      </c>
      <c r="L37" s="16">
        <v>7040020090</v>
      </c>
      <c r="M37" s="16" t="str">
        <f t="shared" si="1"/>
        <v>7040020090</v>
      </c>
      <c r="N37" s="16" t="str">
        <f t="shared" si="2"/>
        <v>60001137040020090000</v>
      </c>
    </row>
    <row r="38" spans="2:14" s="16" customFormat="1" ht="25.5">
      <c r="B38" s="14"/>
      <c r="C38" s="197" t="s">
        <v>28</v>
      </c>
      <c r="D38" s="198" t="s">
        <v>6</v>
      </c>
      <c r="E38" s="199" t="s">
        <v>11</v>
      </c>
      <c r="F38" s="199" t="s">
        <v>51</v>
      </c>
      <c r="G38" s="199" t="s">
        <v>55</v>
      </c>
      <c r="H38" s="199" t="s">
        <v>29</v>
      </c>
      <c r="I38" s="20">
        <f>500</f>
        <v>500</v>
      </c>
      <c r="J38" s="20">
        <f>500</f>
        <v>500</v>
      </c>
      <c r="K38" s="20">
        <f>500</f>
        <v>500</v>
      </c>
      <c r="L38" s="16">
        <v>7040020090</v>
      </c>
      <c r="M38" s="16" t="str">
        <f t="shared" si="1"/>
        <v>7040020090</v>
      </c>
      <c r="N38" s="16" t="str">
        <f t="shared" si="2"/>
        <v>60001137040020090240</v>
      </c>
    </row>
    <row r="39" spans="2:14" s="6" customFormat="1">
      <c r="B39" s="1"/>
      <c r="C39" s="191" t="s">
        <v>56</v>
      </c>
      <c r="D39" s="192" t="s">
        <v>6</v>
      </c>
      <c r="E39" s="193" t="s">
        <v>57</v>
      </c>
      <c r="F39" s="193" t="s">
        <v>7</v>
      </c>
      <c r="G39" s="193" t="s">
        <v>8</v>
      </c>
      <c r="H39" s="193" t="s">
        <v>9</v>
      </c>
      <c r="I39" s="18">
        <f>I45+I40</f>
        <v>7090.5</v>
      </c>
      <c r="J39" s="18">
        <f t="shared" ref="J39:K39" si="15">J45+J40</f>
        <v>7090.5</v>
      </c>
      <c r="K39" s="18">
        <f t="shared" si="15"/>
        <v>7090.5</v>
      </c>
      <c r="L39" s="6">
        <v>0</v>
      </c>
      <c r="M39" s="16" t="str">
        <f t="shared" si="1"/>
        <v>0000000000</v>
      </c>
      <c r="N39" s="16" t="str">
        <f t="shared" si="2"/>
        <v>60012000000000000000</v>
      </c>
    </row>
    <row r="40" spans="2:14" s="6" customFormat="1">
      <c r="B40" s="1"/>
      <c r="C40" s="194" t="s">
        <v>58</v>
      </c>
      <c r="D40" s="195" t="s">
        <v>6</v>
      </c>
      <c r="E40" s="196" t="s">
        <v>57</v>
      </c>
      <c r="F40" s="196" t="s">
        <v>11</v>
      </c>
      <c r="G40" s="196" t="s">
        <v>8</v>
      </c>
      <c r="H40" s="196" t="s">
        <v>9</v>
      </c>
      <c r="I40" s="19">
        <f>I41</f>
        <v>5090.5</v>
      </c>
      <c r="J40" s="19">
        <f t="shared" ref="J40:K41" si="16">J41</f>
        <v>5090.5</v>
      </c>
      <c r="K40" s="19">
        <f t="shared" si="16"/>
        <v>5090.5</v>
      </c>
      <c r="L40" s="6">
        <v>0</v>
      </c>
      <c r="M40" s="16" t="str">
        <f t="shared" si="1"/>
        <v>0000000000</v>
      </c>
      <c r="N40" s="16" t="str">
        <f t="shared" si="2"/>
        <v>60012010000000000000</v>
      </c>
    </row>
    <row r="41" spans="2:14" s="16" customFormat="1">
      <c r="B41" s="14"/>
      <c r="C41" s="197" t="s">
        <v>14</v>
      </c>
      <c r="D41" s="198" t="s">
        <v>6</v>
      </c>
      <c r="E41" s="199" t="s">
        <v>57</v>
      </c>
      <c r="F41" s="199" t="s">
        <v>11</v>
      </c>
      <c r="G41" s="199" t="s">
        <v>15</v>
      </c>
      <c r="H41" s="199" t="s">
        <v>9</v>
      </c>
      <c r="I41" s="20">
        <f>I42</f>
        <v>5090.5</v>
      </c>
      <c r="J41" s="20">
        <f t="shared" si="16"/>
        <v>5090.5</v>
      </c>
      <c r="K41" s="20">
        <f t="shared" si="16"/>
        <v>5090.5</v>
      </c>
      <c r="L41" s="16">
        <v>7000000000</v>
      </c>
      <c r="M41" s="16" t="str">
        <f t="shared" si="1"/>
        <v>7000000000</v>
      </c>
      <c r="N41" s="16" t="str">
        <f t="shared" si="2"/>
        <v>60012017000000000000</v>
      </c>
    </row>
    <row r="42" spans="2:14" s="16" customFormat="1">
      <c r="B42" s="14"/>
      <c r="C42" s="197" t="s">
        <v>52</v>
      </c>
      <c r="D42" s="198" t="s">
        <v>6</v>
      </c>
      <c r="E42" s="199" t="s">
        <v>57</v>
      </c>
      <c r="F42" s="199" t="s">
        <v>11</v>
      </c>
      <c r="G42" s="199" t="s">
        <v>53</v>
      </c>
      <c r="H42" s="199" t="s">
        <v>9</v>
      </c>
      <c r="I42" s="20">
        <f t="shared" ref="I42:K43" si="17">I43</f>
        <v>5090.5</v>
      </c>
      <c r="J42" s="20">
        <f t="shared" si="17"/>
        <v>5090.5</v>
      </c>
      <c r="K42" s="20">
        <f t="shared" si="17"/>
        <v>5090.5</v>
      </c>
      <c r="L42" s="16">
        <v>7040000000</v>
      </c>
      <c r="M42" s="16" t="str">
        <f t="shared" si="1"/>
        <v>7040000000</v>
      </c>
      <c r="N42" s="16" t="str">
        <f t="shared" si="2"/>
        <v>60012017040000000000</v>
      </c>
    </row>
    <row r="43" spans="2:14" s="16" customFormat="1" ht="25.5">
      <c r="B43" s="14"/>
      <c r="C43" s="197" t="s">
        <v>59</v>
      </c>
      <c r="D43" s="198" t="s">
        <v>6</v>
      </c>
      <c r="E43" s="199" t="s">
        <v>57</v>
      </c>
      <c r="F43" s="199" t="s">
        <v>11</v>
      </c>
      <c r="G43" s="199" t="s">
        <v>60</v>
      </c>
      <c r="H43" s="199" t="s">
        <v>9</v>
      </c>
      <c r="I43" s="20">
        <f t="shared" si="17"/>
        <v>5090.5</v>
      </c>
      <c r="J43" s="20">
        <f t="shared" si="17"/>
        <v>5090.5</v>
      </c>
      <c r="K43" s="20">
        <f t="shared" si="17"/>
        <v>5090.5</v>
      </c>
      <c r="L43" s="16">
        <v>7040098710</v>
      </c>
      <c r="M43" s="16" t="str">
        <f t="shared" si="1"/>
        <v>7040098710</v>
      </c>
      <c r="N43" s="16" t="str">
        <f t="shared" si="2"/>
        <v>60012017040098710000</v>
      </c>
    </row>
    <row r="44" spans="2:14" s="16" customFormat="1" ht="25.5">
      <c r="B44" s="14"/>
      <c r="C44" s="197" t="s">
        <v>28</v>
      </c>
      <c r="D44" s="198" t="s">
        <v>6</v>
      </c>
      <c r="E44" s="199" t="s">
        <v>57</v>
      </c>
      <c r="F44" s="199" t="s">
        <v>11</v>
      </c>
      <c r="G44" s="199" t="s">
        <v>60</v>
      </c>
      <c r="H44" s="199" t="s">
        <v>29</v>
      </c>
      <c r="I44" s="20">
        <f>5090.5</f>
        <v>5090.5</v>
      </c>
      <c r="J44" s="20">
        <f t="shared" ref="J44:K44" si="18">5090.5</f>
        <v>5090.5</v>
      </c>
      <c r="K44" s="20">
        <f t="shared" si="18"/>
        <v>5090.5</v>
      </c>
      <c r="L44" s="16">
        <v>7040098710</v>
      </c>
      <c r="M44" s="16" t="str">
        <f t="shared" si="1"/>
        <v>7040098710</v>
      </c>
      <c r="N44" s="16" t="str">
        <f t="shared" si="2"/>
        <v>60012017040098710240</v>
      </c>
    </row>
    <row r="45" spans="2:14" s="16" customFormat="1">
      <c r="B45" s="14"/>
      <c r="C45" s="194" t="s">
        <v>61</v>
      </c>
      <c r="D45" s="195" t="s">
        <v>6</v>
      </c>
      <c r="E45" s="196" t="s">
        <v>57</v>
      </c>
      <c r="F45" s="196" t="s">
        <v>62</v>
      </c>
      <c r="G45" s="196" t="s">
        <v>8</v>
      </c>
      <c r="H45" s="196" t="s">
        <v>9</v>
      </c>
      <c r="I45" s="19">
        <f t="shared" ref="I45:K48" si="19">I46</f>
        <v>2000</v>
      </c>
      <c r="J45" s="19">
        <f t="shared" si="19"/>
        <v>2000</v>
      </c>
      <c r="K45" s="19">
        <f t="shared" si="19"/>
        <v>2000</v>
      </c>
      <c r="L45" s="16">
        <v>0</v>
      </c>
      <c r="M45" s="16" t="str">
        <f t="shared" si="1"/>
        <v>0000000000</v>
      </c>
      <c r="N45" s="16" t="str">
        <f t="shared" si="2"/>
        <v>60012020000000000000</v>
      </c>
    </row>
    <row r="46" spans="2:14" s="16" customFormat="1">
      <c r="B46" s="14"/>
      <c r="C46" s="197" t="s">
        <v>14</v>
      </c>
      <c r="D46" s="198" t="s">
        <v>6</v>
      </c>
      <c r="E46" s="199" t="s">
        <v>57</v>
      </c>
      <c r="F46" s="199" t="s">
        <v>62</v>
      </c>
      <c r="G46" s="199" t="s">
        <v>15</v>
      </c>
      <c r="H46" s="199" t="s">
        <v>9</v>
      </c>
      <c r="I46" s="20">
        <f>I47</f>
        <v>2000</v>
      </c>
      <c r="J46" s="20">
        <f t="shared" si="19"/>
        <v>2000</v>
      </c>
      <c r="K46" s="20">
        <f t="shared" si="19"/>
        <v>2000</v>
      </c>
      <c r="L46" s="16">
        <v>7000000000</v>
      </c>
      <c r="M46" s="16" t="str">
        <f t="shared" si="1"/>
        <v>7000000000</v>
      </c>
      <c r="N46" s="16" t="str">
        <f t="shared" si="2"/>
        <v>60012027000000000000</v>
      </c>
    </row>
    <row r="47" spans="2:14" s="16" customFormat="1">
      <c r="B47" s="14"/>
      <c r="C47" s="197" t="s">
        <v>52</v>
      </c>
      <c r="D47" s="198" t="s">
        <v>6</v>
      </c>
      <c r="E47" s="199" t="s">
        <v>57</v>
      </c>
      <c r="F47" s="199" t="s">
        <v>62</v>
      </c>
      <c r="G47" s="199" t="s">
        <v>53</v>
      </c>
      <c r="H47" s="199" t="s">
        <v>9</v>
      </c>
      <c r="I47" s="20">
        <f>I48</f>
        <v>2000</v>
      </c>
      <c r="J47" s="20">
        <f t="shared" si="19"/>
        <v>2000</v>
      </c>
      <c r="K47" s="20">
        <f t="shared" si="19"/>
        <v>2000</v>
      </c>
      <c r="L47" s="16">
        <v>7040000000</v>
      </c>
      <c r="M47" s="16" t="str">
        <f t="shared" si="1"/>
        <v>7040000000</v>
      </c>
      <c r="N47" s="16" t="str">
        <f t="shared" si="2"/>
        <v>60012027040000000000</v>
      </c>
    </row>
    <row r="48" spans="2:14" s="16" customFormat="1" ht="25.5">
      <c r="B48" s="14"/>
      <c r="C48" s="197" t="s">
        <v>59</v>
      </c>
      <c r="D48" s="198" t="s">
        <v>6</v>
      </c>
      <c r="E48" s="199" t="s">
        <v>57</v>
      </c>
      <c r="F48" s="199" t="s">
        <v>62</v>
      </c>
      <c r="G48" s="199" t="s">
        <v>60</v>
      </c>
      <c r="H48" s="199" t="s">
        <v>9</v>
      </c>
      <c r="I48" s="20">
        <f>I49</f>
        <v>2000</v>
      </c>
      <c r="J48" s="20">
        <f t="shared" si="19"/>
        <v>2000</v>
      </c>
      <c r="K48" s="20">
        <f t="shared" si="19"/>
        <v>2000</v>
      </c>
      <c r="L48" s="16">
        <v>7040098710</v>
      </c>
      <c r="M48" s="16" t="str">
        <f t="shared" si="1"/>
        <v>7040098710</v>
      </c>
      <c r="N48" s="16" t="str">
        <f t="shared" si="2"/>
        <v>60012027040098710000</v>
      </c>
    </row>
    <row r="49" spans="2:14" s="16" customFormat="1" ht="25.5">
      <c r="B49" s="14"/>
      <c r="C49" s="197" t="s">
        <v>28</v>
      </c>
      <c r="D49" s="198" t="s">
        <v>6</v>
      </c>
      <c r="E49" s="199" t="s">
        <v>57</v>
      </c>
      <c r="F49" s="199" t="s">
        <v>62</v>
      </c>
      <c r="G49" s="199" t="s">
        <v>60</v>
      </c>
      <c r="H49" s="199" t="s">
        <v>29</v>
      </c>
      <c r="I49" s="20">
        <f>2000</f>
        <v>2000</v>
      </c>
      <c r="J49" s="20">
        <f>2000</f>
        <v>2000</v>
      </c>
      <c r="K49" s="20">
        <f>2000</f>
        <v>2000</v>
      </c>
      <c r="L49" s="16">
        <v>7040098710</v>
      </c>
      <c r="M49" s="16" t="str">
        <f t="shared" si="1"/>
        <v>7040098710</v>
      </c>
      <c r="N49" s="16" t="str">
        <f t="shared" si="2"/>
        <v>60012027040098710240</v>
      </c>
    </row>
    <row r="50" spans="2:14" s="16" customFormat="1">
      <c r="B50" s="14"/>
      <c r="C50" s="197"/>
      <c r="D50" s="198"/>
      <c r="E50" s="199"/>
      <c r="F50" s="199"/>
      <c r="G50" s="199"/>
      <c r="H50" s="199"/>
      <c r="I50" s="20"/>
      <c r="J50" s="20"/>
      <c r="K50" s="20"/>
      <c r="M50" s="16" t="str">
        <f t="shared" si="1"/>
        <v>0000000000</v>
      </c>
      <c r="N50" s="16" t="str">
        <f t="shared" si="2"/>
        <v>0000000000</v>
      </c>
    </row>
    <row r="51" spans="2:14" s="16" customFormat="1">
      <c r="B51" s="14"/>
      <c r="C51" s="202" t="s">
        <v>63</v>
      </c>
      <c r="D51" s="189" t="s">
        <v>64</v>
      </c>
      <c r="E51" s="190" t="s">
        <v>7</v>
      </c>
      <c r="F51" s="190" t="s">
        <v>7</v>
      </c>
      <c r="G51" s="190" t="s">
        <v>8</v>
      </c>
      <c r="H51" s="190" t="s">
        <v>9</v>
      </c>
      <c r="I51" s="25">
        <f>I52+I168+I190+I197+I204</f>
        <v>304263.16000000003</v>
      </c>
      <c r="J51" s="25">
        <f>J52+J168+J190+J197+J204</f>
        <v>281519.17000000004</v>
      </c>
      <c r="K51" s="25">
        <f>K52+K168+K190+K197+K204</f>
        <v>281572.27</v>
      </c>
      <c r="L51" s="16">
        <v>0</v>
      </c>
      <c r="M51" s="16" t="str">
        <f t="shared" si="1"/>
        <v>0000000000</v>
      </c>
      <c r="N51" s="16" t="str">
        <f t="shared" si="2"/>
        <v>60100000000000000000</v>
      </c>
    </row>
    <row r="52" spans="2:14" s="16" customFormat="1">
      <c r="B52" s="14"/>
      <c r="C52" s="191" t="s">
        <v>10</v>
      </c>
      <c r="D52" s="192" t="s">
        <v>64</v>
      </c>
      <c r="E52" s="193" t="s">
        <v>11</v>
      </c>
      <c r="F52" s="193" t="s">
        <v>7</v>
      </c>
      <c r="G52" s="193" t="s">
        <v>8</v>
      </c>
      <c r="H52" s="193" t="s">
        <v>9</v>
      </c>
      <c r="I52" s="18">
        <f>I62+I78+I83+I53</f>
        <v>270148.89</v>
      </c>
      <c r="J52" s="18">
        <f>J62+J78+J83+J53</f>
        <v>247443.17</v>
      </c>
      <c r="K52" s="18">
        <f>K62+K78+K83+K53</f>
        <v>247496.27000000002</v>
      </c>
      <c r="L52" s="16">
        <v>0</v>
      </c>
      <c r="M52" s="16" t="str">
        <f t="shared" si="1"/>
        <v>0000000000</v>
      </c>
      <c r="N52" s="16" t="str">
        <f t="shared" si="2"/>
        <v>60101000000000000000</v>
      </c>
    </row>
    <row r="53" spans="2:14" s="16" customFormat="1" ht="25.5">
      <c r="B53" s="14"/>
      <c r="C53" s="194" t="s">
        <v>65</v>
      </c>
      <c r="D53" s="195" t="s">
        <v>64</v>
      </c>
      <c r="E53" s="196" t="s">
        <v>11</v>
      </c>
      <c r="F53" s="196" t="s">
        <v>62</v>
      </c>
      <c r="G53" s="196" t="s">
        <v>8</v>
      </c>
      <c r="H53" s="196" t="s">
        <v>9</v>
      </c>
      <c r="I53" s="19">
        <f>I54</f>
        <v>1658.17</v>
      </c>
      <c r="J53" s="19">
        <f t="shared" ref="J53:K54" si="20">J54</f>
        <v>1658.1699999999998</v>
      </c>
      <c r="K53" s="19">
        <f t="shared" si="20"/>
        <v>1658.1699999999998</v>
      </c>
      <c r="L53" s="16">
        <v>0</v>
      </c>
      <c r="M53" s="16" t="str">
        <f t="shared" si="1"/>
        <v>0000000000</v>
      </c>
      <c r="N53" s="16" t="str">
        <f t="shared" si="2"/>
        <v>60101020000000000000</v>
      </c>
    </row>
    <row r="54" spans="2:14" s="16" customFormat="1">
      <c r="B54" s="14"/>
      <c r="C54" s="201" t="s">
        <v>66</v>
      </c>
      <c r="D54" s="198" t="s">
        <v>64</v>
      </c>
      <c r="E54" s="199" t="s">
        <v>11</v>
      </c>
      <c r="F54" s="199" t="s">
        <v>62</v>
      </c>
      <c r="G54" s="199" t="s">
        <v>67</v>
      </c>
      <c r="H54" s="199" t="s">
        <v>9</v>
      </c>
      <c r="I54" s="20">
        <f>I55</f>
        <v>1658.17</v>
      </c>
      <c r="J54" s="20">
        <f t="shared" si="20"/>
        <v>1658.1699999999998</v>
      </c>
      <c r="K54" s="20">
        <f t="shared" si="20"/>
        <v>1658.1699999999998</v>
      </c>
      <c r="L54" s="16">
        <v>7100000000</v>
      </c>
      <c r="M54" s="16" t="str">
        <f t="shared" si="1"/>
        <v>7100000000</v>
      </c>
      <c r="N54" s="16" t="str">
        <f t="shared" si="2"/>
        <v>60101027100000000000</v>
      </c>
    </row>
    <row r="55" spans="2:14" s="16" customFormat="1">
      <c r="B55" s="14"/>
      <c r="C55" s="197" t="s">
        <v>68</v>
      </c>
      <c r="D55" s="198" t="s">
        <v>64</v>
      </c>
      <c r="E55" s="199" t="s">
        <v>11</v>
      </c>
      <c r="F55" s="199" t="s">
        <v>62</v>
      </c>
      <c r="G55" s="199" t="s">
        <v>69</v>
      </c>
      <c r="H55" s="199" t="s">
        <v>9</v>
      </c>
      <c r="I55" s="20">
        <f>I56+I58+I60</f>
        <v>1658.17</v>
      </c>
      <c r="J55" s="20">
        <f t="shared" ref="J55:K55" si="21">J56+J58+J60</f>
        <v>1658.1699999999998</v>
      </c>
      <c r="K55" s="20">
        <f t="shared" si="21"/>
        <v>1658.1699999999998</v>
      </c>
      <c r="L55" s="16">
        <v>7120000000</v>
      </c>
      <c r="M55" s="16" t="str">
        <f t="shared" si="1"/>
        <v>7120000000</v>
      </c>
      <c r="N55" s="16" t="str">
        <f t="shared" si="2"/>
        <v>60101027120000000000</v>
      </c>
    </row>
    <row r="56" spans="2:14" s="16" customFormat="1" ht="25.5">
      <c r="B56" s="14"/>
      <c r="C56" s="197" t="s">
        <v>18</v>
      </c>
      <c r="D56" s="198" t="s">
        <v>64</v>
      </c>
      <c r="E56" s="199" t="s">
        <v>11</v>
      </c>
      <c r="F56" s="199" t="s">
        <v>62</v>
      </c>
      <c r="G56" s="199" t="s">
        <v>70</v>
      </c>
      <c r="H56" s="199" t="s">
        <v>9</v>
      </c>
      <c r="I56" s="20">
        <f>I57</f>
        <v>41.55</v>
      </c>
      <c r="J56" s="20">
        <f t="shared" ref="J56:K56" si="22">J57</f>
        <v>41.55</v>
      </c>
      <c r="K56" s="20">
        <f t="shared" si="22"/>
        <v>41.55</v>
      </c>
      <c r="L56" s="16">
        <v>7120010010</v>
      </c>
      <c r="M56" s="16" t="str">
        <f t="shared" si="1"/>
        <v>7120010010</v>
      </c>
      <c r="N56" s="16" t="str">
        <f t="shared" si="2"/>
        <v>60101027120010010000</v>
      </c>
    </row>
    <row r="57" spans="2:14" s="16" customFormat="1" ht="25.5">
      <c r="B57" s="14"/>
      <c r="C57" s="200" t="s">
        <v>20</v>
      </c>
      <c r="D57" s="198" t="s">
        <v>64</v>
      </c>
      <c r="E57" s="199" t="s">
        <v>11</v>
      </c>
      <c r="F57" s="199" t="s">
        <v>62</v>
      </c>
      <c r="G57" s="199" t="s">
        <v>70</v>
      </c>
      <c r="H57" s="199" t="s">
        <v>21</v>
      </c>
      <c r="I57" s="20">
        <f>31.91+9.64</f>
        <v>41.55</v>
      </c>
      <c r="J57" s="20">
        <f t="shared" ref="J57:K57" si="23">31.91+9.64</f>
        <v>41.55</v>
      </c>
      <c r="K57" s="20">
        <f t="shared" si="23"/>
        <v>41.55</v>
      </c>
      <c r="L57" s="16">
        <v>7120010010</v>
      </c>
      <c r="M57" s="16" t="str">
        <f t="shared" si="1"/>
        <v>7120010010</v>
      </c>
      <c r="N57" s="16" t="str">
        <f t="shared" si="2"/>
        <v>60101027120010010120</v>
      </c>
    </row>
    <row r="58" spans="2:14" s="16" customFormat="1" ht="25.5">
      <c r="B58" s="14"/>
      <c r="C58" s="197" t="s">
        <v>38</v>
      </c>
      <c r="D58" s="198" t="s">
        <v>64</v>
      </c>
      <c r="E58" s="199" t="s">
        <v>11</v>
      </c>
      <c r="F58" s="199" t="s">
        <v>62</v>
      </c>
      <c r="G58" s="199" t="s">
        <v>71</v>
      </c>
      <c r="H58" s="199" t="s">
        <v>9</v>
      </c>
      <c r="I58" s="20">
        <f>I59</f>
        <v>1564.0500000000002</v>
      </c>
      <c r="J58" s="20">
        <f t="shared" ref="J58:K58" si="24">J59</f>
        <v>1616.62</v>
      </c>
      <c r="K58" s="20">
        <f t="shared" si="24"/>
        <v>1616.62</v>
      </c>
      <c r="L58" s="16">
        <v>7120010020</v>
      </c>
      <c r="M58" s="16" t="str">
        <f t="shared" si="1"/>
        <v>7120010020</v>
      </c>
      <c r="N58" s="16" t="str">
        <f t="shared" si="2"/>
        <v>60101027120010020000</v>
      </c>
    </row>
    <row r="59" spans="2:14" s="16" customFormat="1" ht="25.5">
      <c r="B59" s="14"/>
      <c r="C59" s="200" t="s">
        <v>20</v>
      </c>
      <c r="D59" s="198" t="s">
        <v>64</v>
      </c>
      <c r="E59" s="199" t="s">
        <v>11</v>
      </c>
      <c r="F59" s="199" t="s">
        <v>62</v>
      </c>
      <c r="G59" s="199" t="s">
        <v>71</v>
      </c>
      <c r="H59" s="199" t="s">
        <v>21</v>
      </c>
      <c r="I59" s="20">
        <f>1192+360+2.72+10.15-0.82</f>
        <v>1564.0500000000002</v>
      </c>
      <c r="J59" s="20">
        <f>1192+360+64.62</f>
        <v>1616.62</v>
      </c>
      <c r="K59" s="20">
        <f>1192+360+64.62</f>
        <v>1616.62</v>
      </c>
      <c r="L59" s="16">
        <v>7120010020</v>
      </c>
      <c r="M59" s="16" t="str">
        <f t="shared" si="1"/>
        <v>7120010020</v>
      </c>
      <c r="N59" s="16" t="str">
        <f t="shared" si="2"/>
        <v>60101027120010020120</v>
      </c>
    </row>
    <row r="60" spans="2:14" s="16" customFormat="1" ht="191.25">
      <c r="B60" s="14" t="s">
        <v>80</v>
      </c>
      <c r="C60" s="200" t="s">
        <v>2269</v>
      </c>
      <c r="D60" s="198" t="s">
        <v>64</v>
      </c>
      <c r="E60" s="199" t="s">
        <v>11</v>
      </c>
      <c r="F60" s="199" t="s">
        <v>62</v>
      </c>
      <c r="G60" s="199" t="s">
        <v>1267</v>
      </c>
      <c r="H60" s="199" t="s">
        <v>9</v>
      </c>
      <c r="I60" s="20">
        <f>I61</f>
        <v>52.57</v>
      </c>
      <c r="J60" s="20">
        <f t="shared" ref="J60:K60" si="25">J61</f>
        <v>0</v>
      </c>
      <c r="K60" s="20">
        <f t="shared" si="25"/>
        <v>0</v>
      </c>
      <c r="L60" s="16">
        <v>7120077460</v>
      </c>
      <c r="M60" s="16" t="str">
        <f t="shared" si="1"/>
        <v>7120077460</v>
      </c>
      <c r="N60" s="16" t="str">
        <f t="shared" si="2"/>
        <v>60101027120077460000</v>
      </c>
    </row>
    <row r="61" spans="2:14" s="16" customFormat="1" ht="25.5">
      <c r="B61" s="14"/>
      <c r="C61" s="200" t="s">
        <v>20</v>
      </c>
      <c r="D61" s="198" t="s">
        <v>64</v>
      </c>
      <c r="E61" s="199" t="s">
        <v>11</v>
      </c>
      <c r="F61" s="199" t="s">
        <v>62</v>
      </c>
      <c r="G61" s="199" t="s">
        <v>1267</v>
      </c>
      <c r="H61" s="199" t="s">
        <v>21</v>
      </c>
      <c r="I61" s="20">
        <f>51.75+0.82</f>
        <v>52.57</v>
      </c>
      <c r="J61" s="20">
        <v>0</v>
      </c>
      <c r="K61" s="20">
        <v>0</v>
      </c>
      <c r="L61" s="16">
        <v>7120077460</v>
      </c>
      <c r="M61" s="16" t="str">
        <f t="shared" si="1"/>
        <v>7120077460</v>
      </c>
      <c r="N61" s="16" t="str">
        <f t="shared" si="2"/>
        <v>60101027120077460120</v>
      </c>
    </row>
    <row r="62" spans="2:14" s="16" customFormat="1" ht="38.25">
      <c r="B62" s="14"/>
      <c r="C62" s="194" t="s">
        <v>72</v>
      </c>
      <c r="D62" s="195" t="s">
        <v>64</v>
      </c>
      <c r="E62" s="196" t="s">
        <v>11</v>
      </c>
      <c r="F62" s="196" t="s">
        <v>73</v>
      </c>
      <c r="G62" s="196" t="s">
        <v>8</v>
      </c>
      <c r="H62" s="196" t="s">
        <v>9</v>
      </c>
      <c r="I62" s="19">
        <f>I63</f>
        <v>110121.74999999999</v>
      </c>
      <c r="J62" s="19">
        <f>J63</f>
        <v>110406.56</v>
      </c>
      <c r="K62" s="19">
        <f>K63</f>
        <v>110406.56</v>
      </c>
      <c r="L62" s="16">
        <v>0</v>
      </c>
      <c r="M62" s="16" t="str">
        <f t="shared" si="1"/>
        <v>0000000000</v>
      </c>
      <c r="N62" s="16" t="str">
        <f t="shared" si="2"/>
        <v>60101040000000000000</v>
      </c>
    </row>
    <row r="63" spans="2:14" s="16" customFormat="1">
      <c r="B63" s="14"/>
      <c r="C63" s="201" t="s">
        <v>66</v>
      </c>
      <c r="D63" s="198" t="s">
        <v>64</v>
      </c>
      <c r="E63" s="199" t="s">
        <v>11</v>
      </c>
      <c r="F63" s="199" t="s">
        <v>73</v>
      </c>
      <c r="G63" s="199" t="s">
        <v>67</v>
      </c>
      <c r="H63" s="199" t="s">
        <v>9</v>
      </c>
      <c r="I63" s="20">
        <f>I64</f>
        <v>110121.74999999999</v>
      </c>
      <c r="J63" s="20">
        <f t="shared" ref="J63:K63" si="26">J64</f>
        <v>110406.56</v>
      </c>
      <c r="K63" s="20">
        <f t="shared" si="26"/>
        <v>110406.56</v>
      </c>
      <c r="L63" s="16">
        <v>7100000000</v>
      </c>
      <c r="M63" s="16" t="str">
        <f t="shared" si="1"/>
        <v>7100000000</v>
      </c>
      <c r="N63" s="16" t="str">
        <f t="shared" si="2"/>
        <v>60101047100000000000</v>
      </c>
    </row>
    <row r="64" spans="2:14" s="16" customFormat="1" ht="25.5">
      <c r="B64" s="14"/>
      <c r="C64" s="201" t="s">
        <v>74</v>
      </c>
      <c r="D64" s="198" t="s">
        <v>64</v>
      </c>
      <c r="E64" s="199" t="s">
        <v>11</v>
      </c>
      <c r="F64" s="199" t="s">
        <v>73</v>
      </c>
      <c r="G64" s="199" t="s">
        <v>75</v>
      </c>
      <c r="H64" s="199" t="s">
        <v>9</v>
      </c>
      <c r="I64" s="20">
        <f>I65+I69+I71+I74+I76</f>
        <v>110121.74999999999</v>
      </c>
      <c r="J64" s="20">
        <f t="shared" ref="J64:K64" si="27">J65+J69+J71+J74+J76</f>
        <v>110406.56</v>
      </c>
      <c r="K64" s="20">
        <f t="shared" si="27"/>
        <v>110406.56</v>
      </c>
      <c r="L64" s="16">
        <v>7110000000</v>
      </c>
      <c r="M64" s="16" t="str">
        <f t="shared" si="1"/>
        <v>7110000000</v>
      </c>
      <c r="N64" s="16" t="str">
        <f t="shared" si="2"/>
        <v>60101047110000000000</v>
      </c>
    </row>
    <row r="65" spans="2:14" s="16" customFormat="1" ht="25.5">
      <c r="B65" s="14"/>
      <c r="C65" s="201" t="s">
        <v>18</v>
      </c>
      <c r="D65" s="203" t="s">
        <v>64</v>
      </c>
      <c r="E65" s="204" t="s">
        <v>11</v>
      </c>
      <c r="F65" s="204" t="s">
        <v>73</v>
      </c>
      <c r="G65" s="204" t="s">
        <v>76</v>
      </c>
      <c r="H65" s="204" t="s">
        <v>9</v>
      </c>
      <c r="I65" s="26">
        <f>SUM(I66:I68)</f>
        <v>11818.349999999999</v>
      </c>
      <c r="J65" s="26">
        <f>SUM(J66:J68)</f>
        <v>12140.56</v>
      </c>
      <c r="K65" s="26">
        <f>SUM(K66:K68)</f>
        <v>12140.56</v>
      </c>
      <c r="L65" s="16">
        <v>7110010010</v>
      </c>
      <c r="M65" s="16" t="str">
        <f t="shared" si="1"/>
        <v>7110010010</v>
      </c>
      <c r="N65" s="16" t="str">
        <f t="shared" si="2"/>
        <v>60101047110010010000</v>
      </c>
    </row>
    <row r="66" spans="2:14" s="16" customFormat="1" ht="25.5">
      <c r="B66" s="14"/>
      <c r="C66" s="200" t="s">
        <v>20</v>
      </c>
      <c r="D66" s="203" t="s">
        <v>64</v>
      </c>
      <c r="E66" s="204" t="s">
        <v>11</v>
      </c>
      <c r="F66" s="204" t="s">
        <v>73</v>
      </c>
      <c r="G66" s="204" t="s">
        <v>76</v>
      </c>
      <c r="H66" s="199" t="s">
        <v>21</v>
      </c>
      <c r="I66" s="20">
        <f>3720.35+694.55</f>
        <v>4414.8999999999996</v>
      </c>
      <c r="J66" s="20">
        <f t="shared" ref="J66:K66" si="28">3720.35+694.55</f>
        <v>4414.8999999999996</v>
      </c>
      <c r="K66" s="20">
        <f t="shared" si="28"/>
        <v>4414.8999999999996</v>
      </c>
      <c r="L66" s="16">
        <v>7110010010</v>
      </c>
      <c r="M66" s="16" t="str">
        <f t="shared" si="1"/>
        <v>7110010010</v>
      </c>
      <c r="N66" s="16" t="str">
        <f t="shared" si="2"/>
        <v>60101047110010010120</v>
      </c>
    </row>
    <row r="67" spans="2:14" s="16" customFormat="1" ht="25.5">
      <c r="B67" s="14"/>
      <c r="C67" s="197" t="s">
        <v>28</v>
      </c>
      <c r="D67" s="203" t="s">
        <v>64</v>
      </c>
      <c r="E67" s="204" t="s">
        <v>11</v>
      </c>
      <c r="F67" s="204" t="s">
        <v>73</v>
      </c>
      <c r="G67" s="204" t="s">
        <v>76</v>
      </c>
      <c r="H67" s="199" t="s">
        <v>29</v>
      </c>
      <c r="I67" s="20">
        <f>7701.66-322.21</f>
        <v>7379.45</v>
      </c>
      <c r="J67" s="20">
        <f t="shared" ref="J67:K67" si="29">7701.66</f>
        <v>7701.66</v>
      </c>
      <c r="K67" s="20">
        <f t="shared" si="29"/>
        <v>7701.66</v>
      </c>
      <c r="L67" s="16">
        <v>7110010010</v>
      </c>
      <c r="M67" s="16" t="str">
        <f t="shared" si="1"/>
        <v>7110010010</v>
      </c>
      <c r="N67" s="16" t="str">
        <f t="shared" si="2"/>
        <v>60101047110010010240</v>
      </c>
    </row>
    <row r="68" spans="2:14" s="16" customFormat="1">
      <c r="B68" s="14"/>
      <c r="C68" s="197" t="s">
        <v>32</v>
      </c>
      <c r="D68" s="203" t="s">
        <v>64</v>
      </c>
      <c r="E68" s="204" t="s">
        <v>11</v>
      </c>
      <c r="F68" s="204" t="s">
        <v>73</v>
      </c>
      <c r="G68" s="204" t="s">
        <v>76</v>
      </c>
      <c r="H68" s="199" t="s">
        <v>33</v>
      </c>
      <c r="I68" s="20">
        <f>16+8</f>
        <v>24</v>
      </c>
      <c r="J68" s="20">
        <f t="shared" ref="J68:K68" si="30">16+8</f>
        <v>24</v>
      </c>
      <c r="K68" s="20">
        <f t="shared" si="30"/>
        <v>24</v>
      </c>
      <c r="L68" s="16">
        <v>7110010010</v>
      </c>
      <c r="M68" s="16" t="str">
        <f t="shared" si="1"/>
        <v>7110010010</v>
      </c>
      <c r="N68" s="16" t="str">
        <f t="shared" si="2"/>
        <v>60101047110010010850</v>
      </c>
    </row>
    <row r="69" spans="2:14" s="16" customFormat="1" ht="25.5">
      <c r="B69" s="14"/>
      <c r="C69" s="201" t="s">
        <v>38</v>
      </c>
      <c r="D69" s="198" t="s">
        <v>64</v>
      </c>
      <c r="E69" s="199" t="s">
        <v>11</v>
      </c>
      <c r="F69" s="199" t="s">
        <v>73</v>
      </c>
      <c r="G69" s="199" t="s">
        <v>79</v>
      </c>
      <c r="H69" s="204" t="s">
        <v>9</v>
      </c>
      <c r="I69" s="20">
        <f>I70</f>
        <v>94054.62999999999</v>
      </c>
      <c r="J69" s="20">
        <f t="shared" ref="J69:K69" si="31">J70</f>
        <v>97240.98</v>
      </c>
      <c r="K69" s="20">
        <f t="shared" si="31"/>
        <v>97240.98</v>
      </c>
      <c r="L69" s="16">
        <v>7110010020</v>
      </c>
      <c r="M69" s="16" t="str">
        <f t="shared" si="1"/>
        <v>7110010020</v>
      </c>
      <c r="N69" s="16" t="str">
        <f t="shared" si="2"/>
        <v>60101047110010020000</v>
      </c>
    </row>
    <row r="70" spans="2:14" s="16" customFormat="1" ht="25.5">
      <c r="B70" s="14"/>
      <c r="C70" s="200" t="s">
        <v>20</v>
      </c>
      <c r="D70" s="198" t="s">
        <v>64</v>
      </c>
      <c r="E70" s="199" t="s">
        <v>11</v>
      </c>
      <c r="F70" s="199" t="s">
        <v>73</v>
      </c>
      <c r="G70" s="199" t="s">
        <v>79</v>
      </c>
      <c r="H70" s="204" t="s">
        <v>21</v>
      </c>
      <c r="I70" s="20">
        <f>71808.02+21686.01+164.37+459.54-63.31</f>
        <v>94054.62999999999</v>
      </c>
      <c r="J70" s="20">
        <f>71808.02+21686.01+3746.95</f>
        <v>97240.98</v>
      </c>
      <c r="K70" s="20">
        <f>71808.02+21686.01+3746.95</f>
        <v>97240.98</v>
      </c>
      <c r="L70" s="16">
        <v>7110010020</v>
      </c>
      <c r="M70" s="16" t="str">
        <f t="shared" ref="M70:M133" si="32">TEXT(L70,"0000000000")</f>
        <v>7110010020</v>
      </c>
      <c r="N70" s="16" t="str">
        <f t="shared" ref="N70:N133" si="33">D70&amp;E70&amp;F70&amp;M70&amp;H70</f>
        <v>60101047110010020120</v>
      </c>
    </row>
    <row r="71" spans="2:14" s="16" customFormat="1" ht="51">
      <c r="B71" s="14" t="s">
        <v>80</v>
      </c>
      <c r="C71" s="197" t="s">
        <v>81</v>
      </c>
      <c r="D71" s="203" t="s">
        <v>64</v>
      </c>
      <c r="E71" s="204" t="s">
        <v>11</v>
      </c>
      <c r="F71" s="204" t="s">
        <v>73</v>
      </c>
      <c r="G71" s="204" t="s">
        <v>82</v>
      </c>
      <c r="H71" s="204" t="s">
        <v>9</v>
      </c>
      <c r="I71" s="20">
        <f>SUM(I72:I73)</f>
        <v>1053.42</v>
      </c>
      <c r="J71" s="20">
        <f>SUM(J72:J73)</f>
        <v>1016.02</v>
      </c>
      <c r="K71" s="20">
        <f>SUM(K72:K73)</f>
        <v>1016.02</v>
      </c>
      <c r="L71" s="16">
        <v>7110076630</v>
      </c>
      <c r="M71" s="16" t="str">
        <f t="shared" si="32"/>
        <v>7110076630</v>
      </c>
      <c r="N71" s="16" t="str">
        <f t="shared" si="33"/>
        <v>60101047110076630000</v>
      </c>
    </row>
    <row r="72" spans="2:14" s="16" customFormat="1" ht="25.5">
      <c r="B72" s="14"/>
      <c r="C72" s="200" t="s">
        <v>20</v>
      </c>
      <c r="D72" s="203" t="s">
        <v>64</v>
      </c>
      <c r="E72" s="204" t="s">
        <v>11</v>
      </c>
      <c r="F72" s="204" t="s">
        <v>73</v>
      </c>
      <c r="G72" s="204" t="s">
        <v>82</v>
      </c>
      <c r="H72" s="204" t="s">
        <v>21</v>
      </c>
      <c r="I72" s="20">
        <f>803.81+29.59</f>
        <v>833.4</v>
      </c>
      <c r="J72" s="20">
        <f t="shared" ref="J72:K72" si="34">803.81</f>
        <v>803.81</v>
      </c>
      <c r="K72" s="20">
        <f t="shared" si="34"/>
        <v>803.81</v>
      </c>
      <c r="L72" s="16">
        <v>7110076630</v>
      </c>
      <c r="M72" s="16" t="str">
        <f t="shared" si="32"/>
        <v>7110076630</v>
      </c>
      <c r="N72" s="16" t="str">
        <f t="shared" si="33"/>
        <v>60101047110076630120</v>
      </c>
    </row>
    <row r="73" spans="2:14" s="16" customFormat="1" ht="25.5">
      <c r="B73" s="14"/>
      <c r="C73" s="197" t="s">
        <v>28</v>
      </c>
      <c r="D73" s="203" t="s">
        <v>64</v>
      </c>
      <c r="E73" s="204" t="s">
        <v>11</v>
      </c>
      <c r="F73" s="204" t="s">
        <v>73</v>
      </c>
      <c r="G73" s="204" t="s">
        <v>82</v>
      </c>
      <c r="H73" s="204" t="s">
        <v>29</v>
      </c>
      <c r="I73" s="20">
        <f>212.21+7.81</f>
        <v>220.02</v>
      </c>
      <c r="J73" s="20">
        <f t="shared" ref="J73:K73" si="35">212.21</f>
        <v>212.21</v>
      </c>
      <c r="K73" s="20">
        <f t="shared" si="35"/>
        <v>212.21</v>
      </c>
      <c r="L73" s="16">
        <v>7110076630</v>
      </c>
      <c r="M73" s="16" t="str">
        <f t="shared" si="32"/>
        <v>7110076630</v>
      </c>
      <c r="N73" s="16" t="str">
        <f t="shared" si="33"/>
        <v>60101047110076630240</v>
      </c>
    </row>
    <row r="74" spans="2:14" s="16" customFormat="1" ht="38.25">
      <c r="B74" s="14" t="s">
        <v>80</v>
      </c>
      <c r="C74" s="201" t="s">
        <v>83</v>
      </c>
      <c r="D74" s="203" t="s">
        <v>64</v>
      </c>
      <c r="E74" s="204" t="s">
        <v>11</v>
      </c>
      <c r="F74" s="204" t="s">
        <v>73</v>
      </c>
      <c r="G74" s="204" t="s">
        <v>84</v>
      </c>
      <c r="H74" s="204" t="s">
        <v>9</v>
      </c>
      <c r="I74" s="26">
        <f>I75</f>
        <v>9</v>
      </c>
      <c r="J74" s="26">
        <f>J75</f>
        <v>9</v>
      </c>
      <c r="K74" s="26">
        <f>K75</f>
        <v>9</v>
      </c>
      <c r="L74" s="16">
        <v>7110076930</v>
      </c>
      <c r="M74" s="16" t="str">
        <f t="shared" si="32"/>
        <v>7110076930</v>
      </c>
      <c r="N74" s="16" t="str">
        <f t="shared" si="33"/>
        <v>60101047110076930000</v>
      </c>
    </row>
    <row r="75" spans="2:14" s="16" customFormat="1" ht="25.5">
      <c r="B75" s="14"/>
      <c r="C75" s="197" t="s">
        <v>28</v>
      </c>
      <c r="D75" s="203" t="s">
        <v>64</v>
      </c>
      <c r="E75" s="204" t="s">
        <v>11</v>
      </c>
      <c r="F75" s="204" t="s">
        <v>73</v>
      </c>
      <c r="G75" s="204" t="s">
        <v>84</v>
      </c>
      <c r="H75" s="204" t="s">
        <v>29</v>
      </c>
      <c r="I75" s="20">
        <f>9</f>
        <v>9</v>
      </c>
      <c r="J75" s="20">
        <f>9</f>
        <v>9</v>
      </c>
      <c r="K75" s="20">
        <f>9</f>
        <v>9</v>
      </c>
      <c r="L75" s="16">
        <v>7110076930</v>
      </c>
      <c r="M75" s="16" t="str">
        <f t="shared" si="32"/>
        <v>7110076930</v>
      </c>
      <c r="N75" s="16" t="str">
        <f t="shared" si="33"/>
        <v>60101047110076930240</v>
      </c>
    </row>
    <row r="76" spans="2:14" s="16" customFormat="1" ht="191.25">
      <c r="B76" s="14" t="s">
        <v>80</v>
      </c>
      <c r="C76" s="197" t="s">
        <v>2269</v>
      </c>
      <c r="D76" s="203" t="s">
        <v>64</v>
      </c>
      <c r="E76" s="204" t="s">
        <v>11</v>
      </c>
      <c r="F76" s="204" t="s">
        <v>73</v>
      </c>
      <c r="G76" s="204" t="s">
        <v>1268</v>
      </c>
      <c r="H76" s="204" t="s">
        <v>9</v>
      </c>
      <c r="I76" s="20">
        <f>I77</f>
        <v>3186.35</v>
      </c>
      <c r="J76" s="20">
        <f t="shared" ref="J76:K76" si="36">J77</f>
        <v>0</v>
      </c>
      <c r="K76" s="20">
        <f t="shared" si="36"/>
        <v>0</v>
      </c>
      <c r="L76" s="16">
        <v>7110077460</v>
      </c>
      <c r="M76" s="16" t="str">
        <f t="shared" si="32"/>
        <v>7110077460</v>
      </c>
      <c r="N76" s="16" t="str">
        <f t="shared" si="33"/>
        <v>60101047110077460000</v>
      </c>
    </row>
    <row r="77" spans="2:14" s="16" customFormat="1" ht="25.5">
      <c r="B77" s="14"/>
      <c r="C77" s="197" t="s">
        <v>20</v>
      </c>
      <c r="D77" s="203" t="s">
        <v>64</v>
      </c>
      <c r="E77" s="204" t="s">
        <v>11</v>
      </c>
      <c r="F77" s="204" t="s">
        <v>73</v>
      </c>
      <c r="G77" s="204" t="s">
        <v>1268</v>
      </c>
      <c r="H77" s="204" t="s">
        <v>21</v>
      </c>
      <c r="I77" s="20">
        <f>3123.04+63.31</f>
        <v>3186.35</v>
      </c>
      <c r="J77" s="20">
        <v>0</v>
      </c>
      <c r="K77" s="20">
        <v>0</v>
      </c>
      <c r="L77" s="16">
        <v>7110077460</v>
      </c>
      <c r="M77" s="16" t="str">
        <f t="shared" si="32"/>
        <v>7110077460</v>
      </c>
      <c r="N77" s="16" t="str">
        <f t="shared" si="33"/>
        <v>60101047110077460120</v>
      </c>
    </row>
    <row r="78" spans="2:14" s="16" customFormat="1">
      <c r="B78" s="14"/>
      <c r="C78" s="194" t="s">
        <v>85</v>
      </c>
      <c r="D78" s="195" t="s">
        <v>64</v>
      </c>
      <c r="E78" s="196" t="s">
        <v>11</v>
      </c>
      <c r="F78" s="196" t="s">
        <v>86</v>
      </c>
      <c r="G78" s="196" t="s">
        <v>8</v>
      </c>
      <c r="H78" s="196" t="s">
        <v>9</v>
      </c>
      <c r="I78" s="19">
        <f>I79</f>
        <v>1291.44</v>
      </c>
      <c r="J78" s="19">
        <f>J79</f>
        <v>86.53</v>
      </c>
      <c r="K78" s="19">
        <f>K79</f>
        <v>139.63</v>
      </c>
      <c r="L78" s="16">
        <v>0</v>
      </c>
      <c r="M78" s="16" t="str">
        <f t="shared" si="32"/>
        <v>0000000000</v>
      </c>
      <c r="N78" s="16" t="str">
        <f t="shared" si="33"/>
        <v>60101050000000000000</v>
      </c>
    </row>
    <row r="79" spans="2:14" s="16" customFormat="1" ht="38.25">
      <c r="B79" s="14"/>
      <c r="C79" s="197" t="s">
        <v>87</v>
      </c>
      <c r="D79" s="198" t="s">
        <v>64</v>
      </c>
      <c r="E79" s="199" t="s">
        <v>11</v>
      </c>
      <c r="F79" s="204" t="s">
        <v>86</v>
      </c>
      <c r="G79" s="199" t="s">
        <v>88</v>
      </c>
      <c r="H79" s="199" t="s">
        <v>9</v>
      </c>
      <c r="I79" s="20">
        <f t="shared" ref="I79:K81" si="37">I80</f>
        <v>1291.44</v>
      </c>
      <c r="J79" s="20">
        <f t="shared" si="37"/>
        <v>86.53</v>
      </c>
      <c r="K79" s="20">
        <f t="shared" si="37"/>
        <v>139.63</v>
      </c>
      <c r="L79" s="16">
        <v>9800000000</v>
      </c>
      <c r="M79" s="16" t="str">
        <f t="shared" si="32"/>
        <v>9800000000</v>
      </c>
      <c r="N79" s="16" t="str">
        <f t="shared" si="33"/>
        <v>60101059800000000000</v>
      </c>
    </row>
    <row r="80" spans="2:14" s="16" customFormat="1">
      <c r="B80" s="14"/>
      <c r="C80" s="197" t="s">
        <v>89</v>
      </c>
      <c r="D80" s="198" t="s">
        <v>64</v>
      </c>
      <c r="E80" s="199" t="s">
        <v>11</v>
      </c>
      <c r="F80" s="204" t="s">
        <v>86</v>
      </c>
      <c r="G80" s="199" t="s">
        <v>90</v>
      </c>
      <c r="H80" s="199" t="s">
        <v>9</v>
      </c>
      <c r="I80" s="20">
        <f t="shared" si="37"/>
        <v>1291.44</v>
      </c>
      <c r="J80" s="20">
        <f t="shared" si="37"/>
        <v>86.53</v>
      </c>
      <c r="K80" s="20">
        <f t="shared" si="37"/>
        <v>139.63</v>
      </c>
      <c r="L80" s="16">
        <v>9810000000</v>
      </c>
      <c r="M80" s="16" t="str">
        <f t="shared" si="32"/>
        <v>9810000000</v>
      </c>
      <c r="N80" s="16" t="str">
        <f t="shared" si="33"/>
        <v>60101059810000000000</v>
      </c>
    </row>
    <row r="81" spans="2:14" s="16" customFormat="1" ht="38.25">
      <c r="B81" s="14" t="s">
        <v>91</v>
      </c>
      <c r="C81" s="201" t="s">
        <v>92</v>
      </c>
      <c r="D81" s="203" t="s">
        <v>64</v>
      </c>
      <c r="E81" s="204" t="s">
        <v>11</v>
      </c>
      <c r="F81" s="204" t="s">
        <v>86</v>
      </c>
      <c r="G81" s="204" t="s">
        <v>93</v>
      </c>
      <c r="H81" s="204" t="s">
        <v>9</v>
      </c>
      <c r="I81" s="26">
        <f t="shared" si="37"/>
        <v>1291.44</v>
      </c>
      <c r="J81" s="26">
        <f t="shared" si="37"/>
        <v>86.53</v>
      </c>
      <c r="K81" s="26">
        <f t="shared" si="37"/>
        <v>139.63</v>
      </c>
      <c r="L81" s="16">
        <v>9810051200</v>
      </c>
      <c r="M81" s="16" t="str">
        <f t="shared" si="32"/>
        <v>9810051200</v>
      </c>
      <c r="N81" s="16" t="str">
        <f t="shared" si="33"/>
        <v>60101059810051200000</v>
      </c>
    </row>
    <row r="82" spans="2:14" s="16" customFormat="1" ht="25.5">
      <c r="B82" s="14"/>
      <c r="C82" s="197" t="s">
        <v>28</v>
      </c>
      <c r="D82" s="203" t="s">
        <v>64</v>
      </c>
      <c r="E82" s="204" t="s">
        <v>11</v>
      </c>
      <c r="F82" s="204" t="s">
        <v>86</v>
      </c>
      <c r="G82" s="204" t="s">
        <v>93</v>
      </c>
      <c r="H82" s="204" t="s">
        <v>29</v>
      </c>
      <c r="I82" s="20">
        <f>1291.44</f>
        <v>1291.44</v>
      </c>
      <c r="J82" s="20">
        <f>86.53</f>
        <v>86.53</v>
      </c>
      <c r="K82" s="20">
        <f>139.63</f>
        <v>139.63</v>
      </c>
      <c r="L82" s="16">
        <v>9810051200</v>
      </c>
      <c r="M82" s="16" t="str">
        <f t="shared" si="32"/>
        <v>9810051200</v>
      </c>
      <c r="N82" s="16" t="str">
        <f t="shared" si="33"/>
        <v>60101059810051200240</v>
      </c>
    </row>
    <row r="83" spans="2:14" s="16" customFormat="1">
      <c r="B83" s="14"/>
      <c r="C83" s="194" t="s">
        <v>50</v>
      </c>
      <c r="D83" s="195" t="s">
        <v>64</v>
      </c>
      <c r="E83" s="196" t="s">
        <v>11</v>
      </c>
      <c r="F83" s="196" t="s">
        <v>51</v>
      </c>
      <c r="G83" s="196" t="s">
        <v>8</v>
      </c>
      <c r="H83" s="196" t="s">
        <v>9</v>
      </c>
      <c r="I83" s="19">
        <f>I84+I91+I96+I121+I148+I153+I163</f>
        <v>157077.53000000003</v>
      </c>
      <c r="J83" s="19">
        <f>J84+J91+J96+J121+J148+J153+J163</f>
        <v>135291.91</v>
      </c>
      <c r="K83" s="19">
        <f>K84+K91+K96+K121+K148+K153+K163</f>
        <v>135291.91</v>
      </c>
      <c r="L83" s="16">
        <v>0</v>
      </c>
      <c r="M83" s="16" t="str">
        <f t="shared" si="32"/>
        <v>0000000000</v>
      </c>
      <c r="N83" s="16" t="str">
        <f t="shared" si="33"/>
        <v>60101130000000000000</v>
      </c>
    </row>
    <row r="84" spans="2:14" s="16" customFormat="1" ht="25.5">
      <c r="B84" s="14"/>
      <c r="C84" s="201" t="s">
        <v>94</v>
      </c>
      <c r="D84" s="198" t="s">
        <v>64</v>
      </c>
      <c r="E84" s="199" t="s">
        <v>11</v>
      </c>
      <c r="F84" s="199" t="s">
        <v>51</v>
      </c>
      <c r="G84" s="199" t="s">
        <v>95</v>
      </c>
      <c r="H84" s="199" t="s">
        <v>9</v>
      </c>
      <c r="I84" s="20">
        <f t="shared" ref="I84:K85" si="38">I85</f>
        <v>2119.08</v>
      </c>
      <c r="J84" s="20">
        <f t="shared" si="38"/>
        <v>2119.08</v>
      </c>
      <c r="K84" s="20">
        <f t="shared" si="38"/>
        <v>2119.08</v>
      </c>
      <c r="L84" s="16">
        <v>1200000000</v>
      </c>
      <c r="M84" s="16" t="str">
        <f t="shared" si="32"/>
        <v>1200000000</v>
      </c>
      <c r="N84" s="16" t="str">
        <f t="shared" si="33"/>
        <v>60101131200000000000</v>
      </c>
    </row>
    <row r="85" spans="2:14" s="16" customFormat="1" ht="25.5">
      <c r="B85" s="14"/>
      <c r="C85" s="201" t="s">
        <v>96</v>
      </c>
      <c r="D85" s="198" t="s">
        <v>64</v>
      </c>
      <c r="E85" s="199" t="s">
        <v>11</v>
      </c>
      <c r="F85" s="199" t="s">
        <v>51</v>
      </c>
      <c r="G85" s="199" t="s">
        <v>97</v>
      </c>
      <c r="H85" s="199" t="s">
        <v>9</v>
      </c>
      <c r="I85" s="20">
        <f t="shared" si="38"/>
        <v>2119.08</v>
      </c>
      <c r="J85" s="20">
        <f t="shared" si="38"/>
        <v>2119.08</v>
      </c>
      <c r="K85" s="20">
        <f t="shared" si="38"/>
        <v>2119.08</v>
      </c>
      <c r="L85" s="16">
        <v>1220000000</v>
      </c>
      <c r="M85" s="16" t="str">
        <f t="shared" si="32"/>
        <v>1220000000</v>
      </c>
      <c r="N85" s="16" t="str">
        <f t="shared" si="33"/>
        <v>60101131220000000000</v>
      </c>
    </row>
    <row r="86" spans="2:14" s="16" customFormat="1" ht="38.25">
      <c r="B86" s="14"/>
      <c r="C86" s="201" t="s">
        <v>98</v>
      </c>
      <c r="D86" s="198" t="s">
        <v>64</v>
      </c>
      <c r="E86" s="199" t="s">
        <v>11</v>
      </c>
      <c r="F86" s="199" t="s">
        <v>51</v>
      </c>
      <c r="G86" s="199" t="s">
        <v>99</v>
      </c>
      <c r="H86" s="199" t="s">
        <v>9</v>
      </c>
      <c r="I86" s="20">
        <f>I87+I89</f>
        <v>2119.08</v>
      </c>
      <c r="J86" s="20">
        <f>J87+J89</f>
        <v>2119.08</v>
      </c>
      <c r="K86" s="20">
        <f>K87+K89</f>
        <v>2119.08</v>
      </c>
      <c r="L86" s="16">
        <v>1220300000</v>
      </c>
      <c r="M86" s="16" t="str">
        <f t="shared" si="32"/>
        <v>1220300000</v>
      </c>
      <c r="N86" s="16" t="str">
        <f t="shared" si="33"/>
        <v>60101131220300000000</v>
      </c>
    </row>
    <row r="87" spans="2:14" s="16" customFormat="1" ht="38.25">
      <c r="B87" s="14"/>
      <c r="C87" s="201" t="s">
        <v>100</v>
      </c>
      <c r="D87" s="198" t="s">
        <v>64</v>
      </c>
      <c r="E87" s="199" t="s">
        <v>11</v>
      </c>
      <c r="F87" s="199" t="s">
        <v>51</v>
      </c>
      <c r="G87" s="199" t="s">
        <v>101</v>
      </c>
      <c r="H87" s="199" t="s">
        <v>9</v>
      </c>
      <c r="I87" s="20">
        <f>I88</f>
        <v>1329.08</v>
      </c>
      <c r="J87" s="20">
        <f>J88</f>
        <v>1329.08</v>
      </c>
      <c r="K87" s="20">
        <f>K88</f>
        <v>1329.08</v>
      </c>
      <c r="L87" s="16">
        <v>1220320040</v>
      </c>
      <c r="M87" s="16" t="str">
        <f t="shared" si="32"/>
        <v>1220320040</v>
      </c>
      <c r="N87" s="16" t="str">
        <f t="shared" si="33"/>
        <v>60101131220320040000</v>
      </c>
    </row>
    <row r="88" spans="2:14" s="16" customFormat="1">
      <c r="B88" s="14"/>
      <c r="C88" s="197" t="s">
        <v>32</v>
      </c>
      <c r="D88" s="198" t="s">
        <v>64</v>
      </c>
      <c r="E88" s="199" t="s">
        <v>11</v>
      </c>
      <c r="F88" s="199" t="s">
        <v>51</v>
      </c>
      <c r="G88" s="199" t="s">
        <v>101</v>
      </c>
      <c r="H88" s="199" t="s">
        <v>33</v>
      </c>
      <c r="I88" s="20">
        <f>1185.5+143.58</f>
        <v>1329.08</v>
      </c>
      <c r="J88" s="20">
        <f>1185.5+143.58</f>
        <v>1329.08</v>
      </c>
      <c r="K88" s="20">
        <f>1185.5+143.58</f>
        <v>1329.08</v>
      </c>
      <c r="L88" s="16">
        <v>1220320040</v>
      </c>
      <c r="M88" s="16" t="str">
        <f t="shared" si="32"/>
        <v>1220320040</v>
      </c>
      <c r="N88" s="16" t="str">
        <f t="shared" si="33"/>
        <v>60101131220320040850</v>
      </c>
    </row>
    <row r="89" spans="2:14" s="16" customFormat="1" ht="63.75">
      <c r="B89" s="14"/>
      <c r="C89" s="201" t="s">
        <v>54</v>
      </c>
      <c r="D89" s="198" t="s">
        <v>64</v>
      </c>
      <c r="E89" s="199" t="s">
        <v>11</v>
      </c>
      <c r="F89" s="199" t="s">
        <v>51</v>
      </c>
      <c r="G89" s="199" t="s">
        <v>102</v>
      </c>
      <c r="H89" s="199" t="s">
        <v>9</v>
      </c>
      <c r="I89" s="20">
        <f>I90</f>
        <v>790</v>
      </c>
      <c r="J89" s="20">
        <f>J90</f>
        <v>790</v>
      </c>
      <c r="K89" s="20">
        <f>K90</f>
        <v>790</v>
      </c>
      <c r="L89" s="16">
        <v>1220320090</v>
      </c>
      <c r="M89" s="16" t="str">
        <f t="shared" si="32"/>
        <v>1220320090</v>
      </c>
      <c r="N89" s="16" t="str">
        <f t="shared" si="33"/>
        <v>60101131220320090000</v>
      </c>
    </row>
    <row r="90" spans="2:14" s="16" customFormat="1" ht="25.5">
      <c r="B90" s="14"/>
      <c r="C90" s="197" t="s">
        <v>28</v>
      </c>
      <c r="D90" s="198" t="s">
        <v>64</v>
      </c>
      <c r="E90" s="199" t="s">
        <v>11</v>
      </c>
      <c r="F90" s="199" t="s">
        <v>51</v>
      </c>
      <c r="G90" s="199" t="s">
        <v>102</v>
      </c>
      <c r="H90" s="199" t="s">
        <v>29</v>
      </c>
      <c r="I90" s="20">
        <f>790-69.73+69.73</f>
        <v>790</v>
      </c>
      <c r="J90" s="20">
        <f>790</f>
        <v>790</v>
      </c>
      <c r="K90" s="20">
        <f>790</f>
        <v>790</v>
      </c>
      <c r="L90" s="16">
        <v>1220320090</v>
      </c>
      <c r="M90" s="16" t="str">
        <f t="shared" si="32"/>
        <v>1220320090</v>
      </c>
      <c r="N90" s="16" t="str">
        <f t="shared" si="33"/>
        <v>60101131220320090240</v>
      </c>
    </row>
    <row r="91" spans="2:14" s="16" customFormat="1" ht="25.5">
      <c r="B91" s="14"/>
      <c r="C91" s="201" t="s">
        <v>103</v>
      </c>
      <c r="D91" s="198" t="s">
        <v>64</v>
      </c>
      <c r="E91" s="199" t="s">
        <v>11</v>
      </c>
      <c r="F91" s="199" t="s">
        <v>51</v>
      </c>
      <c r="G91" s="199" t="s">
        <v>104</v>
      </c>
      <c r="H91" s="199" t="s">
        <v>9</v>
      </c>
      <c r="I91" s="20">
        <f>I92</f>
        <v>100</v>
      </c>
      <c r="J91" s="20">
        <f>J92</f>
        <v>100</v>
      </c>
      <c r="K91" s="20">
        <f>K92</f>
        <v>100</v>
      </c>
      <c r="L91" s="16">
        <v>1300000000</v>
      </c>
      <c r="M91" s="16" t="str">
        <f t="shared" si="32"/>
        <v>1300000000</v>
      </c>
      <c r="N91" s="16" t="str">
        <f t="shared" si="33"/>
        <v>60101131300000000000</v>
      </c>
    </row>
    <row r="92" spans="2:14" s="16" customFormat="1" ht="25.5">
      <c r="B92" s="14"/>
      <c r="C92" s="197" t="s">
        <v>105</v>
      </c>
      <c r="D92" s="198" t="s">
        <v>64</v>
      </c>
      <c r="E92" s="199" t="s">
        <v>11</v>
      </c>
      <c r="F92" s="199" t="s">
        <v>51</v>
      </c>
      <c r="G92" s="199" t="s">
        <v>106</v>
      </c>
      <c r="H92" s="199" t="s">
        <v>9</v>
      </c>
      <c r="I92" s="20">
        <f>I93</f>
        <v>100</v>
      </c>
      <c r="J92" s="20">
        <f t="shared" ref="J92:K92" si="39">J93</f>
        <v>100</v>
      </c>
      <c r="K92" s="20">
        <f t="shared" si="39"/>
        <v>100</v>
      </c>
      <c r="L92" s="16">
        <v>1320000000</v>
      </c>
      <c r="M92" s="16" t="str">
        <f t="shared" si="32"/>
        <v>1320000000</v>
      </c>
      <c r="N92" s="16" t="str">
        <f t="shared" si="33"/>
        <v>60101131320000000000</v>
      </c>
    </row>
    <row r="93" spans="2:14" s="16" customFormat="1" ht="25.5">
      <c r="B93" s="14"/>
      <c r="C93" s="201" t="s">
        <v>107</v>
      </c>
      <c r="D93" s="198" t="s">
        <v>64</v>
      </c>
      <c r="E93" s="199" t="s">
        <v>11</v>
      </c>
      <c r="F93" s="199" t="s">
        <v>51</v>
      </c>
      <c r="G93" s="199" t="s">
        <v>108</v>
      </c>
      <c r="H93" s="199" t="s">
        <v>9</v>
      </c>
      <c r="I93" s="20">
        <f>I94</f>
        <v>100</v>
      </c>
      <c r="J93" s="20">
        <f>J94</f>
        <v>100</v>
      </c>
      <c r="K93" s="20">
        <f>K94</f>
        <v>100</v>
      </c>
      <c r="L93" s="16">
        <v>1320100000</v>
      </c>
      <c r="M93" s="16" t="str">
        <f t="shared" si="32"/>
        <v>1320100000</v>
      </c>
      <c r="N93" s="16" t="str">
        <f t="shared" si="33"/>
        <v>60101131320100000000</v>
      </c>
    </row>
    <row r="94" spans="2:14" s="16" customFormat="1" ht="38.25">
      <c r="B94" s="14"/>
      <c r="C94" s="201" t="s">
        <v>109</v>
      </c>
      <c r="D94" s="198" t="s">
        <v>64</v>
      </c>
      <c r="E94" s="199" t="s">
        <v>11</v>
      </c>
      <c r="F94" s="199" t="s">
        <v>51</v>
      </c>
      <c r="G94" s="199" t="s">
        <v>110</v>
      </c>
      <c r="H94" s="199" t="s">
        <v>9</v>
      </c>
      <c r="I94" s="20">
        <f>I95</f>
        <v>100</v>
      </c>
      <c r="J94" s="20">
        <f>J95</f>
        <v>100</v>
      </c>
      <c r="K94" s="20">
        <f>K95</f>
        <v>100</v>
      </c>
      <c r="L94" s="16">
        <v>1320120620</v>
      </c>
      <c r="M94" s="16" t="str">
        <f t="shared" si="32"/>
        <v>1320120620</v>
      </c>
      <c r="N94" s="16" t="str">
        <f t="shared" si="33"/>
        <v>60101131320120620000</v>
      </c>
    </row>
    <row r="95" spans="2:14" s="16" customFormat="1" ht="25.5">
      <c r="B95" s="14"/>
      <c r="C95" s="197" t="s">
        <v>28</v>
      </c>
      <c r="D95" s="198" t="s">
        <v>64</v>
      </c>
      <c r="E95" s="199" t="s">
        <v>11</v>
      </c>
      <c r="F95" s="199" t="s">
        <v>51</v>
      </c>
      <c r="G95" s="199" t="s">
        <v>110</v>
      </c>
      <c r="H95" s="199" t="s">
        <v>29</v>
      </c>
      <c r="I95" s="20">
        <f>100</f>
        <v>100</v>
      </c>
      <c r="J95" s="20">
        <f>100</f>
        <v>100</v>
      </c>
      <c r="K95" s="20">
        <f>100</f>
        <v>100</v>
      </c>
      <c r="L95" s="16">
        <v>1320120620</v>
      </c>
      <c r="M95" s="16" t="str">
        <f t="shared" si="32"/>
        <v>1320120620</v>
      </c>
      <c r="N95" s="16" t="str">
        <f t="shared" si="33"/>
        <v>60101131320120620240</v>
      </c>
    </row>
    <row r="96" spans="2:14" s="16" customFormat="1" ht="38.25">
      <c r="B96" s="14"/>
      <c r="C96" s="201" t="s">
        <v>111</v>
      </c>
      <c r="D96" s="198" t="s">
        <v>64</v>
      </c>
      <c r="E96" s="199" t="s">
        <v>11</v>
      </c>
      <c r="F96" s="199" t="s">
        <v>51</v>
      </c>
      <c r="G96" s="199" t="s">
        <v>112</v>
      </c>
      <c r="H96" s="199" t="s">
        <v>9</v>
      </c>
      <c r="I96" s="20">
        <f>I97+I104</f>
        <v>99666.500000000029</v>
      </c>
      <c r="J96" s="20">
        <f>J97+J104</f>
        <v>88225.080000000016</v>
      </c>
      <c r="K96" s="20">
        <f>K97+K104</f>
        <v>88225.080000000016</v>
      </c>
      <c r="L96" s="16">
        <v>1400000000</v>
      </c>
      <c r="M96" s="16" t="str">
        <f t="shared" si="32"/>
        <v>1400000000</v>
      </c>
      <c r="N96" s="16" t="str">
        <f t="shared" si="33"/>
        <v>60101131400000000000</v>
      </c>
    </row>
    <row r="97" spans="2:14" s="16" customFormat="1" ht="25.5">
      <c r="B97" s="14"/>
      <c r="C97" s="201" t="s">
        <v>113</v>
      </c>
      <c r="D97" s="198" t="s">
        <v>64</v>
      </c>
      <c r="E97" s="199" t="s">
        <v>11</v>
      </c>
      <c r="F97" s="199" t="s">
        <v>51</v>
      </c>
      <c r="G97" s="199" t="s">
        <v>114</v>
      </c>
      <c r="H97" s="199" t="s">
        <v>9</v>
      </c>
      <c r="I97" s="20">
        <f>I98+I101</f>
        <v>21736.010000000002</v>
      </c>
      <c r="J97" s="20">
        <f>J98+J101</f>
        <v>12061.880000000001</v>
      </c>
      <c r="K97" s="20">
        <f>K98+K101</f>
        <v>12061.880000000001</v>
      </c>
      <c r="L97" s="16">
        <v>1410000000</v>
      </c>
      <c r="M97" s="16" t="str">
        <f t="shared" si="32"/>
        <v>1410000000</v>
      </c>
      <c r="N97" s="16" t="str">
        <f t="shared" si="33"/>
        <v>60101131410000000000</v>
      </c>
    </row>
    <row r="98" spans="2:14" s="16" customFormat="1" ht="38.25">
      <c r="B98" s="14"/>
      <c r="C98" s="201" t="s">
        <v>115</v>
      </c>
      <c r="D98" s="198" t="s">
        <v>64</v>
      </c>
      <c r="E98" s="199" t="s">
        <v>11</v>
      </c>
      <c r="F98" s="199" t="s">
        <v>51</v>
      </c>
      <c r="G98" s="199" t="s">
        <v>116</v>
      </c>
      <c r="H98" s="199" t="s">
        <v>9</v>
      </c>
      <c r="I98" s="20">
        <f>I99</f>
        <v>15911.880000000003</v>
      </c>
      <c r="J98" s="20">
        <f t="shared" ref="J98:K98" si="40">J99</f>
        <v>8250.85</v>
      </c>
      <c r="K98" s="20">
        <f t="shared" si="40"/>
        <v>8250.85</v>
      </c>
      <c r="L98" s="16">
        <v>1410100000</v>
      </c>
      <c r="M98" s="16" t="str">
        <f t="shared" si="32"/>
        <v>1410100000</v>
      </c>
      <c r="N98" s="16" t="str">
        <f t="shared" si="33"/>
        <v>60101131410100000000</v>
      </c>
    </row>
    <row r="99" spans="2:14" s="16" customFormat="1" ht="25.5">
      <c r="B99" s="14"/>
      <c r="C99" s="201" t="s">
        <v>117</v>
      </c>
      <c r="D99" s="198" t="s">
        <v>64</v>
      </c>
      <c r="E99" s="199" t="s">
        <v>11</v>
      </c>
      <c r="F99" s="199" t="s">
        <v>51</v>
      </c>
      <c r="G99" s="199" t="s">
        <v>118</v>
      </c>
      <c r="H99" s="199" t="s">
        <v>9</v>
      </c>
      <c r="I99" s="20">
        <f t="shared" ref="I99:K99" si="41">I100</f>
        <v>15911.880000000003</v>
      </c>
      <c r="J99" s="20">
        <f t="shared" si="41"/>
        <v>8250.85</v>
      </c>
      <c r="K99" s="20">
        <f t="shared" si="41"/>
        <v>8250.85</v>
      </c>
      <c r="L99" s="16">
        <v>1410120630</v>
      </c>
      <c r="M99" s="16" t="str">
        <f t="shared" si="32"/>
        <v>1410120630</v>
      </c>
      <c r="N99" s="16" t="str">
        <f t="shared" si="33"/>
        <v>60101131410120630000</v>
      </c>
    </row>
    <row r="100" spans="2:14" s="16" customFormat="1" ht="25.5">
      <c r="B100" s="14"/>
      <c r="C100" s="197" t="s">
        <v>28</v>
      </c>
      <c r="D100" s="198" t="s">
        <v>64</v>
      </c>
      <c r="E100" s="199" t="s">
        <v>11</v>
      </c>
      <c r="F100" s="199" t="s">
        <v>51</v>
      </c>
      <c r="G100" s="199" t="s">
        <v>118</v>
      </c>
      <c r="H100" s="199" t="s">
        <v>29</v>
      </c>
      <c r="I100" s="20">
        <f>8250.85+3772.73+2846.87+1256.68-376.98+374.45-135.76-144.27+94.02-26.71</f>
        <v>15911.880000000003</v>
      </c>
      <c r="J100" s="20">
        <f t="shared" ref="J100:K100" si="42">8250.85</f>
        <v>8250.85</v>
      </c>
      <c r="K100" s="20">
        <f t="shared" si="42"/>
        <v>8250.85</v>
      </c>
      <c r="L100" s="16">
        <v>1410120630</v>
      </c>
      <c r="M100" s="16" t="str">
        <f t="shared" si="32"/>
        <v>1410120630</v>
      </c>
      <c r="N100" s="16" t="str">
        <f t="shared" si="33"/>
        <v>60101131410120630240</v>
      </c>
    </row>
    <row r="101" spans="2:14" s="16" customFormat="1" ht="38.25">
      <c r="B101" s="14"/>
      <c r="C101" s="201" t="s">
        <v>119</v>
      </c>
      <c r="D101" s="198" t="s">
        <v>64</v>
      </c>
      <c r="E101" s="199" t="s">
        <v>11</v>
      </c>
      <c r="F101" s="199" t="s">
        <v>51</v>
      </c>
      <c r="G101" s="199" t="s">
        <v>120</v>
      </c>
      <c r="H101" s="199" t="s">
        <v>9</v>
      </c>
      <c r="I101" s="20">
        <f t="shared" ref="I101:K102" si="43">I102</f>
        <v>5824.130000000001</v>
      </c>
      <c r="J101" s="20">
        <f t="shared" si="43"/>
        <v>3811.03</v>
      </c>
      <c r="K101" s="20">
        <f t="shared" si="43"/>
        <v>3811.03</v>
      </c>
      <c r="L101" s="16">
        <v>1410200000</v>
      </c>
      <c r="M101" s="16" t="str">
        <f t="shared" si="32"/>
        <v>1410200000</v>
      </c>
      <c r="N101" s="16" t="str">
        <f t="shared" si="33"/>
        <v>60101131410200000000</v>
      </c>
    </row>
    <row r="102" spans="2:14" s="16" customFormat="1" ht="25.5">
      <c r="B102" s="14"/>
      <c r="C102" s="201" t="s">
        <v>117</v>
      </c>
      <c r="D102" s="198" t="s">
        <v>64</v>
      </c>
      <c r="E102" s="199" t="s">
        <v>11</v>
      </c>
      <c r="F102" s="199" t="s">
        <v>51</v>
      </c>
      <c r="G102" s="199" t="s">
        <v>121</v>
      </c>
      <c r="H102" s="199" t="s">
        <v>9</v>
      </c>
      <c r="I102" s="20">
        <f t="shared" si="43"/>
        <v>5824.130000000001</v>
      </c>
      <c r="J102" s="20">
        <f t="shared" si="43"/>
        <v>3811.03</v>
      </c>
      <c r="K102" s="20">
        <f t="shared" si="43"/>
        <v>3811.03</v>
      </c>
      <c r="L102" s="16">
        <v>1410220630</v>
      </c>
      <c r="M102" s="16" t="str">
        <f t="shared" si="32"/>
        <v>1410220630</v>
      </c>
      <c r="N102" s="16" t="str">
        <f t="shared" si="33"/>
        <v>60101131410220630000</v>
      </c>
    </row>
    <row r="103" spans="2:14" s="16" customFormat="1" ht="25.5">
      <c r="B103" s="14"/>
      <c r="C103" s="197" t="s">
        <v>28</v>
      </c>
      <c r="D103" s="198" t="s">
        <v>64</v>
      </c>
      <c r="E103" s="199" t="s">
        <v>11</v>
      </c>
      <c r="F103" s="199" t="s">
        <v>51</v>
      </c>
      <c r="G103" s="199" t="s">
        <v>121</v>
      </c>
      <c r="H103" s="199" t="s">
        <v>29</v>
      </c>
      <c r="I103" s="20">
        <f>3811.03+1200+436.13+376.98-0.01</f>
        <v>5824.130000000001</v>
      </c>
      <c r="J103" s="20">
        <f t="shared" ref="J103:K103" si="44">3811.03</f>
        <v>3811.03</v>
      </c>
      <c r="K103" s="20">
        <f t="shared" si="44"/>
        <v>3811.03</v>
      </c>
      <c r="L103" s="16">
        <v>1410220630</v>
      </c>
      <c r="M103" s="16" t="str">
        <f t="shared" si="32"/>
        <v>1410220630</v>
      </c>
      <c r="N103" s="16" t="str">
        <f t="shared" si="33"/>
        <v>60101131410220630240</v>
      </c>
    </row>
    <row r="104" spans="2:14" s="16" customFormat="1" ht="38.25">
      <c r="B104" s="14"/>
      <c r="C104" s="201" t="s">
        <v>122</v>
      </c>
      <c r="D104" s="198" t="s">
        <v>64</v>
      </c>
      <c r="E104" s="199" t="s">
        <v>11</v>
      </c>
      <c r="F104" s="199" t="s">
        <v>51</v>
      </c>
      <c r="G104" s="199" t="s">
        <v>123</v>
      </c>
      <c r="H104" s="199" t="s">
        <v>9</v>
      </c>
      <c r="I104" s="20">
        <f>I105+I108+I114+I111</f>
        <v>77930.49000000002</v>
      </c>
      <c r="J104" s="20">
        <f t="shared" ref="J104:K104" si="45">J105+J108+J114+J111</f>
        <v>76163.200000000012</v>
      </c>
      <c r="K104" s="20">
        <f t="shared" si="45"/>
        <v>76163.200000000012</v>
      </c>
      <c r="L104" s="16">
        <v>1420000000</v>
      </c>
      <c r="M104" s="16" t="str">
        <f t="shared" si="32"/>
        <v>1420000000</v>
      </c>
      <c r="N104" s="16" t="str">
        <f t="shared" si="33"/>
        <v>60101131420000000000</v>
      </c>
    </row>
    <row r="105" spans="2:14" s="16" customFormat="1" ht="25.5">
      <c r="B105" s="14"/>
      <c r="C105" s="201" t="s">
        <v>124</v>
      </c>
      <c r="D105" s="198" t="s">
        <v>64</v>
      </c>
      <c r="E105" s="199" t="s">
        <v>11</v>
      </c>
      <c r="F105" s="199" t="s">
        <v>51</v>
      </c>
      <c r="G105" s="199" t="s">
        <v>125</v>
      </c>
      <c r="H105" s="199" t="s">
        <v>9</v>
      </c>
      <c r="I105" s="20">
        <f t="shared" ref="I105:K106" si="46">I106</f>
        <v>450</v>
      </c>
      <c r="J105" s="20">
        <f t="shared" si="46"/>
        <v>450</v>
      </c>
      <c r="K105" s="20">
        <f t="shared" si="46"/>
        <v>450</v>
      </c>
      <c r="L105" s="16">
        <v>1420100000</v>
      </c>
      <c r="M105" s="16" t="str">
        <f t="shared" si="32"/>
        <v>1420100000</v>
      </c>
      <c r="N105" s="16" t="str">
        <f t="shared" si="33"/>
        <v>60101131420100000000</v>
      </c>
    </row>
    <row r="106" spans="2:14" s="16" customFormat="1" ht="38.25">
      <c r="B106" s="14"/>
      <c r="C106" s="201" t="s">
        <v>126</v>
      </c>
      <c r="D106" s="198" t="s">
        <v>64</v>
      </c>
      <c r="E106" s="199" t="s">
        <v>11</v>
      </c>
      <c r="F106" s="199" t="s">
        <v>51</v>
      </c>
      <c r="G106" s="199" t="s">
        <v>127</v>
      </c>
      <c r="H106" s="199" t="s">
        <v>9</v>
      </c>
      <c r="I106" s="20">
        <f t="shared" si="46"/>
        <v>450</v>
      </c>
      <c r="J106" s="20">
        <f t="shared" si="46"/>
        <v>450</v>
      </c>
      <c r="K106" s="20">
        <f t="shared" si="46"/>
        <v>450</v>
      </c>
      <c r="L106" s="16">
        <v>1420120710</v>
      </c>
      <c r="M106" s="16" t="str">
        <f t="shared" si="32"/>
        <v>1420120710</v>
      </c>
      <c r="N106" s="16" t="str">
        <f t="shared" si="33"/>
        <v>60101131420120710000</v>
      </c>
    </row>
    <row r="107" spans="2:14" s="16" customFormat="1" ht="25.5">
      <c r="B107" s="14"/>
      <c r="C107" s="197" t="s">
        <v>28</v>
      </c>
      <c r="D107" s="198" t="s">
        <v>64</v>
      </c>
      <c r="E107" s="199" t="s">
        <v>11</v>
      </c>
      <c r="F107" s="199" t="s">
        <v>51</v>
      </c>
      <c r="G107" s="199" t="s">
        <v>127</v>
      </c>
      <c r="H107" s="199" t="s">
        <v>29</v>
      </c>
      <c r="I107" s="20">
        <f>450</f>
        <v>450</v>
      </c>
      <c r="J107" s="20">
        <f>450</f>
        <v>450</v>
      </c>
      <c r="K107" s="20">
        <f>450</f>
        <v>450</v>
      </c>
      <c r="L107" s="16">
        <v>1420120710</v>
      </c>
      <c r="M107" s="16" t="str">
        <f t="shared" si="32"/>
        <v>1420120710</v>
      </c>
      <c r="N107" s="16" t="str">
        <f t="shared" si="33"/>
        <v>60101131420120710240</v>
      </c>
    </row>
    <row r="108" spans="2:14" s="16" customFormat="1" ht="51">
      <c r="B108" s="14"/>
      <c r="C108" s="201" t="s">
        <v>128</v>
      </c>
      <c r="D108" s="198" t="s">
        <v>64</v>
      </c>
      <c r="E108" s="199" t="s">
        <v>11</v>
      </c>
      <c r="F108" s="199" t="s">
        <v>51</v>
      </c>
      <c r="G108" s="199" t="s">
        <v>129</v>
      </c>
      <c r="H108" s="199" t="s">
        <v>9</v>
      </c>
      <c r="I108" s="20">
        <f t="shared" ref="I108:K109" si="47">I109</f>
        <v>76.5</v>
      </c>
      <c r="J108" s="20">
        <f t="shared" si="47"/>
        <v>76.5</v>
      </c>
      <c r="K108" s="20">
        <f t="shared" si="47"/>
        <v>76.5</v>
      </c>
      <c r="L108" s="16">
        <v>1420200000</v>
      </c>
      <c r="M108" s="16" t="str">
        <f t="shared" si="32"/>
        <v>1420200000</v>
      </c>
      <c r="N108" s="16" t="str">
        <f t="shared" si="33"/>
        <v>60101131420200000000</v>
      </c>
    </row>
    <row r="109" spans="2:14" s="16" customFormat="1" ht="38.25">
      <c r="B109" s="14"/>
      <c r="C109" s="201" t="s">
        <v>126</v>
      </c>
      <c r="D109" s="198" t="s">
        <v>64</v>
      </c>
      <c r="E109" s="199" t="s">
        <v>11</v>
      </c>
      <c r="F109" s="199" t="s">
        <v>51</v>
      </c>
      <c r="G109" s="199" t="s">
        <v>130</v>
      </c>
      <c r="H109" s="199" t="s">
        <v>9</v>
      </c>
      <c r="I109" s="20">
        <f t="shared" si="47"/>
        <v>76.5</v>
      </c>
      <c r="J109" s="20">
        <f t="shared" si="47"/>
        <v>76.5</v>
      </c>
      <c r="K109" s="20">
        <f t="shared" si="47"/>
        <v>76.5</v>
      </c>
      <c r="L109" s="16">
        <v>1420220710</v>
      </c>
      <c r="M109" s="16" t="str">
        <f t="shared" si="32"/>
        <v>1420220710</v>
      </c>
      <c r="N109" s="16" t="str">
        <f t="shared" si="33"/>
        <v>60101131420220710000</v>
      </c>
    </row>
    <row r="110" spans="2:14" s="16" customFormat="1" ht="25.5">
      <c r="B110" s="14"/>
      <c r="C110" s="197" t="s">
        <v>28</v>
      </c>
      <c r="D110" s="198" t="s">
        <v>64</v>
      </c>
      <c r="E110" s="199" t="s">
        <v>11</v>
      </c>
      <c r="F110" s="199" t="s">
        <v>51</v>
      </c>
      <c r="G110" s="199" t="s">
        <v>130</v>
      </c>
      <c r="H110" s="199" t="s">
        <v>29</v>
      </c>
      <c r="I110" s="20">
        <f>76.5</f>
        <v>76.5</v>
      </c>
      <c r="J110" s="20">
        <f t="shared" ref="J110:K110" si="48">76.5</f>
        <v>76.5</v>
      </c>
      <c r="K110" s="20">
        <f t="shared" si="48"/>
        <v>76.5</v>
      </c>
      <c r="L110" s="16">
        <v>1420220710</v>
      </c>
      <c r="M110" s="16" t="str">
        <f t="shared" si="32"/>
        <v>1420220710</v>
      </c>
      <c r="N110" s="16" t="str">
        <f t="shared" si="33"/>
        <v>60101131420220710240</v>
      </c>
    </row>
    <row r="111" spans="2:14" s="16" customFormat="1" ht="51">
      <c r="B111" s="14"/>
      <c r="C111" s="201" t="s">
        <v>131</v>
      </c>
      <c r="D111" s="198" t="s">
        <v>64</v>
      </c>
      <c r="E111" s="199" t="s">
        <v>11</v>
      </c>
      <c r="F111" s="199" t="s">
        <v>51</v>
      </c>
      <c r="G111" s="199" t="s">
        <v>132</v>
      </c>
      <c r="H111" s="199" t="s">
        <v>9</v>
      </c>
      <c r="I111" s="20">
        <f>I112</f>
        <v>76.5</v>
      </c>
      <c r="J111" s="20">
        <f t="shared" ref="J111:K112" si="49">J112</f>
        <v>76.5</v>
      </c>
      <c r="K111" s="20">
        <f t="shared" si="49"/>
        <v>76.5</v>
      </c>
      <c r="L111" s="16">
        <v>1420300000</v>
      </c>
      <c r="M111" s="16" t="str">
        <f t="shared" si="32"/>
        <v>1420300000</v>
      </c>
      <c r="N111" s="16" t="str">
        <f t="shared" si="33"/>
        <v>60101131420300000000</v>
      </c>
    </row>
    <row r="112" spans="2:14" s="16" customFormat="1" ht="38.25">
      <c r="B112" s="14"/>
      <c r="C112" s="201" t="s">
        <v>126</v>
      </c>
      <c r="D112" s="198" t="s">
        <v>64</v>
      </c>
      <c r="E112" s="199" t="s">
        <v>11</v>
      </c>
      <c r="F112" s="199" t="s">
        <v>51</v>
      </c>
      <c r="G112" s="199" t="s">
        <v>133</v>
      </c>
      <c r="H112" s="199" t="s">
        <v>9</v>
      </c>
      <c r="I112" s="20">
        <f>I113</f>
        <v>76.5</v>
      </c>
      <c r="J112" s="20">
        <f t="shared" si="49"/>
        <v>76.5</v>
      </c>
      <c r="K112" s="20">
        <f t="shared" si="49"/>
        <v>76.5</v>
      </c>
      <c r="L112" s="16">
        <v>1420320710</v>
      </c>
      <c r="M112" s="16" t="str">
        <f t="shared" si="32"/>
        <v>1420320710</v>
      </c>
      <c r="N112" s="16" t="str">
        <f t="shared" si="33"/>
        <v>60101131420320710000</v>
      </c>
    </row>
    <row r="113" spans="2:14" s="16" customFormat="1" ht="25.5">
      <c r="B113" s="14"/>
      <c r="C113" s="197" t="s">
        <v>28</v>
      </c>
      <c r="D113" s="198" t="s">
        <v>64</v>
      </c>
      <c r="E113" s="199" t="s">
        <v>11</v>
      </c>
      <c r="F113" s="199" t="s">
        <v>51</v>
      </c>
      <c r="G113" s="199" t="s">
        <v>133</v>
      </c>
      <c r="H113" s="199" t="s">
        <v>29</v>
      </c>
      <c r="I113" s="20">
        <f>76.5</f>
        <v>76.5</v>
      </c>
      <c r="J113" s="20">
        <f t="shared" ref="J113:K113" si="50">76.5</f>
        <v>76.5</v>
      </c>
      <c r="K113" s="20">
        <f t="shared" si="50"/>
        <v>76.5</v>
      </c>
      <c r="L113" s="16">
        <v>1420320710</v>
      </c>
      <c r="M113" s="16" t="str">
        <f t="shared" si="32"/>
        <v>1420320710</v>
      </c>
      <c r="N113" s="16" t="str">
        <f t="shared" si="33"/>
        <v>60101131420320710240</v>
      </c>
    </row>
    <row r="114" spans="2:14" s="16" customFormat="1" ht="38.25">
      <c r="B114" s="14"/>
      <c r="C114" s="197" t="s">
        <v>134</v>
      </c>
      <c r="D114" s="198" t="s">
        <v>64</v>
      </c>
      <c r="E114" s="199" t="s">
        <v>11</v>
      </c>
      <c r="F114" s="199" t="s">
        <v>51</v>
      </c>
      <c r="G114" s="199" t="s">
        <v>135</v>
      </c>
      <c r="H114" s="199" t="s">
        <v>9</v>
      </c>
      <c r="I114" s="20">
        <f>I115+I119</f>
        <v>77327.49000000002</v>
      </c>
      <c r="J114" s="20">
        <f t="shared" ref="J114:K114" si="51">J115+J119</f>
        <v>75560.200000000012</v>
      </c>
      <c r="K114" s="20">
        <f t="shared" si="51"/>
        <v>75560.200000000012</v>
      </c>
      <c r="L114" s="16">
        <v>1420400000</v>
      </c>
      <c r="M114" s="16" t="str">
        <f t="shared" si="32"/>
        <v>1420400000</v>
      </c>
      <c r="N114" s="16" t="str">
        <f t="shared" si="33"/>
        <v>60101131420400000000</v>
      </c>
    </row>
    <row r="115" spans="2:14" s="16" customFormat="1" ht="25.5">
      <c r="B115" s="14"/>
      <c r="C115" s="197" t="s">
        <v>136</v>
      </c>
      <c r="D115" s="198" t="s">
        <v>64</v>
      </c>
      <c r="E115" s="199" t="s">
        <v>11</v>
      </c>
      <c r="F115" s="199" t="s">
        <v>51</v>
      </c>
      <c r="G115" s="199" t="s">
        <v>137</v>
      </c>
      <c r="H115" s="199" t="s">
        <v>9</v>
      </c>
      <c r="I115" s="20">
        <f>SUM(I116:I118)</f>
        <v>74962.35000000002</v>
      </c>
      <c r="J115" s="20">
        <f>SUM(J116:J118)</f>
        <v>75560.200000000012</v>
      </c>
      <c r="K115" s="20">
        <f>SUM(K116:K118)</f>
        <v>75560.200000000012</v>
      </c>
      <c r="L115" s="16">
        <v>1420411010</v>
      </c>
      <c r="M115" s="16" t="str">
        <f t="shared" si="32"/>
        <v>1420411010</v>
      </c>
      <c r="N115" s="16" t="str">
        <f t="shared" si="33"/>
        <v>60101131420411010000</v>
      </c>
    </row>
    <row r="116" spans="2:14" s="16" customFormat="1">
      <c r="B116" s="14"/>
      <c r="C116" s="205" t="s">
        <v>138</v>
      </c>
      <c r="D116" s="198" t="s">
        <v>64</v>
      </c>
      <c r="E116" s="199" t="s">
        <v>11</v>
      </c>
      <c r="F116" s="199" t="s">
        <v>51</v>
      </c>
      <c r="G116" s="199" t="s">
        <v>137</v>
      </c>
      <c r="H116" s="199" t="s">
        <v>139</v>
      </c>
      <c r="I116" s="20">
        <f>46090.41+14.8+13919.3+3+1818.48+35.25</f>
        <v>61881.240000000013</v>
      </c>
      <c r="J116" s="20">
        <f>46090.41+14.8+13919.3+3+2400.39</f>
        <v>62427.900000000009</v>
      </c>
      <c r="K116" s="20">
        <f>46090.41+14.8+13919.3+3+2400.39</f>
        <v>62427.900000000009</v>
      </c>
      <c r="L116" s="16">
        <v>1420411010</v>
      </c>
      <c r="M116" s="16" t="str">
        <f t="shared" si="32"/>
        <v>1420411010</v>
      </c>
      <c r="N116" s="16" t="str">
        <f t="shared" si="33"/>
        <v>60101131420411010110</v>
      </c>
    </row>
    <row r="117" spans="2:14" s="16" customFormat="1" ht="25.5">
      <c r="B117" s="14"/>
      <c r="C117" s="197" t="s">
        <v>28</v>
      </c>
      <c r="D117" s="198" t="s">
        <v>64</v>
      </c>
      <c r="E117" s="199" t="s">
        <v>11</v>
      </c>
      <c r="F117" s="199" t="s">
        <v>51</v>
      </c>
      <c r="G117" s="199" t="s">
        <v>137</v>
      </c>
      <c r="H117" s="199" t="s">
        <v>29</v>
      </c>
      <c r="I117" s="20">
        <f>7279.92+5130.03+280.1-258-229.47-464.22</f>
        <v>11738.360000000002</v>
      </c>
      <c r="J117" s="20">
        <f>7279.92+4509.63</f>
        <v>11789.55</v>
      </c>
      <c r="K117" s="20">
        <f>7279.92+4509.63</f>
        <v>11789.55</v>
      </c>
      <c r="L117" s="16">
        <v>1420411010</v>
      </c>
      <c r="M117" s="16" t="str">
        <f t="shared" si="32"/>
        <v>1420411010</v>
      </c>
      <c r="N117" s="16" t="str">
        <f t="shared" si="33"/>
        <v>60101131420411010240</v>
      </c>
    </row>
    <row r="118" spans="2:14" s="16" customFormat="1">
      <c r="B118" s="14"/>
      <c r="C118" s="197" t="s">
        <v>32</v>
      </c>
      <c r="D118" s="198" t="s">
        <v>64</v>
      </c>
      <c r="E118" s="199" t="s">
        <v>11</v>
      </c>
      <c r="F118" s="199" t="s">
        <v>51</v>
      </c>
      <c r="G118" s="199" t="s">
        <v>137</v>
      </c>
      <c r="H118" s="206">
        <v>850</v>
      </c>
      <c r="I118" s="20">
        <f>1283.59+13.84+45.32</f>
        <v>1342.7499999999998</v>
      </c>
      <c r="J118" s="20">
        <f>1283.59+13.84+45.32</f>
        <v>1342.7499999999998</v>
      </c>
      <c r="K118" s="20">
        <f>1283.59+13.84+45.32</f>
        <v>1342.7499999999998</v>
      </c>
      <c r="L118" s="16">
        <v>1420411010</v>
      </c>
      <c r="M118" s="16" t="str">
        <f t="shared" si="32"/>
        <v>1420411010</v>
      </c>
      <c r="N118" s="16" t="str">
        <f t="shared" si="33"/>
        <v>60101131420411010850</v>
      </c>
    </row>
    <row r="119" spans="2:14" s="16" customFormat="1" ht="191.25">
      <c r="B119" s="14" t="s">
        <v>80</v>
      </c>
      <c r="C119" s="197" t="s">
        <v>2269</v>
      </c>
      <c r="D119" s="198" t="s">
        <v>64</v>
      </c>
      <c r="E119" s="199" t="s">
        <v>11</v>
      </c>
      <c r="F119" s="199" t="s">
        <v>51</v>
      </c>
      <c r="G119" s="199" t="s">
        <v>1269</v>
      </c>
      <c r="H119" s="199" t="s">
        <v>9</v>
      </c>
      <c r="I119" s="20">
        <f>I120</f>
        <v>2365.14</v>
      </c>
      <c r="J119" s="20">
        <f t="shared" ref="J119:K119" si="52">J120</f>
        <v>0</v>
      </c>
      <c r="K119" s="20">
        <f t="shared" si="52"/>
        <v>0</v>
      </c>
      <c r="L119" s="16">
        <v>1420477460</v>
      </c>
      <c r="M119" s="16" t="str">
        <f t="shared" si="32"/>
        <v>1420477460</v>
      </c>
      <c r="N119" s="16" t="str">
        <f t="shared" si="33"/>
        <v>60101131420477460000</v>
      </c>
    </row>
    <row r="120" spans="2:14" s="16" customFormat="1">
      <c r="B120" s="14"/>
      <c r="C120" s="205" t="s">
        <v>138</v>
      </c>
      <c r="D120" s="198" t="s">
        <v>64</v>
      </c>
      <c r="E120" s="199" t="s">
        <v>11</v>
      </c>
      <c r="F120" s="199" t="s">
        <v>51</v>
      </c>
      <c r="G120" s="199" t="s">
        <v>1269</v>
      </c>
      <c r="H120" s="199" t="s">
        <v>139</v>
      </c>
      <c r="I120" s="20">
        <f>2365.14</f>
        <v>2365.14</v>
      </c>
      <c r="J120" s="20">
        <v>0</v>
      </c>
      <c r="K120" s="20">
        <v>0</v>
      </c>
      <c r="L120" s="16">
        <v>1420477460</v>
      </c>
      <c r="M120" s="16" t="str">
        <f t="shared" si="32"/>
        <v>1420477460</v>
      </c>
      <c r="N120" s="16" t="str">
        <f t="shared" si="33"/>
        <v>60101131420477460110</v>
      </c>
    </row>
    <row r="121" spans="2:14" s="16" customFormat="1" ht="38.25">
      <c r="B121" s="14"/>
      <c r="C121" s="200" t="s">
        <v>146</v>
      </c>
      <c r="D121" s="203">
        <v>601</v>
      </c>
      <c r="E121" s="203" t="s">
        <v>11</v>
      </c>
      <c r="F121" s="203">
        <v>13</v>
      </c>
      <c r="G121" s="203" t="s">
        <v>147</v>
      </c>
      <c r="H121" s="203" t="s">
        <v>9</v>
      </c>
      <c r="I121" s="27">
        <f>I122+I132+I144</f>
        <v>1051.79</v>
      </c>
      <c r="J121" s="27">
        <f>J122+J132+J144</f>
        <v>1001.7900000000001</v>
      </c>
      <c r="K121" s="27">
        <f>K122+K132+K144</f>
        <v>1001.7900000000001</v>
      </c>
      <c r="L121" s="16">
        <v>1500000000</v>
      </c>
      <c r="M121" s="16" t="str">
        <f t="shared" si="32"/>
        <v>1500000000</v>
      </c>
      <c r="N121" s="16" t="str">
        <f t="shared" si="33"/>
        <v>60101131500000000000</v>
      </c>
    </row>
    <row r="122" spans="2:14" s="16" customFormat="1" ht="38.25">
      <c r="B122" s="14"/>
      <c r="C122" s="197" t="s">
        <v>1065</v>
      </c>
      <c r="D122" s="203">
        <v>601</v>
      </c>
      <c r="E122" s="203" t="s">
        <v>11</v>
      </c>
      <c r="F122" s="203">
        <v>13</v>
      </c>
      <c r="G122" s="203" t="s">
        <v>149</v>
      </c>
      <c r="H122" s="203" t="s">
        <v>9</v>
      </c>
      <c r="I122" s="27">
        <f>I123+I126+I129</f>
        <v>386.6</v>
      </c>
      <c r="J122" s="27">
        <f t="shared" ref="J122:K122" si="53">J123+J126+J129</f>
        <v>336.60000000000008</v>
      </c>
      <c r="K122" s="27">
        <f t="shared" si="53"/>
        <v>336.60000000000008</v>
      </c>
      <c r="L122" s="16">
        <v>1510000000</v>
      </c>
      <c r="M122" s="16" t="str">
        <f t="shared" si="32"/>
        <v>1510000000</v>
      </c>
      <c r="N122" s="16" t="str">
        <f t="shared" si="33"/>
        <v>60101131510000000000</v>
      </c>
    </row>
    <row r="123" spans="2:14" s="16" customFormat="1" ht="51">
      <c r="B123" s="14"/>
      <c r="C123" s="197" t="s">
        <v>1066</v>
      </c>
      <c r="D123" s="203">
        <v>601</v>
      </c>
      <c r="E123" s="203" t="s">
        <v>11</v>
      </c>
      <c r="F123" s="203">
        <v>13</v>
      </c>
      <c r="G123" s="203" t="s">
        <v>151</v>
      </c>
      <c r="H123" s="203" t="s">
        <v>9</v>
      </c>
      <c r="I123" s="27">
        <f>I124</f>
        <v>100</v>
      </c>
      <c r="J123" s="27">
        <f>J124</f>
        <v>100.00000000000003</v>
      </c>
      <c r="K123" s="27">
        <f>K124</f>
        <v>100.00000000000003</v>
      </c>
      <c r="L123" s="16">
        <v>1510100000</v>
      </c>
      <c r="M123" s="16" t="str">
        <f t="shared" si="32"/>
        <v>1510100000</v>
      </c>
      <c r="N123" s="16" t="str">
        <f t="shared" si="33"/>
        <v>60101131510100000000</v>
      </c>
    </row>
    <row r="124" spans="2:14" s="16" customFormat="1" ht="25.5">
      <c r="B124" s="14"/>
      <c r="C124" s="201" t="s">
        <v>152</v>
      </c>
      <c r="D124" s="203">
        <v>601</v>
      </c>
      <c r="E124" s="203" t="s">
        <v>11</v>
      </c>
      <c r="F124" s="203">
        <v>13</v>
      </c>
      <c r="G124" s="203" t="s">
        <v>153</v>
      </c>
      <c r="H124" s="203" t="s">
        <v>9</v>
      </c>
      <c r="I124" s="27">
        <f>SUM(I125:I125)</f>
        <v>100</v>
      </c>
      <c r="J124" s="27">
        <f>SUM(J125:J125)</f>
        <v>100.00000000000003</v>
      </c>
      <c r="K124" s="27">
        <f>SUM(K125:K125)</f>
        <v>100.00000000000003</v>
      </c>
      <c r="L124" s="16">
        <v>1510120350</v>
      </c>
      <c r="M124" s="16" t="str">
        <f t="shared" si="32"/>
        <v>1510120350</v>
      </c>
      <c r="N124" s="16" t="str">
        <f t="shared" si="33"/>
        <v>60101131510120350000</v>
      </c>
    </row>
    <row r="125" spans="2:14" s="16" customFormat="1" ht="25.5">
      <c r="B125" s="14"/>
      <c r="C125" s="214" t="s">
        <v>28</v>
      </c>
      <c r="D125" s="203">
        <v>601</v>
      </c>
      <c r="E125" s="203" t="s">
        <v>11</v>
      </c>
      <c r="F125" s="203">
        <v>13</v>
      </c>
      <c r="G125" s="203" t="s">
        <v>153</v>
      </c>
      <c r="H125" s="203" t="s">
        <v>29</v>
      </c>
      <c r="I125" s="20">
        <f>336.6+50-286.6</f>
        <v>100</v>
      </c>
      <c r="J125" s="20">
        <f>336.6-236.6</f>
        <v>100.00000000000003</v>
      </c>
      <c r="K125" s="20">
        <f>336.6-236.6</f>
        <v>100.00000000000003</v>
      </c>
      <c r="L125" s="16">
        <v>1510120350</v>
      </c>
      <c r="M125" s="16" t="str">
        <f t="shared" si="32"/>
        <v>1510120350</v>
      </c>
      <c r="N125" s="16" t="str">
        <f t="shared" si="33"/>
        <v>60101131510120350240</v>
      </c>
    </row>
    <row r="126" spans="2:14" s="16" customFormat="1" ht="38.25">
      <c r="B126" s="14"/>
      <c r="C126" s="197" t="s">
        <v>1071</v>
      </c>
      <c r="D126" s="203">
        <v>601</v>
      </c>
      <c r="E126" s="203" t="s">
        <v>11</v>
      </c>
      <c r="F126" s="203">
        <v>13</v>
      </c>
      <c r="G126" s="203" t="s">
        <v>274</v>
      </c>
      <c r="H126" s="203" t="s">
        <v>9</v>
      </c>
      <c r="I126" s="27">
        <f>I127</f>
        <v>235.3</v>
      </c>
      <c r="J126" s="27">
        <f>J127</f>
        <v>185.3</v>
      </c>
      <c r="K126" s="27">
        <f>K127</f>
        <v>185.3</v>
      </c>
      <c r="L126" s="16">
        <v>1510200000</v>
      </c>
      <c r="M126" s="16" t="str">
        <f t="shared" si="32"/>
        <v>1510200000</v>
      </c>
      <c r="N126" s="16" t="str">
        <f t="shared" si="33"/>
        <v>60101131510200000000</v>
      </c>
    </row>
    <row r="127" spans="2:14" s="16" customFormat="1" ht="25.5">
      <c r="B127" s="14"/>
      <c r="C127" s="201" t="s">
        <v>152</v>
      </c>
      <c r="D127" s="203">
        <v>601</v>
      </c>
      <c r="E127" s="203" t="s">
        <v>11</v>
      </c>
      <c r="F127" s="203">
        <v>13</v>
      </c>
      <c r="G127" s="203" t="s">
        <v>275</v>
      </c>
      <c r="H127" s="203" t="s">
        <v>9</v>
      </c>
      <c r="I127" s="27">
        <f>SUM(I128:I128)</f>
        <v>235.3</v>
      </c>
      <c r="J127" s="27">
        <f>SUM(J128:J128)</f>
        <v>185.3</v>
      </c>
      <c r="K127" s="27">
        <f>SUM(K128:K128)</f>
        <v>185.3</v>
      </c>
      <c r="L127" s="16">
        <v>1510220350</v>
      </c>
      <c r="M127" s="16" t="str">
        <f t="shared" si="32"/>
        <v>1510220350</v>
      </c>
      <c r="N127" s="16" t="str">
        <f t="shared" si="33"/>
        <v>60101131510220350000</v>
      </c>
    </row>
    <row r="128" spans="2:14" s="16" customFormat="1" ht="25.5">
      <c r="B128" s="14"/>
      <c r="C128" s="214" t="s">
        <v>28</v>
      </c>
      <c r="D128" s="203">
        <v>601</v>
      </c>
      <c r="E128" s="203" t="s">
        <v>11</v>
      </c>
      <c r="F128" s="203">
        <v>13</v>
      </c>
      <c r="G128" s="203" t="s">
        <v>275</v>
      </c>
      <c r="H128" s="203" t="s">
        <v>29</v>
      </c>
      <c r="I128" s="20">
        <f>235.3</f>
        <v>235.3</v>
      </c>
      <c r="J128" s="20">
        <f>185.3</f>
        <v>185.3</v>
      </c>
      <c r="K128" s="20">
        <f>185.3</f>
        <v>185.3</v>
      </c>
      <c r="L128" s="16">
        <v>1510220350</v>
      </c>
      <c r="M128" s="16" t="str">
        <f t="shared" si="32"/>
        <v>1510220350</v>
      </c>
      <c r="N128" s="16" t="str">
        <f t="shared" si="33"/>
        <v>60101131510220350240</v>
      </c>
    </row>
    <row r="129" spans="2:14" s="16" customFormat="1" ht="25.5">
      <c r="B129" s="14"/>
      <c r="C129" s="197" t="s">
        <v>1072</v>
      </c>
      <c r="D129" s="203">
        <v>601</v>
      </c>
      <c r="E129" s="203" t="s">
        <v>11</v>
      </c>
      <c r="F129" s="203">
        <v>13</v>
      </c>
      <c r="G129" s="203" t="s">
        <v>1073</v>
      </c>
      <c r="H129" s="203" t="s">
        <v>9</v>
      </c>
      <c r="I129" s="27">
        <f>I130</f>
        <v>51.3</v>
      </c>
      <c r="J129" s="27">
        <f>J130</f>
        <v>51.3</v>
      </c>
      <c r="K129" s="27">
        <f>K130</f>
        <v>51.3</v>
      </c>
      <c r="L129" s="16">
        <v>1510300000</v>
      </c>
      <c r="M129" s="16" t="str">
        <f t="shared" si="32"/>
        <v>1510300000</v>
      </c>
      <c r="N129" s="16" t="str">
        <f t="shared" si="33"/>
        <v>60101131510300000000</v>
      </c>
    </row>
    <row r="130" spans="2:14" s="16" customFormat="1" ht="25.5">
      <c r="B130" s="14"/>
      <c r="C130" s="201" t="s">
        <v>152</v>
      </c>
      <c r="D130" s="203">
        <v>601</v>
      </c>
      <c r="E130" s="203" t="s">
        <v>11</v>
      </c>
      <c r="F130" s="203">
        <v>13</v>
      </c>
      <c r="G130" s="203" t="s">
        <v>1074</v>
      </c>
      <c r="H130" s="203" t="s">
        <v>9</v>
      </c>
      <c r="I130" s="27">
        <f>SUM(I131:I131)</f>
        <v>51.3</v>
      </c>
      <c r="J130" s="27">
        <f>SUM(J131:J131)</f>
        <v>51.3</v>
      </c>
      <c r="K130" s="27">
        <f>SUM(K131:K131)</f>
        <v>51.3</v>
      </c>
      <c r="L130" s="16">
        <v>1510320350</v>
      </c>
      <c r="M130" s="16" t="str">
        <f t="shared" si="32"/>
        <v>1510320350</v>
      </c>
      <c r="N130" s="16" t="str">
        <f t="shared" si="33"/>
        <v>60101131510320350000</v>
      </c>
    </row>
    <row r="131" spans="2:14" s="16" customFormat="1" ht="25.5">
      <c r="B131" s="14"/>
      <c r="C131" s="214" t="s">
        <v>28</v>
      </c>
      <c r="D131" s="203">
        <v>601</v>
      </c>
      <c r="E131" s="203" t="s">
        <v>11</v>
      </c>
      <c r="F131" s="203">
        <v>13</v>
      </c>
      <c r="G131" s="203" t="s">
        <v>1074</v>
      </c>
      <c r="H131" s="203" t="s">
        <v>29</v>
      </c>
      <c r="I131" s="20">
        <f>51.3</f>
        <v>51.3</v>
      </c>
      <c r="J131" s="20">
        <f>51.3</f>
        <v>51.3</v>
      </c>
      <c r="K131" s="20">
        <f>51.3</f>
        <v>51.3</v>
      </c>
      <c r="L131" s="16">
        <v>1510320350</v>
      </c>
      <c r="M131" s="16" t="str">
        <f t="shared" si="32"/>
        <v>1510320350</v>
      </c>
      <c r="N131" s="16" t="str">
        <f t="shared" si="33"/>
        <v>60101131510320350240</v>
      </c>
    </row>
    <row r="132" spans="2:14" s="16" customFormat="1">
      <c r="B132" s="14"/>
      <c r="C132" s="200" t="s">
        <v>154</v>
      </c>
      <c r="D132" s="215">
        <v>601</v>
      </c>
      <c r="E132" s="203" t="s">
        <v>11</v>
      </c>
      <c r="F132" s="203">
        <v>13</v>
      </c>
      <c r="G132" s="203" t="s">
        <v>155</v>
      </c>
      <c r="H132" s="203" t="s">
        <v>9</v>
      </c>
      <c r="I132" s="27">
        <f>I136+I140+I133</f>
        <v>414.27</v>
      </c>
      <c r="J132" s="27">
        <f t="shared" ref="J132:K132" si="54">J136+J140+J133</f>
        <v>414.27</v>
      </c>
      <c r="K132" s="27">
        <f t="shared" si="54"/>
        <v>414.27</v>
      </c>
      <c r="L132" s="16">
        <v>1520000000</v>
      </c>
      <c r="M132" s="16" t="str">
        <f t="shared" si="32"/>
        <v>1520000000</v>
      </c>
      <c r="N132" s="16" t="str">
        <f t="shared" si="33"/>
        <v>60101131520000000000</v>
      </c>
    </row>
    <row r="133" spans="2:14" s="16" customFormat="1" ht="38.25">
      <c r="B133" s="14"/>
      <c r="C133" s="201" t="s">
        <v>156</v>
      </c>
      <c r="D133" s="215">
        <v>601</v>
      </c>
      <c r="E133" s="203" t="s">
        <v>11</v>
      </c>
      <c r="F133" s="203">
        <v>13</v>
      </c>
      <c r="G133" s="203" t="s">
        <v>157</v>
      </c>
      <c r="H133" s="203" t="s">
        <v>9</v>
      </c>
      <c r="I133" s="27">
        <f>I134</f>
        <v>74.97</v>
      </c>
      <c r="J133" s="27">
        <f t="shared" ref="J133:K134" si="55">J134</f>
        <v>74.97</v>
      </c>
      <c r="K133" s="27">
        <f t="shared" si="55"/>
        <v>74.97</v>
      </c>
      <c r="L133" s="16">
        <v>1520100000</v>
      </c>
      <c r="M133" s="16" t="str">
        <f t="shared" si="32"/>
        <v>1520100000</v>
      </c>
      <c r="N133" s="16" t="str">
        <f t="shared" si="33"/>
        <v>60101131520100000000</v>
      </c>
    </row>
    <row r="134" spans="2:14" s="16" customFormat="1" ht="51">
      <c r="B134" s="14"/>
      <c r="C134" s="201" t="s">
        <v>158</v>
      </c>
      <c r="D134" s="215">
        <v>601</v>
      </c>
      <c r="E134" s="203" t="s">
        <v>11</v>
      </c>
      <c r="F134" s="203">
        <v>13</v>
      </c>
      <c r="G134" s="203" t="s">
        <v>159</v>
      </c>
      <c r="H134" s="203" t="s">
        <v>9</v>
      </c>
      <c r="I134" s="20">
        <f>I135</f>
        <v>74.97</v>
      </c>
      <c r="J134" s="20">
        <f t="shared" si="55"/>
        <v>74.97</v>
      </c>
      <c r="K134" s="20">
        <f t="shared" si="55"/>
        <v>74.97</v>
      </c>
      <c r="L134" s="16">
        <v>1520120370</v>
      </c>
      <c r="M134" s="16" t="str">
        <f t="shared" ref="M134:M197" si="56">TEXT(L134,"0000000000")</f>
        <v>1520120370</v>
      </c>
      <c r="N134" s="16" t="str">
        <f t="shared" ref="N134:N197" si="57">D134&amp;E134&amp;F134&amp;M134&amp;H134</f>
        <v>60101131520120370000</v>
      </c>
    </row>
    <row r="135" spans="2:14" s="16" customFormat="1" ht="25.5">
      <c r="B135" s="14"/>
      <c r="C135" s="197" t="s">
        <v>28</v>
      </c>
      <c r="D135" s="215">
        <v>601</v>
      </c>
      <c r="E135" s="203" t="s">
        <v>11</v>
      </c>
      <c r="F135" s="203">
        <v>13</v>
      </c>
      <c r="G135" s="203" t="s">
        <v>159</v>
      </c>
      <c r="H135" s="203" t="s">
        <v>29</v>
      </c>
      <c r="I135" s="20">
        <f>74.97</f>
        <v>74.97</v>
      </c>
      <c r="J135" s="20">
        <f t="shared" ref="J135:K135" si="58">74.97</f>
        <v>74.97</v>
      </c>
      <c r="K135" s="20">
        <f t="shared" si="58"/>
        <v>74.97</v>
      </c>
      <c r="L135" s="16">
        <v>1520120370</v>
      </c>
      <c r="M135" s="16" t="str">
        <f t="shared" si="56"/>
        <v>1520120370</v>
      </c>
      <c r="N135" s="16" t="str">
        <f t="shared" si="57"/>
        <v>60101131520120370240</v>
      </c>
    </row>
    <row r="136" spans="2:14" s="16" customFormat="1" ht="38.25">
      <c r="B136" s="14"/>
      <c r="C136" s="201" t="s">
        <v>160</v>
      </c>
      <c r="D136" s="215">
        <v>601</v>
      </c>
      <c r="E136" s="203" t="s">
        <v>11</v>
      </c>
      <c r="F136" s="203">
        <v>13</v>
      </c>
      <c r="G136" s="203" t="s">
        <v>161</v>
      </c>
      <c r="H136" s="199" t="s">
        <v>9</v>
      </c>
      <c r="I136" s="20">
        <f>I137</f>
        <v>76.5</v>
      </c>
      <c r="J136" s="20">
        <f>J137</f>
        <v>76.5</v>
      </c>
      <c r="K136" s="20">
        <f>K137</f>
        <v>76.5</v>
      </c>
      <c r="L136" s="16">
        <v>1520200000</v>
      </c>
      <c r="M136" s="16" t="str">
        <f t="shared" si="56"/>
        <v>1520200000</v>
      </c>
      <c r="N136" s="16" t="str">
        <f t="shared" si="57"/>
        <v>60101131520200000000</v>
      </c>
    </row>
    <row r="137" spans="2:14" s="16" customFormat="1" ht="51">
      <c r="B137" s="14"/>
      <c r="C137" s="201" t="s">
        <v>158</v>
      </c>
      <c r="D137" s="215">
        <v>601</v>
      </c>
      <c r="E137" s="203" t="s">
        <v>11</v>
      </c>
      <c r="F137" s="203">
        <v>13</v>
      </c>
      <c r="G137" s="203" t="s">
        <v>162</v>
      </c>
      <c r="H137" s="199" t="s">
        <v>9</v>
      </c>
      <c r="I137" s="20">
        <f>I138+I139</f>
        <v>76.5</v>
      </c>
      <c r="J137" s="20">
        <f>J138+J139</f>
        <v>76.5</v>
      </c>
      <c r="K137" s="20">
        <f>K138+K139</f>
        <v>76.5</v>
      </c>
      <c r="L137" s="16">
        <v>1520220370</v>
      </c>
      <c r="M137" s="16" t="str">
        <f t="shared" si="56"/>
        <v>1520220370</v>
      </c>
      <c r="N137" s="16" t="str">
        <f t="shared" si="57"/>
        <v>60101131520220370000</v>
      </c>
    </row>
    <row r="138" spans="2:14" s="16" customFormat="1" ht="25.5">
      <c r="B138" s="14"/>
      <c r="C138" s="197" t="s">
        <v>28</v>
      </c>
      <c r="D138" s="215">
        <v>601</v>
      </c>
      <c r="E138" s="203" t="s">
        <v>11</v>
      </c>
      <c r="F138" s="203">
        <v>13</v>
      </c>
      <c r="G138" s="203" t="s">
        <v>162</v>
      </c>
      <c r="H138" s="199" t="s">
        <v>29</v>
      </c>
      <c r="I138" s="20">
        <f>13.5</f>
        <v>13.5</v>
      </c>
      <c r="J138" s="20">
        <f t="shared" ref="J138:K138" si="59">13.5</f>
        <v>13.5</v>
      </c>
      <c r="K138" s="20">
        <f t="shared" si="59"/>
        <v>13.5</v>
      </c>
      <c r="L138" s="16">
        <v>1520220370</v>
      </c>
      <c r="M138" s="16" t="str">
        <f t="shared" si="56"/>
        <v>1520220370</v>
      </c>
      <c r="N138" s="16" t="str">
        <f t="shared" si="57"/>
        <v>60101131520220370240</v>
      </c>
    </row>
    <row r="139" spans="2:14" s="16" customFormat="1">
      <c r="B139" s="14"/>
      <c r="C139" s="197" t="s">
        <v>163</v>
      </c>
      <c r="D139" s="215">
        <v>601</v>
      </c>
      <c r="E139" s="203" t="s">
        <v>11</v>
      </c>
      <c r="F139" s="203">
        <v>13</v>
      </c>
      <c r="G139" s="203" t="s">
        <v>162</v>
      </c>
      <c r="H139" s="199" t="s">
        <v>164</v>
      </c>
      <c r="I139" s="20">
        <f>63</f>
        <v>63</v>
      </c>
      <c r="J139" s="20">
        <f>63</f>
        <v>63</v>
      </c>
      <c r="K139" s="20">
        <f>63</f>
        <v>63</v>
      </c>
      <c r="L139" s="16">
        <v>1520220370</v>
      </c>
      <c r="M139" s="16" t="str">
        <f t="shared" si="56"/>
        <v>1520220370</v>
      </c>
      <c r="N139" s="16" t="str">
        <f t="shared" si="57"/>
        <v>60101131520220370350</v>
      </c>
    </row>
    <row r="140" spans="2:14" s="16" customFormat="1" ht="25.5">
      <c r="B140" s="14"/>
      <c r="C140" s="201" t="s">
        <v>165</v>
      </c>
      <c r="D140" s="215">
        <v>601</v>
      </c>
      <c r="E140" s="203" t="s">
        <v>11</v>
      </c>
      <c r="F140" s="203">
        <v>13</v>
      </c>
      <c r="G140" s="203" t="s">
        <v>166</v>
      </c>
      <c r="H140" s="199" t="s">
        <v>9</v>
      </c>
      <c r="I140" s="20">
        <f>I141</f>
        <v>262.8</v>
      </c>
      <c r="J140" s="20">
        <f>J141</f>
        <v>262.8</v>
      </c>
      <c r="K140" s="20">
        <f>K141</f>
        <v>262.8</v>
      </c>
      <c r="L140" s="16">
        <v>1520300000</v>
      </c>
      <c r="M140" s="16" t="str">
        <f t="shared" si="56"/>
        <v>1520300000</v>
      </c>
      <c r="N140" s="16" t="str">
        <f t="shared" si="57"/>
        <v>60101131520300000000</v>
      </c>
    </row>
    <row r="141" spans="2:14" s="16" customFormat="1" ht="51">
      <c r="B141" s="14"/>
      <c r="C141" s="201" t="s">
        <v>158</v>
      </c>
      <c r="D141" s="215">
        <v>601</v>
      </c>
      <c r="E141" s="203" t="s">
        <v>11</v>
      </c>
      <c r="F141" s="203">
        <v>13</v>
      </c>
      <c r="G141" s="203" t="s">
        <v>167</v>
      </c>
      <c r="H141" s="199" t="s">
        <v>9</v>
      </c>
      <c r="I141" s="20">
        <f>I142+I143</f>
        <v>262.8</v>
      </c>
      <c r="J141" s="20">
        <f>J142+J143</f>
        <v>262.8</v>
      </c>
      <c r="K141" s="20">
        <f>K142+K143</f>
        <v>262.8</v>
      </c>
      <c r="L141" s="16">
        <v>1520320370</v>
      </c>
      <c r="M141" s="16" t="str">
        <f t="shared" si="56"/>
        <v>1520320370</v>
      </c>
      <c r="N141" s="16" t="str">
        <f t="shared" si="57"/>
        <v>60101131520320370000</v>
      </c>
    </row>
    <row r="142" spans="2:14" s="16" customFormat="1" ht="25.5">
      <c r="B142" s="14"/>
      <c r="C142" s="197" t="s">
        <v>28</v>
      </c>
      <c r="D142" s="215">
        <v>601</v>
      </c>
      <c r="E142" s="203" t="s">
        <v>11</v>
      </c>
      <c r="F142" s="203">
        <v>13</v>
      </c>
      <c r="G142" s="203" t="s">
        <v>167</v>
      </c>
      <c r="H142" s="199" t="s">
        <v>29</v>
      </c>
      <c r="I142" s="20">
        <f>202.8</f>
        <v>202.8</v>
      </c>
      <c r="J142" s="20">
        <f t="shared" ref="J142:K142" si="60">202.8</f>
        <v>202.8</v>
      </c>
      <c r="K142" s="20">
        <f t="shared" si="60"/>
        <v>202.8</v>
      </c>
      <c r="L142" s="16">
        <v>1520320370</v>
      </c>
      <c r="M142" s="16" t="str">
        <f t="shared" si="56"/>
        <v>1520320370</v>
      </c>
      <c r="N142" s="16" t="str">
        <f t="shared" si="57"/>
        <v>60101131520320370240</v>
      </c>
    </row>
    <row r="143" spans="2:14" s="16" customFormat="1">
      <c r="B143" s="14"/>
      <c r="C143" s="197" t="s">
        <v>163</v>
      </c>
      <c r="D143" s="215">
        <v>601</v>
      </c>
      <c r="E143" s="203" t="s">
        <v>11</v>
      </c>
      <c r="F143" s="203">
        <v>13</v>
      </c>
      <c r="G143" s="203" t="s">
        <v>167</v>
      </c>
      <c r="H143" s="199" t="s">
        <v>164</v>
      </c>
      <c r="I143" s="20">
        <f>60</f>
        <v>60</v>
      </c>
      <c r="J143" s="20">
        <f>60</f>
        <v>60</v>
      </c>
      <c r="K143" s="20">
        <f>60</f>
        <v>60</v>
      </c>
      <c r="L143" s="16">
        <v>1520320370</v>
      </c>
      <c r="M143" s="16" t="str">
        <f t="shared" si="56"/>
        <v>1520320370</v>
      </c>
      <c r="N143" s="16" t="str">
        <f t="shared" si="57"/>
        <v>60101131520320370350</v>
      </c>
    </row>
    <row r="144" spans="2:14" s="16" customFormat="1" ht="25.5">
      <c r="B144" s="14"/>
      <c r="C144" s="197" t="s">
        <v>168</v>
      </c>
      <c r="D144" s="215">
        <v>601</v>
      </c>
      <c r="E144" s="203" t="s">
        <v>11</v>
      </c>
      <c r="F144" s="203">
        <v>13</v>
      </c>
      <c r="G144" s="203" t="s">
        <v>169</v>
      </c>
      <c r="H144" s="199" t="s">
        <v>9</v>
      </c>
      <c r="I144" s="20">
        <f t="shared" ref="I144:K146" si="61">I145</f>
        <v>250.92</v>
      </c>
      <c r="J144" s="20">
        <f t="shared" si="61"/>
        <v>250.92</v>
      </c>
      <c r="K144" s="20">
        <f t="shared" si="61"/>
        <v>250.92</v>
      </c>
      <c r="L144" s="16">
        <v>1530000000</v>
      </c>
      <c r="M144" s="16" t="str">
        <f t="shared" si="56"/>
        <v>1530000000</v>
      </c>
      <c r="N144" s="16" t="str">
        <f t="shared" si="57"/>
        <v>60101131530000000000</v>
      </c>
    </row>
    <row r="145" spans="2:14" s="16" customFormat="1" ht="25.5">
      <c r="B145" s="14"/>
      <c r="C145" s="197" t="s">
        <v>170</v>
      </c>
      <c r="D145" s="215">
        <v>601</v>
      </c>
      <c r="E145" s="203" t="s">
        <v>11</v>
      </c>
      <c r="F145" s="203">
        <v>13</v>
      </c>
      <c r="G145" s="203" t="s">
        <v>171</v>
      </c>
      <c r="H145" s="199" t="s">
        <v>9</v>
      </c>
      <c r="I145" s="20">
        <f t="shared" si="61"/>
        <v>250.92</v>
      </c>
      <c r="J145" s="20">
        <f t="shared" si="61"/>
        <v>250.92</v>
      </c>
      <c r="K145" s="20">
        <f t="shared" si="61"/>
        <v>250.92</v>
      </c>
      <c r="L145" s="16">
        <v>1530300000</v>
      </c>
      <c r="M145" s="16" t="str">
        <f t="shared" si="56"/>
        <v>1530300000</v>
      </c>
      <c r="N145" s="16" t="str">
        <f t="shared" si="57"/>
        <v>60101131530300000000</v>
      </c>
    </row>
    <row r="146" spans="2:14" s="16" customFormat="1" ht="38.25">
      <c r="B146" s="14"/>
      <c r="C146" s="197" t="s">
        <v>172</v>
      </c>
      <c r="D146" s="215">
        <v>601</v>
      </c>
      <c r="E146" s="203" t="s">
        <v>11</v>
      </c>
      <c r="F146" s="203">
        <v>13</v>
      </c>
      <c r="G146" s="203" t="s">
        <v>173</v>
      </c>
      <c r="H146" s="199" t="s">
        <v>9</v>
      </c>
      <c r="I146" s="20">
        <f t="shared" si="61"/>
        <v>250.92</v>
      </c>
      <c r="J146" s="20">
        <f t="shared" si="61"/>
        <v>250.92</v>
      </c>
      <c r="K146" s="20">
        <f t="shared" si="61"/>
        <v>250.92</v>
      </c>
      <c r="L146" s="16">
        <v>1530320100</v>
      </c>
      <c r="M146" s="16" t="str">
        <f t="shared" si="56"/>
        <v>1530320100</v>
      </c>
      <c r="N146" s="16" t="str">
        <f t="shared" si="57"/>
        <v>60101131530320100000</v>
      </c>
    </row>
    <row r="147" spans="2:14" s="16" customFormat="1">
      <c r="B147" s="14"/>
      <c r="C147" s="197" t="s">
        <v>163</v>
      </c>
      <c r="D147" s="215">
        <v>601</v>
      </c>
      <c r="E147" s="203" t="s">
        <v>11</v>
      </c>
      <c r="F147" s="203">
        <v>13</v>
      </c>
      <c r="G147" s="203" t="s">
        <v>173</v>
      </c>
      <c r="H147" s="199" t="s">
        <v>164</v>
      </c>
      <c r="I147" s="20">
        <f>250.92</f>
        <v>250.92</v>
      </c>
      <c r="J147" s="20">
        <f t="shared" ref="J147:K147" si="62">250.92</f>
        <v>250.92</v>
      </c>
      <c r="K147" s="20">
        <f t="shared" si="62"/>
        <v>250.92</v>
      </c>
      <c r="L147" s="16">
        <v>1530320100</v>
      </c>
      <c r="M147" s="16" t="str">
        <f t="shared" si="56"/>
        <v>1530320100</v>
      </c>
      <c r="N147" s="16" t="str">
        <f t="shared" si="57"/>
        <v>60101131530320100350</v>
      </c>
    </row>
    <row r="148" spans="2:14" s="16" customFormat="1" ht="25.5">
      <c r="B148" s="14"/>
      <c r="C148" s="197" t="s">
        <v>174</v>
      </c>
      <c r="D148" s="198" t="s">
        <v>64</v>
      </c>
      <c r="E148" s="199" t="s">
        <v>11</v>
      </c>
      <c r="F148" s="199" t="s">
        <v>51</v>
      </c>
      <c r="G148" s="199" t="s">
        <v>175</v>
      </c>
      <c r="H148" s="199" t="s">
        <v>9</v>
      </c>
      <c r="I148" s="20">
        <f t="shared" ref="I148:K151" si="63">I149</f>
        <v>2292.5</v>
      </c>
      <c r="J148" s="20">
        <f t="shared" si="63"/>
        <v>2292.5</v>
      </c>
      <c r="K148" s="20">
        <f t="shared" si="63"/>
        <v>2292.5</v>
      </c>
      <c r="L148" s="16">
        <v>1800000000</v>
      </c>
      <c r="M148" s="16" t="str">
        <f t="shared" si="56"/>
        <v>1800000000</v>
      </c>
      <c r="N148" s="16" t="str">
        <f t="shared" si="57"/>
        <v>60101131800000000000</v>
      </c>
    </row>
    <row r="149" spans="2:14" s="16" customFormat="1" ht="25.5">
      <c r="B149" s="14"/>
      <c r="C149" s="197" t="s">
        <v>176</v>
      </c>
      <c r="D149" s="198" t="s">
        <v>64</v>
      </c>
      <c r="E149" s="199" t="s">
        <v>11</v>
      </c>
      <c r="F149" s="199" t="s">
        <v>51</v>
      </c>
      <c r="G149" s="199" t="s">
        <v>177</v>
      </c>
      <c r="H149" s="199" t="s">
        <v>9</v>
      </c>
      <c r="I149" s="20">
        <f t="shared" si="63"/>
        <v>2292.5</v>
      </c>
      <c r="J149" s="20">
        <f t="shared" si="63"/>
        <v>2292.5</v>
      </c>
      <c r="K149" s="20">
        <f t="shared" si="63"/>
        <v>2292.5</v>
      </c>
      <c r="L149" s="16" t="s">
        <v>1167</v>
      </c>
      <c r="M149" s="16" t="str">
        <f t="shared" si="56"/>
        <v>18Б0000000</v>
      </c>
      <c r="N149" s="16" t="str">
        <f t="shared" si="57"/>
        <v>601011318Б0000000000</v>
      </c>
    </row>
    <row r="150" spans="2:14" s="16" customFormat="1" ht="38.25">
      <c r="B150" s="14"/>
      <c r="C150" s="201" t="s">
        <v>178</v>
      </c>
      <c r="D150" s="198" t="s">
        <v>64</v>
      </c>
      <c r="E150" s="199" t="s">
        <v>11</v>
      </c>
      <c r="F150" s="199" t="s">
        <v>51</v>
      </c>
      <c r="G150" s="199" t="s">
        <v>179</v>
      </c>
      <c r="H150" s="199" t="s">
        <v>9</v>
      </c>
      <c r="I150" s="20">
        <f t="shared" si="63"/>
        <v>2292.5</v>
      </c>
      <c r="J150" s="20">
        <f t="shared" si="63"/>
        <v>2292.5</v>
      </c>
      <c r="K150" s="20">
        <f t="shared" si="63"/>
        <v>2292.5</v>
      </c>
      <c r="L150" s="16" t="s">
        <v>1168</v>
      </c>
      <c r="M150" s="16" t="str">
        <f t="shared" si="56"/>
        <v>18Б0100000</v>
      </c>
      <c r="N150" s="16" t="str">
        <f t="shared" si="57"/>
        <v>601011318Б0100000000</v>
      </c>
    </row>
    <row r="151" spans="2:14" s="16" customFormat="1" ht="89.25">
      <c r="B151" s="14"/>
      <c r="C151" s="197" t="s">
        <v>180</v>
      </c>
      <c r="D151" s="198" t="s">
        <v>64</v>
      </c>
      <c r="E151" s="199" t="s">
        <v>11</v>
      </c>
      <c r="F151" s="199" t="s">
        <v>51</v>
      </c>
      <c r="G151" s="199" t="s">
        <v>181</v>
      </c>
      <c r="H151" s="199" t="s">
        <v>9</v>
      </c>
      <c r="I151" s="20">
        <f t="shared" si="63"/>
        <v>2292.5</v>
      </c>
      <c r="J151" s="20">
        <f t="shared" si="63"/>
        <v>2292.5</v>
      </c>
      <c r="K151" s="20">
        <f t="shared" si="63"/>
        <v>2292.5</v>
      </c>
      <c r="L151" s="16" t="s">
        <v>1169</v>
      </c>
      <c r="M151" s="16" t="str">
        <f t="shared" si="56"/>
        <v>18Б0160080</v>
      </c>
      <c r="N151" s="16" t="str">
        <f t="shared" si="57"/>
        <v>601011318Б0160080000</v>
      </c>
    </row>
    <row r="152" spans="2:14" s="16" customFormat="1" ht="25.5">
      <c r="B152" s="14"/>
      <c r="C152" s="197" t="s">
        <v>182</v>
      </c>
      <c r="D152" s="198" t="s">
        <v>64</v>
      </c>
      <c r="E152" s="199" t="s">
        <v>11</v>
      </c>
      <c r="F152" s="199" t="s">
        <v>51</v>
      </c>
      <c r="G152" s="199" t="s">
        <v>181</v>
      </c>
      <c r="H152" s="199" t="s">
        <v>183</v>
      </c>
      <c r="I152" s="329">
        <f>2292.5</f>
        <v>2292.5</v>
      </c>
      <c r="J152" s="20">
        <f t="shared" ref="J152:K152" si="64">2292.5</f>
        <v>2292.5</v>
      </c>
      <c r="K152" s="20">
        <f t="shared" si="64"/>
        <v>2292.5</v>
      </c>
      <c r="L152" s="16" t="s">
        <v>1169</v>
      </c>
      <c r="M152" s="16" t="str">
        <f t="shared" si="56"/>
        <v>18Б0160080</v>
      </c>
      <c r="N152" s="16" t="str">
        <f t="shared" si="57"/>
        <v>601011318Б0160080630</v>
      </c>
    </row>
    <row r="153" spans="2:14" s="16" customFormat="1">
      <c r="B153" s="14"/>
      <c r="C153" s="201" t="s">
        <v>66</v>
      </c>
      <c r="D153" s="203" t="s">
        <v>64</v>
      </c>
      <c r="E153" s="204" t="s">
        <v>11</v>
      </c>
      <c r="F153" s="204" t="s">
        <v>51</v>
      </c>
      <c r="G153" s="204" t="s">
        <v>67</v>
      </c>
      <c r="H153" s="204" t="s">
        <v>9</v>
      </c>
      <c r="I153" s="20">
        <f>I154</f>
        <v>42747.080000000009</v>
      </c>
      <c r="J153" s="20">
        <f>J154</f>
        <v>34148.769999999997</v>
      </c>
      <c r="K153" s="20">
        <f>K154</f>
        <v>34148.769999999997</v>
      </c>
      <c r="L153" s="16">
        <v>7100000000</v>
      </c>
      <c r="M153" s="16" t="str">
        <f t="shared" si="56"/>
        <v>7100000000</v>
      </c>
      <c r="N153" s="16" t="str">
        <f t="shared" si="57"/>
        <v>60101137100000000000</v>
      </c>
    </row>
    <row r="154" spans="2:14" s="16" customFormat="1" ht="25.5">
      <c r="B154" s="14"/>
      <c r="C154" s="201" t="s">
        <v>74</v>
      </c>
      <c r="D154" s="203" t="s">
        <v>64</v>
      </c>
      <c r="E154" s="204" t="s">
        <v>11</v>
      </c>
      <c r="F154" s="204" t="s">
        <v>51</v>
      </c>
      <c r="G154" s="204" t="s">
        <v>75</v>
      </c>
      <c r="H154" s="204" t="s">
        <v>9</v>
      </c>
      <c r="I154" s="20">
        <f>I155+I159+I161</f>
        <v>42747.080000000009</v>
      </c>
      <c r="J154" s="20">
        <f t="shared" ref="J154:K154" si="65">J155+J159+J161</f>
        <v>34148.769999999997</v>
      </c>
      <c r="K154" s="20">
        <f t="shared" si="65"/>
        <v>34148.769999999997</v>
      </c>
      <c r="L154" s="16">
        <v>7110000000</v>
      </c>
      <c r="M154" s="16" t="str">
        <f t="shared" si="56"/>
        <v>7110000000</v>
      </c>
      <c r="N154" s="16" t="str">
        <f t="shared" si="57"/>
        <v>60101137110000000000</v>
      </c>
    </row>
    <row r="155" spans="2:14" s="16" customFormat="1" ht="25.5">
      <c r="B155" s="14"/>
      <c r="C155" s="197" t="s">
        <v>136</v>
      </c>
      <c r="D155" s="198" t="s">
        <v>64</v>
      </c>
      <c r="E155" s="199" t="s">
        <v>11</v>
      </c>
      <c r="F155" s="199" t="s">
        <v>51</v>
      </c>
      <c r="G155" s="199" t="s">
        <v>186</v>
      </c>
      <c r="H155" s="199" t="s">
        <v>9</v>
      </c>
      <c r="I155" s="20">
        <f>I156+I157+I158</f>
        <v>41821.980000000003</v>
      </c>
      <c r="J155" s="20">
        <f>J156+J157+J158</f>
        <v>33948.769999999997</v>
      </c>
      <c r="K155" s="20">
        <f>K156+K157+K158</f>
        <v>33948.769999999997</v>
      </c>
      <c r="L155" s="16">
        <v>7110011010</v>
      </c>
      <c r="M155" s="16" t="str">
        <f t="shared" si="56"/>
        <v>7110011010</v>
      </c>
      <c r="N155" s="16" t="str">
        <f t="shared" si="57"/>
        <v>60101137110011010000</v>
      </c>
    </row>
    <row r="156" spans="2:14" s="16" customFormat="1">
      <c r="B156" s="14"/>
      <c r="C156" s="205" t="s">
        <v>138</v>
      </c>
      <c r="D156" s="198" t="s">
        <v>64</v>
      </c>
      <c r="E156" s="199" t="s">
        <v>11</v>
      </c>
      <c r="F156" s="199" t="s">
        <v>51</v>
      </c>
      <c r="G156" s="199" t="s">
        <v>186</v>
      </c>
      <c r="H156" s="199" t="s">
        <v>139</v>
      </c>
      <c r="I156" s="20">
        <f>9739.07+55+2867.89+184.84+7.41+522.6</f>
        <v>13376.81</v>
      </c>
      <c r="J156" s="20">
        <f>9739.07+55+2867.89+184.84+504.28+1121.14</f>
        <v>14472.22</v>
      </c>
      <c r="K156" s="20">
        <f>9739.07+55+2867.89+184.84+504.28+1121.14</f>
        <v>14472.22</v>
      </c>
      <c r="L156" s="16">
        <v>7110011010</v>
      </c>
      <c r="M156" s="16" t="str">
        <f t="shared" si="56"/>
        <v>7110011010</v>
      </c>
      <c r="N156" s="16" t="str">
        <f t="shared" si="57"/>
        <v>60101137110011010110</v>
      </c>
    </row>
    <row r="157" spans="2:14" s="16" customFormat="1" ht="25.5">
      <c r="B157" s="14"/>
      <c r="C157" s="197" t="s">
        <v>28</v>
      </c>
      <c r="D157" s="198" t="s">
        <v>64</v>
      </c>
      <c r="E157" s="199" t="s">
        <v>11</v>
      </c>
      <c r="F157" s="199" t="s">
        <v>51</v>
      </c>
      <c r="G157" s="199" t="s">
        <v>186</v>
      </c>
      <c r="H157" s="199" t="s">
        <v>29</v>
      </c>
      <c r="I157" s="20">
        <f>19082.02+5000+3431.43-300.24-143.6-0.5+1015.08-33.55</f>
        <v>28050.640000000003</v>
      </c>
      <c r="J157" s="20">
        <f t="shared" ref="J157:K157" si="66">19082.02</f>
        <v>19082.02</v>
      </c>
      <c r="K157" s="20">
        <f t="shared" si="66"/>
        <v>19082.02</v>
      </c>
      <c r="L157" s="16">
        <v>7110011010</v>
      </c>
      <c r="M157" s="16" t="str">
        <f t="shared" si="56"/>
        <v>7110011010</v>
      </c>
      <c r="N157" s="16" t="str">
        <f t="shared" si="57"/>
        <v>60101137110011010240</v>
      </c>
    </row>
    <row r="158" spans="2:14" s="16" customFormat="1">
      <c r="B158" s="14"/>
      <c r="C158" s="197" t="s">
        <v>32</v>
      </c>
      <c r="D158" s="198" t="s">
        <v>64</v>
      </c>
      <c r="E158" s="199" t="s">
        <v>11</v>
      </c>
      <c r="F158" s="199" t="s">
        <v>51</v>
      </c>
      <c r="G158" s="199" t="s">
        <v>186</v>
      </c>
      <c r="H158" s="199" t="s">
        <v>33</v>
      </c>
      <c r="I158" s="20">
        <f>200+192.53+2</f>
        <v>394.53</v>
      </c>
      <c r="J158" s="20">
        <f t="shared" ref="J158:K158" si="67">200+192.53+2</f>
        <v>394.53</v>
      </c>
      <c r="K158" s="20">
        <f t="shared" si="67"/>
        <v>394.53</v>
      </c>
      <c r="L158" s="16">
        <v>7110011010</v>
      </c>
      <c r="M158" s="16" t="str">
        <f t="shared" si="56"/>
        <v>7110011010</v>
      </c>
      <c r="N158" s="16" t="str">
        <f t="shared" si="57"/>
        <v>60101137110011010850</v>
      </c>
    </row>
    <row r="159" spans="2:14" s="16" customFormat="1" ht="25.5">
      <c r="B159" s="14"/>
      <c r="C159" s="201" t="s">
        <v>187</v>
      </c>
      <c r="D159" s="203" t="s">
        <v>64</v>
      </c>
      <c r="E159" s="204" t="s">
        <v>11</v>
      </c>
      <c r="F159" s="204" t="s">
        <v>51</v>
      </c>
      <c r="G159" s="204" t="s">
        <v>188</v>
      </c>
      <c r="H159" s="204" t="s">
        <v>9</v>
      </c>
      <c r="I159" s="20">
        <f>I160</f>
        <v>428.23</v>
      </c>
      <c r="J159" s="20">
        <f t="shared" ref="J159:K159" si="68">J160</f>
        <v>200</v>
      </c>
      <c r="K159" s="20">
        <f t="shared" si="68"/>
        <v>200</v>
      </c>
      <c r="L159" s="16">
        <v>7110020050</v>
      </c>
      <c r="M159" s="16" t="str">
        <f t="shared" si="56"/>
        <v>7110020050</v>
      </c>
      <c r="N159" s="16" t="str">
        <f t="shared" si="57"/>
        <v>60101137110020050000</v>
      </c>
    </row>
    <row r="160" spans="2:14" s="16" customFormat="1">
      <c r="B160" s="14"/>
      <c r="C160" s="216" t="s">
        <v>189</v>
      </c>
      <c r="D160" s="203" t="s">
        <v>64</v>
      </c>
      <c r="E160" s="204" t="s">
        <v>11</v>
      </c>
      <c r="F160" s="204" t="s">
        <v>51</v>
      </c>
      <c r="G160" s="204" t="s">
        <v>188</v>
      </c>
      <c r="H160" s="204" t="s">
        <v>190</v>
      </c>
      <c r="I160" s="20">
        <f>200+3.23+50+7.65+65.3+33.75+68.3</f>
        <v>428.23</v>
      </c>
      <c r="J160" s="20">
        <f>200</f>
        <v>200</v>
      </c>
      <c r="K160" s="20">
        <f>200</f>
        <v>200</v>
      </c>
      <c r="L160" s="16">
        <v>7110020050</v>
      </c>
      <c r="M160" s="16" t="str">
        <f t="shared" si="56"/>
        <v>7110020050</v>
      </c>
      <c r="N160" s="16" t="str">
        <f t="shared" si="57"/>
        <v>60101137110020050830</v>
      </c>
    </row>
    <row r="161" spans="2:14" s="16" customFormat="1" ht="191.25">
      <c r="B161" s="14" t="s">
        <v>80</v>
      </c>
      <c r="C161" s="197" t="s">
        <v>2269</v>
      </c>
      <c r="D161" s="198" t="s">
        <v>64</v>
      </c>
      <c r="E161" s="199" t="s">
        <v>11</v>
      </c>
      <c r="F161" s="199" t="s">
        <v>51</v>
      </c>
      <c r="G161" s="199" t="s">
        <v>1268</v>
      </c>
      <c r="H161" s="199" t="s">
        <v>9</v>
      </c>
      <c r="I161" s="20">
        <f>I162</f>
        <v>496.87</v>
      </c>
      <c r="J161" s="20">
        <f t="shared" ref="J161:K161" si="69">J162</f>
        <v>0</v>
      </c>
      <c r="K161" s="20">
        <f t="shared" si="69"/>
        <v>0</v>
      </c>
      <c r="L161" s="16">
        <v>7110077460</v>
      </c>
      <c r="M161" s="16" t="str">
        <f t="shared" si="56"/>
        <v>7110077460</v>
      </c>
      <c r="N161" s="16" t="str">
        <f t="shared" si="57"/>
        <v>60101137110077460000</v>
      </c>
    </row>
    <row r="162" spans="2:14" s="16" customFormat="1">
      <c r="B162" s="14"/>
      <c r="C162" s="205" t="s">
        <v>138</v>
      </c>
      <c r="D162" s="198" t="s">
        <v>64</v>
      </c>
      <c r="E162" s="199" t="s">
        <v>11</v>
      </c>
      <c r="F162" s="199" t="s">
        <v>51</v>
      </c>
      <c r="G162" s="199" t="s">
        <v>1268</v>
      </c>
      <c r="H162" s="199" t="s">
        <v>139</v>
      </c>
      <c r="I162" s="20">
        <f>496.87</f>
        <v>496.87</v>
      </c>
      <c r="J162" s="20">
        <v>0</v>
      </c>
      <c r="K162" s="20">
        <v>0</v>
      </c>
      <c r="L162" s="16">
        <v>7110077460</v>
      </c>
      <c r="M162" s="16" t="str">
        <f t="shared" si="56"/>
        <v>7110077460</v>
      </c>
      <c r="N162" s="16" t="str">
        <f t="shared" si="57"/>
        <v>60101137110077460110</v>
      </c>
    </row>
    <row r="163" spans="2:14" s="16" customFormat="1" ht="38.25">
      <c r="B163" s="14"/>
      <c r="C163" s="197" t="s">
        <v>87</v>
      </c>
      <c r="D163" s="203" t="s">
        <v>64</v>
      </c>
      <c r="E163" s="204" t="s">
        <v>11</v>
      </c>
      <c r="F163" s="204" t="s">
        <v>51</v>
      </c>
      <c r="G163" s="204" t="s">
        <v>88</v>
      </c>
      <c r="H163" s="204" t="s">
        <v>9</v>
      </c>
      <c r="I163" s="20">
        <f>I164</f>
        <v>9100.58</v>
      </c>
      <c r="J163" s="20">
        <f t="shared" ref="J163:K163" si="70">J164</f>
        <v>7404.69</v>
      </c>
      <c r="K163" s="20">
        <f t="shared" si="70"/>
        <v>7404.69</v>
      </c>
      <c r="L163" s="16">
        <v>9800000000</v>
      </c>
      <c r="M163" s="16" t="str">
        <f t="shared" si="56"/>
        <v>9800000000</v>
      </c>
      <c r="N163" s="16" t="str">
        <f t="shared" si="57"/>
        <v>60101139800000000000</v>
      </c>
    </row>
    <row r="164" spans="2:14" s="16" customFormat="1">
      <c r="B164" s="14"/>
      <c r="C164" s="197" t="s">
        <v>89</v>
      </c>
      <c r="D164" s="203" t="s">
        <v>64</v>
      </c>
      <c r="E164" s="204" t="s">
        <v>11</v>
      </c>
      <c r="F164" s="204" t="s">
        <v>51</v>
      </c>
      <c r="G164" s="204" t="s">
        <v>90</v>
      </c>
      <c r="H164" s="204" t="s">
        <v>9</v>
      </c>
      <c r="I164" s="20">
        <f t="shared" ref="I164:K164" si="71">I165</f>
        <v>9100.58</v>
      </c>
      <c r="J164" s="20">
        <f t="shared" si="71"/>
        <v>7404.69</v>
      </c>
      <c r="K164" s="20">
        <f t="shared" si="71"/>
        <v>7404.69</v>
      </c>
      <c r="L164" s="16">
        <v>9810000000</v>
      </c>
      <c r="M164" s="16" t="str">
        <f t="shared" si="56"/>
        <v>9810000000</v>
      </c>
      <c r="N164" s="16" t="str">
        <f t="shared" si="57"/>
        <v>60101139810000000000</v>
      </c>
    </row>
    <row r="165" spans="2:14" s="16" customFormat="1" ht="38.25">
      <c r="B165" s="14" t="s">
        <v>80</v>
      </c>
      <c r="C165" s="201" t="s">
        <v>193</v>
      </c>
      <c r="D165" s="203" t="s">
        <v>64</v>
      </c>
      <c r="E165" s="204" t="s">
        <v>11</v>
      </c>
      <c r="F165" s="204" t="s">
        <v>51</v>
      </c>
      <c r="G165" s="204" t="s">
        <v>194</v>
      </c>
      <c r="H165" s="204" t="s">
        <v>9</v>
      </c>
      <c r="I165" s="20">
        <f>SUM(I166:I167)</f>
        <v>9100.58</v>
      </c>
      <c r="J165" s="20">
        <f t="shared" ref="J165:K165" si="72">SUM(J166:J167)</f>
        <v>7404.69</v>
      </c>
      <c r="K165" s="20">
        <f t="shared" si="72"/>
        <v>7404.69</v>
      </c>
      <c r="L165" s="16">
        <v>9810076610</v>
      </c>
      <c r="M165" s="16" t="str">
        <f t="shared" si="56"/>
        <v>9810076610</v>
      </c>
      <c r="N165" s="16" t="str">
        <f t="shared" si="57"/>
        <v>60101139810076610000</v>
      </c>
    </row>
    <row r="166" spans="2:14" s="16" customFormat="1" ht="25.5">
      <c r="B166" s="14"/>
      <c r="C166" s="200" t="s">
        <v>20</v>
      </c>
      <c r="D166" s="203" t="s">
        <v>64</v>
      </c>
      <c r="E166" s="204" t="s">
        <v>11</v>
      </c>
      <c r="F166" s="204" t="s">
        <v>51</v>
      </c>
      <c r="G166" s="204" t="s">
        <v>194</v>
      </c>
      <c r="H166" s="204" t="s">
        <v>21</v>
      </c>
      <c r="I166" s="20">
        <f>5687.16+1717.53+1365.89</f>
        <v>8770.58</v>
      </c>
      <c r="J166" s="20">
        <f>5687.16+1717.53</f>
        <v>7404.69</v>
      </c>
      <c r="K166" s="20">
        <f>5687.16+1717.53</f>
        <v>7404.69</v>
      </c>
      <c r="L166" s="16">
        <v>9810076610</v>
      </c>
      <c r="M166" s="16" t="str">
        <f t="shared" si="56"/>
        <v>9810076610</v>
      </c>
      <c r="N166" s="16" t="str">
        <f t="shared" si="57"/>
        <v>60101139810076610120</v>
      </c>
    </row>
    <row r="167" spans="2:14" s="16" customFormat="1" ht="25.5">
      <c r="B167" s="14"/>
      <c r="C167" s="197" t="s">
        <v>28</v>
      </c>
      <c r="D167" s="203" t="s">
        <v>64</v>
      </c>
      <c r="E167" s="204" t="s">
        <v>11</v>
      </c>
      <c r="F167" s="204" t="s">
        <v>51</v>
      </c>
      <c r="G167" s="204" t="s">
        <v>194</v>
      </c>
      <c r="H167" s="204" t="s">
        <v>29</v>
      </c>
      <c r="I167" s="20">
        <f>330</f>
        <v>330</v>
      </c>
      <c r="J167" s="20">
        <v>0</v>
      </c>
      <c r="K167" s="20">
        <v>0</v>
      </c>
      <c r="L167" s="16">
        <v>9810076610</v>
      </c>
      <c r="M167" s="16" t="str">
        <f t="shared" si="56"/>
        <v>9810076610</v>
      </c>
      <c r="N167" s="16" t="str">
        <f t="shared" si="57"/>
        <v>60101139810076610240</v>
      </c>
    </row>
    <row r="168" spans="2:14" s="16" customFormat="1">
      <c r="B168" s="14"/>
      <c r="C168" s="191" t="s">
        <v>195</v>
      </c>
      <c r="D168" s="192" t="s">
        <v>64</v>
      </c>
      <c r="E168" s="193" t="s">
        <v>73</v>
      </c>
      <c r="F168" s="193" t="s">
        <v>7</v>
      </c>
      <c r="G168" s="193" t="s">
        <v>8</v>
      </c>
      <c r="H168" s="193" t="s">
        <v>9</v>
      </c>
      <c r="I168" s="18">
        <f t="shared" ref="I168:K169" si="73">I169</f>
        <v>11476.57</v>
      </c>
      <c r="J168" s="18">
        <f t="shared" si="73"/>
        <v>11547.5</v>
      </c>
      <c r="K168" s="18">
        <f t="shared" si="73"/>
        <v>11547.5</v>
      </c>
      <c r="L168" s="16">
        <v>0</v>
      </c>
      <c r="M168" s="16" t="str">
        <f t="shared" si="56"/>
        <v>0000000000</v>
      </c>
      <c r="N168" s="16" t="str">
        <f t="shared" si="57"/>
        <v>60104000000000000000</v>
      </c>
    </row>
    <row r="169" spans="2:14" s="16" customFormat="1" ht="17.25" customHeight="1">
      <c r="B169" s="14"/>
      <c r="C169" s="194" t="s">
        <v>196</v>
      </c>
      <c r="D169" s="195" t="s">
        <v>64</v>
      </c>
      <c r="E169" s="196" t="s">
        <v>73</v>
      </c>
      <c r="F169" s="196" t="s">
        <v>57</v>
      </c>
      <c r="G169" s="196" t="s">
        <v>8</v>
      </c>
      <c r="H169" s="196" t="s">
        <v>9</v>
      </c>
      <c r="I169" s="19">
        <f t="shared" si="73"/>
        <v>11476.57</v>
      </c>
      <c r="J169" s="19">
        <f t="shared" si="73"/>
        <v>11547.5</v>
      </c>
      <c r="K169" s="19">
        <f t="shared" si="73"/>
        <v>11547.5</v>
      </c>
      <c r="L169" s="16">
        <v>0</v>
      </c>
      <c r="M169" s="16" t="str">
        <f t="shared" si="56"/>
        <v>0000000000</v>
      </c>
      <c r="N169" s="16" t="str">
        <f t="shared" si="57"/>
        <v>60104120000000000000</v>
      </c>
    </row>
    <row r="170" spans="2:14" s="16" customFormat="1" ht="25.5">
      <c r="B170" s="14"/>
      <c r="C170" s="201" t="s">
        <v>94</v>
      </c>
      <c r="D170" s="198" t="s">
        <v>64</v>
      </c>
      <c r="E170" s="199" t="s">
        <v>73</v>
      </c>
      <c r="F170" s="199" t="s">
        <v>57</v>
      </c>
      <c r="G170" s="199" t="s">
        <v>95</v>
      </c>
      <c r="H170" s="199" t="s">
        <v>9</v>
      </c>
      <c r="I170" s="20">
        <f>I171+I182</f>
        <v>11476.57</v>
      </c>
      <c r="J170" s="20">
        <f t="shared" ref="J170:K170" si="74">J171+J182</f>
        <v>11547.5</v>
      </c>
      <c r="K170" s="20">
        <f t="shared" si="74"/>
        <v>11547.5</v>
      </c>
      <c r="L170" s="16">
        <v>1200000000</v>
      </c>
      <c r="M170" s="16" t="str">
        <f t="shared" si="56"/>
        <v>1200000000</v>
      </c>
      <c r="N170" s="16" t="str">
        <f t="shared" si="57"/>
        <v>60104121200000000000</v>
      </c>
    </row>
    <row r="171" spans="2:14" s="16" customFormat="1" ht="25.5">
      <c r="B171" s="14"/>
      <c r="C171" s="201" t="s">
        <v>197</v>
      </c>
      <c r="D171" s="198" t="s">
        <v>64</v>
      </c>
      <c r="E171" s="199" t="s">
        <v>73</v>
      </c>
      <c r="F171" s="199" t="s">
        <v>57</v>
      </c>
      <c r="G171" s="199" t="s">
        <v>198</v>
      </c>
      <c r="H171" s="199" t="s">
        <v>9</v>
      </c>
      <c r="I171" s="20">
        <f>I172+I175+I179</f>
        <v>9549.5</v>
      </c>
      <c r="J171" s="20">
        <f>J172+J175+J179</f>
        <v>8210</v>
      </c>
      <c r="K171" s="20">
        <f>K172+K175+K179</f>
        <v>8210</v>
      </c>
      <c r="L171" s="16">
        <v>1210000000</v>
      </c>
      <c r="M171" s="16" t="str">
        <f t="shared" si="56"/>
        <v>1210000000</v>
      </c>
      <c r="N171" s="16" t="str">
        <f t="shared" si="57"/>
        <v>60104121210000000000</v>
      </c>
    </row>
    <row r="172" spans="2:14" s="16" customFormat="1" ht="25.5">
      <c r="B172" s="14"/>
      <c r="C172" s="201" t="s">
        <v>199</v>
      </c>
      <c r="D172" s="198" t="s">
        <v>64</v>
      </c>
      <c r="E172" s="199" t="s">
        <v>73</v>
      </c>
      <c r="F172" s="199" t="s">
        <v>57</v>
      </c>
      <c r="G172" s="199" t="s">
        <v>200</v>
      </c>
      <c r="H172" s="199" t="s">
        <v>9</v>
      </c>
      <c r="I172" s="20">
        <f t="shared" ref="I172:K173" si="75">I173</f>
        <v>5000</v>
      </c>
      <c r="J172" s="20">
        <f t="shared" si="75"/>
        <v>5000</v>
      </c>
      <c r="K172" s="20">
        <f t="shared" si="75"/>
        <v>5000</v>
      </c>
      <c r="L172" s="16">
        <v>1210100000</v>
      </c>
      <c r="M172" s="16" t="str">
        <f t="shared" si="56"/>
        <v>1210100000</v>
      </c>
      <c r="N172" s="16" t="str">
        <f t="shared" si="57"/>
        <v>60104121210100000000</v>
      </c>
    </row>
    <row r="173" spans="2:14" s="16" customFormat="1" ht="38.25">
      <c r="B173" s="14"/>
      <c r="C173" s="201" t="s">
        <v>201</v>
      </c>
      <c r="D173" s="198" t="s">
        <v>64</v>
      </c>
      <c r="E173" s="199" t="s">
        <v>73</v>
      </c>
      <c r="F173" s="199" t="s">
        <v>57</v>
      </c>
      <c r="G173" s="199" t="s">
        <v>202</v>
      </c>
      <c r="H173" s="199" t="s">
        <v>9</v>
      </c>
      <c r="I173" s="20">
        <f t="shared" si="75"/>
        <v>5000</v>
      </c>
      <c r="J173" s="20">
        <f t="shared" si="75"/>
        <v>5000</v>
      </c>
      <c r="K173" s="20">
        <f t="shared" si="75"/>
        <v>5000</v>
      </c>
      <c r="L173" s="16">
        <v>1210160130</v>
      </c>
      <c r="M173" s="16" t="str">
        <f t="shared" si="56"/>
        <v>1210160130</v>
      </c>
      <c r="N173" s="16" t="str">
        <f t="shared" si="57"/>
        <v>60104121210160130000</v>
      </c>
    </row>
    <row r="174" spans="2:14" s="16" customFormat="1" ht="38.25">
      <c r="B174" s="14"/>
      <c r="C174" s="217" t="s">
        <v>203</v>
      </c>
      <c r="D174" s="198" t="s">
        <v>64</v>
      </c>
      <c r="E174" s="199" t="s">
        <v>73</v>
      </c>
      <c r="F174" s="199" t="s">
        <v>57</v>
      </c>
      <c r="G174" s="199" t="s">
        <v>202</v>
      </c>
      <c r="H174" s="199" t="s">
        <v>204</v>
      </c>
      <c r="I174" s="20">
        <f>5000</f>
        <v>5000</v>
      </c>
      <c r="J174" s="20">
        <f>5000</f>
        <v>5000</v>
      </c>
      <c r="K174" s="20">
        <f>5000</f>
        <v>5000</v>
      </c>
      <c r="L174" s="16">
        <v>1210160130</v>
      </c>
      <c r="M174" s="16" t="str">
        <f t="shared" si="56"/>
        <v>1210160130</v>
      </c>
      <c r="N174" s="16" t="str">
        <f t="shared" si="57"/>
        <v>60104121210160130810</v>
      </c>
    </row>
    <row r="175" spans="2:14" s="16" customFormat="1" ht="38.25">
      <c r="B175" s="14"/>
      <c r="C175" s="201" t="s">
        <v>209</v>
      </c>
      <c r="D175" s="198" t="s">
        <v>64</v>
      </c>
      <c r="E175" s="199" t="s">
        <v>73</v>
      </c>
      <c r="F175" s="199" t="s">
        <v>57</v>
      </c>
      <c r="G175" s="199" t="s">
        <v>210</v>
      </c>
      <c r="H175" s="199" t="s">
        <v>9</v>
      </c>
      <c r="I175" s="20">
        <f t="shared" ref="I175:K175" si="76">I176</f>
        <v>4500</v>
      </c>
      <c r="J175" s="20">
        <f t="shared" si="76"/>
        <v>2550</v>
      </c>
      <c r="K175" s="20">
        <f t="shared" si="76"/>
        <v>2550</v>
      </c>
      <c r="L175" s="16">
        <v>1210200000</v>
      </c>
      <c r="M175" s="16" t="str">
        <f t="shared" si="56"/>
        <v>1210200000</v>
      </c>
      <c r="N175" s="16" t="str">
        <f t="shared" si="57"/>
        <v>60104121210200000000</v>
      </c>
    </row>
    <row r="176" spans="2:14" s="16" customFormat="1" ht="38.25">
      <c r="B176" s="14"/>
      <c r="C176" s="201" t="s">
        <v>211</v>
      </c>
      <c r="D176" s="198" t="s">
        <v>64</v>
      </c>
      <c r="E176" s="199" t="s">
        <v>73</v>
      </c>
      <c r="F176" s="199" t="s">
        <v>57</v>
      </c>
      <c r="G176" s="199" t="s">
        <v>212</v>
      </c>
      <c r="H176" s="199" t="s">
        <v>9</v>
      </c>
      <c r="I176" s="20">
        <f>I177+I178</f>
        <v>4500</v>
      </c>
      <c r="J176" s="20">
        <f t="shared" ref="J176:K176" si="77">J177+J178</f>
        <v>2550</v>
      </c>
      <c r="K176" s="20">
        <f t="shared" si="77"/>
        <v>2550</v>
      </c>
      <c r="L176" s="16">
        <v>1210220480</v>
      </c>
      <c r="M176" s="16" t="str">
        <f t="shared" si="56"/>
        <v>1210220480</v>
      </c>
      <c r="N176" s="16" t="str">
        <f t="shared" si="57"/>
        <v>60104121210220480000</v>
      </c>
    </row>
    <row r="177" spans="2:14" s="16" customFormat="1" ht="25.5">
      <c r="B177" s="14"/>
      <c r="C177" s="197" t="s">
        <v>28</v>
      </c>
      <c r="D177" s="198" t="s">
        <v>64</v>
      </c>
      <c r="E177" s="199" t="s">
        <v>73</v>
      </c>
      <c r="F177" s="199" t="s">
        <v>57</v>
      </c>
      <c r="G177" s="199" t="s">
        <v>212</v>
      </c>
      <c r="H177" s="199" t="s">
        <v>29</v>
      </c>
      <c r="I177" s="218">
        <f>150-150</f>
        <v>0</v>
      </c>
      <c r="J177" s="20">
        <f>150</f>
        <v>150</v>
      </c>
      <c r="K177" s="20">
        <f>150</f>
        <v>150</v>
      </c>
      <c r="L177" s="16">
        <v>1210220480</v>
      </c>
      <c r="M177" s="16" t="str">
        <f t="shared" si="56"/>
        <v>1210220480</v>
      </c>
      <c r="N177" s="16" t="str">
        <f t="shared" si="57"/>
        <v>60104121210220480240</v>
      </c>
    </row>
    <row r="178" spans="2:14" s="16" customFormat="1" ht="25.5">
      <c r="B178" s="14"/>
      <c r="C178" s="374" t="s">
        <v>182</v>
      </c>
      <c r="D178" s="198" t="s">
        <v>64</v>
      </c>
      <c r="E178" s="199" t="s">
        <v>73</v>
      </c>
      <c r="F178" s="199" t="s">
        <v>57</v>
      </c>
      <c r="G178" s="199" t="s">
        <v>212</v>
      </c>
      <c r="H178" s="199" t="s">
        <v>183</v>
      </c>
      <c r="I178" s="20">
        <f>2400+2100</f>
        <v>4500</v>
      </c>
      <c r="J178" s="20">
        <f>2400</f>
        <v>2400</v>
      </c>
      <c r="K178" s="20">
        <f>2400</f>
        <v>2400</v>
      </c>
      <c r="L178" s="16">
        <v>1210220480</v>
      </c>
      <c r="M178" s="16" t="str">
        <f t="shared" si="56"/>
        <v>1210220480</v>
      </c>
      <c r="N178" s="16" t="str">
        <f t="shared" si="57"/>
        <v>60104121210220480630</v>
      </c>
    </row>
    <row r="179" spans="2:14" s="16" customFormat="1" ht="38.25">
      <c r="B179" s="14"/>
      <c r="C179" s="201" t="s">
        <v>215</v>
      </c>
      <c r="D179" s="198" t="s">
        <v>64</v>
      </c>
      <c r="E179" s="199" t="s">
        <v>73</v>
      </c>
      <c r="F179" s="199" t="s">
        <v>57</v>
      </c>
      <c r="G179" s="199" t="s">
        <v>216</v>
      </c>
      <c r="H179" s="199" t="s">
        <v>9</v>
      </c>
      <c r="I179" s="20">
        <f t="shared" ref="I179:K180" si="78">I180</f>
        <v>49.5</v>
      </c>
      <c r="J179" s="20">
        <f t="shared" si="78"/>
        <v>660</v>
      </c>
      <c r="K179" s="20">
        <f t="shared" si="78"/>
        <v>660</v>
      </c>
      <c r="L179" s="16">
        <v>1210300000</v>
      </c>
      <c r="M179" s="16" t="str">
        <f t="shared" si="56"/>
        <v>1210300000</v>
      </c>
      <c r="N179" s="16" t="str">
        <f t="shared" si="57"/>
        <v>60104121210300000000</v>
      </c>
    </row>
    <row r="180" spans="2:14" s="16" customFormat="1" ht="38.25">
      <c r="B180" s="14"/>
      <c r="C180" s="201" t="s">
        <v>211</v>
      </c>
      <c r="D180" s="198" t="s">
        <v>64</v>
      </c>
      <c r="E180" s="199" t="s">
        <v>73</v>
      </c>
      <c r="F180" s="199" t="s">
        <v>57</v>
      </c>
      <c r="G180" s="199" t="s">
        <v>217</v>
      </c>
      <c r="H180" s="199" t="s">
        <v>9</v>
      </c>
      <c r="I180" s="20">
        <f t="shared" si="78"/>
        <v>49.5</v>
      </c>
      <c r="J180" s="20">
        <f t="shared" si="78"/>
        <v>660</v>
      </c>
      <c r="K180" s="20">
        <f t="shared" si="78"/>
        <v>660</v>
      </c>
      <c r="L180" s="16">
        <v>1210320480</v>
      </c>
      <c r="M180" s="16" t="str">
        <f t="shared" si="56"/>
        <v>1210320480</v>
      </c>
      <c r="N180" s="16" t="str">
        <f t="shared" si="57"/>
        <v>60104121210320480000</v>
      </c>
    </row>
    <row r="181" spans="2:14" s="16" customFormat="1" ht="25.5">
      <c r="B181" s="14"/>
      <c r="C181" s="197" t="s">
        <v>28</v>
      </c>
      <c r="D181" s="198" t="s">
        <v>64</v>
      </c>
      <c r="E181" s="199" t="s">
        <v>73</v>
      </c>
      <c r="F181" s="199" t="s">
        <v>57</v>
      </c>
      <c r="G181" s="199" t="s">
        <v>217</v>
      </c>
      <c r="H181" s="199" t="s">
        <v>29</v>
      </c>
      <c r="I181" s="20">
        <f>660-100-500-10.5</f>
        <v>49.5</v>
      </c>
      <c r="J181" s="20">
        <f>660</f>
        <v>660</v>
      </c>
      <c r="K181" s="20">
        <f>660</f>
        <v>660</v>
      </c>
      <c r="L181" s="16">
        <v>1210320480</v>
      </c>
      <c r="M181" s="16" t="str">
        <f t="shared" si="56"/>
        <v>1210320480</v>
      </c>
      <c r="N181" s="16" t="str">
        <f t="shared" si="57"/>
        <v>60104121210320480240</v>
      </c>
    </row>
    <row r="182" spans="2:14" s="16" customFormat="1" ht="25.5">
      <c r="B182" s="14"/>
      <c r="C182" s="197" t="s">
        <v>96</v>
      </c>
      <c r="D182" s="198" t="s">
        <v>64</v>
      </c>
      <c r="E182" s="199" t="s">
        <v>73</v>
      </c>
      <c r="F182" s="199" t="s">
        <v>57</v>
      </c>
      <c r="G182" s="199" t="s">
        <v>97</v>
      </c>
      <c r="H182" s="199" t="s">
        <v>9</v>
      </c>
      <c r="I182" s="20">
        <f>I186+I183</f>
        <v>1927.07</v>
      </c>
      <c r="J182" s="20">
        <f t="shared" ref="J182:K182" si="79">J186+J183</f>
        <v>3337.5</v>
      </c>
      <c r="K182" s="20">
        <f t="shared" si="79"/>
        <v>3337.5</v>
      </c>
      <c r="L182" s="16">
        <v>1220000000</v>
      </c>
      <c r="M182" s="16" t="str">
        <f t="shared" si="56"/>
        <v>1220000000</v>
      </c>
      <c r="N182" s="16" t="str">
        <f t="shared" si="57"/>
        <v>60104121220000000000</v>
      </c>
    </row>
    <row r="183" spans="2:14" s="16" customFormat="1" ht="25.5">
      <c r="B183" s="14"/>
      <c r="C183" s="201" t="s">
        <v>218</v>
      </c>
      <c r="D183" s="198" t="s">
        <v>64</v>
      </c>
      <c r="E183" s="199" t="s">
        <v>73</v>
      </c>
      <c r="F183" s="199" t="s">
        <v>57</v>
      </c>
      <c r="G183" s="199" t="s">
        <v>219</v>
      </c>
      <c r="H183" s="199" t="s">
        <v>9</v>
      </c>
      <c r="I183" s="20">
        <f>I184</f>
        <v>50</v>
      </c>
      <c r="J183" s="20">
        <f t="shared" ref="J183:K184" si="80">J184</f>
        <v>1080</v>
      </c>
      <c r="K183" s="20">
        <f t="shared" si="80"/>
        <v>1080</v>
      </c>
      <c r="L183" s="16">
        <v>1220100000</v>
      </c>
      <c r="M183" s="16" t="str">
        <f t="shared" si="56"/>
        <v>1220100000</v>
      </c>
      <c r="N183" s="16" t="str">
        <f t="shared" si="57"/>
        <v>60104121220100000000</v>
      </c>
    </row>
    <row r="184" spans="2:14" s="16" customFormat="1" ht="25.5">
      <c r="B184" s="14"/>
      <c r="C184" s="201" t="s">
        <v>220</v>
      </c>
      <c r="D184" s="198" t="s">
        <v>64</v>
      </c>
      <c r="E184" s="199" t="s">
        <v>73</v>
      </c>
      <c r="F184" s="199" t="s">
        <v>57</v>
      </c>
      <c r="G184" s="199" t="s">
        <v>221</v>
      </c>
      <c r="H184" s="199" t="s">
        <v>9</v>
      </c>
      <c r="I184" s="20">
        <f>I185</f>
        <v>50</v>
      </c>
      <c r="J184" s="20">
        <f t="shared" si="80"/>
        <v>1080</v>
      </c>
      <c r="K184" s="20">
        <f t="shared" si="80"/>
        <v>1080</v>
      </c>
      <c r="L184" s="16">
        <v>1220120650</v>
      </c>
      <c r="M184" s="16" t="str">
        <f t="shared" si="56"/>
        <v>1220120650</v>
      </c>
      <c r="N184" s="16" t="str">
        <f t="shared" si="57"/>
        <v>60104121220120650000</v>
      </c>
    </row>
    <row r="185" spans="2:14" s="16" customFormat="1" ht="25.5">
      <c r="B185" s="14"/>
      <c r="C185" s="197" t="s">
        <v>28</v>
      </c>
      <c r="D185" s="198" t="s">
        <v>64</v>
      </c>
      <c r="E185" s="199" t="s">
        <v>73</v>
      </c>
      <c r="F185" s="199" t="s">
        <v>57</v>
      </c>
      <c r="G185" s="199" t="s">
        <v>221</v>
      </c>
      <c r="H185" s="199" t="s">
        <v>29</v>
      </c>
      <c r="I185" s="20">
        <f>1150-70-500-500-30</f>
        <v>50</v>
      </c>
      <c r="J185" s="20">
        <f>1150-70</f>
        <v>1080</v>
      </c>
      <c r="K185" s="20">
        <f>1150-70</f>
        <v>1080</v>
      </c>
      <c r="L185" s="16">
        <v>1220120650</v>
      </c>
      <c r="M185" s="16" t="str">
        <f t="shared" si="56"/>
        <v>1220120650</v>
      </c>
      <c r="N185" s="16" t="str">
        <f t="shared" si="57"/>
        <v>60104121220120650240</v>
      </c>
    </row>
    <row r="186" spans="2:14" s="16" customFormat="1" ht="25.5">
      <c r="B186" s="14"/>
      <c r="C186" s="197" t="s">
        <v>222</v>
      </c>
      <c r="D186" s="198" t="s">
        <v>64</v>
      </c>
      <c r="E186" s="199" t="s">
        <v>73</v>
      </c>
      <c r="F186" s="199" t="s">
        <v>57</v>
      </c>
      <c r="G186" s="199" t="s">
        <v>223</v>
      </c>
      <c r="H186" s="199" t="s">
        <v>9</v>
      </c>
      <c r="I186" s="20">
        <f t="shared" ref="I186:K186" si="81">I187</f>
        <v>1877.07</v>
      </c>
      <c r="J186" s="20">
        <f t="shared" si="81"/>
        <v>2257.5</v>
      </c>
      <c r="K186" s="20">
        <f t="shared" si="81"/>
        <v>2257.5</v>
      </c>
      <c r="L186" s="16">
        <v>1220200000</v>
      </c>
      <c r="M186" s="16" t="str">
        <f t="shared" si="56"/>
        <v>1220200000</v>
      </c>
      <c r="N186" s="16" t="str">
        <f t="shared" si="57"/>
        <v>60104121220200000000</v>
      </c>
    </row>
    <row r="187" spans="2:14" s="16" customFormat="1" ht="38.25">
      <c r="B187" s="14"/>
      <c r="C187" s="201" t="s">
        <v>224</v>
      </c>
      <c r="D187" s="198" t="s">
        <v>64</v>
      </c>
      <c r="E187" s="199" t="s">
        <v>73</v>
      </c>
      <c r="F187" s="199" t="s">
        <v>57</v>
      </c>
      <c r="G187" s="199" t="s">
        <v>225</v>
      </c>
      <c r="H187" s="199" t="s">
        <v>9</v>
      </c>
      <c r="I187" s="20">
        <f>I188+I189</f>
        <v>1877.07</v>
      </c>
      <c r="J187" s="20">
        <f t="shared" ref="J187:K187" si="82">J188+J189</f>
        <v>2257.5</v>
      </c>
      <c r="K187" s="20">
        <f t="shared" si="82"/>
        <v>2257.5</v>
      </c>
      <c r="L187" s="16">
        <v>1220220640</v>
      </c>
      <c r="M187" s="16" t="str">
        <f t="shared" si="56"/>
        <v>1220220640</v>
      </c>
      <c r="N187" s="16" t="str">
        <f t="shared" si="57"/>
        <v>60104121220220640000</v>
      </c>
    </row>
    <row r="188" spans="2:14" s="16" customFormat="1" ht="25.5">
      <c r="B188" s="14"/>
      <c r="C188" s="197" t="s">
        <v>28</v>
      </c>
      <c r="D188" s="198" t="s">
        <v>64</v>
      </c>
      <c r="E188" s="199" t="s">
        <v>73</v>
      </c>
      <c r="F188" s="199" t="s">
        <v>57</v>
      </c>
      <c r="G188" s="199" t="s">
        <v>225</v>
      </c>
      <c r="H188" s="199" t="s">
        <v>29</v>
      </c>
      <c r="I188" s="20">
        <f>2087.5-30-250-100-17.43-11-2</f>
        <v>1677.07</v>
      </c>
      <c r="J188" s="20">
        <f>2087.5-30</f>
        <v>2057.5</v>
      </c>
      <c r="K188" s="20">
        <f>2087.5-30</f>
        <v>2057.5</v>
      </c>
      <c r="L188" s="16">
        <v>1220220640</v>
      </c>
      <c r="M188" s="16" t="str">
        <f t="shared" si="56"/>
        <v>1220220640</v>
      </c>
      <c r="N188" s="16" t="str">
        <f t="shared" si="57"/>
        <v>60104121220220640240</v>
      </c>
    </row>
    <row r="189" spans="2:14" s="16" customFormat="1" ht="38.25">
      <c r="B189" s="14"/>
      <c r="C189" s="197" t="s">
        <v>203</v>
      </c>
      <c r="D189" s="198" t="s">
        <v>64</v>
      </c>
      <c r="E189" s="199" t="s">
        <v>73</v>
      </c>
      <c r="F189" s="199" t="s">
        <v>57</v>
      </c>
      <c r="G189" s="199" t="s">
        <v>225</v>
      </c>
      <c r="H189" s="199" t="s">
        <v>204</v>
      </c>
      <c r="I189" s="329">
        <f>100+100</f>
        <v>200</v>
      </c>
      <c r="J189" s="20">
        <f>100+100</f>
        <v>200</v>
      </c>
      <c r="K189" s="20">
        <f>100+100</f>
        <v>200</v>
      </c>
      <c r="L189" s="16">
        <v>1220220640</v>
      </c>
      <c r="M189" s="16" t="str">
        <f t="shared" si="56"/>
        <v>1220220640</v>
      </c>
      <c r="N189" s="16" t="str">
        <f t="shared" si="57"/>
        <v>60104121220220640810</v>
      </c>
    </row>
    <row r="190" spans="2:14" s="16" customFormat="1">
      <c r="B190" s="14"/>
      <c r="C190" s="191" t="s">
        <v>228</v>
      </c>
      <c r="D190" s="192" t="s">
        <v>64</v>
      </c>
      <c r="E190" s="193" t="s">
        <v>229</v>
      </c>
      <c r="F190" s="193" t="s">
        <v>7</v>
      </c>
      <c r="G190" s="193" t="s">
        <v>8</v>
      </c>
      <c r="H190" s="193" t="s">
        <v>9</v>
      </c>
      <c r="I190" s="18">
        <f t="shared" ref="I190:K195" si="83">I191</f>
        <v>69.2</v>
      </c>
      <c r="J190" s="18">
        <f t="shared" si="83"/>
        <v>160</v>
      </c>
      <c r="K190" s="18">
        <f t="shared" si="83"/>
        <v>160</v>
      </c>
      <c r="L190" s="16">
        <v>0</v>
      </c>
      <c r="M190" s="16" t="str">
        <f t="shared" si="56"/>
        <v>0000000000</v>
      </c>
      <c r="N190" s="16" t="str">
        <f t="shared" si="57"/>
        <v>60107000000000000000</v>
      </c>
    </row>
    <row r="191" spans="2:14" s="16" customFormat="1" ht="25.5">
      <c r="B191" s="14"/>
      <c r="C191" s="194" t="s">
        <v>230</v>
      </c>
      <c r="D191" s="195" t="s">
        <v>64</v>
      </c>
      <c r="E191" s="196" t="s">
        <v>229</v>
      </c>
      <c r="F191" s="196" t="s">
        <v>86</v>
      </c>
      <c r="G191" s="196" t="s">
        <v>8</v>
      </c>
      <c r="H191" s="196" t="s">
        <v>9</v>
      </c>
      <c r="I191" s="19">
        <f t="shared" si="83"/>
        <v>69.2</v>
      </c>
      <c r="J191" s="19">
        <f t="shared" si="83"/>
        <v>160</v>
      </c>
      <c r="K191" s="19">
        <f t="shared" si="83"/>
        <v>160</v>
      </c>
      <c r="L191" s="16">
        <v>0</v>
      </c>
      <c r="M191" s="16" t="str">
        <f t="shared" si="56"/>
        <v>0000000000</v>
      </c>
      <c r="N191" s="16" t="str">
        <f t="shared" si="57"/>
        <v>60107050000000000000</v>
      </c>
    </row>
    <row r="192" spans="2:14" s="16" customFormat="1" ht="25.5">
      <c r="B192" s="14"/>
      <c r="C192" s="201" t="s">
        <v>103</v>
      </c>
      <c r="D192" s="198" t="s">
        <v>64</v>
      </c>
      <c r="E192" s="199" t="s">
        <v>229</v>
      </c>
      <c r="F192" s="199" t="s">
        <v>86</v>
      </c>
      <c r="G192" s="199" t="s">
        <v>104</v>
      </c>
      <c r="H192" s="199" t="s">
        <v>9</v>
      </c>
      <c r="I192" s="20">
        <f t="shared" si="83"/>
        <v>69.2</v>
      </c>
      <c r="J192" s="20">
        <f t="shared" si="83"/>
        <v>160</v>
      </c>
      <c r="K192" s="20">
        <f t="shared" si="83"/>
        <v>160</v>
      </c>
      <c r="L192" s="16">
        <v>1300000000</v>
      </c>
      <c r="M192" s="16" t="str">
        <f t="shared" si="56"/>
        <v>1300000000</v>
      </c>
      <c r="N192" s="16" t="str">
        <f t="shared" si="57"/>
        <v>60107051300000000000</v>
      </c>
    </row>
    <row r="193" spans="2:14" s="16" customFormat="1" ht="25.5">
      <c r="B193" s="14"/>
      <c r="C193" s="201" t="s">
        <v>231</v>
      </c>
      <c r="D193" s="198" t="s">
        <v>64</v>
      </c>
      <c r="E193" s="199" t="s">
        <v>229</v>
      </c>
      <c r="F193" s="199" t="s">
        <v>86</v>
      </c>
      <c r="G193" s="199" t="s">
        <v>232</v>
      </c>
      <c r="H193" s="199" t="s">
        <v>9</v>
      </c>
      <c r="I193" s="20">
        <f t="shared" si="83"/>
        <v>69.2</v>
      </c>
      <c r="J193" s="20">
        <f t="shared" si="83"/>
        <v>160</v>
      </c>
      <c r="K193" s="20">
        <f t="shared" si="83"/>
        <v>160</v>
      </c>
      <c r="L193" s="16">
        <v>1310000000</v>
      </c>
      <c r="M193" s="16" t="str">
        <f t="shared" si="56"/>
        <v>1310000000</v>
      </c>
      <c r="N193" s="16" t="str">
        <f t="shared" si="57"/>
        <v>60107051310000000000</v>
      </c>
    </row>
    <row r="194" spans="2:14" s="16" customFormat="1" ht="38.25">
      <c r="B194" s="14"/>
      <c r="C194" s="201" t="s">
        <v>233</v>
      </c>
      <c r="D194" s="198" t="s">
        <v>64</v>
      </c>
      <c r="E194" s="199" t="s">
        <v>229</v>
      </c>
      <c r="F194" s="199" t="s">
        <v>86</v>
      </c>
      <c r="G194" s="199" t="s">
        <v>234</v>
      </c>
      <c r="H194" s="199" t="s">
        <v>9</v>
      </c>
      <c r="I194" s="20">
        <f t="shared" si="83"/>
        <v>69.2</v>
      </c>
      <c r="J194" s="20">
        <f t="shared" si="83"/>
        <v>160</v>
      </c>
      <c r="K194" s="20">
        <f t="shared" si="83"/>
        <v>160</v>
      </c>
      <c r="L194" s="16">
        <v>1310100000</v>
      </c>
      <c r="M194" s="16" t="str">
        <f t="shared" si="56"/>
        <v>1310100000</v>
      </c>
      <c r="N194" s="16" t="str">
        <f t="shared" si="57"/>
        <v>60107051310100000000</v>
      </c>
    </row>
    <row r="195" spans="2:14" s="16" customFormat="1" ht="25.5">
      <c r="B195" s="14"/>
      <c r="C195" s="201" t="s">
        <v>235</v>
      </c>
      <c r="D195" s="198" t="s">
        <v>64</v>
      </c>
      <c r="E195" s="199" t="s">
        <v>229</v>
      </c>
      <c r="F195" s="199" t="s">
        <v>86</v>
      </c>
      <c r="G195" s="199" t="s">
        <v>236</v>
      </c>
      <c r="H195" s="199" t="s">
        <v>9</v>
      </c>
      <c r="I195" s="20">
        <f t="shared" si="83"/>
        <v>69.2</v>
      </c>
      <c r="J195" s="20">
        <f t="shared" si="83"/>
        <v>160</v>
      </c>
      <c r="K195" s="20">
        <f t="shared" si="83"/>
        <v>160</v>
      </c>
      <c r="L195" s="16">
        <v>1310120450</v>
      </c>
      <c r="M195" s="16" t="str">
        <f t="shared" si="56"/>
        <v>1310120450</v>
      </c>
      <c r="N195" s="16" t="str">
        <f t="shared" si="57"/>
        <v>60107051310120450000</v>
      </c>
    </row>
    <row r="196" spans="2:14" s="16" customFormat="1" ht="25.5">
      <c r="B196" s="14"/>
      <c r="C196" s="197" t="s">
        <v>28</v>
      </c>
      <c r="D196" s="198" t="s">
        <v>64</v>
      </c>
      <c r="E196" s="199" t="s">
        <v>229</v>
      </c>
      <c r="F196" s="199" t="s">
        <v>86</v>
      </c>
      <c r="G196" s="199" t="s">
        <v>236</v>
      </c>
      <c r="H196" s="199" t="s">
        <v>29</v>
      </c>
      <c r="I196" s="20">
        <f>160-90.8</f>
        <v>69.2</v>
      </c>
      <c r="J196" s="20">
        <f>160</f>
        <v>160</v>
      </c>
      <c r="K196" s="20">
        <f>160</f>
        <v>160</v>
      </c>
      <c r="L196" s="16">
        <v>1310120450</v>
      </c>
      <c r="M196" s="16" t="str">
        <f t="shared" si="56"/>
        <v>1310120450</v>
      </c>
      <c r="N196" s="16" t="str">
        <f t="shared" si="57"/>
        <v>60107051310120450240</v>
      </c>
    </row>
    <row r="197" spans="2:14" s="16" customFormat="1">
      <c r="B197" s="14"/>
      <c r="C197" s="191" t="s">
        <v>237</v>
      </c>
      <c r="D197" s="192" t="s">
        <v>64</v>
      </c>
      <c r="E197" s="193" t="s">
        <v>238</v>
      </c>
      <c r="F197" s="193" t="s">
        <v>7</v>
      </c>
      <c r="G197" s="193" t="s">
        <v>8</v>
      </c>
      <c r="H197" s="193" t="s">
        <v>9</v>
      </c>
      <c r="I197" s="18">
        <f t="shared" ref="I197:K201" si="84">I198</f>
        <v>2111</v>
      </c>
      <c r="J197" s="18">
        <f t="shared" si="84"/>
        <v>1911</v>
      </c>
      <c r="K197" s="18">
        <f t="shared" si="84"/>
        <v>1911</v>
      </c>
      <c r="L197" s="16">
        <v>0</v>
      </c>
      <c r="M197" s="16" t="str">
        <f t="shared" si="56"/>
        <v>0000000000</v>
      </c>
      <c r="N197" s="16" t="str">
        <f t="shared" si="57"/>
        <v>60108000000000000000</v>
      </c>
    </row>
    <row r="198" spans="2:14" s="16" customFormat="1">
      <c r="B198" s="14"/>
      <c r="C198" s="194" t="s">
        <v>239</v>
      </c>
      <c r="D198" s="195" t="s">
        <v>64</v>
      </c>
      <c r="E198" s="196" t="s">
        <v>238</v>
      </c>
      <c r="F198" s="196" t="s">
        <v>11</v>
      </c>
      <c r="G198" s="196" t="s">
        <v>8</v>
      </c>
      <c r="H198" s="196" t="s">
        <v>9</v>
      </c>
      <c r="I198" s="19">
        <f t="shared" si="84"/>
        <v>2111</v>
      </c>
      <c r="J198" s="19">
        <f t="shared" si="84"/>
        <v>1911</v>
      </c>
      <c r="K198" s="19">
        <f t="shared" si="84"/>
        <v>1911</v>
      </c>
      <c r="L198" s="16">
        <v>0</v>
      </c>
      <c r="M198" s="16" t="str">
        <f t="shared" ref="M198:M261" si="85">TEXT(L198,"0000000000")</f>
        <v>0000000000</v>
      </c>
      <c r="N198" s="16" t="str">
        <f t="shared" ref="N198:N261" si="86">D198&amp;E198&amp;F198&amp;M198&amp;H198</f>
        <v>60108010000000000000</v>
      </c>
    </row>
    <row r="199" spans="2:14" s="16" customFormat="1">
      <c r="B199" s="14"/>
      <c r="C199" s="197" t="s">
        <v>240</v>
      </c>
      <c r="D199" s="198" t="s">
        <v>64</v>
      </c>
      <c r="E199" s="199" t="s">
        <v>238</v>
      </c>
      <c r="F199" s="199" t="s">
        <v>11</v>
      </c>
      <c r="G199" s="199" t="s">
        <v>241</v>
      </c>
      <c r="H199" s="199" t="s">
        <v>9</v>
      </c>
      <c r="I199" s="20">
        <f t="shared" si="84"/>
        <v>2111</v>
      </c>
      <c r="J199" s="20">
        <f t="shared" si="84"/>
        <v>1911</v>
      </c>
      <c r="K199" s="20">
        <f t="shared" si="84"/>
        <v>1911</v>
      </c>
      <c r="L199" s="16">
        <v>700000000</v>
      </c>
      <c r="M199" s="16" t="str">
        <f t="shared" si="85"/>
        <v>0700000000</v>
      </c>
      <c r="N199" s="16" t="str">
        <f t="shared" si="86"/>
        <v>60108010700000000000</v>
      </c>
    </row>
    <row r="200" spans="2:14" s="16" customFormat="1" ht="51">
      <c r="B200" s="14"/>
      <c r="C200" s="201" t="s">
        <v>242</v>
      </c>
      <c r="D200" s="198" t="s">
        <v>64</v>
      </c>
      <c r="E200" s="199" t="s">
        <v>238</v>
      </c>
      <c r="F200" s="199" t="s">
        <v>11</v>
      </c>
      <c r="G200" s="199" t="s">
        <v>243</v>
      </c>
      <c r="H200" s="199" t="s">
        <v>9</v>
      </c>
      <c r="I200" s="20">
        <f t="shared" si="84"/>
        <v>2111</v>
      </c>
      <c r="J200" s="20">
        <f t="shared" si="84"/>
        <v>1911</v>
      </c>
      <c r="K200" s="20">
        <f t="shared" si="84"/>
        <v>1911</v>
      </c>
      <c r="L200" s="16">
        <v>710000000</v>
      </c>
      <c r="M200" s="16" t="str">
        <f t="shared" si="85"/>
        <v>0710000000</v>
      </c>
      <c r="N200" s="16" t="str">
        <f t="shared" si="86"/>
        <v>60108010710000000000</v>
      </c>
    </row>
    <row r="201" spans="2:14" s="16" customFormat="1" ht="63.75">
      <c r="B201" s="14"/>
      <c r="C201" s="201" t="s">
        <v>244</v>
      </c>
      <c r="D201" s="198" t="s">
        <v>64</v>
      </c>
      <c r="E201" s="199" t="s">
        <v>238</v>
      </c>
      <c r="F201" s="199" t="s">
        <v>11</v>
      </c>
      <c r="G201" s="199" t="s">
        <v>245</v>
      </c>
      <c r="H201" s="199" t="s">
        <v>9</v>
      </c>
      <c r="I201" s="20">
        <f t="shared" si="84"/>
        <v>2111</v>
      </c>
      <c r="J201" s="20">
        <f t="shared" si="84"/>
        <v>1911</v>
      </c>
      <c r="K201" s="20">
        <f t="shared" si="84"/>
        <v>1911</v>
      </c>
      <c r="L201" s="16">
        <v>710100000</v>
      </c>
      <c r="M201" s="16" t="str">
        <f t="shared" si="85"/>
        <v>0710100000</v>
      </c>
      <c r="N201" s="16" t="str">
        <f t="shared" si="86"/>
        <v>60108010710100000000</v>
      </c>
    </row>
    <row r="202" spans="2:14" s="16" customFormat="1" ht="25.5">
      <c r="B202" s="14"/>
      <c r="C202" s="201" t="s">
        <v>246</v>
      </c>
      <c r="D202" s="198" t="s">
        <v>64</v>
      </c>
      <c r="E202" s="199" t="s">
        <v>238</v>
      </c>
      <c r="F202" s="199" t="s">
        <v>11</v>
      </c>
      <c r="G202" s="199" t="s">
        <v>247</v>
      </c>
      <c r="H202" s="199" t="s">
        <v>9</v>
      </c>
      <c r="I202" s="20">
        <f>I203</f>
        <v>2111</v>
      </c>
      <c r="J202" s="20">
        <f>J203</f>
        <v>1911</v>
      </c>
      <c r="K202" s="20">
        <f>K203</f>
        <v>1911</v>
      </c>
      <c r="L202" s="16">
        <v>710120060</v>
      </c>
      <c r="M202" s="16" t="str">
        <f t="shared" si="85"/>
        <v>0710120060</v>
      </c>
      <c r="N202" s="16" t="str">
        <f t="shared" si="86"/>
        <v>60108010710120060000</v>
      </c>
    </row>
    <row r="203" spans="2:14" s="16" customFormat="1" ht="25.5">
      <c r="B203" s="14"/>
      <c r="C203" s="197" t="s">
        <v>28</v>
      </c>
      <c r="D203" s="198" t="s">
        <v>64</v>
      </c>
      <c r="E203" s="199" t="s">
        <v>238</v>
      </c>
      <c r="F203" s="199" t="s">
        <v>11</v>
      </c>
      <c r="G203" s="199" t="s">
        <v>247</v>
      </c>
      <c r="H203" s="199" t="s">
        <v>29</v>
      </c>
      <c r="I203" s="20">
        <f>1911+200</f>
        <v>2111</v>
      </c>
      <c r="J203" s="20">
        <f>1911</f>
        <v>1911</v>
      </c>
      <c r="K203" s="20">
        <f>1911</f>
        <v>1911</v>
      </c>
      <c r="L203" s="16">
        <v>710120060</v>
      </c>
      <c r="M203" s="16" t="str">
        <f t="shared" si="85"/>
        <v>0710120060</v>
      </c>
      <c r="N203" s="16" t="str">
        <f t="shared" si="86"/>
        <v>60108010710120060240</v>
      </c>
    </row>
    <row r="204" spans="2:14" s="6" customFormat="1">
      <c r="B204" s="1"/>
      <c r="C204" s="191" t="s">
        <v>56</v>
      </c>
      <c r="D204" s="192" t="s">
        <v>64</v>
      </c>
      <c r="E204" s="193" t="s">
        <v>57</v>
      </c>
      <c r="F204" s="193" t="s">
        <v>7</v>
      </c>
      <c r="G204" s="193" t="s">
        <v>8</v>
      </c>
      <c r="H204" s="193" t="s">
        <v>9</v>
      </c>
      <c r="I204" s="18">
        <f>I211+I205</f>
        <v>20457.5</v>
      </c>
      <c r="J204" s="18">
        <f t="shared" ref="J204:K204" si="87">J211+J205</f>
        <v>20457.5</v>
      </c>
      <c r="K204" s="18">
        <f t="shared" si="87"/>
        <v>20457.5</v>
      </c>
      <c r="L204" s="6">
        <v>0</v>
      </c>
      <c r="M204" s="16" t="str">
        <f t="shared" si="85"/>
        <v>0000000000</v>
      </c>
      <c r="N204" s="16" t="str">
        <f t="shared" si="86"/>
        <v>60112000000000000000</v>
      </c>
    </row>
    <row r="205" spans="2:14" s="6" customFormat="1">
      <c r="B205" s="1"/>
      <c r="C205" s="194" t="s">
        <v>58</v>
      </c>
      <c r="D205" s="195" t="s">
        <v>64</v>
      </c>
      <c r="E205" s="196" t="s">
        <v>57</v>
      </c>
      <c r="F205" s="196" t="s">
        <v>11</v>
      </c>
      <c r="G205" s="196" t="s">
        <v>8</v>
      </c>
      <c r="H205" s="196" t="s">
        <v>9</v>
      </c>
      <c r="I205" s="19">
        <f>I206</f>
        <v>5900.5</v>
      </c>
      <c r="J205" s="19">
        <f t="shared" ref="J205:K209" si="88">J206</f>
        <v>5900.5</v>
      </c>
      <c r="K205" s="19">
        <f t="shared" si="88"/>
        <v>5900.5</v>
      </c>
      <c r="L205" s="6">
        <v>0</v>
      </c>
      <c r="M205" s="16" t="str">
        <f t="shared" si="85"/>
        <v>0000000000</v>
      </c>
      <c r="N205" s="16" t="str">
        <f t="shared" si="86"/>
        <v>60112010000000000000</v>
      </c>
    </row>
    <row r="206" spans="2:14" s="6" customFormat="1" ht="38.25">
      <c r="B206" s="1"/>
      <c r="C206" s="201" t="s">
        <v>111</v>
      </c>
      <c r="D206" s="198" t="s">
        <v>64</v>
      </c>
      <c r="E206" s="199" t="s">
        <v>57</v>
      </c>
      <c r="F206" s="199" t="s">
        <v>11</v>
      </c>
      <c r="G206" s="199" t="s">
        <v>112</v>
      </c>
      <c r="H206" s="199" t="s">
        <v>9</v>
      </c>
      <c r="I206" s="20">
        <f>I207</f>
        <v>5900.5</v>
      </c>
      <c r="J206" s="20">
        <f t="shared" si="88"/>
        <v>5900.5</v>
      </c>
      <c r="K206" s="20">
        <f t="shared" si="88"/>
        <v>5900.5</v>
      </c>
      <c r="L206" s="6">
        <v>1400000000</v>
      </c>
      <c r="M206" s="16" t="str">
        <f t="shared" si="85"/>
        <v>1400000000</v>
      </c>
      <c r="N206" s="16" t="str">
        <f t="shared" si="86"/>
        <v>60112011400000000000</v>
      </c>
    </row>
    <row r="207" spans="2:14" s="6" customFormat="1" ht="25.5">
      <c r="B207" s="1"/>
      <c r="C207" s="201" t="s">
        <v>113</v>
      </c>
      <c r="D207" s="198" t="s">
        <v>64</v>
      </c>
      <c r="E207" s="199" t="s">
        <v>57</v>
      </c>
      <c r="F207" s="199" t="s">
        <v>11</v>
      </c>
      <c r="G207" s="199" t="s">
        <v>114</v>
      </c>
      <c r="H207" s="199" t="s">
        <v>9</v>
      </c>
      <c r="I207" s="20">
        <f>I208</f>
        <v>5900.5</v>
      </c>
      <c r="J207" s="20">
        <f t="shared" si="88"/>
        <v>5900.5</v>
      </c>
      <c r="K207" s="20">
        <f t="shared" si="88"/>
        <v>5900.5</v>
      </c>
      <c r="L207" s="6">
        <v>1410000000</v>
      </c>
      <c r="M207" s="16" t="str">
        <f t="shared" si="85"/>
        <v>1410000000</v>
      </c>
      <c r="N207" s="16" t="str">
        <f t="shared" si="86"/>
        <v>60112011410000000000</v>
      </c>
    </row>
    <row r="208" spans="2:14" s="6" customFormat="1" ht="38.25">
      <c r="B208" s="1"/>
      <c r="C208" s="201" t="s">
        <v>248</v>
      </c>
      <c r="D208" s="198" t="s">
        <v>64</v>
      </c>
      <c r="E208" s="199" t="s">
        <v>57</v>
      </c>
      <c r="F208" s="199" t="s">
        <v>11</v>
      </c>
      <c r="G208" s="199" t="s">
        <v>249</v>
      </c>
      <c r="H208" s="199" t="s">
        <v>9</v>
      </c>
      <c r="I208" s="20">
        <f>I209</f>
        <v>5900.5</v>
      </c>
      <c r="J208" s="20">
        <f t="shared" si="88"/>
        <v>5900.5</v>
      </c>
      <c r="K208" s="20">
        <f t="shared" si="88"/>
        <v>5900.5</v>
      </c>
      <c r="L208" s="6">
        <v>1410300000</v>
      </c>
      <c r="M208" s="16" t="str">
        <f t="shared" si="85"/>
        <v>1410300000</v>
      </c>
      <c r="N208" s="16" t="str">
        <f t="shared" si="86"/>
        <v>60112011410300000000</v>
      </c>
    </row>
    <row r="209" spans="2:14" s="6" customFormat="1" ht="25.5">
      <c r="B209" s="1"/>
      <c r="C209" s="201" t="s">
        <v>59</v>
      </c>
      <c r="D209" s="198" t="s">
        <v>64</v>
      </c>
      <c r="E209" s="199" t="s">
        <v>57</v>
      </c>
      <c r="F209" s="199" t="s">
        <v>11</v>
      </c>
      <c r="G209" s="199" t="s">
        <v>250</v>
      </c>
      <c r="H209" s="199" t="s">
        <v>9</v>
      </c>
      <c r="I209" s="20">
        <f>I210</f>
        <v>5900.5</v>
      </c>
      <c r="J209" s="20">
        <f t="shared" si="88"/>
        <v>5900.5</v>
      </c>
      <c r="K209" s="20">
        <f t="shared" si="88"/>
        <v>5900.5</v>
      </c>
      <c r="L209" s="6">
        <v>1410398710</v>
      </c>
      <c r="M209" s="16" t="str">
        <f t="shared" si="85"/>
        <v>1410398710</v>
      </c>
      <c r="N209" s="16" t="str">
        <f t="shared" si="86"/>
        <v>60112011410398710000</v>
      </c>
    </row>
    <row r="210" spans="2:14" s="6" customFormat="1" ht="25.5">
      <c r="B210" s="1"/>
      <c r="C210" s="197" t="s">
        <v>28</v>
      </c>
      <c r="D210" s="198" t="s">
        <v>64</v>
      </c>
      <c r="E210" s="199" t="s">
        <v>57</v>
      </c>
      <c r="F210" s="199" t="s">
        <v>11</v>
      </c>
      <c r="G210" s="199" t="s">
        <v>250</v>
      </c>
      <c r="H210" s="199" t="s">
        <v>29</v>
      </c>
      <c r="I210" s="20">
        <f>5900.5</f>
        <v>5900.5</v>
      </c>
      <c r="J210" s="20">
        <f t="shared" ref="J210:K210" si="89">5900.5</f>
        <v>5900.5</v>
      </c>
      <c r="K210" s="20">
        <f t="shared" si="89"/>
        <v>5900.5</v>
      </c>
      <c r="L210" s="6">
        <v>1410398710</v>
      </c>
      <c r="M210" s="16" t="str">
        <f t="shared" si="85"/>
        <v>1410398710</v>
      </c>
      <c r="N210" s="16" t="str">
        <f t="shared" si="86"/>
        <v>60112011410398710240</v>
      </c>
    </row>
    <row r="211" spans="2:14" s="6" customFormat="1">
      <c r="B211" s="1"/>
      <c r="C211" s="194" t="s">
        <v>61</v>
      </c>
      <c r="D211" s="195" t="s">
        <v>64</v>
      </c>
      <c r="E211" s="196" t="s">
        <v>57</v>
      </c>
      <c r="F211" s="196" t="s">
        <v>62</v>
      </c>
      <c r="G211" s="196" t="s">
        <v>8</v>
      </c>
      <c r="H211" s="196" t="s">
        <v>9</v>
      </c>
      <c r="I211" s="19">
        <f t="shared" ref="I211:K218" si="90">I212</f>
        <v>14557</v>
      </c>
      <c r="J211" s="19">
        <f t="shared" si="90"/>
        <v>14557</v>
      </c>
      <c r="K211" s="19">
        <f t="shared" si="90"/>
        <v>14557</v>
      </c>
      <c r="L211" s="6">
        <v>0</v>
      </c>
      <c r="M211" s="16" t="str">
        <f t="shared" si="85"/>
        <v>0000000000</v>
      </c>
      <c r="N211" s="16" t="str">
        <f t="shared" si="86"/>
        <v>60112020000000000000</v>
      </c>
    </row>
    <row r="212" spans="2:14" s="16" customFormat="1" ht="38.25">
      <c r="B212" s="14"/>
      <c r="C212" s="201" t="s">
        <v>111</v>
      </c>
      <c r="D212" s="198" t="s">
        <v>64</v>
      </c>
      <c r="E212" s="199" t="s">
        <v>57</v>
      </c>
      <c r="F212" s="199" t="s">
        <v>62</v>
      </c>
      <c r="G212" s="199" t="s">
        <v>112</v>
      </c>
      <c r="H212" s="199" t="s">
        <v>9</v>
      </c>
      <c r="I212" s="20">
        <f t="shared" si="90"/>
        <v>14557</v>
      </c>
      <c r="J212" s="20">
        <f t="shared" si="90"/>
        <v>14557</v>
      </c>
      <c r="K212" s="20">
        <f t="shared" si="90"/>
        <v>14557</v>
      </c>
      <c r="L212" s="16">
        <v>1400000000</v>
      </c>
      <c r="M212" s="16" t="str">
        <f t="shared" si="85"/>
        <v>1400000000</v>
      </c>
      <c r="N212" s="16" t="str">
        <f t="shared" si="86"/>
        <v>60112021400000000000</v>
      </c>
    </row>
    <row r="213" spans="2:14" s="16" customFormat="1" ht="25.5">
      <c r="B213" s="14"/>
      <c r="C213" s="201" t="s">
        <v>113</v>
      </c>
      <c r="D213" s="198" t="s">
        <v>64</v>
      </c>
      <c r="E213" s="199" t="s">
        <v>57</v>
      </c>
      <c r="F213" s="199" t="s">
        <v>62</v>
      </c>
      <c r="G213" s="199" t="s">
        <v>114</v>
      </c>
      <c r="H213" s="199" t="s">
        <v>9</v>
      </c>
      <c r="I213" s="20">
        <f>I217+I214</f>
        <v>14557</v>
      </c>
      <c r="J213" s="20">
        <f t="shared" ref="J213:K213" si="91">J217+J214</f>
        <v>14557</v>
      </c>
      <c r="K213" s="20">
        <f t="shared" si="91"/>
        <v>14557</v>
      </c>
      <c r="L213" s="16">
        <v>1410000000</v>
      </c>
      <c r="M213" s="16" t="str">
        <f t="shared" si="85"/>
        <v>1410000000</v>
      </c>
      <c r="N213" s="16" t="str">
        <f t="shared" si="86"/>
        <v>60112021410000000000</v>
      </c>
    </row>
    <row r="214" spans="2:14" s="6" customFormat="1" ht="38.25">
      <c r="B214" s="1"/>
      <c r="C214" s="201" t="s">
        <v>248</v>
      </c>
      <c r="D214" s="198" t="s">
        <v>64</v>
      </c>
      <c r="E214" s="199" t="s">
        <v>57</v>
      </c>
      <c r="F214" s="199" t="s">
        <v>62</v>
      </c>
      <c r="G214" s="199" t="s">
        <v>249</v>
      </c>
      <c r="H214" s="199" t="s">
        <v>9</v>
      </c>
      <c r="I214" s="20">
        <f>I215</f>
        <v>1190</v>
      </c>
      <c r="J214" s="20">
        <f t="shared" ref="J214:K215" si="92">J215</f>
        <v>1190</v>
      </c>
      <c r="K214" s="20">
        <f t="shared" si="92"/>
        <v>1190</v>
      </c>
      <c r="L214" s="6">
        <v>1410300000</v>
      </c>
      <c r="M214" s="16" t="str">
        <f t="shared" si="85"/>
        <v>1410300000</v>
      </c>
      <c r="N214" s="16" t="str">
        <f t="shared" si="86"/>
        <v>60112021410300000000</v>
      </c>
    </row>
    <row r="215" spans="2:14" s="6" customFormat="1" ht="25.5">
      <c r="B215" s="1"/>
      <c r="C215" s="201" t="s">
        <v>59</v>
      </c>
      <c r="D215" s="198" t="s">
        <v>64</v>
      </c>
      <c r="E215" s="199" t="s">
        <v>57</v>
      </c>
      <c r="F215" s="199" t="s">
        <v>62</v>
      </c>
      <c r="G215" s="199" t="s">
        <v>250</v>
      </c>
      <c r="H215" s="199" t="s">
        <v>9</v>
      </c>
      <c r="I215" s="20">
        <f>I216</f>
        <v>1190</v>
      </c>
      <c r="J215" s="20">
        <f t="shared" si="92"/>
        <v>1190</v>
      </c>
      <c r="K215" s="20">
        <f t="shared" si="92"/>
        <v>1190</v>
      </c>
      <c r="L215" s="6">
        <v>1410398710</v>
      </c>
      <c r="M215" s="16" t="str">
        <f t="shared" si="85"/>
        <v>1410398710</v>
      </c>
      <c r="N215" s="16" t="str">
        <f t="shared" si="86"/>
        <v>60112021410398710000</v>
      </c>
    </row>
    <row r="216" spans="2:14" s="6" customFormat="1" ht="25.5">
      <c r="B216" s="1"/>
      <c r="C216" s="197" t="s">
        <v>28</v>
      </c>
      <c r="D216" s="198" t="s">
        <v>64</v>
      </c>
      <c r="E216" s="199" t="s">
        <v>57</v>
      </c>
      <c r="F216" s="199" t="s">
        <v>62</v>
      </c>
      <c r="G216" s="199" t="s">
        <v>250</v>
      </c>
      <c r="H216" s="199" t="s">
        <v>29</v>
      </c>
      <c r="I216" s="20">
        <f>1190</f>
        <v>1190</v>
      </c>
      <c r="J216" s="20">
        <f>1190</f>
        <v>1190</v>
      </c>
      <c r="K216" s="20">
        <f>1190</f>
        <v>1190</v>
      </c>
      <c r="L216" s="6">
        <v>1410398710</v>
      </c>
      <c r="M216" s="16" t="str">
        <f t="shared" si="85"/>
        <v>1410398710</v>
      </c>
      <c r="N216" s="16" t="str">
        <f t="shared" si="86"/>
        <v>60112021410398710240</v>
      </c>
    </row>
    <row r="217" spans="2:14" s="16" customFormat="1" ht="38.25">
      <c r="B217" s="14"/>
      <c r="C217" s="201" t="s">
        <v>251</v>
      </c>
      <c r="D217" s="198" t="s">
        <v>64</v>
      </c>
      <c r="E217" s="199" t="s">
        <v>57</v>
      </c>
      <c r="F217" s="199" t="s">
        <v>62</v>
      </c>
      <c r="G217" s="199" t="s">
        <v>252</v>
      </c>
      <c r="H217" s="199" t="s">
        <v>9</v>
      </c>
      <c r="I217" s="20">
        <f>I218</f>
        <v>13367</v>
      </c>
      <c r="J217" s="20">
        <f t="shared" ref="J217:K217" si="93">J218</f>
        <v>13367</v>
      </c>
      <c r="K217" s="20">
        <f t="shared" si="93"/>
        <v>13367</v>
      </c>
      <c r="L217" s="16">
        <v>1410400000</v>
      </c>
      <c r="M217" s="16" t="str">
        <f t="shared" si="85"/>
        <v>1410400000</v>
      </c>
      <c r="N217" s="16" t="str">
        <f t="shared" si="86"/>
        <v>60112021410400000000</v>
      </c>
    </row>
    <row r="218" spans="2:14" s="16" customFormat="1" ht="42" customHeight="1">
      <c r="B218" s="14"/>
      <c r="C218" s="201" t="s">
        <v>253</v>
      </c>
      <c r="D218" s="198" t="s">
        <v>64</v>
      </c>
      <c r="E218" s="199" t="s">
        <v>57</v>
      </c>
      <c r="F218" s="199" t="s">
        <v>62</v>
      </c>
      <c r="G218" s="199" t="s">
        <v>254</v>
      </c>
      <c r="H218" s="199" t="s">
        <v>9</v>
      </c>
      <c r="I218" s="20">
        <f t="shared" si="90"/>
        <v>13367</v>
      </c>
      <c r="J218" s="20">
        <f t="shared" si="90"/>
        <v>13367</v>
      </c>
      <c r="K218" s="20">
        <f t="shared" si="90"/>
        <v>13367</v>
      </c>
      <c r="L218" s="16">
        <v>1410498720</v>
      </c>
      <c r="M218" s="16" t="str">
        <f t="shared" si="85"/>
        <v>1410498720</v>
      </c>
      <c r="N218" s="16" t="str">
        <f t="shared" si="86"/>
        <v>60112021410498720000</v>
      </c>
    </row>
    <row r="219" spans="2:14" s="16" customFormat="1" ht="38.25">
      <c r="B219" s="14"/>
      <c r="C219" s="201" t="s">
        <v>203</v>
      </c>
      <c r="D219" s="198" t="s">
        <v>64</v>
      </c>
      <c r="E219" s="199" t="s">
        <v>57</v>
      </c>
      <c r="F219" s="199" t="s">
        <v>62</v>
      </c>
      <c r="G219" s="199" t="s">
        <v>254</v>
      </c>
      <c r="H219" s="199" t="s">
        <v>204</v>
      </c>
      <c r="I219" s="329">
        <f>13367</f>
        <v>13367</v>
      </c>
      <c r="J219" s="20">
        <f>13367</f>
        <v>13367</v>
      </c>
      <c r="K219" s="20">
        <f>13367</f>
        <v>13367</v>
      </c>
      <c r="L219" s="16">
        <v>1410498720</v>
      </c>
      <c r="M219" s="16" t="str">
        <f t="shared" si="85"/>
        <v>1410498720</v>
      </c>
      <c r="N219" s="16" t="str">
        <f t="shared" si="86"/>
        <v>60112021410498720810</v>
      </c>
    </row>
    <row r="220" spans="2:14" s="16" customFormat="1">
      <c r="B220" s="14"/>
      <c r="C220" s="201"/>
      <c r="D220" s="198"/>
      <c r="E220" s="199"/>
      <c r="F220" s="199"/>
      <c r="G220" s="199"/>
      <c r="H220" s="199"/>
      <c r="I220" s="20"/>
      <c r="J220" s="20"/>
      <c r="K220" s="20"/>
      <c r="M220" s="16" t="str">
        <f t="shared" si="85"/>
        <v>0000000000</v>
      </c>
      <c r="N220" s="16" t="str">
        <f t="shared" si="86"/>
        <v>0000000000</v>
      </c>
    </row>
    <row r="221" spans="2:14" s="29" customFormat="1" ht="25.5">
      <c r="B221" s="28"/>
      <c r="C221" s="202" t="s">
        <v>255</v>
      </c>
      <c r="D221" s="189" t="s">
        <v>256</v>
      </c>
      <c r="E221" s="190" t="s">
        <v>7</v>
      </c>
      <c r="F221" s="190" t="s">
        <v>7</v>
      </c>
      <c r="G221" s="190" t="s">
        <v>8</v>
      </c>
      <c r="H221" s="190" t="s">
        <v>9</v>
      </c>
      <c r="I221" s="25">
        <f>I222+I269+I296+I325</f>
        <v>239749.27000000002</v>
      </c>
      <c r="J221" s="25">
        <f>J222+J269+J296+J325</f>
        <v>95570.010000000009</v>
      </c>
      <c r="K221" s="25">
        <f>K222+K269+K296+K325</f>
        <v>85782.88</v>
      </c>
      <c r="L221" s="29">
        <v>0</v>
      </c>
      <c r="M221" s="16" t="str">
        <f t="shared" si="85"/>
        <v>0000000000</v>
      </c>
      <c r="N221" s="16" t="str">
        <f t="shared" si="86"/>
        <v>60200000000000000000</v>
      </c>
    </row>
    <row r="222" spans="2:14" s="29" customFormat="1">
      <c r="B222" s="28"/>
      <c r="C222" s="191" t="s">
        <v>10</v>
      </c>
      <c r="D222" s="192" t="s">
        <v>256</v>
      </c>
      <c r="E222" s="193" t="s">
        <v>11</v>
      </c>
      <c r="F222" s="193" t="s">
        <v>7</v>
      </c>
      <c r="G222" s="193" t="s">
        <v>8</v>
      </c>
      <c r="H222" s="193" t="s">
        <v>9</v>
      </c>
      <c r="I222" s="18">
        <f>I223</f>
        <v>116098.50000000001</v>
      </c>
      <c r="J222" s="18">
        <f t="shared" ref="J222:K222" si="94">J223</f>
        <v>77586.25</v>
      </c>
      <c r="K222" s="18">
        <f t="shared" si="94"/>
        <v>77586.25</v>
      </c>
      <c r="L222" s="29">
        <v>0</v>
      </c>
      <c r="M222" s="16" t="str">
        <f t="shared" si="85"/>
        <v>0000000000</v>
      </c>
      <c r="N222" s="16" t="str">
        <f t="shared" si="86"/>
        <v>60201000000000000000</v>
      </c>
    </row>
    <row r="223" spans="2:14" s="29" customFormat="1">
      <c r="B223" s="28"/>
      <c r="C223" s="194" t="s">
        <v>50</v>
      </c>
      <c r="D223" s="195" t="s">
        <v>256</v>
      </c>
      <c r="E223" s="196" t="s">
        <v>11</v>
      </c>
      <c r="F223" s="196" t="s">
        <v>51</v>
      </c>
      <c r="G223" s="196" t="s">
        <v>8</v>
      </c>
      <c r="H223" s="196" t="s">
        <v>9</v>
      </c>
      <c r="I223" s="19">
        <f>I224+I246+I237+I263</f>
        <v>116098.50000000001</v>
      </c>
      <c r="J223" s="19">
        <f>J224+J246+J237+J263</f>
        <v>77586.25</v>
      </c>
      <c r="K223" s="19">
        <f>K224+K246+K237+K263</f>
        <v>77586.25</v>
      </c>
      <c r="L223" s="29">
        <v>0</v>
      </c>
      <c r="M223" s="16" t="str">
        <f t="shared" si="85"/>
        <v>0000000000</v>
      </c>
      <c r="N223" s="16" t="str">
        <f t="shared" si="86"/>
        <v>60201130000000000000</v>
      </c>
    </row>
    <row r="224" spans="2:14" s="29" customFormat="1" ht="38.25">
      <c r="B224" s="28"/>
      <c r="C224" s="205" t="s">
        <v>257</v>
      </c>
      <c r="D224" s="198" t="s">
        <v>256</v>
      </c>
      <c r="E224" s="199" t="s">
        <v>11</v>
      </c>
      <c r="F224" s="199" t="s">
        <v>51</v>
      </c>
      <c r="G224" s="199" t="s">
        <v>258</v>
      </c>
      <c r="H224" s="199" t="s">
        <v>9</v>
      </c>
      <c r="I224" s="20">
        <f>I225</f>
        <v>5151.96</v>
      </c>
      <c r="J224" s="20">
        <f>J225</f>
        <v>5342.96</v>
      </c>
      <c r="K224" s="20">
        <f>K225</f>
        <v>5342.96</v>
      </c>
      <c r="L224" s="29">
        <v>1100000000</v>
      </c>
      <c r="M224" s="16" t="str">
        <f t="shared" si="85"/>
        <v>1100000000</v>
      </c>
      <c r="N224" s="16" t="str">
        <f t="shared" si="86"/>
        <v>60201131100000000000</v>
      </c>
    </row>
    <row r="225" spans="2:14" s="29" customFormat="1" ht="51">
      <c r="B225" s="28"/>
      <c r="C225" s="205" t="s">
        <v>259</v>
      </c>
      <c r="D225" s="198" t="s">
        <v>256</v>
      </c>
      <c r="E225" s="199" t="s">
        <v>11</v>
      </c>
      <c r="F225" s="199" t="s">
        <v>51</v>
      </c>
      <c r="G225" s="199" t="s">
        <v>260</v>
      </c>
      <c r="H225" s="199" t="s">
        <v>9</v>
      </c>
      <c r="I225" s="20">
        <f>I226+I234</f>
        <v>5151.96</v>
      </c>
      <c r="J225" s="20">
        <f>J226+J234</f>
        <v>5342.96</v>
      </c>
      <c r="K225" s="20">
        <f>K226+K234</f>
        <v>5342.96</v>
      </c>
      <c r="L225" s="29" t="s">
        <v>1171</v>
      </c>
      <c r="M225" s="16" t="str">
        <f t="shared" si="85"/>
        <v>11Б0000000</v>
      </c>
      <c r="N225" s="16" t="str">
        <f t="shared" si="86"/>
        <v>602011311Б0000000000</v>
      </c>
    </row>
    <row r="226" spans="2:14" s="29" customFormat="1" ht="38.25">
      <c r="B226" s="28"/>
      <c r="C226" s="197" t="s">
        <v>261</v>
      </c>
      <c r="D226" s="198" t="s">
        <v>256</v>
      </c>
      <c r="E226" s="199" t="s">
        <v>11</v>
      </c>
      <c r="F226" s="199" t="s">
        <v>51</v>
      </c>
      <c r="G226" s="199" t="s">
        <v>262</v>
      </c>
      <c r="H226" s="199" t="s">
        <v>9</v>
      </c>
      <c r="I226" s="20">
        <f>I227+I230+I232</f>
        <v>4579.92</v>
      </c>
      <c r="J226" s="20">
        <f t="shared" ref="J226:K226" si="95">J227+J230+J232</f>
        <v>4770.92</v>
      </c>
      <c r="K226" s="20">
        <f t="shared" si="95"/>
        <v>4770.92</v>
      </c>
      <c r="L226" s="29" t="s">
        <v>1172</v>
      </c>
      <c r="M226" s="16" t="str">
        <f t="shared" si="85"/>
        <v>11Б0100000</v>
      </c>
      <c r="N226" s="16" t="str">
        <f t="shared" si="86"/>
        <v>602011311Б0100000000</v>
      </c>
    </row>
    <row r="227" spans="2:14" s="29" customFormat="1" ht="51">
      <c r="B227" s="28"/>
      <c r="C227" s="197" t="s">
        <v>263</v>
      </c>
      <c r="D227" s="198" t="s">
        <v>256</v>
      </c>
      <c r="E227" s="199" t="s">
        <v>11</v>
      </c>
      <c r="F227" s="199" t="s">
        <v>51</v>
      </c>
      <c r="G227" s="199" t="s">
        <v>264</v>
      </c>
      <c r="H227" s="199" t="s">
        <v>9</v>
      </c>
      <c r="I227" s="20">
        <f>SUM(I228:I229)</f>
        <v>1070</v>
      </c>
      <c r="J227" s="20">
        <f>SUM(J228:J229)</f>
        <v>1261</v>
      </c>
      <c r="K227" s="20">
        <f>SUM(K228:K229)</f>
        <v>1261</v>
      </c>
      <c r="L227" s="29" t="s">
        <v>1173</v>
      </c>
      <c r="M227" s="16" t="str">
        <f t="shared" si="85"/>
        <v>11Б0120030</v>
      </c>
      <c r="N227" s="16" t="str">
        <f t="shared" si="86"/>
        <v>602011311Б0120030000</v>
      </c>
    </row>
    <row r="228" spans="2:14" s="29" customFormat="1" ht="25.5">
      <c r="B228" s="28"/>
      <c r="C228" s="197" t="s">
        <v>28</v>
      </c>
      <c r="D228" s="198" t="s">
        <v>256</v>
      </c>
      <c r="E228" s="199" t="s">
        <v>11</v>
      </c>
      <c r="F228" s="199" t="s">
        <v>51</v>
      </c>
      <c r="G228" s="199" t="s">
        <v>264</v>
      </c>
      <c r="H228" s="199" t="s">
        <v>29</v>
      </c>
      <c r="I228" s="20">
        <f>1250-191</f>
        <v>1059</v>
      </c>
      <c r="J228" s="20">
        <f>1250</f>
        <v>1250</v>
      </c>
      <c r="K228" s="20">
        <f>1250</f>
        <v>1250</v>
      </c>
      <c r="L228" s="29" t="s">
        <v>1173</v>
      </c>
      <c r="M228" s="16" t="str">
        <f t="shared" si="85"/>
        <v>11Б0120030</v>
      </c>
      <c r="N228" s="16" t="str">
        <f t="shared" si="86"/>
        <v>602011311Б0120030240</v>
      </c>
    </row>
    <row r="229" spans="2:14" s="29" customFormat="1">
      <c r="B229" s="28"/>
      <c r="C229" s="197" t="s">
        <v>32</v>
      </c>
      <c r="D229" s="198" t="s">
        <v>256</v>
      </c>
      <c r="E229" s="199" t="s">
        <v>11</v>
      </c>
      <c r="F229" s="199" t="s">
        <v>51</v>
      </c>
      <c r="G229" s="199" t="s">
        <v>264</v>
      </c>
      <c r="H229" s="199" t="s">
        <v>33</v>
      </c>
      <c r="I229" s="20">
        <f>11</f>
        <v>11</v>
      </c>
      <c r="J229" s="20">
        <f>11</f>
        <v>11</v>
      </c>
      <c r="K229" s="20">
        <f>11</f>
        <v>11</v>
      </c>
      <c r="L229" s="29" t="s">
        <v>1173</v>
      </c>
      <c r="M229" s="16" t="str">
        <f t="shared" si="85"/>
        <v>11Б0120030</v>
      </c>
      <c r="N229" s="16" t="str">
        <f t="shared" si="86"/>
        <v>602011311Б0120030850</v>
      </c>
    </row>
    <row r="230" spans="2:14" s="29" customFormat="1" ht="25.5">
      <c r="B230" s="28"/>
      <c r="C230" s="197" t="s">
        <v>265</v>
      </c>
      <c r="D230" s="198" t="s">
        <v>256</v>
      </c>
      <c r="E230" s="199" t="s">
        <v>11</v>
      </c>
      <c r="F230" s="199" t="s">
        <v>51</v>
      </c>
      <c r="G230" s="199" t="s">
        <v>266</v>
      </c>
      <c r="H230" s="199" t="s">
        <v>9</v>
      </c>
      <c r="I230" s="20">
        <f>I231</f>
        <v>1703.92</v>
      </c>
      <c r="J230" s="20">
        <f>J231</f>
        <v>1703.92</v>
      </c>
      <c r="K230" s="20">
        <f>K231</f>
        <v>1703.92</v>
      </c>
      <c r="L230" s="29" t="s">
        <v>1174</v>
      </c>
      <c r="M230" s="16" t="str">
        <f t="shared" si="85"/>
        <v>11Б0120070</v>
      </c>
      <c r="N230" s="16" t="str">
        <f t="shared" si="86"/>
        <v>602011311Б0120070000</v>
      </c>
    </row>
    <row r="231" spans="2:14" s="29" customFormat="1" ht="25.5">
      <c r="B231" s="28"/>
      <c r="C231" s="197" t="s">
        <v>28</v>
      </c>
      <c r="D231" s="198" t="s">
        <v>256</v>
      </c>
      <c r="E231" s="199" t="s">
        <v>11</v>
      </c>
      <c r="F231" s="199" t="s">
        <v>51</v>
      </c>
      <c r="G231" s="199" t="s">
        <v>266</v>
      </c>
      <c r="H231" s="199" t="s">
        <v>29</v>
      </c>
      <c r="I231" s="20">
        <f>1703.92</f>
        <v>1703.92</v>
      </c>
      <c r="J231" s="20">
        <f t="shared" ref="J231:K231" si="96">1703.92</f>
        <v>1703.92</v>
      </c>
      <c r="K231" s="20">
        <f t="shared" si="96"/>
        <v>1703.92</v>
      </c>
      <c r="L231" s="29" t="s">
        <v>1174</v>
      </c>
      <c r="M231" s="16" t="str">
        <f t="shared" si="85"/>
        <v>11Б0120070</v>
      </c>
      <c r="N231" s="16" t="str">
        <f t="shared" si="86"/>
        <v>602011311Б0120070240</v>
      </c>
    </row>
    <row r="232" spans="2:14" s="29" customFormat="1" ht="25.5">
      <c r="B232" s="28"/>
      <c r="C232" s="197" t="s">
        <v>267</v>
      </c>
      <c r="D232" s="198" t="s">
        <v>256</v>
      </c>
      <c r="E232" s="199" t="s">
        <v>11</v>
      </c>
      <c r="F232" s="199" t="s">
        <v>51</v>
      </c>
      <c r="G232" s="199" t="s">
        <v>268</v>
      </c>
      <c r="H232" s="199" t="s">
        <v>9</v>
      </c>
      <c r="I232" s="20">
        <f>I233</f>
        <v>1806</v>
      </c>
      <c r="J232" s="20">
        <f t="shared" ref="J232:K232" si="97">J233</f>
        <v>1806</v>
      </c>
      <c r="K232" s="20">
        <f t="shared" si="97"/>
        <v>1806</v>
      </c>
      <c r="L232" s="29" t="s">
        <v>1175</v>
      </c>
      <c r="M232" s="16" t="str">
        <f t="shared" si="85"/>
        <v>11Б0121120</v>
      </c>
      <c r="N232" s="16" t="str">
        <f t="shared" si="86"/>
        <v>602011311Б0121120000</v>
      </c>
    </row>
    <row r="233" spans="2:14" s="29" customFormat="1" ht="25.5">
      <c r="B233" s="28"/>
      <c r="C233" s="197" t="s">
        <v>28</v>
      </c>
      <c r="D233" s="198" t="s">
        <v>256</v>
      </c>
      <c r="E233" s="199" t="s">
        <v>11</v>
      </c>
      <c r="F233" s="199" t="s">
        <v>51</v>
      </c>
      <c r="G233" s="199" t="s">
        <v>268</v>
      </c>
      <c r="H233" s="199" t="s">
        <v>29</v>
      </c>
      <c r="I233" s="20">
        <f>1806</f>
        <v>1806</v>
      </c>
      <c r="J233" s="20">
        <f>1806</f>
        <v>1806</v>
      </c>
      <c r="K233" s="20">
        <f>1806</f>
        <v>1806</v>
      </c>
      <c r="L233" s="29" t="s">
        <v>1175</v>
      </c>
      <c r="M233" s="16" t="str">
        <f t="shared" si="85"/>
        <v>11Б0121120</v>
      </c>
      <c r="N233" s="16" t="str">
        <f t="shared" si="86"/>
        <v>602011311Б0121120240</v>
      </c>
    </row>
    <row r="234" spans="2:14" s="29" customFormat="1" ht="51">
      <c r="B234" s="28"/>
      <c r="C234" s="375" t="s">
        <v>269</v>
      </c>
      <c r="D234" s="198" t="s">
        <v>256</v>
      </c>
      <c r="E234" s="199" t="s">
        <v>11</v>
      </c>
      <c r="F234" s="199" t="s">
        <v>51</v>
      </c>
      <c r="G234" s="199" t="s">
        <v>270</v>
      </c>
      <c r="H234" s="199" t="s">
        <v>9</v>
      </c>
      <c r="I234" s="20">
        <f t="shared" ref="I234:K235" si="98">I235</f>
        <v>572.04</v>
      </c>
      <c r="J234" s="20">
        <f t="shared" si="98"/>
        <v>572.04</v>
      </c>
      <c r="K234" s="20">
        <f t="shared" si="98"/>
        <v>572.04</v>
      </c>
      <c r="L234" s="29" t="s">
        <v>1176</v>
      </c>
      <c r="M234" s="16" t="str">
        <f t="shared" si="85"/>
        <v>11Б0300000</v>
      </c>
      <c r="N234" s="16" t="str">
        <f t="shared" si="86"/>
        <v>602011311Б0300000000</v>
      </c>
    </row>
    <row r="235" spans="2:14" s="29" customFormat="1" ht="51">
      <c r="B235" s="28"/>
      <c r="C235" s="197" t="s">
        <v>271</v>
      </c>
      <c r="D235" s="198" t="s">
        <v>256</v>
      </c>
      <c r="E235" s="199" t="s">
        <v>11</v>
      </c>
      <c r="F235" s="199" t="s">
        <v>51</v>
      </c>
      <c r="G235" s="199" t="s">
        <v>272</v>
      </c>
      <c r="H235" s="199" t="s">
        <v>9</v>
      </c>
      <c r="I235" s="20">
        <f t="shared" si="98"/>
        <v>572.04</v>
      </c>
      <c r="J235" s="20">
        <f t="shared" si="98"/>
        <v>572.04</v>
      </c>
      <c r="K235" s="20">
        <f t="shared" si="98"/>
        <v>572.04</v>
      </c>
      <c r="L235" s="29" t="s">
        <v>1177</v>
      </c>
      <c r="M235" s="16" t="str">
        <f t="shared" si="85"/>
        <v>11Б0320340</v>
      </c>
      <c r="N235" s="16" t="str">
        <f t="shared" si="86"/>
        <v>602011311Б0320340000</v>
      </c>
    </row>
    <row r="236" spans="2:14" s="29" customFormat="1" ht="25.5">
      <c r="B236" s="28"/>
      <c r="C236" s="197" t="s">
        <v>28</v>
      </c>
      <c r="D236" s="198" t="s">
        <v>256</v>
      </c>
      <c r="E236" s="199" t="s">
        <v>11</v>
      </c>
      <c r="F236" s="199" t="s">
        <v>51</v>
      </c>
      <c r="G236" s="199" t="s">
        <v>272</v>
      </c>
      <c r="H236" s="199" t="s">
        <v>29</v>
      </c>
      <c r="I236" s="20">
        <f>342.72+229.32</f>
        <v>572.04</v>
      </c>
      <c r="J236" s="20">
        <f>342.72+229.32</f>
        <v>572.04</v>
      </c>
      <c r="K236" s="20">
        <f>342.72+229.32</f>
        <v>572.04</v>
      </c>
      <c r="L236" s="29" t="s">
        <v>1177</v>
      </c>
      <c r="M236" s="16" t="str">
        <f t="shared" si="85"/>
        <v>11Б0320340</v>
      </c>
      <c r="N236" s="16" t="str">
        <f t="shared" si="86"/>
        <v>602011311Б0320340240</v>
      </c>
    </row>
    <row r="237" spans="2:14" s="16" customFormat="1" ht="38.25">
      <c r="B237" s="14"/>
      <c r="C237" s="200" t="s">
        <v>146</v>
      </c>
      <c r="D237" s="198" t="s">
        <v>256</v>
      </c>
      <c r="E237" s="203" t="s">
        <v>11</v>
      </c>
      <c r="F237" s="203">
        <v>13</v>
      </c>
      <c r="G237" s="203" t="s">
        <v>147</v>
      </c>
      <c r="H237" s="203" t="s">
        <v>9</v>
      </c>
      <c r="I237" s="27">
        <f>I238</f>
        <v>4750</v>
      </c>
      <c r="J237" s="27">
        <f t="shared" ref="J237:K238" si="99">J238</f>
        <v>0</v>
      </c>
      <c r="K237" s="27">
        <f t="shared" si="99"/>
        <v>0</v>
      </c>
      <c r="L237" s="16">
        <v>1500000000</v>
      </c>
      <c r="M237" s="16" t="str">
        <f t="shared" si="85"/>
        <v>1500000000</v>
      </c>
      <c r="N237" s="16" t="str">
        <f t="shared" si="86"/>
        <v>60201131500000000000</v>
      </c>
    </row>
    <row r="238" spans="2:14" s="16" customFormat="1" ht="38.25">
      <c r="B238" s="14"/>
      <c r="C238" s="197" t="s">
        <v>1065</v>
      </c>
      <c r="D238" s="198" t="s">
        <v>256</v>
      </c>
      <c r="E238" s="203" t="s">
        <v>11</v>
      </c>
      <c r="F238" s="203">
        <v>13</v>
      </c>
      <c r="G238" s="203" t="s">
        <v>149</v>
      </c>
      <c r="H238" s="203" t="s">
        <v>9</v>
      </c>
      <c r="I238" s="27">
        <f>I239</f>
        <v>4750</v>
      </c>
      <c r="J238" s="27">
        <f t="shared" si="99"/>
        <v>0</v>
      </c>
      <c r="K238" s="27">
        <f t="shared" si="99"/>
        <v>0</v>
      </c>
      <c r="L238" s="16">
        <v>1510000000</v>
      </c>
      <c r="M238" s="16" t="str">
        <f t="shared" si="85"/>
        <v>1510000000</v>
      </c>
      <c r="N238" s="16" t="str">
        <f t="shared" si="86"/>
        <v>60201131510000000000</v>
      </c>
    </row>
    <row r="239" spans="2:14" s="16" customFormat="1" ht="51">
      <c r="B239" s="14"/>
      <c r="C239" s="214" t="s">
        <v>1068</v>
      </c>
      <c r="D239" s="198" t="s">
        <v>256</v>
      </c>
      <c r="E239" s="203" t="s">
        <v>11</v>
      </c>
      <c r="F239" s="203">
        <v>13</v>
      </c>
      <c r="G239" s="203" t="s">
        <v>1069</v>
      </c>
      <c r="H239" s="203" t="s">
        <v>9</v>
      </c>
      <c r="I239" s="20">
        <f>I240+I244+I242</f>
        <v>4750</v>
      </c>
      <c r="J239" s="20">
        <f t="shared" ref="J239:K239" si="100">J240+J244+J242</f>
        <v>0</v>
      </c>
      <c r="K239" s="20">
        <f t="shared" si="100"/>
        <v>0</v>
      </c>
      <c r="L239" s="16">
        <v>1510400000</v>
      </c>
      <c r="M239" s="16" t="str">
        <f t="shared" si="85"/>
        <v>1510400000</v>
      </c>
      <c r="N239" s="16" t="str">
        <f t="shared" si="86"/>
        <v>60201131510400000000</v>
      </c>
    </row>
    <row r="240" spans="2:14" s="16" customFormat="1" ht="25.5">
      <c r="B240" s="14"/>
      <c r="C240" s="214" t="s">
        <v>152</v>
      </c>
      <c r="D240" s="198" t="s">
        <v>256</v>
      </c>
      <c r="E240" s="203" t="s">
        <v>11</v>
      </c>
      <c r="F240" s="203">
        <v>13</v>
      </c>
      <c r="G240" s="203" t="s">
        <v>1070</v>
      </c>
      <c r="H240" s="203" t="s">
        <v>9</v>
      </c>
      <c r="I240" s="27">
        <f t="shared" ref="I240:K240" si="101">I241</f>
        <v>3000</v>
      </c>
      <c r="J240" s="27">
        <f t="shared" si="101"/>
        <v>0</v>
      </c>
      <c r="K240" s="27">
        <f t="shared" si="101"/>
        <v>0</v>
      </c>
      <c r="L240" s="16">
        <v>1510420350</v>
      </c>
      <c r="M240" s="16" t="str">
        <f t="shared" si="85"/>
        <v>1510420350</v>
      </c>
      <c r="N240" s="16" t="str">
        <f t="shared" si="86"/>
        <v>60201131510420350000</v>
      </c>
    </row>
    <row r="241" spans="2:14" s="16" customFormat="1" ht="25.5">
      <c r="B241" s="14"/>
      <c r="C241" s="214" t="s">
        <v>28</v>
      </c>
      <c r="D241" s="198" t="s">
        <v>256</v>
      </c>
      <c r="E241" s="203" t="s">
        <v>11</v>
      </c>
      <c r="F241" s="203">
        <v>13</v>
      </c>
      <c r="G241" s="203" t="s">
        <v>1070</v>
      </c>
      <c r="H241" s="203" t="s">
        <v>29</v>
      </c>
      <c r="I241" s="20">
        <f>3000</f>
        <v>3000</v>
      </c>
      <c r="J241" s="20">
        <v>0</v>
      </c>
      <c r="K241" s="20">
        <v>0</v>
      </c>
      <c r="L241" s="16">
        <v>1510420350</v>
      </c>
      <c r="M241" s="16" t="str">
        <f t="shared" si="85"/>
        <v>1510420350</v>
      </c>
      <c r="N241" s="16" t="str">
        <f t="shared" si="86"/>
        <v>60201131510420350240</v>
      </c>
    </row>
    <row r="242" spans="2:14" s="16" customFormat="1" ht="38.25">
      <c r="B242" s="14"/>
      <c r="C242" s="214" t="s">
        <v>1178</v>
      </c>
      <c r="D242" s="198" t="s">
        <v>256</v>
      </c>
      <c r="E242" s="203" t="s">
        <v>11</v>
      </c>
      <c r="F242" s="203">
        <v>13</v>
      </c>
      <c r="G242" s="203" t="s">
        <v>1179</v>
      </c>
      <c r="H242" s="203" t="s">
        <v>9</v>
      </c>
      <c r="I242" s="20">
        <f>I243</f>
        <v>1400</v>
      </c>
      <c r="J242" s="20">
        <f t="shared" ref="J242:K242" si="102">J243</f>
        <v>0</v>
      </c>
      <c r="K242" s="20">
        <f t="shared" si="102"/>
        <v>0</v>
      </c>
      <c r="L242" s="16">
        <v>1510477310</v>
      </c>
      <c r="M242" s="16" t="str">
        <f t="shared" si="85"/>
        <v>1510477310</v>
      </c>
      <c r="N242" s="16" t="str">
        <f t="shared" si="86"/>
        <v>60201131510477310000</v>
      </c>
    </row>
    <row r="243" spans="2:14" s="16" customFormat="1" ht="25.5">
      <c r="B243" s="14"/>
      <c r="C243" s="214" t="s">
        <v>28</v>
      </c>
      <c r="D243" s="198" t="s">
        <v>256</v>
      </c>
      <c r="E243" s="203" t="s">
        <v>11</v>
      </c>
      <c r="F243" s="203">
        <v>13</v>
      </c>
      <c r="G243" s="203" t="s">
        <v>1179</v>
      </c>
      <c r="H243" s="203" t="s">
        <v>29</v>
      </c>
      <c r="I243" s="20">
        <f>1400</f>
        <v>1400</v>
      </c>
      <c r="J243" s="20">
        <v>0</v>
      </c>
      <c r="K243" s="20">
        <v>0</v>
      </c>
      <c r="L243" s="16">
        <v>1510477310</v>
      </c>
      <c r="M243" s="16" t="str">
        <f t="shared" si="85"/>
        <v>1510477310</v>
      </c>
      <c r="N243" s="16" t="str">
        <f t="shared" si="86"/>
        <v>60201131510477310240</v>
      </c>
    </row>
    <row r="244" spans="2:14" s="16" customFormat="1" ht="38.25">
      <c r="B244" s="14"/>
      <c r="C244" s="214" t="s">
        <v>1039</v>
      </c>
      <c r="D244" s="198" t="s">
        <v>256</v>
      </c>
      <c r="E244" s="203" t="s">
        <v>11</v>
      </c>
      <c r="F244" s="203">
        <v>13</v>
      </c>
      <c r="G244" s="203" t="s">
        <v>1086</v>
      </c>
      <c r="H244" s="203" t="s">
        <v>9</v>
      </c>
      <c r="I244" s="20">
        <f>I245</f>
        <v>350</v>
      </c>
      <c r="J244" s="20">
        <f t="shared" ref="J244:K244" si="103">J245</f>
        <v>0</v>
      </c>
      <c r="K244" s="20">
        <f t="shared" si="103"/>
        <v>0</v>
      </c>
      <c r="L244" s="16" t="s">
        <v>1180</v>
      </c>
      <c r="M244" s="16" t="str">
        <f t="shared" si="85"/>
        <v>15104S7310</v>
      </c>
      <c r="N244" s="16" t="str">
        <f t="shared" si="86"/>
        <v>602011315104S7310000</v>
      </c>
    </row>
    <row r="245" spans="2:14" s="16" customFormat="1" ht="25.5">
      <c r="B245" s="14"/>
      <c r="C245" s="214" t="s">
        <v>28</v>
      </c>
      <c r="D245" s="198" t="s">
        <v>256</v>
      </c>
      <c r="E245" s="203" t="s">
        <v>11</v>
      </c>
      <c r="F245" s="203">
        <v>13</v>
      </c>
      <c r="G245" s="203" t="s">
        <v>1086</v>
      </c>
      <c r="H245" s="203" t="s">
        <v>29</v>
      </c>
      <c r="I245" s="20">
        <f>350</f>
        <v>350</v>
      </c>
      <c r="J245" s="20">
        <v>0</v>
      </c>
      <c r="K245" s="20">
        <v>0</v>
      </c>
      <c r="L245" s="16" t="s">
        <v>1180</v>
      </c>
      <c r="M245" s="16" t="str">
        <f t="shared" si="85"/>
        <v>15104S7310</v>
      </c>
      <c r="N245" s="16" t="str">
        <f t="shared" si="86"/>
        <v>602011315104S7310240</v>
      </c>
    </row>
    <row r="246" spans="2:14" s="29" customFormat="1" ht="25.5">
      <c r="B246" s="28"/>
      <c r="C246" s="197" t="s">
        <v>276</v>
      </c>
      <c r="D246" s="198" t="s">
        <v>256</v>
      </c>
      <c r="E246" s="199" t="s">
        <v>11</v>
      </c>
      <c r="F246" s="199" t="s">
        <v>51</v>
      </c>
      <c r="G246" s="199" t="s">
        <v>277</v>
      </c>
      <c r="H246" s="199" t="s">
        <v>9</v>
      </c>
      <c r="I246" s="20">
        <f>I247+I260</f>
        <v>75771.740000000005</v>
      </c>
      <c r="J246" s="20">
        <f t="shared" ref="J246:K246" si="104">J247+J260</f>
        <v>72243.289999999994</v>
      </c>
      <c r="K246" s="20">
        <f t="shared" si="104"/>
        <v>72243.289999999994</v>
      </c>
      <c r="L246" s="29">
        <v>7200000000</v>
      </c>
      <c r="M246" s="16" t="str">
        <f t="shared" si="85"/>
        <v>7200000000</v>
      </c>
      <c r="N246" s="16" t="str">
        <f t="shared" si="86"/>
        <v>60201137200000000000</v>
      </c>
    </row>
    <row r="247" spans="2:14" s="29" customFormat="1" ht="38.25">
      <c r="B247" s="28"/>
      <c r="C247" s="197" t="s">
        <v>278</v>
      </c>
      <c r="D247" s="198" t="s">
        <v>256</v>
      </c>
      <c r="E247" s="199" t="s">
        <v>11</v>
      </c>
      <c r="F247" s="199" t="s">
        <v>51</v>
      </c>
      <c r="G247" s="199" t="s">
        <v>279</v>
      </c>
      <c r="H247" s="199" t="s">
        <v>9</v>
      </c>
      <c r="I247" s="20">
        <f>I252+I254+I248+I256+I258</f>
        <v>75008.33</v>
      </c>
      <c r="J247" s="20">
        <f t="shared" ref="J247:K247" si="105">J252+J254+J248+J256+J258</f>
        <v>72243.289999999994</v>
      </c>
      <c r="K247" s="20">
        <f t="shared" si="105"/>
        <v>72243.289999999994</v>
      </c>
      <c r="L247" s="29">
        <v>7210000000</v>
      </c>
      <c r="M247" s="16" t="str">
        <f t="shared" si="85"/>
        <v>7210000000</v>
      </c>
      <c r="N247" s="16" t="str">
        <f t="shared" si="86"/>
        <v>60201137210000000000</v>
      </c>
    </row>
    <row r="248" spans="2:14" s="29" customFormat="1" ht="25.5">
      <c r="B248" s="28"/>
      <c r="C248" s="197" t="s">
        <v>18</v>
      </c>
      <c r="D248" s="198" t="s">
        <v>256</v>
      </c>
      <c r="E248" s="199" t="s">
        <v>11</v>
      </c>
      <c r="F248" s="199" t="s">
        <v>51</v>
      </c>
      <c r="G248" s="199" t="s">
        <v>280</v>
      </c>
      <c r="H248" s="199" t="s">
        <v>9</v>
      </c>
      <c r="I248" s="20">
        <f>SUM(I249:I251)</f>
        <v>12491.100000000002</v>
      </c>
      <c r="J248" s="20">
        <f>SUM(J249:J251)</f>
        <v>10597.939999999999</v>
      </c>
      <c r="K248" s="20">
        <f>SUM(K249:K251)</f>
        <v>10597.939999999999</v>
      </c>
      <c r="L248" s="29">
        <v>7210010010</v>
      </c>
      <c r="M248" s="16" t="str">
        <f t="shared" si="85"/>
        <v>7210010010</v>
      </c>
      <c r="N248" s="16" t="str">
        <f t="shared" si="86"/>
        <v>60201137210010010000</v>
      </c>
    </row>
    <row r="249" spans="2:14" s="29" customFormat="1" ht="25.5">
      <c r="B249" s="28"/>
      <c r="C249" s="200" t="s">
        <v>20</v>
      </c>
      <c r="D249" s="198" t="s">
        <v>256</v>
      </c>
      <c r="E249" s="199" t="s">
        <v>11</v>
      </c>
      <c r="F249" s="199" t="s">
        <v>51</v>
      </c>
      <c r="G249" s="199" t="s">
        <v>280</v>
      </c>
      <c r="H249" s="199" t="s">
        <v>21</v>
      </c>
      <c r="I249" s="20">
        <f>1555.17+16.62</f>
        <v>1571.79</v>
      </c>
      <c r="J249" s="20">
        <f>1555.17+16.62</f>
        <v>1571.79</v>
      </c>
      <c r="K249" s="20">
        <f>1555.17+16.62</f>
        <v>1571.79</v>
      </c>
      <c r="L249" s="29">
        <v>7210010010</v>
      </c>
      <c r="M249" s="16" t="str">
        <f t="shared" si="85"/>
        <v>7210010010</v>
      </c>
      <c r="N249" s="16" t="str">
        <f t="shared" si="86"/>
        <v>60201137210010010120</v>
      </c>
    </row>
    <row r="250" spans="2:14" s="29" customFormat="1" ht="25.5">
      <c r="B250" s="28"/>
      <c r="C250" s="197" t="s">
        <v>28</v>
      </c>
      <c r="D250" s="198" t="s">
        <v>256</v>
      </c>
      <c r="E250" s="199" t="s">
        <v>11</v>
      </c>
      <c r="F250" s="199" t="s">
        <v>51</v>
      </c>
      <c r="G250" s="199" t="s">
        <v>280</v>
      </c>
      <c r="H250" s="199" t="s">
        <v>29</v>
      </c>
      <c r="I250" s="20">
        <f>8829.51+86.94+1105-92.55+446+225.31+136.5+72.9</f>
        <v>10809.61</v>
      </c>
      <c r="J250" s="20">
        <f>8860.21+86.94</f>
        <v>8947.15</v>
      </c>
      <c r="K250" s="20">
        <f>8860.21+86.94</f>
        <v>8947.15</v>
      </c>
      <c r="L250" s="29">
        <v>7210010010</v>
      </c>
      <c r="M250" s="16" t="str">
        <f t="shared" si="85"/>
        <v>7210010010</v>
      </c>
      <c r="N250" s="16" t="str">
        <f t="shared" si="86"/>
        <v>60201137210010010240</v>
      </c>
    </row>
    <row r="251" spans="2:14" s="29" customFormat="1">
      <c r="B251" s="28"/>
      <c r="C251" s="197" t="s">
        <v>32</v>
      </c>
      <c r="D251" s="198" t="s">
        <v>256</v>
      </c>
      <c r="E251" s="199" t="s">
        <v>11</v>
      </c>
      <c r="F251" s="199" t="s">
        <v>51</v>
      </c>
      <c r="G251" s="199" t="s">
        <v>280</v>
      </c>
      <c r="H251" s="199" t="s">
        <v>33</v>
      </c>
      <c r="I251" s="20">
        <f>109.7</f>
        <v>109.7</v>
      </c>
      <c r="J251" s="20">
        <f>79</f>
        <v>79</v>
      </c>
      <c r="K251" s="20">
        <f>79</f>
        <v>79</v>
      </c>
      <c r="L251" s="29">
        <v>7210010010</v>
      </c>
      <c r="M251" s="16" t="str">
        <f t="shared" si="85"/>
        <v>7210010010</v>
      </c>
      <c r="N251" s="16" t="str">
        <f t="shared" si="86"/>
        <v>60201137210010010850</v>
      </c>
    </row>
    <row r="252" spans="2:14" s="29" customFormat="1" ht="25.5">
      <c r="B252" s="28"/>
      <c r="C252" s="197" t="s">
        <v>38</v>
      </c>
      <c r="D252" s="198" t="s">
        <v>256</v>
      </c>
      <c r="E252" s="199" t="s">
        <v>11</v>
      </c>
      <c r="F252" s="199" t="s">
        <v>51</v>
      </c>
      <c r="G252" s="199" t="s">
        <v>281</v>
      </c>
      <c r="H252" s="199" t="s">
        <v>9</v>
      </c>
      <c r="I252" s="20">
        <f>SUM(I253:I253)</f>
        <v>59514.34</v>
      </c>
      <c r="J252" s="20">
        <f>SUM(J253:J253)</f>
        <v>61645.349999999991</v>
      </c>
      <c r="K252" s="20">
        <f>SUM(K253:K253)</f>
        <v>61645.349999999991</v>
      </c>
      <c r="L252" s="29">
        <v>7210010020</v>
      </c>
      <c r="M252" s="16" t="str">
        <f t="shared" si="85"/>
        <v>7210010020</v>
      </c>
      <c r="N252" s="16" t="str">
        <f t="shared" si="86"/>
        <v>60201137210010020000</v>
      </c>
    </row>
    <row r="253" spans="2:14" s="29" customFormat="1" ht="25.5">
      <c r="B253" s="28"/>
      <c r="C253" s="200" t="s">
        <v>20</v>
      </c>
      <c r="D253" s="198" t="s">
        <v>256</v>
      </c>
      <c r="E253" s="199" t="s">
        <v>11</v>
      </c>
      <c r="F253" s="199" t="s">
        <v>51</v>
      </c>
      <c r="G253" s="199" t="s">
        <v>281</v>
      </c>
      <c r="H253" s="199" t="s">
        <v>21</v>
      </c>
      <c r="I253" s="20">
        <f>58294.57+616.95+103.37+289+142.31-1.54+69.68</f>
        <v>59514.34</v>
      </c>
      <c r="J253" s="20">
        <f>58294.57+616.95+2356.43+142.31+235.09</f>
        <v>61645.349999999991</v>
      </c>
      <c r="K253" s="20">
        <f>58294.57+616.95+2356.43+142.31+235.09</f>
        <v>61645.349999999991</v>
      </c>
      <c r="L253" s="29">
        <v>7210010020</v>
      </c>
      <c r="M253" s="16" t="str">
        <f t="shared" si="85"/>
        <v>7210010020</v>
      </c>
      <c r="N253" s="16" t="str">
        <f t="shared" si="86"/>
        <v>60201137210010020120</v>
      </c>
    </row>
    <row r="254" spans="2:14" s="29" customFormat="1" ht="25.5">
      <c r="B254" s="28"/>
      <c r="C254" s="201" t="s">
        <v>187</v>
      </c>
      <c r="D254" s="203" t="s">
        <v>256</v>
      </c>
      <c r="E254" s="204" t="s">
        <v>11</v>
      </c>
      <c r="F254" s="204" t="s">
        <v>51</v>
      </c>
      <c r="G254" s="204" t="s">
        <v>1181</v>
      </c>
      <c r="H254" s="204" t="s">
        <v>9</v>
      </c>
      <c r="I254" s="20">
        <f>I255</f>
        <v>950.24</v>
      </c>
      <c r="J254" s="20">
        <f t="shared" ref="J254:K254" si="106">J255</f>
        <v>0</v>
      </c>
      <c r="K254" s="20">
        <f t="shared" si="106"/>
        <v>0</v>
      </c>
      <c r="L254" s="29">
        <v>7210020050</v>
      </c>
      <c r="M254" s="16" t="str">
        <f t="shared" si="85"/>
        <v>7210020050</v>
      </c>
      <c r="N254" s="16" t="str">
        <f t="shared" si="86"/>
        <v>60201137210020050000</v>
      </c>
    </row>
    <row r="255" spans="2:14" s="29" customFormat="1">
      <c r="B255" s="28"/>
      <c r="C255" s="216" t="s">
        <v>189</v>
      </c>
      <c r="D255" s="203" t="s">
        <v>256</v>
      </c>
      <c r="E255" s="204" t="s">
        <v>11</v>
      </c>
      <c r="F255" s="204" t="s">
        <v>51</v>
      </c>
      <c r="G255" s="204" t="s">
        <v>1181</v>
      </c>
      <c r="H255" s="204" t="s">
        <v>190</v>
      </c>
      <c r="I255" s="20">
        <f>873.78+31+45.46</f>
        <v>950.24</v>
      </c>
      <c r="J255" s="20">
        <v>0</v>
      </c>
      <c r="K255" s="20">
        <v>0</v>
      </c>
      <c r="L255" s="29">
        <v>7210020050</v>
      </c>
      <c r="M255" s="16" t="str">
        <f t="shared" si="85"/>
        <v>7210020050</v>
      </c>
      <c r="N255" s="16" t="str">
        <f t="shared" si="86"/>
        <v>60201137210020050830</v>
      </c>
    </row>
    <row r="256" spans="2:14" s="29" customFormat="1" ht="191.25">
      <c r="B256" s="28" t="s">
        <v>2282</v>
      </c>
      <c r="C256" s="200" t="s">
        <v>2269</v>
      </c>
      <c r="D256" s="198" t="s">
        <v>256</v>
      </c>
      <c r="E256" s="199" t="s">
        <v>11</v>
      </c>
      <c r="F256" s="199" t="s">
        <v>51</v>
      </c>
      <c r="G256" s="199" t="s">
        <v>1270</v>
      </c>
      <c r="H256" s="199" t="s">
        <v>9</v>
      </c>
      <c r="I256" s="20">
        <f>I257</f>
        <v>1965.6</v>
      </c>
      <c r="J256" s="20">
        <f t="shared" ref="J256:K256" si="107">J257</f>
        <v>0</v>
      </c>
      <c r="K256" s="20">
        <f t="shared" si="107"/>
        <v>0</v>
      </c>
      <c r="L256" s="29">
        <v>7210077460</v>
      </c>
      <c r="M256" s="16" t="str">
        <f t="shared" si="85"/>
        <v>7210077460</v>
      </c>
      <c r="N256" s="16" t="str">
        <f t="shared" si="86"/>
        <v>60201137210077460000</v>
      </c>
    </row>
    <row r="257" spans="2:14" s="29" customFormat="1" ht="25.5">
      <c r="B257" s="28"/>
      <c r="C257" s="200" t="s">
        <v>20</v>
      </c>
      <c r="D257" s="198" t="s">
        <v>256</v>
      </c>
      <c r="E257" s="199" t="s">
        <v>11</v>
      </c>
      <c r="F257" s="199" t="s">
        <v>51</v>
      </c>
      <c r="G257" s="199" t="s">
        <v>1270</v>
      </c>
      <c r="H257" s="199" t="s">
        <v>21</v>
      </c>
      <c r="I257" s="20">
        <f>1964.06+1.54</f>
        <v>1965.6</v>
      </c>
      <c r="J257" s="20">
        <v>0</v>
      </c>
      <c r="K257" s="20">
        <v>0</v>
      </c>
      <c r="L257" s="29">
        <v>7210077460</v>
      </c>
      <c r="M257" s="16" t="str">
        <f t="shared" si="85"/>
        <v>7210077460</v>
      </c>
      <c r="N257" s="16" t="str">
        <f t="shared" si="86"/>
        <v>60201137210077460120</v>
      </c>
    </row>
    <row r="258" spans="2:14" s="29" customFormat="1" ht="165.75">
      <c r="B258" s="28"/>
      <c r="C258" s="200" t="s">
        <v>2247</v>
      </c>
      <c r="D258" s="198" t="s">
        <v>256</v>
      </c>
      <c r="E258" s="199" t="s">
        <v>11</v>
      </c>
      <c r="F258" s="199" t="s">
        <v>51</v>
      </c>
      <c r="G258" s="199" t="s">
        <v>2246</v>
      </c>
      <c r="H258" s="199" t="s">
        <v>9</v>
      </c>
      <c r="I258" s="20">
        <f>I259</f>
        <v>87.05</v>
      </c>
      <c r="J258" s="20">
        <f t="shared" ref="J258:K258" si="108">J259</f>
        <v>0</v>
      </c>
      <c r="K258" s="20">
        <f t="shared" si="108"/>
        <v>0</v>
      </c>
      <c r="L258" s="29">
        <v>7210077580</v>
      </c>
      <c r="M258" s="16" t="str">
        <f t="shared" si="85"/>
        <v>7210077580</v>
      </c>
      <c r="N258" s="16" t="str">
        <f t="shared" si="86"/>
        <v>60201137210077580000</v>
      </c>
    </row>
    <row r="259" spans="2:14" s="29" customFormat="1" ht="25.5">
      <c r="B259" s="28"/>
      <c r="C259" s="200" t="s">
        <v>20</v>
      </c>
      <c r="D259" s="198" t="s">
        <v>256</v>
      </c>
      <c r="E259" s="199" t="s">
        <v>11</v>
      </c>
      <c r="F259" s="199" t="s">
        <v>51</v>
      </c>
      <c r="G259" s="199" t="s">
        <v>2246</v>
      </c>
      <c r="H259" s="199" t="s">
        <v>21</v>
      </c>
      <c r="I259" s="20">
        <f>87.05</f>
        <v>87.05</v>
      </c>
      <c r="J259" s="20">
        <v>0</v>
      </c>
      <c r="K259" s="20">
        <v>0</v>
      </c>
      <c r="L259" s="29">
        <v>7210077580</v>
      </c>
      <c r="M259" s="16" t="str">
        <f t="shared" si="85"/>
        <v>7210077580</v>
      </c>
      <c r="N259" s="16" t="str">
        <f t="shared" si="86"/>
        <v>60201137210077580120</v>
      </c>
    </row>
    <row r="260" spans="2:14" s="29" customFormat="1">
      <c r="B260" s="28"/>
      <c r="C260" s="375" t="s">
        <v>52</v>
      </c>
      <c r="D260" s="198" t="s">
        <v>256</v>
      </c>
      <c r="E260" s="199" t="s">
        <v>11</v>
      </c>
      <c r="F260" s="199" t="s">
        <v>51</v>
      </c>
      <c r="G260" s="199" t="s">
        <v>1058</v>
      </c>
      <c r="H260" s="199" t="s">
        <v>9</v>
      </c>
      <c r="I260" s="20">
        <f>I261</f>
        <v>763.41</v>
      </c>
      <c r="J260" s="20">
        <f t="shared" ref="J260:K261" si="109">J261</f>
        <v>0</v>
      </c>
      <c r="K260" s="20">
        <f t="shared" si="109"/>
        <v>0</v>
      </c>
      <c r="L260" s="29">
        <v>7220000000</v>
      </c>
      <c r="M260" s="16" t="str">
        <f t="shared" si="85"/>
        <v>7220000000</v>
      </c>
      <c r="N260" s="16" t="str">
        <f t="shared" si="86"/>
        <v>60201137220000000000</v>
      </c>
    </row>
    <row r="261" spans="2:14" s="29" customFormat="1" ht="25.5">
      <c r="B261" s="28"/>
      <c r="C261" s="375" t="s">
        <v>1059</v>
      </c>
      <c r="D261" s="198" t="s">
        <v>256</v>
      </c>
      <c r="E261" s="199" t="s">
        <v>11</v>
      </c>
      <c r="F261" s="199" t="s">
        <v>51</v>
      </c>
      <c r="G261" s="199" t="s">
        <v>1060</v>
      </c>
      <c r="H261" s="199" t="s">
        <v>9</v>
      </c>
      <c r="I261" s="20">
        <f>I262</f>
        <v>763.41</v>
      </c>
      <c r="J261" s="20">
        <f t="shared" si="109"/>
        <v>0</v>
      </c>
      <c r="K261" s="20">
        <f t="shared" si="109"/>
        <v>0</v>
      </c>
      <c r="L261" s="29">
        <v>7220020970</v>
      </c>
      <c r="M261" s="16" t="str">
        <f t="shared" si="85"/>
        <v>7220020970</v>
      </c>
      <c r="N261" s="16" t="str">
        <f t="shared" si="86"/>
        <v>60201137220020970000</v>
      </c>
    </row>
    <row r="262" spans="2:14" s="29" customFormat="1">
      <c r="B262" s="28"/>
      <c r="C262" s="375" t="s">
        <v>32</v>
      </c>
      <c r="D262" s="198" t="s">
        <v>256</v>
      </c>
      <c r="E262" s="199" t="s">
        <v>11</v>
      </c>
      <c r="F262" s="199" t="s">
        <v>51</v>
      </c>
      <c r="G262" s="199" t="s">
        <v>1060</v>
      </c>
      <c r="H262" s="199" t="s">
        <v>33</v>
      </c>
      <c r="I262" s="20">
        <f>426.13+125.86+211.42</f>
        <v>763.41</v>
      </c>
      <c r="J262" s="20">
        <v>0</v>
      </c>
      <c r="K262" s="20">
        <v>0</v>
      </c>
      <c r="L262" s="29">
        <v>7220020970</v>
      </c>
      <c r="M262" s="16" t="str">
        <f t="shared" ref="M262:M325" si="110">TEXT(L262,"0000000000")</f>
        <v>7220020970</v>
      </c>
      <c r="N262" s="16" t="str">
        <f t="shared" ref="N262:N325" si="111">D262&amp;E262&amp;F262&amp;M262&amp;H262</f>
        <v>60201137220020970850</v>
      </c>
    </row>
    <row r="263" spans="2:14" s="29" customFormat="1" ht="38.25">
      <c r="B263" s="28"/>
      <c r="C263" s="375" t="s">
        <v>87</v>
      </c>
      <c r="D263" s="198" t="s">
        <v>256</v>
      </c>
      <c r="E263" s="199" t="s">
        <v>11</v>
      </c>
      <c r="F263" s="199" t="s">
        <v>51</v>
      </c>
      <c r="G263" s="199" t="s">
        <v>88</v>
      </c>
      <c r="H263" s="199" t="s">
        <v>9</v>
      </c>
      <c r="I263" s="20">
        <f>I264</f>
        <v>30424.799999999999</v>
      </c>
      <c r="J263" s="20">
        <f t="shared" ref="J263:K265" si="112">J264</f>
        <v>0</v>
      </c>
      <c r="K263" s="20">
        <f t="shared" si="112"/>
        <v>0</v>
      </c>
      <c r="L263" s="29">
        <v>9800000000</v>
      </c>
      <c r="M263" s="16" t="str">
        <f t="shared" si="110"/>
        <v>9800000000</v>
      </c>
      <c r="N263" s="16" t="str">
        <f t="shared" si="111"/>
        <v>60201139800000000000</v>
      </c>
    </row>
    <row r="264" spans="2:14" s="29" customFormat="1">
      <c r="B264" s="28"/>
      <c r="C264" s="375" t="s">
        <v>89</v>
      </c>
      <c r="D264" s="198" t="s">
        <v>256</v>
      </c>
      <c r="E264" s="199" t="s">
        <v>11</v>
      </c>
      <c r="F264" s="199" t="s">
        <v>51</v>
      </c>
      <c r="G264" s="199" t="s">
        <v>90</v>
      </c>
      <c r="H264" s="199" t="s">
        <v>9</v>
      </c>
      <c r="I264" s="20">
        <f>I265+I267</f>
        <v>30424.799999999999</v>
      </c>
      <c r="J264" s="20">
        <f t="shared" ref="J264:K264" si="113">J265+J267</f>
        <v>0</v>
      </c>
      <c r="K264" s="20">
        <f t="shared" si="113"/>
        <v>0</v>
      </c>
      <c r="L264" s="29">
        <v>9810000000</v>
      </c>
      <c r="M264" s="16" t="str">
        <f t="shared" si="110"/>
        <v>9810000000</v>
      </c>
      <c r="N264" s="16" t="str">
        <f t="shared" si="111"/>
        <v>60201139810000000000</v>
      </c>
    </row>
    <row r="265" spans="2:14" s="29" customFormat="1">
      <c r="B265" s="28"/>
      <c r="C265" s="375" t="s">
        <v>282</v>
      </c>
      <c r="D265" s="198" t="s">
        <v>256</v>
      </c>
      <c r="E265" s="199" t="s">
        <v>11</v>
      </c>
      <c r="F265" s="199" t="s">
        <v>51</v>
      </c>
      <c r="G265" s="199" t="s">
        <v>283</v>
      </c>
      <c r="H265" s="199" t="s">
        <v>9</v>
      </c>
      <c r="I265" s="20">
        <f>I266</f>
        <v>268</v>
      </c>
      <c r="J265" s="20">
        <f t="shared" si="112"/>
        <v>0</v>
      </c>
      <c r="K265" s="20">
        <f t="shared" si="112"/>
        <v>0</v>
      </c>
      <c r="L265" s="29">
        <v>9810021350</v>
      </c>
      <c r="M265" s="16" t="str">
        <f t="shared" si="110"/>
        <v>9810021350</v>
      </c>
      <c r="N265" s="16" t="str">
        <f t="shared" si="111"/>
        <v>60201139810021350000</v>
      </c>
    </row>
    <row r="266" spans="2:14" s="29" customFormat="1">
      <c r="B266" s="28"/>
      <c r="C266" s="375" t="s">
        <v>189</v>
      </c>
      <c r="D266" s="198" t="s">
        <v>256</v>
      </c>
      <c r="E266" s="199" t="s">
        <v>11</v>
      </c>
      <c r="F266" s="199" t="s">
        <v>51</v>
      </c>
      <c r="G266" s="199" t="s">
        <v>283</v>
      </c>
      <c r="H266" s="199" t="s">
        <v>190</v>
      </c>
      <c r="I266" s="20">
        <f>268</f>
        <v>268</v>
      </c>
      <c r="J266" s="20">
        <v>0</v>
      </c>
      <c r="K266" s="20">
        <v>0</v>
      </c>
      <c r="L266" s="29">
        <v>9810021350</v>
      </c>
      <c r="M266" s="16" t="str">
        <f t="shared" si="110"/>
        <v>9810021350</v>
      </c>
      <c r="N266" s="16" t="str">
        <f t="shared" si="111"/>
        <v>60201139810021350830</v>
      </c>
    </row>
    <row r="267" spans="2:14" s="29" customFormat="1" ht="25.5">
      <c r="B267" s="28"/>
      <c r="C267" s="200" t="s">
        <v>2250</v>
      </c>
      <c r="D267" s="198" t="s">
        <v>256</v>
      </c>
      <c r="E267" s="199" t="s">
        <v>11</v>
      </c>
      <c r="F267" s="199" t="s">
        <v>51</v>
      </c>
      <c r="G267" s="199" t="s">
        <v>2251</v>
      </c>
      <c r="H267" s="199" t="s">
        <v>9</v>
      </c>
      <c r="I267" s="20">
        <f>I268</f>
        <v>30156.799999999999</v>
      </c>
      <c r="J267" s="20">
        <f t="shared" ref="J267:K267" si="114">J268</f>
        <v>0</v>
      </c>
      <c r="K267" s="20">
        <f t="shared" si="114"/>
        <v>0</v>
      </c>
      <c r="L267" s="29">
        <v>9810021580</v>
      </c>
      <c r="M267" s="16" t="str">
        <f t="shared" si="110"/>
        <v>9810021580</v>
      </c>
      <c r="N267" s="16" t="str">
        <f t="shared" si="111"/>
        <v>60201139810021580000</v>
      </c>
    </row>
    <row r="268" spans="2:14" s="29" customFormat="1" ht="25.5">
      <c r="B268" s="28"/>
      <c r="C268" s="197" t="s">
        <v>28</v>
      </c>
      <c r="D268" s="198" t="s">
        <v>256</v>
      </c>
      <c r="E268" s="199" t="s">
        <v>11</v>
      </c>
      <c r="F268" s="199" t="s">
        <v>51</v>
      </c>
      <c r="G268" s="199" t="s">
        <v>2251</v>
      </c>
      <c r="H268" s="199" t="s">
        <v>29</v>
      </c>
      <c r="I268" s="20">
        <f>30156.8</f>
        <v>30156.799999999999</v>
      </c>
      <c r="J268" s="20">
        <v>0</v>
      </c>
      <c r="K268" s="20">
        <v>0</v>
      </c>
      <c r="L268" s="29">
        <v>9810021580</v>
      </c>
      <c r="M268" s="16" t="str">
        <f t="shared" si="110"/>
        <v>9810021580</v>
      </c>
      <c r="N268" s="16" t="str">
        <f t="shared" si="111"/>
        <v>60201139810021580240</v>
      </c>
    </row>
    <row r="269" spans="2:14" s="29" customFormat="1">
      <c r="B269" s="28"/>
      <c r="C269" s="191" t="s">
        <v>195</v>
      </c>
      <c r="D269" s="192" t="s">
        <v>256</v>
      </c>
      <c r="E269" s="193" t="s">
        <v>73</v>
      </c>
      <c r="F269" s="193" t="s">
        <v>7</v>
      </c>
      <c r="G269" s="193" t="s">
        <v>8</v>
      </c>
      <c r="H269" s="193" t="s">
        <v>9</v>
      </c>
      <c r="I269" s="18">
        <f>I270</f>
        <v>58237.759999999995</v>
      </c>
      <c r="J269" s="18">
        <f>J270</f>
        <v>15379.13</v>
      </c>
      <c r="K269" s="18">
        <f>K270</f>
        <v>792</v>
      </c>
      <c r="L269" s="29">
        <v>0</v>
      </c>
      <c r="M269" s="16" t="str">
        <f t="shared" si="110"/>
        <v>0000000000</v>
      </c>
      <c r="N269" s="16" t="str">
        <f t="shared" si="111"/>
        <v>60204000000000000000</v>
      </c>
    </row>
    <row r="270" spans="2:14" s="29" customFormat="1">
      <c r="B270" s="28"/>
      <c r="C270" s="194" t="s">
        <v>284</v>
      </c>
      <c r="D270" s="195" t="s">
        <v>256</v>
      </c>
      <c r="E270" s="196" t="s">
        <v>73</v>
      </c>
      <c r="F270" s="196" t="s">
        <v>57</v>
      </c>
      <c r="G270" s="219" t="s">
        <v>8</v>
      </c>
      <c r="H270" s="219" t="s">
        <v>9</v>
      </c>
      <c r="I270" s="19">
        <f>I271+I287+I278</f>
        <v>58237.759999999995</v>
      </c>
      <c r="J270" s="19">
        <f>J271+J287+J278</f>
        <v>15379.13</v>
      </c>
      <c r="K270" s="19">
        <f>K271+K287+K278</f>
        <v>792</v>
      </c>
      <c r="L270" s="29">
        <v>0</v>
      </c>
      <c r="M270" s="16" t="str">
        <f t="shared" si="110"/>
        <v>0000000000</v>
      </c>
      <c r="N270" s="16" t="str">
        <f t="shared" si="111"/>
        <v>60204120000000000000</v>
      </c>
    </row>
    <row r="271" spans="2:14" s="29" customFormat="1" ht="38.25">
      <c r="B271" s="28"/>
      <c r="C271" s="214" t="s">
        <v>285</v>
      </c>
      <c r="D271" s="198" t="s">
        <v>256</v>
      </c>
      <c r="E271" s="199" t="s">
        <v>73</v>
      </c>
      <c r="F271" s="199" t="s">
        <v>57</v>
      </c>
      <c r="G271" s="199" t="s">
        <v>286</v>
      </c>
      <c r="H271" s="199" t="s">
        <v>9</v>
      </c>
      <c r="I271" s="20">
        <f t="shared" ref="I271:K273" si="115">I272</f>
        <v>280</v>
      </c>
      <c r="J271" s="20">
        <f t="shared" si="115"/>
        <v>180</v>
      </c>
      <c r="K271" s="20">
        <f t="shared" si="115"/>
        <v>180</v>
      </c>
      <c r="L271" s="29">
        <v>200000000</v>
      </c>
      <c r="M271" s="16" t="str">
        <f t="shared" si="110"/>
        <v>0200000000</v>
      </c>
      <c r="N271" s="16" t="str">
        <f t="shared" si="111"/>
        <v>60204120200000000000</v>
      </c>
    </row>
    <row r="272" spans="2:14" s="29" customFormat="1" ht="51">
      <c r="B272" s="28"/>
      <c r="C272" s="197" t="s">
        <v>287</v>
      </c>
      <c r="D272" s="198" t="s">
        <v>256</v>
      </c>
      <c r="E272" s="199" t="s">
        <v>73</v>
      </c>
      <c r="F272" s="199" t="s">
        <v>57</v>
      </c>
      <c r="G272" s="199" t="s">
        <v>288</v>
      </c>
      <c r="H272" s="199" t="s">
        <v>9</v>
      </c>
      <c r="I272" s="20">
        <f t="shared" si="115"/>
        <v>280</v>
      </c>
      <c r="J272" s="20">
        <f t="shared" si="115"/>
        <v>180</v>
      </c>
      <c r="K272" s="20">
        <f t="shared" si="115"/>
        <v>180</v>
      </c>
      <c r="L272" s="29" t="s">
        <v>1182</v>
      </c>
      <c r="M272" s="16" t="str">
        <f t="shared" si="110"/>
        <v>02Б0000000</v>
      </c>
      <c r="N272" s="16" t="str">
        <f t="shared" si="111"/>
        <v>602041202Б0000000000</v>
      </c>
    </row>
    <row r="273" spans="2:14" s="29" customFormat="1" ht="51">
      <c r="B273" s="28"/>
      <c r="C273" s="197" t="s">
        <v>289</v>
      </c>
      <c r="D273" s="198" t="s">
        <v>256</v>
      </c>
      <c r="E273" s="199" t="s">
        <v>73</v>
      </c>
      <c r="F273" s="199" t="s">
        <v>57</v>
      </c>
      <c r="G273" s="199" t="s">
        <v>290</v>
      </c>
      <c r="H273" s="199" t="s">
        <v>9</v>
      </c>
      <c r="I273" s="20">
        <f t="shared" si="115"/>
        <v>280</v>
      </c>
      <c r="J273" s="20">
        <f t="shared" si="115"/>
        <v>180</v>
      </c>
      <c r="K273" s="20">
        <f t="shared" si="115"/>
        <v>180</v>
      </c>
      <c r="L273" s="29" t="s">
        <v>1183</v>
      </c>
      <c r="M273" s="16" t="str">
        <f t="shared" si="110"/>
        <v>02Б0100000</v>
      </c>
      <c r="N273" s="16" t="str">
        <f t="shared" si="111"/>
        <v>602041202Б0100000000</v>
      </c>
    </row>
    <row r="274" spans="2:14" s="29" customFormat="1" ht="51">
      <c r="B274" s="28"/>
      <c r="C274" s="197" t="s">
        <v>291</v>
      </c>
      <c r="D274" s="198" t="s">
        <v>256</v>
      </c>
      <c r="E274" s="199" t="s">
        <v>73</v>
      </c>
      <c r="F274" s="199" t="s">
        <v>57</v>
      </c>
      <c r="G274" s="199" t="s">
        <v>292</v>
      </c>
      <c r="H274" s="199" t="s">
        <v>9</v>
      </c>
      <c r="I274" s="20">
        <f>I277</f>
        <v>280</v>
      </c>
      <c r="J274" s="20">
        <f>J277</f>
        <v>180</v>
      </c>
      <c r="K274" s="20">
        <f>K277</f>
        <v>180</v>
      </c>
      <c r="L274" s="29" t="s">
        <v>1184</v>
      </c>
      <c r="M274" s="16" t="str">
        <f t="shared" si="110"/>
        <v>02Б0120160</v>
      </c>
      <c r="N274" s="16" t="str">
        <f t="shared" si="111"/>
        <v>602041202Б0120160000</v>
      </c>
    </row>
    <row r="275" spans="2:14" s="29" customFormat="1">
      <c r="B275" s="28"/>
      <c r="C275" s="220" t="s">
        <v>1104</v>
      </c>
      <c r="D275" s="198"/>
      <c r="E275" s="199"/>
      <c r="F275" s="199"/>
      <c r="G275" s="199"/>
      <c r="H275" s="199"/>
      <c r="I275" s="20"/>
      <c r="J275" s="20"/>
      <c r="K275" s="20"/>
      <c r="M275" s="16" t="str">
        <f t="shared" si="110"/>
        <v>0000000000</v>
      </c>
      <c r="N275" s="16" t="str">
        <f t="shared" si="111"/>
        <v>0000000000</v>
      </c>
    </row>
    <row r="276" spans="2:14" s="225" customFormat="1">
      <c r="B276" s="376"/>
      <c r="C276" s="221" t="s">
        <v>1105</v>
      </c>
      <c r="D276" s="222" t="s">
        <v>256</v>
      </c>
      <c r="E276" s="223" t="s">
        <v>73</v>
      </c>
      <c r="F276" s="223" t="s">
        <v>57</v>
      </c>
      <c r="G276" s="223" t="s">
        <v>292</v>
      </c>
      <c r="H276" s="223" t="s">
        <v>9</v>
      </c>
      <c r="I276" s="224">
        <f>100</f>
        <v>100</v>
      </c>
      <c r="J276" s="224">
        <v>0</v>
      </c>
      <c r="K276" s="224">
        <v>0</v>
      </c>
      <c r="L276" s="225" t="s">
        <v>1184</v>
      </c>
      <c r="M276" s="16" t="str">
        <f t="shared" si="110"/>
        <v>02Б0120160</v>
      </c>
      <c r="N276" s="16" t="str">
        <f t="shared" si="111"/>
        <v>602041202Б0120160000</v>
      </c>
    </row>
    <row r="277" spans="2:14" s="29" customFormat="1" ht="25.5">
      <c r="B277" s="28"/>
      <c r="C277" s="197" t="s">
        <v>28</v>
      </c>
      <c r="D277" s="198" t="s">
        <v>256</v>
      </c>
      <c r="E277" s="199" t="s">
        <v>73</v>
      </c>
      <c r="F277" s="199" t="s">
        <v>57</v>
      </c>
      <c r="G277" s="199" t="s">
        <v>292</v>
      </c>
      <c r="H277" s="199" t="s">
        <v>29</v>
      </c>
      <c r="I277" s="20">
        <f>180+I276</f>
        <v>280</v>
      </c>
      <c r="J277" s="20">
        <f t="shared" ref="J277:K277" si="116">180+J276</f>
        <v>180</v>
      </c>
      <c r="K277" s="20">
        <f t="shared" si="116"/>
        <v>180</v>
      </c>
      <c r="L277" s="29" t="s">
        <v>1184</v>
      </c>
      <c r="M277" s="16" t="str">
        <f t="shared" si="110"/>
        <v>02Б0120160</v>
      </c>
      <c r="N277" s="16" t="str">
        <f t="shared" si="111"/>
        <v>602041202Б0120160240</v>
      </c>
    </row>
    <row r="278" spans="2:14" s="29" customFormat="1" ht="38.25">
      <c r="B278" s="28"/>
      <c r="C278" s="200" t="s">
        <v>293</v>
      </c>
      <c r="D278" s="198" t="s">
        <v>256</v>
      </c>
      <c r="E278" s="199" t="s">
        <v>73</v>
      </c>
      <c r="F278" s="199" t="s">
        <v>57</v>
      </c>
      <c r="G278" s="199" t="s">
        <v>294</v>
      </c>
      <c r="H278" s="199" t="s">
        <v>9</v>
      </c>
      <c r="I278" s="20">
        <f t="shared" ref="I278:K281" si="117">I279</f>
        <v>57305.899999999994</v>
      </c>
      <c r="J278" s="20">
        <f t="shared" si="117"/>
        <v>0</v>
      </c>
      <c r="K278" s="20">
        <f t="shared" si="117"/>
        <v>0</v>
      </c>
      <c r="L278" s="29">
        <v>400000000</v>
      </c>
      <c r="M278" s="16" t="str">
        <f t="shared" si="110"/>
        <v>0400000000</v>
      </c>
      <c r="N278" s="16" t="str">
        <f t="shared" si="111"/>
        <v>60204120400000000000</v>
      </c>
    </row>
    <row r="279" spans="2:14" s="29" customFormat="1" ht="38.25">
      <c r="B279" s="28"/>
      <c r="C279" s="226" t="s">
        <v>295</v>
      </c>
      <c r="D279" s="198" t="s">
        <v>256</v>
      </c>
      <c r="E279" s="199" t="s">
        <v>73</v>
      </c>
      <c r="F279" s="199" t="s">
        <v>57</v>
      </c>
      <c r="G279" s="199" t="s">
        <v>296</v>
      </c>
      <c r="H279" s="199" t="s">
        <v>9</v>
      </c>
      <c r="I279" s="20">
        <f t="shared" si="117"/>
        <v>57305.899999999994</v>
      </c>
      <c r="J279" s="20">
        <f t="shared" si="117"/>
        <v>0</v>
      </c>
      <c r="K279" s="20">
        <f t="shared" si="117"/>
        <v>0</v>
      </c>
      <c r="L279" s="29">
        <v>420000000</v>
      </c>
      <c r="M279" s="16" t="str">
        <f t="shared" si="110"/>
        <v>0420000000</v>
      </c>
      <c r="N279" s="16" t="str">
        <f t="shared" si="111"/>
        <v>60204120420000000000</v>
      </c>
    </row>
    <row r="280" spans="2:14" s="29" customFormat="1" ht="38.25">
      <c r="B280" s="28"/>
      <c r="C280" s="197" t="s">
        <v>297</v>
      </c>
      <c r="D280" s="198" t="s">
        <v>256</v>
      </c>
      <c r="E280" s="199" t="s">
        <v>73</v>
      </c>
      <c r="F280" s="199" t="s">
        <v>57</v>
      </c>
      <c r="G280" s="199" t="s">
        <v>298</v>
      </c>
      <c r="H280" s="199" t="s">
        <v>9</v>
      </c>
      <c r="I280" s="20">
        <f>I281+I285+I283</f>
        <v>57305.899999999994</v>
      </c>
      <c r="J280" s="20">
        <f t="shared" ref="J280:K280" si="118">J281+J285+J283</f>
        <v>0</v>
      </c>
      <c r="K280" s="20">
        <f t="shared" si="118"/>
        <v>0</v>
      </c>
      <c r="L280" s="29">
        <v>420200000</v>
      </c>
      <c r="M280" s="16" t="str">
        <f t="shared" si="110"/>
        <v>0420200000</v>
      </c>
      <c r="N280" s="16" t="str">
        <f t="shared" si="111"/>
        <v>60204120420200000000</v>
      </c>
    </row>
    <row r="281" spans="2:14" s="29" customFormat="1">
      <c r="B281" s="28"/>
      <c r="C281" s="197" t="s">
        <v>299</v>
      </c>
      <c r="D281" s="198" t="s">
        <v>256</v>
      </c>
      <c r="E281" s="199" t="s">
        <v>73</v>
      </c>
      <c r="F281" s="199" t="s">
        <v>57</v>
      </c>
      <c r="G281" s="199" t="s">
        <v>300</v>
      </c>
      <c r="H281" s="199" t="s">
        <v>9</v>
      </c>
      <c r="I281" s="20">
        <f t="shared" si="117"/>
        <v>10521.349999999999</v>
      </c>
      <c r="J281" s="20">
        <f t="shared" si="117"/>
        <v>0</v>
      </c>
      <c r="K281" s="20">
        <f t="shared" si="117"/>
        <v>0</v>
      </c>
      <c r="L281" s="29">
        <v>420221470</v>
      </c>
      <c r="M281" s="16" t="str">
        <f t="shared" si="110"/>
        <v>0420221470</v>
      </c>
      <c r="N281" s="16" t="str">
        <f t="shared" si="111"/>
        <v>60204120420221470000</v>
      </c>
    </row>
    <row r="282" spans="2:14" s="29" customFormat="1" ht="25.5">
      <c r="B282" s="28"/>
      <c r="C282" s="197" t="s">
        <v>28</v>
      </c>
      <c r="D282" s="198" t="s">
        <v>256</v>
      </c>
      <c r="E282" s="199" t="s">
        <v>73</v>
      </c>
      <c r="F282" s="199" t="s">
        <v>57</v>
      </c>
      <c r="G282" s="199" t="s">
        <v>300</v>
      </c>
      <c r="H282" s="199" t="s">
        <v>29</v>
      </c>
      <c r="I282" s="20">
        <f>42477.74-212.39-30156.8-1587.2</f>
        <v>10521.349999999999</v>
      </c>
      <c r="J282" s="20">
        <f>0</f>
        <v>0</v>
      </c>
      <c r="K282" s="20">
        <v>0</v>
      </c>
      <c r="L282" s="29">
        <v>420221470</v>
      </c>
      <c r="M282" s="16" t="str">
        <f t="shared" si="110"/>
        <v>0420221470</v>
      </c>
      <c r="N282" s="16" t="str">
        <f t="shared" si="111"/>
        <v>60204120420221470240</v>
      </c>
    </row>
    <row r="283" spans="2:14" s="29" customFormat="1" ht="25.5">
      <c r="B283" s="28"/>
      <c r="C283" s="197" t="s">
        <v>1885</v>
      </c>
      <c r="D283" s="198" t="s">
        <v>256</v>
      </c>
      <c r="E283" s="199" t="s">
        <v>73</v>
      </c>
      <c r="F283" s="199" t="s">
        <v>57</v>
      </c>
      <c r="G283" s="199" t="s">
        <v>1886</v>
      </c>
      <c r="H283" s="199" t="s">
        <v>9</v>
      </c>
      <c r="I283" s="20">
        <f>I284</f>
        <v>44445.32</v>
      </c>
      <c r="J283" s="20">
        <f t="shared" ref="J283:K283" si="119">J284</f>
        <v>0</v>
      </c>
      <c r="K283" s="20">
        <f t="shared" si="119"/>
        <v>0</v>
      </c>
      <c r="L283" s="29">
        <v>420277480</v>
      </c>
      <c r="M283" s="16" t="str">
        <f t="shared" si="110"/>
        <v>0420277480</v>
      </c>
      <c r="N283" s="16" t="str">
        <f t="shared" si="111"/>
        <v>60204120420277480000</v>
      </c>
    </row>
    <row r="284" spans="2:14" s="29" customFormat="1" ht="25.5">
      <c r="B284" s="28"/>
      <c r="C284" s="197" t="s">
        <v>28</v>
      </c>
      <c r="D284" s="198" t="s">
        <v>256</v>
      </c>
      <c r="E284" s="199" t="s">
        <v>73</v>
      </c>
      <c r="F284" s="199" t="s">
        <v>57</v>
      </c>
      <c r="G284" s="199" t="s">
        <v>1886</v>
      </c>
      <c r="H284" s="199" t="s">
        <v>29</v>
      </c>
      <c r="I284" s="32">
        <f>14288.52+30156.8</f>
        <v>44445.32</v>
      </c>
      <c r="J284" s="20">
        <v>0</v>
      </c>
      <c r="K284" s="20">
        <v>0</v>
      </c>
      <c r="L284" s="29">
        <v>420277480</v>
      </c>
      <c r="M284" s="16" t="str">
        <f t="shared" si="110"/>
        <v>0420277480</v>
      </c>
      <c r="N284" s="16" t="str">
        <f t="shared" si="111"/>
        <v>60204120420277480240</v>
      </c>
    </row>
    <row r="285" spans="2:14" s="29" customFormat="1" ht="25.5">
      <c r="B285" s="28"/>
      <c r="C285" s="197" t="s">
        <v>1271</v>
      </c>
      <c r="D285" s="198" t="s">
        <v>256</v>
      </c>
      <c r="E285" s="199" t="s">
        <v>73</v>
      </c>
      <c r="F285" s="199" t="s">
        <v>57</v>
      </c>
      <c r="G285" s="199" t="s">
        <v>1272</v>
      </c>
      <c r="H285" s="199" t="s">
        <v>9</v>
      </c>
      <c r="I285" s="20">
        <f>I286</f>
        <v>2339.23</v>
      </c>
      <c r="J285" s="20">
        <f t="shared" ref="J285:K285" si="120">J286</f>
        <v>0</v>
      </c>
      <c r="K285" s="20">
        <f t="shared" si="120"/>
        <v>0</v>
      </c>
      <c r="L285" s="29" t="s">
        <v>1854</v>
      </c>
      <c r="M285" s="16" t="str">
        <f t="shared" si="110"/>
        <v>04202S7480</v>
      </c>
      <c r="N285" s="16" t="str">
        <f t="shared" si="111"/>
        <v>602041204202S7480000</v>
      </c>
    </row>
    <row r="286" spans="2:14" s="29" customFormat="1" ht="25.5">
      <c r="B286" s="28"/>
      <c r="C286" s="197" t="s">
        <v>28</v>
      </c>
      <c r="D286" s="198" t="s">
        <v>256</v>
      </c>
      <c r="E286" s="199" t="s">
        <v>73</v>
      </c>
      <c r="F286" s="199" t="s">
        <v>57</v>
      </c>
      <c r="G286" s="199" t="s">
        <v>1272</v>
      </c>
      <c r="H286" s="199" t="s">
        <v>29</v>
      </c>
      <c r="I286" s="20">
        <f>752.03+1587.2</f>
        <v>2339.23</v>
      </c>
      <c r="J286" s="20">
        <v>0</v>
      </c>
      <c r="K286" s="20">
        <v>0</v>
      </c>
      <c r="L286" s="29" t="s">
        <v>1854</v>
      </c>
      <c r="M286" s="16" t="str">
        <f t="shared" si="110"/>
        <v>04202S7480</v>
      </c>
      <c r="N286" s="16" t="str">
        <f t="shared" si="111"/>
        <v>602041204202S7480240</v>
      </c>
    </row>
    <row r="287" spans="2:14" s="29" customFormat="1" ht="38.25">
      <c r="B287" s="28"/>
      <c r="C287" s="205" t="s">
        <v>257</v>
      </c>
      <c r="D287" s="198" t="s">
        <v>256</v>
      </c>
      <c r="E287" s="199" t="s">
        <v>73</v>
      </c>
      <c r="F287" s="199" t="s">
        <v>57</v>
      </c>
      <c r="G287" s="199" t="s">
        <v>258</v>
      </c>
      <c r="H287" s="199" t="s">
        <v>9</v>
      </c>
      <c r="I287" s="20">
        <f t="shared" ref="I287:K288" si="121">I288</f>
        <v>651.86</v>
      </c>
      <c r="J287" s="20">
        <f t="shared" si="121"/>
        <v>15199.13</v>
      </c>
      <c r="K287" s="20">
        <f t="shared" si="121"/>
        <v>612</v>
      </c>
      <c r="L287" s="29">
        <v>1100000000</v>
      </c>
      <c r="M287" s="16" t="str">
        <f t="shared" si="110"/>
        <v>1100000000</v>
      </c>
      <c r="N287" s="16" t="str">
        <f t="shared" si="111"/>
        <v>60204121100000000000</v>
      </c>
    </row>
    <row r="288" spans="2:14" s="29" customFormat="1" ht="54.75" customHeight="1">
      <c r="B288" s="28"/>
      <c r="C288" s="205" t="s">
        <v>259</v>
      </c>
      <c r="D288" s="198" t="s">
        <v>256</v>
      </c>
      <c r="E288" s="199" t="s">
        <v>73</v>
      </c>
      <c r="F288" s="199" t="s">
        <v>57</v>
      </c>
      <c r="G288" s="199" t="s">
        <v>260</v>
      </c>
      <c r="H288" s="199" t="s">
        <v>9</v>
      </c>
      <c r="I288" s="20">
        <f t="shared" si="121"/>
        <v>651.86</v>
      </c>
      <c r="J288" s="20">
        <f t="shared" si="121"/>
        <v>15199.13</v>
      </c>
      <c r="K288" s="20">
        <f t="shared" si="121"/>
        <v>612</v>
      </c>
      <c r="L288" s="29" t="s">
        <v>1171</v>
      </c>
      <c r="M288" s="16" t="str">
        <f t="shared" si="110"/>
        <v>11Б0000000</v>
      </c>
      <c r="N288" s="16" t="str">
        <f t="shared" si="111"/>
        <v>602041211Б0000000000</v>
      </c>
    </row>
    <row r="289" spans="2:14" s="29" customFormat="1" ht="25.5">
      <c r="B289" s="28"/>
      <c r="C289" s="197" t="s">
        <v>301</v>
      </c>
      <c r="D289" s="198" t="s">
        <v>256</v>
      </c>
      <c r="E289" s="199" t="s">
        <v>73</v>
      </c>
      <c r="F289" s="199" t="s">
        <v>57</v>
      </c>
      <c r="G289" s="199" t="s">
        <v>302</v>
      </c>
      <c r="H289" s="199" t="s">
        <v>9</v>
      </c>
      <c r="I289" s="20">
        <f>I290+I294</f>
        <v>651.86</v>
      </c>
      <c r="J289" s="20">
        <f t="shared" ref="J289:K289" si="122">J290+J294</f>
        <v>15199.13</v>
      </c>
      <c r="K289" s="20">
        <f t="shared" si="122"/>
        <v>612</v>
      </c>
      <c r="L289" s="29" t="s">
        <v>1185</v>
      </c>
      <c r="M289" s="16" t="str">
        <f t="shared" si="110"/>
        <v>11Б0200000</v>
      </c>
      <c r="N289" s="16" t="str">
        <f t="shared" si="111"/>
        <v>602041211Б0200000000</v>
      </c>
    </row>
    <row r="290" spans="2:14" s="29" customFormat="1" ht="38.25">
      <c r="B290" s="28"/>
      <c r="C290" s="197" t="s">
        <v>303</v>
      </c>
      <c r="D290" s="198" t="s">
        <v>256</v>
      </c>
      <c r="E290" s="199" t="s">
        <v>73</v>
      </c>
      <c r="F290" s="199" t="s">
        <v>57</v>
      </c>
      <c r="G290" s="199" t="s">
        <v>304</v>
      </c>
      <c r="H290" s="199" t="s">
        <v>9</v>
      </c>
      <c r="I290" s="20">
        <f>I293</f>
        <v>651.86</v>
      </c>
      <c r="J290" s="20">
        <f>J293</f>
        <v>612</v>
      </c>
      <c r="K290" s="20">
        <f>K293</f>
        <v>612</v>
      </c>
      <c r="L290" s="29" t="s">
        <v>1186</v>
      </c>
      <c r="M290" s="16" t="str">
        <f t="shared" si="110"/>
        <v>11Б0220180</v>
      </c>
      <c r="N290" s="16" t="str">
        <f t="shared" si="111"/>
        <v>602041211Б0220180000</v>
      </c>
    </row>
    <row r="291" spans="2:14" s="29" customFormat="1">
      <c r="B291" s="28"/>
      <c r="C291" s="220" t="s">
        <v>1104</v>
      </c>
      <c r="D291" s="198"/>
      <c r="E291" s="199"/>
      <c r="F291" s="199"/>
      <c r="G291" s="199"/>
      <c r="H291" s="199"/>
      <c r="I291" s="20"/>
      <c r="J291" s="20"/>
      <c r="K291" s="20"/>
      <c r="M291" s="16" t="str">
        <f t="shared" si="110"/>
        <v>0000000000</v>
      </c>
      <c r="N291" s="16" t="str">
        <f t="shared" si="111"/>
        <v>0000000000</v>
      </c>
    </row>
    <row r="292" spans="2:14" s="225" customFormat="1">
      <c r="B292" s="376"/>
      <c r="C292" s="221" t="s">
        <v>1105</v>
      </c>
      <c r="D292" s="222" t="s">
        <v>256</v>
      </c>
      <c r="E292" s="223" t="s">
        <v>73</v>
      </c>
      <c r="F292" s="223" t="s">
        <v>57</v>
      </c>
      <c r="G292" s="223" t="s">
        <v>304</v>
      </c>
      <c r="H292" s="223" t="s">
        <v>9</v>
      </c>
      <c r="I292" s="224">
        <f>62-22.14</f>
        <v>39.86</v>
      </c>
      <c r="J292" s="224">
        <v>0</v>
      </c>
      <c r="K292" s="224">
        <v>0</v>
      </c>
      <c r="L292" s="225" t="s">
        <v>1186</v>
      </c>
      <c r="M292" s="16" t="str">
        <f t="shared" si="110"/>
        <v>11Б0220180</v>
      </c>
      <c r="N292" s="16" t="str">
        <f t="shared" si="111"/>
        <v>602041211Б0220180000</v>
      </c>
    </row>
    <row r="293" spans="2:14" s="29" customFormat="1" ht="25.5">
      <c r="B293" s="28"/>
      <c r="C293" s="197" t="s">
        <v>28</v>
      </c>
      <c r="D293" s="198" t="s">
        <v>256</v>
      </c>
      <c r="E293" s="199" t="s">
        <v>73</v>
      </c>
      <c r="F293" s="199" t="s">
        <v>57</v>
      </c>
      <c r="G293" s="199" t="s">
        <v>304</v>
      </c>
      <c r="H293" s="199" t="s">
        <v>29</v>
      </c>
      <c r="I293" s="20">
        <f>612+I292</f>
        <v>651.86</v>
      </c>
      <c r="J293" s="20">
        <f t="shared" ref="J293:K293" si="123">612+J292</f>
        <v>612</v>
      </c>
      <c r="K293" s="20">
        <f t="shared" si="123"/>
        <v>612</v>
      </c>
      <c r="L293" s="29" t="s">
        <v>1186</v>
      </c>
      <c r="M293" s="16" t="str">
        <f t="shared" si="110"/>
        <v>11Б0220180</v>
      </c>
      <c r="N293" s="16" t="str">
        <f t="shared" si="111"/>
        <v>602041211Б0220180240</v>
      </c>
    </row>
    <row r="294" spans="2:14" s="29" customFormat="1" ht="63.75">
      <c r="B294" s="28"/>
      <c r="C294" s="227" t="s">
        <v>1106</v>
      </c>
      <c r="D294" s="198" t="s">
        <v>256</v>
      </c>
      <c r="E294" s="199" t="s">
        <v>73</v>
      </c>
      <c r="F294" s="199" t="s">
        <v>57</v>
      </c>
      <c r="G294" s="199" t="s">
        <v>1107</v>
      </c>
      <c r="H294" s="199" t="s">
        <v>9</v>
      </c>
      <c r="I294" s="20">
        <f>I295</f>
        <v>0</v>
      </c>
      <c r="J294" s="20">
        <f t="shared" ref="J294:K294" si="124">J295</f>
        <v>14587.13</v>
      </c>
      <c r="K294" s="20">
        <f t="shared" si="124"/>
        <v>0</v>
      </c>
      <c r="L294" s="29" t="s">
        <v>1962</v>
      </c>
      <c r="M294" s="16" t="str">
        <f t="shared" si="110"/>
        <v>11Б0221550</v>
      </c>
      <c r="N294" s="16" t="str">
        <f t="shared" si="111"/>
        <v>602041211Б0221550000</v>
      </c>
    </row>
    <row r="295" spans="2:14" s="29" customFormat="1" ht="25.5">
      <c r="B295" s="28"/>
      <c r="C295" s="197" t="s">
        <v>28</v>
      </c>
      <c r="D295" s="198" t="s">
        <v>256</v>
      </c>
      <c r="E295" s="199" t="s">
        <v>73</v>
      </c>
      <c r="F295" s="199" t="s">
        <v>57</v>
      </c>
      <c r="G295" s="199" t="s">
        <v>1107</v>
      </c>
      <c r="H295" s="199" t="s">
        <v>29</v>
      </c>
      <c r="I295" s="20">
        <v>0</v>
      </c>
      <c r="J295" s="20">
        <f>14587.13</f>
        <v>14587.13</v>
      </c>
      <c r="K295" s="20">
        <v>0</v>
      </c>
      <c r="L295" s="29" t="s">
        <v>1962</v>
      </c>
      <c r="M295" s="16" t="str">
        <f t="shared" si="110"/>
        <v>11Б0221550</v>
      </c>
      <c r="N295" s="16" t="str">
        <f t="shared" si="111"/>
        <v>602041211Б0221550240</v>
      </c>
    </row>
    <row r="296" spans="2:14" s="16" customFormat="1" ht="16.5" customHeight="1">
      <c r="B296" s="14"/>
      <c r="C296" s="191" t="s">
        <v>305</v>
      </c>
      <c r="D296" s="192" t="s">
        <v>256</v>
      </c>
      <c r="E296" s="193" t="s">
        <v>86</v>
      </c>
      <c r="F296" s="193" t="s">
        <v>7</v>
      </c>
      <c r="G296" s="193" t="s">
        <v>8</v>
      </c>
      <c r="H296" s="193" t="s">
        <v>9</v>
      </c>
      <c r="I296" s="18">
        <f>I320+I314+I297</f>
        <v>20724.349999999999</v>
      </c>
      <c r="J296" s="18">
        <f>J320+J314+J297</f>
        <v>0</v>
      </c>
      <c r="K296" s="18">
        <f>K320+K314+K297</f>
        <v>0</v>
      </c>
      <c r="L296" s="16">
        <v>0</v>
      </c>
      <c r="M296" s="16" t="str">
        <f t="shared" si="110"/>
        <v>0000000000</v>
      </c>
      <c r="N296" s="16" t="str">
        <f t="shared" si="111"/>
        <v>60205000000000000000</v>
      </c>
    </row>
    <row r="297" spans="2:14" s="16" customFormat="1" ht="17.25" customHeight="1">
      <c r="B297" s="14"/>
      <c r="C297" s="194" t="s">
        <v>765</v>
      </c>
      <c r="D297" s="195" t="s">
        <v>256</v>
      </c>
      <c r="E297" s="196" t="s">
        <v>86</v>
      </c>
      <c r="F297" s="196" t="s">
        <v>11</v>
      </c>
      <c r="G297" s="196" t="s">
        <v>8</v>
      </c>
      <c r="H297" s="196" t="s">
        <v>9</v>
      </c>
      <c r="I297" s="19">
        <f>I299+I304</f>
        <v>11481.089999999998</v>
      </c>
      <c r="J297" s="19">
        <f t="shared" ref="J297:K297" si="125">J299+J304</f>
        <v>0</v>
      </c>
      <c r="K297" s="19">
        <f t="shared" si="125"/>
        <v>0</v>
      </c>
      <c r="L297" s="16">
        <v>0</v>
      </c>
      <c r="M297" s="16" t="str">
        <f t="shared" si="110"/>
        <v>0000000000</v>
      </c>
      <c r="N297" s="16" t="str">
        <f t="shared" si="111"/>
        <v>60205010000000000000</v>
      </c>
    </row>
    <row r="298" spans="2:14" s="16" customFormat="1" ht="17.25" customHeight="1">
      <c r="B298" s="14"/>
      <c r="C298" s="197" t="s">
        <v>276</v>
      </c>
      <c r="D298" s="198" t="s">
        <v>256</v>
      </c>
      <c r="E298" s="199" t="s">
        <v>86</v>
      </c>
      <c r="F298" s="199" t="s">
        <v>11</v>
      </c>
      <c r="G298" s="199" t="s">
        <v>277</v>
      </c>
      <c r="H298" s="199" t="s">
        <v>9</v>
      </c>
      <c r="I298" s="20">
        <f>I299</f>
        <v>2625.49</v>
      </c>
      <c r="J298" s="20">
        <f t="shared" ref="J298:K299" si="126">J299</f>
        <v>0</v>
      </c>
      <c r="K298" s="20">
        <f t="shared" si="126"/>
        <v>0</v>
      </c>
      <c r="L298" s="16">
        <v>7200000000</v>
      </c>
      <c r="M298" s="16" t="str">
        <f t="shared" si="110"/>
        <v>7200000000</v>
      </c>
      <c r="N298" s="16" t="str">
        <f t="shared" si="111"/>
        <v>60205017200000000000</v>
      </c>
    </row>
    <row r="299" spans="2:14" s="16" customFormat="1" ht="17.25" customHeight="1">
      <c r="B299" s="14"/>
      <c r="C299" s="375" t="s">
        <v>52</v>
      </c>
      <c r="D299" s="198" t="s">
        <v>256</v>
      </c>
      <c r="E299" s="199" t="s">
        <v>86</v>
      </c>
      <c r="F299" s="199" t="s">
        <v>11</v>
      </c>
      <c r="G299" s="199" t="s">
        <v>1058</v>
      </c>
      <c r="H299" s="199" t="s">
        <v>9</v>
      </c>
      <c r="I299" s="20">
        <f>I300</f>
        <v>2625.49</v>
      </c>
      <c r="J299" s="20">
        <f t="shared" si="126"/>
        <v>0</v>
      </c>
      <c r="K299" s="20">
        <f t="shared" si="126"/>
        <v>0</v>
      </c>
      <c r="L299" s="16">
        <v>7220000000</v>
      </c>
      <c r="M299" s="16" t="str">
        <f t="shared" si="110"/>
        <v>7220000000</v>
      </c>
      <c r="N299" s="16" t="str">
        <f t="shared" si="111"/>
        <v>60205017220000000000</v>
      </c>
    </row>
    <row r="300" spans="2:14" s="16" customFormat="1" ht="17.25" customHeight="1">
      <c r="B300" s="14"/>
      <c r="C300" s="375" t="s">
        <v>856</v>
      </c>
      <c r="D300" s="198" t="s">
        <v>256</v>
      </c>
      <c r="E300" s="199" t="s">
        <v>86</v>
      </c>
      <c r="F300" s="199" t="s">
        <v>11</v>
      </c>
      <c r="G300" s="199" t="s">
        <v>2252</v>
      </c>
      <c r="H300" s="199" t="s">
        <v>9</v>
      </c>
      <c r="I300" s="20">
        <f>I303</f>
        <v>2625.49</v>
      </c>
      <c r="J300" s="20">
        <f>J303</f>
        <v>0</v>
      </c>
      <c r="K300" s="20">
        <f>K303</f>
        <v>0</v>
      </c>
      <c r="L300" s="16">
        <v>7220020200</v>
      </c>
      <c r="M300" s="16" t="str">
        <f t="shared" si="110"/>
        <v>7220020200</v>
      </c>
      <c r="N300" s="16" t="str">
        <f t="shared" si="111"/>
        <v>60205017220020200000</v>
      </c>
    </row>
    <row r="301" spans="2:14" s="16" customFormat="1" ht="17.25" customHeight="1">
      <c r="B301" s="14"/>
      <c r="C301" s="197" t="s">
        <v>1104</v>
      </c>
      <c r="D301" s="198"/>
      <c r="E301" s="199"/>
      <c r="F301" s="199"/>
      <c r="G301" s="199"/>
      <c r="H301" s="199"/>
      <c r="I301" s="20"/>
      <c r="J301" s="20"/>
      <c r="K301" s="20"/>
      <c r="M301" s="16" t="str">
        <f t="shared" si="110"/>
        <v>0000000000</v>
      </c>
      <c r="N301" s="16" t="str">
        <f t="shared" si="111"/>
        <v>0000000000</v>
      </c>
    </row>
    <row r="302" spans="2:14" s="16" customFormat="1" ht="63.75">
      <c r="B302" s="14"/>
      <c r="C302" s="197" t="s">
        <v>1112</v>
      </c>
      <c r="D302" s="198" t="s">
        <v>256</v>
      </c>
      <c r="E302" s="199" t="s">
        <v>86</v>
      </c>
      <c r="F302" s="199" t="s">
        <v>11</v>
      </c>
      <c r="G302" s="199" t="s">
        <v>2252</v>
      </c>
      <c r="H302" s="199" t="s">
        <v>9</v>
      </c>
      <c r="I302" s="20">
        <v>2625.49</v>
      </c>
      <c r="J302" s="20"/>
      <c r="K302" s="20"/>
      <c r="L302" s="16">
        <v>7220020200</v>
      </c>
      <c r="M302" s="16" t="str">
        <f t="shared" si="110"/>
        <v>7220020200</v>
      </c>
      <c r="N302" s="16" t="str">
        <f t="shared" si="111"/>
        <v>60205017220020200000</v>
      </c>
    </row>
    <row r="303" spans="2:14" s="16" customFormat="1" ht="17.25" customHeight="1">
      <c r="B303" s="14"/>
      <c r="C303" s="231" t="s">
        <v>937</v>
      </c>
      <c r="D303" s="198" t="s">
        <v>256</v>
      </c>
      <c r="E303" s="199" t="s">
        <v>86</v>
      </c>
      <c r="F303" s="199" t="s">
        <v>11</v>
      </c>
      <c r="G303" s="199" t="s">
        <v>2252</v>
      </c>
      <c r="H303" s="199" t="s">
        <v>838</v>
      </c>
      <c r="I303" s="20">
        <f>I302</f>
        <v>2625.49</v>
      </c>
      <c r="J303" s="20">
        <f t="shared" ref="J303:K303" si="127">J302</f>
        <v>0</v>
      </c>
      <c r="K303" s="20">
        <f t="shared" si="127"/>
        <v>0</v>
      </c>
      <c r="L303" s="16">
        <v>7220020200</v>
      </c>
      <c r="M303" s="16" t="str">
        <f t="shared" si="110"/>
        <v>7220020200</v>
      </c>
      <c r="N303" s="16" t="str">
        <f t="shared" si="111"/>
        <v>60205017220020200410</v>
      </c>
    </row>
    <row r="304" spans="2:14" s="16" customFormat="1" ht="17.25" customHeight="1">
      <c r="B304" s="14"/>
      <c r="C304" s="197" t="s">
        <v>87</v>
      </c>
      <c r="D304" s="198" t="s">
        <v>256</v>
      </c>
      <c r="E304" s="199" t="s">
        <v>86</v>
      </c>
      <c r="F304" s="199" t="s">
        <v>11</v>
      </c>
      <c r="G304" s="199" t="s">
        <v>88</v>
      </c>
      <c r="H304" s="199" t="s">
        <v>9</v>
      </c>
      <c r="I304" s="20">
        <f>I305</f>
        <v>8855.5999999999985</v>
      </c>
      <c r="J304" s="20">
        <f t="shared" ref="J304:K304" si="128">J305</f>
        <v>0</v>
      </c>
      <c r="K304" s="20">
        <f t="shared" si="128"/>
        <v>0</v>
      </c>
      <c r="L304" s="16">
        <v>9800000000</v>
      </c>
      <c r="M304" s="16" t="str">
        <f t="shared" si="110"/>
        <v>9800000000</v>
      </c>
      <c r="N304" s="16" t="str">
        <f t="shared" si="111"/>
        <v>60205019800000000000</v>
      </c>
    </row>
    <row r="305" spans="2:14" s="16" customFormat="1" ht="38.25">
      <c r="B305" s="14"/>
      <c r="C305" s="228" t="s">
        <v>1108</v>
      </c>
      <c r="D305" s="223" t="s">
        <v>256</v>
      </c>
      <c r="E305" s="223" t="s">
        <v>86</v>
      </c>
      <c r="F305" s="223" t="s">
        <v>11</v>
      </c>
      <c r="G305" s="223" t="s">
        <v>1109</v>
      </c>
      <c r="H305" s="222" t="s">
        <v>9</v>
      </c>
      <c r="I305" s="229">
        <f>I310+I306</f>
        <v>8855.5999999999985</v>
      </c>
      <c r="J305" s="229">
        <f>J310+J306</f>
        <v>0</v>
      </c>
      <c r="K305" s="229">
        <f>K310+K306</f>
        <v>0</v>
      </c>
      <c r="L305" s="16">
        <v>9820000000</v>
      </c>
      <c r="M305" s="16" t="str">
        <f t="shared" si="110"/>
        <v>9820000000</v>
      </c>
      <c r="N305" s="16" t="str">
        <f t="shared" si="111"/>
        <v>60205019820000000000</v>
      </c>
    </row>
    <row r="306" spans="2:14" s="16" customFormat="1" ht="89.25">
      <c r="B306" s="14" t="s">
        <v>2282</v>
      </c>
      <c r="C306" s="341" t="s">
        <v>1887</v>
      </c>
      <c r="D306" s="322" t="s">
        <v>256</v>
      </c>
      <c r="E306" s="319" t="s">
        <v>86</v>
      </c>
      <c r="F306" s="319" t="s">
        <v>11</v>
      </c>
      <c r="G306" s="319" t="s">
        <v>1888</v>
      </c>
      <c r="H306" s="319" t="s">
        <v>9</v>
      </c>
      <c r="I306" s="320">
        <f>I309</f>
        <v>6641.7</v>
      </c>
      <c r="J306" s="320">
        <f>J309</f>
        <v>0</v>
      </c>
      <c r="K306" s="377">
        <f>ROUND(J306/I306*100,1)</f>
        <v>0</v>
      </c>
      <c r="L306" s="16">
        <v>9820076910</v>
      </c>
      <c r="M306" s="16" t="str">
        <f t="shared" si="110"/>
        <v>9820076910</v>
      </c>
      <c r="N306" s="16" t="str">
        <f t="shared" si="111"/>
        <v>60205019820076910000</v>
      </c>
    </row>
    <row r="307" spans="2:14" s="16" customFormat="1">
      <c r="B307" s="14"/>
      <c r="C307" s="197" t="s">
        <v>1104</v>
      </c>
      <c r="D307" s="198"/>
      <c r="E307" s="199"/>
      <c r="F307" s="199"/>
      <c r="G307" s="199"/>
      <c r="H307" s="199"/>
      <c r="I307" s="20"/>
      <c r="J307" s="20"/>
      <c r="K307" s="378"/>
      <c r="M307" s="16" t="str">
        <f t="shared" si="110"/>
        <v>0000000000</v>
      </c>
      <c r="N307" s="16" t="str">
        <f t="shared" si="111"/>
        <v>0000000000</v>
      </c>
    </row>
    <row r="308" spans="2:14" s="16" customFormat="1" ht="63.75">
      <c r="B308" s="14"/>
      <c r="C308" s="197" t="s">
        <v>1112</v>
      </c>
      <c r="D308" s="198" t="s">
        <v>256</v>
      </c>
      <c r="E308" s="199" t="s">
        <v>86</v>
      </c>
      <c r="F308" s="199" t="s">
        <v>11</v>
      </c>
      <c r="G308" s="199" t="s">
        <v>1888</v>
      </c>
      <c r="H308" s="199" t="s">
        <v>9</v>
      </c>
      <c r="I308" s="20">
        <v>6641.7</v>
      </c>
      <c r="J308" s="20">
        <v>0</v>
      </c>
      <c r="K308" s="378">
        <f>ROUND(J308/I308*100,1)</f>
        <v>0</v>
      </c>
      <c r="L308" s="16">
        <v>9820076910</v>
      </c>
      <c r="M308" s="16" t="str">
        <f t="shared" si="110"/>
        <v>9820076910</v>
      </c>
      <c r="N308" s="16" t="str">
        <f t="shared" si="111"/>
        <v>60205019820076910000</v>
      </c>
    </row>
    <row r="309" spans="2:14" s="16" customFormat="1">
      <c r="B309" s="14"/>
      <c r="C309" s="231" t="s">
        <v>937</v>
      </c>
      <c r="D309" s="232" t="s">
        <v>256</v>
      </c>
      <c r="E309" s="233" t="s">
        <v>86</v>
      </c>
      <c r="F309" s="233" t="s">
        <v>11</v>
      </c>
      <c r="G309" s="234" t="s">
        <v>1888</v>
      </c>
      <c r="H309" s="233" t="s">
        <v>838</v>
      </c>
      <c r="I309" s="235">
        <f>I308</f>
        <v>6641.7</v>
      </c>
      <c r="J309" s="235">
        <f>J308</f>
        <v>0</v>
      </c>
      <c r="K309" s="379">
        <f>ROUND(J309/I309*100,1)</f>
        <v>0</v>
      </c>
      <c r="L309" s="16">
        <v>9820076910</v>
      </c>
      <c r="M309" s="16" t="str">
        <f t="shared" si="110"/>
        <v>9820076910</v>
      </c>
      <c r="N309" s="16" t="str">
        <f t="shared" si="111"/>
        <v>60205019820076910410</v>
      </c>
    </row>
    <row r="310" spans="2:14" s="16" customFormat="1" ht="25.5">
      <c r="B310" s="14"/>
      <c r="C310" s="197" t="s">
        <v>1110</v>
      </c>
      <c r="D310" s="198" t="s">
        <v>256</v>
      </c>
      <c r="E310" s="199" t="s">
        <v>86</v>
      </c>
      <c r="F310" s="199" t="s">
        <v>11</v>
      </c>
      <c r="G310" s="199" t="s">
        <v>1111</v>
      </c>
      <c r="H310" s="199" t="s">
        <v>9</v>
      </c>
      <c r="I310" s="20">
        <f>I313</f>
        <v>2213.8999999999996</v>
      </c>
      <c r="J310" s="20">
        <f t="shared" ref="J310:K310" si="129">J313</f>
        <v>0</v>
      </c>
      <c r="K310" s="20">
        <f t="shared" si="129"/>
        <v>0</v>
      </c>
      <c r="L310" s="16" t="s">
        <v>1187</v>
      </c>
      <c r="M310" s="16" t="str">
        <f t="shared" si="110"/>
        <v>98200S6910</v>
      </c>
      <c r="N310" s="16" t="str">
        <f t="shared" si="111"/>
        <v>602050198200S6910000</v>
      </c>
    </row>
    <row r="311" spans="2:14" s="16" customFormat="1" ht="17.25" customHeight="1">
      <c r="B311" s="14"/>
      <c r="C311" s="197" t="s">
        <v>1104</v>
      </c>
      <c r="D311" s="198"/>
      <c r="E311" s="199"/>
      <c r="F311" s="199"/>
      <c r="G311" s="230"/>
      <c r="H311" s="199"/>
      <c r="I311" s="20"/>
      <c r="J311" s="32"/>
      <c r="K311" s="32"/>
      <c r="M311" s="16" t="str">
        <f t="shared" si="110"/>
        <v>0000000000</v>
      </c>
      <c r="N311" s="16" t="str">
        <f t="shared" si="111"/>
        <v>0000000000</v>
      </c>
    </row>
    <row r="312" spans="2:14" s="16" customFormat="1" ht="63.75">
      <c r="B312" s="14"/>
      <c r="C312" s="197" t="s">
        <v>1112</v>
      </c>
      <c r="D312" s="198" t="s">
        <v>256</v>
      </c>
      <c r="E312" s="199" t="s">
        <v>86</v>
      </c>
      <c r="F312" s="199" t="s">
        <v>11</v>
      </c>
      <c r="G312" s="199" t="s">
        <v>1111</v>
      </c>
      <c r="H312" s="199" t="s">
        <v>9</v>
      </c>
      <c r="I312" s="20">
        <f>5078.45-1363.06-1501.49</f>
        <v>2213.8999999999996</v>
      </c>
      <c r="J312" s="32">
        <v>0</v>
      </c>
      <c r="K312" s="32">
        <v>0</v>
      </c>
      <c r="L312" s="16" t="s">
        <v>1187</v>
      </c>
      <c r="M312" s="16" t="str">
        <f t="shared" si="110"/>
        <v>98200S6910</v>
      </c>
      <c r="N312" s="16" t="str">
        <f t="shared" si="111"/>
        <v>602050198200S6910000</v>
      </c>
    </row>
    <row r="313" spans="2:14" s="16" customFormat="1" ht="17.25" customHeight="1">
      <c r="B313" s="14"/>
      <c r="C313" s="231" t="s">
        <v>937</v>
      </c>
      <c r="D313" s="232" t="s">
        <v>256</v>
      </c>
      <c r="E313" s="233" t="s">
        <v>86</v>
      </c>
      <c r="F313" s="233" t="s">
        <v>11</v>
      </c>
      <c r="G313" s="234" t="s">
        <v>1111</v>
      </c>
      <c r="H313" s="233" t="s">
        <v>838</v>
      </c>
      <c r="I313" s="235">
        <f>I312</f>
        <v>2213.8999999999996</v>
      </c>
      <c r="J313" s="235">
        <f t="shared" ref="J313:K313" si="130">J312</f>
        <v>0</v>
      </c>
      <c r="K313" s="235">
        <f t="shared" si="130"/>
        <v>0</v>
      </c>
      <c r="L313" s="16" t="s">
        <v>1187</v>
      </c>
      <c r="M313" s="16" t="str">
        <f t="shared" si="110"/>
        <v>98200S6910</v>
      </c>
      <c r="N313" s="16" t="str">
        <f t="shared" si="111"/>
        <v>602050198200S6910410</v>
      </c>
    </row>
    <row r="314" spans="2:14" s="16" customFormat="1" ht="16.899999999999999" customHeight="1">
      <c r="B314" s="14"/>
      <c r="C314" s="194" t="s">
        <v>306</v>
      </c>
      <c r="D314" s="195" t="s">
        <v>256</v>
      </c>
      <c r="E314" s="196" t="s">
        <v>86</v>
      </c>
      <c r="F314" s="196" t="s">
        <v>13</v>
      </c>
      <c r="G314" s="196" t="s">
        <v>8</v>
      </c>
      <c r="H314" s="196" t="s">
        <v>9</v>
      </c>
      <c r="I314" s="19">
        <f>I315</f>
        <v>7484.6500000000005</v>
      </c>
      <c r="J314" s="19">
        <f t="shared" ref="J314:K314" si="131">J315</f>
        <v>0</v>
      </c>
      <c r="K314" s="19">
        <f t="shared" si="131"/>
        <v>0</v>
      </c>
      <c r="L314" s="16">
        <v>0</v>
      </c>
      <c r="M314" s="16" t="str">
        <f t="shared" si="110"/>
        <v>0000000000</v>
      </c>
      <c r="N314" s="16" t="str">
        <f t="shared" si="111"/>
        <v>60205030000000000000</v>
      </c>
    </row>
    <row r="315" spans="2:14" s="16" customFormat="1" ht="38.25">
      <c r="B315" s="14"/>
      <c r="C315" s="197" t="s">
        <v>293</v>
      </c>
      <c r="D315" s="199" t="s">
        <v>256</v>
      </c>
      <c r="E315" s="199" t="s">
        <v>86</v>
      </c>
      <c r="F315" s="199" t="s">
        <v>13</v>
      </c>
      <c r="G315" s="199" t="s">
        <v>294</v>
      </c>
      <c r="H315" s="199" t="s">
        <v>9</v>
      </c>
      <c r="I315" s="32">
        <f>I316</f>
        <v>7484.6500000000005</v>
      </c>
      <c r="J315" s="32">
        <f>J316</f>
        <v>0</v>
      </c>
      <c r="K315" s="32">
        <f>K316</f>
        <v>0</v>
      </c>
      <c r="L315" s="16">
        <v>400000000</v>
      </c>
      <c r="M315" s="16" t="str">
        <f t="shared" si="110"/>
        <v>0400000000</v>
      </c>
      <c r="N315" s="16" t="str">
        <f t="shared" si="111"/>
        <v>60205030400000000000</v>
      </c>
    </row>
    <row r="316" spans="2:14" s="16" customFormat="1">
      <c r="B316" s="14"/>
      <c r="C316" s="197" t="s">
        <v>2283</v>
      </c>
      <c r="D316" s="199" t="s">
        <v>256</v>
      </c>
      <c r="E316" s="199" t="s">
        <v>86</v>
      </c>
      <c r="F316" s="199" t="s">
        <v>13</v>
      </c>
      <c r="G316" s="199" t="s">
        <v>308</v>
      </c>
      <c r="H316" s="199" t="s">
        <v>9</v>
      </c>
      <c r="I316" s="32">
        <f t="shared" ref="I316:K318" si="132">I317</f>
        <v>7484.6500000000005</v>
      </c>
      <c r="J316" s="32">
        <f t="shared" si="132"/>
        <v>0</v>
      </c>
      <c r="K316" s="32">
        <f t="shared" si="132"/>
        <v>0</v>
      </c>
      <c r="L316" s="16">
        <v>430000000</v>
      </c>
      <c r="M316" s="16" t="str">
        <f t="shared" si="110"/>
        <v>0430000000</v>
      </c>
      <c r="N316" s="16" t="str">
        <f t="shared" si="111"/>
        <v>60205030430000000000</v>
      </c>
    </row>
    <row r="317" spans="2:14" s="29" customFormat="1" ht="25.5">
      <c r="B317" s="28"/>
      <c r="C317" s="375" t="s">
        <v>309</v>
      </c>
      <c r="D317" s="198" t="s">
        <v>256</v>
      </c>
      <c r="E317" s="199" t="s">
        <v>86</v>
      </c>
      <c r="F317" s="199" t="s">
        <v>13</v>
      </c>
      <c r="G317" s="380" t="s">
        <v>310</v>
      </c>
      <c r="H317" s="199" t="s">
        <v>9</v>
      </c>
      <c r="I317" s="20">
        <f>I318</f>
        <v>7484.6500000000005</v>
      </c>
      <c r="J317" s="20">
        <f t="shared" si="132"/>
        <v>0</v>
      </c>
      <c r="K317" s="20">
        <f t="shared" si="132"/>
        <v>0</v>
      </c>
      <c r="L317" s="29">
        <v>430400000</v>
      </c>
      <c r="M317" s="16" t="str">
        <f t="shared" si="110"/>
        <v>0430400000</v>
      </c>
      <c r="N317" s="16" t="str">
        <f t="shared" si="111"/>
        <v>60205030430400000000</v>
      </c>
    </row>
    <row r="318" spans="2:14" s="29" customFormat="1" ht="25.5">
      <c r="B318" s="28"/>
      <c r="C318" s="197" t="s">
        <v>311</v>
      </c>
      <c r="D318" s="198" t="s">
        <v>256</v>
      </c>
      <c r="E318" s="199" t="s">
        <v>86</v>
      </c>
      <c r="F318" s="199" t="s">
        <v>13</v>
      </c>
      <c r="G318" s="199" t="s">
        <v>312</v>
      </c>
      <c r="H318" s="199" t="s">
        <v>9</v>
      </c>
      <c r="I318" s="20">
        <f t="shared" si="132"/>
        <v>7484.6500000000005</v>
      </c>
      <c r="J318" s="20">
        <f t="shared" si="132"/>
        <v>0</v>
      </c>
      <c r="K318" s="20">
        <f t="shared" si="132"/>
        <v>0</v>
      </c>
      <c r="L318" s="29">
        <v>430421510</v>
      </c>
      <c r="M318" s="16" t="str">
        <f t="shared" si="110"/>
        <v>0430421510</v>
      </c>
      <c r="N318" s="16" t="str">
        <f t="shared" si="111"/>
        <v>60205030430421510000</v>
      </c>
    </row>
    <row r="319" spans="2:14" s="29" customFormat="1" ht="25.5">
      <c r="B319" s="28"/>
      <c r="C319" s="197" t="s">
        <v>28</v>
      </c>
      <c r="D319" s="198" t="s">
        <v>256</v>
      </c>
      <c r="E319" s="199" t="s">
        <v>86</v>
      </c>
      <c r="F319" s="199" t="s">
        <v>13</v>
      </c>
      <c r="G319" s="199" t="s">
        <v>312</v>
      </c>
      <c r="H319" s="199" t="s">
        <v>29</v>
      </c>
      <c r="I319" s="20">
        <f>7522.26-37.61</f>
        <v>7484.6500000000005</v>
      </c>
      <c r="J319" s="20">
        <f>0</f>
        <v>0</v>
      </c>
      <c r="K319" s="20">
        <v>0</v>
      </c>
      <c r="L319" s="29">
        <v>430421510</v>
      </c>
      <c r="M319" s="16" t="str">
        <f t="shared" si="110"/>
        <v>0430421510</v>
      </c>
      <c r="N319" s="16" t="str">
        <f t="shared" si="111"/>
        <v>60205030430421510240</v>
      </c>
    </row>
    <row r="320" spans="2:14" s="16" customFormat="1" ht="16.899999999999999" customHeight="1">
      <c r="B320" s="14"/>
      <c r="C320" s="194" t="s">
        <v>313</v>
      </c>
      <c r="D320" s="195" t="s">
        <v>256</v>
      </c>
      <c r="E320" s="196" t="s">
        <v>86</v>
      </c>
      <c r="F320" s="196" t="s">
        <v>86</v>
      </c>
      <c r="G320" s="196" t="s">
        <v>8</v>
      </c>
      <c r="H320" s="196" t="s">
        <v>9</v>
      </c>
      <c r="I320" s="19">
        <f>I321</f>
        <v>1758.61</v>
      </c>
      <c r="J320" s="19">
        <f t="shared" ref="J320:K323" si="133">J321</f>
        <v>0</v>
      </c>
      <c r="K320" s="19">
        <f t="shared" si="133"/>
        <v>0</v>
      </c>
      <c r="L320" s="16">
        <v>0</v>
      </c>
      <c r="M320" s="16" t="str">
        <f t="shared" si="110"/>
        <v>0000000000</v>
      </c>
      <c r="N320" s="16" t="str">
        <f t="shared" si="111"/>
        <v>60205050000000000000</v>
      </c>
    </row>
    <row r="321" spans="2:14" s="29" customFormat="1" ht="38.25">
      <c r="B321" s="28"/>
      <c r="C321" s="375" t="s">
        <v>87</v>
      </c>
      <c r="D321" s="198" t="s">
        <v>256</v>
      </c>
      <c r="E321" s="199" t="s">
        <v>86</v>
      </c>
      <c r="F321" s="199" t="s">
        <v>86</v>
      </c>
      <c r="G321" s="199" t="s">
        <v>88</v>
      </c>
      <c r="H321" s="199" t="s">
        <v>9</v>
      </c>
      <c r="I321" s="20">
        <f>I322</f>
        <v>1758.61</v>
      </c>
      <c r="J321" s="20">
        <f t="shared" si="133"/>
        <v>0</v>
      </c>
      <c r="K321" s="20">
        <f t="shared" si="133"/>
        <v>0</v>
      </c>
      <c r="L321" s="29">
        <v>9800000000</v>
      </c>
      <c r="M321" s="16" t="str">
        <f t="shared" si="110"/>
        <v>9800000000</v>
      </c>
      <c r="N321" s="16" t="str">
        <f t="shared" si="111"/>
        <v>60205059800000000000</v>
      </c>
    </row>
    <row r="322" spans="2:14" s="29" customFormat="1">
      <c r="B322" s="28"/>
      <c r="C322" s="375" t="s">
        <v>89</v>
      </c>
      <c r="D322" s="198" t="s">
        <v>256</v>
      </c>
      <c r="E322" s="199" t="s">
        <v>86</v>
      </c>
      <c r="F322" s="199" t="s">
        <v>86</v>
      </c>
      <c r="G322" s="199" t="s">
        <v>90</v>
      </c>
      <c r="H322" s="199" t="s">
        <v>9</v>
      </c>
      <c r="I322" s="20">
        <f>I323</f>
        <v>1758.61</v>
      </c>
      <c r="J322" s="20">
        <f t="shared" si="133"/>
        <v>0</v>
      </c>
      <c r="K322" s="20">
        <f t="shared" si="133"/>
        <v>0</v>
      </c>
      <c r="L322" s="29">
        <v>9810000000</v>
      </c>
      <c r="M322" s="16" t="str">
        <f t="shared" si="110"/>
        <v>9810000000</v>
      </c>
      <c r="N322" s="16" t="str">
        <f t="shared" si="111"/>
        <v>60205059810000000000</v>
      </c>
    </row>
    <row r="323" spans="2:14" s="29" customFormat="1" ht="38.25">
      <c r="B323" s="28"/>
      <c r="C323" s="197" t="s">
        <v>314</v>
      </c>
      <c r="D323" s="198" t="s">
        <v>256</v>
      </c>
      <c r="E323" s="199" t="s">
        <v>86</v>
      </c>
      <c r="F323" s="199" t="s">
        <v>86</v>
      </c>
      <c r="G323" s="199" t="s">
        <v>315</v>
      </c>
      <c r="H323" s="199" t="s">
        <v>9</v>
      </c>
      <c r="I323" s="20">
        <f>I324</f>
        <v>1758.61</v>
      </c>
      <c r="J323" s="20">
        <f t="shared" si="133"/>
        <v>0</v>
      </c>
      <c r="K323" s="20">
        <f t="shared" si="133"/>
        <v>0</v>
      </c>
      <c r="L323" s="29">
        <v>9810020950</v>
      </c>
      <c r="M323" s="16" t="str">
        <f t="shared" si="110"/>
        <v>9810020950</v>
      </c>
      <c r="N323" s="16" t="str">
        <f t="shared" si="111"/>
        <v>60205059810020950000</v>
      </c>
    </row>
    <row r="324" spans="2:14" s="29" customFormat="1" ht="25.5">
      <c r="B324" s="28"/>
      <c r="C324" s="197" t="s">
        <v>28</v>
      </c>
      <c r="D324" s="198" t="s">
        <v>256</v>
      </c>
      <c r="E324" s="199" t="s">
        <v>86</v>
      </c>
      <c r="F324" s="199" t="s">
        <v>86</v>
      </c>
      <c r="G324" s="199" t="s">
        <v>315</v>
      </c>
      <c r="H324" s="199" t="s">
        <v>29</v>
      </c>
      <c r="I324" s="20">
        <f>1758.61</f>
        <v>1758.61</v>
      </c>
      <c r="J324" s="20">
        <v>0</v>
      </c>
      <c r="K324" s="20">
        <v>0</v>
      </c>
      <c r="L324" s="29">
        <v>9810020950</v>
      </c>
      <c r="M324" s="16" t="str">
        <f t="shared" si="110"/>
        <v>9810020950</v>
      </c>
      <c r="N324" s="16" t="str">
        <f t="shared" si="111"/>
        <v>60205059810020950240</v>
      </c>
    </row>
    <row r="325" spans="2:14" s="29" customFormat="1">
      <c r="B325" s="28"/>
      <c r="C325" s="191" t="s">
        <v>316</v>
      </c>
      <c r="D325" s="192" t="s">
        <v>256</v>
      </c>
      <c r="E325" s="193" t="s">
        <v>317</v>
      </c>
      <c r="F325" s="193" t="s">
        <v>7</v>
      </c>
      <c r="G325" s="193" t="s">
        <v>8</v>
      </c>
      <c r="H325" s="193" t="s">
        <v>9</v>
      </c>
      <c r="I325" s="18">
        <f>I326</f>
        <v>44688.659999999996</v>
      </c>
      <c r="J325" s="18">
        <f t="shared" ref="J325:K326" si="134">J326</f>
        <v>2604.63</v>
      </c>
      <c r="K325" s="18">
        <f t="shared" si="134"/>
        <v>7404.63</v>
      </c>
      <c r="L325" s="29">
        <v>0</v>
      </c>
      <c r="M325" s="16" t="str">
        <f t="shared" si="110"/>
        <v>0000000000</v>
      </c>
      <c r="N325" s="16" t="str">
        <f t="shared" si="111"/>
        <v>60210000000000000000</v>
      </c>
    </row>
    <row r="326" spans="2:14" s="29" customFormat="1">
      <c r="B326" s="28"/>
      <c r="C326" s="194" t="s">
        <v>318</v>
      </c>
      <c r="D326" s="195" t="s">
        <v>256</v>
      </c>
      <c r="E326" s="196">
        <v>10</v>
      </c>
      <c r="F326" s="196" t="s">
        <v>13</v>
      </c>
      <c r="G326" s="196" t="s">
        <v>8</v>
      </c>
      <c r="H326" s="196" t="s">
        <v>9</v>
      </c>
      <c r="I326" s="19">
        <f>I327</f>
        <v>44688.659999999996</v>
      </c>
      <c r="J326" s="19">
        <f t="shared" si="134"/>
        <v>2604.63</v>
      </c>
      <c r="K326" s="19">
        <f t="shared" si="134"/>
        <v>7404.63</v>
      </c>
      <c r="L326" s="29">
        <v>0</v>
      </c>
      <c r="M326" s="16" t="str">
        <f t="shared" ref="M326:M389" si="135">TEXT(L326,"0000000000")</f>
        <v>0000000000</v>
      </c>
      <c r="N326" s="16" t="str">
        <f t="shared" ref="N326:N389" si="136">D326&amp;E326&amp;F326&amp;M326&amp;H326</f>
        <v>60210030000000000000</v>
      </c>
    </row>
    <row r="327" spans="2:14" s="29" customFormat="1" ht="25.5">
      <c r="B327" s="28"/>
      <c r="C327" s="197" t="s">
        <v>319</v>
      </c>
      <c r="D327" s="204" t="s">
        <v>256</v>
      </c>
      <c r="E327" s="204" t="s">
        <v>317</v>
      </c>
      <c r="F327" s="204" t="s">
        <v>13</v>
      </c>
      <c r="G327" s="204" t="s">
        <v>320</v>
      </c>
      <c r="H327" s="204" t="s">
        <v>9</v>
      </c>
      <c r="I327" s="26">
        <f t="shared" ref="I327:K328" si="137">I328</f>
        <v>44688.659999999996</v>
      </c>
      <c r="J327" s="26">
        <f t="shared" si="137"/>
        <v>2604.63</v>
      </c>
      <c r="K327" s="26">
        <f t="shared" si="137"/>
        <v>7404.63</v>
      </c>
      <c r="L327" s="29">
        <v>600000000</v>
      </c>
      <c r="M327" s="16" t="str">
        <f t="shared" si="135"/>
        <v>0600000000</v>
      </c>
      <c r="N327" s="16" t="str">
        <f t="shared" si="136"/>
        <v>60210030600000000000</v>
      </c>
    </row>
    <row r="328" spans="2:14" s="29" customFormat="1" ht="25.5">
      <c r="B328" s="28"/>
      <c r="C328" s="201" t="s">
        <v>321</v>
      </c>
      <c r="D328" s="204" t="s">
        <v>256</v>
      </c>
      <c r="E328" s="204" t="s">
        <v>317</v>
      </c>
      <c r="F328" s="204" t="s">
        <v>13</v>
      </c>
      <c r="G328" s="204" t="s">
        <v>322</v>
      </c>
      <c r="H328" s="204" t="s">
        <v>9</v>
      </c>
      <c r="I328" s="26">
        <f>I329</f>
        <v>44688.659999999996</v>
      </c>
      <c r="J328" s="26">
        <f t="shared" si="137"/>
        <v>2604.63</v>
      </c>
      <c r="K328" s="26">
        <f t="shared" si="137"/>
        <v>7404.63</v>
      </c>
      <c r="L328" s="29" t="s">
        <v>1188</v>
      </c>
      <c r="M328" s="16" t="str">
        <f t="shared" si="135"/>
        <v>06Б0000000</v>
      </c>
      <c r="N328" s="16" t="str">
        <f t="shared" si="136"/>
        <v>602100306Б0000000000</v>
      </c>
    </row>
    <row r="329" spans="2:14" s="29" customFormat="1" ht="25.5">
      <c r="B329" s="28"/>
      <c r="C329" s="201" t="s">
        <v>323</v>
      </c>
      <c r="D329" s="204" t="s">
        <v>256</v>
      </c>
      <c r="E329" s="204" t="s">
        <v>317</v>
      </c>
      <c r="F329" s="204" t="s">
        <v>13</v>
      </c>
      <c r="G329" s="204" t="s">
        <v>324</v>
      </c>
      <c r="H329" s="204" t="s">
        <v>9</v>
      </c>
      <c r="I329" s="26">
        <f>I345+I338+I332+I343+I336+I330+I349</f>
        <v>44688.659999999996</v>
      </c>
      <c r="J329" s="26">
        <f>J345+J338+J332+J343+J336+J330+J349</f>
        <v>2604.63</v>
      </c>
      <c r="K329" s="26">
        <f>K345+K338+K332+K343+K336+K330+K349</f>
        <v>7404.63</v>
      </c>
      <c r="L329" s="29" t="s">
        <v>1189</v>
      </c>
      <c r="M329" s="16" t="str">
        <f t="shared" si="135"/>
        <v>06Б0100000</v>
      </c>
      <c r="N329" s="16" t="str">
        <f t="shared" si="136"/>
        <v>602100306Б0100000000</v>
      </c>
    </row>
    <row r="330" spans="2:14" s="29" customFormat="1" ht="63.75">
      <c r="B330" s="28"/>
      <c r="C330" s="201" t="s">
        <v>2284</v>
      </c>
      <c r="D330" s="199" t="s">
        <v>256</v>
      </c>
      <c r="E330" s="199" t="s">
        <v>317</v>
      </c>
      <c r="F330" s="199" t="s">
        <v>13</v>
      </c>
      <c r="G330" s="199" t="s">
        <v>2253</v>
      </c>
      <c r="H330" s="199" t="s">
        <v>9</v>
      </c>
      <c r="I330" s="26">
        <f>I331</f>
        <v>17994.84</v>
      </c>
      <c r="J330" s="26">
        <f t="shared" ref="J330:K330" si="138">J331</f>
        <v>0</v>
      </c>
      <c r="K330" s="26">
        <f t="shared" si="138"/>
        <v>0</v>
      </c>
      <c r="L330" s="29" t="s">
        <v>1967</v>
      </c>
      <c r="M330" s="16" t="str">
        <f t="shared" si="135"/>
        <v>06Б0174970</v>
      </c>
      <c r="N330" s="16" t="str">
        <f t="shared" si="136"/>
        <v>602100306Б0174970000</v>
      </c>
    </row>
    <row r="331" spans="2:14" s="29" customFormat="1" ht="25.5">
      <c r="B331" s="28"/>
      <c r="C331" s="205" t="s">
        <v>327</v>
      </c>
      <c r="D331" s="199" t="s">
        <v>256</v>
      </c>
      <c r="E331" s="199" t="s">
        <v>317</v>
      </c>
      <c r="F331" s="199" t="s">
        <v>13</v>
      </c>
      <c r="G331" s="199" t="s">
        <v>2253</v>
      </c>
      <c r="H331" s="199" t="s">
        <v>328</v>
      </c>
      <c r="I331" s="26">
        <f>17994.84</f>
        <v>17994.84</v>
      </c>
      <c r="J331" s="26">
        <v>0</v>
      </c>
      <c r="K331" s="26">
        <v>0</v>
      </c>
      <c r="L331" s="29" t="s">
        <v>1967</v>
      </c>
      <c r="M331" s="16" t="str">
        <f t="shared" si="135"/>
        <v>06Б0174970</v>
      </c>
      <c r="N331" s="16" t="str">
        <f t="shared" si="136"/>
        <v>602100306Б0174970320</v>
      </c>
    </row>
    <row r="332" spans="2:14" s="29" customFormat="1" ht="102">
      <c r="B332" s="28" t="s">
        <v>2282</v>
      </c>
      <c r="C332" s="201" t="s">
        <v>2285</v>
      </c>
      <c r="D332" s="204" t="s">
        <v>256</v>
      </c>
      <c r="E332" s="204" t="s">
        <v>317</v>
      </c>
      <c r="F332" s="204" t="s">
        <v>13</v>
      </c>
      <c r="G332" s="204" t="s">
        <v>1088</v>
      </c>
      <c r="H332" s="204" t="s">
        <v>9</v>
      </c>
      <c r="I332" s="26">
        <f>I335</f>
        <v>957.24</v>
      </c>
      <c r="J332" s="26">
        <f t="shared" ref="J332:K332" si="139">J335</f>
        <v>0</v>
      </c>
      <c r="K332" s="26">
        <f t="shared" si="139"/>
        <v>0</v>
      </c>
      <c r="L332" s="29" t="s">
        <v>1190</v>
      </c>
      <c r="M332" s="16" t="str">
        <f t="shared" si="135"/>
        <v>06Б0177360</v>
      </c>
      <c r="N332" s="16" t="str">
        <f t="shared" si="136"/>
        <v>602100306Б0177360000</v>
      </c>
    </row>
    <row r="333" spans="2:14" s="29" customFormat="1">
      <c r="B333" s="28"/>
      <c r="C333" s="220" t="s">
        <v>1104</v>
      </c>
      <c r="D333" s="204"/>
      <c r="E333" s="204"/>
      <c r="F333" s="204"/>
      <c r="G333" s="204"/>
      <c r="H333" s="204"/>
      <c r="I333" s="26"/>
      <c r="J333" s="26"/>
      <c r="K333" s="26"/>
      <c r="M333" s="16" t="str">
        <f t="shared" si="135"/>
        <v>0000000000</v>
      </c>
      <c r="N333" s="16" t="str">
        <f t="shared" si="136"/>
        <v>0000000000</v>
      </c>
    </row>
    <row r="334" spans="2:14" s="29" customFormat="1">
      <c r="B334" s="28"/>
      <c r="C334" s="318" t="s">
        <v>1105</v>
      </c>
      <c r="D334" s="319" t="s">
        <v>256</v>
      </c>
      <c r="E334" s="319" t="s">
        <v>317</v>
      </c>
      <c r="F334" s="319" t="s">
        <v>13</v>
      </c>
      <c r="G334" s="319" t="s">
        <v>1088</v>
      </c>
      <c r="H334" s="319" t="s">
        <v>9</v>
      </c>
      <c r="I334" s="320">
        <f>957.24</f>
        <v>957.24</v>
      </c>
      <c r="J334" s="320">
        <v>0</v>
      </c>
      <c r="K334" s="320">
        <v>0</v>
      </c>
      <c r="L334" s="29" t="s">
        <v>1190</v>
      </c>
      <c r="M334" s="16" t="str">
        <f t="shared" si="135"/>
        <v>06Б0177360</v>
      </c>
      <c r="N334" s="16" t="str">
        <f t="shared" si="136"/>
        <v>602100306Б0177360000</v>
      </c>
    </row>
    <row r="335" spans="2:14" s="29" customFormat="1" ht="25.5">
      <c r="B335" s="28"/>
      <c r="C335" s="205" t="s">
        <v>327</v>
      </c>
      <c r="D335" s="204" t="s">
        <v>256</v>
      </c>
      <c r="E335" s="204" t="s">
        <v>317</v>
      </c>
      <c r="F335" s="204" t="s">
        <v>13</v>
      </c>
      <c r="G335" s="204" t="s">
        <v>1088</v>
      </c>
      <c r="H335" s="204" t="s">
        <v>328</v>
      </c>
      <c r="I335" s="26">
        <f>I334</f>
        <v>957.24</v>
      </c>
      <c r="J335" s="26">
        <f t="shared" ref="J335:K335" si="140">J334</f>
        <v>0</v>
      </c>
      <c r="K335" s="26">
        <f t="shared" si="140"/>
        <v>0</v>
      </c>
      <c r="L335" s="29" t="s">
        <v>1190</v>
      </c>
      <c r="M335" s="16" t="str">
        <f t="shared" si="135"/>
        <v>06Б0177360</v>
      </c>
      <c r="N335" s="16" t="str">
        <f t="shared" si="136"/>
        <v>602100306Б0177360320</v>
      </c>
    </row>
    <row r="336" spans="2:14" s="29" customFormat="1" ht="147.75" customHeight="1">
      <c r="B336" s="28"/>
      <c r="C336" s="205" t="s">
        <v>2254</v>
      </c>
      <c r="D336" s="199" t="s">
        <v>256</v>
      </c>
      <c r="E336" s="199" t="s">
        <v>317</v>
      </c>
      <c r="F336" s="199" t="s">
        <v>13</v>
      </c>
      <c r="G336" s="199" t="s">
        <v>2255</v>
      </c>
      <c r="H336" s="199" t="s">
        <v>9</v>
      </c>
      <c r="I336" s="26">
        <f>I337</f>
        <v>12216.68</v>
      </c>
      <c r="J336" s="26">
        <f t="shared" ref="J336:K336" si="141">J337</f>
        <v>0</v>
      </c>
      <c r="K336" s="26">
        <f t="shared" si="141"/>
        <v>0</v>
      </c>
      <c r="L336" s="29" t="s">
        <v>1968</v>
      </c>
      <c r="M336" s="16" t="str">
        <f t="shared" si="135"/>
        <v>06Б0177520</v>
      </c>
      <c r="N336" s="16" t="str">
        <f t="shared" si="136"/>
        <v>602100306Б0177520000</v>
      </c>
    </row>
    <row r="337" spans="2:14" s="29" customFormat="1" ht="25.5">
      <c r="B337" s="28"/>
      <c r="C337" s="205" t="s">
        <v>327</v>
      </c>
      <c r="D337" s="199" t="s">
        <v>256</v>
      </c>
      <c r="E337" s="199" t="s">
        <v>317</v>
      </c>
      <c r="F337" s="199" t="s">
        <v>13</v>
      </c>
      <c r="G337" s="199" t="s">
        <v>2255</v>
      </c>
      <c r="H337" s="199" t="s">
        <v>328</v>
      </c>
      <c r="I337" s="26">
        <f>12216.68</f>
        <v>12216.68</v>
      </c>
      <c r="J337" s="26">
        <v>0</v>
      </c>
      <c r="K337" s="26">
        <v>0</v>
      </c>
      <c r="L337" s="29" t="s">
        <v>1968</v>
      </c>
      <c r="M337" s="16" t="str">
        <f t="shared" si="135"/>
        <v>06Б0177520</v>
      </c>
      <c r="N337" s="16" t="str">
        <f t="shared" si="136"/>
        <v>602100306Б0177520320</v>
      </c>
    </row>
    <row r="338" spans="2:14" s="29" customFormat="1" ht="25.5">
      <c r="B338" s="28"/>
      <c r="C338" s="197" t="s">
        <v>325</v>
      </c>
      <c r="D338" s="199" t="s">
        <v>256</v>
      </c>
      <c r="E338" s="199" t="s">
        <v>317</v>
      </c>
      <c r="F338" s="199" t="s">
        <v>13</v>
      </c>
      <c r="G338" s="199" t="s">
        <v>1113</v>
      </c>
      <c r="H338" s="199" t="s">
        <v>9</v>
      </c>
      <c r="I338" s="20">
        <f>I342</f>
        <v>8399.32</v>
      </c>
      <c r="J338" s="20">
        <f>J342</f>
        <v>0</v>
      </c>
      <c r="K338" s="20">
        <f>K342</f>
        <v>0</v>
      </c>
      <c r="L338" s="29" t="s">
        <v>1191</v>
      </c>
      <c r="M338" s="16" t="str">
        <f t="shared" si="135"/>
        <v>06Б01L4970</v>
      </c>
      <c r="N338" s="16" t="str">
        <f t="shared" si="136"/>
        <v>602100306Б01L4970000</v>
      </c>
    </row>
    <row r="339" spans="2:14" s="29" customFormat="1">
      <c r="B339" s="28"/>
      <c r="C339" s="205" t="s">
        <v>1045</v>
      </c>
      <c r="D339" s="199"/>
      <c r="E339" s="199"/>
      <c r="F339" s="199"/>
      <c r="G339" s="199"/>
      <c r="H339" s="199"/>
      <c r="I339" s="20"/>
      <c r="J339" s="20"/>
      <c r="K339" s="20"/>
      <c r="M339" s="16" t="str">
        <f t="shared" si="135"/>
        <v>0000000000</v>
      </c>
      <c r="N339" s="16" t="str">
        <f t="shared" si="136"/>
        <v>0000000000</v>
      </c>
    </row>
    <row r="340" spans="2:14" s="29" customFormat="1">
      <c r="B340" s="28"/>
      <c r="C340" s="197" t="s">
        <v>1050</v>
      </c>
      <c r="D340" s="199" t="s">
        <v>256</v>
      </c>
      <c r="E340" s="199" t="s">
        <v>317</v>
      </c>
      <c r="F340" s="199" t="s">
        <v>13</v>
      </c>
      <c r="G340" s="199" t="s">
        <v>1113</v>
      </c>
      <c r="H340" s="199" t="s">
        <v>9</v>
      </c>
      <c r="I340" s="20">
        <f>419.96</f>
        <v>419.96</v>
      </c>
      <c r="J340" s="20">
        <v>0</v>
      </c>
      <c r="K340" s="20">
        <v>0</v>
      </c>
      <c r="L340" s="29" t="s">
        <v>1191</v>
      </c>
      <c r="M340" s="16" t="str">
        <f t="shared" si="135"/>
        <v>06Б01L4970</v>
      </c>
      <c r="N340" s="16" t="str">
        <f t="shared" si="136"/>
        <v>602100306Б01L4970000</v>
      </c>
    </row>
    <row r="341" spans="2:14" s="29" customFormat="1">
      <c r="B341" s="28" t="s">
        <v>2282</v>
      </c>
      <c r="C341" s="197" t="s">
        <v>1051</v>
      </c>
      <c r="D341" s="199" t="s">
        <v>256</v>
      </c>
      <c r="E341" s="199" t="s">
        <v>317</v>
      </c>
      <c r="F341" s="199" t="s">
        <v>13</v>
      </c>
      <c r="G341" s="199" t="s">
        <v>1113</v>
      </c>
      <c r="H341" s="199" t="s">
        <v>9</v>
      </c>
      <c r="I341" s="20">
        <f>7043.85+935.51</f>
        <v>7979.3600000000006</v>
      </c>
      <c r="J341" s="20">
        <v>0</v>
      </c>
      <c r="K341" s="20">
        <v>0</v>
      </c>
      <c r="L341" s="29" t="s">
        <v>1191</v>
      </c>
      <c r="M341" s="16" t="str">
        <f t="shared" si="135"/>
        <v>06Б01L4970</v>
      </c>
      <c r="N341" s="16" t="str">
        <f t="shared" si="136"/>
        <v>602100306Б01L4970000</v>
      </c>
    </row>
    <row r="342" spans="2:14" s="29" customFormat="1" ht="25.5">
      <c r="B342" s="28"/>
      <c r="C342" s="205" t="s">
        <v>327</v>
      </c>
      <c r="D342" s="199" t="s">
        <v>256</v>
      </c>
      <c r="E342" s="199" t="s">
        <v>317</v>
      </c>
      <c r="F342" s="199" t="s">
        <v>13</v>
      </c>
      <c r="G342" s="199" t="s">
        <v>1113</v>
      </c>
      <c r="H342" s="199" t="s">
        <v>328</v>
      </c>
      <c r="I342" s="20">
        <f>I341+I340</f>
        <v>8399.32</v>
      </c>
      <c r="J342" s="20">
        <f t="shared" ref="J342:K342" si="142">J341+J340</f>
        <v>0</v>
      </c>
      <c r="K342" s="20">
        <f t="shared" si="142"/>
        <v>0</v>
      </c>
      <c r="L342" s="29" t="s">
        <v>1191</v>
      </c>
      <c r="M342" s="16" t="str">
        <f t="shared" si="135"/>
        <v>06Б01L4970</v>
      </c>
      <c r="N342" s="16" t="str">
        <f t="shared" si="136"/>
        <v>602100306Б01L4970320</v>
      </c>
    </row>
    <row r="343" spans="2:14" s="29" customFormat="1" ht="76.5">
      <c r="B343" s="28"/>
      <c r="C343" s="205" t="s">
        <v>2286</v>
      </c>
      <c r="D343" s="199" t="s">
        <v>256</v>
      </c>
      <c r="E343" s="199" t="s">
        <v>317</v>
      </c>
      <c r="F343" s="199" t="s">
        <v>13</v>
      </c>
      <c r="G343" s="199" t="s">
        <v>1274</v>
      </c>
      <c r="H343" s="199" t="s">
        <v>9</v>
      </c>
      <c r="I343" s="20">
        <f>I344</f>
        <v>4405.5499999999993</v>
      </c>
      <c r="J343" s="20">
        <f t="shared" ref="J343:K343" si="143">J344</f>
        <v>2604.63</v>
      </c>
      <c r="K343" s="20">
        <f t="shared" si="143"/>
        <v>7404.63</v>
      </c>
      <c r="L343" s="29" t="s">
        <v>1855</v>
      </c>
      <c r="M343" s="16" t="str">
        <f t="shared" si="135"/>
        <v>06Б01S4970</v>
      </c>
      <c r="N343" s="16" t="str">
        <f t="shared" si="136"/>
        <v>602100306Б01S4970000</v>
      </c>
    </row>
    <row r="344" spans="2:14" s="29" customFormat="1" ht="25.5">
      <c r="B344" s="28"/>
      <c r="C344" s="205" t="s">
        <v>327</v>
      </c>
      <c r="D344" s="199" t="s">
        <v>256</v>
      </c>
      <c r="E344" s="199" t="s">
        <v>317</v>
      </c>
      <c r="F344" s="199" t="s">
        <v>13</v>
      </c>
      <c r="G344" s="199" t="s">
        <v>1274</v>
      </c>
      <c r="H344" s="199" t="s">
        <v>328</v>
      </c>
      <c r="I344" s="26">
        <f>2604.63+3395.37-531.51-419.96-642.98</f>
        <v>4405.5499999999993</v>
      </c>
      <c r="J344" s="26">
        <f>2604.63</f>
        <v>2604.63</v>
      </c>
      <c r="K344" s="26">
        <f>7404.63</f>
        <v>7404.63</v>
      </c>
      <c r="L344" s="29" t="s">
        <v>1855</v>
      </c>
      <c r="M344" s="16" t="str">
        <f t="shared" si="135"/>
        <v>06Б01S4970</v>
      </c>
      <c r="N344" s="16" t="str">
        <f t="shared" si="136"/>
        <v>602100306Б01S4970320</v>
      </c>
    </row>
    <row r="345" spans="2:14" s="29" customFormat="1" ht="114.75">
      <c r="B345" s="28"/>
      <c r="C345" s="197" t="s">
        <v>1114</v>
      </c>
      <c r="D345" s="198" t="s">
        <v>256</v>
      </c>
      <c r="E345" s="199" t="s">
        <v>317</v>
      </c>
      <c r="F345" s="199" t="s">
        <v>13</v>
      </c>
      <c r="G345" s="199" t="s">
        <v>1115</v>
      </c>
      <c r="H345" s="199" t="s">
        <v>9</v>
      </c>
      <c r="I345" s="20">
        <f>I348</f>
        <v>72.05</v>
      </c>
      <c r="J345" s="20">
        <f t="shared" ref="J345:K345" si="144">J348</f>
        <v>0</v>
      </c>
      <c r="K345" s="20">
        <f t="shared" si="144"/>
        <v>0</v>
      </c>
      <c r="L345" s="29" t="s">
        <v>1192</v>
      </c>
      <c r="M345" s="16" t="str">
        <f t="shared" si="135"/>
        <v>06Б01S7360</v>
      </c>
      <c r="N345" s="16" t="str">
        <f t="shared" si="136"/>
        <v>602100306Б01S7360000</v>
      </c>
    </row>
    <row r="346" spans="2:14" s="29" customFormat="1">
      <c r="B346" s="28"/>
      <c r="C346" s="220" t="s">
        <v>1104</v>
      </c>
      <c r="D346" s="198"/>
      <c r="E346" s="199"/>
      <c r="F346" s="199"/>
      <c r="G346" s="199"/>
      <c r="H346" s="199"/>
      <c r="I346" s="20"/>
      <c r="J346" s="26"/>
      <c r="K346" s="26"/>
      <c r="M346" s="16" t="str">
        <f t="shared" si="135"/>
        <v>0000000000</v>
      </c>
      <c r="N346" s="16" t="str">
        <f t="shared" si="136"/>
        <v>0000000000</v>
      </c>
    </row>
    <row r="347" spans="2:14" s="29" customFormat="1">
      <c r="B347" s="28"/>
      <c r="C347" s="221" t="s">
        <v>1105</v>
      </c>
      <c r="D347" s="222" t="s">
        <v>256</v>
      </c>
      <c r="E347" s="223" t="s">
        <v>317</v>
      </c>
      <c r="F347" s="223" t="s">
        <v>13</v>
      </c>
      <c r="G347" s="223" t="s">
        <v>1115</v>
      </c>
      <c r="H347" s="223" t="s">
        <v>9</v>
      </c>
      <c r="I347" s="224">
        <f>72.05</f>
        <v>72.05</v>
      </c>
      <c r="J347" s="224">
        <v>0</v>
      </c>
      <c r="K347" s="224">
        <v>0</v>
      </c>
      <c r="L347" s="29" t="s">
        <v>1192</v>
      </c>
      <c r="M347" s="16" t="str">
        <f t="shared" si="135"/>
        <v>06Б01S7360</v>
      </c>
      <c r="N347" s="16" t="str">
        <f t="shared" si="136"/>
        <v>602100306Б01S7360000</v>
      </c>
    </row>
    <row r="348" spans="2:14" s="29" customFormat="1" ht="25.5">
      <c r="B348" s="28"/>
      <c r="C348" s="197" t="s">
        <v>327</v>
      </c>
      <c r="D348" s="198" t="s">
        <v>256</v>
      </c>
      <c r="E348" s="199" t="s">
        <v>317</v>
      </c>
      <c r="F348" s="199" t="s">
        <v>13</v>
      </c>
      <c r="G348" s="199" t="s">
        <v>1115</v>
      </c>
      <c r="H348" s="199" t="s">
        <v>328</v>
      </c>
      <c r="I348" s="20">
        <f>I347</f>
        <v>72.05</v>
      </c>
      <c r="J348" s="20">
        <f t="shared" ref="J348:K348" si="145">J347</f>
        <v>0</v>
      </c>
      <c r="K348" s="20">
        <f t="shared" si="145"/>
        <v>0</v>
      </c>
      <c r="L348" s="29" t="s">
        <v>1192</v>
      </c>
      <c r="M348" s="16" t="str">
        <f t="shared" si="135"/>
        <v>06Б01S7360</v>
      </c>
      <c r="N348" s="16" t="str">
        <f t="shared" si="136"/>
        <v>602100306Б01S7360320</v>
      </c>
    </row>
    <row r="349" spans="2:14" s="29" customFormat="1" ht="140.25">
      <c r="B349" s="28"/>
      <c r="C349" s="197" t="s">
        <v>2287</v>
      </c>
      <c r="D349" s="199" t="s">
        <v>256</v>
      </c>
      <c r="E349" s="199" t="s">
        <v>317</v>
      </c>
      <c r="F349" s="199" t="s">
        <v>13</v>
      </c>
      <c r="G349" s="199" t="s">
        <v>2256</v>
      </c>
      <c r="H349" s="199" t="s">
        <v>9</v>
      </c>
      <c r="I349" s="20">
        <f>I350</f>
        <v>642.98</v>
      </c>
      <c r="J349" s="20">
        <f t="shared" ref="J349:K349" si="146">J350</f>
        <v>0</v>
      </c>
      <c r="K349" s="20">
        <f t="shared" si="146"/>
        <v>0</v>
      </c>
      <c r="L349" s="29" t="s">
        <v>1969</v>
      </c>
      <c r="M349" s="16" t="str">
        <f t="shared" si="135"/>
        <v>06Б01S7520</v>
      </c>
      <c r="N349" s="16" t="str">
        <f t="shared" si="136"/>
        <v>602100306Б01S7520000</v>
      </c>
    </row>
    <row r="350" spans="2:14" s="29" customFormat="1" ht="25.5">
      <c r="B350" s="28"/>
      <c r="C350" s="205" t="s">
        <v>327</v>
      </c>
      <c r="D350" s="199" t="s">
        <v>256</v>
      </c>
      <c r="E350" s="199" t="s">
        <v>317</v>
      </c>
      <c r="F350" s="199" t="s">
        <v>13</v>
      </c>
      <c r="G350" s="199" t="s">
        <v>2256</v>
      </c>
      <c r="H350" s="199" t="s">
        <v>328</v>
      </c>
      <c r="I350" s="20">
        <f>642.98</f>
        <v>642.98</v>
      </c>
      <c r="J350" s="20">
        <v>0</v>
      </c>
      <c r="K350" s="20">
        <v>0</v>
      </c>
      <c r="L350" s="29" t="s">
        <v>1969</v>
      </c>
      <c r="M350" s="16" t="str">
        <f t="shared" si="135"/>
        <v>06Б01S7520</v>
      </c>
      <c r="N350" s="16" t="str">
        <f t="shared" si="136"/>
        <v>602100306Б01S7520320</v>
      </c>
    </row>
    <row r="351" spans="2:14" s="29" customFormat="1">
      <c r="B351" s="28"/>
      <c r="C351" s="197"/>
      <c r="D351" s="198"/>
      <c r="E351" s="199"/>
      <c r="F351" s="199"/>
      <c r="G351" s="199"/>
      <c r="H351" s="199"/>
      <c r="I351" s="20"/>
      <c r="J351" s="20"/>
      <c r="K351" s="20"/>
      <c r="M351" s="16" t="str">
        <f t="shared" si="135"/>
        <v>0000000000</v>
      </c>
      <c r="N351" s="16" t="str">
        <f t="shared" si="136"/>
        <v>0000000000</v>
      </c>
    </row>
    <row r="352" spans="2:14" s="29" customFormat="1">
      <c r="B352" s="28"/>
      <c r="C352" s="202" t="s">
        <v>331</v>
      </c>
      <c r="D352" s="189" t="s">
        <v>332</v>
      </c>
      <c r="E352" s="190" t="s">
        <v>7</v>
      </c>
      <c r="F352" s="190" t="s">
        <v>7</v>
      </c>
      <c r="G352" s="190" t="s">
        <v>8</v>
      </c>
      <c r="H352" s="190" t="s">
        <v>9</v>
      </c>
      <c r="I352" s="25">
        <f>I353+I386</f>
        <v>230849.66</v>
      </c>
      <c r="J352" s="25">
        <f>J353+J386</f>
        <v>345534.21</v>
      </c>
      <c r="K352" s="25">
        <f>K353+K386</f>
        <v>406979.3</v>
      </c>
      <c r="L352" s="29">
        <v>0</v>
      </c>
      <c r="M352" s="16" t="str">
        <f t="shared" si="135"/>
        <v>0000000000</v>
      </c>
      <c r="N352" s="16" t="str">
        <f t="shared" si="136"/>
        <v>60400000000000000000</v>
      </c>
    </row>
    <row r="353" spans="2:14" s="29" customFormat="1">
      <c r="B353" s="28"/>
      <c r="C353" s="191" t="s">
        <v>10</v>
      </c>
      <c r="D353" s="192" t="s">
        <v>332</v>
      </c>
      <c r="E353" s="193" t="s">
        <v>11</v>
      </c>
      <c r="F353" s="193" t="s">
        <v>7</v>
      </c>
      <c r="G353" s="193" t="s">
        <v>8</v>
      </c>
      <c r="H353" s="193" t="s">
        <v>9</v>
      </c>
      <c r="I353" s="18">
        <f>I354+I365+I370</f>
        <v>68190.19</v>
      </c>
      <c r="J353" s="18">
        <f>J354+J365+J370</f>
        <v>122164.21</v>
      </c>
      <c r="K353" s="18">
        <f>K354+K365+K370</f>
        <v>145041.29999999999</v>
      </c>
      <c r="L353" s="29">
        <v>0</v>
      </c>
      <c r="M353" s="16" t="str">
        <f t="shared" si="135"/>
        <v>0000000000</v>
      </c>
      <c r="N353" s="16" t="str">
        <f t="shared" si="136"/>
        <v>60401000000000000000</v>
      </c>
    </row>
    <row r="354" spans="2:14" s="29" customFormat="1" ht="25.5">
      <c r="B354" s="28"/>
      <c r="C354" s="194" t="s">
        <v>333</v>
      </c>
      <c r="D354" s="195" t="s">
        <v>332</v>
      </c>
      <c r="E354" s="196" t="s">
        <v>11</v>
      </c>
      <c r="F354" s="196" t="s">
        <v>334</v>
      </c>
      <c r="G354" s="196" t="s">
        <v>8</v>
      </c>
      <c r="H354" s="196" t="s">
        <v>9</v>
      </c>
      <c r="I354" s="19">
        <f t="shared" ref="I354:K355" si="147">I355</f>
        <v>47516.340000000004</v>
      </c>
      <c r="J354" s="19">
        <f t="shared" si="147"/>
        <v>46038.87</v>
      </c>
      <c r="K354" s="19">
        <f t="shared" si="147"/>
        <v>46038.87</v>
      </c>
      <c r="L354" s="29">
        <v>0</v>
      </c>
      <c r="M354" s="16" t="str">
        <f t="shared" si="135"/>
        <v>0000000000</v>
      </c>
      <c r="N354" s="16" t="str">
        <f t="shared" si="136"/>
        <v>60401060000000000000</v>
      </c>
    </row>
    <row r="355" spans="2:14" s="29" customFormat="1" ht="25.5">
      <c r="B355" s="28"/>
      <c r="C355" s="239" t="s">
        <v>335</v>
      </c>
      <c r="D355" s="198" t="s">
        <v>332</v>
      </c>
      <c r="E355" s="199" t="s">
        <v>11</v>
      </c>
      <c r="F355" s="199" t="s">
        <v>334</v>
      </c>
      <c r="G355" s="199" t="s">
        <v>336</v>
      </c>
      <c r="H355" s="199" t="s">
        <v>9</v>
      </c>
      <c r="I355" s="20">
        <f t="shared" si="147"/>
        <v>47516.340000000004</v>
      </c>
      <c r="J355" s="20">
        <f t="shared" si="147"/>
        <v>46038.87</v>
      </c>
      <c r="K355" s="20">
        <f t="shared" si="147"/>
        <v>46038.87</v>
      </c>
      <c r="L355" s="29">
        <v>7300000000</v>
      </c>
      <c r="M355" s="16" t="str">
        <f t="shared" si="135"/>
        <v>7300000000</v>
      </c>
      <c r="N355" s="16" t="str">
        <f t="shared" si="136"/>
        <v>60401067300000000000</v>
      </c>
    </row>
    <row r="356" spans="2:14" s="29" customFormat="1" ht="25.5">
      <c r="B356" s="28"/>
      <c r="C356" s="239" t="s">
        <v>337</v>
      </c>
      <c r="D356" s="198" t="s">
        <v>332</v>
      </c>
      <c r="E356" s="199" t="s">
        <v>11</v>
      </c>
      <c r="F356" s="199" t="s">
        <v>334</v>
      </c>
      <c r="G356" s="199" t="s">
        <v>338</v>
      </c>
      <c r="H356" s="199" t="s">
        <v>9</v>
      </c>
      <c r="I356" s="20">
        <f>I357+I361+I363</f>
        <v>47516.340000000004</v>
      </c>
      <c r="J356" s="20">
        <f t="shared" ref="J356:K356" si="148">J357+J361+J363</f>
        <v>46038.87</v>
      </c>
      <c r="K356" s="20">
        <f t="shared" si="148"/>
        <v>46038.87</v>
      </c>
      <c r="L356" s="29">
        <v>7310000000</v>
      </c>
      <c r="M356" s="16" t="str">
        <f t="shared" si="135"/>
        <v>7310000000</v>
      </c>
      <c r="N356" s="16" t="str">
        <f t="shared" si="136"/>
        <v>60401067310000000000</v>
      </c>
    </row>
    <row r="357" spans="2:14" s="29" customFormat="1" ht="25.5">
      <c r="B357" s="28"/>
      <c r="C357" s="240" t="s">
        <v>18</v>
      </c>
      <c r="D357" s="198" t="s">
        <v>332</v>
      </c>
      <c r="E357" s="199" t="s">
        <v>11</v>
      </c>
      <c r="F357" s="199" t="s">
        <v>334</v>
      </c>
      <c r="G357" s="199" t="s">
        <v>339</v>
      </c>
      <c r="H357" s="199" t="s">
        <v>9</v>
      </c>
      <c r="I357" s="20">
        <f>SUM(I358:I360)</f>
        <v>6243.8</v>
      </c>
      <c r="J357" s="20">
        <f>SUM(J358:J360)</f>
        <v>4743.8</v>
      </c>
      <c r="K357" s="20">
        <f>SUM(K358:K360)</f>
        <v>4743.8</v>
      </c>
      <c r="L357" s="29">
        <v>7310010010</v>
      </c>
      <c r="M357" s="16" t="str">
        <f t="shared" si="135"/>
        <v>7310010010</v>
      </c>
      <c r="N357" s="16" t="str">
        <f t="shared" si="136"/>
        <v>60401067310010010000</v>
      </c>
    </row>
    <row r="358" spans="2:14" s="29" customFormat="1" ht="25.5">
      <c r="B358" s="28"/>
      <c r="C358" s="200" t="s">
        <v>20</v>
      </c>
      <c r="D358" s="198" t="s">
        <v>332</v>
      </c>
      <c r="E358" s="199" t="s">
        <v>11</v>
      </c>
      <c r="F358" s="199" t="s">
        <v>334</v>
      </c>
      <c r="G358" s="199" t="s">
        <v>339</v>
      </c>
      <c r="H358" s="199" t="s">
        <v>21</v>
      </c>
      <c r="I358" s="20">
        <f>1019.56+271.78</f>
        <v>1291.3399999999999</v>
      </c>
      <c r="J358" s="20">
        <f t="shared" ref="J358:K358" si="149">1019.56+271.78</f>
        <v>1291.3399999999999</v>
      </c>
      <c r="K358" s="20">
        <f t="shared" si="149"/>
        <v>1291.3399999999999</v>
      </c>
      <c r="L358" s="29">
        <v>7310010010</v>
      </c>
      <c r="M358" s="16" t="str">
        <f t="shared" si="135"/>
        <v>7310010010</v>
      </c>
      <c r="N358" s="16" t="str">
        <f t="shared" si="136"/>
        <v>60401067310010010120</v>
      </c>
    </row>
    <row r="359" spans="2:14" s="29" customFormat="1" ht="25.5">
      <c r="B359" s="28"/>
      <c r="C359" s="197" t="s">
        <v>28</v>
      </c>
      <c r="D359" s="198" t="s">
        <v>332</v>
      </c>
      <c r="E359" s="199" t="s">
        <v>11</v>
      </c>
      <c r="F359" s="199" t="s">
        <v>334</v>
      </c>
      <c r="G359" s="199" t="s">
        <v>339</v>
      </c>
      <c r="H359" s="199" t="s">
        <v>29</v>
      </c>
      <c r="I359" s="20">
        <f>3391.99+1500</f>
        <v>4891.99</v>
      </c>
      <c r="J359" s="20">
        <f t="shared" ref="J359:K359" si="150">3391.99</f>
        <v>3391.99</v>
      </c>
      <c r="K359" s="20">
        <f t="shared" si="150"/>
        <v>3391.99</v>
      </c>
      <c r="L359" s="29">
        <v>7310010010</v>
      </c>
      <c r="M359" s="16" t="str">
        <f t="shared" si="135"/>
        <v>7310010010</v>
      </c>
      <c r="N359" s="16" t="str">
        <f t="shared" si="136"/>
        <v>60401067310010010240</v>
      </c>
    </row>
    <row r="360" spans="2:14" s="29" customFormat="1">
      <c r="B360" s="28"/>
      <c r="C360" s="197" t="s">
        <v>32</v>
      </c>
      <c r="D360" s="198" t="s">
        <v>332</v>
      </c>
      <c r="E360" s="199" t="s">
        <v>11</v>
      </c>
      <c r="F360" s="199" t="s">
        <v>334</v>
      </c>
      <c r="G360" s="199" t="s">
        <v>339</v>
      </c>
      <c r="H360" s="199" t="s">
        <v>33</v>
      </c>
      <c r="I360" s="20">
        <f>2+15.08+43.39</f>
        <v>60.47</v>
      </c>
      <c r="J360" s="20">
        <f t="shared" ref="J360:K360" si="151">2+15.08+43.39</f>
        <v>60.47</v>
      </c>
      <c r="K360" s="20">
        <f t="shared" si="151"/>
        <v>60.47</v>
      </c>
      <c r="L360" s="29">
        <v>7310010010</v>
      </c>
      <c r="M360" s="16" t="str">
        <f t="shared" si="135"/>
        <v>7310010010</v>
      </c>
      <c r="N360" s="16" t="str">
        <f t="shared" si="136"/>
        <v>60401067310010010850</v>
      </c>
    </row>
    <row r="361" spans="2:14" s="29" customFormat="1" ht="25.5">
      <c r="B361" s="28"/>
      <c r="C361" s="241" t="s">
        <v>38</v>
      </c>
      <c r="D361" s="198" t="s">
        <v>332</v>
      </c>
      <c r="E361" s="199" t="s">
        <v>11</v>
      </c>
      <c r="F361" s="199" t="s">
        <v>334</v>
      </c>
      <c r="G361" s="199" t="s">
        <v>340</v>
      </c>
      <c r="H361" s="199" t="s">
        <v>9</v>
      </c>
      <c r="I361" s="20">
        <f>I362</f>
        <v>39936.58</v>
      </c>
      <c r="J361" s="20">
        <f>J362</f>
        <v>41295.07</v>
      </c>
      <c r="K361" s="20">
        <f>K362</f>
        <v>41295.07</v>
      </c>
      <c r="L361" s="29">
        <v>7310010020</v>
      </c>
      <c r="M361" s="16" t="str">
        <f t="shared" si="135"/>
        <v>7310010020</v>
      </c>
      <c r="N361" s="16" t="str">
        <f t="shared" si="136"/>
        <v>60401067310010020000</v>
      </c>
    </row>
    <row r="362" spans="2:14" s="29" customFormat="1" ht="25.5">
      <c r="B362" s="28"/>
      <c r="C362" s="200" t="s">
        <v>20</v>
      </c>
      <c r="D362" s="198" t="s">
        <v>332</v>
      </c>
      <c r="E362" s="199" t="s">
        <v>11</v>
      </c>
      <c r="F362" s="199" t="s">
        <v>334</v>
      </c>
      <c r="G362" s="199" t="s">
        <v>340</v>
      </c>
      <c r="H362" s="199" t="s">
        <v>21</v>
      </c>
      <c r="I362" s="20">
        <f>30415.57+9185.5+69.49+194.26+42.38-15.67+45.05</f>
        <v>39936.58</v>
      </c>
      <c r="J362" s="20">
        <f>30415.57+9185.5+1584.04+42.38+67.58</f>
        <v>41295.07</v>
      </c>
      <c r="K362" s="20">
        <f>30415.57+9185.5+1584.04+42.38+67.58</f>
        <v>41295.07</v>
      </c>
      <c r="L362" s="29">
        <v>7310010020</v>
      </c>
      <c r="M362" s="16" t="str">
        <f t="shared" si="135"/>
        <v>7310010020</v>
      </c>
      <c r="N362" s="16" t="str">
        <f t="shared" si="136"/>
        <v>60401067310010020120</v>
      </c>
    </row>
    <row r="363" spans="2:14" s="29" customFormat="1" ht="191.25">
      <c r="B363" s="28" t="s">
        <v>2282</v>
      </c>
      <c r="C363" s="200" t="s">
        <v>2269</v>
      </c>
      <c r="D363" s="198" t="s">
        <v>332</v>
      </c>
      <c r="E363" s="199" t="s">
        <v>11</v>
      </c>
      <c r="F363" s="199" t="s">
        <v>334</v>
      </c>
      <c r="G363" s="199" t="s">
        <v>1275</v>
      </c>
      <c r="H363" s="199" t="s">
        <v>9</v>
      </c>
      <c r="I363" s="20">
        <f>I364</f>
        <v>1335.96</v>
      </c>
      <c r="J363" s="20">
        <f t="shared" ref="J363:K363" si="152">J364</f>
        <v>0</v>
      </c>
      <c r="K363" s="20">
        <f t="shared" si="152"/>
        <v>0</v>
      </c>
      <c r="L363" s="29">
        <v>7310077460</v>
      </c>
      <c r="M363" s="16" t="str">
        <f t="shared" si="135"/>
        <v>7310077460</v>
      </c>
      <c r="N363" s="16" t="str">
        <f t="shared" si="136"/>
        <v>60401067310077460000</v>
      </c>
    </row>
    <row r="364" spans="2:14" s="29" customFormat="1" ht="25.5">
      <c r="B364" s="28"/>
      <c r="C364" s="200" t="s">
        <v>20</v>
      </c>
      <c r="D364" s="198" t="s">
        <v>332</v>
      </c>
      <c r="E364" s="199" t="s">
        <v>11</v>
      </c>
      <c r="F364" s="199" t="s">
        <v>334</v>
      </c>
      <c r="G364" s="199" t="s">
        <v>1275</v>
      </c>
      <c r="H364" s="199" t="s">
        <v>21</v>
      </c>
      <c r="I364" s="20">
        <f>1320.29+15.67</f>
        <v>1335.96</v>
      </c>
      <c r="J364" s="20">
        <v>0</v>
      </c>
      <c r="K364" s="20">
        <v>0</v>
      </c>
      <c r="L364" s="29">
        <v>7310077460</v>
      </c>
      <c r="M364" s="16" t="str">
        <f t="shared" si="135"/>
        <v>7310077460</v>
      </c>
      <c r="N364" s="16" t="str">
        <f t="shared" si="136"/>
        <v>60401067310077460120</v>
      </c>
    </row>
    <row r="365" spans="2:14" s="29" customFormat="1">
      <c r="B365" s="28"/>
      <c r="C365" s="194" t="s">
        <v>341</v>
      </c>
      <c r="D365" s="195" t="s">
        <v>332</v>
      </c>
      <c r="E365" s="196" t="s">
        <v>11</v>
      </c>
      <c r="F365" s="196" t="s">
        <v>342</v>
      </c>
      <c r="G365" s="196" t="s">
        <v>8</v>
      </c>
      <c r="H365" s="196" t="s">
        <v>343</v>
      </c>
      <c r="I365" s="19">
        <f>I366</f>
        <v>12775.54</v>
      </c>
      <c r="J365" s="19">
        <f t="shared" ref="J365:K368" si="153">J366</f>
        <v>12775.54</v>
      </c>
      <c r="K365" s="19">
        <f t="shared" si="153"/>
        <v>12775.54</v>
      </c>
      <c r="L365" s="29">
        <v>0</v>
      </c>
      <c r="M365" s="16" t="str">
        <f t="shared" si="135"/>
        <v>0000000000</v>
      </c>
      <c r="N365" s="16" t="str">
        <f t="shared" si="136"/>
        <v xml:space="preserve">60401110000000000000 </v>
      </c>
    </row>
    <row r="366" spans="2:14" s="29" customFormat="1" ht="38.25">
      <c r="B366" s="28"/>
      <c r="C366" s="197" t="s">
        <v>87</v>
      </c>
      <c r="D366" s="198" t="s">
        <v>332</v>
      </c>
      <c r="E366" s="199" t="s">
        <v>11</v>
      </c>
      <c r="F366" s="199" t="s">
        <v>342</v>
      </c>
      <c r="G366" s="199" t="s">
        <v>88</v>
      </c>
      <c r="H366" s="199" t="s">
        <v>9</v>
      </c>
      <c r="I366" s="20">
        <f>I367</f>
        <v>12775.54</v>
      </c>
      <c r="J366" s="20">
        <f t="shared" si="153"/>
        <v>12775.54</v>
      </c>
      <c r="K366" s="20">
        <f t="shared" si="153"/>
        <v>12775.54</v>
      </c>
      <c r="L366" s="29">
        <v>9800000000</v>
      </c>
      <c r="M366" s="16" t="str">
        <f t="shared" si="135"/>
        <v>9800000000</v>
      </c>
      <c r="N366" s="16" t="str">
        <f t="shared" si="136"/>
        <v>60401119800000000000</v>
      </c>
    </row>
    <row r="367" spans="2:14" s="29" customFormat="1">
      <c r="B367" s="28"/>
      <c r="C367" s="197" t="s">
        <v>89</v>
      </c>
      <c r="D367" s="198" t="s">
        <v>332</v>
      </c>
      <c r="E367" s="199" t="s">
        <v>11</v>
      </c>
      <c r="F367" s="199" t="s">
        <v>342</v>
      </c>
      <c r="G367" s="199" t="s">
        <v>90</v>
      </c>
      <c r="H367" s="199" t="s">
        <v>9</v>
      </c>
      <c r="I367" s="20">
        <f>I368</f>
        <v>12775.54</v>
      </c>
      <c r="J367" s="20">
        <f t="shared" si="153"/>
        <v>12775.54</v>
      </c>
      <c r="K367" s="20">
        <f t="shared" si="153"/>
        <v>12775.54</v>
      </c>
      <c r="L367" s="29">
        <v>9810000000</v>
      </c>
      <c r="M367" s="16" t="str">
        <f t="shared" si="135"/>
        <v>9810000000</v>
      </c>
      <c r="N367" s="16" t="str">
        <f t="shared" si="136"/>
        <v>60401119810000000000</v>
      </c>
    </row>
    <row r="368" spans="2:14" s="29" customFormat="1">
      <c r="B368" s="28"/>
      <c r="C368" s="197" t="s">
        <v>344</v>
      </c>
      <c r="D368" s="198" t="s">
        <v>332</v>
      </c>
      <c r="E368" s="199" t="s">
        <v>11</v>
      </c>
      <c r="F368" s="199" t="s">
        <v>342</v>
      </c>
      <c r="G368" s="199" t="s">
        <v>345</v>
      </c>
      <c r="H368" s="199" t="s">
        <v>9</v>
      </c>
      <c r="I368" s="20">
        <f>I369</f>
        <v>12775.54</v>
      </c>
      <c r="J368" s="20">
        <f t="shared" si="153"/>
        <v>12775.54</v>
      </c>
      <c r="K368" s="20">
        <f t="shared" si="153"/>
        <v>12775.54</v>
      </c>
      <c r="L368" s="29">
        <v>9810020020</v>
      </c>
      <c r="M368" s="16" t="str">
        <f t="shared" si="135"/>
        <v>9810020020</v>
      </c>
      <c r="N368" s="16" t="str">
        <f t="shared" si="136"/>
        <v>60401119810020020000</v>
      </c>
    </row>
    <row r="369" spans="2:14" s="29" customFormat="1">
      <c r="B369" s="28"/>
      <c r="C369" s="197" t="s">
        <v>346</v>
      </c>
      <c r="D369" s="198" t="s">
        <v>332</v>
      </c>
      <c r="E369" s="199" t="s">
        <v>11</v>
      </c>
      <c r="F369" s="199" t="s">
        <v>342</v>
      </c>
      <c r="G369" s="199" t="s">
        <v>345</v>
      </c>
      <c r="H369" s="199" t="s">
        <v>347</v>
      </c>
      <c r="I369" s="20">
        <f>12775.54</f>
        <v>12775.54</v>
      </c>
      <c r="J369" s="20">
        <f>12775.54+4488.3-4488.3</f>
        <v>12775.54</v>
      </c>
      <c r="K369" s="20">
        <f>12775.54+4488.3-4488.3</f>
        <v>12775.54</v>
      </c>
      <c r="L369" s="29">
        <v>9810020020</v>
      </c>
      <c r="M369" s="16" t="str">
        <f t="shared" si="135"/>
        <v>9810020020</v>
      </c>
      <c r="N369" s="16" t="str">
        <f t="shared" si="136"/>
        <v>60401119810020020870</v>
      </c>
    </row>
    <row r="370" spans="2:14" s="29" customFormat="1">
      <c r="B370" s="28"/>
      <c r="C370" s="194" t="s">
        <v>50</v>
      </c>
      <c r="D370" s="195" t="s">
        <v>332</v>
      </c>
      <c r="E370" s="196" t="s">
        <v>11</v>
      </c>
      <c r="F370" s="196" t="s">
        <v>51</v>
      </c>
      <c r="G370" s="196" t="s">
        <v>8</v>
      </c>
      <c r="H370" s="196" t="s">
        <v>9</v>
      </c>
      <c r="I370" s="19">
        <f>I376+I371</f>
        <v>7898.3099999999995</v>
      </c>
      <c r="J370" s="19">
        <f>J376+J371</f>
        <v>63349.8</v>
      </c>
      <c r="K370" s="19">
        <f>K376+K371</f>
        <v>86226.89</v>
      </c>
      <c r="L370" s="29">
        <v>0</v>
      </c>
      <c r="M370" s="16" t="str">
        <f t="shared" si="135"/>
        <v>0000000000</v>
      </c>
      <c r="N370" s="16" t="str">
        <f t="shared" si="136"/>
        <v>60401130000000000000</v>
      </c>
    </row>
    <row r="371" spans="2:14" s="29" customFormat="1" ht="25.5">
      <c r="B371" s="28"/>
      <c r="C371" s="200" t="s">
        <v>348</v>
      </c>
      <c r="D371" s="198" t="s">
        <v>332</v>
      </c>
      <c r="E371" s="199" t="s">
        <v>11</v>
      </c>
      <c r="F371" s="199" t="s">
        <v>51</v>
      </c>
      <c r="G371" s="199" t="s">
        <v>349</v>
      </c>
      <c r="H371" s="199" t="s">
        <v>9</v>
      </c>
      <c r="I371" s="20">
        <f t="shared" ref="I371:K374" si="154">I372</f>
        <v>2195.1</v>
      </c>
      <c r="J371" s="20">
        <f t="shared" si="154"/>
        <v>9744.42</v>
      </c>
      <c r="K371" s="20">
        <f t="shared" si="154"/>
        <v>9744.42</v>
      </c>
      <c r="L371" s="29">
        <v>1000000000</v>
      </c>
      <c r="M371" s="16" t="str">
        <f t="shared" si="135"/>
        <v>1000000000</v>
      </c>
      <c r="N371" s="16" t="str">
        <f t="shared" si="136"/>
        <v>60401131000000000000</v>
      </c>
    </row>
    <row r="372" spans="2:14" s="29" customFormat="1" ht="38.25">
      <c r="B372" s="28"/>
      <c r="C372" s="200" t="s">
        <v>350</v>
      </c>
      <c r="D372" s="198" t="s">
        <v>332</v>
      </c>
      <c r="E372" s="199" t="s">
        <v>11</v>
      </c>
      <c r="F372" s="199" t="s">
        <v>51</v>
      </c>
      <c r="G372" s="199" t="s">
        <v>351</v>
      </c>
      <c r="H372" s="199" t="s">
        <v>9</v>
      </c>
      <c r="I372" s="20">
        <f t="shared" si="154"/>
        <v>2195.1</v>
      </c>
      <c r="J372" s="20">
        <f t="shared" si="154"/>
        <v>9744.42</v>
      </c>
      <c r="K372" s="20">
        <f t="shared" si="154"/>
        <v>9744.42</v>
      </c>
      <c r="L372" s="29" t="s">
        <v>1193</v>
      </c>
      <c r="M372" s="16" t="str">
        <f t="shared" si="135"/>
        <v>10Б0000000</v>
      </c>
      <c r="N372" s="16" t="str">
        <f t="shared" si="136"/>
        <v>604011310Б0000000000</v>
      </c>
    </row>
    <row r="373" spans="2:14" s="29" customFormat="1" ht="51">
      <c r="B373" s="28"/>
      <c r="C373" s="200" t="s">
        <v>352</v>
      </c>
      <c r="D373" s="198" t="s">
        <v>332</v>
      </c>
      <c r="E373" s="199" t="s">
        <v>11</v>
      </c>
      <c r="F373" s="199" t="s">
        <v>51</v>
      </c>
      <c r="G373" s="199" t="s">
        <v>353</v>
      </c>
      <c r="H373" s="199" t="s">
        <v>9</v>
      </c>
      <c r="I373" s="20">
        <f t="shared" si="154"/>
        <v>2195.1</v>
      </c>
      <c r="J373" s="20">
        <f t="shared" si="154"/>
        <v>9744.42</v>
      </c>
      <c r="K373" s="20">
        <f t="shared" si="154"/>
        <v>9744.42</v>
      </c>
      <c r="L373" s="29" t="s">
        <v>1194</v>
      </c>
      <c r="M373" s="16" t="str">
        <f t="shared" si="135"/>
        <v>10Б0100000</v>
      </c>
      <c r="N373" s="16" t="str">
        <f t="shared" si="136"/>
        <v>604011310Б0100000000</v>
      </c>
    </row>
    <row r="374" spans="2:14" s="29" customFormat="1" ht="25.5">
      <c r="B374" s="28"/>
      <c r="C374" s="197" t="s">
        <v>187</v>
      </c>
      <c r="D374" s="198" t="s">
        <v>332</v>
      </c>
      <c r="E374" s="199" t="s">
        <v>11</v>
      </c>
      <c r="F374" s="199" t="s">
        <v>51</v>
      </c>
      <c r="G374" s="199" t="s">
        <v>354</v>
      </c>
      <c r="H374" s="199" t="s">
        <v>9</v>
      </c>
      <c r="I374" s="20">
        <f t="shared" si="154"/>
        <v>2195.1</v>
      </c>
      <c r="J374" s="20">
        <f t="shared" si="154"/>
        <v>9744.42</v>
      </c>
      <c r="K374" s="20">
        <f t="shared" si="154"/>
        <v>9744.42</v>
      </c>
      <c r="L374" s="29" t="s">
        <v>1195</v>
      </c>
      <c r="M374" s="16" t="str">
        <f t="shared" si="135"/>
        <v>10Б0120050</v>
      </c>
      <c r="N374" s="16" t="str">
        <f t="shared" si="136"/>
        <v>604011310Б0120050000</v>
      </c>
    </row>
    <row r="375" spans="2:14" s="29" customFormat="1">
      <c r="B375" s="28"/>
      <c r="C375" s="197" t="s">
        <v>189</v>
      </c>
      <c r="D375" s="198" t="s">
        <v>332</v>
      </c>
      <c r="E375" s="199" t="s">
        <v>11</v>
      </c>
      <c r="F375" s="199" t="s">
        <v>51</v>
      </c>
      <c r="G375" s="199" t="s">
        <v>354</v>
      </c>
      <c r="H375" s="199" t="s">
        <v>190</v>
      </c>
      <c r="I375" s="20">
        <f>3544.42-349.32-1000</f>
        <v>2195.1</v>
      </c>
      <c r="J375" s="20">
        <f>9744.42</f>
        <v>9744.42</v>
      </c>
      <c r="K375" s="20">
        <f>9744.42</f>
        <v>9744.42</v>
      </c>
      <c r="L375" s="29" t="s">
        <v>1195</v>
      </c>
      <c r="M375" s="16" t="str">
        <f t="shared" si="135"/>
        <v>10Б0120050</v>
      </c>
      <c r="N375" s="16" t="str">
        <f t="shared" si="136"/>
        <v>604011310Б0120050830</v>
      </c>
    </row>
    <row r="376" spans="2:14" s="29" customFormat="1" ht="38.25">
      <c r="B376" s="28"/>
      <c r="C376" s="197" t="s">
        <v>87</v>
      </c>
      <c r="D376" s="198" t="s">
        <v>332</v>
      </c>
      <c r="E376" s="199" t="s">
        <v>11</v>
      </c>
      <c r="F376" s="199" t="s">
        <v>51</v>
      </c>
      <c r="G376" s="199" t="s">
        <v>88</v>
      </c>
      <c r="H376" s="199" t="s">
        <v>9</v>
      </c>
      <c r="I376" s="20">
        <f>I377</f>
        <v>5703.21</v>
      </c>
      <c r="J376" s="20">
        <f t="shared" ref="J376:K376" si="155">J377</f>
        <v>53605.380000000005</v>
      </c>
      <c r="K376" s="20">
        <f t="shared" si="155"/>
        <v>76482.47</v>
      </c>
      <c r="L376" s="29">
        <v>9800000000</v>
      </c>
      <c r="M376" s="16" t="str">
        <f t="shared" si="135"/>
        <v>9800000000</v>
      </c>
      <c r="N376" s="16" t="str">
        <f t="shared" si="136"/>
        <v>60401139800000000000</v>
      </c>
    </row>
    <row r="377" spans="2:14" s="29" customFormat="1">
      <c r="B377" s="28"/>
      <c r="C377" s="197" t="s">
        <v>89</v>
      </c>
      <c r="D377" s="198" t="s">
        <v>332</v>
      </c>
      <c r="E377" s="199" t="s">
        <v>11</v>
      </c>
      <c r="F377" s="199" t="s">
        <v>51</v>
      </c>
      <c r="G377" s="199" t="s">
        <v>90</v>
      </c>
      <c r="H377" s="199" t="s">
        <v>9</v>
      </c>
      <c r="I377" s="20">
        <f>I378+I382+I384+I380</f>
        <v>5703.21</v>
      </c>
      <c r="J377" s="20">
        <f t="shared" ref="J377:K377" si="156">J378+J382+J384+J380</f>
        <v>53605.380000000005</v>
      </c>
      <c r="K377" s="20">
        <f t="shared" si="156"/>
        <v>76482.47</v>
      </c>
      <c r="L377" s="29">
        <v>9810000000</v>
      </c>
      <c r="M377" s="16" t="str">
        <f t="shared" si="135"/>
        <v>9810000000</v>
      </c>
      <c r="N377" s="16" t="str">
        <f t="shared" si="136"/>
        <v>60401139810000000000</v>
      </c>
    </row>
    <row r="378" spans="2:14" s="29" customFormat="1" ht="25.5">
      <c r="B378" s="28"/>
      <c r="C378" s="197" t="s">
        <v>355</v>
      </c>
      <c r="D378" s="198" t="s">
        <v>332</v>
      </c>
      <c r="E378" s="199" t="s">
        <v>11</v>
      </c>
      <c r="F378" s="199" t="s">
        <v>51</v>
      </c>
      <c r="G378" s="199" t="s">
        <v>356</v>
      </c>
      <c r="H378" s="199" t="s">
        <v>9</v>
      </c>
      <c r="I378" s="20">
        <f>I379</f>
        <v>5203.21</v>
      </c>
      <c r="J378" s="20">
        <f>J379</f>
        <v>2000</v>
      </c>
      <c r="K378" s="20">
        <f>K379</f>
        <v>2000</v>
      </c>
      <c r="L378" s="29">
        <v>9810010050</v>
      </c>
      <c r="M378" s="16" t="str">
        <f t="shared" si="135"/>
        <v>9810010050</v>
      </c>
      <c r="N378" s="16" t="str">
        <f t="shared" si="136"/>
        <v>60401139810010050000</v>
      </c>
    </row>
    <row r="379" spans="2:14" s="29" customFormat="1">
      <c r="B379" s="28"/>
      <c r="C379" s="201" t="s">
        <v>357</v>
      </c>
      <c r="D379" s="198" t="s">
        <v>332</v>
      </c>
      <c r="E379" s="199" t="s">
        <v>11</v>
      </c>
      <c r="F379" s="199" t="s">
        <v>51</v>
      </c>
      <c r="G379" s="199" t="s">
        <v>356</v>
      </c>
      <c r="H379" s="199" t="s">
        <v>358</v>
      </c>
      <c r="I379" s="20">
        <f>2000+203.21+3000</f>
        <v>5203.21</v>
      </c>
      <c r="J379" s="20">
        <f>2000</f>
        <v>2000</v>
      </c>
      <c r="K379" s="20">
        <f>2000</f>
        <v>2000</v>
      </c>
      <c r="L379" s="29">
        <v>9810010050</v>
      </c>
      <c r="M379" s="16" t="str">
        <f t="shared" si="135"/>
        <v>9810010050</v>
      </c>
      <c r="N379" s="16" t="str">
        <f t="shared" si="136"/>
        <v>60401139810010050880</v>
      </c>
    </row>
    <row r="380" spans="2:14" s="29" customFormat="1">
      <c r="B380" s="28"/>
      <c r="C380" s="375" t="s">
        <v>282</v>
      </c>
      <c r="D380" s="198" t="s">
        <v>332</v>
      </c>
      <c r="E380" s="199" t="s">
        <v>11</v>
      </c>
      <c r="F380" s="199" t="s">
        <v>51</v>
      </c>
      <c r="G380" s="199" t="s">
        <v>283</v>
      </c>
      <c r="H380" s="199" t="s">
        <v>9</v>
      </c>
      <c r="I380" s="20">
        <f>I381</f>
        <v>500</v>
      </c>
      <c r="J380" s="20">
        <f t="shared" ref="J380:K380" si="157">J381</f>
        <v>0</v>
      </c>
      <c r="K380" s="20">
        <f t="shared" si="157"/>
        <v>0</v>
      </c>
      <c r="L380" s="29">
        <v>9810021350</v>
      </c>
      <c r="M380" s="16" t="str">
        <f t="shared" si="135"/>
        <v>9810021350</v>
      </c>
      <c r="N380" s="16" t="str">
        <f t="shared" si="136"/>
        <v>60401139810021350000</v>
      </c>
    </row>
    <row r="381" spans="2:14" s="29" customFormat="1" ht="25.5">
      <c r="B381" s="28"/>
      <c r="C381" s="197" t="s">
        <v>28</v>
      </c>
      <c r="D381" s="198" t="s">
        <v>332</v>
      </c>
      <c r="E381" s="199" t="s">
        <v>11</v>
      </c>
      <c r="F381" s="199" t="s">
        <v>51</v>
      </c>
      <c r="G381" s="199" t="s">
        <v>283</v>
      </c>
      <c r="H381" s="199" t="s">
        <v>29</v>
      </c>
      <c r="I381" s="20">
        <f>500</f>
        <v>500</v>
      </c>
      <c r="J381" s="20">
        <v>0</v>
      </c>
      <c r="K381" s="20">
        <v>0</v>
      </c>
      <c r="L381" s="29">
        <v>9810021350</v>
      </c>
      <c r="M381" s="16" t="str">
        <f t="shared" si="135"/>
        <v>9810021350</v>
      </c>
      <c r="N381" s="16" t="str">
        <f t="shared" si="136"/>
        <v>60401139810021350240</v>
      </c>
    </row>
    <row r="382" spans="2:14" s="29" customFormat="1" ht="38.25">
      <c r="B382" s="28"/>
      <c r="C382" s="214" t="s">
        <v>359</v>
      </c>
      <c r="D382" s="198" t="s">
        <v>332</v>
      </c>
      <c r="E382" s="199" t="s">
        <v>11</v>
      </c>
      <c r="F382" s="199" t="s">
        <v>51</v>
      </c>
      <c r="G382" s="199" t="s">
        <v>360</v>
      </c>
      <c r="H382" s="199" t="s">
        <v>9</v>
      </c>
      <c r="I382" s="218">
        <f>I383</f>
        <v>0</v>
      </c>
      <c r="J382" s="20">
        <f t="shared" ref="J382:K382" si="158">J383</f>
        <v>35191.69</v>
      </c>
      <c r="K382" s="20">
        <f t="shared" si="158"/>
        <v>40998.570000000007</v>
      </c>
      <c r="L382" s="29">
        <v>9810021440</v>
      </c>
      <c r="M382" s="16" t="str">
        <f t="shared" si="135"/>
        <v>9810021440</v>
      </c>
      <c r="N382" s="16" t="str">
        <f t="shared" si="136"/>
        <v>60401139810021440000</v>
      </c>
    </row>
    <row r="383" spans="2:14" s="29" customFormat="1">
      <c r="B383" s="28"/>
      <c r="C383" s="201" t="s">
        <v>357</v>
      </c>
      <c r="D383" s="198" t="s">
        <v>332</v>
      </c>
      <c r="E383" s="199" t="s">
        <v>11</v>
      </c>
      <c r="F383" s="199" t="s">
        <v>51</v>
      </c>
      <c r="G383" s="199" t="s">
        <v>360</v>
      </c>
      <c r="H383" s="199" t="s">
        <v>358</v>
      </c>
      <c r="I383" s="218">
        <f>33189.31-33189.31</f>
        <v>0</v>
      </c>
      <c r="J383" s="20">
        <f>68381-33189.31</f>
        <v>35191.69</v>
      </c>
      <c r="K383" s="20">
        <f>74187.88-33189.31</f>
        <v>40998.570000000007</v>
      </c>
      <c r="L383" s="29">
        <v>9810021440</v>
      </c>
      <c r="M383" s="16" t="str">
        <f t="shared" si="135"/>
        <v>9810021440</v>
      </c>
      <c r="N383" s="16" t="str">
        <f t="shared" si="136"/>
        <v>60401139810021440880</v>
      </c>
    </row>
    <row r="384" spans="2:14" s="29" customFormat="1" ht="55.9" customHeight="1">
      <c r="B384" s="28"/>
      <c r="C384" s="227" t="s">
        <v>1116</v>
      </c>
      <c r="D384" s="198" t="s">
        <v>332</v>
      </c>
      <c r="E384" s="199" t="s">
        <v>11</v>
      </c>
      <c r="F384" s="199" t="s">
        <v>51</v>
      </c>
      <c r="G384" s="199" t="s">
        <v>1117</v>
      </c>
      <c r="H384" s="199" t="s">
        <v>9</v>
      </c>
      <c r="I384" s="218">
        <f>I385</f>
        <v>0</v>
      </c>
      <c r="J384" s="20">
        <f>J385</f>
        <v>16413.689999999999</v>
      </c>
      <c r="K384" s="20">
        <f>K385</f>
        <v>33483.9</v>
      </c>
      <c r="L384" s="29">
        <v>9810021520</v>
      </c>
      <c r="M384" s="16" t="str">
        <f t="shared" si="135"/>
        <v>9810021520</v>
      </c>
      <c r="N384" s="16" t="str">
        <f t="shared" si="136"/>
        <v>60401139810021520000</v>
      </c>
    </row>
    <row r="385" spans="2:14" s="29" customFormat="1">
      <c r="B385" s="28"/>
      <c r="C385" s="201" t="s">
        <v>357</v>
      </c>
      <c r="D385" s="198" t="s">
        <v>332</v>
      </c>
      <c r="E385" s="199" t="s">
        <v>11</v>
      </c>
      <c r="F385" s="199" t="s">
        <v>51</v>
      </c>
      <c r="G385" s="199" t="s">
        <v>1117</v>
      </c>
      <c r="H385" s="199" t="s">
        <v>358</v>
      </c>
      <c r="I385" s="218">
        <v>0</v>
      </c>
      <c r="J385" s="20">
        <f>16413.69</f>
        <v>16413.689999999999</v>
      </c>
      <c r="K385" s="20">
        <f>33483.9</f>
        <v>33483.9</v>
      </c>
      <c r="L385" s="29">
        <v>9810021520</v>
      </c>
      <c r="M385" s="16" t="str">
        <f t="shared" si="135"/>
        <v>9810021520</v>
      </c>
      <c r="N385" s="16" t="str">
        <f t="shared" si="136"/>
        <v>60401139810021520880</v>
      </c>
    </row>
    <row r="386" spans="2:14" s="29" customFormat="1">
      <c r="B386" s="28"/>
      <c r="C386" s="191" t="s">
        <v>363</v>
      </c>
      <c r="D386" s="192" t="s">
        <v>332</v>
      </c>
      <c r="E386" s="193" t="s">
        <v>51</v>
      </c>
      <c r="F386" s="193" t="s">
        <v>7</v>
      </c>
      <c r="G386" s="193" t="s">
        <v>8</v>
      </c>
      <c r="H386" s="193" t="s">
        <v>9</v>
      </c>
      <c r="I386" s="18">
        <f t="shared" ref="I386:K391" si="159">I387</f>
        <v>162659.47</v>
      </c>
      <c r="J386" s="18">
        <f t="shared" si="159"/>
        <v>223370</v>
      </c>
      <c r="K386" s="18">
        <f t="shared" si="159"/>
        <v>261938</v>
      </c>
      <c r="L386" s="29">
        <v>0</v>
      </c>
      <c r="M386" s="16" t="str">
        <f t="shared" si="135"/>
        <v>0000000000</v>
      </c>
      <c r="N386" s="16" t="str">
        <f t="shared" si="136"/>
        <v>60413000000000000000</v>
      </c>
    </row>
    <row r="387" spans="2:14" s="29" customFormat="1" ht="25.5">
      <c r="B387" s="28"/>
      <c r="C387" s="194" t="s">
        <v>364</v>
      </c>
      <c r="D387" s="195" t="s">
        <v>332</v>
      </c>
      <c r="E387" s="196" t="s">
        <v>51</v>
      </c>
      <c r="F387" s="196" t="s">
        <v>11</v>
      </c>
      <c r="G387" s="196" t="s">
        <v>8</v>
      </c>
      <c r="H387" s="196" t="s">
        <v>9</v>
      </c>
      <c r="I387" s="19">
        <f t="shared" si="159"/>
        <v>162659.47</v>
      </c>
      <c r="J387" s="19">
        <f t="shared" si="159"/>
        <v>223370</v>
      </c>
      <c r="K387" s="19">
        <f t="shared" si="159"/>
        <v>261938</v>
      </c>
      <c r="L387" s="29">
        <v>0</v>
      </c>
      <c r="M387" s="16" t="str">
        <f t="shared" si="135"/>
        <v>0000000000</v>
      </c>
      <c r="N387" s="16" t="str">
        <f t="shared" si="136"/>
        <v>60413010000000000000</v>
      </c>
    </row>
    <row r="388" spans="2:14" s="29" customFormat="1" ht="25.5">
      <c r="B388" s="28"/>
      <c r="C388" s="200" t="s">
        <v>348</v>
      </c>
      <c r="D388" s="198" t="s">
        <v>332</v>
      </c>
      <c r="E388" s="199" t="s">
        <v>51</v>
      </c>
      <c r="F388" s="199" t="s">
        <v>11</v>
      </c>
      <c r="G388" s="199" t="s">
        <v>349</v>
      </c>
      <c r="H388" s="199" t="s">
        <v>9</v>
      </c>
      <c r="I388" s="20">
        <f t="shared" si="159"/>
        <v>162659.47</v>
      </c>
      <c r="J388" s="20">
        <f t="shared" si="159"/>
        <v>223370</v>
      </c>
      <c r="K388" s="20">
        <f t="shared" si="159"/>
        <v>261938</v>
      </c>
      <c r="L388" s="29">
        <v>1000000000</v>
      </c>
      <c r="M388" s="16" t="str">
        <f t="shared" si="135"/>
        <v>1000000000</v>
      </c>
      <c r="N388" s="16" t="str">
        <f t="shared" si="136"/>
        <v>60413011000000000000</v>
      </c>
    </row>
    <row r="389" spans="2:14" s="29" customFormat="1" ht="38.25">
      <c r="B389" s="28"/>
      <c r="C389" s="200" t="s">
        <v>350</v>
      </c>
      <c r="D389" s="198" t="s">
        <v>332</v>
      </c>
      <c r="E389" s="199" t="s">
        <v>51</v>
      </c>
      <c r="F389" s="199" t="s">
        <v>11</v>
      </c>
      <c r="G389" s="199" t="s">
        <v>351</v>
      </c>
      <c r="H389" s="199" t="s">
        <v>9</v>
      </c>
      <c r="I389" s="20">
        <f t="shared" si="159"/>
        <v>162659.47</v>
      </c>
      <c r="J389" s="20">
        <f t="shared" si="159"/>
        <v>223370</v>
      </c>
      <c r="K389" s="20">
        <f t="shared" si="159"/>
        <v>261938</v>
      </c>
      <c r="L389" s="29" t="s">
        <v>1193</v>
      </c>
      <c r="M389" s="16" t="str">
        <f t="shared" si="135"/>
        <v>10Б0000000</v>
      </c>
      <c r="N389" s="16" t="str">
        <f t="shared" si="136"/>
        <v>604130110Б0000000000</v>
      </c>
    </row>
    <row r="390" spans="2:14" s="29" customFormat="1" ht="38.25">
      <c r="B390" s="28"/>
      <c r="C390" s="200" t="s">
        <v>365</v>
      </c>
      <c r="D390" s="198" t="s">
        <v>332</v>
      </c>
      <c r="E390" s="199" t="s">
        <v>51</v>
      </c>
      <c r="F390" s="199" t="s">
        <v>11</v>
      </c>
      <c r="G390" s="199" t="s">
        <v>366</v>
      </c>
      <c r="H390" s="199" t="s">
        <v>9</v>
      </c>
      <c r="I390" s="20">
        <f t="shared" si="159"/>
        <v>162659.47</v>
      </c>
      <c r="J390" s="20">
        <f t="shared" si="159"/>
        <v>223370</v>
      </c>
      <c r="K390" s="20">
        <f t="shared" si="159"/>
        <v>261938</v>
      </c>
      <c r="L390" s="29" t="s">
        <v>1196</v>
      </c>
      <c r="M390" s="16" t="str">
        <f t="shared" ref="M390:M453" si="160">TEXT(L390,"0000000000")</f>
        <v>10Б0200000</v>
      </c>
      <c r="N390" s="16" t="str">
        <f t="shared" ref="N390:N453" si="161">D390&amp;E390&amp;F390&amp;M390&amp;H390</f>
        <v>604130110Б0200000000</v>
      </c>
    </row>
    <row r="391" spans="2:14" s="29" customFormat="1">
      <c r="B391" s="28"/>
      <c r="C391" s="200" t="s">
        <v>367</v>
      </c>
      <c r="D391" s="198" t="s">
        <v>332</v>
      </c>
      <c r="E391" s="199" t="s">
        <v>51</v>
      </c>
      <c r="F391" s="199" t="s">
        <v>11</v>
      </c>
      <c r="G391" s="199" t="s">
        <v>368</v>
      </c>
      <c r="H391" s="199" t="s">
        <v>9</v>
      </c>
      <c r="I391" s="20">
        <f t="shared" si="159"/>
        <v>162659.47</v>
      </c>
      <c r="J391" s="20">
        <f t="shared" si="159"/>
        <v>223370</v>
      </c>
      <c r="K391" s="20">
        <f t="shared" si="159"/>
        <v>261938</v>
      </c>
      <c r="L391" s="29" t="s">
        <v>1197</v>
      </c>
      <c r="M391" s="16" t="str">
        <f t="shared" si="160"/>
        <v>10Б0220010</v>
      </c>
      <c r="N391" s="16" t="str">
        <f t="shared" si="161"/>
        <v>604130110Б0220010000</v>
      </c>
    </row>
    <row r="392" spans="2:14" s="29" customFormat="1">
      <c r="B392" s="28"/>
      <c r="C392" s="200" t="s">
        <v>369</v>
      </c>
      <c r="D392" s="198" t="s">
        <v>332</v>
      </c>
      <c r="E392" s="199" t="s">
        <v>51</v>
      </c>
      <c r="F392" s="199" t="s">
        <v>11</v>
      </c>
      <c r="G392" s="199" t="s">
        <v>368</v>
      </c>
      <c r="H392" s="199" t="s">
        <v>370</v>
      </c>
      <c r="I392" s="20">
        <f>174715-12055.53</f>
        <v>162659.47</v>
      </c>
      <c r="J392" s="20">
        <f>223370</f>
        <v>223370</v>
      </c>
      <c r="K392" s="20">
        <f>261938</f>
        <v>261938</v>
      </c>
      <c r="L392" s="29" t="s">
        <v>1197</v>
      </c>
      <c r="M392" s="16" t="str">
        <f t="shared" si="160"/>
        <v>10Б0220010</v>
      </c>
      <c r="N392" s="16" t="str">
        <f t="shared" si="161"/>
        <v>604130110Б0220010730</v>
      </c>
    </row>
    <row r="393" spans="2:14" s="29" customFormat="1">
      <c r="B393" s="28"/>
      <c r="C393" s="200"/>
      <c r="D393" s="198"/>
      <c r="E393" s="199"/>
      <c r="F393" s="199"/>
      <c r="G393" s="199"/>
      <c r="H393" s="199"/>
      <c r="I393" s="20"/>
      <c r="J393" s="20"/>
      <c r="K393" s="20"/>
      <c r="M393" s="16" t="str">
        <f t="shared" si="160"/>
        <v>0000000000</v>
      </c>
      <c r="N393" s="16" t="str">
        <f t="shared" si="161"/>
        <v>0000000000</v>
      </c>
    </row>
    <row r="394" spans="2:14" s="16" customFormat="1" ht="25.5">
      <c r="B394" s="14"/>
      <c r="C394" s="202" t="s">
        <v>371</v>
      </c>
      <c r="D394" s="189" t="s">
        <v>372</v>
      </c>
      <c r="E394" s="190" t="s">
        <v>7</v>
      </c>
      <c r="F394" s="190" t="s">
        <v>7</v>
      </c>
      <c r="G394" s="190" t="s">
        <v>8</v>
      </c>
      <c r="H394" s="190" t="s">
        <v>9</v>
      </c>
      <c r="I394" s="25">
        <f>I395+I423+I416</f>
        <v>33299.82</v>
      </c>
      <c r="J394" s="25">
        <f>J395+J423+J416</f>
        <v>33461.64</v>
      </c>
      <c r="K394" s="25">
        <f>K395+K423+K416</f>
        <v>33461.64</v>
      </c>
      <c r="L394" s="16">
        <v>0</v>
      </c>
      <c r="M394" s="16" t="str">
        <f t="shared" si="160"/>
        <v>0000000000</v>
      </c>
      <c r="N394" s="16" t="str">
        <f t="shared" si="161"/>
        <v>60500000000000000000</v>
      </c>
    </row>
    <row r="395" spans="2:14" s="34" customFormat="1">
      <c r="B395" s="33"/>
      <c r="C395" s="191" t="s">
        <v>10</v>
      </c>
      <c r="D395" s="192" t="s">
        <v>372</v>
      </c>
      <c r="E395" s="193" t="s">
        <v>11</v>
      </c>
      <c r="F395" s="193" t="s">
        <v>7</v>
      </c>
      <c r="G395" s="193" t="s">
        <v>8</v>
      </c>
      <c r="H395" s="193" t="s">
        <v>9</v>
      </c>
      <c r="I395" s="18">
        <f t="shared" ref="I395:K402" si="162">I396</f>
        <v>29955.3</v>
      </c>
      <c r="J395" s="18">
        <f t="shared" si="162"/>
        <v>30115.119999999999</v>
      </c>
      <c r="K395" s="18">
        <f t="shared" si="162"/>
        <v>30115.119999999999</v>
      </c>
      <c r="L395" s="34">
        <v>0</v>
      </c>
      <c r="M395" s="16" t="str">
        <f t="shared" si="160"/>
        <v>0000000000</v>
      </c>
      <c r="N395" s="16" t="str">
        <f t="shared" si="161"/>
        <v>60501000000000000000</v>
      </c>
    </row>
    <row r="396" spans="2:14" s="23" customFormat="1">
      <c r="B396" s="21"/>
      <c r="C396" s="194" t="s">
        <v>50</v>
      </c>
      <c r="D396" s="195" t="s">
        <v>372</v>
      </c>
      <c r="E396" s="196" t="s">
        <v>11</v>
      </c>
      <c r="F396" s="196" t="s">
        <v>51</v>
      </c>
      <c r="G396" s="196" t="s">
        <v>8</v>
      </c>
      <c r="H396" s="196" t="s">
        <v>9</v>
      </c>
      <c r="I396" s="19">
        <f>I402+I397</f>
        <v>29955.3</v>
      </c>
      <c r="J396" s="19">
        <f t="shared" ref="J396:K396" si="163">J402+J397</f>
        <v>30115.119999999999</v>
      </c>
      <c r="K396" s="19">
        <f t="shared" si="163"/>
        <v>30115.119999999999</v>
      </c>
      <c r="L396" s="23">
        <v>0</v>
      </c>
      <c r="M396" s="16" t="str">
        <f t="shared" si="160"/>
        <v>0000000000</v>
      </c>
      <c r="N396" s="16" t="str">
        <f t="shared" si="161"/>
        <v>60501130000000000000</v>
      </c>
    </row>
    <row r="397" spans="2:14" s="16" customFormat="1" ht="38.25">
      <c r="B397" s="14"/>
      <c r="C397" s="197" t="s">
        <v>146</v>
      </c>
      <c r="D397" s="198" t="s">
        <v>372</v>
      </c>
      <c r="E397" s="199" t="s">
        <v>11</v>
      </c>
      <c r="F397" s="199" t="s">
        <v>51</v>
      </c>
      <c r="G397" s="199" t="s">
        <v>147</v>
      </c>
      <c r="H397" s="199" t="s">
        <v>9</v>
      </c>
      <c r="I397" s="20">
        <f t="shared" ref="I397:K400" si="164">I398</f>
        <v>7.6499999999999995</v>
      </c>
      <c r="J397" s="20">
        <f t="shared" si="164"/>
        <v>7.6499999999999995</v>
      </c>
      <c r="K397" s="20">
        <f t="shared" si="164"/>
        <v>7.6499999999999995</v>
      </c>
      <c r="L397" s="16">
        <v>1500000000</v>
      </c>
      <c r="M397" s="16" t="str">
        <f t="shared" si="160"/>
        <v>1500000000</v>
      </c>
      <c r="N397" s="16" t="str">
        <f t="shared" si="161"/>
        <v>60501131500000000000</v>
      </c>
    </row>
    <row r="398" spans="2:14" s="16" customFormat="1" ht="25.5">
      <c r="B398" s="14"/>
      <c r="C398" s="197" t="s">
        <v>373</v>
      </c>
      <c r="D398" s="198" t="s">
        <v>372</v>
      </c>
      <c r="E398" s="199" t="s">
        <v>11</v>
      </c>
      <c r="F398" s="199" t="s">
        <v>51</v>
      </c>
      <c r="G398" s="199" t="s">
        <v>169</v>
      </c>
      <c r="H398" s="199" t="s">
        <v>9</v>
      </c>
      <c r="I398" s="20">
        <f t="shared" si="164"/>
        <v>7.6499999999999995</v>
      </c>
      <c r="J398" s="20">
        <f t="shared" si="164"/>
        <v>7.6499999999999995</v>
      </c>
      <c r="K398" s="20">
        <f t="shared" si="164"/>
        <v>7.6499999999999995</v>
      </c>
      <c r="L398" s="16">
        <v>1530000000</v>
      </c>
      <c r="M398" s="16" t="str">
        <f t="shared" si="160"/>
        <v>1530000000</v>
      </c>
      <c r="N398" s="16" t="str">
        <f t="shared" si="161"/>
        <v>60501131530000000000</v>
      </c>
    </row>
    <row r="399" spans="2:14" s="16" customFormat="1" ht="25.5">
      <c r="B399" s="14"/>
      <c r="C399" s="197" t="s">
        <v>374</v>
      </c>
      <c r="D399" s="198" t="s">
        <v>372</v>
      </c>
      <c r="E399" s="199" t="s">
        <v>11</v>
      </c>
      <c r="F399" s="199" t="s">
        <v>51</v>
      </c>
      <c r="G399" s="199" t="s">
        <v>375</v>
      </c>
      <c r="H399" s="199" t="s">
        <v>9</v>
      </c>
      <c r="I399" s="20">
        <f t="shared" si="164"/>
        <v>7.6499999999999995</v>
      </c>
      <c r="J399" s="20">
        <f t="shared" si="164"/>
        <v>7.6499999999999995</v>
      </c>
      <c r="K399" s="20">
        <f t="shared" si="164"/>
        <v>7.6499999999999995</v>
      </c>
      <c r="L399" s="16">
        <v>1530100000</v>
      </c>
      <c r="M399" s="16" t="str">
        <f t="shared" si="160"/>
        <v>1530100000</v>
      </c>
      <c r="N399" s="16" t="str">
        <f t="shared" si="161"/>
        <v>60501131530100000000</v>
      </c>
    </row>
    <row r="400" spans="2:14" s="16" customFormat="1" ht="25.5">
      <c r="B400" s="14"/>
      <c r="C400" s="197" t="s">
        <v>376</v>
      </c>
      <c r="D400" s="198" t="s">
        <v>372</v>
      </c>
      <c r="E400" s="199" t="s">
        <v>11</v>
      </c>
      <c r="F400" s="199" t="s">
        <v>51</v>
      </c>
      <c r="G400" s="199" t="s">
        <v>377</v>
      </c>
      <c r="H400" s="199" t="s">
        <v>9</v>
      </c>
      <c r="I400" s="20">
        <f t="shared" si="164"/>
        <v>7.6499999999999995</v>
      </c>
      <c r="J400" s="20">
        <f t="shared" si="164"/>
        <v>7.6499999999999995</v>
      </c>
      <c r="K400" s="20">
        <f t="shared" si="164"/>
        <v>7.6499999999999995</v>
      </c>
      <c r="L400" s="16">
        <v>1530120660</v>
      </c>
      <c r="M400" s="16" t="str">
        <f t="shared" si="160"/>
        <v>1530120660</v>
      </c>
      <c r="N400" s="16" t="str">
        <f t="shared" si="161"/>
        <v>60501131530120660000</v>
      </c>
    </row>
    <row r="401" spans="2:14" s="16" customFormat="1" ht="25.5">
      <c r="B401" s="14"/>
      <c r="C401" s="197" t="s">
        <v>28</v>
      </c>
      <c r="D401" s="198" t="s">
        <v>372</v>
      </c>
      <c r="E401" s="199" t="s">
        <v>11</v>
      </c>
      <c r="F401" s="199" t="s">
        <v>51</v>
      </c>
      <c r="G401" s="199" t="s">
        <v>377</v>
      </c>
      <c r="H401" s="199" t="s">
        <v>29</v>
      </c>
      <c r="I401" s="20">
        <f>6.89+0.76</f>
        <v>7.6499999999999995</v>
      </c>
      <c r="J401" s="20">
        <f t="shared" ref="J401:K401" si="165">6.89+0.76</f>
        <v>7.6499999999999995</v>
      </c>
      <c r="K401" s="20">
        <f t="shared" si="165"/>
        <v>7.6499999999999995</v>
      </c>
      <c r="L401" s="16">
        <v>1530120660</v>
      </c>
      <c r="M401" s="16" t="str">
        <f t="shared" si="160"/>
        <v>1530120660</v>
      </c>
      <c r="N401" s="16" t="str">
        <f t="shared" si="161"/>
        <v>60501131530120660240</v>
      </c>
    </row>
    <row r="402" spans="2:14" s="16" customFormat="1" ht="25.5">
      <c r="B402" s="14"/>
      <c r="C402" s="197" t="s">
        <v>378</v>
      </c>
      <c r="D402" s="198" t="s">
        <v>372</v>
      </c>
      <c r="E402" s="199" t="s">
        <v>11</v>
      </c>
      <c r="F402" s="199" t="s">
        <v>51</v>
      </c>
      <c r="G402" s="199" t="s">
        <v>379</v>
      </c>
      <c r="H402" s="199" t="s">
        <v>9</v>
      </c>
      <c r="I402" s="20">
        <f t="shared" si="162"/>
        <v>29947.649999999998</v>
      </c>
      <c r="J402" s="20">
        <f t="shared" si="162"/>
        <v>30107.469999999998</v>
      </c>
      <c r="K402" s="20">
        <f t="shared" si="162"/>
        <v>30107.469999999998</v>
      </c>
      <c r="L402" s="16">
        <v>7400000000</v>
      </c>
      <c r="M402" s="16" t="str">
        <f t="shared" si="160"/>
        <v>7400000000</v>
      </c>
      <c r="N402" s="16" t="str">
        <f t="shared" si="161"/>
        <v>60501137400000000000</v>
      </c>
    </row>
    <row r="403" spans="2:14" s="16" customFormat="1" ht="38.25">
      <c r="B403" s="14"/>
      <c r="C403" s="197" t="s">
        <v>380</v>
      </c>
      <c r="D403" s="198" t="s">
        <v>372</v>
      </c>
      <c r="E403" s="199" t="s">
        <v>11</v>
      </c>
      <c r="F403" s="199" t="s">
        <v>51</v>
      </c>
      <c r="G403" s="199" t="s">
        <v>381</v>
      </c>
      <c r="H403" s="199" t="s">
        <v>9</v>
      </c>
      <c r="I403" s="20">
        <f>I404+I410+I412+I414</f>
        <v>29947.649999999998</v>
      </c>
      <c r="J403" s="20">
        <f t="shared" ref="J403:K403" si="166">J404+J410+J412+J414</f>
        <v>30107.469999999998</v>
      </c>
      <c r="K403" s="20">
        <f t="shared" si="166"/>
        <v>30107.469999999998</v>
      </c>
      <c r="L403" s="16">
        <v>7410000000</v>
      </c>
      <c r="M403" s="16" t="str">
        <f t="shared" si="160"/>
        <v>7410000000</v>
      </c>
      <c r="N403" s="16" t="str">
        <f t="shared" si="161"/>
        <v>60501137410000000000</v>
      </c>
    </row>
    <row r="404" spans="2:14" s="16" customFormat="1" ht="25.5">
      <c r="B404" s="14"/>
      <c r="C404" s="197" t="s">
        <v>18</v>
      </c>
      <c r="D404" s="198" t="s">
        <v>372</v>
      </c>
      <c r="E404" s="199" t="s">
        <v>11</v>
      </c>
      <c r="F404" s="199" t="s">
        <v>51</v>
      </c>
      <c r="G404" s="199" t="s">
        <v>382</v>
      </c>
      <c r="H404" s="199" t="s">
        <v>9</v>
      </c>
      <c r="I404" s="20">
        <f>I405+I406+I409</f>
        <v>3510.9799999999996</v>
      </c>
      <c r="J404" s="20">
        <f t="shared" ref="J404:K404" si="167">J405+J406+J409</f>
        <v>3616.1699999999996</v>
      </c>
      <c r="K404" s="20">
        <f t="shared" si="167"/>
        <v>3616.1699999999996</v>
      </c>
      <c r="L404" s="16">
        <v>7410010010</v>
      </c>
      <c r="M404" s="16" t="str">
        <f t="shared" si="160"/>
        <v>7410010010</v>
      </c>
      <c r="N404" s="16" t="str">
        <f t="shared" si="161"/>
        <v>60501137410010010000</v>
      </c>
    </row>
    <row r="405" spans="2:14" s="16" customFormat="1" ht="25.5">
      <c r="B405" s="14"/>
      <c r="C405" s="200" t="s">
        <v>20</v>
      </c>
      <c r="D405" s="198" t="s">
        <v>372</v>
      </c>
      <c r="E405" s="199" t="s">
        <v>11</v>
      </c>
      <c r="F405" s="199" t="s">
        <v>51</v>
      </c>
      <c r="G405" s="199" t="s">
        <v>382</v>
      </c>
      <c r="H405" s="199" t="s">
        <v>21</v>
      </c>
      <c r="I405" s="20">
        <f>585.06+172.83</f>
        <v>757.89</v>
      </c>
      <c r="J405" s="20">
        <f t="shared" ref="J405:K405" si="168">585.06+172.83</f>
        <v>757.89</v>
      </c>
      <c r="K405" s="20">
        <f t="shared" si="168"/>
        <v>757.89</v>
      </c>
      <c r="L405" s="16">
        <v>7410010010</v>
      </c>
      <c r="M405" s="16" t="str">
        <f t="shared" si="160"/>
        <v>7410010010</v>
      </c>
      <c r="N405" s="16" t="str">
        <f t="shared" si="161"/>
        <v>60501137410010010120</v>
      </c>
    </row>
    <row r="406" spans="2:14" s="16" customFormat="1" ht="25.5">
      <c r="B406" s="14"/>
      <c r="C406" s="197" t="s">
        <v>28</v>
      </c>
      <c r="D406" s="198" t="s">
        <v>372</v>
      </c>
      <c r="E406" s="199" t="s">
        <v>11</v>
      </c>
      <c r="F406" s="199" t="s">
        <v>51</v>
      </c>
      <c r="G406" s="199" t="s">
        <v>382</v>
      </c>
      <c r="H406" s="199" t="s">
        <v>29</v>
      </c>
      <c r="I406" s="20">
        <f>2277.66+564.66+I408-108-4.28-1.12</f>
        <v>2737.1299999999997</v>
      </c>
      <c r="J406" s="20">
        <f t="shared" ref="J406:K406" si="169">2277.66+564.66+J408</f>
        <v>2842.3199999999997</v>
      </c>
      <c r="K406" s="20">
        <f t="shared" si="169"/>
        <v>2842.3199999999997</v>
      </c>
      <c r="L406" s="16">
        <v>7410010010</v>
      </c>
      <c r="M406" s="16" t="str">
        <f t="shared" si="160"/>
        <v>7410010010</v>
      </c>
      <c r="N406" s="16" t="str">
        <f t="shared" si="161"/>
        <v>60501137410010010240</v>
      </c>
    </row>
    <row r="407" spans="2:14" s="16" customFormat="1">
      <c r="B407" s="14"/>
      <c r="C407" s="220" t="s">
        <v>1104</v>
      </c>
      <c r="D407" s="198"/>
      <c r="E407" s="199"/>
      <c r="F407" s="199"/>
      <c r="G407" s="199"/>
      <c r="H407" s="199"/>
      <c r="I407" s="20"/>
      <c r="J407" s="20"/>
      <c r="K407" s="20"/>
      <c r="M407" s="16" t="str">
        <f t="shared" si="160"/>
        <v>0000000000</v>
      </c>
      <c r="N407" s="16" t="str">
        <f t="shared" si="161"/>
        <v>0000000000</v>
      </c>
    </row>
    <row r="408" spans="2:14" s="16" customFormat="1">
      <c r="B408" s="14"/>
      <c r="C408" s="221" t="s">
        <v>1105</v>
      </c>
      <c r="D408" s="222" t="s">
        <v>372</v>
      </c>
      <c r="E408" s="223" t="s">
        <v>11</v>
      </c>
      <c r="F408" s="223" t="s">
        <v>51</v>
      </c>
      <c r="G408" s="223" t="s">
        <v>382</v>
      </c>
      <c r="H408" s="223" t="s">
        <v>29</v>
      </c>
      <c r="I408" s="224">
        <f>8.21</f>
        <v>8.2100000000000009</v>
      </c>
      <c r="J408" s="224">
        <v>0</v>
      </c>
      <c r="K408" s="224">
        <v>0</v>
      </c>
      <c r="L408" s="16">
        <v>7410010010</v>
      </c>
      <c r="M408" s="16" t="str">
        <f t="shared" si="160"/>
        <v>7410010010</v>
      </c>
      <c r="N408" s="16" t="str">
        <f t="shared" si="161"/>
        <v>60501137410010010240</v>
      </c>
    </row>
    <row r="409" spans="2:14" s="16" customFormat="1">
      <c r="B409" s="14"/>
      <c r="C409" s="197" t="s">
        <v>32</v>
      </c>
      <c r="D409" s="198" t="s">
        <v>372</v>
      </c>
      <c r="E409" s="199" t="s">
        <v>11</v>
      </c>
      <c r="F409" s="199" t="s">
        <v>51</v>
      </c>
      <c r="G409" s="199" t="s">
        <v>382</v>
      </c>
      <c r="H409" s="199" t="s">
        <v>33</v>
      </c>
      <c r="I409" s="20">
        <f>0.5+12.96+2.5</f>
        <v>15.96</v>
      </c>
      <c r="J409" s="20">
        <f t="shared" ref="J409:K409" si="170">0.5+12.96+2.5</f>
        <v>15.96</v>
      </c>
      <c r="K409" s="20">
        <f t="shared" si="170"/>
        <v>15.96</v>
      </c>
      <c r="L409" s="16">
        <v>7410010010</v>
      </c>
      <c r="M409" s="16" t="str">
        <f t="shared" si="160"/>
        <v>7410010010</v>
      </c>
      <c r="N409" s="16" t="str">
        <f t="shared" si="161"/>
        <v>60501137410010010850</v>
      </c>
    </row>
    <row r="410" spans="2:14" s="16" customFormat="1" ht="25.5">
      <c r="B410" s="14"/>
      <c r="C410" s="197" t="s">
        <v>38</v>
      </c>
      <c r="D410" s="198" t="s">
        <v>372</v>
      </c>
      <c r="E410" s="199" t="s">
        <v>11</v>
      </c>
      <c r="F410" s="199" t="s">
        <v>51</v>
      </c>
      <c r="G410" s="199" t="s">
        <v>383</v>
      </c>
      <c r="H410" s="199" t="s">
        <v>9</v>
      </c>
      <c r="I410" s="20">
        <f>I411</f>
        <v>25554.67</v>
      </c>
      <c r="J410" s="20">
        <f>J411</f>
        <v>26491.3</v>
      </c>
      <c r="K410" s="20">
        <f>K411</f>
        <v>26491.3</v>
      </c>
      <c r="L410" s="16">
        <v>7410010020</v>
      </c>
      <c r="M410" s="16" t="str">
        <f t="shared" si="160"/>
        <v>7410010020</v>
      </c>
      <c r="N410" s="16" t="str">
        <f t="shared" si="161"/>
        <v>60501137410010020000</v>
      </c>
    </row>
    <row r="411" spans="2:14" s="16" customFormat="1" ht="25.5">
      <c r="B411" s="14"/>
      <c r="C411" s="200" t="s">
        <v>20</v>
      </c>
      <c r="D411" s="198" t="s">
        <v>372</v>
      </c>
      <c r="E411" s="199" t="s">
        <v>11</v>
      </c>
      <c r="F411" s="199" t="s">
        <v>51</v>
      </c>
      <c r="G411" s="199" t="s">
        <v>383</v>
      </c>
      <c r="H411" s="199" t="s">
        <v>21</v>
      </c>
      <c r="I411" s="20">
        <f>19370.23+5849.81+44.25+123.73+9.61+98.6+58.44</f>
        <v>25554.67</v>
      </c>
      <c r="J411" s="20">
        <f>19370.23+5849.81+1008.8+98.6+163.86</f>
        <v>26491.3</v>
      </c>
      <c r="K411" s="20">
        <f>19370.23+5849.81+1008.8+98.6+163.86</f>
        <v>26491.3</v>
      </c>
      <c r="L411" s="16">
        <v>7410010020</v>
      </c>
      <c r="M411" s="16" t="str">
        <f t="shared" si="160"/>
        <v>7410010020</v>
      </c>
      <c r="N411" s="16" t="str">
        <f t="shared" si="161"/>
        <v>60501137410010020120</v>
      </c>
    </row>
    <row r="412" spans="2:14" s="16" customFormat="1" ht="191.25">
      <c r="B412" s="28" t="s">
        <v>2282</v>
      </c>
      <c r="C412" s="200" t="s">
        <v>2269</v>
      </c>
      <c r="D412" s="198" t="s">
        <v>372</v>
      </c>
      <c r="E412" s="199" t="s">
        <v>11</v>
      </c>
      <c r="F412" s="199" t="s">
        <v>51</v>
      </c>
      <c r="G412" s="199" t="s">
        <v>1276</v>
      </c>
      <c r="H412" s="199" t="s">
        <v>9</v>
      </c>
      <c r="I412" s="20">
        <f>I413</f>
        <v>831.21</v>
      </c>
      <c r="J412" s="20">
        <f t="shared" ref="J412:K414" si="171">J413</f>
        <v>0</v>
      </c>
      <c r="K412" s="20">
        <f t="shared" si="171"/>
        <v>0</v>
      </c>
      <c r="L412" s="16">
        <v>7410077460</v>
      </c>
      <c r="M412" s="16" t="str">
        <f t="shared" si="160"/>
        <v>7410077460</v>
      </c>
      <c r="N412" s="16" t="str">
        <f t="shared" si="161"/>
        <v>60501137410077460000</v>
      </c>
    </row>
    <row r="413" spans="2:14" s="16" customFormat="1" ht="25.5">
      <c r="B413" s="28"/>
      <c r="C413" s="200" t="s">
        <v>20</v>
      </c>
      <c r="D413" s="198" t="s">
        <v>372</v>
      </c>
      <c r="E413" s="199" t="s">
        <v>11</v>
      </c>
      <c r="F413" s="199" t="s">
        <v>51</v>
      </c>
      <c r="G413" s="199" t="s">
        <v>1276</v>
      </c>
      <c r="H413" s="199" t="s">
        <v>21</v>
      </c>
      <c r="I413" s="20">
        <f>840.82-9.61</f>
        <v>831.21</v>
      </c>
      <c r="J413" s="20">
        <v>0</v>
      </c>
      <c r="K413" s="20">
        <v>0</v>
      </c>
      <c r="L413" s="16">
        <v>7410077460</v>
      </c>
      <c r="M413" s="16" t="str">
        <f t="shared" si="160"/>
        <v>7410077460</v>
      </c>
      <c r="N413" s="16" t="str">
        <f t="shared" si="161"/>
        <v>60501137410077460120</v>
      </c>
    </row>
    <row r="414" spans="2:14" s="16" customFormat="1" ht="165.75">
      <c r="B414" s="28"/>
      <c r="C414" s="200" t="s">
        <v>2247</v>
      </c>
      <c r="D414" s="198" t="s">
        <v>372</v>
      </c>
      <c r="E414" s="199" t="s">
        <v>11</v>
      </c>
      <c r="F414" s="199" t="s">
        <v>51</v>
      </c>
      <c r="G414" s="199" t="s">
        <v>2249</v>
      </c>
      <c r="H414" s="199" t="s">
        <v>9</v>
      </c>
      <c r="I414" s="20">
        <f>I415</f>
        <v>50.79</v>
      </c>
      <c r="J414" s="20">
        <f t="shared" si="171"/>
        <v>0</v>
      </c>
      <c r="K414" s="20">
        <f t="shared" si="171"/>
        <v>0</v>
      </c>
      <c r="L414" s="16">
        <v>7410077580</v>
      </c>
      <c r="M414" s="16" t="str">
        <f t="shared" si="160"/>
        <v>7410077580</v>
      </c>
      <c r="N414" s="16" t="str">
        <f t="shared" si="161"/>
        <v>60501137410077580000</v>
      </c>
    </row>
    <row r="415" spans="2:14" s="16" customFormat="1" ht="25.5">
      <c r="B415" s="28"/>
      <c r="C415" s="200" t="s">
        <v>20</v>
      </c>
      <c r="D415" s="198" t="s">
        <v>372</v>
      </c>
      <c r="E415" s="199" t="s">
        <v>11</v>
      </c>
      <c r="F415" s="199" t="s">
        <v>51</v>
      </c>
      <c r="G415" s="199" t="s">
        <v>2249</v>
      </c>
      <c r="H415" s="199" t="s">
        <v>21</v>
      </c>
      <c r="I415" s="20">
        <f>50.79</f>
        <v>50.79</v>
      </c>
      <c r="J415" s="20">
        <v>0</v>
      </c>
      <c r="K415" s="20">
        <v>0</v>
      </c>
      <c r="L415" s="16">
        <v>7410077580</v>
      </c>
      <c r="M415" s="16" t="str">
        <f t="shared" si="160"/>
        <v>7410077580</v>
      </c>
      <c r="N415" s="16" t="str">
        <f t="shared" si="161"/>
        <v>60501137410077580120</v>
      </c>
    </row>
    <row r="416" spans="2:14" s="16" customFormat="1">
      <c r="B416" s="14"/>
      <c r="C416" s="191" t="s">
        <v>237</v>
      </c>
      <c r="D416" s="192" t="s">
        <v>372</v>
      </c>
      <c r="E416" s="193" t="s">
        <v>238</v>
      </c>
      <c r="F416" s="193" t="s">
        <v>7</v>
      </c>
      <c r="G416" s="193" t="s">
        <v>8</v>
      </c>
      <c r="H416" s="193" t="s">
        <v>9</v>
      </c>
      <c r="I416" s="18">
        <f t="shared" ref="I416:K420" si="172">I417</f>
        <v>1094.2</v>
      </c>
      <c r="J416" s="18">
        <f t="shared" si="172"/>
        <v>1096.2</v>
      </c>
      <c r="K416" s="18">
        <f t="shared" si="172"/>
        <v>1096.2</v>
      </c>
      <c r="L416" s="16">
        <v>0</v>
      </c>
      <c r="M416" s="16" t="str">
        <f t="shared" si="160"/>
        <v>0000000000</v>
      </c>
      <c r="N416" s="16" t="str">
        <f t="shared" si="161"/>
        <v>60508000000000000000</v>
      </c>
    </row>
    <row r="417" spans="2:14" s="16" customFormat="1">
      <c r="B417" s="14"/>
      <c r="C417" s="194" t="s">
        <v>239</v>
      </c>
      <c r="D417" s="195" t="s">
        <v>372</v>
      </c>
      <c r="E417" s="196" t="s">
        <v>238</v>
      </c>
      <c r="F417" s="196" t="s">
        <v>11</v>
      </c>
      <c r="G417" s="196" t="s">
        <v>8</v>
      </c>
      <c r="H417" s="196" t="s">
        <v>9</v>
      </c>
      <c r="I417" s="19">
        <f t="shared" si="172"/>
        <v>1094.2</v>
      </c>
      <c r="J417" s="19">
        <f t="shared" si="172"/>
        <v>1096.2</v>
      </c>
      <c r="K417" s="19">
        <f t="shared" si="172"/>
        <v>1096.2</v>
      </c>
      <c r="L417" s="16">
        <v>0</v>
      </c>
      <c r="M417" s="16" t="str">
        <f t="shared" si="160"/>
        <v>0000000000</v>
      </c>
      <c r="N417" s="16" t="str">
        <f t="shared" si="161"/>
        <v>60508010000000000000</v>
      </c>
    </row>
    <row r="418" spans="2:14" s="16" customFormat="1">
      <c r="B418" s="14"/>
      <c r="C418" s="197" t="s">
        <v>240</v>
      </c>
      <c r="D418" s="203" t="s">
        <v>372</v>
      </c>
      <c r="E418" s="204" t="s">
        <v>238</v>
      </c>
      <c r="F418" s="204" t="s">
        <v>11</v>
      </c>
      <c r="G418" s="204" t="s">
        <v>241</v>
      </c>
      <c r="H418" s="204" t="s">
        <v>9</v>
      </c>
      <c r="I418" s="26">
        <f t="shared" si="172"/>
        <v>1094.2</v>
      </c>
      <c r="J418" s="26">
        <f t="shared" si="172"/>
        <v>1096.2</v>
      </c>
      <c r="K418" s="26">
        <f t="shared" si="172"/>
        <v>1096.2</v>
      </c>
      <c r="L418" s="16">
        <v>700000000</v>
      </c>
      <c r="M418" s="16" t="str">
        <f t="shared" si="160"/>
        <v>0700000000</v>
      </c>
      <c r="N418" s="16" t="str">
        <f t="shared" si="161"/>
        <v>60508010700000000000</v>
      </c>
    </row>
    <row r="419" spans="2:14" s="16" customFormat="1" ht="51">
      <c r="B419" s="14"/>
      <c r="C419" s="197" t="s">
        <v>384</v>
      </c>
      <c r="D419" s="203" t="s">
        <v>372</v>
      </c>
      <c r="E419" s="204" t="s">
        <v>238</v>
      </c>
      <c r="F419" s="204" t="s">
        <v>11</v>
      </c>
      <c r="G419" s="204" t="s">
        <v>243</v>
      </c>
      <c r="H419" s="204" t="s">
        <v>9</v>
      </c>
      <c r="I419" s="26">
        <f t="shared" si="172"/>
        <v>1094.2</v>
      </c>
      <c r="J419" s="26">
        <f t="shared" si="172"/>
        <v>1096.2</v>
      </c>
      <c r="K419" s="26">
        <f t="shared" si="172"/>
        <v>1096.2</v>
      </c>
      <c r="L419" s="16">
        <v>710000000</v>
      </c>
      <c r="M419" s="16" t="str">
        <f t="shared" si="160"/>
        <v>0710000000</v>
      </c>
      <c r="N419" s="16" t="str">
        <f t="shared" si="161"/>
        <v>60508010710000000000</v>
      </c>
    </row>
    <row r="420" spans="2:14" s="16" customFormat="1" ht="63.75">
      <c r="B420" s="14"/>
      <c r="C420" s="197" t="s">
        <v>244</v>
      </c>
      <c r="D420" s="203" t="s">
        <v>372</v>
      </c>
      <c r="E420" s="204" t="s">
        <v>238</v>
      </c>
      <c r="F420" s="204" t="s">
        <v>11</v>
      </c>
      <c r="G420" s="204" t="s">
        <v>245</v>
      </c>
      <c r="H420" s="204" t="s">
        <v>9</v>
      </c>
      <c r="I420" s="26">
        <f t="shared" si="172"/>
        <v>1094.2</v>
      </c>
      <c r="J420" s="26">
        <f t="shared" si="172"/>
        <v>1096.2</v>
      </c>
      <c r="K420" s="26">
        <f t="shared" si="172"/>
        <v>1096.2</v>
      </c>
      <c r="L420" s="16">
        <v>710100000</v>
      </c>
      <c r="M420" s="16" t="str">
        <f t="shared" si="160"/>
        <v>0710100000</v>
      </c>
      <c r="N420" s="16" t="str">
        <f t="shared" si="161"/>
        <v>60508010710100000000</v>
      </c>
    </row>
    <row r="421" spans="2:14" s="16" customFormat="1" ht="25.5">
      <c r="B421" s="14"/>
      <c r="C421" s="197" t="s">
        <v>246</v>
      </c>
      <c r="D421" s="203" t="s">
        <v>372</v>
      </c>
      <c r="E421" s="204" t="s">
        <v>238</v>
      </c>
      <c r="F421" s="204" t="s">
        <v>11</v>
      </c>
      <c r="G421" s="204" t="s">
        <v>247</v>
      </c>
      <c r="H421" s="204" t="s">
        <v>9</v>
      </c>
      <c r="I421" s="26">
        <f>I422</f>
        <v>1094.2</v>
      </c>
      <c r="J421" s="26">
        <f>J422</f>
        <v>1096.2</v>
      </c>
      <c r="K421" s="26">
        <f>K422</f>
        <v>1096.2</v>
      </c>
      <c r="L421" s="16">
        <v>710120060</v>
      </c>
      <c r="M421" s="16" t="str">
        <f t="shared" si="160"/>
        <v>0710120060</v>
      </c>
      <c r="N421" s="16" t="str">
        <f t="shared" si="161"/>
        <v>60508010710120060000</v>
      </c>
    </row>
    <row r="422" spans="2:14" s="16" customFormat="1" ht="25.5">
      <c r="B422" s="14"/>
      <c r="C422" s="197" t="s">
        <v>28</v>
      </c>
      <c r="D422" s="203" t="s">
        <v>372</v>
      </c>
      <c r="E422" s="204" t="s">
        <v>238</v>
      </c>
      <c r="F422" s="204" t="s">
        <v>11</v>
      </c>
      <c r="G422" s="204" t="s">
        <v>247</v>
      </c>
      <c r="H422" s="204" t="s">
        <v>29</v>
      </c>
      <c r="I422" s="20">
        <f>987+109.2-1-1</f>
        <v>1094.2</v>
      </c>
      <c r="J422" s="20">
        <f>987+109.2</f>
        <v>1096.2</v>
      </c>
      <c r="K422" s="20">
        <f>987+109.2</f>
        <v>1096.2</v>
      </c>
      <c r="L422" s="16">
        <v>710120060</v>
      </c>
      <c r="M422" s="16" t="str">
        <f t="shared" si="160"/>
        <v>0710120060</v>
      </c>
      <c r="N422" s="16" t="str">
        <f t="shared" si="161"/>
        <v>60508010710120060240</v>
      </c>
    </row>
    <row r="423" spans="2:14" s="34" customFormat="1">
      <c r="B423" s="33"/>
      <c r="C423" s="191" t="s">
        <v>316</v>
      </c>
      <c r="D423" s="192" t="s">
        <v>372</v>
      </c>
      <c r="E423" s="193" t="s">
        <v>317</v>
      </c>
      <c r="F423" s="193" t="s">
        <v>7</v>
      </c>
      <c r="G423" s="193" t="s">
        <v>8</v>
      </c>
      <c r="H423" s="193" t="s">
        <v>9</v>
      </c>
      <c r="I423" s="18">
        <f t="shared" ref="I423:K428" si="173">I424</f>
        <v>2250.3200000000002</v>
      </c>
      <c r="J423" s="18">
        <f t="shared" si="173"/>
        <v>2250.3200000000002</v>
      </c>
      <c r="K423" s="18">
        <f t="shared" si="173"/>
        <v>2250.3200000000002</v>
      </c>
      <c r="L423" s="34">
        <v>0</v>
      </c>
      <c r="M423" s="16" t="str">
        <f t="shared" si="160"/>
        <v>0000000000</v>
      </c>
      <c r="N423" s="16" t="str">
        <f t="shared" si="161"/>
        <v>60510000000000000000</v>
      </c>
    </row>
    <row r="424" spans="2:14" s="23" customFormat="1">
      <c r="B424" s="21"/>
      <c r="C424" s="194" t="s">
        <v>318</v>
      </c>
      <c r="D424" s="195" t="s">
        <v>372</v>
      </c>
      <c r="E424" s="196" t="s">
        <v>317</v>
      </c>
      <c r="F424" s="196" t="s">
        <v>13</v>
      </c>
      <c r="G424" s="196" t="s">
        <v>8</v>
      </c>
      <c r="H424" s="196" t="s">
        <v>9</v>
      </c>
      <c r="I424" s="19">
        <f t="shared" si="173"/>
        <v>2250.3200000000002</v>
      </c>
      <c r="J424" s="19">
        <f t="shared" si="173"/>
        <v>2250.3200000000002</v>
      </c>
      <c r="K424" s="19">
        <f t="shared" si="173"/>
        <v>2250.3200000000002</v>
      </c>
      <c r="L424" s="23">
        <v>0</v>
      </c>
      <c r="M424" s="16" t="str">
        <f t="shared" si="160"/>
        <v>0000000000</v>
      </c>
      <c r="N424" s="16" t="str">
        <f t="shared" si="161"/>
        <v>60510030000000000000</v>
      </c>
    </row>
    <row r="425" spans="2:14" s="16" customFormat="1" ht="25.5">
      <c r="B425" s="14"/>
      <c r="C425" s="214" t="s">
        <v>385</v>
      </c>
      <c r="D425" s="198" t="s">
        <v>372</v>
      </c>
      <c r="E425" s="199" t="s">
        <v>317</v>
      </c>
      <c r="F425" s="199" t="s">
        <v>13</v>
      </c>
      <c r="G425" s="199" t="s">
        <v>386</v>
      </c>
      <c r="H425" s="199" t="s">
        <v>9</v>
      </c>
      <c r="I425" s="20">
        <f t="shared" si="173"/>
        <v>2250.3200000000002</v>
      </c>
      <c r="J425" s="20">
        <f t="shared" si="173"/>
        <v>2250.3200000000002</v>
      </c>
      <c r="K425" s="20">
        <f t="shared" si="173"/>
        <v>2250.3200000000002</v>
      </c>
      <c r="L425" s="16">
        <v>300000000</v>
      </c>
      <c r="M425" s="16" t="str">
        <f t="shared" si="160"/>
        <v>0300000000</v>
      </c>
      <c r="N425" s="16" t="str">
        <f t="shared" si="161"/>
        <v>60510030300000000000</v>
      </c>
    </row>
    <row r="426" spans="2:14" s="16" customFormat="1" ht="38.25">
      <c r="B426" s="14"/>
      <c r="C426" s="214" t="s">
        <v>387</v>
      </c>
      <c r="D426" s="198" t="s">
        <v>372</v>
      </c>
      <c r="E426" s="199" t="s">
        <v>317</v>
      </c>
      <c r="F426" s="199" t="s">
        <v>13</v>
      </c>
      <c r="G426" s="199" t="s">
        <v>388</v>
      </c>
      <c r="H426" s="199" t="s">
        <v>9</v>
      </c>
      <c r="I426" s="20">
        <f t="shared" si="173"/>
        <v>2250.3200000000002</v>
      </c>
      <c r="J426" s="20">
        <f t="shared" si="173"/>
        <v>2250.3200000000002</v>
      </c>
      <c r="K426" s="20">
        <f t="shared" si="173"/>
        <v>2250.3200000000002</v>
      </c>
      <c r="L426" s="16">
        <v>320000000</v>
      </c>
      <c r="M426" s="16" t="str">
        <f t="shared" si="160"/>
        <v>0320000000</v>
      </c>
      <c r="N426" s="16" t="str">
        <f t="shared" si="161"/>
        <v>60510030320000000000</v>
      </c>
    </row>
    <row r="427" spans="2:14" s="16" customFormat="1" ht="38.25">
      <c r="B427" s="14"/>
      <c r="C427" s="197" t="s">
        <v>389</v>
      </c>
      <c r="D427" s="198" t="s">
        <v>372</v>
      </c>
      <c r="E427" s="199" t="s">
        <v>317</v>
      </c>
      <c r="F427" s="199" t="s">
        <v>13</v>
      </c>
      <c r="G427" s="199" t="s">
        <v>390</v>
      </c>
      <c r="H427" s="199" t="s">
        <v>9</v>
      </c>
      <c r="I427" s="20">
        <f t="shared" si="173"/>
        <v>2250.3200000000002</v>
      </c>
      <c r="J427" s="20">
        <f t="shared" si="173"/>
        <v>2250.3200000000002</v>
      </c>
      <c r="K427" s="20">
        <f t="shared" si="173"/>
        <v>2250.3200000000002</v>
      </c>
      <c r="L427" s="16">
        <v>320200000</v>
      </c>
      <c r="M427" s="16" t="str">
        <f t="shared" si="160"/>
        <v>0320200000</v>
      </c>
      <c r="N427" s="16" t="str">
        <f t="shared" si="161"/>
        <v>60510030320200000000</v>
      </c>
    </row>
    <row r="428" spans="2:14" s="16" customFormat="1" ht="25.5">
      <c r="B428" s="14"/>
      <c r="C428" s="197" t="s">
        <v>391</v>
      </c>
      <c r="D428" s="198" t="s">
        <v>372</v>
      </c>
      <c r="E428" s="199" t="s">
        <v>317</v>
      </c>
      <c r="F428" s="199" t="s">
        <v>13</v>
      </c>
      <c r="G428" s="199" t="s">
        <v>392</v>
      </c>
      <c r="H428" s="199" t="s">
        <v>9</v>
      </c>
      <c r="I428" s="20">
        <f t="shared" si="173"/>
        <v>2250.3200000000002</v>
      </c>
      <c r="J428" s="20">
        <f t="shared" si="173"/>
        <v>2250.3200000000002</v>
      </c>
      <c r="K428" s="20">
        <f t="shared" si="173"/>
        <v>2250.3200000000002</v>
      </c>
      <c r="L428" s="16">
        <v>320280240</v>
      </c>
      <c r="M428" s="16" t="str">
        <f t="shared" si="160"/>
        <v>0320280240</v>
      </c>
      <c r="N428" s="16" t="str">
        <f t="shared" si="161"/>
        <v>60510030320280240000</v>
      </c>
    </row>
    <row r="429" spans="2:14" s="16" customFormat="1" ht="38.25">
      <c r="B429" s="14"/>
      <c r="C429" s="201" t="s">
        <v>203</v>
      </c>
      <c r="D429" s="198" t="s">
        <v>372</v>
      </c>
      <c r="E429" s="199" t="s">
        <v>317</v>
      </c>
      <c r="F429" s="199" t="s">
        <v>13</v>
      </c>
      <c r="G429" s="199" t="s">
        <v>392</v>
      </c>
      <c r="H429" s="199" t="s">
        <v>204</v>
      </c>
      <c r="I429" s="329">
        <f>2250.32</f>
        <v>2250.3200000000002</v>
      </c>
      <c r="J429" s="20">
        <f t="shared" ref="J429:K429" si="174">2250.32</f>
        <v>2250.3200000000002</v>
      </c>
      <c r="K429" s="20">
        <f t="shared" si="174"/>
        <v>2250.3200000000002</v>
      </c>
      <c r="L429" s="16">
        <v>320280240</v>
      </c>
      <c r="M429" s="16" t="str">
        <f t="shared" si="160"/>
        <v>0320280240</v>
      </c>
      <c r="N429" s="16" t="str">
        <f t="shared" si="161"/>
        <v>60510030320280240810</v>
      </c>
    </row>
    <row r="430" spans="2:14" s="16" customFormat="1">
      <c r="B430" s="14"/>
      <c r="C430" s="201"/>
      <c r="D430" s="198"/>
      <c r="E430" s="199"/>
      <c r="F430" s="199"/>
      <c r="G430" s="199"/>
      <c r="H430" s="199"/>
      <c r="I430" s="20"/>
      <c r="J430" s="20"/>
      <c r="K430" s="20"/>
      <c r="M430" s="16" t="str">
        <f t="shared" si="160"/>
        <v>0000000000</v>
      </c>
      <c r="N430" s="16" t="str">
        <f t="shared" si="161"/>
        <v>0000000000</v>
      </c>
    </row>
    <row r="431" spans="2:14" s="17" customFormat="1">
      <c r="B431" s="14"/>
      <c r="C431" s="202" t="s">
        <v>393</v>
      </c>
      <c r="D431" s="189" t="s">
        <v>394</v>
      </c>
      <c r="E431" s="190" t="s">
        <v>7</v>
      </c>
      <c r="F431" s="190" t="s">
        <v>7</v>
      </c>
      <c r="G431" s="190" t="s">
        <v>8</v>
      </c>
      <c r="H431" s="190" t="s">
        <v>9</v>
      </c>
      <c r="I431" s="25">
        <f>I432+I677</f>
        <v>3862357.7299999995</v>
      </c>
      <c r="J431" s="25">
        <f>J432+J677</f>
        <v>3600598.4900000007</v>
      </c>
      <c r="K431" s="25">
        <f>K432+K677</f>
        <v>3595657.78</v>
      </c>
      <c r="L431" s="17">
        <v>0</v>
      </c>
      <c r="M431" s="16" t="str">
        <f t="shared" si="160"/>
        <v>0000000000</v>
      </c>
      <c r="N431" s="16" t="str">
        <f t="shared" si="161"/>
        <v>60600000000000000000</v>
      </c>
    </row>
    <row r="432" spans="2:14" s="17" customFormat="1">
      <c r="B432" s="14"/>
      <c r="C432" s="191" t="s">
        <v>228</v>
      </c>
      <c r="D432" s="192" t="s">
        <v>394</v>
      </c>
      <c r="E432" s="193" t="s">
        <v>229</v>
      </c>
      <c r="F432" s="193" t="s">
        <v>7</v>
      </c>
      <c r="G432" s="193" t="s">
        <v>8</v>
      </c>
      <c r="H432" s="193" t="s">
        <v>9</v>
      </c>
      <c r="I432" s="18">
        <f>I433+I481+I612+I631+I567</f>
        <v>3727396.5399999996</v>
      </c>
      <c r="J432" s="18">
        <f>J433+J481+J612+J631+J567</f>
        <v>3470043.6000000006</v>
      </c>
      <c r="K432" s="18">
        <f>K433+K481+K612+K631+K567</f>
        <v>3465102.8899999997</v>
      </c>
      <c r="L432" s="17">
        <v>0</v>
      </c>
      <c r="M432" s="16" t="str">
        <f t="shared" si="160"/>
        <v>0000000000</v>
      </c>
      <c r="N432" s="16" t="str">
        <f t="shared" si="161"/>
        <v>60607000000000000000</v>
      </c>
    </row>
    <row r="433" spans="2:14" s="17" customFormat="1">
      <c r="B433" s="14"/>
      <c r="C433" s="194" t="s">
        <v>395</v>
      </c>
      <c r="D433" s="195" t="s">
        <v>394</v>
      </c>
      <c r="E433" s="196" t="s">
        <v>229</v>
      </c>
      <c r="F433" s="196" t="s">
        <v>11</v>
      </c>
      <c r="G433" s="196" t="s">
        <v>8</v>
      </c>
      <c r="H433" s="196" t="s">
        <v>9</v>
      </c>
      <c r="I433" s="19">
        <f>I434+I468+I476+I460</f>
        <v>1592465.6399999997</v>
      </c>
      <c r="J433" s="19">
        <f>J434+J468+J476+J460</f>
        <v>1508832.28</v>
      </c>
      <c r="K433" s="19">
        <f>K434+K468+K476+K460</f>
        <v>1501040.4299999997</v>
      </c>
      <c r="L433" s="17">
        <v>0</v>
      </c>
      <c r="M433" s="16" t="str">
        <f t="shared" si="160"/>
        <v>0000000000</v>
      </c>
      <c r="N433" s="16" t="str">
        <f t="shared" si="161"/>
        <v>60607010000000000000</v>
      </c>
    </row>
    <row r="434" spans="2:14" s="17" customFormat="1" ht="25.5">
      <c r="B434" s="14"/>
      <c r="C434" s="205" t="s">
        <v>396</v>
      </c>
      <c r="D434" s="198" t="s">
        <v>394</v>
      </c>
      <c r="E434" s="199" t="s">
        <v>229</v>
      </c>
      <c r="F434" s="199" t="s">
        <v>11</v>
      </c>
      <c r="G434" s="199" t="s">
        <v>397</v>
      </c>
      <c r="H434" s="199" t="s">
        <v>9</v>
      </c>
      <c r="I434" s="20">
        <f>I435</f>
        <v>1582772.4599999997</v>
      </c>
      <c r="J434" s="20">
        <f>J435</f>
        <v>1482200.77</v>
      </c>
      <c r="K434" s="20">
        <f>K435</f>
        <v>1494658.9199999997</v>
      </c>
      <c r="L434" s="17">
        <v>100000000</v>
      </c>
      <c r="M434" s="16" t="str">
        <f t="shared" si="160"/>
        <v>0100000000</v>
      </c>
      <c r="N434" s="16" t="str">
        <f t="shared" si="161"/>
        <v>60607010100000000000</v>
      </c>
    </row>
    <row r="435" spans="2:14" s="17" customFormat="1" ht="25.5">
      <c r="B435" s="14"/>
      <c r="C435" s="205" t="s">
        <v>398</v>
      </c>
      <c r="D435" s="198" t="s">
        <v>394</v>
      </c>
      <c r="E435" s="199" t="s">
        <v>229</v>
      </c>
      <c r="F435" s="199" t="s">
        <v>11</v>
      </c>
      <c r="G435" s="199" t="s">
        <v>399</v>
      </c>
      <c r="H435" s="199" t="s">
        <v>9</v>
      </c>
      <c r="I435" s="20">
        <f>I436+I455</f>
        <v>1582772.4599999997</v>
      </c>
      <c r="J435" s="20">
        <f>J436+J455</f>
        <v>1482200.77</v>
      </c>
      <c r="K435" s="20">
        <f>K436+K455</f>
        <v>1494658.9199999997</v>
      </c>
      <c r="L435" s="17">
        <v>110000000</v>
      </c>
      <c r="M435" s="16" t="str">
        <f t="shared" si="160"/>
        <v>0110000000</v>
      </c>
      <c r="N435" s="16" t="str">
        <f t="shared" si="161"/>
        <v>60607010110000000000</v>
      </c>
    </row>
    <row r="436" spans="2:14" s="17" customFormat="1" ht="25.5">
      <c r="B436" s="14"/>
      <c r="C436" s="205" t="s">
        <v>400</v>
      </c>
      <c r="D436" s="198" t="s">
        <v>394</v>
      </c>
      <c r="E436" s="199" t="s">
        <v>229</v>
      </c>
      <c r="F436" s="199" t="s">
        <v>11</v>
      </c>
      <c r="G436" s="199" t="s">
        <v>401</v>
      </c>
      <c r="H436" s="199" t="s">
        <v>9</v>
      </c>
      <c r="I436" s="20">
        <f>I437+I444+I449+I452</f>
        <v>1548890.3099999998</v>
      </c>
      <c r="J436" s="20">
        <f t="shared" ref="J436:K436" si="175">J437+J444+J449+J452</f>
        <v>1468670.11</v>
      </c>
      <c r="K436" s="20">
        <f t="shared" si="175"/>
        <v>1481128.2599999998</v>
      </c>
      <c r="L436" s="17">
        <v>110100000</v>
      </c>
      <c r="M436" s="16" t="str">
        <f t="shared" si="160"/>
        <v>0110100000</v>
      </c>
      <c r="N436" s="16" t="str">
        <f t="shared" si="161"/>
        <v>60607010110100000000</v>
      </c>
    </row>
    <row r="437" spans="2:14" s="17" customFormat="1" ht="25.5">
      <c r="B437" s="14"/>
      <c r="C437" s="205" t="s">
        <v>136</v>
      </c>
      <c r="D437" s="198" t="s">
        <v>394</v>
      </c>
      <c r="E437" s="199" t="s">
        <v>229</v>
      </c>
      <c r="F437" s="199" t="s">
        <v>11</v>
      </c>
      <c r="G437" s="199" t="s">
        <v>402</v>
      </c>
      <c r="H437" s="199" t="s">
        <v>9</v>
      </c>
      <c r="I437" s="20">
        <f>I438+I441</f>
        <v>721784.62</v>
      </c>
      <c r="J437" s="20">
        <f t="shared" ref="J437:K437" si="176">J438+J441</f>
        <v>721206.52</v>
      </c>
      <c r="K437" s="20">
        <f t="shared" si="176"/>
        <v>721206.52</v>
      </c>
      <c r="L437" s="17">
        <v>110111010</v>
      </c>
      <c r="M437" s="16" t="str">
        <f t="shared" si="160"/>
        <v>0110111010</v>
      </c>
      <c r="N437" s="16" t="str">
        <f t="shared" si="161"/>
        <v>60607010110111010000</v>
      </c>
    </row>
    <row r="438" spans="2:14" s="17" customFormat="1">
      <c r="B438" s="14"/>
      <c r="C438" s="205" t="s">
        <v>403</v>
      </c>
      <c r="D438" s="198" t="s">
        <v>394</v>
      </c>
      <c r="E438" s="199" t="s">
        <v>229</v>
      </c>
      <c r="F438" s="199" t="s">
        <v>11</v>
      </c>
      <c r="G438" s="199" t="s">
        <v>402</v>
      </c>
      <c r="H438" s="199" t="s">
        <v>404</v>
      </c>
      <c r="I438" s="20">
        <f>654475.59+3361.6+2235.79+I440+2651.76+17412.95+6208.76+348.81</f>
        <v>690233.03</v>
      </c>
      <c r="J438" s="20">
        <f>654475.59+3361.6+2235.79+12215.67+17412.95</f>
        <v>689701.6</v>
      </c>
      <c r="K438" s="20">
        <f>654475.59+3361.6+2235.79+12215.67+17412.95</f>
        <v>689701.6</v>
      </c>
      <c r="L438" s="17">
        <v>110111010</v>
      </c>
      <c r="M438" s="16" t="str">
        <f t="shared" si="160"/>
        <v>0110111010</v>
      </c>
      <c r="N438" s="16" t="str">
        <f t="shared" si="161"/>
        <v>60607010110111010610</v>
      </c>
    </row>
    <row r="439" spans="2:14" s="17" customFormat="1">
      <c r="B439" s="14"/>
      <c r="C439" s="220" t="s">
        <v>1104</v>
      </c>
      <c r="D439" s="198"/>
      <c r="E439" s="199"/>
      <c r="F439" s="199"/>
      <c r="G439" s="199"/>
      <c r="H439" s="199"/>
      <c r="I439" s="20"/>
      <c r="J439" s="20"/>
      <c r="K439" s="20"/>
      <c r="M439" s="16" t="str">
        <f t="shared" si="160"/>
        <v>0000000000</v>
      </c>
      <c r="N439" s="16" t="str">
        <f t="shared" si="161"/>
        <v>0000000000</v>
      </c>
    </row>
    <row r="440" spans="2:14" s="17" customFormat="1">
      <c r="B440" s="14"/>
      <c r="C440" s="221" t="s">
        <v>1105</v>
      </c>
      <c r="D440" s="222" t="s">
        <v>394</v>
      </c>
      <c r="E440" s="223" t="s">
        <v>229</v>
      </c>
      <c r="F440" s="223" t="s">
        <v>11</v>
      </c>
      <c r="G440" s="223" t="s">
        <v>402</v>
      </c>
      <c r="H440" s="223" t="s">
        <v>404</v>
      </c>
      <c r="I440" s="224">
        <f>3199.29+338.48</f>
        <v>3537.77</v>
      </c>
      <c r="J440" s="224">
        <v>0</v>
      </c>
      <c r="K440" s="224">
        <v>0</v>
      </c>
      <c r="L440" s="17">
        <v>110111010</v>
      </c>
      <c r="M440" s="16" t="str">
        <f t="shared" si="160"/>
        <v>0110111010</v>
      </c>
      <c r="N440" s="16" t="str">
        <f t="shared" si="161"/>
        <v>60607010110111010610</v>
      </c>
    </row>
    <row r="441" spans="2:14" s="17" customFormat="1">
      <c r="B441" s="14"/>
      <c r="C441" s="205" t="s">
        <v>409</v>
      </c>
      <c r="D441" s="198" t="s">
        <v>394</v>
      </c>
      <c r="E441" s="199" t="s">
        <v>229</v>
      </c>
      <c r="F441" s="199" t="s">
        <v>11</v>
      </c>
      <c r="G441" s="199" t="s">
        <v>402</v>
      </c>
      <c r="H441" s="199" t="s">
        <v>410</v>
      </c>
      <c r="I441" s="20">
        <f>30149.25+126.56+I443+112.78+722.09</f>
        <v>31551.59</v>
      </c>
      <c r="J441" s="20">
        <f>30149.25+126.56+J443+507.02+722.09</f>
        <v>31504.920000000002</v>
      </c>
      <c r="K441" s="20">
        <f>30149.25+126.56+K443+507.02+722.09</f>
        <v>31504.920000000002</v>
      </c>
      <c r="L441" s="17">
        <v>110111010</v>
      </c>
      <c r="M441" s="16" t="str">
        <f t="shared" si="160"/>
        <v>0110111010</v>
      </c>
      <c r="N441" s="16" t="str">
        <f t="shared" si="161"/>
        <v>60607010110111010620</v>
      </c>
    </row>
    <row r="442" spans="2:14" s="17" customFormat="1">
      <c r="B442" s="14"/>
      <c r="C442" s="220" t="s">
        <v>1104</v>
      </c>
      <c r="D442" s="198"/>
      <c r="E442" s="199"/>
      <c r="F442" s="199"/>
      <c r="G442" s="199"/>
      <c r="H442" s="199"/>
      <c r="I442" s="20"/>
      <c r="J442" s="20"/>
      <c r="K442" s="20"/>
      <c r="M442" s="16" t="str">
        <f t="shared" si="160"/>
        <v>0000000000</v>
      </c>
      <c r="N442" s="16" t="str">
        <f t="shared" si="161"/>
        <v>0000000000</v>
      </c>
    </row>
    <row r="443" spans="2:14" s="17" customFormat="1">
      <c r="B443" s="14"/>
      <c r="C443" s="221" t="s">
        <v>1105</v>
      </c>
      <c r="D443" s="222" t="s">
        <v>394</v>
      </c>
      <c r="E443" s="223" t="s">
        <v>229</v>
      </c>
      <c r="F443" s="223" t="s">
        <v>11</v>
      </c>
      <c r="G443" s="223" t="s">
        <v>402</v>
      </c>
      <c r="H443" s="223" t="s">
        <v>410</v>
      </c>
      <c r="I443" s="224">
        <f>440.91</f>
        <v>440.91</v>
      </c>
      <c r="J443" s="224">
        <v>0</v>
      </c>
      <c r="K443" s="224">
        <v>0</v>
      </c>
      <c r="L443" s="17">
        <v>110111010</v>
      </c>
      <c r="M443" s="16" t="str">
        <f t="shared" si="160"/>
        <v>0110111010</v>
      </c>
      <c r="N443" s="16" t="str">
        <f t="shared" si="161"/>
        <v>60607010110111010620</v>
      </c>
    </row>
    <row r="444" spans="2:14" s="17" customFormat="1" ht="76.5">
      <c r="B444" s="14" t="s">
        <v>80</v>
      </c>
      <c r="C444" s="197" t="s">
        <v>413</v>
      </c>
      <c r="D444" s="198" t="s">
        <v>394</v>
      </c>
      <c r="E444" s="199" t="s">
        <v>229</v>
      </c>
      <c r="F444" s="199" t="s">
        <v>11</v>
      </c>
      <c r="G444" s="199" t="s">
        <v>414</v>
      </c>
      <c r="H444" s="199" t="s">
        <v>9</v>
      </c>
      <c r="I444" s="20">
        <f>I446+I447+I448+I445</f>
        <v>770174.7</v>
      </c>
      <c r="J444" s="20">
        <f>J446+J447+J448+J445</f>
        <v>747463.59000000008</v>
      </c>
      <c r="K444" s="20">
        <f>K446+K447+K448+K445</f>
        <v>759921.73999999987</v>
      </c>
      <c r="L444" s="17">
        <v>110177170</v>
      </c>
      <c r="M444" s="16" t="str">
        <f t="shared" si="160"/>
        <v>0110177170</v>
      </c>
      <c r="N444" s="16" t="str">
        <f t="shared" si="161"/>
        <v>60607010110177170000</v>
      </c>
    </row>
    <row r="445" spans="2:14" s="17" customFormat="1" ht="25.5">
      <c r="B445" s="14"/>
      <c r="C445" s="205" t="s">
        <v>327</v>
      </c>
      <c r="D445" s="198" t="s">
        <v>394</v>
      </c>
      <c r="E445" s="199" t="s">
        <v>229</v>
      </c>
      <c r="F445" s="199" t="s">
        <v>11</v>
      </c>
      <c r="G445" s="199" t="s">
        <v>414</v>
      </c>
      <c r="H445" s="199" t="s">
        <v>328</v>
      </c>
      <c r="I445" s="20">
        <f>19.88</f>
        <v>19.88</v>
      </c>
      <c r="J445" s="20">
        <v>0</v>
      </c>
      <c r="K445" s="20">
        <v>0</v>
      </c>
      <c r="L445" s="17">
        <v>110177170</v>
      </c>
      <c r="M445" s="16" t="str">
        <f t="shared" si="160"/>
        <v>0110177170</v>
      </c>
      <c r="N445" s="16" t="str">
        <f t="shared" si="161"/>
        <v>60607010110177170320</v>
      </c>
    </row>
    <row r="446" spans="2:14" s="17" customFormat="1">
      <c r="B446" s="14"/>
      <c r="C446" s="205" t="s">
        <v>403</v>
      </c>
      <c r="D446" s="198" t="s">
        <v>394</v>
      </c>
      <c r="E446" s="199" t="s">
        <v>229</v>
      </c>
      <c r="F446" s="199" t="s">
        <v>11</v>
      </c>
      <c r="G446" s="199" t="s">
        <v>414</v>
      </c>
      <c r="H446" s="199" t="s">
        <v>404</v>
      </c>
      <c r="I446" s="20">
        <f>697969.32+4695.26+28933.67-19.88</f>
        <v>731578.37</v>
      </c>
      <c r="J446" s="20">
        <v>709342.29</v>
      </c>
      <c r="K446" s="20">
        <v>721037.94</v>
      </c>
      <c r="L446" s="17">
        <v>110177170</v>
      </c>
      <c r="M446" s="16" t="str">
        <f t="shared" si="160"/>
        <v>0110177170</v>
      </c>
      <c r="N446" s="16" t="str">
        <f t="shared" si="161"/>
        <v>60607010110177170610</v>
      </c>
    </row>
    <row r="447" spans="2:14" s="17" customFormat="1">
      <c r="B447" s="14"/>
      <c r="C447" s="205" t="s">
        <v>409</v>
      </c>
      <c r="D447" s="198" t="s">
        <v>394</v>
      </c>
      <c r="E447" s="199" t="s">
        <v>229</v>
      </c>
      <c r="F447" s="199" t="s">
        <v>11</v>
      </c>
      <c r="G447" s="199" t="s">
        <v>414</v>
      </c>
      <c r="H447" s="199" t="s">
        <v>410</v>
      </c>
      <c r="I447" s="20">
        <f>32582.5+1066.33</f>
        <v>33648.83</v>
      </c>
      <c r="J447" s="20">
        <v>33113.4</v>
      </c>
      <c r="K447" s="20">
        <v>33775.699999999997</v>
      </c>
      <c r="L447" s="17">
        <v>110177170</v>
      </c>
      <c r="M447" s="16" t="str">
        <f t="shared" si="160"/>
        <v>0110177170</v>
      </c>
      <c r="N447" s="16" t="str">
        <f t="shared" si="161"/>
        <v>60607010110177170620</v>
      </c>
    </row>
    <row r="448" spans="2:14" s="17" customFormat="1" ht="25.5">
      <c r="B448" s="14"/>
      <c r="C448" s="197" t="s">
        <v>182</v>
      </c>
      <c r="D448" s="198" t="s">
        <v>394</v>
      </c>
      <c r="E448" s="199" t="s">
        <v>229</v>
      </c>
      <c r="F448" s="199" t="s">
        <v>11</v>
      </c>
      <c r="G448" s="199" t="s">
        <v>414</v>
      </c>
      <c r="H448" s="199" t="s">
        <v>183</v>
      </c>
      <c r="I448" s="329">
        <v>4927.62</v>
      </c>
      <c r="J448" s="20">
        <v>5007.8999999999996</v>
      </c>
      <c r="K448" s="20">
        <v>5108.1000000000004</v>
      </c>
      <c r="L448" s="17">
        <v>110177170</v>
      </c>
      <c r="M448" s="16" t="str">
        <f t="shared" si="160"/>
        <v>0110177170</v>
      </c>
      <c r="N448" s="16" t="str">
        <f t="shared" si="161"/>
        <v>60607010110177170630</v>
      </c>
    </row>
    <row r="449" spans="2:14" s="17" customFormat="1" ht="191.25">
      <c r="B449" s="14" t="s">
        <v>2282</v>
      </c>
      <c r="C449" s="197" t="s">
        <v>2269</v>
      </c>
      <c r="D449" s="198" t="s">
        <v>394</v>
      </c>
      <c r="E449" s="199" t="s">
        <v>229</v>
      </c>
      <c r="F449" s="199" t="s">
        <v>11</v>
      </c>
      <c r="G449" s="199" t="s">
        <v>1277</v>
      </c>
      <c r="H449" s="199" t="s">
        <v>9</v>
      </c>
      <c r="I449" s="20">
        <f>SUM(I450:I451)</f>
        <v>12722.69</v>
      </c>
      <c r="J449" s="20">
        <f t="shared" ref="J449:K449" si="177">SUM(J450:J451)</f>
        <v>0</v>
      </c>
      <c r="K449" s="20">
        <f t="shared" si="177"/>
        <v>0</v>
      </c>
      <c r="L449" s="17">
        <v>110177460</v>
      </c>
      <c r="M449" s="16" t="str">
        <f t="shared" si="160"/>
        <v>0110177460</v>
      </c>
      <c r="N449" s="16" t="str">
        <f t="shared" si="161"/>
        <v>60607010110177460000</v>
      </c>
    </row>
    <row r="450" spans="2:14" s="17" customFormat="1">
      <c r="B450" s="14"/>
      <c r="C450" s="205" t="s">
        <v>403</v>
      </c>
      <c r="D450" s="198" t="s">
        <v>394</v>
      </c>
      <c r="E450" s="199" t="s">
        <v>229</v>
      </c>
      <c r="F450" s="199" t="s">
        <v>11</v>
      </c>
      <c r="G450" s="199" t="s">
        <v>1277</v>
      </c>
      <c r="H450" s="199" t="s">
        <v>404</v>
      </c>
      <c r="I450" s="20">
        <f>12215.67</f>
        <v>12215.67</v>
      </c>
      <c r="J450" s="20">
        <v>0</v>
      </c>
      <c r="K450" s="20">
        <v>0</v>
      </c>
      <c r="L450" s="17">
        <v>110177460</v>
      </c>
      <c r="M450" s="16" t="str">
        <f t="shared" si="160"/>
        <v>0110177460</v>
      </c>
      <c r="N450" s="16" t="str">
        <f t="shared" si="161"/>
        <v>60607010110177460610</v>
      </c>
    </row>
    <row r="451" spans="2:14" s="17" customFormat="1">
      <c r="B451" s="14"/>
      <c r="C451" s="205" t="s">
        <v>409</v>
      </c>
      <c r="D451" s="198" t="s">
        <v>394</v>
      </c>
      <c r="E451" s="199" t="s">
        <v>229</v>
      </c>
      <c r="F451" s="199" t="s">
        <v>11</v>
      </c>
      <c r="G451" s="199" t="s">
        <v>1277</v>
      </c>
      <c r="H451" s="199" t="s">
        <v>410</v>
      </c>
      <c r="I451" s="20">
        <f>507.02</f>
        <v>507.02</v>
      </c>
      <c r="J451" s="20">
        <v>0</v>
      </c>
      <c r="K451" s="20">
        <v>0</v>
      </c>
      <c r="L451" s="17">
        <v>110177460</v>
      </c>
      <c r="M451" s="16" t="str">
        <f t="shared" si="160"/>
        <v>0110177460</v>
      </c>
      <c r="N451" s="16" t="str">
        <f t="shared" si="161"/>
        <v>60607010110177460620</v>
      </c>
    </row>
    <row r="452" spans="2:14" s="17" customFormat="1" ht="165.75">
      <c r="B452" s="14"/>
      <c r="C452" s="200" t="s">
        <v>2247</v>
      </c>
      <c r="D452" s="198" t="s">
        <v>394</v>
      </c>
      <c r="E452" s="199" t="s">
        <v>229</v>
      </c>
      <c r="F452" s="199" t="s">
        <v>11</v>
      </c>
      <c r="G452" s="199" t="s">
        <v>2259</v>
      </c>
      <c r="H452" s="199" t="s">
        <v>9</v>
      </c>
      <c r="I452" s="20">
        <f>SUM(I453:I454)</f>
        <v>44208.299999999996</v>
      </c>
      <c r="J452" s="20">
        <f t="shared" ref="J452:K452" si="178">SUM(J453:J454)</f>
        <v>0</v>
      </c>
      <c r="K452" s="20">
        <f t="shared" si="178"/>
        <v>0</v>
      </c>
      <c r="L452" s="17">
        <v>110177580</v>
      </c>
      <c r="M452" s="16" t="str">
        <f t="shared" si="160"/>
        <v>0110177580</v>
      </c>
      <c r="N452" s="16" t="str">
        <f t="shared" si="161"/>
        <v>60607010110177580000</v>
      </c>
    </row>
    <row r="453" spans="2:14" s="17" customFormat="1">
      <c r="B453" s="14"/>
      <c r="C453" s="205" t="s">
        <v>403</v>
      </c>
      <c r="D453" s="198" t="s">
        <v>394</v>
      </c>
      <c r="E453" s="199" t="s">
        <v>229</v>
      </c>
      <c r="F453" s="199" t="s">
        <v>11</v>
      </c>
      <c r="G453" s="199" t="s">
        <v>2259</v>
      </c>
      <c r="H453" s="199" t="s">
        <v>404</v>
      </c>
      <c r="I453" s="20">
        <f>42600.53</f>
        <v>42600.53</v>
      </c>
      <c r="J453" s="20">
        <v>0</v>
      </c>
      <c r="K453" s="20">
        <v>0</v>
      </c>
      <c r="L453" s="17">
        <v>110177580</v>
      </c>
      <c r="M453" s="16" t="str">
        <f t="shared" si="160"/>
        <v>0110177580</v>
      </c>
      <c r="N453" s="16" t="str">
        <f t="shared" si="161"/>
        <v>60607010110177580610</v>
      </c>
    </row>
    <row r="454" spans="2:14" s="17" customFormat="1">
      <c r="B454" s="14"/>
      <c r="C454" s="205" t="s">
        <v>409</v>
      </c>
      <c r="D454" s="198" t="s">
        <v>394</v>
      </c>
      <c r="E454" s="199" t="s">
        <v>229</v>
      </c>
      <c r="F454" s="199" t="s">
        <v>11</v>
      </c>
      <c r="G454" s="199" t="s">
        <v>2259</v>
      </c>
      <c r="H454" s="199" t="s">
        <v>410</v>
      </c>
      <c r="I454" s="20">
        <f>1607.77</f>
        <v>1607.77</v>
      </c>
      <c r="J454" s="20">
        <v>0</v>
      </c>
      <c r="K454" s="20">
        <v>0</v>
      </c>
      <c r="L454" s="17">
        <v>110177580</v>
      </c>
      <c r="M454" s="16" t="str">
        <f t="shared" ref="M454:M517" si="179">TEXT(L454,"0000000000")</f>
        <v>0110177580</v>
      </c>
      <c r="N454" s="16" t="str">
        <f t="shared" ref="N454:N517" si="180">D454&amp;E454&amp;F454&amp;M454&amp;H454</f>
        <v>60607010110177580620</v>
      </c>
    </row>
    <row r="455" spans="2:14" s="17" customFormat="1" ht="51">
      <c r="B455" s="14"/>
      <c r="C455" s="197" t="s">
        <v>417</v>
      </c>
      <c r="D455" s="198" t="s">
        <v>394</v>
      </c>
      <c r="E455" s="199" t="s">
        <v>229</v>
      </c>
      <c r="F455" s="199" t="s">
        <v>11</v>
      </c>
      <c r="G455" s="199" t="s">
        <v>418</v>
      </c>
      <c r="H455" s="199" t="s">
        <v>9</v>
      </c>
      <c r="I455" s="20">
        <f>I456</f>
        <v>33882.15</v>
      </c>
      <c r="J455" s="20">
        <f t="shared" ref="J455:K455" si="181">J456</f>
        <v>13530.66</v>
      </c>
      <c r="K455" s="20">
        <f t="shared" si="181"/>
        <v>13530.66</v>
      </c>
      <c r="L455" s="17">
        <v>110600000</v>
      </c>
      <c r="M455" s="16" t="str">
        <f t="shared" si="179"/>
        <v>0110600000</v>
      </c>
      <c r="N455" s="16" t="str">
        <f t="shared" si="180"/>
        <v>60607010110600000000</v>
      </c>
    </row>
    <row r="456" spans="2:14" s="17" customFormat="1" ht="25.5">
      <c r="B456" s="14"/>
      <c r="C456" s="205" t="s">
        <v>136</v>
      </c>
      <c r="D456" s="198" t="s">
        <v>394</v>
      </c>
      <c r="E456" s="199" t="s">
        <v>229</v>
      </c>
      <c r="F456" s="199" t="s">
        <v>11</v>
      </c>
      <c r="G456" s="199" t="s">
        <v>419</v>
      </c>
      <c r="H456" s="199" t="s">
        <v>9</v>
      </c>
      <c r="I456" s="20">
        <f>I459</f>
        <v>33882.15</v>
      </c>
      <c r="J456" s="20">
        <f>J459</f>
        <v>13530.66</v>
      </c>
      <c r="K456" s="20">
        <f>K459</f>
        <v>13530.66</v>
      </c>
      <c r="L456" s="17">
        <v>110611010</v>
      </c>
      <c r="M456" s="16" t="str">
        <f t="shared" si="179"/>
        <v>0110611010</v>
      </c>
      <c r="N456" s="16" t="str">
        <f t="shared" si="180"/>
        <v>60607010110611010000</v>
      </c>
    </row>
    <row r="457" spans="2:14" s="17" customFormat="1">
      <c r="B457" s="14"/>
      <c r="C457" s="220" t="s">
        <v>1104</v>
      </c>
      <c r="D457" s="198"/>
      <c r="E457" s="199"/>
      <c r="F457" s="199"/>
      <c r="G457" s="199"/>
      <c r="H457" s="199"/>
      <c r="I457" s="20"/>
      <c r="J457" s="20"/>
      <c r="K457" s="20"/>
      <c r="M457" s="16" t="str">
        <f t="shared" si="179"/>
        <v>0000000000</v>
      </c>
      <c r="N457" s="16" t="str">
        <f t="shared" si="180"/>
        <v>0000000000</v>
      </c>
    </row>
    <row r="458" spans="2:14" s="17" customFormat="1">
      <c r="B458" s="14"/>
      <c r="C458" s="221" t="s">
        <v>1105</v>
      </c>
      <c r="D458" s="222" t="s">
        <v>394</v>
      </c>
      <c r="E458" s="223" t="s">
        <v>229</v>
      </c>
      <c r="F458" s="223" t="s">
        <v>11</v>
      </c>
      <c r="G458" s="223" t="s">
        <v>419</v>
      </c>
      <c r="H458" s="223" t="s">
        <v>9</v>
      </c>
      <c r="I458" s="224">
        <f>55.36</f>
        <v>55.36</v>
      </c>
      <c r="J458" s="224">
        <v>0</v>
      </c>
      <c r="K458" s="224">
        <v>0</v>
      </c>
      <c r="L458" s="17">
        <v>110611010</v>
      </c>
      <c r="M458" s="16" t="str">
        <f t="shared" si="179"/>
        <v>0110611010</v>
      </c>
      <c r="N458" s="16" t="str">
        <f t="shared" si="180"/>
        <v>60607010110611010000</v>
      </c>
    </row>
    <row r="459" spans="2:14" s="17" customFormat="1">
      <c r="B459" s="14"/>
      <c r="C459" s="205" t="s">
        <v>403</v>
      </c>
      <c r="D459" s="198" t="s">
        <v>394</v>
      </c>
      <c r="E459" s="199" t="s">
        <v>229</v>
      </c>
      <c r="F459" s="199" t="s">
        <v>11</v>
      </c>
      <c r="G459" s="199" t="s">
        <v>419</v>
      </c>
      <c r="H459" s="199" t="s">
        <v>404</v>
      </c>
      <c r="I459" s="20">
        <f>31723.69+I458+973.1-2130.6-1774.61+5035.21</f>
        <v>33882.15</v>
      </c>
      <c r="J459" s="20">
        <f>13530.66</f>
        <v>13530.66</v>
      </c>
      <c r="K459" s="20">
        <f>13530.66</f>
        <v>13530.66</v>
      </c>
      <c r="L459" s="17">
        <v>110611010</v>
      </c>
      <c r="M459" s="16" t="str">
        <f t="shared" si="179"/>
        <v>0110611010</v>
      </c>
      <c r="N459" s="16" t="str">
        <f t="shared" si="180"/>
        <v>60607010110611010610</v>
      </c>
    </row>
    <row r="460" spans="2:14" s="17" customFormat="1" ht="38.25">
      <c r="B460" s="14"/>
      <c r="C460" s="205" t="s">
        <v>146</v>
      </c>
      <c r="D460" s="198" t="s">
        <v>394</v>
      </c>
      <c r="E460" s="199" t="s">
        <v>229</v>
      </c>
      <c r="F460" s="199" t="s">
        <v>11</v>
      </c>
      <c r="G460" s="199" t="s">
        <v>147</v>
      </c>
      <c r="H460" s="199" t="s">
        <v>9</v>
      </c>
      <c r="I460" s="20">
        <f>I461</f>
        <v>5166.93</v>
      </c>
      <c r="J460" s="20">
        <f t="shared" ref="J460:K463" si="182">J461</f>
        <v>20250</v>
      </c>
      <c r="K460" s="20">
        <f t="shared" si="182"/>
        <v>0</v>
      </c>
      <c r="L460" s="17">
        <v>1500000000</v>
      </c>
      <c r="M460" s="16" t="str">
        <f t="shared" si="179"/>
        <v>1500000000</v>
      </c>
      <c r="N460" s="16" t="str">
        <f t="shared" si="180"/>
        <v>60607011500000000000</v>
      </c>
    </row>
    <row r="461" spans="2:14" s="17" customFormat="1" ht="38.25">
      <c r="B461" s="14"/>
      <c r="C461" s="197" t="s">
        <v>1065</v>
      </c>
      <c r="D461" s="198" t="s">
        <v>394</v>
      </c>
      <c r="E461" s="199" t="s">
        <v>229</v>
      </c>
      <c r="F461" s="199" t="s">
        <v>11</v>
      </c>
      <c r="G461" s="199" t="s">
        <v>149</v>
      </c>
      <c r="H461" s="199" t="s">
        <v>9</v>
      </c>
      <c r="I461" s="20">
        <f>I462+I465</f>
        <v>5166.93</v>
      </c>
      <c r="J461" s="20">
        <f t="shared" ref="J461:K461" si="183">J462+J465</f>
        <v>20250</v>
      </c>
      <c r="K461" s="20">
        <f t="shared" si="183"/>
        <v>0</v>
      </c>
      <c r="L461" s="17">
        <v>1510000000</v>
      </c>
      <c r="M461" s="16" t="str">
        <f t="shared" si="179"/>
        <v>1510000000</v>
      </c>
      <c r="N461" s="16" t="str">
        <f t="shared" si="180"/>
        <v>60607011510000000000</v>
      </c>
    </row>
    <row r="462" spans="2:14" s="17" customFormat="1" ht="38.25">
      <c r="B462" s="14"/>
      <c r="C462" s="213" t="s">
        <v>273</v>
      </c>
      <c r="D462" s="209" t="s">
        <v>394</v>
      </c>
      <c r="E462" s="236" t="s">
        <v>229</v>
      </c>
      <c r="F462" s="236" t="s">
        <v>11</v>
      </c>
      <c r="G462" s="236" t="s">
        <v>274</v>
      </c>
      <c r="H462" s="236" t="s">
        <v>9</v>
      </c>
      <c r="I462" s="218">
        <f>I463</f>
        <v>0</v>
      </c>
      <c r="J462" s="218">
        <f t="shared" si="182"/>
        <v>0</v>
      </c>
      <c r="K462" s="218">
        <f t="shared" si="182"/>
        <v>0</v>
      </c>
      <c r="L462" s="17">
        <v>1510200000</v>
      </c>
      <c r="M462" s="16" t="str">
        <f t="shared" si="179"/>
        <v>1510200000</v>
      </c>
      <c r="N462" s="16" t="str">
        <f t="shared" si="180"/>
        <v>60607011510200000000</v>
      </c>
    </row>
    <row r="463" spans="2:14" s="17" customFormat="1" ht="25.5">
      <c r="B463" s="14"/>
      <c r="C463" s="238" t="s">
        <v>152</v>
      </c>
      <c r="D463" s="209" t="s">
        <v>394</v>
      </c>
      <c r="E463" s="236" t="s">
        <v>229</v>
      </c>
      <c r="F463" s="236" t="s">
        <v>11</v>
      </c>
      <c r="G463" s="236" t="s">
        <v>275</v>
      </c>
      <c r="H463" s="236" t="s">
        <v>9</v>
      </c>
      <c r="I463" s="218">
        <f>I464</f>
        <v>0</v>
      </c>
      <c r="J463" s="218">
        <f t="shared" si="182"/>
        <v>0</v>
      </c>
      <c r="K463" s="218">
        <f t="shared" si="182"/>
        <v>0</v>
      </c>
      <c r="L463" s="17">
        <v>1510220350</v>
      </c>
      <c r="M463" s="16" t="str">
        <f t="shared" si="179"/>
        <v>1510220350</v>
      </c>
      <c r="N463" s="16" t="str">
        <f t="shared" si="180"/>
        <v>60607011510220350000</v>
      </c>
    </row>
    <row r="464" spans="2:14" s="17" customFormat="1">
      <c r="B464" s="14"/>
      <c r="C464" s="238" t="s">
        <v>403</v>
      </c>
      <c r="D464" s="209" t="s">
        <v>394</v>
      </c>
      <c r="E464" s="236" t="s">
        <v>229</v>
      </c>
      <c r="F464" s="236" t="s">
        <v>11</v>
      </c>
      <c r="G464" s="236" t="s">
        <v>275</v>
      </c>
      <c r="H464" s="236" t="s">
        <v>404</v>
      </c>
      <c r="I464" s="218">
        <f>1050+2500-3550</f>
        <v>0</v>
      </c>
      <c r="J464" s="218">
        <f>21030-780-20250</f>
        <v>0</v>
      </c>
      <c r="K464" s="218">
        <v>0</v>
      </c>
      <c r="L464" s="17">
        <v>1510220350</v>
      </c>
      <c r="M464" s="16" t="str">
        <f t="shared" si="179"/>
        <v>1510220350</v>
      </c>
      <c r="N464" s="16" t="str">
        <f t="shared" si="180"/>
        <v>60607011510220350610</v>
      </c>
    </row>
    <row r="465" spans="2:14" s="17" customFormat="1" ht="51">
      <c r="B465" s="14"/>
      <c r="C465" s="214" t="s">
        <v>1068</v>
      </c>
      <c r="D465" s="198" t="s">
        <v>394</v>
      </c>
      <c r="E465" s="199" t="s">
        <v>229</v>
      </c>
      <c r="F465" s="199" t="s">
        <v>11</v>
      </c>
      <c r="G465" s="199" t="s">
        <v>1069</v>
      </c>
      <c r="H465" s="199" t="s">
        <v>9</v>
      </c>
      <c r="I465" s="20">
        <f>I466</f>
        <v>5166.93</v>
      </c>
      <c r="J465" s="20">
        <f t="shared" ref="J465:K466" si="184">J466</f>
        <v>20250</v>
      </c>
      <c r="K465" s="20">
        <f t="shared" si="184"/>
        <v>0</v>
      </c>
      <c r="L465" s="17">
        <v>1510400000</v>
      </c>
      <c r="M465" s="16" t="str">
        <f t="shared" si="179"/>
        <v>1510400000</v>
      </c>
      <c r="N465" s="16" t="str">
        <f t="shared" si="180"/>
        <v>60607011510400000000</v>
      </c>
    </row>
    <row r="466" spans="2:14" s="17" customFormat="1" ht="25.5">
      <c r="B466" s="14"/>
      <c r="C466" s="205" t="s">
        <v>152</v>
      </c>
      <c r="D466" s="198" t="s">
        <v>394</v>
      </c>
      <c r="E466" s="199" t="s">
        <v>229</v>
      </c>
      <c r="F466" s="199" t="s">
        <v>11</v>
      </c>
      <c r="G466" s="199" t="s">
        <v>1070</v>
      </c>
      <c r="H466" s="199" t="s">
        <v>9</v>
      </c>
      <c r="I466" s="20">
        <f>I467</f>
        <v>5166.93</v>
      </c>
      <c r="J466" s="20">
        <f t="shared" si="184"/>
        <v>20250</v>
      </c>
      <c r="K466" s="20">
        <f t="shared" si="184"/>
        <v>0</v>
      </c>
      <c r="L466" s="17">
        <v>1510420350</v>
      </c>
      <c r="M466" s="16" t="str">
        <f t="shared" si="179"/>
        <v>1510420350</v>
      </c>
      <c r="N466" s="16" t="str">
        <f t="shared" si="180"/>
        <v>60607011510420350000</v>
      </c>
    </row>
    <row r="467" spans="2:14" s="17" customFormat="1">
      <c r="B467" s="14"/>
      <c r="C467" s="205" t="s">
        <v>403</v>
      </c>
      <c r="D467" s="198" t="s">
        <v>394</v>
      </c>
      <c r="E467" s="199" t="s">
        <v>229</v>
      </c>
      <c r="F467" s="199" t="s">
        <v>11</v>
      </c>
      <c r="G467" s="199" t="s">
        <v>1070</v>
      </c>
      <c r="H467" s="199" t="s">
        <v>404</v>
      </c>
      <c r="I467" s="20">
        <f>3550+1616.93</f>
        <v>5166.93</v>
      </c>
      <c r="J467" s="20">
        <f>20250</f>
        <v>20250</v>
      </c>
      <c r="K467" s="20">
        <v>0</v>
      </c>
      <c r="L467" s="17">
        <v>1510420350</v>
      </c>
      <c r="M467" s="16" t="str">
        <f t="shared" si="179"/>
        <v>1510420350</v>
      </c>
      <c r="N467" s="16" t="str">
        <f t="shared" si="180"/>
        <v>60607011510420350610</v>
      </c>
    </row>
    <row r="468" spans="2:14" s="17" customFormat="1" ht="63.75">
      <c r="B468" s="14"/>
      <c r="C468" s="197" t="s">
        <v>420</v>
      </c>
      <c r="D468" s="198" t="s">
        <v>394</v>
      </c>
      <c r="E468" s="199" t="s">
        <v>229</v>
      </c>
      <c r="F468" s="199" t="s">
        <v>11</v>
      </c>
      <c r="G468" s="199" t="s">
        <v>421</v>
      </c>
      <c r="H468" s="199" t="s">
        <v>9</v>
      </c>
      <c r="I468" s="20">
        <f t="shared" ref="I468:K470" si="185">I469</f>
        <v>4103.4400000000005</v>
      </c>
      <c r="J468" s="20">
        <f t="shared" si="185"/>
        <v>3842.64</v>
      </c>
      <c r="K468" s="20">
        <f t="shared" si="185"/>
        <v>3842.64</v>
      </c>
      <c r="L468" s="17">
        <v>1600000000</v>
      </c>
      <c r="M468" s="16" t="str">
        <f t="shared" si="179"/>
        <v>1600000000</v>
      </c>
      <c r="N468" s="16" t="str">
        <f t="shared" si="180"/>
        <v>60607011600000000000</v>
      </c>
    </row>
    <row r="469" spans="2:14" s="17" customFormat="1" ht="25.5">
      <c r="B469" s="14"/>
      <c r="C469" s="197" t="s">
        <v>422</v>
      </c>
      <c r="D469" s="198" t="s">
        <v>394</v>
      </c>
      <c r="E469" s="199" t="s">
        <v>229</v>
      </c>
      <c r="F469" s="199" t="s">
        <v>11</v>
      </c>
      <c r="G469" s="199" t="s">
        <v>423</v>
      </c>
      <c r="H469" s="199" t="s">
        <v>9</v>
      </c>
      <c r="I469" s="20">
        <f t="shared" si="185"/>
        <v>4103.4400000000005</v>
      </c>
      <c r="J469" s="20">
        <f t="shared" si="185"/>
        <v>3842.64</v>
      </c>
      <c r="K469" s="20">
        <f t="shared" si="185"/>
        <v>3842.64</v>
      </c>
      <c r="L469" s="17">
        <v>1620000000</v>
      </c>
      <c r="M469" s="16" t="str">
        <f t="shared" si="179"/>
        <v>1620000000</v>
      </c>
      <c r="N469" s="16" t="str">
        <f t="shared" si="180"/>
        <v>60607011620000000000</v>
      </c>
    </row>
    <row r="470" spans="2:14" s="17" customFormat="1" ht="25.5">
      <c r="B470" s="14"/>
      <c r="C470" s="197" t="s">
        <v>424</v>
      </c>
      <c r="D470" s="198" t="s">
        <v>394</v>
      </c>
      <c r="E470" s="199" t="s">
        <v>229</v>
      </c>
      <c r="F470" s="199" t="s">
        <v>11</v>
      </c>
      <c r="G470" s="199" t="s">
        <v>425</v>
      </c>
      <c r="H470" s="199" t="s">
        <v>9</v>
      </c>
      <c r="I470" s="20">
        <f t="shared" si="185"/>
        <v>4103.4400000000005</v>
      </c>
      <c r="J470" s="20">
        <f t="shared" si="185"/>
        <v>3842.64</v>
      </c>
      <c r="K470" s="20">
        <f t="shared" si="185"/>
        <v>3842.64</v>
      </c>
      <c r="L470" s="17">
        <v>1620200000</v>
      </c>
      <c r="M470" s="16" t="str">
        <f t="shared" si="179"/>
        <v>1620200000</v>
      </c>
      <c r="N470" s="16" t="str">
        <f t="shared" si="180"/>
        <v>60607011620200000000</v>
      </c>
    </row>
    <row r="471" spans="2:14" s="17" customFormat="1" ht="38.25">
      <c r="B471" s="14"/>
      <c r="C471" s="197" t="s">
        <v>426</v>
      </c>
      <c r="D471" s="198" t="s">
        <v>394</v>
      </c>
      <c r="E471" s="199" t="s">
        <v>229</v>
      </c>
      <c r="F471" s="199" t="s">
        <v>11</v>
      </c>
      <c r="G471" s="199" t="s">
        <v>427</v>
      </c>
      <c r="H471" s="199" t="s">
        <v>9</v>
      </c>
      <c r="I471" s="20">
        <f>I472+I475</f>
        <v>4103.4400000000005</v>
      </c>
      <c r="J471" s="20">
        <f t="shared" ref="J471:K471" si="186">J472+J475</f>
        <v>3842.64</v>
      </c>
      <c r="K471" s="20">
        <f t="shared" si="186"/>
        <v>3842.64</v>
      </c>
      <c r="L471" s="17">
        <v>1620220550</v>
      </c>
      <c r="M471" s="16" t="str">
        <f t="shared" si="179"/>
        <v>1620220550</v>
      </c>
      <c r="N471" s="16" t="str">
        <f t="shared" si="180"/>
        <v>60607011620220550000</v>
      </c>
    </row>
    <row r="472" spans="2:14" s="17" customFormat="1">
      <c r="B472" s="14"/>
      <c r="C472" s="205" t="s">
        <v>403</v>
      </c>
      <c r="D472" s="198" t="s">
        <v>394</v>
      </c>
      <c r="E472" s="199" t="s">
        <v>229</v>
      </c>
      <c r="F472" s="199" t="s">
        <v>11</v>
      </c>
      <c r="G472" s="199" t="s">
        <v>427</v>
      </c>
      <c r="H472" s="199" t="s">
        <v>404</v>
      </c>
      <c r="I472" s="20">
        <f>3744.14+I474+212.82</f>
        <v>4004.94</v>
      </c>
      <c r="J472" s="20">
        <f t="shared" ref="J472:K472" si="187">3744.14</f>
        <v>3744.14</v>
      </c>
      <c r="K472" s="20">
        <f t="shared" si="187"/>
        <v>3744.14</v>
      </c>
      <c r="L472" s="17">
        <v>1620220550</v>
      </c>
      <c r="M472" s="16" t="str">
        <f t="shared" si="179"/>
        <v>1620220550</v>
      </c>
      <c r="N472" s="16" t="str">
        <f t="shared" si="180"/>
        <v>60607011620220550610</v>
      </c>
    </row>
    <row r="473" spans="2:14" s="17" customFormat="1">
      <c r="B473" s="14"/>
      <c r="C473" s="220" t="s">
        <v>1104</v>
      </c>
      <c r="D473" s="198"/>
      <c r="E473" s="199"/>
      <c r="F473" s="199"/>
      <c r="G473" s="199"/>
      <c r="H473" s="199"/>
      <c r="I473" s="20"/>
      <c r="J473" s="20"/>
      <c r="K473" s="20"/>
      <c r="M473" s="16" t="str">
        <f t="shared" si="179"/>
        <v>0000000000</v>
      </c>
      <c r="N473" s="16" t="str">
        <f t="shared" si="180"/>
        <v>0000000000</v>
      </c>
    </row>
    <row r="474" spans="2:14" s="17" customFormat="1">
      <c r="B474" s="14"/>
      <c r="C474" s="221" t="s">
        <v>1105</v>
      </c>
      <c r="D474" s="222" t="s">
        <v>394</v>
      </c>
      <c r="E474" s="223" t="s">
        <v>229</v>
      </c>
      <c r="F474" s="223" t="s">
        <v>11</v>
      </c>
      <c r="G474" s="223" t="s">
        <v>427</v>
      </c>
      <c r="H474" s="223" t="s">
        <v>404</v>
      </c>
      <c r="I474" s="224">
        <f>47.98</f>
        <v>47.98</v>
      </c>
      <c r="J474" s="224">
        <v>0</v>
      </c>
      <c r="K474" s="224">
        <v>0</v>
      </c>
      <c r="L474" s="17">
        <v>1620220550</v>
      </c>
      <c r="M474" s="16" t="str">
        <f t="shared" si="179"/>
        <v>1620220550</v>
      </c>
      <c r="N474" s="16" t="str">
        <f t="shared" si="180"/>
        <v>60607011620220550610</v>
      </c>
    </row>
    <row r="475" spans="2:14" s="17" customFormat="1">
      <c r="B475" s="14"/>
      <c r="C475" s="205" t="s">
        <v>409</v>
      </c>
      <c r="D475" s="198" t="s">
        <v>394</v>
      </c>
      <c r="E475" s="199" t="s">
        <v>229</v>
      </c>
      <c r="F475" s="199" t="s">
        <v>11</v>
      </c>
      <c r="G475" s="199" t="s">
        <v>427</v>
      </c>
      <c r="H475" s="199" t="s">
        <v>410</v>
      </c>
      <c r="I475" s="20">
        <f>98.5</f>
        <v>98.5</v>
      </c>
      <c r="J475" s="20">
        <f t="shared" ref="J475:K475" si="188">98.5</f>
        <v>98.5</v>
      </c>
      <c r="K475" s="20">
        <f t="shared" si="188"/>
        <v>98.5</v>
      </c>
      <c r="L475" s="17">
        <v>1620220550</v>
      </c>
      <c r="M475" s="16" t="str">
        <f t="shared" si="179"/>
        <v>1620220550</v>
      </c>
      <c r="N475" s="16" t="str">
        <f t="shared" si="180"/>
        <v>60607011620220550620</v>
      </c>
    </row>
    <row r="476" spans="2:14" s="17" customFormat="1" ht="25.5">
      <c r="B476" s="14"/>
      <c r="C476" s="197" t="s">
        <v>430</v>
      </c>
      <c r="D476" s="198" t="s">
        <v>394</v>
      </c>
      <c r="E476" s="199" t="s">
        <v>229</v>
      </c>
      <c r="F476" s="199" t="s">
        <v>11</v>
      </c>
      <c r="G476" s="199" t="s">
        <v>431</v>
      </c>
      <c r="H476" s="199" t="s">
        <v>9</v>
      </c>
      <c r="I476" s="20">
        <f t="shared" ref="I476:K477" si="189">I477</f>
        <v>422.80999999999995</v>
      </c>
      <c r="J476" s="20">
        <f t="shared" si="189"/>
        <v>2538.87</v>
      </c>
      <c r="K476" s="20">
        <f t="shared" si="189"/>
        <v>2538.87</v>
      </c>
      <c r="L476" s="17">
        <v>1700000000</v>
      </c>
      <c r="M476" s="16" t="str">
        <f t="shared" si="179"/>
        <v>1700000000</v>
      </c>
      <c r="N476" s="16" t="str">
        <f t="shared" si="180"/>
        <v>60607011700000000000</v>
      </c>
    </row>
    <row r="477" spans="2:14" s="17" customFormat="1" ht="38.25">
      <c r="B477" s="14"/>
      <c r="C477" s="201" t="s">
        <v>432</v>
      </c>
      <c r="D477" s="198" t="s">
        <v>394</v>
      </c>
      <c r="E477" s="199" t="s">
        <v>229</v>
      </c>
      <c r="F477" s="199" t="s">
        <v>11</v>
      </c>
      <c r="G477" s="199" t="s">
        <v>433</v>
      </c>
      <c r="H477" s="199" t="s">
        <v>9</v>
      </c>
      <c r="I477" s="20">
        <f t="shared" si="189"/>
        <v>422.80999999999995</v>
      </c>
      <c r="J477" s="20">
        <f t="shared" si="189"/>
        <v>2538.87</v>
      </c>
      <c r="K477" s="20">
        <f t="shared" si="189"/>
        <v>2538.87</v>
      </c>
      <c r="L477" s="17" t="s">
        <v>1198</v>
      </c>
      <c r="M477" s="16" t="str">
        <f t="shared" si="179"/>
        <v>17Б0000000</v>
      </c>
      <c r="N477" s="16" t="str">
        <f t="shared" si="180"/>
        <v>606070117Б0000000000</v>
      </c>
    </row>
    <row r="478" spans="2:14" s="17" customFormat="1" ht="25.5">
      <c r="B478" s="14"/>
      <c r="C478" s="197" t="s">
        <v>434</v>
      </c>
      <c r="D478" s="198" t="s">
        <v>394</v>
      </c>
      <c r="E478" s="199" t="s">
        <v>229</v>
      </c>
      <c r="F478" s="199" t="s">
        <v>11</v>
      </c>
      <c r="G478" s="199" t="s">
        <v>435</v>
      </c>
      <c r="H478" s="199" t="s">
        <v>9</v>
      </c>
      <c r="I478" s="20">
        <f>I480</f>
        <v>422.80999999999995</v>
      </c>
      <c r="J478" s="20">
        <f>J480</f>
        <v>2538.87</v>
      </c>
      <c r="K478" s="20">
        <f>K480</f>
        <v>2538.87</v>
      </c>
      <c r="L478" s="17" t="s">
        <v>1199</v>
      </c>
      <c r="M478" s="16" t="str">
        <f t="shared" si="179"/>
        <v>17Б0100000</v>
      </c>
      <c r="N478" s="16" t="str">
        <f t="shared" si="180"/>
        <v>606070117Б0100000000</v>
      </c>
    </row>
    <row r="479" spans="2:14" s="17" customFormat="1" ht="25.5">
      <c r="B479" s="14"/>
      <c r="C479" s="205" t="s">
        <v>436</v>
      </c>
      <c r="D479" s="198" t="s">
        <v>394</v>
      </c>
      <c r="E479" s="199" t="s">
        <v>229</v>
      </c>
      <c r="F479" s="199" t="s">
        <v>11</v>
      </c>
      <c r="G479" s="199" t="s">
        <v>437</v>
      </c>
      <c r="H479" s="199" t="s">
        <v>9</v>
      </c>
      <c r="I479" s="20">
        <f>I480</f>
        <v>422.80999999999995</v>
      </c>
      <c r="J479" s="20">
        <f>J480</f>
        <v>2538.87</v>
      </c>
      <c r="K479" s="20">
        <f>K480</f>
        <v>2538.87</v>
      </c>
      <c r="L479" s="17" t="s">
        <v>1200</v>
      </c>
      <c r="M479" s="16" t="str">
        <f t="shared" si="179"/>
        <v>17Б0120490</v>
      </c>
      <c r="N479" s="16" t="str">
        <f t="shared" si="180"/>
        <v>606070117Б0120490000</v>
      </c>
    </row>
    <row r="480" spans="2:14" s="17" customFormat="1">
      <c r="B480" s="14"/>
      <c r="C480" s="205" t="s">
        <v>403</v>
      </c>
      <c r="D480" s="198" t="s">
        <v>394</v>
      </c>
      <c r="E480" s="199" t="s">
        <v>229</v>
      </c>
      <c r="F480" s="199" t="s">
        <v>11</v>
      </c>
      <c r="G480" s="199" t="s">
        <v>437</v>
      </c>
      <c r="H480" s="199" t="s">
        <v>404</v>
      </c>
      <c r="I480" s="20">
        <f>2538.87-2116.06</f>
        <v>422.80999999999995</v>
      </c>
      <c r="J480" s="20">
        <f t="shared" ref="J480:K480" si="190">2538.87</f>
        <v>2538.87</v>
      </c>
      <c r="K480" s="20">
        <f t="shared" si="190"/>
        <v>2538.87</v>
      </c>
      <c r="L480" s="17" t="s">
        <v>1200</v>
      </c>
      <c r="M480" s="16" t="str">
        <f t="shared" si="179"/>
        <v>17Б0120490</v>
      </c>
      <c r="N480" s="16" t="str">
        <f t="shared" si="180"/>
        <v>606070117Б0120490610</v>
      </c>
    </row>
    <row r="481" spans="2:14" s="17" customFormat="1">
      <c r="B481" s="14"/>
      <c r="C481" s="194" t="s">
        <v>438</v>
      </c>
      <c r="D481" s="195" t="s">
        <v>394</v>
      </c>
      <c r="E481" s="196" t="s">
        <v>229</v>
      </c>
      <c r="F481" s="196" t="s">
        <v>62</v>
      </c>
      <c r="G481" s="196" t="s">
        <v>8</v>
      </c>
      <c r="H481" s="196" t="s">
        <v>9</v>
      </c>
      <c r="I481" s="19">
        <f>I482+I535+I550+I562+I556</f>
        <v>1826941.7500000002</v>
      </c>
      <c r="J481" s="19">
        <f>J482+J535+J550+J562+J556</f>
        <v>1688783.83</v>
      </c>
      <c r="K481" s="19">
        <f>K482+K535+K550+K562+K556</f>
        <v>1691634.97</v>
      </c>
      <c r="L481" s="17">
        <v>0</v>
      </c>
      <c r="M481" s="16" t="str">
        <f t="shared" si="179"/>
        <v>0000000000</v>
      </c>
      <c r="N481" s="16" t="str">
        <f t="shared" si="180"/>
        <v>60607020000000000000</v>
      </c>
    </row>
    <row r="482" spans="2:14" s="17" customFormat="1" ht="25.5">
      <c r="B482" s="14"/>
      <c r="C482" s="205" t="s">
        <v>396</v>
      </c>
      <c r="D482" s="198" t="s">
        <v>394</v>
      </c>
      <c r="E482" s="199" t="s">
        <v>229</v>
      </c>
      <c r="F482" s="199" t="s">
        <v>62</v>
      </c>
      <c r="G482" s="199" t="s">
        <v>397</v>
      </c>
      <c r="H482" s="199" t="s">
        <v>9</v>
      </c>
      <c r="I482" s="20">
        <f>I483+I529</f>
        <v>1804242.7400000002</v>
      </c>
      <c r="J482" s="20">
        <f>J483+J529</f>
        <v>1680705.15</v>
      </c>
      <c r="K482" s="20">
        <f>K483+K529</f>
        <v>1684336.2899999998</v>
      </c>
      <c r="L482" s="17">
        <v>100000000</v>
      </c>
      <c r="M482" s="16" t="str">
        <f t="shared" si="179"/>
        <v>0100000000</v>
      </c>
      <c r="N482" s="16" t="str">
        <f t="shared" si="180"/>
        <v>60607020100000000000</v>
      </c>
    </row>
    <row r="483" spans="2:14" s="17" customFormat="1" ht="25.5">
      <c r="B483" s="14"/>
      <c r="C483" s="205" t="s">
        <v>398</v>
      </c>
      <c r="D483" s="198" t="s">
        <v>394</v>
      </c>
      <c r="E483" s="199" t="s">
        <v>229</v>
      </c>
      <c r="F483" s="199" t="s">
        <v>62</v>
      </c>
      <c r="G483" s="199" t="s">
        <v>399</v>
      </c>
      <c r="H483" s="199" t="s">
        <v>9</v>
      </c>
      <c r="I483" s="20">
        <f>I484+I507</f>
        <v>1804242.7400000002</v>
      </c>
      <c r="J483" s="20">
        <f>J484+J507</f>
        <v>1673885.5299999998</v>
      </c>
      <c r="K483" s="20">
        <f>K484+K507</f>
        <v>1684336.2899999998</v>
      </c>
      <c r="L483" s="17">
        <v>110000000</v>
      </c>
      <c r="M483" s="16" t="str">
        <f t="shared" si="179"/>
        <v>0110000000</v>
      </c>
      <c r="N483" s="16" t="str">
        <f t="shared" si="180"/>
        <v>60607020110000000000</v>
      </c>
    </row>
    <row r="484" spans="2:14" s="17" customFormat="1" ht="38.25">
      <c r="B484" s="14"/>
      <c r="C484" s="205" t="s">
        <v>439</v>
      </c>
      <c r="D484" s="198" t="s">
        <v>394</v>
      </c>
      <c r="E484" s="199" t="s">
        <v>229</v>
      </c>
      <c r="F484" s="199" t="s">
        <v>62</v>
      </c>
      <c r="G484" s="199" t="s">
        <v>440</v>
      </c>
      <c r="H484" s="199" t="s">
        <v>9</v>
      </c>
      <c r="I484" s="20">
        <f>I485+I496+I501+I504</f>
        <v>1720526.2200000002</v>
      </c>
      <c r="J484" s="20">
        <f t="shared" ref="J484:K484" si="191">J485+J496+J501+J504</f>
        <v>1669885.5299999998</v>
      </c>
      <c r="K484" s="20">
        <f t="shared" si="191"/>
        <v>1680336.2899999998</v>
      </c>
      <c r="L484" s="17">
        <v>110200000</v>
      </c>
      <c r="M484" s="16" t="str">
        <f t="shared" si="179"/>
        <v>0110200000</v>
      </c>
      <c r="N484" s="16" t="str">
        <f t="shared" si="180"/>
        <v>60607020110200000000</v>
      </c>
    </row>
    <row r="485" spans="2:14" s="17" customFormat="1" ht="25.5">
      <c r="B485" s="14"/>
      <c r="C485" s="205" t="s">
        <v>136</v>
      </c>
      <c r="D485" s="198" t="s">
        <v>394</v>
      </c>
      <c r="E485" s="199" t="s">
        <v>229</v>
      </c>
      <c r="F485" s="199" t="s">
        <v>62</v>
      </c>
      <c r="G485" s="199" t="s">
        <v>441</v>
      </c>
      <c r="H485" s="199" t="s">
        <v>9</v>
      </c>
      <c r="I485" s="20">
        <f>I487+I490+I493+I486</f>
        <v>587837.31000000006</v>
      </c>
      <c r="J485" s="20">
        <f t="shared" ref="J485:K485" si="192">J487+J490+J493+J486</f>
        <v>588242.12999999989</v>
      </c>
      <c r="K485" s="20">
        <f t="shared" si="192"/>
        <v>588242.12999999989</v>
      </c>
      <c r="L485" s="17">
        <v>110211010</v>
      </c>
      <c r="M485" s="16" t="str">
        <f t="shared" si="179"/>
        <v>0110211010</v>
      </c>
      <c r="N485" s="16" t="str">
        <f t="shared" si="180"/>
        <v>60607020110211010000</v>
      </c>
    </row>
    <row r="486" spans="2:14" s="17" customFormat="1">
      <c r="B486" s="14"/>
      <c r="C486" s="381" t="s">
        <v>138</v>
      </c>
      <c r="D486" s="198" t="s">
        <v>394</v>
      </c>
      <c r="E486" s="199" t="s">
        <v>229</v>
      </c>
      <c r="F486" s="199" t="s">
        <v>62</v>
      </c>
      <c r="G486" s="199" t="s">
        <v>441</v>
      </c>
      <c r="H486" s="199" t="s">
        <v>139</v>
      </c>
      <c r="I486" s="20">
        <f>303.68+91.71</f>
        <v>395.39</v>
      </c>
      <c r="J486" s="20">
        <v>0</v>
      </c>
      <c r="K486" s="20">
        <v>0</v>
      </c>
      <c r="L486" s="17">
        <v>110211010</v>
      </c>
      <c r="M486" s="16" t="str">
        <f t="shared" si="179"/>
        <v>0110211010</v>
      </c>
      <c r="N486" s="16" t="str">
        <f t="shared" si="180"/>
        <v>60607020110211010110</v>
      </c>
    </row>
    <row r="487" spans="2:14" s="17" customFormat="1">
      <c r="B487" s="14"/>
      <c r="C487" s="205" t="s">
        <v>403</v>
      </c>
      <c r="D487" s="198" t="s">
        <v>394</v>
      </c>
      <c r="E487" s="199" t="s">
        <v>229</v>
      </c>
      <c r="F487" s="199" t="s">
        <v>62</v>
      </c>
      <c r="G487" s="199" t="s">
        <v>441</v>
      </c>
      <c r="H487" s="199" t="s">
        <v>404</v>
      </c>
      <c r="I487" s="20">
        <f>521863.27+3997.75+1420.21+5412.24-4775.8+I489-395.39+3124.75+99.53+7236.84-2799.85+4227.63</f>
        <v>543061.21</v>
      </c>
      <c r="J487" s="20">
        <f>521863.27+3997.75+1420.21+5412.24-6122.51+3124.75+7091.2+7236.84</f>
        <v>544023.74999999988</v>
      </c>
      <c r="K487" s="20">
        <f>521863.27+3997.75+1420.21+5412.24-6122.51+3124.75+7091.2+7236.84</f>
        <v>544023.74999999988</v>
      </c>
      <c r="L487" s="17">
        <v>110211010</v>
      </c>
      <c r="M487" s="16" t="str">
        <f t="shared" si="179"/>
        <v>0110211010</v>
      </c>
      <c r="N487" s="16" t="str">
        <f t="shared" si="180"/>
        <v>60607020110211010610</v>
      </c>
    </row>
    <row r="488" spans="2:14" s="17" customFormat="1">
      <c r="B488" s="14"/>
      <c r="C488" s="220" t="s">
        <v>1104</v>
      </c>
      <c r="D488" s="198"/>
      <c r="E488" s="199"/>
      <c r="F488" s="199"/>
      <c r="G488" s="199"/>
      <c r="H488" s="199"/>
      <c r="I488" s="20"/>
      <c r="J488" s="20"/>
      <c r="K488" s="20"/>
      <c r="M488" s="16" t="str">
        <f t="shared" si="179"/>
        <v>0000000000</v>
      </c>
      <c r="N488" s="16" t="str">
        <f t="shared" si="180"/>
        <v>0000000000</v>
      </c>
    </row>
    <row r="489" spans="2:14" s="17" customFormat="1">
      <c r="B489" s="14"/>
      <c r="C489" s="221" t="s">
        <v>1105</v>
      </c>
      <c r="D489" s="222" t="s">
        <v>394</v>
      </c>
      <c r="E489" s="223" t="s">
        <v>229</v>
      </c>
      <c r="F489" s="223" t="s">
        <v>62</v>
      </c>
      <c r="G489" s="223" t="s">
        <v>441</v>
      </c>
      <c r="H489" s="223" t="s">
        <v>404</v>
      </c>
      <c r="I489" s="224">
        <f>3650.03</f>
        <v>3650.03</v>
      </c>
      <c r="J489" s="224">
        <v>0</v>
      </c>
      <c r="K489" s="224">
        <v>0</v>
      </c>
      <c r="L489" s="17">
        <v>110211010</v>
      </c>
      <c r="M489" s="16" t="str">
        <f t="shared" si="179"/>
        <v>0110211010</v>
      </c>
      <c r="N489" s="16" t="str">
        <f t="shared" si="180"/>
        <v>60607020110211010610</v>
      </c>
    </row>
    <row r="490" spans="2:14" s="17" customFormat="1">
      <c r="B490" s="14"/>
      <c r="C490" s="205" t="s">
        <v>409</v>
      </c>
      <c r="D490" s="198" t="s">
        <v>394</v>
      </c>
      <c r="E490" s="199" t="s">
        <v>229</v>
      </c>
      <c r="F490" s="199" t="s">
        <v>62</v>
      </c>
      <c r="G490" s="199" t="s">
        <v>441</v>
      </c>
      <c r="H490" s="199" t="s">
        <v>410</v>
      </c>
      <c r="I490" s="20">
        <f>38119.87+112.5+1935.12+I492+209.13</f>
        <v>40934.030000000006</v>
      </c>
      <c r="J490" s="20">
        <f>38119.87+112.5+1935.12+764.78+209.13</f>
        <v>41141.4</v>
      </c>
      <c r="K490" s="20">
        <f>38119.87+112.5+1935.12+764.78+209.13</f>
        <v>41141.4</v>
      </c>
      <c r="L490" s="17">
        <v>110211010</v>
      </c>
      <c r="M490" s="16" t="str">
        <f t="shared" si="179"/>
        <v>0110211010</v>
      </c>
      <c r="N490" s="16" t="str">
        <f t="shared" si="180"/>
        <v>60607020110211010620</v>
      </c>
    </row>
    <row r="491" spans="2:14" s="17" customFormat="1">
      <c r="B491" s="14"/>
      <c r="C491" s="220" t="s">
        <v>1104</v>
      </c>
      <c r="D491" s="198"/>
      <c r="E491" s="199"/>
      <c r="F491" s="199"/>
      <c r="G491" s="199"/>
      <c r="H491" s="199"/>
      <c r="I491" s="20"/>
      <c r="J491" s="20"/>
      <c r="K491" s="20"/>
      <c r="M491" s="16" t="str">
        <f t="shared" si="179"/>
        <v>0000000000</v>
      </c>
      <c r="N491" s="16" t="str">
        <f t="shared" si="180"/>
        <v>0000000000</v>
      </c>
    </row>
    <row r="492" spans="2:14" s="17" customFormat="1">
      <c r="B492" s="14"/>
      <c r="C492" s="221" t="s">
        <v>1105</v>
      </c>
      <c r="D492" s="222" t="s">
        <v>394</v>
      </c>
      <c r="E492" s="223" t="s">
        <v>229</v>
      </c>
      <c r="F492" s="223" t="s">
        <v>62</v>
      </c>
      <c r="G492" s="223" t="s">
        <v>441</v>
      </c>
      <c r="H492" s="223" t="s">
        <v>410</v>
      </c>
      <c r="I492" s="224">
        <f>557.41</f>
        <v>557.41</v>
      </c>
      <c r="J492" s="224">
        <v>0</v>
      </c>
      <c r="K492" s="224">
        <v>0</v>
      </c>
      <c r="L492" s="17">
        <v>110211010</v>
      </c>
      <c r="M492" s="16" t="str">
        <f t="shared" si="179"/>
        <v>0110211010</v>
      </c>
      <c r="N492" s="16" t="str">
        <f t="shared" si="180"/>
        <v>60607020110211010620</v>
      </c>
    </row>
    <row r="493" spans="2:14" s="17" customFormat="1" ht="25.5">
      <c r="B493" s="14"/>
      <c r="C493" s="197" t="s">
        <v>182</v>
      </c>
      <c r="D493" s="198" t="s">
        <v>394</v>
      </c>
      <c r="E493" s="199" t="s">
        <v>229</v>
      </c>
      <c r="F493" s="199" t="s">
        <v>62</v>
      </c>
      <c r="G493" s="199" t="s">
        <v>441</v>
      </c>
      <c r="H493" s="199" t="s">
        <v>183</v>
      </c>
      <c r="I493" s="20">
        <f>3076.98+I495</f>
        <v>3446.68</v>
      </c>
      <c r="J493" s="20">
        <f t="shared" ref="J493:K493" si="193">3076.98</f>
        <v>3076.98</v>
      </c>
      <c r="K493" s="20">
        <f t="shared" si="193"/>
        <v>3076.98</v>
      </c>
      <c r="L493" s="17">
        <v>110211010</v>
      </c>
      <c r="M493" s="16" t="str">
        <f t="shared" si="179"/>
        <v>0110211010</v>
      </c>
      <c r="N493" s="16" t="str">
        <f t="shared" si="180"/>
        <v>60607020110211010630</v>
      </c>
    </row>
    <row r="494" spans="2:14" s="17" customFormat="1">
      <c r="B494" s="14"/>
      <c r="C494" s="220" t="s">
        <v>1104</v>
      </c>
      <c r="D494" s="198"/>
      <c r="E494" s="199"/>
      <c r="F494" s="199"/>
      <c r="G494" s="199"/>
      <c r="H494" s="199"/>
      <c r="I494" s="20"/>
      <c r="J494" s="20"/>
      <c r="K494" s="20"/>
      <c r="M494" s="16" t="str">
        <f t="shared" si="179"/>
        <v>0000000000</v>
      </c>
      <c r="N494" s="16" t="str">
        <f t="shared" si="180"/>
        <v>0000000000</v>
      </c>
    </row>
    <row r="495" spans="2:14" s="17" customFormat="1">
      <c r="B495" s="14"/>
      <c r="C495" s="221" t="s">
        <v>1105</v>
      </c>
      <c r="D495" s="222" t="s">
        <v>394</v>
      </c>
      <c r="E495" s="223" t="s">
        <v>229</v>
      </c>
      <c r="F495" s="223" t="s">
        <v>62</v>
      </c>
      <c r="G495" s="223" t="s">
        <v>441</v>
      </c>
      <c r="H495" s="223" t="s">
        <v>183</v>
      </c>
      <c r="I495" s="224">
        <f>369.7</f>
        <v>369.7</v>
      </c>
      <c r="J495" s="224">
        <v>0</v>
      </c>
      <c r="K495" s="224">
        <v>0</v>
      </c>
      <c r="L495" s="17">
        <v>110211010</v>
      </c>
      <c r="M495" s="16" t="str">
        <f t="shared" si="179"/>
        <v>0110211010</v>
      </c>
      <c r="N495" s="16" t="str">
        <f t="shared" si="180"/>
        <v>60607020110211010630</v>
      </c>
    </row>
    <row r="496" spans="2:14" s="17" customFormat="1" ht="102">
      <c r="B496" s="14" t="s">
        <v>80</v>
      </c>
      <c r="C496" s="200" t="s">
        <v>442</v>
      </c>
      <c r="D496" s="198" t="s">
        <v>394</v>
      </c>
      <c r="E496" s="199" t="s">
        <v>229</v>
      </c>
      <c r="F496" s="199" t="s">
        <v>62</v>
      </c>
      <c r="G496" s="199" t="s">
        <v>443</v>
      </c>
      <c r="H496" s="199" t="s">
        <v>9</v>
      </c>
      <c r="I496" s="20">
        <f>I498+I499+I500+I497</f>
        <v>1084010.7900000003</v>
      </c>
      <c r="J496" s="20">
        <f t="shared" ref="J496:K496" si="194">J498+J499+J500+J497</f>
        <v>1081643.3999999999</v>
      </c>
      <c r="K496" s="20">
        <f t="shared" si="194"/>
        <v>1092094.1599999999</v>
      </c>
      <c r="L496" s="17">
        <v>110277160</v>
      </c>
      <c r="M496" s="16" t="str">
        <f t="shared" si="179"/>
        <v>0110277160</v>
      </c>
      <c r="N496" s="16" t="str">
        <f t="shared" si="180"/>
        <v>60607020110277160000</v>
      </c>
    </row>
    <row r="497" spans="2:14" s="17" customFormat="1">
      <c r="B497" s="14"/>
      <c r="C497" s="381" t="s">
        <v>138</v>
      </c>
      <c r="D497" s="198" t="s">
        <v>394</v>
      </c>
      <c r="E497" s="199" t="s">
        <v>229</v>
      </c>
      <c r="F497" s="199" t="s">
        <v>62</v>
      </c>
      <c r="G497" s="199" t="s">
        <v>443</v>
      </c>
      <c r="H497" s="199" t="s">
        <v>139</v>
      </c>
      <c r="I497" s="20">
        <f>2213.34+901.53</f>
        <v>3114.87</v>
      </c>
      <c r="J497" s="20">
        <v>0</v>
      </c>
      <c r="K497" s="20">
        <v>0</v>
      </c>
      <c r="L497" s="17">
        <v>110277160</v>
      </c>
      <c r="M497" s="16" t="str">
        <f t="shared" si="179"/>
        <v>0110277160</v>
      </c>
      <c r="N497" s="16" t="str">
        <f t="shared" si="180"/>
        <v>60607020110277160110</v>
      </c>
    </row>
    <row r="498" spans="2:14" s="17" customFormat="1">
      <c r="B498" s="14"/>
      <c r="C498" s="205" t="s">
        <v>403</v>
      </c>
      <c r="D498" s="198" t="s">
        <v>394</v>
      </c>
      <c r="E498" s="199" t="s">
        <v>229</v>
      </c>
      <c r="F498" s="199" t="s">
        <v>62</v>
      </c>
      <c r="G498" s="199" t="s">
        <v>443</v>
      </c>
      <c r="H498" s="199" t="s">
        <v>404</v>
      </c>
      <c r="I498" s="20">
        <f>953042.9-446.01-3114.87+11785.36</f>
        <v>961267.38</v>
      </c>
      <c r="J498" s="20">
        <v>961646.5</v>
      </c>
      <c r="K498" s="20">
        <v>971150.7</v>
      </c>
      <c r="L498" s="17">
        <v>110277160</v>
      </c>
      <c r="M498" s="16" t="str">
        <f t="shared" si="179"/>
        <v>0110277160</v>
      </c>
      <c r="N498" s="16" t="str">
        <f t="shared" si="180"/>
        <v>60607020110277160610</v>
      </c>
    </row>
    <row r="499" spans="2:14" s="17" customFormat="1">
      <c r="B499" s="14"/>
      <c r="C499" s="205" t="s">
        <v>409</v>
      </c>
      <c r="D499" s="198" t="s">
        <v>394</v>
      </c>
      <c r="E499" s="199" t="s">
        <v>229</v>
      </c>
      <c r="F499" s="199" t="s">
        <v>62</v>
      </c>
      <c r="G499" s="199" t="s">
        <v>443</v>
      </c>
      <c r="H499" s="199" t="s">
        <v>410</v>
      </c>
      <c r="I499" s="20">
        <f>114194.38-519.83+1222.15</f>
        <v>114896.7</v>
      </c>
      <c r="J499" s="20">
        <v>115222.5</v>
      </c>
      <c r="K499" s="20">
        <v>116121.72</v>
      </c>
      <c r="L499" s="17">
        <v>110277160</v>
      </c>
      <c r="M499" s="16" t="str">
        <f t="shared" si="179"/>
        <v>0110277160</v>
      </c>
      <c r="N499" s="16" t="str">
        <f t="shared" si="180"/>
        <v>60607020110277160620</v>
      </c>
    </row>
    <row r="500" spans="2:14" s="17" customFormat="1" ht="26.25" customHeight="1">
      <c r="B500" s="14"/>
      <c r="C500" s="197" t="s">
        <v>182</v>
      </c>
      <c r="D500" s="198" t="s">
        <v>394</v>
      </c>
      <c r="E500" s="199" t="s">
        <v>229</v>
      </c>
      <c r="F500" s="199" t="s">
        <v>62</v>
      </c>
      <c r="G500" s="199" t="s">
        <v>443</v>
      </c>
      <c r="H500" s="199" t="s">
        <v>183</v>
      </c>
      <c r="I500" s="329">
        <v>4731.84</v>
      </c>
      <c r="J500" s="20">
        <v>4774.3999999999996</v>
      </c>
      <c r="K500" s="20">
        <v>4821.74</v>
      </c>
      <c r="L500" s="17">
        <v>110277160</v>
      </c>
      <c r="M500" s="16" t="str">
        <f t="shared" si="179"/>
        <v>0110277160</v>
      </c>
      <c r="N500" s="16" t="str">
        <f t="shared" si="180"/>
        <v>60607020110277160630</v>
      </c>
    </row>
    <row r="501" spans="2:14" s="17" customFormat="1" ht="191.25">
      <c r="B501" s="14" t="s">
        <v>80</v>
      </c>
      <c r="C501" s="197" t="s">
        <v>2269</v>
      </c>
      <c r="D501" s="198" t="s">
        <v>394</v>
      </c>
      <c r="E501" s="199" t="s">
        <v>229</v>
      </c>
      <c r="F501" s="199" t="s">
        <v>62</v>
      </c>
      <c r="G501" s="199" t="s">
        <v>1278</v>
      </c>
      <c r="H501" s="199" t="s">
        <v>9</v>
      </c>
      <c r="I501" s="20">
        <f>SUM(I502:I503)</f>
        <v>7756.4500000000007</v>
      </c>
      <c r="J501" s="20">
        <f t="shared" ref="J501:K501" si="195">SUM(J502:J503)</f>
        <v>0</v>
      </c>
      <c r="K501" s="20">
        <f t="shared" si="195"/>
        <v>0</v>
      </c>
      <c r="L501" s="17">
        <v>110277460</v>
      </c>
      <c r="M501" s="16" t="str">
        <f t="shared" si="179"/>
        <v>0110277460</v>
      </c>
      <c r="N501" s="16" t="str">
        <f t="shared" si="180"/>
        <v>60607020110277460000</v>
      </c>
    </row>
    <row r="502" spans="2:14" s="17" customFormat="1">
      <c r="B502" s="14"/>
      <c r="C502" s="205" t="s">
        <v>403</v>
      </c>
      <c r="D502" s="198" t="s">
        <v>394</v>
      </c>
      <c r="E502" s="199" t="s">
        <v>229</v>
      </c>
      <c r="F502" s="199" t="s">
        <v>62</v>
      </c>
      <c r="G502" s="199" t="s">
        <v>1278</v>
      </c>
      <c r="H502" s="199" t="s">
        <v>404</v>
      </c>
      <c r="I502" s="20">
        <f>6991.68</f>
        <v>6991.68</v>
      </c>
      <c r="J502" s="20">
        <v>0</v>
      </c>
      <c r="K502" s="20">
        <v>0</v>
      </c>
      <c r="L502" s="17">
        <v>110277460</v>
      </c>
      <c r="M502" s="16" t="str">
        <f t="shared" si="179"/>
        <v>0110277460</v>
      </c>
      <c r="N502" s="16" t="str">
        <f t="shared" si="180"/>
        <v>60607020110277460610</v>
      </c>
    </row>
    <row r="503" spans="2:14" s="17" customFormat="1">
      <c r="B503" s="14"/>
      <c r="C503" s="205" t="s">
        <v>409</v>
      </c>
      <c r="D503" s="198" t="s">
        <v>394</v>
      </c>
      <c r="E503" s="199" t="s">
        <v>229</v>
      </c>
      <c r="F503" s="199" t="s">
        <v>62</v>
      </c>
      <c r="G503" s="199" t="s">
        <v>1278</v>
      </c>
      <c r="H503" s="199" t="s">
        <v>410</v>
      </c>
      <c r="I503" s="20">
        <f>764.77</f>
        <v>764.77</v>
      </c>
      <c r="J503" s="20">
        <v>0</v>
      </c>
      <c r="K503" s="20">
        <v>0</v>
      </c>
      <c r="L503" s="17">
        <v>110277460</v>
      </c>
      <c r="M503" s="16" t="str">
        <f t="shared" si="179"/>
        <v>0110277460</v>
      </c>
      <c r="N503" s="16" t="str">
        <f t="shared" si="180"/>
        <v>60607020110277460620</v>
      </c>
    </row>
    <row r="504" spans="2:14" s="17" customFormat="1" ht="165.75">
      <c r="B504" s="14"/>
      <c r="C504" s="200" t="s">
        <v>2247</v>
      </c>
      <c r="D504" s="198" t="s">
        <v>394</v>
      </c>
      <c r="E504" s="199" t="s">
        <v>229</v>
      </c>
      <c r="F504" s="199" t="s">
        <v>62</v>
      </c>
      <c r="G504" s="199" t="s">
        <v>2260</v>
      </c>
      <c r="H504" s="199" t="s">
        <v>9</v>
      </c>
      <c r="I504" s="20">
        <f>I505+I506</f>
        <v>40921.67</v>
      </c>
      <c r="J504" s="20">
        <f t="shared" ref="J504:K504" si="196">J505+J506</f>
        <v>0</v>
      </c>
      <c r="K504" s="20">
        <f t="shared" si="196"/>
        <v>0</v>
      </c>
      <c r="L504" s="17">
        <v>110277580</v>
      </c>
      <c r="M504" s="16" t="str">
        <f t="shared" si="179"/>
        <v>0110277580</v>
      </c>
      <c r="N504" s="16" t="str">
        <f t="shared" si="180"/>
        <v>60607020110277580000</v>
      </c>
    </row>
    <row r="505" spans="2:14" s="17" customFormat="1">
      <c r="B505" s="14"/>
      <c r="C505" s="205" t="s">
        <v>403</v>
      </c>
      <c r="D505" s="198" t="s">
        <v>394</v>
      </c>
      <c r="E505" s="199" t="s">
        <v>229</v>
      </c>
      <c r="F505" s="199" t="s">
        <v>62</v>
      </c>
      <c r="G505" s="199" t="s">
        <v>2260</v>
      </c>
      <c r="H505" s="199" t="s">
        <v>404</v>
      </c>
      <c r="I505" s="20">
        <f>37726.13</f>
        <v>37726.129999999997</v>
      </c>
      <c r="J505" s="20">
        <v>0</v>
      </c>
      <c r="K505" s="20">
        <v>0</v>
      </c>
      <c r="L505" s="17">
        <v>110277580</v>
      </c>
      <c r="M505" s="16" t="str">
        <f t="shared" si="179"/>
        <v>0110277580</v>
      </c>
      <c r="N505" s="16" t="str">
        <f t="shared" si="180"/>
        <v>60607020110277580610</v>
      </c>
    </row>
    <row r="506" spans="2:14" s="17" customFormat="1">
      <c r="B506" s="14"/>
      <c r="C506" s="205" t="s">
        <v>409</v>
      </c>
      <c r="D506" s="198" t="s">
        <v>394</v>
      </c>
      <c r="E506" s="199" t="s">
        <v>229</v>
      </c>
      <c r="F506" s="199" t="s">
        <v>62</v>
      </c>
      <c r="G506" s="199" t="s">
        <v>2260</v>
      </c>
      <c r="H506" s="199" t="s">
        <v>410</v>
      </c>
      <c r="I506" s="20">
        <f>3195.54</f>
        <v>3195.54</v>
      </c>
      <c r="J506" s="20">
        <v>0</v>
      </c>
      <c r="K506" s="20">
        <v>0</v>
      </c>
      <c r="L506" s="17">
        <v>110277580</v>
      </c>
      <c r="M506" s="16" t="str">
        <f t="shared" si="179"/>
        <v>0110277580</v>
      </c>
      <c r="N506" s="16" t="str">
        <f t="shared" si="180"/>
        <v>60607020110277580620</v>
      </c>
    </row>
    <row r="507" spans="2:14" s="17" customFormat="1" ht="51">
      <c r="B507" s="14"/>
      <c r="C507" s="197" t="s">
        <v>417</v>
      </c>
      <c r="D507" s="198" t="s">
        <v>394</v>
      </c>
      <c r="E507" s="199" t="s">
        <v>229</v>
      </c>
      <c r="F507" s="199" t="s">
        <v>62</v>
      </c>
      <c r="G507" s="199" t="s">
        <v>418</v>
      </c>
      <c r="H507" s="199" t="s">
        <v>9</v>
      </c>
      <c r="I507" s="20">
        <f>I508+I518+I513+I525</f>
        <v>83716.52</v>
      </c>
      <c r="J507" s="20">
        <f t="shared" ref="J507:K507" si="197">J508+J518+J513+J525</f>
        <v>4000</v>
      </c>
      <c r="K507" s="20">
        <f t="shared" si="197"/>
        <v>4000</v>
      </c>
      <c r="L507" s="17">
        <v>110600000</v>
      </c>
      <c r="M507" s="16" t="str">
        <f t="shared" si="179"/>
        <v>0110600000</v>
      </c>
      <c r="N507" s="16" t="str">
        <f t="shared" si="180"/>
        <v>60607020110600000000</v>
      </c>
    </row>
    <row r="508" spans="2:14" s="17" customFormat="1" ht="25.5">
      <c r="B508" s="14"/>
      <c r="C508" s="205" t="s">
        <v>136</v>
      </c>
      <c r="D508" s="198" t="s">
        <v>394</v>
      </c>
      <c r="E508" s="199" t="s">
        <v>229</v>
      </c>
      <c r="F508" s="199" t="s">
        <v>62</v>
      </c>
      <c r="G508" s="199" t="s">
        <v>419</v>
      </c>
      <c r="H508" s="199" t="s">
        <v>9</v>
      </c>
      <c r="I508" s="20">
        <f>I509+I512</f>
        <v>65712.55</v>
      </c>
      <c r="J508" s="20">
        <f t="shared" ref="J508:K508" si="198">J509+J512</f>
        <v>4000</v>
      </c>
      <c r="K508" s="20">
        <f t="shared" si="198"/>
        <v>4000</v>
      </c>
      <c r="L508" s="17">
        <v>110611010</v>
      </c>
      <c r="M508" s="16" t="str">
        <f t="shared" si="179"/>
        <v>0110611010</v>
      </c>
      <c r="N508" s="16" t="str">
        <f t="shared" si="180"/>
        <v>60607020110611010000</v>
      </c>
    </row>
    <row r="509" spans="2:14" s="17" customFormat="1">
      <c r="B509" s="14"/>
      <c r="C509" s="205" t="s">
        <v>403</v>
      </c>
      <c r="D509" s="198" t="s">
        <v>394</v>
      </c>
      <c r="E509" s="199" t="s">
        <v>229</v>
      </c>
      <c r="F509" s="199" t="s">
        <v>62</v>
      </c>
      <c r="G509" s="199" t="s">
        <v>419</v>
      </c>
      <c r="H509" s="199" t="s">
        <v>404</v>
      </c>
      <c r="I509" s="20">
        <f>34094.54+6074.79+13370+I511+332.63+293.42+1109.44+1774.61+2799.85</f>
        <v>59870.78</v>
      </c>
      <c r="J509" s="20">
        <f>4000</f>
        <v>4000</v>
      </c>
      <c r="K509" s="20">
        <f>4000</f>
        <v>4000</v>
      </c>
      <c r="L509" s="17">
        <v>110611010</v>
      </c>
      <c r="M509" s="16" t="str">
        <f t="shared" si="179"/>
        <v>0110611010</v>
      </c>
      <c r="N509" s="16" t="str">
        <f t="shared" si="180"/>
        <v>60607020110611010610</v>
      </c>
    </row>
    <row r="510" spans="2:14" s="17" customFormat="1">
      <c r="B510" s="14"/>
      <c r="C510" s="220" t="s">
        <v>1104</v>
      </c>
      <c r="D510" s="198"/>
      <c r="E510" s="199"/>
      <c r="F510" s="199"/>
      <c r="G510" s="199"/>
      <c r="H510" s="199"/>
      <c r="I510" s="20"/>
      <c r="J510" s="20"/>
      <c r="K510" s="20"/>
      <c r="M510" s="16" t="str">
        <f t="shared" si="179"/>
        <v>0000000000</v>
      </c>
      <c r="N510" s="16" t="str">
        <f t="shared" si="180"/>
        <v>0000000000</v>
      </c>
    </row>
    <row r="511" spans="2:14" s="17" customFormat="1">
      <c r="B511" s="14"/>
      <c r="C511" s="221" t="s">
        <v>1105</v>
      </c>
      <c r="D511" s="222" t="s">
        <v>394</v>
      </c>
      <c r="E511" s="223" t="s">
        <v>229</v>
      </c>
      <c r="F511" s="223" t="s">
        <v>62</v>
      </c>
      <c r="G511" s="223" t="s">
        <v>419</v>
      </c>
      <c r="H511" s="223" t="s">
        <v>404</v>
      </c>
      <c r="I511" s="224">
        <f>21.5</f>
        <v>21.5</v>
      </c>
      <c r="J511" s="224">
        <v>0</v>
      </c>
      <c r="K511" s="224">
        <v>0</v>
      </c>
      <c r="L511" s="17">
        <v>110611010</v>
      </c>
      <c r="M511" s="16" t="str">
        <f t="shared" si="179"/>
        <v>0110611010</v>
      </c>
      <c r="N511" s="16" t="str">
        <f t="shared" si="180"/>
        <v>60607020110611010610</v>
      </c>
    </row>
    <row r="512" spans="2:14" s="17" customFormat="1">
      <c r="B512" s="14"/>
      <c r="C512" s="205" t="s">
        <v>409</v>
      </c>
      <c r="D512" s="198" t="s">
        <v>394</v>
      </c>
      <c r="E512" s="199" t="s">
        <v>229</v>
      </c>
      <c r="F512" s="199" t="s">
        <v>62</v>
      </c>
      <c r="G512" s="199" t="s">
        <v>419</v>
      </c>
      <c r="H512" s="199" t="s">
        <v>410</v>
      </c>
      <c r="I512" s="20">
        <f>3931.77+1910</f>
        <v>5841.77</v>
      </c>
      <c r="J512" s="20">
        <v>0</v>
      </c>
      <c r="K512" s="20">
        <v>0</v>
      </c>
      <c r="L512" s="17">
        <v>110611010</v>
      </c>
      <c r="M512" s="16" t="str">
        <f t="shared" si="179"/>
        <v>0110611010</v>
      </c>
      <c r="N512" s="16" t="str">
        <f t="shared" si="180"/>
        <v>60607020110611010620</v>
      </c>
    </row>
    <row r="513" spans="2:14" s="17" customFormat="1" ht="25.5">
      <c r="B513" s="14"/>
      <c r="C513" s="205" t="s">
        <v>1279</v>
      </c>
      <c r="D513" s="198" t="s">
        <v>394</v>
      </c>
      <c r="E513" s="199" t="s">
        <v>229</v>
      </c>
      <c r="F513" s="199" t="s">
        <v>62</v>
      </c>
      <c r="G513" s="199" t="s">
        <v>463</v>
      </c>
      <c r="H513" s="199" t="s">
        <v>9</v>
      </c>
      <c r="I513" s="316">
        <f>I517</f>
        <v>2182.42</v>
      </c>
      <c r="J513" s="316">
        <f t="shared" ref="J513:K513" si="199">J517</f>
        <v>0</v>
      </c>
      <c r="K513" s="316">
        <f t="shared" si="199"/>
        <v>0</v>
      </c>
      <c r="L513" s="17" t="s">
        <v>1206</v>
      </c>
      <c r="M513" s="16" t="str">
        <f t="shared" si="179"/>
        <v>01106S6690</v>
      </c>
      <c r="N513" s="16" t="str">
        <f t="shared" si="180"/>
        <v>606070201106S6690000</v>
      </c>
    </row>
    <row r="514" spans="2:14" s="17" customFormat="1">
      <c r="B514" s="14"/>
      <c r="C514" s="205" t="s">
        <v>1045</v>
      </c>
      <c r="D514" s="198"/>
      <c r="E514" s="199"/>
      <c r="F514" s="199"/>
      <c r="G514" s="199"/>
      <c r="H514" s="199"/>
      <c r="I514" s="316"/>
      <c r="J514" s="20"/>
      <c r="K514" s="20"/>
      <c r="M514" s="16" t="str">
        <f t="shared" si="179"/>
        <v>0000000000</v>
      </c>
      <c r="N514" s="16" t="str">
        <f t="shared" si="180"/>
        <v>0000000000</v>
      </c>
    </row>
    <row r="515" spans="2:14" s="17" customFormat="1">
      <c r="B515" s="14"/>
      <c r="C515" s="197" t="s">
        <v>1050</v>
      </c>
      <c r="D515" s="198" t="s">
        <v>394</v>
      </c>
      <c r="E515" s="199" t="s">
        <v>229</v>
      </c>
      <c r="F515" s="199" t="s">
        <v>62</v>
      </c>
      <c r="G515" s="199" t="s">
        <v>463</v>
      </c>
      <c r="H515" s="199" t="s">
        <v>9</v>
      </c>
      <c r="I515" s="316">
        <f>371.01</f>
        <v>371.01</v>
      </c>
      <c r="J515" s="20">
        <v>0</v>
      </c>
      <c r="K515" s="20">
        <v>0</v>
      </c>
      <c r="L515" s="17" t="s">
        <v>1206</v>
      </c>
      <c r="M515" s="16" t="str">
        <f t="shared" si="179"/>
        <v>01106S6690</v>
      </c>
      <c r="N515" s="16" t="str">
        <f t="shared" si="180"/>
        <v>606070201106S6690000</v>
      </c>
    </row>
    <row r="516" spans="2:14" s="17" customFormat="1">
      <c r="B516" s="14"/>
      <c r="C516" s="197" t="s">
        <v>1051</v>
      </c>
      <c r="D516" s="198" t="s">
        <v>394</v>
      </c>
      <c r="E516" s="199" t="s">
        <v>229</v>
      </c>
      <c r="F516" s="199" t="s">
        <v>62</v>
      </c>
      <c r="G516" s="199" t="s">
        <v>463</v>
      </c>
      <c r="H516" s="199" t="s">
        <v>9</v>
      </c>
      <c r="I516" s="316">
        <f>1811.41</f>
        <v>1811.41</v>
      </c>
      <c r="J516" s="20">
        <v>0</v>
      </c>
      <c r="K516" s="20">
        <v>0</v>
      </c>
      <c r="L516" s="17" t="s">
        <v>1206</v>
      </c>
      <c r="M516" s="16" t="str">
        <f t="shared" si="179"/>
        <v>01106S6690</v>
      </c>
      <c r="N516" s="16" t="str">
        <f t="shared" si="180"/>
        <v>606070201106S6690000</v>
      </c>
    </row>
    <row r="517" spans="2:14" s="17" customFormat="1">
      <c r="B517" s="14"/>
      <c r="C517" s="205" t="s">
        <v>409</v>
      </c>
      <c r="D517" s="198" t="s">
        <v>394</v>
      </c>
      <c r="E517" s="199" t="s">
        <v>229</v>
      </c>
      <c r="F517" s="199" t="s">
        <v>62</v>
      </c>
      <c r="G517" s="199" t="s">
        <v>463</v>
      </c>
      <c r="H517" s="199" t="s">
        <v>410</v>
      </c>
      <c r="I517" s="316">
        <f>I516+I515</f>
        <v>2182.42</v>
      </c>
      <c r="J517" s="20">
        <f t="shared" ref="J517:K517" si="200">J516+J515</f>
        <v>0</v>
      </c>
      <c r="K517" s="20">
        <f t="shared" si="200"/>
        <v>0</v>
      </c>
      <c r="L517" s="17" t="s">
        <v>1206</v>
      </c>
      <c r="M517" s="16" t="str">
        <f t="shared" si="179"/>
        <v>01106S6690</v>
      </c>
      <c r="N517" s="16" t="str">
        <f t="shared" si="180"/>
        <v>606070201106S6690620</v>
      </c>
    </row>
    <row r="518" spans="2:14" s="17" customFormat="1" ht="25.5">
      <c r="B518" s="14"/>
      <c r="C518" s="197" t="s">
        <v>1280</v>
      </c>
      <c r="D518" s="198" t="s">
        <v>394</v>
      </c>
      <c r="E518" s="199" t="s">
        <v>229</v>
      </c>
      <c r="F518" s="199" t="s">
        <v>62</v>
      </c>
      <c r="G518" s="199" t="s">
        <v>1119</v>
      </c>
      <c r="H518" s="199" t="s">
        <v>9</v>
      </c>
      <c r="I518" s="20">
        <f>I524</f>
        <v>7024.380000000001</v>
      </c>
      <c r="J518" s="20">
        <f t="shared" ref="J518:K518" si="201">J524</f>
        <v>0</v>
      </c>
      <c r="K518" s="20">
        <f t="shared" si="201"/>
        <v>0</v>
      </c>
      <c r="L518" s="17" t="s">
        <v>1203</v>
      </c>
      <c r="M518" s="16" t="str">
        <f t="shared" ref="M518:M581" si="202">TEXT(L518,"0000000000")</f>
        <v>01106S7300</v>
      </c>
      <c r="N518" s="16" t="str">
        <f t="shared" ref="N518:N581" si="203">D518&amp;E518&amp;F518&amp;M518&amp;H518</f>
        <v>606070201106S7300000</v>
      </c>
    </row>
    <row r="519" spans="2:14" s="17" customFormat="1">
      <c r="B519" s="14"/>
      <c r="C519" s="205" t="s">
        <v>1045</v>
      </c>
      <c r="D519" s="198"/>
      <c r="E519" s="199"/>
      <c r="F519" s="199"/>
      <c r="G519" s="199"/>
      <c r="H519" s="199"/>
      <c r="I519" s="20"/>
      <c r="J519" s="20"/>
      <c r="K519" s="20"/>
      <c r="M519" s="16" t="str">
        <f t="shared" si="202"/>
        <v>0000000000</v>
      </c>
      <c r="N519" s="16" t="str">
        <f t="shared" si="203"/>
        <v>0000000000</v>
      </c>
    </row>
    <row r="520" spans="2:14" s="17" customFormat="1">
      <c r="B520" s="14"/>
      <c r="C520" s="197" t="s">
        <v>1050</v>
      </c>
      <c r="D520" s="198" t="s">
        <v>394</v>
      </c>
      <c r="E520" s="199" t="s">
        <v>229</v>
      </c>
      <c r="F520" s="199" t="s">
        <v>62</v>
      </c>
      <c r="G520" s="199" t="s">
        <v>1119</v>
      </c>
      <c r="H520" s="199" t="s">
        <v>9</v>
      </c>
      <c r="I520" s="20">
        <f>I522+1837.18</f>
        <v>2300.19</v>
      </c>
      <c r="J520" s="20">
        <v>0</v>
      </c>
      <c r="K520" s="20">
        <v>0</v>
      </c>
      <c r="L520" s="17" t="s">
        <v>1203</v>
      </c>
      <c r="M520" s="16" t="str">
        <f t="shared" si="202"/>
        <v>01106S7300</v>
      </c>
      <c r="N520" s="16" t="str">
        <f t="shared" si="203"/>
        <v>606070201106S7300000</v>
      </c>
    </row>
    <row r="521" spans="2:14" s="17" customFormat="1">
      <c r="B521" s="14"/>
      <c r="C521" s="220" t="s">
        <v>1104</v>
      </c>
      <c r="D521" s="198"/>
      <c r="E521" s="199"/>
      <c r="F521" s="199"/>
      <c r="G521" s="199"/>
      <c r="H521" s="199"/>
      <c r="I521" s="20"/>
      <c r="J521" s="20"/>
      <c r="K521" s="20"/>
      <c r="M521" s="16" t="str">
        <f t="shared" si="202"/>
        <v>0000000000</v>
      </c>
      <c r="N521" s="16" t="str">
        <f t="shared" si="203"/>
        <v>0000000000</v>
      </c>
    </row>
    <row r="522" spans="2:14" s="17" customFormat="1">
      <c r="B522" s="14"/>
      <c r="C522" s="221" t="s">
        <v>1105</v>
      </c>
      <c r="D522" s="222" t="s">
        <v>394</v>
      </c>
      <c r="E522" s="223" t="s">
        <v>229</v>
      </c>
      <c r="F522" s="223" t="s">
        <v>62</v>
      </c>
      <c r="G522" s="223" t="s">
        <v>1119</v>
      </c>
      <c r="H522" s="223" t="s">
        <v>9</v>
      </c>
      <c r="I522" s="224">
        <f>463.01</f>
        <v>463.01</v>
      </c>
      <c r="J522" s="224">
        <v>0</v>
      </c>
      <c r="K522" s="224">
        <v>0</v>
      </c>
      <c r="L522" s="17" t="s">
        <v>1203</v>
      </c>
      <c r="M522" s="16" t="str">
        <f t="shared" si="202"/>
        <v>01106S7300</v>
      </c>
      <c r="N522" s="16" t="str">
        <f t="shared" si="203"/>
        <v>606070201106S7300000</v>
      </c>
    </row>
    <row r="523" spans="2:14" s="17" customFormat="1">
      <c r="B523" s="14" t="s">
        <v>2282</v>
      </c>
      <c r="C523" s="197" t="s">
        <v>1051</v>
      </c>
      <c r="D523" s="198" t="s">
        <v>394</v>
      </c>
      <c r="E523" s="199" t="s">
        <v>229</v>
      </c>
      <c r="F523" s="199" t="s">
        <v>62</v>
      </c>
      <c r="G523" s="199" t="s">
        <v>1119</v>
      </c>
      <c r="H523" s="199" t="s">
        <v>9</v>
      </c>
      <c r="I523" s="20">
        <f>8797.17+4724.19-8797.17</f>
        <v>4724.1900000000005</v>
      </c>
      <c r="J523" s="20"/>
      <c r="K523" s="20"/>
      <c r="L523" s="17" t="s">
        <v>1203</v>
      </c>
      <c r="M523" s="16" t="str">
        <f t="shared" si="202"/>
        <v>01106S7300</v>
      </c>
      <c r="N523" s="16" t="str">
        <f t="shared" si="203"/>
        <v>606070201106S7300000</v>
      </c>
    </row>
    <row r="524" spans="2:14" s="17" customFormat="1">
      <c r="B524" s="14"/>
      <c r="C524" s="205" t="s">
        <v>403</v>
      </c>
      <c r="D524" s="198" t="s">
        <v>394</v>
      </c>
      <c r="E524" s="199" t="s">
        <v>229</v>
      </c>
      <c r="F524" s="199" t="s">
        <v>62</v>
      </c>
      <c r="G524" s="199" t="s">
        <v>1119</v>
      </c>
      <c r="H524" s="199" t="s">
        <v>404</v>
      </c>
      <c r="I524" s="20">
        <f>I520+I523</f>
        <v>7024.380000000001</v>
      </c>
      <c r="J524" s="20">
        <f t="shared" ref="J524:K524" si="204">J520+J523</f>
        <v>0</v>
      </c>
      <c r="K524" s="20">
        <f t="shared" si="204"/>
        <v>0</v>
      </c>
      <c r="L524" s="17" t="s">
        <v>1203</v>
      </c>
      <c r="M524" s="16" t="str">
        <f t="shared" si="202"/>
        <v>01106S7300</v>
      </c>
      <c r="N524" s="16" t="str">
        <f t="shared" si="203"/>
        <v>606070201106S7300610</v>
      </c>
    </row>
    <row r="525" spans="2:14" s="17" customFormat="1" ht="38.25">
      <c r="B525" s="14"/>
      <c r="C525" s="197" t="s">
        <v>1281</v>
      </c>
      <c r="D525" s="198" t="s">
        <v>394</v>
      </c>
      <c r="E525" s="199" t="s">
        <v>229</v>
      </c>
      <c r="F525" s="199" t="s">
        <v>62</v>
      </c>
      <c r="G525" s="199" t="s">
        <v>1202</v>
      </c>
      <c r="H525" s="199" t="s">
        <v>9</v>
      </c>
      <c r="I525" s="20">
        <f>I528</f>
        <v>8797.17</v>
      </c>
      <c r="J525" s="20">
        <v>0</v>
      </c>
      <c r="K525" s="20">
        <f t="shared" ref="K525" si="205">K534</f>
        <v>0</v>
      </c>
      <c r="L525" s="17">
        <v>110677300</v>
      </c>
      <c r="M525" s="16" t="str">
        <f t="shared" si="202"/>
        <v>0110677300</v>
      </c>
      <c r="N525" s="16" t="str">
        <f t="shared" si="203"/>
        <v>60607020110677300000</v>
      </c>
    </row>
    <row r="526" spans="2:14" s="17" customFormat="1">
      <c r="B526" s="14"/>
      <c r="C526" s="220" t="s">
        <v>1104</v>
      </c>
      <c r="D526" s="198"/>
      <c r="E526" s="199"/>
      <c r="F526" s="199"/>
      <c r="G526" s="199"/>
      <c r="H526" s="199"/>
      <c r="I526" s="20"/>
      <c r="J526" s="20"/>
      <c r="K526" s="20"/>
      <c r="M526" s="16" t="str">
        <f t="shared" si="202"/>
        <v>0000000000</v>
      </c>
      <c r="N526" s="16" t="str">
        <f t="shared" si="203"/>
        <v>0000000000</v>
      </c>
    </row>
    <row r="527" spans="2:14" s="17" customFormat="1">
      <c r="B527" s="14"/>
      <c r="C527" s="318" t="s">
        <v>1105</v>
      </c>
      <c r="D527" s="322" t="s">
        <v>394</v>
      </c>
      <c r="E527" s="319" t="s">
        <v>229</v>
      </c>
      <c r="F527" s="319" t="s">
        <v>62</v>
      </c>
      <c r="G527" s="319" t="s">
        <v>1202</v>
      </c>
      <c r="H527" s="319" t="s">
        <v>9</v>
      </c>
      <c r="I527" s="320">
        <f>8797.17</f>
        <v>8797.17</v>
      </c>
      <c r="J527" s="320">
        <v>0</v>
      </c>
      <c r="K527" s="320">
        <v>0</v>
      </c>
      <c r="L527" s="17">
        <v>110677300</v>
      </c>
      <c r="M527" s="16" t="str">
        <f t="shared" si="202"/>
        <v>0110677300</v>
      </c>
      <c r="N527" s="16" t="str">
        <f t="shared" si="203"/>
        <v>60607020110677300000</v>
      </c>
    </row>
    <row r="528" spans="2:14" s="17" customFormat="1">
      <c r="B528" s="14"/>
      <c r="C528" s="205" t="s">
        <v>403</v>
      </c>
      <c r="D528" s="198" t="s">
        <v>394</v>
      </c>
      <c r="E528" s="199" t="s">
        <v>229</v>
      </c>
      <c r="F528" s="199" t="s">
        <v>62</v>
      </c>
      <c r="G528" s="199" t="s">
        <v>1202</v>
      </c>
      <c r="H528" s="199" t="s">
        <v>404</v>
      </c>
      <c r="I528" s="20">
        <f>I527</f>
        <v>8797.17</v>
      </c>
      <c r="J528" s="20">
        <v>0</v>
      </c>
      <c r="K528" s="20">
        <v>0</v>
      </c>
      <c r="L528" s="17">
        <v>110677300</v>
      </c>
      <c r="M528" s="16" t="str">
        <f t="shared" si="202"/>
        <v>0110677300</v>
      </c>
      <c r="N528" s="16" t="str">
        <f t="shared" si="203"/>
        <v>60607020110677300610</v>
      </c>
    </row>
    <row r="529" spans="2:14" s="17" customFormat="1" ht="25.5">
      <c r="B529" s="14"/>
      <c r="C529" s="205" t="s">
        <v>444</v>
      </c>
      <c r="D529" s="198" t="s">
        <v>394</v>
      </c>
      <c r="E529" s="199" t="s">
        <v>229</v>
      </c>
      <c r="F529" s="199" t="s">
        <v>62</v>
      </c>
      <c r="G529" s="199" t="s">
        <v>445</v>
      </c>
      <c r="H529" s="199" t="s">
        <v>9</v>
      </c>
      <c r="I529" s="218">
        <f>I530</f>
        <v>0</v>
      </c>
      <c r="J529" s="20">
        <f t="shared" ref="J529:K530" si="206">J530</f>
        <v>6819.62</v>
      </c>
      <c r="K529" s="20">
        <f t="shared" si="206"/>
        <v>0</v>
      </c>
      <c r="L529" s="17">
        <v>120000000</v>
      </c>
      <c r="M529" s="16" t="str">
        <f t="shared" si="202"/>
        <v>0120000000</v>
      </c>
      <c r="N529" s="16" t="str">
        <f t="shared" si="203"/>
        <v>60607020120000000000</v>
      </c>
    </row>
    <row r="530" spans="2:14" s="17" customFormat="1" ht="38.25">
      <c r="B530" s="14"/>
      <c r="C530" s="205" t="s">
        <v>446</v>
      </c>
      <c r="D530" s="198" t="s">
        <v>394</v>
      </c>
      <c r="E530" s="199" t="s">
        <v>229</v>
      </c>
      <c r="F530" s="199" t="s">
        <v>62</v>
      </c>
      <c r="G530" s="199" t="s">
        <v>447</v>
      </c>
      <c r="H530" s="199" t="s">
        <v>9</v>
      </c>
      <c r="I530" s="218">
        <f>I531</f>
        <v>0</v>
      </c>
      <c r="J530" s="20">
        <f t="shared" si="206"/>
        <v>6819.62</v>
      </c>
      <c r="K530" s="20">
        <f t="shared" si="206"/>
        <v>0</v>
      </c>
      <c r="L530" s="17">
        <v>120100000</v>
      </c>
      <c r="M530" s="16" t="str">
        <f t="shared" si="202"/>
        <v>0120100000</v>
      </c>
      <c r="N530" s="16" t="str">
        <f t="shared" si="203"/>
        <v>60607020120100000000</v>
      </c>
    </row>
    <row r="531" spans="2:14" s="17" customFormat="1" ht="38.25">
      <c r="B531" s="14"/>
      <c r="C531" s="205" t="s">
        <v>448</v>
      </c>
      <c r="D531" s="198" t="s">
        <v>394</v>
      </c>
      <c r="E531" s="199" t="s">
        <v>229</v>
      </c>
      <c r="F531" s="199" t="s">
        <v>62</v>
      </c>
      <c r="G531" s="199" t="s">
        <v>449</v>
      </c>
      <c r="H531" s="199" t="s">
        <v>9</v>
      </c>
      <c r="I531" s="218">
        <f>I534</f>
        <v>0</v>
      </c>
      <c r="J531" s="20">
        <f t="shared" ref="J531:K531" si="207">J534</f>
        <v>6819.62</v>
      </c>
      <c r="K531" s="20">
        <f t="shared" si="207"/>
        <v>0</v>
      </c>
      <c r="L531" s="17">
        <v>120140010</v>
      </c>
      <c r="M531" s="16" t="str">
        <f t="shared" si="202"/>
        <v>0120140010</v>
      </c>
      <c r="N531" s="16" t="str">
        <f t="shared" si="203"/>
        <v>60607020120140010000</v>
      </c>
    </row>
    <row r="532" spans="2:14" s="17" customFormat="1">
      <c r="B532" s="14"/>
      <c r="C532" s="197" t="s">
        <v>1104</v>
      </c>
      <c r="D532" s="198"/>
      <c r="E532" s="199"/>
      <c r="F532" s="199"/>
      <c r="G532" s="199"/>
      <c r="H532" s="199"/>
      <c r="I532" s="218"/>
      <c r="J532" s="20"/>
      <c r="K532" s="20"/>
      <c r="M532" s="16" t="str">
        <f t="shared" si="202"/>
        <v>0000000000</v>
      </c>
      <c r="N532" s="16" t="str">
        <f t="shared" si="203"/>
        <v>0000000000</v>
      </c>
    </row>
    <row r="533" spans="2:14" s="17" customFormat="1" ht="63.75">
      <c r="B533" s="14"/>
      <c r="C533" s="205" t="s">
        <v>1120</v>
      </c>
      <c r="D533" s="198" t="s">
        <v>394</v>
      </c>
      <c r="E533" s="199" t="s">
        <v>229</v>
      </c>
      <c r="F533" s="199" t="s">
        <v>62</v>
      </c>
      <c r="G533" s="199" t="s">
        <v>449</v>
      </c>
      <c r="H533" s="199" t="s">
        <v>9</v>
      </c>
      <c r="I533" s="218">
        <f>3720-3720</f>
        <v>0</v>
      </c>
      <c r="J533" s="20">
        <f>6819.62</f>
        <v>6819.62</v>
      </c>
      <c r="K533" s="20">
        <v>0</v>
      </c>
      <c r="L533" s="17">
        <v>120140010</v>
      </c>
      <c r="M533" s="16" t="str">
        <f t="shared" si="202"/>
        <v>0120140010</v>
      </c>
      <c r="N533" s="16" t="str">
        <f t="shared" si="203"/>
        <v>60607020120140010000</v>
      </c>
    </row>
    <row r="534" spans="2:14" s="62" customFormat="1" ht="89.25">
      <c r="B534" s="382"/>
      <c r="C534" s="243" t="s">
        <v>450</v>
      </c>
      <c r="D534" s="232" t="s">
        <v>394</v>
      </c>
      <c r="E534" s="233" t="s">
        <v>229</v>
      </c>
      <c r="F534" s="233" t="s">
        <v>62</v>
      </c>
      <c r="G534" s="233" t="s">
        <v>449</v>
      </c>
      <c r="H534" s="233" t="s">
        <v>451</v>
      </c>
      <c r="I534" s="218">
        <f>I533</f>
        <v>0</v>
      </c>
      <c r="J534" s="235">
        <f t="shared" ref="J534:K534" si="208">J533</f>
        <v>6819.62</v>
      </c>
      <c r="K534" s="235">
        <f t="shared" si="208"/>
        <v>0</v>
      </c>
      <c r="L534" s="62">
        <v>120140010</v>
      </c>
      <c r="M534" s="16" t="str">
        <f t="shared" si="202"/>
        <v>0120140010</v>
      </c>
      <c r="N534" s="16" t="str">
        <f t="shared" si="203"/>
        <v>60607020120140010460</v>
      </c>
    </row>
    <row r="535" spans="2:14" s="17" customFormat="1" ht="38.25">
      <c r="B535" s="14"/>
      <c r="C535" s="200" t="s">
        <v>146</v>
      </c>
      <c r="D535" s="198" t="s">
        <v>394</v>
      </c>
      <c r="E535" s="199" t="s">
        <v>229</v>
      </c>
      <c r="F535" s="199" t="s">
        <v>62</v>
      </c>
      <c r="G535" s="199" t="s">
        <v>147</v>
      </c>
      <c r="H535" s="199" t="s">
        <v>9</v>
      </c>
      <c r="I535" s="20">
        <f>I540+I546+I536</f>
        <v>11981.689999999999</v>
      </c>
      <c r="J535" s="20">
        <f>J540+J546+J536</f>
        <v>2671.95</v>
      </c>
      <c r="K535" s="20">
        <f>K540+K546+K536</f>
        <v>1891.95</v>
      </c>
      <c r="L535" s="17">
        <v>1500000000</v>
      </c>
      <c r="M535" s="16" t="str">
        <f t="shared" si="202"/>
        <v>1500000000</v>
      </c>
      <c r="N535" s="16" t="str">
        <f t="shared" si="203"/>
        <v>60607021500000000000</v>
      </c>
    </row>
    <row r="536" spans="2:14" s="17" customFormat="1" ht="38.25">
      <c r="B536" s="14"/>
      <c r="C536" s="197" t="s">
        <v>1065</v>
      </c>
      <c r="D536" s="198" t="s">
        <v>394</v>
      </c>
      <c r="E536" s="199" t="s">
        <v>229</v>
      </c>
      <c r="F536" s="199" t="s">
        <v>62</v>
      </c>
      <c r="G536" s="199" t="s">
        <v>149</v>
      </c>
      <c r="H536" s="199" t="s">
        <v>9</v>
      </c>
      <c r="I536" s="20">
        <f>I537</f>
        <v>10083.07</v>
      </c>
      <c r="J536" s="20">
        <f t="shared" ref="J536:K538" si="209">J537</f>
        <v>780</v>
      </c>
      <c r="K536" s="20">
        <f t="shared" si="209"/>
        <v>0</v>
      </c>
      <c r="L536" s="17">
        <v>1510000000</v>
      </c>
      <c r="M536" s="16" t="str">
        <f t="shared" si="202"/>
        <v>1510000000</v>
      </c>
      <c r="N536" s="16" t="str">
        <f t="shared" si="203"/>
        <v>60607021510000000000</v>
      </c>
    </row>
    <row r="537" spans="2:14" s="17" customFormat="1" ht="51">
      <c r="B537" s="14"/>
      <c r="C537" s="214" t="s">
        <v>1068</v>
      </c>
      <c r="D537" s="198" t="s">
        <v>394</v>
      </c>
      <c r="E537" s="199" t="s">
        <v>229</v>
      </c>
      <c r="F537" s="199" t="s">
        <v>62</v>
      </c>
      <c r="G537" s="199" t="s">
        <v>1069</v>
      </c>
      <c r="H537" s="199" t="s">
        <v>9</v>
      </c>
      <c r="I537" s="20">
        <f>I538</f>
        <v>10083.07</v>
      </c>
      <c r="J537" s="20">
        <f t="shared" si="209"/>
        <v>780</v>
      </c>
      <c r="K537" s="20">
        <f t="shared" si="209"/>
        <v>0</v>
      </c>
      <c r="L537" s="17">
        <v>1510400000</v>
      </c>
      <c r="M537" s="16" t="str">
        <f t="shared" si="202"/>
        <v>1510400000</v>
      </c>
      <c r="N537" s="16" t="str">
        <f t="shared" si="203"/>
        <v>60607021510400000000</v>
      </c>
    </row>
    <row r="538" spans="2:14" s="17" customFormat="1" ht="25.5">
      <c r="B538" s="14"/>
      <c r="C538" s="205" t="s">
        <v>152</v>
      </c>
      <c r="D538" s="198" t="s">
        <v>394</v>
      </c>
      <c r="E538" s="199" t="s">
        <v>229</v>
      </c>
      <c r="F538" s="199" t="s">
        <v>62</v>
      </c>
      <c r="G538" s="199" t="s">
        <v>1070</v>
      </c>
      <c r="H538" s="199" t="s">
        <v>9</v>
      </c>
      <c r="I538" s="20">
        <f>I539</f>
        <v>10083.07</v>
      </c>
      <c r="J538" s="20">
        <f t="shared" si="209"/>
        <v>780</v>
      </c>
      <c r="K538" s="20">
        <f t="shared" si="209"/>
        <v>0</v>
      </c>
      <c r="L538" s="17">
        <v>1510420350</v>
      </c>
      <c r="M538" s="16" t="str">
        <f t="shared" si="202"/>
        <v>1510420350</v>
      </c>
      <c r="N538" s="16" t="str">
        <f t="shared" si="203"/>
        <v>60607021510420350000</v>
      </c>
    </row>
    <row r="539" spans="2:14" s="17" customFormat="1">
      <c r="B539" s="14"/>
      <c r="C539" s="205" t="s">
        <v>403</v>
      </c>
      <c r="D539" s="198" t="s">
        <v>394</v>
      </c>
      <c r="E539" s="199" t="s">
        <v>229</v>
      </c>
      <c r="F539" s="199" t="s">
        <v>62</v>
      </c>
      <c r="G539" s="199" t="s">
        <v>1070</v>
      </c>
      <c r="H539" s="199" t="s">
        <v>404</v>
      </c>
      <c r="I539" s="20">
        <f>11700-1616.93</f>
        <v>10083.07</v>
      </c>
      <c r="J539" s="20">
        <f>780</f>
        <v>780</v>
      </c>
      <c r="K539" s="20">
        <v>0</v>
      </c>
      <c r="L539" s="17">
        <v>1510420350</v>
      </c>
      <c r="M539" s="16" t="str">
        <f t="shared" si="202"/>
        <v>1510420350</v>
      </c>
      <c r="N539" s="16" t="str">
        <f t="shared" si="203"/>
        <v>60607021510420350610</v>
      </c>
    </row>
    <row r="540" spans="2:14" s="17" customFormat="1">
      <c r="B540" s="14"/>
      <c r="C540" s="200" t="s">
        <v>154</v>
      </c>
      <c r="D540" s="198" t="s">
        <v>394</v>
      </c>
      <c r="E540" s="199" t="s">
        <v>229</v>
      </c>
      <c r="F540" s="199" t="s">
        <v>62</v>
      </c>
      <c r="G540" s="199" t="s">
        <v>155</v>
      </c>
      <c r="H540" s="199" t="s">
        <v>9</v>
      </c>
      <c r="I540" s="20">
        <f t="shared" ref="I540:K541" si="210">I541</f>
        <v>223.82</v>
      </c>
      <c r="J540" s="20">
        <f t="shared" si="210"/>
        <v>217.15</v>
      </c>
      <c r="K540" s="20">
        <f t="shared" si="210"/>
        <v>217.15</v>
      </c>
      <c r="L540" s="17">
        <v>1520000000</v>
      </c>
      <c r="M540" s="16" t="str">
        <f t="shared" si="202"/>
        <v>1520000000</v>
      </c>
      <c r="N540" s="16" t="str">
        <f t="shared" si="203"/>
        <v>60607021520000000000</v>
      </c>
    </row>
    <row r="541" spans="2:14" s="17" customFormat="1" ht="38.25">
      <c r="B541" s="14"/>
      <c r="C541" s="200" t="s">
        <v>160</v>
      </c>
      <c r="D541" s="198" t="s">
        <v>394</v>
      </c>
      <c r="E541" s="199" t="s">
        <v>229</v>
      </c>
      <c r="F541" s="199" t="s">
        <v>62</v>
      </c>
      <c r="G541" s="199" t="s">
        <v>161</v>
      </c>
      <c r="H541" s="199" t="s">
        <v>9</v>
      </c>
      <c r="I541" s="20">
        <f t="shared" si="210"/>
        <v>223.82</v>
      </c>
      <c r="J541" s="20">
        <f t="shared" si="210"/>
        <v>217.15</v>
      </c>
      <c r="K541" s="20">
        <f t="shared" si="210"/>
        <v>217.15</v>
      </c>
      <c r="L541" s="17">
        <v>1520200000</v>
      </c>
      <c r="M541" s="16" t="str">
        <f t="shared" si="202"/>
        <v>1520200000</v>
      </c>
      <c r="N541" s="16" t="str">
        <f t="shared" si="203"/>
        <v>60607021520200000000</v>
      </c>
    </row>
    <row r="542" spans="2:14" s="17" customFormat="1" ht="51">
      <c r="B542" s="14"/>
      <c r="C542" s="201" t="s">
        <v>158</v>
      </c>
      <c r="D542" s="198" t="s">
        <v>394</v>
      </c>
      <c r="E542" s="199" t="s">
        <v>229</v>
      </c>
      <c r="F542" s="199" t="s">
        <v>62</v>
      </c>
      <c r="G542" s="199" t="s">
        <v>162</v>
      </c>
      <c r="H542" s="199" t="s">
        <v>9</v>
      </c>
      <c r="I542" s="20">
        <f>I545</f>
        <v>223.82</v>
      </c>
      <c r="J542" s="20">
        <f>J545</f>
        <v>217.15</v>
      </c>
      <c r="K542" s="20">
        <f>K545</f>
        <v>217.15</v>
      </c>
      <c r="L542" s="17">
        <v>1520220370</v>
      </c>
      <c r="M542" s="16" t="str">
        <f t="shared" si="202"/>
        <v>1520220370</v>
      </c>
      <c r="N542" s="16" t="str">
        <f t="shared" si="203"/>
        <v>60607021520220370000</v>
      </c>
    </row>
    <row r="543" spans="2:14" s="17" customFormat="1">
      <c r="B543" s="14"/>
      <c r="C543" s="220" t="s">
        <v>1104</v>
      </c>
      <c r="D543" s="198"/>
      <c r="E543" s="199"/>
      <c r="F543" s="199"/>
      <c r="G543" s="199"/>
      <c r="H543" s="199"/>
      <c r="I543" s="20"/>
      <c r="J543" s="20"/>
      <c r="K543" s="20"/>
      <c r="M543" s="16" t="str">
        <f t="shared" si="202"/>
        <v>0000000000</v>
      </c>
      <c r="N543" s="16" t="str">
        <f t="shared" si="203"/>
        <v>0000000000</v>
      </c>
    </row>
    <row r="544" spans="2:14" s="17" customFormat="1">
      <c r="B544" s="14"/>
      <c r="C544" s="221" t="s">
        <v>1105</v>
      </c>
      <c r="D544" s="222" t="s">
        <v>394</v>
      </c>
      <c r="E544" s="223" t="s">
        <v>229</v>
      </c>
      <c r="F544" s="223" t="s">
        <v>62</v>
      </c>
      <c r="G544" s="223" t="s">
        <v>162</v>
      </c>
      <c r="H544" s="223" t="s">
        <v>9</v>
      </c>
      <c r="I544" s="224">
        <f>6.67</f>
        <v>6.67</v>
      </c>
      <c r="J544" s="224">
        <v>0</v>
      </c>
      <c r="K544" s="224">
        <v>0</v>
      </c>
      <c r="L544" s="17">
        <v>1520220370</v>
      </c>
      <c r="M544" s="16" t="str">
        <f t="shared" si="202"/>
        <v>1520220370</v>
      </c>
      <c r="N544" s="16" t="str">
        <f t="shared" si="203"/>
        <v>60607021520220370000</v>
      </c>
    </row>
    <row r="545" spans="2:14" s="17" customFormat="1">
      <c r="B545" s="14"/>
      <c r="C545" s="205" t="s">
        <v>403</v>
      </c>
      <c r="D545" s="198" t="s">
        <v>394</v>
      </c>
      <c r="E545" s="199" t="s">
        <v>229</v>
      </c>
      <c r="F545" s="199" t="s">
        <v>62</v>
      </c>
      <c r="G545" s="199" t="s">
        <v>162</v>
      </c>
      <c r="H545" s="199" t="s">
        <v>404</v>
      </c>
      <c r="I545" s="20">
        <f>217.15+I544</f>
        <v>223.82</v>
      </c>
      <c r="J545" s="20">
        <f t="shared" ref="J545:K545" si="211">217.15</f>
        <v>217.15</v>
      </c>
      <c r="K545" s="20">
        <f t="shared" si="211"/>
        <v>217.15</v>
      </c>
      <c r="L545" s="17">
        <v>1520220370</v>
      </c>
      <c r="M545" s="16" t="str">
        <f t="shared" si="202"/>
        <v>1520220370</v>
      </c>
      <c r="N545" s="16" t="str">
        <f t="shared" si="203"/>
        <v>60607021520220370610</v>
      </c>
    </row>
    <row r="546" spans="2:14" s="17" customFormat="1" ht="25.5">
      <c r="B546" s="14"/>
      <c r="C546" s="197" t="s">
        <v>168</v>
      </c>
      <c r="D546" s="198" t="s">
        <v>394</v>
      </c>
      <c r="E546" s="199" t="s">
        <v>229</v>
      </c>
      <c r="F546" s="199" t="s">
        <v>62</v>
      </c>
      <c r="G546" s="199" t="s">
        <v>169</v>
      </c>
      <c r="H546" s="199" t="s">
        <v>9</v>
      </c>
      <c r="I546" s="20">
        <f t="shared" ref="I546:K548" si="212">I547</f>
        <v>1674.8</v>
      </c>
      <c r="J546" s="20">
        <f t="shared" si="212"/>
        <v>1674.8</v>
      </c>
      <c r="K546" s="20">
        <f t="shared" si="212"/>
        <v>1674.8</v>
      </c>
      <c r="L546" s="17">
        <v>1530000000</v>
      </c>
      <c r="M546" s="16" t="str">
        <f t="shared" si="202"/>
        <v>1530000000</v>
      </c>
      <c r="N546" s="16" t="str">
        <f t="shared" si="203"/>
        <v>60607021530000000000</v>
      </c>
    </row>
    <row r="547" spans="2:14" s="17" customFormat="1" ht="25.5">
      <c r="B547" s="14"/>
      <c r="C547" s="197" t="s">
        <v>374</v>
      </c>
      <c r="D547" s="198" t="s">
        <v>394</v>
      </c>
      <c r="E547" s="199" t="s">
        <v>229</v>
      </c>
      <c r="F547" s="199" t="s">
        <v>62</v>
      </c>
      <c r="G547" s="199" t="s">
        <v>375</v>
      </c>
      <c r="H547" s="199" t="s">
        <v>9</v>
      </c>
      <c r="I547" s="20">
        <f t="shared" si="212"/>
        <v>1674.8</v>
      </c>
      <c r="J547" s="20">
        <f t="shared" si="212"/>
        <v>1674.8</v>
      </c>
      <c r="K547" s="20">
        <f t="shared" si="212"/>
        <v>1674.8</v>
      </c>
      <c r="L547" s="17">
        <v>1530100000</v>
      </c>
      <c r="M547" s="16" t="str">
        <f t="shared" si="202"/>
        <v>1530100000</v>
      </c>
      <c r="N547" s="16" t="str">
        <f t="shared" si="203"/>
        <v>60607021530100000000</v>
      </c>
    </row>
    <row r="548" spans="2:14" s="17" customFormat="1" ht="25.5">
      <c r="B548" s="14"/>
      <c r="C548" s="197" t="s">
        <v>376</v>
      </c>
      <c r="D548" s="198" t="s">
        <v>394</v>
      </c>
      <c r="E548" s="199" t="s">
        <v>229</v>
      </c>
      <c r="F548" s="199" t="s">
        <v>62</v>
      </c>
      <c r="G548" s="199" t="s">
        <v>377</v>
      </c>
      <c r="H548" s="199" t="s">
        <v>9</v>
      </c>
      <c r="I548" s="20">
        <f t="shared" si="212"/>
        <v>1674.8</v>
      </c>
      <c r="J548" s="20">
        <f t="shared" si="212"/>
        <v>1674.8</v>
      </c>
      <c r="K548" s="20">
        <f t="shared" si="212"/>
        <v>1674.8</v>
      </c>
      <c r="L548" s="17">
        <v>1530120660</v>
      </c>
      <c r="M548" s="16" t="str">
        <f t="shared" si="202"/>
        <v>1530120660</v>
      </c>
      <c r="N548" s="16" t="str">
        <f t="shared" si="203"/>
        <v>60607021530120660000</v>
      </c>
    </row>
    <row r="549" spans="2:14" s="17" customFormat="1">
      <c r="B549" s="14"/>
      <c r="C549" s="205" t="s">
        <v>403</v>
      </c>
      <c r="D549" s="198" t="s">
        <v>394</v>
      </c>
      <c r="E549" s="199" t="s">
        <v>229</v>
      </c>
      <c r="F549" s="199" t="s">
        <v>62</v>
      </c>
      <c r="G549" s="199" t="s">
        <v>377</v>
      </c>
      <c r="H549" s="199" t="s">
        <v>404</v>
      </c>
      <c r="I549" s="20">
        <f>1674.8</f>
        <v>1674.8</v>
      </c>
      <c r="J549" s="20">
        <f t="shared" ref="J549:K549" si="213">1674.8</f>
        <v>1674.8</v>
      </c>
      <c r="K549" s="20">
        <f t="shared" si="213"/>
        <v>1674.8</v>
      </c>
      <c r="L549" s="17">
        <v>1530120660</v>
      </c>
      <c r="M549" s="16" t="str">
        <f t="shared" si="202"/>
        <v>1530120660</v>
      </c>
      <c r="N549" s="16" t="str">
        <f t="shared" si="203"/>
        <v>60607021530120660610</v>
      </c>
    </row>
    <row r="550" spans="2:14" s="17" customFormat="1" ht="63.75">
      <c r="B550" s="14"/>
      <c r="C550" s="197" t="s">
        <v>420</v>
      </c>
      <c r="D550" s="198" t="s">
        <v>394</v>
      </c>
      <c r="E550" s="199" t="s">
        <v>229</v>
      </c>
      <c r="F550" s="199" t="s">
        <v>62</v>
      </c>
      <c r="G550" s="199" t="s">
        <v>421</v>
      </c>
      <c r="H550" s="199" t="s">
        <v>9</v>
      </c>
      <c r="I550" s="20">
        <f t="shared" ref="I550:K552" si="214">I551</f>
        <v>5970.59</v>
      </c>
      <c r="J550" s="20">
        <f t="shared" si="214"/>
        <v>2776.06</v>
      </c>
      <c r="K550" s="20">
        <f t="shared" si="214"/>
        <v>2776.06</v>
      </c>
      <c r="L550" s="17">
        <v>1600000000</v>
      </c>
      <c r="M550" s="16" t="str">
        <f t="shared" si="202"/>
        <v>1600000000</v>
      </c>
      <c r="N550" s="16" t="str">
        <f t="shared" si="203"/>
        <v>60607021600000000000</v>
      </c>
    </row>
    <row r="551" spans="2:14" s="17" customFormat="1" ht="25.5">
      <c r="B551" s="14"/>
      <c r="C551" s="197" t="s">
        <v>422</v>
      </c>
      <c r="D551" s="198" t="s">
        <v>394</v>
      </c>
      <c r="E551" s="199" t="s">
        <v>229</v>
      </c>
      <c r="F551" s="199" t="s">
        <v>62</v>
      </c>
      <c r="G551" s="199" t="s">
        <v>423</v>
      </c>
      <c r="H551" s="199" t="s">
        <v>9</v>
      </c>
      <c r="I551" s="20">
        <f t="shared" si="214"/>
        <v>5970.59</v>
      </c>
      <c r="J551" s="20">
        <f t="shared" si="214"/>
        <v>2776.06</v>
      </c>
      <c r="K551" s="20">
        <f t="shared" si="214"/>
        <v>2776.06</v>
      </c>
      <c r="L551" s="17">
        <v>1620000000</v>
      </c>
      <c r="M551" s="16" t="str">
        <f t="shared" si="202"/>
        <v>1620000000</v>
      </c>
      <c r="N551" s="16" t="str">
        <f t="shared" si="203"/>
        <v>60607021620000000000</v>
      </c>
    </row>
    <row r="552" spans="2:14" s="17" customFormat="1" ht="25.5">
      <c r="B552" s="14"/>
      <c r="C552" s="197" t="s">
        <v>424</v>
      </c>
      <c r="D552" s="198" t="s">
        <v>394</v>
      </c>
      <c r="E552" s="199" t="s">
        <v>229</v>
      </c>
      <c r="F552" s="199" t="s">
        <v>62</v>
      </c>
      <c r="G552" s="199" t="s">
        <v>425</v>
      </c>
      <c r="H552" s="199" t="s">
        <v>9</v>
      </c>
      <c r="I552" s="20">
        <f t="shared" si="214"/>
        <v>5970.59</v>
      </c>
      <c r="J552" s="20">
        <f t="shared" si="214"/>
        <v>2776.06</v>
      </c>
      <c r="K552" s="20">
        <f t="shared" si="214"/>
        <v>2776.06</v>
      </c>
      <c r="L552" s="17">
        <v>1620200000</v>
      </c>
      <c r="M552" s="16" t="str">
        <f t="shared" si="202"/>
        <v>1620200000</v>
      </c>
      <c r="N552" s="16" t="str">
        <f t="shared" si="203"/>
        <v>60607021620200000000</v>
      </c>
    </row>
    <row r="553" spans="2:14" s="17" customFormat="1" ht="38.25">
      <c r="B553" s="14"/>
      <c r="C553" s="197" t="s">
        <v>426</v>
      </c>
      <c r="D553" s="198" t="s">
        <v>394</v>
      </c>
      <c r="E553" s="199" t="s">
        <v>229</v>
      </c>
      <c r="F553" s="199" t="s">
        <v>62</v>
      </c>
      <c r="G553" s="199" t="s">
        <v>427</v>
      </c>
      <c r="H553" s="199" t="s">
        <v>9</v>
      </c>
      <c r="I553" s="20">
        <f>I554+I555</f>
        <v>5970.59</v>
      </c>
      <c r="J553" s="20">
        <f>J554+J555</f>
        <v>2776.06</v>
      </c>
      <c r="K553" s="20">
        <f>K554+K555</f>
        <v>2776.06</v>
      </c>
      <c r="L553" s="17">
        <v>1620220550</v>
      </c>
      <c r="M553" s="16" t="str">
        <f t="shared" si="202"/>
        <v>1620220550</v>
      </c>
      <c r="N553" s="16" t="str">
        <f t="shared" si="203"/>
        <v>60607021620220550000</v>
      </c>
    </row>
    <row r="554" spans="2:14" s="17" customFormat="1">
      <c r="B554" s="14"/>
      <c r="C554" s="205" t="s">
        <v>403</v>
      </c>
      <c r="D554" s="198" t="s">
        <v>394</v>
      </c>
      <c r="E554" s="199" t="s">
        <v>229</v>
      </c>
      <c r="F554" s="199" t="s">
        <v>62</v>
      </c>
      <c r="G554" s="199" t="s">
        <v>427</v>
      </c>
      <c r="H554" s="199" t="s">
        <v>404</v>
      </c>
      <c r="I554" s="20">
        <f>2627.36+1590.91+1167.47</f>
        <v>5385.7400000000007</v>
      </c>
      <c r="J554" s="20">
        <f t="shared" ref="J554:K554" si="215">2627.36</f>
        <v>2627.36</v>
      </c>
      <c r="K554" s="20">
        <f t="shared" si="215"/>
        <v>2627.36</v>
      </c>
      <c r="L554" s="17">
        <v>1620220550</v>
      </c>
      <c r="M554" s="16" t="str">
        <f t="shared" si="202"/>
        <v>1620220550</v>
      </c>
      <c r="N554" s="16" t="str">
        <f t="shared" si="203"/>
        <v>60607021620220550610</v>
      </c>
    </row>
    <row r="555" spans="2:14" s="17" customFormat="1">
      <c r="B555" s="14"/>
      <c r="C555" s="205" t="s">
        <v>409</v>
      </c>
      <c r="D555" s="198" t="s">
        <v>394</v>
      </c>
      <c r="E555" s="199" t="s">
        <v>229</v>
      </c>
      <c r="F555" s="199" t="s">
        <v>62</v>
      </c>
      <c r="G555" s="199" t="s">
        <v>427</v>
      </c>
      <c r="H555" s="199" t="s">
        <v>410</v>
      </c>
      <c r="I555" s="20">
        <f>148.7+436.15</f>
        <v>584.84999999999991</v>
      </c>
      <c r="J555" s="20">
        <f t="shared" ref="J555:K555" si="216">148.7</f>
        <v>148.69999999999999</v>
      </c>
      <c r="K555" s="20">
        <f t="shared" si="216"/>
        <v>148.69999999999999</v>
      </c>
      <c r="L555" s="17">
        <v>1620220550</v>
      </c>
      <c r="M555" s="16" t="str">
        <f t="shared" si="202"/>
        <v>1620220550</v>
      </c>
      <c r="N555" s="16" t="str">
        <f t="shared" si="203"/>
        <v>60607021620220550620</v>
      </c>
    </row>
    <row r="556" spans="2:14" s="17" customFormat="1" ht="25.5">
      <c r="B556" s="14"/>
      <c r="C556" s="197" t="s">
        <v>430</v>
      </c>
      <c r="D556" s="198" t="s">
        <v>394</v>
      </c>
      <c r="E556" s="199" t="s">
        <v>229</v>
      </c>
      <c r="F556" s="199" t="s">
        <v>62</v>
      </c>
      <c r="G556" s="199" t="s">
        <v>431</v>
      </c>
      <c r="H556" s="199" t="s">
        <v>9</v>
      </c>
      <c r="I556" s="20">
        <f t="shared" ref="I556:K557" si="217">I557</f>
        <v>4654.93</v>
      </c>
      <c r="J556" s="20">
        <f t="shared" si="217"/>
        <v>2538.87</v>
      </c>
      <c r="K556" s="20">
        <f t="shared" si="217"/>
        <v>2538.87</v>
      </c>
      <c r="L556" s="17">
        <v>1700000000</v>
      </c>
      <c r="M556" s="16" t="str">
        <f t="shared" si="202"/>
        <v>1700000000</v>
      </c>
      <c r="N556" s="16" t="str">
        <f t="shared" si="203"/>
        <v>60607021700000000000</v>
      </c>
    </row>
    <row r="557" spans="2:14" s="17" customFormat="1" ht="38.25">
      <c r="B557" s="14"/>
      <c r="C557" s="201" t="s">
        <v>432</v>
      </c>
      <c r="D557" s="198" t="s">
        <v>394</v>
      </c>
      <c r="E557" s="199" t="s">
        <v>229</v>
      </c>
      <c r="F557" s="199" t="s">
        <v>62</v>
      </c>
      <c r="G557" s="199" t="s">
        <v>433</v>
      </c>
      <c r="H557" s="199" t="s">
        <v>9</v>
      </c>
      <c r="I557" s="20">
        <f t="shared" si="217"/>
        <v>4654.93</v>
      </c>
      <c r="J557" s="20">
        <f t="shared" si="217"/>
        <v>2538.87</v>
      </c>
      <c r="K557" s="20">
        <f t="shared" si="217"/>
        <v>2538.87</v>
      </c>
      <c r="L557" s="17" t="s">
        <v>1198</v>
      </c>
      <c r="M557" s="16" t="str">
        <f t="shared" si="202"/>
        <v>17Б0000000</v>
      </c>
      <c r="N557" s="16" t="str">
        <f t="shared" si="203"/>
        <v>606070217Б0000000000</v>
      </c>
    </row>
    <row r="558" spans="2:14" s="17" customFormat="1" ht="25.5">
      <c r="B558" s="14"/>
      <c r="C558" s="197" t="s">
        <v>434</v>
      </c>
      <c r="D558" s="198" t="s">
        <v>394</v>
      </c>
      <c r="E558" s="199" t="s">
        <v>229</v>
      </c>
      <c r="F558" s="199" t="s">
        <v>62</v>
      </c>
      <c r="G558" s="199" t="s">
        <v>435</v>
      </c>
      <c r="H558" s="199" t="s">
        <v>9</v>
      </c>
      <c r="I558" s="20">
        <f>I559</f>
        <v>4654.93</v>
      </c>
      <c r="J558" s="20">
        <f>J560</f>
        <v>2538.87</v>
      </c>
      <c r="K558" s="20">
        <f>K560</f>
        <v>2538.87</v>
      </c>
      <c r="L558" s="17" t="s">
        <v>1199</v>
      </c>
      <c r="M558" s="16" t="str">
        <f t="shared" si="202"/>
        <v>17Б0100000</v>
      </c>
      <c r="N558" s="16" t="str">
        <f t="shared" si="203"/>
        <v>606070217Б0100000000</v>
      </c>
    </row>
    <row r="559" spans="2:14" s="17" customFormat="1" ht="25.5">
      <c r="B559" s="14"/>
      <c r="C559" s="205" t="s">
        <v>436</v>
      </c>
      <c r="D559" s="198" t="s">
        <v>394</v>
      </c>
      <c r="E559" s="199" t="s">
        <v>229</v>
      </c>
      <c r="F559" s="199" t="s">
        <v>62</v>
      </c>
      <c r="G559" s="199" t="s">
        <v>437</v>
      </c>
      <c r="H559" s="199" t="s">
        <v>9</v>
      </c>
      <c r="I559" s="20">
        <f>I560+I561</f>
        <v>4654.93</v>
      </c>
      <c r="J559" s="20">
        <f t="shared" ref="J559:K559" si="218">J560+J561</f>
        <v>2538.87</v>
      </c>
      <c r="K559" s="20">
        <f t="shared" si="218"/>
        <v>2538.87</v>
      </c>
      <c r="L559" s="17" t="s">
        <v>1200</v>
      </c>
      <c r="M559" s="16" t="str">
        <f t="shared" si="202"/>
        <v>17Б0120490</v>
      </c>
      <c r="N559" s="16" t="str">
        <f t="shared" si="203"/>
        <v>606070217Б0120490000</v>
      </c>
    </row>
    <row r="560" spans="2:14" s="17" customFormat="1" ht="16.149999999999999" customHeight="1">
      <c r="B560" s="14"/>
      <c r="C560" s="205" t="s">
        <v>403</v>
      </c>
      <c r="D560" s="198" t="s">
        <v>394</v>
      </c>
      <c r="E560" s="199" t="s">
        <v>229</v>
      </c>
      <c r="F560" s="199" t="s">
        <v>62</v>
      </c>
      <c r="G560" s="199" t="s">
        <v>437</v>
      </c>
      <c r="H560" s="199" t="s">
        <v>404</v>
      </c>
      <c r="I560" s="20">
        <f>2538.87+640.17</f>
        <v>3179.04</v>
      </c>
      <c r="J560" s="20">
        <f t="shared" ref="J560:K560" si="219">2538.87</f>
        <v>2538.87</v>
      </c>
      <c r="K560" s="20">
        <f t="shared" si="219"/>
        <v>2538.87</v>
      </c>
      <c r="L560" s="17" t="s">
        <v>1200</v>
      </c>
      <c r="M560" s="16" t="str">
        <f t="shared" si="202"/>
        <v>17Б0120490</v>
      </c>
      <c r="N560" s="16" t="str">
        <f t="shared" si="203"/>
        <v>606070217Б0120490610</v>
      </c>
    </row>
    <row r="561" spans="2:14" s="17" customFormat="1" ht="16.149999999999999" customHeight="1">
      <c r="B561" s="14"/>
      <c r="C561" s="205" t="s">
        <v>409</v>
      </c>
      <c r="D561" s="198" t="s">
        <v>394</v>
      </c>
      <c r="E561" s="199" t="s">
        <v>229</v>
      </c>
      <c r="F561" s="199" t="s">
        <v>62</v>
      </c>
      <c r="G561" s="199" t="s">
        <v>437</v>
      </c>
      <c r="H561" s="199" t="s">
        <v>410</v>
      </c>
      <c r="I561" s="20">
        <f>1475.89</f>
        <v>1475.89</v>
      </c>
      <c r="J561" s="20">
        <v>0</v>
      </c>
      <c r="K561" s="20">
        <v>0</v>
      </c>
      <c r="L561" s="17" t="s">
        <v>1200</v>
      </c>
      <c r="M561" s="16" t="str">
        <f t="shared" si="202"/>
        <v>17Б0120490</v>
      </c>
      <c r="N561" s="16" t="str">
        <f t="shared" si="203"/>
        <v>606070217Б0120490620</v>
      </c>
    </row>
    <row r="562" spans="2:14" s="17" customFormat="1" ht="25.5">
      <c r="B562" s="14"/>
      <c r="C562" s="205" t="s">
        <v>174</v>
      </c>
      <c r="D562" s="198" t="s">
        <v>394</v>
      </c>
      <c r="E562" s="199" t="s">
        <v>229</v>
      </c>
      <c r="F562" s="199" t="s">
        <v>62</v>
      </c>
      <c r="G562" s="199" t="s">
        <v>175</v>
      </c>
      <c r="H562" s="199" t="s">
        <v>9</v>
      </c>
      <c r="I562" s="20">
        <f t="shared" ref="I562:K565" si="220">I563</f>
        <v>91.8</v>
      </c>
      <c r="J562" s="20">
        <f t="shared" si="220"/>
        <v>91.8</v>
      </c>
      <c r="K562" s="20">
        <f t="shared" si="220"/>
        <v>91.8</v>
      </c>
      <c r="L562" s="17">
        <v>1800000000</v>
      </c>
      <c r="M562" s="16" t="str">
        <f t="shared" si="202"/>
        <v>1800000000</v>
      </c>
      <c r="N562" s="16" t="str">
        <f t="shared" si="203"/>
        <v>60607021800000000000</v>
      </c>
    </row>
    <row r="563" spans="2:14" s="17" customFormat="1" ht="25.5">
      <c r="B563" s="14"/>
      <c r="C563" s="205" t="s">
        <v>176</v>
      </c>
      <c r="D563" s="198" t="s">
        <v>394</v>
      </c>
      <c r="E563" s="199" t="s">
        <v>229</v>
      </c>
      <c r="F563" s="199" t="s">
        <v>62</v>
      </c>
      <c r="G563" s="199" t="s">
        <v>177</v>
      </c>
      <c r="H563" s="199" t="s">
        <v>9</v>
      </c>
      <c r="I563" s="20">
        <f t="shared" si="220"/>
        <v>91.8</v>
      </c>
      <c r="J563" s="20">
        <f t="shared" si="220"/>
        <v>91.8</v>
      </c>
      <c r="K563" s="20">
        <f t="shared" si="220"/>
        <v>91.8</v>
      </c>
      <c r="L563" s="17" t="s">
        <v>1167</v>
      </c>
      <c r="M563" s="16" t="str">
        <f t="shared" si="202"/>
        <v>18Б0000000</v>
      </c>
      <c r="N563" s="16" t="str">
        <f t="shared" si="203"/>
        <v>606070218Б0000000000</v>
      </c>
    </row>
    <row r="564" spans="2:14" s="17" customFormat="1" ht="51">
      <c r="B564" s="14"/>
      <c r="C564" s="197" t="s">
        <v>454</v>
      </c>
      <c r="D564" s="198" t="s">
        <v>394</v>
      </c>
      <c r="E564" s="199" t="s">
        <v>229</v>
      </c>
      <c r="F564" s="199" t="s">
        <v>62</v>
      </c>
      <c r="G564" s="199" t="s">
        <v>455</v>
      </c>
      <c r="H564" s="199" t="s">
        <v>9</v>
      </c>
      <c r="I564" s="20">
        <f t="shared" si="220"/>
        <v>91.8</v>
      </c>
      <c r="J564" s="20">
        <f t="shared" si="220"/>
        <v>91.8</v>
      </c>
      <c r="K564" s="20">
        <f t="shared" si="220"/>
        <v>91.8</v>
      </c>
      <c r="L564" s="17" t="s">
        <v>1204</v>
      </c>
      <c r="M564" s="16" t="str">
        <f t="shared" si="202"/>
        <v>18Б0200000</v>
      </c>
      <c r="N564" s="16" t="str">
        <f t="shared" si="203"/>
        <v>606070218Б0200000000</v>
      </c>
    </row>
    <row r="565" spans="2:14" s="17" customFormat="1" ht="25.5">
      <c r="B565" s="14"/>
      <c r="C565" s="197" t="s">
        <v>456</v>
      </c>
      <c r="D565" s="198" t="s">
        <v>394</v>
      </c>
      <c r="E565" s="199" t="s">
        <v>229</v>
      </c>
      <c r="F565" s="199" t="s">
        <v>62</v>
      </c>
      <c r="G565" s="199" t="s">
        <v>457</v>
      </c>
      <c r="H565" s="199" t="s">
        <v>9</v>
      </c>
      <c r="I565" s="20">
        <f t="shared" si="220"/>
        <v>91.8</v>
      </c>
      <c r="J565" s="20">
        <f t="shared" si="220"/>
        <v>91.8</v>
      </c>
      <c r="K565" s="20">
        <f t="shared" si="220"/>
        <v>91.8</v>
      </c>
      <c r="L565" s="17" t="s">
        <v>1205</v>
      </c>
      <c r="M565" s="16" t="str">
        <f t="shared" si="202"/>
        <v>18Б0220360</v>
      </c>
      <c r="N565" s="16" t="str">
        <f t="shared" si="203"/>
        <v>606070218Б0220360000</v>
      </c>
    </row>
    <row r="566" spans="2:14" s="17" customFormat="1">
      <c r="B566" s="14"/>
      <c r="C566" s="205" t="s">
        <v>403</v>
      </c>
      <c r="D566" s="198" t="s">
        <v>394</v>
      </c>
      <c r="E566" s="199" t="s">
        <v>229</v>
      </c>
      <c r="F566" s="199" t="s">
        <v>62</v>
      </c>
      <c r="G566" s="199" t="s">
        <v>457</v>
      </c>
      <c r="H566" s="199" t="s">
        <v>404</v>
      </c>
      <c r="I566" s="20">
        <f>91.8</f>
        <v>91.8</v>
      </c>
      <c r="J566" s="20">
        <f t="shared" ref="J566:K566" si="221">91.8</f>
        <v>91.8</v>
      </c>
      <c r="K566" s="20">
        <f t="shared" si="221"/>
        <v>91.8</v>
      </c>
      <c r="L566" s="17" t="s">
        <v>1205</v>
      </c>
      <c r="M566" s="16" t="str">
        <f t="shared" si="202"/>
        <v>18Б0220360</v>
      </c>
      <c r="N566" s="16" t="str">
        <f t="shared" si="203"/>
        <v>606070218Б0220360610</v>
      </c>
    </row>
    <row r="567" spans="2:14" s="17" customFormat="1">
      <c r="B567" s="14"/>
      <c r="C567" s="194" t="s">
        <v>458</v>
      </c>
      <c r="D567" s="195" t="s">
        <v>394</v>
      </c>
      <c r="E567" s="196" t="s">
        <v>229</v>
      </c>
      <c r="F567" s="196" t="s">
        <v>13</v>
      </c>
      <c r="G567" s="196" t="s">
        <v>8</v>
      </c>
      <c r="H567" s="196" t="s">
        <v>9</v>
      </c>
      <c r="I567" s="19">
        <f>I568+I606+I593</f>
        <v>232966.1</v>
      </c>
      <c r="J567" s="19">
        <f>J568+J606+J593</f>
        <v>200683.62999999998</v>
      </c>
      <c r="K567" s="19">
        <f>K568+K606+K593</f>
        <v>200683.62999999998</v>
      </c>
      <c r="L567" s="17">
        <v>0</v>
      </c>
      <c r="M567" s="16" t="str">
        <f t="shared" si="202"/>
        <v>0000000000</v>
      </c>
      <c r="N567" s="16" t="str">
        <f t="shared" si="203"/>
        <v>60607030000000000000</v>
      </c>
    </row>
    <row r="568" spans="2:14" s="17" customFormat="1" ht="25.5">
      <c r="B568" s="14"/>
      <c r="C568" s="205" t="s">
        <v>396</v>
      </c>
      <c r="D568" s="198" t="s">
        <v>394</v>
      </c>
      <c r="E568" s="199" t="s">
        <v>229</v>
      </c>
      <c r="F568" s="199" t="s">
        <v>13</v>
      </c>
      <c r="G568" s="199" t="s">
        <v>397</v>
      </c>
      <c r="H568" s="199" t="s">
        <v>9</v>
      </c>
      <c r="I568" s="20">
        <f>I569</f>
        <v>231571.20000000001</v>
      </c>
      <c r="J568" s="20">
        <f t="shared" ref="J568:K568" si="222">J569</f>
        <v>200203.72999999998</v>
      </c>
      <c r="K568" s="20">
        <f t="shared" si="222"/>
        <v>200203.72999999998</v>
      </c>
      <c r="L568" s="17">
        <v>100000000</v>
      </c>
      <c r="M568" s="16" t="str">
        <f t="shared" si="202"/>
        <v>0100000000</v>
      </c>
      <c r="N568" s="16" t="str">
        <f t="shared" si="203"/>
        <v>60607030100000000000</v>
      </c>
    </row>
    <row r="569" spans="2:14" s="17" customFormat="1" ht="25.5">
      <c r="B569" s="14"/>
      <c r="C569" s="205" t="s">
        <v>398</v>
      </c>
      <c r="D569" s="198" t="s">
        <v>394</v>
      </c>
      <c r="E569" s="199" t="s">
        <v>229</v>
      </c>
      <c r="F569" s="199" t="s">
        <v>13</v>
      </c>
      <c r="G569" s="199" t="s">
        <v>399</v>
      </c>
      <c r="H569" s="199" t="s">
        <v>9</v>
      </c>
      <c r="I569" s="20">
        <f>I570+I584</f>
        <v>231571.20000000001</v>
      </c>
      <c r="J569" s="20">
        <f>J570+J584</f>
        <v>200203.72999999998</v>
      </c>
      <c r="K569" s="20">
        <f>K570+K584</f>
        <v>200203.72999999998</v>
      </c>
      <c r="L569" s="17">
        <v>110000000</v>
      </c>
      <c r="M569" s="16" t="str">
        <f t="shared" si="202"/>
        <v>0110000000</v>
      </c>
      <c r="N569" s="16" t="str">
        <f t="shared" si="203"/>
        <v>60607030110000000000</v>
      </c>
    </row>
    <row r="570" spans="2:14" s="17" customFormat="1" ht="38.25">
      <c r="B570" s="14"/>
      <c r="C570" s="201" t="s">
        <v>459</v>
      </c>
      <c r="D570" s="203" t="s">
        <v>394</v>
      </c>
      <c r="E570" s="204" t="s">
        <v>229</v>
      </c>
      <c r="F570" s="204" t="s">
        <v>13</v>
      </c>
      <c r="G570" s="204" t="s">
        <v>460</v>
      </c>
      <c r="H570" s="204" t="s">
        <v>9</v>
      </c>
      <c r="I570" s="26">
        <f>I571+I576+I581+I579</f>
        <v>225672.88</v>
      </c>
      <c r="J570" s="26">
        <f t="shared" ref="J570:K570" si="223">J571+J576+J581+J579</f>
        <v>200203.72999999998</v>
      </c>
      <c r="K570" s="26">
        <f t="shared" si="223"/>
        <v>200203.72999999998</v>
      </c>
      <c r="L570" s="17">
        <v>110300000</v>
      </c>
      <c r="M570" s="16" t="str">
        <f t="shared" si="202"/>
        <v>0110300000</v>
      </c>
      <c r="N570" s="16" t="str">
        <f t="shared" si="203"/>
        <v>60607030110300000000</v>
      </c>
    </row>
    <row r="571" spans="2:14" s="17" customFormat="1" ht="25.5">
      <c r="B571" s="14"/>
      <c r="C571" s="226" t="s">
        <v>136</v>
      </c>
      <c r="D571" s="203" t="s">
        <v>394</v>
      </c>
      <c r="E571" s="204" t="s">
        <v>229</v>
      </c>
      <c r="F571" s="204" t="s">
        <v>13</v>
      </c>
      <c r="G571" s="204" t="s">
        <v>461</v>
      </c>
      <c r="H571" s="204" t="s">
        <v>9</v>
      </c>
      <c r="I571" s="26">
        <f>I572+I575</f>
        <v>200333.67</v>
      </c>
      <c r="J571" s="26">
        <f t="shared" ref="J571:K571" si="224">J572+J575</f>
        <v>200203.72999999998</v>
      </c>
      <c r="K571" s="26">
        <f t="shared" si="224"/>
        <v>200203.72999999998</v>
      </c>
      <c r="L571" s="17">
        <v>110311010</v>
      </c>
      <c r="M571" s="16" t="str">
        <f t="shared" si="202"/>
        <v>0110311010</v>
      </c>
      <c r="N571" s="16" t="str">
        <f t="shared" si="203"/>
        <v>60607030110311010000</v>
      </c>
    </row>
    <row r="572" spans="2:14" s="17" customFormat="1">
      <c r="B572" s="14"/>
      <c r="C572" s="226" t="s">
        <v>403</v>
      </c>
      <c r="D572" s="203" t="s">
        <v>394</v>
      </c>
      <c r="E572" s="204" t="s">
        <v>229</v>
      </c>
      <c r="F572" s="204" t="s">
        <v>13</v>
      </c>
      <c r="G572" s="204" t="s">
        <v>461</v>
      </c>
      <c r="H572" s="204" t="s">
        <v>404</v>
      </c>
      <c r="I572" s="20">
        <f>178230.06+417.16+200-1136.68+I574+205.23+792.55</f>
        <v>178785.98</v>
      </c>
      <c r="J572" s="20">
        <f>178230.06+417.16-1677.9+1570.28+792.55</f>
        <v>179332.15</v>
      </c>
      <c r="K572" s="20">
        <f>178230.06+417.16-1677.9+1570.28+792.55</f>
        <v>179332.15</v>
      </c>
      <c r="L572" s="17">
        <v>110311010</v>
      </c>
      <c r="M572" s="16" t="str">
        <f t="shared" si="202"/>
        <v>0110311010</v>
      </c>
      <c r="N572" s="16" t="str">
        <f t="shared" si="203"/>
        <v>60607030110311010610</v>
      </c>
    </row>
    <row r="573" spans="2:14" s="17" customFormat="1">
      <c r="B573" s="14"/>
      <c r="C573" s="220" t="s">
        <v>1104</v>
      </c>
      <c r="D573" s="203"/>
      <c r="E573" s="204"/>
      <c r="F573" s="204"/>
      <c r="G573" s="204"/>
      <c r="H573" s="204"/>
      <c r="I573" s="20"/>
      <c r="J573" s="20"/>
      <c r="K573" s="20"/>
      <c r="M573" s="16" t="str">
        <f t="shared" si="202"/>
        <v>0000000000</v>
      </c>
      <c r="N573" s="16" t="str">
        <f t="shared" si="203"/>
        <v>0000000000</v>
      </c>
    </row>
    <row r="574" spans="2:14" s="17" customFormat="1">
      <c r="B574" s="14"/>
      <c r="C574" s="221" t="s">
        <v>1105</v>
      </c>
      <c r="D574" s="222" t="s">
        <v>394</v>
      </c>
      <c r="E574" s="223" t="s">
        <v>229</v>
      </c>
      <c r="F574" s="223" t="s">
        <v>13</v>
      </c>
      <c r="G574" s="223" t="s">
        <v>461</v>
      </c>
      <c r="H574" s="223" t="s">
        <v>404</v>
      </c>
      <c r="I574" s="224">
        <f>21.15+56.51</f>
        <v>77.66</v>
      </c>
      <c r="J574" s="224">
        <v>0</v>
      </c>
      <c r="K574" s="224">
        <v>0</v>
      </c>
      <c r="L574" s="17">
        <v>110311010</v>
      </c>
      <c r="M574" s="16" t="str">
        <f t="shared" si="202"/>
        <v>0110311010</v>
      </c>
      <c r="N574" s="16" t="str">
        <f t="shared" si="203"/>
        <v>60607030110311010610</v>
      </c>
    </row>
    <row r="575" spans="2:14" s="17" customFormat="1">
      <c r="B575" s="14"/>
      <c r="C575" s="226" t="s">
        <v>409</v>
      </c>
      <c r="D575" s="203" t="s">
        <v>394</v>
      </c>
      <c r="E575" s="204" t="s">
        <v>229</v>
      </c>
      <c r="F575" s="204" t="s">
        <v>13</v>
      </c>
      <c r="G575" s="204" t="s">
        <v>461</v>
      </c>
      <c r="H575" s="204" t="s">
        <v>410</v>
      </c>
      <c r="I575" s="20">
        <f>18856.68+60.94+250+1769.07+611</f>
        <v>21547.69</v>
      </c>
      <c r="J575" s="20">
        <f>18856.68+60.94+184.89+1769.07</f>
        <v>20871.579999999998</v>
      </c>
      <c r="K575" s="20">
        <f>18856.68+60.94+184.89+1769.07</f>
        <v>20871.579999999998</v>
      </c>
      <c r="L575" s="17">
        <v>110311010</v>
      </c>
      <c r="M575" s="16" t="str">
        <f t="shared" si="202"/>
        <v>0110311010</v>
      </c>
      <c r="N575" s="16" t="str">
        <f t="shared" si="203"/>
        <v>60607030110311010620</v>
      </c>
    </row>
    <row r="576" spans="2:14" s="17" customFormat="1" ht="191.25">
      <c r="B576" s="14" t="s">
        <v>2282</v>
      </c>
      <c r="C576" s="197" t="s">
        <v>2269</v>
      </c>
      <c r="D576" s="203" t="s">
        <v>394</v>
      </c>
      <c r="E576" s="204" t="s">
        <v>229</v>
      </c>
      <c r="F576" s="204" t="s">
        <v>13</v>
      </c>
      <c r="G576" s="204" t="s">
        <v>1282</v>
      </c>
      <c r="H576" s="204" t="s">
        <v>9</v>
      </c>
      <c r="I576" s="20">
        <f>SUM(I577:I578)</f>
        <v>1755.1599999999999</v>
      </c>
      <c r="J576" s="20">
        <f t="shared" ref="J576:K576" si="225">SUM(J577:J578)</f>
        <v>0</v>
      </c>
      <c r="K576" s="20">
        <f t="shared" si="225"/>
        <v>0</v>
      </c>
      <c r="L576" s="17">
        <v>110377460</v>
      </c>
      <c r="M576" s="16" t="str">
        <f t="shared" si="202"/>
        <v>0110377460</v>
      </c>
      <c r="N576" s="16" t="str">
        <f t="shared" si="203"/>
        <v>60607030110377460000</v>
      </c>
    </row>
    <row r="577" spans="2:14" s="17" customFormat="1">
      <c r="B577" s="14"/>
      <c r="C577" s="205" t="s">
        <v>403</v>
      </c>
      <c r="D577" s="203" t="s">
        <v>394</v>
      </c>
      <c r="E577" s="204" t="s">
        <v>229</v>
      </c>
      <c r="F577" s="204" t="s">
        <v>13</v>
      </c>
      <c r="G577" s="204" t="s">
        <v>1282</v>
      </c>
      <c r="H577" s="204" t="s">
        <v>404</v>
      </c>
      <c r="I577" s="20">
        <f>1570.28</f>
        <v>1570.28</v>
      </c>
      <c r="J577" s="20">
        <v>0</v>
      </c>
      <c r="K577" s="20">
        <v>0</v>
      </c>
      <c r="L577" s="17">
        <v>110377460</v>
      </c>
      <c r="M577" s="16" t="str">
        <f t="shared" si="202"/>
        <v>0110377460</v>
      </c>
      <c r="N577" s="16" t="str">
        <f t="shared" si="203"/>
        <v>60607030110377460610</v>
      </c>
    </row>
    <row r="578" spans="2:14" s="17" customFormat="1">
      <c r="B578" s="14"/>
      <c r="C578" s="205" t="s">
        <v>409</v>
      </c>
      <c r="D578" s="203" t="s">
        <v>394</v>
      </c>
      <c r="E578" s="204" t="s">
        <v>229</v>
      </c>
      <c r="F578" s="204" t="s">
        <v>13</v>
      </c>
      <c r="G578" s="204" t="s">
        <v>1282</v>
      </c>
      <c r="H578" s="204" t="s">
        <v>410</v>
      </c>
      <c r="I578" s="20">
        <f>184.88</f>
        <v>184.88</v>
      </c>
      <c r="J578" s="20">
        <v>0</v>
      </c>
      <c r="K578" s="20">
        <v>0</v>
      </c>
      <c r="L578" s="17">
        <v>110377460</v>
      </c>
      <c r="M578" s="16" t="str">
        <f t="shared" si="202"/>
        <v>0110377460</v>
      </c>
      <c r="N578" s="16" t="str">
        <f t="shared" si="203"/>
        <v>60607030110377460620</v>
      </c>
    </row>
    <row r="579" spans="2:14" s="17" customFormat="1" ht="25.5">
      <c r="B579" s="14"/>
      <c r="C579" s="197" t="s">
        <v>2262</v>
      </c>
      <c r="D579" s="203" t="s">
        <v>394</v>
      </c>
      <c r="E579" s="204" t="s">
        <v>229</v>
      </c>
      <c r="F579" s="204" t="s">
        <v>13</v>
      </c>
      <c r="G579" s="204" t="s">
        <v>2263</v>
      </c>
      <c r="H579" s="204" t="s">
        <v>9</v>
      </c>
      <c r="I579" s="20">
        <f>I580</f>
        <v>15915.27</v>
      </c>
      <c r="J579" s="20">
        <f t="shared" ref="J579:K579" si="226">J580</f>
        <v>0</v>
      </c>
      <c r="K579" s="20">
        <f t="shared" si="226"/>
        <v>0</v>
      </c>
      <c r="L579" s="17">
        <v>110377620</v>
      </c>
      <c r="M579" s="16" t="str">
        <f t="shared" si="202"/>
        <v>0110377620</v>
      </c>
      <c r="N579" s="16" t="str">
        <f t="shared" si="203"/>
        <v>60607030110377620000</v>
      </c>
    </row>
    <row r="580" spans="2:14" s="17" customFormat="1">
      <c r="B580" s="14"/>
      <c r="C580" s="205" t="s">
        <v>409</v>
      </c>
      <c r="D580" s="203" t="s">
        <v>394</v>
      </c>
      <c r="E580" s="204" t="s">
        <v>229</v>
      </c>
      <c r="F580" s="204" t="s">
        <v>13</v>
      </c>
      <c r="G580" s="204" t="s">
        <v>2263</v>
      </c>
      <c r="H580" s="204" t="s">
        <v>410</v>
      </c>
      <c r="I580" s="20">
        <f>15915.27</f>
        <v>15915.27</v>
      </c>
      <c r="J580" s="20">
        <v>0</v>
      </c>
      <c r="K580" s="20">
        <v>0</v>
      </c>
      <c r="L580" s="17">
        <v>110377620</v>
      </c>
      <c r="M580" s="16" t="str">
        <f t="shared" si="202"/>
        <v>0110377620</v>
      </c>
      <c r="N580" s="16" t="str">
        <f t="shared" si="203"/>
        <v>60607030110377620620</v>
      </c>
    </row>
    <row r="581" spans="2:14" s="17" customFormat="1" ht="165.75">
      <c r="B581" s="14"/>
      <c r="C581" s="200" t="s">
        <v>2247</v>
      </c>
      <c r="D581" s="203" t="s">
        <v>394</v>
      </c>
      <c r="E581" s="204" t="s">
        <v>229</v>
      </c>
      <c r="F581" s="204" t="s">
        <v>13</v>
      </c>
      <c r="G581" s="199" t="s">
        <v>2261</v>
      </c>
      <c r="H581" s="199" t="s">
        <v>9</v>
      </c>
      <c r="I581" s="20">
        <f>I582+I583</f>
        <v>7668.7800000000007</v>
      </c>
      <c r="J581" s="20">
        <f t="shared" ref="J581:K581" si="227">J582+J583</f>
        <v>0</v>
      </c>
      <c r="K581" s="20">
        <f t="shared" si="227"/>
        <v>0</v>
      </c>
      <c r="L581" s="17">
        <v>110377580</v>
      </c>
      <c r="M581" s="16" t="str">
        <f t="shared" si="202"/>
        <v>0110377580</v>
      </c>
      <c r="N581" s="16" t="str">
        <f t="shared" si="203"/>
        <v>60607030110377580000</v>
      </c>
    </row>
    <row r="582" spans="2:14" s="17" customFormat="1">
      <c r="B582" s="14"/>
      <c r="C582" s="205" t="s">
        <v>403</v>
      </c>
      <c r="D582" s="203" t="s">
        <v>394</v>
      </c>
      <c r="E582" s="204" t="s">
        <v>229</v>
      </c>
      <c r="F582" s="204" t="s">
        <v>13</v>
      </c>
      <c r="G582" s="199" t="s">
        <v>2261</v>
      </c>
      <c r="H582" s="199" t="s">
        <v>404</v>
      </c>
      <c r="I582" s="20">
        <f>4003.65</f>
        <v>4003.65</v>
      </c>
      <c r="J582" s="20">
        <v>0</v>
      </c>
      <c r="K582" s="20">
        <v>0</v>
      </c>
      <c r="L582" s="17">
        <v>110377580</v>
      </c>
      <c r="M582" s="16" t="str">
        <f t="shared" ref="M582:M645" si="228">TEXT(L582,"0000000000")</f>
        <v>0110377580</v>
      </c>
      <c r="N582" s="16" t="str">
        <f t="shared" ref="N582:N645" si="229">D582&amp;E582&amp;F582&amp;M582&amp;H582</f>
        <v>60607030110377580610</v>
      </c>
    </row>
    <row r="583" spans="2:14" s="17" customFormat="1">
      <c r="B583" s="14"/>
      <c r="C583" s="205" t="s">
        <v>409</v>
      </c>
      <c r="D583" s="203" t="s">
        <v>394</v>
      </c>
      <c r="E583" s="204" t="s">
        <v>229</v>
      </c>
      <c r="F583" s="204" t="s">
        <v>13</v>
      </c>
      <c r="G583" s="199" t="s">
        <v>2261</v>
      </c>
      <c r="H583" s="199" t="s">
        <v>410</v>
      </c>
      <c r="I583" s="20">
        <f>3665.13</f>
        <v>3665.13</v>
      </c>
      <c r="J583" s="20">
        <v>0</v>
      </c>
      <c r="K583" s="20">
        <v>0</v>
      </c>
      <c r="L583" s="17">
        <v>110377580</v>
      </c>
      <c r="M583" s="16" t="str">
        <f t="shared" si="228"/>
        <v>0110377580</v>
      </c>
      <c r="N583" s="16" t="str">
        <f t="shared" si="229"/>
        <v>60607030110377580620</v>
      </c>
    </row>
    <row r="584" spans="2:14" s="17" customFormat="1" ht="51">
      <c r="B584" s="14"/>
      <c r="C584" s="197" t="s">
        <v>417</v>
      </c>
      <c r="D584" s="198" t="s">
        <v>394</v>
      </c>
      <c r="E584" s="199" t="s">
        <v>229</v>
      </c>
      <c r="F584" s="204" t="s">
        <v>13</v>
      </c>
      <c r="G584" s="199" t="s">
        <v>418</v>
      </c>
      <c r="H584" s="199" t="s">
        <v>9</v>
      </c>
      <c r="I584" s="20">
        <f>I587+I585</f>
        <v>5898.3200000000006</v>
      </c>
      <c r="J584" s="20">
        <f t="shared" ref="J584:K584" si="230">J587+J585</f>
        <v>0</v>
      </c>
      <c r="K584" s="20">
        <f t="shared" si="230"/>
        <v>0</v>
      </c>
      <c r="L584" s="17">
        <v>110600000</v>
      </c>
      <c r="M584" s="16" t="str">
        <f t="shared" si="228"/>
        <v>0110600000</v>
      </c>
      <c r="N584" s="16" t="str">
        <f t="shared" si="229"/>
        <v>60607030110600000000</v>
      </c>
    </row>
    <row r="585" spans="2:14" s="17" customFormat="1" ht="25.5">
      <c r="B585" s="14"/>
      <c r="C585" s="226" t="s">
        <v>136</v>
      </c>
      <c r="D585" s="203" t="s">
        <v>394</v>
      </c>
      <c r="E585" s="204" t="s">
        <v>229</v>
      </c>
      <c r="F585" s="204" t="s">
        <v>13</v>
      </c>
      <c r="G585" s="204" t="s">
        <v>419</v>
      </c>
      <c r="H585" s="204" t="s">
        <v>9</v>
      </c>
      <c r="I585" s="316">
        <f>I586</f>
        <v>1574.64</v>
      </c>
      <c r="J585" s="26">
        <f>J586+J587</f>
        <v>0</v>
      </c>
      <c r="K585" s="26">
        <f>K586+K587</f>
        <v>0</v>
      </c>
      <c r="L585" s="17">
        <v>110611010</v>
      </c>
      <c r="M585" s="16" t="str">
        <f t="shared" si="228"/>
        <v>0110611010</v>
      </c>
      <c r="N585" s="16" t="str">
        <f t="shared" si="229"/>
        <v>60607030110611010000</v>
      </c>
    </row>
    <row r="586" spans="2:14" s="17" customFormat="1">
      <c r="B586" s="14"/>
      <c r="C586" s="205" t="s">
        <v>409</v>
      </c>
      <c r="D586" s="203" t="s">
        <v>394</v>
      </c>
      <c r="E586" s="204" t="s">
        <v>229</v>
      </c>
      <c r="F586" s="204" t="s">
        <v>13</v>
      </c>
      <c r="G586" s="204" t="s">
        <v>419</v>
      </c>
      <c r="H586" s="204" t="s">
        <v>410</v>
      </c>
      <c r="I586" s="316">
        <v>1574.64</v>
      </c>
      <c r="J586" s="20">
        <v>0</v>
      </c>
      <c r="K586" s="20">
        <v>0</v>
      </c>
      <c r="L586" s="17">
        <v>110611010</v>
      </c>
      <c r="M586" s="16" t="str">
        <f t="shared" si="228"/>
        <v>0110611010</v>
      </c>
      <c r="N586" s="16" t="str">
        <f t="shared" si="229"/>
        <v>60607030110611010620</v>
      </c>
    </row>
    <row r="587" spans="2:14" s="17" customFormat="1" ht="38.25">
      <c r="B587" s="14"/>
      <c r="C587" s="205" t="s">
        <v>462</v>
      </c>
      <c r="D587" s="198" t="s">
        <v>394</v>
      </c>
      <c r="E587" s="199" t="s">
        <v>229</v>
      </c>
      <c r="F587" s="204" t="s">
        <v>13</v>
      </c>
      <c r="G587" s="199" t="s">
        <v>463</v>
      </c>
      <c r="H587" s="199" t="s">
        <v>9</v>
      </c>
      <c r="I587" s="20">
        <f>I592+I591</f>
        <v>4323.68</v>
      </c>
      <c r="J587" s="20">
        <f>J591</f>
        <v>0</v>
      </c>
      <c r="K587" s="20">
        <f>K591</f>
        <v>0</v>
      </c>
      <c r="L587" s="17" t="s">
        <v>1206</v>
      </c>
      <c r="M587" s="16" t="str">
        <f t="shared" si="228"/>
        <v>01106S6690</v>
      </c>
      <c r="N587" s="16" t="str">
        <f t="shared" si="229"/>
        <v>606070301106S6690000</v>
      </c>
    </row>
    <row r="588" spans="2:14" s="17" customFormat="1">
      <c r="B588" s="14"/>
      <c r="C588" s="205" t="s">
        <v>1045</v>
      </c>
      <c r="D588" s="198"/>
      <c r="E588" s="199"/>
      <c r="F588" s="204"/>
      <c r="G588" s="199"/>
      <c r="H588" s="199"/>
      <c r="I588" s="20"/>
      <c r="J588" s="20"/>
      <c r="K588" s="20"/>
      <c r="M588" s="16" t="str">
        <f t="shared" si="228"/>
        <v>0000000000</v>
      </c>
      <c r="N588" s="16" t="str">
        <f t="shared" si="229"/>
        <v>0000000000</v>
      </c>
    </row>
    <row r="589" spans="2:14" s="17" customFormat="1">
      <c r="B589" s="14"/>
      <c r="C589" s="197" t="s">
        <v>1050</v>
      </c>
      <c r="D589" s="198" t="s">
        <v>394</v>
      </c>
      <c r="E589" s="199" t="s">
        <v>229</v>
      </c>
      <c r="F589" s="204" t="s">
        <v>13</v>
      </c>
      <c r="G589" s="199" t="s">
        <v>463</v>
      </c>
      <c r="H589" s="199" t="s">
        <v>9</v>
      </c>
      <c r="I589" s="20">
        <f>485.02+250</f>
        <v>735.02</v>
      </c>
      <c r="J589" s="20">
        <v>0</v>
      </c>
      <c r="K589" s="20">
        <v>0</v>
      </c>
      <c r="L589" s="17" t="s">
        <v>1206</v>
      </c>
      <c r="M589" s="16" t="str">
        <f t="shared" si="228"/>
        <v>01106S6690</v>
      </c>
      <c r="N589" s="16" t="str">
        <f t="shared" si="229"/>
        <v>606070301106S6690000</v>
      </c>
    </row>
    <row r="590" spans="2:14" s="17" customFormat="1">
      <c r="B590" s="14"/>
      <c r="C590" s="197" t="s">
        <v>1051</v>
      </c>
      <c r="D590" s="198" t="s">
        <v>394</v>
      </c>
      <c r="E590" s="199" t="s">
        <v>229</v>
      </c>
      <c r="F590" s="204" t="s">
        <v>13</v>
      </c>
      <c r="G590" s="199" t="s">
        <v>463</v>
      </c>
      <c r="H590" s="199" t="s">
        <v>9</v>
      </c>
      <c r="I590" s="20">
        <v>3588.66</v>
      </c>
      <c r="J590" s="20">
        <v>0</v>
      </c>
      <c r="K590" s="20">
        <v>0</v>
      </c>
      <c r="L590" s="17" t="s">
        <v>1206</v>
      </c>
      <c r="M590" s="16" t="str">
        <f t="shared" si="228"/>
        <v>01106S6690</v>
      </c>
      <c r="N590" s="16" t="str">
        <f t="shared" si="229"/>
        <v>606070301106S6690000</v>
      </c>
    </row>
    <row r="591" spans="2:14" s="17" customFormat="1">
      <c r="B591" s="14"/>
      <c r="C591" s="205" t="s">
        <v>403</v>
      </c>
      <c r="D591" s="198" t="s">
        <v>394</v>
      </c>
      <c r="E591" s="199" t="s">
        <v>229</v>
      </c>
      <c r="F591" s="204" t="s">
        <v>13</v>
      </c>
      <c r="G591" s="199" t="s">
        <v>463</v>
      </c>
      <c r="H591" s="199" t="s">
        <v>404</v>
      </c>
      <c r="I591" s="20">
        <f>250</f>
        <v>250</v>
      </c>
      <c r="J591" s="20">
        <v>0</v>
      </c>
      <c r="K591" s="20">
        <v>0</v>
      </c>
      <c r="L591" s="17" t="s">
        <v>1206</v>
      </c>
      <c r="M591" s="16" t="str">
        <f t="shared" si="228"/>
        <v>01106S6690</v>
      </c>
      <c r="N591" s="16" t="str">
        <f t="shared" si="229"/>
        <v>606070301106S6690610</v>
      </c>
    </row>
    <row r="592" spans="2:14" s="17" customFormat="1">
      <c r="B592" s="14"/>
      <c r="C592" s="205" t="s">
        <v>409</v>
      </c>
      <c r="D592" s="203" t="s">
        <v>394</v>
      </c>
      <c r="E592" s="204" t="s">
        <v>229</v>
      </c>
      <c r="F592" s="204" t="s">
        <v>13</v>
      </c>
      <c r="G592" s="199" t="s">
        <v>463</v>
      </c>
      <c r="H592" s="204" t="s">
        <v>410</v>
      </c>
      <c r="I592" s="20">
        <f>485.02+I590</f>
        <v>4073.68</v>
      </c>
      <c r="J592" s="20">
        <v>0</v>
      </c>
      <c r="K592" s="20">
        <v>0</v>
      </c>
      <c r="L592" s="17" t="s">
        <v>1206</v>
      </c>
      <c r="M592" s="16" t="str">
        <f t="shared" si="228"/>
        <v>01106S6690</v>
      </c>
      <c r="N592" s="16" t="str">
        <f t="shared" si="229"/>
        <v>606070301106S6690620</v>
      </c>
    </row>
    <row r="593" spans="2:14" s="17" customFormat="1" ht="38.25">
      <c r="B593" s="14"/>
      <c r="C593" s="200" t="s">
        <v>146</v>
      </c>
      <c r="D593" s="198" t="s">
        <v>394</v>
      </c>
      <c r="E593" s="199" t="s">
        <v>229</v>
      </c>
      <c r="F593" s="204" t="s">
        <v>13</v>
      </c>
      <c r="G593" s="199" t="s">
        <v>147</v>
      </c>
      <c r="H593" s="199" t="s">
        <v>9</v>
      </c>
      <c r="I593" s="20">
        <f>I602+I598+I594</f>
        <v>1020</v>
      </c>
      <c r="J593" s="20">
        <f t="shared" ref="J593:K593" si="231">J602+J598</f>
        <v>120</v>
      </c>
      <c r="K593" s="20">
        <f t="shared" si="231"/>
        <v>120</v>
      </c>
      <c r="L593" s="17">
        <v>1500000000</v>
      </c>
      <c r="M593" s="16" t="str">
        <f t="shared" si="228"/>
        <v>1500000000</v>
      </c>
      <c r="N593" s="16" t="str">
        <f t="shared" si="229"/>
        <v>60607031500000000000</v>
      </c>
    </row>
    <row r="594" spans="2:14" s="17" customFormat="1" ht="38.25">
      <c r="B594" s="14"/>
      <c r="C594" s="197" t="s">
        <v>1065</v>
      </c>
      <c r="D594" s="198" t="s">
        <v>394</v>
      </c>
      <c r="E594" s="199" t="s">
        <v>229</v>
      </c>
      <c r="F594" s="204" t="s">
        <v>13</v>
      </c>
      <c r="G594" s="199" t="s">
        <v>149</v>
      </c>
      <c r="H594" s="199" t="s">
        <v>9</v>
      </c>
      <c r="I594" s="20">
        <f>I595</f>
        <v>900</v>
      </c>
      <c r="J594" s="20">
        <f t="shared" ref="J594:K596" si="232">J595</f>
        <v>0</v>
      </c>
      <c r="K594" s="20">
        <f t="shared" si="232"/>
        <v>0</v>
      </c>
      <c r="L594" s="17">
        <v>1510000000</v>
      </c>
      <c r="M594" s="16" t="str">
        <f t="shared" si="228"/>
        <v>1510000000</v>
      </c>
      <c r="N594" s="16" t="str">
        <f t="shared" si="229"/>
        <v>60607031510000000000</v>
      </c>
    </row>
    <row r="595" spans="2:14" s="17" customFormat="1" ht="51">
      <c r="B595" s="14"/>
      <c r="C595" s="214" t="s">
        <v>1068</v>
      </c>
      <c r="D595" s="198" t="s">
        <v>394</v>
      </c>
      <c r="E595" s="199" t="s">
        <v>229</v>
      </c>
      <c r="F595" s="204" t="s">
        <v>13</v>
      </c>
      <c r="G595" s="199" t="s">
        <v>1069</v>
      </c>
      <c r="H595" s="199" t="s">
        <v>9</v>
      </c>
      <c r="I595" s="20">
        <f>I596</f>
        <v>900</v>
      </c>
      <c r="J595" s="20">
        <f t="shared" si="232"/>
        <v>0</v>
      </c>
      <c r="K595" s="20">
        <f t="shared" si="232"/>
        <v>0</v>
      </c>
      <c r="L595" s="17">
        <v>1510400000</v>
      </c>
      <c r="M595" s="16" t="str">
        <f t="shared" si="228"/>
        <v>1510400000</v>
      </c>
      <c r="N595" s="16" t="str">
        <f t="shared" si="229"/>
        <v>60607031510400000000</v>
      </c>
    </row>
    <row r="596" spans="2:14" s="17" customFormat="1" ht="25.5">
      <c r="B596" s="14"/>
      <c r="C596" s="205" t="s">
        <v>152</v>
      </c>
      <c r="D596" s="198" t="s">
        <v>394</v>
      </c>
      <c r="E596" s="199" t="s">
        <v>229</v>
      </c>
      <c r="F596" s="204" t="s">
        <v>13</v>
      </c>
      <c r="G596" s="199" t="s">
        <v>1070</v>
      </c>
      <c r="H596" s="199" t="s">
        <v>9</v>
      </c>
      <c r="I596" s="20">
        <f>I597</f>
        <v>900</v>
      </c>
      <c r="J596" s="20">
        <f t="shared" si="232"/>
        <v>0</v>
      </c>
      <c r="K596" s="20">
        <f t="shared" si="232"/>
        <v>0</v>
      </c>
      <c r="L596" s="17">
        <v>1510420350</v>
      </c>
      <c r="M596" s="16" t="str">
        <f t="shared" si="228"/>
        <v>1510420350</v>
      </c>
      <c r="N596" s="16" t="str">
        <f t="shared" si="229"/>
        <v>60607031510420350000</v>
      </c>
    </row>
    <row r="597" spans="2:14" s="17" customFormat="1">
      <c r="B597" s="14"/>
      <c r="C597" s="205" t="s">
        <v>403</v>
      </c>
      <c r="D597" s="198" t="s">
        <v>394</v>
      </c>
      <c r="E597" s="199" t="s">
        <v>229</v>
      </c>
      <c r="F597" s="204" t="s">
        <v>13</v>
      </c>
      <c r="G597" s="199" t="s">
        <v>1070</v>
      </c>
      <c r="H597" s="199" t="s">
        <v>404</v>
      </c>
      <c r="I597" s="20">
        <f>900</f>
        <v>900</v>
      </c>
      <c r="J597" s="20">
        <v>0</v>
      </c>
      <c r="K597" s="20">
        <v>0</v>
      </c>
      <c r="L597" s="17">
        <v>1510420350</v>
      </c>
      <c r="M597" s="16" t="str">
        <f t="shared" si="228"/>
        <v>1510420350</v>
      </c>
      <c r="N597" s="16" t="str">
        <f t="shared" si="229"/>
        <v>60607031510420350610</v>
      </c>
    </row>
    <row r="598" spans="2:14" s="17" customFormat="1">
      <c r="B598" s="14"/>
      <c r="C598" s="200" t="s">
        <v>154</v>
      </c>
      <c r="D598" s="198" t="s">
        <v>394</v>
      </c>
      <c r="E598" s="199" t="s">
        <v>229</v>
      </c>
      <c r="F598" s="204" t="s">
        <v>13</v>
      </c>
      <c r="G598" s="199" t="s">
        <v>155</v>
      </c>
      <c r="H598" s="199" t="s">
        <v>9</v>
      </c>
      <c r="I598" s="20">
        <f>I599</f>
        <v>20</v>
      </c>
      <c r="J598" s="20">
        <f t="shared" ref="J598:K600" si="233">J599</f>
        <v>20</v>
      </c>
      <c r="K598" s="20">
        <f t="shared" si="233"/>
        <v>20</v>
      </c>
      <c r="L598" s="17">
        <v>1520000000</v>
      </c>
      <c r="M598" s="16" t="str">
        <f t="shared" si="228"/>
        <v>1520000000</v>
      </c>
      <c r="N598" s="16" t="str">
        <f t="shared" si="229"/>
        <v>60607031520000000000</v>
      </c>
    </row>
    <row r="599" spans="2:14" s="17" customFormat="1" ht="38.25">
      <c r="B599" s="14"/>
      <c r="C599" s="200" t="s">
        <v>160</v>
      </c>
      <c r="D599" s="198" t="s">
        <v>394</v>
      </c>
      <c r="E599" s="199" t="s">
        <v>229</v>
      </c>
      <c r="F599" s="204" t="s">
        <v>13</v>
      </c>
      <c r="G599" s="199" t="s">
        <v>161</v>
      </c>
      <c r="H599" s="199" t="s">
        <v>9</v>
      </c>
      <c r="I599" s="20">
        <f>I600</f>
        <v>20</v>
      </c>
      <c r="J599" s="20">
        <f t="shared" si="233"/>
        <v>20</v>
      </c>
      <c r="K599" s="20">
        <f t="shared" si="233"/>
        <v>20</v>
      </c>
      <c r="L599" s="17">
        <v>1520200000</v>
      </c>
      <c r="M599" s="16" t="str">
        <f t="shared" si="228"/>
        <v>1520200000</v>
      </c>
      <c r="N599" s="16" t="str">
        <f t="shared" si="229"/>
        <v>60607031520200000000</v>
      </c>
    </row>
    <row r="600" spans="2:14" s="17" customFormat="1" ht="51">
      <c r="B600" s="14"/>
      <c r="C600" s="201" t="s">
        <v>158</v>
      </c>
      <c r="D600" s="198" t="s">
        <v>394</v>
      </c>
      <c r="E600" s="199" t="s">
        <v>229</v>
      </c>
      <c r="F600" s="204" t="s">
        <v>13</v>
      </c>
      <c r="G600" s="199" t="s">
        <v>162</v>
      </c>
      <c r="H600" s="199" t="s">
        <v>9</v>
      </c>
      <c r="I600" s="20">
        <f>I601</f>
        <v>20</v>
      </c>
      <c r="J600" s="20">
        <f t="shared" si="233"/>
        <v>20</v>
      </c>
      <c r="K600" s="20">
        <f t="shared" si="233"/>
        <v>20</v>
      </c>
      <c r="L600" s="17">
        <v>1520220370</v>
      </c>
      <c r="M600" s="16" t="str">
        <f t="shared" si="228"/>
        <v>1520220370</v>
      </c>
      <c r="N600" s="16" t="str">
        <f t="shared" si="229"/>
        <v>60607031520220370000</v>
      </c>
    </row>
    <row r="601" spans="2:14" s="17" customFormat="1">
      <c r="B601" s="14"/>
      <c r="C601" s="205" t="s">
        <v>403</v>
      </c>
      <c r="D601" s="198" t="s">
        <v>394</v>
      </c>
      <c r="E601" s="199" t="s">
        <v>229</v>
      </c>
      <c r="F601" s="204" t="s">
        <v>13</v>
      </c>
      <c r="G601" s="199" t="s">
        <v>162</v>
      </c>
      <c r="H601" s="199" t="s">
        <v>404</v>
      </c>
      <c r="I601" s="20">
        <f>20</f>
        <v>20</v>
      </c>
      <c r="J601" s="20">
        <f>20</f>
        <v>20</v>
      </c>
      <c r="K601" s="20">
        <f>20</f>
        <v>20</v>
      </c>
      <c r="L601" s="17">
        <v>1520220370</v>
      </c>
      <c r="M601" s="16" t="str">
        <f t="shared" si="228"/>
        <v>1520220370</v>
      </c>
      <c r="N601" s="16" t="str">
        <f t="shared" si="229"/>
        <v>60607031520220370610</v>
      </c>
    </row>
    <row r="602" spans="2:14" s="17" customFormat="1" ht="25.5">
      <c r="B602" s="14"/>
      <c r="C602" s="197" t="s">
        <v>168</v>
      </c>
      <c r="D602" s="198" t="s">
        <v>394</v>
      </c>
      <c r="E602" s="199" t="s">
        <v>229</v>
      </c>
      <c r="F602" s="204" t="s">
        <v>13</v>
      </c>
      <c r="G602" s="199" t="s">
        <v>169</v>
      </c>
      <c r="H602" s="199" t="s">
        <v>9</v>
      </c>
      <c r="I602" s="20">
        <f>I603</f>
        <v>100</v>
      </c>
      <c r="J602" s="20">
        <f t="shared" ref="J602:K604" si="234">J603</f>
        <v>100</v>
      </c>
      <c r="K602" s="20">
        <f t="shared" si="234"/>
        <v>100</v>
      </c>
      <c r="L602" s="17">
        <v>1530000000</v>
      </c>
      <c r="M602" s="16" t="str">
        <f t="shared" si="228"/>
        <v>1530000000</v>
      </c>
      <c r="N602" s="16" t="str">
        <f t="shared" si="229"/>
        <v>60607031530000000000</v>
      </c>
    </row>
    <row r="603" spans="2:14" s="17" customFormat="1" ht="25.5">
      <c r="B603" s="14"/>
      <c r="C603" s="197" t="s">
        <v>374</v>
      </c>
      <c r="D603" s="198" t="s">
        <v>394</v>
      </c>
      <c r="E603" s="199" t="s">
        <v>229</v>
      </c>
      <c r="F603" s="204" t="s">
        <v>13</v>
      </c>
      <c r="G603" s="199" t="s">
        <v>375</v>
      </c>
      <c r="H603" s="199" t="s">
        <v>9</v>
      </c>
      <c r="I603" s="20">
        <f>I604</f>
        <v>100</v>
      </c>
      <c r="J603" s="20">
        <f t="shared" si="234"/>
        <v>100</v>
      </c>
      <c r="K603" s="20">
        <f t="shared" si="234"/>
        <v>100</v>
      </c>
      <c r="L603" s="17">
        <v>1530100000</v>
      </c>
      <c r="M603" s="16" t="str">
        <f t="shared" si="228"/>
        <v>1530100000</v>
      </c>
      <c r="N603" s="16" t="str">
        <f t="shared" si="229"/>
        <v>60607031530100000000</v>
      </c>
    </row>
    <row r="604" spans="2:14" s="17" customFormat="1" ht="25.5">
      <c r="B604" s="14"/>
      <c r="C604" s="197" t="s">
        <v>376</v>
      </c>
      <c r="D604" s="198" t="s">
        <v>394</v>
      </c>
      <c r="E604" s="199" t="s">
        <v>229</v>
      </c>
      <c r="F604" s="204" t="s">
        <v>13</v>
      </c>
      <c r="G604" s="199" t="s">
        <v>377</v>
      </c>
      <c r="H604" s="199" t="s">
        <v>9</v>
      </c>
      <c r="I604" s="20">
        <f>I605</f>
        <v>100</v>
      </c>
      <c r="J604" s="20">
        <f t="shared" si="234"/>
        <v>100</v>
      </c>
      <c r="K604" s="20">
        <f t="shared" si="234"/>
        <v>100</v>
      </c>
      <c r="L604" s="17">
        <v>1530120660</v>
      </c>
      <c r="M604" s="16" t="str">
        <f t="shared" si="228"/>
        <v>1530120660</v>
      </c>
      <c r="N604" s="16" t="str">
        <f t="shared" si="229"/>
        <v>60607031530120660000</v>
      </c>
    </row>
    <row r="605" spans="2:14" s="17" customFormat="1">
      <c r="B605" s="14"/>
      <c r="C605" s="205" t="s">
        <v>403</v>
      </c>
      <c r="D605" s="198" t="s">
        <v>394</v>
      </c>
      <c r="E605" s="199" t="s">
        <v>229</v>
      </c>
      <c r="F605" s="204" t="s">
        <v>13</v>
      </c>
      <c r="G605" s="199" t="s">
        <v>377</v>
      </c>
      <c r="H605" s="199" t="s">
        <v>404</v>
      </c>
      <c r="I605" s="20">
        <f>100</f>
        <v>100</v>
      </c>
      <c r="J605" s="20">
        <f>100</f>
        <v>100</v>
      </c>
      <c r="K605" s="20">
        <f>100</f>
        <v>100</v>
      </c>
      <c r="L605" s="17">
        <v>1530120660</v>
      </c>
      <c r="M605" s="16" t="str">
        <f t="shared" si="228"/>
        <v>1530120660</v>
      </c>
      <c r="N605" s="16" t="str">
        <f t="shared" si="229"/>
        <v>60607031530120660610</v>
      </c>
    </row>
    <row r="606" spans="2:14" s="17" customFormat="1" ht="63.75">
      <c r="B606" s="14"/>
      <c r="C606" s="197" t="s">
        <v>420</v>
      </c>
      <c r="D606" s="198" t="s">
        <v>394</v>
      </c>
      <c r="E606" s="204" t="s">
        <v>229</v>
      </c>
      <c r="F606" s="204" t="s">
        <v>13</v>
      </c>
      <c r="G606" s="199" t="s">
        <v>421</v>
      </c>
      <c r="H606" s="199" t="s">
        <v>9</v>
      </c>
      <c r="I606" s="20">
        <f t="shared" ref="I606:K608" si="235">I607</f>
        <v>374.90000000000003</v>
      </c>
      <c r="J606" s="20">
        <f t="shared" si="235"/>
        <v>359.90000000000003</v>
      </c>
      <c r="K606" s="20">
        <f t="shared" si="235"/>
        <v>359.90000000000003</v>
      </c>
      <c r="L606" s="17">
        <v>1600000000</v>
      </c>
      <c r="M606" s="16" t="str">
        <f t="shared" si="228"/>
        <v>1600000000</v>
      </c>
      <c r="N606" s="16" t="str">
        <f t="shared" si="229"/>
        <v>60607031600000000000</v>
      </c>
    </row>
    <row r="607" spans="2:14" s="17" customFormat="1" ht="25.5">
      <c r="B607" s="14"/>
      <c r="C607" s="197" t="s">
        <v>422</v>
      </c>
      <c r="D607" s="198" t="s">
        <v>394</v>
      </c>
      <c r="E607" s="204" t="s">
        <v>229</v>
      </c>
      <c r="F607" s="204" t="s">
        <v>13</v>
      </c>
      <c r="G607" s="199" t="s">
        <v>423</v>
      </c>
      <c r="H607" s="199" t="s">
        <v>9</v>
      </c>
      <c r="I607" s="20">
        <f t="shared" si="235"/>
        <v>374.90000000000003</v>
      </c>
      <c r="J607" s="20">
        <f t="shared" si="235"/>
        <v>359.90000000000003</v>
      </c>
      <c r="K607" s="20">
        <f t="shared" si="235"/>
        <v>359.90000000000003</v>
      </c>
      <c r="L607" s="17">
        <v>1620000000</v>
      </c>
      <c r="M607" s="16" t="str">
        <f t="shared" si="228"/>
        <v>1620000000</v>
      </c>
      <c r="N607" s="16" t="str">
        <f t="shared" si="229"/>
        <v>60607031620000000000</v>
      </c>
    </row>
    <row r="608" spans="2:14" s="17" customFormat="1" ht="25.5">
      <c r="B608" s="14"/>
      <c r="C608" s="197" t="s">
        <v>424</v>
      </c>
      <c r="D608" s="198" t="s">
        <v>394</v>
      </c>
      <c r="E608" s="204" t="s">
        <v>229</v>
      </c>
      <c r="F608" s="204" t="s">
        <v>13</v>
      </c>
      <c r="G608" s="199" t="s">
        <v>425</v>
      </c>
      <c r="H608" s="199" t="s">
        <v>9</v>
      </c>
      <c r="I608" s="20">
        <f t="shared" si="235"/>
        <v>374.90000000000003</v>
      </c>
      <c r="J608" s="20">
        <f t="shared" si="235"/>
        <v>359.90000000000003</v>
      </c>
      <c r="K608" s="20">
        <f t="shared" si="235"/>
        <v>359.90000000000003</v>
      </c>
      <c r="L608" s="17">
        <v>1620200000</v>
      </c>
      <c r="M608" s="16" t="str">
        <f t="shared" si="228"/>
        <v>1620200000</v>
      </c>
      <c r="N608" s="16" t="str">
        <f t="shared" si="229"/>
        <v>60607031620200000000</v>
      </c>
    </row>
    <row r="609" spans="2:14" s="17" customFormat="1" ht="38.25">
      <c r="B609" s="14"/>
      <c r="C609" s="197" t="s">
        <v>426</v>
      </c>
      <c r="D609" s="198" t="s">
        <v>394</v>
      </c>
      <c r="E609" s="204" t="s">
        <v>229</v>
      </c>
      <c r="F609" s="204" t="s">
        <v>13</v>
      </c>
      <c r="G609" s="199" t="s">
        <v>427</v>
      </c>
      <c r="H609" s="199" t="s">
        <v>9</v>
      </c>
      <c r="I609" s="20">
        <f>SUM(I610:I611)</f>
        <v>374.90000000000003</v>
      </c>
      <c r="J609" s="20">
        <f t="shared" ref="J609:K609" si="236">SUM(J610:J611)</f>
        <v>359.90000000000003</v>
      </c>
      <c r="K609" s="20">
        <f t="shared" si="236"/>
        <v>359.90000000000003</v>
      </c>
      <c r="L609" s="17">
        <v>1620220550</v>
      </c>
      <c r="M609" s="16" t="str">
        <f t="shared" si="228"/>
        <v>1620220550</v>
      </c>
      <c r="N609" s="16" t="str">
        <f t="shared" si="229"/>
        <v>60607031620220550000</v>
      </c>
    </row>
    <row r="610" spans="2:14" s="17" customFormat="1">
      <c r="B610" s="14"/>
      <c r="C610" s="226" t="s">
        <v>403</v>
      </c>
      <c r="D610" s="198" t="s">
        <v>394</v>
      </c>
      <c r="E610" s="204" t="s">
        <v>229</v>
      </c>
      <c r="F610" s="204" t="s">
        <v>13</v>
      </c>
      <c r="G610" s="199" t="s">
        <v>427</v>
      </c>
      <c r="H610" s="199" t="s">
        <v>404</v>
      </c>
      <c r="I610" s="20">
        <f>301.3+15</f>
        <v>316.3</v>
      </c>
      <c r="J610" s="20">
        <f t="shared" ref="J610:K610" si="237">301.3</f>
        <v>301.3</v>
      </c>
      <c r="K610" s="20">
        <f t="shared" si="237"/>
        <v>301.3</v>
      </c>
      <c r="L610" s="17">
        <v>1620220550</v>
      </c>
      <c r="M610" s="16" t="str">
        <f t="shared" si="228"/>
        <v>1620220550</v>
      </c>
      <c r="N610" s="16" t="str">
        <f t="shared" si="229"/>
        <v>60607031620220550610</v>
      </c>
    </row>
    <row r="611" spans="2:14" s="17" customFormat="1">
      <c r="B611" s="14"/>
      <c r="C611" s="205" t="s">
        <v>409</v>
      </c>
      <c r="D611" s="198" t="s">
        <v>394</v>
      </c>
      <c r="E611" s="204" t="s">
        <v>229</v>
      </c>
      <c r="F611" s="204" t="s">
        <v>13</v>
      </c>
      <c r="G611" s="199" t="s">
        <v>427</v>
      </c>
      <c r="H611" s="199" t="s">
        <v>410</v>
      </c>
      <c r="I611" s="20">
        <f>58.6</f>
        <v>58.6</v>
      </c>
      <c r="J611" s="20">
        <f t="shared" ref="J611:K611" si="238">58.6</f>
        <v>58.6</v>
      </c>
      <c r="K611" s="20">
        <f t="shared" si="238"/>
        <v>58.6</v>
      </c>
      <c r="L611" s="17">
        <v>1620220550</v>
      </c>
      <c r="M611" s="16" t="str">
        <f t="shared" si="228"/>
        <v>1620220550</v>
      </c>
      <c r="N611" s="16" t="str">
        <f t="shared" si="229"/>
        <v>60607031620220550620</v>
      </c>
    </row>
    <row r="612" spans="2:14" s="17" customFormat="1">
      <c r="B612" s="14"/>
      <c r="C612" s="194" t="s">
        <v>464</v>
      </c>
      <c r="D612" s="195" t="s">
        <v>394</v>
      </c>
      <c r="E612" s="196" t="s">
        <v>229</v>
      </c>
      <c r="F612" s="196" t="s">
        <v>229</v>
      </c>
      <c r="G612" s="196" t="s">
        <v>8</v>
      </c>
      <c r="H612" s="196" t="s">
        <v>9</v>
      </c>
      <c r="I612" s="19">
        <f>I613+I626</f>
        <v>28421.21</v>
      </c>
      <c r="J612" s="19">
        <f>J613+J626</f>
        <v>25769.93</v>
      </c>
      <c r="K612" s="19">
        <f>K613+K626</f>
        <v>25769.93</v>
      </c>
      <c r="L612" s="17">
        <v>0</v>
      </c>
      <c r="M612" s="16" t="str">
        <f t="shared" si="228"/>
        <v>0000000000</v>
      </c>
      <c r="N612" s="16" t="str">
        <f t="shared" si="229"/>
        <v>60607070000000000000</v>
      </c>
    </row>
    <row r="613" spans="2:14" s="17" customFormat="1" ht="25.5">
      <c r="B613" s="14"/>
      <c r="C613" s="205" t="s">
        <v>396</v>
      </c>
      <c r="D613" s="198" t="s">
        <v>394</v>
      </c>
      <c r="E613" s="199" t="s">
        <v>229</v>
      </c>
      <c r="F613" s="199" t="s">
        <v>229</v>
      </c>
      <c r="G613" s="199" t="s">
        <v>397</v>
      </c>
      <c r="H613" s="199" t="s">
        <v>9</v>
      </c>
      <c r="I613" s="20">
        <f t="shared" ref="I613:K614" si="239">I614</f>
        <v>28376.01</v>
      </c>
      <c r="J613" s="20">
        <f t="shared" si="239"/>
        <v>25724.73</v>
      </c>
      <c r="K613" s="20">
        <f t="shared" si="239"/>
        <v>25724.73</v>
      </c>
      <c r="L613" s="17">
        <v>100000000</v>
      </c>
      <c r="M613" s="16" t="str">
        <f t="shared" si="228"/>
        <v>0100000000</v>
      </c>
      <c r="N613" s="16" t="str">
        <f t="shared" si="229"/>
        <v>60607070100000000000</v>
      </c>
    </row>
    <row r="614" spans="2:14" s="17" customFormat="1" ht="25.5">
      <c r="B614" s="14"/>
      <c r="C614" s="205" t="s">
        <v>398</v>
      </c>
      <c r="D614" s="198" t="s">
        <v>394</v>
      </c>
      <c r="E614" s="199" t="s">
        <v>229</v>
      </c>
      <c r="F614" s="199" t="s">
        <v>229</v>
      </c>
      <c r="G614" s="199" t="s">
        <v>399</v>
      </c>
      <c r="H614" s="199" t="s">
        <v>9</v>
      </c>
      <c r="I614" s="20">
        <f t="shared" si="239"/>
        <v>28376.01</v>
      </c>
      <c r="J614" s="20">
        <f t="shared" si="239"/>
        <v>25724.73</v>
      </c>
      <c r="K614" s="20">
        <f t="shared" si="239"/>
        <v>25724.73</v>
      </c>
      <c r="L614" s="17">
        <v>110000000</v>
      </c>
      <c r="M614" s="16" t="str">
        <f t="shared" si="228"/>
        <v>0110000000</v>
      </c>
      <c r="N614" s="16" t="str">
        <f t="shared" si="229"/>
        <v>60607070110000000000</v>
      </c>
    </row>
    <row r="615" spans="2:14" s="17" customFormat="1" ht="25.5">
      <c r="B615" s="14"/>
      <c r="C615" s="205" t="s">
        <v>465</v>
      </c>
      <c r="D615" s="198" t="s">
        <v>394</v>
      </c>
      <c r="E615" s="199" t="s">
        <v>229</v>
      </c>
      <c r="F615" s="199" t="s">
        <v>229</v>
      </c>
      <c r="G615" s="199" t="s">
        <v>466</v>
      </c>
      <c r="H615" s="199" t="s">
        <v>9</v>
      </c>
      <c r="I615" s="20">
        <f>I616+I620+I622+I624</f>
        <v>28376.01</v>
      </c>
      <c r="J615" s="20">
        <f t="shared" ref="J615:K615" si="240">J616+J620+J622</f>
        <v>25724.73</v>
      </c>
      <c r="K615" s="20">
        <f t="shared" si="240"/>
        <v>25724.73</v>
      </c>
      <c r="L615" s="17">
        <v>110400000</v>
      </c>
      <c r="M615" s="16" t="str">
        <f t="shared" si="228"/>
        <v>0110400000</v>
      </c>
      <c r="N615" s="16" t="str">
        <f t="shared" si="229"/>
        <v>60607070110400000000</v>
      </c>
    </row>
    <row r="616" spans="2:14" s="17" customFormat="1" ht="25.5">
      <c r="B616" s="14"/>
      <c r="C616" s="205" t="s">
        <v>136</v>
      </c>
      <c r="D616" s="198" t="s">
        <v>394</v>
      </c>
      <c r="E616" s="199" t="s">
        <v>229</v>
      </c>
      <c r="F616" s="199" t="s">
        <v>229</v>
      </c>
      <c r="G616" s="199" t="s">
        <v>467</v>
      </c>
      <c r="H616" s="199" t="s">
        <v>9</v>
      </c>
      <c r="I616" s="20">
        <f>I619</f>
        <v>9138.41</v>
      </c>
      <c r="J616" s="20">
        <f>J619</f>
        <v>7857.36</v>
      </c>
      <c r="K616" s="20">
        <f>K619</f>
        <v>7857.36</v>
      </c>
      <c r="L616" s="17">
        <v>110411010</v>
      </c>
      <c r="M616" s="16" t="str">
        <f t="shared" si="228"/>
        <v>0110411010</v>
      </c>
      <c r="N616" s="16" t="str">
        <f t="shared" si="229"/>
        <v>60607070110411010000</v>
      </c>
    </row>
    <row r="617" spans="2:14" s="17" customFormat="1">
      <c r="B617" s="14"/>
      <c r="C617" s="220" t="s">
        <v>1104</v>
      </c>
      <c r="D617" s="198"/>
      <c r="E617" s="199"/>
      <c r="F617" s="199"/>
      <c r="G617" s="199"/>
      <c r="H617" s="199"/>
      <c r="I617" s="20"/>
      <c r="J617" s="20"/>
      <c r="K617" s="20"/>
      <c r="M617" s="16" t="str">
        <f t="shared" si="228"/>
        <v>0000000000</v>
      </c>
      <c r="N617" s="16" t="str">
        <f t="shared" si="229"/>
        <v>0000000000</v>
      </c>
    </row>
    <row r="618" spans="2:14" s="17" customFormat="1">
      <c r="B618" s="14"/>
      <c r="C618" s="221" t="s">
        <v>1105</v>
      </c>
      <c r="D618" s="222" t="s">
        <v>394</v>
      </c>
      <c r="E618" s="223" t="s">
        <v>229</v>
      </c>
      <c r="F618" s="223" t="s">
        <v>229</v>
      </c>
      <c r="G618" s="223" t="s">
        <v>467</v>
      </c>
      <c r="H618" s="223" t="s">
        <v>9</v>
      </c>
      <c r="I618" s="224">
        <f>9.4</f>
        <v>9.4</v>
      </c>
      <c r="J618" s="224">
        <v>0</v>
      </c>
      <c r="K618" s="224">
        <v>0</v>
      </c>
      <c r="L618" s="17">
        <v>110411010</v>
      </c>
      <c r="M618" s="16" t="str">
        <f t="shared" si="228"/>
        <v>0110411010</v>
      </c>
      <c r="N618" s="16" t="str">
        <f t="shared" si="229"/>
        <v>60607070110411010000</v>
      </c>
    </row>
    <row r="619" spans="2:14" s="17" customFormat="1">
      <c r="B619" s="14"/>
      <c r="C619" s="205" t="s">
        <v>409</v>
      </c>
      <c r="D619" s="198" t="s">
        <v>394</v>
      </c>
      <c r="E619" s="199" t="s">
        <v>229</v>
      </c>
      <c r="F619" s="199" t="s">
        <v>229</v>
      </c>
      <c r="G619" s="199" t="s">
        <v>467</v>
      </c>
      <c r="H619" s="199" t="s">
        <v>410</v>
      </c>
      <c r="I619" s="20">
        <f>7009.24+56.24+I618+168.08+626+1269.45</f>
        <v>9138.41</v>
      </c>
      <c r="J619" s="20">
        <f>7009.24+56.24+165.88+626</f>
        <v>7857.36</v>
      </c>
      <c r="K619" s="20">
        <f>7009.24+56.24+165.88+626</f>
        <v>7857.36</v>
      </c>
      <c r="L619" s="17">
        <v>110411010</v>
      </c>
      <c r="M619" s="16" t="str">
        <f t="shared" si="228"/>
        <v>0110411010</v>
      </c>
      <c r="N619" s="16" t="str">
        <f t="shared" si="229"/>
        <v>60607070110411010620</v>
      </c>
    </row>
    <row r="620" spans="2:14" s="17" customFormat="1">
      <c r="B620" s="14"/>
      <c r="C620" s="197" t="s">
        <v>468</v>
      </c>
      <c r="D620" s="198" t="s">
        <v>394</v>
      </c>
      <c r="E620" s="199" t="s">
        <v>229</v>
      </c>
      <c r="F620" s="199" t="s">
        <v>229</v>
      </c>
      <c r="G620" s="199" t="s">
        <v>469</v>
      </c>
      <c r="H620" s="199" t="s">
        <v>9</v>
      </c>
      <c r="I620" s="20">
        <f>I621</f>
        <v>17867.37</v>
      </c>
      <c r="J620" s="20">
        <f>J621</f>
        <v>17867.37</v>
      </c>
      <c r="K620" s="20">
        <f>K621</f>
        <v>17867.37</v>
      </c>
      <c r="L620" s="17">
        <v>110420330</v>
      </c>
      <c r="M620" s="16" t="str">
        <f t="shared" si="228"/>
        <v>0110420330</v>
      </c>
      <c r="N620" s="16" t="str">
        <f t="shared" si="229"/>
        <v>60607070110420330000</v>
      </c>
    </row>
    <row r="621" spans="2:14" s="17" customFormat="1">
      <c r="B621" s="14"/>
      <c r="C621" s="205" t="s">
        <v>403</v>
      </c>
      <c r="D621" s="198" t="s">
        <v>394</v>
      </c>
      <c r="E621" s="199" t="s">
        <v>229</v>
      </c>
      <c r="F621" s="199" t="s">
        <v>229</v>
      </c>
      <c r="G621" s="199" t="s">
        <v>469</v>
      </c>
      <c r="H621" s="199" t="s">
        <v>404</v>
      </c>
      <c r="I621" s="20">
        <f>17867.37</f>
        <v>17867.37</v>
      </c>
      <c r="J621" s="20">
        <f t="shared" ref="J621:K621" si="241">17867.37</f>
        <v>17867.37</v>
      </c>
      <c r="K621" s="20">
        <f t="shared" si="241"/>
        <v>17867.37</v>
      </c>
      <c r="L621" s="17">
        <v>110420330</v>
      </c>
      <c r="M621" s="16" t="str">
        <f t="shared" si="228"/>
        <v>0110420330</v>
      </c>
      <c r="N621" s="16" t="str">
        <f t="shared" si="229"/>
        <v>60607070110420330610</v>
      </c>
    </row>
    <row r="622" spans="2:14" s="17" customFormat="1" ht="191.25">
      <c r="B622" s="14" t="s">
        <v>80</v>
      </c>
      <c r="C622" s="197" t="s">
        <v>2269</v>
      </c>
      <c r="D622" s="198" t="s">
        <v>394</v>
      </c>
      <c r="E622" s="199" t="s">
        <v>229</v>
      </c>
      <c r="F622" s="199" t="s">
        <v>229</v>
      </c>
      <c r="G622" s="199" t="s">
        <v>1283</v>
      </c>
      <c r="H622" s="199" t="s">
        <v>9</v>
      </c>
      <c r="I622" s="20">
        <f>I623</f>
        <v>165.88</v>
      </c>
      <c r="J622" s="20">
        <f t="shared" ref="J622:K624" si="242">J623</f>
        <v>0</v>
      </c>
      <c r="K622" s="20">
        <f t="shared" si="242"/>
        <v>0</v>
      </c>
      <c r="L622" s="17">
        <v>110477460</v>
      </c>
      <c r="M622" s="16" t="str">
        <f t="shared" si="228"/>
        <v>0110477460</v>
      </c>
      <c r="N622" s="16" t="str">
        <f t="shared" si="229"/>
        <v>60607070110477460000</v>
      </c>
    </row>
    <row r="623" spans="2:14" s="17" customFormat="1">
      <c r="B623" s="14"/>
      <c r="C623" s="205" t="s">
        <v>409</v>
      </c>
      <c r="D623" s="198" t="s">
        <v>394</v>
      </c>
      <c r="E623" s="199" t="s">
        <v>229</v>
      </c>
      <c r="F623" s="199" t="s">
        <v>229</v>
      </c>
      <c r="G623" s="199" t="s">
        <v>1283</v>
      </c>
      <c r="H623" s="199" t="s">
        <v>410</v>
      </c>
      <c r="I623" s="20">
        <f>165.88</f>
        <v>165.88</v>
      </c>
      <c r="J623" s="20">
        <v>0</v>
      </c>
      <c r="K623" s="20">
        <v>0</v>
      </c>
      <c r="L623" s="17">
        <v>110477460</v>
      </c>
      <c r="M623" s="16" t="str">
        <f t="shared" si="228"/>
        <v>0110477460</v>
      </c>
      <c r="N623" s="16" t="str">
        <f t="shared" si="229"/>
        <v>60607070110477460620</v>
      </c>
    </row>
    <row r="624" spans="2:14" s="17" customFormat="1" ht="165.75">
      <c r="B624" s="14"/>
      <c r="C624" s="200" t="s">
        <v>2247</v>
      </c>
      <c r="D624" s="198" t="s">
        <v>394</v>
      </c>
      <c r="E624" s="199" t="s">
        <v>229</v>
      </c>
      <c r="F624" s="199" t="s">
        <v>229</v>
      </c>
      <c r="G624" s="199" t="s">
        <v>2264</v>
      </c>
      <c r="H624" s="199" t="s">
        <v>9</v>
      </c>
      <c r="I624" s="20">
        <f>I625</f>
        <v>1204.3499999999999</v>
      </c>
      <c r="J624" s="20">
        <f t="shared" si="242"/>
        <v>0</v>
      </c>
      <c r="K624" s="20">
        <f t="shared" si="242"/>
        <v>0</v>
      </c>
      <c r="L624" s="17">
        <v>110477580</v>
      </c>
      <c r="M624" s="16" t="str">
        <f t="shared" si="228"/>
        <v>0110477580</v>
      </c>
      <c r="N624" s="16" t="str">
        <f t="shared" si="229"/>
        <v>60607070110477580000</v>
      </c>
    </row>
    <row r="625" spans="2:14" s="17" customFormat="1">
      <c r="B625" s="14"/>
      <c r="C625" s="205" t="s">
        <v>409</v>
      </c>
      <c r="D625" s="198" t="s">
        <v>394</v>
      </c>
      <c r="E625" s="199" t="s">
        <v>229</v>
      </c>
      <c r="F625" s="199" t="s">
        <v>229</v>
      </c>
      <c r="G625" s="199" t="s">
        <v>2264</v>
      </c>
      <c r="H625" s="199" t="s">
        <v>410</v>
      </c>
      <c r="I625" s="20">
        <f>1204.35</f>
        <v>1204.3499999999999</v>
      </c>
      <c r="J625" s="20">
        <v>0</v>
      </c>
      <c r="K625" s="20">
        <v>0</v>
      </c>
      <c r="L625" s="17">
        <v>110477580</v>
      </c>
      <c r="M625" s="16" t="str">
        <f t="shared" si="228"/>
        <v>0110477580</v>
      </c>
      <c r="N625" s="16" t="str">
        <f t="shared" si="229"/>
        <v>60607070110477580620</v>
      </c>
    </row>
    <row r="626" spans="2:14" s="17" customFormat="1" ht="63.75">
      <c r="B626" s="14"/>
      <c r="C626" s="197" t="s">
        <v>420</v>
      </c>
      <c r="D626" s="198" t="s">
        <v>394</v>
      </c>
      <c r="E626" s="199" t="s">
        <v>229</v>
      </c>
      <c r="F626" s="199" t="s">
        <v>229</v>
      </c>
      <c r="G626" s="199" t="s">
        <v>421</v>
      </c>
      <c r="H626" s="199" t="s">
        <v>9</v>
      </c>
      <c r="I626" s="20">
        <f t="shared" ref="I626:K629" si="243">I627</f>
        <v>45.2</v>
      </c>
      <c r="J626" s="20">
        <f t="shared" si="243"/>
        <v>45.2</v>
      </c>
      <c r="K626" s="20">
        <f t="shared" si="243"/>
        <v>45.2</v>
      </c>
      <c r="L626" s="17">
        <v>1600000000</v>
      </c>
      <c r="M626" s="16" t="str">
        <f t="shared" si="228"/>
        <v>1600000000</v>
      </c>
      <c r="N626" s="16" t="str">
        <f t="shared" si="229"/>
        <v>60607071600000000000</v>
      </c>
    </row>
    <row r="627" spans="2:14" s="17" customFormat="1" ht="25.5">
      <c r="B627" s="14"/>
      <c r="C627" s="197" t="s">
        <v>422</v>
      </c>
      <c r="D627" s="198" t="s">
        <v>394</v>
      </c>
      <c r="E627" s="199" t="s">
        <v>229</v>
      </c>
      <c r="F627" s="199" t="s">
        <v>229</v>
      </c>
      <c r="G627" s="199" t="s">
        <v>423</v>
      </c>
      <c r="H627" s="199" t="s">
        <v>9</v>
      </c>
      <c r="I627" s="20">
        <f t="shared" si="243"/>
        <v>45.2</v>
      </c>
      <c r="J627" s="20">
        <f t="shared" si="243"/>
        <v>45.2</v>
      </c>
      <c r="K627" s="20">
        <f t="shared" si="243"/>
        <v>45.2</v>
      </c>
      <c r="L627" s="17">
        <v>1620000000</v>
      </c>
      <c r="M627" s="16" t="str">
        <f t="shared" si="228"/>
        <v>1620000000</v>
      </c>
      <c r="N627" s="16" t="str">
        <f t="shared" si="229"/>
        <v>60607071620000000000</v>
      </c>
    </row>
    <row r="628" spans="2:14" s="17" customFormat="1" ht="25.5">
      <c r="B628" s="14"/>
      <c r="C628" s="197" t="s">
        <v>424</v>
      </c>
      <c r="D628" s="198" t="s">
        <v>394</v>
      </c>
      <c r="E628" s="199" t="s">
        <v>229</v>
      </c>
      <c r="F628" s="199" t="s">
        <v>229</v>
      </c>
      <c r="G628" s="199" t="s">
        <v>425</v>
      </c>
      <c r="H628" s="199" t="s">
        <v>9</v>
      </c>
      <c r="I628" s="20">
        <f t="shared" si="243"/>
        <v>45.2</v>
      </c>
      <c r="J628" s="20">
        <f t="shared" si="243"/>
        <v>45.2</v>
      </c>
      <c r="K628" s="20">
        <f t="shared" si="243"/>
        <v>45.2</v>
      </c>
      <c r="L628" s="17">
        <v>1620200000</v>
      </c>
      <c r="M628" s="16" t="str">
        <f t="shared" si="228"/>
        <v>1620200000</v>
      </c>
      <c r="N628" s="16" t="str">
        <f t="shared" si="229"/>
        <v>60607071620200000000</v>
      </c>
    </row>
    <row r="629" spans="2:14" s="17" customFormat="1" ht="38.25">
      <c r="B629" s="14"/>
      <c r="C629" s="197" t="s">
        <v>426</v>
      </c>
      <c r="D629" s="198" t="s">
        <v>394</v>
      </c>
      <c r="E629" s="199" t="s">
        <v>229</v>
      </c>
      <c r="F629" s="199" t="s">
        <v>229</v>
      </c>
      <c r="G629" s="199" t="s">
        <v>427</v>
      </c>
      <c r="H629" s="199" t="s">
        <v>9</v>
      </c>
      <c r="I629" s="20">
        <f t="shared" si="243"/>
        <v>45.2</v>
      </c>
      <c r="J629" s="20">
        <f t="shared" si="243"/>
        <v>45.2</v>
      </c>
      <c r="K629" s="20">
        <f t="shared" si="243"/>
        <v>45.2</v>
      </c>
      <c r="L629" s="17">
        <v>1620220550</v>
      </c>
      <c r="M629" s="16" t="str">
        <f t="shared" si="228"/>
        <v>1620220550</v>
      </c>
      <c r="N629" s="16" t="str">
        <f t="shared" si="229"/>
        <v>60607071620220550000</v>
      </c>
    </row>
    <row r="630" spans="2:14" s="17" customFormat="1">
      <c r="B630" s="14"/>
      <c r="C630" s="205" t="s">
        <v>409</v>
      </c>
      <c r="D630" s="198" t="s">
        <v>394</v>
      </c>
      <c r="E630" s="199" t="s">
        <v>229</v>
      </c>
      <c r="F630" s="199" t="s">
        <v>229</v>
      </c>
      <c r="G630" s="199" t="s">
        <v>427</v>
      </c>
      <c r="H630" s="199" t="s">
        <v>410</v>
      </c>
      <c r="I630" s="20">
        <f>45.2</f>
        <v>45.2</v>
      </c>
      <c r="J630" s="20">
        <f t="shared" ref="J630:K630" si="244">45.2</f>
        <v>45.2</v>
      </c>
      <c r="K630" s="20">
        <f t="shared" si="244"/>
        <v>45.2</v>
      </c>
      <c r="L630" s="17">
        <v>1620220550</v>
      </c>
      <c r="M630" s="16" t="str">
        <f t="shared" si="228"/>
        <v>1620220550</v>
      </c>
      <c r="N630" s="16" t="str">
        <f t="shared" si="229"/>
        <v>60607071620220550620</v>
      </c>
    </row>
    <row r="631" spans="2:14" s="17" customFormat="1">
      <c r="B631" s="14"/>
      <c r="C631" s="194" t="s">
        <v>470</v>
      </c>
      <c r="D631" s="195" t="s">
        <v>394</v>
      </c>
      <c r="E631" s="196" t="s">
        <v>229</v>
      </c>
      <c r="F631" s="196" t="s">
        <v>471</v>
      </c>
      <c r="G631" s="196" t="s">
        <v>8</v>
      </c>
      <c r="H631" s="196" t="s">
        <v>9</v>
      </c>
      <c r="I631" s="19">
        <f>I632+I650+I657</f>
        <v>46601.840000000004</v>
      </c>
      <c r="J631" s="19">
        <f>J632+J650+J657</f>
        <v>45973.930000000008</v>
      </c>
      <c r="K631" s="19">
        <f>K632+K650+K657</f>
        <v>45973.930000000008</v>
      </c>
      <c r="L631" s="17">
        <v>0</v>
      </c>
      <c r="M631" s="16" t="str">
        <f t="shared" si="228"/>
        <v>0000000000</v>
      </c>
      <c r="N631" s="16" t="str">
        <f t="shared" si="229"/>
        <v>60607090000000000000</v>
      </c>
    </row>
    <row r="632" spans="2:14" s="17" customFormat="1" ht="25.5">
      <c r="B632" s="14"/>
      <c r="C632" s="205" t="s">
        <v>396</v>
      </c>
      <c r="D632" s="198" t="s">
        <v>394</v>
      </c>
      <c r="E632" s="199" t="s">
        <v>229</v>
      </c>
      <c r="F632" s="199" t="s">
        <v>471</v>
      </c>
      <c r="G632" s="199" t="s">
        <v>397</v>
      </c>
      <c r="H632" s="199" t="s">
        <v>9</v>
      </c>
      <c r="I632" s="20">
        <f>I633</f>
        <v>12513.130000000001</v>
      </c>
      <c r="J632" s="20">
        <f>J633</f>
        <v>12357.52</v>
      </c>
      <c r="K632" s="20">
        <f>K633</f>
        <v>12357.52</v>
      </c>
      <c r="L632" s="17">
        <v>100000000</v>
      </c>
      <c r="M632" s="16" t="str">
        <f t="shared" si="228"/>
        <v>0100000000</v>
      </c>
      <c r="N632" s="16" t="str">
        <f t="shared" si="229"/>
        <v>60607090100000000000</v>
      </c>
    </row>
    <row r="633" spans="2:14" s="17" customFormat="1" ht="25.5">
      <c r="B633" s="14"/>
      <c r="C633" s="205" t="s">
        <v>398</v>
      </c>
      <c r="D633" s="198" t="s">
        <v>394</v>
      </c>
      <c r="E633" s="199" t="s">
        <v>229</v>
      </c>
      <c r="F633" s="199" t="s">
        <v>471</v>
      </c>
      <c r="G633" s="199" t="s">
        <v>399</v>
      </c>
      <c r="H633" s="199" t="s">
        <v>9</v>
      </c>
      <c r="I633" s="20">
        <f>I634+I643</f>
        <v>12513.130000000001</v>
      </c>
      <c r="J633" s="20">
        <f t="shared" ref="J633:K633" si="245">J634+J643</f>
        <v>12357.52</v>
      </c>
      <c r="K633" s="20">
        <f t="shared" si="245"/>
        <v>12357.52</v>
      </c>
      <c r="L633" s="17">
        <v>110000000</v>
      </c>
      <c r="M633" s="16" t="str">
        <f t="shared" si="228"/>
        <v>0110000000</v>
      </c>
      <c r="N633" s="16" t="str">
        <f t="shared" si="229"/>
        <v>60607090110000000000</v>
      </c>
    </row>
    <row r="634" spans="2:14" s="17" customFormat="1" ht="38.25">
      <c r="B634" s="14"/>
      <c r="C634" s="205" t="s">
        <v>472</v>
      </c>
      <c r="D634" s="198" t="s">
        <v>394</v>
      </c>
      <c r="E634" s="199" t="s">
        <v>229</v>
      </c>
      <c r="F634" s="199" t="s">
        <v>471</v>
      </c>
      <c r="G634" s="199" t="s">
        <v>473</v>
      </c>
      <c r="H634" s="199" t="s">
        <v>9</v>
      </c>
      <c r="I634" s="20">
        <f>I635</f>
        <v>5158.79</v>
      </c>
      <c r="J634" s="20">
        <f>J635</f>
        <v>5078.79</v>
      </c>
      <c r="K634" s="20">
        <f>K635</f>
        <v>5078.79</v>
      </c>
      <c r="L634" s="17">
        <v>110500000</v>
      </c>
      <c r="M634" s="16" t="str">
        <f t="shared" si="228"/>
        <v>0110500000</v>
      </c>
      <c r="N634" s="16" t="str">
        <f t="shared" si="229"/>
        <v>60607090110500000000</v>
      </c>
    </row>
    <row r="635" spans="2:14" s="17" customFormat="1">
      <c r="B635" s="14"/>
      <c r="C635" s="205" t="s">
        <v>474</v>
      </c>
      <c r="D635" s="198" t="s">
        <v>394</v>
      </c>
      <c r="E635" s="199" t="s">
        <v>229</v>
      </c>
      <c r="F635" s="199" t="s">
        <v>471</v>
      </c>
      <c r="G635" s="199" t="s">
        <v>475</v>
      </c>
      <c r="H635" s="199" t="s">
        <v>9</v>
      </c>
      <c r="I635" s="20">
        <f>I636+I637+I640</f>
        <v>5158.79</v>
      </c>
      <c r="J635" s="20">
        <f>J636+J637+J640</f>
        <v>5078.79</v>
      </c>
      <c r="K635" s="20">
        <f>K636+K637+K640</f>
        <v>5078.79</v>
      </c>
      <c r="L635" s="17">
        <v>110520240</v>
      </c>
      <c r="M635" s="16" t="str">
        <f t="shared" si="228"/>
        <v>0110520240</v>
      </c>
      <c r="N635" s="16" t="str">
        <f t="shared" si="229"/>
        <v>60607090110520240000</v>
      </c>
    </row>
    <row r="636" spans="2:14" s="17" customFormat="1" ht="25.5">
      <c r="B636" s="14"/>
      <c r="C636" s="197" t="s">
        <v>28</v>
      </c>
      <c r="D636" s="198" t="s">
        <v>394</v>
      </c>
      <c r="E636" s="199" t="s">
        <v>229</v>
      </c>
      <c r="F636" s="199" t="s">
        <v>471</v>
      </c>
      <c r="G636" s="199" t="s">
        <v>475</v>
      </c>
      <c r="H636" s="199" t="s">
        <v>29</v>
      </c>
      <c r="I636" s="20">
        <f>200</f>
        <v>200</v>
      </c>
      <c r="J636" s="20">
        <f>200</f>
        <v>200</v>
      </c>
      <c r="K636" s="20">
        <f>200</f>
        <v>200</v>
      </c>
      <c r="L636" s="17">
        <v>110520240</v>
      </c>
      <c r="M636" s="16" t="str">
        <f t="shared" si="228"/>
        <v>0110520240</v>
      </c>
      <c r="N636" s="16" t="str">
        <f t="shared" si="229"/>
        <v>60607090110520240240</v>
      </c>
    </row>
    <row r="637" spans="2:14" s="17" customFormat="1">
      <c r="B637" s="14"/>
      <c r="C637" s="205" t="s">
        <v>403</v>
      </c>
      <c r="D637" s="198" t="s">
        <v>394</v>
      </c>
      <c r="E637" s="199" t="s">
        <v>229</v>
      </c>
      <c r="F637" s="199" t="s">
        <v>471</v>
      </c>
      <c r="G637" s="199" t="s">
        <v>475</v>
      </c>
      <c r="H637" s="199" t="s">
        <v>404</v>
      </c>
      <c r="I637" s="20">
        <f>4533.5+I639</f>
        <v>4607.5</v>
      </c>
      <c r="J637" s="20">
        <f t="shared" ref="J637:K637" si="246">4533.5</f>
        <v>4533.5</v>
      </c>
      <c r="K637" s="20">
        <f t="shared" si="246"/>
        <v>4533.5</v>
      </c>
      <c r="L637" s="17">
        <v>110520240</v>
      </c>
      <c r="M637" s="16" t="str">
        <f t="shared" si="228"/>
        <v>0110520240</v>
      </c>
      <c r="N637" s="16" t="str">
        <f t="shared" si="229"/>
        <v>60607090110520240610</v>
      </c>
    </row>
    <row r="638" spans="2:14" s="17" customFormat="1">
      <c r="B638" s="14"/>
      <c r="C638" s="220" t="s">
        <v>1104</v>
      </c>
      <c r="D638" s="198"/>
      <c r="E638" s="199"/>
      <c r="F638" s="199"/>
      <c r="G638" s="199"/>
      <c r="H638" s="199"/>
      <c r="I638" s="20"/>
      <c r="J638" s="20"/>
      <c r="K638" s="20"/>
      <c r="M638" s="16" t="str">
        <f t="shared" si="228"/>
        <v>0000000000</v>
      </c>
      <c r="N638" s="16" t="str">
        <f t="shared" si="229"/>
        <v>0000000000</v>
      </c>
    </row>
    <row r="639" spans="2:14" s="17" customFormat="1">
      <c r="B639" s="14"/>
      <c r="C639" s="221" t="s">
        <v>1105</v>
      </c>
      <c r="D639" s="222" t="s">
        <v>394</v>
      </c>
      <c r="E639" s="223" t="s">
        <v>229</v>
      </c>
      <c r="F639" s="223" t="s">
        <v>471</v>
      </c>
      <c r="G639" s="223" t="s">
        <v>475</v>
      </c>
      <c r="H639" s="223" t="s">
        <v>404</v>
      </c>
      <c r="I639" s="224">
        <f>74</f>
        <v>74</v>
      </c>
      <c r="J639" s="224">
        <v>0</v>
      </c>
      <c r="K639" s="224">
        <v>0</v>
      </c>
      <c r="L639" s="17">
        <v>110520240</v>
      </c>
      <c r="M639" s="16" t="str">
        <f t="shared" si="228"/>
        <v>0110520240</v>
      </c>
      <c r="N639" s="16" t="str">
        <f t="shared" si="229"/>
        <v>60607090110520240610</v>
      </c>
    </row>
    <row r="640" spans="2:14" s="17" customFormat="1">
      <c r="B640" s="14"/>
      <c r="C640" s="205" t="s">
        <v>409</v>
      </c>
      <c r="D640" s="198" t="s">
        <v>394</v>
      </c>
      <c r="E640" s="199" t="s">
        <v>229</v>
      </c>
      <c r="F640" s="199" t="s">
        <v>471</v>
      </c>
      <c r="G640" s="199" t="s">
        <v>475</v>
      </c>
      <c r="H640" s="199" t="s">
        <v>410</v>
      </c>
      <c r="I640" s="20">
        <f>345.29+I642</f>
        <v>351.29</v>
      </c>
      <c r="J640" s="20">
        <f t="shared" ref="J640:K640" si="247">345.29</f>
        <v>345.29</v>
      </c>
      <c r="K640" s="20">
        <f t="shared" si="247"/>
        <v>345.29</v>
      </c>
      <c r="L640" s="17">
        <v>110520240</v>
      </c>
      <c r="M640" s="16" t="str">
        <f t="shared" si="228"/>
        <v>0110520240</v>
      </c>
      <c r="N640" s="16" t="str">
        <f t="shared" si="229"/>
        <v>60607090110520240620</v>
      </c>
    </row>
    <row r="641" spans="2:14" s="17" customFormat="1">
      <c r="B641" s="14"/>
      <c r="C641" s="220" t="s">
        <v>1104</v>
      </c>
      <c r="D641" s="198"/>
      <c r="E641" s="199"/>
      <c r="F641" s="199"/>
      <c r="G641" s="199"/>
      <c r="H641" s="199"/>
      <c r="I641" s="20"/>
      <c r="J641" s="20"/>
      <c r="K641" s="20"/>
      <c r="M641" s="16" t="str">
        <f t="shared" si="228"/>
        <v>0000000000</v>
      </c>
      <c r="N641" s="16" t="str">
        <f t="shared" si="229"/>
        <v>0000000000</v>
      </c>
    </row>
    <row r="642" spans="2:14" s="17" customFormat="1">
      <c r="B642" s="14"/>
      <c r="C642" s="221" t="s">
        <v>1105</v>
      </c>
      <c r="D642" s="222" t="s">
        <v>394</v>
      </c>
      <c r="E642" s="223" t="s">
        <v>229</v>
      </c>
      <c r="F642" s="223" t="s">
        <v>471</v>
      </c>
      <c r="G642" s="223" t="s">
        <v>475</v>
      </c>
      <c r="H642" s="223" t="s">
        <v>410</v>
      </c>
      <c r="I642" s="224">
        <f>6</f>
        <v>6</v>
      </c>
      <c r="J642" s="224">
        <v>0</v>
      </c>
      <c r="K642" s="224">
        <v>0</v>
      </c>
      <c r="L642" s="17">
        <v>110520240</v>
      </c>
      <c r="M642" s="16" t="str">
        <f t="shared" si="228"/>
        <v>0110520240</v>
      </c>
      <c r="N642" s="16" t="str">
        <f t="shared" si="229"/>
        <v>60607090110520240620</v>
      </c>
    </row>
    <row r="643" spans="2:14" s="17" customFormat="1" ht="25.5">
      <c r="B643" s="14"/>
      <c r="C643" s="201" t="s">
        <v>476</v>
      </c>
      <c r="D643" s="203" t="s">
        <v>394</v>
      </c>
      <c r="E643" s="204" t="s">
        <v>229</v>
      </c>
      <c r="F643" s="204" t="s">
        <v>471</v>
      </c>
      <c r="G643" s="204" t="s">
        <v>477</v>
      </c>
      <c r="H643" s="204" t="s">
        <v>9</v>
      </c>
      <c r="I643" s="26">
        <f>I644+I646+I648</f>
        <v>7354.34</v>
      </c>
      <c r="J643" s="26">
        <f t="shared" ref="J643:K643" si="248">J644+J646+J648</f>
        <v>7278.73</v>
      </c>
      <c r="K643" s="26">
        <f t="shared" si="248"/>
        <v>7278.73</v>
      </c>
      <c r="L643" s="17">
        <v>110800000</v>
      </c>
      <c r="M643" s="16" t="str">
        <f t="shared" si="228"/>
        <v>0110800000</v>
      </c>
      <c r="N643" s="16" t="str">
        <f t="shared" si="229"/>
        <v>60607090110800000000</v>
      </c>
    </row>
    <row r="644" spans="2:14" s="17" customFormat="1" ht="25.5">
      <c r="B644" s="14"/>
      <c r="C644" s="226" t="s">
        <v>136</v>
      </c>
      <c r="D644" s="203" t="s">
        <v>394</v>
      </c>
      <c r="E644" s="204" t="s">
        <v>229</v>
      </c>
      <c r="F644" s="204" t="s">
        <v>471</v>
      </c>
      <c r="G644" s="204" t="s">
        <v>478</v>
      </c>
      <c r="H644" s="204" t="s">
        <v>9</v>
      </c>
      <c r="I644" s="26">
        <f>SUM(I645:I645)</f>
        <v>7050.56</v>
      </c>
      <c r="J644" s="26">
        <f>SUM(J645:J645)</f>
        <v>7278.73</v>
      </c>
      <c r="K644" s="26">
        <f>SUM(K645:K645)</f>
        <v>7278.73</v>
      </c>
      <c r="L644" s="17">
        <v>110811010</v>
      </c>
      <c r="M644" s="16" t="str">
        <f t="shared" si="228"/>
        <v>0110811010</v>
      </c>
      <c r="N644" s="16" t="str">
        <f t="shared" si="229"/>
        <v>60607090110811010000</v>
      </c>
    </row>
    <row r="645" spans="2:14" s="17" customFormat="1">
      <c r="B645" s="14"/>
      <c r="C645" s="226" t="s">
        <v>403</v>
      </c>
      <c r="D645" s="203" t="s">
        <v>394</v>
      </c>
      <c r="E645" s="204" t="s">
        <v>229</v>
      </c>
      <c r="F645" s="204" t="s">
        <v>471</v>
      </c>
      <c r="G645" s="204" t="s">
        <v>478</v>
      </c>
      <c r="H645" s="204" t="s">
        <v>404</v>
      </c>
      <c r="I645" s="20">
        <f>6945.85+4.68+100.98-0.95</f>
        <v>7050.56</v>
      </c>
      <c r="J645" s="20">
        <f>6945.85+4.68+228.32+100.98-1.1</f>
        <v>7278.73</v>
      </c>
      <c r="K645" s="20">
        <f>6945.85+4.68+228.32+100.98-1.1</f>
        <v>7278.73</v>
      </c>
      <c r="L645" s="17">
        <v>110811010</v>
      </c>
      <c r="M645" s="16" t="str">
        <f t="shared" si="228"/>
        <v>0110811010</v>
      </c>
      <c r="N645" s="16" t="str">
        <f t="shared" si="229"/>
        <v>60607090110811010610</v>
      </c>
    </row>
    <row r="646" spans="2:14" s="17" customFormat="1" ht="191.25">
      <c r="B646" s="383" t="s">
        <v>2282</v>
      </c>
      <c r="C646" s="197" t="s">
        <v>2269</v>
      </c>
      <c r="D646" s="203" t="s">
        <v>394</v>
      </c>
      <c r="E646" s="204" t="s">
        <v>229</v>
      </c>
      <c r="F646" s="204" t="s">
        <v>471</v>
      </c>
      <c r="G646" s="204" t="s">
        <v>1284</v>
      </c>
      <c r="H646" s="204" t="s">
        <v>9</v>
      </c>
      <c r="I646" s="20">
        <f>I647</f>
        <v>228.33</v>
      </c>
      <c r="J646" s="20">
        <f t="shared" ref="J646:K646" si="249">J647</f>
        <v>0</v>
      </c>
      <c r="K646" s="20">
        <f t="shared" si="249"/>
        <v>0</v>
      </c>
      <c r="L646" s="17">
        <v>110877460</v>
      </c>
      <c r="M646" s="16" t="str">
        <f t="shared" ref="M646:M709" si="250">TEXT(L646,"0000000000")</f>
        <v>0110877460</v>
      </c>
      <c r="N646" s="16" t="str">
        <f t="shared" ref="N646:N709" si="251">D646&amp;E646&amp;F646&amp;M646&amp;H646</f>
        <v>60607090110877460000</v>
      </c>
    </row>
    <row r="647" spans="2:14" s="17" customFormat="1">
      <c r="B647" s="383"/>
      <c r="C647" s="205" t="s">
        <v>403</v>
      </c>
      <c r="D647" s="203" t="s">
        <v>394</v>
      </c>
      <c r="E647" s="204" t="s">
        <v>229</v>
      </c>
      <c r="F647" s="204" t="s">
        <v>471</v>
      </c>
      <c r="G647" s="204" t="s">
        <v>1284</v>
      </c>
      <c r="H647" s="204" t="s">
        <v>404</v>
      </c>
      <c r="I647" s="20">
        <f>228.33</f>
        <v>228.33</v>
      </c>
      <c r="J647" s="20">
        <v>0</v>
      </c>
      <c r="K647" s="20">
        <v>0</v>
      </c>
      <c r="L647" s="17">
        <v>110877460</v>
      </c>
      <c r="M647" s="16" t="str">
        <f t="shared" si="250"/>
        <v>0110877460</v>
      </c>
      <c r="N647" s="16" t="str">
        <f t="shared" si="251"/>
        <v>60607090110877460610</v>
      </c>
    </row>
    <row r="648" spans="2:14" s="17" customFormat="1" ht="165.75">
      <c r="B648" s="383"/>
      <c r="C648" s="200" t="s">
        <v>2247</v>
      </c>
      <c r="D648" s="203" t="s">
        <v>394</v>
      </c>
      <c r="E648" s="204" t="s">
        <v>229</v>
      </c>
      <c r="F648" s="204" t="s">
        <v>471</v>
      </c>
      <c r="G648" s="204" t="s">
        <v>2265</v>
      </c>
      <c r="H648" s="204" t="s">
        <v>9</v>
      </c>
      <c r="I648" s="20">
        <f>I649</f>
        <v>75.45</v>
      </c>
      <c r="J648" s="20">
        <f t="shared" ref="J648:K648" si="252">J649</f>
        <v>0</v>
      </c>
      <c r="K648" s="20">
        <f t="shared" si="252"/>
        <v>0</v>
      </c>
      <c r="L648" s="17">
        <v>110877580</v>
      </c>
      <c r="M648" s="16" t="str">
        <f t="shared" si="250"/>
        <v>0110877580</v>
      </c>
      <c r="N648" s="16" t="str">
        <f t="shared" si="251"/>
        <v>60607090110877580000</v>
      </c>
    </row>
    <row r="649" spans="2:14" s="17" customFormat="1">
      <c r="B649" s="383"/>
      <c r="C649" s="205" t="s">
        <v>403</v>
      </c>
      <c r="D649" s="203" t="s">
        <v>394</v>
      </c>
      <c r="E649" s="204" t="s">
        <v>229</v>
      </c>
      <c r="F649" s="204" t="s">
        <v>471</v>
      </c>
      <c r="G649" s="204" t="s">
        <v>2265</v>
      </c>
      <c r="H649" s="204" t="s">
        <v>404</v>
      </c>
      <c r="I649" s="20">
        <f>75.45</f>
        <v>75.45</v>
      </c>
      <c r="J649" s="20">
        <v>0</v>
      </c>
      <c r="K649" s="20">
        <v>0</v>
      </c>
      <c r="L649" s="17">
        <v>110877580</v>
      </c>
      <c r="M649" s="16" t="str">
        <f t="shared" si="250"/>
        <v>0110877580</v>
      </c>
      <c r="N649" s="16" t="str">
        <f t="shared" si="251"/>
        <v>60607090110877580610</v>
      </c>
    </row>
    <row r="650" spans="2:14" s="17" customFormat="1" ht="63.75">
      <c r="B650" s="14"/>
      <c r="C650" s="197" t="s">
        <v>420</v>
      </c>
      <c r="D650" s="198" t="s">
        <v>394</v>
      </c>
      <c r="E650" s="199" t="s">
        <v>229</v>
      </c>
      <c r="F650" s="199" t="s">
        <v>471</v>
      </c>
      <c r="G650" s="199" t="s">
        <v>421</v>
      </c>
      <c r="H650" s="199" t="s">
        <v>9</v>
      </c>
      <c r="I650" s="20">
        <f t="shared" ref="I650:K652" si="253">I651</f>
        <v>68.599999999999994</v>
      </c>
      <c r="J650" s="20">
        <f t="shared" si="253"/>
        <v>58.6</v>
      </c>
      <c r="K650" s="20">
        <f t="shared" si="253"/>
        <v>58.6</v>
      </c>
      <c r="L650" s="17">
        <v>1600000000</v>
      </c>
      <c r="M650" s="16" t="str">
        <f t="shared" si="250"/>
        <v>1600000000</v>
      </c>
      <c r="N650" s="16" t="str">
        <f t="shared" si="251"/>
        <v>60607091600000000000</v>
      </c>
    </row>
    <row r="651" spans="2:14" s="17" customFormat="1" ht="25.5">
      <c r="B651" s="14"/>
      <c r="C651" s="197" t="s">
        <v>422</v>
      </c>
      <c r="D651" s="198" t="s">
        <v>394</v>
      </c>
      <c r="E651" s="199" t="s">
        <v>229</v>
      </c>
      <c r="F651" s="199" t="s">
        <v>471</v>
      </c>
      <c r="G651" s="199" t="s">
        <v>423</v>
      </c>
      <c r="H651" s="199" t="s">
        <v>9</v>
      </c>
      <c r="I651" s="20">
        <f t="shared" si="253"/>
        <v>68.599999999999994</v>
      </c>
      <c r="J651" s="20">
        <f t="shared" si="253"/>
        <v>58.6</v>
      </c>
      <c r="K651" s="20">
        <f t="shared" si="253"/>
        <v>58.6</v>
      </c>
      <c r="L651" s="17">
        <v>1620000000</v>
      </c>
      <c r="M651" s="16" t="str">
        <f t="shared" si="250"/>
        <v>1620000000</v>
      </c>
      <c r="N651" s="16" t="str">
        <f t="shared" si="251"/>
        <v>60607091620000000000</v>
      </c>
    </row>
    <row r="652" spans="2:14" s="17" customFormat="1" ht="25.5">
      <c r="B652" s="14"/>
      <c r="C652" s="197" t="s">
        <v>424</v>
      </c>
      <c r="D652" s="198" t="s">
        <v>394</v>
      </c>
      <c r="E652" s="199" t="s">
        <v>229</v>
      </c>
      <c r="F652" s="199" t="s">
        <v>471</v>
      </c>
      <c r="G652" s="199" t="s">
        <v>425</v>
      </c>
      <c r="H652" s="199" t="s">
        <v>9</v>
      </c>
      <c r="I652" s="20">
        <f t="shared" si="253"/>
        <v>68.599999999999994</v>
      </c>
      <c r="J652" s="20">
        <f t="shared" si="253"/>
        <v>58.6</v>
      </c>
      <c r="K652" s="20">
        <f t="shared" si="253"/>
        <v>58.6</v>
      </c>
      <c r="L652" s="17">
        <v>1620200000</v>
      </c>
      <c r="M652" s="16" t="str">
        <f t="shared" si="250"/>
        <v>1620200000</v>
      </c>
      <c r="N652" s="16" t="str">
        <f t="shared" si="251"/>
        <v>60607091620200000000</v>
      </c>
    </row>
    <row r="653" spans="2:14" s="17" customFormat="1" ht="38.25">
      <c r="B653" s="14"/>
      <c r="C653" s="197" t="s">
        <v>426</v>
      </c>
      <c r="D653" s="198" t="s">
        <v>394</v>
      </c>
      <c r="E653" s="199" t="s">
        <v>229</v>
      </c>
      <c r="F653" s="199" t="s">
        <v>471</v>
      </c>
      <c r="G653" s="199" t="s">
        <v>427</v>
      </c>
      <c r="H653" s="199" t="s">
        <v>9</v>
      </c>
      <c r="I653" s="20">
        <f>I656</f>
        <v>68.599999999999994</v>
      </c>
      <c r="J653" s="20">
        <f>J656</f>
        <v>58.6</v>
      </c>
      <c r="K653" s="20">
        <f>K656</f>
        <v>58.6</v>
      </c>
      <c r="L653" s="17">
        <v>1620220550</v>
      </c>
      <c r="M653" s="16" t="str">
        <f t="shared" si="250"/>
        <v>1620220550</v>
      </c>
      <c r="N653" s="16" t="str">
        <f t="shared" si="251"/>
        <v>60607091620220550000</v>
      </c>
    </row>
    <row r="654" spans="2:14" s="17" customFormat="1">
      <c r="B654" s="14"/>
      <c r="C654" s="220" t="s">
        <v>1104</v>
      </c>
      <c r="D654" s="198"/>
      <c r="E654" s="199"/>
      <c r="F654" s="199"/>
      <c r="G654" s="199"/>
      <c r="H654" s="199"/>
      <c r="I654" s="20"/>
      <c r="J654" s="20"/>
      <c r="K654" s="20"/>
      <c r="M654" s="16" t="str">
        <f t="shared" si="250"/>
        <v>0000000000</v>
      </c>
      <c r="N654" s="16" t="str">
        <f t="shared" si="251"/>
        <v>0000000000</v>
      </c>
    </row>
    <row r="655" spans="2:14" s="17" customFormat="1">
      <c r="B655" s="14"/>
      <c r="C655" s="221" t="s">
        <v>1105</v>
      </c>
      <c r="D655" s="222" t="s">
        <v>394</v>
      </c>
      <c r="E655" s="223" t="s">
        <v>229</v>
      </c>
      <c r="F655" s="223" t="s">
        <v>471</v>
      </c>
      <c r="G655" s="223" t="s">
        <v>427</v>
      </c>
      <c r="H655" s="223" t="s">
        <v>9</v>
      </c>
      <c r="I655" s="224">
        <f>10</f>
        <v>10</v>
      </c>
      <c r="J655" s="224">
        <v>0</v>
      </c>
      <c r="K655" s="224">
        <v>0</v>
      </c>
      <c r="L655" s="17">
        <v>1620220550</v>
      </c>
      <c r="M655" s="16" t="str">
        <f t="shared" si="250"/>
        <v>1620220550</v>
      </c>
      <c r="N655" s="16" t="str">
        <f t="shared" si="251"/>
        <v>60607091620220550000</v>
      </c>
    </row>
    <row r="656" spans="2:14" s="17" customFormat="1">
      <c r="B656" s="14"/>
      <c r="C656" s="205" t="s">
        <v>403</v>
      </c>
      <c r="D656" s="198" t="s">
        <v>394</v>
      </c>
      <c r="E656" s="199" t="s">
        <v>229</v>
      </c>
      <c r="F656" s="199" t="s">
        <v>471</v>
      </c>
      <c r="G656" s="199" t="s">
        <v>427</v>
      </c>
      <c r="H656" s="199" t="s">
        <v>404</v>
      </c>
      <c r="I656" s="20">
        <f>58.6+I655</f>
        <v>68.599999999999994</v>
      </c>
      <c r="J656" s="20">
        <f t="shared" ref="J656:K656" si="254">58.6</f>
        <v>58.6</v>
      </c>
      <c r="K656" s="20">
        <f t="shared" si="254"/>
        <v>58.6</v>
      </c>
      <c r="L656" s="17">
        <v>1620220550</v>
      </c>
      <c r="M656" s="16" t="str">
        <f t="shared" si="250"/>
        <v>1620220550</v>
      </c>
      <c r="N656" s="16" t="str">
        <f t="shared" si="251"/>
        <v>60607091620220550610</v>
      </c>
    </row>
    <row r="657" spans="2:14" s="17" customFormat="1" ht="25.5">
      <c r="B657" s="14"/>
      <c r="C657" s="197" t="s">
        <v>479</v>
      </c>
      <c r="D657" s="198" t="s">
        <v>394</v>
      </c>
      <c r="E657" s="199" t="s">
        <v>229</v>
      </c>
      <c r="F657" s="199" t="s">
        <v>471</v>
      </c>
      <c r="G657" s="199" t="s">
        <v>480</v>
      </c>
      <c r="H657" s="199" t="s">
        <v>9</v>
      </c>
      <c r="I657" s="20">
        <f>I658</f>
        <v>34020.11</v>
      </c>
      <c r="J657" s="20">
        <f>J658</f>
        <v>33557.810000000005</v>
      </c>
      <c r="K657" s="20">
        <f>K658</f>
        <v>33557.810000000005</v>
      </c>
      <c r="L657" s="17">
        <v>7500000000</v>
      </c>
      <c r="M657" s="16" t="str">
        <f t="shared" si="250"/>
        <v>7500000000</v>
      </c>
      <c r="N657" s="16" t="str">
        <f t="shared" si="251"/>
        <v>60607097500000000000</v>
      </c>
    </row>
    <row r="658" spans="2:14" s="17" customFormat="1" ht="25.5">
      <c r="B658" s="14"/>
      <c r="C658" s="197" t="s">
        <v>481</v>
      </c>
      <c r="D658" s="198" t="s">
        <v>394</v>
      </c>
      <c r="E658" s="199" t="s">
        <v>229</v>
      </c>
      <c r="F658" s="199" t="s">
        <v>471</v>
      </c>
      <c r="G658" s="199" t="s">
        <v>482</v>
      </c>
      <c r="H658" s="199" t="s">
        <v>9</v>
      </c>
      <c r="I658" s="20">
        <f>I659+I665+I671+I667+I674</f>
        <v>34020.11</v>
      </c>
      <c r="J658" s="20">
        <f t="shared" ref="J658:K658" si="255">J659+J665+J671+J667+J674</f>
        <v>33557.810000000005</v>
      </c>
      <c r="K658" s="20">
        <f t="shared" si="255"/>
        <v>33557.810000000005</v>
      </c>
      <c r="L658" s="17">
        <v>7510000000</v>
      </c>
      <c r="M658" s="16" t="str">
        <f t="shared" si="250"/>
        <v>7510000000</v>
      </c>
      <c r="N658" s="16" t="str">
        <f t="shared" si="251"/>
        <v>60607097510000000000</v>
      </c>
    </row>
    <row r="659" spans="2:14" s="17" customFormat="1" ht="25.5">
      <c r="B659" s="14"/>
      <c r="C659" s="197" t="s">
        <v>18</v>
      </c>
      <c r="D659" s="198" t="s">
        <v>394</v>
      </c>
      <c r="E659" s="199" t="s">
        <v>229</v>
      </c>
      <c r="F659" s="199" t="s">
        <v>471</v>
      </c>
      <c r="G659" s="199" t="s">
        <v>483</v>
      </c>
      <c r="H659" s="199" t="s">
        <v>9</v>
      </c>
      <c r="I659" s="20">
        <f>I660+I661+I664</f>
        <v>2730.33</v>
      </c>
      <c r="J659" s="20">
        <f t="shared" ref="J659:K659" si="256">J660+J661+J664</f>
        <v>2420.89</v>
      </c>
      <c r="K659" s="20">
        <f t="shared" si="256"/>
        <v>2420.89</v>
      </c>
      <c r="L659" s="17">
        <v>7510010010</v>
      </c>
      <c r="M659" s="16" t="str">
        <f t="shared" si="250"/>
        <v>7510010010</v>
      </c>
      <c r="N659" s="16" t="str">
        <f t="shared" si="251"/>
        <v>60607097510010010000</v>
      </c>
    </row>
    <row r="660" spans="2:14" s="17" customFormat="1" ht="25.5">
      <c r="B660" s="14"/>
      <c r="C660" s="197" t="s">
        <v>484</v>
      </c>
      <c r="D660" s="198" t="s">
        <v>394</v>
      </c>
      <c r="E660" s="199" t="s">
        <v>229</v>
      </c>
      <c r="F660" s="199" t="s">
        <v>471</v>
      </c>
      <c r="G660" s="199" t="s">
        <v>483</v>
      </c>
      <c r="H660" s="199" t="s">
        <v>21</v>
      </c>
      <c r="I660" s="20">
        <f>522.4+154.84</f>
        <v>677.24</v>
      </c>
      <c r="J660" s="20">
        <f t="shared" ref="J660:K660" si="257">522.4+154.84</f>
        <v>677.24</v>
      </c>
      <c r="K660" s="20">
        <f t="shared" si="257"/>
        <v>677.24</v>
      </c>
      <c r="L660" s="17">
        <v>7510010010</v>
      </c>
      <c r="M660" s="16" t="str">
        <f t="shared" si="250"/>
        <v>7510010010</v>
      </c>
      <c r="N660" s="16" t="str">
        <f t="shared" si="251"/>
        <v>60607097510010010120</v>
      </c>
    </row>
    <row r="661" spans="2:14" s="17" customFormat="1" ht="25.5">
      <c r="B661" s="14"/>
      <c r="C661" s="197" t="s">
        <v>28</v>
      </c>
      <c r="D661" s="198" t="s">
        <v>394</v>
      </c>
      <c r="E661" s="199" t="s">
        <v>229</v>
      </c>
      <c r="F661" s="199" t="s">
        <v>471</v>
      </c>
      <c r="G661" s="199" t="s">
        <v>483</v>
      </c>
      <c r="H661" s="199" t="s">
        <v>29</v>
      </c>
      <c r="I661" s="20">
        <f>1690.51+I663+228.16</f>
        <v>1999.95</v>
      </c>
      <c r="J661" s="20">
        <f t="shared" ref="J661:K661" si="258">1690.51</f>
        <v>1690.51</v>
      </c>
      <c r="K661" s="20">
        <f t="shared" si="258"/>
        <v>1690.51</v>
      </c>
      <c r="L661" s="17">
        <v>7510010010</v>
      </c>
      <c r="M661" s="16" t="str">
        <f t="shared" si="250"/>
        <v>7510010010</v>
      </c>
      <c r="N661" s="16" t="str">
        <f t="shared" si="251"/>
        <v>60607097510010010240</v>
      </c>
    </row>
    <row r="662" spans="2:14" s="17" customFormat="1">
      <c r="B662" s="14"/>
      <c r="C662" s="220" t="s">
        <v>1104</v>
      </c>
      <c r="D662" s="198"/>
      <c r="E662" s="199"/>
      <c r="F662" s="199"/>
      <c r="G662" s="199"/>
      <c r="H662" s="199"/>
      <c r="I662" s="20"/>
      <c r="J662" s="20"/>
      <c r="K662" s="20"/>
      <c r="M662" s="16" t="str">
        <f t="shared" si="250"/>
        <v>0000000000</v>
      </c>
      <c r="N662" s="16" t="str">
        <f t="shared" si="251"/>
        <v>0000000000</v>
      </c>
    </row>
    <row r="663" spans="2:14" s="17" customFormat="1">
      <c r="B663" s="14"/>
      <c r="C663" s="221" t="s">
        <v>1105</v>
      </c>
      <c r="D663" s="222" t="s">
        <v>394</v>
      </c>
      <c r="E663" s="223" t="s">
        <v>229</v>
      </c>
      <c r="F663" s="223" t="s">
        <v>471</v>
      </c>
      <c r="G663" s="223" t="s">
        <v>483</v>
      </c>
      <c r="H663" s="223" t="s">
        <v>29</v>
      </c>
      <c r="I663" s="224">
        <f>81.28</f>
        <v>81.28</v>
      </c>
      <c r="J663" s="224">
        <v>0</v>
      </c>
      <c r="K663" s="224">
        <v>0</v>
      </c>
      <c r="L663" s="17">
        <v>7510010010</v>
      </c>
      <c r="M663" s="16" t="str">
        <f t="shared" si="250"/>
        <v>7510010010</v>
      </c>
      <c r="N663" s="16" t="str">
        <f t="shared" si="251"/>
        <v>60607097510010010240</v>
      </c>
    </row>
    <row r="664" spans="2:14" s="17" customFormat="1">
      <c r="B664" s="14"/>
      <c r="C664" s="197" t="s">
        <v>32</v>
      </c>
      <c r="D664" s="198" t="s">
        <v>394</v>
      </c>
      <c r="E664" s="199" t="s">
        <v>229</v>
      </c>
      <c r="F664" s="199" t="s">
        <v>471</v>
      </c>
      <c r="G664" s="199" t="s">
        <v>483</v>
      </c>
      <c r="H664" s="199" t="s">
        <v>33</v>
      </c>
      <c r="I664" s="20">
        <f>40.24+1.9+11</f>
        <v>53.14</v>
      </c>
      <c r="J664" s="20">
        <f t="shared" ref="J664:K664" si="259">40.24+1.9+11</f>
        <v>53.14</v>
      </c>
      <c r="K664" s="20">
        <f t="shared" si="259"/>
        <v>53.14</v>
      </c>
      <c r="L664" s="17">
        <v>7510010010</v>
      </c>
      <c r="M664" s="16" t="str">
        <f t="shared" si="250"/>
        <v>7510010010</v>
      </c>
      <c r="N664" s="16" t="str">
        <f t="shared" si="251"/>
        <v>60607097510010010850</v>
      </c>
    </row>
    <row r="665" spans="2:14" s="17" customFormat="1" ht="25.5">
      <c r="B665" s="14"/>
      <c r="C665" s="197" t="s">
        <v>38</v>
      </c>
      <c r="D665" s="198" t="s">
        <v>394</v>
      </c>
      <c r="E665" s="199" t="s">
        <v>229</v>
      </c>
      <c r="F665" s="199" t="s">
        <v>471</v>
      </c>
      <c r="G665" s="199" t="s">
        <v>485</v>
      </c>
      <c r="H665" s="199" t="s">
        <v>9</v>
      </c>
      <c r="I665" s="20">
        <f>I666</f>
        <v>21479.289999999997</v>
      </c>
      <c r="J665" s="20">
        <f>J666</f>
        <v>22216.74</v>
      </c>
      <c r="K665" s="20">
        <f>K666</f>
        <v>22216.74</v>
      </c>
      <c r="L665" s="17">
        <v>7510010020</v>
      </c>
      <c r="M665" s="16" t="str">
        <f t="shared" si="250"/>
        <v>7510010020</v>
      </c>
      <c r="N665" s="16" t="str">
        <f t="shared" si="251"/>
        <v>60607097510010020000</v>
      </c>
    </row>
    <row r="666" spans="2:14" s="17" customFormat="1" ht="25.5">
      <c r="B666" s="14"/>
      <c r="C666" s="197" t="s">
        <v>484</v>
      </c>
      <c r="D666" s="198" t="s">
        <v>394</v>
      </c>
      <c r="E666" s="199" t="s">
        <v>229</v>
      </c>
      <c r="F666" s="199" t="s">
        <v>471</v>
      </c>
      <c r="G666" s="199" t="s">
        <v>485</v>
      </c>
      <c r="H666" s="199" t="s">
        <v>21</v>
      </c>
      <c r="I666" s="20">
        <f>16372.67+4940.81+37.75+105.53-9+9+22.53</f>
        <v>21479.289999999997</v>
      </c>
      <c r="J666" s="20">
        <f>16372.67+4940.81+860.47+9+33.79</f>
        <v>22216.74</v>
      </c>
      <c r="K666" s="20">
        <f>16372.67+4940.81+860.47+9+33.79</f>
        <v>22216.74</v>
      </c>
      <c r="L666" s="17">
        <v>7510010020</v>
      </c>
      <c r="M666" s="16" t="str">
        <f t="shared" si="250"/>
        <v>7510010020</v>
      </c>
      <c r="N666" s="16" t="str">
        <f t="shared" si="251"/>
        <v>60607097510010020120</v>
      </c>
    </row>
    <row r="667" spans="2:14" s="17" customFormat="1" ht="25.5">
      <c r="B667" s="14"/>
      <c r="C667" s="375" t="s">
        <v>136</v>
      </c>
      <c r="D667" s="198" t="s">
        <v>394</v>
      </c>
      <c r="E667" s="199" t="s">
        <v>229</v>
      </c>
      <c r="F667" s="199" t="s">
        <v>471</v>
      </c>
      <c r="G667" s="199" t="s">
        <v>486</v>
      </c>
      <c r="H667" s="199" t="s">
        <v>9</v>
      </c>
      <c r="I667" s="20">
        <f>SUM(I668:I670)</f>
        <v>7045.31</v>
      </c>
      <c r="J667" s="20">
        <f t="shared" ref="J667:K667" si="260">SUM(J668:J670)</f>
        <v>6948.76</v>
      </c>
      <c r="K667" s="20">
        <f t="shared" si="260"/>
        <v>6948.76</v>
      </c>
      <c r="L667" s="17">
        <v>7510011010</v>
      </c>
      <c r="M667" s="16" t="str">
        <f t="shared" si="250"/>
        <v>7510011010</v>
      </c>
      <c r="N667" s="16" t="str">
        <f t="shared" si="251"/>
        <v>60607097510011010000</v>
      </c>
    </row>
    <row r="668" spans="2:14" s="17" customFormat="1">
      <c r="B668" s="14"/>
      <c r="C668" s="374" t="s">
        <v>138</v>
      </c>
      <c r="D668" s="198" t="s">
        <v>394</v>
      </c>
      <c r="E668" s="199" t="s">
        <v>229</v>
      </c>
      <c r="F668" s="199" t="s">
        <v>471</v>
      </c>
      <c r="G668" s="199" t="s">
        <v>486</v>
      </c>
      <c r="H668" s="199" t="s">
        <v>139</v>
      </c>
      <c r="I668" s="20">
        <f>4564.55+1378.49+182.58+55.14</f>
        <v>6180.76</v>
      </c>
      <c r="J668" s="20">
        <f>4979.51+1503.81+182.58+55.14</f>
        <v>6721.04</v>
      </c>
      <c r="K668" s="20">
        <f>4979.51+1503.81+182.58+55.14</f>
        <v>6721.04</v>
      </c>
      <c r="L668" s="17">
        <v>7510011010</v>
      </c>
      <c r="M668" s="16" t="str">
        <f t="shared" si="250"/>
        <v>7510011010</v>
      </c>
      <c r="N668" s="16" t="str">
        <f t="shared" si="251"/>
        <v>60607097510011010110</v>
      </c>
    </row>
    <row r="669" spans="2:14" s="17" customFormat="1" ht="25.5">
      <c r="B669" s="14"/>
      <c r="C669" s="197" t="s">
        <v>28</v>
      </c>
      <c r="D669" s="198" t="s">
        <v>394</v>
      </c>
      <c r="E669" s="199" t="s">
        <v>229</v>
      </c>
      <c r="F669" s="199" t="s">
        <v>471</v>
      </c>
      <c r="G669" s="199" t="s">
        <v>486</v>
      </c>
      <c r="H669" s="199" t="s">
        <v>29</v>
      </c>
      <c r="I669" s="20">
        <f>863.6</f>
        <v>863.6</v>
      </c>
      <c r="J669" s="20">
        <f>226.62</f>
        <v>226.62</v>
      </c>
      <c r="K669" s="20">
        <f>226.62</f>
        <v>226.62</v>
      </c>
      <c r="L669" s="17">
        <v>7510011010</v>
      </c>
      <c r="M669" s="16" t="str">
        <f t="shared" si="250"/>
        <v>7510011010</v>
      </c>
      <c r="N669" s="16" t="str">
        <f t="shared" si="251"/>
        <v>60607097510011010240</v>
      </c>
    </row>
    <row r="670" spans="2:14" s="17" customFormat="1">
      <c r="B670" s="14"/>
      <c r="C670" s="197" t="s">
        <v>32</v>
      </c>
      <c r="D670" s="198" t="s">
        <v>394</v>
      </c>
      <c r="E670" s="199" t="s">
        <v>229</v>
      </c>
      <c r="F670" s="199" t="s">
        <v>471</v>
      </c>
      <c r="G670" s="199" t="s">
        <v>486</v>
      </c>
      <c r="H670" s="199" t="s">
        <v>33</v>
      </c>
      <c r="I670" s="20">
        <f>0.95</f>
        <v>0.95</v>
      </c>
      <c r="J670" s="20">
        <v>1.1000000000000001</v>
      </c>
      <c r="K670" s="20">
        <v>1.1000000000000001</v>
      </c>
      <c r="L670" s="17">
        <v>7510011010</v>
      </c>
      <c r="M670" s="16" t="str">
        <f t="shared" si="250"/>
        <v>7510011010</v>
      </c>
      <c r="N670" s="16" t="str">
        <f t="shared" si="251"/>
        <v>60607097510011010850</v>
      </c>
    </row>
    <row r="671" spans="2:14" s="17" customFormat="1" ht="51">
      <c r="B671" s="14" t="s">
        <v>80</v>
      </c>
      <c r="C671" s="197" t="s">
        <v>488</v>
      </c>
      <c r="D671" s="198" t="s">
        <v>394</v>
      </c>
      <c r="E671" s="199" t="s">
        <v>229</v>
      </c>
      <c r="F671" s="199" t="s">
        <v>471</v>
      </c>
      <c r="G671" s="199" t="s">
        <v>489</v>
      </c>
      <c r="H671" s="199" t="s">
        <v>9</v>
      </c>
      <c r="I671" s="20">
        <f>I672+I673</f>
        <v>2038.99</v>
      </c>
      <c r="J671" s="20">
        <f t="shared" ref="J671:K671" si="261">J672+J673</f>
        <v>1971.42</v>
      </c>
      <c r="K671" s="20">
        <f t="shared" si="261"/>
        <v>1971.42</v>
      </c>
      <c r="L671" s="17">
        <v>7510076200</v>
      </c>
      <c r="M671" s="16" t="str">
        <f t="shared" si="250"/>
        <v>7510076200</v>
      </c>
      <c r="N671" s="16" t="str">
        <f t="shared" si="251"/>
        <v>60607097510076200000</v>
      </c>
    </row>
    <row r="672" spans="2:14" s="17" customFormat="1" ht="25.5">
      <c r="B672" s="14"/>
      <c r="C672" s="197" t="s">
        <v>484</v>
      </c>
      <c r="D672" s="198" t="s">
        <v>394</v>
      </c>
      <c r="E672" s="199" t="s">
        <v>229</v>
      </c>
      <c r="F672" s="199" t="s">
        <v>471</v>
      </c>
      <c r="G672" s="199" t="s">
        <v>489</v>
      </c>
      <c r="H672" s="199" t="s">
        <v>21</v>
      </c>
      <c r="I672" s="20">
        <f>1971.42-83.7+64.21+67.57</f>
        <v>2019.5</v>
      </c>
      <c r="J672" s="20">
        <f t="shared" ref="J672:K672" si="262">1971.42-83.7+64.21</f>
        <v>1951.93</v>
      </c>
      <c r="K672" s="20">
        <f t="shared" si="262"/>
        <v>1951.93</v>
      </c>
      <c r="L672" s="17">
        <v>7510076200</v>
      </c>
      <c r="M672" s="16" t="str">
        <f t="shared" si="250"/>
        <v>7510076200</v>
      </c>
      <c r="N672" s="16" t="str">
        <f t="shared" si="251"/>
        <v>60607097510076200120</v>
      </c>
    </row>
    <row r="673" spans="2:14" s="17" customFormat="1" ht="25.5">
      <c r="B673" s="14"/>
      <c r="C673" s="197" t="s">
        <v>28</v>
      </c>
      <c r="D673" s="198" t="s">
        <v>394</v>
      </c>
      <c r="E673" s="199" t="s">
        <v>229</v>
      </c>
      <c r="F673" s="199" t="s">
        <v>471</v>
      </c>
      <c r="G673" s="199" t="s">
        <v>489</v>
      </c>
      <c r="H673" s="199" t="s">
        <v>29</v>
      </c>
      <c r="I673" s="20">
        <f>19.49</f>
        <v>19.489999999999998</v>
      </c>
      <c r="J673" s="20">
        <f t="shared" ref="J673:K673" si="263">19.49</f>
        <v>19.489999999999998</v>
      </c>
      <c r="K673" s="20">
        <f t="shared" si="263"/>
        <v>19.489999999999998</v>
      </c>
      <c r="L673" s="17">
        <v>7510076200</v>
      </c>
      <c r="M673" s="16" t="str">
        <f t="shared" si="250"/>
        <v>7510076200</v>
      </c>
      <c r="N673" s="16" t="str">
        <f t="shared" si="251"/>
        <v>60607097510076200240</v>
      </c>
    </row>
    <row r="674" spans="2:14" s="17" customFormat="1" ht="191.25">
      <c r="B674" s="383" t="s">
        <v>2282</v>
      </c>
      <c r="C674" s="197" t="s">
        <v>2269</v>
      </c>
      <c r="D674" s="198" t="s">
        <v>394</v>
      </c>
      <c r="E674" s="199" t="s">
        <v>229</v>
      </c>
      <c r="F674" s="199" t="s">
        <v>471</v>
      </c>
      <c r="G674" s="199" t="s">
        <v>1285</v>
      </c>
      <c r="H674" s="199" t="s">
        <v>9</v>
      </c>
      <c r="I674" s="20">
        <f>I675</f>
        <v>726.19</v>
      </c>
      <c r="J674" s="20">
        <f t="shared" ref="J674:K674" si="264">J675</f>
        <v>0</v>
      </c>
      <c r="K674" s="20">
        <f t="shared" si="264"/>
        <v>0</v>
      </c>
      <c r="L674" s="17">
        <v>7510077460</v>
      </c>
      <c r="M674" s="16" t="str">
        <f t="shared" si="250"/>
        <v>7510077460</v>
      </c>
      <c r="N674" s="16" t="str">
        <f t="shared" si="251"/>
        <v>60607097510077460000</v>
      </c>
    </row>
    <row r="675" spans="2:14" s="17" customFormat="1" ht="25.5">
      <c r="B675" s="14"/>
      <c r="C675" s="197" t="s">
        <v>484</v>
      </c>
      <c r="D675" s="198" t="s">
        <v>394</v>
      </c>
      <c r="E675" s="199" t="s">
        <v>229</v>
      </c>
      <c r="F675" s="199" t="s">
        <v>471</v>
      </c>
      <c r="G675" s="199" t="s">
        <v>1285</v>
      </c>
      <c r="H675" s="199" t="s">
        <v>21</v>
      </c>
      <c r="I675" s="20">
        <f>717.19+9</f>
        <v>726.19</v>
      </c>
      <c r="J675" s="20">
        <v>0</v>
      </c>
      <c r="K675" s="20">
        <v>0</v>
      </c>
      <c r="L675" s="17">
        <v>7510077460</v>
      </c>
      <c r="M675" s="16" t="str">
        <f t="shared" si="250"/>
        <v>7510077460</v>
      </c>
      <c r="N675" s="16" t="str">
        <f t="shared" si="251"/>
        <v>60607097510077460120</v>
      </c>
    </row>
    <row r="676" spans="2:14" s="17" customFormat="1">
      <c r="B676" s="14"/>
      <c r="C676" s="191" t="s">
        <v>316</v>
      </c>
      <c r="D676" s="192" t="s">
        <v>394</v>
      </c>
      <c r="E676" s="193" t="s">
        <v>317</v>
      </c>
      <c r="F676" s="193" t="s">
        <v>7</v>
      </c>
      <c r="G676" s="193" t="s">
        <v>8</v>
      </c>
      <c r="H676" s="193" t="s">
        <v>9</v>
      </c>
      <c r="I676" s="18">
        <f t="shared" ref="I676:K678" si="265">I677</f>
        <v>134961.19</v>
      </c>
      <c r="J676" s="18">
        <f t="shared" si="265"/>
        <v>130554.89</v>
      </c>
      <c r="K676" s="18">
        <f t="shared" si="265"/>
        <v>130554.89</v>
      </c>
      <c r="L676" s="17">
        <v>0</v>
      </c>
      <c r="M676" s="16" t="str">
        <f t="shared" si="250"/>
        <v>0000000000</v>
      </c>
      <c r="N676" s="16" t="str">
        <f t="shared" si="251"/>
        <v>60610000000000000000</v>
      </c>
    </row>
    <row r="677" spans="2:14" s="17" customFormat="1">
      <c r="B677" s="14"/>
      <c r="C677" s="194" t="s">
        <v>490</v>
      </c>
      <c r="D677" s="195" t="s">
        <v>394</v>
      </c>
      <c r="E677" s="196" t="s">
        <v>317</v>
      </c>
      <c r="F677" s="196" t="s">
        <v>73</v>
      </c>
      <c r="G677" s="196" t="s">
        <v>8</v>
      </c>
      <c r="H677" s="196" t="s">
        <v>9</v>
      </c>
      <c r="I677" s="19">
        <f t="shared" si="265"/>
        <v>134961.19</v>
      </c>
      <c r="J677" s="19">
        <f t="shared" si="265"/>
        <v>130554.89</v>
      </c>
      <c r="K677" s="19">
        <f t="shared" si="265"/>
        <v>130554.89</v>
      </c>
      <c r="L677" s="17">
        <v>0</v>
      </c>
      <c r="M677" s="16" t="str">
        <f t="shared" si="250"/>
        <v>0000000000</v>
      </c>
      <c r="N677" s="16" t="str">
        <f t="shared" si="251"/>
        <v>60610040000000000000</v>
      </c>
    </row>
    <row r="678" spans="2:14" s="17" customFormat="1" ht="25.5">
      <c r="B678" s="14"/>
      <c r="C678" s="205" t="s">
        <v>396</v>
      </c>
      <c r="D678" s="198" t="s">
        <v>394</v>
      </c>
      <c r="E678" s="199" t="s">
        <v>317</v>
      </c>
      <c r="F678" s="199" t="s">
        <v>73</v>
      </c>
      <c r="G678" s="199" t="s">
        <v>397</v>
      </c>
      <c r="H678" s="199" t="s">
        <v>9</v>
      </c>
      <c r="I678" s="20">
        <f t="shared" si="265"/>
        <v>134961.19</v>
      </c>
      <c r="J678" s="20">
        <f t="shared" si="265"/>
        <v>130554.89</v>
      </c>
      <c r="K678" s="20">
        <f t="shared" si="265"/>
        <v>130554.89</v>
      </c>
      <c r="L678" s="17">
        <v>100000000</v>
      </c>
      <c r="M678" s="16" t="str">
        <f t="shared" si="250"/>
        <v>0100000000</v>
      </c>
      <c r="N678" s="16" t="str">
        <f t="shared" si="251"/>
        <v>60610040100000000000</v>
      </c>
    </row>
    <row r="679" spans="2:14" s="17" customFormat="1" ht="25.5">
      <c r="B679" s="14"/>
      <c r="C679" s="205" t="s">
        <v>398</v>
      </c>
      <c r="D679" s="198" t="s">
        <v>394</v>
      </c>
      <c r="E679" s="199" t="s">
        <v>317</v>
      </c>
      <c r="F679" s="199" t="s">
        <v>73</v>
      </c>
      <c r="G679" s="199" t="s">
        <v>399</v>
      </c>
      <c r="H679" s="199" t="s">
        <v>9</v>
      </c>
      <c r="I679" s="20">
        <f>I680+I687+I684</f>
        <v>134961.19</v>
      </c>
      <c r="J679" s="20">
        <f>J680+J687+J684</f>
        <v>130554.89</v>
      </c>
      <c r="K679" s="20">
        <f>K680+K687+K684</f>
        <v>130554.89</v>
      </c>
      <c r="L679" s="17">
        <v>110000000</v>
      </c>
      <c r="M679" s="16" t="str">
        <f t="shared" si="250"/>
        <v>0110000000</v>
      </c>
      <c r="N679" s="16" t="str">
        <f t="shared" si="251"/>
        <v>60610040110000000000</v>
      </c>
    </row>
    <row r="680" spans="2:14" s="17" customFormat="1" ht="25.5">
      <c r="B680" s="14"/>
      <c r="C680" s="205" t="s">
        <v>400</v>
      </c>
      <c r="D680" s="198" t="s">
        <v>394</v>
      </c>
      <c r="E680" s="199" t="s">
        <v>317</v>
      </c>
      <c r="F680" s="199" t="s">
        <v>73</v>
      </c>
      <c r="G680" s="199" t="s">
        <v>401</v>
      </c>
      <c r="H680" s="199" t="s">
        <v>9</v>
      </c>
      <c r="I680" s="20">
        <f>I681</f>
        <v>83933.4</v>
      </c>
      <c r="J680" s="20">
        <f>J681</f>
        <v>83933.4</v>
      </c>
      <c r="K680" s="20">
        <f>K681</f>
        <v>83933.4</v>
      </c>
      <c r="L680" s="17">
        <v>110100000</v>
      </c>
      <c r="M680" s="16" t="str">
        <f t="shared" si="250"/>
        <v>0110100000</v>
      </c>
      <c r="N680" s="16" t="str">
        <f t="shared" si="251"/>
        <v>60610040110100000000</v>
      </c>
    </row>
    <row r="681" spans="2:14" s="17" customFormat="1" ht="51">
      <c r="B681" s="14" t="s">
        <v>80</v>
      </c>
      <c r="C681" s="205" t="s">
        <v>491</v>
      </c>
      <c r="D681" s="198" t="s">
        <v>394</v>
      </c>
      <c r="E681" s="199" t="s">
        <v>317</v>
      </c>
      <c r="F681" s="199" t="s">
        <v>73</v>
      </c>
      <c r="G681" s="199" t="s">
        <v>492</v>
      </c>
      <c r="H681" s="199" t="s">
        <v>9</v>
      </c>
      <c r="I681" s="20">
        <f>SUM(I682:I683)</f>
        <v>83933.4</v>
      </c>
      <c r="J681" s="20">
        <f>SUM(J682:J683)</f>
        <v>83933.4</v>
      </c>
      <c r="K681" s="20">
        <f>SUM(K682:K683)</f>
        <v>83933.4</v>
      </c>
      <c r="L681" s="17">
        <v>110176140</v>
      </c>
      <c r="M681" s="16" t="str">
        <f t="shared" si="250"/>
        <v>0110176140</v>
      </c>
      <c r="N681" s="16" t="str">
        <f t="shared" si="251"/>
        <v>60610040110176140000</v>
      </c>
    </row>
    <row r="682" spans="2:14" s="17" customFormat="1" ht="25.5">
      <c r="B682" s="14"/>
      <c r="C682" s="197" t="s">
        <v>28</v>
      </c>
      <c r="D682" s="198" t="s">
        <v>394</v>
      </c>
      <c r="E682" s="199" t="s">
        <v>317</v>
      </c>
      <c r="F682" s="199" t="s">
        <v>73</v>
      </c>
      <c r="G682" s="199" t="s">
        <v>492</v>
      </c>
      <c r="H682" s="199" t="s">
        <v>29</v>
      </c>
      <c r="I682" s="20">
        <v>1259</v>
      </c>
      <c r="J682" s="20">
        <v>1259</v>
      </c>
      <c r="K682" s="20">
        <v>1259</v>
      </c>
      <c r="L682" s="17">
        <v>110176140</v>
      </c>
      <c r="M682" s="16" t="str">
        <f t="shared" si="250"/>
        <v>0110176140</v>
      </c>
      <c r="N682" s="16" t="str">
        <f t="shared" si="251"/>
        <v>60610040110176140240</v>
      </c>
    </row>
    <row r="683" spans="2:14" s="17" customFormat="1">
      <c r="B683" s="14"/>
      <c r="C683" s="205" t="s">
        <v>493</v>
      </c>
      <c r="D683" s="198" t="s">
        <v>394</v>
      </c>
      <c r="E683" s="199" t="s">
        <v>317</v>
      </c>
      <c r="F683" s="199" t="s">
        <v>73</v>
      </c>
      <c r="G683" s="199" t="s">
        <v>492</v>
      </c>
      <c r="H683" s="199" t="s">
        <v>494</v>
      </c>
      <c r="I683" s="20">
        <v>82674.399999999994</v>
      </c>
      <c r="J683" s="20">
        <v>82674.399999999994</v>
      </c>
      <c r="K683" s="20">
        <v>82674.399999999994</v>
      </c>
      <c r="L683" s="17">
        <v>110176140</v>
      </c>
      <c r="M683" s="16" t="str">
        <f t="shared" si="250"/>
        <v>0110176140</v>
      </c>
      <c r="N683" s="16" t="str">
        <f t="shared" si="251"/>
        <v>60610040110176140310</v>
      </c>
    </row>
    <row r="684" spans="2:14" s="17" customFormat="1" ht="38.25">
      <c r="B684" s="14"/>
      <c r="C684" s="374" t="s">
        <v>439</v>
      </c>
      <c r="D684" s="198" t="s">
        <v>394</v>
      </c>
      <c r="E684" s="199" t="s">
        <v>317</v>
      </c>
      <c r="F684" s="199" t="s">
        <v>73</v>
      </c>
      <c r="G684" s="199" t="s">
        <v>440</v>
      </c>
      <c r="H684" s="199" t="s">
        <v>9</v>
      </c>
      <c r="I684" s="20">
        <f>I685</f>
        <v>1711.62</v>
      </c>
      <c r="J684" s="20">
        <f t="shared" ref="J684:K685" si="266">J685</f>
        <v>0</v>
      </c>
      <c r="K684" s="20">
        <f t="shared" si="266"/>
        <v>0</v>
      </c>
      <c r="L684" s="17">
        <v>110200000</v>
      </c>
      <c r="M684" s="16" t="str">
        <f t="shared" si="250"/>
        <v>0110200000</v>
      </c>
      <c r="N684" s="16" t="str">
        <f t="shared" si="251"/>
        <v>60610040110200000000</v>
      </c>
    </row>
    <row r="685" spans="2:14" s="17" customFormat="1" ht="38.25">
      <c r="B685" s="14"/>
      <c r="C685" s="374" t="s">
        <v>1286</v>
      </c>
      <c r="D685" s="198" t="s">
        <v>394</v>
      </c>
      <c r="E685" s="199" t="s">
        <v>317</v>
      </c>
      <c r="F685" s="199" t="s">
        <v>73</v>
      </c>
      <c r="G685" s="199" t="s">
        <v>1287</v>
      </c>
      <c r="H685" s="199" t="s">
        <v>9</v>
      </c>
      <c r="I685" s="20">
        <f>I686</f>
        <v>1711.62</v>
      </c>
      <c r="J685" s="20">
        <f t="shared" si="266"/>
        <v>0</v>
      </c>
      <c r="K685" s="20">
        <f t="shared" si="266"/>
        <v>0</v>
      </c>
      <c r="L685" s="17">
        <v>110280260</v>
      </c>
      <c r="M685" s="16" t="str">
        <f t="shared" si="250"/>
        <v>0110280260</v>
      </c>
      <c r="N685" s="16" t="str">
        <f t="shared" si="251"/>
        <v>60610040110280260000</v>
      </c>
    </row>
    <row r="686" spans="2:14" s="17" customFormat="1" ht="25.5">
      <c r="B686" s="14"/>
      <c r="C686" s="205" t="s">
        <v>327</v>
      </c>
      <c r="D686" s="198" t="s">
        <v>394</v>
      </c>
      <c r="E686" s="199" t="s">
        <v>317</v>
      </c>
      <c r="F686" s="199" t="s">
        <v>73</v>
      </c>
      <c r="G686" s="199" t="s">
        <v>1287</v>
      </c>
      <c r="H686" s="199" t="s">
        <v>328</v>
      </c>
      <c r="I686" s="20">
        <f>1711.62</f>
        <v>1711.62</v>
      </c>
      <c r="J686" s="20">
        <v>0</v>
      </c>
      <c r="K686" s="20">
        <v>0</v>
      </c>
      <c r="L686" s="17">
        <v>110280260</v>
      </c>
      <c r="M686" s="16" t="str">
        <f t="shared" si="250"/>
        <v>0110280260</v>
      </c>
      <c r="N686" s="16" t="str">
        <f t="shared" si="251"/>
        <v>60610040110280260320</v>
      </c>
    </row>
    <row r="687" spans="2:14" s="17" customFormat="1" ht="25.5">
      <c r="B687" s="14" t="s">
        <v>80</v>
      </c>
      <c r="C687" s="205" t="s">
        <v>497</v>
      </c>
      <c r="D687" s="198" t="s">
        <v>394</v>
      </c>
      <c r="E687" s="199" t="s">
        <v>317</v>
      </c>
      <c r="F687" s="199" t="s">
        <v>73</v>
      </c>
      <c r="G687" s="199" t="s">
        <v>498</v>
      </c>
      <c r="H687" s="199" t="s">
        <v>9</v>
      </c>
      <c r="I687" s="20">
        <f>I688+I690+I692+I694</f>
        <v>49316.17</v>
      </c>
      <c r="J687" s="20">
        <f>J688+J690+J692+J694</f>
        <v>46621.490000000005</v>
      </c>
      <c r="K687" s="20">
        <f>K688+K690+K692+K694</f>
        <v>46621.490000000005</v>
      </c>
      <c r="L687" s="17">
        <v>110700000</v>
      </c>
      <c r="M687" s="16" t="str">
        <f t="shared" si="250"/>
        <v>0110700000</v>
      </c>
      <c r="N687" s="16" t="str">
        <f t="shared" si="251"/>
        <v>60610040110700000000</v>
      </c>
    </row>
    <row r="688" spans="2:14" s="17" customFormat="1" ht="25.5">
      <c r="B688" s="14"/>
      <c r="C688" s="205" t="s">
        <v>499</v>
      </c>
      <c r="D688" s="198" t="s">
        <v>394</v>
      </c>
      <c r="E688" s="199" t="s">
        <v>317</v>
      </c>
      <c r="F688" s="199" t="s">
        <v>73</v>
      </c>
      <c r="G688" s="199" t="s">
        <v>500</v>
      </c>
      <c r="H688" s="199" t="s">
        <v>9</v>
      </c>
      <c r="I688" s="20">
        <f>I689</f>
        <v>28715.37</v>
      </c>
      <c r="J688" s="20">
        <f>J689</f>
        <v>28714.45</v>
      </c>
      <c r="K688" s="20">
        <f>K689</f>
        <v>28714.45</v>
      </c>
      <c r="L688" s="17">
        <v>110778110</v>
      </c>
      <c r="M688" s="16" t="str">
        <f t="shared" si="250"/>
        <v>0110778110</v>
      </c>
      <c r="N688" s="16" t="str">
        <f t="shared" si="251"/>
        <v>60610040110778110000</v>
      </c>
    </row>
    <row r="689" spans="2:14" s="17" customFormat="1" ht="25.5">
      <c r="B689" s="14"/>
      <c r="C689" s="205" t="s">
        <v>327</v>
      </c>
      <c r="D689" s="198" t="s">
        <v>394</v>
      </c>
      <c r="E689" s="199" t="s">
        <v>317</v>
      </c>
      <c r="F689" s="199" t="s">
        <v>73</v>
      </c>
      <c r="G689" s="199" t="s">
        <v>500</v>
      </c>
      <c r="H689" s="199" t="s">
        <v>328</v>
      </c>
      <c r="I689" s="20">
        <f>28714.45+0.92</f>
        <v>28715.37</v>
      </c>
      <c r="J689" s="20">
        <v>28714.45</v>
      </c>
      <c r="K689" s="20">
        <v>28714.45</v>
      </c>
      <c r="L689" s="17">
        <v>110778110</v>
      </c>
      <c r="M689" s="16" t="str">
        <f t="shared" si="250"/>
        <v>0110778110</v>
      </c>
      <c r="N689" s="16" t="str">
        <f t="shared" si="251"/>
        <v>60610040110778110320</v>
      </c>
    </row>
    <row r="690" spans="2:14" s="17" customFormat="1" ht="67.150000000000006" customHeight="1">
      <c r="B690" s="14"/>
      <c r="C690" s="197" t="s">
        <v>503</v>
      </c>
      <c r="D690" s="198" t="s">
        <v>394</v>
      </c>
      <c r="E690" s="199" t="s">
        <v>317</v>
      </c>
      <c r="F690" s="199" t="s">
        <v>73</v>
      </c>
      <c r="G690" s="199" t="s">
        <v>504</v>
      </c>
      <c r="H690" s="199" t="s">
        <v>9</v>
      </c>
      <c r="I690" s="20">
        <f>I691</f>
        <v>1642.42</v>
      </c>
      <c r="J690" s="20">
        <f>J691</f>
        <v>1642.42</v>
      </c>
      <c r="K690" s="20">
        <f>K691</f>
        <v>1642.42</v>
      </c>
      <c r="L690" s="17">
        <v>110778120</v>
      </c>
      <c r="M690" s="16" t="str">
        <f t="shared" si="250"/>
        <v>0110778120</v>
      </c>
      <c r="N690" s="16" t="str">
        <f t="shared" si="251"/>
        <v>60610040110778120000</v>
      </c>
    </row>
    <row r="691" spans="2:14" s="17" customFormat="1" ht="25.5">
      <c r="B691" s="14"/>
      <c r="C691" s="205" t="s">
        <v>327</v>
      </c>
      <c r="D691" s="198" t="s">
        <v>394</v>
      </c>
      <c r="E691" s="199" t="s">
        <v>317</v>
      </c>
      <c r="F691" s="199" t="s">
        <v>73</v>
      </c>
      <c r="G691" s="199" t="s">
        <v>504</v>
      </c>
      <c r="H691" s="199" t="s">
        <v>328</v>
      </c>
      <c r="I691" s="20">
        <v>1642.42</v>
      </c>
      <c r="J691" s="20">
        <v>1642.42</v>
      </c>
      <c r="K691" s="20">
        <v>1642.42</v>
      </c>
      <c r="L691" s="17">
        <v>110778120</v>
      </c>
      <c r="M691" s="16" t="str">
        <f t="shared" si="250"/>
        <v>0110778120</v>
      </c>
      <c r="N691" s="16" t="str">
        <f t="shared" si="251"/>
        <v>60610040110778120320</v>
      </c>
    </row>
    <row r="692" spans="2:14" s="17" customFormat="1" ht="38.25">
      <c r="B692" s="14"/>
      <c r="C692" s="197" t="s">
        <v>505</v>
      </c>
      <c r="D692" s="198" t="s">
        <v>394</v>
      </c>
      <c r="E692" s="199" t="s">
        <v>317</v>
      </c>
      <c r="F692" s="199" t="s">
        <v>73</v>
      </c>
      <c r="G692" s="199" t="s">
        <v>506</v>
      </c>
      <c r="H692" s="199" t="s">
        <v>9</v>
      </c>
      <c r="I692" s="20">
        <f>I693</f>
        <v>15680.880000000001</v>
      </c>
      <c r="J692" s="20">
        <f>J693</f>
        <v>12987.12</v>
      </c>
      <c r="K692" s="20">
        <f>K693</f>
        <v>12987.12</v>
      </c>
      <c r="L692" s="17">
        <v>110778130</v>
      </c>
      <c r="M692" s="16" t="str">
        <f t="shared" si="250"/>
        <v>0110778130</v>
      </c>
      <c r="N692" s="16" t="str">
        <f t="shared" si="251"/>
        <v>60610040110778130000</v>
      </c>
    </row>
    <row r="693" spans="2:14" s="17" customFormat="1" ht="25.5">
      <c r="B693" s="14"/>
      <c r="C693" s="205" t="s">
        <v>327</v>
      </c>
      <c r="D693" s="198" t="s">
        <v>394</v>
      </c>
      <c r="E693" s="199" t="s">
        <v>317</v>
      </c>
      <c r="F693" s="199" t="s">
        <v>73</v>
      </c>
      <c r="G693" s="199" t="s">
        <v>506</v>
      </c>
      <c r="H693" s="199" t="s">
        <v>328</v>
      </c>
      <c r="I693" s="20">
        <f>12987.12+2693.76</f>
        <v>15680.880000000001</v>
      </c>
      <c r="J693" s="20">
        <v>12987.12</v>
      </c>
      <c r="K693" s="20">
        <v>12987.12</v>
      </c>
      <c r="L693" s="17">
        <v>110778130</v>
      </c>
      <c r="M693" s="16" t="str">
        <f t="shared" si="250"/>
        <v>0110778130</v>
      </c>
      <c r="N693" s="16" t="str">
        <f t="shared" si="251"/>
        <v>60610040110778130320</v>
      </c>
    </row>
    <row r="694" spans="2:14" s="17" customFormat="1">
      <c r="B694" s="14"/>
      <c r="C694" s="197" t="s">
        <v>507</v>
      </c>
      <c r="D694" s="198" t="s">
        <v>394</v>
      </c>
      <c r="E694" s="199" t="s">
        <v>317</v>
      </c>
      <c r="F694" s="199" t="s">
        <v>73</v>
      </c>
      <c r="G694" s="199" t="s">
        <v>508</v>
      </c>
      <c r="H694" s="199" t="s">
        <v>9</v>
      </c>
      <c r="I694" s="20">
        <f>I695</f>
        <v>3277.5</v>
      </c>
      <c r="J694" s="20">
        <f>J695</f>
        <v>3277.5</v>
      </c>
      <c r="K694" s="20">
        <f>K695</f>
        <v>3277.5</v>
      </c>
      <c r="L694" s="17">
        <v>110778140</v>
      </c>
      <c r="M694" s="16" t="str">
        <f t="shared" si="250"/>
        <v>0110778140</v>
      </c>
      <c r="N694" s="16" t="str">
        <f t="shared" si="251"/>
        <v>60610040110778140000</v>
      </c>
    </row>
    <row r="695" spans="2:14" s="17" customFormat="1" ht="25.5">
      <c r="B695" s="14"/>
      <c r="C695" s="205" t="s">
        <v>327</v>
      </c>
      <c r="D695" s="198" t="s">
        <v>394</v>
      </c>
      <c r="E695" s="199" t="s">
        <v>317</v>
      </c>
      <c r="F695" s="199" t="s">
        <v>73</v>
      </c>
      <c r="G695" s="199" t="s">
        <v>508</v>
      </c>
      <c r="H695" s="199" t="s">
        <v>328</v>
      </c>
      <c r="I695" s="20">
        <v>3277.5</v>
      </c>
      <c r="J695" s="20">
        <v>3277.5</v>
      </c>
      <c r="K695" s="20">
        <v>3277.5</v>
      </c>
      <c r="L695" s="17">
        <v>110778140</v>
      </c>
      <c r="M695" s="16" t="str">
        <f t="shared" si="250"/>
        <v>0110778140</v>
      </c>
      <c r="N695" s="16" t="str">
        <f t="shared" si="251"/>
        <v>60610040110778140320</v>
      </c>
    </row>
    <row r="696" spans="2:14" s="17" customFormat="1">
      <c r="B696" s="14"/>
      <c r="C696" s="205"/>
      <c r="D696" s="198"/>
      <c r="E696" s="199"/>
      <c r="F696" s="199"/>
      <c r="G696" s="199"/>
      <c r="H696" s="199"/>
      <c r="I696" s="20"/>
      <c r="J696" s="20"/>
      <c r="K696" s="20"/>
      <c r="M696" s="16" t="str">
        <f t="shared" si="250"/>
        <v>0000000000</v>
      </c>
      <c r="N696" s="16" t="str">
        <f t="shared" si="251"/>
        <v>0000000000</v>
      </c>
    </row>
    <row r="697" spans="2:14" s="16" customFormat="1" ht="38.25">
      <c r="B697" s="14"/>
      <c r="C697" s="202" t="s">
        <v>1121</v>
      </c>
      <c r="D697" s="189" t="s">
        <v>510</v>
      </c>
      <c r="E697" s="190" t="s">
        <v>7</v>
      </c>
      <c r="F697" s="190" t="s">
        <v>7</v>
      </c>
      <c r="G697" s="190" t="s">
        <v>8</v>
      </c>
      <c r="H697" s="190" t="s">
        <v>9</v>
      </c>
      <c r="I697" s="25">
        <f>I698+I707+I793</f>
        <v>413754.73999999993</v>
      </c>
      <c r="J697" s="25">
        <f>J698+J707+J793</f>
        <v>342486.55</v>
      </c>
      <c r="K697" s="25">
        <f>K698+K707+K793</f>
        <v>342486.55</v>
      </c>
      <c r="L697" s="16">
        <v>0</v>
      </c>
      <c r="M697" s="16" t="str">
        <f t="shared" si="250"/>
        <v>0000000000</v>
      </c>
      <c r="N697" s="16" t="str">
        <f t="shared" si="251"/>
        <v>60700000000000000000</v>
      </c>
    </row>
    <row r="698" spans="2:14" s="16" customFormat="1">
      <c r="B698" s="14"/>
      <c r="C698" s="191" t="s">
        <v>10</v>
      </c>
      <c r="D698" s="192" t="s">
        <v>510</v>
      </c>
      <c r="E698" s="193" t="s">
        <v>11</v>
      </c>
      <c r="F698" s="193" t="s">
        <v>7</v>
      </c>
      <c r="G698" s="193" t="s">
        <v>8</v>
      </c>
      <c r="H698" s="193" t="s">
        <v>9</v>
      </c>
      <c r="I698" s="18">
        <f t="shared" ref="I698:K701" si="267">I699</f>
        <v>328.4</v>
      </c>
      <c r="J698" s="18">
        <f t="shared" si="267"/>
        <v>1386.7</v>
      </c>
      <c r="K698" s="18">
        <f t="shared" si="267"/>
        <v>1386.7</v>
      </c>
      <c r="L698" s="16">
        <v>0</v>
      </c>
      <c r="M698" s="16" t="str">
        <f t="shared" si="250"/>
        <v>0000000000</v>
      </c>
      <c r="N698" s="16" t="str">
        <f t="shared" si="251"/>
        <v>60701000000000000000</v>
      </c>
    </row>
    <row r="699" spans="2:14" s="16" customFormat="1">
      <c r="B699" s="14"/>
      <c r="C699" s="194" t="s">
        <v>50</v>
      </c>
      <c r="D699" s="195" t="s">
        <v>510</v>
      </c>
      <c r="E699" s="196" t="s">
        <v>11</v>
      </c>
      <c r="F699" s="196" t="s">
        <v>51</v>
      </c>
      <c r="G699" s="196" t="s">
        <v>8</v>
      </c>
      <c r="H699" s="196" t="s">
        <v>9</v>
      </c>
      <c r="I699" s="19">
        <f t="shared" si="267"/>
        <v>328.4</v>
      </c>
      <c r="J699" s="19">
        <f t="shared" si="267"/>
        <v>1386.7</v>
      </c>
      <c r="K699" s="19">
        <f t="shared" si="267"/>
        <v>1386.7</v>
      </c>
      <c r="L699" s="16">
        <v>0</v>
      </c>
      <c r="M699" s="16" t="str">
        <f t="shared" si="250"/>
        <v>0000000000</v>
      </c>
      <c r="N699" s="16" t="str">
        <f t="shared" si="251"/>
        <v>60701130000000000000</v>
      </c>
    </row>
    <row r="700" spans="2:14" s="16" customFormat="1" ht="38.25">
      <c r="B700" s="14"/>
      <c r="C700" s="197" t="s">
        <v>87</v>
      </c>
      <c r="D700" s="198" t="s">
        <v>510</v>
      </c>
      <c r="E700" s="199" t="s">
        <v>11</v>
      </c>
      <c r="F700" s="199" t="s">
        <v>51</v>
      </c>
      <c r="G700" s="199" t="s">
        <v>88</v>
      </c>
      <c r="H700" s="199" t="s">
        <v>9</v>
      </c>
      <c r="I700" s="20">
        <f t="shared" si="267"/>
        <v>328.4</v>
      </c>
      <c r="J700" s="20">
        <f t="shared" si="267"/>
        <v>1386.7</v>
      </c>
      <c r="K700" s="20">
        <f t="shared" si="267"/>
        <v>1386.7</v>
      </c>
      <c r="L700" s="16">
        <v>9800000000</v>
      </c>
      <c r="M700" s="16" t="str">
        <f t="shared" si="250"/>
        <v>9800000000</v>
      </c>
      <c r="N700" s="16" t="str">
        <f t="shared" si="251"/>
        <v>60701139800000000000</v>
      </c>
    </row>
    <row r="701" spans="2:14" s="16" customFormat="1">
      <c r="B701" s="14"/>
      <c r="C701" s="197" t="s">
        <v>89</v>
      </c>
      <c r="D701" s="198" t="s">
        <v>510</v>
      </c>
      <c r="E701" s="199" t="s">
        <v>11</v>
      </c>
      <c r="F701" s="199" t="s">
        <v>51</v>
      </c>
      <c r="G701" s="199" t="s">
        <v>90</v>
      </c>
      <c r="H701" s="199" t="s">
        <v>9</v>
      </c>
      <c r="I701" s="20">
        <f t="shared" si="267"/>
        <v>328.4</v>
      </c>
      <c r="J701" s="20">
        <f t="shared" si="267"/>
        <v>1386.7</v>
      </c>
      <c r="K701" s="20">
        <f t="shared" si="267"/>
        <v>1386.7</v>
      </c>
      <c r="L701" s="16">
        <v>9810000000</v>
      </c>
      <c r="M701" s="16" t="str">
        <f t="shared" si="250"/>
        <v>9810000000</v>
      </c>
      <c r="N701" s="16" t="str">
        <f t="shared" si="251"/>
        <v>60701139810000000000</v>
      </c>
    </row>
    <row r="702" spans="2:14" s="16" customFormat="1" ht="25.5">
      <c r="B702" s="14"/>
      <c r="C702" s="197" t="s">
        <v>511</v>
      </c>
      <c r="D702" s="198" t="s">
        <v>510</v>
      </c>
      <c r="E702" s="199" t="s">
        <v>11</v>
      </c>
      <c r="F702" s="199" t="s">
        <v>51</v>
      </c>
      <c r="G702" s="199" t="s">
        <v>512</v>
      </c>
      <c r="H702" s="199" t="s">
        <v>9</v>
      </c>
      <c r="I702" s="20">
        <f>SUM(I703:I706)</f>
        <v>328.4</v>
      </c>
      <c r="J702" s="20">
        <f t="shared" ref="J702:K702" si="268">SUM(J703:J706)</f>
        <v>1386.7</v>
      </c>
      <c r="K702" s="20">
        <f t="shared" si="268"/>
        <v>1386.7</v>
      </c>
      <c r="L702" s="16">
        <v>9810020110</v>
      </c>
      <c r="M702" s="16" t="str">
        <f t="shared" si="250"/>
        <v>9810020110</v>
      </c>
      <c r="N702" s="16" t="str">
        <f t="shared" si="251"/>
        <v>60701139810020110000</v>
      </c>
    </row>
    <row r="703" spans="2:14" s="16" customFormat="1" ht="25.5">
      <c r="B703" s="14"/>
      <c r="C703" s="197" t="s">
        <v>28</v>
      </c>
      <c r="D703" s="198" t="s">
        <v>510</v>
      </c>
      <c r="E703" s="199" t="s">
        <v>11</v>
      </c>
      <c r="F703" s="199" t="s">
        <v>51</v>
      </c>
      <c r="G703" s="199" t="s">
        <v>512</v>
      </c>
      <c r="H703" s="199" t="s">
        <v>29</v>
      </c>
      <c r="I703" s="218">
        <f>1058.3-1058.3</f>
        <v>0</v>
      </c>
      <c r="J703" s="20">
        <f t="shared" ref="J703:K703" si="269">1058.3</f>
        <v>1058.3</v>
      </c>
      <c r="K703" s="20">
        <f t="shared" si="269"/>
        <v>1058.3</v>
      </c>
      <c r="L703" s="16">
        <v>9810020110</v>
      </c>
      <c r="M703" s="16" t="str">
        <f t="shared" si="250"/>
        <v>9810020110</v>
      </c>
      <c r="N703" s="16" t="str">
        <f t="shared" si="251"/>
        <v>60701139810020110240</v>
      </c>
    </row>
    <row r="704" spans="2:14" s="16" customFormat="1">
      <c r="B704" s="14"/>
      <c r="C704" s="197" t="s">
        <v>513</v>
      </c>
      <c r="D704" s="198" t="s">
        <v>510</v>
      </c>
      <c r="E704" s="199" t="s">
        <v>11</v>
      </c>
      <c r="F704" s="199" t="s">
        <v>51</v>
      </c>
      <c r="G704" s="199" t="s">
        <v>512</v>
      </c>
      <c r="H704" s="199" t="s">
        <v>514</v>
      </c>
      <c r="I704" s="20">
        <f>26.4</f>
        <v>26.4</v>
      </c>
      <c r="J704" s="20">
        <f t="shared" ref="J704:K704" si="270">26.4</f>
        <v>26.4</v>
      </c>
      <c r="K704" s="20">
        <f t="shared" si="270"/>
        <v>26.4</v>
      </c>
      <c r="L704" s="16">
        <v>9810020110</v>
      </c>
      <c r="M704" s="16" t="str">
        <f t="shared" si="250"/>
        <v>9810020110</v>
      </c>
      <c r="N704" s="16" t="str">
        <f t="shared" si="251"/>
        <v>60701139810020110360</v>
      </c>
    </row>
    <row r="705" spans="2:14" s="16" customFormat="1" ht="16.149999999999999" customHeight="1">
      <c r="B705" s="14"/>
      <c r="C705" s="197" t="s">
        <v>32</v>
      </c>
      <c r="D705" s="198" t="s">
        <v>510</v>
      </c>
      <c r="E705" s="199" t="s">
        <v>11</v>
      </c>
      <c r="F705" s="199" t="s">
        <v>51</v>
      </c>
      <c r="G705" s="199" t="s">
        <v>512</v>
      </c>
      <c r="H705" s="199" t="s">
        <v>33</v>
      </c>
      <c r="I705" s="20">
        <f>42</f>
        <v>42</v>
      </c>
      <c r="J705" s="20">
        <f>42</f>
        <v>42</v>
      </c>
      <c r="K705" s="20">
        <f>42</f>
        <v>42</v>
      </c>
      <c r="L705" s="16">
        <v>9810020110</v>
      </c>
      <c r="M705" s="16" t="str">
        <f t="shared" si="250"/>
        <v>9810020110</v>
      </c>
      <c r="N705" s="16" t="str">
        <f t="shared" si="251"/>
        <v>60701139810020110850</v>
      </c>
    </row>
    <row r="706" spans="2:14" s="16" customFormat="1" ht="25.5">
      <c r="B706" s="14"/>
      <c r="C706" s="197" t="s">
        <v>515</v>
      </c>
      <c r="D706" s="198" t="s">
        <v>510</v>
      </c>
      <c r="E706" s="199" t="s">
        <v>11</v>
      </c>
      <c r="F706" s="199" t="s">
        <v>51</v>
      </c>
      <c r="G706" s="199" t="s">
        <v>512</v>
      </c>
      <c r="H706" s="199" t="s">
        <v>516</v>
      </c>
      <c r="I706" s="20">
        <f>260</f>
        <v>260</v>
      </c>
      <c r="J706" s="20">
        <f>260</f>
        <v>260</v>
      </c>
      <c r="K706" s="20">
        <f>260</f>
        <v>260</v>
      </c>
      <c r="L706" s="16">
        <v>9810020110</v>
      </c>
      <c r="M706" s="16" t="str">
        <f t="shared" si="250"/>
        <v>9810020110</v>
      </c>
      <c r="N706" s="16" t="str">
        <f t="shared" si="251"/>
        <v>60701139810020110860</v>
      </c>
    </row>
    <row r="707" spans="2:14" s="16" customFormat="1">
      <c r="B707" s="14"/>
      <c r="C707" s="191" t="s">
        <v>228</v>
      </c>
      <c r="D707" s="192" t="s">
        <v>510</v>
      </c>
      <c r="E707" s="193" t="s">
        <v>229</v>
      </c>
      <c r="F707" s="193" t="s">
        <v>7</v>
      </c>
      <c r="G707" s="193" t="s">
        <v>8</v>
      </c>
      <c r="H707" s="193" t="s">
        <v>9</v>
      </c>
      <c r="I707" s="18">
        <f>I708+I755</f>
        <v>179783.22999999998</v>
      </c>
      <c r="J707" s="18">
        <f>J708+J755</f>
        <v>144697.87999999998</v>
      </c>
      <c r="K707" s="18">
        <f>K708+K755</f>
        <v>144036.44999999998</v>
      </c>
      <c r="L707" s="16">
        <v>0</v>
      </c>
      <c r="M707" s="16" t="str">
        <f t="shared" si="250"/>
        <v>0000000000</v>
      </c>
      <c r="N707" s="16" t="str">
        <f t="shared" si="251"/>
        <v>60707000000000000000</v>
      </c>
    </row>
    <row r="708" spans="2:14" s="16" customFormat="1">
      <c r="B708" s="14"/>
      <c r="C708" s="194" t="s">
        <v>458</v>
      </c>
      <c r="D708" s="195" t="s">
        <v>510</v>
      </c>
      <c r="E708" s="196" t="s">
        <v>229</v>
      </c>
      <c r="F708" s="196" t="s">
        <v>13</v>
      </c>
      <c r="G708" s="196" t="s">
        <v>8</v>
      </c>
      <c r="H708" s="196" t="s">
        <v>9</v>
      </c>
      <c r="I708" s="19">
        <f>I709+I739+I745+I750</f>
        <v>145286.43999999997</v>
      </c>
      <c r="J708" s="19">
        <f t="shared" ref="J708:K708" si="271">J709+J739+J745+J750</f>
        <v>134566.08999999997</v>
      </c>
      <c r="K708" s="19">
        <f t="shared" si="271"/>
        <v>133904.65999999997</v>
      </c>
      <c r="L708" s="16">
        <v>0</v>
      </c>
      <c r="M708" s="16" t="str">
        <f t="shared" si="250"/>
        <v>0000000000</v>
      </c>
      <c r="N708" s="16" t="str">
        <f t="shared" si="251"/>
        <v>60707030000000000000</v>
      </c>
    </row>
    <row r="709" spans="2:14" s="16" customFormat="1">
      <c r="B709" s="14"/>
      <c r="C709" s="197" t="s">
        <v>240</v>
      </c>
      <c r="D709" s="198" t="s">
        <v>510</v>
      </c>
      <c r="E709" s="199" t="s">
        <v>229</v>
      </c>
      <c r="F709" s="199" t="s">
        <v>13</v>
      </c>
      <c r="G709" s="199" t="s">
        <v>241</v>
      </c>
      <c r="H709" s="199" t="s">
        <v>9</v>
      </c>
      <c r="I709" s="20">
        <f>I710+I715</f>
        <v>135990.74</v>
      </c>
      <c r="J709" s="20">
        <f>J710+J715</f>
        <v>133481.03999999998</v>
      </c>
      <c r="K709" s="20">
        <f>K710+K715</f>
        <v>132819.60999999999</v>
      </c>
      <c r="L709" s="16">
        <v>700000000</v>
      </c>
      <c r="M709" s="16" t="str">
        <f t="shared" si="250"/>
        <v>0700000000</v>
      </c>
      <c r="N709" s="16" t="str">
        <f t="shared" si="251"/>
        <v>60707030700000000000</v>
      </c>
    </row>
    <row r="710" spans="2:14" s="16" customFormat="1" ht="51">
      <c r="B710" s="14"/>
      <c r="C710" s="197" t="s">
        <v>242</v>
      </c>
      <c r="D710" s="198" t="s">
        <v>510</v>
      </c>
      <c r="E710" s="199" t="s">
        <v>229</v>
      </c>
      <c r="F710" s="199" t="s">
        <v>13</v>
      </c>
      <c r="G710" s="199" t="s">
        <v>243</v>
      </c>
      <c r="H710" s="199" t="s">
        <v>9</v>
      </c>
      <c r="I710" s="20">
        <f t="shared" ref="I710:K711" si="272">I711</f>
        <v>361.5</v>
      </c>
      <c r="J710" s="20">
        <f t="shared" si="272"/>
        <v>361.5</v>
      </c>
      <c r="K710" s="20">
        <f t="shared" si="272"/>
        <v>361.5</v>
      </c>
      <c r="L710" s="16">
        <v>710000000</v>
      </c>
      <c r="M710" s="16" t="str">
        <f t="shared" ref="M710:M773" si="273">TEXT(L710,"0000000000")</f>
        <v>0710000000</v>
      </c>
      <c r="N710" s="16" t="str">
        <f t="shared" ref="N710:N773" si="274">D710&amp;E710&amp;F710&amp;M710&amp;H710</f>
        <v>60707030710000000000</v>
      </c>
    </row>
    <row r="711" spans="2:14" s="16" customFormat="1" ht="63.75">
      <c r="B711" s="14"/>
      <c r="C711" s="197" t="s">
        <v>244</v>
      </c>
      <c r="D711" s="198" t="s">
        <v>510</v>
      </c>
      <c r="E711" s="199" t="s">
        <v>229</v>
      </c>
      <c r="F711" s="199" t="s">
        <v>13</v>
      </c>
      <c r="G711" s="199" t="s">
        <v>245</v>
      </c>
      <c r="H711" s="199" t="s">
        <v>9</v>
      </c>
      <c r="I711" s="20">
        <f t="shared" si="272"/>
        <v>361.5</v>
      </c>
      <c r="J711" s="20">
        <f t="shared" si="272"/>
        <v>361.5</v>
      </c>
      <c r="K711" s="20">
        <f t="shared" si="272"/>
        <v>361.5</v>
      </c>
      <c r="L711" s="16">
        <v>710100000</v>
      </c>
      <c r="M711" s="16" t="str">
        <f t="shared" si="273"/>
        <v>0710100000</v>
      </c>
      <c r="N711" s="16" t="str">
        <f t="shared" si="274"/>
        <v>60707030710100000000</v>
      </c>
    </row>
    <row r="712" spans="2:14" s="16" customFormat="1" ht="25.5">
      <c r="B712" s="14"/>
      <c r="C712" s="197" t="s">
        <v>246</v>
      </c>
      <c r="D712" s="198" t="s">
        <v>510</v>
      </c>
      <c r="E712" s="199" t="s">
        <v>229</v>
      </c>
      <c r="F712" s="199" t="s">
        <v>13</v>
      </c>
      <c r="G712" s="199" t="s">
        <v>247</v>
      </c>
      <c r="H712" s="199" t="s">
        <v>9</v>
      </c>
      <c r="I712" s="20">
        <f>I713+I714</f>
        <v>361.5</v>
      </c>
      <c r="J712" s="20">
        <f t="shared" ref="J712:K712" si="275">J713+J714</f>
        <v>361.5</v>
      </c>
      <c r="K712" s="20">
        <f t="shared" si="275"/>
        <v>361.5</v>
      </c>
      <c r="L712" s="16">
        <v>710120060</v>
      </c>
      <c r="M712" s="16" t="str">
        <f t="shared" si="273"/>
        <v>0710120060</v>
      </c>
      <c r="N712" s="16" t="str">
        <f t="shared" si="274"/>
        <v>60707030710120060000</v>
      </c>
    </row>
    <row r="713" spans="2:14" s="16" customFormat="1">
      <c r="B713" s="14"/>
      <c r="C713" s="205" t="s">
        <v>403</v>
      </c>
      <c r="D713" s="198" t="s">
        <v>510</v>
      </c>
      <c r="E713" s="199" t="s">
        <v>229</v>
      </c>
      <c r="F713" s="199" t="s">
        <v>13</v>
      </c>
      <c r="G713" s="199" t="s">
        <v>247</v>
      </c>
      <c r="H713" s="199" t="s">
        <v>404</v>
      </c>
      <c r="I713" s="20">
        <f>296.5</f>
        <v>296.5</v>
      </c>
      <c r="J713" s="20">
        <f t="shared" ref="J713:K713" si="276">296.5</f>
        <v>296.5</v>
      </c>
      <c r="K713" s="20">
        <f t="shared" si="276"/>
        <v>296.5</v>
      </c>
      <c r="L713" s="16">
        <v>710120060</v>
      </c>
      <c r="M713" s="16" t="str">
        <f t="shared" si="273"/>
        <v>0710120060</v>
      </c>
      <c r="N713" s="16" t="str">
        <f t="shared" si="274"/>
        <v>60707030710120060610</v>
      </c>
    </row>
    <row r="714" spans="2:14" s="16" customFormat="1">
      <c r="B714" s="14"/>
      <c r="C714" s="226" t="s">
        <v>409</v>
      </c>
      <c r="D714" s="198" t="s">
        <v>510</v>
      </c>
      <c r="E714" s="199" t="s">
        <v>229</v>
      </c>
      <c r="F714" s="199" t="s">
        <v>13</v>
      </c>
      <c r="G714" s="199" t="s">
        <v>247</v>
      </c>
      <c r="H714" s="199" t="s">
        <v>410</v>
      </c>
      <c r="I714" s="20">
        <f>65</f>
        <v>65</v>
      </c>
      <c r="J714" s="20">
        <f>65</f>
        <v>65</v>
      </c>
      <c r="K714" s="20">
        <f>65</f>
        <v>65</v>
      </c>
      <c r="L714" s="16">
        <v>710120060</v>
      </c>
      <c r="M714" s="16" t="str">
        <f t="shared" si="273"/>
        <v>0710120060</v>
      </c>
      <c r="N714" s="16" t="str">
        <f t="shared" si="274"/>
        <v>60707030710120060620</v>
      </c>
    </row>
    <row r="715" spans="2:14" s="16" customFormat="1">
      <c r="B715" s="14"/>
      <c r="C715" s="197" t="s">
        <v>519</v>
      </c>
      <c r="D715" s="198" t="s">
        <v>510</v>
      </c>
      <c r="E715" s="199" t="s">
        <v>229</v>
      </c>
      <c r="F715" s="199" t="s">
        <v>13</v>
      </c>
      <c r="G715" s="199" t="s">
        <v>520</v>
      </c>
      <c r="H715" s="199" t="s">
        <v>9</v>
      </c>
      <c r="I715" s="20">
        <f>I716+I729+I732+I736+I726</f>
        <v>135629.24</v>
      </c>
      <c r="J715" s="20">
        <f t="shared" ref="J715:K715" si="277">J716+J729+J732+J736+J726</f>
        <v>133119.53999999998</v>
      </c>
      <c r="K715" s="20">
        <f t="shared" si="277"/>
        <v>132458.10999999999</v>
      </c>
      <c r="L715" s="16">
        <v>720000000</v>
      </c>
      <c r="M715" s="16" t="str">
        <f t="shared" si="273"/>
        <v>0720000000</v>
      </c>
      <c r="N715" s="16" t="str">
        <f t="shared" si="274"/>
        <v>60707030720000000000</v>
      </c>
    </row>
    <row r="716" spans="2:14" s="16" customFormat="1" ht="38.25">
      <c r="B716" s="14"/>
      <c r="C716" s="197" t="s">
        <v>521</v>
      </c>
      <c r="D716" s="198" t="s">
        <v>510</v>
      </c>
      <c r="E716" s="199" t="s">
        <v>229</v>
      </c>
      <c r="F716" s="199" t="s">
        <v>13</v>
      </c>
      <c r="G716" s="199" t="s">
        <v>522</v>
      </c>
      <c r="H716" s="199" t="s">
        <v>9</v>
      </c>
      <c r="I716" s="20">
        <f>I717+I720+I723</f>
        <v>133293.19999999998</v>
      </c>
      <c r="J716" s="20">
        <f t="shared" ref="J716:K716" si="278">J717+J720+J723</f>
        <v>132089.71</v>
      </c>
      <c r="K716" s="20">
        <f t="shared" si="278"/>
        <v>132089.71</v>
      </c>
      <c r="L716" s="16">
        <v>720100000</v>
      </c>
      <c r="M716" s="16" t="str">
        <f t="shared" si="273"/>
        <v>0720100000</v>
      </c>
      <c r="N716" s="16" t="str">
        <f t="shared" si="274"/>
        <v>60707030720100000000</v>
      </c>
    </row>
    <row r="717" spans="2:14" s="16" customFormat="1" ht="25.5">
      <c r="B717" s="14"/>
      <c r="C717" s="197" t="s">
        <v>136</v>
      </c>
      <c r="D717" s="198" t="s">
        <v>510</v>
      </c>
      <c r="E717" s="199" t="s">
        <v>229</v>
      </c>
      <c r="F717" s="199" t="s">
        <v>13</v>
      </c>
      <c r="G717" s="199" t="s">
        <v>523</v>
      </c>
      <c r="H717" s="199" t="s">
        <v>9</v>
      </c>
      <c r="I717" s="20">
        <f>SUM(I718:I719)</f>
        <v>130913.14</v>
      </c>
      <c r="J717" s="20">
        <f>SUM(J718:J719)</f>
        <v>132089.71</v>
      </c>
      <c r="K717" s="20">
        <f>SUM(K718:K719)</f>
        <v>132089.71</v>
      </c>
      <c r="L717" s="16">
        <v>720111010</v>
      </c>
      <c r="M717" s="16" t="str">
        <f t="shared" si="273"/>
        <v>0720111010</v>
      </c>
      <c r="N717" s="16" t="str">
        <f t="shared" si="274"/>
        <v>60707030720111010000</v>
      </c>
    </row>
    <row r="718" spans="2:14" s="16" customFormat="1">
      <c r="B718" s="14"/>
      <c r="C718" s="197" t="s">
        <v>403</v>
      </c>
      <c r="D718" s="198" t="s">
        <v>510</v>
      </c>
      <c r="E718" s="199" t="s">
        <v>229</v>
      </c>
      <c r="F718" s="199" t="s">
        <v>13</v>
      </c>
      <c r="G718" s="199" t="s">
        <v>523</v>
      </c>
      <c r="H718" s="199" t="s">
        <v>404</v>
      </c>
      <c r="I718" s="20">
        <f>114370.22+304.67+6949.73-6949.73+15.75+1534.16</f>
        <v>116224.8</v>
      </c>
      <c r="J718" s="20">
        <f>114370.22+304.67+1077.51+1534.16</f>
        <v>117286.56</v>
      </c>
      <c r="K718" s="20">
        <f>114370.22+304.67+1077.51+1534.16</f>
        <v>117286.56</v>
      </c>
      <c r="L718" s="16">
        <v>720111010</v>
      </c>
      <c r="M718" s="16" t="str">
        <f t="shared" si="273"/>
        <v>0720111010</v>
      </c>
      <c r="N718" s="16" t="str">
        <f t="shared" si="274"/>
        <v>60707030720111010610</v>
      </c>
    </row>
    <row r="719" spans="2:14" s="17" customFormat="1">
      <c r="B719" s="14"/>
      <c r="C719" s="197" t="s">
        <v>409</v>
      </c>
      <c r="D719" s="198" t="s">
        <v>510</v>
      </c>
      <c r="E719" s="199" t="s">
        <v>229</v>
      </c>
      <c r="F719" s="199" t="s">
        <v>13</v>
      </c>
      <c r="G719" s="199" t="s">
        <v>523</v>
      </c>
      <c r="H719" s="199" t="s">
        <v>410</v>
      </c>
      <c r="I719" s="20">
        <f>14520.15+23.43+1260.92-1260.92+1.75+143.01</f>
        <v>14688.34</v>
      </c>
      <c r="J719" s="20">
        <f>14520.15+23.43+116.56+143.01</f>
        <v>14803.15</v>
      </c>
      <c r="K719" s="20">
        <f>14520.15+23.43+116.56+143.01</f>
        <v>14803.15</v>
      </c>
      <c r="L719" s="17">
        <v>720111010</v>
      </c>
      <c r="M719" s="16" t="str">
        <f t="shared" si="273"/>
        <v>0720111010</v>
      </c>
      <c r="N719" s="16" t="str">
        <f t="shared" si="274"/>
        <v>60707030720111010620</v>
      </c>
    </row>
    <row r="720" spans="2:14" s="17" customFormat="1" ht="191.25">
      <c r="B720" s="14" t="s">
        <v>2282</v>
      </c>
      <c r="C720" s="197" t="s">
        <v>2269</v>
      </c>
      <c r="D720" s="198" t="s">
        <v>510</v>
      </c>
      <c r="E720" s="199" t="s">
        <v>229</v>
      </c>
      <c r="F720" s="199" t="s">
        <v>13</v>
      </c>
      <c r="G720" s="199" t="s">
        <v>1288</v>
      </c>
      <c r="H720" s="199" t="s">
        <v>9</v>
      </c>
      <c r="I720" s="20">
        <f>SUM(I721:I722)</f>
        <v>1176.57</v>
      </c>
      <c r="J720" s="20">
        <f t="shared" ref="J720:K720" si="279">SUM(J721:J722)</f>
        <v>0</v>
      </c>
      <c r="K720" s="20">
        <f t="shared" si="279"/>
        <v>0</v>
      </c>
      <c r="L720" s="17">
        <v>720177460</v>
      </c>
      <c r="M720" s="16" t="str">
        <f t="shared" si="273"/>
        <v>0720177460</v>
      </c>
      <c r="N720" s="16" t="str">
        <f t="shared" si="274"/>
        <v>60707030720177460000</v>
      </c>
    </row>
    <row r="721" spans="2:14" s="17" customFormat="1">
      <c r="B721" s="14"/>
      <c r="C721" s="205" t="s">
        <v>403</v>
      </c>
      <c r="D721" s="198" t="s">
        <v>510</v>
      </c>
      <c r="E721" s="199" t="s">
        <v>229</v>
      </c>
      <c r="F721" s="199" t="s">
        <v>13</v>
      </c>
      <c r="G721" s="199" t="s">
        <v>1288</v>
      </c>
      <c r="H721" s="199" t="s">
        <v>404</v>
      </c>
      <c r="I721" s="20">
        <f>1061.76</f>
        <v>1061.76</v>
      </c>
      <c r="J721" s="20">
        <v>0</v>
      </c>
      <c r="K721" s="20">
        <v>0</v>
      </c>
      <c r="L721" s="17">
        <v>720177460</v>
      </c>
      <c r="M721" s="16" t="str">
        <f t="shared" si="273"/>
        <v>0720177460</v>
      </c>
      <c r="N721" s="16" t="str">
        <f t="shared" si="274"/>
        <v>60707030720177460610</v>
      </c>
    </row>
    <row r="722" spans="2:14" s="17" customFormat="1">
      <c r="B722" s="14"/>
      <c r="C722" s="205" t="s">
        <v>409</v>
      </c>
      <c r="D722" s="198" t="s">
        <v>510</v>
      </c>
      <c r="E722" s="199" t="s">
        <v>229</v>
      </c>
      <c r="F722" s="199" t="s">
        <v>13</v>
      </c>
      <c r="G722" s="199" t="s">
        <v>1288</v>
      </c>
      <c r="H722" s="199" t="s">
        <v>410</v>
      </c>
      <c r="I722" s="20">
        <f>114.81</f>
        <v>114.81</v>
      </c>
      <c r="J722" s="20">
        <v>0</v>
      </c>
      <c r="K722" s="20">
        <v>0</v>
      </c>
      <c r="L722" s="17">
        <v>720177460</v>
      </c>
      <c r="M722" s="16" t="str">
        <f t="shared" si="273"/>
        <v>0720177460</v>
      </c>
      <c r="N722" s="16" t="str">
        <f t="shared" si="274"/>
        <v>60707030720177460620</v>
      </c>
    </row>
    <row r="723" spans="2:14" s="17" customFormat="1" ht="165.75">
      <c r="B723" s="14"/>
      <c r="C723" s="200" t="s">
        <v>2247</v>
      </c>
      <c r="D723" s="198" t="s">
        <v>510</v>
      </c>
      <c r="E723" s="199" t="s">
        <v>229</v>
      </c>
      <c r="F723" s="199" t="s">
        <v>13</v>
      </c>
      <c r="G723" s="199" t="s">
        <v>2266</v>
      </c>
      <c r="H723" s="199" t="s">
        <v>9</v>
      </c>
      <c r="I723" s="20">
        <f>I724+I725</f>
        <v>1203.49</v>
      </c>
      <c r="J723" s="20">
        <f t="shared" ref="J723:K723" si="280">J724+J725</f>
        <v>0</v>
      </c>
      <c r="K723" s="20">
        <f t="shared" si="280"/>
        <v>0</v>
      </c>
      <c r="L723" s="17">
        <v>720177580</v>
      </c>
      <c r="M723" s="16" t="str">
        <f t="shared" si="273"/>
        <v>0720177580</v>
      </c>
      <c r="N723" s="16" t="str">
        <f t="shared" si="274"/>
        <v>60707030720177580000</v>
      </c>
    </row>
    <row r="724" spans="2:14" s="17" customFormat="1">
      <c r="B724" s="14"/>
      <c r="C724" s="205" t="s">
        <v>403</v>
      </c>
      <c r="D724" s="198" t="s">
        <v>510</v>
      </c>
      <c r="E724" s="199" t="s">
        <v>229</v>
      </c>
      <c r="F724" s="199" t="s">
        <v>13</v>
      </c>
      <c r="G724" s="199" t="s">
        <v>2266</v>
      </c>
      <c r="H724" s="199" t="s">
        <v>404</v>
      </c>
      <c r="I724" s="20">
        <f>1133.32</f>
        <v>1133.32</v>
      </c>
      <c r="J724" s="20">
        <v>0</v>
      </c>
      <c r="K724" s="20">
        <v>0</v>
      </c>
      <c r="L724" s="17">
        <v>720177580</v>
      </c>
      <c r="M724" s="16" t="str">
        <f t="shared" si="273"/>
        <v>0720177580</v>
      </c>
      <c r="N724" s="16" t="str">
        <f t="shared" si="274"/>
        <v>60707030720177580610</v>
      </c>
    </row>
    <row r="725" spans="2:14" s="17" customFormat="1">
      <c r="B725" s="14"/>
      <c r="C725" s="205" t="s">
        <v>409</v>
      </c>
      <c r="D725" s="198" t="s">
        <v>510</v>
      </c>
      <c r="E725" s="199" t="s">
        <v>229</v>
      </c>
      <c r="F725" s="199" t="s">
        <v>13</v>
      </c>
      <c r="G725" s="199" t="s">
        <v>2266</v>
      </c>
      <c r="H725" s="199" t="s">
        <v>410</v>
      </c>
      <c r="I725" s="20">
        <f>70.17</f>
        <v>70.17</v>
      </c>
      <c r="J725" s="20">
        <v>0</v>
      </c>
      <c r="K725" s="20">
        <v>0</v>
      </c>
      <c r="L725" s="17">
        <v>720177580</v>
      </c>
      <c r="M725" s="16" t="str">
        <f t="shared" si="273"/>
        <v>0720177580</v>
      </c>
      <c r="N725" s="16" t="str">
        <f t="shared" si="274"/>
        <v>60707030720177580620</v>
      </c>
    </row>
    <row r="726" spans="2:14" s="16" customFormat="1" ht="38.25">
      <c r="B726" s="14"/>
      <c r="C726" s="197" t="s">
        <v>524</v>
      </c>
      <c r="D726" s="198" t="s">
        <v>510</v>
      </c>
      <c r="E726" s="199" t="s">
        <v>229</v>
      </c>
      <c r="F726" s="199" t="s">
        <v>13</v>
      </c>
      <c r="G726" s="199" t="s">
        <v>525</v>
      </c>
      <c r="H726" s="199" t="s">
        <v>9</v>
      </c>
      <c r="I726" s="20">
        <f t="shared" ref="I726:K727" si="281">I727</f>
        <v>0</v>
      </c>
      <c r="J726" s="20">
        <f t="shared" si="281"/>
        <v>661.43</v>
      </c>
      <c r="K726" s="20">
        <f t="shared" si="281"/>
        <v>0</v>
      </c>
      <c r="L726" s="16">
        <v>720600000</v>
      </c>
      <c r="M726" s="16" t="str">
        <f t="shared" si="273"/>
        <v>0720600000</v>
      </c>
      <c r="N726" s="16" t="str">
        <f t="shared" si="274"/>
        <v>60707030720600000000</v>
      </c>
    </row>
    <row r="727" spans="2:14" s="16" customFormat="1" ht="25.5">
      <c r="B727" s="14"/>
      <c r="C727" s="197" t="s">
        <v>526</v>
      </c>
      <c r="D727" s="198" t="s">
        <v>510</v>
      </c>
      <c r="E727" s="199" t="s">
        <v>229</v>
      </c>
      <c r="F727" s="199" t="s">
        <v>13</v>
      </c>
      <c r="G727" s="199" t="s">
        <v>527</v>
      </c>
      <c r="H727" s="199" t="s">
        <v>9</v>
      </c>
      <c r="I727" s="20">
        <f t="shared" si="281"/>
        <v>0</v>
      </c>
      <c r="J727" s="20">
        <f t="shared" si="281"/>
        <v>661.43</v>
      </c>
      <c r="K727" s="20">
        <f t="shared" si="281"/>
        <v>0</v>
      </c>
      <c r="L727" s="16">
        <v>720620400</v>
      </c>
      <c r="M727" s="16" t="str">
        <f t="shared" si="273"/>
        <v>0720620400</v>
      </c>
      <c r="N727" s="16" t="str">
        <f t="shared" si="274"/>
        <v>60707030720620400000</v>
      </c>
    </row>
    <row r="728" spans="2:14" s="16" customFormat="1">
      <c r="B728" s="14"/>
      <c r="C728" s="205" t="s">
        <v>403</v>
      </c>
      <c r="D728" s="198" t="s">
        <v>510</v>
      </c>
      <c r="E728" s="199" t="s">
        <v>229</v>
      </c>
      <c r="F728" s="199" t="s">
        <v>13</v>
      </c>
      <c r="G728" s="199" t="s">
        <v>527</v>
      </c>
      <c r="H728" s="199" t="s">
        <v>404</v>
      </c>
      <c r="I728" s="20">
        <f>0</f>
        <v>0</v>
      </c>
      <c r="J728" s="20">
        <f>661.43</f>
        <v>661.43</v>
      </c>
      <c r="K728" s="20">
        <v>0</v>
      </c>
      <c r="L728" s="16">
        <v>720620400</v>
      </c>
      <c r="M728" s="16" t="str">
        <f t="shared" si="273"/>
        <v>0720620400</v>
      </c>
      <c r="N728" s="16" t="str">
        <f t="shared" si="274"/>
        <v>60707030720620400610</v>
      </c>
    </row>
    <row r="729" spans="2:14" s="16" customFormat="1" ht="89.25">
      <c r="B729" s="14"/>
      <c r="C729" s="205" t="s">
        <v>528</v>
      </c>
      <c r="D729" s="198" t="s">
        <v>510</v>
      </c>
      <c r="E729" s="199" t="s">
        <v>229</v>
      </c>
      <c r="F729" s="199" t="s">
        <v>13</v>
      </c>
      <c r="G729" s="199" t="s">
        <v>529</v>
      </c>
      <c r="H729" s="199" t="s">
        <v>9</v>
      </c>
      <c r="I729" s="20">
        <f t="shared" ref="I729:K730" si="282">I730</f>
        <v>955.2</v>
      </c>
      <c r="J729" s="20">
        <f t="shared" si="282"/>
        <v>150</v>
      </c>
      <c r="K729" s="20">
        <f t="shared" si="282"/>
        <v>150</v>
      </c>
      <c r="L729" s="16">
        <v>720800000</v>
      </c>
      <c r="M729" s="16" t="str">
        <f t="shared" si="273"/>
        <v>0720800000</v>
      </c>
      <c r="N729" s="16" t="str">
        <f t="shared" si="274"/>
        <v>60707030720800000000</v>
      </c>
    </row>
    <row r="730" spans="2:14" s="16" customFormat="1" ht="76.5">
      <c r="B730" s="14"/>
      <c r="C730" s="197" t="s">
        <v>530</v>
      </c>
      <c r="D730" s="198" t="s">
        <v>510</v>
      </c>
      <c r="E730" s="199" t="s">
        <v>229</v>
      </c>
      <c r="F730" s="199" t="s">
        <v>13</v>
      </c>
      <c r="G730" s="199" t="s">
        <v>531</v>
      </c>
      <c r="H730" s="199" t="s">
        <v>9</v>
      </c>
      <c r="I730" s="20">
        <f t="shared" si="282"/>
        <v>955.2</v>
      </c>
      <c r="J730" s="20">
        <f t="shared" si="282"/>
        <v>150</v>
      </c>
      <c r="K730" s="20">
        <f t="shared" si="282"/>
        <v>150</v>
      </c>
      <c r="L730" s="16">
        <v>720821230</v>
      </c>
      <c r="M730" s="16" t="str">
        <f t="shared" si="273"/>
        <v>0720821230</v>
      </c>
      <c r="N730" s="16" t="str">
        <f t="shared" si="274"/>
        <v>60707030720821230000</v>
      </c>
    </row>
    <row r="731" spans="2:14" s="16" customFormat="1">
      <c r="B731" s="14"/>
      <c r="C731" s="205" t="s">
        <v>403</v>
      </c>
      <c r="D731" s="198" t="s">
        <v>510</v>
      </c>
      <c r="E731" s="199" t="s">
        <v>229</v>
      </c>
      <c r="F731" s="199" t="s">
        <v>13</v>
      </c>
      <c r="G731" s="199" t="s">
        <v>531</v>
      </c>
      <c r="H731" s="199" t="s">
        <v>404</v>
      </c>
      <c r="I731" s="20">
        <f>150+655.2+150</f>
        <v>955.2</v>
      </c>
      <c r="J731" s="20">
        <f>150</f>
        <v>150</v>
      </c>
      <c r="K731" s="20">
        <f>150</f>
        <v>150</v>
      </c>
      <c r="L731" s="16">
        <v>720821230</v>
      </c>
      <c r="M731" s="16" t="str">
        <f t="shared" si="273"/>
        <v>0720821230</v>
      </c>
      <c r="N731" s="16" t="str">
        <f t="shared" si="274"/>
        <v>60707030720821230610</v>
      </c>
    </row>
    <row r="732" spans="2:14" s="16" customFormat="1" ht="38.25">
      <c r="B732" s="14"/>
      <c r="C732" s="205" t="s">
        <v>532</v>
      </c>
      <c r="D732" s="198" t="s">
        <v>510</v>
      </c>
      <c r="E732" s="199" t="s">
        <v>229</v>
      </c>
      <c r="F732" s="199" t="s">
        <v>13</v>
      </c>
      <c r="G732" s="199" t="s">
        <v>533</v>
      </c>
      <c r="H732" s="199" t="s">
        <v>9</v>
      </c>
      <c r="I732" s="20">
        <f>I733</f>
        <v>218.4</v>
      </c>
      <c r="J732" s="20">
        <f>J733</f>
        <v>218.4</v>
      </c>
      <c r="K732" s="20">
        <f>K733</f>
        <v>218.4</v>
      </c>
      <c r="L732" s="16">
        <v>720900000</v>
      </c>
      <c r="M732" s="16" t="str">
        <f t="shared" si="273"/>
        <v>0720900000</v>
      </c>
      <c r="N732" s="16" t="str">
        <f t="shared" si="274"/>
        <v>60707030720900000000</v>
      </c>
    </row>
    <row r="733" spans="2:14" s="16" customFormat="1" ht="38.25">
      <c r="B733" s="14"/>
      <c r="C733" s="205" t="s">
        <v>534</v>
      </c>
      <c r="D733" s="198" t="s">
        <v>510</v>
      </c>
      <c r="E733" s="199" t="s">
        <v>229</v>
      </c>
      <c r="F733" s="199" t="s">
        <v>13</v>
      </c>
      <c r="G733" s="199" t="s">
        <v>535</v>
      </c>
      <c r="H733" s="199" t="s">
        <v>9</v>
      </c>
      <c r="I733" s="20">
        <f>SUM(I734:I735)</f>
        <v>218.4</v>
      </c>
      <c r="J733" s="20">
        <f>SUM(J734:J735)</f>
        <v>218.4</v>
      </c>
      <c r="K733" s="20">
        <f>SUM(K734:K735)</f>
        <v>218.4</v>
      </c>
      <c r="L733" s="16">
        <v>720921280</v>
      </c>
      <c r="M733" s="16" t="str">
        <f t="shared" si="273"/>
        <v>0720921280</v>
      </c>
      <c r="N733" s="16" t="str">
        <f t="shared" si="274"/>
        <v>60707030720921280000</v>
      </c>
    </row>
    <row r="734" spans="2:14" s="16" customFormat="1">
      <c r="B734" s="14"/>
      <c r="C734" s="205" t="s">
        <v>403</v>
      </c>
      <c r="D734" s="198" t="s">
        <v>510</v>
      </c>
      <c r="E734" s="199" t="s">
        <v>229</v>
      </c>
      <c r="F734" s="199" t="s">
        <v>13</v>
      </c>
      <c r="G734" s="199" t="s">
        <v>535</v>
      </c>
      <c r="H734" s="199" t="s">
        <v>404</v>
      </c>
      <c r="I734" s="20">
        <f>163.8</f>
        <v>163.80000000000001</v>
      </c>
      <c r="J734" s="20">
        <f t="shared" ref="J734:K734" si="283">163.8</f>
        <v>163.80000000000001</v>
      </c>
      <c r="K734" s="20">
        <f t="shared" si="283"/>
        <v>163.80000000000001</v>
      </c>
      <c r="L734" s="16">
        <v>720921280</v>
      </c>
      <c r="M734" s="16" t="str">
        <f t="shared" si="273"/>
        <v>0720921280</v>
      </c>
      <c r="N734" s="16" t="str">
        <f t="shared" si="274"/>
        <v>60707030720921280610</v>
      </c>
    </row>
    <row r="735" spans="2:14" s="16" customFormat="1">
      <c r="B735" s="14"/>
      <c r="C735" s="205" t="s">
        <v>409</v>
      </c>
      <c r="D735" s="198" t="s">
        <v>510</v>
      </c>
      <c r="E735" s="199" t="s">
        <v>229</v>
      </c>
      <c r="F735" s="199" t="s">
        <v>13</v>
      </c>
      <c r="G735" s="199" t="s">
        <v>535</v>
      </c>
      <c r="H735" s="199" t="s">
        <v>410</v>
      </c>
      <c r="I735" s="20">
        <f>54.6</f>
        <v>54.6</v>
      </c>
      <c r="J735" s="20">
        <f t="shared" ref="J735:K735" si="284">54.6</f>
        <v>54.6</v>
      </c>
      <c r="K735" s="20">
        <f t="shared" si="284"/>
        <v>54.6</v>
      </c>
      <c r="L735" s="16">
        <v>720921280</v>
      </c>
      <c r="M735" s="16" t="str">
        <f t="shared" si="273"/>
        <v>0720921280</v>
      </c>
      <c r="N735" s="16" t="str">
        <f t="shared" si="274"/>
        <v>60707030720921280620</v>
      </c>
    </row>
    <row r="736" spans="2:14" s="16" customFormat="1" ht="51">
      <c r="B736" s="14"/>
      <c r="C736" s="205" t="s">
        <v>536</v>
      </c>
      <c r="D736" s="198" t="s">
        <v>510</v>
      </c>
      <c r="E736" s="199" t="s">
        <v>229</v>
      </c>
      <c r="F736" s="199" t="s">
        <v>13</v>
      </c>
      <c r="G736" s="199" t="s">
        <v>537</v>
      </c>
      <c r="H736" s="199" t="s">
        <v>9</v>
      </c>
      <c r="I736" s="20">
        <f>I737</f>
        <v>1162.44</v>
      </c>
      <c r="J736" s="20">
        <f t="shared" ref="J736:K737" si="285">J737</f>
        <v>0</v>
      </c>
      <c r="K736" s="20">
        <f t="shared" si="285"/>
        <v>0</v>
      </c>
      <c r="L736" s="16">
        <v>721200000</v>
      </c>
      <c r="M736" s="16" t="str">
        <f t="shared" si="273"/>
        <v>0721200000</v>
      </c>
      <c r="N736" s="16" t="str">
        <f t="shared" si="274"/>
        <v>60707030721200000000</v>
      </c>
    </row>
    <row r="737" spans="2:14" s="16" customFormat="1" ht="38.25">
      <c r="B737" s="14"/>
      <c r="C737" s="375" t="s">
        <v>538</v>
      </c>
      <c r="D737" s="198" t="s">
        <v>510</v>
      </c>
      <c r="E737" s="199" t="s">
        <v>229</v>
      </c>
      <c r="F737" s="199" t="s">
        <v>13</v>
      </c>
      <c r="G737" s="199" t="s">
        <v>539</v>
      </c>
      <c r="H737" s="199" t="s">
        <v>9</v>
      </c>
      <c r="I737" s="20">
        <f>I738</f>
        <v>1162.44</v>
      </c>
      <c r="J737" s="20">
        <f t="shared" si="285"/>
        <v>0</v>
      </c>
      <c r="K737" s="20">
        <f t="shared" si="285"/>
        <v>0</v>
      </c>
      <c r="L737" s="16">
        <v>721221430</v>
      </c>
      <c r="M737" s="16" t="str">
        <f t="shared" si="273"/>
        <v>0721221430</v>
      </c>
      <c r="N737" s="16" t="str">
        <f t="shared" si="274"/>
        <v>60707030721221430000</v>
      </c>
    </row>
    <row r="738" spans="2:14" s="16" customFormat="1">
      <c r="B738" s="14"/>
      <c r="C738" s="205" t="s">
        <v>409</v>
      </c>
      <c r="D738" s="198" t="s">
        <v>510</v>
      </c>
      <c r="E738" s="199" t="s">
        <v>229</v>
      </c>
      <c r="F738" s="199" t="s">
        <v>13</v>
      </c>
      <c r="G738" s="199" t="s">
        <v>539</v>
      </c>
      <c r="H738" s="199" t="s">
        <v>410</v>
      </c>
      <c r="I738" s="20">
        <f>1162.44</f>
        <v>1162.44</v>
      </c>
      <c r="J738" s="20">
        <f>1162.44-1162.44</f>
        <v>0</v>
      </c>
      <c r="K738" s="20">
        <f>1162.44-1162.44</f>
        <v>0</v>
      </c>
      <c r="L738" s="16">
        <v>721221430</v>
      </c>
      <c r="M738" s="16" t="str">
        <f t="shared" si="273"/>
        <v>0721221430</v>
      </c>
      <c r="N738" s="16" t="str">
        <f t="shared" si="274"/>
        <v>60707030721221430620</v>
      </c>
    </row>
    <row r="739" spans="2:14" s="16" customFormat="1" ht="63.75">
      <c r="B739" s="14"/>
      <c r="C739" s="197" t="s">
        <v>420</v>
      </c>
      <c r="D739" s="198" t="s">
        <v>510</v>
      </c>
      <c r="E739" s="199" t="s">
        <v>229</v>
      </c>
      <c r="F739" s="199" t="s">
        <v>13</v>
      </c>
      <c r="G739" s="199" t="s">
        <v>421</v>
      </c>
      <c r="H739" s="199" t="s">
        <v>9</v>
      </c>
      <c r="I739" s="20">
        <f t="shared" ref="I739:K741" si="286">I740</f>
        <v>392.8</v>
      </c>
      <c r="J739" s="20">
        <f t="shared" si="286"/>
        <v>392.8</v>
      </c>
      <c r="K739" s="20">
        <f t="shared" si="286"/>
        <v>392.8</v>
      </c>
      <c r="L739" s="16">
        <v>1600000000</v>
      </c>
      <c r="M739" s="16" t="str">
        <f t="shared" si="273"/>
        <v>1600000000</v>
      </c>
      <c r="N739" s="16" t="str">
        <f t="shared" si="274"/>
        <v>60707031600000000000</v>
      </c>
    </row>
    <row r="740" spans="2:14" s="16" customFormat="1" ht="25.5">
      <c r="B740" s="14"/>
      <c r="C740" s="197" t="s">
        <v>422</v>
      </c>
      <c r="D740" s="198" t="s">
        <v>510</v>
      </c>
      <c r="E740" s="199" t="s">
        <v>229</v>
      </c>
      <c r="F740" s="199" t="s">
        <v>13</v>
      </c>
      <c r="G740" s="199" t="s">
        <v>423</v>
      </c>
      <c r="H740" s="199" t="s">
        <v>9</v>
      </c>
      <c r="I740" s="20">
        <f t="shared" si="286"/>
        <v>392.8</v>
      </c>
      <c r="J740" s="20">
        <f t="shared" si="286"/>
        <v>392.8</v>
      </c>
      <c r="K740" s="20">
        <f t="shared" si="286"/>
        <v>392.8</v>
      </c>
      <c r="L740" s="16">
        <v>1620000000</v>
      </c>
      <c r="M740" s="16" t="str">
        <f t="shared" si="273"/>
        <v>1620000000</v>
      </c>
      <c r="N740" s="16" t="str">
        <f t="shared" si="274"/>
        <v>60707031620000000000</v>
      </c>
    </row>
    <row r="741" spans="2:14" s="16" customFormat="1" ht="25.5">
      <c r="B741" s="14"/>
      <c r="C741" s="197" t="s">
        <v>424</v>
      </c>
      <c r="D741" s="198" t="s">
        <v>510</v>
      </c>
      <c r="E741" s="199" t="s">
        <v>229</v>
      </c>
      <c r="F741" s="199" t="s">
        <v>13</v>
      </c>
      <c r="G741" s="199" t="s">
        <v>425</v>
      </c>
      <c r="H741" s="199" t="s">
        <v>9</v>
      </c>
      <c r="I741" s="20">
        <f t="shared" si="286"/>
        <v>392.8</v>
      </c>
      <c r="J741" s="20">
        <f t="shared" si="286"/>
        <v>392.8</v>
      </c>
      <c r="K741" s="20">
        <f t="shared" si="286"/>
        <v>392.8</v>
      </c>
      <c r="L741" s="16">
        <v>1620200000</v>
      </c>
      <c r="M741" s="16" t="str">
        <f t="shared" si="273"/>
        <v>1620200000</v>
      </c>
      <c r="N741" s="16" t="str">
        <f t="shared" si="274"/>
        <v>60707031620200000000</v>
      </c>
    </row>
    <row r="742" spans="2:14" s="16" customFormat="1" ht="38.25">
      <c r="B742" s="14"/>
      <c r="C742" s="197" t="s">
        <v>426</v>
      </c>
      <c r="D742" s="198" t="s">
        <v>510</v>
      </c>
      <c r="E742" s="199" t="s">
        <v>229</v>
      </c>
      <c r="F742" s="199" t="s">
        <v>13</v>
      </c>
      <c r="G742" s="199" t="s">
        <v>427</v>
      </c>
      <c r="H742" s="199" t="s">
        <v>9</v>
      </c>
      <c r="I742" s="20">
        <f>SUM(I743:I744)</f>
        <v>392.8</v>
      </c>
      <c r="J742" s="20">
        <f>SUM(J743:J744)</f>
        <v>392.8</v>
      </c>
      <c r="K742" s="20">
        <f>SUM(K743:K744)</f>
        <v>392.8</v>
      </c>
      <c r="L742" s="16">
        <v>1620220550</v>
      </c>
      <c r="M742" s="16" t="str">
        <f t="shared" si="273"/>
        <v>1620220550</v>
      </c>
      <c r="N742" s="16" t="str">
        <f t="shared" si="274"/>
        <v>60707031620220550000</v>
      </c>
    </row>
    <row r="743" spans="2:14" s="16" customFormat="1">
      <c r="B743" s="14"/>
      <c r="C743" s="205" t="s">
        <v>403</v>
      </c>
      <c r="D743" s="198" t="s">
        <v>510</v>
      </c>
      <c r="E743" s="199" t="s">
        <v>229</v>
      </c>
      <c r="F743" s="199" t="s">
        <v>13</v>
      </c>
      <c r="G743" s="199" t="s">
        <v>427</v>
      </c>
      <c r="H743" s="199" t="s">
        <v>404</v>
      </c>
      <c r="I743" s="20">
        <f>344.8</f>
        <v>344.8</v>
      </c>
      <c r="J743" s="20">
        <f t="shared" ref="J743:K743" si="287">344.8</f>
        <v>344.8</v>
      </c>
      <c r="K743" s="20">
        <f t="shared" si="287"/>
        <v>344.8</v>
      </c>
      <c r="L743" s="16">
        <v>1620220550</v>
      </c>
      <c r="M743" s="16" t="str">
        <f t="shared" si="273"/>
        <v>1620220550</v>
      </c>
      <c r="N743" s="16" t="str">
        <f t="shared" si="274"/>
        <v>60707031620220550610</v>
      </c>
    </row>
    <row r="744" spans="2:14" s="17" customFormat="1">
      <c r="B744" s="14"/>
      <c r="C744" s="205" t="s">
        <v>409</v>
      </c>
      <c r="D744" s="198" t="s">
        <v>510</v>
      </c>
      <c r="E744" s="199" t="s">
        <v>229</v>
      </c>
      <c r="F744" s="199" t="s">
        <v>13</v>
      </c>
      <c r="G744" s="199" t="s">
        <v>427</v>
      </c>
      <c r="H744" s="199" t="s">
        <v>410</v>
      </c>
      <c r="I744" s="20">
        <f>48</f>
        <v>48</v>
      </c>
      <c r="J744" s="20">
        <f>48</f>
        <v>48</v>
      </c>
      <c r="K744" s="20">
        <f>48</f>
        <v>48</v>
      </c>
      <c r="L744" s="17">
        <v>1620220550</v>
      </c>
      <c r="M744" s="16" t="str">
        <f t="shared" si="273"/>
        <v>1620220550</v>
      </c>
      <c r="N744" s="16" t="str">
        <f t="shared" si="274"/>
        <v>60707031620220550620</v>
      </c>
    </row>
    <row r="745" spans="2:14" s="17" customFormat="1" ht="25.5">
      <c r="B745" s="14"/>
      <c r="C745" s="197" t="s">
        <v>430</v>
      </c>
      <c r="D745" s="198" t="s">
        <v>510</v>
      </c>
      <c r="E745" s="199" t="s">
        <v>229</v>
      </c>
      <c r="F745" s="199" t="s">
        <v>13</v>
      </c>
      <c r="G745" s="199" t="s">
        <v>431</v>
      </c>
      <c r="H745" s="199" t="s">
        <v>9</v>
      </c>
      <c r="I745" s="20">
        <f t="shared" ref="I745:K748" si="288">I746</f>
        <v>692.25</v>
      </c>
      <c r="J745" s="20">
        <f t="shared" si="288"/>
        <v>692.25</v>
      </c>
      <c r="K745" s="20">
        <f t="shared" si="288"/>
        <v>692.25</v>
      </c>
      <c r="L745" s="17">
        <v>1700000000</v>
      </c>
      <c r="M745" s="16" t="str">
        <f t="shared" si="273"/>
        <v>1700000000</v>
      </c>
      <c r="N745" s="16" t="str">
        <f t="shared" si="274"/>
        <v>60707031700000000000</v>
      </c>
    </row>
    <row r="746" spans="2:14" s="17" customFormat="1" ht="38.25">
      <c r="B746" s="14"/>
      <c r="C746" s="201" t="s">
        <v>432</v>
      </c>
      <c r="D746" s="198" t="s">
        <v>510</v>
      </c>
      <c r="E746" s="199" t="s">
        <v>229</v>
      </c>
      <c r="F746" s="199" t="s">
        <v>13</v>
      </c>
      <c r="G746" s="199" t="s">
        <v>433</v>
      </c>
      <c r="H746" s="199" t="s">
        <v>9</v>
      </c>
      <c r="I746" s="20">
        <f t="shared" si="288"/>
        <v>692.25</v>
      </c>
      <c r="J746" s="20">
        <f t="shared" si="288"/>
        <v>692.25</v>
      </c>
      <c r="K746" s="20">
        <f t="shared" si="288"/>
        <v>692.25</v>
      </c>
      <c r="L746" s="17" t="s">
        <v>1198</v>
      </c>
      <c r="M746" s="16" t="str">
        <f t="shared" si="273"/>
        <v>17Б0000000</v>
      </c>
      <c r="N746" s="16" t="str">
        <f t="shared" si="274"/>
        <v>607070317Б0000000000</v>
      </c>
    </row>
    <row r="747" spans="2:14" s="17" customFormat="1" ht="25.5">
      <c r="B747" s="14"/>
      <c r="C747" s="197" t="s">
        <v>434</v>
      </c>
      <c r="D747" s="198" t="s">
        <v>510</v>
      </c>
      <c r="E747" s="199" t="s">
        <v>229</v>
      </c>
      <c r="F747" s="199" t="s">
        <v>13</v>
      </c>
      <c r="G747" s="199" t="s">
        <v>435</v>
      </c>
      <c r="H747" s="199" t="s">
        <v>9</v>
      </c>
      <c r="I747" s="20">
        <f t="shared" si="288"/>
        <v>692.25</v>
      </c>
      <c r="J747" s="20">
        <f t="shared" si="288"/>
        <v>692.25</v>
      </c>
      <c r="K747" s="20">
        <f t="shared" si="288"/>
        <v>692.25</v>
      </c>
      <c r="L747" s="17" t="s">
        <v>1199</v>
      </c>
      <c r="M747" s="16" t="str">
        <f t="shared" si="273"/>
        <v>17Б0100000</v>
      </c>
      <c r="N747" s="16" t="str">
        <f t="shared" si="274"/>
        <v>607070317Б0100000000</v>
      </c>
    </row>
    <row r="748" spans="2:14" s="17" customFormat="1" ht="25.5">
      <c r="B748" s="14"/>
      <c r="C748" s="205" t="s">
        <v>436</v>
      </c>
      <c r="D748" s="198" t="s">
        <v>510</v>
      </c>
      <c r="E748" s="199" t="s">
        <v>229</v>
      </c>
      <c r="F748" s="199" t="s">
        <v>13</v>
      </c>
      <c r="G748" s="199" t="s">
        <v>437</v>
      </c>
      <c r="H748" s="199" t="s">
        <v>9</v>
      </c>
      <c r="I748" s="20">
        <f t="shared" si="288"/>
        <v>692.25</v>
      </c>
      <c r="J748" s="20">
        <f t="shared" si="288"/>
        <v>692.25</v>
      </c>
      <c r="K748" s="20">
        <f t="shared" si="288"/>
        <v>692.25</v>
      </c>
      <c r="L748" s="17" t="s">
        <v>1200</v>
      </c>
      <c r="M748" s="16" t="str">
        <f t="shared" si="273"/>
        <v>17Б0120490</v>
      </c>
      <c r="N748" s="16" t="str">
        <f t="shared" si="274"/>
        <v>607070317Б0120490000</v>
      </c>
    </row>
    <row r="749" spans="2:14" s="17" customFormat="1">
      <c r="B749" s="14"/>
      <c r="C749" s="205" t="s">
        <v>409</v>
      </c>
      <c r="D749" s="198" t="s">
        <v>510</v>
      </c>
      <c r="E749" s="199" t="s">
        <v>229</v>
      </c>
      <c r="F749" s="199" t="s">
        <v>13</v>
      </c>
      <c r="G749" s="199" t="s">
        <v>437</v>
      </c>
      <c r="H749" s="199" t="s">
        <v>410</v>
      </c>
      <c r="I749" s="20">
        <f>692.25</f>
        <v>692.25</v>
      </c>
      <c r="J749" s="20">
        <f t="shared" ref="J749:K749" si="289">692.25</f>
        <v>692.25</v>
      </c>
      <c r="K749" s="20">
        <f t="shared" si="289"/>
        <v>692.25</v>
      </c>
      <c r="L749" s="17" t="s">
        <v>1200</v>
      </c>
      <c r="M749" s="16" t="str">
        <f t="shared" si="273"/>
        <v>17Б0120490</v>
      </c>
      <c r="N749" s="16" t="str">
        <f t="shared" si="274"/>
        <v>607070317Б0120490620</v>
      </c>
    </row>
    <row r="750" spans="2:14" s="17" customFormat="1" ht="38.25">
      <c r="B750" s="14"/>
      <c r="C750" s="197" t="s">
        <v>87</v>
      </c>
      <c r="D750" s="198" t="s">
        <v>510</v>
      </c>
      <c r="E750" s="199" t="s">
        <v>229</v>
      </c>
      <c r="F750" s="199" t="s">
        <v>13</v>
      </c>
      <c r="G750" s="199" t="s">
        <v>88</v>
      </c>
      <c r="H750" s="199" t="s">
        <v>9</v>
      </c>
      <c r="I750" s="20">
        <f>I751</f>
        <v>8210.65</v>
      </c>
      <c r="J750" s="20">
        <f t="shared" ref="J750:K751" si="290">J751</f>
        <v>0</v>
      </c>
      <c r="K750" s="20">
        <f t="shared" si="290"/>
        <v>0</v>
      </c>
      <c r="L750" s="17">
        <v>9800000000</v>
      </c>
      <c r="M750" s="16" t="str">
        <f t="shared" si="273"/>
        <v>9800000000</v>
      </c>
      <c r="N750" s="16" t="str">
        <f t="shared" si="274"/>
        <v>60707039800000000000</v>
      </c>
    </row>
    <row r="751" spans="2:14" s="17" customFormat="1">
      <c r="B751" s="14"/>
      <c r="C751" s="197" t="s">
        <v>89</v>
      </c>
      <c r="D751" s="198" t="s">
        <v>510</v>
      </c>
      <c r="E751" s="199" t="s">
        <v>229</v>
      </c>
      <c r="F751" s="199" t="s">
        <v>13</v>
      </c>
      <c r="G751" s="199" t="s">
        <v>90</v>
      </c>
      <c r="H751" s="199" t="s">
        <v>9</v>
      </c>
      <c r="I751" s="20">
        <f>I752</f>
        <v>8210.65</v>
      </c>
      <c r="J751" s="20">
        <f t="shared" si="290"/>
        <v>0</v>
      </c>
      <c r="K751" s="20">
        <f t="shared" si="290"/>
        <v>0</v>
      </c>
      <c r="L751" s="17">
        <v>9810000000</v>
      </c>
      <c r="M751" s="16" t="str">
        <f t="shared" si="273"/>
        <v>9810000000</v>
      </c>
      <c r="N751" s="16" t="str">
        <f t="shared" si="274"/>
        <v>60707039810000000000</v>
      </c>
    </row>
    <row r="752" spans="2:14" s="17" customFormat="1" ht="124.5" customHeight="1">
      <c r="B752" s="14"/>
      <c r="C752" s="197" t="s">
        <v>540</v>
      </c>
      <c r="D752" s="198" t="s">
        <v>510</v>
      </c>
      <c r="E752" s="199" t="s">
        <v>229</v>
      </c>
      <c r="F752" s="199" t="s">
        <v>13</v>
      </c>
      <c r="G752" s="199" t="s">
        <v>541</v>
      </c>
      <c r="H752" s="199" t="s">
        <v>9</v>
      </c>
      <c r="I752" s="20">
        <f>SUM(I753:I754)</f>
        <v>8210.65</v>
      </c>
      <c r="J752" s="20">
        <f t="shared" ref="J752:K752" si="291">SUM(J753:J754)</f>
        <v>0</v>
      </c>
      <c r="K752" s="20">
        <f t="shared" si="291"/>
        <v>0</v>
      </c>
      <c r="L752" s="17">
        <v>9810021530</v>
      </c>
      <c r="M752" s="16" t="str">
        <f t="shared" si="273"/>
        <v>9810021530</v>
      </c>
      <c r="N752" s="16" t="str">
        <f t="shared" si="274"/>
        <v>60707039810021530000</v>
      </c>
    </row>
    <row r="753" spans="2:14" s="17" customFormat="1">
      <c r="B753" s="14"/>
      <c r="C753" s="205" t="s">
        <v>403</v>
      </c>
      <c r="D753" s="198" t="s">
        <v>510</v>
      </c>
      <c r="E753" s="199" t="s">
        <v>229</v>
      </c>
      <c r="F753" s="199" t="s">
        <v>13</v>
      </c>
      <c r="G753" s="199" t="s">
        <v>541</v>
      </c>
      <c r="H753" s="199" t="s">
        <v>404</v>
      </c>
      <c r="I753" s="20">
        <f>6949.73</f>
        <v>6949.73</v>
      </c>
      <c r="J753" s="20">
        <v>0</v>
      </c>
      <c r="K753" s="20">
        <v>0</v>
      </c>
      <c r="L753" s="17">
        <v>9810021530</v>
      </c>
      <c r="M753" s="16" t="str">
        <f t="shared" si="273"/>
        <v>9810021530</v>
      </c>
      <c r="N753" s="16" t="str">
        <f t="shared" si="274"/>
        <v>60707039810021530610</v>
      </c>
    </row>
    <row r="754" spans="2:14" s="17" customFormat="1">
      <c r="B754" s="14"/>
      <c r="C754" s="205" t="s">
        <v>409</v>
      </c>
      <c r="D754" s="198" t="s">
        <v>510</v>
      </c>
      <c r="E754" s="199" t="s">
        <v>229</v>
      </c>
      <c r="F754" s="199" t="s">
        <v>13</v>
      </c>
      <c r="G754" s="199" t="s">
        <v>541</v>
      </c>
      <c r="H754" s="199" t="s">
        <v>410</v>
      </c>
      <c r="I754" s="20">
        <f>1260.92</f>
        <v>1260.92</v>
      </c>
      <c r="J754" s="20">
        <v>0</v>
      </c>
      <c r="K754" s="20">
        <v>0</v>
      </c>
      <c r="L754" s="17">
        <v>9810021530</v>
      </c>
      <c r="M754" s="16" t="str">
        <f t="shared" si="273"/>
        <v>9810021530</v>
      </c>
      <c r="N754" s="16" t="str">
        <f t="shared" si="274"/>
        <v>60707039810021530620</v>
      </c>
    </row>
    <row r="755" spans="2:14" s="17" customFormat="1">
      <c r="B755" s="14"/>
      <c r="C755" s="194" t="s">
        <v>464</v>
      </c>
      <c r="D755" s="195" t="s">
        <v>510</v>
      </c>
      <c r="E755" s="196" t="s">
        <v>229</v>
      </c>
      <c r="F755" s="196" t="s">
        <v>229</v>
      </c>
      <c r="G755" s="196" t="s">
        <v>8</v>
      </c>
      <c r="H755" s="196" t="s">
        <v>9</v>
      </c>
      <c r="I755" s="19">
        <f>I761+I756+I788</f>
        <v>34496.79</v>
      </c>
      <c r="J755" s="19">
        <f t="shared" ref="J755:K755" si="292">J761+J756+J788</f>
        <v>10131.790000000001</v>
      </c>
      <c r="K755" s="19">
        <f t="shared" si="292"/>
        <v>10131.790000000001</v>
      </c>
      <c r="L755" s="17">
        <v>0</v>
      </c>
      <c r="M755" s="16" t="str">
        <f t="shared" si="273"/>
        <v>0000000000</v>
      </c>
      <c r="N755" s="16" t="str">
        <f t="shared" si="274"/>
        <v>60707070000000000000</v>
      </c>
    </row>
    <row r="756" spans="2:14" s="17" customFormat="1" ht="38.25">
      <c r="B756" s="14"/>
      <c r="C756" s="200" t="s">
        <v>293</v>
      </c>
      <c r="D756" s="198" t="s">
        <v>510</v>
      </c>
      <c r="E756" s="199" t="s">
        <v>229</v>
      </c>
      <c r="F756" s="199" t="s">
        <v>229</v>
      </c>
      <c r="G756" s="199" t="s">
        <v>294</v>
      </c>
      <c r="H756" s="199" t="s">
        <v>9</v>
      </c>
      <c r="I756" s="20">
        <f t="shared" ref="I756:K759" si="293">I757</f>
        <v>187.5</v>
      </c>
      <c r="J756" s="20">
        <f t="shared" si="293"/>
        <v>187.5</v>
      </c>
      <c r="K756" s="20">
        <f t="shared" si="293"/>
        <v>187.5</v>
      </c>
      <c r="L756" s="17">
        <v>400000000</v>
      </c>
      <c r="M756" s="16" t="str">
        <f t="shared" si="273"/>
        <v>0400000000</v>
      </c>
      <c r="N756" s="16" t="str">
        <f t="shared" si="274"/>
        <v>60707070400000000000</v>
      </c>
    </row>
    <row r="757" spans="2:14" s="17" customFormat="1">
      <c r="B757" s="14"/>
      <c r="C757" s="197" t="s">
        <v>2283</v>
      </c>
      <c r="D757" s="198" t="s">
        <v>510</v>
      </c>
      <c r="E757" s="199" t="s">
        <v>229</v>
      </c>
      <c r="F757" s="199" t="s">
        <v>229</v>
      </c>
      <c r="G757" s="199" t="s">
        <v>308</v>
      </c>
      <c r="H757" s="199" t="s">
        <v>9</v>
      </c>
      <c r="I757" s="20">
        <f t="shared" si="293"/>
        <v>187.5</v>
      </c>
      <c r="J757" s="20">
        <f t="shared" si="293"/>
        <v>187.5</v>
      </c>
      <c r="K757" s="20">
        <f t="shared" si="293"/>
        <v>187.5</v>
      </c>
      <c r="L757" s="17">
        <v>430000000</v>
      </c>
      <c r="M757" s="16" t="str">
        <f t="shared" si="273"/>
        <v>0430000000</v>
      </c>
      <c r="N757" s="16" t="str">
        <f t="shared" si="274"/>
        <v>60707070430000000000</v>
      </c>
    </row>
    <row r="758" spans="2:14" s="17" customFormat="1" ht="25.5">
      <c r="B758" s="14"/>
      <c r="C758" s="375" t="s">
        <v>309</v>
      </c>
      <c r="D758" s="198" t="s">
        <v>510</v>
      </c>
      <c r="E758" s="199" t="s">
        <v>229</v>
      </c>
      <c r="F758" s="199" t="s">
        <v>229</v>
      </c>
      <c r="G758" s="199" t="s">
        <v>310</v>
      </c>
      <c r="H758" s="199" t="s">
        <v>9</v>
      </c>
      <c r="I758" s="20">
        <f t="shared" si="293"/>
        <v>187.5</v>
      </c>
      <c r="J758" s="20">
        <f t="shared" si="293"/>
        <v>187.5</v>
      </c>
      <c r="K758" s="20">
        <f t="shared" si="293"/>
        <v>187.5</v>
      </c>
      <c r="L758" s="17">
        <v>430400000</v>
      </c>
      <c r="M758" s="16" t="str">
        <f t="shared" si="273"/>
        <v>0430400000</v>
      </c>
      <c r="N758" s="16" t="str">
        <f t="shared" si="274"/>
        <v>60707070430400000000</v>
      </c>
    </row>
    <row r="759" spans="2:14" s="17" customFormat="1" ht="25.5">
      <c r="B759" s="14"/>
      <c r="C759" s="200" t="s">
        <v>542</v>
      </c>
      <c r="D759" s="198" t="s">
        <v>510</v>
      </c>
      <c r="E759" s="199" t="s">
        <v>229</v>
      </c>
      <c r="F759" s="199" t="s">
        <v>229</v>
      </c>
      <c r="G759" s="199" t="s">
        <v>543</v>
      </c>
      <c r="H759" s="199" t="s">
        <v>9</v>
      </c>
      <c r="I759" s="20">
        <f t="shared" si="293"/>
        <v>187.5</v>
      </c>
      <c r="J759" s="20">
        <f t="shared" si="293"/>
        <v>187.5</v>
      </c>
      <c r="K759" s="20">
        <f t="shared" si="293"/>
        <v>187.5</v>
      </c>
      <c r="L759" s="17">
        <v>430420300</v>
      </c>
      <c r="M759" s="16" t="str">
        <f t="shared" si="273"/>
        <v>0430420300</v>
      </c>
      <c r="N759" s="16" t="str">
        <f t="shared" si="274"/>
        <v>60707070430420300000</v>
      </c>
    </row>
    <row r="760" spans="2:14" s="17" customFormat="1" ht="25.5">
      <c r="B760" s="14"/>
      <c r="C760" s="197" t="s">
        <v>28</v>
      </c>
      <c r="D760" s="198" t="s">
        <v>510</v>
      </c>
      <c r="E760" s="199" t="s">
        <v>229</v>
      </c>
      <c r="F760" s="199" t="s">
        <v>229</v>
      </c>
      <c r="G760" s="199" t="s">
        <v>543</v>
      </c>
      <c r="H760" s="199" t="s">
        <v>29</v>
      </c>
      <c r="I760" s="20">
        <f>187.5</f>
        <v>187.5</v>
      </c>
      <c r="J760" s="20">
        <f t="shared" ref="J760:K760" si="294">187.5</f>
        <v>187.5</v>
      </c>
      <c r="K760" s="20">
        <f t="shared" si="294"/>
        <v>187.5</v>
      </c>
      <c r="L760" s="17">
        <v>430420300</v>
      </c>
      <c r="M760" s="16" t="str">
        <f t="shared" si="273"/>
        <v>0430420300</v>
      </c>
      <c r="N760" s="16" t="str">
        <f t="shared" si="274"/>
        <v>60707070430420300240</v>
      </c>
    </row>
    <row r="761" spans="2:14" s="17" customFormat="1">
      <c r="B761" s="14"/>
      <c r="C761" s="244" t="s">
        <v>544</v>
      </c>
      <c r="D761" s="198" t="s">
        <v>510</v>
      </c>
      <c r="E761" s="199" t="s">
        <v>229</v>
      </c>
      <c r="F761" s="199" t="s">
        <v>229</v>
      </c>
      <c r="G761" s="199" t="s">
        <v>545</v>
      </c>
      <c r="H761" s="199" t="s">
        <v>9</v>
      </c>
      <c r="I761" s="20">
        <f>I762</f>
        <v>33919.29</v>
      </c>
      <c r="J761" s="20">
        <f>J762</f>
        <v>9944.2900000000009</v>
      </c>
      <c r="K761" s="20">
        <f>K762</f>
        <v>9944.2900000000009</v>
      </c>
      <c r="L761" s="17">
        <v>900000000</v>
      </c>
      <c r="M761" s="16" t="str">
        <f t="shared" si="273"/>
        <v>0900000000</v>
      </c>
      <c r="N761" s="16" t="str">
        <f t="shared" si="274"/>
        <v>60707070900000000000</v>
      </c>
    </row>
    <row r="762" spans="2:14" s="17" customFormat="1" ht="25.5">
      <c r="B762" s="14"/>
      <c r="C762" s="244" t="s">
        <v>546</v>
      </c>
      <c r="D762" s="198" t="s">
        <v>510</v>
      </c>
      <c r="E762" s="199" t="s">
        <v>229</v>
      </c>
      <c r="F762" s="199" t="s">
        <v>229</v>
      </c>
      <c r="G762" s="199" t="s">
        <v>547</v>
      </c>
      <c r="H762" s="199" t="s">
        <v>9</v>
      </c>
      <c r="I762" s="20">
        <f>I763+I766+I774+I777+I780+I783</f>
        <v>33919.29</v>
      </c>
      <c r="J762" s="20">
        <f>J763+J766+J774+J777+J780+J783</f>
        <v>9944.2900000000009</v>
      </c>
      <c r="K762" s="20">
        <f>K763+K766+K774+K777+K780+K783</f>
        <v>9944.2900000000009</v>
      </c>
      <c r="L762" s="17" t="s">
        <v>1207</v>
      </c>
      <c r="M762" s="16" t="str">
        <f t="shared" si="273"/>
        <v>09Б0000000</v>
      </c>
      <c r="N762" s="16" t="str">
        <f t="shared" si="274"/>
        <v>607070709Б0000000000</v>
      </c>
    </row>
    <row r="763" spans="2:14" s="17" customFormat="1" ht="25.5">
      <c r="B763" s="14"/>
      <c r="C763" s="200" t="s">
        <v>548</v>
      </c>
      <c r="D763" s="198" t="s">
        <v>510</v>
      </c>
      <c r="E763" s="199" t="s">
        <v>229</v>
      </c>
      <c r="F763" s="199" t="s">
        <v>229</v>
      </c>
      <c r="G763" s="199" t="s">
        <v>549</v>
      </c>
      <c r="H763" s="199" t="s">
        <v>9</v>
      </c>
      <c r="I763" s="20">
        <f t="shared" ref="I763:K764" si="295">I764</f>
        <v>779</v>
      </c>
      <c r="J763" s="20">
        <f t="shared" si="295"/>
        <v>779</v>
      </c>
      <c r="K763" s="20">
        <f t="shared" si="295"/>
        <v>779</v>
      </c>
      <c r="L763" s="17" t="s">
        <v>1208</v>
      </c>
      <c r="M763" s="16" t="str">
        <f t="shared" si="273"/>
        <v>09Б0100000</v>
      </c>
      <c r="N763" s="16" t="str">
        <f t="shared" si="274"/>
        <v>607070709Б0100000000</v>
      </c>
    </row>
    <row r="764" spans="2:14" s="17" customFormat="1" ht="38.25">
      <c r="B764" s="14"/>
      <c r="C764" s="197" t="s">
        <v>550</v>
      </c>
      <c r="D764" s="198" t="s">
        <v>510</v>
      </c>
      <c r="E764" s="199" t="s">
        <v>229</v>
      </c>
      <c r="F764" s="199" t="s">
        <v>229</v>
      </c>
      <c r="G764" s="199" t="s">
        <v>551</v>
      </c>
      <c r="H764" s="199" t="s">
        <v>9</v>
      </c>
      <c r="I764" s="20">
        <f t="shared" si="295"/>
        <v>779</v>
      </c>
      <c r="J764" s="20">
        <f t="shared" si="295"/>
        <v>779</v>
      </c>
      <c r="K764" s="20">
        <f t="shared" si="295"/>
        <v>779</v>
      </c>
      <c r="L764" s="17" t="s">
        <v>1209</v>
      </c>
      <c r="M764" s="16" t="str">
        <f t="shared" si="273"/>
        <v>09Б0120460</v>
      </c>
      <c r="N764" s="16" t="str">
        <f t="shared" si="274"/>
        <v>607070709Б0120460000</v>
      </c>
    </row>
    <row r="765" spans="2:14" s="17" customFormat="1">
      <c r="B765" s="14"/>
      <c r="C765" s="205" t="s">
        <v>403</v>
      </c>
      <c r="D765" s="198" t="s">
        <v>510</v>
      </c>
      <c r="E765" s="199" t="s">
        <v>229</v>
      </c>
      <c r="F765" s="199" t="s">
        <v>229</v>
      </c>
      <c r="G765" s="199" t="s">
        <v>551</v>
      </c>
      <c r="H765" s="199" t="s">
        <v>404</v>
      </c>
      <c r="I765" s="20">
        <f>779</f>
        <v>779</v>
      </c>
      <c r="J765" s="20">
        <f>779</f>
        <v>779</v>
      </c>
      <c r="K765" s="20">
        <f>779</f>
        <v>779</v>
      </c>
      <c r="L765" s="17" t="s">
        <v>1209</v>
      </c>
      <c r="M765" s="16" t="str">
        <f t="shared" si="273"/>
        <v>09Б0120460</v>
      </c>
      <c r="N765" s="16" t="str">
        <f t="shared" si="274"/>
        <v>607070709Б0120460610</v>
      </c>
    </row>
    <row r="766" spans="2:14" s="17" customFormat="1" ht="25.5">
      <c r="B766" s="14"/>
      <c r="C766" s="200" t="s">
        <v>552</v>
      </c>
      <c r="D766" s="198" t="s">
        <v>510</v>
      </c>
      <c r="E766" s="199" t="s">
        <v>229</v>
      </c>
      <c r="F766" s="199" t="s">
        <v>229</v>
      </c>
      <c r="G766" s="199" t="s">
        <v>553</v>
      </c>
      <c r="H766" s="199" t="s">
        <v>9</v>
      </c>
      <c r="I766" s="20">
        <f>I767+I772</f>
        <v>28679.5</v>
      </c>
      <c r="J766" s="20">
        <f t="shared" ref="J766:K766" si="296">J767+J772</f>
        <v>4764.5</v>
      </c>
      <c r="K766" s="20">
        <f t="shared" si="296"/>
        <v>4764.5</v>
      </c>
      <c r="L766" s="17" t="s">
        <v>1210</v>
      </c>
      <c r="M766" s="16" t="str">
        <f t="shared" si="273"/>
        <v>09Б0200000</v>
      </c>
      <c r="N766" s="16" t="str">
        <f t="shared" si="274"/>
        <v>607070709Б0200000000</v>
      </c>
    </row>
    <row r="767" spans="2:14" s="17" customFormat="1" ht="38.25">
      <c r="B767" s="14"/>
      <c r="C767" s="197" t="s">
        <v>550</v>
      </c>
      <c r="D767" s="198" t="s">
        <v>510</v>
      </c>
      <c r="E767" s="199" t="s">
        <v>229</v>
      </c>
      <c r="F767" s="199" t="s">
        <v>229</v>
      </c>
      <c r="G767" s="199" t="s">
        <v>554</v>
      </c>
      <c r="H767" s="199" t="s">
        <v>9</v>
      </c>
      <c r="I767" s="20">
        <f>I768+I771+I770+I769</f>
        <v>5064.5</v>
      </c>
      <c r="J767" s="20">
        <f>J768+J771+J770+J769</f>
        <v>4764.5</v>
      </c>
      <c r="K767" s="20">
        <f>K768+K771+K770+K769</f>
        <v>4764.5</v>
      </c>
      <c r="L767" s="17" t="s">
        <v>1211</v>
      </c>
      <c r="M767" s="16" t="str">
        <f t="shared" si="273"/>
        <v>09Б0220460</v>
      </c>
      <c r="N767" s="16" t="str">
        <f t="shared" si="274"/>
        <v>607070709Б0220460000</v>
      </c>
    </row>
    <row r="768" spans="2:14" s="17" customFormat="1" ht="25.5">
      <c r="B768" s="14"/>
      <c r="C768" s="197" t="s">
        <v>28</v>
      </c>
      <c r="D768" s="198" t="s">
        <v>510</v>
      </c>
      <c r="E768" s="199" t="s">
        <v>229</v>
      </c>
      <c r="F768" s="199" t="s">
        <v>229</v>
      </c>
      <c r="G768" s="199" t="s">
        <v>554</v>
      </c>
      <c r="H768" s="199" t="s">
        <v>29</v>
      </c>
      <c r="I768" s="20">
        <f>549.5</f>
        <v>549.5</v>
      </c>
      <c r="J768" s="20">
        <f t="shared" ref="J768:K768" si="297">549.5</f>
        <v>549.5</v>
      </c>
      <c r="K768" s="20">
        <f t="shared" si="297"/>
        <v>549.5</v>
      </c>
      <c r="L768" s="17" t="s">
        <v>1211</v>
      </c>
      <c r="M768" s="16" t="str">
        <f t="shared" si="273"/>
        <v>09Б0220460</v>
      </c>
      <c r="N768" s="16" t="str">
        <f t="shared" si="274"/>
        <v>607070709Б0220460240</v>
      </c>
    </row>
    <row r="769" spans="2:14" s="17" customFormat="1">
      <c r="B769" s="14"/>
      <c r="C769" s="197" t="s">
        <v>555</v>
      </c>
      <c r="D769" s="198" t="s">
        <v>510</v>
      </c>
      <c r="E769" s="199" t="s">
        <v>229</v>
      </c>
      <c r="F769" s="199" t="s">
        <v>229</v>
      </c>
      <c r="G769" s="199" t="s">
        <v>554</v>
      </c>
      <c r="H769" s="199" t="s">
        <v>556</v>
      </c>
      <c r="I769" s="20">
        <f>2835</f>
        <v>2835</v>
      </c>
      <c r="J769" s="20">
        <f>2835</f>
        <v>2835</v>
      </c>
      <c r="K769" s="20">
        <f>2835</f>
        <v>2835</v>
      </c>
      <c r="L769" s="17" t="s">
        <v>1211</v>
      </c>
      <c r="M769" s="16" t="str">
        <f t="shared" si="273"/>
        <v>09Б0220460</v>
      </c>
      <c r="N769" s="16" t="str">
        <f t="shared" si="274"/>
        <v>607070709Б0220460340</v>
      </c>
    </row>
    <row r="770" spans="2:14" s="17" customFormat="1">
      <c r="B770" s="14"/>
      <c r="C770" s="197" t="s">
        <v>163</v>
      </c>
      <c r="D770" s="198" t="s">
        <v>510</v>
      </c>
      <c r="E770" s="199" t="s">
        <v>229</v>
      </c>
      <c r="F770" s="199" t="s">
        <v>229</v>
      </c>
      <c r="G770" s="199" t="s">
        <v>554</v>
      </c>
      <c r="H770" s="199" t="s">
        <v>164</v>
      </c>
      <c r="I770" s="20">
        <f>250</f>
        <v>250</v>
      </c>
      <c r="J770" s="20">
        <f>250</f>
        <v>250</v>
      </c>
      <c r="K770" s="20">
        <f>250</f>
        <v>250</v>
      </c>
      <c r="L770" s="17" t="s">
        <v>1211</v>
      </c>
      <c r="M770" s="16" t="str">
        <f t="shared" si="273"/>
        <v>09Б0220460</v>
      </c>
      <c r="N770" s="16" t="str">
        <f t="shared" si="274"/>
        <v>607070709Б0220460350</v>
      </c>
    </row>
    <row r="771" spans="2:14" s="17" customFormat="1">
      <c r="B771" s="14"/>
      <c r="C771" s="205" t="s">
        <v>403</v>
      </c>
      <c r="D771" s="198" t="s">
        <v>510</v>
      </c>
      <c r="E771" s="199" t="s">
        <v>229</v>
      </c>
      <c r="F771" s="199" t="s">
        <v>229</v>
      </c>
      <c r="G771" s="199" t="s">
        <v>554</v>
      </c>
      <c r="H771" s="199" t="s">
        <v>404</v>
      </c>
      <c r="I771" s="20">
        <f>1130+300</f>
        <v>1430</v>
      </c>
      <c r="J771" s="20">
        <f>1130</f>
        <v>1130</v>
      </c>
      <c r="K771" s="20">
        <f>1130</f>
        <v>1130</v>
      </c>
      <c r="L771" s="17" t="s">
        <v>1211</v>
      </c>
      <c r="M771" s="16" t="str">
        <f t="shared" si="273"/>
        <v>09Б0220460</v>
      </c>
      <c r="N771" s="16" t="str">
        <f t="shared" si="274"/>
        <v>607070709Б0220460610</v>
      </c>
    </row>
    <row r="772" spans="2:14" s="17" customFormat="1" ht="25.5">
      <c r="B772" s="14"/>
      <c r="C772" s="205" t="s">
        <v>1041</v>
      </c>
      <c r="D772" s="198" t="s">
        <v>510</v>
      </c>
      <c r="E772" s="199" t="s">
        <v>229</v>
      </c>
      <c r="F772" s="199" t="s">
        <v>229</v>
      </c>
      <c r="G772" s="199" t="s">
        <v>1042</v>
      </c>
      <c r="H772" s="199" t="s">
        <v>9</v>
      </c>
      <c r="I772" s="20">
        <f>I773</f>
        <v>23615</v>
      </c>
      <c r="J772" s="20">
        <f t="shared" ref="J772:K772" si="298">J773</f>
        <v>0</v>
      </c>
      <c r="K772" s="20">
        <f t="shared" si="298"/>
        <v>0</v>
      </c>
      <c r="L772" s="17" t="s">
        <v>1212</v>
      </c>
      <c r="M772" s="16" t="str">
        <f t="shared" si="273"/>
        <v>09Б0277430</v>
      </c>
      <c r="N772" s="16" t="str">
        <f t="shared" si="274"/>
        <v>607070709Б0277430000</v>
      </c>
    </row>
    <row r="773" spans="2:14" s="17" customFormat="1">
      <c r="B773" s="14"/>
      <c r="C773" s="374" t="s">
        <v>409</v>
      </c>
      <c r="D773" s="198" t="s">
        <v>510</v>
      </c>
      <c r="E773" s="199" t="s">
        <v>229</v>
      </c>
      <c r="F773" s="199" t="s">
        <v>229</v>
      </c>
      <c r="G773" s="199" t="s">
        <v>1042</v>
      </c>
      <c r="H773" s="199" t="s">
        <v>410</v>
      </c>
      <c r="I773" s="20">
        <f>23885-270</f>
        <v>23615</v>
      </c>
      <c r="J773" s="20">
        <v>0</v>
      </c>
      <c r="K773" s="20">
        <v>0</v>
      </c>
      <c r="L773" s="17" t="s">
        <v>1212</v>
      </c>
      <c r="M773" s="16" t="str">
        <f t="shared" si="273"/>
        <v>09Б0277430</v>
      </c>
      <c r="N773" s="16" t="str">
        <f t="shared" si="274"/>
        <v>607070709Б0277430620</v>
      </c>
    </row>
    <row r="774" spans="2:14" s="17" customFormat="1" ht="25.5">
      <c r="B774" s="14"/>
      <c r="C774" s="200" t="s">
        <v>557</v>
      </c>
      <c r="D774" s="198" t="s">
        <v>510</v>
      </c>
      <c r="E774" s="199" t="s">
        <v>229</v>
      </c>
      <c r="F774" s="199" t="s">
        <v>229</v>
      </c>
      <c r="G774" s="199" t="s">
        <v>558</v>
      </c>
      <c r="H774" s="199" t="s">
        <v>9</v>
      </c>
      <c r="I774" s="20">
        <f t="shared" ref="I774:K775" si="299">I775</f>
        <v>180</v>
      </c>
      <c r="J774" s="20">
        <f t="shared" si="299"/>
        <v>180</v>
      </c>
      <c r="K774" s="20">
        <f t="shared" si="299"/>
        <v>180</v>
      </c>
      <c r="L774" s="17" t="s">
        <v>1213</v>
      </c>
      <c r="M774" s="16" t="str">
        <f t="shared" ref="M774:M837" si="300">TEXT(L774,"0000000000")</f>
        <v>09Б0300000</v>
      </c>
      <c r="N774" s="16" t="str">
        <f t="shared" ref="N774:N837" si="301">D774&amp;E774&amp;F774&amp;M774&amp;H774</f>
        <v>607070709Б0300000000</v>
      </c>
    </row>
    <row r="775" spans="2:14" s="17" customFormat="1" ht="38.25">
      <c r="B775" s="14"/>
      <c r="C775" s="197" t="s">
        <v>550</v>
      </c>
      <c r="D775" s="198" t="s">
        <v>510</v>
      </c>
      <c r="E775" s="199" t="s">
        <v>229</v>
      </c>
      <c r="F775" s="199" t="s">
        <v>229</v>
      </c>
      <c r="G775" s="199" t="s">
        <v>559</v>
      </c>
      <c r="H775" s="199" t="s">
        <v>9</v>
      </c>
      <c r="I775" s="20">
        <f t="shared" si="299"/>
        <v>180</v>
      </c>
      <c r="J775" s="20">
        <f t="shared" si="299"/>
        <v>180</v>
      </c>
      <c r="K775" s="20">
        <f t="shared" si="299"/>
        <v>180</v>
      </c>
      <c r="L775" s="17" t="s">
        <v>1214</v>
      </c>
      <c r="M775" s="16" t="str">
        <f t="shared" si="300"/>
        <v>09Б0320460</v>
      </c>
      <c r="N775" s="16" t="str">
        <f t="shared" si="301"/>
        <v>607070709Б0320460000</v>
      </c>
    </row>
    <row r="776" spans="2:14" s="17" customFormat="1">
      <c r="B776" s="14"/>
      <c r="C776" s="205" t="s">
        <v>403</v>
      </c>
      <c r="D776" s="198" t="s">
        <v>510</v>
      </c>
      <c r="E776" s="199" t="s">
        <v>229</v>
      </c>
      <c r="F776" s="199" t="s">
        <v>229</v>
      </c>
      <c r="G776" s="199" t="s">
        <v>559</v>
      </c>
      <c r="H776" s="199" t="s">
        <v>404</v>
      </c>
      <c r="I776" s="20">
        <f>180</f>
        <v>180</v>
      </c>
      <c r="J776" s="20">
        <f>180</f>
        <v>180</v>
      </c>
      <c r="K776" s="20">
        <f>180</f>
        <v>180</v>
      </c>
      <c r="L776" s="17" t="s">
        <v>1214</v>
      </c>
      <c r="M776" s="16" t="str">
        <f t="shared" si="300"/>
        <v>09Б0320460</v>
      </c>
      <c r="N776" s="16" t="str">
        <f t="shared" si="301"/>
        <v>607070709Б0320460610</v>
      </c>
    </row>
    <row r="777" spans="2:14" s="17" customFormat="1" ht="38.25">
      <c r="B777" s="14"/>
      <c r="C777" s="200" t="s">
        <v>560</v>
      </c>
      <c r="D777" s="198" t="s">
        <v>510</v>
      </c>
      <c r="E777" s="199" t="s">
        <v>229</v>
      </c>
      <c r="F777" s="199" t="s">
        <v>229</v>
      </c>
      <c r="G777" s="199" t="s">
        <v>561</v>
      </c>
      <c r="H777" s="199" t="s">
        <v>9</v>
      </c>
      <c r="I777" s="20">
        <f t="shared" ref="I777:K778" si="302">I778</f>
        <v>310</v>
      </c>
      <c r="J777" s="20">
        <f t="shared" si="302"/>
        <v>310</v>
      </c>
      <c r="K777" s="20">
        <f t="shared" si="302"/>
        <v>310</v>
      </c>
      <c r="L777" s="17" t="s">
        <v>1215</v>
      </c>
      <c r="M777" s="16" t="str">
        <f t="shared" si="300"/>
        <v>09Б0400000</v>
      </c>
      <c r="N777" s="16" t="str">
        <f t="shared" si="301"/>
        <v>607070709Б0400000000</v>
      </c>
    </row>
    <row r="778" spans="2:14" s="17" customFormat="1" ht="38.25">
      <c r="B778" s="14"/>
      <c r="C778" s="197" t="s">
        <v>550</v>
      </c>
      <c r="D778" s="198" t="s">
        <v>510</v>
      </c>
      <c r="E778" s="199" t="s">
        <v>229</v>
      </c>
      <c r="F778" s="199" t="s">
        <v>229</v>
      </c>
      <c r="G778" s="199" t="s">
        <v>562</v>
      </c>
      <c r="H778" s="199" t="s">
        <v>9</v>
      </c>
      <c r="I778" s="20">
        <f t="shared" si="302"/>
        <v>310</v>
      </c>
      <c r="J778" s="20">
        <f t="shared" si="302"/>
        <v>310</v>
      </c>
      <c r="K778" s="20">
        <f t="shared" si="302"/>
        <v>310</v>
      </c>
      <c r="L778" s="17" t="s">
        <v>1216</v>
      </c>
      <c r="M778" s="16" t="str">
        <f t="shared" si="300"/>
        <v>09Б0420460</v>
      </c>
      <c r="N778" s="16" t="str">
        <f t="shared" si="301"/>
        <v>607070709Б0420460000</v>
      </c>
    </row>
    <row r="779" spans="2:14" s="17" customFormat="1">
      <c r="B779" s="14"/>
      <c r="C779" s="205" t="s">
        <v>403</v>
      </c>
      <c r="D779" s="198" t="s">
        <v>510</v>
      </c>
      <c r="E779" s="199" t="s">
        <v>229</v>
      </c>
      <c r="F779" s="199" t="s">
        <v>229</v>
      </c>
      <c r="G779" s="199" t="s">
        <v>562</v>
      </c>
      <c r="H779" s="199" t="s">
        <v>404</v>
      </c>
      <c r="I779" s="20">
        <f>310</f>
        <v>310</v>
      </c>
      <c r="J779" s="20">
        <f>310</f>
        <v>310</v>
      </c>
      <c r="K779" s="20">
        <f>310</f>
        <v>310</v>
      </c>
      <c r="L779" s="17" t="s">
        <v>1216</v>
      </c>
      <c r="M779" s="16" t="str">
        <f t="shared" si="300"/>
        <v>09Б0420460</v>
      </c>
      <c r="N779" s="16" t="str">
        <f t="shared" si="301"/>
        <v>607070709Б0420460610</v>
      </c>
    </row>
    <row r="780" spans="2:14" s="17" customFormat="1" ht="38.25">
      <c r="B780" s="14"/>
      <c r="C780" s="200" t="s">
        <v>563</v>
      </c>
      <c r="D780" s="198" t="s">
        <v>510</v>
      </c>
      <c r="E780" s="199" t="s">
        <v>229</v>
      </c>
      <c r="F780" s="199" t="s">
        <v>229</v>
      </c>
      <c r="G780" s="199" t="s">
        <v>564</v>
      </c>
      <c r="H780" s="199" t="s">
        <v>9</v>
      </c>
      <c r="I780" s="20">
        <f t="shared" ref="I780:K781" si="303">I781</f>
        <v>25.54</v>
      </c>
      <c r="J780" s="20">
        <f t="shared" si="303"/>
        <v>25.54</v>
      </c>
      <c r="K780" s="20">
        <f t="shared" si="303"/>
        <v>25.54</v>
      </c>
      <c r="L780" s="17" t="s">
        <v>1217</v>
      </c>
      <c r="M780" s="16" t="str">
        <f t="shared" si="300"/>
        <v>09Б0500000</v>
      </c>
      <c r="N780" s="16" t="str">
        <f t="shared" si="301"/>
        <v>607070709Б0500000000</v>
      </c>
    </row>
    <row r="781" spans="2:14" s="17" customFormat="1" ht="38.25">
      <c r="B781" s="14"/>
      <c r="C781" s="197" t="s">
        <v>550</v>
      </c>
      <c r="D781" s="198" t="s">
        <v>510</v>
      </c>
      <c r="E781" s="199" t="s">
        <v>229</v>
      </c>
      <c r="F781" s="199" t="s">
        <v>229</v>
      </c>
      <c r="G781" s="199" t="s">
        <v>565</v>
      </c>
      <c r="H781" s="199" t="s">
        <v>9</v>
      </c>
      <c r="I781" s="20">
        <f t="shared" si="303"/>
        <v>25.54</v>
      </c>
      <c r="J781" s="20">
        <f t="shared" si="303"/>
        <v>25.54</v>
      </c>
      <c r="K781" s="20">
        <f t="shared" si="303"/>
        <v>25.54</v>
      </c>
      <c r="L781" s="17" t="s">
        <v>1218</v>
      </c>
      <c r="M781" s="16" t="str">
        <f t="shared" si="300"/>
        <v>09Б0520460</v>
      </c>
      <c r="N781" s="16" t="str">
        <f t="shared" si="301"/>
        <v>607070709Б0520460000</v>
      </c>
    </row>
    <row r="782" spans="2:14" s="17" customFormat="1">
      <c r="B782" s="14"/>
      <c r="C782" s="205" t="s">
        <v>403</v>
      </c>
      <c r="D782" s="198" t="s">
        <v>510</v>
      </c>
      <c r="E782" s="199" t="s">
        <v>229</v>
      </c>
      <c r="F782" s="199" t="s">
        <v>229</v>
      </c>
      <c r="G782" s="199" t="s">
        <v>565</v>
      </c>
      <c r="H782" s="199" t="s">
        <v>404</v>
      </c>
      <c r="I782" s="20">
        <f>25.54</f>
        <v>25.54</v>
      </c>
      <c r="J782" s="20">
        <f t="shared" ref="J782:K782" si="304">25.54</f>
        <v>25.54</v>
      </c>
      <c r="K782" s="20">
        <f t="shared" si="304"/>
        <v>25.54</v>
      </c>
      <c r="L782" s="17" t="s">
        <v>1218</v>
      </c>
      <c r="M782" s="16" t="str">
        <f t="shared" si="300"/>
        <v>09Б0520460</v>
      </c>
      <c r="N782" s="16" t="str">
        <f t="shared" si="301"/>
        <v>607070709Б0520460610</v>
      </c>
    </row>
    <row r="783" spans="2:14" s="17" customFormat="1" ht="25.5">
      <c r="B783" s="14"/>
      <c r="C783" s="200" t="s">
        <v>566</v>
      </c>
      <c r="D783" s="198" t="s">
        <v>510</v>
      </c>
      <c r="E783" s="199" t="s">
        <v>229</v>
      </c>
      <c r="F783" s="199" t="s">
        <v>229</v>
      </c>
      <c r="G783" s="199" t="s">
        <v>567</v>
      </c>
      <c r="H783" s="199" t="s">
        <v>9</v>
      </c>
      <c r="I783" s="20">
        <f>I784+I786</f>
        <v>3945.25</v>
      </c>
      <c r="J783" s="20">
        <f>J784+J786</f>
        <v>3885.25</v>
      </c>
      <c r="K783" s="20">
        <f>K784+K786</f>
        <v>3885.25</v>
      </c>
      <c r="L783" s="17" t="s">
        <v>1219</v>
      </c>
      <c r="M783" s="16" t="str">
        <f t="shared" si="300"/>
        <v>09Б0600000</v>
      </c>
      <c r="N783" s="16" t="str">
        <f t="shared" si="301"/>
        <v>607070709Б0600000000</v>
      </c>
    </row>
    <row r="784" spans="2:14" s="17" customFormat="1" ht="25.5">
      <c r="B784" s="14"/>
      <c r="C784" s="249" t="s">
        <v>136</v>
      </c>
      <c r="D784" s="198" t="s">
        <v>510</v>
      </c>
      <c r="E784" s="199" t="s">
        <v>229</v>
      </c>
      <c r="F784" s="199" t="s">
        <v>229</v>
      </c>
      <c r="G784" s="199" t="s">
        <v>568</v>
      </c>
      <c r="H784" s="199" t="s">
        <v>9</v>
      </c>
      <c r="I784" s="20">
        <f t="shared" ref="I784:K784" si="305">I785</f>
        <v>3832.52</v>
      </c>
      <c r="J784" s="20">
        <f t="shared" si="305"/>
        <v>3885.25</v>
      </c>
      <c r="K784" s="20">
        <f t="shared" si="305"/>
        <v>3885.25</v>
      </c>
      <c r="L784" s="17" t="s">
        <v>1220</v>
      </c>
      <c r="M784" s="16" t="str">
        <f t="shared" si="300"/>
        <v>09Б0611010</v>
      </c>
      <c r="N784" s="16" t="str">
        <f t="shared" si="301"/>
        <v>607070709Б0611010000</v>
      </c>
    </row>
    <row r="785" spans="2:14" s="17" customFormat="1">
      <c r="B785" s="14"/>
      <c r="C785" s="205" t="s">
        <v>403</v>
      </c>
      <c r="D785" s="198" t="s">
        <v>510</v>
      </c>
      <c r="E785" s="199" t="s">
        <v>229</v>
      </c>
      <c r="F785" s="199" t="s">
        <v>229</v>
      </c>
      <c r="G785" s="199" t="s">
        <v>568</v>
      </c>
      <c r="H785" s="199" t="s">
        <v>404</v>
      </c>
      <c r="I785" s="20">
        <f>2755.66+651+60+1.71+364.15</f>
        <v>3832.52</v>
      </c>
      <c r="J785" s="20">
        <f>2755.66+651+114.44+364.15</f>
        <v>3885.25</v>
      </c>
      <c r="K785" s="20">
        <f>2755.66+651+114.44+364.15</f>
        <v>3885.25</v>
      </c>
      <c r="L785" s="17" t="s">
        <v>1220</v>
      </c>
      <c r="M785" s="16" t="str">
        <f t="shared" si="300"/>
        <v>09Б0611010</v>
      </c>
      <c r="N785" s="16" t="str">
        <f t="shared" si="301"/>
        <v>607070709Б0611010610</v>
      </c>
    </row>
    <row r="786" spans="2:14" s="17" customFormat="1" ht="191.25">
      <c r="B786" s="14" t="s">
        <v>2282</v>
      </c>
      <c r="C786" s="197" t="s">
        <v>2269</v>
      </c>
      <c r="D786" s="198" t="s">
        <v>510</v>
      </c>
      <c r="E786" s="199" t="s">
        <v>229</v>
      </c>
      <c r="F786" s="199" t="s">
        <v>229</v>
      </c>
      <c r="G786" s="199" t="s">
        <v>1289</v>
      </c>
      <c r="H786" s="199" t="s">
        <v>9</v>
      </c>
      <c r="I786" s="20">
        <f>I787</f>
        <v>112.73</v>
      </c>
      <c r="J786" s="20">
        <f t="shared" ref="J786:K786" si="306">J787</f>
        <v>0</v>
      </c>
      <c r="K786" s="20">
        <f t="shared" si="306"/>
        <v>0</v>
      </c>
      <c r="L786" s="17" t="s">
        <v>2031</v>
      </c>
      <c r="M786" s="16" t="str">
        <f t="shared" si="300"/>
        <v>09Б0677460</v>
      </c>
      <c r="N786" s="16" t="str">
        <f t="shared" si="301"/>
        <v>607070709Б0677460000</v>
      </c>
    </row>
    <row r="787" spans="2:14" s="17" customFormat="1">
      <c r="B787" s="14"/>
      <c r="C787" s="205" t="s">
        <v>403</v>
      </c>
      <c r="D787" s="198" t="s">
        <v>510</v>
      </c>
      <c r="E787" s="199" t="s">
        <v>229</v>
      </c>
      <c r="F787" s="199" t="s">
        <v>229</v>
      </c>
      <c r="G787" s="199" t="s">
        <v>1289</v>
      </c>
      <c r="H787" s="199" t="s">
        <v>404</v>
      </c>
      <c r="I787" s="20">
        <f>112.73</f>
        <v>112.73</v>
      </c>
      <c r="J787" s="20">
        <v>0</v>
      </c>
      <c r="K787" s="20">
        <v>0</v>
      </c>
      <c r="L787" s="17" t="s">
        <v>2031</v>
      </c>
      <c r="M787" s="16" t="str">
        <f t="shared" si="300"/>
        <v>09Б0677460</v>
      </c>
      <c r="N787" s="16" t="str">
        <f t="shared" si="301"/>
        <v>607070709Б0677460610</v>
      </c>
    </row>
    <row r="788" spans="2:14" s="16" customFormat="1" ht="38.25">
      <c r="B788" s="14"/>
      <c r="C788" s="200" t="s">
        <v>146</v>
      </c>
      <c r="D788" s="198" t="s">
        <v>510</v>
      </c>
      <c r="E788" s="199" t="s">
        <v>229</v>
      </c>
      <c r="F788" s="199" t="s">
        <v>229</v>
      </c>
      <c r="G788" s="203" t="s">
        <v>147</v>
      </c>
      <c r="H788" s="203" t="s">
        <v>9</v>
      </c>
      <c r="I788" s="27">
        <f>I789</f>
        <v>390</v>
      </c>
      <c r="J788" s="27">
        <f t="shared" ref="J788:K790" si="307">J789</f>
        <v>0</v>
      </c>
      <c r="K788" s="27">
        <f t="shared" si="307"/>
        <v>0</v>
      </c>
      <c r="L788" s="16">
        <v>1500000000</v>
      </c>
      <c r="M788" s="16" t="str">
        <f t="shared" si="300"/>
        <v>1500000000</v>
      </c>
      <c r="N788" s="16" t="str">
        <f t="shared" si="301"/>
        <v>60707071500000000000</v>
      </c>
    </row>
    <row r="789" spans="2:14" s="16" customFormat="1" ht="38.25">
      <c r="B789" s="14"/>
      <c r="C789" s="197" t="s">
        <v>1065</v>
      </c>
      <c r="D789" s="198" t="s">
        <v>510</v>
      </c>
      <c r="E789" s="199" t="s">
        <v>229</v>
      </c>
      <c r="F789" s="199" t="s">
        <v>229</v>
      </c>
      <c r="G789" s="203" t="s">
        <v>149</v>
      </c>
      <c r="H789" s="203" t="s">
        <v>9</v>
      </c>
      <c r="I789" s="27">
        <f>I790</f>
        <v>390</v>
      </c>
      <c r="J789" s="27">
        <f t="shared" si="307"/>
        <v>0</v>
      </c>
      <c r="K789" s="27">
        <f t="shared" si="307"/>
        <v>0</v>
      </c>
      <c r="L789" s="16">
        <v>1510000000</v>
      </c>
      <c r="M789" s="16" t="str">
        <f t="shared" si="300"/>
        <v>1510000000</v>
      </c>
      <c r="N789" s="16" t="str">
        <f t="shared" si="301"/>
        <v>60707071510000000000</v>
      </c>
    </row>
    <row r="790" spans="2:14" s="16" customFormat="1" ht="38.25">
      <c r="B790" s="14"/>
      <c r="C790" s="197" t="s">
        <v>1071</v>
      </c>
      <c r="D790" s="198" t="s">
        <v>510</v>
      </c>
      <c r="E790" s="199" t="s">
        <v>229</v>
      </c>
      <c r="F790" s="199" t="s">
        <v>229</v>
      </c>
      <c r="G790" s="198" t="s">
        <v>274</v>
      </c>
      <c r="H790" s="203" t="s">
        <v>9</v>
      </c>
      <c r="I790" s="20">
        <f>I791</f>
        <v>390</v>
      </c>
      <c r="J790" s="20">
        <f t="shared" si="307"/>
        <v>0</v>
      </c>
      <c r="K790" s="20">
        <f t="shared" si="307"/>
        <v>0</v>
      </c>
      <c r="L790" s="16">
        <v>1510200000</v>
      </c>
      <c r="M790" s="16" t="str">
        <f t="shared" si="300"/>
        <v>1510200000</v>
      </c>
      <c r="N790" s="16" t="str">
        <f t="shared" si="301"/>
        <v>60707071510200000000</v>
      </c>
    </row>
    <row r="791" spans="2:14" s="16" customFormat="1" ht="25.5">
      <c r="B791" s="14"/>
      <c r="C791" s="201" t="s">
        <v>152</v>
      </c>
      <c r="D791" s="198" t="s">
        <v>510</v>
      </c>
      <c r="E791" s="199" t="s">
        <v>229</v>
      </c>
      <c r="F791" s="199" t="s">
        <v>229</v>
      </c>
      <c r="G791" s="198" t="s">
        <v>275</v>
      </c>
      <c r="H791" s="203" t="s">
        <v>9</v>
      </c>
      <c r="I791" s="27">
        <f>SUM(I792:I792)</f>
        <v>390</v>
      </c>
      <c r="J791" s="27">
        <f>SUM(J792:J792)</f>
        <v>0</v>
      </c>
      <c r="K791" s="27">
        <f>SUM(K792:K792)</f>
        <v>0</v>
      </c>
      <c r="L791" s="16">
        <v>1510220350</v>
      </c>
      <c r="M791" s="16" t="str">
        <f t="shared" si="300"/>
        <v>1510220350</v>
      </c>
      <c r="N791" s="16" t="str">
        <f t="shared" si="301"/>
        <v>60707071510220350000</v>
      </c>
    </row>
    <row r="792" spans="2:14" s="16" customFormat="1">
      <c r="B792" s="14"/>
      <c r="C792" s="205" t="s">
        <v>403</v>
      </c>
      <c r="D792" s="198" t="s">
        <v>510</v>
      </c>
      <c r="E792" s="199" t="s">
        <v>229</v>
      </c>
      <c r="F792" s="199" t="s">
        <v>229</v>
      </c>
      <c r="G792" s="198" t="s">
        <v>275</v>
      </c>
      <c r="H792" s="203" t="s">
        <v>404</v>
      </c>
      <c r="I792" s="20">
        <f>390</f>
        <v>390</v>
      </c>
      <c r="J792" s="20">
        <v>0</v>
      </c>
      <c r="K792" s="20">
        <v>0</v>
      </c>
      <c r="L792" s="16">
        <v>1510220350</v>
      </c>
      <c r="M792" s="16" t="str">
        <f t="shared" si="300"/>
        <v>1510220350</v>
      </c>
      <c r="N792" s="16" t="str">
        <f t="shared" si="301"/>
        <v>60707071510220350610</v>
      </c>
    </row>
    <row r="793" spans="2:14" s="16" customFormat="1">
      <c r="B793" s="14"/>
      <c r="C793" s="191" t="s">
        <v>569</v>
      </c>
      <c r="D793" s="192" t="s">
        <v>510</v>
      </c>
      <c r="E793" s="193" t="s">
        <v>238</v>
      </c>
      <c r="F793" s="193" t="s">
        <v>7</v>
      </c>
      <c r="G793" s="193" t="s">
        <v>8</v>
      </c>
      <c r="H793" s="193" t="s">
        <v>9</v>
      </c>
      <c r="I793" s="18">
        <f>I794+I886</f>
        <v>233643.10999999996</v>
      </c>
      <c r="J793" s="18">
        <f>J794+J886</f>
        <v>196401.97</v>
      </c>
      <c r="K793" s="18">
        <f>K794+K886</f>
        <v>197063.4</v>
      </c>
      <c r="L793" s="16">
        <v>0</v>
      </c>
      <c r="M793" s="16" t="str">
        <f t="shared" si="300"/>
        <v>0000000000</v>
      </c>
      <c r="N793" s="16" t="str">
        <f t="shared" si="301"/>
        <v>60708000000000000000</v>
      </c>
    </row>
    <row r="794" spans="2:14" s="16" customFormat="1">
      <c r="B794" s="14"/>
      <c r="C794" s="194" t="s">
        <v>239</v>
      </c>
      <c r="D794" s="195" t="s">
        <v>510</v>
      </c>
      <c r="E794" s="196" t="s">
        <v>238</v>
      </c>
      <c r="F794" s="196" t="s">
        <v>11</v>
      </c>
      <c r="G794" s="196" t="s">
        <v>8</v>
      </c>
      <c r="H794" s="196" t="s">
        <v>9</v>
      </c>
      <c r="I794" s="19">
        <f>I795+I870+I865+I875+I880</f>
        <v>217975.63999999996</v>
      </c>
      <c r="J794" s="19">
        <f>J795+J870+J865+J875+J880</f>
        <v>182213.97</v>
      </c>
      <c r="K794" s="19">
        <f>K795+K870+K865+K875+K880</f>
        <v>182875.4</v>
      </c>
      <c r="L794" s="16">
        <v>0</v>
      </c>
      <c r="M794" s="16" t="str">
        <f t="shared" si="300"/>
        <v>0000000000</v>
      </c>
      <c r="N794" s="16" t="str">
        <f t="shared" si="301"/>
        <v>60708010000000000000</v>
      </c>
    </row>
    <row r="795" spans="2:14" s="16" customFormat="1">
      <c r="B795" s="14"/>
      <c r="C795" s="197" t="s">
        <v>240</v>
      </c>
      <c r="D795" s="198" t="s">
        <v>510</v>
      </c>
      <c r="E795" s="199" t="s">
        <v>238</v>
      </c>
      <c r="F795" s="199" t="s">
        <v>11</v>
      </c>
      <c r="G795" s="199" t="s">
        <v>241</v>
      </c>
      <c r="H795" s="199" t="s">
        <v>9</v>
      </c>
      <c r="I795" s="20">
        <f>I796+I801</f>
        <v>212090.43999999997</v>
      </c>
      <c r="J795" s="20">
        <f>J796+J801</f>
        <v>181385.79</v>
      </c>
      <c r="K795" s="20">
        <f>K796+K801</f>
        <v>182047.22</v>
      </c>
      <c r="L795" s="16">
        <v>700000000</v>
      </c>
      <c r="M795" s="16" t="str">
        <f t="shared" si="300"/>
        <v>0700000000</v>
      </c>
      <c r="N795" s="16" t="str">
        <f t="shared" si="301"/>
        <v>60708010700000000000</v>
      </c>
    </row>
    <row r="796" spans="2:14" s="16" customFormat="1" ht="51">
      <c r="B796" s="14"/>
      <c r="C796" s="197" t="s">
        <v>242</v>
      </c>
      <c r="D796" s="198" t="s">
        <v>510</v>
      </c>
      <c r="E796" s="199" t="s">
        <v>238</v>
      </c>
      <c r="F796" s="199" t="s">
        <v>11</v>
      </c>
      <c r="G796" s="199" t="s">
        <v>243</v>
      </c>
      <c r="H796" s="199" t="s">
        <v>9</v>
      </c>
      <c r="I796" s="20">
        <f t="shared" ref="I796:K797" si="308">I797</f>
        <v>5644</v>
      </c>
      <c r="J796" s="20">
        <f t="shared" si="308"/>
        <v>5644</v>
      </c>
      <c r="K796" s="20">
        <f t="shared" si="308"/>
        <v>5644</v>
      </c>
      <c r="L796" s="16">
        <v>710000000</v>
      </c>
      <c r="M796" s="16" t="str">
        <f t="shared" si="300"/>
        <v>0710000000</v>
      </c>
      <c r="N796" s="16" t="str">
        <f t="shared" si="301"/>
        <v>60708010710000000000</v>
      </c>
    </row>
    <row r="797" spans="2:14" s="16" customFormat="1" ht="63.75">
      <c r="B797" s="14"/>
      <c r="C797" s="197" t="s">
        <v>244</v>
      </c>
      <c r="D797" s="198" t="s">
        <v>510</v>
      </c>
      <c r="E797" s="199" t="s">
        <v>238</v>
      </c>
      <c r="F797" s="199" t="s">
        <v>11</v>
      </c>
      <c r="G797" s="199" t="s">
        <v>245</v>
      </c>
      <c r="H797" s="199" t="s">
        <v>9</v>
      </c>
      <c r="I797" s="20">
        <f t="shared" si="308"/>
        <v>5644</v>
      </c>
      <c r="J797" s="20">
        <f t="shared" si="308"/>
        <v>5644</v>
      </c>
      <c r="K797" s="20">
        <f t="shared" si="308"/>
        <v>5644</v>
      </c>
      <c r="L797" s="16">
        <v>710100000</v>
      </c>
      <c r="M797" s="16" t="str">
        <f t="shared" si="300"/>
        <v>0710100000</v>
      </c>
      <c r="N797" s="16" t="str">
        <f t="shared" si="301"/>
        <v>60708010710100000000</v>
      </c>
    </row>
    <row r="798" spans="2:14" s="16" customFormat="1" ht="25.5">
      <c r="B798" s="14"/>
      <c r="C798" s="197" t="s">
        <v>246</v>
      </c>
      <c r="D798" s="198" t="s">
        <v>510</v>
      </c>
      <c r="E798" s="199" t="s">
        <v>238</v>
      </c>
      <c r="F798" s="199" t="s">
        <v>11</v>
      </c>
      <c r="G798" s="199" t="s">
        <v>247</v>
      </c>
      <c r="H798" s="199" t="s">
        <v>9</v>
      </c>
      <c r="I798" s="20">
        <f>I799+I800</f>
        <v>5644</v>
      </c>
      <c r="J798" s="20">
        <f t="shared" ref="J798:K798" si="309">J799+J800</f>
        <v>5644</v>
      </c>
      <c r="K798" s="20">
        <f t="shared" si="309"/>
        <v>5644</v>
      </c>
      <c r="L798" s="16">
        <v>710120060</v>
      </c>
      <c r="M798" s="16" t="str">
        <f t="shared" si="300"/>
        <v>0710120060</v>
      </c>
      <c r="N798" s="16" t="str">
        <f t="shared" si="301"/>
        <v>60708010710120060000</v>
      </c>
    </row>
    <row r="799" spans="2:14" s="16" customFormat="1">
      <c r="B799" s="14"/>
      <c r="C799" s="205" t="s">
        <v>403</v>
      </c>
      <c r="D799" s="198" t="s">
        <v>510</v>
      </c>
      <c r="E799" s="199" t="s">
        <v>238</v>
      </c>
      <c r="F799" s="199" t="s">
        <v>11</v>
      </c>
      <c r="G799" s="199" t="s">
        <v>247</v>
      </c>
      <c r="H799" s="199" t="s">
        <v>404</v>
      </c>
      <c r="I799" s="20">
        <f>3172.5</f>
        <v>3172.5</v>
      </c>
      <c r="J799" s="20">
        <f t="shared" ref="J799:K799" si="310">3172.5</f>
        <v>3172.5</v>
      </c>
      <c r="K799" s="20">
        <f t="shared" si="310"/>
        <v>3172.5</v>
      </c>
      <c r="L799" s="16">
        <v>710120060</v>
      </c>
      <c r="M799" s="16" t="str">
        <f t="shared" si="300"/>
        <v>0710120060</v>
      </c>
      <c r="N799" s="16" t="str">
        <f t="shared" si="301"/>
        <v>60708010710120060610</v>
      </c>
    </row>
    <row r="800" spans="2:14" s="16" customFormat="1">
      <c r="B800" s="14"/>
      <c r="C800" s="205" t="s">
        <v>409</v>
      </c>
      <c r="D800" s="198" t="s">
        <v>510</v>
      </c>
      <c r="E800" s="199" t="s">
        <v>238</v>
      </c>
      <c r="F800" s="199" t="s">
        <v>11</v>
      </c>
      <c r="G800" s="199" t="s">
        <v>247</v>
      </c>
      <c r="H800" s="199" t="s">
        <v>410</v>
      </c>
      <c r="I800" s="20">
        <f>1851+620.5</f>
        <v>2471.5</v>
      </c>
      <c r="J800" s="20">
        <f t="shared" ref="J800:K800" si="311">1851+620.5</f>
        <v>2471.5</v>
      </c>
      <c r="K800" s="20">
        <f t="shared" si="311"/>
        <v>2471.5</v>
      </c>
      <c r="L800" s="16">
        <v>710120060</v>
      </c>
      <c r="M800" s="16" t="str">
        <f t="shared" si="300"/>
        <v>0710120060</v>
      </c>
      <c r="N800" s="16" t="str">
        <f t="shared" si="301"/>
        <v>60708010710120060620</v>
      </c>
    </row>
    <row r="801" spans="2:14" s="16" customFormat="1">
      <c r="B801" s="14"/>
      <c r="C801" s="197" t="s">
        <v>519</v>
      </c>
      <c r="D801" s="198" t="s">
        <v>510</v>
      </c>
      <c r="E801" s="199" t="s">
        <v>238</v>
      </c>
      <c r="F801" s="199" t="s">
        <v>11</v>
      </c>
      <c r="G801" s="199" t="s">
        <v>520</v>
      </c>
      <c r="H801" s="199" t="s">
        <v>9</v>
      </c>
      <c r="I801" s="20">
        <f>I802+I812+I819+I831+I855+I858+I841+I861+I844</f>
        <v>206446.43999999997</v>
      </c>
      <c r="J801" s="20">
        <f>J802+J812+J819+J831+J855+J858+J841+J861+J844</f>
        <v>175741.79</v>
      </c>
      <c r="K801" s="20">
        <f>K802+K812+K819+K831+K855+K858+K841+K861+K844</f>
        <v>176403.22</v>
      </c>
      <c r="L801" s="16">
        <v>720000000</v>
      </c>
      <c r="M801" s="16" t="str">
        <f t="shared" si="300"/>
        <v>0720000000</v>
      </c>
      <c r="N801" s="16" t="str">
        <f t="shared" si="301"/>
        <v>60708010720000000000</v>
      </c>
    </row>
    <row r="802" spans="2:14" s="16" customFormat="1" ht="25.5">
      <c r="B802" s="14"/>
      <c r="C802" s="197" t="s">
        <v>570</v>
      </c>
      <c r="D802" s="198" t="s">
        <v>510</v>
      </c>
      <c r="E802" s="199" t="s">
        <v>238</v>
      </c>
      <c r="F802" s="199" t="s">
        <v>11</v>
      </c>
      <c r="G802" s="199" t="s">
        <v>571</v>
      </c>
      <c r="H802" s="199" t="s">
        <v>9</v>
      </c>
      <c r="I802" s="20">
        <f>I803+I809+I806</f>
        <v>69707.509999999995</v>
      </c>
      <c r="J802" s="20">
        <f t="shared" ref="J802:K802" si="312">J803+J809+J806</f>
        <v>61284.66</v>
      </c>
      <c r="K802" s="20">
        <f t="shared" si="312"/>
        <v>61284.66</v>
      </c>
      <c r="L802" s="16">
        <v>720200000</v>
      </c>
      <c r="M802" s="16" t="str">
        <f t="shared" si="300"/>
        <v>0720200000</v>
      </c>
      <c r="N802" s="16" t="str">
        <f t="shared" si="301"/>
        <v>60708010720200000000</v>
      </c>
    </row>
    <row r="803" spans="2:14" s="16" customFormat="1" ht="25.5">
      <c r="B803" s="14"/>
      <c r="C803" s="197" t="s">
        <v>136</v>
      </c>
      <c r="D803" s="198" t="s">
        <v>510</v>
      </c>
      <c r="E803" s="199" t="s">
        <v>238</v>
      </c>
      <c r="F803" s="199" t="s">
        <v>11</v>
      </c>
      <c r="G803" s="199" t="s">
        <v>572</v>
      </c>
      <c r="H803" s="199" t="s">
        <v>9</v>
      </c>
      <c r="I803" s="20">
        <f>I804+I805</f>
        <v>62967.81</v>
      </c>
      <c r="J803" s="20">
        <f>J804+J805</f>
        <v>61284.66</v>
      </c>
      <c r="K803" s="20">
        <f>K804+K805</f>
        <v>61284.66</v>
      </c>
      <c r="L803" s="16">
        <v>720211010</v>
      </c>
      <c r="M803" s="16" t="str">
        <f t="shared" si="300"/>
        <v>0720211010</v>
      </c>
      <c r="N803" s="16" t="str">
        <f t="shared" si="301"/>
        <v>60708010720211010000</v>
      </c>
    </row>
    <row r="804" spans="2:14" s="16" customFormat="1">
      <c r="B804" s="14"/>
      <c r="C804" s="205" t="s">
        <v>403</v>
      </c>
      <c r="D804" s="198" t="s">
        <v>510</v>
      </c>
      <c r="E804" s="199" t="s">
        <v>238</v>
      </c>
      <c r="F804" s="199" t="s">
        <v>11</v>
      </c>
      <c r="G804" s="199" t="s">
        <v>572</v>
      </c>
      <c r="H804" s="199" t="s">
        <v>404</v>
      </c>
      <c r="I804" s="20">
        <f>40143.19</f>
        <v>40143.19</v>
      </c>
      <c r="J804" s="20">
        <f t="shared" ref="J804:K804" si="313">40143.19</f>
        <v>40143.19</v>
      </c>
      <c r="K804" s="20">
        <f t="shared" si="313"/>
        <v>40143.19</v>
      </c>
      <c r="L804" s="16">
        <v>720211010</v>
      </c>
      <c r="M804" s="16" t="str">
        <f t="shared" si="300"/>
        <v>0720211010</v>
      </c>
      <c r="N804" s="16" t="str">
        <f t="shared" si="301"/>
        <v>60708010720211010610</v>
      </c>
    </row>
    <row r="805" spans="2:14" s="16" customFormat="1">
      <c r="B805" s="14"/>
      <c r="C805" s="205" t="s">
        <v>409</v>
      </c>
      <c r="D805" s="198" t="s">
        <v>510</v>
      </c>
      <c r="E805" s="199" t="s">
        <v>238</v>
      </c>
      <c r="F805" s="199" t="s">
        <v>11</v>
      </c>
      <c r="G805" s="199" t="s">
        <v>572</v>
      </c>
      <c r="H805" s="199" t="s">
        <v>410</v>
      </c>
      <c r="I805" s="20">
        <f>21141.47+895.42+787.73</f>
        <v>22824.62</v>
      </c>
      <c r="J805" s="20">
        <f t="shared" ref="J805:K805" si="314">21141.47</f>
        <v>21141.47</v>
      </c>
      <c r="K805" s="20">
        <f t="shared" si="314"/>
        <v>21141.47</v>
      </c>
      <c r="L805" s="16">
        <v>720211010</v>
      </c>
      <c r="M805" s="16" t="str">
        <f t="shared" si="300"/>
        <v>0720211010</v>
      </c>
      <c r="N805" s="16" t="str">
        <f t="shared" si="301"/>
        <v>60708010720211010620</v>
      </c>
    </row>
    <row r="806" spans="2:14" s="16" customFormat="1" ht="38.25">
      <c r="B806" s="14"/>
      <c r="C806" s="205" t="s">
        <v>1290</v>
      </c>
      <c r="D806" s="198" t="s">
        <v>510</v>
      </c>
      <c r="E806" s="199" t="s">
        <v>238</v>
      </c>
      <c r="F806" s="199" t="s">
        <v>11</v>
      </c>
      <c r="G806" s="199" t="s">
        <v>1291</v>
      </c>
      <c r="H806" s="199" t="s">
        <v>9</v>
      </c>
      <c r="I806" s="20">
        <f>I807+I808</f>
        <v>6472.63</v>
      </c>
      <c r="J806" s="20">
        <f t="shared" ref="J806:K806" si="315">J807+J808</f>
        <v>0</v>
      </c>
      <c r="K806" s="20">
        <f t="shared" si="315"/>
        <v>0</v>
      </c>
      <c r="L806" s="16">
        <v>720277090</v>
      </c>
      <c r="M806" s="16" t="str">
        <f t="shared" si="300"/>
        <v>0720277090</v>
      </c>
      <c r="N806" s="16" t="str">
        <f t="shared" si="301"/>
        <v>60708010720277090000</v>
      </c>
    </row>
    <row r="807" spans="2:14" s="16" customFormat="1">
      <c r="B807" s="14"/>
      <c r="C807" s="205" t="s">
        <v>403</v>
      </c>
      <c r="D807" s="198" t="s">
        <v>510</v>
      </c>
      <c r="E807" s="199" t="s">
        <v>238</v>
      </c>
      <c r="F807" s="199" t="s">
        <v>11</v>
      </c>
      <c r="G807" s="199" t="s">
        <v>1291</v>
      </c>
      <c r="H807" s="199" t="s">
        <v>404</v>
      </c>
      <c r="I807" s="20">
        <f>1675.44+3192.15</f>
        <v>4867.59</v>
      </c>
      <c r="J807" s="20">
        <v>0</v>
      </c>
      <c r="K807" s="20">
        <v>0</v>
      </c>
      <c r="L807" s="16">
        <v>720277090</v>
      </c>
      <c r="M807" s="16" t="str">
        <f t="shared" si="300"/>
        <v>0720277090</v>
      </c>
      <c r="N807" s="16" t="str">
        <f t="shared" si="301"/>
        <v>60708010720277090610</v>
      </c>
    </row>
    <row r="808" spans="2:14" s="16" customFormat="1">
      <c r="B808" s="14"/>
      <c r="C808" s="205" t="s">
        <v>409</v>
      </c>
      <c r="D808" s="198" t="s">
        <v>510</v>
      </c>
      <c r="E808" s="199" t="s">
        <v>238</v>
      </c>
      <c r="F808" s="199" t="s">
        <v>11</v>
      </c>
      <c r="G808" s="199" t="s">
        <v>1291</v>
      </c>
      <c r="H808" s="199" t="s">
        <v>410</v>
      </c>
      <c r="I808" s="20">
        <f>442.82+1162.22</f>
        <v>1605.04</v>
      </c>
      <c r="J808" s="20">
        <v>0</v>
      </c>
      <c r="K808" s="20">
        <v>0</v>
      </c>
      <c r="L808" s="16">
        <v>720277090</v>
      </c>
      <c r="M808" s="16" t="str">
        <f t="shared" si="300"/>
        <v>0720277090</v>
      </c>
      <c r="N808" s="16" t="str">
        <f t="shared" si="301"/>
        <v>60708010720277090620</v>
      </c>
    </row>
    <row r="809" spans="2:14" s="16" customFormat="1" ht="25.5">
      <c r="B809" s="14"/>
      <c r="C809" s="205" t="s">
        <v>1292</v>
      </c>
      <c r="D809" s="198" t="s">
        <v>510</v>
      </c>
      <c r="E809" s="199" t="s">
        <v>238</v>
      </c>
      <c r="F809" s="199" t="s">
        <v>11</v>
      </c>
      <c r="G809" s="199" t="s">
        <v>1293</v>
      </c>
      <c r="H809" s="199" t="s">
        <v>9</v>
      </c>
      <c r="I809" s="20">
        <f>I810+I811</f>
        <v>267.07</v>
      </c>
      <c r="J809" s="20">
        <f t="shared" ref="J809:K809" si="316">J810+J811</f>
        <v>0</v>
      </c>
      <c r="K809" s="20">
        <f t="shared" si="316"/>
        <v>0</v>
      </c>
      <c r="L809" s="16" t="s">
        <v>2034</v>
      </c>
      <c r="M809" s="16" t="str">
        <f t="shared" si="300"/>
        <v>07202S7090</v>
      </c>
      <c r="N809" s="16" t="str">
        <f t="shared" si="301"/>
        <v>607080107202S7090000</v>
      </c>
    </row>
    <row r="810" spans="2:14" s="16" customFormat="1">
      <c r="B810" s="14"/>
      <c r="C810" s="205" t="s">
        <v>403</v>
      </c>
      <c r="D810" s="198" t="s">
        <v>510</v>
      </c>
      <c r="E810" s="199" t="s">
        <v>238</v>
      </c>
      <c r="F810" s="199" t="s">
        <v>11</v>
      </c>
      <c r="G810" s="199" t="s">
        <v>1293</v>
      </c>
      <c r="H810" s="199" t="s">
        <v>404</v>
      </c>
      <c r="I810" s="20">
        <f>58.68+20.07+111.13</f>
        <v>189.88</v>
      </c>
      <c r="J810" s="20">
        <v>0</v>
      </c>
      <c r="K810" s="20">
        <v>0</v>
      </c>
      <c r="L810" s="16" t="s">
        <v>2034</v>
      </c>
      <c r="M810" s="16" t="str">
        <f t="shared" si="300"/>
        <v>07202S7090</v>
      </c>
      <c r="N810" s="16" t="str">
        <f t="shared" si="301"/>
        <v>607080107202S7090610</v>
      </c>
    </row>
    <row r="811" spans="2:14" s="16" customFormat="1">
      <c r="B811" s="14"/>
      <c r="C811" s="205" t="s">
        <v>409</v>
      </c>
      <c r="D811" s="198" t="s">
        <v>510</v>
      </c>
      <c r="E811" s="199" t="s">
        <v>238</v>
      </c>
      <c r="F811" s="199" t="s">
        <v>11</v>
      </c>
      <c r="G811" s="199" t="s">
        <v>1293</v>
      </c>
      <c r="H811" s="199" t="s">
        <v>410</v>
      </c>
      <c r="I811" s="20">
        <f>49.4+27.78+0.01</f>
        <v>77.190000000000012</v>
      </c>
      <c r="J811" s="20">
        <v>0</v>
      </c>
      <c r="K811" s="20">
        <v>0</v>
      </c>
      <c r="L811" s="16" t="s">
        <v>2034</v>
      </c>
      <c r="M811" s="16" t="str">
        <f t="shared" si="300"/>
        <v>07202S7090</v>
      </c>
      <c r="N811" s="16" t="str">
        <f t="shared" si="301"/>
        <v>607080107202S7090620</v>
      </c>
    </row>
    <row r="812" spans="2:14" s="16" customFormat="1" ht="25.5">
      <c r="B812" s="14"/>
      <c r="C812" s="197" t="s">
        <v>573</v>
      </c>
      <c r="D812" s="198" t="s">
        <v>510</v>
      </c>
      <c r="E812" s="199" t="s">
        <v>238</v>
      </c>
      <c r="F812" s="199" t="s">
        <v>11</v>
      </c>
      <c r="G812" s="199" t="s">
        <v>574</v>
      </c>
      <c r="H812" s="199" t="s">
        <v>9</v>
      </c>
      <c r="I812" s="20">
        <f>I813+I817+I815</f>
        <v>3830.97</v>
      </c>
      <c r="J812" s="20">
        <f t="shared" ref="J812:K812" si="317">J813+J817+J815</f>
        <v>3557.02</v>
      </c>
      <c r="K812" s="20">
        <f t="shared" si="317"/>
        <v>3557.02</v>
      </c>
      <c r="L812" s="16">
        <v>720300000</v>
      </c>
      <c r="M812" s="16" t="str">
        <f t="shared" si="300"/>
        <v>0720300000</v>
      </c>
      <c r="N812" s="16" t="str">
        <f t="shared" si="301"/>
        <v>60708010720300000000</v>
      </c>
    </row>
    <row r="813" spans="2:14" s="16" customFormat="1" ht="25.5">
      <c r="B813" s="14"/>
      <c r="C813" s="197" t="s">
        <v>136</v>
      </c>
      <c r="D813" s="198" t="s">
        <v>510</v>
      </c>
      <c r="E813" s="199" t="s">
        <v>238</v>
      </c>
      <c r="F813" s="199" t="s">
        <v>11</v>
      </c>
      <c r="G813" s="199" t="s">
        <v>575</v>
      </c>
      <c r="H813" s="199" t="s">
        <v>9</v>
      </c>
      <c r="I813" s="20">
        <f t="shared" ref="I813:K813" si="318">I814</f>
        <v>3592.32</v>
      </c>
      <c r="J813" s="20">
        <f t="shared" si="318"/>
        <v>3557.02</v>
      </c>
      <c r="K813" s="20">
        <f t="shared" si="318"/>
        <v>3557.02</v>
      </c>
      <c r="L813" s="16">
        <v>720311010</v>
      </c>
      <c r="M813" s="16" t="str">
        <f t="shared" si="300"/>
        <v>0720311010</v>
      </c>
      <c r="N813" s="16" t="str">
        <f t="shared" si="301"/>
        <v>60708010720311010000</v>
      </c>
    </row>
    <row r="814" spans="2:14" s="16" customFormat="1">
      <c r="B814" s="14"/>
      <c r="C814" s="205" t="s">
        <v>403</v>
      </c>
      <c r="D814" s="198" t="s">
        <v>510</v>
      </c>
      <c r="E814" s="199" t="s">
        <v>238</v>
      </c>
      <c r="F814" s="199" t="s">
        <v>11</v>
      </c>
      <c r="G814" s="199" t="s">
        <v>575</v>
      </c>
      <c r="H814" s="199" t="s">
        <v>404</v>
      </c>
      <c r="I814" s="20">
        <f>3557.02+35.3</f>
        <v>3592.32</v>
      </c>
      <c r="J814" s="20">
        <f t="shared" ref="J814:K814" si="319">3557.02</f>
        <v>3557.02</v>
      </c>
      <c r="K814" s="20">
        <f t="shared" si="319"/>
        <v>3557.02</v>
      </c>
      <c r="L814" s="16">
        <v>720311010</v>
      </c>
      <c r="M814" s="16" t="str">
        <f t="shared" si="300"/>
        <v>0720311010</v>
      </c>
      <c r="N814" s="16" t="str">
        <f t="shared" si="301"/>
        <v>60708010720311010610</v>
      </c>
    </row>
    <row r="815" spans="2:14" s="16" customFormat="1" ht="38.25">
      <c r="B815" s="14"/>
      <c r="C815" s="205" t="s">
        <v>1290</v>
      </c>
      <c r="D815" s="198" t="s">
        <v>510</v>
      </c>
      <c r="E815" s="199" t="s">
        <v>238</v>
      </c>
      <c r="F815" s="199" t="s">
        <v>11</v>
      </c>
      <c r="G815" s="199" t="s">
        <v>1294</v>
      </c>
      <c r="H815" s="199" t="s">
        <v>9</v>
      </c>
      <c r="I815" s="20">
        <f>I816</f>
        <v>207.22</v>
      </c>
      <c r="J815" s="20">
        <f t="shared" ref="J815:K815" si="320">J816</f>
        <v>0</v>
      </c>
      <c r="K815" s="20">
        <f t="shared" si="320"/>
        <v>0</v>
      </c>
      <c r="L815" s="16">
        <v>720377090</v>
      </c>
      <c r="M815" s="16" t="str">
        <f t="shared" si="300"/>
        <v>0720377090</v>
      </c>
      <c r="N815" s="16" t="str">
        <f t="shared" si="301"/>
        <v>60708010720377090000</v>
      </c>
    </row>
    <row r="816" spans="2:14" s="16" customFormat="1">
      <c r="B816" s="14"/>
      <c r="C816" s="205" t="s">
        <v>403</v>
      </c>
      <c r="D816" s="198" t="s">
        <v>510</v>
      </c>
      <c r="E816" s="199" t="s">
        <v>238</v>
      </c>
      <c r="F816" s="199" t="s">
        <v>11</v>
      </c>
      <c r="G816" s="199" t="s">
        <v>1294</v>
      </c>
      <c r="H816" s="199" t="s">
        <v>404</v>
      </c>
      <c r="I816" s="20">
        <f>35+172.22</f>
        <v>207.22</v>
      </c>
      <c r="J816" s="20">
        <v>0</v>
      </c>
      <c r="K816" s="20">
        <v>0</v>
      </c>
      <c r="L816" s="16">
        <v>720377090</v>
      </c>
      <c r="M816" s="16" t="str">
        <f t="shared" si="300"/>
        <v>0720377090</v>
      </c>
      <c r="N816" s="16" t="str">
        <f t="shared" si="301"/>
        <v>60708010720377090610</v>
      </c>
    </row>
    <row r="817" spans="2:14" s="16" customFormat="1" ht="25.5">
      <c r="B817" s="14"/>
      <c r="C817" s="205" t="s">
        <v>1292</v>
      </c>
      <c r="D817" s="198" t="s">
        <v>510</v>
      </c>
      <c r="E817" s="199" t="s">
        <v>238</v>
      </c>
      <c r="F817" s="199" t="s">
        <v>11</v>
      </c>
      <c r="G817" s="199" t="s">
        <v>1295</v>
      </c>
      <c r="H817" s="199" t="s">
        <v>9</v>
      </c>
      <c r="I817" s="20">
        <f>I818</f>
        <v>31.43</v>
      </c>
      <c r="J817" s="20">
        <f t="shared" ref="J817:K817" si="321">J818</f>
        <v>0</v>
      </c>
      <c r="K817" s="20">
        <f t="shared" si="321"/>
        <v>0</v>
      </c>
      <c r="L817" s="16" t="s">
        <v>2037</v>
      </c>
      <c r="M817" s="16" t="str">
        <f t="shared" si="300"/>
        <v>07203S7090</v>
      </c>
      <c r="N817" s="16" t="str">
        <f t="shared" si="301"/>
        <v>607080107203S7090000</v>
      </c>
    </row>
    <row r="818" spans="2:14" s="16" customFormat="1">
      <c r="B818" s="14"/>
      <c r="C818" s="205" t="s">
        <v>403</v>
      </c>
      <c r="D818" s="198" t="s">
        <v>510</v>
      </c>
      <c r="E818" s="199" t="s">
        <v>238</v>
      </c>
      <c r="F818" s="199" t="s">
        <v>11</v>
      </c>
      <c r="G818" s="199" t="s">
        <v>1295</v>
      </c>
      <c r="H818" s="199" t="s">
        <v>404</v>
      </c>
      <c r="I818" s="20">
        <f>3.65+27.78</f>
        <v>31.43</v>
      </c>
      <c r="J818" s="20">
        <v>0</v>
      </c>
      <c r="K818" s="20">
        <v>0</v>
      </c>
      <c r="L818" s="16" t="s">
        <v>2037</v>
      </c>
      <c r="M818" s="16" t="str">
        <f t="shared" si="300"/>
        <v>07203S7090</v>
      </c>
      <c r="N818" s="16" t="str">
        <f t="shared" si="301"/>
        <v>607080107203S7090610</v>
      </c>
    </row>
    <row r="819" spans="2:14" s="16" customFormat="1" ht="38.25">
      <c r="B819" s="14"/>
      <c r="C819" s="197" t="s">
        <v>576</v>
      </c>
      <c r="D819" s="198" t="s">
        <v>510</v>
      </c>
      <c r="E819" s="199" t="s">
        <v>238</v>
      </c>
      <c r="F819" s="199" t="s">
        <v>11</v>
      </c>
      <c r="G819" s="199" t="s">
        <v>577</v>
      </c>
      <c r="H819" s="199" t="s">
        <v>9</v>
      </c>
      <c r="I819" s="20">
        <f>I820+I824+I829+I822</f>
        <v>57061.889999999992</v>
      </c>
      <c r="J819" s="20">
        <f>J820+J824+J829</f>
        <v>50816.57</v>
      </c>
      <c r="K819" s="20">
        <f>K820+K824+K829</f>
        <v>50816.57</v>
      </c>
      <c r="L819" s="16">
        <v>720400000</v>
      </c>
      <c r="M819" s="16" t="str">
        <f t="shared" si="300"/>
        <v>0720400000</v>
      </c>
      <c r="N819" s="16" t="str">
        <f t="shared" si="301"/>
        <v>60708010720400000000</v>
      </c>
    </row>
    <row r="820" spans="2:14" s="16" customFormat="1" ht="25.5">
      <c r="B820" s="14"/>
      <c r="C820" s="197" t="s">
        <v>136</v>
      </c>
      <c r="D820" s="198" t="s">
        <v>510</v>
      </c>
      <c r="E820" s="199" t="s">
        <v>238</v>
      </c>
      <c r="F820" s="199" t="s">
        <v>11</v>
      </c>
      <c r="G820" s="199" t="s">
        <v>578</v>
      </c>
      <c r="H820" s="199" t="s">
        <v>9</v>
      </c>
      <c r="I820" s="20">
        <f>I821</f>
        <v>49003.969999999994</v>
      </c>
      <c r="J820" s="20">
        <f>J821</f>
        <v>49039.27</v>
      </c>
      <c r="K820" s="20">
        <f>K821</f>
        <v>49039.27</v>
      </c>
      <c r="L820" s="16">
        <v>720411010</v>
      </c>
      <c r="M820" s="16" t="str">
        <f t="shared" si="300"/>
        <v>0720411010</v>
      </c>
      <c r="N820" s="16" t="str">
        <f t="shared" si="301"/>
        <v>60708010720411010000</v>
      </c>
    </row>
    <row r="821" spans="2:14" s="16" customFormat="1">
      <c r="B821" s="14"/>
      <c r="C821" s="205" t="s">
        <v>403</v>
      </c>
      <c r="D821" s="198" t="s">
        <v>510</v>
      </c>
      <c r="E821" s="199" t="s">
        <v>238</v>
      </c>
      <c r="F821" s="199" t="s">
        <v>11</v>
      </c>
      <c r="G821" s="199" t="s">
        <v>578</v>
      </c>
      <c r="H821" s="199" t="s">
        <v>404</v>
      </c>
      <c r="I821" s="20">
        <f>49039.27-35.3</f>
        <v>49003.969999999994</v>
      </c>
      <c r="J821" s="20">
        <f t="shared" ref="J821:K821" si="322">49039.27</f>
        <v>49039.27</v>
      </c>
      <c r="K821" s="20">
        <f t="shared" si="322"/>
        <v>49039.27</v>
      </c>
      <c r="L821" s="16">
        <v>720411010</v>
      </c>
      <c r="M821" s="16" t="str">
        <f t="shared" si="300"/>
        <v>0720411010</v>
      </c>
      <c r="N821" s="16" t="str">
        <f t="shared" si="301"/>
        <v>60708010720411010610</v>
      </c>
    </row>
    <row r="822" spans="2:14" s="16" customFormat="1" ht="38.25">
      <c r="B822" s="14"/>
      <c r="C822" s="205" t="s">
        <v>1290</v>
      </c>
      <c r="D822" s="198" t="s">
        <v>510</v>
      </c>
      <c r="E822" s="199" t="s">
        <v>238</v>
      </c>
      <c r="F822" s="199" t="s">
        <v>11</v>
      </c>
      <c r="G822" s="199" t="s">
        <v>1296</v>
      </c>
      <c r="H822" s="199" t="s">
        <v>9</v>
      </c>
      <c r="I822" s="20">
        <f>I823</f>
        <v>5524.9</v>
      </c>
      <c r="J822" s="20">
        <f t="shared" ref="J822:K822" si="323">J823</f>
        <v>0</v>
      </c>
      <c r="K822" s="20">
        <f t="shared" si="323"/>
        <v>0</v>
      </c>
      <c r="L822" s="16">
        <v>720477090</v>
      </c>
      <c r="M822" s="16" t="str">
        <f t="shared" si="300"/>
        <v>0720477090</v>
      </c>
      <c r="N822" s="16" t="str">
        <f t="shared" si="301"/>
        <v>60708010720477090000</v>
      </c>
    </row>
    <row r="823" spans="2:14" s="16" customFormat="1">
      <c r="B823" s="14"/>
      <c r="C823" s="205" t="s">
        <v>403</v>
      </c>
      <c r="D823" s="198" t="s">
        <v>510</v>
      </c>
      <c r="E823" s="199" t="s">
        <v>238</v>
      </c>
      <c r="F823" s="199" t="s">
        <v>11</v>
      </c>
      <c r="G823" s="199" t="s">
        <v>1296</v>
      </c>
      <c r="H823" s="199" t="s">
        <v>404</v>
      </c>
      <c r="I823" s="20">
        <f>3035.2+2489.7</f>
        <v>5524.9</v>
      </c>
      <c r="J823" s="20">
        <v>0</v>
      </c>
      <c r="K823" s="20">
        <v>0</v>
      </c>
      <c r="L823" s="16">
        <v>720477090</v>
      </c>
      <c r="M823" s="16" t="str">
        <f t="shared" si="300"/>
        <v>0720477090</v>
      </c>
      <c r="N823" s="16" t="str">
        <f t="shared" si="301"/>
        <v>60708010720477090610</v>
      </c>
    </row>
    <row r="824" spans="2:14" s="16" customFormat="1" ht="25.5">
      <c r="B824" s="14"/>
      <c r="C824" s="205" t="s">
        <v>1297</v>
      </c>
      <c r="D824" s="198" t="s">
        <v>510</v>
      </c>
      <c r="E824" s="199" t="s">
        <v>238</v>
      </c>
      <c r="F824" s="199" t="s">
        <v>11</v>
      </c>
      <c r="G824" s="199" t="s">
        <v>580</v>
      </c>
      <c r="H824" s="199" t="s">
        <v>9</v>
      </c>
      <c r="I824" s="20">
        <f>I828</f>
        <v>2174.77</v>
      </c>
      <c r="J824" s="20">
        <f>J828</f>
        <v>1777.3</v>
      </c>
      <c r="K824" s="20">
        <f>K828</f>
        <v>1777.3</v>
      </c>
      <c r="L824" s="16" t="s">
        <v>1221</v>
      </c>
      <c r="M824" s="16" t="str">
        <f t="shared" si="300"/>
        <v>07204L5194</v>
      </c>
      <c r="N824" s="16" t="str">
        <f t="shared" si="301"/>
        <v>607080107204L5194000</v>
      </c>
    </row>
    <row r="825" spans="2:14" s="16" customFormat="1">
      <c r="B825" s="14"/>
      <c r="C825" s="205" t="s">
        <v>1045</v>
      </c>
      <c r="D825" s="198"/>
      <c r="E825" s="199"/>
      <c r="F825" s="199"/>
      <c r="G825" s="199"/>
      <c r="H825" s="199"/>
      <c r="I825" s="20"/>
      <c r="J825" s="20"/>
      <c r="K825" s="20"/>
      <c r="M825" s="16" t="str">
        <f t="shared" si="300"/>
        <v>0000000000</v>
      </c>
      <c r="N825" s="16" t="str">
        <f t="shared" si="301"/>
        <v>0000000000</v>
      </c>
    </row>
    <row r="826" spans="2:14" s="16" customFormat="1">
      <c r="B826" s="14"/>
      <c r="C826" s="197" t="s">
        <v>1050</v>
      </c>
      <c r="D826" s="198" t="s">
        <v>510</v>
      </c>
      <c r="E826" s="199" t="s">
        <v>238</v>
      </c>
      <c r="F826" s="199" t="s">
        <v>11</v>
      </c>
      <c r="G826" s="199" t="s">
        <v>580</v>
      </c>
      <c r="H826" s="199" t="s">
        <v>9</v>
      </c>
      <c r="I826" s="20">
        <v>1122.0999999999999</v>
      </c>
      <c r="J826" s="20">
        <f>J828</f>
        <v>1777.3</v>
      </c>
      <c r="K826" s="20">
        <f>K828</f>
        <v>1777.3</v>
      </c>
      <c r="L826" s="16" t="s">
        <v>1221</v>
      </c>
      <c r="M826" s="16" t="str">
        <f t="shared" si="300"/>
        <v>07204L5194</v>
      </c>
      <c r="N826" s="16" t="str">
        <f t="shared" si="301"/>
        <v>607080107204L5194000</v>
      </c>
    </row>
    <row r="827" spans="2:14" s="16" customFormat="1">
      <c r="B827" s="14"/>
      <c r="C827" s="197" t="s">
        <v>1051</v>
      </c>
      <c r="D827" s="198" t="s">
        <v>510</v>
      </c>
      <c r="E827" s="199" t="s">
        <v>238</v>
      </c>
      <c r="F827" s="199" t="s">
        <v>11</v>
      </c>
      <c r="G827" s="199" t="s">
        <v>580</v>
      </c>
      <c r="H827" s="199" t="s">
        <v>9</v>
      </c>
      <c r="I827" s="20">
        <f>798.34+254.33</f>
        <v>1052.67</v>
      </c>
      <c r="J827" s="20">
        <v>0</v>
      </c>
      <c r="K827" s="20">
        <v>0</v>
      </c>
      <c r="L827" s="16" t="s">
        <v>1221</v>
      </c>
      <c r="M827" s="16" t="str">
        <f t="shared" si="300"/>
        <v>07204L5194</v>
      </c>
      <c r="N827" s="16" t="str">
        <f t="shared" si="301"/>
        <v>607080107204L5194000</v>
      </c>
    </row>
    <row r="828" spans="2:14" s="16" customFormat="1">
      <c r="B828" s="14"/>
      <c r="C828" s="205" t="s">
        <v>403</v>
      </c>
      <c r="D828" s="198" t="s">
        <v>510</v>
      </c>
      <c r="E828" s="199" t="s">
        <v>238</v>
      </c>
      <c r="F828" s="199" t="s">
        <v>11</v>
      </c>
      <c r="G828" s="199" t="s">
        <v>580</v>
      </c>
      <c r="H828" s="199" t="s">
        <v>404</v>
      </c>
      <c r="I828" s="20">
        <f>I826+I827</f>
        <v>2174.77</v>
      </c>
      <c r="J828" s="20">
        <f>600+1177.3</f>
        <v>1777.3</v>
      </c>
      <c r="K828" s="20">
        <f>600+1177.3</f>
        <v>1777.3</v>
      </c>
      <c r="L828" s="16" t="s">
        <v>1221</v>
      </c>
      <c r="M828" s="16" t="str">
        <f t="shared" si="300"/>
        <v>07204L5194</v>
      </c>
      <c r="N828" s="16" t="str">
        <f t="shared" si="301"/>
        <v>607080107204L5194610</v>
      </c>
    </row>
    <row r="829" spans="2:14" s="16" customFormat="1" ht="25.5">
      <c r="B829" s="14"/>
      <c r="C829" s="205" t="s">
        <v>1292</v>
      </c>
      <c r="D829" s="198" t="s">
        <v>510</v>
      </c>
      <c r="E829" s="199" t="s">
        <v>238</v>
      </c>
      <c r="F829" s="199" t="s">
        <v>11</v>
      </c>
      <c r="G829" s="199" t="s">
        <v>1299</v>
      </c>
      <c r="H829" s="199" t="s">
        <v>9</v>
      </c>
      <c r="I829" s="20">
        <f>I830</f>
        <v>358.25</v>
      </c>
      <c r="J829" s="20">
        <f t="shared" ref="J829:K829" si="324">J830</f>
        <v>0</v>
      </c>
      <c r="K829" s="20">
        <f t="shared" si="324"/>
        <v>0</v>
      </c>
      <c r="L829" s="16" t="s">
        <v>2040</v>
      </c>
      <c r="M829" s="16" t="str">
        <f t="shared" si="300"/>
        <v>07204S7090</v>
      </c>
      <c r="N829" s="16" t="str">
        <f t="shared" si="301"/>
        <v>607080107204S7090000</v>
      </c>
    </row>
    <row r="830" spans="2:14" s="16" customFormat="1">
      <c r="B830" s="14"/>
      <c r="C830" s="205" t="s">
        <v>403</v>
      </c>
      <c r="D830" s="198" t="s">
        <v>510</v>
      </c>
      <c r="E830" s="199" t="s">
        <v>238</v>
      </c>
      <c r="F830" s="199" t="s">
        <v>11</v>
      </c>
      <c r="G830" s="199" t="s">
        <v>1299</v>
      </c>
      <c r="H830" s="199" t="s">
        <v>404</v>
      </c>
      <c r="I830" s="20">
        <f>135.98+222.27</f>
        <v>358.25</v>
      </c>
      <c r="J830" s="20">
        <v>0</v>
      </c>
      <c r="K830" s="20">
        <v>0</v>
      </c>
      <c r="L830" s="16" t="s">
        <v>2040</v>
      </c>
      <c r="M830" s="16" t="str">
        <f t="shared" si="300"/>
        <v>07204S7090</v>
      </c>
      <c r="N830" s="16" t="str">
        <f t="shared" si="301"/>
        <v>607080107204S7090610</v>
      </c>
    </row>
    <row r="831" spans="2:14" s="16" customFormat="1" ht="38.25">
      <c r="B831" s="14"/>
      <c r="C831" s="197" t="s">
        <v>581</v>
      </c>
      <c r="D831" s="198" t="s">
        <v>510</v>
      </c>
      <c r="E831" s="199" t="s">
        <v>238</v>
      </c>
      <c r="F831" s="199" t="s">
        <v>11</v>
      </c>
      <c r="G831" s="199" t="s">
        <v>582</v>
      </c>
      <c r="H831" s="199" t="s">
        <v>9</v>
      </c>
      <c r="I831" s="20">
        <f>I832+I838+I835</f>
        <v>62368.999999999993</v>
      </c>
      <c r="J831" s="20">
        <f t="shared" ref="J831:K831" si="325">J832+J838+J835</f>
        <v>57181.409999999996</v>
      </c>
      <c r="K831" s="20">
        <f t="shared" si="325"/>
        <v>57181.409999999996</v>
      </c>
      <c r="L831" s="16">
        <v>720500000</v>
      </c>
      <c r="M831" s="16" t="str">
        <f t="shared" si="300"/>
        <v>0720500000</v>
      </c>
      <c r="N831" s="16" t="str">
        <f t="shared" si="301"/>
        <v>60708010720500000000</v>
      </c>
    </row>
    <row r="832" spans="2:14" s="16" customFormat="1" ht="25.5">
      <c r="B832" s="14"/>
      <c r="C832" s="197" t="s">
        <v>136</v>
      </c>
      <c r="D832" s="198" t="s">
        <v>510</v>
      </c>
      <c r="E832" s="199" t="s">
        <v>238</v>
      </c>
      <c r="F832" s="199" t="s">
        <v>11</v>
      </c>
      <c r="G832" s="199" t="s">
        <v>583</v>
      </c>
      <c r="H832" s="199" t="s">
        <v>9</v>
      </c>
      <c r="I832" s="20">
        <f>SUM(I833:I834)</f>
        <v>57181.409999999996</v>
      </c>
      <c r="J832" s="20">
        <f t="shared" ref="J832:K832" si="326">SUM(J833:J834)</f>
        <v>57181.409999999996</v>
      </c>
      <c r="K832" s="20">
        <f t="shared" si="326"/>
        <v>57181.409999999996</v>
      </c>
      <c r="L832" s="16">
        <v>720511010</v>
      </c>
      <c r="M832" s="16" t="str">
        <f t="shared" si="300"/>
        <v>0720511010</v>
      </c>
      <c r="N832" s="16" t="str">
        <f t="shared" si="301"/>
        <v>60708010720511010000</v>
      </c>
    </row>
    <row r="833" spans="2:14" s="16" customFormat="1">
      <c r="B833" s="14"/>
      <c r="C833" s="205" t="s">
        <v>403</v>
      </c>
      <c r="D833" s="198" t="s">
        <v>510</v>
      </c>
      <c r="E833" s="199" t="s">
        <v>238</v>
      </c>
      <c r="F833" s="199" t="s">
        <v>11</v>
      </c>
      <c r="G833" s="199" t="s">
        <v>583</v>
      </c>
      <c r="H833" s="199" t="s">
        <v>404</v>
      </c>
      <c r="I833" s="20">
        <f>46565.7</f>
        <v>46565.7</v>
      </c>
      <c r="J833" s="20">
        <f t="shared" ref="J833:K833" si="327">46565.7</f>
        <v>46565.7</v>
      </c>
      <c r="K833" s="20">
        <f t="shared" si="327"/>
        <v>46565.7</v>
      </c>
      <c r="L833" s="16">
        <v>720511010</v>
      </c>
      <c r="M833" s="16" t="str">
        <f t="shared" si="300"/>
        <v>0720511010</v>
      </c>
      <c r="N833" s="16" t="str">
        <f t="shared" si="301"/>
        <v>60708010720511010610</v>
      </c>
    </row>
    <row r="834" spans="2:14" s="16" customFormat="1">
      <c r="B834" s="14"/>
      <c r="C834" s="205" t="s">
        <v>409</v>
      </c>
      <c r="D834" s="198" t="s">
        <v>510</v>
      </c>
      <c r="E834" s="199" t="s">
        <v>238</v>
      </c>
      <c r="F834" s="199" t="s">
        <v>11</v>
      </c>
      <c r="G834" s="199" t="s">
        <v>583</v>
      </c>
      <c r="H834" s="199" t="s">
        <v>410</v>
      </c>
      <c r="I834" s="20">
        <f>10615.71</f>
        <v>10615.71</v>
      </c>
      <c r="J834" s="20">
        <f t="shared" ref="J834:K834" si="328">10615.71</f>
        <v>10615.71</v>
      </c>
      <c r="K834" s="20">
        <f t="shared" si="328"/>
        <v>10615.71</v>
      </c>
      <c r="L834" s="16">
        <v>720511010</v>
      </c>
      <c r="M834" s="16" t="str">
        <f t="shared" si="300"/>
        <v>0720511010</v>
      </c>
      <c r="N834" s="16" t="str">
        <f t="shared" si="301"/>
        <v>60708010720511010620</v>
      </c>
    </row>
    <row r="835" spans="2:14" s="16" customFormat="1" ht="38.25">
      <c r="B835" s="14"/>
      <c r="C835" s="205" t="s">
        <v>1290</v>
      </c>
      <c r="D835" s="198" t="s">
        <v>510</v>
      </c>
      <c r="E835" s="199" t="s">
        <v>238</v>
      </c>
      <c r="F835" s="199" t="s">
        <v>11</v>
      </c>
      <c r="G835" s="199" t="s">
        <v>1300</v>
      </c>
      <c r="H835" s="199" t="s">
        <v>9</v>
      </c>
      <c r="I835" s="20">
        <f>I836+I837</f>
        <v>4941.8799999999992</v>
      </c>
      <c r="J835" s="20">
        <f t="shared" ref="J835:K835" si="329">J836+J837</f>
        <v>0</v>
      </c>
      <c r="K835" s="20">
        <f t="shared" si="329"/>
        <v>0</v>
      </c>
      <c r="L835" s="16">
        <v>720577090</v>
      </c>
      <c r="M835" s="16" t="str">
        <f t="shared" si="300"/>
        <v>0720577090</v>
      </c>
      <c r="N835" s="16" t="str">
        <f t="shared" si="301"/>
        <v>60708010720577090000</v>
      </c>
    </row>
    <row r="836" spans="2:14" s="16" customFormat="1">
      <c r="B836" s="14"/>
      <c r="C836" s="205" t="s">
        <v>403</v>
      </c>
      <c r="D836" s="198" t="s">
        <v>510</v>
      </c>
      <c r="E836" s="199" t="s">
        <v>238</v>
      </c>
      <c r="F836" s="199" t="s">
        <v>11</v>
      </c>
      <c r="G836" s="199" t="s">
        <v>1300</v>
      </c>
      <c r="H836" s="199" t="s">
        <v>404</v>
      </c>
      <c r="I836" s="20">
        <f>1283.37+3059.11</f>
        <v>4342.4799999999996</v>
      </c>
      <c r="J836" s="20">
        <v>0</v>
      </c>
      <c r="K836" s="20">
        <v>0</v>
      </c>
      <c r="L836" s="16">
        <v>720577090</v>
      </c>
      <c r="M836" s="16" t="str">
        <f t="shared" si="300"/>
        <v>0720577090</v>
      </c>
      <c r="N836" s="16" t="str">
        <f t="shared" si="301"/>
        <v>60708010720577090610</v>
      </c>
    </row>
    <row r="837" spans="2:14" s="16" customFormat="1">
      <c r="B837" s="14"/>
      <c r="C837" s="205" t="s">
        <v>409</v>
      </c>
      <c r="D837" s="198" t="s">
        <v>510</v>
      </c>
      <c r="E837" s="199" t="s">
        <v>238</v>
      </c>
      <c r="F837" s="199" t="s">
        <v>11</v>
      </c>
      <c r="G837" s="199" t="s">
        <v>1300</v>
      </c>
      <c r="H837" s="199" t="s">
        <v>410</v>
      </c>
      <c r="I837" s="20">
        <f>117.18+482.22</f>
        <v>599.40000000000009</v>
      </c>
      <c r="J837" s="20">
        <v>0</v>
      </c>
      <c r="K837" s="20">
        <v>0</v>
      </c>
      <c r="L837" s="16">
        <v>720577090</v>
      </c>
      <c r="M837" s="16" t="str">
        <f t="shared" si="300"/>
        <v>0720577090</v>
      </c>
      <c r="N837" s="16" t="str">
        <f t="shared" si="301"/>
        <v>60708010720577090620</v>
      </c>
    </row>
    <row r="838" spans="2:14" s="16" customFormat="1" ht="25.5">
      <c r="B838" s="14"/>
      <c r="C838" s="205" t="s">
        <v>1292</v>
      </c>
      <c r="D838" s="198" t="s">
        <v>510</v>
      </c>
      <c r="E838" s="199" t="s">
        <v>238</v>
      </c>
      <c r="F838" s="199" t="s">
        <v>11</v>
      </c>
      <c r="G838" s="199" t="s">
        <v>1301</v>
      </c>
      <c r="H838" s="199" t="s">
        <v>9</v>
      </c>
      <c r="I838" s="20">
        <f>I839+I840</f>
        <v>245.71</v>
      </c>
      <c r="J838" s="20">
        <f t="shared" ref="J838:K838" si="330">J839+J840</f>
        <v>0</v>
      </c>
      <c r="K838" s="20">
        <f t="shared" si="330"/>
        <v>0</v>
      </c>
      <c r="L838" s="16" t="s">
        <v>2043</v>
      </c>
      <c r="M838" s="16" t="str">
        <f t="shared" ref="M838:M901" si="331">TEXT(L838,"0000000000")</f>
        <v>07205S7090</v>
      </c>
      <c r="N838" s="16" t="str">
        <f t="shared" ref="N838:N901" si="332">D838&amp;E838&amp;F838&amp;M838&amp;H838</f>
        <v>607080107205S7090000</v>
      </c>
    </row>
    <row r="839" spans="2:14" s="16" customFormat="1">
      <c r="B839" s="14"/>
      <c r="C839" s="205" t="s">
        <v>403</v>
      </c>
      <c r="D839" s="198" t="s">
        <v>510</v>
      </c>
      <c r="E839" s="199" t="s">
        <v>238</v>
      </c>
      <c r="F839" s="199" t="s">
        <v>11</v>
      </c>
      <c r="G839" s="199" t="s">
        <v>1301</v>
      </c>
      <c r="H839" s="199" t="s">
        <v>404</v>
      </c>
      <c r="I839" s="20">
        <f>52.85+26.16+138.92</f>
        <v>217.93</v>
      </c>
      <c r="J839" s="20">
        <v>0</v>
      </c>
      <c r="K839" s="20">
        <v>0</v>
      </c>
      <c r="L839" s="16" t="s">
        <v>2043</v>
      </c>
      <c r="M839" s="16" t="str">
        <f t="shared" si="331"/>
        <v>07205S7090</v>
      </c>
      <c r="N839" s="16" t="str">
        <f t="shared" si="332"/>
        <v>607080107205S7090610</v>
      </c>
    </row>
    <row r="840" spans="2:14" s="16" customFormat="1">
      <c r="B840" s="14"/>
      <c r="C840" s="205" t="s">
        <v>409</v>
      </c>
      <c r="D840" s="198" t="s">
        <v>510</v>
      </c>
      <c r="E840" s="199" t="s">
        <v>238</v>
      </c>
      <c r="F840" s="199" t="s">
        <v>11</v>
      </c>
      <c r="G840" s="199" t="s">
        <v>1301</v>
      </c>
      <c r="H840" s="199" t="s">
        <v>410</v>
      </c>
      <c r="I840" s="20">
        <v>27.78</v>
      </c>
      <c r="J840" s="20">
        <v>0</v>
      </c>
      <c r="K840" s="20">
        <v>0</v>
      </c>
      <c r="L840" s="16" t="s">
        <v>2043</v>
      </c>
      <c r="M840" s="16" t="str">
        <f t="shared" si="331"/>
        <v>07205S7090</v>
      </c>
      <c r="N840" s="16" t="str">
        <f t="shared" si="332"/>
        <v>607080107205S7090620</v>
      </c>
    </row>
    <row r="841" spans="2:14" s="16" customFormat="1" ht="38.25">
      <c r="B841" s="14"/>
      <c r="C841" s="197" t="s">
        <v>524</v>
      </c>
      <c r="D841" s="198" t="s">
        <v>510</v>
      </c>
      <c r="E841" s="199" t="s">
        <v>238</v>
      </c>
      <c r="F841" s="199" t="s">
        <v>11</v>
      </c>
      <c r="G841" s="199" t="s">
        <v>525</v>
      </c>
      <c r="H841" s="199" t="s">
        <v>9</v>
      </c>
      <c r="I841" s="20">
        <f t="shared" ref="I841:K842" si="333">I842</f>
        <v>1034.08</v>
      </c>
      <c r="J841" s="20">
        <f t="shared" si="333"/>
        <v>1934.53</v>
      </c>
      <c r="K841" s="20">
        <f t="shared" si="333"/>
        <v>2595.96</v>
      </c>
      <c r="L841" s="16">
        <v>720600000</v>
      </c>
      <c r="M841" s="16" t="str">
        <f t="shared" si="331"/>
        <v>0720600000</v>
      </c>
      <c r="N841" s="16" t="str">
        <f t="shared" si="332"/>
        <v>60708010720600000000</v>
      </c>
    </row>
    <row r="842" spans="2:14" s="16" customFormat="1" ht="25.5">
      <c r="B842" s="14"/>
      <c r="C842" s="197" t="s">
        <v>526</v>
      </c>
      <c r="D842" s="198" t="s">
        <v>510</v>
      </c>
      <c r="E842" s="199" t="s">
        <v>238</v>
      </c>
      <c r="F842" s="199" t="s">
        <v>11</v>
      </c>
      <c r="G842" s="199" t="s">
        <v>527</v>
      </c>
      <c r="H842" s="199" t="s">
        <v>9</v>
      </c>
      <c r="I842" s="20">
        <f t="shared" si="333"/>
        <v>1034.08</v>
      </c>
      <c r="J842" s="20">
        <f t="shared" si="333"/>
        <v>1934.53</v>
      </c>
      <c r="K842" s="20">
        <f t="shared" si="333"/>
        <v>2595.96</v>
      </c>
      <c r="L842" s="16">
        <v>720620400</v>
      </c>
      <c r="M842" s="16" t="str">
        <f t="shared" si="331"/>
        <v>0720620400</v>
      </c>
      <c r="N842" s="16" t="str">
        <f t="shared" si="332"/>
        <v>60708010720620400000</v>
      </c>
    </row>
    <row r="843" spans="2:14" s="16" customFormat="1">
      <c r="B843" s="14"/>
      <c r="C843" s="205" t="s">
        <v>403</v>
      </c>
      <c r="D843" s="198" t="s">
        <v>510</v>
      </c>
      <c r="E843" s="199" t="s">
        <v>238</v>
      </c>
      <c r="F843" s="199" t="s">
        <v>11</v>
      </c>
      <c r="G843" s="199" t="s">
        <v>527</v>
      </c>
      <c r="H843" s="199" t="s">
        <v>404</v>
      </c>
      <c r="I843" s="20">
        <f>1034.08</f>
        <v>1034.08</v>
      </c>
      <c r="J843" s="20">
        <f>1034.08+900.45</f>
        <v>1934.53</v>
      </c>
      <c r="K843" s="20">
        <f>1034.08+1561.88</f>
        <v>2595.96</v>
      </c>
      <c r="L843" s="16">
        <v>720620400</v>
      </c>
      <c r="M843" s="16" t="str">
        <f t="shared" si="331"/>
        <v>0720620400</v>
      </c>
      <c r="N843" s="16" t="str">
        <f t="shared" si="332"/>
        <v>60708010720620400610</v>
      </c>
    </row>
    <row r="844" spans="2:14" s="16" customFormat="1" ht="51">
      <c r="B844" s="14"/>
      <c r="C844" s="197" t="s">
        <v>1052</v>
      </c>
      <c r="D844" s="198" t="s">
        <v>510</v>
      </c>
      <c r="E844" s="199" t="s">
        <v>238</v>
      </c>
      <c r="F844" s="199" t="s">
        <v>11</v>
      </c>
      <c r="G844" s="199" t="s">
        <v>1053</v>
      </c>
      <c r="H844" s="199" t="s">
        <v>9</v>
      </c>
      <c r="I844" s="20">
        <f>I845+I850</f>
        <v>10220.02</v>
      </c>
      <c r="J844" s="20">
        <f>J845+J850</f>
        <v>0</v>
      </c>
      <c r="K844" s="20">
        <f>K845+K850</f>
        <v>0</v>
      </c>
      <c r="L844" s="16">
        <v>720700000</v>
      </c>
      <c r="M844" s="16" t="str">
        <f t="shared" si="331"/>
        <v>0720700000</v>
      </c>
      <c r="N844" s="16" t="str">
        <f t="shared" si="332"/>
        <v>60708010720700000000</v>
      </c>
    </row>
    <row r="845" spans="2:14" s="16" customFormat="1" ht="38.25">
      <c r="B845" s="14"/>
      <c r="C845" s="197" t="s">
        <v>1043</v>
      </c>
      <c r="D845" s="198" t="s">
        <v>510</v>
      </c>
      <c r="E845" s="199" t="s">
        <v>238</v>
      </c>
      <c r="F845" s="199" t="s">
        <v>11</v>
      </c>
      <c r="G845" s="199" t="s">
        <v>1044</v>
      </c>
      <c r="H845" s="199" t="s">
        <v>9</v>
      </c>
      <c r="I845" s="20">
        <f>I849</f>
        <v>1521</v>
      </c>
      <c r="J845" s="20">
        <f t="shared" ref="J845:K845" si="334">J849</f>
        <v>0</v>
      </c>
      <c r="K845" s="20">
        <f t="shared" si="334"/>
        <v>0</v>
      </c>
      <c r="L845" s="16" t="s">
        <v>1222</v>
      </c>
      <c r="M845" s="16" t="str">
        <f t="shared" si="331"/>
        <v>07207G6420</v>
      </c>
      <c r="N845" s="16" t="str">
        <f t="shared" si="332"/>
        <v>607080107207G6420000</v>
      </c>
    </row>
    <row r="846" spans="2:14" s="16" customFormat="1">
      <c r="B846" s="14"/>
      <c r="C846" s="205" t="s">
        <v>1045</v>
      </c>
      <c r="D846" s="198"/>
      <c r="E846" s="199"/>
      <c r="F846" s="199"/>
      <c r="G846" s="199"/>
      <c r="H846" s="199"/>
      <c r="I846" s="20"/>
      <c r="J846" s="20"/>
      <c r="K846" s="20"/>
      <c r="M846" s="16" t="str">
        <f t="shared" si="331"/>
        <v>0000000000</v>
      </c>
      <c r="N846" s="16" t="str">
        <f t="shared" si="332"/>
        <v>0000000000</v>
      </c>
    </row>
    <row r="847" spans="2:14" s="16" customFormat="1">
      <c r="B847" s="14"/>
      <c r="C847" s="197" t="s">
        <v>1046</v>
      </c>
      <c r="D847" s="198" t="s">
        <v>510</v>
      </c>
      <c r="E847" s="199" t="s">
        <v>238</v>
      </c>
      <c r="F847" s="199" t="s">
        <v>11</v>
      </c>
      <c r="G847" s="199" t="s">
        <v>1044</v>
      </c>
      <c r="H847" s="199" t="s">
        <v>9</v>
      </c>
      <c r="I847" s="20">
        <f>301</f>
        <v>301</v>
      </c>
      <c r="J847" s="20">
        <v>0</v>
      </c>
      <c r="K847" s="20">
        <v>0</v>
      </c>
      <c r="L847" s="16" t="s">
        <v>1222</v>
      </c>
      <c r="M847" s="16" t="str">
        <f t="shared" si="331"/>
        <v>07207G6420</v>
      </c>
      <c r="N847" s="16" t="str">
        <f t="shared" si="332"/>
        <v>607080107207G6420000</v>
      </c>
    </row>
    <row r="848" spans="2:14" s="16" customFormat="1">
      <c r="B848" s="14"/>
      <c r="C848" s="197" t="s">
        <v>1047</v>
      </c>
      <c r="D848" s="198" t="s">
        <v>510</v>
      </c>
      <c r="E848" s="199" t="s">
        <v>238</v>
      </c>
      <c r="F848" s="199" t="s">
        <v>11</v>
      </c>
      <c r="G848" s="199" t="s">
        <v>1044</v>
      </c>
      <c r="H848" s="199" t="s">
        <v>9</v>
      </c>
      <c r="I848" s="20">
        <f>800+420</f>
        <v>1220</v>
      </c>
      <c r="J848" s="20">
        <v>0</v>
      </c>
      <c r="K848" s="20">
        <v>0</v>
      </c>
      <c r="L848" s="16" t="s">
        <v>1222</v>
      </c>
      <c r="M848" s="16" t="str">
        <f t="shared" si="331"/>
        <v>07207G6420</v>
      </c>
      <c r="N848" s="16" t="str">
        <f t="shared" si="332"/>
        <v>607080107207G6420000</v>
      </c>
    </row>
    <row r="849" spans="2:14" s="16" customFormat="1">
      <c r="B849" s="14"/>
      <c r="C849" s="205" t="s">
        <v>409</v>
      </c>
      <c r="D849" s="198" t="s">
        <v>510</v>
      </c>
      <c r="E849" s="199" t="s">
        <v>238</v>
      </c>
      <c r="F849" s="199" t="s">
        <v>11</v>
      </c>
      <c r="G849" s="199" t="s">
        <v>1044</v>
      </c>
      <c r="H849" s="199" t="s">
        <v>410</v>
      </c>
      <c r="I849" s="20">
        <f>SUM(I847:I848)</f>
        <v>1521</v>
      </c>
      <c r="J849" s="20">
        <f>SUM(J847:J848)</f>
        <v>0</v>
      </c>
      <c r="K849" s="20">
        <f>SUM(K847:K848)</f>
        <v>0</v>
      </c>
      <c r="L849" s="16" t="s">
        <v>1222</v>
      </c>
      <c r="M849" s="16" t="str">
        <f t="shared" si="331"/>
        <v>07207G6420</v>
      </c>
      <c r="N849" s="16" t="str">
        <f t="shared" si="332"/>
        <v>607080107207G6420620</v>
      </c>
    </row>
    <row r="850" spans="2:14" s="16" customFormat="1" ht="25.5">
      <c r="B850" s="14"/>
      <c r="C850" s="200" t="s">
        <v>1048</v>
      </c>
      <c r="D850" s="198" t="s">
        <v>510</v>
      </c>
      <c r="E850" s="199" t="s">
        <v>238</v>
      </c>
      <c r="F850" s="199" t="s">
        <v>11</v>
      </c>
      <c r="G850" s="199" t="s">
        <v>1049</v>
      </c>
      <c r="H850" s="199" t="s">
        <v>9</v>
      </c>
      <c r="I850" s="20">
        <f>I854</f>
        <v>8699.02</v>
      </c>
      <c r="J850" s="20">
        <f t="shared" ref="J850:K850" si="335">J854</f>
        <v>0</v>
      </c>
      <c r="K850" s="20">
        <f t="shared" si="335"/>
        <v>0</v>
      </c>
      <c r="L850" s="16" t="s">
        <v>1223</v>
      </c>
      <c r="M850" s="16" t="str">
        <f t="shared" si="331"/>
        <v>07207S6420</v>
      </c>
      <c r="N850" s="16" t="str">
        <f t="shared" si="332"/>
        <v>607080107207S6420000</v>
      </c>
    </row>
    <row r="851" spans="2:14" s="16" customFormat="1">
      <c r="B851" s="14"/>
      <c r="C851" s="205" t="s">
        <v>1045</v>
      </c>
      <c r="D851" s="198"/>
      <c r="E851" s="199"/>
      <c r="F851" s="199"/>
      <c r="G851" s="199"/>
      <c r="H851" s="199"/>
      <c r="I851" s="20"/>
      <c r="J851" s="20"/>
      <c r="K851" s="20"/>
      <c r="M851" s="16" t="str">
        <f t="shared" si="331"/>
        <v>0000000000</v>
      </c>
      <c r="N851" s="16" t="str">
        <f t="shared" si="332"/>
        <v>0000000000</v>
      </c>
    </row>
    <row r="852" spans="2:14" s="16" customFormat="1">
      <c r="B852" s="14"/>
      <c r="C852" s="197" t="s">
        <v>1050</v>
      </c>
      <c r="D852" s="198" t="s">
        <v>510</v>
      </c>
      <c r="E852" s="199" t="s">
        <v>238</v>
      </c>
      <c r="F852" s="199" t="s">
        <v>11</v>
      </c>
      <c r="G852" s="199" t="s">
        <v>1049</v>
      </c>
      <c r="H852" s="199" t="s">
        <v>9</v>
      </c>
      <c r="I852" s="20">
        <f>2700.02</f>
        <v>2700.02</v>
      </c>
      <c r="J852" s="20">
        <v>0</v>
      </c>
      <c r="K852" s="20">
        <v>0</v>
      </c>
      <c r="L852" s="16" t="s">
        <v>1223</v>
      </c>
      <c r="M852" s="16" t="str">
        <f t="shared" si="331"/>
        <v>07207S6420</v>
      </c>
      <c r="N852" s="16" t="str">
        <f t="shared" si="332"/>
        <v>607080107207S6420000</v>
      </c>
    </row>
    <row r="853" spans="2:14" s="16" customFormat="1">
      <c r="B853" s="14" t="s">
        <v>80</v>
      </c>
      <c r="C853" s="197" t="s">
        <v>1051</v>
      </c>
      <c r="D853" s="198" t="s">
        <v>510</v>
      </c>
      <c r="E853" s="199" t="s">
        <v>238</v>
      </c>
      <c r="F853" s="199" t="s">
        <v>11</v>
      </c>
      <c r="G853" s="199" t="s">
        <v>1049</v>
      </c>
      <c r="H853" s="199" t="s">
        <v>9</v>
      </c>
      <c r="I853" s="20">
        <f>5999</f>
        <v>5999</v>
      </c>
      <c r="J853" s="20">
        <v>0</v>
      </c>
      <c r="K853" s="20">
        <v>0</v>
      </c>
      <c r="L853" s="16" t="s">
        <v>1223</v>
      </c>
      <c r="M853" s="16" t="str">
        <f t="shared" si="331"/>
        <v>07207S6420</v>
      </c>
      <c r="N853" s="16" t="str">
        <f t="shared" si="332"/>
        <v>607080107207S6420000</v>
      </c>
    </row>
    <row r="854" spans="2:14" s="16" customFormat="1">
      <c r="B854" s="14"/>
      <c r="C854" s="205" t="s">
        <v>409</v>
      </c>
      <c r="D854" s="198" t="s">
        <v>510</v>
      </c>
      <c r="E854" s="199" t="s">
        <v>238</v>
      </c>
      <c r="F854" s="199" t="s">
        <v>11</v>
      </c>
      <c r="G854" s="199" t="s">
        <v>1049</v>
      </c>
      <c r="H854" s="199" t="s">
        <v>410</v>
      </c>
      <c r="I854" s="20">
        <f>SUM(I852:I853)</f>
        <v>8699.02</v>
      </c>
      <c r="J854" s="20">
        <f t="shared" ref="J854:K854" si="336">SUM(J852:J853)</f>
        <v>0</v>
      </c>
      <c r="K854" s="20">
        <f t="shared" si="336"/>
        <v>0</v>
      </c>
      <c r="L854" s="16" t="s">
        <v>1223</v>
      </c>
      <c r="M854" s="16" t="str">
        <f t="shared" si="331"/>
        <v>07207S6420</v>
      </c>
      <c r="N854" s="16" t="str">
        <f t="shared" si="332"/>
        <v>607080107207S6420620</v>
      </c>
    </row>
    <row r="855" spans="2:14" s="16" customFormat="1" ht="89.25">
      <c r="B855" s="14"/>
      <c r="C855" s="205" t="s">
        <v>528</v>
      </c>
      <c r="D855" s="198" t="s">
        <v>510</v>
      </c>
      <c r="E855" s="199" t="s">
        <v>238</v>
      </c>
      <c r="F855" s="199" t="s">
        <v>11</v>
      </c>
      <c r="G855" s="199" t="s">
        <v>529</v>
      </c>
      <c r="H855" s="199" t="s">
        <v>9</v>
      </c>
      <c r="I855" s="20">
        <f t="shared" ref="I855:K856" si="337">I856</f>
        <v>0</v>
      </c>
      <c r="J855" s="20">
        <f t="shared" si="337"/>
        <v>150</v>
      </c>
      <c r="K855" s="20">
        <f t="shared" si="337"/>
        <v>150</v>
      </c>
      <c r="L855" s="16">
        <v>720800000</v>
      </c>
      <c r="M855" s="16" t="str">
        <f t="shared" si="331"/>
        <v>0720800000</v>
      </c>
      <c r="N855" s="16" t="str">
        <f t="shared" si="332"/>
        <v>60708010720800000000</v>
      </c>
    </row>
    <row r="856" spans="2:14" s="16" customFormat="1" ht="76.5">
      <c r="B856" s="14"/>
      <c r="C856" s="197" t="s">
        <v>530</v>
      </c>
      <c r="D856" s="198" t="s">
        <v>510</v>
      </c>
      <c r="E856" s="199" t="s">
        <v>238</v>
      </c>
      <c r="F856" s="199" t="s">
        <v>11</v>
      </c>
      <c r="G856" s="199" t="s">
        <v>531</v>
      </c>
      <c r="H856" s="199" t="s">
        <v>9</v>
      </c>
      <c r="I856" s="20">
        <f t="shared" si="337"/>
        <v>0</v>
      </c>
      <c r="J856" s="20">
        <f t="shared" si="337"/>
        <v>150</v>
      </c>
      <c r="K856" s="20">
        <f t="shared" si="337"/>
        <v>150</v>
      </c>
      <c r="L856" s="16">
        <v>720821230</v>
      </c>
      <c r="M856" s="16" t="str">
        <f t="shared" si="331"/>
        <v>0720821230</v>
      </c>
      <c r="N856" s="16" t="str">
        <f t="shared" si="332"/>
        <v>60708010720821230000</v>
      </c>
    </row>
    <row r="857" spans="2:14" s="16" customFormat="1">
      <c r="B857" s="14"/>
      <c r="C857" s="205" t="s">
        <v>403</v>
      </c>
      <c r="D857" s="198" t="s">
        <v>510</v>
      </c>
      <c r="E857" s="199" t="s">
        <v>238</v>
      </c>
      <c r="F857" s="199" t="s">
        <v>11</v>
      </c>
      <c r="G857" s="199" t="s">
        <v>531</v>
      </c>
      <c r="H857" s="199" t="s">
        <v>404</v>
      </c>
      <c r="I857" s="20">
        <f>0</f>
        <v>0</v>
      </c>
      <c r="J857" s="20">
        <f>150</f>
        <v>150</v>
      </c>
      <c r="K857" s="20">
        <f>150</f>
        <v>150</v>
      </c>
      <c r="L857" s="16">
        <v>720821230</v>
      </c>
      <c r="M857" s="16" t="str">
        <f t="shared" si="331"/>
        <v>0720821230</v>
      </c>
      <c r="N857" s="16" t="str">
        <f t="shared" si="332"/>
        <v>60708010720821230610</v>
      </c>
    </row>
    <row r="858" spans="2:14" s="16" customFormat="1" ht="38.25">
      <c r="B858" s="14"/>
      <c r="C858" s="205" t="s">
        <v>532</v>
      </c>
      <c r="D858" s="198" t="s">
        <v>510</v>
      </c>
      <c r="E858" s="199" t="s">
        <v>238</v>
      </c>
      <c r="F858" s="199" t="s">
        <v>11</v>
      </c>
      <c r="G858" s="199" t="s">
        <v>533</v>
      </c>
      <c r="H858" s="199" t="s">
        <v>9</v>
      </c>
      <c r="I858" s="20">
        <f t="shared" ref="I858:K859" si="338">I859</f>
        <v>817.6</v>
      </c>
      <c r="J858" s="20">
        <f t="shared" si="338"/>
        <v>817.6</v>
      </c>
      <c r="K858" s="20">
        <f t="shared" si="338"/>
        <v>817.6</v>
      </c>
      <c r="L858" s="16">
        <v>720900000</v>
      </c>
      <c r="M858" s="16" t="str">
        <f t="shared" si="331"/>
        <v>0720900000</v>
      </c>
      <c r="N858" s="16" t="str">
        <f t="shared" si="332"/>
        <v>60708010720900000000</v>
      </c>
    </row>
    <row r="859" spans="2:14" s="16" customFormat="1" ht="38.25">
      <c r="B859" s="14"/>
      <c r="C859" s="205" t="s">
        <v>534</v>
      </c>
      <c r="D859" s="198" t="s">
        <v>510</v>
      </c>
      <c r="E859" s="199" t="s">
        <v>238</v>
      </c>
      <c r="F859" s="199" t="s">
        <v>11</v>
      </c>
      <c r="G859" s="199" t="s">
        <v>535</v>
      </c>
      <c r="H859" s="199" t="s">
        <v>9</v>
      </c>
      <c r="I859" s="20">
        <f t="shared" si="338"/>
        <v>817.6</v>
      </c>
      <c r="J859" s="20">
        <f t="shared" si="338"/>
        <v>817.6</v>
      </c>
      <c r="K859" s="20">
        <f t="shared" si="338"/>
        <v>817.6</v>
      </c>
      <c r="L859" s="16">
        <v>720921280</v>
      </c>
      <c r="M859" s="16" t="str">
        <f t="shared" si="331"/>
        <v>0720921280</v>
      </c>
      <c r="N859" s="16" t="str">
        <f t="shared" si="332"/>
        <v>60708010720921280000</v>
      </c>
    </row>
    <row r="860" spans="2:14" s="16" customFormat="1">
      <c r="B860" s="14"/>
      <c r="C860" s="205" t="s">
        <v>403</v>
      </c>
      <c r="D860" s="198" t="s">
        <v>510</v>
      </c>
      <c r="E860" s="199" t="s">
        <v>238</v>
      </c>
      <c r="F860" s="199" t="s">
        <v>11</v>
      </c>
      <c r="G860" s="199" t="s">
        <v>535</v>
      </c>
      <c r="H860" s="199" t="s">
        <v>404</v>
      </c>
      <c r="I860" s="20">
        <f>817.6</f>
        <v>817.6</v>
      </c>
      <c r="J860" s="20">
        <f t="shared" ref="J860:K860" si="339">817.6</f>
        <v>817.6</v>
      </c>
      <c r="K860" s="20">
        <f t="shared" si="339"/>
        <v>817.6</v>
      </c>
      <c r="L860" s="16">
        <v>720921280</v>
      </c>
      <c r="M860" s="16" t="str">
        <f t="shared" si="331"/>
        <v>0720921280</v>
      </c>
      <c r="N860" s="16" t="str">
        <f t="shared" si="332"/>
        <v>60708010720921280610</v>
      </c>
    </row>
    <row r="861" spans="2:14" s="16" customFormat="1" ht="51">
      <c r="B861" s="14"/>
      <c r="C861" s="205" t="s">
        <v>536</v>
      </c>
      <c r="D861" s="198" t="s">
        <v>510</v>
      </c>
      <c r="E861" s="199" t="s">
        <v>238</v>
      </c>
      <c r="F861" s="199" t="s">
        <v>11</v>
      </c>
      <c r="G861" s="199" t="s">
        <v>537</v>
      </c>
      <c r="H861" s="199" t="s">
        <v>9</v>
      </c>
      <c r="I861" s="20">
        <f>I862</f>
        <v>1405.3700000000001</v>
      </c>
      <c r="J861" s="20">
        <f t="shared" ref="J861:K861" si="340">J862</f>
        <v>0</v>
      </c>
      <c r="K861" s="20">
        <f t="shared" si="340"/>
        <v>0</v>
      </c>
      <c r="L861" s="16">
        <v>721200000</v>
      </c>
      <c r="M861" s="16" t="str">
        <f t="shared" si="331"/>
        <v>0721200000</v>
      </c>
      <c r="N861" s="16" t="str">
        <f t="shared" si="332"/>
        <v>60708010721200000000</v>
      </c>
    </row>
    <row r="862" spans="2:14" s="16" customFormat="1" ht="38.25">
      <c r="B862" s="14"/>
      <c r="C862" s="375" t="s">
        <v>538</v>
      </c>
      <c r="D862" s="198" t="s">
        <v>510</v>
      </c>
      <c r="E862" s="199" t="s">
        <v>238</v>
      </c>
      <c r="F862" s="199" t="s">
        <v>11</v>
      </c>
      <c r="G862" s="199" t="s">
        <v>539</v>
      </c>
      <c r="H862" s="199" t="s">
        <v>9</v>
      </c>
      <c r="I862" s="20">
        <f>I863+I864</f>
        <v>1405.3700000000001</v>
      </c>
      <c r="J862" s="20">
        <f t="shared" ref="J862:K862" si="341">J863+J864</f>
        <v>0</v>
      </c>
      <c r="K862" s="20">
        <f t="shared" si="341"/>
        <v>0</v>
      </c>
      <c r="L862" s="16">
        <v>721221430</v>
      </c>
      <c r="M862" s="16" t="str">
        <f t="shared" si="331"/>
        <v>0721221430</v>
      </c>
      <c r="N862" s="16" t="str">
        <f t="shared" si="332"/>
        <v>60708010721221430000</v>
      </c>
    </row>
    <row r="863" spans="2:14" s="16" customFormat="1">
      <c r="B863" s="14"/>
      <c r="C863" s="205" t="s">
        <v>403</v>
      </c>
      <c r="D863" s="198" t="s">
        <v>510</v>
      </c>
      <c r="E863" s="199" t="s">
        <v>238</v>
      </c>
      <c r="F863" s="199" t="s">
        <v>11</v>
      </c>
      <c r="G863" s="199" t="s">
        <v>539</v>
      </c>
      <c r="H863" s="199" t="s">
        <v>404</v>
      </c>
      <c r="I863" s="20">
        <f>399.44+700</f>
        <v>1099.44</v>
      </c>
      <c r="J863" s="20">
        <f>399.44-399.44</f>
        <v>0</v>
      </c>
      <c r="K863" s="20">
        <f>399.44-399.44</f>
        <v>0</v>
      </c>
      <c r="L863" s="16">
        <v>721221430</v>
      </c>
      <c r="M863" s="16" t="str">
        <f t="shared" si="331"/>
        <v>0721221430</v>
      </c>
      <c r="N863" s="16" t="str">
        <f t="shared" si="332"/>
        <v>60708010721221430610</v>
      </c>
    </row>
    <row r="864" spans="2:14" s="16" customFormat="1">
      <c r="B864" s="14"/>
      <c r="C864" s="374" t="s">
        <v>409</v>
      </c>
      <c r="D864" s="198" t="s">
        <v>510</v>
      </c>
      <c r="E864" s="199" t="s">
        <v>238</v>
      </c>
      <c r="F864" s="199" t="s">
        <v>11</v>
      </c>
      <c r="G864" s="199" t="s">
        <v>539</v>
      </c>
      <c r="H864" s="199" t="s">
        <v>410</v>
      </c>
      <c r="I864" s="20">
        <f>305.93</f>
        <v>305.93</v>
      </c>
      <c r="J864" s="20">
        <v>0</v>
      </c>
      <c r="K864" s="20">
        <v>0</v>
      </c>
      <c r="L864" s="16">
        <v>721221430</v>
      </c>
      <c r="M864" s="16" t="str">
        <f t="shared" si="331"/>
        <v>0721221430</v>
      </c>
      <c r="N864" s="16" t="str">
        <f t="shared" si="332"/>
        <v>60708010721221430620</v>
      </c>
    </row>
    <row r="865" spans="2:14" s="16" customFormat="1" ht="38.25">
      <c r="B865" s="14"/>
      <c r="C865" s="200" t="s">
        <v>146</v>
      </c>
      <c r="D865" s="198" t="s">
        <v>510</v>
      </c>
      <c r="E865" s="199" t="s">
        <v>238</v>
      </c>
      <c r="F865" s="199" t="s">
        <v>11</v>
      </c>
      <c r="G865" s="203" t="s">
        <v>147</v>
      </c>
      <c r="H865" s="203" t="s">
        <v>9</v>
      </c>
      <c r="I865" s="27">
        <f>I866</f>
        <v>76.5</v>
      </c>
      <c r="J865" s="27">
        <f t="shared" ref="J865:K866" si="342">J866</f>
        <v>76.5</v>
      </c>
      <c r="K865" s="27">
        <f t="shared" si="342"/>
        <v>76.5</v>
      </c>
      <c r="L865" s="16">
        <v>1500000000</v>
      </c>
      <c r="M865" s="16" t="str">
        <f t="shared" si="331"/>
        <v>1500000000</v>
      </c>
      <c r="N865" s="16" t="str">
        <f t="shared" si="332"/>
        <v>60708011500000000000</v>
      </c>
    </row>
    <row r="866" spans="2:14" s="16" customFormat="1" ht="38.25">
      <c r="B866" s="14"/>
      <c r="C866" s="197" t="s">
        <v>1065</v>
      </c>
      <c r="D866" s="198" t="s">
        <v>510</v>
      </c>
      <c r="E866" s="199" t="s">
        <v>238</v>
      </c>
      <c r="F866" s="199" t="s">
        <v>11</v>
      </c>
      <c r="G866" s="203" t="s">
        <v>149</v>
      </c>
      <c r="H866" s="203" t="s">
        <v>9</v>
      </c>
      <c r="I866" s="27">
        <f>I867</f>
        <v>76.5</v>
      </c>
      <c r="J866" s="27">
        <f t="shared" si="342"/>
        <v>76.5</v>
      </c>
      <c r="K866" s="27">
        <f t="shared" si="342"/>
        <v>76.5</v>
      </c>
      <c r="L866" s="16">
        <v>1510000000</v>
      </c>
      <c r="M866" s="16" t="str">
        <f t="shared" si="331"/>
        <v>1510000000</v>
      </c>
      <c r="N866" s="16" t="str">
        <f t="shared" si="332"/>
        <v>60708011510000000000</v>
      </c>
    </row>
    <row r="867" spans="2:14" s="16" customFormat="1" ht="25.5">
      <c r="B867" s="14"/>
      <c r="C867" s="197" t="s">
        <v>1072</v>
      </c>
      <c r="D867" s="198" t="s">
        <v>510</v>
      </c>
      <c r="E867" s="199" t="s">
        <v>238</v>
      </c>
      <c r="F867" s="199" t="s">
        <v>11</v>
      </c>
      <c r="G867" s="198" t="s">
        <v>1073</v>
      </c>
      <c r="H867" s="203" t="s">
        <v>9</v>
      </c>
      <c r="I867" s="27">
        <f>I868</f>
        <v>76.5</v>
      </c>
      <c r="J867" s="27">
        <f>J868</f>
        <v>76.5</v>
      </c>
      <c r="K867" s="27">
        <f>K868</f>
        <v>76.5</v>
      </c>
      <c r="L867" s="16">
        <v>1510300000</v>
      </c>
      <c r="M867" s="16" t="str">
        <f t="shared" si="331"/>
        <v>1510300000</v>
      </c>
      <c r="N867" s="16" t="str">
        <f t="shared" si="332"/>
        <v>60708011510300000000</v>
      </c>
    </row>
    <row r="868" spans="2:14" s="16" customFormat="1" ht="25.5">
      <c r="B868" s="14"/>
      <c r="C868" s="201" t="s">
        <v>152</v>
      </c>
      <c r="D868" s="198" t="s">
        <v>510</v>
      </c>
      <c r="E868" s="199" t="s">
        <v>238</v>
      </c>
      <c r="F868" s="199" t="s">
        <v>11</v>
      </c>
      <c r="G868" s="198" t="s">
        <v>1074</v>
      </c>
      <c r="H868" s="203" t="s">
        <v>9</v>
      </c>
      <c r="I868" s="27">
        <f>SUM(I869:I869)</f>
        <v>76.5</v>
      </c>
      <c r="J868" s="27">
        <f>SUM(J869:J869)</f>
        <v>76.5</v>
      </c>
      <c r="K868" s="27">
        <f>SUM(K869:K869)</f>
        <v>76.5</v>
      </c>
      <c r="L868" s="16">
        <v>1510320350</v>
      </c>
      <c r="M868" s="16" t="str">
        <f t="shared" si="331"/>
        <v>1510320350</v>
      </c>
      <c r="N868" s="16" t="str">
        <f t="shared" si="332"/>
        <v>60708011510320350000</v>
      </c>
    </row>
    <row r="869" spans="2:14" s="16" customFormat="1">
      <c r="B869" s="14"/>
      <c r="C869" s="205" t="s">
        <v>403</v>
      </c>
      <c r="D869" s="198" t="s">
        <v>510</v>
      </c>
      <c r="E869" s="199" t="s">
        <v>238</v>
      </c>
      <c r="F869" s="199" t="s">
        <v>11</v>
      </c>
      <c r="G869" s="198" t="s">
        <v>1074</v>
      </c>
      <c r="H869" s="203" t="s">
        <v>404</v>
      </c>
      <c r="I869" s="20">
        <f>76.5</f>
        <v>76.5</v>
      </c>
      <c r="J869" s="20">
        <f t="shared" ref="J869:K869" si="343">76.5</f>
        <v>76.5</v>
      </c>
      <c r="K869" s="20">
        <f t="shared" si="343"/>
        <v>76.5</v>
      </c>
      <c r="L869" s="16">
        <v>1510320350</v>
      </c>
      <c r="M869" s="16" t="str">
        <f t="shared" si="331"/>
        <v>1510320350</v>
      </c>
      <c r="N869" s="16" t="str">
        <f t="shared" si="332"/>
        <v>60708011510320350610</v>
      </c>
    </row>
    <row r="870" spans="2:14" s="16" customFormat="1" ht="63.75">
      <c r="B870" s="14"/>
      <c r="C870" s="197" t="s">
        <v>420</v>
      </c>
      <c r="D870" s="198" t="s">
        <v>510</v>
      </c>
      <c r="E870" s="199" t="s">
        <v>238</v>
      </c>
      <c r="F870" s="199" t="s">
        <v>11</v>
      </c>
      <c r="G870" s="199" t="s">
        <v>421</v>
      </c>
      <c r="H870" s="199" t="s">
        <v>9</v>
      </c>
      <c r="I870" s="20">
        <f t="shared" ref="I870:K873" si="344">I871</f>
        <v>547.85</v>
      </c>
      <c r="J870" s="20">
        <f t="shared" si="344"/>
        <v>547.85</v>
      </c>
      <c r="K870" s="20">
        <f t="shared" si="344"/>
        <v>547.85</v>
      </c>
      <c r="L870" s="16">
        <v>1600000000</v>
      </c>
      <c r="M870" s="16" t="str">
        <f t="shared" si="331"/>
        <v>1600000000</v>
      </c>
      <c r="N870" s="16" t="str">
        <f t="shared" si="332"/>
        <v>60708011600000000000</v>
      </c>
    </row>
    <row r="871" spans="2:14" s="16" customFormat="1" ht="25.5">
      <c r="B871" s="14"/>
      <c r="C871" s="197" t="s">
        <v>422</v>
      </c>
      <c r="D871" s="198" t="s">
        <v>510</v>
      </c>
      <c r="E871" s="199" t="s">
        <v>238</v>
      </c>
      <c r="F871" s="199" t="s">
        <v>11</v>
      </c>
      <c r="G871" s="199" t="s">
        <v>423</v>
      </c>
      <c r="H871" s="199" t="s">
        <v>9</v>
      </c>
      <c r="I871" s="20">
        <f t="shared" si="344"/>
        <v>547.85</v>
      </c>
      <c r="J871" s="20">
        <f t="shared" si="344"/>
        <v>547.85</v>
      </c>
      <c r="K871" s="20">
        <f t="shared" si="344"/>
        <v>547.85</v>
      </c>
      <c r="L871" s="16">
        <v>1620000000</v>
      </c>
      <c r="M871" s="16" t="str">
        <f t="shared" si="331"/>
        <v>1620000000</v>
      </c>
      <c r="N871" s="16" t="str">
        <f t="shared" si="332"/>
        <v>60708011620000000000</v>
      </c>
    </row>
    <row r="872" spans="2:14" s="16" customFormat="1" ht="25.5">
      <c r="B872" s="14"/>
      <c r="C872" s="197" t="s">
        <v>424</v>
      </c>
      <c r="D872" s="198" t="s">
        <v>510</v>
      </c>
      <c r="E872" s="199" t="s">
        <v>238</v>
      </c>
      <c r="F872" s="199" t="s">
        <v>11</v>
      </c>
      <c r="G872" s="199" t="s">
        <v>425</v>
      </c>
      <c r="H872" s="199" t="s">
        <v>9</v>
      </c>
      <c r="I872" s="20">
        <f t="shared" si="344"/>
        <v>547.85</v>
      </c>
      <c r="J872" s="20">
        <f t="shared" si="344"/>
        <v>547.85</v>
      </c>
      <c r="K872" s="20">
        <f t="shared" si="344"/>
        <v>547.85</v>
      </c>
      <c r="L872" s="16">
        <v>1620200000</v>
      </c>
      <c r="M872" s="16" t="str">
        <f t="shared" si="331"/>
        <v>1620200000</v>
      </c>
      <c r="N872" s="16" t="str">
        <f t="shared" si="332"/>
        <v>60708011620200000000</v>
      </c>
    </row>
    <row r="873" spans="2:14" s="16" customFormat="1" ht="38.25">
      <c r="B873" s="14"/>
      <c r="C873" s="197" t="s">
        <v>426</v>
      </c>
      <c r="D873" s="198" t="s">
        <v>510</v>
      </c>
      <c r="E873" s="199" t="s">
        <v>238</v>
      </c>
      <c r="F873" s="199" t="s">
        <v>11</v>
      </c>
      <c r="G873" s="199" t="s">
        <v>427</v>
      </c>
      <c r="H873" s="199" t="s">
        <v>9</v>
      </c>
      <c r="I873" s="20">
        <f t="shared" si="344"/>
        <v>547.85</v>
      </c>
      <c r="J873" s="20">
        <f t="shared" si="344"/>
        <v>547.85</v>
      </c>
      <c r="K873" s="20">
        <f t="shared" si="344"/>
        <v>547.85</v>
      </c>
      <c r="L873" s="16">
        <v>1620220550</v>
      </c>
      <c r="M873" s="16" t="str">
        <f t="shared" si="331"/>
        <v>1620220550</v>
      </c>
      <c r="N873" s="16" t="str">
        <f t="shared" si="332"/>
        <v>60708011620220550000</v>
      </c>
    </row>
    <row r="874" spans="2:14" s="16" customFormat="1">
      <c r="B874" s="14"/>
      <c r="C874" s="205" t="s">
        <v>403</v>
      </c>
      <c r="D874" s="198" t="s">
        <v>510</v>
      </c>
      <c r="E874" s="199" t="s">
        <v>238</v>
      </c>
      <c r="F874" s="199" t="s">
        <v>11</v>
      </c>
      <c r="G874" s="199" t="s">
        <v>427</v>
      </c>
      <c r="H874" s="199" t="s">
        <v>404</v>
      </c>
      <c r="I874" s="20">
        <f>547.85</f>
        <v>547.85</v>
      </c>
      <c r="J874" s="20">
        <f t="shared" ref="J874:K874" si="345">547.85</f>
        <v>547.85</v>
      </c>
      <c r="K874" s="20">
        <f t="shared" si="345"/>
        <v>547.85</v>
      </c>
      <c r="L874" s="16">
        <v>1620220550</v>
      </c>
      <c r="M874" s="16" t="str">
        <f t="shared" si="331"/>
        <v>1620220550</v>
      </c>
      <c r="N874" s="16" t="str">
        <f t="shared" si="332"/>
        <v>60708011620220550610</v>
      </c>
    </row>
    <row r="875" spans="2:14" s="16" customFormat="1" ht="25.5">
      <c r="B875" s="14"/>
      <c r="C875" s="197" t="s">
        <v>430</v>
      </c>
      <c r="D875" s="198" t="s">
        <v>510</v>
      </c>
      <c r="E875" s="199" t="s">
        <v>238</v>
      </c>
      <c r="F875" s="199" t="s">
        <v>11</v>
      </c>
      <c r="G875" s="199" t="s">
        <v>431</v>
      </c>
      <c r="H875" s="199" t="s">
        <v>9</v>
      </c>
      <c r="I875" s="20">
        <f>I876</f>
        <v>203.83</v>
      </c>
      <c r="J875" s="20">
        <f t="shared" ref="J875:K878" si="346">J876</f>
        <v>203.83</v>
      </c>
      <c r="K875" s="20">
        <f t="shared" si="346"/>
        <v>203.83</v>
      </c>
      <c r="L875" s="16">
        <v>1700000000</v>
      </c>
      <c r="M875" s="16" t="str">
        <f t="shared" si="331"/>
        <v>1700000000</v>
      </c>
      <c r="N875" s="16" t="str">
        <f t="shared" si="332"/>
        <v>60708011700000000000</v>
      </c>
    </row>
    <row r="876" spans="2:14" s="16" customFormat="1" ht="38.25">
      <c r="B876" s="14"/>
      <c r="C876" s="197" t="s">
        <v>432</v>
      </c>
      <c r="D876" s="198" t="s">
        <v>510</v>
      </c>
      <c r="E876" s="199" t="s">
        <v>238</v>
      </c>
      <c r="F876" s="199" t="s">
        <v>11</v>
      </c>
      <c r="G876" s="199" t="s">
        <v>433</v>
      </c>
      <c r="H876" s="199" t="s">
        <v>9</v>
      </c>
      <c r="I876" s="20">
        <f>I877</f>
        <v>203.83</v>
      </c>
      <c r="J876" s="20">
        <f t="shared" si="346"/>
        <v>203.83</v>
      </c>
      <c r="K876" s="20">
        <f t="shared" si="346"/>
        <v>203.83</v>
      </c>
      <c r="L876" s="16" t="s">
        <v>1198</v>
      </c>
      <c r="M876" s="16" t="str">
        <f t="shared" si="331"/>
        <v>17Б0000000</v>
      </c>
      <c r="N876" s="16" t="str">
        <f t="shared" si="332"/>
        <v>607080117Б0000000000</v>
      </c>
    </row>
    <row r="877" spans="2:14" s="16" customFormat="1" ht="25.5">
      <c r="B877" s="14"/>
      <c r="C877" s="197" t="s">
        <v>434</v>
      </c>
      <c r="D877" s="198" t="s">
        <v>510</v>
      </c>
      <c r="E877" s="199" t="s">
        <v>238</v>
      </c>
      <c r="F877" s="199" t="s">
        <v>11</v>
      </c>
      <c r="G877" s="199" t="s">
        <v>435</v>
      </c>
      <c r="H877" s="199" t="s">
        <v>9</v>
      </c>
      <c r="I877" s="20">
        <f>I878</f>
        <v>203.83</v>
      </c>
      <c r="J877" s="20">
        <f t="shared" si="346"/>
        <v>203.83</v>
      </c>
      <c r="K877" s="20">
        <f t="shared" si="346"/>
        <v>203.83</v>
      </c>
      <c r="L877" s="16" t="s">
        <v>1199</v>
      </c>
      <c r="M877" s="16" t="str">
        <f t="shared" si="331"/>
        <v>17Б0100000</v>
      </c>
      <c r="N877" s="16" t="str">
        <f t="shared" si="332"/>
        <v>607080117Б0100000000</v>
      </c>
    </row>
    <row r="878" spans="2:14" s="16" customFormat="1" ht="25.5">
      <c r="B878" s="14"/>
      <c r="C878" s="205" t="s">
        <v>436</v>
      </c>
      <c r="D878" s="198" t="s">
        <v>510</v>
      </c>
      <c r="E878" s="199" t="s">
        <v>238</v>
      </c>
      <c r="F878" s="199" t="s">
        <v>11</v>
      </c>
      <c r="G878" s="199" t="s">
        <v>437</v>
      </c>
      <c r="H878" s="199" t="s">
        <v>9</v>
      </c>
      <c r="I878" s="20">
        <f>I879</f>
        <v>203.83</v>
      </c>
      <c r="J878" s="20">
        <f t="shared" si="346"/>
        <v>203.83</v>
      </c>
      <c r="K878" s="20">
        <f t="shared" si="346"/>
        <v>203.83</v>
      </c>
      <c r="L878" s="16" t="s">
        <v>1200</v>
      </c>
      <c r="M878" s="16" t="str">
        <f t="shared" si="331"/>
        <v>17Б0120490</v>
      </c>
      <c r="N878" s="16" t="str">
        <f t="shared" si="332"/>
        <v>607080117Б0120490000</v>
      </c>
    </row>
    <row r="879" spans="2:14" s="16" customFormat="1">
      <c r="B879" s="14"/>
      <c r="C879" s="197" t="s">
        <v>403</v>
      </c>
      <c r="D879" s="198" t="s">
        <v>510</v>
      </c>
      <c r="E879" s="199" t="s">
        <v>238</v>
      </c>
      <c r="F879" s="199" t="s">
        <v>11</v>
      </c>
      <c r="G879" s="199" t="s">
        <v>437</v>
      </c>
      <c r="H879" s="199" t="s">
        <v>404</v>
      </c>
      <c r="I879" s="20">
        <f>203.83</f>
        <v>203.83</v>
      </c>
      <c r="J879" s="20">
        <f>203.83</f>
        <v>203.83</v>
      </c>
      <c r="K879" s="20">
        <f>203.83</f>
        <v>203.83</v>
      </c>
      <c r="L879" s="16" t="s">
        <v>1200</v>
      </c>
      <c r="M879" s="16" t="str">
        <f t="shared" si="331"/>
        <v>17Б0120490</v>
      </c>
      <c r="N879" s="16" t="str">
        <f t="shared" si="332"/>
        <v>607080117Б0120490610</v>
      </c>
    </row>
    <row r="880" spans="2:14" s="16" customFormat="1" ht="38.25">
      <c r="B880" s="14"/>
      <c r="C880" s="197" t="s">
        <v>87</v>
      </c>
      <c r="D880" s="198" t="s">
        <v>510</v>
      </c>
      <c r="E880" s="199" t="s">
        <v>238</v>
      </c>
      <c r="F880" s="199" t="s">
        <v>11</v>
      </c>
      <c r="G880" s="199" t="s">
        <v>88</v>
      </c>
      <c r="H880" s="199" t="s">
        <v>9</v>
      </c>
      <c r="I880" s="20">
        <f>I881</f>
        <v>5057.0200000000004</v>
      </c>
      <c r="J880" s="20">
        <f t="shared" ref="J880:K880" si="347">J881</f>
        <v>0</v>
      </c>
      <c r="K880" s="20">
        <f t="shared" si="347"/>
        <v>0</v>
      </c>
      <c r="L880" s="16">
        <v>9800000000</v>
      </c>
      <c r="M880" s="16" t="str">
        <f t="shared" si="331"/>
        <v>9800000000</v>
      </c>
      <c r="N880" s="16" t="str">
        <f t="shared" si="332"/>
        <v>60708019800000000000</v>
      </c>
    </row>
    <row r="881" spans="2:14" s="16" customFormat="1">
      <c r="B881" s="14"/>
      <c r="C881" s="197" t="s">
        <v>89</v>
      </c>
      <c r="D881" s="198" t="s">
        <v>510</v>
      </c>
      <c r="E881" s="199" t="s">
        <v>238</v>
      </c>
      <c r="F881" s="199" t="s">
        <v>11</v>
      </c>
      <c r="G881" s="199" t="s">
        <v>90</v>
      </c>
      <c r="H881" s="199" t="s">
        <v>9</v>
      </c>
      <c r="I881" s="20">
        <f>I882+I884</f>
        <v>5057.0200000000004</v>
      </c>
      <c r="J881" s="20">
        <f t="shared" ref="J881:K881" si="348">J882+J884</f>
        <v>0</v>
      </c>
      <c r="K881" s="20">
        <f t="shared" si="348"/>
        <v>0</v>
      </c>
      <c r="L881" s="16">
        <v>9810000000</v>
      </c>
      <c r="M881" s="16" t="str">
        <f t="shared" si="331"/>
        <v>9810000000</v>
      </c>
      <c r="N881" s="16" t="str">
        <f t="shared" si="332"/>
        <v>60708019810000000000</v>
      </c>
    </row>
    <row r="882" spans="2:14" s="16" customFormat="1" ht="38.25">
      <c r="B882" s="14"/>
      <c r="C882" s="197" t="s">
        <v>1054</v>
      </c>
      <c r="D882" s="198" t="s">
        <v>510</v>
      </c>
      <c r="E882" s="199" t="s">
        <v>238</v>
      </c>
      <c r="F882" s="199" t="s">
        <v>11</v>
      </c>
      <c r="G882" s="199" t="s">
        <v>1055</v>
      </c>
      <c r="H882" s="199" t="s">
        <v>9</v>
      </c>
      <c r="I882" s="20">
        <f>I883</f>
        <v>57.02</v>
      </c>
      <c r="J882" s="20">
        <f t="shared" ref="J882:K882" si="349">J883</f>
        <v>0</v>
      </c>
      <c r="K882" s="20">
        <f t="shared" si="349"/>
        <v>0</v>
      </c>
      <c r="L882" s="16">
        <v>9810021570</v>
      </c>
      <c r="M882" s="16" t="str">
        <f t="shared" si="331"/>
        <v>9810021570</v>
      </c>
      <c r="N882" s="16" t="str">
        <f t="shared" si="332"/>
        <v>60708019810021570000</v>
      </c>
    </row>
    <row r="883" spans="2:14" s="16" customFormat="1">
      <c r="B883" s="14"/>
      <c r="C883" s="197" t="s">
        <v>403</v>
      </c>
      <c r="D883" s="198" t="s">
        <v>510</v>
      </c>
      <c r="E883" s="199" t="s">
        <v>238</v>
      </c>
      <c r="F883" s="199" t="s">
        <v>11</v>
      </c>
      <c r="G883" s="199" t="s">
        <v>1055</v>
      </c>
      <c r="H883" s="199" t="s">
        <v>404</v>
      </c>
      <c r="I883" s="20">
        <f>57.02</f>
        <v>57.02</v>
      </c>
      <c r="J883" s="20">
        <v>0</v>
      </c>
      <c r="K883" s="20">
        <v>0</v>
      </c>
      <c r="L883" s="16">
        <v>9810021570</v>
      </c>
      <c r="M883" s="16" t="str">
        <f t="shared" si="331"/>
        <v>9810021570</v>
      </c>
      <c r="N883" s="16" t="str">
        <f t="shared" si="332"/>
        <v>60708019810021570610</v>
      </c>
    </row>
    <row r="884" spans="2:14" s="16" customFormat="1" ht="78" customHeight="1">
      <c r="B884" s="14"/>
      <c r="C884" s="197" t="s">
        <v>1302</v>
      </c>
      <c r="D884" s="198" t="s">
        <v>510</v>
      </c>
      <c r="E884" s="199" t="s">
        <v>238</v>
      </c>
      <c r="F884" s="199" t="s">
        <v>11</v>
      </c>
      <c r="G884" s="199" t="s">
        <v>1303</v>
      </c>
      <c r="H884" s="199" t="s">
        <v>9</v>
      </c>
      <c r="I884" s="20">
        <f>I885</f>
        <v>5000</v>
      </c>
      <c r="J884" s="20">
        <f t="shared" ref="J884:K884" si="350">J885</f>
        <v>0</v>
      </c>
      <c r="K884" s="20">
        <f t="shared" si="350"/>
        <v>0</v>
      </c>
      <c r="L884" s="16">
        <v>9810021590</v>
      </c>
      <c r="M884" s="16" t="str">
        <f t="shared" si="331"/>
        <v>9810021590</v>
      </c>
      <c r="N884" s="16" t="str">
        <f t="shared" si="332"/>
        <v>60708019810021590000</v>
      </c>
    </row>
    <row r="885" spans="2:14" s="16" customFormat="1">
      <c r="B885" s="14"/>
      <c r="C885" s="374" t="s">
        <v>409</v>
      </c>
      <c r="D885" s="198" t="s">
        <v>510</v>
      </c>
      <c r="E885" s="199" t="s">
        <v>238</v>
      </c>
      <c r="F885" s="199" t="s">
        <v>11</v>
      </c>
      <c r="G885" s="199" t="s">
        <v>1303</v>
      </c>
      <c r="H885" s="199" t="s">
        <v>410</v>
      </c>
      <c r="I885" s="20">
        <f>5000</f>
        <v>5000</v>
      </c>
      <c r="J885" s="20">
        <v>0</v>
      </c>
      <c r="K885" s="20">
        <v>0</v>
      </c>
      <c r="L885" s="16">
        <v>9810021590</v>
      </c>
      <c r="M885" s="16" t="str">
        <f t="shared" si="331"/>
        <v>9810021590</v>
      </c>
      <c r="N885" s="16" t="str">
        <f t="shared" si="332"/>
        <v>60708019810021590620</v>
      </c>
    </row>
    <row r="886" spans="2:14" s="16" customFormat="1">
      <c r="B886" s="14"/>
      <c r="C886" s="194" t="s">
        <v>584</v>
      </c>
      <c r="D886" s="195" t="s">
        <v>510</v>
      </c>
      <c r="E886" s="196" t="s">
        <v>238</v>
      </c>
      <c r="F886" s="196" t="s">
        <v>73</v>
      </c>
      <c r="G886" s="196" t="s">
        <v>8</v>
      </c>
      <c r="H886" s="196" t="s">
        <v>9</v>
      </c>
      <c r="I886" s="19">
        <f>I887</f>
        <v>15667.469999999998</v>
      </c>
      <c r="J886" s="19">
        <f>J887</f>
        <v>14187.999999999998</v>
      </c>
      <c r="K886" s="19">
        <f>K887</f>
        <v>14187.999999999998</v>
      </c>
      <c r="L886" s="16">
        <v>0</v>
      </c>
      <c r="M886" s="16" t="str">
        <f t="shared" si="331"/>
        <v>0000000000</v>
      </c>
      <c r="N886" s="16" t="str">
        <f t="shared" si="332"/>
        <v>60708040000000000000</v>
      </c>
    </row>
    <row r="887" spans="2:14" s="16" customFormat="1" ht="25.5">
      <c r="B887" s="14"/>
      <c r="C887" s="197" t="s">
        <v>585</v>
      </c>
      <c r="D887" s="198" t="s">
        <v>510</v>
      </c>
      <c r="E887" s="199" t="s">
        <v>238</v>
      </c>
      <c r="F887" s="199" t="s">
        <v>73</v>
      </c>
      <c r="G887" s="199" t="s">
        <v>586</v>
      </c>
      <c r="H887" s="199" t="s">
        <v>9</v>
      </c>
      <c r="I887" s="20">
        <f>I888+I899</f>
        <v>15667.469999999998</v>
      </c>
      <c r="J887" s="20">
        <f>J888+J899</f>
        <v>14187.999999999998</v>
      </c>
      <c r="K887" s="20">
        <f>K888+K899</f>
        <v>14187.999999999998</v>
      </c>
      <c r="L887" s="16">
        <v>7600000000</v>
      </c>
      <c r="M887" s="16" t="str">
        <f t="shared" si="331"/>
        <v>7600000000</v>
      </c>
      <c r="N887" s="16" t="str">
        <f t="shared" si="332"/>
        <v>60708047600000000000</v>
      </c>
    </row>
    <row r="888" spans="2:14" s="16" customFormat="1" ht="38.25">
      <c r="B888" s="14"/>
      <c r="C888" s="197" t="s">
        <v>587</v>
      </c>
      <c r="D888" s="198" t="s">
        <v>510</v>
      </c>
      <c r="E888" s="199" t="s">
        <v>238</v>
      </c>
      <c r="F888" s="199" t="s">
        <v>73</v>
      </c>
      <c r="G888" s="199" t="s">
        <v>588</v>
      </c>
      <c r="H888" s="199" t="s">
        <v>9</v>
      </c>
      <c r="I888" s="20">
        <f>I889+I893+I895+I897</f>
        <v>15507.469999999998</v>
      </c>
      <c r="J888" s="20">
        <f t="shared" ref="J888:K888" si="351">J889+J893+J895+J897</f>
        <v>14027.999999999998</v>
      </c>
      <c r="K888" s="20">
        <f t="shared" si="351"/>
        <v>14027.999999999998</v>
      </c>
      <c r="L888" s="16">
        <v>7610000000</v>
      </c>
      <c r="M888" s="16" t="str">
        <f t="shared" si="331"/>
        <v>7610000000</v>
      </c>
      <c r="N888" s="16" t="str">
        <f t="shared" si="332"/>
        <v>60708047610000000000</v>
      </c>
    </row>
    <row r="889" spans="2:14" s="16" customFormat="1" ht="25.5">
      <c r="B889" s="14"/>
      <c r="C889" s="197" t="s">
        <v>18</v>
      </c>
      <c r="D889" s="198" t="s">
        <v>510</v>
      </c>
      <c r="E889" s="199" t="s">
        <v>238</v>
      </c>
      <c r="F889" s="199" t="s">
        <v>73</v>
      </c>
      <c r="G889" s="199" t="s">
        <v>589</v>
      </c>
      <c r="H889" s="199" t="s">
        <v>9</v>
      </c>
      <c r="I889" s="20">
        <f>SUM(I890:I892)</f>
        <v>2980.3399999999997</v>
      </c>
      <c r="J889" s="20">
        <f>SUM(J890:J892)</f>
        <v>1480.34</v>
      </c>
      <c r="K889" s="20">
        <f>SUM(K890:K892)</f>
        <v>1480.34</v>
      </c>
      <c r="L889" s="16">
        <v>7610010010</v>
      </c>
      <c r="M889" s="16" t="str">
        <f t="shared" si="331"/>
        <v>7610010010</v>
      </c>
      <c r="N889" s="16" t="str">
        <f t="shared" si="332"/>
        <v>60708047610010010000</v>
      </c>
    </row>
    <row r="890" spans="2:14" s="16" customFormat="1" ht="25.5">
      <c r="B890" s="14"/>
      <c r="C890" s="200" t="s">
        <v>20</v>
      </c>
      <c r="D890" s="198" t="s">
        <v>510</v>
      </c>
      <c r="E890" s="199" t="s">
        <v>238</v>
      </c>
      <c r="F890" s="199" t="s">
        <v>73</v>
      </c>
      <c r="G890" s="199" t="s">
        <v>589</v>
      </c>
      <c r="H890" s="199" t="s">
        <v>21</v>
      </c>
      <c r="I890" s="20">
        <f>274.45+82.88</f>
        <v>357.33</v>
      </c>
      <c r="J890" s="20">
        <f t="shared" ref="J890:K890" si="352">274.45+82.88</f>
        <v>357.33</v>
      </c>
      <c r="K890" s="20">
        <f t="shared" si="352"/>
        <v>357.33</v>
      </c>
      <c r="L890" s="16">
        <v>7610010010</v>
      </c>
      <c r="M890" s="16" t="str">
        <f t="shared" si="331"/>
        <v>7610010010</v>
      </c>
      <c r="N890" s="16" t="str">
        <f t="shared" si="332"/>
        <v>60708047610010010120</v>
      </c>
    </row>
    <row r="891" spans="2:14" s="16" customFormat="1" ht="25.5">
      <c r="B891" s="14"/>
      <c r="C891" s="197" t="s">
        <v>28</v>
      </c>
      <c r="D891" s="198" t="s">
        <v>510</v>
      </c>
      <c r="E891" s="199" t="s">
        <v>238</v>
      </c>
      <c r="F891" s="199" t="s">
        <v>73</v>
      </c>
      <c r="G891" s="199" t="s">
        <v>589</v>
      </c>
      <c r="H891" s="199" t="s">
        <v>29</v>
      </c>
      <c r="I891" s="20">
        <f>941.81+1500</f>
        <v>2441.81</v>
      </c>
      <c r="J891" s="20">
        <f t="shared" ref="J891:K891" si="353">941.81</f>
        <v>941.81</v>
      </c>
      <c r="K891" s="20">
        <f t="shared" si="353"/>
        <v>941.81</v>
      </c>
      <c r="L891" s="16">
        <v>7610010010</v>
      </c>
      <c r="M891" s="16" t="str">
        <f t="shared" si="331"/>
        <v>7610010010</v>
      </c>
      <c r="N891" s="16" t="str">
        <f t="shared" si="332"/>
        <v>60708047610010010240</v>
      </c>
    </row>
    <row r="892" spans="2:14" s="16" customFormat="1">
      <c r="B892" s="14"/>
      <c r="C892" s="197" t="s">
        <v>32</v>
      </c>
      <c r="D892" s="198" t="s">
        <v>510</v>
      </c>
      <c r="E892" s="199" t="s">
        <v>238</v>
      </c>
      <c r="F892" s="199" t="s">
        <v>73</v>
      </c>
      <c r="G892" s="199" t="s">
        <v>589</v>
      </c>
      <c r="H892" s="199" t="s">
        <v>33</v>
      </c>
      <c r="I892" s="20">
        <f>174.2+5.5+1.5</f>
        <v>181.2</v>
      </c>
      <c r="J892" s="20">
        <f t="shared" ref="J892:K892" si="354">174.2+5.5+1.5</f>
        <v>181.2</v>
      </c>
      <c r="K892" s="20">
        <f t="shared" si="354"/>
        <v>181.2</v>
      </c>
      <c r="L892" s="16">
        <v>7610010010</v>
      </c>
      <c r="M892" s="16" t="str">
        <f t="shared" si="331"/>
        <v>7610010010</v>
      </c>
      <c r="N892" s="16" t="str">
        <f t="shared" si="332"/>
        <v>60708047610010010850</v>
      </c>
    </row>
    <row r="893" spans="2:14" s="16" customFormat="1" ht="25.5">
      <c r="B893" s="14"/>
      <c r="C893" s="197" t="s">
        <v>38</v>
      </c>
      <c r="D893" s="198" t="s">
        <v>510</v>
      </c>
      <c r="E893" s="199" t="s">
        <v>238</v>
      </c>
      <c r="F893" s="199" t="s">
        <v>73</v>
      </c>
      <c r="G893" s="199" t="s">
        <v>590</v>
      </c>
      <c r="H893" s="199" t="s">
        <v>9</v>
      </c>
      <c r="I893" s="20">
        <f>I894</f>
        <v>12116.639999999998</v>
      </c>
      <c r="J893" s="20">
        <f>J894</f>
        <v>12547.659999999998</v>
      </c>
      <c r="K893" s="20">
        <f>K894</f>
        <v>12547.659999999998</v>
      </c>
      <c r="L893" s="16">
        <v>7610010020</v>
      </c>
      <c r="M893" s="16" t="str">
        <f t="shared" si="331"/>
        <v>7610010020</v>
      </c>
      <c r="N893" s="16" t="str">
        <f t="shared" si="332"/>
        <v>60708047610010020000</v>
      </c>
    </row>
    <row r="894" spans="2:14" s="16" customFormat="1" ht="25.5">
      <c r="B894" s="14"/>
      <c r="C894" s="200" t="s">
        <v>20</v>
      </c>
      <c r="D894" s="198" t="s">
        <v>510</v>
      </c>
      <c r="E894" s="199" t="s">
        <v>238</v>
      </c>
      <c r="F894" s="199" t="s">
        <v>73</v>
      </c>
      <c r="G894" s="199" t="s">
        <v>590</v>
      </c>
      <c r="H894" s="199" t="s">
        <v>21</v>
      </c>
      <c r="I894" s="20">
        <f>2776.48+9193.64+21.01+58.72+1.94+37.13+27.72</f>
        <v>12116.639999999998</v>
      </c>
      <c r="J894" s="20">
        <f>2776.48+9193.64+478.81+37.13+61.6</f>
        <v>12547.659999999998</v>
      </c>
      <c r="K894" s="20">
        <f>2776.48+9193.64+478.81+37.13+61.6</f>
        <v>12547.659999999998</v>
      </c>
      <c r="L894" s="16">
        <v>7610010020</v>
      </c>
      <c r="M894" s="16" t="str">
        <f t="shared" si="331"/>
        <v>7610010020</v>
      </c>
      <c r="N894" s="16" t="str">
        <f t="shared" si="332"/>
        <v>60708047610010020120</v>
      </c>
    </row>
    <row r="895" spans="2:14" s="16" customFormat="1" ht="191.25">
      <c r="B895" s="384" t="s">
        <v>2282</v>
      </c>
      <c r="C895" s="197" t="s">
        <v>2269</v>
      </c>
      <c r="D895" s="198" t="s">
        <v>510</v>
      </c>
      <c r="E895" s="199" t="s">
        <v>238</v>
      </c>
      <c r="F895" s="199" t="s">
        <v>73</v>
      </c>
      <c r="G895" s="199" t="s">
        <v>1304</v>
      </c>
      <c r="H895" s="199" t="s">
        <v>9</v>
      </c>
      <c r="I895" s="20">
        <f>I896</f>
        <v>397.14</v>
      </c>
      <c r="J895" s="20">
        <f t="shared" ref="J895:K895" si="355">J896</f>
        <v>0</v>
      </c>
      <c r="K895" s="20">
        <f t="shared" si="355"/>
        <v>0</v>
      </c>
      <c r="L895" s="16">
        <v>7610077460</v>
      </c>
      <c r="M895" s="16" t="str">
        <f t="shared" si="331"/>
        <v>7610077460</v>
      </c>
      <c r="N895" s="16" t="str">
        <f t="shared" si="332"/>
        <v>60708047610077460000</v>
      </c>
    </row>
    <row r="896" spans="2:14" s="16" customFormat="1" ht="25.5">
      <c r="B896" s="14"/>
      <c r="C896" s="200" t="s">
        <v>20</v>
      </c>
      <c r="D896" s="198" t="s">
        <v>510</v>
      </c>
      <c r="E896" s="199" t="s">
        <v>238</v>
      </c>
      <c r="F896" s="199" t="s">
        <v>73</v>
      </c>
      <c r="G896" s="199" t="s">
        <v>1304</v>
      </c>
      <c r="H896" s="199" t="s">
        <v>21</v>
      </c>
      <c r="I896" s="20">
        <f>399.08-1.94</f>
        <v>397.14</v>
      </c>
      <c r="J896" s="20">
        <v>0</v>
      </c>
      <c r="K896" s="20">
        <v>0</v>
      </c>
      <c r="L896" s="16">
        <v>7610077460</v>
      </c>
      <c r="M896" s="16" t="str">
        <f t="shared" si="331"/>
        <v>7610077460</v>
      </c>
      <c r="N896" s="16" t="str">
        <f t="shared" si="332"/>
        <v>60708047610077460120</v>
      </c>
    </row>
    <row r="897" spans="2:14" s="16" customFormat="1" ht="165.75">
      <c r="B897" s="14"/>
      <c r="C897" s="200" t="s">
        <v>2247</v>
      </c>
      <c r="D897" s="198" t="s">
        <v>510</v>
      </c>
      <c r="E897" s="199" t="s">
        <v>238</v>
      </c>
      <c r="F897" s="199" t="s">
        <v>73</v>
      </c>
      <c r="G897" s="199" t="s">
        <v>2258</v>
      </c>
      <c r="H897" s="199" t="s">
        <v>9</v>
      </c>
      <c r="I897" s="20">
        <f>I898</f>
        <v>13.35</v>
      </c>
      <c r="J897" s="20">
        <f t="shared" ref="J897:K897" si="356">J898</f>
        <v>0</v>
      </c>
      <c r="K897" s="20">
        <f t="shared" si="356"/>
        <v>0</v>
      </c>
      <c r="L897" s="16">
        <v>7610077580</v>
      </c>
      <c r="M897" s="16" t="str">
        <f t="shared" si="331"/>
        <v>7610077580</v>
      </c>
      <c r="N897" s="16" t="str">
        <f t="shared" si="332"/>
        <v>60708047610077580000</v>
      </c>
    </row>
    <row r="898" spans="2:14" s="16" customFormat="1" ht="25.5">
      <c r="B898" s="14"/>
      <c r="C898" s="200" t="s">
        <v>20</v>
      </c>
      <c r="D898" s="198" t="s">
        <v>510</v>
      </c>
      <c r="E898" s="199" t="s">
        <v>238</v>
      </c>
      <c r="F898" s="199" t="s">
        <v>73</v>
      </c>
      <c r="G898" s="199" t="s">
        <v>2258</v>
      </c>
      <c r="H898" s="199" t="s">
        <v>21</v>
      </c>
      <c r="I898" s="20">
        <f>13.35</f>
        <v>13.35</v>
      </c>
      <c r="J898" s="20">
        <v>0</v>
      </c>
      <c r="K898" s="20">
        <v>0</v>
      </c>
      <c r="L898" s="16">
        <v>7610077580</v>
      </c>
      <c r="M898" s="16" t="str">
        <f t="shared" si="331"/>
        <v>7610077580</v>
      </c>
      <c r="N898" s="16" t="str">
        <f t="shared" si="332"/>
        <v>60708047610077580120</v>
      </c>
    </row>
    <row r="899" spans="2:14" s="16" customFormat="1">
      <c r="B899" s="14"/>
      <c r="C899" s="200" t="s">
        <v>52</v>
      </c>
      <c r="D899" s="198" t="s">
        <v>510</v>
      </c>
      <c r="E899" s="199" t="s">
        <v>238</v>
      </c>
      <c r="F899" s="199" t="s">
        <v>73</v>
      </c>
      <c r="G899" s="199" t="s">
        <v>591</v>
      </c>
      <c r="H899" s="199" t="s">
        <v>9</v>
      </c>
      <c r="I899" s="20">
        <f t="shared" ref="I899:K900" si="357">I900</f>
        <v>160</v>
      </c>
      <c r="J899" s="20">
        <f t="shared" si="357"/>
        <v>160</v>
      </c>
      <c r="K899" s="20">
        <f t="shared" si="357"/>
        <v>160</v>
      </c>
      <c r="L899" s="16">
        <v>7620000000</v>
      </c>
      <c r="M899" s="16" t="str">
        <f t="shared" si="331"/>
        <v>7620000000</v>
      </c>
      <c r="N899" s="16" t="str">
        <f t="shared" si="332"/>
        <v>60708047620000000000</v>
      </c>
    </row>
    <row r="900" spans="2:14" s="16" customFormat="1" ht="38.25">
      <c r="B900" s="14"/>
      <c r="C900" s="197" t="s">
        <v>592</v>
      </c>
      <c r="D900" s="198" t="s">
        <v>510</v>
      </c>
      <c r="E900" s="199" t="s">
        <v>238</v>
      </c>
      <c r="F900" s="199" t="s">
        <v>73</v>
      </c>
      <c r="G900" s="199" t="s">
        <v>593</v>
      </c>
      <c r="H900" s="199" t="s">
        <v>9</v>
      </c>
      <c r="I900" s="20">
        <f t="shared" si="357"/>
        <v>160</v>
      </c>
      <c r="J900" s="20">
        <f t="shared" si="357"/>
        <v>160</v>
      </c>
      <c r="K900" s="20">
        <f t="shared" si="357"/>
        <v>160</v>
      </c>
      <c r="L900" s="16">
        <v>7620020250</v>
      </c>
      <c r="M900" s="16" t="str">
        <f t="shared" si="331"/>
        <v>7620020250</v>
      </c>
      <c r="N900" s="16" t="str">
        <f t="shared" si="332"/>
        <v>60708047620020250000</v>
      </c>
    </row>
    <row r="901" spans="2:14" s="16" customFormat="1" ht="25.5">
      <c r="B901" s="14"/>
      <c r="C901" s="197" t="s">
        <v>28</v>
      </c>
      <c r="D901" s="198" t="s">
        <v>510</v>
      </c>
      <c r="E901" s="199" t="s">
        <v>238</v>
      </c>
      <c r="F901" s="199" t="s">
        <v>73</v>
      </c>
      <c r="G901" s="199" t="s">
        <v>593</v>
      </c>
      <c r="H901" s="199" t="s">
        <v>29</v>
      </c>
      <c r="I901" s="20">
        <f>160</f>
        <v>160</v>
      </c>
      <c r="J901" s="20">
        <f>160</f>
        <v>160</v>
      </c>
      <c r="K901" s="20">
        <f>160</f>
        <v>160</v>
      </c>
      <c r="L901" s="16">
        <v>7620020250</v>
      </c>
      <c r="M901" s="16" t="str">
        <f t="shared" si="331"/>
        <v>7620020250</v>
      </c>
      <c r="N901" s="16" t="str">
        <f t="shared" si="332"/>
        <v>60708047620020250240</v>
      </c>
    </row>
    <row r="902" spans="2:14" s="16" customFormat="1">
      <c r="B902" s="14"/>
      <c r="C902" s="197"/>
      <c r="D902" s="198"/>
      <c r="E902" s="199"/>
      <c r="F902" s="199"/>
      <c r="G902" s="199"/>
      <c r="H902" s="199"/>
      <c r="I902" s="20"/>
      <c r="J902" s="20"/>
      <c r="K902" s="20"/>
      <c r="M902" s="16" t="str">
        <f t="shared" ref="M902:M965" si="358">TEXT(L902,"0000000000")</f>
        <v>0000000000</v>
      </c>
      <c r="N902" s="16" t="str">
        <f t="shared" ref="N902:N965" si="359">D902&amp;E902&amp;F902&amp;M902&amp;H902</f>
        <v>0000000000</v>
      </c>
    </row>
    <row r="903" spans="2:14" s="13" customFormat="1" ht="25.5">
      <c r="B903" s="1"/>
      <c r="C903" s="202" t="s">
        <v>594</v>
      </c>
      <c r="D903" s="189" t="s">
        <v>595</v>
      </c>
      <c r="E903" s="190" t="s">
        <v>7</v>
      </c>
      <c r="F903" s="190" t="s">
        <v>7</v>
      </c>
      <c r="G903" s="190" t="s">
        <v>8</v>
      </c>
      <c r="H903" s="190" t="s">
        <v>9</v>
      </c>
      <c r="I903" s="35">
        <f>I918+I904+I911</f>
        <v>1886289.18</v>
      </c>
      <c r="J903" s="35">
        <f>J918+J904+J911</f>
        <v>1921179.9799999997</v>
      </c>
      <c r="K903" s="35">
        <f>K918+K904+K911</f>
        <v>1970819.1800000004</v>
      </c>
      <c r="L903" s="13">
        <v>0</v>
      </c>
      <c r="M903" s="16" t="str">
        <f t="shared" si="358"/>
        <v>0000000000</v>
      </c>
      <c r="N903" s="16" t="str">
        <f t="shared" si="359"/>
        <v>60900000000000000000</v>
      </c>
    </row>
    <row r="904" spans="2:14" s="29" customFormat="1">
      <c r="B904" s="28"/>
      <c r="C904" s="191" t="s">
        <v>10</v>
      </c>
      <c r="D904" s="192" t="s">
        <v>595</v>
      </c>
      <c r="E904" s="193" t="s">
        <v>11</v>
      </c>
      <c r="F904" s="193" t="s">
        <v>7</v>
      </c>
      <c r="G904" s="193" t="s">
        <v>8</v>
      </c>
      <c r="H904" s="193" t="s">
        <v>9</v>
      </c>
      <c r="I904" s="18">
        <f t="shared" ref="I904:K909" si="360">I905</f>
        <v>6.98</v>
      </c>
      <c r="J904" s="18">
        <f t="shared" si="360"/>
        <v>6.98</v>
      </c>
      <c r="K904" s="18">
        <f t="shared" si="360"/>
        <v>6.98</v>
      </c>
      <c r="L904" s="29">
        <v>0</v>
      </c>
      <c r="M904" s="16" t="str">
        <f t="shared" si="358"/>
        <v>0000000000</v>
      </c>
      <c r="N904" s="16" t="str">
        <f t="shared" si="359"/>
        <v>60901000000000000000</v>
      </c>
    </row>
    <row r="905" spans="2:14" s="29" customFormat="1">
      <c r="B905" s="28"/>
      <c r="C905" s="194" t="s">
        <v>50</v>
      </c>
      <c r="D905" s="195" t="s">
        <v>595</v>
      </c>
      <c r="E905" s="196" t="s">
        <v>11</v>
      </c>
      <c r="F905" s="196" t="s">
        <v>51</v>
      </c>
      <c r="G905" s="196" t="s">
        <v>8</v>
      </c>
      <c r="H905" s="196" t="s">
        <v>9</v>
      </c>
      <c r="I905" s="19">
        <f>I906</f>
        <v>6.98</v>
      </c>
      <c r="J905" s="19">
        <f t="shared" si="360"/>
        <v>6.98</v>
      </c>
      <c r="K905" s="19">
        <f t="shared" si="360"/>
        <v>6.98</v>
      </c>
      <c r="L905" s="29">
        <v>0</v>
      </c>
      <c r="M905" s="16" t="str">
        <f t="shared" si="358"/>
        <v>0000000000</v>
      </c>
      <c r="N905" s="16" t="str">
        <f t="shared" si="359"/>
        <v>60901130000000000000</v>
      </c>
    </row>
    <row r="906" spans="2:14" s="29" customFormat="1" ht="38.25">
      <c r="B906" s="28"/>
      <c r="C906" s="205" t="s">
        <v>257</v>
      </c>
      <c r="D906" s="198" t="s">
        <v>595</v>
      </c>
      <c r="E906" s="199" t="s">
        <v>11</v>
      </c>
      <c r="F906" s="199" t="s">
        <v>51</v>
      </c>
      <c r="G906" s="199" t="s">
        <v>258</v>
      </c>
      <c r="H906" s="199" t="s">
        <v>9</v>
      </c>
      <c r="I906" s="20">
        <f t="shared" si="360"/>
        <v>6.98</v>
      </c>
      <c r="J906" s="20">
        <f t="shared" si="360"/>
        <v>6.98</v>
      </c>
      <c r="K906" s="20">
        <f t="shared" si="360"/>
        <v>6.98</v>
      </c>
      <c r="L906" s="29">
        <v>1100000000</v>
      </c>
      <c r="M906" s="16" t="str">
        <f t="shared" si="358"/>
        <v>1100000000</v>
      </c>
      <c r="N906" s="16" t="str">
        <f t="shared" si="359"/>
        <v>60901131100000000000</v>
      </c>
    </row>
    <row r="907" spans="2:14" s="29" customFormat="1" ht="51">
      <c r="B907" s="28"/>
      <c r="C907" s="205" t="s">
        <v>259</v>
      </c>
      <c r="D907" s="198" t="s">
        <v>595</v>
      </c>
      <c r="E907" s="199" t="s">
        <v>11</v>
      </c>
      <c r="F907" s="199" t="s">
        <v>51</v>
      </c>
      <c r="G907" s="199" t="s">
        <v>260</v>
      </c>
      <c r="H907" s="199" t="s">
        <v>9</v>
      </c>
      <c r="I907" s="20">
        <f t="shared" si="360"/>
        <v>6.98</v>
      </c>
      <c r="J907" s="20">
        <f t="shared" si="360"/>
        <v>6.98</v>
      </c>
      <c r="K907" s="20">
        <f t="shared" si="360"/>
        <v>6.98</v>
      </c>
      <c r="L907" s="29" t="s">
        <v>1171</v>
      </c>
      <c r="M907" s="16" t="str">
        <f t="shared" si="358"/>
        <v>11Б0000000</v>
      </c>
      <c r="N907" s="16" t="str">
        <f t="shared" si="359"/>
        <v>609011311Б0000000000</v>
      </c>
    </row>
    <row r="908" spans="2:14" s="29" customFormat="1" ht="38.25">
      <c r="B908" s="28"/>
      <c r="C908" s="197" t="s">
        <v>261</v>
      </c>
      <c r="D908" s="198" t="s">
        <v>595</v>
      </c>
      <c r="E908" s="199" t="s">
        <v>11</v>
      </c>
      <c r="F908" s="199" t="s">
        <v>51</v>
      </c>
      <c r="G908" s="199" t="s">
        <v>262</v>
      </c>
      <c r="H908" s="199" t="s">
        <v>9</v>
      </c>
      <c r="I908" s="20">
        <f t="shared" si="360"/>
        <v>6.98</v>
      </c>
      <c r="J908" s="20">
        <f t="shared" si="360"/>
        <v>6.98</v>
      </c>
      <c r="K908" s="20">
        <f t="shared" si="360"/>
        <v>6.98</v>
      </c>
      <c r="L908" s="29" t="s">
        <v>1172</v>
      </c>
      <c r="M908" s="16" t="str">
        <f t="shared" si="358"/>
        <v>11Б0100000</v>
      </c>
      <c r="N908" s="16" t="str">
        <f t="shared" si="359"/>
        <v>609011311Б0100000000</v>
      </c>
    </row>
    <row r="909" spans="2:14" s="13" customFormat="1" ht="25.5">
      <c r="B909" s="1"/>
      <c r="C909" s="197" t="s">
        <v>267</v>
      </c>
      <c r="D909" s="198" t="s">
        <v>595</v>
      </c>
      <c r="E909" s="199" t="s">
        <v>11</v>
      </c>
      <c r="F909" s="199" t="s">
        <v>51</v>
      </c>
      <c r="G909" s="199" t="s">
        <v>268</v>
      </c>
      <c r="H909" s="199" t="s">
        <v>9</v>
      </c>
      <c r="I909" s="20">
        <f t="shared" si="360"/>
        <v>6.98</v>
      </c>
      <c r="J909" s="20">
        <f t="shared" si="360"/>
        <v>6.98</v>
      </c>
      <c r="K909" s="20">
        <f t="shared" si="360"/>
        <v>6.98</v>
      </c>
      <c r="L909" s="13" t="s">
        <v>1175</v>
      </c>
      <c r="M909" s="16" t="str">
        <f t="shared" si="358"/>
        <v>11Б0121120</v>
      </c>
      <c r="N909" s="16" t="str">
        <f t="shared" si="359"/>
        <v>609011311Б0121120000</v>
      </c>
    </row>
    <row r="910" spans="2:14" s="13" customFormat="1" ht="25.5">
      <c r="B910" s="1"/>
      <c r="C910" s="197" t="s">
        <v>28</v>
      </c>
      <c r="D910" s="198" t="s">
        <v>595</v>
      </c>
      <c r="E910" s="199" t="s">
        <v>11</v>
      </c>
      <c r="F910" s="199" t="s">
        <v>51</v>
      </c>
      <c r="G910" s="199" t="s">
        <v>268</v>
      </c>
      <c r="H910" s="199" t="s">
        <v>29</v>
      </c>
      <c r="I910" s="20">
        <f>6.98</f>
        <v>6.98</v>
      </c>
      <c r="J910" s="20">
        <f t="shared" ref="J910:K910" si="361">6.98</f>
        <v>6.98</v>
      </c>
      <c r="K910" s="20">
        <f t="shared" si="361"/>
        <v>6.98</v>
      </c>
      <c r="L910" s="13" t="s">
        <v>1175</v>
      </c>
      <c r="M910" s="16" t="str">
        <f t="shared" si="358"/>
        <v>11Б0121120</v>
      </c>
      <c r="N910" s="16" t="str">
        <f t="shared" si="359"/>
        <v>609011311Б0121120240</v>
      </c>
    </row>
    <row r="911" spans="2:14" s="13" customFormat="1">
      <c r="B911" s="1"/>
      <c r="C911" s="191" t="s">
        <v>569</v>
      </c>
      <c r="D911" s="192" t="s">
        <v>595</v>
      </c>
      <c r="E911" s="193" t="s">
        <v>238</v>
      </c>
      <c r="F911" s="193" t="s">
        <v>7</v>
      </c>
      <c r="G911" s="193" t="s">
        <v>8</v>
      </c>
      <c r="H911" s="193" t="s">
        <v>9</v>
      </c>
      <c r="I911" s="18">
        <f>I912</f>
        <v>2621.78</v>
      </c>
      <c r="J911" s="18">
        <f t="shared" ref="J911:K913" si="362">J912</f>
        <v>2704.98</v>
      </c>
      <c r="K911" s="18">
        <f t="shared" si="362"/>
        <v>2704.98</v>
      </c>
      <c r="L911" s="13">
        <v>0</v>
      </c>
      <c r="M911" s="16" t="str">
        <f t="shared" si="358"/>
        <v>0000000000</v>
      </c>
      <c r="N911" s="16" t="str">
        <f t="shared" si="359"/>
        <v>60908000000000000000</v>
      </c>
    </row>
    <row r="912" spans="2:14" s="13" customFormat="1">
      <c r="B912" s="1"/>
      <c r="C912" s="194" t="s">
        <v>239</v>
      </c>
      <c r="D912" s="195" t="s">
        <v>595</v>
      </c>
      <c r="E912" s="196" t="s">
        <v>238</v>
      </c>
      <c r="F912" s="196" t="s">
        <v>11</v>
      </c>
      <c r="G912" s="196" t="s">
        <v>8</v>
      </c>
      <c r="H912" s="196" t="s">
        <v>9</v>
      </c>
      <c r="I912" s="19">
        <f>I913</f>
        <v>2621.78</v>
      </c>
      <c r="J912" s="19">
        <f t="shared" si="362"/>
        <v>2704.98</v>
      </c>
      <c r="K912" s="19">
        <f t="shared" si="362"/>
        <v>2704.98</v>
      </c>
      <c r="L912" s="13">
        <v>0</v>
      </c>
      <c r="M912" s="16" t="str">
        <f t="shared" si="358"/>
        <v>0000000000</v>
      </c>
      <c r="N912" s="16" t="str">
        <f t="shared" si="359"/>
        <v>60908010000000000000</v>
      </c>
    </row>
    <row r="913" spans="2:14" s="13" customFormat="1">
      <c r="B913" s="1"/>
      <c r="C913" s="197" t="s">
        <v>240</v>
      </c>
      <c r="D913" s="198" t="s">
        <v>595</v>
      </c>
      <c r="E913" s="199" t="s">
        <v>238</v>
      </c>
      <c r="F913" s="199" t="s">
        <v>11</v>
      </c>
      <c r="G913" s="204" t="s">
        <v>241</v>
      </c>
      <c r="H913" s="199" t="s">
        <v>9</v>
      </c>
      <c r="I913" s="20">
        <f>I914</f>
        <v>2621.78</v>
      </c>
      <c r="J913" s="20">
        <f t="shared" si="362"/>
        <v>2704.98</v>
      </c>
      <c r="K913" s="20">
        <f t="shared" si="362"/>
        <v>2704.98</v>
      </c>
      <c r="L913" s="13">
        <v>700000000</v>
      </c>
      <c r="M913" s="16" t="str">
        <f t="shared" si="358"/>
        <v>0700000000</v>
      </c>
      <c r="N913" s="16" t="str">
        <f t="shared" si="359"/>
        <v>60908010700000000000</v>
      </c>
    </row>
    <row r="914" spans="2:14" s="13" customFormat="1" ht="51">
      <c r="B914" s="1"/>
      <c r="C914" s="197" t="s">
        <v>384</v>
      </c>
      <c r="D914" s="198" t="s">
        <v>595</v>
      </c>
      <c r="E914" s="199" t="s">
        <v>238</v>
      </c>
      <c r="F914" s="199" t="s">
        <v>11</v>
      </c>
      <c r="G914" s="204" t="s">
        <v>243</v>
      </c>
      <c r="H914" s="199" t="s">
        <v>9</v>
      </c>
      <c r="I914" s="20">
        <f t="shared" ref="I914:K916" si="363">I915</f>
        <v>2621.78</v>
      </c>
      <c r="J914" s="20">
        <f t="shared" si="363"/>
        <v>2704.98</v>
      </c>
      <c r="K914" s="20">
        <f t="shared" si="363"/>
        <v>2704.98</v>
      </c>
      <c r="L914" s="13">
        <v>710000000</v>
      </c>
      <c r="M914" s="16" t="str">
        <f t="shared" si="358"/>
        <v>0710000000</v>
      </c>
      <c r="N914" s="16" t="str">
        <f t="shared" si="359"/>
        <v>60908010710000000000</v>
      </c>
    </row>
    <row r="915" spans="2:14" s="13" customFormat="1" ht="63.75">
      <c r="B915" s="1"/>
      <c r="C915" s="197" t="s">
        <v>244</v>
      </c>
      <c r="D915" s="198" t="s">
        <v>595</v>
      </c>
      <c r="E915" s="199" t="s">
        <v>238</v>
      </c>
      <c r="F915" s="199" t="s">
        <v>11</v>
      </c>
      <c r="G915" s="204" t="s">
        <v>245</v>
      </c>
      <c r="H915" s="199" t="s">
        <v>9</v>
      </c>
      <c r="I915" s="20">
        <f t="shared" si="363"/>
        <v>2621.78</v>
      </c>
      <c r="J915" s="20">
        <f t="shared" si="363"/>
        <v>2704.98</v>
      </c>
      <c r="K915" s="20">
        <f t="shared" si="363"/>
        <v>2704.98</v>
      </c>
      <c r="L915" s="13">
        <v>710100000</v>
      </c>
      <c r="M915" s="16" t="str">
        <f t="shared" si="358"/>
        <v>0710100000</v>
      </c>
      <c r="N915" s="16" t="str">
        <f t="shared" si="359"/>
        <v>60908010710100000000</v>
      </c>
    </row>
    <row r="916" spans="2:14" s="13" customFormat="1" ht="25.5">
      <c r="B916" s="1"/>
      <c r="C916" s="197" t="s">
        <v>246</v>
      </c>
      <c r="D916" s="198" t="s">
        <v>595</v>
      </c>
      <c r="E916" s="199" t="s">
        <v>238</v>
      </c>
      <c r="F916" s="199" t="s">
        <v>11</v>
      </c>
      <c r="G916" s="204" t="s">
        <v>247</v>
      </c>
      <c r="H916" s="199" t="s">
        <v>9</v>
      </c>
      <c r="I916" s="20">
        <f t="shared" si="363"/>
        <v>2621.78</v>
      </c>
      <c r="J916" s="20">
        <f t="shared" si="363"/>
        <v>2704.98</v>
      </c>
      <c r="K916" s="20">
        <f t="shared" si="363"/>
        <v>2704.98</v>
      </c>
      <c r="L916" s="13">
        <v>710120060</v>
      </c>
      <c r="M916" s="16" t="str">
        <f t="shared" si="358"/>
        <v>0710120060</v>
      </c>
      <c r="N916" s="16" t="str">
        <f t="shared" si="359"/>
        <v>60908010710120060000</v>
      </c>
    </row>
    <row r="917" spans="2:14" s="13" customFormat="1" ht="25.5">
      <c r="B917" s="1"/>
      <c r="C917" s="200" t="s">
        <v>28</v>
      </c>
      <c r="D917" s="198" t="s">
        <v>595</v>
      </c>
      <c r="E917" s="199" t="s">
        <v>238</v>
      </c>
      <c r="F917" s="199" t="s">
        <v>11</v>
      </c>
      <c r="G917" s="204" t="s">
        <v>247</v>
      </c>
      <c r="H917" s="199" t="s">
        <v>29</v>
      </c>
      <c r="I917" s="20">
        <f>1578.67+500+626.31-69.7-13.5</f>
        <v>2621.78</v>
      </c>
      <c r="J917" s="20">
        <f t="shared" ref="J917:K917" si="364">1578.67+500+626.31</f>
        <v>2704.98</v>
      </c>
      <c r="K917" s="20">
        <f t="shared" si="364"/>
        <v>2704.98</v>
      </c>
      <c r="L917" s="13">
        <v>710120060</v>
      </c>
      <c r="M917" s="16" t="str">
        <f t="shared" si="358"/>
        <v>0710120060</v>
      </c>
      <c r="N917" s="16" t="str">
        <f t="shared" si="359"/>
        <v>60908010710120060240</v>
      </c>
    </row>
    <row r="918" spans="2:14" s="17" customFormat="1">
      <c r="B918" s="14"/>
      <c r="C918" s="191" t="s">
        <v>316</v>
      </c>
      <c r="D918" s="192" t="s">
        <v>595</v>
      </c>
      <c r="E918" s="193" t="s">
        <v>317</v>
      </c>
      <c r="F918" s="193" t="s">
        <v>7</v>
      </c>
      <c r="G918" s="193" t="s">
        <v>8</v>
      </c>
      <c r="H918" s="193" t="s">
        <v>9</v>
      </c>
      <c r="I918" s="18">
        <f>I919+I1026+I1034</f>
        <v>1883660.42</v>
      </c>
      <c r="J918" s="18">
        <f>J919+J1026+J1034</f>
        <v>1918468.0199999998</v>
      </c>
      <c r="K918" s="18">
        <f>K919+K1026+K1034</f>
        <v>1968107.2200000004</v>
      </c>
      <c r="L918" s="17">
        <v>0</v>
      </c>
      <c r="M918" s="16" t="str">
        <f t="shared" si="358"/>
        <v>0000000000</v>
      </c>
      <c r="N918" s="16" t="str">
        <f t="shared" si="359"/>
        <v>60910000000000000000</v>
      </c>
    </row>
    <row r="919" spans="2:14" s="17" customFormat="1">
      <c r="B919" s="14"/>
      <c r="C919" s="194" t="s">
        <v>318</v>
      </c>
      <c r="D919" s="195" t="s">
        <v>595</v>
      </c>
      <c r="E919" s="196" t="s">
        <v>317</v>
      </c>
      <c r="F919" s="196" t="s">
        <v>13</v>
      </c>
      <c r="G919" s="196" t="s">
        <v>8</v>
      </c>
      <c r="H919" s="196" t="s">
        <v>9</v>
      </c>
      <c r="I919" s="19">
        <f>I920</f>
        <v>1573384.82</v>
      </c>
      <c r="J919" s="19">
        <f t="shared" ref="J919:K919" si="365">J920</f>
        <v>1612381.46</v>
      </c>
      <c r="K919" s="19">
        <f t="shared" si="365"/>
        <v>1661982.6000000003</v>
      </c>
      <c r="L919" s="17">
        <v>0</v>
      </c>
      <c r="M919" s="16" t="str">
        <f t="shared" si="358"/>
        <v>0000000000</v>
      </c>
      <c r="N919" s="16" t="str">
        <f t="shared" si="359"/>
        <v>60910030000000000000</v>
      </c>
    </row>
    <row r="920" spans="2:14" s="17" customFormat="1" ht="25.5">
      <c r="B920" s="14"/>
      <c r="C920" s="214" t="s">
        <v>385</v>
      </c>
      <c r="D920" s="198" t="s">
        <v>595</v>
      </c>
      <c r="E920" s="199" t="s">
        <v>317</v>
      </c>
      <c r="F920" s="199" t="s">
        <v>13</v>
      </c>
      <c r="G920" s="199" t="s">
        <v>386</v>
      </c>
      <c r="H920" s="199" t="s">
        <v>9</v>
      </c>
      <c r="I920" s="36">
        <f>I921+I973+I1022</f>
        <v>1573384.82</v>
      </c>
      <c r="J920" s="36">
        <f>J921+J973+J1022</f>
        <v>1612381.46</v>
      </c>
      <c r="K920" s="36">
        <f>K921+K973+K1022</f>
        <v>1661982.6000000003</v>
      </c>
      <c r="L920" s="17">
        <v>300000000</v>
      </c>
      <c r="M920" s="16" t="str">
        <f t="shared" si="358"/>
        <v>0300000000</v>
      </c>
      <c r="N920" s="16" t="str">
        <f t="shared" si="359"/>
        <v>60910030300000000000</v>
      </c>
    </row>
    <row r="921" spans="2:14" s="17" customFormat="1" ht="38.25">
      <c r="B921" s="14"/>
      <c r="C921" s="250" t="s">
        <v>596</v>
      </c>
      <c r="D921" s="198" t="s">
        <v>595</v>
      </c>
      <c r="E921" s="199" t="s">
        <v>317</v>
      </c>
      <c r="F921" s="199" t="s">
        <v>13</v>
      </c>
      <c r="G921" s="199" t="s">
        <v>597</v>
      </c>
      <c r="H921" s="199" t="s">
        <v>9</v>
      </c>
      <c r="I921" s="36">
        <f>I922+I960</f>
        <v>1550489.71</v>
      </c>
      <c r="J921" s="36">
        <f>J922+J960</f>
        <v>1588986.22</v>
      </c>
      <c r="K921" s="36">
        <f>K922+K960</f>
        <v>1608541.0100000002</v>
      </c>
      <c r="L921" s="17">
        <v>310000000</v>
      </c>
      <c r="M921" s="16" t="str">
        <f t="shared" si="358"/>
        <v>0310000000</v>
      </c>
      <c r="N921" s="16" t="str">
        <f t="shared" si="359"/>
        <v>60910030310000000000</v>
      </c>
    </row>
    <row r="922" spans="2:14" s="17" customFormat="1" ht="25.5">
      <c r="B922" s="14" t="s">
        <v>598</v>
      </c>
      <c r="C922" s="251" t="s">
        <v>599</v>
      </c>
      <c r="D922" s="198" t="s">
        <v>595</v>
      </c>
      <c r="E922" s="199" t="s">
        <v>317</v>
      </c>
      <c r="F922" s="199" t="s">
        <v>13</v>
      </c>
      <c r="G922" s="199" t="s">
        <v>600</v>
      </c>
      <c r="H922" s="199" t="s">
        <v>9</v>
      </c>
      <c r="I922" s="37">
        <f>I923+I926+I929+I932+I939+I942+I945+I948+I951+I954+I936+I957+I934</f>
        <v>1314470.3399999999</v>
      </c>
      <c r="J922" s="37">
        <f t="shared" ref="J922:K922" si="366">J923+J926+J929+J932+J939+J942+J945+J948+J951+J954+J936+J957+J934</f>
        <v>1343336.88</v>
      </c>
      <c r="K922" s="37">
        <f t="shared" si="366"/>
        <v>1347527.1500000001</v>
      </c>
      <c r="L922" s="17">
        <v>310100000</v>
      </c>
      <c r="M922" s="16" t="str">
        <f t="shared" si="358"/>
        <v>0310100000</v>
      </c>
      <c r="N922" s="16" t="str">
        <f t="shared" si="359"/>
        <v>60910030310100000000</v>
      </c>
    </row>
    <row r="923" spans="2:14" s="17" customFormat="1" ht="25.5">
      <c r="B923" s="14"/>
      <c r="C923" s="214" t="s">
        <v>601</v>
      </c>
      <c r="D923" s="198" t="s">
        <v>595</v>
      </c>
      <c r="E923" s="199" t="s">
        <v>317</v>
      </c>
      <c r="F923" s="199" t="s">
        <v>13</v>
      </c>
      <c r="G923" s="199" t="s">
        <v>602</v>
      </c>
      <c r="H923" s="199" t="s">
        <v>9</v>
      </c>
      <c r="I923" s="37">
        <f>I924+I925</f>
        <v>16450.63</v>
      </c>
      <c r="J923" s="37">
        <f>J924+J925</f>
        <v>15825.1</v>
      </c>
      <c r="K923" s="37">
        <f>K924+K925</f>
        <v>16463.5</v>
      </c>
      <c r="L923" s="17">
        <v>310152200</v>
      </c>
      <c r="M923" s="16" t="str">
        <f t="shared" si="358"/>
        <v>0310152200</v>
      </c>
      <c r="N923" s="16" t="str">
        <f t="shared" si="359"/>
        <v>60910030310152200000</v>
      </c>
    </row>
    <row r="924" spans="2:14" s="17" customFormat="1" ht="25.5">
      <c r="B924" s="14"/>
      <c r="C924" s="197" t="s">
        <v>28</v>
      </c>
      <c r="D924" s="198" t="s">
        <v>595</v>
      </c>
      <c r="E924" s="199" t="s">
        <v>317</v>
      </c>
      <c r="F924" s="199" t="s">
        <v>13</v>
      </c>
      <c r="G924" s="199" t="s">
        <v>602</v>
      </c>
      <c r="H924" s="199" t="s">
        <v>29</v>
      </c>
      <c r="I924" s="37">
        <f>224.88+18.23</f>
        <v>243.10999999999999</v>
      </c>
      <c r="J924" s="37">
        <f>233.87</f>
        <v>233.87</v>
      </c>
      <c r="K924" s="37">
        <f>243.3</f>
        <v>243.3</v>
      </c>
      <c r="L924" s="17">
        <v>310152200</v>
      </c>
      <c r="M924" s="16" t="str">
        <f t="shared" si="358"/>
        <v>0310152200</v>
      </c>
      <c r="N924" s="16" t="str">
        <f t="shared" si="359"/>
        <v>60910030310152200240</v>
      </c>
    </row>
    <row r="925" spans="2:14" s="17" customFormat="1">
      <c r="B925" s="14"/>
      <c r="C925" s="205" t="s">
        <v>493</v>
      </c>
      <c r="D925" s="198" t="s">
        <v>595</v>
      </c>
      <c r="E925" s="199" t="s">
        <v>317</v>
      </c>
      <c r="F925" s="199" t="s">
        <v>13</v>
      </c>
      <c r="G925" s="199" t="s">
        <v>602</v>
      </c>
      <c r="H925" s="199" t="s">
        <v>494</v>
      </c>
      <c r="I925" s="37">
        <f>14992.32+1215.2</f>
        <v>16207.52</v>
      </c>
      <c r="J925" s="37">
        <f>15591.23</f>
        <v>15591.23</v>
      </c>
      <c r="K925" s="37">
        <f>16220.2</f>
        <v>16220.2</v>
      </c>
      <c r="L925" s="17">
        <v>310152200</v>
      </c>
      <c r="M925" s="16" t="str">
        <f t="shared" si="358"/>
        <v>0310152200</v>
      </c>
      <c r="N925" s="16" t="str">
        <f t="shared" si="359"/>
        <v>60910030310152200310</v>
      </c>
    </row>
    <row r="926" spans="2:14" s="17" customFormat="1" ht="25.5">
      <c r="B926" s="14"/>
      <c r="C926" s="214" t="s">
        <v>603</v>
      </c>
      <c r="D926" s="198" t="s">
        <v>595</v>
      </c>
      <c r="E926" s="199" t="s">
        <v>317</v>
      </c>
      <c r="F926" s="199" t="s">
        <v>13</v>
      </c>
      <c r="G926" s="199" t="s">
        <v>604</v>
      </c>
      <c r="H926" s="199" t="s">
        <v>9</v>
      </c>
      <c r="I926" s="37">
        <f>I927+I928</f>
        <v>335846.3</v>
      </c>
      <c r="J926" s="37">
        <f t="shared" ref="J926:K926" si="367">J927+J928</f>
        <v>342847.89999999997</v>
      </c>
      <c r="K926" s="37">
        <f t="shared" si="367"/>
        <v>342746.10000000003</v>
      </c>
      <c r="L926" s="17">
        <v>310152500</v>
      </c>
      <c r="M926" s="16" t="str">
        <f t="shared" si="358"/>
        <v>0310152500</v>
      </c>
      <c r="N926" s="16" t="str">
        <f t="shared" si="359"/>
        <v>60910030310152500000</v>
      </c>
    </row>
    <row r="927" spans="2:14" s="17" customFormat="1" ht="25.5">
      <c r="B927" s="14"/>
      <c r="C927" s="197" t="s">
        <v>28</v>
      </c>
      <c r="D927" s="198" t="s">
        <v>595</v>
      </c>
      <c r="E927" s="199" t="s">
        <v>317</v>
      </c>
      <c r="F927" s="199" t="s">
        <v>13</v>
      </c>
      <c r="G927" s="199" t="s">
        <v>604</v>
      </c>
      <c r="H927" s="199" t="s">
        <v>29</v>
      </c>
      <c r="I927" s="37">
        <f>2454.87</f>
        <v>2454.87</v>
      </c>
      <c r="J927" s="37">
        <f>2558.35</f>
        <v>2558.35</v>
      </c>
      <c r="K927" s="37">
        <f>2556.84</f>
        <v>2556.84</v>
      </c>
      <c r="L927" s="17">
        <v>310152500</v>
      </c>
      <c r="M927" s="16" t="str">
        <f t="shared" si="358"/>
        <v>0310152500</v>
      </c>
      <c r="N927" s="16" t="str">
        <f t="shared" si="359"/>
        <v>60910030310152500240</v>
      </c>
    </row>
    <row r="928" spans="2:14" s="17" customFormat="1">
      <c r="B928" s="14"/>
      <c r="C928" s="205" t="s">
        <v>493</v>
      </c>
      <c r="D928" s="198" t="s">
        <v>595</v>
      </c>
      <c r="E928" s="199" t="s">
        <v>317</v>
      </c>
      <c r="F928" s="199" t="s">
        <v>13</v>
      </c>
      <c r="G928" s="199" t="s">
        <v>604</v>
      </c>
      <c r="H928" s="199" t="s">
        <v>494</v>
      </c>
      <c r="I928" s="37">
        <f>333391.43</f>
        <v>333391.43</v>
      </c>
      <c r="J928" s="37">
        <f>340289.55</f>
        <v>340289.55</v>
      </c>
      <c r="K928" s="37">
        <f>340189.26</f>
        <v>340189.26</v>
      </c>
      <c r="L928" s="17">
        <v>310152500</v>
      </c>
      <c r="M928" s="16" t="str">
        <f t="shared" si="358"/>
        <v>0310152500</v>
      </c>
      <c r="N928" s="16" t="str">
        <f t="shared" si="359"/>
        <v>60910030310152500310</v>
      </c>
    </row>
    <row r="929" spans="2:14" s="17" customFormat="1" ht="114.75">
      <c r="B929" s="14"/>
      <c r="C929" s="374" t="s">
        <v>605</v>
      </c>
      <c r="D929" s="198" t="s">
        <v>595</v>
      </c>
      <c r="E929" s="199" t="s">
        <v>317</v>
      </c>
      <c r="F929" s="199" t="s">
        <v>13</v>
      </c>
      <c r="G929" s="199" t="s">
        <v>606</v>
      </c>
      <c r="H929" s="199" t="s">
        <v>9</v>
      </c>
      <c r="I929" s="37">
        <f>I930+I931</f>
        <v>107.80000000000001</v>
      </c>
      <c r="J929" s="37">
        <f>J930+J931</f>
        <v>74.900000000000006</v>
      </c>
      <c r="K929" s="37">
        <f>K930+K931</f>
        <v>74.900000000000006</v>
      </c>
      <c r="L929" s="17">
        <v>310152800</v>
      </c>
      <c r="M929" s="16" t="str">
        <f t="shared" si="358"/>
        <v>0310152800</v>
      </c>
      <c r="N929" s="16" t="str">
        <f t="shared" si="359"/>
        <v>60910030310152800000</v>
      </c>
    </row>
    <row r="930" spans="2:14" s="17" customFormat="1" ht="25.5">
      <c r="B930" s="14"/>
      <c r="C930" s="197" t="s">
        <v>28</v>
      </c>
      <c r="D930" s="198" t="s">
        <v>595</v>
      </c>
      <c r="E930" s="199" t="s">
        <v>317</v>
      </c>
      <c r="F930" s="199" t="s">
        <v>13</v>
      </c>
      <c r="G930" s="199" t="s">
        <v>606</v>
      </c>
      <c r="H930" s="199" t="s">
        <v>29</v>
      </c>
      <c r="I930" s="37">
        <f>1.43</f>
        <v>1.43</v>
      </c>
      <c r="J930" s="37">
        <f>1</f>
        <v>1</v>
      </c>
      <c r="K930" s="37">
        <f>1</f>
        <v>1</v>
      </c>
      <c r="L930" s="17">
        <v>310152800</v>
      </c>
      <c r="M930" s="16" t="str">
        <f t="shared" si="358"/>
        <v>0310152800</v>
      </c>
      <c r="N930" s="16" t="str">
        <f t="shared" si="359"/>
        <v>60910030310152800240</v>
      </c>
    </row>
    <row r="931" spans="2:14" s="17" customFormat="1">
      <c r="B931" s="14"/>
      <c r="C931" s="205" t="s">
        <v>493</v>
      </c>
      <c r="D931" s="198" t="s">
        <v>595</v>
      </c>
      <c r="E931" s="199" t="s">
        <v>317</v>
      </c>
      <c r="F931" s="199" t="s">
        <v>13</v>
      </c>
      <c r="G931" s="199" t="s">
        <v>606</v>
      </c>
      <c r="H931" s="199" t="s">
        <v>494</v>
      </c>
      <c r="I931" s="37">
        <f>106.37</f>
        <v>106.37</v>
      </c>
      <c r="J931" s="37">
        <f>73.9</f>
        <v>73.900000000000006</v>
      </c>
      <c r="K931" s="37">
        <f>73.9</f>
        <v>73.900000000000006</v>
      </c>
      <c r="L931" s="17">
        <v>310152800</v>
      </c>
      <c r="M931" s="16" t="str">
        <f t="shared" si="358"/>
        <v>0310152800</v>
      </c>
      <c r="N931" s="16" t="str">
        <f t="shared" si="359"/>
        <v>60910030310152800310</v>
      </c>
    </row>
    <row r="932" spans="2:14" s="17" customFormat="1" ht="25.5">
      <c r="B932" s="14"/>
      <c r="C932" s="242" t="s">
        <v>607</v>
      </c>
      <c r="D932" s="198" t="s">
        <v>595</v>
      </c>
      <c r="E932" s="199" t="s">
        <v>317</v>
      </c>
      <c r="F932" s="199" t="s">
        <v>13</v>
      </c>
      <c r="G932" s="199" t="s">
        <v>608</v>
      </c>
      <c r="H932" s="199" t="s">
        <v>9</v>
      </c>
      <c r="I932" s="37">
        <f>I933</f>
        <v>7961.36</v>
      </c>
      <c r="J932" s="37">
        <f>J933</f>
        <v>7961.36</v>
      </c>
      <c r="K932" s="37">
        <f>K933</f>
        <v>7961.36</v>
      </c>
      <c r="L932" s="17">
        <v>310176240</v>
      </c>
      <c r="M932" s="16" t="str">
        <f t="shared" si="358"/>
        <v>0310176240</v>
      </c>
      <c r="N932" s="16" t="str">
        <f t="shared" si="359"/>
        <v>60910030310176240000</v>
      </c>
    </row>
    <row r="933" spans="2:14" s="17" customFormat="1">
      <c r="B933" s="14"/>
      <c r="C933" s="205" t="s">
        <v>493</v>
      </c>
      <c r="D933" s="198" t="s">
        <v>595</v>
      </c>
      <c r="E933" s="199" t="s">
        <v>317</v>
      </c>
      <c r="F933" s="199" t="s">
        <v>13</v>
      </c>
      <c r="G933" s="199" t="s">
        <v>608</v>
      </c>
      <c r="H933" s="199" t="s">
        <v>494</v>
      </c>
      <c r="I933" s="37">
        <f>7961.36</f>
        <v>7961.36</v>
      </c>
      <c r="J933" s="37">
        <f t="shared" ref="J933:K933" si="368">7961.36</f>
        <v>7961.36</v>
      </c>
      <c r="K933" s="37">
        <f t="shared" si="368"/>
        <v>7961.36</v>
      </c>
      <c r="L933" s="17">
        <v>310176240</v>
      </c>
      <c r="M933" s="16" t="str">
        <f t="shared" si="358"/>
        <v>0310176240</v>
      </c>
      <c r="N933" s="16" t="str">
        <f t="shared" si="359"/>
        <v>60910030310176240310</v>
      </c>
    </row>
    <row r="934" spans="2:14" s="17" customFormat="1">
      <c r="B934" s="14"/>
      <c r="C934" s="205" t="s">
        <v>1225</v>
      </c>
      <c r="D934" s="198" t="s">
        <v>595</v>
      </c>
      <c r="E934" s="199" t="s">
        <v>317</v>
      </c>
      <c r="F934" s="199" t="s">
        <v>13</v>
      </c>
      <c r="G934" s="199" t="s">
        <v>1226</v>
      </c>
      <c r="H934" s="199" t="s">
        <v>9</v>
      </c>
      <c r="I934" s="37">
        <f>I935</f>
        <v>585.15</v>
      </c>
      <c r="J934" s="37">
        <f t="shared" ref="J934:K934" si="369">J935</f>
        <v>0</v>
      </c>
      <c r="K934" s="37">
        <f t="shared" si="369"/>
        <v>0</v>
      </c>
      <c r="L934" s="17">
        <v>310176250</v>
      </c>
      <c r="M934" s="16" t="str">
        <f t="shared" si="358"/>
        <v>0310176250</v>
      </c>
      <c r="N934" s="16" t="str">
        <f t="shared" si="359"/>
        <v>60910030310176250000</v>
      </c>
    </row>
    <row r="935" spans="2:14" s="17" customFormat="1">
      <c r="B935" s="14"/>
      <c r="C935" s="205" t="s">
        <v>493</v>
      </c>
      <c r="D935" s="198" t="s">
        <v>595</v>
      </c>
      <c r="E935" s="199" t="s">
        <v>317</v>
      </c>
      <c r="F935" s="199" t="s">
        <v>13</v>
      </c>
      <c r="G935" s="199" t="s">
        <v>1226</v>
      </c>
      <c r="H935" s="199" t="s">
        <v>494</v>
      </c>
      <c r="I935" s="37">
        <f>585.15</f>
        <v>585.15</v>
      </c>
      <c r="J935" s="37">
        <v>0</v>
      </c>
      <c r="K935" s="37">
        <v>0</v>
      </c>
      <c r="L935" s="17">
        <v>310176250</v>
      </c>
      <c r="M935" s="16" t="str">
        <f t="shared" si="358"/>
        <v>0310176250</v>
      </c>
      <c r="N935" s="16" t="str">
        <f t="shared" si="359"/>
        <v>60910030310176250310</v>
      </c>
    </row>
    <row r="936" spans="2:14" s="17" customFormat="1" ht="38.25">
      <c r="B936" s="14"/>
      <c r="C936" s="205" t="s">
        <v>609</v>
      </c>
      <c r="D936" s="198" t="s">
        <v>595</v>
      </c>
      <c r="E936" s="199" t="s">
        <v>317</v>
      </c>
      <c r="F936" s="199" t="s">
        <v>13</v>
      </c>
      <c r="G936" s="199" t="s">
        <v>610</v>
      </c>
      <c r="H936" s="199" t="s">
        <v>9</v>
      </c>
      <c r="I936" s="20">
        <f>I937+I938</f>
        <v>2079.8999999999996</v>
      </c>
      <c r="J936" s="20">
        <f>J937+J938</f>
        <v>2079.8999999999996</v>
      </c>
      <c r="K936" s="20">
        <f>K937+K938</f>
        <v>2079.8999999999996</v>
      </c>
      <c r="L936" s="17">
        <v>310177220</v>
      </c>
      <c r="M936" s="16" t="str">
        <f t="shared" si="358"/>
        <v>0310177220</v>
      </c>
      <c r="N936" s="16" t="str">
        <f t="shared" si="359"/>
        <v>60910030310177220000</v>
      </c>
    </row>
    <row r="937" spans="2:14" s="17" customFormat="1" ht="25.5">
      <c r="B937" s="14"/>
      <c r="C937" s="205" t="s">
        <v>28</v>
      </c>
      <c r="D937" s="198" t="s">
        <v>595</v>
      </c>
      <c r="E937" s="199" t="s">
        <v>317</v>
      </c>
      <c r="F937" s="199" t="s">
        <v>13</v>
      </c>
      <c r="G937" s="199" t="s">
        <v>1164</v>
      </c>
      <c r="H937" s="199" t="s">
        <v>29</v>
      </c>
      <c r="I937" s="20">
        <f>50-25.4</f>
        <v>24.6</v>
      </c>
      <c r="J937" s="20">
        <f t="shared" ref="J937:K937" si="370">50-25.4</f>
        <v>24.6</v>
      </c>
      <c r="K937" s="20">
        <f t="shared" si="370"/>
        <v>24.6</v>
      </c>
      <c r="L937" s="17">
        <v>310177220</v>
      </c>
      <c r="M937" s="16" t="str">
        <f t="shared" si="358"/>
        <v>0310177220</v>
      </c>
      <c r="N937" s="16" t="str">
        <f t="shared" si="359"/>
        <v>60910030310177220240</v>
      </c>
    </row>
    <row r="938" spans="2:14" s="17" customFormat="1">
      <c r="B938" s="14"/>
      <c r="C938" s="205" t="s">
        <v>493</v>
      </c>
      <c r="D938" s="198" t="s">
        <v>595</v>
      </c>
      <c r="E938" s="199" t="s">
        <v>317</v>
      </c>
      <c r="F938" s="199" t="s">
        <v>13</v>
      </c>
      <c r="G938" s="199" t="s">
        <v>610</v>
      </c>
      <c r="H938" s="199" t="s">
        <v>494</v>
      </c>
      <c r="I938" s="20">
        <f>4501.87-2446.57</f>
        <v>2055.2999999999997</v>
      </c>
      <c r="J938" s="20">
        <f t="shared" ref="J938:K938" si="371">4501.87-2446.57</f>
        <v>2055.2999999999997</v>
      </c>
      <c r="K938" s="20">
        <f t="shared" si="371"/>
        <v>2055.2999999999997</v>
      </c>
      <c r="L938" s="17">
        <v>310177220</v>
      </c>
      <c r="M938" s="16" t="str">
        <f t="shared" si="358"/>
        <v>0310177220</v>
      </c>
      <c r="N938" s="16" t="str">
        <f t="shared" si="359"/>
        <v>60910030310177220310</v>
      </c>
    </row>
    <row r="939" spans="2:14" s="17" customFormat="1" ht="76.5">
      <c r="B939" s="14"/>
      <c r="C939" s="242" t="s">
        <v>611</v>
      </c>
      <c r="D939" s="198" t="s">
        <v>595</v>
      </c>
      <c r="E939" s="199" t="s">
        <v>317</v>
      </c>
      <c r="F939" s="199" t="s">
        <v>13</v>
      </c>
      <c r="G939" s="199" t="s">
        <v>612</v>
      </c>
      <c r="H939" s="199" t="s">
        <v>9</v>
      </c>
      <c r="I939" s="37">
        <f t="shared" ref="I939:J939" si="372">SUM(I940:I941)</f>
        <v>375574.1</v>
      </c>
      <c r="J939" s="37">
        <f t="shared" si="372"/>
        <v>363794.9</v>
      </c>
      <c r="K939" s="37">
        <f t="shared" ref="K939" si="373">SUM(K940:K941)</f>
        <v>365617.96</v>
      </c>
      <c r="L939" s="17">
        <v>310178210</v>
      </c>
      <c r="M939" s="16" t="str">
        <f t="shared" si="358"/>
        <v>0310178210</v>
      </c>
      <c r="N939" s="16" t="str">
        <f t="shared" si="359"/>
        <v>60910030310178210000</v>
      </c>
    </row>
    <row r="940" spans="2:14" s="17" customFormat="1" ht="25.5">
      <c r="B940" s="14"/>
      <c r="C940" s="197" t="s">
        <v>28</v>
      </c>
      <c r="D940" s="198" t="s">
        <v>595</v>
      </c>
      <c r="E940" s="199" t="s">
        <v>317</v>
      </c>
      <c r="F940" s="199" t="s">
        <v>13</v>
      </c>
      <c r="G940" s="199" t="s">
        <v>612</v>
      </c>
      <c r="H940" s="199" t="s">
        <v>29</v>
      </c>
      <c r="I940" s="37">
        <f>5280+240</f>
        <v>5520</v>
      </c>
      <c r="J940" s="37">
        <f>5280</f>
        <v>5280</v>
      </c>
      <c r="K940" s="37">
        <f>5280</f>
        <v>5280</v>
      </c>
      <c r="L940" s="17">
        <v>310178210</v>
      </c>
      <c r="M940" s="16" t="str">
        <f t="shared" si="358"/>
        <v>0310178210</v>
      </c>
      <c r="N940" s="16" t="str">
        <f t="shared" si="359"/>
        <v>60910030310178210240</v>
      </c>
    </row>
    <row r="941" spans="2:14" s="17" customFormat="1">
      <c r="B941" s="14"/>
      <c r="C941" s="205" t="s">
        <v>493</v>
      </c>
      <c r="D941" s="198" t="s">
        <v>595</v>
      </c>
      <c r="E941" s="199" t="s">
        <v>317</v>
      </c>
      <c r="F941" s="199" t="s">
        <v>13</v>
      </c>
      <c r="G941" s="199" t="s">
        <v>612</v>
      </c>
      <c r="H941" s="199" t="s">
        <v>494</v>
      </c>
      <c r="I941" s="37">
        <f>356721.94+13332.16</f>
        <v>370054.1</v>
      </c>
      <c r="J941" s="37">
        <f>358514.9</f>
        <v>358514.9</v>
      </c>
      <c r="K941" s="37">
        <f>360337.96</f>
        <v>360337.96</v>
      </c>
      <c r="L941" s="17">
        <v>310178210</v>
      </c>
      <c r="M941" s="16" t="str">
        <f t="shared" si="358"/>
        <v>0310178210</v>
      </c>
      <c r="N941" s="16" t="str">
        <f t="shared" si="359"/>
        <v>60910030310178210310</v>
      </c>
    </row>
    <row r="942" spans="2:14" s="17" customFormat="1" ht="38.25">
      <c r="B942" s="14"/>
      <c r="C942" s="205" t="s">
        <v>613</v>
      </c>
      <c r="D942" s="198" t="s">
        <v>595</v>
      </c>
      <c r="E942" s="199" t="s">
        <v>317</v>
      </c>
      <c r="F942" s="199" t="s">
        <v>13</v>
      </c>
      <c r="G942" s="199" t="s">
        <v>614</v>
      </c>
      <c r="H942" s="199" t="s">
        <v>9</v>
      </c>
      <c r="I942" s="37">
        <f t="shared" ref="I942:J942" si="374">SUM(I943:I944)</f>
        <v>273140</v>
      </c>
      <c r="J942" s="37">
        <f t="shared" si="374"/>
        <v>264670.36</v>
      </c>
      <c r="K942" s="37">
        <f t="shared" ref="K942" si="375">SUM(K943:K944)</f>
        <v>264670.36</v>
      </c>
      <c r="L942" s="17">
        <v>310178220</v>
      </c>
      <c r="M942" s="16" t="str">
        <f t="shared" si="358"/>
        <v>0310178220</v>
      </c>
      <c r="N942" s="16" t="str">
        <f t="shared" si="359"/>
        <v>60910030310178220000</v>
      </c>
    </row>
    <row r="943" spans="2:14" s="17" customFormat="1" ht="25.5">
      <c r="B943" s="14"/>
      <c r="C943" s="205" t="s">
        <v>28</v>
      </c>
      <c r="D943" s="198" t="s">
        <v>595</v>
      </c>
      <c r="E943" s="199" t="s">
        <v>317</v>
      </c>
      <c r="F943" s="199" t="s">
        <v>13</v>
      </c>
      <c r="G943" s="199" t="s">
        <v>614</v>
      </c>
      <c r="H943" s="199" t="s">
        <v>29</v>
      </c>
      <c r="I943" s="37">
        <f>3840+165</f>
        <v>4005</v>
      </c>
      <c r="J943" s="37">
        <f>3840</f>
        <v>3840</v>
      </c>
      <c r="K943" s="37">
        <f>3840</f>
        <v>3840</v>
      </c>
      <c r="L943" s="17">
        <v>310178220</v>
      </c>
      <c r="M943" s="16" t="str">
        <f t="shared" si="358"/>
        <v>0310178220</v>
      </c>
      <c r="N943" s="16" t="str">
        <f t="shared" si="359"/>
        <v>60910030310178220240</v>
      </c>
    </row>
    <row r="944" spans="2:14" s="17" customFormat="1">
      <c r="B944" s="14"/>
      <c r="C944" s="205" t="s">
        <v>493</v>
      </c>
      <c r="D944" s="198" t="s">
        <v>595</v>
      </c>
      <c r="E944" s="199" t="s">
        <v>317</v>
      </c>
      <c r="F944" s="199" t="s">
        <v>13</v>
      </c>
      <c r="G944" s="199" t="s">
        <v>614</v>
      </c>
      <c r="H944" s="199" t="s">
        <v>494</v>
      </c>
      <c r="I944" s="37">
        <f>260830.36+8304.64</f>
        <v>269135</v>
      </c>
      <c r="J944" s="37">
        <f>260830.36</f>
        <v>260830.36</v>
      </c>
      <c r="K944" s="37">
        <f>260830.36</f>
        <v>260830.36</v>
      </c>
      <c r="L944" s="17">
        <v>310178220</v>
      </c>
      <c r="M944" s="16" t="str">
        <f t="shared" si="358"/>
        <v>0310178220</v>
      </c>
      <c r="N944" s="16" t="str">
        <f t="shared" si="359"/>
        <v>60910030310178220310</v>
      </c>
    </row>
    <row r="945" spans="2:14" s="17" customFormat="1" ht="38.25">
      <c r="B945" s="14"/>
      <c r="C945" s="242" t="s">
        <v>615</v>
      </c>
      <c r="D945" s="198" t="s">
        <v>595</v>
      </c>
      <c r="E945" s="199" t="s">
        <v>317</v>
      </c>
      <c r="F945" s="199" t="s">
        <v>13</v>
      </c>
      <c r="G945" s="199" t="s">
        <v>616</v>
      </c>
      <c r="H945" s="199" t="s">
        <v>9</v>
      </c>
      <c r="I945" s="37">
        <f t="shared" ref="I945:J945" si="376">SUM(I946:I947)</f>
        <v>6261</v>
      </c>
      <c r="J945" s="37">
        <f t="shared" si="376"/>
        <v>5877.65</v>
      </c>
      <c r="K945" s="37">
        <f t="shared" ref="K945" si="377">SUM(K946:K947)</f>
        <v>5705.66</v>
      </c>
      <c r="L945" s="17">
        <v>310178230</v>
      </c>
      <c r="M945" s="16" t="str">
        <f t="shared" si="358"/>
        <v>0310178230</v>
      </c>
      <c r="N945" s="16" t="str">
        <f t="shared" si="359"/>
        <v>60910030310178230000</v>
      </c>
    </row>
    <row r="946" spans="2:14" s="17" customFormat="1" ht="25.5">
      <c r="B946" s="14"/>
      <c r="C946" s="197" t="s">
        <v>28</v>
      </c>
      <c r="D946" s="198" t="s">
        <v>595</v>
      </c>
      <c r="E946" s="199" t="s">
        <v>317</v>
      </c>
      <c r="F946" s="199" t="s">
        <v>13</v>
      </c>
      <c r="G946" s="199" t="s">
        <v>616</v>
      </c>
      <c r="H946" s="199" t="s">
        <v>29</v>
      </c>
      <c r="I946" s="37">
        <f>94.8+5.17</f>
        <v>99.97</v>
      </c>
      <c r="J946" s="37">
        <f>86</f>
        <v>86</v>
      </c>
      <c r="K946" s="37">
        <f>84.8</f>
        <v>84.8</v>
      </c>
      <c r="L946" s="17">
        <v>310178230</v>
      </c>
      <c r="M946" s="16" t="str">
        <f t="shared" si="358"/>
        <v>0310178230</v>
      </c>
      <c r="N946" s="16" t="str">
        <f t="shared" si="359"/>
        <v>60910030310178230240</v>
      </c>
    </row>
    <row r="947" spans="2:14" s="17" customFormat="1">
      <c r="B947" s="14"/>
      <c r="C947" s="205" t="s">
        <v>493</v>
      </c>
      <c r="D947" s="198" t="s">
        <v>595</v>
      </c>
      <c r="E947" s="199" t="s">
        <v>317</v>
      </c>
      <c r="F947" s="199" t="s">
        <v>13</v>
      </c>
      <c r="G947" s="199" t="s">
        <v>616</v>
      </c>
      <c r="H947" s="199" t="s">
        <v>494</v>
      </c>
      <c r="I947" s="37">
        <f>5972.03+189</f>
        <v>6161.03</v>
      </c>
      <c r="J947" s="37">
        <f>5791.65</f>
        <v>5791.65</v>
      </c>
      <c r="K947" s="37">
        <f>5620.86</f>
        <v>5620.86</v>
      </c>
      <c r="L947" s="17">
        <v>310178230</v>
      </c>
      <c r="M947" s="16" t="str">
        <f t="shared" si="358"/>
        <v>0310178230</v>
      </c>
      <c r="N947" s="16" t="str">
        <f t="shared" si="359"/>
        <v>60910030310178230310</v>
      </c>
    </row>
    <row r="948" spans="2:14" s="17" customFormat="1" ht="38.25">
      <c r="B948" s="14"/>
      <c r="C948" s="242" t="s">
        <v>617</v>
      </c>
      <c r="D948" s="198" t="s">
        <v>595</v>
      </c>
      <c r="E948" s="199" t="s">
        <v>317</v>
      </c>
      <c r="F948" s="199" t="s">
        <v>13</v>
      </c>
      <c r="G948" s="199" t="s">
        <v>618</v>
      </c>
      <c r="H948" s="199" t="s">
        <v>9</v>
      </c>
      <c r="I948" s="37">
        <f>I949+I950</f>
        <v>184</v>
      </c>
      <c r="J948" s="37">
        <f>J949+J950</f>
        <v>178.05</v>
      </c>
      <c r="K948" s="37">
        <f>K949+K950</f>
        <v>178.05</v>
      </c>
      <c r="L948" s="17">
        <v>310178240</v>
      </c>
      <c r="M948" s="16" t="str">
        <f t="shared" si="358"/>
        <v>0310178240</v>
      </c>
      <c r="N948" s="16" t="str">
        <f t="shared" si="359"/>
        <v>60910030310178240000</v>
      </c>
    </row>
    <row r="949" spans="2:14" s="17" customFormat="1" ht="25.5">
      <c r="B949" s="14"/>
      <c r="C949" s="197" t="s">
        <v>28</v>
      </c>
      <c r="D949" s="198" t="s">
        <v>595</v>
      </c>
      <c r="E949" s="199" t="s">
        <v>317</v>
      </c>
      <c r="F949" s="199" t="s">
        <v>13</v>
      </c>
      <c r="G949" s="199" t="s">
        <v>618</v>
      </c>
      <c r="H949" s="199" t="s">
        <v>29</v>
      </c>
      <c r="I949" s="37">
        <f>0.84+0.06</f>
        <v>0.89999999999999991</v>
      </c>
      <c r="J949" s="37">
        <f>0.84</f>
        <v>0.84</v>
      </c>
      <c r="K949" s="37">
        <f>0.84</f>
        <v>0.84</v>
      </c>
      <c r="L949" s="17">
        <v>310178240</v>
      </c>
      <c r="M949" s="16" t="str">
        <f t="shared" si="358"/>
        <v>0310178240</v>
      </c>
      <c r="N949" s="16" t="str">
        <f t="shared" si="359"/>
        <v>60910030310178240240</v>
      </c>
    </row>
    <row r="950" spans="2:14" s="17" customFormat="1">
      <c r="B950" s="14"/>
      <c r="C950" s="205" t="s">
        <v>493</v>
      </c>
      <c r="D950" s="198" t="s">
        <v>595</v>
      </c>
      <c r="E950" s="199" t="s">
        <v>317</v>
      </c>
      <c r="F950" s="199" t="s">
        <v>13</v>
      </c>
      <c r="G950" s="199" t="s">
        <v>618</v>
      </c>
      <c r="H950" s="199" t="s">
        <v>494</v>
      </c>
      <c r="I950" s="37">
        <f>177.21+5.89</f>
        <v>183.1</v>
      </c>
      <c r="J950" s="37">
        <f t="shared" ref="J950:K950" si="378">177.21</f>
        <v>177.21</v>
      </c>
      <c r="K950" s="37">
        <f t="shared" si="378"/>
        <v>177.21</v>
      </c>
      <c r="L950" s="17">
        <v>310178240</v>
      </c>
      <c r="M950" s="16" t="str">
        <f t="shared" si="358"/>
        <v>0310178240</v>
      </c>
      <c r="N950" s="16" t="str">
        <f t="shared" si="359"/>
        <v>60910030310178240310</v>
      </c>
    </row>
    <row r="951" spans="2:14" s="17" customFormat="1" ht="25.5">
      <c r="B951" s="14"/>
      <c r="C951" s="242" t="s">
        <v>619</v>
      </c>
      <c r="D951" s="198" t="s">
        <v>595</v>
      </c>
      <c r="E951" s="199" t="s">
        <v>317</v>
      </c>
      <c r="F951" s="199" t="s">
        <v>13</v>
      </c>
      <c r="G951" s="199" t="s">
        <v>620</v>
      </c>
      <c r="H951" s="199" t="s">
        <v>9</v>
      </c>
      <c r="I951" s="37">
        <f>I952+I953</f>
        <v>634</v>
      </c>
      <c r="J951" s="37">
        <f>J952+J953</f>
        <v>614.26</v>
      </c>
      <c r="K951" s="37">
        <f>K952+K953</f>
        <v>614.26</v>
      </c>
      <c r="L951" s="17">
        <v>310178250</v>
      </c>
      <c r="M951" s="16" t="str">
        <f t="shared" si="358"/>
        <v>0310178250</v>
      </c>
      <c r="N951" s="16" t="str">
        <f t="shared" si="359"/>
        <v>60910030310178250000</v>
      </c>
    </row>
    <row r="952" spans="2:14" s="17" customFormat="1" ht="25.5">
      <c r="B952" s="14"/>
      <c r="C952" s="197" t="s">
        <v>28</v>
      </c>
      <c r="D952" s="198" t="s">
        <v>595</v>
      </c>
      <c r="E952" s="199" t="s">
        <v>317</v>
      </c>
      <c r="F952" s="199" t="s">
        <v>13</v>
      </c>
      <c r="G952" s="199" t="s">
        <v>620</v>
      </c>
      <c r="H952" s="199" t="s">
        <v>29</v>
      </c>
      <c r="I952" s="37">
        <f>8.4+0.6</f>
        <v>9</v>
      </c>
      <c r="J952" s="37">
        <f>8.4</f>
        <v>8.4</v>
      </c>
      <c r="K952" s="37">
        <f>8.4</f>
        <v>8.4</v>
      </c>
      <c r="L952" s="17">
        <v>310178250</v>
      </c>
      <c r="M952" s="16" t="str">
        <f t="shared" si="358"/>
        <v>0310178250</v>
      </c>
      <c r="N952" s="16" t="str">
        <f t="shared" si="359"/>
        <v>60910030310178250240</v>
      </c>
    </row>
    <row r="953" spans="2:14" s="17" customFormat="1">
      <c r="B953" s="14"/>
      <c r="C953" s="205" t="s">
        <v>493</v>
      </c>
      <c r="D953" s="198" t="s">
        <v>595</v>
      </c>
      <c r="E953" s="199" t="s">
        <v>317</v>
      </c>
      <c r="F953" s="199" t="s">
        <v>13</v>
      </c>
      <c r="G953" s="199" t="s">
        <v>620</v>
      </c>
      <c r="H953" s="199" t="s">
        <v>494</v>
      </c>
      <c r="I953" s="37">
        <f>605.86+19.14</f>
        <v>625</v>
      </c>
      <c r="J953" s="37">
        <f t="shared" ref="J953:K953" si="379">605.86</f>
        <v>605.86</v>
      </c>
      <c r="K953" s="37">
        <f t="shared" si="379"/>
        <v>605.86</v>
      </c>
      <c r="L953" s="17">
        <v>310178250</v>
      </c>
      <c r="M953" s="16" t="str">
        <f t="shared" si="358"/>
        <v>0310178250</v>
      </c>
      <c r="N953" s="16" t="str">
        <f t="shared" si="359"/>
        <v>60910030310178250310</v>
      </c>
    </row>
    <row r="954" spans="2:14" s="17" customFormat="1" ht="25.5">
      <c r="B954" s="14"/>
      <c r="C954" s="242" t="s">
        <v>621</v>
      </c>
      <c r="D954" s="198" t="s">
        <v>595</v>
      </c>
      <c r="E954" s="199" t="s">
        <v>317</v>
      </c>
      <c r="F954" s="199" t="s">
        <v>13</v>
      </c>
      <c r="G954" s="199" t="s">
        <v>622</v>
      </c>
      <c r="H954" s="199" t="s">
        <v>9</v>
      </c>
      <c r="I954" s="37">
        <f>I955+I956</f>
        <v>292267</v>
      </c>
      <c r="J954" s="37">
        <f>J955+J956</f>
        <v>336033.4</v>
      </c>
      <c r="K954" s="37">
        <f>K955+K956</f>
        <v>338036</v>
      </c>
      <c r="L954" s="17">
        <v>310178260</v>
      </c>
      <c r="M954" s="16" t="str">
        <f t="shared" si="358"/>
        <v>0310178260</v>
      </c>
      <c r="N954" s="16" t="str">
        <f t="shared" si="359"/>
        <v>60910030310178260000</v>
      </c>
    </row>
    <row r="955" spans="2:14" s="17" customFormat="1" ht="25.5">
      <c r="B955" s="14"/>
      <c r="C955" s="197" t="s">
        <v>28</v>
      </c>
      <c r="D955" s="198" t="s">
        <v>595</v>
      </c>
      <c r="E955" s="199" t="s">
        <v>317</v>
      </c>
      <c r="F955" s="199" t="s">
        <v>13</v>
      </c>
      <c r="G955" s="199" t="s">
        <v>622</v>
      </c>
      <c r="H955" s="199" t="s">
        <v>29</v>
      </c>
      <c r="I955" s="37">
        <f>4032.4</f>
        <v>4032.4</v>
      </c>
      <c r="J955" s="37">
        <f>4532.4</f>
        <v>4532.3999999999996</v>
      </c>
      <c r="K955" s="37">
        <f>4632.4</f>
        <v>4632.3999999999996</v>
      </c>
      <c r="L955" s="17">
        <v>310178260</v>
      </c>
      <c r="M955" s="16" t="str">
        <f t="shared" si="358"/>
        <v>0310178260</v>
      </c>
      <c r="N955" s="16" t="str">
        <f t="shared" si="359"/>
        <v>60910030310178260240</v>
      </c>
    </row>
    <row r="956" spans="2:14" s="17" customFormat="1" ht="20.45" customHeight="1">
      <c r="B956" s="14"/>
      <c r="C956" s="205" t="s">
        <v>493</v>
      </c>
      <c r="D956" s="198" t="s">
        <v>595</v>
      </c>
      <c r="E956" s="199" t="s">
        <v>317</v>
      </c>
      <c r="F956" s="199" t="s">
        <v>13</v>
      </c>
      <c r="G956" s="199" t="s">
        <v>622</v>
      </c>
      <c r="H956" s="199" t="s">
        <v>494</v>
      </c>
      <c r="I956" s="37">
        <f>288234.6</f>
        <v>288234.59999999998</v>
      </c>
      <c r="J956" s="37">
        <f>331501</f>
        <v>331501</v>
      </c>
      <c r="K956" s="37">
        <f>333403.6</f>
        <v>333403.59999999998</v>
      </c>
      <c r="L956" s="17">
        <v>310178260</v>
      </c>
      <c r="M956" s="16" t="str">
        <f t="shared" si="358"/>
        <v>0310178260</v>
      </c>
      <c r="N956" s="16" t="str">
        <f t="shared" si="359"/>
        <v>60910030310178260310</v>
      </c>
    </row>
    <row r="957" spans="2:14" s="17" customFormat="1" ht="38.25">
      <c r="B957" s="14" t="s">
        <v>598</v>
      </c>
      <c r="C957" s="205" t="s">
        <v>1122</v>
      </c>
      <c r="D957" s="198" t="s">
        <v>595</v>
      </c>
      <c r="E957" s="199" t="s">
        <v>317</v>
      </c>
      <c r="F957" s="199" t="s">
        <v>13</v>
      </c>
      <c r="G957" s="199" t="s">
        <v>1123</v>
      </c>
      <c r="H957" s="199" t="s">
        <v>9</v>
      </c>
      <c r="I957" s="37">
        <f>I958+I959</f>
        <v>3379.1</v>
      </c>
      <c r="J957" s="37">
        <f t="shared" ref="J957:K957" si="380">J958+J959</f>
        <v>3379.1</v>
      </c>
      <c r="K957" s="37">
        <f t="shared" si="380"/>
        <v>3379.1</v>
      </c>
      <c r="L957" s="17" t="s">
        <v>1227</v>
      </c>
      <c r="M957" s="16" t="str">
        <f t="shared" si="358"/>
        <v>03101R4620</v>
      </c>
      <c r="N957" s="16" t="str">
        <f t="shared" si="359"/>
        <v>609100303101R4620000</v>
      </c>
    </row>
    <row r="958" spans="2:14" s="17" customFormat="1" ht="25.5">
      <c r="B958" s="14"/>
      <c r="C958" s="197" t="s">
        <v>28</v>
      </c>
      <c r="D958" s="198" t="s">
        <v>595</v>
      </c>
      <c r="E958" s="199" t="s">
        <v>317</v>
      </c>
      <c r="F958" s="199" t="s">
        <v>13</v>
      </c>
      <c r="G958" s="199" t="s">
        <v>1123</v>
      </c>
      <c r="H958" s="199" t="s">
        <v>29</v>
      </c>
      <c r="I958" s="37">
        <f>28</f>
        <v>28</v>
      </c>
      <c r="J958" s="37">
        <f>28</f>
        <v>28</v>
      </c>
      <c r="K958" s="37">
        <f>28</f>
        <v>28</v>
      </c>
      <c r="L958" s="17" t="s">
        <v>1227</v>
      </c>
      <c r="M958" s="16" t="str">
        <f t="shared" si="358"/>
        <v>03101R4620</v>
      </c>
      <c r="N958" s="16" t="str">
        <f t="shared" si="359"/>
        <v>609100303101R4620240</v>
      </c>
    </row>
    <row r="959" spans="2:14" s="17" customFormat="1" ht="20.45" customHeight="1">
      <c r="B959" s="14"/>
      <c r="C959" s="205" t="s">
        <v>493</v>
      </c>
      <c r="D959" s="198" t="s">
        <v>595</v>
      </c>
      <c r="E959" s="199" t="s">
        <v>317</v>
      </c>
      <c r="F959" s="199" t="s">
        <v>13</v>
      </c>
      <c r="G959" s="199" t="s">
        <v>1123</v>
      </c>
      <c r="H959" s="199" t="s">
        <v>494</v>
      </c>
      <c r="I959" s="37">
        <f>3351.1</f>
        <v>3351.1</v>
      </c>
      <c r="J959" s="37">
        <f t="shared" ref="J959:K959" si="381">3351.1</f>
        <v>3351.1</v>
      </c>
      <c r="K959" s="37">
        <f t="shared" si="381"/>
        <v>3351.1</v>
      </c>
      <c r="L959" s="17" t="s">
        <v>1227</v>
      </c>
      <c r="M959" s="16" t="str">
        <f t="shared" si="358"/>
        <v>03101R4620</v>
      </c>
      <c r="N959" s="16" t="str">
        <f t="shared" si="359"/>
        <v>609100303101R4620310</v>
      </c>
    </row>
    <row r="960" spans="2:14" s="17" customFormat="1" ht="25.5">
      <c r="B960" s="14" t="s">
        <v>598</v>
      </c>
      <c r="C960" s="251" t="s">
        <v>623</v>
      </c>
      <c r="D960" s="198" t="s">
        <v>595</v>
      </c>
      <c r="E960" s="199" t="s">
        <v>317</v>
      </c>
      <c r="F960" s="199" t="s">
        <v>13</v>
      </c>
      <c r="G960" s="199" t="s">
        <v>624</v>
      </c>
      <c r="H960" s="199" t="s">
        <v>9</v>
      </c>
      <c r="I960" s="36">
        <f>I961+I970+I964+I967</f>
        <v>236019.37</v>
      </c>
      <c r="J960" s="36">
        <f t="shared" ref="J960:K960" si="382">J961+J970+J964+J967</f>
        <v>245649.34000000003</v>
      </c>
      <c r="K960" s="36">
        <f t="shared" si="382"/>
        <v>261013.86</v>
      </c>
      <c r="L960" s="17">
        <v>310200000</v>
      </c>
      <c r="M960" s="16" t="str">
        <f t="shared" si="358"/>
        <v>0310200000</v>
      </c>
      <c r="N960" s="16" t="str">
        <f t="shared" si="359"/>
        <v>60910030310200000000</v>
      </c>
    </row>
    <row r="961" spans="2:14" s="17" customFormat="1" ht="63.75">
      <c r="B961" s="14"/>
      <c r="C961" s="242" t="s">
        <v>625</v>
      </c>
      <c r="D961" s="198" t="s">
        <v>595</v>
      </c>
      <c r="E961" s="199" t="s">
        <v>317</v>
      </c>
      <c r="F961" s="199" t="s">
        <v>13</v>
      </c>
      <c r="G961" s="199" t="s">
        <v>626</v>
      </c>
      <c r="H961" s="199" t="s">
        <v>9</v>
      </c>
      <c r="I961" s="37">
        <f>I963+I962</f>
        <v>188175.97</v>
      </c>
      <c r="J961" s="37">
        <f t="shared" ref="J961:K961" si="383">J963+J962</f>
        <v>194738.30000000002</v>
      </c>
      <c r="K961" s="37">
        <f t="shared" si="383"/>
        <v>202950.5</v>
      </c>
      <c r="L961" s="17">
        <v>310253800</v>
      </c>
      <c r="M961" s="16" t="str">
        <f t="shared" si="358"/>
        <v>0310253800</v>
      </c>
      <c r="N961" s="16" t="str">
        <f t="shared" si="359"/>
        <v>60910030310253800000</v>
      </c>
    </row>
    <row r="962" spans="2:14" s="17" customFormat="1" ht="25.5">
      <c r="B962" s="14"/>
      <c r="C962" s="197" t="s">
        <v>28</v>
      </c>
      <c r="D962" s="198" t="s">
        <v>595</v>
      </c>
      <c r="E962" s="199" t="s">
        <v>317</v>
      </c>
      <c r="F962" s="199" t="s">
        <v>13</v>
      </c>
      <c r="G962" s="199" t="s">
        <v>626</v>
      </c>
      <c r="H962" s="199" t="s">
        <v>29</v>
      </c>
      <c r="I962" s="37">
        <f>2787.66-455.63</f>
        <v>2332.0299999999997</v>
      </c>
      <c r="J962" s="37">
        <f>2877.91</f>
        <v>2877.91</v>
      </c>
      <c r="K962" s="37">
        <f>2999.27</f>
        <v>2999.27</v>
      </c>
      <c r="L962" s="17">
        <v>310253800</v>
      </c>
      <c r="M962" s="16" t="str">
        <f t="shared" si="358"/>
        <v>0310253800</v>
      </c>
      <c r="N962" s="16" t="str">
        <f t="shared" si="359"/>
        <v>60910030310253800240</v>
      </c>
    </row>
    <row r="963" spans="2:14" s="17" customFormat="1">
      <c r="B963" s="14"/>
      <c r="C963" s="205" t="s">
        <v>493</v>
      </c>
      <c r="D963" s="198" t="s">
        <v>595</v>
      </c>
      <c r="E963" s="199" t="s">
        <v>317</v>
      </c>
      <c r="F963" s="199" t="s">
        <v>13</v>
      </c>
      <c r="G963" s="199" t="s">
        <v>626</v>
      </c>
      <c r="H963" s="199" t="s">
        <v>494</v>
      </c>
      <c r="I963" s="37">
        <f>185843.94</f>
        <v>185843.94</v>
      </c>
      <c r="J963" s="37">
        <f>191860.39</f>
        <v>191860.39</v>
      </c>
      <c r="K963" s="37">
        <f>199951.23</f>
        <v>199951.23</v>
      </c>
      <c r="L963" s="17">
        <v>310253800</v>
      </c>
      <c r="M963" s="16" t="str">
        <f t="shared" si="358"/>
        <v>0310253800</v>
      </c>
      <c r="N963" s="16" t="str">
        <f t="shared" si="359"/>
        <v>60910030310253800310</v>
      </c>
    </row>
    <row r="964" spans="2:14" s="17" customFormat="1">
      <c r="B964" s="14"/>
      <c r="C964" s="242" t="s">
        <v>627</v>
      </c>
      <c r="D964" s="198" t="s">
        <v>595</v>
      </c>
      <c r="E964" s="199" t="s">
        <v>317</v>
      </c>
      <c r="F964" s="199" t="s">
        <v>13</v>
      </c>
      <c r="G964" s="199" t="s">
        <v>628</v>
      </c>
      <c r="H964" s="199" t="s">
        <v>9</v>
      </c>
      <c r="I964" s="37">
        <f>I965+I966</f>
        <v>305.10000000000002</v>
      </c>
      <c r="J964" s="37">
        <f>J965+J966</f>
        <v>284.65000000000003</v>
      </c>
      <c r="K964" s="37">
        <f>K965+K966</f>
        <v>284.65000000000003</v>
      </c>
      <c r="L964" s="17">
        <v>310276260</v>
      </c>
      <c r="M964" s="16" t="str">
        <f t="shared" si="358"/>
        <v>0310276260</v>
      </c>
      <c r="N964" s="16" t="str">
        <f t="shared" si="359"/>
        <v>60910030310276260000</v>
      </c>
    </row>
    <row r="965" spans="2:14" s="17" customFormat="1" ht="25.5">
      <c r="B965" s="14"/>
      <c r="C965" s="197" t="s">
        <v>28</v>
      </c>
      <c r="D965" s="198" t="s">
        <v>595</v>
      </c>
      <c r="E965" s="199" t="s">
        <v>317</v>
      </c>
      <c r="F965" s="199" t="s">
        <v>13</v>
      </c>
      <c r="G965" s="199" t="s">
        <v>628</v>
      </c>
      <c r="H965" s="199" t="s">
        <v>29</v>
      </c>
      <c r="I965" s="37">
        <f>3.79-0.05</f>
        <v>3.74</v>
      </c>
      <c r="J965" s="37">
        <f t="shared" ref="J965:K965" si="384">3.79</f>
        <v>3.79</v>
      </c>
      <c r="K965" s="37">
        <f t="shared" si="384"/>
        <v>3.79</v>
      </c>
      <c r="L965" s="17">
        <v>310276260</v>
      </c>
      <c r="M965" s="16" t="str">
        <f t="shared" si="358"/>
        <v>0310276260</v>
      </c>
      <c r="N965" s="16" t="str">
        <f t="shared" si="359"/>
        <v>60910030310276260240</v>
      </c>
    </row>
    <row r="966" spans="2:14" s="17" customFormat="1">
      <c r="B966" s="14"/>
      <c r="C966" s="205" t="s">
        <v>493</v>
      </c>
      <c r="D966" s="198" t="s">
        <v>595</v>
      </c>
      <c r="E966" s="199" t="s">
        <v>317</v>
      </c>
      <c r="F966" s="199" t="s">
        <v>13</v>
      </c>
      <c r="G966" s="199" t="s">
        <v>628</v>
      </c>
      <c r="H966" s="199" t="s">
        <v>494</v>
      </c>
      <c r="I966" s="37">
        <f>280.86+20.5</f>
        <v>301.36</v>
      </c>
      <c r="J966" s="37">
        <f t="shared" ref="J966:K966" si="385">280.86</f>
        <v>280.86</v>
      </c>
      <c r="K966" s="37">
        <f t="shared" si="385"/>
        <v>280.86</v>
      </c>
      <c r="L966" s="17">
        <v>310276260</v>
      </c>
      <c r="M966" s="16" t="str">
        <f t="shared" ref="M966:M1029" si="386">TEXT(L966,"0000000000")</f>
        <v>0310276260</v>
      </c>
      <c r="N966" s="16" t="str">
        <f t="shared" ref="N966:N1029" si="387">D966&amp;E966&amp;F966&amp;M966&amp;H966</f>
        <v>60910030310276260310</v>
      </c>
    </row>
    <row r="967" spans="2:14" s="17" customFormat="1" ht="63.75">
      <c r="B967" s="14"/>
      <c r="C967" s="252" t="s">
        <v>629</v>
      </c>
      <c r="D967" s="203" t="s">
        <v>595</v>
      </c>
      <c r="E967" s="204" t="s">
        <v>317</v>
      </c>
      <c r="F967" s="204" t="s">
        <v>13</v>
      </c>
      <c r="G967" s="204" t="s">
        <v>630</v>
      </c>
      <c r="H967" s="204" t="s">
        <v>9</v>
      </c>
      <c r="I967" s="36">
        <f>I969+I968</f>
        <v>3028.3</v>
      </c>
      <c r="J967" s="36">
        <f>J969+J968</f>
        <v>2933.28</v>
      </c>
      <c r="K967" s="36">
        <f>K969+K968</f>
        <v>2933.28</v>
      </c>
      <c r="L967" s="17">
        <v>310277190</v>
      </c>
      <c r="M967" s="16" t="str">
        <f t="shared" si="386"/>
        <v>0310277190</v>
      </c>
      <c r="N967" s="16" t="str">
        <f t="shared" si="387"/>
        <v>60910030310277190000</v>
      </c>
    </row>
    <row r="968" spans="2:14" s="17" customFormat="1" ht="25.5">
      <c r="B968" s="14"/>
      <c r="C968" s="197" t="s">
        <v>28</v>
      </c>
      <c r="D968" s="203" t="s">
        <v>595</v>
      </c>
      <c r="E968" s="204" t="s">
        <v>317</v>
      </c>
      <c r="F968" s="204" t="s">
        <v>13</v>
      </c>
      <c r="G968" s="204" t="s">
        <v>630</v>
      </c>
      <c r="H968" s="204" t="s">
        <v>29</v>
      </c>
      <c r="I968" s="37">
        <f>39.07-9.51</f>
        <v>29.560000000000002</v>
      </c>
      <c r="J968" s="37">
        <f t="shared" ref="J968:K968" si="388">39.07</f>
        <v>39.07</v>
      </c>
      <c r="K968" s="37">
        <f t="shared" si="388"/>
        <v>39.07</v>
      </c>
      <c r="L968" s="17">
        <v>310277190</v>
      </c>
      <c r="M968" s="16" t="str">
        <f t="shared" si="386"/>
        <v>0310277190</v>
      </c>
      <c r="N968" s="16" t="str">
        <f t="shared" si="387"/>
        <v>60910030310277190240</v>
      </c>
    </row>
    <row r="969" spans="2:14" s="17" customFormat="1">
      <c r="B969" s="14"/>
      <c r="C969" s="226" t="s">
        <v>493</v>
      </c>
      <c r="D969" s="203" t="s">
        <v>595</v>
      </c>
      <c r="E969" s="204" t="s">
        <v>317</v>
      </c>
      <c r="F969" s="204" t="s">
        <v>13</v>
      </c>
      <c r="G969" s="204" t="s">
        <v>630</v>
      </c>
      <c r="H969" s="204" t="s">
        <v>494</v>
      </c>
      <c r="I969" s="37">
        <f>2894.21+104.53</f>
        <v>2998.7400000000002</v>
      </c>
      <c r="J969" s="37">
        <f t="shared" ref="J969:K969" si="389">2894.21</f>
        <v>2894.21</v>
      </c>
      <c r="K969" s="37">
        <f t="shared" si="389"/>
        <v>2894.21</v>
      </c>
      <c r="L969" s="17">
        <v>310277190</v>
      </c>
      <c r="M969" s="16" t="str">
        <f t="shared" si="386"/>
        <v>0310277190</v>
      </c>
      <c r="N969" s="16" t="str">
        <f t="shared" si="387"/>
        <v>60910030310277190310</v>
      </c>
    </row>
    <row r="970" spans="2:14" s="17" customFormat="1" ht="25.5">
      <c r="B970" s="14"/>
      <c r="C970" s="252" t="s">
        <v>631</v>
      </c>
      <c r="D970" s="198" t="s">
        <v>595</v>
      </c>
      <c r="E970" s="199" t="s">
        <v>317</v>
      </c>
      <c r="F970" s="199" t="s">
        <v>13</v>
      </c>
      <c r="G970" s="199" t="s">
        <v>632</v>
      </c>
      <c r="H970" s="199" t="s">
        <v>9</v>
      </c>
      <c r="I970" s="37">
        <f>I971+I972</f>
        <v>44510</v>
      </c>
      <c r="J970" s="37">
        <f>J971+J972</f>
        <v>47693.11</v>
      </c>
      <c r="K970" s="37">
        <f>K971+K972</f>
        <v>54845.43</v>
      </c>
      <c r="L970" s="17">
        <v>310278280</v>
      </c>
      <c r="M970" s="16" t="str">
        <f t="shared" si="386"/>
        <v>0310278280</v>
      </c>
      <c r="N970" s="16" t="str">
        <f t="shared" si="387"/>
        <v>60910030310278280000</v>
      </c>
    </row>
    <row r="971" spans="2:14" s="17" customFormat="1" ht="25.5">
      <c r="B971" s="14"/>
      <c r="C971" s="197" t="s">
        <v>28</v>
      </c>
      <c r="D971" s="198" t="s">
        <v>595</v>
      </c>
      <c r="E971" s="199" t="s">
        <v>317</v>
      </c>
      <c r="F971" s="199" t="s">
        <v>13</v>
      </c>
      <c r="G971" s="199" t="s">
        <v>632</v>
      </c>
      <c r="H971" s="199" t="s">
        <v>29</v>
      </c>
      <c r="I971" s="37">
        <f>516.67+30.07</f>
        <v>546.74</v>
      </c>
      <c r="J971" s="37">
        <f>582.41</f>
        <v>582.41</v>
      </c>
      <c r="K971" s="37">
        <f>662.53</f>
        <v>662.53</v>
      </c>
      <c r="L971" s="17">
        <v>310278280</v>
      </c>
      <c r="M971" s="16" t="str">
        <f t="shared" si="386"/>
        <v>0310278280</v>
      </c>
      <c r="N971" s="16" t="str">
        <f t="shared" si="387"/>
        <v>60910030310278280240</v>
      </c>
    </row>
    <row r="972" spans="2:14" s="17" customFormat="1">
      <c r="B972" s="14"/>
      <c r="C972" s="205" t="s">
        <v>493</v>
      </c>
      <c r="D972" s="198" t="s">
        <v>595</v>
      </c>
      <c r="E972" s="199" t="s">
        <v>317</v>
      </c>
      <c r="F972" s="199" t="s">
        <v>13</v>
      </c>
      <c r="G972" s="199" t="s">
        <v>632</v>
      </c>
      <c r="H972" s="199" t="s">
        <v>494</v>
      </c>
      <c r="I972" s="37">
        <f>42613.16+1350.1</f>
        <v>43963.26</v>
      </c>
      <c r="J972" s="37">
        <f>47110.7</f>
        <v>47110.7</v>
      </c>
      <c r="K972" s="37">
        <f>54182.9</f>
        <v>54182.9</v>
      </c>
      <c r="L972" s="17">
        <v>310278280</v>
      </c>
      <c r="M972" s="16" t="str">
        <f t="shared" si="386"/>
        <v>0310278280</v>
      </c>
      <c r="N972" s="16" t="str">
        <f t="shared" si="387"/>
        <v>60910030310278280310</v>
      </c>
    </row>
    <row r="973" spans="2:14" s="17" customFormat="1" ht="38.25">
      <c r="B973" s="14"/>
      <c r="C973" s="205" t="s">
        <v>387</v>
      </c>
      <c r="D973" s="198" t="s">
        <v>595</v>
      </c>
      <c r="E973" s="199" t="s">
        <v>317</v>
      </c>
      <c r="F973" s="199" t="s">
        <v>13</v>
      </c>
      <c r="G973" s="199" t="s">
        <v>388</v>
      </c>
      <c r="H973" s="199" t="s">
        <v>9</v>
      </c>
      <c r="I973" s="37">
        <f>I974+I1013+I1016+I1019</f>
        <v>20720.739999999998</v>
      </c>
      <c r="J973" s="37">
        <f>J974+J1013+J1016+J1019</f>
        <v>20786.739999999998</v>
      </c>
      <c r="K973" s="37">
        <f>K974+K1013+K1016+K1019</f>
        <v>50833.09</v>
      </c>
      <c r="L973" s="17">
        <v>320000000</v>
      </c>
      <c r="M973" s="16" t="str">
        <f t="shared" si="386"/>
        <v>0320000000</v>
      </c>
      <c r="N973" s="16" t="str">
        <f t="shared" si="387"/>
        <v>60910030320000000000</v>
      </c>
    </row>
    <row r="974" spans="2:14" s="17" customFormat="1" ht="25.5">
      <c r="B974" s="14"/>
      <c r="C974" s="251" t="s">
        <v>633</v>
      </c>
      <c r="D974" s="198" t="s">
        <v>595</v>
      </c>
      <c r="E974" s="199" t="s">
        <v>317</v>
      </c>
      <c r="F974" s="199" t="s">
        <v>13</v>
      </c>
      <c r="G974" s="199" t="s">
        <v>634</v>
      </c>
      <c r="H974" s="199" t="s">
        <v>9</v>
      </c>
      <c r="I974" s="37">
        <f>I977+I983+I989+I991+I993+I997+I1001+I1005+I1007+I1011+I985+I975+I979+I981+I987+I995+I1003+I1009+I999</f>
        <v>20539.739999999998</v>
      </c>
      <c r="J974" s="37">
        <f t="shared" ref="J974:K974" si="390">J977+J983+J989+J991+J993+J997+J1001+J1005+J1007+J1011+J985+J975+J979+J981+J987+J995+J1003+J1009+J999</f>
        <v>20605.739999999998</v>
      </c>
      <c r="K974" s="37">
        <f t="shared" si="390"/>
        <v>50652.09</v>
      </c>
      <c r="L974" s="17">
        <v>320100000</v>
      </c>
      <c r="M974" s="16" t="str">
        <f t="shared" si="386"/>
        <v>0320100000</v>
      </c>
      <c r="N974" s="16" t="str">
        <f t="shared" si="387"/>
        <v>60910030320100000000</v>
      </c>
    </row>
    <row r="975" spans="2:14" s="17" customFormat="1" ht="25.5">
      <c r="B975" s="14"/>
      <c r="C975" s="251" t="s">
        <v>1124</v>
      </c>
      <c r="D975" s="198" t="s">
        <v>595</v>
      </c>
      <c r="E975" s="199" t="s">
        <v>317</v>
      </c>
      <c r="F975" s="199" t="s">
        <v>13</v>
      </c>
      <c r="G975" s="199" t="s">
        <v>1125</v>
      </c>
      <c r="H975" s="199" t="s">
        <v>9</v>
      </c>
      <c r="I975" s="37">
        <f>I976</f>
        <v>0</v>
      </c>
      <c r="J975" s="37">
        <f t="shared" ref="J975:K975" si="391">J976</f>
        <v>0</v>
      </c>
      <c r="K975" s="37">
        <f t="shared" si="391"/>
        <v>1650</v>
      </c>
      <c r="L975" s="17">
        <v>320180010</v>
      </c>
      <c r="M975" s="16" t="str">
        <f t="shared" si="386"/>
        <v>0320180010</v>
      </c>
      <c r="N975" s="16" t="str">
        <f t="shared" si="387"/>
        <v>60910030320180010000</v>
      </c>
    </row>
    <row r="976" spans="2:14" s="17" customFormat="1">
      <c r="B976" s="14"/>
      <c r="C976" s="205" t="s">
        <v>493</v>
      </c>
      <c r="D976" s="198" t="s">
        <v>595</v>
      </c>
      <c r="E976" s="199" t="s">
        <v>317</v>
      </c>
      <c r="F976" s="199" t="s">
        <v>13</v>
      </c>
      <c r="G976" s="199" t="s">
        <v>1125</v>
      </c>
      <c r="H976" s="199" t="s">
        <v>494</v>
      </c>
      <c r="I976" s="37">
        <f>0</f>
        <v>0</v>
      </c>
      <c r="J976" s="37">
        <f>0</f>
        <v>0</v>
      </c>
      <c r="K976" s="37">
        <f>1650</f>
        <v>1650</v>
      </c>
      <c r="L976" s="17">
        <v>320180010</v>
      </c>
      <c r="M976" s="16" t="str">
        <f t="shared" si="386"/>
        <v>0320180010</v>
      </c>
      <c r="N976" s="16" t="str">
        <f t="shared" si="387"/>
        <v>60910030320180010310</v>
      </c>
    </row>
    <row r="977" spans="2:14" s="17" customFormat="1" ht="38.25">
      <c r="B977" s="14"/>
      <c r="C977" s="242" t="s">
        <v>635</v>
      </c>
      <c r="D977" s="198" t="s">
        <v>595</v>
      </c>
      <c r="E977" s="199" t="s">
        <v>317</v>
      </c>
      <c r="F977" s="199" t="s">
        <v>13</v>
      </c>
      <c r="G977" s="199" t="s">
        <v>636</v>
      </c>
      <c r="H977" s="199" t="s">
        <v>9</v>
      </c>
      <c r="I977" s="37">
        <f>I978</f>
        <v>6350</v>
      </c>
      <c r="J977" s="37">
        <f>J978</f>
        <v>6350</v>
      </c>
      <c r="K977" s="37">
        <f>K978</f>
        <v>6350</v>
      </c>
      <c r="L977" s="17">
        <v>320180030</v>
      </c>
      <c r="M977" s="16" t="str">
        <f t="shared" si="386"/>
        <v>0320180030</v>
      </c>
      <c r="N977" s="16" t="str">
        <f t="shared" si="387"/>
        <v>60910030320180030000</v>
      </c>
    </row>
    <row r="978" spans="2:14" s="17" customFormat="1">
      <c r="B978" s="14"/>
      <c r="C978" s="205" t="s">
        <v>493</v>
      </c>
      <c r="D978" s="198" t="s">
        <v>595</v>
      </c>
      <c r="E978" s="199" t="s">
        <v>317</v>
      </c>
      <c r="F978" s="199" t="s">
        <v>13</v>
      </c>
      <c r="G978" s="199" t="s">
        <v>636</v>
      </c>
      <c r="H978" s="199" t="s">
        <v>494</v>
      </c>
      <c r="I978" s="37">
        <f>6350</f>
        <v>6350</v>
      </c>
      <c r="J978" s="37">
        <f>6350</f>
        <v>6350</v>
      </c>
      <c r="K978" s="37">
        <f>6350</f>
        <v>6350</v>
      </c>
      <c r="L978" s="17">
        <v>320180030</v>
      </c>
      <c r="M978" s="16" t="str">
        <f t="shared" si="386"/>
        <v>0320180030</v>
      </c>
      <c r="N978" s="16" t="str">
        <f t="shared" si="387"/>
        <v>60910030320180030310</v>
      </c>
    </row>
    <row r="979" spans="2:14" s="17" customFormat="1" ht="25.5">
      <c r="B979" s="14"/>
      <c r="C979" s="242" t="s">
        <v>1126</v>
      </c>
      <c r="D979" s="198" t="s">
        <v>595</v>
      </c>
      <c r="E979" s="199" t="s">
        <v>317</v>
      </c>
      <c r="F979" s="199" t="s">
        <v>13</v>
      </c>
      <c r="G979" s="199" t="s">
        <v>1127</v>
      </c>
      <c r="H979" s="199" t="s">
        <v>9</v>
      </c>
      <c r="I979" s="37">
        <f>I980</f>
        <v>0</v>
      </c>
      <c r="J979" s="37">
        <f t="shared" ref="J979:K979" si="392">J980</f>
        <v>0</v>
      </c>
      <c r="K979" s="37">
        <f t="shared" si="392"/>
        <v>132</v>
      </c>
      <c r="L979" s="17">
        <v>320180040</v>
      </c>
      <c r="M979" s="16" t="str">
        <f t="shared" si="386"/>
        <v>0320180040</v>
      </c>
      <c r="N979" s="16" t="str">
        <f t="shared" si="387"/>
        <v>60910030320180040000</v>
      </c>
    </row>
    <row r="980" spans="2:14" s="17" customFormat="1">
      <c r="B980" s="14"/>
      <c r="C980" s="205" t="s">
        <v>493</v>
      </c>
      <c r="D980" s="198" t="s">
        <v>595</v>
      </c>
      <c r="E980" s="199" t="s">
        <v>317</v>
      </c>
      <c r="F980" s="199" t="s">
        <v>13</v>
      </c>
      <c r="G980" s="199" t="s">
        <v>1127</v>
      </c>
      <c r="H980" s="199" t="s">
        <v>494</v>
      </c>
      <c r="I980" s="37">
        <v>0</v>
      </c>
      <c r="J980" s="37">
        <v>0</v>
      </c>
      <c r="K980" s="37">
        <f>132</f>
        <v>132</v>
      </c>
      <c r="L980" s="17">
        <v>320180040</v>
      </c>
      <c r="M980" s="16" t="str">
        <f t="shared" si="386"/>
        <v>0320180040</v>
      </c>
      <c r="N980" s="16" t="str">
        <f t="shared" si="387"/>
        <v>60910030320180040310</v>
      </c>
    </row>
    <row r="981" spans="2:14" s="17" customFormat="1" ht="25.5">
      <c r="B981" s="14"/>
      <c r="C981" s="242" t="s">
        <v>1128</v>
      </c>
      <c r="D981" s="198" t="s">
        <v>595</v>
      </c>
      <c r="E981" s="199" t="s">
        <v>317</v>
      </c>
      <c r="F981" s="199" t="s">
        <v>13</v>
      </c>
      <c r="G981" s="199" t="s">
        <v>1129</v>
      </c>
      <c r="H981" s="199" t="s">
        <v>9</v>
      </c>
      <c r="I981" s="37">
        <f>I982</f>
        <v>0</v>
      </c>
      <c r="J981" s="37">
        <f t="shared" ref="J981:K981" si="393">J982</f>
        <v>0</v>
      </c>
      <c r="K981" s="37">
        <f t="shared" si="393"/>
        <v>8000</v>
      </c>
      <c r="L981" s="17">
        <v>320180050</v>
      </c>
      <c r="M981" s="16" t="str">
        <f t="shared" si="386"/>
        <v>0320180050</v>
      </c>
      <c r="N981" s="16" t="str">
        <f t="shared" si="387"/>
        <v>60910030320180050000</v>
      </c>
    </row>
    <row r="982" spans="2:14" s="17" customFormat="1">
      <c r="B982" s="14"/>
      <c r="C982" s="205" t="s">
        <v>493</v>
      </c>
      <c r="D982" s="198" t="s">
        <v>595</v>
      </c>
      <c r="E982" s="199" t="s">
        <v>317</v>
      </c>
      <c r="F982" s="199" t="s">
        <v>13</v>
      </c>
      <c r="G982" s="199" t="s">
        <v>1129</v>
      </c>
      <c r="H982" s="199" t="s">
        <v>494</v>
      </c>
      <c r="I982" s="37">
        <v>0</v>
      </c>
      <c r="J982" s="37">
        <v>0</v>
      </c>
      <c r="K982" s="37">
        <f>8000</f>
        <v>8000</v>
      </c>
      <c r="L982" s="17">
        <v>320180050</v>
      </c>
      <c r="M982" s="16" t="str">
        <f t="shared" si="386"/>
        <v>0320180050</v>
      </c>
      <c r="N982" s="16" t="str">
        <f t="shared" si="387"/>
        <v>60910030320180050310</v>
      </c>
    </row>
    <row r="983" spans="2:14" s="17" customFormat="1" ht="38.25">
      <c r="B983" s="14"/>
      <c r="C983" s="242" t="s">
        <v>637</v>
      </c>
      <c r="D983" s="198" t="s">
        <v>595</v>
      </c>
      <c r="E983" s="199" t="s">
        <v>317</v>
      </c>
      <c r="F983" s="199" t="s">
        <v>13</v>
      </c>
      <c r="G983" s="199" t="s">
        <v>638</v>
      </c>
      <c r="H983" s="199" t="s">
        <v>9</v>
      </c>
      <c r="I983" s="37">
        <f>I984</f>
        <v>694.28</v>
      </c>
      <c r="J983" s="37">
        <f>J984</f>
        <v>694.28</v>
      </c>
      <c r="K983" s="37">
        <f>K984</f>
        <v>694.28</v>
      </c>
      <c r="L983" s="17">
        <v>320180070</v>
      </c>
      <c r="M983" s="16" t="str">
        <f t="shared" si="386"/>
        <v>0320180070</v>
      </c>
      <c r="N983" s="16" t="str">
        <f t="shared" si="387"/>
        <v>60910030320180070000</v>
      </c>
    </row>
    <row r="984" spans="2:14" s="17" customFormat="1">
      <c r="B984" s="14"/>
      <c r="C984" s="205" t="s">
        <v>493</v>
      </c>
      <c r="D984" s="198" t="s">
        <v>595</v>
      </c>
      <c r="E984" s="199" t="s">
        <v>317</v>
      </c>
      <c r="F984" s="199" t="s">
        <v>13</v>
      </c>
      <c r="G984" s="199" t="s">
        <v>638</v>
      </c>
      <c r="H984" s="199" t="s">
        <v>494</v>
      </c>
      <c r="I984" s="37">
        <f>694.28</f>
        <v>694.28</v>
      </c>
      <c r="J984" s="37">
        <f t="shared" ref="J984:K984" si="394">694.28</f>
        <v>694.28</v>
      </c>
      <c r="K984" s="37">
        <f t="shared" si="394"/>
        <v>694.28</v>
      </c>
      <c r="L984" s="17">
        <v>320180070</v>
      </c>
      <c r="M984" s="16" t="str">
        <f t="shared" si="386"/>
        <v>0320180070</v>
      </c>
      <c r="N984" s="16" t="str">
        <f t="shared" si="387"/>
        <v>60910030320180070310</v>
      </c>
    </row>
    <row r="985" spans="2:14" s="17" customFormat="1" ht="25.5">
      <c r="B985" s="14"/>
      <c r="C985" s="242" t="s">
        <v>639</v>
      </c>
      <c r="D985" s="198" t="s">
        <v>595</v>
      </c>
      <c r="E985" s="199" t="s">
        <v>317</v>
      </c>
      <c r="F985" s="199" t="s">
        <v>13</v>
      </c>
      <c r="G985" s="199" t="s">
        <v>640</v>
      </c>
      <c r="H985" s="199" t="s">
        <v>9</v>
      </c>
      <c r="I985" s="37">
        <f>I986</f>
        <v>1664</v>
      </c>
      <c r="J985" s="37">
        <f t="shared" ref="J985:K987" si="395">J986</f>
        <v>1730</v>
      </c>
      <c r="K985" s="37">
        <f t="shared" si="395"/>
        <v>1944.35</v>
      </c>
      <c r="L985" s="17">
        <v>320180080</v>
      </c>
      <c r="M985" s="16" t="str">
        <f t="shared" si="386"/>
        <v>0320180080</v>
      </c>
      <c r="N985" s="16" t="str">
        <f t="shared" si="387"/>
        <v>60910030320180080000</v>
      </c>
    </row>
    <row r="986" spans="2:14" s="17" customFormat="1">
      <c r="B986" s="14"/>
      <c r="C986" s="205" t="s">
        <v>493</v>
      </c>
      <c r="D986" s="198" t="s">
        <v>595</v>
      </c>
      <c r="E986" s="199" t="s">
        <v>317</v>
      </c>
      <c r="F986" s="199" t="s">
        <v>13</v>
      </c>
      <c r="G986" s="199" t="s">
        <v>640</v>
      </c>
      <c r="H986" s="199" t="s">
        <v>494</v>
      </c>
      <c r="I986" s="37">
        <f>1664</f>
        <v>1664</v>
      </c>
      <c r="J986" s="37">
        <f>1730</f>
        <v>1730</v>
      </c>
      <c r="K986" s="37">
        <f>1944.35</f>
        <v>1944.35</v>
      </c>
      <c r="L986" s="17">
        <v>320180080</v>
      </c>
      <c r="M986" s="16" t="str">
        <f t="shared" si="386"/>
        <v>0320180080</v>
      </c>
      <c r="N986" s="16" t="str">
        <f t="shared" si="387"/>
        <v>60910030320180080310</v>
      </c>
    </row>
    <row r="987" spans="2:14" s="17" customFormat="1" ht="25.5">
      <c r="B987" s="14"/>
      <c r="C987" s="242" t="s">
        <v>1130</v>
      </c>
      <c r="D987" s="198" t="s">
        <v>595</v>
      </c>
      <c r="E987" s="199" t="s">
        <v>317</v>
      </c>
      <c r="F987" s="199" t="s">
        <v>13</v>
      </c>
      <c r="G987" s="199" t="s">
        <v>1131</v>
      </c>
      <c r="H987" s="199" t="s">
        <v>9</v>
      </c>
      <c r="I987" s="37">
        <f>I988</f>
        <v>0</v>
      </c>
      <c r="J987" s="37">
        <f t="shared" si="395"/>
        <v>0</v>
      </c>
      <c r="K987" s="37">
        <f t="shared" si="395"/>
        <v>10800</v>
      </c>
      <c r="L987" s="17">
        <v>320180090</v>
      </c>
      <c r="M987" s="16" t="str">
        <f t="shared" si="386"/>
        <v>0320180090</v>
      </c>
      <c r="N987" s="16" t="str">
        <f t="shared" si="387"/>
        <v>60910030320180090000</v>
      </c>
    </row>
    <row r="988" spans="2:14" s="17" customFormat="1">
      <c r="B988" s="14"/>
      <c r="C988" s="205" t="s">
        <v>493</v>
      </c>
      <c r="D988" s="198" t="s">
        <v>595</v>
      </c>
      <c r="E988" s="199" t="s">
        <v>317</v>
      </c>
      <c r="F988" s="199" t="s">
        <v>13</v>
      </c>
      <c r="G988" s="199" t="s">
        <v>1131</v>
      </c>
      <c r="H988" s="199" t="s">
        <v>494</v>
      </c>
      <c r="I988" s="37">
        <v>0</v>
      </c>
      <c r="J988" s="37">
        <v>0</v>
      </c>
      <c r="K988" s="37">
        <f>10800</f>
        <v>10800</v>
      </c>
      <c r="L988" s="17">
        <v>320180090</v>
      </c>
      <c r="M988" s="16" t="str">
        <f t="shared" si="386"/>
        <v>0320180090</v>
      </c>
      <c r="N988" s="16" t="str">
        <f t="shared" si="387"/>
        <v>60910030320180090310</v>
      </c>
    </row>
    <row r="989" spans="2:14" s="17" customFormat="1" ht="25.5">
      <c r="B989" s="14"/>
      <c r="C989" s="242" t="s">
        <v>641</v>
      </c>
      <c r="D989" s="198" t="s">
        <v>595</v>
      </c>
      <c r="E989" s="199" t="s">
        <v>317</v>
      </c>
      <c r="F989" s="199" t="s">
        <v>13</v>
      </c>
      <c r="G989" s="199" t="s">
        <v>642</v>
      </c>
      <c r="H989" s="199" t="s">
        <v>9</v>
      </c>
      <c r="I989" s="37">
        <f>I990</f>
        <v>5718</v>
      </c>
      <c r="J989" s="37">
        <f>J990</f>
        <v>5718</v>
      </c>
      <c r="K989" s="37">
        <f>K990</f>
        <v>5718</v>
      </c>
      <c r="L989" s="17">
        <v>320180100</v>
      </c>
      <c r="M989" s="16" t="str">
        <f t="shared" si="386"/>
        <v>0320180100</v>
      </c>
      <c r="N989" s="16" t="str">
        <f t="shared" si="387"/>
        <v>60910030320180100000</v>
      </c>
    </row>
    <row r="990" spans="2:14" s="17" customFormat="1">
      <c r="B990" s="14"/>
      <c r="C990" s="205" t="s">
        <v>493</v>
      </c>
      <c r="D990" s="198" t="s">
        <v>595</v>
      </c>
      <c r="E990" s="199" t="s">
        <v>317</v>
      </c>
      <c r="F990" s="199" t="s">
        <v>13</v>
      </c>
      <c r="G990" s="199" t="s">
        <v>642</v>
      </c>
      <c r="H990" s="199" t="s">
        <v>494</v>
      </c>
      <c r="I990" s="37">
        <f>5718</f>
        <v>5718</v>
      </c>
      <c r="J990" s="37">
        <f>5718</f>
        <v>5718</v>
      </c>
      <c r="K990" s="37">
        <f>5718</f>
        <v>5718</v>
      </c>
      <c r="L990" s="17">
        <v>320180100</v>
      </c>
      <c r="M990" s="16" t="str">
        <f t="shared" si="386"/>
        <v>0320180100</v>
      </c>
      <c r="N990" s="16" t="str">
        <f t="shared" si="387"/>
        <v>60910030320180100310</v>
      </c>
    </row>
    <row r="991" spans="2:14" s="17" customFormat="1" ht="25.5">
      <c r="B991" s="14"/>
      <c r="C991" s="242" t="s">
        <v>643</v>
      </c>
      <c r="D991" s="198" t="s">
        <v>595</v>
      </c>
      <c r="E991" s="199" t="s">
        <v>317</v>
      </c>
      <c r="F991" s="199" t="s">
        <v>13</v>
      </c>
      <c r="G991" s="199" t="s">
        <v>644</v>
      </c>
      <c r="H991" s="199" t="s">
        <v>9</v>
      </c>
      <c r="I991" s="37">
        <f>I992</f>
        <v>1080</v>
      </c>
      <c r="J991" s="37">
        <f>J992</f>
        <v>1080</v>
      </c>
      <c r="K991" s="37">
        <f>K992</f>
        <v>1080</v>
      </c>
      <c r="L991" s="17">
        <v>320180110</v>
      </c>
      <c r="M991" s="16" t="str">
        <f t="shared" si="386"/>
        <v>0320180110</v>
      </c>
      <c r="N991" s="16" t="str">
        <f t="shared" si="387"/>
        <v>60910030320180110000</v>
      </c>
    </row>
    <row r="992" spans="2:14" s="17" customFormat="1">
      <c r="B992" s="14"/>
      <c r="C992" s="205" t="s">
        <v>493</v>
      </c>
      <c r="D992" s="198" t="s">
        <v>595</v>
      </c>
      <c r="E992" s="199" t="s">
        <v>317</v>
      </c>
      <c r="F992" s="199" t="s">
        <v>13</v>
      </c>
      <c r="G992" s="199" t="s">
        <v>644</v>
      </c>
      <c r="H992" s="199" t="s">
        <v>494</v>
      </c>
      <c r="I992" s="37">
        <f>1080</f>
        <v>1080</v>
      </c>
      <c r="J992" s="37">
        <f>1080</f>
        <v>1080</v>
      </c>
      <c r="K992" s="37">
        <f>1080</f>
        <v>1080</v>
      </c>
      <c r="L992" s="17">
        <v>320180110</v>
      </c>
      <c r="M992" s="16" t="str">
        <f t="shared" si="386"/>
        <v>0320180110</v>
      </c>
      <c r="N992" s="16" t="str">
        <f t="shared" si="387"/>
        <v>60910030320180110310</v>
      </c>
    </row>
    <row r="993" spans="2:14" s="17" customFormat="1" ht="102">
      <c r="B993" s="14"/>
      <c r="C993" s="242" t="s">
        <v>645</v>
      </c>
      <c r="D993" s="198" t="s">
        <v>595</v>
      </c>
      <c r="E993" s="199" t="s">
        <v>317</v>
      </c>
      <c r="F993" s="199" t="s">
        <v>13</v>
      </c>
      <c r="G993" s="199" t="s">
        <v>646</v>
      </c>
      <c r="H993" s="199" t="s">
        <v>9</v>
      </c>
      <c r="I993" s="37">
        <f>I994</f>
        <v>1025.46</v>
      </c>
      <c r="J993" s="37">
        <f>J994</f>
        <v>1025.46</v>
      </c>
      <c r="K993" s="37">
        <f>K994</f>
        <v>1025.46</v>
      </c>
      <c r="L993" s="17">
        <v>320180120</v>
      </c>
      <c r="M993" s="16" t="str">
        <f t="shared" si="386"/>
        <v>0320180120</v>
      </c>
      <c r="N993" s="16" t="str">
        <f t="shared" si="387"/>
        <v>60910030320180120000</v>
      </c>
    </row>
    <row r="994" spans="2:14" s="17" customFormat="1">
      <c r="B994" s="14"/>
      <c r="C994" s="205" t="s">
        <v>493</v>
      </c>
      <c r="D994" s="198" t="s">
        <v>595</v>
      </c>
      <c r="E994" s="199" t="s">
        <v>317</v>
      </c>
      <c r="F994" s="199" t="s">
        <v>13</v>
      </c>
      <c r="G994" s="199" t="s">
        <v>646</v>
      </c>
      <c r="H994" s="199" t="s">
        <v>494</v>
      </c>
      <c r="I994" s="37">
        <f>1025.46</f>
        <v>1025.46</v>
      </c>
      <c r="J994" s="37">
        <f t="shared" ref="J994:K994" si="396">1025.46</f>
        <v>1025.46</v>
      </c>
      <c r="K994" s="37">
        <f t="shared" si="396"/>
        <v>1025.46</v>
      </c>
      <c r="L994" s="17">
        <v>320180120</v>
      </c>
      <c r="M994" s="16" t="str">
        <f t="shared" si="386"/>
        <v>0320180120</v>
      </c>
      <c r="N994" s="16" t="str">
        <f t="shared" si="387"/>
        <v>60910030320180120310</v>
      </c>
    </row>
    <row r="995" spans="2:14" s="17" customFormat="1" ht="38.25">
      <c r="B995" s="14"/>
      <c r="C995" s="242" t="s">
        <v>1132</v>
      </c>
      <c r="D995" s="198" t="s">
        <v>595</v>
      </c>
      <c r="E995" s="199" t="s">
        <v>317</v>
      </c>
      <c r="F995" s="199" t="s">
        <v>13</v>
      </c>
      <c r="G995" s="199" t="s">
        <v>1133</v>
      </c>
      <c r="H995" s="199" t="s">
        <v>9</v>
      </c>
      <c r="I995" s="37">
        <f>I996</f>
        <v>0</v>
      </c>
      <c r="J995" s="37">
        <f>J996</f>
        <v>0</v>
      </c>
      <c r="K995" s="37">
        <f>K996</f>
        <v>1000</v>
      </c>
      <c r="L995" s="17">
        <v>320180130</v>
      </c>
      <c r="M995" s="16" t="str">
        <f t="shared" si="386"/>
        <v>0320180130</v>
      </c>
      <c r="N995" s="16" t="str">
        <f t="shared" si="387"/>
        <v>60910030320180130000</v>
      </c>
    </row>
    <row r="996" spans="2:14" s="17" customFormat="1">
      <c r="B996" s="14"/>
      <c r="C996" s="205" t="s">
        <v>493</v>
      </c>
      <c r="D996" s="198" t="s">
        <v>595</v>
      </c>
      <c r="E996" s="199" t="s">
        <v>317</v>
      </c>
      <c r="F996" s="199" t="s">
        <v>13</v>
      </c>
      <c r="G996" s="199" t="s">
        <v>1133</v>
      </c>
      <c r="H996" s="199" t="s">
        <v>494</v>
      </c>
      <c r="I996" s="37">
        <f>0</f>
        <v>0</v>
      </c>
      <c r="J996" s="37">
        <v>0</v>
      </c>
      <c r="K996" s="37">
        <f>1000</f>
        <v>1000</v>
      </c>
      <c r="L996" s="17">
        <v>320180130</v>
      </c>
      <c r="M996" s="16" t="str">
        <f t="shared" si="386"/>
        <v>0320180130</v>
      </c>
      <c r="N996" s="16" t="str">
        <f t="shared" si="387"/>
        <v>60910030320180130310</v>
      </c>
    </row>
    <row r="997" spans="2:14" s="17" customFormat="1" ht="25.5">
      <c r="B997" s="14"/>
      <c r="C997" s="242" t="s">
        <v>647</v>
      </c>
      <c r="D997" s="198" t="s">
        <v>595</v>
      </c>
      <c r="E997" s="199" t="s">
        <v>317</v>
      </c>
      <c r="F997" s="199" t="s">
        <v>13</v>
      </c>
      <c r="G997" s="199" t="s">
        <v>648</v>
      </c>
      <c r="H997" s="199" t="s">
        <v>9</v>
      </c>
      <c r="I997" s="37">
        <f>I998</f>
        <v>714</v>
      </c>
      <c r="J997" s="37">
        <f>J998</f>
        <v>714</v>
      </c>
      <c r="K997" s="37">
        <f>K998</f>
        <v>714</v>
      </c>
      <c r="L997" s="17">
        <v>320180140</v>
      </c>
      <c r="M997" s="16" t="str">
        <f t="shared" si="386"/>
        <v>0320180140</v>
      </c>
      <c r="N997" s="16" t="str">
        <f t="shared" si="387"/>
        <v>60910030320180140000</v>
      </c>
    </row>
    <row r="998" spans="2:14" s="17" customFormat="1">
      <c r="B998" s="14"/>
      <c r="C998" s="205" t="s">
        <v>493</v>
      </c>
      <c r="D998" s="198" t="s">
        <v>595</v>
      </c>
      <c r="E998" s="199" t="s">
        <v>317</v>
      </c>
      <c r="F998" s="199" t="s">
        <v>13</v>
      </c>
      <c r="G998" s="199" t="s">
        <v>648</v>
      </c>
      <c r="H998" s="199" t="s">
        <v>494</v>
      </c>
      <c r="I998" s="37">
        <f>714</f>
        <v>714</v>
      </c>
      <c r="J998" s="37">
        <f>714</f>
        <v>714</v>
      </c>
      <c r="K998" s="37">
        <f>714</f>
        <v>714</v>
      </c>
      <c r="L998" s="17">
        <v>320180140</v>
      </c>
      <c r="M998" s="16" t="str">
        <f t="shared" si="386"/>
        <v>0320180140</v>
      </c>
      <c r="N998" s="16" t="str">
        <f t="shared" si="387"/>
        <v>60910030320180140310</v>
      </c>
    </row>
    <row r="999" spans="2:14" s="17" customFormat="1" ht="51">
      <c r="B999" s="14"/>
      <c r="C999" s="242" t="s">
        <v>649</v>
      </c>
      <c r="D999" s="198" t="s">
        <v>595</v>
      </c>
      <c r="E999" s="199" t="s">
        <v>317</v>
      </c>
      <c r="F999" s="199" t="s">
        <v>13</v>
      </c>
      <c r="G999" s="199" t="s">
        <v>650</v>
      </c>
      <c r="H999" s="199" t="s">
        <v>9</v>
      </c>
      <c r="I999" s="37">
        <f>I1000</f>
        <v>300</v>
      </c>
      <c r="J999" s="37">
        <f>J1000</f>
        <v>300</v>
      </c>
      <c r="K999" s="37">
        <f>K1000</f>
        <v>300</v>
      </c>
      <c r="L999" s="17">
        <v>320180150</v>
      </c>
      <c r="M999" s="16" t="str">
        <f t="shared" si="386"/>
        <v>0320180150</v>
      </c>
      <c r="N999" s="16" t="str">
        <f t="shared" si="387"/>
        <v>60910030320180150000</v>
      </c>
    </row>
    <row r="1000" spans="2:14" s="17" customFormat="1">
      <c r="B1000" s="14"/>
      <c r="C1000" s="205" t="s">
        <v>493</v>
      </c>
      <c r="D1000" s="198" t="s">
        <v>595</v>
      </c>
      <c r="E1000" s="199" t="s">
        <v>317</v>
      </c>
      <c r="F1000" s="199" t="s">
        <v>13</v>
      </c>
      <c r="G1000" s="199" t="s">
        <v>650</v>
      </c>
      <c r="H1000" s="199" t="s">
        <v>494</v>
      </c>
      <c r="I1000" s="37">
        <f>300</f>
        <v>300</v>
      </c>
      <c r="J1000" s="37">
        <f>300</f>
        <v>300</v>
      </c>
      <c r="K1000" s="37">
        <f>300</f>
        <v>300</v>
      </c>
      <c r="L1000" s="17">
        <v>320180150</v>
      </c>
      <c r="M1000" s="16" t="str">
        <f t="shared" si="386"/>
        <v>0320180150</v>
      </c>
      <c r="N1000" s="16" t="str">
        <f t="shared" si="387"/>
        <v>60910030320180150310</v>
      </c>
    </row>
    <row r="1001" spans="2:14" s="17" customFormat="1" ht="25.5">
      <c r="B1001" s="14"/>
      <c r="C1001" s="242" t="s">
        <v>651</v>
      </c>
      <c r="D1001" s="198" t="s">
        <v>595</v>
      </c>
      <c r="E1001" s="199" t="s">
        <v>317</v>
      </c>
      <c r="F1001" s="199" t="s">
        <v>13</v>
      </c>
      <c r="G1001" s="199" t="s">
        <v>652</v>
      </c>
      <c r="H1001" s="199" t="s">
        <v>9</v>
      </c>
      <c r="I1001" s="37">
        <f>I1002</f>
        <v>1020</v>
      </c>
      <c r="J1001" s="37">
        <f>J1002</f>
        <v>1020</v>
      </c>
      <c r="K1001" s="37">
        <f>K1002</f>
        <v>1020</v>
      </c>
      <c r="L1001" s="17">
        <v>320180160</v>
      </c>
      <c r="M1001" s="16" t="str">
        <f t="shared" si="386"/>
        <v>0320180160</v>
      </c>
      <c r="N1001" s="16" t="str">
        <f t="shared" si="387"/>
        <v>60910030320180160000</v>
      </c>
    </row>
    <row r="1002" spans="2:14" s="17" customFormat="1">
      <c r="B1002" s="14"/>
      <c r="C1002" s="205" t="s">
        <v>493</v>
      </c>
      <c r="D1002" s="198" t="s">
        <v>595</v>
      </c>
      <c r="E1002" s="199" t="s">
        <v>317</v>
      </c>
      <c r="F1002" s="199" t="s">
        <v>13</v>
      </c>
      <c r="G1002" s="199" t="s">
        <v>652</v>
      </c>
      <c r="H1002" s="199" t="s">
        <v>494</v>
      </c>
      <c r="I1002" s="37">
        <f>1020</f>
        <v>1020</v>
      </c>
      <c r="J1002" s="37">
        <f>1020</f>
        <v>1020</v>
      </c>
      <c r="K1002" s="37">
        <f>1020</f>
        <v>1020</v>
      </c>
      <c r="L1002" s="17">
        <v>320180160</v>
      </c>
      <c r="M1002" s="16" t="str">
        <f t="shared" si="386"/>
        <v>0320180160</v>
      </c>
      <c r="N1002" s="16" t="str">
        <f t="shared" si="387"/>
        <v>60910030320180160310</v>
      </c>
    </row>
    <row r="1003" spans="2:14" s="4" customFormat="1" ht="38.25">
      <c r="B1003" s="1"/>
      <c r="C1003" s="242" t="s">
        <v>1134</v>
      </c>
      <c r="D1003" s="198" t="s">
        <v>595</v>
      </c>
      <c r="E1003" s="199" t="s">
        <v>317</v>
      </c>
      <c r="F1003" s="199" t="s">
        <v>13</v>
      </c>
      <c r="G1003" s="199" t="s">
        <v>1135</v>
      </c>
      <c r="H1003" s="199" t="s">
        <v>9</v>
      </c>
      <c r="I1003" s="37">
        <f>I1004</f>
        <v>0</v>
      </c>
      <c r="J1003" s="37">
        <f>J1004</f>
        <v>0</v>
      </c>
      <c r="K1003" s="37">
        <f>K1004</f>
        <v>3750</v>
      </c>
      <c r="L1003" s="4">
        <v>320180170</v>
      </c>
      <c r="M1003" s="16" t="str">
        <f t="shared" si="386"/>
        <v>0320180170</v>
      </c>
      <c r="N1003" s="16" t="str">
        <f t="shared" si="387"/>
        <v>60910030320180170000</v>
      </c>
    </row>
    <row r="1004" spans="2:14" s="4" customFormat="1">
      <c r="B1004" s="1"/>
      <c r="C1004" s="205" t="s">
        <v>493</v>
      </c>
      <c r="D1004" s="198" t="s">
        <v>595</v>
      </c>
      <c r="E1004" s="199" t="s">
        <v>317</v>
      </c>
      <c r="F1004" s="199" t="s">
        <v>13</v>
      </c>
      <c r="G1004" s="199" t="s">
        <v>1135</v>
      </c>
      <c r="H1004" s="199" t="s">
        <v>494</v>
      </c>
      <c r="I1004" s="37">
        <v>0</v>
      </c>
      <c r="J1004" s="37">
        <v>0</v>
      </c>
      <c r="K1004" s="37">
        <f>3750</f>
        <v>3750</v>
      </c>
      <c r="L1004" s="4">
        <v>320180170</v>
      </c>
      <c r="M1004" s="16" t="str">
        <f t="shared" si="386"/>
        <v>0320180170</v>
      </c>
      <c r="N1004" s="16" t="str">
        <f t="shared" si="387"/>
        <v>60910030320180170310</v>
      </c>
    </row>
    <row r="1005" spans="2:14" s="4" customFormat="1" ht="25.5">
      <c r="B1005" s="1"/>
      <c r="C1005" s="242" t="s">
        <v>653</v>
      </c>
      <c r="D1005" s="198" t="s">
        <v>595</v>
      </c>
      <c r="E1005" s="199" t="s">
        <v>317</v>
      </c>
      <c r="F1005" s="199" t="s">
        <v>13</v>
      </c>
      <c r="G1005" s="199" t="s">
        <v>654</v>
      </c>
      <c r="H1005" s="199" t="s">
        <v>9</v>
      </c>
      <c r="I1005" s="37">
        <f>I1006</f>
        <v>1854</v>
      </c>
      <c r="J1005" s="37">
        <f>J1006</f>
        <v>1854</v>
      </c>
      <c r="K1005" s="37">
        <f>K1006</f>
        <v>1854</v>
      </c>
      <c r="L1005" s="4">
        <v>320180180</v>
      </c>
      <c r="M1005" s="16" t="str">
        <f t="shared" si="386"/>
        <v>0320180180</v>
      </c>
      <c r="N1005" s="16" t="str">
        <f t="shared" si="387"/>
        <v>60910030320180180000</v>
      </c>
    </row>
    <row r="1006" spans="2:14" s="4" customFormat="1">
      <c r="B1006" s="1"/>
      <c r="C1006" s="205" t="s">
        <v>493</v>
      </c>
      <c r="D1006" s="198" t="s">
        <v>595</v>
      </c>
      <c r="E1006" s="199" t="s">
        <v>317</v>
      </c>
      <c r="F1006" s="199" t="s">
        <v>13</v>
      </c>
      <c r="G1006" s="199" t="s">
        <v>654</v>
      </c>
      <c r="H1006" s="199" t="s">
        <v>494</v>
      </c>
      <c r="I1006" s="37">
        <f>1854</f>
        <v>1854</v>
      </c>
      <c r="J1006" s="37">
        <f>1854</f>
        <v>1854</v>
      </c>
      <c r="K1006" s="37">
        <f>1854</f>
        <v>1854</v>
      </c>
      <c r="L1006" s="4">
        <v>320180180</v>
      </c>
      <c r="M1006" s="16" t="str">
        <f t="shared" si="386"/>
        <v>0320180180</v>
      </c>
      <c r="N1006" s="16" t="str">
        <f t="shared" si="387"/>
        <v>60910030320180180310</v>
      </c>
    </row>
    <row r="1007" spans="2:14" s="4" customFormat="1" ht="25.5">
      <c r="B1007" s="1"/>
      <c r="C1007" s="242" t="s">
        <v>655</v>
      </c>
      <c r="D1007" s="198" t="s">
        <v>595</v>
      </c>
      <c r="E1007" s="199" t="s">
        <v>317</v>
      </c>
      <c r="F1007" s="199" t="s">
        <v>13</v>
      </c>
      <c r="G1007" s="199" t="s">
        <v>656</v>
      </c>
      <c r="H1007" s="199" t="s">
        <v>9</v>
      </c>
      <c r="I1007" s="37">
        <f>I1008</f>
        <v>20</v>
      </c>
      <c r="J1007" s="37">
        <f>J1008</f>
        <v>20</v>
      </c>
      <c r="K1007" s="37">
        <f>K1008</f>
        <v>20</v>
      </c>
      <c r="L1007" s="4">
        <v>320180190</v>
      </c>
      <c r="M1007" s="16" t="str">
        <f t="shared" si="386"/>
        <v>0320180190</v>
      </c>
      <c r="N1007" s="16" t="str">
        <f t="shared" si="387"/>
        <v>60910030320180190000</v>
      </c>
    </row>
    <row r="1008" spans="2:14" s="4" customFormat="1">
      <c r="B1008" s="1"/>
      <c r="C1008" s="205" t="s">
        <v>493</v>
      </c>
      <c r="D1008" s="198" t="s">
        <v>595</v>
      </c>
      <c r="E1008" s="199" t="s">
        <v>317</v>
      </c>
      <c r="F1008" s="199" t="s">
        <v>13</v>
      </c>
      <c r="G1008" s="199" t="s">
        <v>656</v>
      </c>
      <c r="H1008" s="199" t="s">
        <v>494</v>
      </c>
      <c r="I1008" s="37">
        <f>20</f>
        <v>20</v>
      </c>
      <c r="J1008" s="37">
        <f>20</f>
        <v>20</v>
      </c>
      <c r="K1008" s="37">
        <f>20</f>
        <v>20</v>
      </c>
      <c r="L1008" s="4">
        <v>320180190</v>
      </c>
      <c r="M1008" s="16" t="str">
        <f t="shared" si="386"/>
        <v>0320180190</v>
      </c>
      <c r="N1008" s="16" t="str">
        <f t="shared" si="387"/>
        <v>60910030320180190310</v>
      </c>
    </row>
    <row r="1009" spans="2:14" s="4" customFormat="1" ht="25.5">
      <c r="B1009" s="1"/>
      <c r="C1009" s="242" t="s">
        <v>1136</v>
      </c>
      <c r="D1009" s="198" t="s">
        <v>595</v>
      </c>
      <c r="E1009" s="199" t="s">
        <v>317</v>
      </c>
      <c r="F1009" s="199" t="s">
        <v>13</v>
      </c>
      <c r="G1009" s="199" t="s">
        <v>1137</v>
      </c>
      <c r="H1009" s="199" t="s">
        <v>9</v>
      </c>
      <c r="I1009" s="39">
        <f>I1010</f>
        <v>0</v>
      </c>
      <c r="J1009" s="39">
        <f>J1010</f>
        <v>0</v>
      </c>
      <c r="K1009" s="39">
        <f>K1010</f>
        <v>4500</v>
      </c>
      <c r="L1009" s="4">
        <v>320180200</v>
      </c>
      <c r="M1009" s="16" t="str">
        <f t="shared" si="386"/>
        <v>0320180200</v>
      </c>
      <c r="N1009" s="16" t="str">
        <f t="shared" si="387"/>
        <v>60910030320180200000</v>
      </c>
    </row>
    <row r="1010" spans="2:14" s="4" customFormat="1">
      <c r="B1010" s="1"/>
      <c r="C1010" s="205" t="s">
        <v>493</v>
      </c>
      <c r="D1010" s="198" t="s">
        <v>595</v>
      </c>
      <c r="E1010" s="199" t="s">
        <v>317</v>
      </c>
      <c r="F1010" s="199" t="s">
        <v>13</v>
      </c>
      <c r="G1010" s="199" t="s">
        <v>1137</v>
      </c>
      <c r="H1010" s="199" t="s">
        <v>494</v>
      </c>
      <c r="I1010" s="37">
        <f>0</f>
        <v>0</v>
      </c>
      <c r="J1010" s="37">
        <v>0</v>
      </c>
      <c r="K1010" s="37">
        <f>4500</f>
        <v>4500</v>
      </c>
      <c r="L1010" s="4">
        <v>320180200</v>
      </c>
      <c r="M1010" s="16" t="str">
        <f t="shared" si="386"/>
        <v>0320180200</v>
      </c>
      <c r="N1010" s="16" t="str">
        <f t="shared" si="387"/>
        <v>60910030320180200310</v>
      </c>
    </row>
    <row r="1011" spans="2:14" s="4" customFormat="1" ht="51">
      <c r="B1011" s="1"/>
      <c r="C1011" s="242" t="s">
        <v>657</v>
      </c>
      <c r="D1011" s="198" t="s">
        <v>595</v>
      </c>
      <c r="E1011" s="199" t="s">
        <v>317</v>
      </c>
      <c r="F1011" s="199" t="s">
        <v>13</v>
      </c>
      <c r="G1011" s="199" t="s">
        <v>658</v>
      </c>
      <c r="H1011" s="199" t="s">
        <v>9</v>
      </c>
      <c r="I1011" s="39">
        <f>I1012</f>
        <v>100</v>
      </c>
      <c r="J1011" s="39">
        <f>J1012</f>
        <v>100</v>
      </c>
      <c r="K1011" s="39">
        <f>K1012</f>
        <v>100</v>
      </c>
      <c r="L1011" s="4">
        <v>320180210</v>
      </c>
      <c r="M1011" s="16" t="str">
        <f t="shared" si="386"/>
        <v>0320180210</v>
      </c>
      <c r="N1011" s="16" t="str">
        <f t="shared" si="387"/>
        <v>60910030320180210000</v>
      </c>
    </row>
    <row r="1012" spans="2:14" s="4" customFormat="1">
      <c r="B1012" s="1"/>
      <c r="C1012" s="205" t="s">
        <v>493</v>
      </c>
      <c r="D1012" s="198" t="s">
        <v>595</v>
      </c>
      <c r="E1012" s="199" t="s">
        <v>317</v>
      </c>
      <c r="F1012" s="199" t="s">
        <v>13</v>
      </c>
      <c r="G1012" s="199" t="s">
        <v>658</v>
      </c>
      <c r="H1012" s="199" t="s">
        <v>494</v>
      </c>
      <c r="I1012" s="37">
        <f>100</f>
        <v>100</v>
      </c>
      <c r="J1012" s="37">
        <f>100</f>
        <v>100</v>
      </c>
      <c r="K1012" s="37">
        <f>100</f>
        <v>100</v>
      </c>
      <c r="L1012" s="4">
        <v>320180210</v>
      </c>
      <c r="M1012" s="16" t="str">
        <f t="shared" si="386"/>
        <v>0320180210</v>
      </c>
      <c r="N1012" s="16" t="str">
        <f t="shared" si="387"/>
        <v>60910030320180210310</v>
      </c>
    </row>
    <row r="1013" spans="2:14" s="4" customFormat="1" ht="25.5">
      <c r="B1013" s="1"/>
      <c r="C1013" s="242" t="s">
        <v>659</v>
      </c>
      <c r="D1013" s="198" t="s">
        <v>595</v>
      </c>
      <c r="E1013" s="199" t="s">
        <v>317</v>
      </c>
      <c r="F1013" s="199" t="s">
        <v>13</v>
      </c>
      <c r="G1013" s="199" t="s">
        <v>660</v>
      </c>
      <c r="H1013" s="199" t="s">
        <v>9</v>
      </c>
      <c r="I1013" s="39">
        <f>I1014</f>
        <v>81</v>
      </c>
      <c r="J1013" s="39">
        <f t="shared" ref="J1013:K1013" si="397">J1014</f>
        <v>81</v>
      </c>
      <c r="K1013" s="39">
        <f t="shared" si="397"/>
        <v>81</v>
      </c>
      <c r="L1013" s="4">
        <v>320500000</v>
      </c>
      <c r="M1013" s="16" t="str">
        <f t="shared" si="386"/>
        <v>0320500000</v>
      </c>
      <c r="N1013" s="16" t="str">
        <f t="shared" si="387"/>
        <v>60910030320500000000</v>
      </c>
    </row>
    <row r="1014" spans="2:14" s="4" customFormat="1" ht="25.5">
      <c r="B1014" s="1"/>
      <c r="C1014" s="214" t="s">
        <v>661</v>
      </c>
      <c r="D1014" s="198" t="s">
        <v>595</v>
      </c>
      <c r="E1014" s="199" t="s">
        <v>317</v>
      </c>
      <c r="F1014" s="199" t="s">
        <v>13</v>
      </c>
      <c r="G1014" s="199" t="s">
        <v>662</v>
      </c>
      <c r="H1014" s="199" t="s">
        <v>9</v>
      </c>
      <c r="I1014" s="39">
        <f>SUM(I1015:I1015)</f>
        <v>81</v>
      </c>
      <c r="J1014" s="39">
        <f>SUM(J1015:J1015)</f>
        <v>81</v>
      </c>
      <c r="K1014" s="39">
        <f>SUM(K1015:K1015)</f>
        <v>81</v>
      </c>
      <c r="L1014" s="4">
        <v>320520500</v>
      </c>
      <c r="M1014" s="16" t="str">
        <f t="shared" si="386"/>
        <v>0320520500</v>
      </c>
      <c r="N1014" s="16" t="str">
        <f t="shared" si="387"/>
        <v>60910030320520500000</v>
      </c>
    </row>
    <row r="1015" spans="2:14" s="4" customFormat="1" ht="25.5">
      <c r="B1015" s="1"/>
      <c r="C1015" s="205" t="s">
        <v>327</v>
      </c>
      <c r="D1015" s="198" t="s">
        <v>595</v>
      </c>
      <c r="E1015" s="199" t="s">
        <v>317</v>
      </c>
      <c r="F1015" s="199" t="s">
        <v>13</v>
      </c>
      <c r="G1015" s="199" t="s">
        <v>662</v>
      </c>
      <c r="H1015" s="199" t="s">
        <v>328</v>
      </c>
      <c r="I1015" s="37">
        <f>81</f>
        <v>81</v>
      </c>
      <c r="J1015" s="37">
        <f>81</f>
        <v>81</v>
      </c>
      <c r="K1015" s="37">
        <f>81</f>
        <v>81</v>
      </c>
      <c r="L1015" s="4">
        <v>320520500</v>
      </c>
      <c r="M1015" s="16" t="str">
        <f t="shared" si="386"/>
        <v>0320520500</v>
      </c>
      <c r="N1015" s="16" t="str">
        <f t="shared" si="387"/>
        <v>60910030320520500320</v>
      </c>
    </row>
    <row r="1016" spans="2:14" s="4" customFormat="1" ht="25.5">
      <c r="B1016" s="1"/>
      <c r="C1016" s="242" t="s">
        <v>663</v>
      </c>
      <c r="D1016" s="198" t="s">
        <v>595</v>
      </c>
      <c r="E1016" s="199" t="s">
        <v>317</v>
      </c>
      <c r="F1016" s="199" t="s">
        <v>13</v>
      </c>
      <c r="G1016" s="199" t="s">
        <v>664</v>
      </c>
      <c r="H1016" s="199" t="s">
        <v>9</v>
      </c>
      <c r="I1016" s="39">
        <f>I1017</f>
        <v>25</v>
      </c>
      <c r="J1016" s="39">
        <f t="shared" ref="J1016:K1016" si="398">J1017</f>
        <v>25</v>
      </c>
      <c r="K1016" s="39">
        <f t="shared" si="398"/>
        <v>25</v>
      </c>
      <c r="L1016" s="4">
        <v>320600000</v>
      </c>
      <c r="M1016" s="16" t="str">
        <f t="shared" si="386"/>
        <v>0320600000</v>
      </c>
      <c r="N1016" s="16" t="str">
        <f t="shared" si="387"/>
        <v>60910030320600000000</v>
      </c>
    </row>
    <row r="1017" spans="2:14" s="4" customFormat="1" ht="38.25">
      <c r="B1017" s="1"/>
      <c r="C1017" s="214" t="s">
        <v>665</v>
      </c>
      <c r="D1017" s="198" t="s">
        <v>595</v>
      </c>
      <c r="E1017" s="199" t="s">
        <v>317</v>
      </c>
      <c r="F1017" s="199" t="s">
        <v>13</v>
      </c>
      <c r="G1017" s="199" t="s">
        <v>666</v>
      </c>
      <c r="H1017" s="199" t="s">
        <v>9</v>
      </c>
      <c r="I1017" s="39">
        <f>I1018</f>
        <v>25</v>
      </c>
      <c r="J1017" s="39">
        <f>J1018</f>
        <v>25</v>
      </c>
      <c r="K1017" s="39">
        <f>K1018</f>
        <v>25</v>
      </c>
      <c r="L1017" s="4">
        <v>320620520</v>
      </c>
      <c r="M1017" s="16" t="str">
        <f t="shared" si="386"/>
        <v>0320620520</v>
      </c>
      <c r="N1017" s="16" t="str">
        <f t="shared" si="387"/>
        <v>60910030320620520000</v>
      </c>
    </row>
    <row r="1018" spans="2:14" s="4" customFormat="1" ht="25.5">
      <c r="B1018" s="1"/>
      <c r="C1018" s="197" t="s">
        <v>28</v>
      </c>
      <c r="D1018" s="198" t="s">
        <v>595</v>
      </c>
      <c r="E1018" s="199" t="s">
        <v>317</v>
      </c>
      <c r="F1018" s="199" t="s">
        <v>13</v>
      </c>
      <c r="G1018" s="199" t="s">
        <v>666</v>
      </c>
      <c r="H1018" s="199" t="s">
        <v>29</v>
      </c>
      <c r="I1018" s="37">
        <f>10+15</f>
        <v>25</v>
      </c>
      <c r="J1018" s="37">
        <f t="shared" ref="J1018:K1018" si="399">10+15</f>
        <v>25</v>
      </c>
      <c r="K1018" s="37">
        <f t="shared" si="399"/>
        <v>25</v>
      </c>
      <c r="L1018" s="4">
        <v>320620520</v>
      </c>
      <c r="M1018" s="16" t="str">
        <f t="shared" si="386"/>
        <v>0320620520</v>
      </c>
      <c r="N1018" s="16" t="str">
        <f t="shared" si="387"/>
        <v>60910030320620520240</v>
      </c>
    </row>
    <row r="1019" spans="2:14" s="4" customFormat="1" ht="25.5">
      <c r="B1019" s="1"/>
      <c r="C1019" s="197" t="s">
        <v>667</v>
      </c>
      <c r="D1019" s="198" t="s">
        <v>595</v>
      </c>
      <c r="E1019" s="199" t="s">
        <v>317</v>
      </c>
      <c r="F1019" s="199" t="s">
        <v>13</v>
      </c>
      <c r="G1019" s="199" t="s">
        <v>668</v>
      </c>
      <c r="H1019" s="199" t="s">
        <v>9</v>
      </c>
      <c r="I1019" s="37">
        <f>I1020</f>
        <v>75</v>
      </c>
      <c r="J1019" s="37">
        <f t="shared" ref="J1019:K1019" si="400">J1020</f>
        <v>75</v>
      </c>
      <c r="K1019" s="37">
        <f t="shared" si="400"/>
        <v>75</v>
      </c>
      <c r="L1019" s="4">
        <v>320800000</v>
      </c>
      <c r="M1019" s="16" t="str">
        <f t="shared" si="386"/>
        <v>0320800000</v>
      </c>
      <c r="N1019" s="16" t="str">
        <f t="shared" si="387"/>
        <v>60910030320800000000</v>
      </c>
    </row>
    <row r="1020" spans="2:14" s="4" customFormat="1" ht="25.5">
      <c r="B1020" s="1"/>
      <c r="C1020" s="214" t="s">
        <v>669</v>
      </c>
      <c r="D1020" s="198" t="s">
        <v>595</v>
      </c>
      <c r="E1020" s="199" t="s">
        <v>317</v>
      </c>
      <c r="F1020" s="199" t="s">
        <v>13</v>
      </c>
      <c r="G1020" s="199" t="s">
        <v>670</v>
      </c>
      <c r="H1020" s="199" t="s">
        <v>9</v>
      </c>
      <c r="I1020" s="39">
        <f t="shared" ref="I1020:K1020" si="401">I1021</f>
        <v>75</v>
      </c>
      <c r="J1020" s="39">
        <f t="shared" si="401"/>
        <v>75</v>
      </c>
      <c r="K1020" s="39">
        <f t="shared" si="401"/>
        <v>75</v>
      </c>
      <c r="L1020" s="4">
        <v>320820510</v>
      </c>
      <c r="M1020" s="16" t="str">
        <f t="shared" si="386"/>
        <v>0320820510</v>
      </c>
      <c r="N1020" s="16" t="str">
        <f t="shared" si="387"/>
        <v>60910030320820510000</v>
      </c>
    </row>
    <row r="1021" spans="2:14" s="4" customFormat="1" ht="25.5">
      <c r="B1021" s="1"/>
      <c r="C1021" s="197" t="s">
        <v>28</v>
      </c>
      <c r="D1021" s="198" t="s">
        <v>595</v>
      </c>
      <c r="E1021" s="199" t="s">
        <v>317</v>
      </c>
      <c r="F1021" s="199" t="s">
        <v>13</v>
      </c>
      <c r="G1021" s="199" t="s">
        <v>670</v>
      </c>
      <c r="H1021" s="199" t="s">
        <v>29</v>
      </c>
      <c r="I1021" s="37">
        <f>75</f>
        <v>75</v>
      </c>
      <c r="J1021" s="37">
        <f>75</f>
        <v>75</v>
      </c>
      <c r="K1021" s="37">
        <f>75</f>
        <v>75</v>
      </c>
      <c r="L1021" s="4">
        <v>320820510</v>
      </c>
      <c r="M1021" s="16" t="str">
        <f t="shared" si="386"/>
        <v>0320820510</v>
      </c>
      <c r="N1021" s="16" t="str">
        <f t="shared" si="387"/>
        <v>60910030320820510240</v>
      </c>
    </row>
    <row r="1022" spans="2:14" s="4" customFormat="1">
      <c r="B1022" s="1"/>
      <c r="C1022" s="214" t="s">
        <v>671</v>
      </c>
      <c r="D1022" s="198" t="s">
        <v>595</v>
      </c>
      <c r="E1022" s="199" t="s">
        <v>317</v>
      </c>
      <c r="F1022" s="199" t="s">
        <v>13</v>
      </c>
      <c r="G1022" s="199" t="s">
        <v>672</v>
      </c>
      <c r="H1022" s="199" t="s">
        <v>9</v>
      </c>
      <c r="I1022" s="39">
        <f t="shared" ref="I1022:K1024" si="402">I1023</f>
        <v>2174.37</v>
      </c>
      <c r="J1022" s="39">
        <f t="shared" si="402"/>
        <v>2608.5</v>
      </c>
      <c r="K1022" s="39">
        <f t="shared" si="402"/>
        <v>2608.5</v>
      </c>
      <c r="L1022" s="4">
        <v>330000000</v>
      </c>
      <c r="M1022" s="16" t="str">
        <f t="shared" si="386"/>
        <v>0330000000</v>
      </c>
      <c r="N1022" s="16" t="str">
        <f t="shared" si="387"/>
        <v>60910030330000000000</v>
      </c>
    </row>
    <row r="1023" spans="2:14" s="4" customFormat="1" ht="39" customHeight="1">
      <c r="B1023" s="1"/>
      <c r="C1023" s="250" t="s">
        <v>673</v>
      </c>
      <c r="D1023" s="198" t="s">
        <v>595</v>
      </c>
      <c r="E1023" s="199" t="s">
        <v>317</v>
      </c>
      <c r="F1023" s="199" t="s">
        <v>13</v>
      </c>
      <c r="G1023" s="199" t="s">
        <v>674</v>
      </c>
      <c r="H1023" s="199" t="s">
        <v>9</v>
      </c>
      <c r="I1023" s="39">
        <f t="shared" si="402"/>
        <v>2174.37</v>
      </c>
      <c r="J1023" s="39">
        <f t="shared" si="402"/>
        <v>2608.5</v>
      </c>
      <c r="K1023" s="39">
        <f t="shared" si="402"/>
        <v>2608.5</v>
      </c>
      <c r="L1023" s="4">
        <v>330100000</v>
      </c>
      <c r="M1023" s="16" t="str">
        <f t="shared" si="386"/>
        <v>0330100000</v>
      </c>
      <c r="N1023" s="16" t="str">
        <f t="shared" si="387"/>
        <v>60910030330100000000</v>
      </c>
    </row>
    <row r="1024" spans="2:14" s="4" customFormat="1" ht="38.25">
      <c r="B1024" s="1"/>
      <c r="C1024" s="214" t="s">
        <v>675</v>
      </c>
      <c r="D1024" s="198" t="s">
        <v>595</v>
      </c>
      <c r="E1024" s="199" t="s">
        <v>317</v>
      </c>
      <c r="F1024" s="199" t="s">
        <v>13</v>
      </c>
      <c r="G1024" s="199" t="s">
        <v>676</v>
      </c>
      <c r="H1024" s="199" t="s">
        <v>9</v>
      </c>
      <c r="I1024" s="39">
        <f t="shared" si="402"/>
        <v>2174.37</v>
      </c>
      <c r="J1024" s="39">
        <f t="shared" si="402"/>
        <v>2608.5</v>
      </c>
      <c r="K1024" s="39">
        <f t="shared" si="402"/>
        <v>2608.5</v>
      </c>
      <c r="L1024" s="4">
        <v>330120530</v>
      </c>
      <c r="M1024" s="16" t="str">
        <f t="shared" si="386"/>
        <v>0330120530</v>
      </c>
      <c r="N1024" s="16" t="str">
        <f t="shared" si="387"/>
        <v>60910030330120530000</v>
      </c>
    </row>
    <row r="1025" spans="2:14" s="4" customFormat="1" ht="25.5">
      <c r="B1025" s="1"/>
      <c r="C1025" s="205" t="s">
        <v>327</v>
      </c>
      <c r="D1025" s="198" t="s">
        <v>595</v>
      </c>
      <c r="E1025" s="199" t="s">
        <v>317</v>
      </c>
      <c r="F1025" s="199" t="s">
        <v>13</v>
      </c>
      <c r="G1025" s="199" t="s">
        <v>676</v>
      </c>
      <c r="H1025" s="199" t="s">
        <v>328</v>
      </c>
      <c r="I1025" s="37">
        <f>1739+869.5-434.13</f>
        <v>2174.37</v>
      </c>
      <c r="J1025" s="37">
        <f t="shared" ref="J1025:K1025" si="403">1739+869.5</f>
        <v>2608.5</v>
      </c>
      <c r="K1025" s="37">
        <f t="shared" si="403"/>
        <v>2608.5</v>
      </c>
      <c r="L1025" s="4">
        <v>330120530</v>
      </c>
      <c r="M1025" s="16" t="str">
        <f t="shared" si="386"/>
        <v>0330120530</v>
      </c>
      <c r="N1025" s="16" t="str">
        <f t="shared" si="387"/>
        <v>60910030330120530320</v>
      </c>
    </row>
    <row r="1026" spans="2:14" s="43" customFormat="1">
      <c r="B1026" s="42"/>
      <c r="C1026" s="194" t="s">
        <v>490</v>
      </c>
      <c r="D1026" s="195" t="s">
        <v>595</v>
      </c>
      <c r="E1026" s="196" t="s">
        <v>317</v>
      </c>
      <c r="F1026" s="196" t="s">
        <v>73</v>
      </c>
      <c r="G1026" s="196" t="s">
        <v>8</v>
      </c>
      <c r="H1026" s="196" t="s">
        <v>9</v>
      </c>
      <c r="I1026" s="19">
        <f t="shared" ref="I1026:K1028" si="404">I1027</f>
        <v>240849.2</v>
      </c>
      <c r="J1026" s="19">
        <f t="shared" si="404"/>
        <v>237843.88</v>
      </c>
      <c r="K1026" s="19">
        <f t="shared" si="404"/>
        <v>237843.88</v>
      </c>
      <c r="L1026" s="43">
        <v>0</v>
      </c>
      <c r="M1026" s="16" t="str">
        <f t="shared" si="386"/>
        <v>0000000000</v>
      </c>
      <c r="N1026" s="16" t="str">
        <f t="shared" si="387"/>
        <v>60910040000000000000</v>
      </c>
    </row>
    <row r="1027" spans="2:14" s="43" customFormat="1" ht="25.5">
      <c r="B1027" s="42"/>
      <c r="C1027" s="214" t="s">
        <v>385</v>
      </c>
      <c r="D1027" s="198" t="s">
        <v>595</v>
      </c>
      <c r="E1027" s="199" t="s">
        <v>317</v>
      </c>
      <c r="F1027" s="199" t="s">
        <v>73</v>
      </c>
      <c r="G1027" s="199" t="s">
        <v>386</v>
      </c>
      <c r="H1027" s="199" t="s">
        <v>9</v>
      </c>
      <c r="I1027" s="39">
        <f t="shared" si="404"/>
        <v>240849.2</v>
      </c>
      <c r="J1027" s="39">
        <f t="shared" si="404"/>
        <v>237843.88</v>
      </c>
      <c r="K1027" s="39">
        <f t="shared" si="404"/>
        <v>237843.88</v>
      </c>
      <c r="L1027" s="43">
        <v>300000000</v>
      </c>
      <c r="M1027" s="16" t="str">
        <f t="shared" si="386"/>
        <v>0300000000</v>
      </c>
      <c r="N1027" s="16" t="str">
        <f t="shared" si="387"/>
        <v>60910040300000000000</v>
      </c>
    </row>
    <row r="1028" spans="2:14" s="43" customFormat="1" ht="38.25">
      <c r="B1028" s="42"/>
      <c r="C1028" s="250" t="s">
        <v>596</v>
      </c>
      <c r="D1028" s="198" t="s">
        <v>595</v>
      </c>
      <c r="E1028" s="199" t="s">
        <v>317</v>
      </c>
      <c r="F1028" s="199" t="s">
        <v>73</v>
      </c>
      <c r="G1028" s="199" t="s">
        <v>597</v>
      </c>
      <c r="H1028" s="199" t="s">
        <v>9</v>
      </c>
      <c r="I1028" s="39">
        <f t="shared" si="404"/>
        <v>240849.2</v>
      </c>
      <c r="J1028" s="39">
        <f t="shared" si="404"/>
        <v>237843.88</v>
      </c>
      <c r="K1028" s="39">
        <f t="shared" si="404"/>
        <v>237843.88</v>
      </c>
      <c r="L1028" s="43">
        <v>310000000</v>
      </c>
      <c r="M1028" s="16" t="str">
        <f t="shared" si="386"/>
        <v>0310000000</v>
      </c>
      <c r="N1028" s="16" t="str">
        <f t="shared" si="387"/>
        <v>60910040310000000000</v>
      </c>
    </row>
    <row r="1029" spans="2:14" s="17" customFormat="1" ht="25.5">
      <c r="B1029" s="14"/>
      <c r="C1029" s="251" t="s">
        <v>623</v>
      </c>
      <c r="D1029" s="198" t="s">
        <v>595</v>
      </c>
      <c r="E1029" s="199" t="s">
        <v>317</v>
      </c>
      <c r="F1029" s="199" t="s">
        <v>73</v>
      </c>
      <c r="G1029" s="199" t="s">
        <v>624</v>
      </c>
      <c r="H1029" s="199" t="s">
        <v>9</v>
      </c>
      <c r="I1029" s="37">
        <f>I1032+I1030</f>
        <v>240849.2</v>
      </c>
      <c r="J1029" s="37">
        <f t="shared" ref="J1029:K1029" si="405">J1032+J1030</f>
        <v>237843.88</v>
      </c>
      <c r="K1029" s="37">
        <f t="shared" si="405"/>
        <v>237843.88</v>
      </c>
      <c r="L1029" s="17">
        <v>310200000</v>
      </c>
      <c r="M1029" s="16" t="str">
        <f t="shared" si="386"/>
        <v>0310200000</v>
      </c>
      <c r="N1029" s="16" t="str">
        <f t="shared" si="387"/>
        <v>60910040310200000000</v>
      </c>
    </row>
    <row r="1030" spans="2:14" s="17" customFormat="1">
      <c r="B1030" s="14"/>
      <c r="C1030" s="242" t="s">
        <v>677</v>
      </c>
      <c r="D1030" s="198" t="s">
        <v>595</v>
      </c>
      <c r="E1030" s="199" t="s">
        <v>317</v>
      </c>
      <c r="F1030" s="199" t="s">
        <v>73</v>
      </c>
      <c r="G1030" s="199" t="s">
        <v>678</v>
      </c>
      <c r="H1030" s="199" t="s">
        <v>9</v>
      </c>
      <c r="I1030" s="37">
        <f>I1031</f>
        <v>125670.20000000001</v>
      </c>
      <c r="J1030" s="37">
        <f>J1031</f>
        <v>122664.88</v>
      </c>
      <c r="K1030" s="37">
        <f>K1031</f>
        <v>122664.88</v>
      </c>
      <c r="L1030" s="17">
        <v>310276270</v>
      </c>
      <c r="M1030" s="16" t="str">
        <f t="shared" ref="M1030:M1093" si="406">TEXT(L1030,"0000000000")</f>
        <v>0310276270</v>
      </c>
      <c r="N1030" s="16" t="str">
        <f t="shared" ref="N1030:N1093" si="407">D1030&amp;E1030&amp;F1030&amp;M1030&amp;H1030</f>
        <v>60910040310276270000</v>
      </c>
    </row>
    <row r="1031" spans="2:14" s="17" customFormat="1">
      <c r="B1031" s="14"/>
      <c r="C1031" s="205" t="s">
        <v>493</v>
      </c>
      <c r="D1031" s="198" t="s">
        <v>595</v>
      </c>
      <c r="E1031" s="199" t="s">
        <v>317</v>
      </c>
      <c r="F1031" s="199" t="s">
        <v>73</v>
      </c>
      <c r="G1031" s="199" t="s">
        <v>678</v>
      </c>
      <c r="H1031" s="199" t="s">
        <v>494</v>
      </c>
      <c r="I1031" s="37">
        <f>122664.88+3005.32</f>
        <v>125670.20000000001</v>
      </c>
      <c r="J1031" s="37">
        <f t="shared" ref="J1031:K1031" si="408">122664.88</f>
        <v>122664.88</v>
      </c>
      <c r="K1031" s="37">
        <f t="shared" si="408"/>
        <v>122664.88</v>
      </c>
      <c r="L1031" s="17">
        <v>310276270</v>
      </c>
      <c r="M1031" s="16" t="str">
        <f t="shared" si="406"/>
        <v>0310276270</v>
      </c>
      <c r="N1031" s="16" t="str">
        <f t="shared" si="407"/>
        <v>60910040310276270310</v>
      </c>
    </row>
    <row r="1032" spans="2:14" s="17" customFormat="1" ht="51">
      <c r="B1032" s="14" t="s">
        <v>80</v>
      </c>
      <c r="C1032" s="242" t="s">
        <v>679</v>
      </c>
      <c r="D1032" s="198" t="s">
        <v>595</v>
      </c>
      <c r="E1032" s="199" t="s">
        <v>317</v>
      </c>
      <c r="F1032" s="199" t="s">
        <v>73</v>
      </c>
      <c r="G1032" s="199" t="s">
        <v>680</v>
      </c>
      <c r="H1032" s="199" t="s">
        <v>9</v>
      </c>
      <c r="I1032" s="37">
        <f>I1033</f>
        <v>115178.99999999999</v>
      </c>
      <c r="J1032" s="37">
        <f>J1033</f>
        <v>115178.99999999999</v>
      </c>
      <c r="K1032" s="37">
        <f>K1033</f>
        <v>115178.99999999999</v>
      </c>
      <c r="L1032" s="17" t="s">
        <v>1228</v>
      </c>
      <c r="M1032" s="16" t="str">
        <f t="shared" si="406"/>
        <v>03102R0840</v>
      </c>
      <c r="N1032" s="16" t="str">
        <f t="shared" si="407"/>
        <v>609100403102R0840000</v>
      </c>
    </row>
    <row r="1033" spans="2:14" s="17" customFormat="1">
      <c r="B1033" s="14"/>
      <c r="C1033" s="205" t="s">
        <v>493</v>
      </c>
      <c r="D1033" s="198" t="s">
        <v>595</v>
      </c>
      <c r="E1033" s="199" t="s">
        <v>317</v>
      </c>
      <c r="F1033" s="199" t="s">
        <v>73</v>
      </c>
      <c r="G1033" s="199" t="s">
        <v>680</v>
      </c>
      <c r="H1033" s="199" t="s">
        <v>494</v>
      </c>
      <c r="I1033" s="37">
        <f>137735.55-22556.55</f>
        <v>115178.99999999999</v>
      </c>
      <c r="J1033" s="37">
        <f>137735.55-22556.55</f>
        <v>115178.99999999999</v>
      </c>
      <c r="K1033" s="37">
        <f>137735.55-22556.55</f>
        <v>115178.99999999999</v>
      </c>
      <c r="L1033" s="17" t="s">
        <v>1228</v>
      </c>
      <c r="M1033" s="16" t="str">
        <f t="shared" si="406"/>
        <v>03102R0840</v>
      </c>
      <c r="N1033" s="16" t="str">
        <f t="shared" si="407"/>
        <v>609100403102R0840310</v>
      </c>
    </row>
    <row r="1034" spans="2:14" s="45" customFormat="1">
      <c r="B1034" s="44"/>
      <c r="C1034" s="194" t="s">
        <v>681</v>
      </c>
      <c r="D1034" s="195" t="s">
        <v>595</v>
      </c>
      <c r="E1034" s="196" t="s">
        <v>317</v>
      </c>
      <c r="F1034" s="196" t="s">
        <v>334</v>
      </c>
      <c r="G1034" s="196" t="s">
        <v>8</v>
      </c>
      <c r="H1034" s="196" t="s">
        <v>9</v>
      </c>
      <c r="I1034" s="19">
        <f>I1035+I1054</f>
        <v>69426.400000000009</v>
      </c>
      <c r="J1034" s="19">
        <f>J1035+J1054</f>
        <v>68242.680000000008</v>
      </c>
      <c r="K1034" s="19">
        <f>K1035+K1054</f>
        <v>68280.740000000005</v>
      </c>
      <c r="L1034" s="45">
        <v>0</v>
      </c>
      <c r="M1034" s="16" t="str">
        <f t="shared" si="406"/>
        <v>0000000000</v>
      </c>
      <c r="N1034" s="16" t="str">
        <f t="shared" si="407"/>
        <v>60910060000000000000</v>
      </c>
    </row>
    <row r="1035" spans="2:14" s="17" customFormat="1" ht="25.5">
      <c r="B1035" s="14"/>
      <c r="C1035" s="214" t="s">
        <v>385</v>
      </c>
      <c r="D1035" s="198" t="s">
        <v>595</v>
      </c>
      <c r="E1035" s="199" t="s">
        <v>317</v>
      </c>
      <c r="F1035" s="199" t="s">
        <v>334</v>
      </c>
      <c r="G1035" s="199" t="s">
        <v>386</v>
      </c>
      <c r="H1035" s="199" t="s">
        <v>9</v>
      </c>
      <c r="I1035" s="37">
        <f>I1043+I1047+I1036</f>
        <v>4714.47</v>
      </c>
      <c r="J1035" s="37">
        <f t="shared" ref="J1035:K1035" si="409">J1043+J1047+J1036</f>
        <v>5561.92</v>
      </c>
      <c r="K1035" s="37">
        <f t="shared" si="409"/>
        <v>5561.92</v>
      </c>
      <c r="L1035" s="17">
        <v>300000000</v>
      </c>
      <c r="M1035" s="16" t="str">
        <f t="shared" si="406"/>
        <v>0300000000</v>
      </c>
      <c r="N1035" s="16" t="str">
        <f t="shared" si="407"/>
        <v>60910060300000000000</v>
      </c>
    </row>
    <row r="1036" spans="2:14" s="4" customFormat="1" ht="38.25">
      <c r="B1036" s="1" t="s">
        <v>682</v>
      </c>
      <c r="C1036" s="250" t="s">
        <v>596</v>
      </c>
      <c r="D1036" s="198" t="s">
        <v>595</v>
      </c>
      <c r="E1036" s="199" t="s">
        <v>317</v>
      </c>
      <c r="F1036" s="199" t="s">
        <v>334</v>
      </c>
      <c r="G1036" s="199" t="s">
        <v>597</v>
      </c>
      <c r="H1036" s="199" t="s">
        <v>9</v>
      </c>
      <c r="I1036" s="37">
        <f>I1037+I1040</f>
        <v>3001.63</v>
      </c>
      <c r="J1036" s="37">
        <f t="shared" ref="J1036:K1036" si="410">J1037+J1040</f>
        <v>2546</v>
      </c>
      <c r="K1036" s="37">
        <f t="shared" si="410"/>
        <v>2546</v>
      </c>
      <c r="L1036" s="4">
        <v>310000000</v>
      </c>
      <c r="M1036" s="16" t="str">
        <f t="shared" si="406"/>
        <v>0310000000</v>
      </c>
      <c r="N1036" s="16" t="str">
        <f t="shared" si="407"/>
        <v>60910060310000000000</v>
      </c>
    </row>
    <row r="1037" spans="2:14" s="4" customFormat="1" ht="25.5">
      <c r="B1037" s="1"/>
      <c r="C1037" s="251" t="s">
        <v>599</v>
      </c>
      <c r="D1037" s="198" t="s">
        <v>595</v>
      </c>
      <c r="E1037" s="199" t="s">
        <v>317</v>
      </c>
      <c r="F1037" s="199" t="s">
        <v>334</v>
      </c>
      <c r="G1037" s="199" t="s">
        <v>600</v>
      </c>
      <c r="H1037" s="199" t="s">
        <v>9</v>
      </c>
      <c r="I1037" s="37">
        <f>I1038</f>
        <v>2546</v>
      </c>
      <c r="J1037" s="37">
        <f t="shared" ref="J1037:K1038" si="411">J1038</f>
        <v>2546</v>
      </c>
      <c r="K1037" s="37">
        <f t="shared" si="411"/>
        <v>2546</v>
      </c>
      <c r="L1037" s="4">
        <v>310100000</v>
      </c>
      <c r="M1037" s="16" t="str">
        <f t="shared" si="406"/>
        <v>0310100000</v>
      </c>
      <c r="N1037" s="16" t="str">
        <f t="shared" si="407"/>
        <v>60910060310100000000</v>
      </c>
    </row>
    <row r="1038" spans="2:14" s="4" customFormat="1" ht="25.5">
      <c r="B1038" s="1"/>
      <c r="C1038" s="214" t="s">
        <v>603</v>
      </c>
      <c r="D1038" s="198" t="s">
        <v>595</v>
      </c>
      <c r="E1038" s="199" t="s">
        <v>317</v>
      </c>
      <c r="F1038" s="199" t="s">
        <v>334</v>
      </c>
      <c r="G1038" s="199" t="s">
        <v>604</v>
      </c>
      <c r="H1038" s="199" t="s">
        <v>9</v>
      </c>
      <c r="I1038" s="37">
        <f>I1039</f>
        <v>2546</v>
      </c>
      <c r="J1038" s="37">
        <f t="shared" si="411"/>
        <v>2546</v>
      </c>
      <c r="K1038" s="37">
        <f t="shared" si="411"/>
        <v>2546</v>
      </c>
      <c r="L1038" s="4">
        <v>310152500</v>
      </c>
      <c r="M1038" s="16" t="str">
        <f t="shared" si="406"/>
        <v>0310152500</v>
      </c>
      <c r="N1038" s="16" t="str">
        <f t="shared" si="407"/>
        <v>60910060310152500000</v>
      </c>
    </row>
    <row r="1039" spans="2:14" s="4" customFormat="1" ht="25.5">
      <c r="B1039" s="1"/>
      <c r="C1039" s="197" t="s">
        <v>20</v>
      </c>
      <c r="D1039" s="198" t="s">
        <v>595</v>
      </c>
      <c r="E1039" s="199" t="s">
        <v>317</v>
      </c>
      <c r="F1039" s="199" t="s">
        <v>334</v>
      </c>
      <c r="G1039" s="199" t="s">
        <v>604</v>
      </c>
      <c r="H1039" s="199" t="s">
        <v>21</v>
      </c>
      <c r="I1039" s="37">
        <f>2546</f>
        <v>2546</v>
      </c>
      <c r="J1039" s="37">
        <f>2546</f>
        <v>2546</v>
      </c>
      <c r="K1039" s="37">
        <f>2546</f>
        <v>2546</v>
      </c>
      <c r="L1039" s="4">
        <v>310152500</v>
      </c>
      <c r="M1039" s="16" t="str">
        <f t="shared" si="406"/>
        <v>0310152500</v>
      </c>
      <c r="N1039" s="16" t="str">
        <f t="shared" si="407"/>
        <v>60910060310152500120</v>
      </c>
    </row>
    <row r="1040" spans="2:14" s="4" customFormat="1" ht="25.5">
      <c r="B1040" s="1"/>
      <c r="C1040" s="251" t="s">
        <v>623</v>
      </c>
      <c r="D1040" s="198" t="s">
        <v>595</v>
      </c>
      <c r="E1040" s="199" t="s">
        <v>317</v>
      </c>
      <c r="F1040" s="199" t="s">
        <v>334</v>
      </c>
      <c r="G1040" s="199" t="s">
        <v>624</v>
      </c>
      <c r="H1040" s="199" t="s">
        <v>9</v>
      </c>
      <c r="I1040" s="36">
        <f>I1041</f>
        <v>455.63</v>
      </c>
      <c r="J1040" s="36">
        <f t="shared" ref="J1040:K1041" si="412">J1041</f>
        <v>0</v>
      </c>
      <c r="K1040" s="36">
        <f t="shared" si="412"/>
        <v>0</v>
      </c>
      <c r="L1040" s="4">
        <v>310200000</v>
      </c>
      <c r="M1040" s="16" t="str">
        <f t="shared" si="406"/>
        <v>0310200000</v>
      </c>
      <c r="N1040" s="16" t="str">
        <f t="shared" si="407"/>
        <v>60910060310200000000</v>
      </c>
    </row>
    <row r="1041" spans="2:14" s="4" customFormat="1" ht="63.75">
      <c r="B1041" s="1" t="s">
        <v>2282</v>
      </c>
      <c r="C1041" s="242" t="s">
        <v>625</v>
      </c>
      <c r="D1041" s="198" t="s">
        <v>595</v>
      </c>
      <c r="E1041" s="199" t="s">
        <v>317</v>
      </c>
      <c r="F1041" s="199" t="s">
        <v>334</v>
      </c>
      <c r="G1041" s="199" t="s">
        <v>626</v>
      </c>
      <c r="H1041" s="199" t="s">
        <v>9</v>
      </c>
      <c r="I1041" s="37">
        <f>I1042</f>
        <v>455.63</v>
      </c>
      <c r="J1041" s="37">
        <f t="shared" si="412"/>
        <v>0</v>
      </c>
      <c r="K1041" s="37">
        <f t="shared" si="412"/>
        <v>0</v>
      </c>
      <c r="L1041" s="4">
        <v>310253800</v>
      </c>
      <c r="M1041" s="16" t="str">
        <f t="shared" si="406"/>
        <v>0310253800</v>
      </c>
      <c r="N1041" s="16" t="str">
        <f t="shared" si="407"/>
        <v>60910060310253800000</v>
      </c>
    </row>
    <row r="1042" spans="2:14" s="4" customFormat="1" ht="25.5">
      <c r="B1042" s="1"/>
      <c r="C1042" s="197" t="s">
        <v>20</v>
      </c>
      <c r="D1042" s="198" t="s">
        <v>595</v>
      </c>
      <c r="E1042" s="199" t="s">
        <v>317</v>
      </c>
      <c r="F1042" s="199" t="s">
        <v>334</v>
      </c>
      <c r="G1042" s="199" t="s">
        <v>626</v>
      </c>
      <c r="H1042" s="199" t="s">
        <v>21</v>
      </c>
      <c r="I1042" s="37">
        <f>455.63</f>
        <v>455.63</v>
      </c>
      <c r="J1042" s="37">
        <v>0</v>
      </c>
      <c r="K1042" s="37">
        <v>0</v>
      </c>
      <c r="L1042" s="4">
        <v>310253800</v>
      </c>
      <c r="M1042" s="16" t="str">
        <f t="shared" si="406"/>
        <v>0310253800</v>
      </c>
      <c r="N1042" s="16" t="str">
        <f t="shared" si="407"/>
        <v>60910060310253800120</v>
      </c>
    </row>
    <row r="1043" spans="2:14" s="4" customFormat="1" ht="38.25">
      <c r="B1043" s="1"/>
      <c r="C1043" s="214" t="s">
        <v>387</v>
      </c>
      <c r="D1043" s="198" t="s">
        <v>595</v>
      </c>
      <c r="E1043" s="199" t="s">
        <v>317</v>
      </c>
      <c r="F1043" s="199" t="s">
        <v>334</v>
      </c>
      <c r="G1043" s="199" t="s">
        <v>388</v>
      </c>
      <c r="H1043" s="199" t="s">
        <v>9</v>
      </c>
      <c r="I1043" s="39">
        <f t="shared" ref="I1043:K1045" si="413">I1044</f>
        <v>1232.51</v>
      </c>
      <c r="J1043" s="39">
        <f t="shared" si="413"/>
        <v>1160.51</v>
      </c>
      <c r="K1043" s="39">
        <f t="shared" si="413"/>
        <v>1160.51</v>
      </c>
      <c r="L1043" s="4">
        <v>320000000</v>
      </c>
      <c r="M1043" s="16" t="str">
        <f t="shared" si="406"/>
        <v>0320000000</v>
      </c>
      <c r="N1043" s="16" t="str">
        <f t="shared" si="407"/>
        <v>60910060320000000000</v>
      </c>
    </row>
    <row r="1044" spans="2:14" s="4" customFormat="1" ht="25.5">
      <c r="B1044" s="1"/>
      <c r="C1044" s="214" t="s">
        <v>683</v>
      </c>
      <c r="D1044" s="198" t="s">
        <v>595</v>
      </c>
      <c r="E1044" s="199" t="s">
        <v>317</v>
      </c>
      <c r="F1044" s="199" t="s">
        <v>334</v>
      </c>
      <c r="G1044" s="199" t="s">
        <v>684</v>
      </c>
      <c r="H1044" s="199" t="s">
        <v>9</v>
      </c>
      <c r="I1044" s="39">
        <f t="shared" si="413"/>
        <v>1232.51</v>
      </c>
      <c r="J1044" s="39">
        <f t="shared" si="413"/>
        <v>1160.51</v>
      </c>
      <c r="K1044" s="39">
        <f t="shared" si="413"/>
        <v>1160.51</v>
      </c>
      <c r="L1044" s="4">
        <v>320700000</v>
      </c>
      <c r="M1044" s="16" t="str">
        <f t="shared" si="406"/>
        <v>0320700000</v>
      </c>
      <c r="N1044" s="16" t="str">
        <f t="shared" si="407"/>
        <v>60910060320700000000</v>
      </c>
    </row>
    <row r="1045" spans="2:14" s="4" customFormat="1" ht="25.5">
      <c r="B1045" s="1"/>
      <c r="C1045" s="214" t="s">
        <v>685</v>
      </c>
      <c r="D1045" s="198" t="s">
        <v>595</v>
      </c>
      <c r="E1045" s="199" t="s">
        <v>317</v>
      </c>
      <c r="F1045" s="199" t="s">
        <v>334</v>
      </c>
      <c r="G1045" s="199" t="s">
        <v>686</v>
      </c>
      <c r="H1045" s="199" t="s">
        <v>9</v>
      </c>
      <c r="I1045" s="39">
        <f t="shared" si="413"/>
        <v>1232.51</v>
      </c>
      <c r="J1045" s="39">
        <f t="shared" si="413"/>
        <v>1160.51</v>
      </c>
      <c r="K1045" s="39">
        <f t="shared" si="413"/>
        <v>1160.51</v>
      </c>
      <c r="L1045" s="4">
        <v>320760040</v>
      </c>
      <c r="M1045" s="16" t="str">
        <f t="shared" si="406"/>
        <v>0320760040</v>
      </c>
      <c r="N1045" s="16" t="str">
        <f t="shared" si="407"/>
        <v>60910060320760040000</v>
      </c>
    </row>
    <row r="1046" spans="2:14" s="4" customFormat="1" ht="25.5">
      <c r="B1046" s="1"/>
      <c r="C1046" s="214" t="s">
        <v>182</v>
      </c>
      <c r="D1046" s="198" t="s">
        <v>595</v>
      </c>
      <c r="E1046" s="199" t="s">
        <v>317</v>
      </c>
      <c r="F1046" s="199" t="s">
        <v>334</v>
      </c>
      <c r="G1046" s="199" t="s">
        <v>686</v>
      </c>
      <c r="H1046" s="199" t="s">
        <v>183</v>
      </c>
      <c r="I1046" s="385">
        <f>1160.51+72</f>
        <v>1232.51</v>
      </c>
      <c r="J1046" s="37">
        <f t="shared" ref="J1046:K1046" si="414">1160.51</f>
        <v>1160.51</v>
      </c>
      <c r="K1046" s="37">
        <f t="shared" si="414"/>
        <v>1160.51</v>
      </c>
      <c r="L1046" s="4">
        <v>320760040</v>
      </c>
      <c r="M1046" s="16" t="str">
        <f t="shared" si="406"/>
        <v>0320760040</v>
      </c>
      <c r="N1046" s="16" t="str">
        <f t="shared" si="407"/>
        <v>60910060320760040630</v>
      </c>
    </row>
    <row r="1047" spans="2:14" s="4" customFormat="1">
      <c r="B1047" s="1"/>
      <c r="C1047" s="214" t="s">
        <v>671</v>
      </c>
      <c r="D1047" s="198" t="s">
        <v>595</v>
      </c>
      <c r="E1047" s="199" t="s">
        <v>317</v>
      </c>
      <c r="F1047" s="199" t="s">
        <v>334</v>
      </c>
      <c r="G1047" s="199" t="s">
        <v>672</v>
      </c>
      <c r="H1047" s="199" t="s">
        <v>9</v>
      </c>
      <c r="I1047" s="37">
        <f>I1048</f>
        <v>480.33</v>
      </c>
      <c r="J1047" s="37">
        <f t="shared" ref="J1047:K1047" si="415">J1048</f>
        <v>1855.4099999999999</v>
      </c>
      <c r="K1047" s="37">
        <f t="shared" si="415"/>
        <v>1855.4099999999999</v>
      </c>
      <c r="L1047" s="4">
        <v>330000000</v>
      </c>
      <c r="M1047" s="16" t="str">
        <f t="shared" si="406"/>
        <v>0330000000</v>
      </c>
      <c r="N1047" s="16" t="str">
        <f t="shared" si="407"/>
        <v>60910060330000000000</v>
      </c>
    </row>
    <row r="1048" spans="2:14" s="4" customFormat="1" ht="38.25">
      <c r="B1048" s="1"/>
      <c r="C1048" s="214" t="s">
        <v>673</v>
      </c>
      <c r="D1048" s="198" t="s">
        <v>595</v>
      </c>
      <c r="E1048" s="199" t="s">
        <v>317</v>
      </c>
      <c r="F1048" s="199" t="s">
        <v>334</v>
      </c>
      <c r="G1048" s="199" t="s">
        <v>674</v>
      </c>
      <c r="H1048" s="199" t="s">
        <v>9</v>
      </c>
      <c r="I1048" s="37">
        <f>I1049+I1052</f>
        <v>480.33</v>
      </c>
      <c r="J1048" s="37">
        <f t="shared" ref="J1048:K1048" si="416">J1049+J1052</f>
        <v>1855.4099999999999</v>
      </c>
      <c r="K1048" s="37">
        <f t="shared" si="416"/>
        <v>1855.4099999999999</v>
      </c>
      <c r="L1048" s="4">
        <v>330100000</v>
      </c>
      <c r="M1048" s="16" t="str">
        <f t="shared" si="406"/>
        <v>0330100000</v>
      </c>
      <c r="N1048" s="16" t="str">
        <f t="shared" si="407"/>
        <v>60910060330100000000</v>
      </c>
    </row>
    <row r="1049" spans="2:14" s="4" customFormat="1" ht="38.25">
      <c r="B1049" s="1"/>
      <c r="C1049" s="214" t="s">
        <v>675</v>
      </c>
      <c r="D1049" s="198" t="s">
        <v>595</v>
      </c>
      <c r="E1049" s="199" t="s">
        <v>317</v>
      </c>
      <c r="F1049" s="199" t="s">
        <v>334</v>
      </c>
      <c r="G1049" s="199" t="s">
        <v>676</v>
      </c>
      <c r="H1049" s="199" t="s">
        <v>9</v>
      </c>
      <c r="I1049" s="37">
        <f>SUM(I1050:I1051)</f>
        <v>103.55</v>
      </c>
      <c r="J1049" s="37">
        <f t="shared" ref="J1049:K1049" si="417">SUM(J1050:J1051)</f>
        <v>103.55</v>
      </c>
      <c r="K1049" s="37">
        <f t="shared" si="417"/>
        <v>103.55</v>
      </c>
      <c r="L1049" s="4">
        <v>330120530</v>
      </c>
      <c r="M1049" s="16" t="str">
        <f t="shared" si="406"/>
        <v>0330120530</v>
      </c>
      <c r="N1049" s="16" t="str">
        <f t="shared" si="407"/>
        <v>60910060330120530000</v>
      </c>
    </row>
    <row r="1050" spans="2:14" s="4" customFormat="1" ht="25.5">
      <c r="B1050" s="1"/>
      <c r="C1050" s="197" t="s">
        <v>28</v>
      </c>
      <c r="D1050" s="198" t="s">
        <v>595</v>
      </c>
      <c r="E1050" s="199" t="s">
        <v>317</v>
      </c>
      <c r="F1050" s="199" t="s">
        <v>334</v>
      </c>
      <c r="G1050" s="199" t="s">
        <v>676</v>
      </c>
      <c r="H1050" s="199" t="s">
        <v>29</v>
      </c>
      <c r="I1050" s="37">
        <f>64.1+4.59</f>
        <v>68.69</v>
      </c>
      <c r="J1050" s="37">
        <f t="shared" ref="J1050:K1050" si="418">64.1+4.59</f>
        <v>68.69</v>
      </c>
      <c r="K1050" s="37">
        <f t="shared" si="418"/>
        <v>68.69</v>
      </c>
      <c r="L1050" s="4">
        <v>330120530</v>
      </c>
      <c r="M1050" s="16" t="str">
        <f t="shared" si="406"/>
        <v>0330120530</v>
      </c>
      <c r="N1050" s="16" t="str">
        <f t="shared" si="407"/>
        <v>60910060330120530240</v>
      </c>
    </row>
    <row r="1051" spans="2:14" s="4" customFormat="1">
      <c r="B1051" s="1"/>
      <c r="C1051" s="197" t="s">
        <v>32</v>
      </c>
      <c r="D1051" s="198" t="s">
        <v>595</v>
      </c>
      <c r="E1051" s="199" t="s">
        <v>317</v>
      </c>
      <c r="F1051" s="199" t="s">
        <v>334</v>
      </c>
      <c r="G1051" s="199" t="s">
        <v>676</v>
      </c>
      <c r="H1051" s="199" t="s">
        <v>33</v>
      </c>
      <c r="I1051" s="37">
        <f>32.11+2.75</f>
        <v>34.86</v>
      </c>
      <c r="J1051" s="37">
        <f t="shared" ref="J1051:K1051" si="419">32.11+2.75</f>
        <v>34.86</v>
      </c>
      <c r="K1051" s="37">
        <f t="shared" si="419"/>
        <v>34.86</v>
      </c>
      <c r="L1051" s="4">
        <v>330120530</v>
      </c>
      <c r="M1051" s="16" t="str">
        <f t="shared" si="406"/>
        <v>0330120530</v>
      </c>
      <c r="N1051" s="16" t="str">
        <f t="shared" si="407"/>
        <v>60910060330120530850</v>
      </c>
    </row>
    <row r="1052" spans="2:14" s="4" customFormat="1" ht="38.25">
      <c r="B1052" s="1"/>
      <c r="C1052" s="214" t="s">
        <v>687</v>
      </c>
      <c r="D1052" s="198" t="s">
        <v>595</v>
      </c>
      <c r="E1052" s="199" t="s">
        <v>317</v>
      </c>
      <c r="F1052" s="199" t="s">
        <v>334</v>
      </c>
      <c r="G1052" s="199" t="s">
        <v>688</v>
      </c>
      <c r="H1052" s="199" t="s">
        <v>9</v>
      </c>
      <c r="I1052" s="37">
        <f>I1053</f>
        <v>376.78</v>
      </c>
      <c r="J1052" s="37">
        <f t="shared" ref="J1052:K1052" si="420">J1053</f>
        <v>1751.86</v>
      </c>
      <c r="K1052" s="37">
        <f t="shared" si="420"/>
        <v>1751.86</v>
      </c>
      <c r="L1052" s="4" t="s">
        <v>1229</v>
      </c>
      <c r="M1052" s="16" t="str">
        <f t="shared" si="406"/>
        <v>03301S0270</v>
      </c>
      <c r="N1052" s="16" t="str">
        <f t="shared" si="407"/>
        <v>609100603301S0270000</v>
      </c>
    </row>
    <row r="1053" spans="2:14" s="4" customFormat="1" ht="25.5">
      <c r="B1053" s="1"/>
      <c r="C1053" s="214" t="s">
        <v>28</v>
      </c>
      <c r="D1053" s="198" t="s">
        <v>595</v>
      </c>
      <c r="E1053" s="199" t="s">
        <v>317</v>
      </c>
      <c r="F1053" s="199" t="s">
        <v>334</v>
      </c>
      <c r="G1053" s="199" t="s">
        <v>688</v>
      </c>
      <c r="H1053" s="199" t="s">
        <v>29</v>
      </c>
      <c r="I1053" s="37">
        <f>1751.86-1375.08</f>
        <v>376.78</v>
      </c>
      <c r="J1053" s="37">
        <f t="shared" ref="J1053:K1053" si="421">1751.86</f>
        <v>1751.86</v>
      </c>
      <c r="K1053" s="37">
        <f t="shared" si="421"/>
        <v>1751.86</v>
      </c>
      <c r="L1053" s="4" t="s">
        <v>1229</v>
      </c>
      <c r="M1053" s="16" t="str">
        <f t="shared" si="406"/>
        <v>03301S0270</v>
      </c>
      <c r="N1053" s="16" t="str">
        <f t="shared" si="407"/>
        <v>609100603301S0270240</v>
      </c>
    </row>
    <row r="1054" spans="2:14" s="4" customFormat="1" ht="25.5">
      <c r="B1054" s="1"/>
      <c r="C1054" s="250" t="s">
        <v>689</v>
      </c>
      <c r="D1054" s="198" t="s">
        <v>595</v>
      </c>
      <c r="E1054" s="199" t="s">
        <v>317</v>
      </c>
      <c r="F1054" s="199" t="s">
        <v>334</v>
      </c>
      <c r="G1054" s="198" t="s">
        <v>690</v>
      </c>
      <c r="H1054" s="199" t="s">
        <v>9</v>
      </c>
      <c r="I1054" s="39">
        <f>I1055</f>
        <v>64711.930000000008</v>
      </c>
      <c r="J1054" s="39">
        <f t="shared" ref="J1054:K1054" si="422">J1055</f>
        <v>62680.76</v>
      </c>
      <c r="K1054" s="39">
        <f t="shared" si="422"/>
        <v>62718.820000000007</v>
      </c>
      <c r="L1054" s="4">
        <v>7700000000</v>
      </c>
      <c r="M1054" s="16" t="str">
        <f t="shared" si="406"/>
        <v>7700000000</v>
      </c>
      <c r="N1054" s="16" t="str">
        <f t="shared" si="407"/>
        <v>60910067700000000000</v>
      </c>
    </row>
    <row r="1055" spans="2:14" s="4" customFormat="1" ht="38.25">
      <c r="B1055" s="1"/>
      <c r="C1055" s="250" t="s">
        <v>691</v>
      </c>
      <c r="D1055" s="198" t="s">
        <v>595</v>
      </c>
      <c r="E1055" s="199" t="s">
        <v>317</v>
      </c>
      <c r="F1055" s="199" t="s">
        <v>334</v>
      </c>
      <c r="G1055" s="198" t="s">
        <v>692</v>
      </c>
      <c r="H1055" s="199" t="s">
        <v>9</v>
      </c>
      <c r="I1055" s="39">
        <f>I1056+I1060+I1062+I1065+I1069</f>
        <v>64711.930000000008</v>
      </c>
      <c r="J1055" s="39">
        <f>J1056+J1060+J1062+J1065+J1069</f>
        <v>62680.76</v>
      </c>
      <c r="K1055" s="39">
        <f>K1056+K1060+K1062+K1065+K1069</f>
        <v>62718.820000000007</v>
      </c>
      <c r="L1055" s="4">
        <v>7710000000</v>
      </c>
      <c r="M1055" s="16" t="str">
        <f t="shared" si="406"/>
        <v>7710000000</v>
      </c>
      <c r="N1055" s="16" t="str">
        <f t="shared" si="407"/>
        <v>60910067710000000000</v>
      </c>
    </row>
    <row r="1056" spans="2:14" s="4" customFormat="1" ht="25.5">
      <c r="B1056" s="1"/>
      <c r="C1056" s="253" t="s">
        <v>18</v>
      </c>
      <c r="D1056" s="198" t="s">
        <v>595</v>
      </c>
      <c r="E1056" s="199" t="s">
        <v>317</v>
      </c>
      <c r="F1056" s="199" t="s">
        <v>334</v>
      </c>
      <c r="G1056" s="254" t="s">
        <v>693</v>
      </c>
      <c r="H1056" s="199" t="s">
        <v>9</v>
      </c>
      <c r="I1056" s="39">
        <f>SUM(I1057:I1059)</f>
        <v>1372.2700000000002</v>
      </c>
      <c r="J1056" s="39">
        <f>SUM(J1057:J1059)</f>
        <v>1138.6100000000001</v>
      </c>
      <c r="K1056" s="39">
        <f>SUM(K1057:K1059)</f>
        <v>1138.6100000000001</v>
      </c>
      <c r="L1056" s="4">
        <v>7710010010</v>
      </c>
      <c r="M1056" s="16" t="str">
        <f t="shared" si="406"/>
        <v>7710010010</v>
      </c>
      <c r="N1056" s="16" t="str">
        <f t="shared" si="407"/>
        <v>60910067710010010000</v>
      </c>
    </row>
    <row r="1057" spans="2:14" s="4" customFormat="1" ht="25.5">
      <c r="B1057" s="1"/>
      <c r="C1057" s="200" t="s">
        <v>20</v>
      </c>
      <c r="D1057" s="198" t="s">
        <v>595</v>
      </c>
      <c r="E1057" s="199" t="s">
        <v>317</v>
      </c>
      <c r="F1057" s="199" t="s">
        <v>334</v>
      </c>
      <c r="G1057" s="254" t="s">
        <v>693</v>
      </c>
      <c r="H1057" s="199" t="s">
        <v>21</v>
      </c>
      <c r="I1057" s="37">
        <f>110.63+33.41</f>
        <v>144.04</v>
      </c>
      <c r="J1057" s="37">
        <f t="shared" ref="J1057:K1057" si="423">110.63+33.41</f>
        <v>144.04</v>
      </c>
      <c r="K1057" s="37">
        <f t="shared" si="423"/>
        <v>144.04</v>
      </c>
      <c r="L1057" s="4">
        <v>7710010010</v>
      </c>
      <c r="M1057" s="16" t="str">
        <f t="shared" si="406"/>
        <v>7710010010</v>
      </c>
      <c r="N1057" s="16" t="str">
        <f t="shared" si="407"/>
        <v>60910067710010010120</v>
      </c>
    </row>
    <row r="1058" spans="2:14" s="4" customFormat="1" ht="25.5">
      <c r="B1058" s="1"/>
      <c r="C1058" s="197" t="s">
        <v>28</v>
      </c>
      <c r="D1058" s="198" t="s">
        <v>595</v>
      </c>
      <c r="E1058" s="199" t="s">
        <v>317</v>
      </c>
      <c r="F1058" s="199" t="s">
        <v>334</v>
      </c>
      <c r="G1058" s="254" t="s">
        <v>693</v>
      </c>
      <c r="H1058" s="199" t="s">
        <v>29</v>
      </c>
      <c r="I1058" s="37">
        <f>721.13+239+271.5-5.34</f>
        <v>1226.2900000000002</v>
      </c>
      <c r="J1058" s="37">
        <f>721.13+271.5</f>
        <v>992.63</v>
      </c>
      <c r="K1058" s="37">
        <f>721.13+271.5</f>
        <v>992.63</v>
      </c>
      <c r="L1058" s="4">
        <v>7710010010</v>
      </c>
      <c r="M1058" s="16" t="str">
        <f t="shared" si="406"/>
        <v>7710010010</v>
      </c>
      <c r="N1058" s="16" t="str">
        <f t="shared" si="407"/>
        <v>60910067710010010240</v>
      </c>
    </row>
    <row r="1059" spans="2:14" s="4" customFormat="1">
      <c r="B1059" s="1"/>
      <c r="C1059" s="197" t="s">
        <v>32</v>
      </c>
      <c r="D1059" s="198" t="s">
        <v>595</v>
      </c>
      <c r="E1059" s="199" t="s">
        <v>317</v>
      </c>
      <c r="F1059" s="199" t="s">
        <v>334</v>
      </c>
      <c r="G1059" s="254" t="s">
        <v>693</v>
      </c>
      <c r="H1059" s="199" t="s">
        <v>33</v>
      </c>
      <c r="I1059" s="37">
        <f>1.94</f>
        <v>1.94</v>
      </c>
      <c r="J1059" s="37">
        <f t="shared" ref="J1059:K1059" si="424">1.94</f>
        <v>1.94</v>
      </c>
      <c r="K1059" s="37">
        <f t="shared" si="424"/>
        <v>1.94</v>
      </c>
      <c r="L1059" s="4">
        <v>7710010010</v>
      </c>
      <c r="M1059" s="16" t="str">
        <f t="shared" si="406"/>
        <v>7710010010</v>
      </c>
      <c r="N1059" s="16" t="str">
        <f t="shared" si="407"/>
        <v>60910067710010010850</v>
      </c>
    </row>
    <row r="1060" spans="2:14" s="4" customFormat="1" ht="25.5">
      <c r="B1060" s="1"/>
      <c r="C1060" s="253" t="s">
        <v>38</v>
      </c>
      <c r="D1060" s="198" t="s">
        <v>595</v>
      </c>
      <c r="E1060" s="199" t="s">
        <v>317</v>
      </c>
      <c r="F1060" s="199" t="s">
        <v>334</v>
      </c>
      <c r="G1060" s="254" t="s">
        <v>694</v>
      </c>
      <c r="H1060" s="199" t="s">
        <v>9</v>
      </c>
      <c r="I1060" s="39">
        <f>I1061</f>
        <v>6163.630000000001</v>
      </c>
      <c r="J1060" s="39">
        <f>J1061</f>
        <v>6372.0300000000007</v>
      </c>
      <c r="K1060" s="39">
        <f>K1061</f>
        <v>6372.0300000000007</v>
      </c>
      <c r="L1060" s="4">
        <v>7710010020</v>
      </c>
      <c r="M1060" s="16" t="str">
        <f t="shared" si="406"/>
        <v>7710010020</v>
      </c>
      <c r="N1060" s="16" t="str">
        <f t="shared" si="407"/>
        <v>60910067710010020000</v>
      </c>
    </row>
    <row r="1061" spans="2:14" s="4" customFormat="1" ht="25.5">
      <c r="B1061" s="1"/>
      <c r="C1061" s="200" t="s">
        <v>20</v>
      </c>
      <c r="D1061" s="198" t="s">
        <v>595</v>
      </c>
      <c r="E1061" s="199" t="s">
        <v>317</v>
      </c>
      <c r="F1061" s="199" t="s">
        <v>334</v>
      </c>
      <c r="G1061" s="254" t="s">
        <v>694</v>
      </c>
      <c r="H1061" s="199" t="s">
        <v>21</v>
      </c>
      <c r="I1061" s="37">
        <f>4705.8+1421.15+10.75+30.06-4.13</f>
        <v>6163.630000000001</v>
      </c>
      <c r="J1061" s="37">
        <f>4705.8+1421.15+245.08</f>
        <v>6372.0300000000007</v>
      </c>
      <c r="K1061" s="37">
        <f>4705.8+1421.15+245.08</f>
        <v>6372.0300000000007</v>
      </c>
      <c r="L1061" s="4">
        <v>7710010020</v>
      </c>
      <c r="M1061" s="16" t="str">
        <f t="shared" si="406"/>
        <v>7710010020</v>
      </c>
      <c r="N1061" s="16" t="str">
        <f t="shared" si="407"/>
        <v>60910067710010020120</v>
      </c>
    </row>
    <row r="1062" spans="2:14" s="4" customFormat="1" ht="51">
      <c r="B1062" s="1" t="s">
        <v>80</v>
      </c>
      <c r="C1062" s="253" t="s">
        <v>695</v>
      </c>
      <c r="D1062" s="198" t="s">
        <v>595</v>
      </c>
      <c r="E1062" s="199" t="s">
        <v>317</v>
      </c>
      <c r="F1062" s="199" t="s">
        <v>334</v>
      </c>
      <c r="G1062" s="254" t="s">
        <v>696</v>
      </c>
      <c r="H1062" s="199" t="s">
        <v>9</v>
      </c>
      <c r="I1062" s="39">
        <f t="shared" ref="I1062:K1062" si="425">I1063+I1064</f>
        <v>1448.93</v>
      </c>
      <c r="J1062" s="39">
        <f t="shared" si="425"/>
        <v>1396.91</v>
      </c>
      <c r="K1062" s="39">
        <f t="shared" si="425"/>
        <v>1396.91</v>
      </c>
      <c r="L1062" s="4">
        <v>7710076100</v>
      </c>
      <c r="M1062" s="16" t="str">
        <f t="shared" si="406"/>
        <v>7710076100</v>
      </c>
      <c r="N1062" s="16" t="str">
        <f t="shared" si="407"/>
        <v>60910067710076100000</v>
      </c>
    </row>
    <row r="1063" spans="2:14" s="4" customFormat="1" ht="25.5">
      <c r="B1063" s="1"/>
      <c r="C1063" s="200" t="s">
        <v>20</v>
      </c>
      <c r="D1063" s="198" t="s">
        <v>595</v>
      </c>
      <c r="E1063" s="199" t="s">
        <v>317</v>
      </c>
      <c r="F1063" s="199" t="s">
        <v>334</v>
      </c>
      <c r="G1063" s="254" t="s">
        <v>696</v>
      </c>
      <c r="H1063" s="199" t="s">
        <v>21</v>
      </c>
      <c r="I1063" s="37">
        <f>899.6+38.3+256.04+44.46</f>
        <v>1238.4000000000001</v>
      </c>
      <c r="J1063" s="37">
        <f t="shared" ref="J1063:K1063" si="426">899.6+38.3+256.04</f>
        <v>1193.94</v>
      </c>
      <c r="K1063" s="37">
        <f t="shared" si="426"/>
        <v>1193.94</v>
      </c>
      <c r="L1063" s="4">
        <v>7710076100</v>
      </c>
      <c r="M1063" s="16" t="str">
        <f t="shared" si="406"/>
        <v>7710076100</v>
      </c>
      <c r="N1063" s="16" t="str">
        <f t="shared" si="407"/>
        <v>60910067710076100120</v>
      </c>
    </row>
    <row r="1064" spans="2:14" s="4" customFormat="1" ht="25.5">
      <c r="B1064" s="1"/>
      <c r="C1064" s="197" t="s">
        <v>28</v>
      </c>
      <c r="D1064" s="198" t="s">
        <v>595</v>
      </c>
      <c r="E1064" s="199" t="s">
        <v>317</v>
      </c>
      <c r="F1064" s="199" t="s">
        <v>334</v>
      </c>
      <c r="G1064" s="254" t="s">
        <v>696</v>
      </c>
      <c r="H1064" s="199" t="s">
        <v>29</v>
      </c>
      <c r="I1064" s="37">
        <f>202.97+7.56</f>
        <v>210.53</v>
      </c>
      <c r="J1064" s="37">
        <f t="shared" ref="J1064:K1064" si="427">202.97</f>
        <v>202.97</v>
      </c>
      <c r="K1064" s="37">
        <f t="shared" si="427"/>
        <v>202.97</v>
      </c>
      <c r="L1064" s="4">
        <v>7710076100</v>
      </c>
      <c r="M1064" s="16" t="str">
        <f t="shared" si="406"/>
        <v>7710076100</v>
      </c>
      <c r="N1064" s="16" t="str">
        <f t="shared" si="407"/>
        <v>60910067710076100240</v>
      </c>
    </row>
    <row r="1065" spans="2:14" s="4" customFormat="1" ht="38.25">
      <c r="B1065" s="1" t="s">
        <v>80</v>
      </c>
      <c r="C1065" s="253" t="s">
        <v>697</v>
      </c>
      <c r="D1065" s="198" t="s">
        <v>595</v>
      </c>
      <c r="E1065" s="199" t="s">
        <v>317</v>
      </c>
      <c r="F1065" s="199" t="s">
        <v>334</v>
      </c>
      <c r="G1065" s="254" t="s">
        <v>698</v>
      </c>
      <c r="H1065" s="199" t="s">
        <v>9</v>
      </c>
      <c r="I1065" s="39">
        <f>I1066+I1067+I1068</f>
        <v>55518.700000000004</v>
      </c>
      <c r="J1065" s="39">
        <f>J1066+J1067+J1068</f>
        <v>53773.21</v>
      </c>
      <c r="K1065" s="39">
        <f>K1066+K1067+K1068</f>
        <v>53811.270000000004</v>
      </c>
      <c r="L1065" s="4">
        <v>7710076210</v>
      </c>
      <c r="M1065" s="16" t="str">
        <f t="shared" si="406"/>
        <v>7710076210</v>
      </c>
      <c r="N1065" s="16" t="str">
        <f t="shared" si="407"/>
        <v>60910067710076210000</v>
      </c>
    </row>
    <row r="1066" spans="2:14" s="4" customFormat="1" ht="25.5">
      <c r="B1066" s="1"/>
      <c r="C1066" s="200" t="s">
        <v>20</v>
      </c>
      <c r="D1066" s="198" t="s">
        <v>595</v>
      </c>
      <c r="E1066" s="199" t="s">
        <v>317</v>
      </c>
      <c r="F1066" s="199" t="s">
        <v>334</v>
      </c>
      <c r="G1066" s="254" t="s">
        <v>698</v>
      </c>
      <c r="H1066" s="199" t="s">
        <v>21</v>
      </c>
      <c r="I1066" s="37">
        <f>39035.89+1404.15+11600+1976.16</f>
        <v>54016.200000000004</v>
      </c>
      <c r="J1066" s="37">
        <f>39035.89+1404.15+11700</f>
        <v>52140.04</v>
      </c>
      <c r="K1066" s="37">
        <f>39035.89+1404.15+11700</f>
        <v>52140.04</v>
      </c>
      <c r="L1066" s="4">
        <v>7710076210</v>
      </c>
      <c r="M1066" s="16" t="str">
        <f t="shared" si="406"/>
        <v>7710076210</v>
      </c>
      <c r="N1066" s="16" t="str">
        <f t="shared" si="407"/>
        <v>60910067710076210120</v>
      </c>
    </row>
    <row r="1067" spans="2:14" s="4" customFormat="1" ht="25.5">
      <c r="B1067" s="1"/>
      <c r="C1067" s="197" t="s">
        <v>28</v>
      </c>
      <c r="D1067" s="198" t="s">
        <v>595</v>
      </c>
      <c r="E1067" s="199" t="s">
        <v>317</v>
      </c>
      <c r="F1067" s="199" t="s">
        <v>334</v>
      </c>
      <c r="G1067" s="254" t="s">
        <v>698</v>
      </c>
      <c r="H1067" s="199" t="s">
        <v>29</v>
      </c>
      <c r="I1067" s="37">
        <f>1400</f>
        <v>1400</v>
      </c>
      <c r="J1067" s="37">
        <f>1530.67</f>
        <v>1530.67</v>
      </c>
      <c r="K1067" s="37">
        <f>1568.73</f>
        <v>1568.73</v>
      </c>
      <c r="L1067" s="4">
        <v>7710076210</v>
      </c>
      <c r="M1067" s="16" t="str">
        <f t="shared" si="406"/>
        <v>7710076210</v>
      </c>
      <c r="N1067" s="16" t="str">
        <f t="shared" si="407"/>
        <v>60910067710076210240</v>
      </c>
    </row>
    <row r="1068" spans="2:14" s="4" customFormat="1">
      <c r="B1068" s="1"/>
      <c r="C1068" s="197" t="s">
        <v>32</v>
      </c>
      <c r="D1068" s="198" t="s">
        <v>595</v>
      </c>
      <c r="E1068" s="199" t="s">
        <v>317</v>
      </c>
      <c r="F1068" s="199" t="s">
        <v>334</v>
      </c>
      <c r="G1068" s="254" t="s">
        <v>698</v>
      </c>
      <c r="H1068" s="199" t="s">
        <v>33</v>
      </c>
      <c r="I1068" s="37">
        <f>100+2.5</f>
        <v>102.5</v>
      </c>
      <c r="J1068" s="37">
        <f t="shared" ref="J1068:K1068" si="428">100+2.5</f>
        <v>102.5</v>
      </c>
      <c r="K1068" s="37">
        <f t="shared" si="428"/>
        <v>102.5</v>
      </c>
      <c r="L1068" s="4">
        <v>7710076210</v>
      </c>
      <c r="M1068" s="16" t="str">
        <f t="shared" si="406"/>
        <v>7710076210</v>
      </c>
      <c r="N1068" s="16" t="str">
        <f t="shared" si="407"/>
        <v>60910067710076210850</v>
      </c>
    </row>
    <row r="1069" spans="2:14" s="4" customFormat="1" ht="191.25">
      <c r="B1069" s="1" t="s">
        <v>80</v>
      </c>
      <c r="C1069" s="197" t="s">
        <v>2269</v>
      </c>
      <c r="D1069" s="198" t="s">
        <v>595</v>
      </c>
      <c r="E1069" s="199" t="s">
        <v>317</v>
      </c>
      <c r="F1069" s="199" t="s">
        <v>334</v>
      </c>
      <c r="G1069" s="254" t="s">
        <v>1305</v>
      </c>
      <c r="H1069" s="199" t="s">
        <v>9</v>
      </c>
      <c r="I1069" s="37">
        <f>I1070</f>
        <v>208.4</v>
      </c>
      <c r="J1069" s="37">
        <f t="shared" ref="J1069:K1069" si="429">J1070</f>
        <v>0</v>
      </c>
      <c r="K1069" s="37">
        <f t="shared" si="429"/>
        <v>0</v>
      </c>
      <c r="L1069" s="4">
        <v>7710077460</v>
      </c>
      <c r="M1069" s="16" t="str">
        <f t="shared" si="406"/>
        <v>7710077460</v>
      </c>
      <c r="N1069" s="16" t="str">
        <f t="shared" si="407"/>
        <v>60910067710077460000</v>
      </c>
    </row>
    <row r="1070" spans="2:14" s="4" customFormat="1" ht="25.5">
      <c r="B1070" s="1"/>
      <c r="C1070" s="200" t="s">
        <v>20</v>
      </c>
      <c r="D1070" s="198" t="s">
        <v>595</v>
      </c>
      <c r="E1070" s="199" t="s">
        <v>317</v>
      </c>
      <c r="F1070" s="199" t="s">
        <v>334</v>
      </c>
      <c r="G1070" s="254" t="s">
        <v>1305</v>
      </c>
      <c r="H1070" s="199" t="s">
        <v>21</v>
      </c>
      <c r="I1070" s="37">
        <f>204.27+4.13</f>
        <v>208.4</v>
      </c>
      <c r="J1070" s="37">
        <v>0</v>
      </c>
      <c r="K1070" s="37">
        <v>0</v>
      </c>
      <c r="L1070" s="4">
        <v>7710077460</v>
      </c>
      <c r="M1070" s="16" t="str">
        <f t="shared" si="406"/>
        <v>7710077460</v>
      </c>
      <c r="N1070" s="16" t="str">
        <f t="shared" si="407"/>
        <v>60910067710077460120</v>
      </c>
    </row>
    <row r="1071" spans="2:14" s="4" customFormat="1">
      <c r="B1071" s="1"/>
      <c r="C1071" s="197"/>
      <c r="D1071" s="198"/>
      <c r="E1071" s="199"/>
      <c r="F1071" s="199"/>
      <c r="G1071" s="254"/>
      <c r="H1071" s="199"/>
      <c r="I1071" s="37"/>
      <c r="J1071" s="37"/>
      <c r="K1071" s="37"/>
      <c r="M1071" s="16" t="str">
        <f t="shared" si="406"/>
        <v>0000000000</v>
      </c>
      <c r="N1071" s="16" t="str">
        <f t="shared" si="407"/>
        <v>0000000000</v>
      </c>
    </row>
    <row r="1072" spans="2:14" s="16" customFormat="1" ht="25.5">
      <c r="B1072" s="14"/>
      <c r="C1072" s="202" t="s">
        <v>699</v>
      </c>
      <c r="D1072" s="189" t="s">
        <v>406</v>
      </c>
      <c r="E1072" s="190" t="s">
        <v>7</v>
      </c>
      <c r="F1072" s="190" t="s">
        <v>7</v>
      </c>
      <c r="G1072" s="190" t="s">
        <v>8</v>
      </c>
      <c r="H1072" s="190" t="s">
        <v>9</v>
      </c>
      <c r="I1072" s="25">
        <f>I1073+I1089</f>
        <v>214553.61</v>
      </c>
      <c r="J1072" s="25">
        <f>J1073+J1089</f>
        <v>189870.97</v>
      </c>
      <c r="K1072" s="25">
        <f>K1073+K1089</f>
        <v>189870.97</v>
      </c>
      <c r="L1072" s="16">
        <v>0</v>
      </c>
      <c r="M1072" s="16" t="str">
        <f t="shared" si="406"/>
        <v>0000000000</v>
      </c>
      <c r="N1072" s="16" t="str">
        <f t="shared" si="407"/>
        <v>61100000000000000000</v>
      </c>
    </row>
    <row r="1073" spans="2:14" s="16" customFormat="1">
      <c r="B1073" s="14"/>
      <c r="C1073" s="191" t="s">
        <v>228</v>
      </c>
      <c r="D1073" s="192" t="s">
        <v>406</v>
      </c>
      <c r="E1073" s="193" t="s">
        <v>229</v>
      </c>
      <c r="F1073" s="193" t="s">
        <v>7</v>
      </c>
      <c r="G1073" s="193" t="s">
        <v>8</v>
      </c>
      <c r="H1073" s="193" t="s">
        <v>9</v>
      </c>
      <c r="I1073" s="18">
        <f>I1074</f>
        <v>157245.34999999998</v>
      </c>
      <c r="J1073" s="18">
        <f>J1074</f>
        <v>153719.62</v>
      </c>
      <c r="K1073" s="18">
        <f>K1074</f>
        <v>153719.62</v>
      </c>
      <c r="L1073" s="16">
        <v>0</v>
      </c>
      <c r="M1073" s="16" t="str">
        <f t="shared" si="406"/>
        <v>0000000000</v>
      </c>
      <c r="N1073" s="16" t="str">
        <f t="shared" si="407"/>
        <v>61107000000000000000</v>
      </c>
    </row>
    <row r="1074" spans="2:14" s="16" customFormat="1">
      <c r="B1074" s="14"/>
      <c r="C1074" s="194" t="s">
        <v>458</v>
      </c>
      <c r="D1074" s="195" t="s">
        <v>406</v>
      </c>
      <c r="E1074" s="196" t="s">
        <v>229</v>
      </c>
      <c r="F1074" s="196" t="s">
        <v>13</v>
      </c>
      <c r="G1074" s="196" t="s">
        <v>8</v>
      </c>
      <c r="H1074" s="196" t="s">
        <v>9</v>
      </c>
      <c r="I1074" s="19">
        <f>I1075+I1084</f>
        <v>157245.34999999998</v>
      </c>
      <c r="J1074" s="19">
        <f t="shared" ref="J1074:K1074" si="430">J1075+J1084</f>
        <v>153719.62</v>
      </c>
      <c r="K1074" s="19">
        <f t="shared" si="430"/>
        <v>153719.62</v>
      </c>
      <c r="L1074" s="16">
        <v>0</v>
      </c>
      <c r="M1074" s="16" t="str">
        <f t="shared" si="406"/>
        <v>0000000000</v>
      </c>
      <c r="N1074" s="16" t="str">
        <f t="shared" si="407"/>
        <v>61107030000000000000</v>
      </c>
    </row>
    <row r="1075" spans="2:14" s="16" customFormat="1" ht="25.5">
      <c r="B1075" s="14"/>
      <c r="C1075" s="197" t="s">
        <v>700</v>
      </c>
      <c r="D1075" s="198" t="s">
        <v>406</v>
      </c>
      <c r="E1075" s="199" t="s">
        <v>229</v>
      </c>
      <c r="F1075" s="199" t="s">
        <v>13</v>
      </c>
      <c r="G1075" s="199" t="s">
        <v>701</v>
      </c>
      <c r="H1075" s="199" t="s">
        <v>9</v>
      </c>
      <c r="I1075" s="20">
        <f t="shared" ref="I1075:K1078" si="431">I1076</f>
        <v>157011.79999999999</v>
      </c>
      <c r="J1075" s="20">
        <f t="shared" si="431"/>
        <v>153486.07</v>
      </c>
      <c r="K1075" s="20">
        <f t="shared" si="431"/>
        <v>153486.07</v>
      </c>
      <c r="L1075" s="16">
        <v>800000000</v>
      </c>
      <c r="M1075" s="16" t="str">
        <f t="shared" si="406"/>
        <v>0800000000</v>
      </c>
      <c r="N1075" s="16" t="str">
        <f t="shared" si="407"/>
        <v>61107030800000000000</v>
      </c>
    </row>
    <row r="1076" spans="2:14" s="16" customFormat="1" ht="38.25">
      <c r="B1076" s="14"/>
      <c r="C1076" s="197" t="s">
        <v>702</v>
      </c>
      <c r="D1076" s="198" t="s">
        <v>406</v>
      </c>
      <c r="E1076" s="199" t="s">
        <v>229</v>
      </c>
      <c r="F1076" s="199" t="s">
        <v>13</v>
      </c>
      <c r="G1076" s="199" t="s">
        <v>703</v>
      </c>
      <c r="H1076" s="199" t="s">
        <v>9</v>
      </c>
      <c r="I1076" s="20">
        <f t="shared" si="431"/>
        <v>157011.79999999999</v>
      </c>
      <c r="J1076" s="20">
        <f t="shared" si="431"/>
        <v>153486.07</v>
      </c>
      <c r="K1076" s="20">
        <f t="shared" si="431"/>
        <v>153486.07</v>
      </c>
      <c r="L1076" s="16">
        <v>810000000</v>
      </c>
      <c r="M1076" s="16" t="str">
        <f t="shared" si="406"/>
        <v>0810000000</v>
      </c>
      <c r="N1076" s="16" t="str">
        <f t="shared" si="407"/>
        <v>61107030810000000000</v>
      </c>
    </row>
    <row r="1077" spans="2:14" s="16" customFormat="1" ht="38.25">
      <c r="B1077" s="14"/>
      <c r="C1077" s="197" t="s">
        <v>704</v>
      </c>
      <c r="D1077" s="198" t="s">
        <v>406</v>
      </c>
      <c r="E1077" s="199" t="s">
        <v>229</v>
      </c>
      <c r="F1077" s="199" t="s">
        <v>13</v>
      </c>
      <c r="G1077" s="199" t="s">
        <v>705</v>
      </c>
      <c r="H1077" s="199" t="s">
        <v>9</v>
      </c>
      <c r="I1077" s="20">
        <f>I1078+I1080+I1082</f>
        <v>157011.79999999999</v>
      </c>
      <c r="J1077" s="20">
        <f t="shared" ref="J1077:K1077" si="432">J1078+J1080+J1082</f>
        <v>153486.07</v>
      </c>
      <c r="K1077" s="20">
        <f t="shared" si="432"/>
        <v>153486.07</v>
      </c>
      <c r="L1077" s="16">
        <v>810100000</v>
      </c>
      <c r="M1077" s="16" t="str">
        <f t="shared" si="406"/>
        <v>0810100000</v>
      </c>
      <c r="N1077" s="16" t="str">
        <f t="shared" si="407"/>
        <v>61107030810100000000</v>
      </c>
    </row>
    <row r="1078" spans="2:14" s="16" customFormat="1" ht="25.5">
      <c r="B1078" s="14"/>
      <c r="C1078" s="249" t="s">
        <v>136</v>
      </c>
      <c r="D1078" s="198" t="s">
        <v>406</v>
      </c>
      <c r="E1078" s="199" t="s">
        <v>229</v>
      </c>
      <c r="F1078" s="199" t="s">
        <v>13</v>
      </c>
      <c r="G1078" s="199" t="s">
        <v>706</v>
      </c>
      <c r="H1078" s="199" t="s">
        <v>9</v>
      </c>
      <c r="I1078" s="20">
        <f t="shared" si="431"/>
        <v>153962.34</v>
      </c>
      <c r="J1078" s="20">
        <f t="shared" si="431"/>
        <v>153486.07</v>
      </c>
      <c r="K1078" s="20">
        <f t="shared" si="431"/>
        <v>153486.07</v>
      </c>
      <c r="L1078" s="16">
        <v>810111010</v>
      </c>
      <c r="M1078" s="16" t="str">
        <f t="shared" si="406"/>
        <v>0810111010</v>
      </c>
      <c r="N1078" s="16" t="str">
        <f t="shared" si="407"/>
        <v>61107030810111010000</v>
      </c>
    </row>
    <row r="1079" spans="2:14" s="16" customFormat="1">
      <c r="B1079" s="14"/>
      <c r="C1079" s="205" t="s">
        <v>403</v>
      </c>
      <c r="D1079" s="198" t="s">
        <v>406</v>
      </c>
      <c r="E1079" s="199" t="s">
        <v>229</v>
      </c>
      <c r="F1079" s="199" t="s">
        <v>13</v>
      </c>
      <c r="G1079" s="199" t="s">
        <v>706</v>
      </c>
      <c r="H1079" s="199" t="s">
        <v>404</v>
      </c>
      <c r="I1079" s="20">
        <f>152089.56+234.36+365.6+197.18-486.52+23.69+250+1288.47</f>
        <v>153962.34</v>
      </c>
      <c r="J1079" s="20">
        <f>150347.56+234.36+365.6+125-486.52+1611.6+1288.47</f>
        <v>153486.07</v>
      </c>
      <c r="K1079" s="20">
        <f>150347.56+234.36+365.6+125-486.52+1611.6+1288.47</f>
        <v>153486.07</v>
      </c>
      <c r="L1079" s="16">
        <v>810111010</v>
      </c>
      <c r="M1079" s="16" t="str">
        <f t="shared" si="406"/>
        <v>0810111010</v>
      </c>
      <c r="N1079" s="16" t="str">
        <f t="shared" si="407"/>
        <v>61107030810111010610</v>
      </c>
    </row>
    <row r="1080" spans="2:14" s="16" customFormat="1" ht="191.25">
      <c r="B1080" s="1" t="s">
        <v>80</v>
      </c>
      <c r="C1080" s="197" t="s">
        <v>2269</v>
      </c>
      <c r="D1080" s="198" t="s">
        <v>406</v>
      </c>
      <c r="E1080" s="199" t="s">
        <v>229</v>
      </c>
      <c r="F1080" s="199" t="s">
        <v>13</v>
      </c>
      <c r="G1080" s="199" t="s">
        <v>1306</v>
      </c>
      <c r="H1080" s="199" t="s">
        <v>9</v>
      </c>
      <c r="I1080" s="20">
        <f>I1081</f>
        <v>1587.91</v>
      </c>
      <c r="J1080" s="20">
        <f t="shared" ref="J1080:K1082" si="433">J1081</f>
        <v>0</v>
      </c>
      <c r="K1080" s="20">
        <f t="shared" si="433"/>
        <v>0</v>
      </c>
      <c r="L1080" s="16">
        <v>810177460</v>
      </c>
      <c r="M1080" s="16" t="str">
        <f t="shared" si="406"/>
        <v>0810177460</v>
      </c>
      <c r="N1080" s="16" t="str">
        <f t="shared" si="407"/>
        <v>61107030810177460000</v>
      </c>
    </row>
    <row r="1081" spans="2:14" s="16" customFormat="1">
      <c r="B1081" s="14"/>
      <c r="C1081" s="205" t="s">
        <v>403</v>
      </c>
      <c r="D1081" s="198" t="s">
        <v>406</v>
      </c>
      <c r="E1081" s="199" t="s">
        <v>229</v>
      </c>
      <c r="F1081" s="199" t="s">
        <v>13</v>
      </c>
      <c r="G1081" s="199" t="s">
        <v>1306</v>
      </c>
      <c r="H1081" s="199" t="s">
        <v>404</v>
      </c>
      <c r="I1081" s="20">
        <f>1587.91</f>
        <v>1587.91</v>
      </c>
      <c r="J1081" s="20">
        <v>0</v>
      </c>
      <c r="K1081" s="20">
        <v>0</v>
      </c>
      <c r="L1081" s="16">
        <v>810177460</v>
      </c>
      <c r="M1081" s="16" t="str">
        <f t="shared" si="406"/>
        <v>0810177460</v>
      </c>
      <c r="N1081" s="16" t="str">
        <f t="shared" si="407"/>
        <v>61107030810177460610</v>
      </c>
    </row>
    <row r="1082" spans="2:14" s="16" customFormat="1" ht="165.75">
      <c r="B1082" s="14"/>
      <c r="C1082" s="200" t="s">
        <v>2247</v>
      </c>
      <c r="D1082" s="198" t="s">
        <v>406</v>
      </c>
      <c r="E1082" s="199" t="s">
        <v>229</v>
      </c>
      <c r="F1082" s="199" t="s">
        <v>13</v>
      </c>
      <c r="G1082" s="199" t="s">
        <v>2267</v>
      </c>
      <c r="H1082" s="199" t="s">
        <v>9</v>
      </c>
      <c r="I1082" s="20">
        <f>I1083</f>
        <v>1461.55</v>
      </c>
      <c r="J1082" s="20">
        <f t="shared" si="433"/>
        <v>0</v>
      </c>
      <c r="K1082" s="20">
        <f t="shared" si="433"/>
        <v>0</v>
      </c>
      <c r="L1082" s="16">
        <v>810177580</v>
      </c>
      <c r="M1082" s="16" t="str">
        <f t="shared" si="406"/>
        <v>0810177580</v>
      </c>
      <c r="N1082" s="16" t="str">
        <f t="shared" si="407"/>
        <v>61107030810177580000</v>
      </c>
    </row>
    <row r="1083" spans="2:14" s="16" customFormat="1">
      <c r="B1083" s="14"/>
      <c r="C1083" s="205" t="s">
        <v>403</v>
      </c>
      <c r="D1083" s="198" t="s">
        <v>406</v>
      </c>
      <c r="E1083" s="199" t="s">
        <v>229</v>
      </c>
      <c r="F1083" s="199" t="s">
        <v>13</v>
      </c>
      <c r="G1083" s="199" t="s">
        <v>2267</v>
      </c>
      <c r="H1083" s="199" t="s">
        <v>404</v>
      </c>
      <c r="I1083" s="20">
        <f>1461.55</f>
        <v>1461.55</v>
      </c>
      <c r="J1083" s="20">
        <v>0</v>
      </c>
      <c r="K1083" s="20">
        <v>0</v>
      </c>
      <c r="L1083" s="16">
        <v>810177580</v>
      </c>
      <c r="M1083" s="16" t="str">
        <f t="shared" si="406"/>
        <v>0810177580</v>
      </c>
      <c r="N1083" s="16" t="str">
        <f t="shared" si="407"/>
        <v>61107030810177580610</v>
      </c>
    </row>
    <row r="1084" spans="2:14" s="16" customFormat="1" ht="63.75">
      <c r="B1084" s="14"/>
      <c r="C1084" s="197" t="s">
        <v>420</v>
      </c>
      <c r="D1084" s="198" t="s">
        <v>406</v>
      </c>
      <c r="E1084" s="199" t="s">
        <v>229</v>
      </c>
      <c r="F1084" s="199" t="s">
        <v>13</v>
      </c>
      <c r="G1084" s="199" t="s">
        <v>421</v>
      </c>
      <c r="H1084" s="199" t="s">
        <v>9</v>
      </c>
      <c r="I1084" s="20">
        <f t="shared" ref="I1084:K1087" si="434">I1085</f>
        <v>233.55</v>
      </c>
      <c r="J1084" s="20">
        <f t="shared" si="434"/>
        <v>233.55</v>
      </c>
      <c r="K1084" s="20">
        <f t="shared" si="434"/>
        <v>233.55</v>
      </c>
      <c r="L1084" s="16">
        <v>1600000000</v>
      </c>
      <c r="M1084" s="16" t="str">
        <f t="shared" si="406"/>
        <v>1600000000</v>
      </c>
      <c r="N1084" s="16" t="str">
        <f t="shared" si="407"/>
        <v>61107031600000000000</v>
      </c>
    </row>
    <row r="1085" spans="2:14" s="16" customFormat="1" ht="25.5">
      <c r="B1085" s="14"/>
      <c r="C1085" s="197" t="s">
        <v>422</v>
      </c>
      <c r="D1085" s="198" t="s">
        <v>406</v>
      </c>
      <c r="E1085" s="199" t="s">
        <v>229</v>
      </c>
      <c r="F1085" s="199" t="s">
        <v>13</v>
      </c>
      <c r="G1085" s="199" t="s">
        <v>423</v>
      </c>
      <c r="H1085" s="199" t="s">
        <v>9</v>
      </c>
      <c r="I1085" s="20">
        <f t="shared" si="434"/>
        <v>233.55</v>
      </c>
      <c r="J1085" s="20">
        <f t="shared" si="434"/>
        <v>233.55</v>
      </c>
      <c r="K1085" s="20">
        <f t="shared" si="434"/>
        <v>233.55</v>
      </c>
      <c r="L1085" s="16">
        <v>1620000000</v>
      </c>
      <c r="M1085" s="16" t="str">
        <f t="shared" si="406"/>
        <v>1620000000</v>
      </c>
      <c r="N1085" s="16" t="str">
        <f t="shared" si="407"/>
        <v>61107031620000000000</v>
      </c>
    </row>
    <row r="1086" spans="2:14" s="16" customFormat="1" ht="25.5">
      <c r="B1086" s="14"/>
      <c r="C1086" s="197" t="s">
        <v>424</v>
      </c>
      <c r="D1086" s="198" t="s">
        <v>406</v>
      </c>
      <c r="E1086" s="199" t="s">
        <v>229</v>
      </c>
      <c r="F1086" s="199" t="s">
        <v>13</v>
      </c>
      <c r="G1086" s="199" t="s">
        <v>425</v>
      </c>
      <c r="H1086" s="199" t="s">
        <v>9</v>
      </c>
      <c r="I1086" s="20">
        <f t="shared" si="434"/>
        <v>233.55</v>
      </c>
      <c r="J1086" s="20">
        <f t="shared" si="434"/>
        <v>233.55</v>
      </c>
      <c r="K1086" s="20">
        <f t="shared" si="434"/>
        <v>233.55</v>
      </c>
      <c r="L1086" s="16">
        <v>1620200000</v>
      </c>
      <c r="M1086" s="16" t="str">
        <f t="shared" si="406"/>
        <v>1620200000</v>
      </c>
      <c r="N1086" s="16" t="str">
        <f t="shared" si="407"/>
        <v>61107031620200000000</v>
      </c>
    </row>
    <row r="1087" spans="2:14" s="16" customFormat="1" ht="38.25">
      <c r="B1087" s="14"/>
      <c r="C1087" s="197" t="s">
        <v>426</v>
      </c>
      <c r="D1087" s="198" t="s">
        <v>406</v>
      </c>
      <c r="E1087" s="199" t="s">
        <v>229</v>
      </c>
      <c r="F1087" s="199" t="s">
        <v>13</v>
      </c>
      <c r="G1087" s="199" t="s">
        <v>427</v>
      </c>
      <c r="H1087" s="199" t="s">
        <v>9</v>
      </c>
      <c r="I1087" s="20">
        <f t="shared" si="434"/>
        <v>233.55</v>
      </c>
      <c r="J1087" s="20">
        <f t="shared" si="434"/>
        <v>233.55</v>
      </c>
      <c r="K1087" s="20">
        <f t="shared" si="434"/>
        <v>233.55</v>
      </c>
      <c r="L1087" s="16">
        <v>1620220550</v>
      </c>
      <c r="M1087" s="16" t="str">
        <f t="shared" si="406"/>
        <v>1620220550</v>
      </c>
      <c r="N1087" s="16" t="str">
        <f t="shared" si="407"/>
        <v>61107031620220550000</v>
      </c>
    </row>
    <row r="1088" spans="2:14" s="16" customFormat="1">
      <c r="B1088" s="14"/>
      <c r="C1088" s="205" t="s">
        <v>403</v>
      </c>
      <c r="D1088" s="198" t="s">
        <v>406</v>
      </c>
      <c r="E1088" s="199" t="s">
        <v>229</v>
      </c>
      <c r="F1088" s="199" t="s">
        <v>13</v>
      </c>
      <c r="G1088" s="199" t="s">
        <v>427</v>
      </c>
      <c r="H1088" s="199" t="s">
        <v>404</v>
      </c>
      <c r="I1088" s="20">
        <f>233.55</f>
        <v>233.55</v>
      </c>
      <c r="J1088" s="20">
        <f t="shared" ref="J1088:K1088" si="435">233.55</f>
        <v>233.55</v>
      </c>
      <c r="K1088" s="20">
        <f t="shared" si="435"/>
        <v>233.55</v>
      </c>
      <c r="L1088" s="16">
        <v>1620220550</v>
      </c>
      <c r="M1088" s="16" t="str">
        <f t="shared" si="406"/>
        <v>1620220550</v>
      </c>
      <c r="N1088" s="16" t="str">
        <f t="shared" si="407"/>
        <v>61107031620220550610</v>
      </c>
    </row>
    <row r="1089" spans="2:14" s="16" customFormat="1">
      <c r="B1089" s="14"/>
      <c r="C1089" s="191" t="s">
        <v>707</v>
      </c>
      <c r="D1089" s="192" t="s">
        <v>406</v>
      </c>
      <c r="E1089" s="193" t="s">
        <v>342</v>
      </c>
      <c r="F1089" s="193" t="s">
        <v>7</v>
      </c>
      <c r="G1089" s="193" t="s">
        <v>8</v>
      </c>
      <c r="H1089" s="193" t="s">
        <v>9</v>
      </c>
      <c r="I1089" s="18">
        <f>I1090+I1100+I1117+I1125</f>
        <v>57308.26</v>
      </c>
      <c r="J1089" s="18">
        <f>J1090+J1100+J1117+J1125</f>
        <v>36151.350000000006</v>
      </c>
      <c r="K1089" s="18">
        <f>K1090+K1100+K1117+K1125</f>
        <v>36151.350000000006</v>
      </c>
      <c r="L1089" s="16">
        <v>0</v>
      </c>
      <c r="M1089" s="16" t="str">
        <f t="shared" si="406"/>
        <v>0000000000</v>
      </c>
      <c r="N1089" s="16" t="str">
        <f t="shared" si="407"/>
        <v>61111000000000000000</v>
      </c>
    </row>
    <row r="1090" spans="2:14" s="16" customFormat="1">
      <c r="B1090" s="14"/>
      <c r="C1090" s="194" t="s">
        <v>708</v>
      </c>
      <c r="D1090" s="195" t="s">
        <v>406</v>
      </c>
      <c r="E1090" s="196" t="s">
        <v>342</v>
      </c>
      <c r="F1090" s="196" t="s">
        <v>11</v>
      </c>
      <c r="G1090" s="196" t="s">
        <v>8</v>
      </c>
      <c r="H1090" s="196" t="s">
        <v>9</v>
      </c>
      <c r="I1090" s="19">
        <f t="shared" ref="I1090:K1094" si="436">I1091</f>
        <v>3101.4399999999996</v>
      </c>
      <c r="J1090" s="19">
        <f t="shared" si="436"/>
        <v>3062.7</v>
      </c>
      <c r="K1090" s="19">
        <f t="shared" si="436"/>
        <v>3062.7</v>
      </c>
      <c r="L1090" s="16">
        <v>0</v>
      </c>
      <c r="M1090" s="16" t="str">
        <f t="shared" si="406"/>
        <v>0000000000</v>
      </c>
      <c r="N1090" s="16" t="str">
        <f t="shared" si="407"/>
        <v>61111010000000000000</v>
      </c>
    </row>
    <row r="1091" spans="2:14" s="16" customFormat="1" ht="25.5">
      <c r="B1091" s="14"/>
      <c r="C1091" s="197" t="s">
        <v>700</v>
      </c>
      <c r="D1091" s="198" t="s">
        <v>406</v>
      </c>
      <c r="E1091" s="199" t="s">
        <v>342</v>
      </c>
      <c r="F1091" s="199" t="s">
        <v>11</v>
      </c>
      <c r="G1091" s="199" t="s">
        <v>701</v>
      </c>
      <c r="H1091" s="199" t="s">
        <v>9</v>
      </c>
      <c r="I1091" s="20">
        <f t="shared" si="436"/>
        <v>3101.4399999999996</v>
      </c>
      <c r="J1091" s="20">
        <f t="shared" si="436"/>
        <v>3062.7</v>
      </c>
      <c r="K1091" s="20">
        <f t="shared" si="436"/>
        <v>3062.7</v>
      </c>
      <c r="L1091" s="16">
        <v>800000000</v>
      </c>
      <c r="M1091" s="16" t="str">
        <f t="shared" si="406"/>
        <v>0800000000</v>
      </c>
      <c r="N1091" s="16" t="str">
        <f t="shared" si="407"/>
        <v>61111010800000000000</v>
      </c>
    </row>
    <row r="1092" spans="2:14" s="16" customFormat="1" ht="38.25">
      <c r="B1092" s="14"/>
      <c r="C1092" s="197" t="s">
        <v>702</v>
      </c>
      <c r="D1092" s="198" t="s">
        <v>406</v>
      </c>
      <c r="E1092" s="199" t="s">
        <v>342</v>
      </c>
      <c r="F1092" s="199" t="s">
        <v>11</v>
      </c>
      <c r="G1092" s="199" t="s">
        <v>703</v>
      </c>
      <c r="H1092" s="199" t="s">
        <v>9</v>
      </c>
      <c r="I1092" s="20">
        <f>I1093</f>
        <v>3101.4399999999996</v>
      </c>
      <c r="J1092" s="20">
        <f>J1093</f>
        <v>3062.7</v>
      </c>
      <c r="K1092" s="20">
        <f>K1093</f>
        <v>3062.7</v>
      </c>
      <c r="L1092" s="16">
        <v>810000000</v>
      </c>
      <c r="M1092" s="16" t="str">
        <f t="shared" si="406"/>
        <v>0810000000</v>
      </c>
      <c r="N1092" s="16" t="str">
        <f t="shared" si="407"/>
        <v>61111010810000000000</v>
      </c>
    </row>
    <row r="1093" spans="2:14" s="16" customFormat="1" ht="25.5">
      <c r="B1093" s="14"/>
      <c r="C1093" s="201" t="s">
        <v>709</v>
      </c>
      <c r="D1093" s="203" t="s">
        <v>406</v>
      </c>
      <c r="E1093" s="204" t="s">
        <v>342</v>
      </c>
      <c r="F1093" s="204" t="s">
        <v>11</v>
      </c>
      <c r="G1093" s="204" t="s">
        <v>710</v>
      </c>
      <c r="H1093" s="204" t="s">
        <v>9</v>
      </c>
      <c r="I1093" s="26">
        <f>I1094+I1096+I1098</f>
        <v>3101.4399999999996</v>
      </c>
      <c r="J1093" s="26">
        <f t="shared" ref="J1093:K1093" si="437">J1094+J1096+J1098</f>
        <v>3062.7</v>
      </c>
      <c r="K1093" s="26">
        <f t="shared" si="437"/>
        <v>3062.7</v>
      </c>
      <c r="L1093" s="16">
        <v>810200000</v>
      </c>
      <c r="M1093" s="16" t="str">
        <f t="shared" si="406"/>
        <v>0810200000</v>
      </c>
      <c r="N1093" s="16" t="str">
        <f t="shared" si="407"/>
        <v>61111010810200000000</v>
      </c>
    </row>
    <row r="1094" spans="2:14" s="16" customFormat="1" ht="25.5">
      <c r="B1094" s="14"/>
      <c r="C1094" s="249" t="s">
        <v>136</v>
      </c>
      <c r="D1094" s="203" t="s">
        <v>406</v>
      </c>
      <c r="E1094" s="204" t="s">
        <v>342</v>
      </c>
      <c r="F1094" s="204" t="s">
        <v>11</v>
      </c>
      <c r="G1094" s="204" t="s">
        <v>711</v>
      </c>
      <c r="H1094" s="204" t="s">
        <v>9</v>
      </c>
      <c r="I1094" s="26">
        <f t="shared" si="436"/>
        <v>2962.1699999999996</v>
      </c>
      <c r="J1094" s="26">
        <f t="shared" si="436"/>
        <v>3062.7</v>
      </c>
      <c r="K1094" s="26">
        <f t="shared" si="436"/>
        <v>3062.7</v>
      </c>
      <c r="L1094" s="16">
        <v>810211010</v>
      </c>
      <c r="M1094" s="16" t="str">
        <f t="shared" ref="M1094:M1157" si="438">TEXT(L1094,"0000000000")</f>
        <v>0810211010</v>
      </c>
      <c r="N1094" s="16" t="str">
        <f t="shared" ref="N1094:N1157" si="439">D1094&amp;E1094&amp;F1094&amp;M1094&amp;H1094</f>
        <v>61111010810211010000</v>
      </c>
    </row>
    <row r="1095" spans="2:14" s="16" customFormat="1">
      <c r="B1095" s="14"/>
      <c r="C1095" s="205" t="s">
        <v>403</v>
      </c>
      <c r="D1095" s="203" t="s">
        <v>406</v>
      </c>
      <c r="E1095" s="204" t="s">
        <v>342</v>
      </c>
      <c r="F1095" s="204" t="s">
        <v>11</v>
      </c>
      <c r="G1095" s="204" t="s">
        <v>711</v>
      </c>
      <c r="H1095" s="204" t="s">
        <v>404</v>
      </c>
      <c r="I1095" s="20">
        <f>2903.54+1.47+57.16</f>
        <v>2962.1699999999996</v>
      </c>
      <c r="J1095" s="20">
        <f>2903.54+102+57.16</f>
        <v>3062.7</v>
      </c>
      <c r="K1095" s="20">
        <f>2903.54+102+57.16</f>
        <v>3062.7</v>
      </c>
      <c r="L1095" s="16">
        <v>810211010</v>
      </c>
      <c r="M1095" s="16" t="str">
        <f t="shared" si="438"/>
        <v>0810211010</v>
      </c>
      <c r="N1095" s="16" t="str">
        <f t="shared" si="439"/>
        <v>61111010810211010610</v>
      </c>
    </row>
    <row r="1096" spans="2:14" s="16" customFormat="1" ht="191.25">
      <c r="B1096" s="1" t="s">
        <v>80</v>
      </c>
      <c r="C1096" s="197" t="s">
        <v>2269</v>
      </c>
      <c r="D1096" s="203" t="s">
        <v>406</v>
      </c>
      <c r="E1096" s="204" t="s">
        <v>342</v>
      </c>
      <c r="F1096" s="204" t="s">
        <v>11</v>
      </c>
      <c r="G1096" s="204" t="s">
        <v>1307</v>
      </c>
      <c r="H1096" s="204" t="s">
        <v>9</v>
      </c>
      <c r="I1096" s="20">
        <f>I1097</f>
        <v>100.53</v>
      </c>
      <c r="J1096" s="20">
        <f t="shared" ref="J1096:K1098" si="440">J1097</f>
        <v>0</v>
      </c>
      <c r="K1096" s="20">
        <f t="shared" si="440"/>
        <v>0</v>
      </c>
      <c r="L1096" s="16">
        <v>810277460</v>
      </c>
      <c r="M1096" s="16" t="str">
        <f t="shared" si="438"/>
        <v>0810277460</v>
      </c>
      <c r="N1096" s="16" t="str">
        <f t="shared" si="439"/>
        <v>61111010810277460000</v>
      </c>
    </row>
    <row r="1097" spans="2:14" s="16" customFormat="1">
      <c r="B1097" s="14"/>
      <c r="C1097" s="205" t="s">
        <v>403</v>
      </c>
      <c r="D1097" s="203" t="s">
        <v>406</v>
      </c>
      <c r="E1097" s="204" t="s">
        <v>342</v>
      </c>
      <c r="F1097" s="204" t="s">
        <v>11</v>
      </c>
      <c r="G1097" s="204" t="s">
        <v>1307</v>
      </c>
      <c r="H1097" s="204" t="s">
        <v>404</v>
      </c>
      <c r="I1097" s="20">
        <f>100.53</f>
        <v>100.53</v>
      </c>
      <c r="J1097" s="20">
        <v>0</v>
      </c>
      <c r="K1097" s="20">
        <v>0</v>
      </c>
      <c r="L1097" s="16">
        <v>810277460</v>
      </c>
      <c r="M1097" s="16" t="str">
        <f t="shared" si="438"/>
        <v>0810277460</v>
      </c>
      <c r="N1097" s="16" t="str">
        <f t="shared" si="439"/>
        <v>61111010810277460610</v>
      </c>
    </row>
    <row r="1098" spans="2:14" s="16" customFormat="1" ht="165.75">
      <c r="B1098" s="14"/>
      <c r="C1098" s="200" t="s">
        <v>2247</v>
      </c>
      <c r="D1098" s="203" t="s">
        <v>406</v>
      </c>
      <c r="E1098" s="204" t="s">
        <v>342</v>
      </c>
      <c r="F1098" s="204" t="s">
        <v>11</v>
      </c>
      <c r="G1098" s="204" t="s">
        <v>2268</v>
      </c>
      <c r="H1098" s="204" t="s">
        <v>9</v>
      </c>
      <c r="I1098" s="20">
        <f>I1099</f>
        <v>38.74</v>
      </c>
      <c r="J1098" s="20">
        <f t="shared" si="440"/>
        <v>0</v>
      </c>
      <c r="K1098" s="20">
        <f t="shared" si="440"/>
        <v>0</v>
      </c>
      <c r="L1098" s="16">
        <v>810277580</v>
      </c>
      <c r="M1098" s="16" t="str">
        <f t="shared" si="438"/>
        <v>0810277580</v>
      </c>
      <c r="N1098" s="16" t="str">
        <f t="shared" si="439"/>
        <v>61111010810277580000</v>
      </c>
    </row>
    <row r="1099" spans="2:14" s="16" customFormat="1">
      <c r="B1099" s="14"/>
      <c r="C1099" s="205" t="s">
        <v>403</v>
      </c>
      <c r="D1099" s="203" t="s">
        <v>406</v>
      </c>
      <c r="E1099" s="204" t="s">
        <v>342</v>
      </c>
      <c r="F1099" s="204" t="s">
        <v>11</v>
      </c>
      <c r="G1099" s="204" t="s">
        <v>2268</v>
      </c>
      <c r="H1099" s="204" t="s">
        <v>404</v>
      </c>
      <c r="I1099" s="20">
        <f>38.74</f>
        <v>38.74</v>
      </c>
      <c r="J1099" s="20">
        <v>0</v>
      </c>
      <c r="K1099" s="20">
        <v>0</v>
      </c>
      <c r="L1099" s="16">
        <v>810277580</v>
      </c>
      <c r="M1099" s="16" t="str">
        <f t="shared" si="438"/>
        <v>0810277580</v>
      </c>
      <c r="N1099" s="16" t="str">
        <f t="shared" si="439"/>
        <v>61111010810277580610</v>
      </c>
    </row>
    <row r="1100" spans="2:14" s="16" customFormat="1">
      <c r="B1100" s="14"/>
      <c r="C1100" s="194" t="s">
        <v>712</v>
      </c>
      <c r="D1100" s="195" t="s">
        <v>406</v>
      </c>
      <c r="E1100" s="196" t="s">
        <v>342</v>
      </c>
      <c r="F1100" s="196" t="s">
        <v>62</v>
      </c>
      <c r="G1100" s="196" t="s">
        <v>8</v>
      </c>
      <c r="H1100" s="196" t="s">
        <v>9</v>
      </c>
      <c r="I1100" s="19">
        <f>I1101</f>
        <v>14512.35</v>
      </c>
      <c r="J1100" s="19">
        <f t="shared" ref="J1100:K1100" si="441">J1101</f>
        <v>14924</v>
      </c>
      <c r="K1100" s="19">
        <f t="shared" si="441"/>
        <v>14924</v>
      </c>
      <c r="L1100" s="16">
        <v>0</v>
      </c>
      <c r="M1100" s="16" t="str">
        <f t="shared" si="438"/>
        <v>0000000000</v>
      </c>
      <c r="N1100" s="16" t="str">
        <f t="shared" si="439"/>
        <v>61111020000000000000</v>
      </c>
    </row>
    <row r="1101" spans="2:14" s="16" customFormat="1" ht="25.5">
      <c r="B1101" s="14"/>
      <c r="C1101" s="197" t="s">
        <v>700</v>
      </c>
      <c r="D1101" s="198" t="s">
        <v>406</v>
      </c>
      <c r="E1101" s="199" t="s">
        <v>342</v>
      </c>
      <c r="F1101" s="199" t="s">
        <v>62</v>
      </c>
      <c r="G1101" s="199" t="s">
        <v>701</v>
      </c>
      <c r="H1101" s="199" t="s">
        <v>9</v>
      </c>
      <c r="I1101" s="20">
        <f>I1102+I1106</f>
        <v>14512.35</v>
      </c>
      <c r="J1101" s="20">
        <f t="shared" ref="J1101:K1101" si="442">J1102+J1106</f>
        <v>14924</v>
      </c>
      <c r="K1101" s="20">
        <f t="shared" si="442"/>
        <v>14924</v>
      </c>
      <c r="L1101" s="16">
        <v>800000000</v>
      </c>
      <c r="M1101" s="16" t="str">
        <f t="shared" si="438"/>
        <v>0800000000</v>
      </c>
      <c r="N1101" s="16" t="str">
        <f t="shared" si="439"/>
        <v>61111020800000000000</v>
      </c>
    </row>
    <row r="1102" spans="2:14" s="16" customFormat="1" ht="38.25">
      <c r="B1102" s="14"/>
      <c r="C1102" s="197" t="s">
        <v>702</v>
      </c>
      <c r="D1102" s="198" t="s">
        <v>406</v>
      </c>
      <c r="E1102" s="199" t="s">
        <v>342</v>
      </c>
      <c r="F1102" s="199" t="s">
        <v>62</v>
      </c>
      <c r="G1102" s="199" t="s">
        <v>703</v>
      </c>
      <c r="H1102" s="199" t="s">
        <v>9</v>
      </c>
      <c r="I1102" s="20">
        <f t="shared" ref="I1102:K1103" si="443">I1103</f>
        <v>9606.5</v>
      </c>
      <c r="J1102" s="20">
        <f t="shared" si="443"/>
        <v>9606.5</v>
      </c>
      <c r="K1102" s="20">
        <f t="shared" si="443"/>
        <v>9606.5</v>
      </c>
      <c r="L1102" s="16">
        <v>810000000</v>
      </c>
      <c r="M1102" s="16" t="str">
        <f t="shared" si="438"/>
        <v>0810000000</v>
      </c>
      <c r="N1102" s="16" t="str">
        <f t="shared" si="439"/>
        <v>61111020810000000000</v>
      </c>
    </row>
    <row r="1103" spans="2:14" s="16" customFormat="1" ht="63.75">
      <c r="B1103" s="14"/>
      <c r="C1103" s="197" t="s">
        <v>713</v>
      </c>
      <c r="D1103" s="198" t="s">
        <v>406</v>
      </c>
      <c r="E1103" s="199" t="s">
        <v>342</v>
      </c>
      <c r="F1103" s="199" t="s">
        <v>62</v>
      </c>
      <c r="G1103" s="199" t="s">
        <v>714</v>
      </c>
      <c r="H1103" s="199" t="s">
        <v>9</v>
      </c>
      <c r="I1103" s="20">
        <f>I1104</f>
        <v>9606.5</v>
      </c>
      <c r="J1103" s="20">
        <f t="shared" si="443"/>
        <v>9606.5</v>
      </c>
      <c r="K1103" s="20">
        <f t="shared" si="443"/>
        <v>9606.5</v>
      </c>
      <c r="L1103" s="16">
        <v>810300000</v>
      </c>
      <c r="M1103" s="16" t="str">
        <f t="shared" si="438"/>
        <v>0810300000</v>
      </c>
      <c r="N1103" s="16" t="str">
        <f t="shared" si="439"/>
        <v>61111020810300000000</v>
      </c>
    </row>
    <row r="1104" spans="2:14" s="16" customFormat="1" ht="25.5">
      <c r="B1104" s="14"/>
      <c r="C1104" s="249" t="s">
        <v>136</v>
      </c>
      <c r="D1104" s="203" t="s">
        <v>406</v>
      </c>
      <c r="E1104" s="199" t="s">
        <v>342</v>
      </c>
      <c r="F1104" s="199" t="s">
        <v>62</v>
      </c>
      <c r="G1104" s="204" t="s">
        <v>715</v>
      </c>
      <c r="H1104" s="204" t="s">
        <v>9</v>
      </c>
      <c r="I1104" s="26">
        <f t="shared" ref="I1104:K1104" si="444">I1105</f>
        <v>9606.5</v>
      </c>
      <c r="J1104" s="26">
        <f t="shared" si="444"/>
        <v>9606.5</v>
      </c>
      <c r="K1104" s="26">
        <f t="shared" si="444"/>
        <v>9606.5</v>
      </c>
      <c r="L1104" s="16">
        <v>810311010</v>
      </c>
      <c r="M1104" s="16" t="str">
        <f t="shared" si="438"/>
        <v>0810311010</v>
      </c>
      <c r="N1104" s="16" t="str">
        <f t="shared" si="439"/>
        <v>61111020810311010000</v>
      </c>
    </row>
    <row r="1105" spans="2:14" s="16" customFormat="1">
      <c r="B1105" s="14"/>
      <c r="C1105" s="205" t="s">
        <v>403</v>
      </c>
      <c r="D1105" s="203" t="s">
        <v>406</v>
      </c>
      <c r="E1105" s="199" t="s">
        <v>342</v>
      </c>
      <c r="F1105" s="199" t="s">
        <v>62</v>
      </c>
      <c r="G1105" s="204" t="s">
        <v>715</v>
      </c>
      <c r="H1105" s="204" t="s">
        <v>404</v>
      </c>
      <c r="I1105" s="20">
        <f>7386.09+2220.41</f>
        <v>9606.5</v>
      </c>
      <c r="J1105" s="20">
        <f t="shared" ref="J1105:K1105" si="445">7386.09+2220.41</f>
        <v>9606.5</v>
      </c>
      <c r="K1105" s="20">
        <f t="shared" si="445"/>
        <v>9606.5</v>
      </c>
      <c r="L1105" s="16">
        <v>810311010</v>
      </c>
      <c r="M1105" s="16" t="str">
        <f t="shared" si="438"/>
        <v>0810311010</v>
      </c>
      <c r="N1105" s="16" t="str">
        <f t="shared" si="439"/>
        <v>61111020810311010610</v>
      </c>
    </row>
    <row r="1106" spans="2:14" s="16" customFormat="1" ht="25.5">
      <c r="B1106" s="14"/>
      <c r="C1106" s="197" t="s">
        <v>716</v>
      </c>
      <c r="D1106" s="198" t="s">
        <v>406</v>
      </c>
      <c r="E1106" s="199" t="s">
        <v>342</v>
      </c>
      <c r="F1106" s="199" t="s">
        <v>62</v>
      </c>
      <c r="G1106" s="199" t="s">
        <v>717</v>
      </c>
      <c r="H1106" s="199" t="s">
        <v>9</v>
      </c>
      <c r="I1106" s="20">
        <f>I1107+I1111+I1114</f>
        <v>4905.8500000000004</v>
      </c>
      <c r="J1106" s="20">
        <f t="shared" ref="J1106:K1106" si="446">J1107+J1111+J1114</f>
        <v>5317.5</v>
      </c>
      <c r="K1106" s="20">
        <f t="shared" si="446"/>
        <v>5317.5</v>
      </c>
      <c r="L1106" s="16">
        <v>820000000</v>
      </c>
      <c r="M1106" s="16" t="str">
        <f t="shared" si="438"/>
        <v>0820000000</v>
      </c>
      <c r="N1106" s="16" t="str">
        <f t="shared" si="439"/>
        <v>61111020820000000000</v>
      </c>
    </row>
    <row r="1107" spans="2:14" s="16" customFormat="1" ht="25.5">
      <c r="B1107" s="14"/>
      <c r="C1107" s="197" t="s">
        <v>718</v>
      </c>
      <c r="D1107" s="198" t="s">
        <v>406</v>
      </c>
      <c r="E1107" s="199" t="s">
        <v>342</v>
      </c>
      <c r="F1107" s="199" t="s">
        <v>62</v>
      </c>
      <c r="G1107" s="199" t="s">
        <v>719</v>
      </c>
      <c r="H1107" s="199" t="s">
        <v>9</v>
      </c>
      <c r="I1107" s="20">
        <f>I1108</f>
        <v>4905.8500000000004</v>
      </c>
      <c r="J1107" s="20">
        <f t="shared" ref="J1107:K1107" si="447">J1108</f>
        <v>5250</v>
      </c>
      <c r="K1107" s="20">
        <f t="shared" si="447"/>
        <v>5250</v>
      </c>
      <c r="L1107" s="16">
        <v>820100000</v>
      </c>
      <c r="M1107" s="16" t="str">
        <f t="shared" si="438"/>
        <v>0820100000</v>
      </c>
      <c r="N1107" s="16" t="str">
        <f t="shared" si="439"/>
        <v>61111020820100000000</v>
      </c>
    </row>
    <row r="1108" spans="2:14" s="16" customFormat="1" ht="25.5">
      <c r="B1108" s="14"/>
      <c r="C1108" s="197" t="s">
        <v>720</v>
      </c>
      <c r="D1108" s="198" t="s">
        <v>406</v>
      </c>
      <c r="E1108" s="199" t="s">
        <v>342</v>
      </c>
      <c r="F1108" s="199" t="s">
        <v>62</v>
      </c>
      <c r="G1108" s="199" t="s">
        <v>721</v>
      </c>
      <c r="H1108" s="199" t="s">
        <v>9</v>
      </c>
      <c r="I1108" s="20">
        <f>I1110+I1109</f>
        <v>4905.8500000000004</v>
      </c>
      <c r="J1108" s="20">
        <f t="shared" ref="J1108:K1108" si="448">J1110+J1109</f>
        <v>5250</v>
      </c>
      <c r="K1108" s="20">
        <f t="shared" si="448"/>
        <v>5250</v>
      </c>
      <c r="L1108" s="16">
        <v>820120420</v>
      </c>
      <c r="M1108" s="16" t="str">
        <f t="shared" si="438"/>
        <v>0820120420</v>
      </c>
      <c r="N1108" s="16" t="str">
        <f t="shared" si="439"/>
        <v>61111020820120420000</v>
      </c>
    </row>
    <row r="1109" spans="2:14" s="16" customFormat="1">
      <c r="B1109" s="14"/>
      <c r="C1109" s="197" t="s">
        <v>138</v>
      </c>
      <c r="D1109" s="198" t="s">
        <v>406</v>
      </c>
      <c r="E1109" s="199" t="s">
        <v>342</v>
      </c>
      <c r="F1109" s="199" t="s">
        <v>62</v>
      </c>
      <c r="G1109" s="199" t="s">
        <v>721</v>
      </c>
      <c r="H1109" s="199" t="s">
        <v>139</v>
      </c>
      <c r="I1109" s="20">
        <f>2577+673-232.5</f>
        <v>3017.5</v>
      </c>
      <c r="J1109" s="20">
        <f t="shared" ref="J1109:K1109" si="449">2577+673</f>
        <v>3250</v>
      </c>
      <c r="K1109" s="20">
        <f t="shared" si="449"/>
        <v>3250</v>
      </c>
      <c r="L1109" s="16">
        <v>820120420</v>
      </c>
      <c r="M1109" s="16" t="str">
        <f t="shared" si="438"/>
        <v>0820120420</v>
      </c>
      <c r="N1109" s="16" t="str">
        <f t="shared" si="439"/>
        <v>61111020820120420110</v>
      </c>
    </row>
    <row r="1110" spans="2:14" s="16" customFormat="1" ht="25.5">
      <c r="B1110" s="14"/>
      <c r="C1110" s="197" t="s">
        <v>28</v>
      </c>
      <c r="D1110" s="198" t="s">
        <v>406</v>
      </c>
      <c r="E1110" s="199" t="s">
        <v>342</v>
      </c>
      <c r="F1110" s="199" t="s">
        <v>62</v>
      </c>
      <c r="G1110" s="199" t="s">
        <v>721</v>
      </c>
      <c r="H1110" s="199" t="s">
        <v>29</v>
      </c>
      <c r="I1110" s="20">
        <f>1698+302-217.6-194.05+300</f>
        <v>1888.3500000000001</v>
      </c>
      <c r="J1110" s="20">
        <f t="shared" ref="J1110:K1110" si="450">1698+302</f>
        <v>2000</v>
      </c>
      <c r="K1110" s="20">
        <f t="shared" si="450"/>
        <v>2000</v>
      </c>
      <c r="L1110" s="16">
        <v>820120420</v>
      </c>
      <c r="M1110" s="16" t="str">
        <f t="shared" si="438"/>
        <v>0820120420</v>
      </c>
      <c r="N1110" s="16" t="str">
        <f t="shared" si="439"/>
        <v>61111020820120420240</v>
      </c>
    </row>
    <row r="1111" spans="2:14" s="16" customFormat="1" ht="38.25">
      <c r="B1111" s="14"/>
      <c r="C1111" s="226" t="s">
        <v>723</v>
      </c>
      <c r="D1111" s="198" t="s">
        <v>406</v>
      </c>
      <c r="E1111" s="199" t="s">
        <v>342</v>
      </c>
      <c r="F1111" s="199" t="s">
        <v>62</v>
      </c>
      <c r="G1111" s="199" t="s">
        <v>724</v>
      </c>
      <c r="H1111" s="199" t="s">
        <v>9</v>
      </c>
      <c r="I1111" s="218">
        <f>I1112</f>
        <v>0</v>
      </c>
      <c r="J1111" s="20">
        <f t="shared" ref="J1111:K1112" si="451">J1112</f>
        <v>11.25</v>
      </c>
      <c r="K1111" s="20">
        <f t="shared" si="451"/>
        <v>11.25</v>
      </c>
      <c r="L1111" s="16">
        <v>820200000</v>
      </c>
      <c r="M1111" s="16" t="str">
        <f t="shared" si="438"/>
        <v>0820200000</v>
      </c>
      <c r="N1111" s="16" t="str">
        <f t="shared" si="439"/>
        <v>61111020820200000000</v>
      </c>
    </row>
    <row r="1112" spans="2:14" s="16" customFormat="1">
      <c r="B1112" s="14"/>
      <c r="C1112" s="200" t="s">
        <v>725</v>
      </c>
      <c r="D1112" s="198" t="s">
        <v>406</v>
      </c>
      <c r="E1112" s="199" t="s">
        <v>342</v>
      </c>
      <c r="F1112" s="199" t="s">
        <v>62</v>
      </c>
      <c r="G1112" s="199" t="s">
        <v>726</v>
      </c>
      <c r="H1112" s="199" t="s">
        <v>9</v>
      </c>
      <c r="I1112" s="218">
        <f>I1113</f>
        <v>0</v>
      </c>
      <c r="J1112" s="20">
        <f t="shared" si="451"/>
        <v>11.25</v>
      </c>
      <c r="K1112" s="20">
        <f t="shared" si="451"/>
        <v>11.25</v>
      </c>
      <c r="L1112" s="16">
        <v>820220440</v>
      </c>
      <c r="M1112" s="16" t="str">
        <f t="shared" si="438"/>
        <v>0820220440</v>
      </c>
      <c r="N1112" s="16" t="str">
        <f t="shared" si="439"/>
        <v>61111020820220440000</v>
      </c>
    </row>
    <row r="1113" spans="2:14" s="16" customFormat="1" ht="25.5">
      <c r="B1113" s="14"/>
      <c r="C1113" s="197" t="s">
        <v>28</v>
      </c>
      <c r="D1113" s="198" t="s">
        <v>406</v>
      </c>
      <c r="E1113" s="199" t="s">
        <v>342</v>
      </c>
      <c r="F1113" s="199" t="s">
        <v>62</v>
      </c>
      <c r="G1113" s="199" t="s">
        <v>726</v>
      </c>
      <c r="H1113" s="199" t="s">
        <v>29</v>
      </c>
      <c r="I1113" s="218">
        <f>11.25-11.25</f>
        <v>0</v>
      </c>
      <c r="J1113" s="20">
        <f t="shared" ref="J1113:K1113" si="452">11.25</f>
        <v>11.25</v>
      </c>
      <c r="K1113" s="20">
        <f t="shared" si="452"/>
        <v>11.25</v>
      </c>
      <c r="L1113" s="16">
        <v>820220440</v>
      </c>
      <c r="M1113" s="16" t="str">
        <f t="shared" si="438"/>
        <v>0820220440</v>
      </c>
      <c r="N1113" s="16" t="str">
        <f t="shared" si="439"/>
        <v>61111020820220440240</v>
      </c>
    </row>
    <row r="1114" spans="2:14" s="16" customFormat="1" ht="38.25">
      <c r="B1114" s="14"/>
      <c r="C1114" s="226" t="s">
        <v>727</v>
      </c>
      <c r="D1114" s="198" t="s">
        <v>406</v>
      </c>
      <c r="E1114" s="199" t="s">
        <v>342</v>
      </c>
      <c r="F1114" s="199" t="s">
        <v>62</v>
      </c>
      <c r="G1114" s="199" t="s">
        <v>728</v>
      </c>
      <c r="H1114" s="199" t="s">
        <v>9</v>
      </c>
      <c r="I1114" s="218">
        <f t="shared" ref="I1114:K1115" si="453">I1115</f>
        <v>0</v>
      </c>
      <c r="J1114" s="20">
        <f t="shared" si="453"/>
        <v>56.25</v>
      </c>
      <c r="K1114" s="20">
        <f t="shared" si="453"/>
        <v>56.25</v>
      </c>
      <c r="L1114" s="16">
        <v>820300000</v>
      </c>
      <c r="M1114" s="16" t="str">
        <f t="shared" si="438"/>
        <v>0820300000</v>
      </c>
      <c r="N1114" s="16" t="str">
        <f t="shared" si="439"/>
        <v>61111020820300000000</v>
      </c>
    </row>
    <row r="1115" spans="2:14" s="16" customFormat="1" ht="25.5">
      <c r="B1115" s="14"/>
      <c r="C1115" s="200" t="s">
        <v>729</v>
      </c>
      <c r="D1115" s="198" t="s">
        <v>406</v>
      </c>
      <c r="E1115" s="199" t="s">
        <v>342</v>
      </c>
      <c r="F1115" s="199" t="s">
        <v>62</v>
      </c>
      <c r="G1115" s="199" t="s">
        <v>730</v>
      </c>
      <c r="H1115" s="199" t="s">
        <v>9</v>
      </c>
      <c r="I1115" s="218">
        <f>I1116</f>
        <v>0</v>
      </c>
      <c r="J1115" s="20">
        <f t="shared" si="453"/>
        <v>56.25</v>
      </c>
      <c r="K1115" s="20">
        <f t="shared" si="453"/>
        <v>56.25</v>
      </c>
      <c r="L1115" s="16">
        <v>820321060</v>
      </c>
      <c r="M1115" s="16" t="str">
        <f t="shared" si="438"/>
        <v>0820321060</v>
      </c>
      <c r="N1115" s="16" t="str">
        <f t="shared" si="439"/>
        <v>61111020820321060000</v>
      </c>
    </row>
    <row r="1116" spans="2:14" s="16" customFormat="1" ht="25.5">
      <c r="B1116" s="14"/>
      <c r="C1116" s="197" t="s">
        <v>28</v>
      </c>
      <c r="D1116" s="198" t="s">
        <v>406</v>
      </c>
      <c r="E1116" s="199" t="s">
        <v>342</v>
      </c>
      <c r="F1116" s="199" t="s">
        <v>62</v>
      </c>
      <c r="G1116" s="199" t="s">
        <v>730</v>
      </c>
      <c r="H1116" s="199" t="s">
        <v>29</v>
      </c>
      <c r="I1116" s="218">
        <f>56.25-56.25</f>
        <v>0</v>
      </c>
      <c r="J1116" s="20">
        <f t="shared" ref="J1116:K1116" si="454">56.25</f>
        <v>56.25</v>
      </c>
      <c r="K1116" s="20">
        <f t="shared" si="454"/>
        <v>56.25</v>
      </c>
      <c r="L1116" s="16">
        <v>820321060</v>
      </c>
      <c r="M1116" s="16" t="str">
        <f t="shared" si="438"/>
        <v>0820321060</v>
      </c>
      <c r="N1116" s="16" t="str">
        <f t="shared" si="439"/>
        <v>61111020820321060240</v>
      </c>
    </row>
    <row r="1117" spans="2:14" s="16" customFormat="1">
      <c r="B1117" s="14"/>
      <c r="C1117" s="194" t="s">
        <v>731</v>
      </c>
      <c r="D1117" s="195" t="s">
        <v>406</v>
      </c>
      <c r="E1117" s="196" t="s">
        <v>342</v>
      </c>
      <c r="F1117" s="196" t="s">
        <v>13</v>
      </c>
      <c r="G1117" s="196" t="s">
        <v>8</v>
      </c>
      <c r="H1117" s="196" t="s">
        <v>9</v>
      </c>
      <c r="I1117" s="19">
        <f>I1118</f>
        <v>21550</v>
      </c>
      <c r="J1117" s="19">
        <f>J1118</f>
        <v>0</v>
      </c>
      <c r="K1117" s="19">
        <f>K1118</f>
        <v>0</v>
      </c>
      <c r="L1117" s="16">
        <v>0</v>
      </c>
      <c r="M1117" s="16" t="str">
        <f t="shared" si="438"/>
        <v>0000000000</v>
      </c>
      <c r="N1117" s="16" t="str">
        <f t="shared" si="439"/>
        <v>61111030000000000000</v>
      </c>
    </row>
    <row r="1118" spans="2:14" s="16" customFormat="1" ht="25.5">
      <c r="B1118" s="14"/>
      <c r="C1118" s="197" t="s">
        <v>700</v>
      </c>
      <c r="D1118" s="198" t="s">
        <v>406</v>
      </c>
      <c r="E1118" s="199" t="s">
        <v>342</v>
      </c>
      <c r="F1118" s="199" t="s">
        <v>13</v>
      </c>
      <c r="G1118" s="199" t="s">
        <v>701</v>
      </c>
      <c r="H1118" s="199" t="s">
        <v>9</v>
      </c>
      <c r="I1118" s="20">
        <f t="shared" ref="I1118:K1121" si="455">I1119</f>
        <v>21550</v>
      </c>
      <c r="J1118" s="20">
        <f t="shared" si="455"/>
        <v>0</v>
      </c>
      <c r="K1118" s="20">
        <f t="shared" si="455"/>
        <v>0</v>
      </c>
      <c r="L1118" s="16">
        <v>800000000</v>
      </c>
      <c r="M1118" s="16" t="str">
        <f t="shared" si="438"/>
        <v>0800000000</v>
      </c>
      <c r="N1118" s="16" t="str">
        <f t="shared" si="439"/>
        <v>61111030800000000000</v>
      </c>
    </row>
    <row r="1119" spans="2:14" s="16" customFormat="1" ht="25.5">
      <c r="B1119" s="14"/>
      <c r="C1119" s="197" t="s">
        <v>716</v>
      </c>
      <c r="D1119" s="198" t="s">
        <v>406</v>
      </c>
      <c r="E1119" s="199" t="s">
        <v>342</v>
      </c>
      <c r="F1119" s="199" t="s">
        <v>13</v>
      </c>
      <c r="G1119" s="199" t="s">
        <v>717</v>
      </c>
      <c r="H1119" s="199" t="s">
        <v>9</v>
      </c>
      <c r="I1119" s="20">
        <f>I1120</f>
        <v>21550</v>
      </c>
      <c r="J1119" s="20">
        <f t="shared" si="455"/>
        <v>0</v>
      </c>
      <c r="K1119" s="20">
        <f t="shared" si="455"/>
        <v>0</v>
      </c>
      <c r="L1119" s="16">
        <v>820000000</v>
      </c>
      <c r="M1119" s="16" t="str">
        <f t="shared" si="438"/>
        <v>0820000000</v>
      </c>
      <c r="N1119" s="16" t="str">
        <f t="shared" si="439"/>
        <v>61111030820000000000</v>
      </c>
    </row>
    <row r="1120" spans="2:14" s="16" customFormat="1" ht="51">
      <c r="B1120" s="14"/>
      <c r="C1120" s="197" t="s">
        <v>732</v>
      </c>
      <c r="D1120" s="198" t="s">
        <v>406</v>
      </c>
      <c r="E1120" s="199" t="s">
        <v>342</v>
      </c>
      <c r="F1120" s="199" t="s">
        <v>13</v>
      </c>
      <c r="G1120" s="199" t="s">
        <v>733</v>
      </c>
      <c r="H1120" s="199" t="s">
        <v>9</v>
      </c>
      <c r="I1120" s="20">
        <f>I1121+I1123</f>
        <v>21550</v>
      </c>
      <c r="J1120" s="20">
        <f t="shared" ref="J1120:K1120" si="456">J1121+J1123</f>
        <v>0</v>
      </c>
      <c r="K1120" s="20">
        <f t="shared" si="456"/>
        <v>0</v>
      </c>
      <c r="L1120" s="16">
        <v>820400000</v>
      </c>
      <c r="M1120" s="16" t="str">
        <f t="shared" si="438"/>
        <v>0820400000</v>
      </c>
      <c r="N1120" s="16" t="str">
        <f t="shared" si="439"/>
        <v>61111030820400000000</v>
      </c>
    </row>
    <row r="1121" spans="2:14" s="16" customFormat="1" ht="63.75">
      <c r="B1121" s="14"/>
      <c r="C1121" s="197" t="s">
        <v>734</v>
      </c>
      <c r="D1121" s="198" t="s">
        <v>406</v>
      </c>
      <c r="E1121" s="199" t="s">
        <v>342</v>
      </c>
      <c r="F1121" s="199" t="s">
        <v>13</v>
      </c>
      <c r="G1121" s="199" t="s">
        <v>735</v>
      </c>
      <c r="H1121" s="199" t="s">
        <v>9</v>
      </c>
      <c r="I1121" s="20">
        <f t="shared" si="455"/>
        <v>1550</v>
      </c>
      <c r="J1121" s="20">
        <f t="shared" si="455"/>
        <v>0</v>
      </c>
      <c r="K1121" s="20">
        <f t="shared" si="455"/>
        <v>0</v>
      </c>
      <c r="L1121" s="16">
        <v>820460120</v>
      </c>
      <c r="M1121" s="16" t="str">
        <f t="shared" si="438"/>
        <v>0820460120</v>
      </c>
      <c r="N1121" s="16" t="str">
        <f t="shared" si="439"/>
        <v>61111030820460120000</v>
      </c>
    </row>
    <row r="1122" spans="2:14" s="16" customFormat="1" ht="25.5">
      <c r="B1122" s="14"/>
      <c r="C1122" s="197" t="s">
        <v>182</v>
      </c>
      <c r="D1122" s="198" t="s">
        <v>406</v>
      </c>
      <c r="E1122" s="199" t="s">
        <v>342</v>
      </c>
      <c r="F1122" s="199" t="s">
        <v>13</v>
      </c>
      <c r="G1122" s="199" t="s">
        <v>735</v>
      </c>
      <c r="H1122" s="199" t="s">
        <v>183</v>
      </c>
      <c r="I1122" s="20">
        <f>1500+50</f>
        <v>1550</v>
      </c>
      <c r="J1122" s="20">
        <v>0</v>
      </c>
      <c r="K1122" s="20">
        <v>0</v>
      </c>
      <c r="L1122" s="16">
        <v>820460120</v>
      </c>
      <c r="M1122" s="16" t="str">
        <f t="shared" si="438"/>
        <v>0820460120</v>
      </c>
      <c r="N1122" s="16" t="str">
        <f t="shared" si="439"/>
        <v>61111030820460120630</v>
      </c>
    </row>
    <row r="1123" spans="2:14" s="16" customFormat="1" ht="51">
      <c r="B1123" s="14"/>
      <c r="C1123" s="197" t="s">
        <v>1138</v>
      </c>
      <c r="D1123" s="198" t="s">
        <v>406</v>
      </c>
      <c r="E1123" s="199" t="s">
        <v>342</v>
      </c>
      <c r="F1123" s="199" t="s">
        <v>13</v>
      </c>
      <c r="G1123" s="199" t="s">
        <v>1139</v>
      </c>
      <c r="H1123" s="199" t="s">
        <v>9</v>
      </c>
      <c r="I1123" s="20">
        <f t="shared" ref="I1123:K1123" si="457">I1124</f>
        <v>20000</v>
      </c>
      <c r="J1123" s="20">
        <f t="shared" si="457"/>
        <v>0</v>
      </c>
      <c r="K1123" s="20">
        <f t="shared" si="457"/>
        <v>0</v>
      </c>
      <c r="L1123" s="16">
        <v>820460150</v>
      </c>
      <c r="M1123" s="16" t="str">
        <f t="shared" si="438"/>
        <v>0820460150</v>
      </c>
      <c r="N1123" s="16" t="str">
        <f t="shared" si="439"/>
        <v>61111030820460150000</v>
      </c>
    </row>
    <row r="1124" spans="2:14" s="16" customFormat="1" ht="25.5">
      <c r="B1124" s="14"/>
      <c r="C1124" s="197" t="s">
        <v>182</v>
      </c>
      <c r="D1124" s="198" t="s">
        <v>406</v>
      </c>
      <c r="E1124" s="199" t="s">
        <v>342</v>
      </c>
      <c r="F1124" s="199" t="s">
        <v>13</v>
      </c>
      <c r="G1124" s="199" t="s">
        <v>1139</v>
      </c>
      <c r="H1124" s="199" t="s">
        <v>183</v>
      </c>
      <c r="I1124" s="20">
        <f>20000</f>
        <v>20000</v>
      </c>
      <c r="J1124" s="20">
        <v>0</v>
      </c>
      <c r="K1124" s="20">
        <v>0</v>
      </c>
      <c r="L1124" s="16">
        <v>820460150</v>
      </c>
      <c r="M1124" s="16" t="str">
        <f t="shared" si="438"/>
        <v>0820460150</v>
      </c>
      <c r="N1124" s="16" t="str">
        <f t="shared" si="439"/>
        <v>61111030820460150630</v>
      </c>
    </row>
    <row r="1125" spans="2:14" s="16" customFormat="1">
      <c r="B1125" s="14"/>
      <c r="C1125" s="194" t="s">
        <v>737</v>
      </c>
      <c r="D1125" s="195" t="s">
        <v>406</v>
      </c>
      <c r="E1125" s="196" t="s">
        <v>342</v>
      </c>
      <c r="F1125" s="196" t="s">
        <v>86</v>
      </c>
      <c r="G1125" s="196" t="s">
        <v>8</v>
      </c>
      <c r="H1125" s="196" t="s">
        <v>9</v>
      </c>
      <c r="I1125" s="19">
        <f t="shared" ref="I1125:K1126" si="458">I1126</f>
        <v>18144.47</v>
      </c>
      <c r="J1125" s="19">
        <f t="shared" si="458"/>
        <v>18164.650000000001</v>
      </c>
      <c r="K1125" s="19">
        <f t="shared" si="458"/>
        <v>18164.650000000001</v>
      </c>
      <c r="L1125" s="16">
        <v>0</v>
      </c>
      <c r="M1125" s="16" t="str">
        <f t="shared" si="438"/>
        <v>0000000000</v>
      </c>
      <c r="N1125" s="16" t="str">
        <f t="shared" si="439"/>
        <v>61111050000000000000</v>
      </c>
    </row>
    <row r="1126" spans="2:14" s="16" customFormat="1" ht="25.5">
      <c r="B1126" s="14"/>
      <c r="C1126" s="197" t="s">
        <v>738</v>
      </c>
      <c r="D1126" s="198" t="s">
        <v>406</v>
      </c>
      <c r="E1126" s="199" t="s">
        <v>342</v>
      </c>
      <c r="F1126" s="199" t="s">
        <v>86</v>
      </c>
      <c r="G1126" s="199" t="s">
        <v>739</v>
      </c>
      <c r="H1126" s="199" t="s">
        <v>9</v>
      </c>
      <c r="I1126" s="20">
        <f>I1127</f>
        <v>18144.47</v>
      </c>
      <c r="J1126" s="20">
        <f t="shared" si="458"/>
        <v>18164.650000000001</v>
      </c>
      <c r="K1126" s="20">
        <f t="shared" si="458"/>
        <v>18164.650000000001</v>
      </c>
      <c r="L1126" s="16">
        <v>7800000000</v>
      </c>
      <c r="M1126" s="16" t="str">
        <f t="shared" si="438"/>
        <v>7800000000</v>
      </c>
      <c r="N1126" s="16" t="str">
        <f t="shared" si="439"/>
        <v>61111057800000000000</v>
      </c>
    </row>
    <row r="1127" spans="2:14" s="16" customFormat="1" ht="38.25">
      <c r="B1127" s="14"/>
      <c r="C1127" s="197" t="s">
        <v>740</v>
      </c>
      <c r="D1127" s="198" t="s">
        <v>406</v>
      </c>
      <c r="E1127" s="199" t="s">
        <v>342</v>
      </c>
      <c r="F1127" s="199" t="s">
        <v>86</v>
      </c>
      <c r="G1127" s="199" t="s">
        <v>741</v>
      </c>
      <c r="H1127" s="199" t="s">
        <v>9</v>
      </c>
      <c r="I1127" s="20">
        <f>I1128+I1132+I1134+I1137+I1140</f>
        <v>18144.47</v>
      </c>
      <c r="J1127" s="20">
        <f>J1128+J1132+J1134+J1137+J1140</f>
        <v>18164.650000000001</v>
      </c>
      <c r="K1127" s="20">
        <f>K1128+K1132+K1134+K1137+K1140</f>
        <v>18164.650000000001</v>
      </c>
      <c r="L1127" s="16">
        <v>7810000000</v>
      </c>
      <c r="M1127" s="16" t="str">
        <f t="shared" si="438"/>
        <v>7810000000</v>
      </c>
      <c r="N1127" s="16" t="str">
        <f t="shared" si="439"/>
        <v>61111057810000000000</v>
      </c>
    </row>
    <row r="1128" spans="2:14" s="16" customFormat="1" ht="25.5">
      <c r="B1128" s="14"/>
      <c r="C1128" s="197" t="s">
        <v>18</v>
      </c>
      <c r="D1128" s="198" t="s">
        <v>406</v>
      </c>
      <c r="E1128" s="199" t="s">
        <v>342</v>
      </c>
      <c r="F1128" s="199" t="s">
        <v>86</v>
      </c>
      <c r="G1128" s="199" t="s">
        <v>742</v>
      </c>
      <c r="H1128" s="199" t="s">
        <v>9</v>
      </c>
      <c r="I1128" s="20">
        <f>SUM(I1129:I1131)</f>
        <v>778.21</v>
      </c>
      <c r="J1128" s="20">
        <f>SUM(J1129:J1131)</f>
        <v>778.21</v>
      </c>
      <c r="K1128" s="20">
        <f>SUM(K1129:K1131)</f>
        <v>778.21</v>
      </c>
      <c r="L1128" s="16">
        <v>7810010010</v>
      </c>
      <c r="M1128" s="16" t="str">
        <f t="shared" si="438"/>
        <v>7810010010</v>
      </c>
      <c r="N1128" s="16" t="str">
        <f t="shared" si="439"/>
        <v>61111057810010010000</v>
      </c>
    </row>
    <row r="1129" spans="2:14" s="16" customFormat="1" ht="25.5">
      <c r="B1129" s="14"/>
      <c r="C1129" s="200" t="s">
        <v>20</v>
      </c>
      <c r="D1129" s="198" t="s">
        <v>406</v>
      </c>
      <c r="E1129" s="199" t="s">
        <v>342</v>
      </c>
      <c r="F1129" s="199" t="s">
        <v>86</v>
      </c>
      <c r="G1129" s="199" t="s">
        <v>742</v>
      </c>
      <c r="H1129" s="199" t="s">
        <v>21</v>
      </c>
      <c r="I1129" s="20">
        <f>155.31+46.9</f>
        <v>202.21</v>
      </c>
      <c r="J1129" s="20">
        <f t="shared" ref="J1129:K1129" si="459">155.31+46.9</f>
        <v>202.21</v>
      </c>
      <c r="K1129" s="20">
        <f t="shared" si="459"/>
        <v>202.21</v>
      </c>
      <c r="L1129" s="16">
        <v>7810010010</v>
      </c>
      <c r="M1129" s="16" t="str">
        <f t="shared" si="438"/>
        <v>7810010010</v>
      </c>
      <c r="N1129" s="16" t="str">
        <f t="shared" si="439"/>
        <v>61111057810010010120</v>
      </c>
    </row>
    <row r="1130" spans="2:14" s="16" customFormat="1" ht="25.5">
      <c r="B1130" s="14"/>
      <c r="C1130" s="197" t="s">
        <v>28</v>
      </c>
      <c r="D1130" s="198" t="s">
        <v>406</v>
      </c>
      <c r="E1130" s="199" t="s">
        <v>342</v>
      </c>
      <c r="F1130" s="199" t="s">
        <v>86</v>
      </c>
      <c r="G1130" s="199" t="s">
        <v>742</v>
      </c>
      <c r="H1130" s="199" t="s">
        <v>29</v>
      </c>
      <c r="I1130" s="20">
        <f>615.3-47.3</f>
        <v>568</v>
      </c>
      <c r="J1130" s="20">
        <f t="shared" ref="J1130:K1130" si="460">615.3-47.3</f>
        <v>568</v>
      </c>
      <c r="K1130" s="20">
        <f t="shared" si="460"/>
        <v>568</v>
      </c>
      <c r="L1130" s="16">
        <v>7810010010</v>
      </c>
      <c r="M1130" s="16" t="str">
        <f t="shared" si="438"/>
        <v>7810010010</v>
      </c>
      <c r="N1130" s="16" t="str">
        <f t="shared" si="439"/>
        <v>61111057810010010240</v>
      </c>
    </row>
    <row r="1131" spans="2:14" s="16" customFormat="1">
      <c r="B1131" s="14"/>
      <c r="C1131" s="197" t="s">
        <v>32</v>
      </c>
      <c r="D1131" s="198" t="s">
        <v>406</v>
      </c>
      <c r="E1131" s="199" t="s">
        <v>342</v>
      </c>
      <c r="F1131" s="199" t="s">
        <v>86</v>
      </c>
      <c r="G1131" s="199" t="s">
        <v>742</v>
      </c>
      <c r="H1131" s="199" t="s">
        <v>33</v>
      </c>
      <c r="I1131" s="20">
        <f>5+3</f>
        <v>8</v>
      </c>
      <c r="J1131" s="20">
        <f t="shared" ref="J1131:K1131" si="461">5+3</f>
        <v>8</v>
      </c>
      <c r="K1131" s="20">
        <f t="shared" si="461"/>
        <v>8</v>
      </c>
      <c r="L1131" s="16">
        <v>7810010010</v>
      </c>
      <c r="M1131" s="16" t="str">
        <f t="shared" si="438"/>
        <v>7810010010</v>
      </c>
      <c r="N1131" s="16" t="str">
        <f t="shared" si="439"/>
        <v>61111057810010010850</v>
      </c>
    </row>
    <row r="1132" spans="2:14" s="16" customFormat="1" ht="25.5">
      <c r="B1132" s="14"/>
      <c r="C1132" s="197" t="s">
        <v>38</v>
      </c>
      <c r="D1132" s="198" t="s">
        <v>406</v>
      </c>
      <c r="E1132" s="199" t="s">
        <v>342</v>
      </c>
      <c r="F1132" s="199" t="s">
        <v>86</v>
      </c>
      <c r="G1132" s="199" t="s">
        <v>743</v>
      </c>
      <c r="H1132" s="199" t="s">
        <v>9</v>
      </c>
      <c r="I1132" s="20">
        <f>I1133</f>
        <v>7185.9700000000012</v>
      </c>
      <c r="J1132" s="20">
        <f t="shared" ref="J1132:K1132" si="462">J1133</f>
        <v>7454.3600000000006</v>
      </c>
      <c r="K1132" s="20">
        <f t="shared" si="462"/>
        <v>7454.3600000000006</v>
      </c>
      <c r="L1132" s="16">
        <v>7810010020</v>
      </c>
      <c r="M1132" s="16" t="str">
        <f t="shared" si="438"/>
        <v>7810010020</v>
      </c>
      <c r="N1132" s="16" t="str">
        <f t="shared" si="439"/>
        <v>61111057810010020000</v>
      </c>
    </row>
    <row r="1133" spans="2:14" s="16" customFormat="1" ht="25.5">
      <c r="B1133" s="14"/>
      <c r="C1133" s="200" t="s">
        <v>20</v>
      </c>
      <c r="D1133" s="198" t="s">
        <v>406</v>
      </c>
      <c r="E1133" s="199" t="s">
        <v>342</v>
      </c>
      <c r="F1133" s="199" t="s">
        <v>86</v>
      </c>
      <c r="G1133" s="199" t="s">
        <v>743</v>
      </c>
      <c r="H1133" s="199" t="s">
        <v>21</v>
      </c>
      <c r="I1133" s="20">
        <f>5397.27+1629.97+47.3+12.41+34.71+5.06+36.3+22.95</f>
        <v>7185.9700000000012</v>
      </c>
      <c r="J1133" s="20">
        <f>5397.27+1629.97+47.3+282.98+36.3+60.54</f>
        <v>7454.3600000000006</v>
      </c>
      <c r="K1133" s="20">
        <f>5397.27+1629.97+47.3+282.98+36.3+60.54</f>
        <v>7454.3600000000006</v>
      </c>
      <c r="L1133" s="16">
        <v>7810010020</v>
      </c>
      <c r="M1133" s="16" t="str">
        <f t="shared" si="438"/>
        <v>7810010020</v>
      </c>
      <c r="N1133" s="16" t="str">
        <f t="shared" si="439"/>
        <v>61111057810010020120</v>
      </c>
    </row>
    <row r="1134" spans="2:14" s="16" customFormat="1" ht="25.5">
      <c r="B1134" s="14"/>
      <c r="C1134" s="375" t="s">
        <v>136</v>
      </c>
      <c r="D1134" s="198" t="s">
        <v>406</v>
      </c>
      <c r="E1134" s="199" t="s">
        <v>342</v>
      </c>
      <c r="F1134" s="199" t="s">
        <v>86</v>
      </c>
      <c r="G1134" s="380" t="s">
        <v>744</v>
      </c>
      <c r="H1134" s="380" t="s">
        <v>9</v>
      </c>
      <c r="I1134" s="20">
        <f>SUM(I1135:I1136)</f>
        <v>9599.8799999999992</v>
      </c>
      <c r="J1134" s="20">
        <f>SUM(J1135:J1136)</f>
        <v>9932.08</v>
      </c>
      <c r="K1134" s="20">
        <f>SUM(K1135:K1136)</f>
        <v>9932.08</v>
      </c>
      <c r="L1134" s="16">
        <v>7810011010</v>
      </c>
      <c r="M1134" s="16" t="str">
        <f t="shared" si="438"/>
        <v>7810011010</v>
      </c>
      <c r="N1134" s="16" t="str">
        <f t="shared" si="439"/>
        <v>61111057810011010000</v>
      </c>
    </row>
    <row r="1135" spans="2:14" s="16" customFormat="1">
      <c r="B1135" s="14"/>
      <c r="C1135" s="374" t="s">
        <v>138</v>
      </c>
      <c r="D1135" s="198" t="s">
        <v>406</v>
      </c>
      <c r="E1135" s="199" t="s">
        <v>342</v>
      </c>
      <c r="F1135" s="199" t="s">
        <v>86</v>
      </c>
      <c r="G1135" s="380" t="s">
        <v>744</v>
      </c>
      <c r="H1135" s="380" t="s">
        <v>139</v>
      </c>
      <c r="I1135" s="20">
        <f>6120.12+1848.28+373.67+112.85+4.96</f>
        <v>8459.8799999999992</v>
      </c>
      <c r="J1135" s="20">
        <f>6120.12+1848.28+373.67+112.85+337.16</f>
        <v>8792.08</v>
      </c>
      <c r="K1135" s="20">
        <f>6120.12+1848.28+373.67+112.85+337.16</f>
        <v>8792.08</v>
      </c>
      <c r="L1135" s="16">
        <v>7810011010</v>
      </c>
      <c r="M1135" s="16" t="str">
        <f t="shared" si="438"/>
        <v>7810011010</v>
      </c>
      <c r="N1135" s="16" t="str">
        <f t="shared" si="439"/>
        <v>61111057810011010110</v>
      </c>
    </row>
    <row r="1136" spans="2:14" s="16" customFormat="1" ht="25.5">
      <c r="B1136" s="14"/>
      <c r="C1136" s="197" t="s">
        <v>28</v>
      </c>
      <c r="D1136" s="198" t="s">
        <v>406</v>
      </c>
      <c r="E1136" s="199" t="s">
        <v>342</v>
      </c>
      <c r="F1136" s="199" t="s">
        <v>86</v>
      </c>
      <c r="G1136" s="380" t="s">
        <v>744</v>
      </c>
      <c r="H1136" s="380" t="s">
        <v>29</v>
      </c>
      <c r="I1136" s="20">
        <f>1140</f>
        <v>1140</v>
      </c>
      <c r="J1136" s="20">
        <f>1140</f>
        <v>1140</v>
      </c>
      <c r="K1136" s="20">
        <f>1140</f>
        <v>1140</v>
      </c>
      <c r="L1136" s="16">
        <v>7810011010</v>
      </c>
      <c r="M1136" s="16" t="str">
        <f t="shared" si="438"/>
        <v>7810011010</v>
      </c>
      <c r="N1136" s="16" t="str">
        <f t="shared" si="439"/>
        <v>61111057810011010240</v>
      </c>
    </row>
    <row r="1137" spans="2:14" s="16" customFormat="1" ht="191.25">
      <c r="B1137" s="1" t="s">
        <v>80</v>
      </c>
      <c r="C1137" s="197" t="s">
        <v>2269</v>
      </c>
      <c r="D1137" s="198" t="s">
        <v>406</v>
      </c>
      <c r="E1137" s="199" t="s">
        <v>342</v>
      </c>
      <c r="F1137" s="199" t="s">
        <v>86</v>
      </c>
      <c r="G1137" s="380" t="s">
        <v>1308</v>
      </c>
      <c r="H1137" s="380" t="s">
        <v>9</v>
      </c>
      <c r="I1137" s="20">
        <f>SUM(I1138:I1139)</f>
        <v>563</v>
      </c>
      <c r="J1137" s="20">
        <f t="shared" ref="J1137:K1137" si="463">SUM(J1138:J1139)</f>
        <v>0</v>
      </c>
      <c r="K1137" s="20">
        <f t="shared" si="463"/>
        <v>0</v>
      </c>
      <c r="L1137" s="16">
        <v>7810077460</v>
      </c>
      <c r="M1137" s="16" t="str">
        <f t="shared" si="438"/>
        <v>7810077460</v>
      </c>
      <c r="N1137" s="16" t="str">
        <f t="shared" si="439"/>
        <v>61111057810077460000</v>
      </c>
    </row>
    <row r="1138" spans="2:14" s="16" customFormat="1">
      <c r="B1138" s="14"/>
      <c r="C1138" s="374" t="s">
        <v>138</v>
      </c>
      <c r="D1138" s="198" t="s">
        <v>406</v>
      </c>
      <c r="E1138" s="199" t="s">
        <v>342</v>
      </c>
      <c r="F1138" s="199" t="s">
        <v>86</v>
      </c>
      <c r="G1138" s="380" t="s">
        <v>1308</v>
      </c>
      <c r="H1138" s="380" t="s">
        <v>139</v>
      </c>
      <c r="I1138" s="20">
        <f>332.2-5.06</f>
        <v>327.14</v>
      </c>
      <c r="J1138" s="20">
        <v>0</v>
      </c>
      <c r="K1138" s="20">
        <v>0</v>
      </c>
      <c r="L1138" s="16">
        <v>7810077460</v>
      </c>
      <c r="M1138" s="16" t="str">
        <f t="shared" si="438"/>
        <v>7810077460</v>
      </c>
      <c r="N1138" s="16" t="str">
        <f t="shared" si="439"/>
        <v>61111057810077460110</v>
      </c>
    </row>
    <row r="1139" spans="2:14" s="16" customFormat="1" ht="25.5">
      <c r="B1139" s="14"/>
      <c r="C1139" s="200" t="s">
        <v>20</v>
      </c>
      <c r="D1139" s="198" t="s">
        <v>406</v>
      </c>
      <c r="E1139" s="199" t="s">
        <v>342</v>
      </c>
      <c r="F1139" s="199" t="s">
        <v>86</v>
      </c>
      <c r="G1139" s="380" t="s">
        <v>1308</v>
      </c>
      <c r="H1139" s="380" t="s">
        <v>21</v>
      </c>
      <c r="I1139" s="20">
        <f>235.86</f>
        <v>235.86</v>
      </c>
      <c r="J1139" s="20">
        <v>0</v>
      </c>
      <c r="K1139" s="20">
        <v>0</v>
      </c>
      <c r="L1139" s="16">
        <v>7810077460</v>
      </c>
      <c r="M1139" s="16" t="str">
        <f t="shared" si="438"/>
        <v>7810077460</v>
      </c>
      <c r="N1139" s="16" t="str">
        <f t="shared" si="439"/>
        <v>61111057810077460120</v>
      </c>
    </row>
    <row r="1140" spans="2:14" s="16" customFormat="1" ht="165.75">
      <c r="B1140" s="14"/>
      <c r="C1140" s="200" t="s">
        <v>2247</v>
      </c>
      <c r="D1140" s="198" t="s">
        <v>406</v>
      </c>
      <c r="E1140" s="199" t="s">
        <v>342</v>
      </c>
      <c r="F1140" s="199" t="s">
        <v>86</v>
      </c>
      <c r="G1140" s="380" t="s">
        <v>2288</v>
      </c>
      <c r="H1140" s="380" t="s">
        <v>9</v>
      </c>
      <c r="I1140" s="20">
        <f>I1141</f>
        <v>17.41</v>
      </c>
      <c r="J1140" s="20">
        <f t="shared" ref="J1140:K1140" si="464">J1141</f>
        <v>0</v>
      </c>
      <c r="K1140" s="20">
        <f t="shared" si="464"/>
        <v>0</v>
      </c>
      <c r="L1140" s="16">
        <v>7810077580</v>
      </c>
      <c r="M1140" s="16" t="str">
        <f t="shared" si="438"/>
        <v>7810077580</v>
      </c>
      <c r="N1140" s="16" t="str">
        <f t="shared" si="439"/>
        <v>61111057810077580000</v>
      </c>
    </row>
    <row r="1141" spans="2:14" s="16" customFormat="1" ht="25.5">
      <c r="B1141" s="14"/>
      <c r="C1141" s="200" t="s">
        <v>20</v>
      </c>
      <c r="D1141" s="198" t="s">
        <v>406</v>
      </c>
      <c r="E1141" s="199" t="s">
        <v>342</v>
      </c>
      <c r="F1141" s="199" t="s">
        <v>86</v>
      </c>
      <c r="G1141" s="380" t="s">
        <v>2288</v>
      </c>
      <c r="H1141" s="380" t="s">
        <v>21</v>
      </c>
      <c r="I1141" s="20">
        <f>17.41</f>
        <v>17.41</v>
      </c>
      <c r="J1141" s="20">
        <v>0</v>
      </c>
      <c r="K1141" s="20">
        <v>0</v>
      </c>
      <c r="L1141" s="16">
        <v>7810077580</v>
      </c>
      <c r="M1141" s="16" t="str">
        <f t="shared" si="438"/>
        <v>7810077580</v>
      </c>
      <c r="N1141" s="16" t="str">
        <f t="shared" si="439"/>
        <v>61111057810077580120</v>
      </c>
    </row>
    <row r="1142" spans="2:14" s="16" customFormat="1">
      <c r="B1142" s="14"/>
      <c r="C1142" s="200"/>
      <c r="D1142" s="198"/>
      <c r="E1142" s="199"/>
      <c r="F1142" s="199"/>
      <c r="G1142" s="199"/>
      <c r="H1142" s="199"/>
      <c r="I1142" s="20"/>
      <c r="J1142" s="20"/>
      <c r="K1142" s="20"/>
      <c r="M1142" s="16" t="str">
        <f t="shared" si="438"/>
        <v>0000000000</v>
      </c>
      <c r="N1142" s="16" t="str">
        <f t="shared" si="439"/>
        <v>0000000000</v>
      </c>
    </row>
    <row r="1143" spans="2:14" s="16" customFormat="1">
      <c r="B1143" s="14"/>
      <c r="C1143" s="202" t="s">
        <v>745</v>
      </c>
      <c r="D1143" s="189" t="s">
        <v>746</v>
      </c>
      <c r="E1143" s="190" t="s">
        <v>7</v>
      </c>
      <c r="F1143" s="190" t="s">
        <v>7</v>
      </c>
      <c r="G1143" s="190" t="s">
        <v>8</v>
      </c>
      <c r="H1143" s="190" t="s">
        <v>9</v>
      </c>
      <c r="I1143" s="25">
        <f>I1144+I1179+I1198+I1229</f>
        <v>153406.72000000003</v>
      </c>
      <c r="J1143" s="25">
        <f>J1144+J1179+J1198+J1229</f>
        <v>138185.79999999999</v>
      </c>
      <c r="K1143" s="25">
        <f>K1144+K1179+K1198+K1229</f>
        <v>145557.56</v>
      </c>
      <c r="L1143" s="16">
        <v>0</v>
      </c>
      <c r="M1143" s="16" t="str">
        <f t="shared" si="438"/>
        <v>0000000000</v>
      </c>
      <c r="N1143" s="16" t="str">
        <f t="shared" si="439"/>
        <v>61700000000000000000</v>
      </c>
    </row>
    <row r="1144" spans="2:14" s="16" customFormat="1">
      <c r="B1144" s="14"/>
      <c r="C1144" s="191" t="s">
        <v>10</v>
      </c>
      <c r="D1144" s="192" t="s">
        <v>746</v>
      </c>
      <c r="E1144" s="193" t="s">
        <v>11</v>
      </c>
      <c r="F1144" s="193" t="s">
        <v>7</v>
      </c>
      <c r="G1144" s="193" t="s">
        <v>8</v>
      </c>
      <c r="H1144" s="193" t="s">
        <v>9</v>
      </c>
      <c r="I1144" s="18">
        <f>I1145+I1163</f>
        <v>36377.160000000011</v>
      </c>
      <c r="J1144" s="18">
        <f>J1145+J1163</f>
        <v>35161.270000000004</v>
      </c>
      <c r="K1144" s="18">
        <f>K1145+K1163</f>
        <v>35161.270000000004</v>
      </c>
      <c r="L1144" s="16">
        <v>0</v>
      </c>
      <c r="M1144" s="16" t="str">
        <f t="shared" si="438"/>
        <v>0000000000</v>
      </c>
      <c r="N1144" s="16" t="str">
        <f t="shared" si="439"/>
        <v>61701000000000000000</v>
      </c>
    </row>
    <row r="1145" spans="2:14" s="16" customFormat="1" ht="38.25">
      <c r="B1145" s="14"/>
      <c r="C1145" s="194" t="s">
        <v>72</v>
      </c>
      <c r="D1145" s="195" t="s">
        <v>746</v>
      </c>
      <c r="E1145" s="196" t="s">
        <v>11</v>
      </c>
      <c r="F1145" s="196" t="s">
        <v>73</v>
      </c>
      <c r="G1145" s="196" t="s">
        <v>8</v>
      </c>
      <c r="H1145" s="196" t="s">
        <v>9</v>
      </c>
      <c r="I1145" s="19">
        <f t="shared" ref="I1145:K1146" si="465">I1146</f>
        <v>34741.750000000007</v>
      </c>
      <c r="J1145" s="19">
        <f t="shared" si="465"/>
        <v>34771.070000000007</v>
      </c>
      <c r="K1145" s="19">
        <f t="shared" si="465"/>
        <v>34771.070000000007</v>
      </c>
      <c r="L1145" s="16">
        <v>0</v>
      </c>
      <c r="M1145" s="16" t="str">
        <f t="shared" si="438"/>
        <v>0000000000</v>
      </c>
      <c r="N1145" s="16" t="str">
        <f t="shared" si="439"/>
        <v>61701040000000000000</v>
      </c>
    </row>
    <row r="1146" spans="2:14" s="16" customFormat="1" ht="25.5">
      <c r="B1146" s="14"/>
      <c r="C1146" s="226" t="s">
        <v>747</v>
      </c>
      <c r="D1146" s="203" t="s">
        <v>746</v>
      </c>
      <c r="E1146" s="204" t="s">
        <v>11</v>
      </c>
      <c r="F1146" s="204" t="s">
        <v>73</v>
      </c>
      <c r="G1146" s="204" t="s">
        <v>748</v>
      </c>
      <c r="H1146" s="204" t="s">
        <v>9</v>
      </c>
      <c r="I1146" s="26">
        <f t="shared" si="465"/>
        <v>34741.750000000007</v>
      </c>
      <c r="J1146" s="26">
        <f t="shared" si="465"/>
        <v>34771.070000000007</v>
      </c>
      <c r="K1146" s="26">
        <f t="shared" si="465"/>
        <v>34771.070000000007</v>
      </c>
      <c r="L1146" s="16">
        <v>8000000000</v>
      </c>
      <c r="M1146" s="16" t="str">
        <f t="shared" si="438"/>
        <v>8000000000</v>
      </c>
      <c r="N1146" s="16" t="str">
        <f t="shared" si="439"/>
        <v>61701048000000000000</v>
      </c>
    </row>
    <row r="1147" spans="2:14" s="16" customFormat="1" ht="25.5">
      <c r="B1147" s="14"/>
      <c r="C1147" s="226" t="s">
        <v>749</v>
      </c>
      <c r="D1147" s="203" t="s">
        <v>746</v>
      </c>
      <c r="E1147" s="204" t="s">
        <v>11</v>
      </c>
      <c r="F1147" s="204" t="s">
        <v>73</v>
      </c>
      <c r="G1147" s="204" t="s">
        <v>750</v>
      </c>
      <c r="H1147" s="204" t="s">
        <v>9</v>
      </c>
      <c r="I1147" s="26">
        <f>I1148+I1152+I1154+I1157+I1159+I1161</f>
        <v>34741.750000000007</v>
      </c>
      <c r="J1147" s="26">
        <f t="shared" ref="J1147:K1147" si="466">J1148+J1152+J1154+J1157+J1159+J1161</f>
        <v>34771.070000000007</v>
      </c>
      <c r="K1147" s="26">
        <f t="shared" si="466"/>
        <v>34771.070000000007</v>
      </c>
      <c r="L1147" s="16">
        <v>8010000000</v>
      </c>
      <c r="M1147" s="16" t="str">
        <f t="shared" si="438"/>
        <v>8010000000</v>
      </c>
      <c r="N1147" s="16" t="str">
        <f t="shared" si="439"/>
        <v>61701048010000000000</v>
      </c>
    </row>
    <row r="1148" spans="2:14" s="16" customFormat="1" ht="25.5">
      <c r="B1148" s="14"/>
      <c r="C1148" s="197" t="s">
        <v>18</v>
      </c>
      <c r="D1148" s="203" t="s">
        <v>746</v>
      </c>
      <c r="E1148" s="204" t="s">
        <v>11</v>
      </c>
      <c r="F1148" s="204" t="s">
        <v>73</v>
      </c>
      <c r="G1148" s="204" t="s">
        <v>751</v>
      </c>
      <c r="H1148" s="204" t="s">
        <v>9</v>
      </c>
      <c r="I1148" s="26">
        <f>SUM(I1149:I1151)</f>
        <v>4038.21</v>
      </c>
      <c r="J1148" s="26">
        <f>SUM(J1149:J1151)</f>
        <v>4038.21</v>
      </c>
      <c r="K1148" s="26">
        <f>SUM(K1149:K1151)</f>
        <v>4038.21</v>
      </c>
      <c r="L1148" s="16">
        <v>8010010010</v>
      </c>
      <c r="M1148" s="16" t="str">
        <f t="shared" si="438"/>
        <v>8010010010</v>
      </c>
      <c r="N1148" s="16" t="str">
        <f t="shared" si="439"/>
        <v>61701048010010010000</v>
      </c>
    </row>
    <row r="1149" spans="2:14" s="16" customFormat="1" ht="25.5">
      <c r="B1149" s="14"/>
      <c r="C1149" s="200" t="s">
        <v>20</v>
      </c>
      <c r="D1149" s="203" t="s">
        <v>746</v>
      </c>
      <c r="E1149" s="204" t="s">
        <v>11</v>
      </c>
      <c r="F1149" s="204" t="s">
        <v>73</v>
      </c>
      <c r="G1149" s="204" t="s">
        <v>751</v>
      </c>
      <c r="H1149" s="204" t="s">
        <v>21</v>
      </c>
      <c r="I1149" s="26">
        <f>620.46+1.2</f>
        <v>621.66000000000008</v>
      </c>
      <c r="J1149" s="26">
        <f t="shared" ref="J1149:K1149" si="467">620.46</f>
        <v>620.46</v>
      </c>
      <c r="K1149" s="26">
        <f t="shared" si="467"/>
        <v>620.46</v>
      </c>
      <c r="L1149" s="16">
        <v>8010010010</v>
      </c>
      <c r="M1149" s="16" t="str">
        <f t="shared" si="438"/>
        <v>8010010010</v>
      </c>
      <c r="N1149" s="16" t="str">
        <f t="shared" si="439"/>
        <v>61701048010010010120</v>
      </c>
    </row>
    <row r="1150" spans="2:14" s="16" customFormat="1" ht="25.5">
      <c r="B1150" s="14"/>
      <c r="C1150" s="197" t="s">
        <v>28</v>
      </c>
      <c r="D1150" s="203" t="s">
        <v>746</v>
      </c>
      <c r="E1150" s="204" t="s">
        <v>11</v>
      </c>
      <c r="F1150" s="204" t="s">
        <v>73</v>
      </c>
      <c r="G1150" s="204" t="s">
        <v>751</v>
      </c>
      <c r="H1150" s="204" t="s">
        <v>29</v>
      </c>
      <c r="I1150" s="26">
        <f>2820.75+500-1.2</f>
        <v>3319.55</v>
      </c>
      <c r="J1150" s="26">
        <f t="shared" ref="J1150:K1150" si="468">2820.75+500</f>
        <v>3320.75</v>
      </c>
      <c r="K1150" s="26">
        <f t="shared" si="468"/>
        <v>3320.75</v>
      </c>
      <c r="L1150" s="16">
        <v>8010010010</v>
      </c>
      <c r="M1150" s="16" t="str">
        <f t="shared" si="438"/>
        <v>8010010010</v>
      </c>
      <c r="N1150" s="16" t="str">
        <f t="shared" si="439"/>
        <v>61701048010010010240</v>
      </c>
    </row>
    <row r="1151" spans="2:14" s="16" customFormat="1">
      <c r="B1151" s="14"/>
      <c r="C1151" s="197" t="s">
        <v>32</v>
      </c>
      <c r="D1151" s="203" t="s">
        <v>746</v>
      </c>
      <c r="E1151" s="204" t="s">
        <v>11</v>
      </c>
      <c r="F1151" s="204" t="s">
        <v>73</v>
      </c>
      <c r="G1151" s="204" t="s">
        <v>751</v>
      </c>
      <c r="H1151" s="204" t="s">
        <v>33</v>
      </c>
      <c r="I1151" s="26">
        <f>20+77</f>
        <v>97</v>
      </c>
      <c r="J1151" s="26">
        <f t="shared" ref="J1151:K1151" si="469">20+77</f>
        <v>97</v>
      </c>
      <c r="K1151" s="26">
        <f t="shared" si="469"/>
        <v>97</v>
      </c>
      <c r="L1151" s="16">
        <v>8010010010</v>
      </c>
      <c r="M1151" s="16" t="str">
        <f t="shared" si="438"/>
        <v>8010010010</v>
      </c>
      <c r="N1151" s="16" t="str">
        <f t="shared" si="439"/>
        <v>61701048010010010850</v>
      </c>
    </row>
    <row r="1152" spans="2:14" s="16" customFormat="1" ht="25.5">
      <c r="B1152" s="14"/>
      <c r="C1152" s="197" t="s">
        <v>38</v>
      </c>
      <c r="D1152" s="203" t="s">
        <v>746</v>
      </c>
      <c r="E1152" s="204" t="s">
        <v>11</v>
      </c>
      <c r="F1152" s="204" t="s">
        <v>73</v>
      </c>
      <c r="G1152" s="204" t="s">
        <v>752</v>
      </c>
      <c r="H1152" s="204" t="s">
        <v>9</v>
      </c>
      <c r="I1152" s="20">
        <f>I1153</f>
        <v>28603.72</v>
      </c>
      <c r="J1152" s="20">
        <f>J1153</f>
        <v>29614.210000000003</v>
      </c>
      <c r="K1152" s="20">
        <f>K1153</f>
        <v>29614.210000000003</v>
      </c>
      <c r="L1152" s="16">
        <v>8010010020</v>
      </c>
      <c r="M1152" s="16" t="str">
        <f t="shared" si="438"/>
        <v>8010010020</v>
      </c>
      <c r="N1152" s="16" t="str">
        <f t="shared" si="439"/>
        <v>61701048010010020000</v>
      </c>
    </row>
    <row r="1153" spans="2:14" s="16" customFormat="1" ht="25.5">
      <c r="B1153" s="14"/>
      <c r="C1153" s="200" t="s">
        <v>20</v>
      </c>
      <c r="D1153" s="203" t="s">
        <v>746</v>
      </c>
      <c r="E1153" s="204" t="s">
        <v>11</v>
      </c>
      <c r="F1153" s="204" t="s">
        <v>73</v>
      </c>
      <c r="G1153" s="204" t="s">
        <v>752</v>
      </c>
      <c r="H1153" s="204" t="s">
        <v>21</v>
      </c>
      <c r="I1153" s="20">
        <f>21637.73+6534.57+49.51+138.41+117.65+12.79+113.06</f>
        <v>28603.72</v>
      </c>
      <c r="J1153" s="20">
        <f>21637.73+6534.57+1128.56+117.65+195.7</f>
        <v>29614.210000000003</v>
      </c>
      <c r="K1153" s="20">
        <f>21637.73+6534.57+1128.56+117.65+195.7</f>
        <v>29614.210000000003</v>
      </c>
      <c r="L1153" s="16">
        <v>8010010020</v>
      </c>
      <c r="M1153" s="16" t="str">
        <f t="shared" si="438"/>
        <v>8010010020</v>
      </c>
      <c r="N1153" s="16" t="str">
        <f t="shared" si="439"/>
        <v>61701048010010020120</v>
      </c>
    </row>
    <row r="1154" spans="2:14" s="16" customFormat="1" ht="51">
      <c r="B1154" s="14" t="s">
        <v>80</v>
      </c>
      <c r="C1154" s="252" t="s">
        <v>488</v>
      </c>
      <c r="D1154" s="203" t="s">
        <v>746</v>
      </c>
      <c r="E1154" s="204" t="s">
        <v>11</v>
      </c>
      <c r="F1154" s="204" t="s">
        <v>73</v>
      </c>
      <c r="G1154" s="204" t="s">
        <v>753</v>
      </c>
      <c r="H1154" s="204" t="s">
        <v>9</v>
      </c>
      <c r="I1154" s="20">
        <f>I1155+I1156</f>
        <v>1083.6600000000001</v>
      </c>
      <c r="J1154" s="20">
        <f>J1155+J1156</f>
        <v>1047.75</v>
      </c>
      <c r="K1154" s="20">
        <f>K1155+K1156</f>
        <v>1047.75</v>
      </c>
      <c r="L1154" s="16">
        <v>8010076200</v>
      </c>
      <c r="M1154" s="16" t="str">
        <f t="shared" si="438"/>
        <v>8010076200</v>
      </c>
      <c r="N1154" s="16" t="str">
        <f t="shared" si="439"/>
        <v>61701048010076200000</v>
      </c>
    </row>
    <row r="1155" spans="2:14" s="16" customFormat="1" ht="25.5">
      <c r="B1155" s="14"/>
      <c r="C1155" s="201" t="s">
        <v>20</v>
      </c>
      <c r="D1155" s="203" t="s">
        <v>746</v>
      </c>
      <c r="E1155" s="204" t="s">
        <v>11</v>
      </c>
      <c r="F1155" s="204" t="s">
        <v>73</v>
      </c>
      <c r="G1155" s="204" t="s">
        <v>753</v>
      </c>
      <c r="H1155" s="204" t="s">
        <v>21</v>
      </c>
      <c r="I1155" s="26">
        <f>989.33+35.91</f>
        <v>1025.24</v>
      </c>
      <c r="J1155" s="26">
        <f>989.33</f>
        <v>989.33</v>
      </c>
      <c r="K1155" s="26">
        <f>989.33</f>
        <v>989.33</v>
      </c>
      <c r="L1155" s="16">
        <v>8010076200</v>
      </c>
      <c r="M1155" s="16" t="str">
        <f t="shared" si="438"/>
        <v>8010076200</v>
      </c>
      <c r="N1155" s="16" t="str">
        <f t="shared" si="439"/>
        <v>61701048010076200120</v>
      </c>
    </row>
    <row r="1156" spans="2:14" s="16" customFormat="1" ht="25.5">
      <c r="B1156" s="14"/>
      <c r="C1156" s="197" t="s">
        <v>28</v>
      </c>
      <c r="D1156" s="203" t="s">
        <v>746</v>
      </c>
      <c r="E1156" s="204" t="s">
        <v>11</v>
      </c>
      <c r="F1156" s="204" t="s">
        <v>73</v>
      </c>
      <c r="G1156" s="204" t="s">
        <v>753</v>
      </c>
      <c r="H1156" s="204" t="s">
        <v>29</v>
      </c>
      <c r="I1156" s="26">
        <f>58.42</f>
        <v>58.42</v>
      </c>
      <c r="J1156" s="26">
        <f>58.42</f>
        <v>58.42</v>
      </c>
      <c r="K1156" s="26">
        <f>58.42</f>
        <v>58.42</v>
      </c>
      <c r="L1156" s="16">
        <v>8010076200</v>
      </c>
      <c r="M1156" s="16" t="str">
        <f t="shared" si="438"/>
        <v>8010076200</v>
      </c>
      <c r="N1156" s="16" t="str">
        <f t="shared" si="439"/>
        <v>61701048010076200240</v>
      </c>
    </row>
    <row r="1157" spans="2:14" s="16" customFormat="1" ht="51">
      <c r="B1157" s="14" t="s">
        <v>80</v>
      </c>
      <c r="C1157" s="201" t="s">
        <v>754</v>
      </c>
      <c r="D1157" s="203" t="s">
        <v>746</v>
      </c>
      <c r="E1157" s="204" t="s">
        <v>11</v>
      </c>
      <c r="F1157" s="204" t="s">
        <v>73</v>
      </c>
      <c r="G1157" s="204" t="s">
        <v>755</v>
      </c>
      <c r="H1157" s="204" t="s">
        <v>9</v>
      </c>
      <c r="I1157" s="26">
        <f>I1158</f>
        <v>70.900000000000006</v>
      </c>
      <c r="J1157" s="26">
        <f>J1158</f>
        <v>70.900000000000006</v>
      </c>
      <c r="K1157" s="26">
        <f>K1158</f>
        <v>70.900000000000006</v>
      </c>
      <c r="L1157" s="16">
        <v>8010076360</v>
      </c>
      <c r="M1157" s="16" t="str">
        <f t="shared" si="438"/>
        <v>8010076360</v>
      </c>
      <c r="N1157" s="16" t="str">
        <f t="shared" si="439"/>
        <v>61701048010076360000</v>
      </c>
    </row>
    <row r="1158" spans="2:14" s="16" customFormat="1" ht="25.5">
      <c r="B1158" s="14"/>
      <c r="C1158" s="197" t="s">
        <v>28</v>
      </c>
      <c r="D1158" s="203" t="s">
        <v>746</v>
      </c>
      <c r="E1158" s="204" t="s">
        <v>11</v>
      </c>
      <c r="F1158" s="204" t="s">
        <v>73</v>
      </c>
      <c r="G1158" s="204" t="s">
        <v>755</v>
      </c>
      <c r="H1158" s="204" t="s">
        <v>29</v>
      </c>
      <c r="I1158" s="26">
        <f>70.9</f>
        <v>70.900000000000006</v>
      </c>
      <c r="J1158" s="26">
        <f t="shared" ref="J1158:K1158" si="470">70.9</f>
        <v>70.900000000000006</v>
      </c>
      <c r="K1158" s="26">
        <f t="shared" si="470"/>
        <v>70.900000000000006</v>
      </c>
      <c r="L1158" s="16">
        <v>8010076360</v>
      </c>
      <c r="M1158" s="16" t="str">
        <f t="shared" ref="M1158:M1221" si="471">TEXT(L1158,"0000000000")</f>
        <v>8010076360</v>
      </c>
      <c r="N1158" s="16" t="str">
        <f t="shared" ref="N1158:N1221" si="472">D1158&amp;E1158&amp;F1158&amp;M1158&amp;H1158</f>
        <v>61701048010076360240</v>
      </c>
    </row>
    <row r="1159" spans="2:14" s="16" customFormat="1" ht="191.25">
      <c r="B1159" s="14" t="s">
        <v>2282</v>
      </c>
      <c r="C1159" s="197" t="s">
        <v>2269</v>
      </c>
      <c r="D1159" s="203" t="s">
        <v>746</v>
      </c>
      <c r="E1159" s="204" t="s">
        <v>11</v>
      </c>
      <c r="F1159" s="204" t="s">
        <v>73</v>
      </c>
      <c r="G1159" s="204" t="s">
        <v>1309</v>
      </c>
      <c r="H1159" s="204" t="s">
        <v>9</v>
      </c>
      <c r="I1159" s="26">
        <f>I1160</f>
        <v>927.85</v>
      </c>
      <c r="J1159" s="26">
        <f>J1160</f>
        <v>0</v>
      </c>
      <c r="K1159" s="26">
        <f>K1160</f>
        <v>0</v>
      </c>
      <c r="L1159" s="16">
        <v>8010077460</v>
      </c>
      <c r="M1159" s="16" t="str">
        <f t="shared" si="471"/>
        <v>8010077460</v>
      </c>
      <c r="N1159" s="16" t="str">
        <f t="shared" si="472"/>
        <v>61701048010077460000</v>
      </c>
    </row>
    <row r="1160" spans="2:14" s="16" customFormat="1" ht="25.5">
      <c r="B1160" s="14"/>
      <c r="C1160" s="201" t="s">
        <v>20</v>
      </c>
      <c r="D1160" s="203" t="s">
        <v>746</v>
      </c>
      <c r="E1160" s="204" t="s">
        <v>11</v>
      </c>
      <c r="F1160" s="204" t="s">
        <v>73</v>
      </c>
      <c r="G1160" s="204" t="s">
        <v>1309</v>
      </c>
      <c r="H1160" s="204" t="s">
        <v>21</v>
      </c>
      <c r="I1160" s="26">
        <f>940.64-12.79</f>
        <v>927.85</v>
      </c>
      <c r="J1160" s="26">
        <v>0</v>
      </c>
      <c r="K1160" s="26">
        <v>0</v>
      </c>
      <c r="L1160" s="16">
        <v>8010077460</v>
      </c>
      <c r="M1160" s="16" t="str">
        <f t="shared" si="471"/>
        <v>8010077460</v>
      </c>
      <c r="N1160" s="16" t="str">
        <f t="shared" si="472"/>
        <v>61701048010077460120</v>
      </c>
    </row>
    <row r="1161" spans="2:14" s="16" customFormat="1" ht="165.75">
      <c r="B1161" s="14"/>
      <c r="C1161" s="200" t="s">
        <v>2247</v>
      </c>
      <c r="D1161" s="203" t="s">
        <v>746</v>
      </c>
      <c r="E1161" s="204" t="s">
        <v>11</v>
      </c>
      <c r="F1161" s="204" t="s">
        <v>73</v>
      </c>
      <c r="G1161" s="204" t="s">
        <v>2289</v>
      </c>
      <c r="H1161" s="204" t="s">
        <v>9</v>
      </c>
      <c r="I1161" s="26">
        <f>I1162</f>
        <v>17.41</v>
      </c>
      <c r="J1161" s="26">
        <f>J1162</f>
        <v>0</v>
      </c>
      <c r="K1161" s="26">
        <f>K1162</f>
        <v>0</v>
      </c>
      <c r="L1161" s="16">
        <v>8010077580</v>
      </c>
      <c r="M1161" s="16" t="str">
        <f t="shared" si="471"/>
        <v>8010077580</v>
      </c>
      <c r="N1161" s="16" t="str">
        <f t="shared" si="472"/>
        <v>61701048010077580000</v>
      </c>
    </row>
    <row r="1162" spans="2:14" s="16" customFormat="1" ht="25.5">
      <c r="B1162" s="14"/>
      <c r="C1162" s="201" t="s">
        <v>20</v>
      </c>
      <c r="D1162" s="203" t="s">
        <v>746</v>
      </c>
      <c r="E1162" s="204" t="s">
        <v>11</v>
      </c>
      <c r="F1162" s="204" t="s">
        <v>73</v>
      </c>
      <c r="G1162" s="204" t="s">
        <v>2289</v>
      </c>
      <c r="H1162" s="204" t="s">
        <v>21</v>
      </c>
      <c r="I1162" s="26">
        <f>17.41</f>
        <v>17.41</v>
      </c>
      <c r="J1162" s="26">
        <v>0</v>
      </c>
      <c r="K1162" s="26">
        <v>0</v>
      </c>
      <c r="L1162" s="16">
        <v>8010077580</v>
      </c>
      <c r="M1162" s="16" t="str">
        <f t="shared" si="471"/>
        <v>8010077580</v>
      </c>
      <c r="N1162" s="16" t="str">
        <f t="shared" si="472"/>
        <v>61701048010077580120</v>
      </c>
    </row>
    <row r="1163" spans="2:14" s="16" customFormat="1">
      <c r="B1163" s="14"/>
      <c r="C1163" s="194" t="s">
        <v>50</v>
      </c>
      <c r="D1163" s="195" t="s">
        <v>746</v>
      </c>
      <c r="E1163" s="196" t="s">
        <v>11</v>
      </c>
      <c r="F1163" s="196" t="s">
        <v>51</v>
      </c>
      <c r="G1163" s="196" t="s">
        <v>8</v>
      </c>
      <c r="H1163" s="196" t="s">
        <v>9</v>
      </c>
      <c r="I1163" s="19">
        <f>I1164+I1171+I1175</f>
        <v>1635.41</v>
      </c>
      <c r="J1163" s="19">
        <f t="shared" ref="J1163:K1163" si="473">J1164+J1175</f>
        <v>390.2</v>
      </c>
      <c r="K1163" s="19">
        <f t="shared" si="473"/>
        <v>390.2</v>
      </c>
      <c r="L1163" s="16">
        <v>0</v>
      </c>
      <c r="M1163" s="16" t="str">
        <f t="shared" si="471"/>
        <v>0000000000</v>
      </c>
      <c r="N1163" s="16" t="str">
        <f t="shared" si="472"/>
        <v>61701130000000000000</v>
      </c>
    </row>
    <row r="1164" spans="2:14" s="16" customFormat="1" ht="38.25">
      <c r="B1164" s="14"/>
      <c r="C1164" s="205" t="s">
        <v>257</v>
      </c>
      <c r="D1164" s="203" t="s">
        <v>746</v>
      </c>
      <c r="E1164" s="204" t="s">
        <v>11</v>
      </c>
      <c r="F1164" s="204" t="s">
        <v>51</v>
      </c>
      <c r="G1164" s="204" t="s">
        <v>258</v>
      </c>
      <c r="H1164" s="204" t="s">
        <v>9</v>
      </c>
      <c r="I1164" s="26">
        <f t="shared" ref="I1164:K1167" si="474">I1165</f>
        <v>390.2</v>
      </c>
      <c r="J1164" s="26">
        <f t="shared" si="474"/>
        <v>390.2</v>
      </c>
      <c r="K1164" s="26">
        <f t="shared" si="474"/>
        <v>390.2</v>
      </c>
      <c r="L1164" s="16">
        <v>1100000000</v>
      </c>
      <c r="M1164" s="16" t="str">
        <f t="shared" si="471"/>
        <v>1100000000</v>
      </c>
      <c r="N1164" s="16" t="str">
        <f t="shared" si="472"/>
        <v>61701131100000000000</v>
      </c>
    </row>
    <row r="1165" spans="2:14" s="16" customFormat="1" ht="51">
      <c r="B1165" s="14"/>
      <c r="C1165" s="205" t="s">
        <v>259</v>
      </c>
      <c r="D1165" s="198" t="s">
        <v>746</v>
      </c>
      <c r="E1165" s="204" t="s">
        <v>11</v>
      </c>
      <c r="F1165" s="204" t="s">
        <v>51</v>
      </c>
      <c r="G1165" s="204" t="s">
        <v>260</v>
      </c>
      <c r="H1165" s="204" t="s">
        <v>9</v>
      </c>
      <c r="I1165" s="26">
        <f t="shared" si="474"/>
        <v>390.2</v>
      </c>
      <c r="J1165" s="26">
        <f t="shared" si="474"/>
        <v>390.2</v>
      </c>
      <c r="K1165" s="26">
        <f t="shared" si="474"/>
        <v>390.2</v>
      </c>
      <c r="L1165" s="16" t="s">
        <v>1171</v>
      </c>
      <c r="M1165" s="16" t="str">
        <f t="shared" si="471"/>
        <v>11Б0000000</v>
      </c>
      <c r="N1165" s="16" t="str">
        <f t="shared" si="472"/>
        <v>617011311Б0000000000</v>
      </c>
    </row>
    <row r="1166" spans="2:14" s="16" customFormat="1" ht="38.25">
      <c r="B1166" s="14"/>
      <c r="C1166" s="197" t="s">
        <v>261</v>
      </c>
      <c r="D1166" s="198" t="s">
        <v>746</v>
      </c>
      <c r="E1166" s="204" t="s">
        <v>11</v>
      </c>
      <c r="F1166" s="204" t="s">
        <v>51</v>
      </c>
      <c r="G1166" s="204" t="s">
        <v>262</v>
      </c>
      <c r="H1166" s="204" t="s">
        <v>9</v>
      </c>
      <c r="I1166" s="26">
        <f>I1167+I1169</f>
        <v>390.2</v>
      </c>
      <c r="J1166" s="26">
        <f>J1167+J1169</f>
        <v>390.2</v>
      </c>
      <c r="K1166" s="26">
        <f>K1167+K1169</f>
        <v>390.2</v>
      </c>
      <c r="L1166" s="16" t="s">
        <v>1172</v>
      </c>
      <c r="M1166" s="16" t="str">
        <f t="shared" si="471"/>
        <v>11Б0100000</v>
      </c>
      <c r="N1166" s="16" t="str">
        <f t="shared" si="472"/>
        <v>617011311Б0100000000</v>
      </c>
    </row>
    <row r="1167" spans="2:14" s="16" customFormat="1" ht="25.5">
      <c r="B1167" s="14"/>
      <c r="C1167" s="197" t="s">
        <v>756</v>
      </c>
      <c r="D1167" s="198" t="s">
        <v>746</v>
      </c>
      <c r="E1167" s="204" t="s">
        <v>11</v>
      </c>
      <c r="F1167" s="204" t="s">
        <v>51</v>
      </c>
      <c r="G1167" s="204" t="s">
        <v>757</v>
      </c>
      <c r="H1167" s="204" t="s">
        <v>9</v>
      </c>
      <c r="I1167" s="26">
        <f t="shared" si="474"/>
        <v>350</v>
      </c>
      <c r="J1167" s="26">
        <f t="shared" si="474"/>
        <v>350</v>
      </c>
      <c r="K1167" s="26">
        <f t="shared" si="474"/>
        <v>350</v>
      </c>
      <c r="L1167" s="16" t="s">
        <v>1230</v>
      </c>
      <c r="M1167" s="16" t="str">
        <f t="shared" si="471"/>
        <v>11Б0120840</v>
      </c>
      <c r="N1167" s="16" t="str">
        <f t="shared" si="472"/>
        <v>617011311Б0120840000</v>
      </c>
    </row>
    <row r="1168" spans="2:14" s="16" customFormat="1" ht="25.5">
      <c r="B1168" s="14"/>
      <c r="C1168" s="197" t="s">
        <v>28</v>
      </c>
      <c r="D1168" s="198" t="s">
        <v>746</v>
      </c>
      <c r="E1168" s="204" t="s">
        <v>11</v>
      </c>
      <c r="F1168" s="204" t="s">
        <v>51</v>
      </c>
      <c r="G1168" s="204" t="s">
        <v>757</v>
      </c>
      <c r="H1168" s="204" t="s">
        <v>29</v>
      </c>
      <c r="I1168" s="26">
        <f>390.2-40.2</f>
        <v>350</v>
      </c>
      <c r="J1168" s="26">
        <f t="shared" ref="J1168:K1168" si="475">390.2-40.2</f>
        <v>350</v>
      </c>
      <c r="K1168" s="26">
        <f t="shared" si="475"/>
        <v>350</v>
      </c>
      <c r="L1168" s="16" t="s">
        <v>1230</v>
      </c>
      <c r="M1168" s="16" t="str">
        <f t="shared" si="471"/>
        <v>11Б0120840</v>
      </c>
      <c r="N1168" s="16" t="str">
        <f t="shared" si="472"/>
        <v>617011311Б0120840240</v>
      </c>
    </row>
    <row r="1169" spans="2:14" s="16" customFormat="1" ht="25.5">
      <c r="B1169" s="14"/>
      <c r="C1169" s="197" t="s">
        <v>267</v>
      </c>
      <c r="D1169" s="198" t="s">
        <v>746</v>
      </c>
      <c r="E1169" s="199" t="s">
        <v>11</v>
      </c>
      <c r="F1169" s="199" t="s">
        <v>51</v>
      </c>
      <c r="G1169" s="230" t="s">
        <v>268</v>
      </c>
      <c r="H1169" s="199" t="s">
        <v>9</v>
      </c>
      <c r="I1169" s="20">
        <f>I1170</f>
        <v>40.200000000000003</v>
      </c>
      <c r="J1169" s="20">
        <f t="shared" ref="J1169:K1169" si="476">J1170</f>
        <v>40.200000000000003</v>
      </c>
      <c r="K1169" s="20">
        <f t="shared" si="476"/>
        <v>40.200000000000003</v>
      </c>
      <c r="L1169" s="16" t="s">
        <v>1175</v>
      </c>
      <c r="M1169" s="16" t="str">
        <f t="shared" si="471"/>
        <v>11Б0121120</v>
      </c>
      <c r="N1169" s="16" t="str">
        <f t="shared" si="472"/>
        <v>617011311Б0121120000</v>
      </c>
    </row>
    <row r="1170" spans="2:14" s="16" customFormat="1" ht="25.5">
      <c r="B1170" s="14"/>
      <c r="C1170" s="197" t="s">
        <v>28</v>
      </c>
      <c r="D1170" s="198" t="s">
        <v>746</v>
      </c>
      <c r="E1170" s="199" t="s">
        <v>11</v>
      </c>
      <c r="F1170" s="199" t="s">
        <v>51</v>
      </c>
      <c r="G1170" s="230" t="s">
        <v>268</v>
      </c>
      <c r="H1170" s="199" t="s">
        <v>29</v>
      </c>
      <c r="I1170" s="20">
        <f>40.2</f>
        <v>40.200000000000003</v>
      </c>
      <c r="J1170" s="20">
        <f t="shared" ref="J1170:K1170" si="477">40.2</f>
        <v>40.200000000000003</v>
      </c>
      <c r="K1170" s="20">
        <f t="shared" si="477"/>
        <v>40.200000000000003</v>
      </c>
      <c r="L1170" s="16" t="s">
        <v>1175</v>
      </c>
      <c r="M1170" s="16" t="str">
        <f t="shared" si="471"/>
        <v>11Б0121120</v>
      </c>
      <c r="N1170" s="16" t="str">
        <f t="shared" si="472"/>
        <v>617011311Б0121120240</v>
      </c>
    </row>
    <row r="1171" spans="2:14" s="16" customFormat="1" ht="25.5">
      <c r="B1171" s="14"/>
      <c r="C1171" s="226" t="s">
        <v>747</v>
      </c>
      <c r="D1171" s="203" t="s">
        <v>746</v>
      </c>
      <c r="E1171" s="199" t="s">
        <v>11</v>
      </c>
      <c r="F1171" s="199" t="s">
        <v>51</v>
      </c>
      <c r="G1171" s="204" t="s">
        <v>748</v>
      </c>
      <c r="H1171" s="204" t="s">
        <v>9</v>
      </c>
      <c r="I1171" s="316">
        <f>I1172</f>
        <v>30</v>
      </c>
      <c r="J1171" s="26">
        <f t="shared" ref="J1171:K1173" si="478">J1172</f>
        <v>0</v>
      </c>
      <c r="K1171" s="26">
        <f t="shared" si="478"/>
        <v>0</v>
      </c>
      <c r="L1171" s="16">
        <v>8000000000</v>
      </c>
      <c r="M1171" s="16" t="str">
        <f t="shared" si="471"/>
        <v>8000000000</v>
      </c>
      <c r="N1171" s="16" t="str">
        <f t="shared" si="472"/>
        <v>61701138000000000000</v>
      </c>
    </row>
    <row r="1172" spans="2:14" s="16" customFormat="1" ht="25.5">
      <c r="B1172" s="14"/>
      <c r="C1172" s="226" t="s">
        <v>749</v>
      </c>
      <c r="D1172" s="203" t="s">
        <v>746</v>
      </c>
      <c r="E1172" s="199" t="s">
        <v>11</v>
      </c>
      <c r="F1172" s="199" t="s">
        <v>51</v>
      </c>
      <c r="G1172" s="204" t="s">
        <v>750</v>
      </c>
      <c r="H1172" s="204" t="s">
        <v>9</v>
      </c>
      <c r="I1172" s="20">
        <f>I1173</f>
        <v>30</v>
      </c>
      <c r="J1172" s="26">
        <f t="shared" si="478"/>
        <v>0</v>
      </c>
      <c r="K1172" s="26">
        <f t="shared" si="478"/>
        <v>0</v>
      </c>
      <c r="L1172" s="16">
        <v>8010000000</v>
      </c>
      <c r="M1172" s="16" t="str">
        <f t="shared" si="471"/>
        <v>8010000000</v>
      </c>
      <c r="N1172" s="16" t="str">
        <f t="shared" si="472"/>
        <v>61701138010000000000</v>
      </c>
    </row>
    <row r="1173" spans="2:14" s="16" customFormat="1" ht="25.5">
      <c r="B1173" s="14"/>
      <c r="C1173" s="201" t="s">
        <v>187</v>
      </c>
      <c r="D1173" s="203" t="s">
        <v>746</v>
      </c>
      <c r="E1173" s="199" t="s">
        <v>11</v>
      </c>
      <c r="F1173" s="199" t="s">
        <v>51</v>
      </c>
      <c r="G1173" s="204" t="s">
        <v>1310</v>
      </c>
      <c r="H1173" s="204" t="s">
        <v>9</v>
      </c>
      <c r="I1173" s="20">
        <f>I1174</f>
        <v>30</v>
      </c>
      <c r="J1173" s="26">
        <f t="shared" si="478"/>
        <v>0</v>
      </c>
      <c r="K1173" s="26">
        <f t="shared" si="478"/>
        <v>0</v>
      </c>
      <c r="L1173" s="16">
        <v>8010020050</v>
      </c>
      <c r="M1173" s="16" t="str">
        <f t="shared" si="471"/>
        <v>8010020050</v>
      </c>
      <c r="N1173" s="16" t="str">
        <f t="shared" si="472"/>
        <v>61701138010020050000</v>
      </c>
    </row>
    <row r="1174" spans="2:14" s="16" customFormat="1">
      <c r="B1174" s="14"/>
      <c r="C1174" s="216" t="s">
        <v>189</v>
      </c>
      <c r="D1174" s="203" t="s">
        <v>746</v>
      </c>
      <c r="E1174" s="199" t="s">
        <v>11</v>
      </c>
      <c r="F1174" s="199" t="s">
        <v>51</v>
      </c>
      <c r="G1174" s="204" t="s">
        <v>1310</v>
      </c>
      <c r="H1174" s="204" t="s">
        <v>190</v>
      </c>
      <c r="I1174" s="20">
        <v>30</v>
      </c>
      <c r="J1174" s="26">
        <v>0</v>
      </c>
      <c r="K1174" s="26">
        <v>0</v>
      </c>
      <c r="L1174" s="16">
        <v>8010020050</v>
      </c>
      <c r="M1174" s="16" t="str">
        <f t="shared" si="471"/>
        <v>8010020050</v>
      </c>
      <c r="N1174" s="16" t="str">
        <f t="shared" si="472"/>
        <v>61701138010020050830</v>
      </c>
    </row>
    <row r="1175" spans="2:14" s="16" customFormat="1" ht="38.25">
      <c r="B1175" s="14"/>
      <c r="C1175" s="200" t="s">
        <v>87</v>
      </c>
      <c r="D1175" s="198" t="s">
        <v>746</v>
      </c>
      <c r="E1175" s="199" t="s">
        <v>11</v>
      </c>
      <c r="F1175" s="199" t="s">
        <v>51</v>
      </c>
      <c r="G1175" s="230" t="s">
        <v>88</v>
      </c>
      <c r="H1175" s="199" t="s">
        <v>9</v>
      </c>
      <c r="I1175" s="20">
        <f t="shared" ref="I1175:K1177" si="479">I1176</f>
        <v>1215.21</v>
      </c>
      <c r="J1175" s="20">
        <f t="shared" si="479"/>
        <v>0</v>
      </c>
      <c r="K1175" s="20">
        <f t="shared" si="479"/>
        <v>0</v>
      </c>
      <c r="L1175" s="16">
        <v>9800000000</v>
      </c>
      <c r="M1175" s="16" t="str">
        <f t="shared" si="471"/>
        <v>9800000000</v>
      </c>
      <c r="N1175" s="16" t="str">
        <f t="shared" si="472"/>
        <v>61701139800000000000</v>
      </c>
    </row>
    <row r="1176" spans="2:14" s="16" customFormat="1">
      <c r="B1176" s="14"/>
      <c r="C1176" s="200" t="s">
        <v>89</v>
      </c>
      <c r="D1176" s="198" t="s">
        <v>746</v>
      </c>
      <c r="E1176" s="199" t="s">
        <v>11</v>
      </c>
      <c r="F1176" s="199" t="s">
        <v>51</v>
      </c>
      <c r="G1176" s="230" t="s">
        <v>90</v>
      </c>
      <c r="H1176" s="199" t="s">
        <v>9</v>
      </c>
      <c r="I1176" s="20">
        <f t="shared" si="479"/>
        <v>1215.21</v>
      </c>
      <c r="J1176" s="20">
        <f t="shared" si="479"/>
        <v>0</v>
      </c>
      <c r="K1176" s="20">
        <f t="shared" si="479"/>
        <v>0</v>
      </c>
      <c r="L1176" s="16">
        <v>9810000000</v>
      </c>
      <c r="M1176" s="16" t="str">
        <f t="shared" si="471"/>
        <v>9810000000</v>
      </c>
      <c r="N1176" s="16" t="str">
        <f t="shared" si="472"/>
        <v>61701139810000000000</v>
      </c>
    </row>
    <row r="1177" spans="2:14" s="16" customFormat="1" ht="51">
      <c r="B1177" s="14"/>
      <c r="C1177" s="200" t="s">
        <v>758</v>
      </c>
      <c r="D1177" s="198" t="s">
        <v>746</v>
      </c>
      <c r="E1177" s="199" t="s">
        <v>11</v>
      </c>
      <c r="F1177" s="199" t="s">
        <v>51</v>
      </c>
      <c r="G1177" s="230" t="s">
        <v>759</v>
      </c>
      <c r="H1177" s="199" t="s">
        <v>9</v>
      </c>
      <c r="I1177" s="20">
        <f>I1178</f>
        <v>1215.21</v>
      </c>
      <c r="J1177" s="20">
        <f t="shared" si="479"/>
        <v>0</v>
      </c>
      <c r="K1177" s="20">
        <f t="shared" si="479"/>
        <v>0</v>
      </c>
      <c r="L1177" s="16">
        <v>9810021020</v>
      </c>
      <c r="M1177" s="16" t="str">
        <f t="shared" si="471"/>
        <v>9810021020</v>
      </c>
      <c r="N1177" s="16" t="str">
        <f t="shared" si="472"/>
        <v>61701139810021020000</v>
      </c>
    </row>
    <row r="1178" spans="2:14" s="16" customFormat="1" ht="25.5">
      <c r="B1178" s="14"/>
      <c r="C1178" s="197" t="s">
        <v>28</v>
      </c>
      <c r="D1178" s="198" t="s">
        <v>746</v>
      </c>
      <c r="E1178" s="199" t="s">
        <v>11</v>
      </c>
      <c r="F1178" s="199" t="s">
        <v>51</v>
      </c>
      <c r="G1178" s="230" t="s">
        <v>759</v>
      </c>
      <c r="H1178" s="204" t="s">
        <v>29</v>
      </c>
      <c r="I1178" s="20">
        <f>1355-139.79</f>
        <v>1215.21</v>
      </c>
      <c r="J1178" s="20">
        <v>0</v>
      </c>
      <c r="K1178" s="20">
        <v>0</v>
      </c>
      <c r="L1178" s="16">
        <v>9810021020</v>
      </c>
      <c r="M1178" s="16" t="str">
        <f t="shared" si="471"/>
        <v>9810021020</v>
      </c>
      <c r="N1178" s="16" t="str">
        <f t="shared" si="472"/>
        <v>61701139810021020240</v>
      </c>
    </row>
    <row r="1179" spans="2:14" s="16" customFormat="1">
      <c r="B1179" s="14"/>
      <c r="C1179" s="191" t="s">
        <v>195</v>
      </c>
      <c r="D1179" s="192" t="s">
        <v>746</v>
      </c>
      <c r="E1179" s="193" t="s">
        <v>73</v>
      </c>
      <c r="F1179" s="193" t="s">
        <v>7</v>
      </c>
      <c r="G1179" s="193" t="s">
        <v>8</v>
      </c>
      <c r="H1179" s="193" t="s">
        <v>9</v>
      </c>
      <c r="I1179" s="18">
        <f t="shared" ref="I1179:K1182" si="480">I1180</f>
        <v>78959.820000000007</v>
      </c>
      <c r="J1179" s="18">
        <f t="shared" si="480"/>
        <v>81217.409999999989</v>
      </c>
      <c r="K1179" s="18">
        <f t="shared" si="480"/>
        <v>88601.17</v>
      </c>
      <c r="L1179" s="16">
        <v>0</v>
      </c>
      <c r="M1179" s="16" t="str">
        <f t="shared" si="471"/>
        <v>0000000000</v>
      </c>
      <c r="N1179" s="16" t="str">
        <f t="shared" si="472"/>
        <v>61704000000000000000</v>
      </c>
    </row>
    <row r="1180" spans="2:14" s="16" customFormat="1">
      <c r="B1180" s="14"/>
      <c r="C1180" s="194" t="s">
        <v>760</v>
      </c>
      <c r="D1180" s="195" t="s">
        <v>746</v>
      </c>
      <c r="E1180" s="196" t="s">
        <v>73</v>
      </c>
      <c r="F1180" s="196" t="s">
        <v>471</v>
      </c>
      <c r="G1180" s="196" t="s">
        <v>8</v>
      </c>
      <c r="H1180" s="196" t="s">
        <v>9</v>
      </c>
      <c r="I1180" s="19">
        <f>I1181+I1194</f>
        <v>78959.820000000007</v>
      </c>
      <c r="J1180" s="19">
        <f t="shared" ref="J1180:K1180" si="481">J1181+J1194</f>
        <v>81217.409999999989</v>
      </c>
      <c r="K1180" s="19">
        <f t="shared" si="481"/>
        <v>88601.17</v>
      </c>
      <c r="L1180" s="16">
        <v>0</v>
      </c>
      <c r="M1180" s="16" t="str">
        <f t="shared" si="471"/>
        <v>0000000000</v>
      </c>
      <c r="N1180" s="16" t="str">
        <f t="shared" si="472"/>
        <v>61704090000000000000</v>
      </c>
    </row>
    <row r="1181" spans="2:14" s="16" customFormat="1" ht="38.25">
      <c r="B1181" s="14"/>
      <c r="C1181" s="200" t="s">
        <v>293</v>
      </c>
      <c r="D1181" s="203" t="s">
        <v>746</v>
      </c>
      <c r="E1181" s="204" t="s">
        <v>73</v>
      </c>
      <c r="F1181" s="204" t="s">
        <v>471</v>
      </c>
      <c r="G1181" s="204" t="s">
        <v>294</v>
      </c>
      <c r="H1181" s="204" t="s">
        <v>9</v>
      </c>
      <c r="I1181" s="26">
        <f t="shared" si="480"/>
        <v>77141.55</v>
      </c>
      <c r="J1181" s="26">
        <f t="shared" si="480"/>
        <v>81217.409999999989</v>
      </c>
      <c r="K1181" s="26">
        <f t="shared" si="480"/>
        <v>88601.17</v>
      </c>
      <c r="L1181" s="16">
        <v>400000000</v>
      </c>
      <c r="M1181" s="16" t="str">
        <f t="shared" si="471"/>
        <v>0400000000</v>
      </c>
      <c r="N1181" s="16" t="str">
        <f t="shared" si="472"/>
        <v>61704090400000000000</v>
      </c>
    </row>
    <row r="1182" spans="2:14" s="16" customFormat="1" ht="38.25">
      <c r="B1182" s="14"/>
      <c r="C1182" s="226" t="s">
        <v>295</v>
      </c>
      <c r="D1182" s="203" t="s">
        <v>746</v>
      </c>
      <c r="E1182" s="204" t="s">
        <v>73</v>
      </c>
      <c r="F1182" s="204" t="s">
        <v>471</v>
      </c>
      <c r="G1182" s="204" t="s">
        <v>296</v>
      </c>
      <c r="H1182" s="204" t="s">
        <v>9</v>
      </c>
      <c r="I1182" s="26">
        <f t="shared" si="480"/>
        <v>77141.55</v>
      </c>
      <c r="J1182" s="26">
        <f t="shared" si="480"/>
        <v>81217.409999999989</v>
      </c>
      <c r="K1182" s="26">
        <f t="shared" si="480"/>
        <v>88601.17</v>
      </c>
      <c r="L1182" s="16">
        <v>420000000</v>
      </c>
      <c r="M1182" s="16" t="str">
        <f t="shared" si="471"/>
        <v>0420000000</v>
      </c>
      <c r="N1182" s="16" t="str">
        <f t="shared" si="472"/>
        <v>61704090420000000000</v>
      </c>
    </row>
    <row r="1183" spans="2:14" s="16" customFormat="1" ht="38.25">
      <c r="B1183" s="14"/>
      <c r="C1183" s="226" t="s">
        <v>297</v>
      </c>
      <c r="D1183" s="203" t="s">
        <v>746</v>
      </c>
      <c r="E1183" s="204" t="s">
        <v>73</v>
      </c>
      <c r="F1183" s="204" t="s">
        <v>471</v>
      </c>
      <c r="G1183" s="204" t="s">
        <v>298</v>
      </c>
      <c r="H1183" s="204" t="s">
        <v>9</v>
      </c>
      <c r="I1183" s="26">
        <f>I1188+I1184+I1190</f>
        <v>77141.55</v>
      </c>
      <c r="J1183" s="26">
        <f t="shared" ref="J1183:K1183" si="482">J1188+J1184+J1190</f>
        <v>81217.409999999989</v>
      </c>
      <c r="K1183" s="26">
        <f t="shared" si="482"/>
        <v>88601.17</v>
      </c>
      <c r="L1183" s="16">
        <v>420200000</v>
      </c>
      <c r="M1183" s="16" t="str">
        <f t="shared" si="471"/>
        <v>0420200000</v>
      </c>
      <c r="N1183" s="16" t="str">
        <f t="shared" si="472"/>
        <v>61704090420200000000</v>
      </c>
    </row>
    <row r="1184" spans="2:14" s="47" customFormat="1" ht="25.5">
      <c r="B1184" s="46"/>
      <c r="C1184" s="197" t="s">
        <v>761</v>
      </c>
      <c r="D1184" s="198" t="s">
        <v>746</v>
      </c>
      <c r="E1184" s="199" t="s">
        <v>73</v>
      </c>
      <c r="F1184" s="199" t="s">
        <v>471</v>
      </c>
      <c r="G1184" s="199" t="s">
        <v>762</v>
      </c>
      <c r="H1184" s="199" t="s">
        <v>9</v>
      </c>
      <c r="I1184" s="20">
        <f>I1187</f>
        <v>10916.41</v>
      </c>
      <c r="J1184" s="20">
        <f>J1187</f>
        <v>10379.76</v>
      </c>
      <c r="K1184" s="20">
        <f>K1187</f>
        <v>10379.76</v>
      </c>
      <c r="L1184" s="47">
        <v>420220820</v>
      </c>
      <c r="M1184" s="16" t="str">
        <f t="shared" si="471"/>
        <v>0420220820</v>
      </c>
      <c r="N1184" s="16" t="str">
        <f t="shared" si="472"/>
        <v>61704090420220820000</v>
      </c>
    </row>
    <row r="1185" spans="2:14" s="47" customFormat="1">
      <c r="B1185" s="46"/>
      <c r="C1185" s="220" t="s">
        <v>1104</v>
      </c>
      <c r="D1185" s="198"/>
      <c r="E1185" s="199"/>
      <c r="F1185" s="199"/>
      <c r="G1185" s="199"/>
      <c r="H1185" s="199"/>
      <c r="I1185" s="20"/>
      <c r="J1185" s="20"/>
      <c r="K1185" s="20"/>
      <c r="M1185" s="16" t="str">
        <f t="shared" si="471"/>
        <v>0000000000</v>
      </c>
      <c r="N1185" s="16" t="str">
        <f t="shared" si="472"/>
        <v>0000000000</v>
      </c>
    </row>
    <row r="1186" spans="2:14" s="47" customFormat="1">
      <c r="B1186" s="46"/>
      <c r="C1186" s="221" t="s">
        <v>1105</v>
      </c>
      <c r="D1186" s="222" t="s">
        <v>746</v>
      </c>
      <c r="E1186" s="223" t="s">
        <v>73</v>
      </c>
      <c r="F1186" s="223" t="s">
        <v>471</v>
      </c>
      <c r="G1186" s="223" t="s">
        <v>762</v>
      </c>
      <c r="H1186" s="223" t="s">
        <v>9</v>
      </c>
      <c r="I1186" s="224">
        <f>449.11+240.54</f>
        <v>689.65</v>
      </c>
      <c r="J1186" s="224">
        <v>0</v>
      </c>
      <c r="K1186" s="224">
        <v>0</v>
      </c>
      <c r="L1186" s="47">
        <v>420220820</v>
      </c>
      <c r="M1186" s="16" t="str">
        <f t="shared" si="471"/>
        <v>0420220820</v>
      </c>
      <c r="N1186" s="16" t="str">
        <f t="shared" si="472"/>
        <v>61704090420220820000</v>
      </c>
    </row>
    <row r="1187" spans="2:14" s="47" customFormat="1" ht="25.5">
      <c r="B1187" s="46"/>
      <c r="C1187" s="197" t="s">
        <v>28</v>
      </c>
      <c r="D1187" s="198" t="s">
        <v>746</v>
      </c>
      <c r="E1187" s="199" t="s">
        <v>73</v>
      </c>
      <c r="F1187" s="199" t="s">
        <v>471</v>
      </c>
      <c r="G1187" s="199" t="s">
        <v>762</v>
      </c>
      <c r="H1187" s="199" t="s">
        <v>29</v>
      </c>
      <c r="I1187" s="20">
        <f>3240+7139.76+I1186+447-600</f>
        <v>10916.41</v>
      </c>
      <c r="J1187" s="20">
        <f>3240+7139.76</f>
        <v>10379.76</v>
      </c>
      <c r="K1187" s="20">
        <f>3240+7139.76</f>
        <v>10379.76</v>
      </c>
      <c r="L1187" s="47">
        <v>420220820</v>
      </c>
      <c r="M1187" s="16" t="str">
        <f t="shared" si="471"/>
        <v>0420220820</v>
      </c>
      <c r="N1187" s="16" t="str">
        <f t="shared" si="472"/>
        <v>61704090420220820240</v>
      </c>
    </row>
    <row r="1188" spans="2:14" s="16" customFormat="1" ht="25.5">
      <c r="B1188" s="14"/>
      <c r="C1188" s="197" t="s">
        <v>763</v>
      </c>
      <c r="D1188" s="198" t="s">
        <v>746</v>
      </c>
      <c r="E1188" s="199" t="s">
        <v>73</v>
      </c>
      <c r="F1188" s="199" t="s">
        <v>471</v>
      </c>
      <c r="G1188" s="199" t="s">
        <v>764</v>
      </c>
      <c r="H1188" s="199" t="s">
        <v>9</v>
      </c>
      <c r="I1188" s="20">
        <f>I1189</f>
        <v>64225.14</v>
      </c>
      <c r="J1188" s="20">
        <f>J1189</f>
        <v>70837.649999999994</v>
      </c>
      <c r="K1188" s="20">
        <f>K1189</f>
        <v>78221.41</v>
      </c>
      <c r="L1188" s="16">
        <v>420221090</v>
      </c>
      <c r="M1188" s="16" t="str">
        <f t="shared" si="471"/>
        <v>0420221090</v>
      </c>
      <c r="N1188" s="16" t="str">
        <f t="shared" si="472"/>
        <v>61704090420221090000</v>
      </c>
    </row>
    <row r="1189" spans="2:14" s="16" customFormat="1" ht="25.5">
      <c r="B1189" s="14"/>
      <c r="C1189" s="197" t="s">
        <v>28</v>
      </c>
      <c r="D1189" s="198" t="s">
        <v>746</v>
      </c>
      <c r="E1189" s="199" t="s">
        <v>73</v>
      </c>
      <c r="F1189" s="199" t="s">
        <v>471</v>
      </c>
      <c r="G1189" s="199" t="s">
        <v>764</v>
      </c>
      <c r="H1189" s="199" t="s">
        <v>29</v>
      </c>
      <c r="I1189" s="20">
        <f>67125.14-3000+100</f>
        <v>64225.14</v>
      </c>
      <c r="J1189" s="20">
        <f>73837.65-3000</f>
        <v>70837.649999999994</v>
      </c>
      <c r="K1189" s="20">
        <f>81221.41-3000</f>
        <v>78221.41</v>
      </c>
      <c r="L1189" s="16">
        <v>420221090</v>
      </c>
      <c r="M1189" s="16" t="str">
        <f t="shared" si="471"/>
        <v>0420221090</v>
      </c>
      <c r="N1189" s="16" t="str">
        <f t="shared" si="472"/>
        <v>61704090420221090240</v>
      </c>
    </row>
    <row r="1190" spans="2:14" s="16" customFormat="1" ht="63.75">
      <c r="B1190" s="14" t="s">
        <v>2282</v>
      </c>
      <c r="C1190" s="197" t="s">
        <v>1075</v>
      </c>
      <c r="D1190" s="198" t="s">
        <v>746</v>
      </c>
      <c r="E1190" s="199" t="s">
        <v>73</v>
      </c>
      <c r="F1190" s="199" t="s">
        <v>471</v>
      </c>
      <c r="G1190" s="199" t="s">
        <v>1076</v>
      </c>
      <c r="H1190" s="199" t="s">
        <v>9</v>
      </c>
      <c r="I1190" s="20">
        <f>I1193</f>
        <v>2000</v>
      </c>
      <c r="J1190" s="20">
        <f t="shared" ref="J1190:K1190" si="483">J1193</f>
        <v>0</v>
      </c>
      <c r="K1190" s="20">
        <f t="shared" si="483"/>
        <v>0</v>
      </c>
      <c r="L1190" s="16">
        <v>420221410</v>
      </c>
      <c r="M1190" s="16" t="str">
        <f t="shared" si="471"/>
        <v>0420221410</v>
      </c>
      <c r="N1190" s="16" t="str">
        <f t="shared" si="472"/>
        <v>61704090420221410000</v>
      </c>
    </row>
    <row r="1191" spans="2:14" s="16" customFormat="1">
      <c r="B1191" s="14"/>
      <c r="C1191" s="220" t="s">
        <v>1104</v>
      </c>
      <c r="D1191" s="198"/>
      <c r="E1191" s="199"/>
      <c r="F1191" s="199"/>
      <c r="G1191" s="199"/>
      <c r="H1191" s="199"/>
      <c r="I1191" s="20"/>
      <c r="J1191" s="20"/>
      <c r="K1191" s="20"/>
      <c r="M1191" s="16" t="str">
        <f t="shared" si="471"/>
        <v>0000000000</v>
      </c>
      <c r="N1191" s="16" t="str">
        <f t="shared" si="472"/>
        <v>0000000000</v>
      </c>
    </row>
    <row r="1192" spans="2:14" s="16" customFormat="1">
      <c r="B1192" s="14"/>
      <c r="C1192" s="318" t="s">
        <v>1105</v>
      </c>
      <c r="D1192" s="322" t="s">
        <v>746</v>
      </c>
      <c r="E1192" s="319" t="s">
        <v>73</v>
      </c>
      <c r="F1192" s="319" t="s">
        <v>471</v>
      </c>
      <c r="G1192" s="319" t="s">
        <v>1076</v>
      </c>
      <c r="H1192" s="319" t="s">
        <v>9</v>
      </c>
      <c r="I1192" s="320">
        <f>2000</f>
        <v>2000</v>
      </c>
      <c r="J1192" s="320">
        <v>0</v>
      </c>
      <c r="K1192" s="320">
        <v>0</v>
      </c>
      <c r="L1192" s="16">
        <v>420221410</v>
      </c>
      <c r="M1192" s="16" t="str">
        <f t="shared" si="471"/>
        <v>0420221410</v>
      </c>
      <c r="N1192" s="16" t="str">
        <f t="shared" si="472"/>
        <v>61704090420221410000</v>
      </c>
    </row>
    <row r="1193" spans="2:14" s="16" customFormat="1" ht="25.5">
      <c r="B1193" s="14"/>
      <c r="C1193" s="197" t="s">
        <v>28</v>
      </c>
      <c r="D1193" s="198" t="s">
        <v>746</v>
      </c>
      <c r="E1193" s="199" t="s">
        <v>73</v>
      </c>
      <c r="F1193" s="199" t="s">
        <v>471</v>
      </c>
      <c r="G1193" s="199" t="s">
        <v>1076</v>
      </c>
      <c r="H1193" s="199" t="s">
        <v>29</v>
      </c>
      <c r="I1193" s="20">
        <f>I1192</f>
        <v>2000</v>
      </c>
      <c r="J1193" s="20">
        <f t="shared" ref="J1193:K1193" si="484">J1192</f>
        <v>0</v>
      </c>
      <c r="K1193" s="20">
        <f t="shared" si="484"/>
        <v>0</v>
      </c>
      <c r="L1193" s="16">
        <v>420221410</v>
      </c>
      <c r="M1193" s="16" t="str">
        <f t="shared" si="471"/>
        <v>0420221410</v>
      </c>
      <c r="N1193" s="16" t="str">
        <f t="shared" si="472"/>
        <v>61704090420221410240</v>
      </c>
    </row>
    <row r="1194" spans="2:14" s="16" customFormat="1" ht="38.25">
      <c r="B1194" s="14"/>
      <c r="C1194" s="226" t="s">
        <v>87</v>
      </c>
      <c r="D1194" s="203" t="s">
        <v>746</v>
      </c>
      <c r="E1194" s="199" t="s">
        <v>73</v>
      </c>
      <c r="F1194" s="199" t="s">
        <v>471</v>
      </c>
      <c r="G1194" s="204" t="s">
        <v>88</v>
      </c>
      <c r="H1194" s="204" t="s">
        <v>9</v>
      </c>
      <c r="I1194" s="26">
        <f>I1195</f>
        <v>1818.27</v>
      </c>
      <c r="J1194" s="26">
        <f t="shared" ref="J1194:K1196" si="485">J1195</f>
        <v>0</v>
      </c>
      <c r="K1194" s="26">
        <f t="shared" si="485"/>
        <v>0</v>
      </c>
      <c r="L1194" s="16">
        <v>9800000000</v>
      </c>
      <c r="M1194" s="16" t="str">
        <f t="shared" si="471"/>
        <v>9800000000</v>
      </c>
      <c r="N1194" s="16" t="str">
        <f t="shared" si="472"/>
        <v>61704099800000000000</v>
      </c>
    </row>
    <row r="1195" spans="2:14" s="16" customFormat="1">
      <c r="B1195" s="14"/>
      <c r="C1195" s="226" t="s">
        <v>89</v>
      </c>
      <c r="D1195" s="203" t="s">
        <v>746</v>
      </c>
      <c r="E1195" s="199" t="s">
        <v>73</v>
      </c>
      <c r="F1195" s="199" t="s">
        <v>471</v>
      </c>
      <c r="G1195" s="204" t="s">
        <v>90</v>
      </c>
      <c r="H1195" s="204" t="s">
        <v>9</v>
      </c>
      <c r="I1195" s="26">
        <f>I1196</f>
        <v>1818.27</v>
      </c>
      <c r="J1195" s="26">
        <f t="shared" si="485"/>
        <v>0</v>
      </c>
      <c r="K1195" s="26">
        <f t="shared" si="485"/>
        <v>0</v>
      </c>
      <c r="L1195" s="16">
        <v>9810000000</v>
      </c>
      <c r="M1195" s="16" t="str">
        <f t="shared" si="471"/>
        <v>9810000000</v>
      </c>
      <c r="N1195" s="16" t="str">
        <f t="shared" si="472"/>
        <v>61704099810000000000</v>
      </c>
    </row>
    <row r="1196" spans="2:14" s="16" customFormat="1">
      <c r="B1196" s="14"/>
      <c r="C1196" s="197" t="s">
        <v>778</v>
      </c>
      <c r="D1196" s="203" t="s">
        <v>746</v>
      </c>
      <c r="E1196" s="199" t="s">
        <v>73</v>
      </c>
      <c r="F1196" s="199" t="s">
        <v>471</v>
      </c>
      <c r="G1196" s="204" t="s">
        <v>779</v>
      </c>
      <c r="H1196" s="204" t="s">
        <v>9</v>
      </c>
      <c r="I1196" s="26">
        <f>I1197</f>
        <v>1818.27</v>
      </c>
      <c r="J1196" s="26">
        <f t="shared" si="485"/>
        <v>0</v>
      </c>
      <c r="K1196" s="26">
        <f t="shared" si="485"/>
        <v>0</v>
      </c>
      <c r="L1196" s="16">
        <v>9810021450</v>
      </c>
      <c r="M1196" s="16" t="str">
        <f t="shared" si="471"/>
        <v>9810021450</v>
      </c>
      <c r="N1196" s="16" t="str">
        <f t="shared" si="472"/>
        <v>61704099810021450000</v>
      </c>
    </row>
    <row r="1197" spans="2:14" s="16" customFormat="1" ht="25.5">
      <c r="B1197" s="14"/>
      <c r="C1197" s="197" t="s">
        <v>28</v>
      </c>
      <c r="D1197" s="203" t="s">
        <v>746</v>
      </c>
      <c r="E1197" s="199" t="s">
        <v>73</v>
      </c>
      <c r="F1197" s="199" t="s">
        <v>471</v>
      </c>
      <c r="G1197" s="204" t="s">
        <v>779</v>
      </c>
      <c r="H1197" s="204" t="s">
        <v>29</v>
      </c>
      <c r="I1197" s="26">
        <f>1818.27</f>
        <v>1818.27</v>
      </c>
      <c r="J1197" s="26">
        <v>0</v>
      </c>
      <c r="K1197" s="26">
        <v>0</v>
      </c>
      <c r="L1197" s="16">
        <v>9810021450</v>
      </c>
      <c r="M1197" s="16" t="str">
        <f t="shared" si="471"/>
        <v>9810021450</v>
      </c>
      <c r="N1197" s="16" t="str">
        <f t="shared" si="472"/>
        <v>61704099810021450240</v>
      </c>
    </row>
    <row r="1198" spans="2:14" s="16" customFormat="1">
      <c r="B1198" s="14"/>
      <c r="C1198" s="191" t="s">
        <v>305</v>
      </c>
      <c r="D1198" s="192" t="s">
        <v>746</v>
      </c>
      <c r="E1198" s="193" t="s">
        <v>86</v>
      </c>
      <c r="F1198" s="193" t="s">
        <v>7</v>
      </c>
      <c r="G1198" s="193" t="s">
        <v>8</v>
      </c>
      <c r="H1198" s="193" t="s">
        <v>9</v>
      </c>
      <c r="I1198" s="18">
        <f>I1199+I1205</f>
        <v>36484.29</v>
      </c>
      <c r="J1198" s="18">
        <f>J1199+J1205</f>
        <v>20216.12</v>
      </c>
      <c r="K1198" s="18">
        <f>K1199+K1205</f>
        <v>20204.12</v>
      </c>
      <c r="L1198" s="16">
        <v>0</v>
      </c>
      <c r="M1198" s="16" t="str">
        <f t="shared" si="471"/>
        <v>0000000000</v>
      </c>
      <c r="N1198" s="16" t="str">
        <f t="shared" si="472"/>
        <v>61705000000000000000</v>
      </c>
    </row>
    <row r="1199" spans="2:14" s="16" customFormat="1">
      <c r="B1199" s="14"/>
      <c r="C1199" s="194" t="s">
        <v>765</v>
      </c>
      <c r="D1199" s="195" t="s">
        <v>746</v>
      </c>
      <c r="E1199" s="196" t="s">
        <v>86</v>
      </c>
      <c r="F1199" s="196" t="s">
        <v>11</v>
      </c>
      <c r="G1199" s="196" t="s">
        <v>8</v>
      </c>
      <c r="H1199" s="196" t="s">
        <v>9</v>
      </c>
      <c r="I1199" s="19">
        <f>I1200</f>
        <v>1543</v>
      </c>
      <c r="J1199" s="19">
        <f t="shared" ref="J1199:K1199" si="486">J1200</f>
        <v>1539</v>
      </c>
      <c r="K1199" s="19">
        <f t="shared" si="486"/>
        <v>1527</v>
      </c>
      <c r="L1199" s="16">
        <v>0</v>
      </c>
      <c r="M1199" s="16" t="str">
        <f t="shared" si="471"/>
        <v>0000000000</v>
      </c>
      <c r="N1199" s="16" t="str">
        <f t="shared" si="472"/>
        <v>61705010000000000000</v>
      </c>
    </row>
    <row r="1200" spans="2:14" s="16" customFormat="1" ht="38.25">
      <c r="B1200" s="14"/>
      <c r="C1200" s="200" t="s">
        <v>293</v>
      </c>
      <c r="D1200" s="203" t="s">
        <v>746</v>
      </c>
      <c r="E1200" s="204" t="s">
        <v>86</v>
      </c>
      <c r="F1200" s="204" t="s">
        <v>11</v>
      </c>
      <c r="G1200" s="204" t="s">
        <v>294</v>
      </c>
      <c r="H1200" s="204" t="s">
        <v>9</v>
      </c>
      <c r="I1200" s="26">
        <f t="shared" ref="I1200:K1203" si="487">I1201</f>
        <v>1543</v>
      </c>
      <c r="J1200" s="26">
        <f t="shared" si="487"/>
        <v>1539</v>
      </c>
      <c r="K1200" s="26">
        <f t="shared" si="487"/>
        <v>1527</v>
      </c>
      <c r="L1200" s="16">
        <v>400000000</v>
      </c>
      <c r="M1200" s="16" t="str">
        <f t="shared" si="471"/>
        <v>0400000000</v>
      </c>
      <c r="N1200" s="16" t="str">
        <f t="shared" si="472"/>
        <v>61705010400000000000</v>
      </c>
    </row>
    <row r="1201" spans="2:14" s="16" customFormat="1" ht="25.5">
      <c r="B1201" s="14"/>
      <c r="C1201" s="226" t="s">
        <v>766</v>
      </c>
      <c r="D1201" s="203" t="s">
        <v>746</v>
      </c>
      <c r="E1201" s="204" t="s">
        <v>86</v>
      </c>
      <c r="F1201" s="204" t="s">
        <v>11</v>
      </c>
      <c r="G1201" s="204" t="s">
        <v>767</v>
      </c>
      <c r="H1201" s="204" t="s">
        <v>9</v>
      </c>
      <c r="I1201" s="26">
        <f t="shared" si="487"/>
        <v>1543</v>
      </c>
      <c r="J1201" s="26">
        <f t="shared" si="487"/>
        <v>1539</v>
      </c>
      <c r="K1201" s="26">
        <f t="shared" si="487"/>
        <v>1527</v>
      </c>
      <c r="L1201" s="16">
        <v>410000000</v>
      </c>
      <c r="M1201" s="16" t="str">
        <f t="shared" si="471"/>
        <v>0410000000</v>
      </c>
      <c r="N1201" s="16" t="str">
        <f t="shared" si="472"/>
        <v>61705010410000000000</v>
      </c>
    </row>
    <row r="1202" spans="2:14" s="16" customFormat="1" ht="38.25">
      <c r="B1202" s="14"/>
      <c r="C1202" s="226" t="s">
        <v>768</v>
      </c>
      <c r="D1202" s="203" t="s">
        <v>746</v>
      </c>
      <c r="E1202" s="204" t="s">
        <v>86</v>
      </c>
      <c r="F1202" s="204" t="s">
        <v>11</v>
      </c>
      <c r="G1202" s="204" t="s">
        <v>769</v>
      </c>
      <c r="H1202" s="204" t="s">
        <v>9</v>
      </c>
      <c r="I1202" s="26">
        <f>I1203</f>
        <v>1543</v>
      </c>
      <c r="J1202" s="26">
        <f t="shared" si="487"/>
        <v>1539</v>
      </c>
      <c r="K1202" s="26">
        <f t="shared" si="487"/>
        <v>1527</v>
      </c>
      <c r="L1202" s="16">
        <v>410100000</v>
      </c>
      <c r="M1202" s="16" t="str">
        <f t="shared" si="471"/>
        <v>0410100000</v>
      </c>
      <c r="N1202" s="16" t="str">
        <f t="shared" si="472"/>
        <v>61705010410100000000</v>
      </c>
    </row>
    <row r="1203" spans="2:14" s="16" customFormat="1" ht="25.5">
      <c r="B1203" s="14"/>
      <c r="C1203" s="197" t="s">
        <v>770</v>
      </c>
      <c r="D1203" s="203" t="s">
        <v>746</v>
      </c>
      <c r="E1203" s="204" t="s">
        <v>86</v>
      </c>
      <c r="F1203" s="204" t="s">
        <v>11</v>
      </c>
      <c r="G1203" s="204" t="s">
        <v>771</v>
      </c>
      <c r="H1203" s="204" t="s">
        <v>9</v>
      </c>
      <c r="I1203" s="26">
        <f t="shared" si="487"/>
        <v>1543</v>
      </c>
      <c r="J1203" s="26">
        <f t="shared" si="487"/>
        <v>1539</v>
      </c>
      <c r="K1203" s="26">
        <f t="shared" si="487"/>
        <v>1527</v>
      </c>
      <c r="L1203" s="16">
        <v>410120190</v>
      </c>
      <c r="M1203" s="16" t="str">
        <f t="shared" si="471"/>
        <v>0410120190</v>
      </c>
      <c r="N1203" s="16" t="str">
        <f t="shared" si="472"/>
        <v>61705010410120190000</v>
      </c>
    </row>
    <row r="1204" spans="2:14" s="16" customFormat="1" ht="25.5">
      <c r="B1204" s="14"/>
      <c r="C1204" s="197" t="s">
        <v>28</v>
      </c>
      <c r="D1204" s="203" t="s">
        <v>746</v>
      </c>
      <c r="E1204" s="204" t="s">
        <v>86</v>
      </c>
      <c r="F1204" s="204" t="s">
        <v>11</v>
      </c>
      <c r="G1204" s="204" t="s">
        <v>771</v>
      </c>
      <c r="H1204" s="204" t="s">
        <v>29</v>
      </c>
      <c r="I1204" s="26">
        <f>1543</f>
        <v>1543</v>
      </c>
      <c r="J1204" s="26">
        <f>1539</f>
        <v>1539</v>
      </c>
      <c r="K1204" s="26">
        <f>1527</f>
        <v>1527</v>
      </c>
      <c r="L1204" s="16">
        <v>410120190</v>
      </c>
      <c r="M1204" s="16" t="str">
        <f t="shared" si="471"/>
        <v>0410120190</v>
      </c>
      <c r="N1204" s="16" t="str">
        <f t="shared" si="472"/>
        <v>61705010410120190240</v>
      </c>
    </row>
    <row r="1205" spans="2:14" s="16" customFormat="1">
      <c r="B1205" s="14"/>
      <c r="C1205" s="194" t="s">
        <v>306</v>
      </c>
      <c r="D1205" s="195" t="s">
        <v>746</v>
      </c>
      <c r="E1205" s="196" t="s">
        <v>86</v>
      </c>
      <c r="F1205" s="196" t="s">
        <v>13</v>
      </c>
      <c r="G1205" s="196" t="s">
        <v>8</v>
      </c>
      <c r="H1205" s="196" t="s">
        <v>9</v>
      </c>
      <c r="I1205" s="19">
        <f>I1206+I1225</f>
        <v>34941.29</v>
      </c>
      <c r="J1205" s="19">
        <f>J1206+J1225</f>
        <v>18677.12</v>
      </c>
      <c r="K1205" s="19">
        <f>K1206+K1225</f>
        <v>18677.12</v>
      </c>
      <c r="L1205" s="16">
        <v>0</v>
      </c>
      <c r="M1205" s="16" t="str">
        <f t="shared" si="471"/>
        <v>0000000000</v>
      </c>
      <c r="N1205" s="16" t="str">
        <f t="shared" si="472"/>
        <v>61705030000000000000</v>
      </c>
    </row>
    <row r="1206" spans="2:14" s="16" customFormat="1" ht="38.25">
      <c r="B1206" s="14"/>
      <c r="C1206" s="200" t="s">
        <v>293</v>
      </c>
      <c r="D1206" s="203" t="s">
        <v>746</v>
      </c>
      <c r="E1206" s="204" t="s">
        <v>86</v>
      </c>
      <c r="F1206" s="204" t="s">
        <v>13</v>
      </c>
      <c r="G1206" s="204" t="s">
        <v>294</v>
      </c>
      <c r="H1206" s="204" t="s">
        <v>9</v>
      </c>
      <c r="I1206" s="26">
        <f t="shared" ref="I1206:K1207" si="488">I1207</f>
        <v>34291.410000000003</v>
      </c>
      <c r="J1206" s="26">
        <f t="shared" si="488"/>
        <v>18677.12</v>
      </c>
      <c r="K1206" s="26">
        <f t="shared" si="488"/>
        <v>18677.12</v>
      </c>
      <c r="L1206" s="16">
        <v>400000000</v>
      </c>
      <c r="M1206" s="16" t="str">
        <f t="shared" si="471"/>
        <v>0400000000</v>
      </c>
      <c r="N1206" s="16" t="str">
        <f t="shared" si="472"/>
        <v>61705030400000000000</v>
      </c>
    </row>
    <row r="1207" spans="2:14" s="16" customFormat="1">
      <c r="B1207" s="14"/>
      <c r="C1207" s="197" t="s">
        <v>2283</v>
      </c>
      <c r="D1207" s="203" t="s">
        <v>746</v>
      </c>
      <c r="E1207" s="204" t="s">
        <v>86</v>
      </c>
      <c r="F1207" s="204" t="s">
        <v>13</v>
      </c>
      <c r="G1207" s="204" t="s">
        <v>308</v>
      </c>
      <c r="H1207" s="204" t="s">
        <v>9</v>
      </c>
      <c r="I1207" s="26">
        <f t="shared" si="488"/>
        <v>34291.410000000003</v>
      </c>
      <c r="J1207" s="26">
        <f t="shared" si="488"/>
        <v>18677.12</v>
      </c>
      <c r="K1207" s="26">
        <f t="shared" si="488"/>
        <v>18677.12</v>
      </c>
      <c r="L1207" s="16">
        <v>430000000</v>
      </c>
      <c r="M1207" s="16" t="str">
        <f t="shared" si="471"/>
        <v>0430000000</v>
      </c>
      <c r="N1207" s="16" t="str">
        <f t="shared" si="472"/>
        <v>61705030430000000000</v>
      </c>
    </row>
    <row r="1208" spans="2:14" s="16" customFormat="1" ht="25.5">
      <c r="B1208" s="14"/>
      <c r="C1208" s="375" t="s">
        <v>309</v>
      </c>
      <c r="D1208" s="203" t="s">
        <v>746</v>
      </c>
      <c r="E1208" s="204" t="s">
        <v>86</v>
      </c>
      <c r="F1208" s="204" t="s">
        <v>13</v>
      </c>
      <c r="G1208" s="199" t="s">
        <v>310</v>
      </c>
      <c r="H1208" s="204" t="s">
        <v>9</v>
      </c>
      <c r="I1208" s="26">
        <f>I1209+I1211+I1220+I1215+I1213</f>
        <v>34291.410000000003</v>
      </c>
      <c r="J1208" s="26">
        <f t="shared" ref="J1208:K1208" si="489">J1209+J1211+J1220+J1215+J1213</f>
        <v>18677.12</v>
      </c>
      <c r="K1208" s="26">
        <f t="shared" si="489"/>
        <v>18677.12</v>
      </c>
      <c r="L1208" s="16">
        <v>430400000</v>
      </c>
      <c r="M1208" s="16" t="str">
        <f t="shared" si="471"/>
        <v>0430400000</v>
      </c>
      <c r="N1208" s="16" t="str">
        <f t="shared" si="472"/>
        <v>61705030430400000000</v>
      </c>
    </row>
    <row r="1209" spans="2:14" s="16" customFormat="1" ht="25.5">
      <c r="B1209" s="14"/>
      <c r="C1209" s="197" t="s">
        <v>542</v>
      </c>
      <c r="D1209" s="203" t="s">
        <v>746</v>
      </c>
      <c r="E1209" s="204" t="s">
        <v>86</v>
      </c>
      <c r="F1209" s="204" t="s">
        <v>13</v>
      </c>
      <c r="G1209" s="204" t="s">
        <v>543</v>
      </c>
      <c r="H1209" s="204" t="s">
        <v>9</v>
      </c>
      <c r="I1209" s="26">
        <f>I1210</f>
        <v>11225.99</v>
      </c>
      <c r="J1209" s="26">
        <f>J1210</f>
        <v>8259.32</v>
      </c>
      <c r="K1209" s="26">
        <f>K1210</f>
        <v>8259.32</v>
      </c>
      <c r="L1209" s="16">
        <v>430420300</v>
      </c>
      <c r="M1209" s="16" t="str">
        <f t="shared" si="471"/>
        <v>0430420300</v>
      </c>
      <c r="N1209" s="16" t="str">
        <f t="shared" si="472"/>
        <v>61705030430420300000</v>
      </c>
    </row>
    <row r="1210" spans="2:14" s="16" customFormat="1" ht="25.5">
      <c r="B1210" s="14"/>
      <c r="C1210" s="197" t="s">
        <v>28</v>
      </c>
      <c r="D1210" s="203" t="s">
        <v>746</v>
      </c>
      <c r="E1210" s="204" t="s">
        <v>86</v>
      </c>
      <c r="F1210" s="204" t="s">
        <v>13</v>
      </c>
      <c r="G1210" s="204" t="s">
        <v>543</v>
      </c>
      <c r="H1210" s="204" t="s">
        <v>29</v>
      </c>
      <c r="I1210" s="26">
        <f>8259.32-10.76+500+3291.57-203.21-73.17-526.26-11.5</f>
        <v>11225.99</v>
      </c>
      <c r="J1210" s="26">
        <f t="shared" ref="J1210:K1210" si="490">8259.32</f>
        <v>8259.32</v>
      </c>
      <c r="K1210" s="26">
        <f t="shared" si="490"/>
        <v>8259.32</v>
      </c>
      <c r="L1210" s="16">
        <v>430420300</v>
      </c>
      <c r="M1210" s="16" t="str">
        <f t="shared" si="471"/>
        <v>0430420300</v>
      </c>
      <c r="N1210" s="16" t="str">
        <f t="shared" si="472"/>
        <v>61705030430420300240</v>
      </c>
    </row>
    <row r="1211" spans="2:14" s="16" customFormat="1">
      <c r="B1211" s="14"/>
      <c r="C1211" s="200" t="s">
        <v>774</v>
      </c>
      <c r="D1211" s="203" t="s">
        <v>746</v>
      </c>
      <c r="E1211" s="204" t="s">
        <v>86</v>
      </c>
      <c r="F1211" s="204" t="s">
        <v>13</v>
      </c>
      <c r="G1211" s="204" t="s">
        <v>775</v>
      </c>
      <c r="H1211" s="204" t="s">
        <v>9</v>
      </c>
      <c r="I1211" s="26">
        <f>I1212</f>
        <v>473</v>
      </c>
      <c r="J1211" s="26">
        <f>J1212</f>
        <v>941.72</v>
      </c>
      <c r="K1211" s="26">
        <f>K1212</f>
        <v>941.72</v>
      </c>
      <c r="L1211" s="16">
        <v>430421070</v>
      </c>
      <c r="M1211" s="16" t="str">
        <f t="shared" si="471"/>
        <v>0430421070</v>
      </c>
      <c r="N1211" s="16" t="str">
        <f t="shared" si="472"/>
        <v>61705030430421070000</v>
      </c>
    </row>
    <row r="1212" spans="2:14" s="16" customFormat="1" ht="25.5">
      <c r="B1212" s="14"/>
      <c r="C1212" s="197" t="s">
        <v>28</v>
      </c>
      <c r="D1212" s="203" t="s">
        <v>746</v>
      </c>
      <c r="E1212" s="204" t="s">
        <v>86</v>
      </c>
      <c r="F1212" s="204" t="s">
        <v>13</v>
      </c>
      <c r="G1212" s="204" t="s">
        <v>775</v>
      </c>
      <c r="H1212" s="204" t="s">
        <v>29</v>
      </c>
      <c r="I1212" s="26">
        <f>941.72-468.72</f>
        <v>473</v>
      </c>
      <c r="J1212" s="26">
        <f t="shared" ref="J1212:K1212" si="491">941.72</f>
        <v>941.72</v>
      </c>
      <c r="K1212" s="26">
        <f t="shared" si="491"/>
        <v>941.72</v>
      </c>
      <c r="L1212" s="16">
        <v>430421070</v>
      </c>
      <c r="M1212" s="16" t="str">
        <f t="shared" si="471"/>
        <v>0430421070</v>
      </c>
      <c r="N1212" s="16" t="str">
        <f t="shared" si="472"/>
        <v>61705030430421070240</v>
      </c>
    </row>
    <row r="1213" spans="2:14" s="16" customFormat="1" ht="38.25">
      <c r="B1213" s="14" t="s">
        <v>80</v>
      </c>
      <c r="C1213" s="197" t="s">
        <v>1311</v>
      </c>
      <c r="D1213" s="203" t="s">
        <v>746</v>
      </c>
      <c r="E1213" s="204" t="s">
        <v>86</v>
      </c>
      <c r="F1213" s="204" t="s">
        <v>13</v>
      </c>
      <c r="G1213" s="204" t="s">
        <v>1312</v>
      </c>
      <c r="H1213" s="204" t="s">
        <v>9</v>
      </c>
      <c r="I1213" s="26">
        <f>I1214</f>
        <v>12476.08</v>
      </c>
      <c r="J1213" s="26">
        <f>J1214</f>
        <v>9476.08</v>
      </c>
      <c r="K1213" s="26">
        <f>K1214</f>
        <v>9476.08</v>
      </c>
      <c r="L1213" s="16">
        <v>430476416</v>
      </c>
      <c r="M1213" s="16" t="str">
        <f t="shared" si="471"/>
        <v>0430476416</v>
      </c>
      <c r="N1213" s="16" t="str">
        <f t="shared" si="472"/>
        <v>61705030430476416000</v>
      </c>
    </row>
    <row r="1214" spans="2:14" s="16" customFormat="1" ht="25.5">
      <c r="B1214" s="14"/>
      <c r="C1214" s="197" t="s">
        <v>28</v>
      </c>
      <c r="D1214" s="203" t="s">
        <v>746</v>
      </c>
      <c r="E1214" s="204" t="s">
        <v>86</v>
      </c>
      <c r="F1214" s="204" t="s">
        <v>13</v>
      </c>
      <c r="G1214" s="204" t="s">
        <v>1312</v>
      </c>
      <c r="H1214" s="204" t="s">
        <v>29</v>
      </c>
      <c r="I1214" s="26">
        <f>12476.08</f>
        <v>12476.08</v>
      </c>
      <c r="J1214" s="26">
        <f>9476.08</f>
        <v>9476.08</v>
      </c>
      <c r="K1214" s="26">
        <f>9476.08</f>
        <v>9476.08</v>
      </c>
      <c r="L1214" s="16">
        <v>430476416</v>
      </c>
      <c r="M1214" s="16" t="str">
        <f t="shared" si="471"/>
        <v>0430476416</v>
      </c>
      <c r="N1214" s="16" t="str">
        <f t="shared" si="472"/>
        <v>61705030430476416240</v>
      </c>
    </row>
    <row r="1215" spans="2:14" s="16" customFormat="1" ht="38.25">
      <c r="B1215" s="14"/>
      <c r="C1215" s="197" t="s">
        <v>1043</v>
      </c>
      <c r="D1215" s="203" t="s">
        <v>746</v>
      </c>
      <c r="E1215" s="204" t="s">
        <v>86</v>
      </c>
      <c r="F1215" s="204" t="s">
        <v>13</v>
      </c>
      <c r="G1215" s="204" t="s">
        <v>1056</v>
      </c>
      <c r="H1215" s="204" t="s">
        <v>9</v>
      </c>
      <c r="I1215" s="26">
        <f>I1219</f>
        <v>1508.53</v>
      </c>
      <c r="J1215" s="26">
        <f t="shared" ref="J1215:K1215" si="492">J1219</f>
        <v>0</v>
      </c>
      <c r="K1215" s="26">
        <f t="shared" si="492"/>
        <v>0</v>
      </c>
      <c r="L1215" s="16" t="s">
        <v>1231</v>
      </c>
      <c r="M1215" s="16" t="str">
        <f t="shared" si="471"/>
        <v>04304G6420</v>
      </c>
      <c r="N1215" s="16" t="str">
        <f t="shared" si="472"/>
        <v>617050304304G6420000</v>
      </c>
    </row>
    <row r="1216" spans="2:14" s="16" customFormat="1">
      <c r="B1216" s="14"/>
      <c r="C1216" s="205" t="s">
        <v>1045</v>
      </c>
      <c r="D1216" s="203"/>
      <c r="E1216" s="204"/>
      <c r="F1216" s="204"/>
      <c r="G1216" s="204"/>
      <c r="H1216" s="204"/>
      <c r="I1216" s="26"/>
      <c r="J1216" s="26"/>
      <c r="K1216" s="26"/>
      <c r="M1216" s="16" t="str">
        <f t="shared" si="471"/>
        <v>0000000000</v>
      </c>
      <c r="N1216" s="16" t="str">
        <f t="shared" si="472"/>
        <v>0000000000</v>
      </c>
    </row>
    <row r="1217" spans="2:14" s="16" customFormat="1">
      <c r="B1217" s="14"/>
      <c r="C1217" s="197" t="s">
        <v>1046</v>
      </c>
      <c r="D1217" s="203" t="s">
        <v>746</v>
      </c>
      <c r="E1217" s="204" t="s">
        <v>86</v>
      </c>
      <c r="F1217" s="204" t="s">
        <v>13</v>
      </c>
      <c r="G1217" s="204" t="s">
        <v>1056</v>
      </c>
      <c r="H1217" s="204" t="s">
        <v>9</v>
      </c>
      <c r="I1217" s="26">
        <f>305</f>
        <v>305</v>
      </c>
      <c r="J1217" s="26">
        <v>0</v>
      </c>
      <c r="K1217" s="26">
        <v>0</v>
      </c>
      <c r="L1217" s="16" t="s">
        <v>1231</v>
      </c>
      <c r="M1217" s="16" t="str">
        <f t="shared" si="471"/>
        <v>04304G6420</v>
      </c>
      <c r="N1217" s="16" t="str">
        <f t="shared" si="472"/>
        <v>617050304304G6420000</v>
      </c>
    </row>
    <row r="1218" spans="2:14" s="16" customFormat="1">
      <c r="B1218" s="14"/>
      <c r="C1218" s="197" t="s">
        <v>1047</v>
      </c>
      <c r="D1218" s="203" t="s">
        <v>746</v>
      </c>
      <c r="E1218" s="204" t="s">
        <v>86</v>
      </c>
      <c r="F1218" s="204" t="s">
        <v>13</v>
      </c>
      <c r="G1218" s="204" t="s">
        <v>1056</v>
      </c>
      <c r="H1218" s="204" t="s">
        <v>9</v>
      </c>
      <c r="I1218" s="26">
        <f>1203.53</f>
        <v>1203.53</v>
      </c>
      <c r="J1218" s="26">
        <v>0</v>
      </c>
      <c r="K1218" s="26">
        <v>0</v>
      </c>
      <c r="L1218" s="16" t="s">
        <v>1231</v>
      </c>
      <c r="M1218" s="16" t="str">
        <f t="shared" si="471"/>
        <v>04304G6420</v>
      </c>
      <c r="N1218" s="16" t="str">
        <f t="shared" si="472"/>
        <v>617050304304G6420000</v>
      </c>
    </row>
    <row r="1219" spans="2:14" s="16" customFormat="1" ht="25.5">
      <c r="B1219" s="14"/>
      <c r="C1219" s="197" t="s">
        <v>28</v>
      </c>
      <c r="D1219" s="203" t="s">
        <v>746</v>
      </c>
      <c r="E1219" s="204" t="s">
        <v>86</v>
      </c>
      <c r="F1219" s="204" t="s">
        <v>13</v>
      </c>
      <c r="G1219" s="204" t="s">
        <v>1056</v>
      </c>
      <c r="H1219" s="204" t="s">
        <v>29</v>
      </c>
      <c r="I1219" s="26">
        <f>SUM(I1217:I1218)</f>
        <v>1508.53</v>
      </c>
      <c r="J1219" s="26">
        <f t="shared" ref="J1219:K1219" si="493">SUM(J1217:J1218)</f>
        <v>0</v>
      </c>
      <c r="K1219" s="26">
        <f t="shared" si="493"/>
        <v>0</v>
      </c>
      <c r="L1219" s="16" t="s">
        <v>1231</v>
      </c>
      <c r="M1219" s="16" t="str">
        <f t="shared" si="471"/>
        <v>04304G6420</v>
      </c>
      <c r="N1219" s="16" t="str">
        <f t="shared" si="472"/>
        <v>617050304304G6420240</v>
      </c>
    </row>
    <row r="1220" spans="2:14" s="16" customFormat="1" ht="25.5">
      <c r="B1220" s="14"/>
      <c r="C1220" s="200" t="s">
        <v>1048</v>
      </c>
      <c r="D1220" s="203" t="s">
        <v>746</v>
      </c>
      <c r="E1220" s="204" t="s">
        <v>86</v>
      </c>
      <c r="F1220" s="204" t="s">
        <v>13</v>
      </c>
      <c r="G1220" s="204" t="s">
        <v>1057</v>
      </c>
      <c r="H1220" s="204" t="s">
        <v>9</v>
      </c>
      <c r="I1220" s="26">
        <f>I1224</f>
        <v>8607.8100000000013</v>
      </c>
      <c r="J1220" s="26">
        <f t="shared" ref="J1220:K1220" si="494">J1224</f>
        <v>0</v>
      </c>
      <c r="K1220" s="26">
        <f t="shared" si="494"/>
        <v>0</v>
      </c>
      <c r="L1220" s="16" t="s">
        <v>1232</v>
      </c>
      <c r="M1220" s="16" t="str">
        <f t="shared" si="471"/>
        <v>04304S6420</v>
      </c>
      <c r="N1220" s="16" t="str">
        <f t="shared" si="472"/>
        <v>617050304304S6420000</v>
      </c>
    </row>
    <row r="1221" spans="2:14" s="16" customFormat="1">
      <c r="B1221" s="14"/>
      <c r="C1221" s="205" t="s">
        <v>1045</v>
      </c>
      <c r="D1221" s="203"/>
      <c r="E1221" s="204"/>
      <c r="F1221" s="204"/>
      <c r="G1221" s="204"/>
      <c r="H1221" s="204"/>
      <c r="I1221" s="26"/>
      <c r="J1221" s="26"/>
      <c r="K1221" s="26"/>
      <c r="M1221" s="16" t="str">
        <f t="shared" si="471"/>
        <v>0000000000</v>
      </c>
      <c r="N1221" s="16" t="str">
        <f t="shared" si="472"/>
        <v>0000000000</v>
      </c>
    </row>
    <row r="1222" spans="2:14" s="16" customFormat="1">
      <c r="B1222" s="14"/>
      <c r="C1222" s="197" t="s">
        <v>1050</v>
      </c>
      <c r="D1222" s="203" t="s">
        <v>746</v>
      </c>
      <c r="E1222" s="204" t="s">
        <v>86</v>
      </c>
      <c r="F1222" s="204" t="s">
        <v>13</v>
      </c>
      <c r="G1222" s="204" t="s">
        <v>1057</v>
      </c>
      <c r="H1222" s="204" t="s">
        <v>9</v>
      </c>
      <c r="I1222" s="26">
        <f>2710-31.79</f>
        <v>2678.21</v>
      </c>
      <c r="J1222" s="26">
        <v>0</v>
      </c>
      <c r="K1222" s="26">
        <v>0</v>
      </c>
      <c r="L1222" s="16" t="s">
        <v>1232</v>
      </c>
      <c r="M1222" s="16" t="str">
        <f t="shared" ref="M1222:M1285" si="495">TEXT(L1222,"0000000000")</f>
        <v>04304S6420</v>
      </c>
      <c r="N1222" s="16" t="str">
        <f t="shared" ref="N1222:N1285" si="496">D1222&amp;E1222&amp;F1222&amp;M1222&amp;H1222</f>
        <v>617050304304S6420000</v>
      </c>
    </row>
    <row r="1223" spans="2:14" s="16" customFormat="1">
      <c r="B1223" s="14" t="s">
        <v>80</v>
      </c>
      <c r="C1223" s="197" t="s">
        <v>1051</v>
      </c>
      <c r="D1223" s="203" t="s">
        <v>746</v>
      </c>
      <c r="E1223" s="204" t="s">
        <v>86</v>
      </c>
      <c r="F1223" s="204" t="s">
        <v>13</v>
      </c>
      <c r="G1223" s="204" t="s">
        <v>1057</v>
      </c>
      <c r="H1223" s="204" t="s">
        <v>9</v>
      </c>
      <c r="I1223" s="26">
        <f>6000-70.4</f>
        <v>5929.6</v>
      </c>
      <c r="J1223" s="26">
        <v>0</v>
      </c>
      <c r="K1223" s="26">
        <v>0</v>
      </c>
      <c r="L1223" s="16" t="s">
        <v>1232</v>
      </c>
      <c r="M1223" s="16" t="str">
        <f t="shared" si="495"/>
        <v>04304S6420</v>
      </c>
      <c r="N1223" s="16" t="str">
        <f t="shared" si="496"/>
        <v>617050304304S6420000</v>
      </c>
    </row>
    <row r="1224" spans="2:14" s="16" customFormat="1" ht="25.5">
      <c r="B1224" s="14"/>
      <c r="C1224" s="197" t="s">
        <v>28</v>
      </c>
      <c r="D1224" s="203" t="s">
        <v>746</v>
      </c>
      <c r="E1224" s="204" t="s">
        <v>86</v>
      </c>
      <c r="F1224" s="204" t="s">
        <v>13</v>
      </c>
      <c r="G1224" s="204" t="s">
        <v>1057</v>
      </c>
      <c r="H1224" s="204" t="s">
        <v>29</v>
      </c>
      <c r="I1224" s="26">
        <f>SUM(I1222:I1223)</f>
        <v>8607.8100000000013</v>
      </c>
      <c r="J1224" s="26">
        <f t="shared" ref="J1224:K1224" si="497">SUM(J1222:J1223)</f>
        <v>0</v>
      </c>
      <c r="K1224" s="26">
        <f t="shared" si="497"/>
        <v>0</v>
      </c>
      <c r="L1224" s="16" t="s">
        <v>1232</v>
      </c>
      <c r="M1224" s="16" t="str">
        <f t="shared" si="495"/>
        <v>04304S6420</v>
      </c>
      <c r="N1224" s="16" t="str">
        <f t="shared" si="496"/>
        <v>617050304304S6420240</v>
      </c>
    </row>
    <row r="1225" spans="2:14" s="16" customFormat="1" ht="38.25">
      <c r="B1225" s="14"/>
      <c r="C1225" s="226" t="s">
        <v>87</v>
      </c>
      <c r="D1225" s="203" t="s">
        <v>746</v>
      </c>
      <c r="E1225" s="204" t="s">
        <v>86</v>
      </c>
      <c r="F1225" s="204" t="s">
        <v>13</v>
      </c>
      <c r="G1225" s="204" t="s">
        <v>88</v>
      </c>
      <c r="H1225" s="204" t="s">
        <v>9</v>
      </c>
      <c r="I1225" s="26">
        <f>I1226</f>
        <v>649.88000000000011</v>
      </c>
      <c r="J1225" s="26">
        <f t="shared" ref="J1225:K1227" si="498">J1226</f>
        <v>0</v>
      </c>
      <c r="K1225" s="26">
        <f t="shared" si="498"/>
        <v>0</v>
      </c>
      <c r="L1225" s="16">
        <v>9800000000</v>
      </c>
      <c r="M1225" s="16" t="str">
        <f t="shared" si="495"/>
        <v>9800000000</v>
      </c>
      <c r="N1225" s="16" t="str">
        <f t="shared" si="496"/>
        <v>61705039800000000000</v>
      </c>
    </row>
    <row r="1226" spans="2:14" s="16" customFormat="1">
      <c r="B1226" s="14"/>
      <c r="C1226" s="226" t="s">
        <v>89</v>
      </c>
      <c r="D1226" s="203" t="s">
        <v>746</v>
      </c>
      <c r="E1226" s="204" t="s">
        <v>86</v>
      </c>
      <c r="F1226" s="204" t="s">
        <v>13</v>
      </c>
      <c r="G1226" s="204" t="s">
        <v>90</v>
      </c>
      <c r="H1226" s="204" t="s">
        <v>9</v>
      </c>
      <c r="I1226" s="26">
        <f>I1227</f>
        <v>649.88000000000011</v>
      </c>
      <c r="J1226" s="26">
        <f t="shared" si="498"/>
        <v>0</v>
      </c>
      <c r="K1226" s="26">
        <f t="shared" si="498"/>
        <v>0</v>
      </c>
      <c r="L1226" s="16">
        <v>9810000000</v>
      </c>
      <c r="M1226" s="16" t="str">
        <f t="shared" si="495"/>
        <v>9810000000</v>
      </c>
      <c r="N1226" s="16" t="str">
        <f t="shared" si="496"/>
        <v>61705039810000000000</v>
      </c>
    </row>
    <row r="1227" spans="2:14" s="16" customFormat="1">
      <c r="B1227" s="14"/>
      <c r="C1227" s="197" t="s">
        <v>778</v>
      </c>
      <c r="D1227" s="203" t="s">
        <v>746</v>
      </c>
      <c r="E1227" s="204" t="s">
        <v>86</v>
      </c>
      <c r="F1227" s="204" t="s">
        <v>13</v>
      </c>
      <c r="G1227" s="204" t="s">
        <v>779</v>
      </c>
      <c r="H1227" s="204" t="s">
        <v>9</v>
      </c>
      <c r="I1227" s="26">
        <f>I1228</f>
        <v>649.88000000000011</v>
      </c>
      <c r="J1227" s="26">
        <f t="shared" si="498"/>
        <v>0</v>
      </c>
      <c r="K1227" s="26">
        <f t="shared" si="498"/>
        <v>0</v>
      </c>
      <c r="L1227" s="16">
        <v>9810021450</v>
      </c>
      <c r="M1227" s="16" t="str">
        <f t="shared" si="495"/>
        <v>9810021450</v>
      </c>
      <c r="N1227" s="16" t="str">
        <f t="shared" si="496"/>
        <v>61705039810021450000</v>
      </c>
    </row>
    <row r="1228" spans="2:14" s="16" customFormat="1" ht="25.5">
      <c r="B1228" s="14"/>
      <c r="C1228" s="197" t="s">
        <v>28</v>
      </c>
      <c r="D1228" s="203" t="s">
        <v>746</v>
      </c>
      <c r="E1228" s="204" t="s">
        <v>86</v>
      </c>
      <c r="F1228" s="204" t="s">
        <v>13</v>
      </c>
      <c r="G1228" s="204" t="s">
        <v>779</v>
      </c>
      <c r="H1228" s="204" t="s">
        <v>29</v>
      </c>
      <c r="I1228" s="26">
        <f>2500-31.85-1818.27</f>
        <v>649.88000000000011</v>
      </c>
      <c r="J1228" s="26">
        <v>0</v>
      </c>
      <c r="K1228" s="26">
        <v>0</v>
      </c>
      <c r="L1228" s="16">
        <v>9810021450</v>
      </c>
      <c r="M1228" s="16" t="str">
        <f t="shared" si="495"/>
        <v>9810021450</v>
      </c>
      <c r="N1228" s="16" t="str">
        <f t="shared" si="496"/>
        <v>61705039810021450240</v>
      </c>
    </row>
    <row r="1229" spans="2:14" s="16" customFormat="1">
      <c r="B1229" s="14"/>
      <c r="C1229" s="191" t="s">
        <v>237</v>
      </c>
      <c r="D1229" s="192" t="s">
        <v>746</v>
      </c>
      <c r="E1229" s="193" t="s">
        <v>238</v>
      </c>
      <c r="F1229" s="193" t="s">
        <v>7</v>
      </c>
      <c r="G1229" s="193" t="s">
        <v>8</v>
      </c>
      <c r="H1229" s="193" t="s">
        <v>9</v>
      </c>
      <c r="I1229" s="18">
        <f t="shared" ref="I1229:K1232" si="499">I1230</f>
        <v>1585.45</v>
      </c>
      <c r="J1229" s="18">
        <f t="shared" si="499"/>
        <v>1591</v>
      </c>
      <c r="K1229" s="18">
        <f t="shared" si="499"/>
        <v>1591</v>
      </c>
      <c r="L1229" s="16">
        <v>0</v>
      </c>
      <c r="M1229" s="16" t="str">
        <f t="shared" si="495"/>
        <v>0000000000</v>
      </c>
      <c r="N1229" s="16" t="str">
        <f t="shared" si="496"/>
        <v>61708000000000000000</v>
      </c>
    </row>
    <row r="1230" spans="2:14" s="16" customFormat="1">
      <c r="B1230" s="14"/>
      <c r="C1230" s="194" t="s">
        <v>239</v>
      </c>
      <c r="D1230" s="195" t="s">
        <v>746</v>
      </c>
      <c r="E1230" s="196" t="s">
        <v>238</v>
      </c>
      <c r="F1230" s="196" t="s">
        <v>11</v>
      </c>
      <c r="G1230" s="196" t="s">
        <v>8</v>
      </c>
      <c r="H1230" s="196" t="s">
        <v>9</v>
      </c>
      <c r="I1230" s="19">
        <f t="shared" si="499"/>
        <v>1585.45</v>
      </c>
      <c r="J1230" s="19">
        <f t="shared" si="499"/>
        <v>1591</v>
      </c>
      <c r="K1230" s="19">
        <f t="shared" si="499"/>
        <v>1591</v>
      </c>
      <c r="L1230" s="16">
        <v>0</v>
      </c>
      <c r="M1230" s="16" t="str">
        <f t="shared" si="495"/>
        <v>0000000000</v>
      </c>
      <c r="N1230" s="16" t="str">
        <f t="shared" si="496"/>
        <v>61708010000000000000</v>
      </c>
    </row>
    <row r="1231" spans="2:14" s="16" customFormat="1">
      <c r="B1231" s="14"/>
      <c r="C1231" s="197" t="s">
        <v>240</v>
      </c>
      <c r="D1231" s="203" t="s">
        <v>746</v>
      </c>
      <c r="E1231" s="204" t="s">
        <v>238</v>
      </c>
      <c r="F1231" s="204" t="s">
        <v>11</v>
      </c>
      <c r="G1231" s="204" t="s">
        <v>241</v>
      </c>
      <c r="H1231" s="204" t="s">
        <v>9</v>
      </c>
      <c r="I1231" s="26">
        <f t="shared" si="499"/>
        <v>1585.45</v>
      </c>
      <c r="J1231" s="26">
        <f t="shared" si="499"/>
        <v>1591</v>
      </c>
      <c r="K1231" s="26">
        <f t="shared" si="499"/>
        <v>1591</v>
      </c>
      <c r="L1231" s="16">
        <v>700000000</v>
      </c>
      <c r="M1231" s="16" t="str">
        <f t="shared" si="495"/>
        <v>0700000000</v>
      </c>
      <c r="N1231" s="16" t="str">
        <f t="shared" si="496"/>
        <v>61708010700000000000</v>
      </c>
    </row>
    <row r="1232" spans="2:14" s="16" customFormat="1" ht="51">
      <c r="B1232" s="14"/>
      <c r="C1232" s="226" t="s">
        <v>242</v>
      </c>
      <c r="D1232" s="203" t="s">
        <v>746</v>
      </c>
      <c r="E1232" s="204" t="s">
        <v>238</v>
      </c>
      <c r="F1232" s="204" t="s">
        <v>11</v>
      </c>
      <c r="G1232" s="204" t="s">
        <v>243</v>
      </c>
      <c r="H1232" s="204" t="s">
        <v>9</v>
      </c>
      <c r="I1232" s="26">
        <f t="shared" si="499"/>
        <v>1585.45</v>
      </c>
      <c r="J1232" s="26">
        <f t="shared" si="499"/>
        <v>1591</v>
      </c>
      <c r="K1232" s="26">
        <f t="shared" si="499"/>
        <v>1591</v>
      </c>
      <c r="L1232" s="16">
        <v>710000000</v>
      </c>
      <c r="M1232" s="16" t="str">
        <f t="shared" si="495"/>
        <v>0710000000</v>
      </c>
      <c r="N1232" s="16" t="str">
        <f t="shared" si="496"/>
        <v>61708010710000000000</v>
      </c>
    </row>
    <row r="1233" spans="2:14" s="16" customFormat="1" ht="63.75">
      <c r="B1233" s="14"/>
      <c r="C1233" s="226" t="s">
        <v>244</v>
      </c>
      <c r="D1233" s="203" t="s">
        <v>746</v>
      </c>
      <c r="E1233" s="204" t="s">
        <v>238</v>
      </c>
      <c r="F1233" s="204" t="s">
        <v>11</v>
      </c>
      <c r="G1233" s="204" t="s">
        <v>245</v>
      </c>
      <c r="H1233" s="204" t="s">
        <v>9</v>
      </c>
      <c r="I1233" s="26">
        <f>I1234+I1236</f>
        <v>1585.45</v>
      </c>
      <c r="J1233" s="26">
        <f>J1234+J1236</f>
        <v>1591</v>
      </c>
      <c r="K1233" s="26">
        <f>K1234+K1236</f>
        <v>1591</v>
      </c>
      <c r="L1233" s="16">
        <v>710100000</v>
      </c>
      <c r="M1233" s="16" t="str">
        <f t="shared" si="495"/>
        <v>0710100000</v>
      </c>
      <c r="N1233" s="16" t="str">
        <f t="shared" si="496"/>
        <v>61708010710100000000</v>
      </c>
    </row>
    <row r="1234" spans="2:14" s="16" customFormat="1" ht="25.5">
      <c r="B1234" s="14"/>
      <c r="C1234" s="197" t="s">
        <v>246</v>
      </c>
      <c r="D1234" s="203" t="s">
        <v>746</v>
      </c>
      <c r="E1234" s="204" t="s">
        <v>238</v>
      </c>
      <c r="F1234" s="204" t="s">
        <v>11</v>
      </c>
      <c r="G1234" s="204" t="s">
        <v>247</v>
      </c>
      <c r="H1234" s="204" t="s">
        <v>9</v>
      </c>
      <c r="I1234" s="26">
        <f>I1235</f>
        <v>1095.45</v>
      </c>
      <c r="J1234" s="26">
        <f>J1235</f>
        <v>1095.45</v>
      </c>
      <c r="K1234" s="26">
        <f>K1235</f>
        <v>1095.45</v>
      </c>
      <c r="L1234" s="16">
        <v>710120060</v>
      </c>
      <c r="M1234" s="16" t="str">
        <f t="shared" si="495"/>
        <v>0710120060</v>
      </c>
      <c r="N1234" s="16" t="str">
        <f t="shared" si="496"/>
        <v>61708010710120060000</v>
      </c>
    </row>
    <row r="1235" spans="2:14" s="16" customFormat="1" ht="25.5">
      <c r="B1235" s="14"/>
      <c r="C1235" s="197" t="s">
        <v>28</v>
      </c>
      <c r="D1235" s="203" t="s">
        <v>746</v>
      </c>
      <c r="E1235" s="204" t="s">
        <v>238</v>
      </c>
      <c r="F1235" s="204" t="s">
        <v>11</v>
      </c>
      <c r="G1235" s="204" t="s">
        <v>247</v>
      </c>
      <c r="H1235" s="204" t="s">
        <v>29</v>
      </c>
      <c r="I1235" s="26">
        <f>1095.45</f>
        <v>1095.45</v>
      </c>
      <c r="J1235" s="26">
        <f t="shared" ref="J1235:K1235" si="500">1095.45</f>
        <v>1095.45</v>
      </c>
      <c r="K1235" s="26">
        <f t="shared" si="500"/>
        <v>1095.45</v>
      </c>
      <c r="L1235" s="16">
        <v>710120060</v>
      </c>
      <c r="M1235" s="16" t="str">
        <f t="shared" si="495"/>
        <v>0710120060</v>
      </c>
      <c r="N1235" s="16" t="str">
        <f t="shared" si="496"/>
        <v>61708010710120060240</v>
      </c>
    </row>
    <row r="1236" spans="2:14" s="16" customFormat="1" ht="25.5">
      <c r="B1236" s="14"/>
      <c r="C1236" s="200" t="s">
        <v>780</v>
      </c>
      <c r="D1236" s="203" t="s">
        <v>746</v>
      </c>
      <c r="E1236" s="204" t="s">
        <v>238</v>
      </c>
      <c r="F1236" s="204" t="s">
        <v>11</v>
      </c>
      <c r="G1236" s="204" t="s">
        <v>781</v>
      </c>
      <c r="H1236" s="204" t="s">
        <v>9</v>
      </c>
      <c r="I1236" s="26">
        <f>I1237</f>
        <v>490</v>
      </c>
      <c r="J1236" s="26">
        <f>J1237</f>
        <v>495.55</v>
      </c>
      <c r="K1236" s="26">
        <f>K1237</f>
        <v>495.55</v>
      </c>
      <c r="L1236" s="16">
        <v>710121130</v>
      </c>
      <c r="M1236" s="16" t="str">
        <f t="shared" si="495"/>
        <v>0710121130</v>
      </c>
      <c r="N1236" s="16" t="str">
        <f t="shared" si="496"/>
        <v>61708010710121130000</v>
      </c>
    </row>
    <row r="1237" spans="2:14" ht="25.5">
      <c r="C1237" s="197" t="s">
        <v>28</v>
      </c>
      <c r="D1237" s="203" t="s">
        <v>746</v>
      </c>
      <c r="E1237" s="204" t="s">
        <v>238</v>
      </c>
      <c r="F1237" s="204" t="s">
        <v>11</v>
      </c>
      <c r="G1237" s="204" t="s">
        <v>781</v>
      </c>
      <c r="H1237" s="204" t="s">
        <v>29</v>
      </c>
      <c r="I1237" s="26">
        <f>495.55-5.55</f>
        <v>490</v>
      </c>
      <c r="J1237" s="26">
        <f t="shared" ref="J1237:K1237" si="501">495.55</f>
        <v>495.55</v>
      </c>
      <c r="K1237" s="26">
        <f t="shared" si="501"/>
        <v>495.55</v>
      </c>
      <c r="L1237" s="48">
        <v>710121130</v>
      </c>
      <c r="M1237" s="16" t="str">
        <f t="shared" si="495"/>
        <v>0710121130</v>
      </c>
      <c r="N1237" s="16" t="str">
        <f t="shared" si="496"/>
        <v>61708010710121130240</v>
      </c>
    </row>
    <row r="1238" spans="2:14">
      <c r="C1238" s="197"/>
      <c r="D1238" s="203"/>
      <c r="E1238" s="204"/>
      <c r="F1238" s="204"/>
      <c r="G1238" s="204"/>
      <c r="H1238" s="204"/>
      <c r="I1238" s="26"/>
      <c r="J1238" s="26"/>
      <c r="K1238" s="26"/>
      <c r="M1238" s="16" t="str">
        <f t="shared" si="495"/>
        <v>0000000000</v>
      </c>
      <c r="N1238" s="16" t="str">
        <f t="shared" si="496"/>
        <v>0000000000</v>
      </c>
    </row>
    <row r="1239" spans="2:14" s="16" customFormat="1">
      <c r="B1239" s="14"/>
      <c r="C1239" s="202" t="s">
        <v>782</v>
      </c>
      <c r="D1239" s="189" t="s">
        <v>783</v>
      </c>
      <c r="E1239" s="190" t="s">
        <v>7</v>
      </c>
      <c r="F1239" s="190" t="s">
        <v>7</v>
      </c>
      <c r="G1239" s="190" t="s">
        <v>8</v>
      </c>
      <c r="H1239" s="190" t="s">
        <v>9</v>
      </c>
      <c r="I1239" s="25">
        <f>I1240+I1265+I1276+I1311+I1320</f>
        <v>136437.94</v>
      </c>
      <c r="J1239" s="25">
        <f t="shared" ref="J1239:K1239" si="502">J1240+J1265+J1276+J1311+J1320</f>
        <v>118418.20999999999</v>
      </c>
      <c r="K1239" s="25">
        <f t="shared" si="502"/>
        <v>123487.20000000001</v>
      </c>
      <c r="L1239" s="16">
        <v>0</v>
      </c>
      <c r="M1239" s="16" t="str">
        <f t="shared" si="495"/>
        <v>0000000000</v>
      </c>
      <c r="N1239" s="16" t="str">
        <f t="shared" si="496"/>
        <v>61800000000000000000</v>
      </c>
    </row>
    <row r="1240" spans="2:14" s="16" customFormat="1">
      <c r="B1240" s="14"/>
      <c r="C1240" s="191" t="s">
        <v>10</v>
      </c>
      <c r="D1240" s="192" t="s">
        <v>783</v>
      </c>
      <c r="E1240" s="193" t="s">
        <v>11</v>
      </c>
      <c r="F1240" s="193" t="s">
        <v>7</v>
      </c>
      <c r="G1240" s="193" t="s">
        <v>8</v>
      </c>
      <c r="H1240" s="193" t="s">
        <v>9</v>
      </c>
      <c r="I1240" s="18">
        <f>I1241+I1259</f>
        <v>32858.239999999998</v>
      </c>
      <c r="J1240" s="18">
        <f>J1241+J1259</f>
        <v>32899.890000000007</v>
      </c>
      <c r="K1240" s="18">
        <f>K1241+K1259</f>
        <v>32899.890000000007</v>
      </c>
      <c r="L1240" s="16">
        <v>0</v>
      </c>
      <c r="M1240" s="16" t="str">
        <f t="shared" si="495"/>
        <v>0000000000</v>
      </c>
      <c r="N1240" s="16" t="str">
        <f t="shared" si="496"/>
        <v>61801000000000000000</v>
      </c>
    </row>
    <row r="1241" spans="2:14" s="16" customFormat="1" ht="38.25">
      <c r="B1241" s="14"/>
      <c r="C1241" s="194" t="s">
        <v>72</v>
      </c>
      <c r="D1241" s="195" t="s">
        <v>783</v>
      </c>
      <c r="E1241" s="196" t="s">
        <v>11</v>
      </c>
      <c r="F1241" s="196" t="s">
        <v>73</v>
      </c>
      <c r="G1241" s="196" t="s">
        <v>8</v>
      </c>
      <c r="H1241" s="196" t="s">
        <v>9</v>
      </c>
      <c r="I1241" s="19">
        <f t="shared" ref="I1241:K1242" si="503">I1242</f>
        <v>32500.389999999996</v>
      </c>
      <c r="J1241" s="19">
        <f t="shared" si="503"/>
        <v>32542.040000000005</v>
      </c>
      <c r="K1241" s="19">
        <f t="shared" si="503"/>
        <v>32542.040000000005</v>
      </c>
      <c r="L1241" s="16">
        <v>0</v>
      </c>
      <c r="M1241" s="16" t="str">
        <f t="shared" si="495"/>
        <v>0000000000</v>
      </c>
      <c r="N1241" s="16" t="str">
        <f t="shared" si="496"/>
        <v>61801040000000000000</v>
      </c>
    </row>
    <row r="1242" spans="2:14" s="16" customFormat="1" ht="25.5">
      <c r="B1242" s="14"/>
      <c r="C1242" s="197" t="s">
        <v>784</v>
      </c>
      <c r="D1242" s="198" t="s">
        <v>783</v>
      </c>
      <c r="E1242" s="199" t="s">
        <v>11</v>
      </c>
      <c r="F1242" s="199" t="s">
        <v>73</v>
      </c>
      <c r="G1242" s="199" t="s">
        <v>785</v>
      </c>
      <c r="H1242" s="199" t="s">
        <v>9</v>
      </c>
      <c r="I1242" s="20">
        <f t="shared" si="503"/>
        <v>32500.389999999996</v>
      </c>
      <c r="J1242" s="20">
        <f t="shared" si="503"/>
        <v>32542.040000000005</v>
      </c>
      <c r="K1242" s="20">
        <f t="shared" si="503"/>
        <v>32542.040000000005</v>
      </c>
      <c r="L1242" s="16">
        <v>8100000000</v>
      </c>
      <c r="M1242" s="16" t="str">
        <f t="shared" si="495"/>
        <v>8100000000</v>
      </c>
      <c r="N1242" s="16" t="str">
        <f t="shared" si="496"/>
        <v>61801048100000000000</v>
      </c>
    </row>
    <row r="1243" spans="2:14" s="16" customFormat="1" ht="25.5">
      <c r="B1243" s="14"/>
      <c r="C1243" s="197" t="s">
        <v>786</v>
      </c>
      <c r="D1243" s="198" t="s">
        <v>783</v>
      </c>
      <c r="E1243" s="199" t="s">
        <v>11</v>
      </c>
      <c r="F1243" s="199" t="s">
        <v>73</v>
      </c>
      <c r="G1243" s="199" t="s">
        <v>787</v>
      </c>
      <c r="H1243" s="199" t="s">
        <v>9</v>
      </c>
      <c r="I1243" s="20">
        <f>I1244+I1248+I1250+I1253+I1255+I1257</f>
        <v>32500.389999999996</v>
      </c>
      <c r="J1243" s="20">
        <f t="shared" ref="J1243:K1243" si="504">J1244+J1248+J1250+J1253+J1255+J1257</f>
        <v>32542.040000000005</v>
      </c>
      <c r="K1243" s="20">
        <f t="shared" si="504"/>
        <v>32542.040000000005</v>
      </c>
      <c r="L1243" s="16">
        <v>8110000000</v>
      </c>
      <c r="M1243" s="16" t="str">
        <f t="shared" si="495"/>
        <v>8110000000</v>
      </c>
      <c r="N1243" s="16" t="str">
        <f t="shared" si="496"/>
        <v>61801048110000000000</v>
      </c>
    </row>
    <row r="1244" spans="2:14" s="16" customFormat="1" ht="25.5">
      <c r="B1244" s="14"/>
      <c r="C1244" s="197" t="s">
        <v>18</v>
      </c>
      <c r="D1244" s="198" t="s">
        <v>783</v>
      </c>
      <c r="E1244" s="199" t="s">
        <v>11</v>
      </c>
      <c r="F1244" s="199" t="s">
        <v>73</v>
      </c>
      <c r="G1244" s="199" t="s">
        <v>788</v>
      </c>
      <c r="H1244" s="199" t="s">
        <v>9</v>
      </c>
      <c r="I1244" s="20">
        <f>SUM(I1245:I1247)</f>
        <v>4289.08</v>
      </c>
      <c r="J1244" s="20">
        <f>SUM(J1245:J1247)</f>
        <v>4289.08</v>
      </c>
      <c r="K1244" s="20">
        <f>SUM(K1245:K1247)</f>
        <v>4289.08</v>
      </c>
      <c r="L1244" s="16">
        <v>8110010010</v>
      </c>
      <c r="M1244" s="16" t="str">
        <f t="shared" si="495"/>
        <v>8110010010</v>
      </c>
      <c r="N1244" s="16" t="str">
        <f t="shared" si="496"/>
        <v>61801048110010010000</v>
      </c>
    </row>
    <row r="1245" spans="2:14" s="16" customFormat="1" ht="25.5">
      <c r="B1245" s="14"/>
      <c r="C1245" s="201" t="s">
        <v>20</v>
      </c>
      <c r="D1245" s="198" t="s">
        <v>783</v>
      </c>
      <c r="E1245" s="199" t="s">
        <v>11</v>
      </c>
      <c r="F1245" s="199" t="s">
        <v>73</v>
      </c>
      <c r="G1245" s="199" t="s">
        <v>788</v>
      </c>
      <c r="H1245" s="199" t="s">
        <v>21</v>
      </c>
      <c r="I1245" s="20">
        <f>489.33+147.78+3</f>
        <v>640.11</v>
      </c>
      <c r="J1245" s="20">
        <f t="shared" ref="J1245:K1245" si="505">489.33+147.78+3</f>
        <v>640.11</v>
      </c>
      <c r="K1245" s="20">
        <f t="shared" si="505"/>
        <v>640.11</v>
      </c>
      <c r="L1245" s="16">
        <v>8110010010</v>
      </c>
      <c r="M1245" s="16" t="str">
        <f t="shared" si="495"/>
        <v>8110010010</v>
      </c>
      <c r="N1245" s="16" t="str">
        <f t="shared" si="496"/>
        <v>61801048110010010120</v>
      </c>
    </row>
    <row r="1246" spans="2:14" s="16" customFormat="1" ht="25.5">
      <c r="B1246" s="14"/>
      <c r="C1246" s="197" t="s">
        <v>28</v>
      </c>
      <c r="D1246" s="198" t="s">
        <v>783</v>
      </c>
      <c r="E1246" s="199" t="s">
        <v>11</v>
      </c>
      <c r="F1246" s="199" t="s">
        <v>73</v>
      </c>
      <c r="G1246" s="199" t="s">
        <v>788</v>
      </c>
      <c r="H1246" s="199" t="s">
        <v>29</v>
      </c>
      <c r="I1246" s="20">
        <f>3101.47+497</f>
        <v>3598.47</v>
      </c>
      <c r="J1246" s="20">
        <f t="shared" ref="J1246:K1246" si="506">3101.47+497</f>
        <v>3598.47</v>
      </c>
      <c r="K1246" s="20">
        <f t="shared" si="506"/>
        <v>3598.47</v>
      </c>
      <c r="L1246" s="16">
        <v>8110010010</v>
      </c>
      <c r="M1246" s="16" t="str">
        <f t="shared" si="495"/>
        <v>8110010010</v>
      </c>
      <c r="N1246" s="16" t="str">
        <f t="shared" si="496"/>
        <v>61801048110010010240</v>
      </c>
    </row>
    <row r="1247" spans="2:14" s="16" customFormat="1">
      <c r="B1247" s="14"/>
      <c r="C1247" s="197" t="s">
        <v>32</v>
      </c>
      <c r="D1247" s="198" t="s">
        <v>783</v>
      </c>
      <c r="E1247" s="199" t="s">
        <v>11</v>
      </c>
      <c r="F1247" s="199" t="s">
        <v>73</v>
      </c>
      <c r="G1247" s="199" t="s">
        <v>788</v>
      </c>
      <c r="H1247" s="199" t="s">
        <v>33</v>
      </c>
      <c r="I1247" s="20">
        <f>36+14.5</f>
        <v>50.5</v>
      </c>
      <c r="J1247" s="20">
        <f t="shared" ref="J1247:K1247" si="507">36+14.5</f>
        <v>50.5</v>
      </c>
      <c r="K1247" s="20">
        <f t="shared" si="507"/>
        <v>50.5</v>
      </c>
      <c r="L1247" s="16">
        <v>8110010010</v>
      </c>
      <c r="M1247" s="16" t="str">
        <f t="shared" si="495"/>
        <v>8110010010</v>
      </c>
      <c r="N1247" s="16" t="str">
        <f t="shared" si="496"/>
        <v>61801048110010010850</v>
      </c>
    </row>
    <row r="1248" spans="2:14" s="16" customFormat="1" ht="25.5">
      <c r="B1248" s="14"/>
      <c r="C1248" s="201" t="s">
        <v>789</v>
      </c>
      <c r="D1248" s="198" t="s">
        <v>783</v>
      </c>
      <c r="E1248" s="199" t="s">
        <v>11</v>
      </c>
      <c r="F1248" s="199" t="s">
        <v>73</v>
      </c>
      <c r="G1248" s="199" t="s">
        <v>790</v>
      </c>
      <c r="H1248" s="199" t="s">
        <v>9</v>
      </c>
      <c r="I1248" s="20">
        <f>I1249</f>
        <v>26004.859999999997</v>
      </c>
      <c r="J1248" s="20">
        <f>J1249</f>
        <v>26963.43</v>
      </c>
      <c r="K1248" s="20">
        <f>K1249</f>
        <v>26963.43</v>
      </c>
      <c r="L1248" s="16">
        <v>8110010020</v>
      </c>
      <c r="M1248" s="16" t="str">
        <f t="shared" si="495"/>
        <v>8110010020</v>
      </c>
      <c r="N1248" s="16" t="str">
        <f t="shared" si="496"/>
        <v>61801048110010020000</v>
      </c>
    </row>
    <row r="1249" spans="2:14" s="16" customFormat="1" ht="25.5">
      <c r="B1249" s="14"/>
      <c r="C1249" s="201" t="s">
        <v>20</v>
      </c>
      <c r="D1249" s="198" t="s">
        <v>783</v>
      </c>
      <c r="E1249" s="199" t="s">
        <v>11</v>
      </c>
      <c r="F1249" s="199" t="s">
        <v>73</v>
      </c>
      <c r="G1249" s="199" t="s">
        <v>790</v>
      </c>
      <c r="H1249" s="199" t="s">
        <v>21</v>
      </c>
      <c r="I1249" s="20">
        <f>19618.28+5924.72+44.76+125.14+149.84+23.46+118.66</f>
        <v>26004.859999999997</v>
      </c>
      <c r="J1249" s="20">
        <f>19618.28+5924.72+1020.34+149.84+250.25</f>
        <v>26963.43</v>
      </c>
      <c r="K1249" s="20">
        <f>19618.28+5924.72+1020.34+149.84+250.25</f>
        <v>26963.43</v>
      </c>
      <c r="L1249" s="16">
        <v>8110010020</v>
      </c>
      <c r="M1249" s="16" t="str">
        <f t="shared" si="495"/>
        <v>8110010020</v>
      </c>
      <c r="N1249" s="16" t="str">
        <f t="shared" si="496"/>
        <v>61801048110010020120</v>
      </c>
    </row>
    <row r="1250" spans="2:14" s="16" customFormat="1" ht="51">
      <c r="B1250" s="14" t="s">
        <v>80</v>
      </c>
      <c r="C1250" s="252" t="s">
        <v>488</v>
      </c>
      <c r="D1250" s="198" t="s">
        <v>783</v>
      </c>
      <c r="E1250" s="199" t="s">
        <v>11</v>
      </c>
      <c r="F1250" s="199" t="s">
        <v>73</v>
      </c>
      <c r="G1250" s="199" t="s">
        <v>791</v>
      </c>
      <c r="H1250" s="199" t="s">
        <v>9</v>
      </c>
      <c r="I1250" s="20">
        <f>I1251+I1252</f>
        <v>1260.4000000000001</v>
      </c>
      <c r="J1250" s="20">
        <f>J1251+J1252</f>
        <v>1218.6300000000001</v>
      </c>
      <c r="K1250" s="20">
        <f>K1251+K1252</f>
        <v>1218.6300000000001</v>
      </c>
      <c r="L1250" s="16">
        <v>8110076200</v>
      </c>
      <c r="M1250" s="16" t="str">
        <f t="shared" si="495"/>
        <v>8110076200</v>
      </c>
      <c r="N1250" s="16" t="str">
        <f t="shared" si="496"/>
        <v>61801048110076200000</v>
      </c>
    </row>
    <row r="1251" spans="2:14" s="16" customFormat="1" ht="25.5">
      <c r="B1251" s="14"/>
      <c r="C1251" s="201" t="s">
        <v>20</v>
      </c>
      <c r="D1251" s="198" t="s">
        <v>783</v>
      </c>
      <c r="E1251" s="199" t="s">
        <v>11</v>
      </c>
      <c r="F1251" s="199" t="s">
        <v>73</v>
      </c>
      <c r="G1251" s="199" t="s">
        <v>791</v>
      </c>
      <c r="H1251" s="199" t="s">
        <v>21</v>
      </c>
      <c r="I1251" s="20">
        <f>775.6+38.3+245.81+41.77</f>
        <v>1101.48</v>
      </c>
      <c r="J1251" s="20">
        <f>775.6+38.3+245.81</f>
        <v>1059.71</v>
      </c>
      <c r="K1251" s="20">
        <f>775.6+38.3+245.81</f>
        <v>1059.71</v>
      </c>
      <c r="L1251" s="16">
        <v>8110076200</v>
      </c>
      <c r="M1251" s="16" t="str">
        <f t="shared" si="495"/>
        <v>8110076200</v>
      </c>
      <c r="N1251" s="16" t="str">
        <f t="shared" si="496"/>
        <v>61801048110076200120</v>
      </c>
    </row>
    <row r="1252" spans="2:14" s="16" customFormat="1" ht="25.5">
      <c r="B1252" s="14"/>
      <c r="C1252" s="197" t="s">
        <v>28</v>
      </c>
      <c r="D1252" s="198" t="s">
        <v>783</v>
      </c>
      <c r="E1252" s="199" t="s">
        <v>11</v>
      </c>
      <c r="F1252" s="199" t="s">
        <v>73</v>
      </c>
      <c r="G1252" s="199" t="s">
        <v>791</v>
      </c>
      <c r="H1252" s="199" t="s">
        <v>29</v>
      </c>
      <c r="I1252" s="20">
        <f>158.92</f>
        <v>158.91999999999999</v>
      </c>
      <c r="J1252" s="20">
        <f>158.92</f>
        <v>158.91999999999999</v>
      </c>
      <c r="K1252" s="20">
        <f>158.92</f>
        <v>158.91999999999999</v>
      </c>
      <c r="L1252" s="16">
        <v>8110076200</v>
      </c>
      <c r="M1252" s="16" t="str">
        <f t="shared" si="495"/>
        <v>8110076200</v>
      </c>
      <c r="N1252" s="16" t="str">
        <f t="shared" si="496"/>
        <v>61801048110076200240</v>
      </c>
    </row>
    <row r="1253" spans="2:14" s="16" customFormat="1" ht="51">
      <c r="B1253" s="14" t="s">
        <v>80</v>
      </c>
      <c r="C1253" s="201" t="s">
        <v>754</v>
      </c>
      <c r="D1253" s="198" t="str">
        <f t="shared" ref="D1253:F1254" si="508">D1248</f>
        <v>618</v>
      </c>
      <c r="E1253" s="199" t="str">
        <f t="shared" si="508"/>
        <v>01</v>
      </c>
      <c r="F1253" s="199" t="str">
        <f t="shared" si="508"/>
        <v>04</v>
      </c>
      <c r="G1253" s="199" t="s">
        <v>792</v>
      </c>
      <c r="H1253" s="199" t="s">
        <v>9</v>
      </c>
      <c r="I1253" s="20">
        <f>I1254</f>
        <v>70.900000000000006</v>
      </c>
      <c r="J1253" s="20">
        <f>J1254</f>
        <v>70.900000000000006</v>
      </c>
      <c r="K1253" s="20">
        <f>K1254</f>
        <v>70.900000000000006</v>
      </c>
      <c r="L1253" s="16">
        <v>8110076360</v>
      </c>
      <c r="M1253" s="16" t="str">
        <f t="shared" si="495"/>
        <v>8110076360</v>
      </c>
      <c r="N1253" s="16" t="str">
        <f t="shared" si="496"/>
        <v>61801048110076360000</v>
      </c>
    </row>
    <row r="1254" spans="2:14" s="16" customFormat="1" ht="25.5">
      <c r="B1254" s="14"/>
      <c r="C1254" s="197" t="s">
        <v>28</v>
      </c>
      <c r="D1254" s="198" t="str">
        <f t="shared" si="508"/>
        <v>618</v>
      </c>
      <c r="E1254" s="199" t="str">
        <f t="shared" si="508"/>
        <v>01</v>
      </c>
      <c r="F1254" s="199" t="str">
        <f t="shared" si="508"/>
        <v>04</v>
      </c>
      <c r="G1254" s="199" t="s">
        <v>792</v>
      </c>
      <c r="H1254" s="199" t="s">
        <v>29</v>
      </c>
      <c r="I1254" s="20">
        <f>70.9</f>
        <v>70.900000000000006</v>
      </c>
      <c r="J1254" s="20">
        <f t="shared" ref="J1254:K1254" si="509">70.9</f>
        <v>70.900000000000006</v>
      </c>
      <c r="K1254" s="20">
        <f t="shared" si="509"/>
        <v>70.900000000000006</v>
      </c>
      <c r="L1254" s="16">
        <v>8110076360</v>
      </c>
      <c r="M1254" s="16" t="str">
        <f t="shared" si="495"/>
        <v>8110076360</v>
      </c>
      <c r="N1254" s="16" t="str">
        <f t="shared" si="496"/>
        <v>61801048110076360240</v>
      </c>
    </row>
    <row r="1255" spans="2:14" s="16" customFormat="1" ht="191.25">
      <c r="B1255" s="14" t="s">
        <v>80</v>
      </c>
      <c r="C1255" s="197" t="s">
        <v>2269</v>
      </c>
      <c r="D1255" s="198" t="s">
        <v>783</v>
      </c>
      <c r="E1255" s="199" t="s">
        <v>11</v>
      </c>
      <c r="F1255" s="199" t="s">
        <v>73</v>
      </c>
      <c r="G1255" s="199" t="s">
        <v>1313</v>
      </c>
      <c r="H1255" s="199" t="s">
        <v>9</v>
      </c>
      <c r="I1255" s="20">
        <f>I1256</f>
        <v>826.98</v>
      </c>
      <c r="J1255" s="20">
        <f t="shared" ref="J1255:K1257" si="510">J1256</f>
        <v>0</v>
      </c>
      <c r="K1255" s="20">
        <f t="shared" si="510"/>
        <v>0</v>
      </c>
      <c r="L1255" s="16">
        <v>8110077460</v>
      </c>
      <c r="M1255" s="16" t="str">
        <f t="shared" si="495"/>
        <v>8110077460</v>
      </c>
      <c r="N1255" s="16" t="str">
        <f t="shared" si="496"/>
        <v>61801048110077460000</v>
      </c>
    </row>
    <row r="1256" spans="2:14" s="16" customFormat="1" ht="25.5">
      <c r="B1256" s="14"/>
      <c r="C1256" s="201" t="s">
        <v>20</v>
      </c>
      <c r="D1256" s="198" t="s">
        <v>783</v>
      </c>
      <c r="E1256" s="199" t="s">
        <v>11</v>
      </c>
      <c r="F1256" s="199" t="s">
        <v>73</v>
      </c>
      <c r="G1256" s="199" t="s">
        <v>1313</v>
      </c>
      <c r="H1256" s="199" t="s">
        <v>21</v>
      </c>
      <c r="I1256" s="20">
        <f>850.44-23.46</f>
        <v>826.98</v>
      </c>
      <c r="J1256" s="20">
        <v>0</v>
      </c>
      <c r="K1256" s="20">
        <v>0</v>
      </c>
      <c r="L1256" s="16">
        <v>8110077460</v>
      </c>
      <c r="M1256" s="16" t="str">
        <f t="shared" si="495"/>
        <v>8110077460</v>
      </c>
      <c r="N1256" s="16" t="str">
        <f t="shared" si="496"/>
        <v>61801048110077460120</v>
      </c>
    </row>
    <row r="1257" spans="2:14" s="16" customFormat="1" ht="165.75">
      <c r="B1257" s="14"/>
      <c r="C1257" s="200" t="s">
        <v>2247</v>
      </c>
      <c r="D1257" s="198" t="s">
        <v>783</v>
      </c>
      <c r="E1257" s="199" t="s">
        <v>11</v>
      </c>
      <c r="F1257" s="199" t="s">
        <v>73</v>
      </c>
      <c r="G1257" s="199" t="s">
        <v>2290</v>
      </c>
      <c r="H1257" s="199" t="s">
        <v>9</v>
      </c>
      <c r="I1257" s="20">
        <f>I1258</f>
        <v>48.17</v>
      </c>
      <c r="J1257" s="20">
        <f t="shared" si="510"/>
        <v>0</v>
      </c>
      <c r="K1257" s="20">
        <f t="shared" si="510"/>
        <v>0</v>
      </c>
      <c r="L1257" s="16">
        <v>8110077580</v>
      </c>
      <c r="M1257" s="16" t="str">
        <f t="shared" si="495"/>
        <v>8110077580</v>
      </c>
      <c r="N1257" s="16" t="str">
        <f t="shared" si="496"/>
        <v>61801048110077580000</v>
      </c>
    </row>
    <row r="1258" spans="2:14" s="16" customFormat="1" ht="25.5">
      <c r="B1258" s="14"/>
      <c r="C1258" s="201" t="s">
        <v>20</v>
      </c>
      <c r="D1258" s="198" t="s">
        <v>783</v>
      </c>
      <c r="E1258" s="199" t="s">
        <v>11</v>
      </c>
      <c r="F1258" s="199" t="s">
        <v>73</v>
      </c>
      <c r="G1258" s="199" t="s">
        <v>2290</v>
      </c>
      <c r="H1258" s="199" t="s">
        <v>21</v>
      </c>
      <c r="I1258" s="20">
        <f>48.17</f>
        <v>48.17</v>
      </c>
      <c r="J1258" s="20">
        <v>0</v>
      </c>
      <c r="K1258" s="20">
        <v>0</v>
      </c>
      <c r="L1258" s="16">
        <v>8110077580</v>
      </c>
      <c r="M1258" s="16" t="str">
        <f t="shared" si="495"/>
        <v>8110077580</v>
      </c>
      <c r="N1258" s="16" t="str">
        <f t="shared" si="496"/>
        <v>61801048110077580120</v>
      </c>
    </row>
    <row r="1259" spans="2:14" s="16" customFormat="1">
      <c r="B1259" s="14"/>
      <c r="C1259" s="194" t="s">
        <v>50</v>
      </c>
      <c r="D1259" s="195" t="s">
        <v>783</v>
      </c>
      <c r="E1259" s="196" t="s">
        <v>11</v>
      </c>
      <c r="F1259" s="196" t="s">
        <v>51</v>
      </c>
      <c r="G1259" s="196" t="s">
        <v>8</v>
      </c>
      <c r="H1259" s="196" t="s">
        <v>9</v>
      </c>
      <c r="I1259" s="19">
        <f>I1260</f>
        <v>357.85</v>
      </c>
      <c r="J1259" s="19">
        <f t="shared" ref="J1259:K1259" si="511">J1260</f>
        <v>357.85</v>
      </c>
      <c r="K1259" s="19">
        <f t="shared" si="511"/>
        <v>357.85</v>
      </c>
      <c r="L1259" s="16">
        <v>0</v>
      </c>
      <c r="M1259" s="16" t="str">
        <f t="shared" si="495"/>
        <v>0000000000</v>
      </c>
      <c r="N1259" s="16" t="str">
        <f t="shared" si="496"/>
        <v>61801130000000000000</v>
      </c>
    </row>
    <row r="1260" spans="2:14" s="16" customFormat="1" ht="38.25">
      <c r="B1260" s="14"/>
      <c r="C1260" s="205" t="s">
        <v>257</v>
      </c>
      <c r="D1260" s="198" t="s">
        <v>783</v>
      </c>
      <c r="E1260" s="199" t="s">
        <v>11</v>
      </c>
      <c r="F1260" s="199" t="s">
        <v>51</v>
      </c>
      <c r="G1260" s="199" t="s">
        <v>258</v>
      </c>
      <c r="H1260" s="199" t="s">
        <v>9</v>
      </c>
      <c r="I1260" s="20">
        <f t="shared" ref="I1260:K1263" si="512">I1261</f>
        <v>357.85</v>
      </c>
      <c r="J1260" s="20">
        <f t="shared" si="512"/>
        <v>357.85</v>
      </c>
      <c r="K1260" s="20">
        <f t="shared" si="512"/>
        <v>357.85</v>
      </c>
      <c r="L1260" s="16">
        <v>1100000000</v>
      </c>
      <c r="M1260" s="16" t="str">
        <f t="shared" si="495"/>
        <v>1100000000</v>
      </c>
      <c r="N1260" s="16" t="str">
        <f t="shared" si="496"/>
        <v>61801131100000000000</v>
      </c>
    </row>
    <row r="1261" spans="2:14" s="16" customFormat="1" ht="51">
      <c r="B1261" s="14"/>
      <c r="C1261" s="205" t="s">
        <v>259</v>
      </c>
      <c r="D1261" s="198" t="s">
        <v>783</v>
      </c>
      <c r="E1261" s="199" t="s">
        <v>11</v>
      </c>
      <c r="F1261" s="199" t="s">
        <v>51</v>
      </c>
      <c r="G1261" s="199" t="s">
        <v>260</v>
      </c>
      <c r="H1261" s="199" t="s">
        <v>9</v>
      </c>
      <c r="I1261" s="20">
        <f t="shared" si="512"/>
        <v>357.85</v>
      </c>
      <c r="J1261" s="20">
        <f t="shared" si="512"/>
        <v>357.85</v>
      </c>
      <c r="K1261" s="20">
        <f t="shared" si="512"/>
        <v>357.85</v>
      </c>
      <c r="L1261" s="16" t="s">
        <v>1171</v>
      </c>
      <c r="M1261" s="16" t="str">
        <f t="shared" si="495"/>
        <v>11Б0000000</v>
      </c>
      <c r="N1261" s="16" t="str">
        <f t="shared" si="496"/>
        <v>618011311Б0000000000</v>
      </c>
    </row>
    <row r="1262" spans="2:14" s="16" customFormat="1" ht="38.25">
      <c r="B1262" s="14"/>
      <c r="C1262" s="255" t="s">
        <v>261</v>
      </c>
      <c r="D1262" s="256" t="s">
        <v>783</v>
      </c>
      <c r="E1262" s="199" t="s">
        <v>11</v>
      </c>
      <c r="F1262" s="199" t="s">
        <v>51</v>
      </c>
      <c r="G1262" s="199" t="s">
        <v>262</v>
      </c>
      <c r="H1262" s="199" t="s">
        <v>9</v>
      </c>
      <c r="I1262" s="20">
        <f t="shared" si="512"/>
        <v>357.85</v>
      </c>
      <c r="J1262" s="20">
        <f t="shared" si="512"/>
        <v>357.85</v>
      </c>
      <c r="K1262" s="20">
        <f t="shared" si="512"/>
        <v>357.85</v>
      </c>
      <c r="L1262" s="16" t="s">
        <v>1172</v>
      </c>
      <c r="M1262" s="16" t="str">
        <f t="shared" si="495"/>
        <v>11Б0100000</v>
      </c>
      <c r="N1262" s="16" t="str">
        <f t="shared" si="496"/>
        <v>618011311Б0100000000</v>
      </c>
    </row>
    <row r="1263" spans="2:14" s="16" customFormat="1" ht="25.5">
      <c r="B1263" s="14"/>
      <c r="C1263" s="197" t="s">
        <v>756</v>
      </c>
      <c r="D1263" s="198" t="s">
        <v>783</v>
      </c>
      <c r="E1263" s="199" t="s">
        <v>11</v>
      </c>
      <c r="F1263" s="199" t="s">
        <v>51</v>
      </c>
      <c r="G1263" s="199" t="s">
        <v>757</v>
      </c>
      <c r="H1263" s="199" t="s">
        <v>9</v>
      </c>
      <c r="I1263" s="20">
        <f t="shared" si="512"/>
        <v>357.85</v>
      </c>
      <c r="J1263" s="20">
        <f t="shared" si="512"/>
        <v>357.85</v>
      </c>
      <c r="K1263" s="20">
        <f t="shared" si="512"/>
        <v>357.85</v>
      </c>
      <c r="L1263" s="16" t="s">
        <v>1230</v>
      </c>
      <c r="M1263" s="16" t="str">
        <f t="shared" si="495"/>
        <v>11Б0120840</v>
      </c>
      <c r="N1263" s="16" t="str">
        <f t="shared" si="496"/>
        <v>618011311Б0120840000</v>
      </c>
    </row>
    <row r="1264" spans="2:14" s="16" customFormat="1" ht="25.5">
      <c r="B1264" s="14"/>
      <c r="C1264" s="197" t="s">
        <v>28</v>
      </c>
      <c r="D1264" s="198" t="s">
        <v>783</v>
      </c>
      <c r="E1264" s="199" t="s">
        <v>11</v>
      </c>
      <c r="F1264" s="199" t="s">
        <v>51</v>
      </c>
      <c r="G1264" s="199" t="s">
        <v>757</v>
      </c>
      <c r="H1264" s="199" t="s">
        <v>29</v>
      </c>
      <c r="I1264" s="20">
        <f>357.85</f>
        <v>357.85</v>
      </c>
      <c r="J1264" s="20">
        <f t="shared" ref="J1264:K1264" si="513">357.85</f>
        <v>357.85</v>
      </c>
      <c r="K1264" s="20">
        <f t="shared" si="513"/>
        <v>357.85</v>
      </c>
      <c r="L1264" s="16" t="s">
        <v>1230</v>
      </c>
      <c r="M1264" s="16" t="str">
        <f t="shared" si="495"/>
        <v>11Б0120840</v>
      </c>
      <c r="N1264" s="16" t="str">
        <f t="shared" si="496"/>
        <v>618011311Б0120840240</v>
      </c>
    </row>
    <row r="1265" spans="2:14" s="16" customFormat="1">
      <c r="B1265" s="14"/>
      <c r="C1265" s="191" t="s">
        <v>195</v>
      </c>
      <c r="D1265" s="192" t="s">
        <v>783</v>
      </c>
      <c r="E1265" s="193" t="s">
        <v>73</v>
      </c>
      <c r="F1265" s="193" t="s">
        <v>7</v>
      </c>
      <c r="G1265" s="193" t="s">
        <v>8</v>
      </c>
      <c r="H1265" s="193" t="s">
        <v>9</v>
      </c>
      <c r="I1265" s="18">
        <f t="shared" ref="I1265:K1268" si="514">I1266</f>
        <v>60435.94</v>
      </c>
      <c r="J1265" s="18">
        <f t="shared" si="514"/>
        <v>64831.42</v>
      </c>
      <c r="K1265" s="18">
        <f t="shared" si="514"/>
        <v>69900.41</v>
      </c>
      <c r="L1265" s="16">
        <v>0</v>
      </c>
      <c r="M1265" s="16" t="str">
        <f t="shared" si="495"/>
        <v>0000000000</v>
      </c>
      <c r="N1265" s="16" t="str">
        <f t="shared" si="496"/>
        <v>61804000000000000000</v>
      </c>
    </row>
    <row r="1266" spans="2:14" s="16" customFormat="1">
      <c r="B1266" s="14"/>
      <c r="C1266" s="194" t="s">
        <v>760</v>
      </c>
      <c r="D1266" s="195" t="s">
        <v>783</v>
      </c>
      <c r="E1266" s="196" t="s">
        <v>73</v>
      </c>
      <c r="F1266" s="196" t="s">
        <v>471</v>
      </c>
      <c r="G1266" s="196" t="s">
        <v>8</v>
      </c>
      <c r="H1266" s="196" t="s">
        <v>9</v>
      </c>
      <c r="I1266" s="19">
        <f t="shared" si="514"/>
        <v>60435.94</v>
      </c>
      <c r="J1266" s="19">
        <f t="shared" si="514"/>
        <v>64831.42</v>
      </c>
      <c r="K1266" s="19">
        <f t="shared" si="514"/>
        <v>69900.41</v>
      </c>
      <c r="L1266" s="16">
        <v>0</v>
      </c>
      <c r="M1266" s="16" t="str">
        <f t="shared" si="495"/>
        <v>0000000000</v>
      </c>
      <c r="N1266" s="16" t="str">
        <f t="shared" si="496"/>
        <v>61804090000000000000</v>
      </c>
    </row>
    <row r="1267" spans="2:14" s="16" customFormat="1" ht="38.25">
      <c r="B1267" s="14"/>
      <c r="C1267" s="200" t="s">
        <v>293</v>
      </c>
      <c r="D1267" s="198" t="s">
        <v>783</v>
      </c>
      <c r="E1267" s="199" t="s">
        <v>73</v>
      </c>
      <c r="F1267" s="199" t="s">
        <v>471</v>
      </c>
      <c r="G1267" s="199" t="s">
        <v>294</v>
      </c>
      <c r="H1267" s="199" t="s">
        <v>9</v>
      </c>
      <c r="I1267" s="20">
        <f t="shared" si="514"/>
        <v>60435.94</v>
      </c>
      <c r="J1267" s="20">
        <f t="shared" si="514"/>
        <v>64831.42</v>
      </c>
      <c r="K1267" s="20">
        <f t="shared" si="514"/>
        <v>69900.41</v>
      </c>
      <c r="L1267" s="16">
        <v>400000000</v>
      </c>
      <c r="M1267" s="16" t="str">
        <f t="shared" si="495"/>
        <v>0400000000</v>
      </c>
      <c r="N1267" s="16" t="str">
        <f t="shared" si="496"/>
        <v>61804090400000000000</v>
      </c>
    </row>
    <row r="1268" spans="2:14" s="16" customFormat="1" ht="38.25">
      <c r="B1268" s="14"/>
      <c r="C1268" s="226" t="s">
        <v>295</v>
      </c>
      <c r="D1268" s="257" t="s">
        <v>783</v>
      </c>
      <c r="E1268" s="199" t="s">
        <v>73</v>
      </c>
      <c r="F1268" s="199" t="s">
        <v>471</v>
      </c>
      <c r="G1268" s="199" t="s">
        <v>296</v>
      </c>
      <c r="H1268" s="199" t="s">
        <v>9</v>
      </c>
      <c r="I1268" s="20">
        <f t="shared" si="514"/>
        <v>60435.94</v>
      </c>
      <c r="J1268" s="20">
        <f t="shared" si="514"/>
        <v>64831.42</v>
      </c>
      <c r="K1268" s="20">
        <f t="shared" si="514"/>
        <v>69900.41</v>
      </c>
      <c r="L1268" s="16">
        <v>420000000</v>
      </c>
      <c r="M1268" s="16" t="str">
        <f t="shared" si="495"/>
        <v>0420000000</v>
      </c>
      <c r="N1268" s="16" t="str">
        <f t="shared" si="496"/>
        <v>61804090420000000000</v>
      </c>
    </row>
    <row r="1269" spans="2:14" s="16" customFormat="1" ht="38.25">
      <c r="B1269" s="14"/>
      <c r="C1269" s="226" t="s">
        <v>297</v>
      </c>
      <c r="D1269" s="198" t="s">
        <v>783</v>
      </c>
      <c r="E1269" s="199" t="s">
        <v>73</v>
      </c>
      <c r="F1269" s="199" t="s">
        <v>471</v>
      </c>
      <c r="G1269" s="199" t="s">
        <v>298</v>
      </c>
      <c r="H1269" s="199" t="s">
        <v>9</v>
      </c>
      <c r="I1269" s="20">
        <f>I1274+I1270</f>
        <v>60435.94</v>
      </c>
      <c r="J1269" s="20">
        <f t="shared" ref="J1269:K1269" si="515">J1274+J1270</f>
        <v>64831.42</v>
      </c>
      <c r="K1269" s="20">
        <f t="shared" si="515"/>
        <v>69900.41</v>
      </c>
      <c r="L1269" s="16">
        <v>420200000</v>
      </c>
      <c r="M1269" s="16" t="str">
        <f t="shared" si="495"/>
        <v>0420200000</v>
      </c>
      <c r="N1269" s="16" t="str">
        <f t="shared" si="496"/>
        <v>61804090420200000000</v>
      </c>
    </row>
    <row r="1270" spans="2:14" s="16" customFormat="1" ht="25.5">
      <c r="B1270" s="14"/>
      <c r="C1270" s="200" t="s">
        <v>761</v>
      </c>
      <c r="D1270" s="198" t="s">
        <v>783</v>
      </c>
      <c r="E1270" s="199" t="s">
        <v>73</v>
      </c>
      <c r="F1270" s="199" t="s">
        <v>471</v>
      </c>
      <c r="G1270" s="199" t="s">
        <v>762</v>
      </c>
      <c r="H1270" s="199" t="s">
        <v>9</v>
      </c>
      <c r="I1270" s="20">
        <f>I1273</f>
        <v>10300.11</v>
      </c>
      <c r="J1270" s="20">
        <f>J1273</f>
        <v>10087.43</v>
      </c>
      <c r="K1270" s="20">
        <f>K1273</f>
        <v>10087.43</v>
      </c>
      <c r="L1270" s="16">
        <v>420220820</v>
      </c>
      <c r="M1270" s="16" t="str">
        <f t="shared" si="495"/>
        <v>0420220820</v>
      </c>
      <c r="N1270" s="16" t="str">
        <f t="shared" si="496"/>
        <v>61804090420220820000</v>
      </c>
    </row>
    <row r="1271" spans="2:14" s="16" customFormat="1">
      <c r="B1271" s="14"/>
      <c r="C1271" s="220" t="s">
        <v>1104</v>
      </c>
      <c r="D1271" s="198"/>
      <c r="E1271" s="199"/>
      <c r="F1271" s="199"/>
      <c r="G1271" s="199"/>
      <c r="H1271" s="199"/>
      <c r="I1271" s="20"/>
      <c r="J1271" s="20"/>
      <c r="K1271" s="20"/>
      <c r="M1271" s="16" t="str">
        <f t="shared" si="495"/>
        <v>0000000000</v>
      </c>
      <c r="N1271" s="16" t="str">
        <f t="shared" si="496"/>
        <v>0000000000</v>
      </c>
    </row>
    <row r="1272" spans="2:14" s="16" customFormat="1">
      <c r="B1272" s="14"/>
      <c r="C1272" s="221" t="s">
        <v>1105</v>
      </c>
      <c r="D1272" s="222" t="s">
        <v>783</v>
      </c>
      <c r="E1272" s="223" t="s">
        <v>73</v>
      </c>
      <c r="F1272" s="223" t="s">
        <v>471</v>
      </c>
      <c r="G1272" s="223" t="s">
        <v>762</v>
      </c>
      <c r="H1272" s="223" t="s">
        <v>9</v>
      </c>
      <c r="I1272" s="224">
        <f>212.68</f>
        <v>212.68</v>
      </c>
      <c r="J1272" s="224">
        <v>0</v>
      </c>
      <c r="K1272" s="224">
        <v>0</v>
      </c>
      <c r="L1272" s="16">
        <v>420220820</v>
      </c>
      <c r="M1272" s="16" t="str">
        <f t="shared" si="495"/>
        <v>0420220820</v>
      </c>
      <c r="N1272" s="16" t="str">
        <f t="shared" si="496"/>
        <v>61804090420220820000</v>
      </c>
    </row>
    <row r="1273" spans="2:14" s="16" customFormat="1" ht="25.5">
      <c r="B1273" s="14"/>
      <c r="C1273" s="197" t="s">
        <v>28</v>
      </c>
      <c r="D1273" s="198" t="s">
        <v>783</v>
      </c>
      <c r="E1273" s="199" t="s">
        <v>73</v>
      </c>
      <c r="F1273" s="199" t="s">
        <v>471</v>
      </c>
      <c r="G1273" s="199" t="s">
        <v>762</v>
      </c>
      <c r="H1273" s="199" t="s">
        <v>29</v>
      </c>
      <c r="I1273" s="20">
        <f>10087.43+I1272</f>
        <v>10300.11</v>
      </c>
      <c r="J1273" s="20">
        <f t="shared" ref="J1273:K1273" si="516">10087.43</f>
        <v>10087.43</v>
      </c>
      <c r="K1273" s="20">
        <f t="shared" si="516"/>
        <v>10087.43</v>
      </c>
      <c r="L1273" s="16">
        <v>420220820</v>
      </c>
      <c r="M1273" s="16" t="str">
        <f t="shared" si="495"/>
        <v>0420220820</v>
      </c>
      <c r="N1273" s="16" t="str">
        <f t="shared" si="496"/>
        <v>61804090420220820240</v>
      </c>
    </row>
    <row r="1274" spans="2:14" s="16" customFormat="1" ht="25.5">
      <c r="B1274" s="14"/>
      <c r="C1274" s="197" t="s">
        <v>763</v>
      </c>
      <c r="D1274" s="198" t="s">
        <v>783</v>
      </c>
      <c r="E1274" s="199" t="s">
        <v>73</v>
      </c>
      <c r="F1274" s="199" t="s">
        <v>471</v>
      </c>
      <c r="G1274" s="199" t="s">
        <v>764</v>
      </c>
      <c r="H1274" s="199" t="s">
        <v>9</v>
      </c>
      <c r="I1274" s="20">
        <f>I1275</f>
        <v>50135.83</v>
      </c>
      <c r="J1274" s="20">
        <f>J1275</f>
        <v>54743.99</v>
      </c>
      <c r="K1274" s="20">
        <f>K1275</f>
        <v>59812.98</v>
      </c>
      <c r="L1274" s="16">
        <v>420221090</v>
      </c>
      <c r="M1274" s="16" t="str">
        <f t="shared" si="495"/>
        <v>0420221090</v>
      </c>
      <c r="N1274" s="16" t="str">
        <f t="shared" si="496"/>
        <v>61804090420221090000</v>
      </c>
    </row>
    <row r="1275" spans="2:14" s="16" customFormat="1" ht="25.5">
      <c r="B1275" s="14"/>
      <c r="C1275" s="197" t="s">
        <v>28</v>
      </c>
      <c r="D1275" s="198" t="s">
        <v>783</v>
      </c>
      <c r="E1275" s="199" t="s">
        <v>73</v>
      </c>
      <c r="F1275" s="199" t="s">
        <v>471</v>
      </c>
      <c r="G1275" s="199" t="s">
        <v>764</v>
      </c>
      <c r="H1275" s="199" t="s">
        <v>29</v>
      </c>
      <c r="I1275" s="20">
        <f>47135.83+3000</f>
        <v>50135.83</v>
      </c>
      <c r="J1275" s="20">
        <f>51743.99+3000</f>
        <v>54743.99</v>
      </c>
      <c r="K1275" s="20">
        <f>56812.98+3000</f>
        <v>59812.98</v>
      </c>
      <c r="L1275" s="16">
        <v>420221090</v>
      </c>
      <c r="M1275" s="16" t="str">
        <f t="shared" si="495"/>
        <v>0420221090</v>
      </c>
      <c r="N1275" s="16" t="str">
        <f t="shared" si="496"/>
        <v>61804090420221090240</v>
      </c>
    </row>
    <row r="1276" spans="2:14" s="16" customFormat="1">
      <c r="B1276" s="14"/>
      <c r="C1276" s="191" t="s">
        <v>305</v>
      </c>
      <c r="D1276" s="192" t="s">
        <v>783</v>
      </c>
      <c r="E1276" s="193" t="s">
        <v>86</v>
      </c>
      <c r="F1276" s="193" t="s">
        <v>7</v>
      </c>
      <c r="G1276" s="193" t="s">
        <v>8</v>
      </c>
      <c r="H1276" s="193" t="s">
        <v>9</v>
      </c>
      <c r="I1276" s="18">
        <f>I1277+I1285</f>
        <v>41094.639999999999</v>
      </c>
      <c r="J1276" s="18">
        <f>J1277+J1285</f>
        <v>19206.899999999998</v>
      </c>
      <c r="K1276" s="18">
        <f>K1277+K1285</f>
        <v>19206.899999999998</v>
      </c>
      <c r="L1276" s="16">
        <v>0</v>
      </c>
      <c r="M1276" s="16" t="str">
        <f t="shared" si="495"/>
        <v>0000000000</v>
      </c>
      <c r="N1276" s="16" t="str">
        <f t="shared" si="496"/>
        <v>61805000000000000000</v>
      </c>
    </row>
    <row r="1277" spans="2:14" s="16" customFormat="1">
      <c r="B1277" s="14"/>
      <c r="C1277" s="194" t="s">
        <v>765</v>
      </c>
      <c r="D1277" s="195" t="s">
        <v>783</v>
      </c>
      <c r="E1277" s="196" t="s">
        <v>86</v>
      </c>
      <c r="F1277" s="196" t="s">
        <v>11</v>
      </c>
      <c r="G1277" s="196" t="s">
        <v>8</v>
      </c>
      <c r="H1277" s="196" t="s">
        <v>9</v>
      </c>
      <c r="I1277" s="19">
        <f>I1278</f>
        <v>2175.54</v>
      </c>
      <c r="J1277" s="19">
        <f t="shared" ref="J1277:K1277" si="517">J1278</f>
        <v>1723.26</v>
      </c>
      <c r="K1277" s="19">
        <f t="shared" si="517"/>
        <v>1723.26</v>
      </c>
      <c r="L1277" s="16">
        <v>0</v>
      </c>
      <c r="M1277" s="16" t="str">
        <f t="shared" si="495"/>
        <v>0000000000</v>
      </c>
      <c r="N1277" s="16" t="str">
        <f t="shared" si="496"/>
        <v>61805010000000000000</v>
      </c>
    </row>
    <row r="1278" spans="2:14" s="16" customFormat="1" ht="38.25">
      <c r="B1278" s="14"/>
      <c r="C1278" s="200" t="s">
        <v>293</v>
      </c>
      <c r="D1278" s="198" t="s">
        <v>783</v>
      </c>
      <c r="E1278" s="199" t="s">
        <v>86</v>
      </c>
      <c r="F1278" s="199" t="s">
        <v>11</v>
      </c>
      <c r="G1278" s="199" t="s">
        <v>294</v>
      </c>
      <c r="H1278" s="199" t="s">
        <v>9</v>
      </c>
      <c r="I1278" s="20">
        <f t="shared" ref="I1278:K1278" si="518">I1279</f>
        <v>2175.54</v>
      </c>
      <c r="J1278" s="20">
        <f t="shared" si="518"/>
        <v>1723.26</v>
      </c>
      <c r="K1278" s="20">
        <f t="shared" si="518"/>
        <v>1723.26</v>
      </c>
      <c r="L1278" s="16">
        <v>400000000</v>
      </c>
      <c r="M1278" s="16" t="str">
        <f t="shared" si="495"/>
        <v>0400000000</v>
      </c>
      <c r="N1278" s="16" t="str">
        <f t="shared" si="496"/>
        <v>61805010400000000000</v>
      </c>
    </row>
    <row r="1279" spans="2:14" s="16" customFormat="1" ht="25.5">
      <c r="B1279" s="14"/>
      <c r="C1279" s="197" t="s">
        <v>766</v>
      </c>
      <c r="D1279" s="198" t="s">
        <v>783</v>
      </c>
      <c r="E1279" s="199" t="s">
        <v>86</v>
      </c>
      <c r="F1279" s="199" t="s">
        <v>11</v>
      </c>
      <c r="G1279" s="199" t="s">
        <v>767</v>
      </c>
      <c r="H1279" s="199" t="s">
        <v>9</v>
      </c>
      <c r="I1279" s="20">
        <f>I1284</f>
        <v>2175.54</v>
      </c>
      <c r="J1279" s="20">
        <f>J1284</f>
        <v>1723.26</v>
      </c>
      <c r="K1279" s="20">
        <f>K1284</f>
        <v>1723.26</v>
      </c>
      <c r="L1279" s="16">
        <v>410000000</v>
      </c>
      <c r="M1279" s="16" t="str">
        <f t="shared" si="495"/>
        <v>0410000000</v>
      </c>
      <c r="N1279" s="16" t="str">
        <f t="shared" si="496"/>
        <v>61805010410000000000</v>
      </c>
    </row>
    <row r="1280" spans="2:14" s="16" customFormat="1" ht="38.25">
      <c r="B1280" s="14"/>
      <c r="C1280" s="226" t="s">
        <v>793</v>
      </c>
      <c r="D1280" s="203" t="s">
        <v>783</v>
      </c>
      <c r="E1280" s="204" t="s">
        <v>86</v>
      </c>
      <c r="F1280" s="204" t="s">
        <v>11</v>
      </c>
      <c r="G1280" s="204" t="s">
        <v>769</v>
      </c>
      <c r="H1280" s="204" t="s">
        <v>9</v>
      </c>
      <c r="I1280" s="26">
        <f t="shared" ref="I1280:K1280" si="519">I1281</f>
        <v>2175.54</v>
      </c>
      <c r="J1280" s="26">
        <f t="shared" si="519"/>
        <v>1723.26</v>
      </c>
      <c r="K1280" s="26">
        <f t="shared" si="519"/>
        <v>1723.26</v>
      </c>
      <c r="L1280" s="16">
        <v>410100000</v>
      </c>
      <c r="M1280" s="16" t="str">
        <f t="shared" si="495"/>
        <v>0410100000</v>
      </c>
      <c r="N1280" s="16" t="str">
        <f t="shared" si="496"/>
        <v>61805010410100000000</v>
      </c>
    </row>
    <row r="1281" spans="2:14" s="16" customFormat="1" ht="25.5">
      <c r="B1281" s="14"/>
      <c r="C1281" s="200" t="s">
        <v>770</v>
      </c>
      <c r="D1281" s="198" t="s">
        <v>783</v>
      </c>
      <c r="E1281" s="199" t="s">
        <v>86</v>
      </c>
      <c r="F1281" s="199" t="s">
        <v>11</v>
      </c>
      <c r="G1281" s="199" t="s">
        <v>771</v>
      </c>
      <c r="H1281" s="199" t="s">
        <v>9</v>
      </c>
      <c r="I1281" s="20">
        <f>I1284</f>
        <v>2175.54</v>
      </c>
      <c r="J1281" s="20">
        <f>J1284</f>
        <v>1723.26</v>
      </c>
      <c r="K1281" s="20">
        <f>K1284</f>
        <v>1723.26</v>
      </c>
      <c r="L1281" s="16">
        <v>410120190</v>
      </c>
      <c r="M1281" s="16" t="str">
        <f t="shared" si="495"/>
        <v>0410120190</v>
      </c>
      <c r="N1281" s="16" t="str">
        <f t="shared" si="496"/>
        <v>61805010410120190000</v>
      </c>
    </row>
    <row r="1282" spans="2:14" s="16" customFormat="1">
      <c r="B1282" s="14"/>
      <c r="C1282" s="220" t="s">
        <v>1104</v>
      </c>
      <c r="D1282" s="198"/>
      <c r="E1282" s="199"/>
      <c r="F1282" s="199"/>
      <c r="G1282" s="199"/>
      <c r="H1282" s="199"/>
      <c r="I1282" s="20"/>
      <c r="J1282" s="20"/>
      <c r="K1282" s="20"/>
      <c r="M1282" s="16" t="str">
        <f t="shared" si="495"/>
        <v>0000000000</v>
      </c>
      <c r="N1282" s="16" t="str">
        <f t="shared" si="496"/>
        <v>0000000000</v>
      </c>
    </row>
    <row r="1283" spans="2:14" s="16" customFormat="1">
      <c r="B1283" s="14"/>
      <c r="C1283" s="221" t="s">
        <v>1105</v>
      </c>
      <c r="D1283" s="222" t="s">
        <v>783</v>
      </c>
      <c r="E1283" s="223" t="s">
        <v>86</v>
      </c>
      <c r="F1283" s="223" t="s">
        <v>11</v>
      </c>
      <c r="G1283" s="223" t="s">
        <v>771</v>
      </c>
      <c r="H1283" s="223" t="s">
        <v>9</v>
      </c>
      <c r="I1283" s="224">
        <f>452.28</f>
        <v>452.28</v>
      </c>
      <c r="J1283" s="224">
        <v>0</v>
      </c>
      <c r="K1283" s="224">
        <v>0</v>
      </c>
      <c r="L1283" s="16">
        <v>410120190</v>
      </c>
      <c r="M1283" s="16" t="str">
        <f t="shared" si="495"/>
        <v>0410120190</v>
      </c>
      <c r="N1283" s="16" t="str">
        <f t="shared" si="496"/>
        <v>61805010410120190000</v>
      </c>
    </row>
    <row r="1284" spans="2:14" s="16" customFormat="1" ht="25.5">
      <c r="B1284" s="14"/>
      <c r="C1284" s="197" t="s">
        <v>28</v>
      </c>
      <c r="D1284" s="198" t="s">
        <v>783</v>
      </c>
      <c r="E1284" s="199" t="s">
        <v>86</v>
      </c>
      <c r="F1284" s="199" t="s">
        <v>11</v>
      </c>
      <c r="G1284" s="199" t="s">
        <v>771</v>
      </c>
      <c r="H1284" s="199" t="s">
        <v>29</v>
      </c>
      <c r="I1284" s="20">
        <f>725.72+997.54+I1283</f>
        <v>2175.54</v>
      </c>
      <c r="J1284" s="20">
        <f t="shared" ref="J1284:K1284" si="520">725.72+997.54</f>
        <v>1723.26</v>
      </c>
      <c r="K1284" s="20">
        <f t="shared" si="520"/>
        <v>1723.26</v>
      </c>
      <c r="L1284" s="16">
        <v>410120190</v>
      </c>
      <c r="M1284" s="16" t="str">
        <f t="shared" si="495"/>
        <v>0410120190</v>
      </c>
      <c r="N1284" s="16" t="str">
        <f t="shared" si="496"/>
        <v>61805010410120190240</v>
      </c>
    </row>
    <row r="1285" spans="2:14" s="16" customFormat="1">
      <c r="B1285" s="14"/>
      <c r="C1285" s="194" t="s">
        <v>306</v>
      </c>
      <c r="D1285" s="195" t="s">
        <v>783</v>
      </c>
      <c r="E1285" s="196" t="s">
        <v>86</v>
      </c>
      <c r="F1285" s="196" t="s">
        <v>13</v>
      </c>
      <c r="G1285" s="196" t="s">
        <v>8</v>
      </c>
      <c r="H1285" s="196" t="s">
        <v>9</v>
      </c>
      <c r="I1285" s="19">
        <f>I1286+I1307</f>
        <v>38919.1</v>
      </c>
      <c r="J1285" s="19">
        <f>J1286+J1307</f>
        <v>17483.64</v>
      </c>
      <c r="K1285" s="19">
        <f>K1286+K1307</f>
        <v>17483.64</v>
      </c>
      <c r="L1285" s="16">
        <v>0</v>
      </c>
      <c r="M1285" s="16" t="str">
        <f t="shared" si="495"/>
        <v>0000000000</v>
      </c>
      <c r="N1285" s="16" t="str">
        <f t="shared" si="496"/>
        <v>61805030000000000000</v>
      </c>
    </row>
    <row r="1286" spans="2:14" s="16" customFormat="1" ht="38.25">
      <c r="B1286" s="14"/>
      <c r="C1286" s="200" t="s">
        <v>293</v>
      </c>
      <c r="D1286" s="198" t="s">
        <v>783</v>
      </c>
      <c r="E1286" s="199" t="s">
        <v>86</v>
      </c>
      <c r="F1286" s="199" t="s">
        <v>13</v>
      </c>
      <c r="G1286" s="199" t="s">
        <v>294</v>
      </c>
      <c r="H1286" s="199" t="s">
        <v>9</v>
      </c>
      <c r="I1286" s="20">
        <f t="shared" ref="I1286:K1287" si="521">I1287</f>
        <v>36919.1</v>
      </c>
      <c r="J1286" s="20">
        <f t="shared" si="521"/>
        <v>17483.64</v>
      </c>
      <c r="K1286" s="20">
        <f t="shared" si="521"/>
        <v>17483.64</v>
      </c>
      <c r="L1286" s="16">
        <v>400000000</v>
      </c>
      <c r="M1286" s="16" t="str">
        <f t="shared" ref="M1286:M1349" si="522">TEXT(L1286,"0000000000")</f>
        <v>0400000000</v>
      </c>
      <c r="N1286" s="16" t="str">
        <f t="shared" ref="N1286:N1349" si="523">D1286&amp;E1286&amp;F1286&amp;M1286&amp;H1286</f>
        <v>61805030400000000000</v>
      </c>
    </row>
    <row r="1287" spans="2:14" s="16" customFormat="1">
      <c r="B1287" s="14"/>
      <c r="C1287" s="197" t="s">
        <v>2283</v>
      </c>
      <c r="D1287" s="198" t="s">
        <v>783</v>
      </c>
      <c r="E1287" s="199" t="s">
        <v>86</v>
      </c>
      <c r="F1287" s="199" t="s">
        <v>13</v>
      </c>
      <c r="G1287" s="199" t="s">
        <v>308</v>
      </c>
      <c r="H1287" s="199" t="s">
        <v>9</v>
      </c>
      <c r="I1287" s="20">
        <f t="shared" si="521"/>
        <v>36919.1</v>
      </c>
      <c r="J1287" s="20">
        <f t="shared" si="521"/>
        <v>17483.64</v>
      </c>
      <c r="K1287" s="20">
        <f t="shared" si="521"/>
        <v>17483.64</v>
      </c>
      <c r="L1287" s="16">
        <v>430000000</v>
      </c>
      <c r="M1287" s="16" t="str">
        <f t="shared" si="522"/>
        <v>0430000000</v>
      </c>
      <c r="N1287" s="16" t="str">
        <f t="shared" si="523"/>
        <v>61805030430000000000</v>
      </c>
    </row>
    <row r="1288" spans="2:14" s="16" customFormat="1" ht="25.5">
      <c r="B1288" s="14"/>
      <c r="C1288" s="375" t="s">
        <v>309</v>
      </c>
      <c r="D1288" s="203" t="s">
        <v>783</v>
      </c>
      <c r="E1288" s="204" t="s">
        <v>86</v>
      </c>
      <c r="F1288" s="204" t="s">
        <v>13</v>
      </c>
      <c r="G1288" s="199" t="s">
        <v>310</v>
      </c>
      <c r="H1288" s="204" t="s">
        <v>9</v>
      </c>
      <c r="I1288" s="26">
        <f>I1289+I1291+I1293+I1297+I1302+I1295</f>
        <v>36919.1</v>
      </c>
      <c r="J1288" s="26">
        <f t="shared" ref="J1288:K1288" si="524">J1289+J1291+J1293+J1297+J1302+J1295</f>
        <v>17483.64</v>
      </c>
      <c r="K1288" s="26">
        <f t="shared" si="524"/>
        <v>17483.64</v>
      </c>
      <c r="L1288" s="16">
        <v>430400000</v>
      </c>
      <c r="M1288" s="16" t="str">
        <f t="shared" si="522"/>
        <v>0430400000</v>
      </c>
      <c r="N1288" s="16" t="str">
        <f t="shared" si="523"/>
        <v>61805030430400000000</v>
      </c>
    </row>
    <row r="1289" spans="2:14" s="16" customFormat="1" ht="25.5">
      <c r="B1289" s="14"/>
      <c r="C1289" s="197" t="s">
        <v>542</v>
      </c>
      <c r="D1289" s="198" t="s">
        <v>783</v>
      </c>
      <c r="E1289" s="199" t="s">
        <v>86</v>
      </c>
      <c r="F1289" s="199" t="s">
        <v>13</v>
      </c>
      <c r="G1289" s="199" t="s">
        <v>543</v>
      </c>
      <c r="H1289" s="199" t="s">
        <v>9</v>
      </c>
      <c r="I1289" s="20">
        <f>I1290</f>
        <v>10049.23</v>
      </c>
      <c r="J1289" s="20">
        <f>J1290</f>
        <v>9545.0499999999993</v>
      </c>
      <c r="K1289" s="20">
        <f>K1290</f>
        <v>9545.0499999999993</v>
      </c>
      <c r="L1289" s="16">
        <v>430420300</v>
      </c>
      <c r="M1289" s="16" t="str">
        <f t="shared" si="522"/>
        <v>0430420300</v>
      </c>
      <c r="N1289" s="16" t="str">
        <f t="shared" si="523"/>
        <v>61805030430420300000</v>
      </c>
    </row>
    <row r="1290" spans="2:14" s="16" customFormat="1" ht="25.5">
      <c r="B1290" s="14"/>
      <c r="C1290" s="197" t="s">
        <v>28</v>
      </c>
      <c r="D1290" s="198" t="s">
        <v>783</v>
      </c>
      <c r="E1290" s="199" t="s">
        <v>86</v>
      </c>
      <c r="F1290" s="199" t="s">
        <v>13</v>
      </c>
      <c r="G1290" s="199" t="s">
        <v>543</v>
      </c>
      <c r="H1290" s="199" t="s">
        <v>29</v>
      </c>
      <c r="I1290" s="20">
        <f>9545.05+973-30.5-151.47-54.03-232.82</f>
        <v>10049.23</v>
      </c>
      <c r="J1290" s="20">
        <f t="shared" ref="J1290:K1290" si="525">9545.05</f>
        <v>9545.0499999999993</v>
      </c>
      <c r="K1290" s="20">
        <f t="shared" si="525"/>
        <v>9545.0499999999993</v>
      </c>
      <c r="L1290" s="16">
        <v>430420300</v>
      </c>
      <c r="M1290" s="16" t="str">
        <f t="shared" si="522"/>
        <v>0430420300</v>
      </c>
      <c r="N1290" s="16" t="str">
        <f t="shared" si="523"/>
        <v>61805030430420300240</v>
      </c>
    </row>
    <row r="1291" spans="2:14" s="16" customFormat="1">
      <c r="B1291" s="14"/>
      <c r="C1291" s="200" t="s">
        <v>774</v>
      </c>
      <c r="D1291" s="198" t="s">
        <v>783</v>
      </c>
      <c r="E1291" s="204" t="s">
        <v>86</v>
      </c>
      <c r="F1291" s="204" t="s">
        <v>13</v>
      </c>
      <c r="G1291" s="204" t="s">
        <v>775</v>
      </c>
      <c r="H1291" s="204" t="s">
        <v>9</v>
      </c>
      <c r="I1291" s="20">
        <f>I1292</f>
        <v>775</v>
      </c>
      <c r="J1291" s="20">
        <f>J1292</f>
        <v>941.72</v>
      </c>
      <c r="K1291" s="20">
        <f>K1292</f>
        <v>941.72</v>
      </c>
      <c r="L1291" s="16">
        <v>430421070</v>
      </c>
      <c r="M1291" s="16" t="str">
        <f t="shared" si="522"/>
        <v>0430421070</v>
      </c>
      <c r="N1291" s="16" t="str">
        <f t="shared" si="523"/>
        <v>61805030430421070000</v>
      </c>
    </row>
    <row r="1292" spans="2:14" s="16" customFormat="1" ht="25.5">
      <c r="B1292" s="14"/>
      <c r="C1292" s="197" t="s">
        <v>28</v>
      </c>
      <c r="D1292" s="198" t="s">
        <v>783</v>
      </c>
      <c r="E1292" s="204" t="s">
        <v>86</v>
      </c>
      <c r="F1292" s="204" t="s">
        <v>13</v>
      </c>
      <c r="G1292" s="204" t="s">
        <v>775</v>
      </c>
      <c r="H1292" s="204" t="s">
        <v>29</v>
      </c>
      <c r="I1292" s="20">
        <f>941.72-166.72</f>
        <v>775</v>
      </c>
      <c r="J1292" s="20">
        <f t="shared" ref="J1292:K1292" si="526">941.72</f>
        <v>941.72</v>
      </c>
      <c r="K1292" s="20">
        <f t="shared" si="526"/>
        <v>941.72</v>
      </c>
      <c r="L1292" s="16">
        <v>430421070</v>
      </c>
      <c r="M1292" s="16" t="str">
        <f t="shared" si="522"/>
        <v>0430421070</v>
      </c>
      <c r="N1292" s="16" t="str">
        <f t="shared" si="523"/>
        <v>61805030430421070240</v>
      </c>
    </row>
    <row r="1293" spans="2:14" s="16" customFormat="1" ht="63.75">
      <c r="B1293" s="14" t="s">
        <v>80</v>
      </c>
      <c r="C1293" s="208" t="s">
        <v>776</v>
      </c>
      <c r="D1293" s="209" t="s">
        <v>783</v>
      </c>
      <c r="E1293" s="236" t="s">
        <v>86</v>
      </c>
      <c r="F1293" s="236" t="s">
        <v>13</v>
      </c>
      <c r="G1293" s="236" t="s">
        <v>777</v>
      </c>
      <c r="H1293" s="236" t="s">
        <v>9</v>
      </c>
      <c r="I1293" s="218">
        <f>I1294</f>
        <v>0</v>
      </c>
      <c r="J1293" s="218">
        <f>J1294</f>
        <v>0</v>
      </c>
      <c r="K1293" s="218">
        <f>K1294</f>
        <v>0</v>
      </c>
      <c r="L1293" s="16">
        <v>430421080</v>
      </c>
      <c r="M1293" s="16" t="str">
        <f t="shared" si="522"/>
        <v>0430421080</v>
      </c>
      <c r="N1293" s="16" t="str">
        <f t="shared" si="523"/>
        <v>61805030430421080000</v>
      </c>
    </row>
    <row r="1294" spans="2:14" s="16" customFormat="1" ht="25.5">
      <c r="B1294" s="14"/>
      <c r="C1294" s="208" t="s">
        <v>28</v>
      </c>
      <c r="D1294" s="209" t="s">
        <v>783</v>
      </c>
      <c r="E1294" s="236" t="s">
        <v>86</v>
      </c>
      <c r="F1294" s="236" t="s">
        <v>13</v>
      </c>
      <c r="G1294" s="236" t="s">
        <v>777</v>
      </c>
      <c r="H1294" s="236" t="s">
        <v>29</v>
      </c>
      <c r="I1294" s="218">
        <f>15996.87-15996.87</f>
        <v>0</v>
      </c>
      <c r="J1294" s="218">
        <f>6996.87-6996.87</f>
        <v>0</v>
      </c>
      <c r="K1294" s="218">
        <f>6996.87-6996.87</f>
        <v>0</v>
      </c>
      <c r="L1294" s="16">
        <v>430421080</v>
      </c>
      <c r="M1294" s="16" t="str">
        <f t="shared" si="522"/>
        <v>0430421080</v>
      </c>
      <c r="N1294" s="16" t="str">
        <f t="shared" si="523"/>
        <v>61805030430421080240</v>
      </c>
    </row>
    <row r="1295" spans="2:14" s="16" customFormat="1" ht="38.25">
      <c r="B1295" s="386" t="s">
        <v>80</v>
      </c>
      <c r="C1295" s="197" t="s">
        <v>1311</v>
      </c>
      <c r="D1295" s="328" t="s">
        <v>783</v>
      </c>
      <c r="E1295" s="326" t="s">
        <v>86</v>
      </c>
      <c r="F1295" s="326" t="s">
        <v>13</v>
      </c>
      <c r="G1295" s="326" t="s">
        <v>1312</v>
      </c>
      <c r="H1295" s="326" t="s">
        <v>9</v>
      </c>
      <c r="I1295" s="327">
        <f>I1296</f>
        <v>15996.87</v>
      </c>
      <c r="J1295" s="327">
        <f>J1296</f>
        <v>6996.87</v>
      </c>
      <c r="K1295" s="327">
        <f>K1296</f>
        <v>6996.87</v>
      </c>
      <c r="L1295" s="16">
        <v>430476416</v>
      </c>
      <c r="M1295" s="16" t="str">
        <f t="shared" si="522"/>
        <v>0430476416</v>
      </c>
      <c r="N1295" s="16" t="str">
        <f t="shared" si="523"/>
        <v>61805030430476416000</v>
      </c>
    </row>
    <row r="1296" spans="2:14" s="16" customFormat="1" ht="25.5">
      <c r="B1296" s="386"/>
      <c r="C1296" s="197" t="s">
        <v>28</v>
      </c>
      <c r="D1296" s="328" t="s">
        <v>783</v>
      </c>
      <c r="E1296" s="326" t="s">
        <v>86</v>
      </c>
      <c r="F1296" s="326" t="s">
        <v>13</v>
      </c>
      <c r="G1296" s="326" t="s">
        <v>1312</v>
      </c>
      <c r="H1296" s="326" t="s">
        <v>29</v>
      </c>
      <c r="I1296" s="329">
        <f>15996.87</f>
        <v>15996.87</v>
      </c>
      <c r="J1296" s="329">
        <f>6996.87</f>
        <v>6996.87</v>
      </c>
      <c r="K1296" s="329">
        <f>6996.87</f>
        <v>6996.87</v>
      </c>
      <c r="L1296" s="16">
        <v>430476416</v>
      </c>
      <c r="M1296" s="16" t="str">
        <f t="shared" si="522"/>
        <v>0430476416</v>
      </c>
      <c r="N1296" s="16" t="str">
        <f t="shared" si="523"/>
        <v>61805030430476416240</v>
      </c>
    </row>
    <row r="1297" spans="2:14" s="16" customFormat="1" ht="38.25">
      <c r="B1297" s="14"/>
      <c r="C1297" s="197" t="s">
        <v>1043</v>
      </c>
      <c r="D1297" s="198" t="s">
        <v>783</v>
      </c>
      <c r="E1297" s="199" t="s">
        <v>86</v>
      </c>
      <c r="F1297" s="199" t="s">
        <v>13</v>
      </c>
      <c r="G1297" s="204" t="s">
        <v>1056</v>
      </c>
      <c r="H1297" s="204" t="s">
        <v>9</v>
      </c>
      <c r="I1297" s="20">
        <f>I1301</f>
        <v>1501</v>
      </c>
      <c r="J1297" s="20">
        <f t="shared" ref="J1297:K1297" si="527">J1301</f>
        <v>0</v>
      </c>
      <c r="K1297" s="20">
        <f t="shared" si="527"/>
        <v>0</v>
      </c>
      <c r="L1297" s="16" t="s">
        <v>1231</v>
      </c>
      <c r="M1297" s="16" t="str">
        <f t="shared" si="522"/>
        <v>04304G6420</v>
      </c>
      <c r="N1297" s="16" t="str">
        <f t="shared" si="523"/>
        <v>618050304304G6420000</v>
      </c>
    </row>
    <row r="1298" spans="2:14" s="16" customFormat="1">
      <c r="B1298" s="14"/>
      <c r="C1298" s="205" t="s">
        <v>1045</v>
      </c>
      <c r="D1298" s="198"/>
      <c r="E1298" s="199"/>
      <c r="F1298" s="199"/>
      <c r="G1298" s="204"/>
      <c r="H1298" s="204"/>
      <c r="I1298" s="20"/>
      <c r="J1298" s="20"/>
      <c r="K1298" s="20"/>
      <c r="M1298" s="16" t="str">
        <f t="shared" si="522"/>
        <v>0000000000</v>
      </c>
      <c r="N1298" s="16" t="str">
        <f t="shared" si="523"/>
        <v>0000000000</v>
      </c>
    </row>
    <row r="1299" spans="2:14" s="16" customFormat="1">
      <c r="B1299" s="14"/>
      <c r="C1299" s="197" t="s">
        <v>1046</v>
      </c>
      <c r="D1299" s="198" t="s">
        <v>783</v>
      </c>
      <c r="E1299" s="199" t="s">
        <v>86</v>
      </c>
      <c r="F1299" s="199" t="s">
        <v>13</v>
      </c>
      <c r="G1299" s="204" t="s">
        <v>1056</v>
      </c>
      <c r="H1299" s="204" t="s">
        <v>9</v>
      </c>
      <c r="I1299" s="20">
        <f>301</f>
        <v>301</v>
      </c>
      <c r="J1299" s="20">
        <v>0</v>
      </c>
      <c r="K1299" s="20">
        <v>0</v>
      </c>
      <c r="L1299" s="16" t="s">
        <v>1231</v>
      </c>
      <c r="M1299" s="16" t="str">
        <f t="shared" si="522"/>
        <v>04304G6420</v>
      </c>
      <c r="N1299" s="16" t="str">
        <f t="shared" si="523"/>
        <v>618050304304G6420000</v>
      </c>
    </row>
    <row r="1300" spans="2:14" s="16" customFormat="1">
      <c r="B1300" s="14"/>
      <c r="C1300" s="197" t="s">
        <v>1047</v>
      </c>
      <c r="D1300" s="198" t="s">
        <v>783</v>
      </c>
      <c r="E1300" s="199" t="s">
        <v>86</v>
      </c>
      <c r="F1300" s="199" t="s">
        <v>13</v>
      </c>
      <c r="G1300" s="204" t="s">
        <v>1056</v>
      </c>
      <c r="H1300" s="204" t="s">
        <v>9</v>
      </c>
      <c r="I1300" s="20">
        <f>1200</f>
        <v>1200</v>
      </c>
      <c r="J1300" s="20">
        <v>0</v>
      </c>
      <c r="K1300" s="20">
        <v>0</v>
      </c>
      <c r="L1300" s="16" t="s">
        <v>1231</v>
      </c>
      <c r="M1300" s="16" t="str">
        <f t="shared" si="522"/>
        <v>04304G6420</v>
      </c>
      <c r="N1300" s="16" t="str">
        <f t="shared" si="523"/>
        <v>618050304304G6420000</v>
      </c>
    </row>
    <row r="1301" spans="2:14" s="16" customFormat="1" ht="25.5">
      <c r="B1301" s="14"/>
      <c r="C1301" s="197" t="s">
        <v>28</v>
      </c>
      <c r="D1301" s="198" t="s">
        <v>783</v>
      </c>
      <c r="E1301" s="199" t="s">
        <v>86</v>
      </c>
      <c r="F1301" s="199" t="s">
        <v>13</v>
      </c>
      <c r="G1301" s="204" t="s">
        <v>1056</v>
      </c>
      <c r="H1301" s="204" t="s">
        <v>29</v>
      </c>
      <c r="I1301" s="20">
        <f>SUM(I1299:I1300)</f>
        <v>1501</v>
      </c>
      <c r="J1301" s="20">
        <f t="shared" ref="J1301:K1301" si="528">SUM(J1299:J1300)</f>
        <v>0</v>
      </c>
      <c r="K1301" s="20">
        <f t="shared" si="528"/>
        <v>0</v>
      </c>
      <c r="L1301" s="16" t="s">
        <v>1231</v>
      </c>
      <c r="M1301" s="16" t="str">
        <f t="shared" si="522"/>
        <v>04304G6420</v>
      </c>
      <c r="N1301" s="16" t="str">
        <f t="shared" si="523"/>
        <v>618050304304G6420240</v>
      </c>
    </row>
    <row r="1302" spans="2:14" s="16" customFormat="1" ht="25.5">
      <c r="B1302" s="14"/>
      <c r="C1302" s="200" t="s">
        <v>1048</v>
      </c>
      <c r="D1302" s="198" t="s">
        <v>783</v>
      </c>
      <c r="E1302" s="199" t="s">
        <v>86</v>
      </c>
      <c r="F1302" s="199" t="s">
        <v>13</v>
      </c>
      <c r="G1302" s="204" t="s">
        <v>1057</v>
      </c>
      <c r="H1302" s="204" t="s">
        <v>9</v>
      </c>
      <c r="I1302" s="20">
        <f>I1306</f>
        <v>8597</v>
      </c>
      <c r="J1302" s="20">
        <f t="shared" ref="J1302:K1302" si="529">J1306</f>
        <v>0</v>
      </c>
      <c r="K1302" s="20">
        <f t="shared" si="529"/>
        <v>0</v>
      </c>
      <c r="L1302" s="16" t="s">
        <v>1232</v>
      </c>
      <c r="M1302" s="16" t="str">
        <f t="shared" si="522"/>
        <v>04304S6420</v>
      </c>
      <c r="N1302" s="16" t="str">
        <f t="shared" si="523"/>
        <v>618050304304S6420000</v>
      </c>
    </row>
    <row r="1303" spans="2:14" s="16" customFormat="1">
      <c r="B1303" s="14"/>
      <c r="C1303" s="205" t="s">
        <v>1045</v>
      </c>
      <c r="D1303" s="198"/>
      <c r="E1303" s="199"/>
      <c r="F1303" s="199"/>
      <c r="G1303" s="204"/>
      <c r="H1303" s="204"/>
      <c r="I1303" s="20"/>
      <c r="J1303" s="20"/>
      <c r="K1303" s="20"/>
      <c r="M1303" s="16" t="str">
        <f t="shared" si="522"/>
        <v>0000000000</v>
      </c>
      <c r="N1303" s="16" t="str">
        <f t="shared" si="523"/>
        <v>0000000000</v>
      </c>
    </row>
    <row r="1304" spans="2:14" s="16" customFormat="1">
      <c r="B1304" s="14"/>
      <c r="C1304" s="197" t="s">
        <v>1050</v>
      </c>
      <c r="D1304" s="198" t="s">
        <v>783</v>
      </c>
      <c r="E1304" s="199" t="s">
        <v>86</v>
      </c>
      <c r="F1304" s="199" t="s">
        <v>13</v>
      </c>
      <c r="G1304" s="204" t="s">
        <v>1057</v>
      </c>
      <c r="H1304" s="204" t="s">
        <v>9</v>
      </c>
      <c r="I1304" s="20">
        <f>2705-31.72</f>
        <v>2673.28</v>
      </c>
      <c r="J1304" s="20">
        <v>0</v>
      </c>
      <c r="K1304" s="20">
        <v>0</v>
      </c>
      <c r="L1304" s="16" t="s">
        <v>1232</v>
      </c>
      <c r="M1304" s="16" t="str">
        <f t="shared" si="522"/>
        <v>04304S6420</v>
      </c>
      <c r="N1304" s="16" t="str">
        <f t="shared" si="523"/>
        <v>618050304304S6420000</v>
      </c>
    </row>
    <row r="1305" spans="2:14" s="16" customFormat="1">
      <c r="B1305" s="14" t="s">
        <v>80</v>
      </c>
      <c r="C1305" s="197" t="s">
        <v>1051</v>
      </c>
      <c r="D1305" s="198" t="s">
        <v>783</v>
      </c>
      <c r="E1305" s="199" t="s">
        <v>86</v>
      </c>
      <c r="F1305" s="199" t="s">
        <v>13</v>
      </c>
      <c r="G1305" s="204" t="s">
        <v>1057</v>
      </c>
      <c r="H1305" s="204" t="s">
        <v>9</v>
      </c>
      <c r="I1305" s="20">
        <f>5994-70.28</f>
        <v>5923.72</v>
      </c>
      <c r="J1305" s="20">
        <v>0</v>
      </c>
      <c r="K1305" s="20">
        <v>0</v>
      </c>
      <c r="L1305" s="16" t="s">
        <v>1232</v>
      </c>
      <c r="M1305" s="16" t="str">
        <f t="shared" si="522"/>
        <v>04304S6420</v>
      </c>
      <c r="N1305" s="16" t="str">
        <f t="shared" si="523"/>
        <v>618050304304S6420000</v>
      </c>
    </row>
    <row r="1306" spans="2:14" s="16" customFormat="1" ht="25.5">
      <c r="B1306" s="14"/>
      <c r="C1306" s="197" t="s">
        <v>28</v>
      </c>
      <c r="D1306" s="198" t="s">
        <v>783</v>
      </c>
      <c r="E1306" s="199" t="s">
        <v>86</v>
      </c>
      <c r="F1306" s="199" t="s">
        <v>13</v>
      </c>
      <c r="G1306" s="204" t="s">
        <v>1057</v>
      </c>
      <c r="H1306" s="204" t="s">
        <v>29</v>
      </c>
      <c r="I1306" s="20">
        <f>SUM(I1304:I1305)</f>
        <v>8597</v>
      </c>
      <c r="J1306" s="20">
        <f t="shared" ref="J1306:K1306" si="530">SUM(J1304:J1305)</f>
        <v>0</v>
      </c>
      <c r="K1306" s="20">
        <f t="shared" si="530"/>
        <v>0</v>
      </c>
      <c r="L1306" s="16" t="s">
        <v>1232</v>
      </c>
      <c r="M1306" s="16" t="str">
        <f t="shared" si="522"/>
        <v>04304S6420</v>
      </c>
      <c r="N1306" s="16" t="str">
        <f t="shared" si="523"/>
        <v>618050304304S6420240</v>
      </c>
    </row>
    <row r="1307" spans="2:14" s="16" customFormat="1" ht="38.25">
      <c r="B1307" s="14"/>
      <c r="C1307" s="226" t="s">
        <v>87</v>
      </c>
      <c r="D1307" s="198" t="s">
        <v>783</v>
      </c>
      <c r="E1307" s="204" t="s">
        <v>86</v>
      </c>
      <c r="F1307" s="204" t="s">
        <v>13</v>
      </c>
      <c r="G1307" s="204" t="s">
        <v>88</v>
      </c>
      <c r="H1307" s="204" t="s">
        <v>9</v>
      </c>
      <c r="I1307" s="26">
        <f>I1308</f>
        <v>2000</v>
      </c>
      <c r="J1307" s="26">
        <f t="shared" ref="J1307:K1309" si="531">J1308</f>
        <v>0</v>
      </c>
      <c r="K1307" s="26">
        <f t="shared" si="531"/>
        <v>0</v>
      </c>
      <c r="L1307" s="16">
        <v>9800000000</v>
      </c>
      <c r="M1307" s="16" t="str">
        <f t="shared" si="522"/>
        <v>9800000000</v>
      </c>
      <c r="N1307" s="16" t="str">
        <f t="shared" si="523"/>
        <v>61805039800000000000</v>
      </c>
    </row>
    <row r="1308" spans="2:14" s="16" customFormat="1">
      <c r="B1308" s="14"/>
      <c r="C1308" s="226" t="s">
        <v>89</v>
      </c>
      <c r="D1308" s="198" t="s">
        <v>783</v>
      </c>
      <c r="E1308" s="204" t="s">
        <v>86</v>
      </c>
      <c r="F1308" s="204" t="s">
        <v>13</v>
      </c>
      <c r="G1308" s="204" t="s">
        <v>90</v>
      </c>
      <c r="H1308" s="204" t="s">
        <v>9</v>
      </c>
      <c r="I1308" s="26">
        <f>I1309</f>
        <v>2000</v>
      </c>
      <c r="J1308" s="26">
        <f t="shared" si="531"/>
        <v>0</v>
      </c>
      <c r="K1308" s="26">
        <f t="shared" si="531"/>
        <v>0</v>
      </c>
      <c r="L1308" s="16">
        <v>9810000000</v>
      </c>
      <c r="M1308" s="16" t="str">
        <f t="shared" si="522"/>
        <v>9810000000</v>
      </c>
      <c r="N1308" s="16" t="str">
        <f t="shared" si="523"/>
        <v>61805039810000000000</v>
      </c>
    </row>
    <row r="1309" spans="2:14" s="16" customFormat="1">
      <c r="B1309" s="14"/>
      <c r="C1309" s="197" t="s">
        <v>778</v>
      </c>
      <c r="D1309" s="198" t="s">
        <v>783</v>
      </c>
      <c r="E1309" s="204" t="s">
        <v>86</v>
      </c>
      <c r="F1309" s="204" t="s">
        <v>13</v>
      </c>
      <c r="G1309" s="204" t="s">
        <v>779</v>
      </c>
      <c r="H1309" s="204" t="s">
        <v>9</v>
      </c>
      <c r="I1309" s="26">
        <f>I1310</f>
        <v>2000</v>
      </c>
      <c r="J1309" s="26">
        <f t="shared" si="531"/>
        <v>0</v>
      </c>
      <c r="K1309" s="26">
        <f t="shared" si="531"/>
        <v>0</v>
      </c>
      <c r="L1309" s="16">
        <v>9810021450</v>
      </c>
      <c r="M1309" s="16" t="str">
        <f t="shared" si="522"/>
        <v>9810021450</v>
      </c>
      <c r="N1309" s="16" t="str">
        <f t="shared" si="523"/>
        <v>61805039810021450000</v>
      </c>
    </row>
    <row r="1310" spans="2:14" s="16" customFormat="1" ht="25.5">
      <c r="B1310" s="14"/>
      <c r="C1310" s="197" t="s">
        <v>28</v>
      </c>
      <c r="D1310" s="198" t="s">
        <v>783</v>
      </c>
      <c r="E1310" s="204" t="s">
        <v>86</v>
      </c>
      <c r="F1310" s="204" t="s">
        <v>13</v>
      </c>
      <c r="G1310" s="204" t="s">
        <v>779</v>
      </c>
      <c r="H1310" s="204" t="s">
        <v>29</v>
      </c>
      <c r="I1310" s="26">
        <f>2000</f>
        <v>2000</v>
      </c>
      <c r="J1310" s="26">
        <v>0</v>
      </c>
      <c r="K1310" s="26">
        <v>0</v>
      </c>
      <c r="L1310" s="16">
        <v>9810021450</v>
      </c>
      <c r="M1310" s="16" t="str">
        <f t="shared" si="522"/>
        <v>9810021450</v>
      </c>
      <c r="N1310" s="16" t="str">
        <f t="shared" si="523"/>
        <v>61805039810021450240</v>
      </c>
    </row>
    <row r="1311" spans="2:14" s="16" customFormat="1">
      <c r="B1311" s="14"/>
      <c r="C1311" s="191" t="s">
        <v>237</v>
      </c>
      <c r="D1311" s="192" t="s">
        <v>783</v>
      </c>
      <c r="E1311" s="193" t="s">
        <v>238</v>
      </c>
      <c r="F1311" s="193" t="s">
        <v>7</v>
      </c>
      <c r="G1311" s="193" t="s">
        <v>8</v>
      </c>
      <c r="H1311" s="193" t="s">
        <v>9</v>
      </c>
      <c r="I1311" s="18">
        <f t="shared" ref="I1311:K1314" si="532">I1312</f>
        <v>1480</v>
      </c>
      <c r="J1311" s="18">
        <f t="shared" si="532"/>
        <v>1480</v>
      </c>
      <c r="K1311" s="18">
        <f t="shared" si="532"/>
        <v>1480</v>
      </c>
      <c r="L1311" s="16">
        <v>0</v>
      </c>
      <c r="M1311" s="16" t="str">
        <f t="shared" si="522"/>
        <v>0000000000</v>
      </c>
      <c r="N1311" s="16" t="str">
        <f t="shared" si="523"/>
        <v>61808000000000000000</v>
      </c>
    </row>
    <row r="1312" spans="2:14" s="16" customFormat="1">
      <c r="B1312" s="14"/>
      <c r="C1312" s="194" t="s">
        <v>239</v>
      </c>
      <c r="D1312" s="195" t="s">
        <v>783</v>
      </c>
      <c r="E1312" s="196" t="s">
        <v>238</v>
      </c>
      <c r="F1312" s="196" t="s">
        <v>11</v>
      </c>
      <c r="G1312" s="196" t="s">
        <v>8</v>
      </c>
      <c r="H1312" s="196" t="s">
        <v>9</v>
      </c>
      <c r="I1312" s="19">
        <f t="shared" si="532"/>
        <v>1480</v>
      </c>
      <c r="J1312" s="19">
        <f t="shared" si="532"/>
        <v>1480</v>
      </c>
      <c r="K1312" s="19">
        <f t="shared" si="532"/>
        <v>1480</v>
      </c>
      <c r="L1312" s="16">
        <v>0</v>
      </c>
      <c r="M1312" s="16" t="str">
        <f t="shared" si="522"/>
        <v>0000000000</v>
      </c>
      <c r="N1312" s="16" t="str">
        <f t="shared" si="523"/>
        <v>61808010000000000000</v>
      </c>
    </row>
    <row r="1313" spans="2:14" s="16" customFormat="1">
      <c r="B1313" s="14"/>
      <c r="C1313" s="197" t="s">
        <v>240</v>
      </c>
      <c r="D1313" s="198" t="s">
        <v>783</v>
      </c>
      <c r="E1313" s="199" t="s">
        <v>238</v>
      </c>
      <c r="F1313" s="199" t="s">
        <v>11</v>
      </c>
      <c r="G1313" s="199" t="s">
        <v>241</v>
      </c>
      <c r="H1313" s="199" t="s">
        <v>9</v>
      </c>
      <c r="I1313" s="20">
        <f t="shared" si="532"/>
        <v>1480</v>
      </c>
      <c r="J1313" s="20">
        <f t="shared" si="532"/>
        <v>1480</v>
      </c>
      <c r="K1313" s="20">
        <f t="shared" si="532"/>
        <v>1480</v>
      </c>
      <c r="L1313" s="16">
        <v>700000000</v>
      </c>
      <c r="M1313" s="16" t="str">
        <f t="shared" si="522"/>
        <v>0700000000</v>
      </c>
      <c r="N1313" s="16" t="str">
        <f t="shared" si="523"/>
        <v>61808010700000000000</v>
      </c>
    </row>
    <row r="1314" spans="2:14" s="16" customFormat="1" ht="51">
      <c r="B1314" s="14"/>
      <c r="C1314" s="200" t="s">
        <v>384</v>
      </c>
      <c r="D1314" s="198" t="s">
        <v>783</v>
      </c>
      <c r="E1314" s="199" t="s">
        <v>238</v>
      </c>
      <c r="F1314" s="199" t="s">
        <v>11</v>
      </c>
      <c r="G1314" s="199" t="s">
        <v>243</v>
      </c>
      <c r="H1314" s="199" t="s">
        <v>9</v>
      </c>
      <c r="I1314" s="20">
        <f t="shared" si="532"/>
        <v>1480</v>
      </c>
      <c r="J1314" s="20">
        <f t="shared" si="532"/>
        <v>1480</v>
      </c>
      <c r="K1314" s="20">
        <f t="shared" si="532"/>
        <v>1480</v>
      </c>
      <c r="L1314" s="16">
        <v>710000000</v>
      </c>
      <c r="M1314" s="16" t="str">
        <f t="shared" si="522"/>
        <v>0710000000</v>
      </c>
      <c r="N1314" s="16" t="str">
        <f t="shared" si="523"/>
        <v>61808010710000000000</v>
      </c>
    </row>
    <row r="1315" spans="2:14" s="16" customFormat="1" ht="63.75">
      <c r="B1315" s="14"/>
      <c r="C1315" s="226" t="s">
        <v>244</v>
      </c>
      <c r="D1315" s="203" t="s">
        <v>783</v>
      </c>
      <c r="E1315" s="204" t="s">
        <v>238</v>
      </c>
      <c r="F1315" s="204" t="s">
        <v>11</v>
      </c>
      <c r="G1315" s="204" t="s">
        <v>245</v>
      </c>
      <c r="H1315" s="204" t="s">
        <v>9</v>
      </c>
      <c r="I1315" s="26">
        <f>I1316+I1318</f>
        <v>1480</v>
      </c>
      <c r="J1315" s="26">
        <f>J1316+J1318</f>
        <v>1480</v>
      </c>
      <c r="K1315" s="26">
        <f>K1316+K1318</f>
        <v>1480</v>
      </c>
      <c r="L1315" s="16">
        <v>710100000</v>
      </c>
      <c r="M1315" s="16" t="str">
        <f t="shared" si="522"/>
        <v>0710100000</v>
      </c>
      <c r="N1315" s="16" t="str">
        <f t="shared" si="523"/>
        <v>61808010710100000000</v>
      </c>
    </row>
    <row r="1316" spans="2:14" s="16" customFormat="1" ht="25.5">
      <c r="B1316" s="14"/>
      <c r="C1316" s="197" t="s">
        <v>246</v>
      </c>
      <c r="D1316" s="198" t="s">
        <v>783</v>
      </c>
      <c r="E1316" s="199" t="s">
        <v>238</v>
      </c>
      <c r="F1316" s="199" t="s">
        <v>11</v>
      </c>
      <c r="G1316" s="199" t="s">
        <v>247</v>
      </c>
      <c r="H1316" s="199" t="s">
        <v>9</v>
      </c>
      <c r="I1316" s="20">
        <f>I1317</f>
        <v>919</v>
      </c>
      <c r="J1316" s="20">
        <f>J1317</f>
        <v>919</v>
      </c>
      <c r="K1316" s="20">
        <f>K1317</f>
        <v>919</v>
      </c>
      <c r="L1316" s="16">
        <v>710120060</v>
      </c>
      <c r="M1316" s="16" t="str">
        <f t="shared" si="522"/>
        <v>0710120060</v>
      </c>
      <c r="N1316" s="16" t="str">
        <f t="shared" si="523"/>
        <v>61808010710120060000</v>
      </c>
    </row>
    <row r="1317" spans="2:14" s="16" customFormat="1" ht="25.5">
      <c r="B1317" s="14"/>
      <c r="C1317" s="197" t="s">
        <v>28</v>
      </c>
      <c r="D1317" s="198" t="s">
        <v>783</v>
      </c>
      <c r="E1317" s="199" t="s">
        <v>238</v>
      </c>
      <c r="F1317" s="199" t="s">
        <v>11</v>
      </c>
      <c r="G1317" s="199" t="s">
        <v>247</v>
      </c>
      <c r="H1317" s="199" t="s">
        <v>29</v>
      </c>
      <c r="I1317" s="20">
        <f>919</f>
        <v>919</v>
      </c>
      <c r="J1317" s="20">
        <f>919</f>
        <v>919</v>
      </c>
      <c r="K1317" s="20">
        <f>919</f>
        <v>919</v>
      </c>
      <c r="L1317" s="16">
        <v>710120060</v>
      </c>
      <c r="M1317" s="16" t="str">
        <f t="shared" si="522"/>
        <v>0710120060</v>
      </c>
      <c r="N1317" s="16" t="str">
        <f t="shared" si="523"/>
        <v>61808010710120060240</v>
      </c>
    </row>
    <row r="1318" spans="2:14" s="16" customFormat="1" ht="25.5">
      <c r="B1318" s="14"/>
      <c r="C1318" s="200" t="s">
        <v>780</v>
      </c>
      <c r="D1318" s="198" t="s">
        <v>783</v>
      </c>
      <c r="E1318" s="199" t="s">
        <v>238</v>
      </c>
      <c r="F1318" s="199" t="s">
        <v>11</v>
      </c>
      <c r="G1318" s="199" t="s">
        <v>781</v>
      </c>
      <c r="H1318" s="199" t="s">
        <v>9</v>
      </c>
      <c r="I1318" s="20">
        <f>I1319</f>
        <v>561</v>
      </c>
      <c r="J1318" s="20">
        <f>J1319</f>
        <v>561</v>
      </c>
      <c r="K1318" s="20">
        <f>K1319</f>
        <v>561</v>
      </c>
      <c r="L1318" s="16">
        <v>710121130</v>
      </c>
      <c r="M1318" s="16" t="str">
        <f t="shared" si="522"/>
        <v>0710121130</v>
      </c>
      <c r="N1318" s="16" t="str">
        <f t="shared" si="523"/>
        <v>61808010710121130000</v>
      </c>
    </row>
    <row r="1319" spans="2:14" s="16" customFormat="1" ht="25.5">
      <c r="B1319" s="14"/>
      <c r="C1319" s="197" t="s">
        <v>28</v>
      </c>
      <c r="D1319" s="198" t="s">
        <v>783</v>
      </c>
      <c r="E1319" s="199" t="s">
        <v>238</v>
      </c>
      <c r="F1319" s="199" t="s">
        <v>11</v>
      </c>
      <c r="G1319" s="199" t="s">
        <v>781</v>
      </c>
      <c r="H1319" s="199" t="s">
        <v>29</v>
      </c>
      <c r="I1319" s="20">
        <f>561</f>
        <v>561</v>
      </c>
      <c r="J1319" s="20">
        <f>561</f>
        <v>561</v>
      </c>
      <c r="K1319" s="20">
        <f>561</f>
        <v>561</v>
      </c>
      <c r="L1319" s="16">
        <v>710121130</v>
      </c>
      <c r="M1319" s="16" t="str">
        <f t="shared" si="522"/>
        <v>0710121130</v>
      </c>
      <c r="N1319" s="16" t="str">
        <f t="shared" si="523"/>
        <v>61808010710121130240</v>
      </c>
    </row>
    <row r="1320" spans="2:14" s="16" customFormat="1">
      <c r="B1320" s="14"/>
      <c r="C1320" s="191" t="s">
        <v>316</v>
      </c>
      <c r="D1320" s="192" t="s">
        <v>783</v>
      </c>
      <c r="E1320" s="193" t="s">
        <v>317</v>
      </c>
      <c r="F1320" s="193" t="s">
        <v>7</v>
      </c>
      <c r="G1320" s="193" t="s">
        <v>8</v>
      </c>
      <c r="H1320" s="193" t="s">
        <v>9</v>
      </c>
      <c r="I1320" s="18">
        <f>I1321</f>
        <v>569.12</v>
      </c>
      <c r="J1320" s="18">
        <f t="shared" ref="J1320:K1324" si="533">J1321</f>
        <v>0</v>
      </c>
      <c r="K1320" s="18">
        <f t="shared" si="533"/>
        <v>0</v>
      </c>
      <c r="L1320" s="16">
        <v>0</v>
      </c>
      <c r="M1320" s="16" t="str">
        <f t="shared" si="522"/>
        <v>0000000000</v>
      </c>
      <c r="N1320" s="16" t="str">
        <f t="shared" si="523"/>
        <v>61810000000000000000</v>
      </c>
    </row>
    <row r="1321" spans="2:14" s="16" customFormat="1">
      <c r="B1321" s="14"/>
      <c r="C1321" s="194" t="s">
        <v>318</v>
      </c>
      <c r="D1321" s="195" t="s">
        <v>783</v>
      </c>
      <c r="E1321" s="196" t="s">
        <v>317</v>
      </c>
      <c r="F1321" s="196" t="s">
        <v>13</v>
      </c>
      <c r="G1321" s="196" t="s">
        <v>8</v>
      </c>
      <c r="H1321" s="196" t="s">
        <v>9</v>
      </c>
      <c r="I1321" s="19">
        <f>I1322</f>
        <v>569.12</v>
      </c>
      <c r="J1321" s="19">
        <f t="shared" si="533"/>
        <v>0</v>
      </c>
      <c r="K1321" s="19">
        <f t="shared" si="533"/>
        <v>0</v>
      </c>
      <c r="L1321" s="16">
        <v>0</v>
      </c>
      <c r="M1321" s="16" t="str">
        <f t="shared" si="522"/>
        <v>0000000000</v>
      </c>
      <c r="N1321" s="16" t="str">
        <f t="shared" si="523"/>
        <v>61810030000000000000</v>
      </c>
    </row>
    <row r="1322" spans="2:14" s="16" customFormat="1" ht="38.25">
      <c r="B1322" s="14"/>
      <c r="C1322" s="200" t="s">
        <v>87</v>
      </c>
      <c r="D1322" s="198" t="s">
        <v>783</v>
      </c>
      <c r="E1322" s="199" t="s">
        <v>1314</v>
      </c>
      <c r="F1322" s="199" t="s">
        <v>13</v>
      </c>
      <c r="G1322" s="199" t="s">
        <v>88</v>
      </c>
      <c r="H1322" s="199" t="s">
        <v>9</v>
      </c>
      <c r="I1322" s="20">
        <f>I1323</f>
        <v>569.12</v>
      </c>
      <c r="J1322" s="20">
        <f t="shared" si="533"/>
        <v>0</v>
      </c>
      <c r="K1322" s="20">
        <f t="shared" si="533"/>
        <v>0</v>
      </c>
      <c r="L1322" s="16">
        <v>9800000000</v>
      </c>
      <c r="M1322" s="16" t="str">
        <f t="shared" si="522"/>
        <v>9800000000</v>
      </c>
      <c r="N1322" s="16" t="str">
        <f t="shared" si="523"/>
        <v>61810 039800000000000</v>
      </c>
    </row>
    <row r="1323" spans="2:14" s="16" customFormat="1">
      <c r="B1323" s="14"/>
      <c r="C1323" s="200" t="s">
        <v>89</v>
      </c>
      <c r="D1323" s="198" t="s">
        <v>783</v>
      </c>
      <c r="E1323" s="199" t="s">
        <v>1314</v>
      </c>
      <c r="F1323" s="199" t="s">
        <v>13</v>
      </c>
      <c r="G1323" s="199" t="s">
        <v>90</v>
      </c>
      <c r="H1323" s="199" t="s">
        <v>9</v>
      </c>
      <c r="I1323" s="20">
        <f>I1324</f>
        <v>569.12</v>
      </c>
      <c r="J1323" s="20">
        <f t="shared" si="533"/>
        <v>0</v>
      </c>
      <c r="K1323" s="20">
        <f t="shared" si="533"/>
        <v>0</v>
      </c>
      <c r="L1323" s="16">
        <v>9810000000</v>
      </c>
      <c r="M1323" s="16" t="str">
        <f t="shared" si="522"/>
        <v>9810000000</v>
      </c>
      <c r="N1323" s="16" t="str">
        <f t="shared" si="523"/>
        <v>61810 039810000000000</v>
      </c>
    </row>
    <row r="1324" spans="2:14" s="16" customFormat="1" ht="76.5">
      <c r="B1324" s="14"/>
      <c r="C1324" s="197" t="s">
        <v>1315</v>
      </c>
      <c r="D1324" s="198" t="s">
        <v>783</v>
      </c>
      <c r="E1324" s="199" t="s">
        <v>317</v>
      </c>
      <c r="F1324" s="199" t="s">
        <v>13</v>
      </c>
      <c r="G1324" s="199" t="s">
        <v>1316</v>
      </c>
      <c r="H1324" s="199" t="s">
        <v>9</v>
      </c>
      <c r="I1324" s="20">
        <f>I1325</f>
        <v>569.12</v>
      </c>
      <c r="J1324" s="20">
        <f t="shared" si="533"/>
        <v>0</v>
      </c>
      <c r="K1324" s="20">
        <f t="shared" si="533"/>
        <v>0</v>
      </c>
      <c r="L1324" s="16">
        <v>9810021560</v>
      </c>
      <c r="M1324" s="16" t="str">
        <f t="shared" si="522"/>
        <v>9810021560</v>
      </c>
      <c r="N1324" s="16" t="str">
        <f t="shared" si="523"/>
        <v>61810039810021560000</v>
      </c>
    </row>
    <row r="1325" spans="2:14" s="16" customFormat="1" ht="38.25">
      <c r="B1325" s="14"/>
      <c r="C1325" s="201" t="s">
        <v>203</v>
      </c>
      <c r="D1325" s="198" t="s">
        <v>783</v>
      </c>
      <c r="E1325" s="199" t="s">
        <v>317</v>
      </c>
      <c r="F1325" s="199" t="s">
        <v>13</v>
      </c>
      <c r="G1325" s="199" t="s">
        <v>1316</v>
      </c>
      <c r="H1325" s="199" t="s">
        <v>204</v>
      </c>
      <c r="I1325" s="20">
        <f>255.9+123.89+189.33</f>
        <v>569.12</v>
      </c>
      <c r="J1325" s="20">
        <v>0</v>
      </c>
      <c r="K1325" s="20">
        <v>0</v>
      </c>
      <c r="L1325" s="16">
        <v>9810021560</v>
      </c>
      <c r="M1325" s="16" t="str">
        <f t="shared" si="522"/>
        <v>9810021560</v>
      </c>
      <c r="N1325" s="16" t="str">
        <f t="shared" si="523"/>
        <v>61810039810021560810</v>
      </c>
    </row>
    <row r="1326" spans="2:14" s="16" customFormat="1">
      <c r="B1326" s="14"/>
      <c r="C1326" s="201"/>
      <c r="D1326" s="198"/>
      <c r="E1326" s="199"/>
      <c r="F1326" s="199"/>
      <c r="G1326" s="199"/>
      <c r="H1326" s="199"/>
      <c r="I1326" s="20"/>
      <c r="J1326" s="20"/>
      <c r="K1326" s="20"/>
      <c r="M1326" s="16" t="str">
        <f t="shared" si="522"/>
        <v>0000000000</v>
      </c>
      <c r="N1326" s="16" t="str">
        <f t="shared" si="523"/>
        <v>0000000000</v>
      </c>
    </row>
    <row r="1327" spans="2:14" s="16" customFormat="1">
      <c r="B1327" s="14"/>
      <c r="C1327" s="202" t="s">
        <v>794</v>
      </c>
      <c r="D1327" s="189" t="s">
        <v>795</v>
      </c>
      <c r="E1327" s="190" t="s">
        <v>7</v>
      </c>
      <c r="F1327" s="190" t="s">
        <v>7</v>
      </c>
      <c r="G1327" s="258" t="s">
        <v>8</v>
      </c>
      <c r="H1327" s="190" t="s">
        <v>9</v>
      </c>
      <c r="I1327" s="25">
        <f>I1328+I1365+I1380+I1415+I1424</f>
        <v>257299.76</v>
      </c>
      <c r="J1327" s="25">
        <f>J1328+J1365+J1380+J1415+J1424</f>
        <v>201089.6</v>
      </c>
      <c r="K1327" s="25">
        <f>K1328+K1365+K1380+K1415+K1424</f>
        <v>212869.74000000002</v>
      </c>
      <c r="L1327" s="16">
        <v>0</v>
      </c>
      <c r="M1327" s="16" t="str">
        <f t="shared" si="522"/>
        <v>0000000000</v>
      </c>
      <c r="N1327" s="16" t="str">
        <f t="shared" si="523"/>
        <v>61900000000000000000</v>
      </c>
    </row>
    <row r="1328" spans="2:14" s="16" customFormat="1">
      <c r="B1328" s="14"/>
      <c r="C1328" s="259" t="s">
        <v>10</v>
      </c>
      <c r="D1328" s="192" t="s">
        <v>795</v>
      </c>
      <c r="E1328" s="193" t="s">
        <v>11</v>
      </c>
      <c r="F1328" s="193" t="s">
        <v>7</v>
      </c>
      <c r="G1328" s="193" t="s">
        <v>8</v>
      </c>
      <c r="H1328" s="193" t="s">
        <v>9</v>
      </c>
      <c r="I1328" s="18">
        <f>I1329+I1347</f>
        <v>49089.37999999999</v>
      </c>
      <c r="J1328" s="18">
        <f>J1329+J1347</f>
        <v>45080.959999999992</v>
      </c>
      <c r="K1328" s="18">
        <f>K1329+K1347</f>
        <v>45080.959999999992</v>
      </c>
      <c r="L1328" s="16">
        <v>0</v>
      </c>
      <c r="M1328" s="16" t="str">
        <f t="shared" si="522"/>
        <v>0000000000</v>
      </c>
      <c r="N1328" s="16" t="str">
        <f t="shared" si="523"/>
        <v>61901000000000000000</v>
      </c>
    </row>
    <row r="1329" spans="2:14" s="16" customFormat="1" ht="39">
      <c r="B1329" s="14"/>
      <c r="C1329" s="260" t="s">
        <v>72</v>
      </c>
      <c r="D1329" s="195" t="s">
        <v>795</v>
      </c>
      <c r="E1329" s="196" t="s">
        <v>11</v>
      </c>
      <c r="F1329" s="196" t="s">
        <v>73</v>
      </c>
      <c r="G1329" s="196" t="s">
        <v>8</v>
      </c>
      <c r="H1329" s="196" t="s">
        <v>9</v>
      </c>
      <c r="I1329" s="19">
        <f t="shared" ref="I1329:K1330" si="534">I1330</f>
        <v>44475.349999999991</v>
      </c>
      <c r="J1329" s="19">
        <f t="shared" si="534"/>
        <v>44504.159999999989</v>
      </c>
      <c r="K1329" s="19">
        <f t="shared" si="534"/>
        <v>44504.159999999989</v>
      </c>
      <c r="L1329" s="16">
        <v>0</v>
      </c>
      <c r="M1329" s="16" t="str">
        <f t="shared" si="522"/>
        <v>0000000000</v>
      </c>
      <c r="N1329" s="16" t="str">
        <f t="shared" si="523"/>
        <v>61901040000000000000</v>
      </c>
    </row>
    <row r="1330" spans="2:14" s="16" customFormat="1" ht="25.5">
      <c r="B1330" s="14"/>
      <c r="C1330" s="197" t="s">
        <v>796</v>
      </c>
      <c r="D1330" s="199" t="s">
        <v>795</v>
      </c>
      <c r="E1330" s="199" t="s">
        <v>11</v>
      </c>
      <c r="F1330" s="199" t="s">
        <v>73</v>
      </c>
      <c r="G1330" s="199" t="s">
        <v>797</v>
      </c>
      <c r="H1330" s="199" t="s">
        <v>9</v>
      </c>
      <c r="I1330" s="20">
        <f t="shared" si="534"/>
        <v>44475.349999999991</v>
      </c>
      <c r="J1330" s="20">
        <f t="shared" si="534"/>
        <v>44504.159999999989</v>
      </c>
      <c r="K1330" s="20">
        <f t="shared" si="534"/>
        <v>44504.159999999989</v>
      </c>
      <c r="L1330" s="16">
        <v>8200000000</v>
      </c>
      <c r="M1330" s="16" t="str">
        <f t="shared" si="522"/>
        <v>8200000000</v>
      </c>
      <c r="N1330" s="16" t="str">
        <f t="shared" si="523"/>
        <v>61901048200000000000</v>
      </c>
    </row>
    <row r="1331" spans="2:14" s="16" customFormat="1" ht="25.5">
      <c r="B1331" s="14"/>
      <c r="C1331" s="197" t="s">
        <v>798</v>
      </c>
      <c r="D1331" s="199" t="s">
        <v>795</v>
      </c>
      <c r="E1331" s="199" t="s">
        <v>11</v>
      </c>
      <c r="F1331" s="199" t="s">
        <v>73</v>
      </c>
      <c r="G1331" s="199" t="s">
        <v>799</v>
      </c>
      <c r="H1331" s="199" t="s">
        <v>9</v>
      </c>
      <c r="I1331" s="26">
        <f>I1341+I1338+I1336+I1332+I1343+I1345</f>
        <v>44475.349999999991</v>
      </c>
      <c r="J1331" s="26">
        <f t="shared" ref="J1331:K1331" si="535">J1341+J1338+J1336+J1332+J1343+J1345</f>
        <v>44504.159999999989</v>
      </c>
      <c r="K1331" s="26">
        <f t="shared" si="535"/>
        <v>44504.159999999989</v>
      </c>
      <c r="L1331" s="16">
        <v>8210000000</v>
      </c>
      <c r="M1331" s="16" t="str">
        <f t="shared" si="522"/>
        <v>8210000000</v>
      </c>
      <c r="N1331" s="16" t="str">
        <f t="shared" si="523"/>
        <v>61901048210000000000</v>
      </c>
    </row>
    <row r="1332" spans="2:14" s="16" customFormat="1" ht="25.5">
      <c r="B1332" s="14"/>
      <c r="C1332" s="197" t="s">
        <v>18</v>
      </c>
      <c r="D1332" s="199" t="s">
        <v>795</v>
      </c>
      <c r="E1332" s="199" t="s">
        <v>11</v>
      </c>
      <c r="F1332" s="199" t="s">
        <v>73</v>
      </c>
      <c r="G1332" s="199" t="s">
        <v>800</v>
      </c>
      <c r="H1332" s="199" t="s">
        <v>9</v>
      </c>
      <c r="I1332" s="26">
        <f>I1333+I1334+I1335</f>
        <v>5112.3100000000004</v>
      </c>
      <c r="J1332" s="26">
        <f>J1333+J1334+J1335</f>
        <v>5112.3100000000004</v>
      </c>
      <c r="K1332" s="26">
        <f>K1333+K1334+K1335</f>
        <v>5112.3100000000004</v>
      </c>
      <c r="L1332" s="16">
        <v>8210010010</v>
      </c>
      <c r="M1332" s="16" t="str">
        <f t="shared" si="522"/>
        <v>8210010010</v>
      </c>
      <c r="N1332" s="16" t="str">
        <f t="shared" si="523"/>
        <v>61901048210010010000</v>
      </c>
    </row>
    <row r="1333" spans="2:14" s="50" customFormat="1" ht="25.5">
      <c r="B1333" s="49"/>
      <c r="C1333" s="201" t="s">
        <v>20</v>
      </c>
      <c r="D1333" s="204" t="s">
        <v>795</v>
      </c>
      <c r="E1333" s="204" t="s">
        <v>11</v>
      </c>
      <c r="F1333" s="204" t="s">
        <v>73</v>
      </c>
      <c r="G1333" s="199" t="s">
        <v>800</v>
      </c>
      <c r="H1333" s="204" t="s">
        <v>21</v>
      </c>
      <c r="I1333" s="26">
        <f>642.51+194.04</f>
        <v>836.55</v>
      </c>
      <c r="J1333" s="26">
        <f t="shared" ref="J1333:K1333" si="536">642.51+194.04</f>
        <v>836.55</v>
      </c>
      <c r="K1333" s="26">
        <f t="shared" si="536"/>
        <v>836.55</v>
      </c>
      <c r="L1333" s="50">
        <v>8210010010</v>
      </c>
      <c r="M1333" s="16" t="str">
        <f t="shared" si="522"/>
        <v>8210010010</v>
      </c>
      <c r="N1333" s="16" t="str">
        <f t="shared" si="523"/>
        <v>61901048210010010120</v>
      </c>
    </row>
    <row r="1334" spans="2:14" s="16" customFormat="1" ht="25.5">
      <c r="B1334" s="14"/>
      <c r="C1334" s="197" t="s">
        <v>28</v>
      </c>
      <c r="D1334" s="199" t="s">
        <v>795</v>
      </c>
      <c r="E1334" s="199" t="s">
        <v>11</v>
      </c>
      <c r="F1334" s="199" t="s">
        <v>73</v>
      </c>
      <c r="G1334" s="199" t="s">
        <v>800</v>
      </c>
      <c r="H1334" s="199" t="s">
        <v>29</v>
      </c>
      <c r="I1334" s="26">
        <f>3495.76+440</f>
        <v>3935.76</v>
      </c>
      <c r="J1334" s="26">
        <f t="shared" ref="J1334:K1334" si="537">3495.76+440</f>
        <v>3935.76</v>
      </c>
      <c r="K1334" s="26">
        <f t="shared" si="537"/>
        <v>3935.76</v>
      </c>
      <c r="L1334" s="16">
        <v>8210010010</v>
      </c>
      <c r="M1334" s="16" t="str">
        <f t="shared" si="522"/>
        <v>8210010010</v>
      </c>
      <c r="N1334" s="16" t="str">
        <f t="shared" si="523"/>
        <v>61901048210010010240</v>
      </c>
    </row>
    <row r="1335" spans="2:14" s="16" customFormat="1">
      <c r="B1335" s="14"/>
      <c r="C1335" s="197" t="s">
        <v>32</v>
      </c>
      <c r="D1335" s="204" t="s">
        <v>795</v>
      </c>
      <c r="E1335" s="204" t="s">
        <v>11</v>
      </c>
      <c r="F1335" s="204" t="s">
        <v>73</v>
      </c>
      <c r="G1335" s="199" t="s">
        <v>800</v>
      </c>
      <c r="H1335" s="204" t="s">
        <v>33</v>
      </c>
      <c r="I1335" s="26">
        <f>260+20+60</f>
        <v>340</v>
      </c>
      <c r="J1335" s="26">
        <f t="shared" ref="J1335:K1335" si="538">260+20+60</f>
        <v>340</v>
      </c>
      <c r="K1335" s="26">
        <f t="shared" si="538"/>
        <v>340</v>
      </c>
      <c r="L1335" s="16">
        <v>8210010010</v>
      </c>
      <c r="M1335" s="16" t="str">
        <f t="shared" si="522"/>
        <v>8210010010</v>
      </c>
      <c r="N1335" s="16" t="str">
        <f t="shared" si="523"/>
        <v>61901048210010010850</v>
      </c>
    </row>
    <row r="1336" spans="2:14" s="47" customFormat="1" ht="25.5">
      <c r="B1336" s="46"/>
      <c r="C1336" s="201" t="s">
        <v>789</v>
      </c>
      <c r="D1336" s="204" t="s">
        <v>795</v>
      </c>
      <c r="E1336" s="204" t="s">
        <v>11</v>
      </c>
      <c r="F1336" s="204" t="s">
        <v>73</v>
      </c>
      <c r="G1336" s="204" t="s">
        <v>801</v>
      </c>
      <c r="H1336" s="204" t="s">
        <v>9</v>
      </c>
      <c r="I1336" s="26">
        <f>I1337</f>
        <v>36461.079999999994</v>
      </c>
      <c r="J1336" s="26">
        <f>J1337</f>
        <v>37785.969999999994</v>
      </c>
      <c r="K1336" s="26">
        <f>K1337</f>
        <v>37785.969999999994</v>
      </c>
      <c r="L1336" s="47">
        <v>8210010020</v>
      </c>
      <c r="M1336" s="16" t="str">
        <f t="shared" si="522"/>
        <v>8210010020</v>
      </c>
      <c r="N1336" s="16" t="str">
        <f t="shared" si="523"/>
        <v>61901048210010020000</v>
      </c>
    </row>
    <row r="1337" spans="2:14" s="50" customFormat="1" ht="25.5">
      <c r="B1337" s="49"/>
      <c r="C1337" s="201" t="s">
        <v>20</v>
      </c>
      <c r="D1337" s="204" t="s">
        <v>795</v>
      </c>
      <c r="E1337" s="204" t="s">
        <v>11</v>
      </c>
      <c r="F1337" s="204" t="s">
        <v>73</v>
      </c>
      <c r="G1337" s="204" t="s">
        <v>801</v>
      </c>
      <c r="H1337" s="204" t="s">
        <v>21</v>
      </c>
      <c r="I1337" s="26">
        <f>27617.67+8340.53+63.02+176.19+15.46+146.89+101.32</f>
        <v>36461.079999999994</v>
      </c>
      <c r="J1337" s="26">
        <f>27617.67+8340.53+1436.6+146.89+244.28</f>
        <v>37785.969999999994</v>
      </c>
      <c r="K1337" s="26">
        <f>27617.67+8340.53+1436.6+146.89+244.28</f>
        <v>37785.969999999994</v>
      </c>
      <c r="L1337" s="50">
        <v>8210010020</v>
      </c>
      <c r="M1337" s="16" t="str">
        <f t="shared" si="522"/>
        <v>8210010020</v>
      </c>
      <c r="N1337" s="16" t="str">
        <f t="shared" si="523"/>
        <v>61901048210010020120</v>
      </c>
    </row>
    <row r="1338" spans="2:14" s="47" customFormat="1" ht="51">
      <c r="B1338" s="14" t="s">
        <v>80</v>
      </c>
      <c r="C1338" s="252" t="s">
        <v>488</v>
      </c>
      <c r="D1338" s="204" t="s">
        <v>795</v>
      </c>
      <c r="E1338" s="204" t="s">
        <v>11</v>
      </c>
      <c r="F1338" s="204" t="s">
        <v>73</v>
      </c>
      <c r="G1338" s="204" t="s">
        <v>802</v>
      </c>
      <c r="H1338" s="204" t="s">
        <v>9</v>
      </c>
      <c r="I1338" s="26">
        <f>I1339+I1340</f>
        <v>1587.6</v>
      </c>
      <c r="J1338" s="26">
        <f>J1339+J1340</f>
        <v>1534.98</v>
      </c>
      <c r="K1338" s="26">
        <f>K1339+K1340</f>
        <v>1534.98</v>
      </c>
      <c r="L1338" s="47">
        <v>8210076200</v>
      </c>
      <c r="M1338" s="16" t="str">
        <f t="shared" si="522"/>
        <v>8210076200</v>
      </c>
      <c r="N1338" s="16" t="str">
        <f t="shared" si="523"/>
        <v>61901048210076200000</v>
      </c>
    </row>
    <row r="1339" spans="2:14" s="50" customFormat="1" ht="25.5">
      <c r="B1339" s="49"/>
      <c r="C1339" s="201" t="s">
        <v>20</v>
      </c>
      <c r="D1339" s="204" t="s">
        <v>795</v>
      </c>
      <c r="E1339" s="204" t="s">
        <v>11</v>
      </c>
      <c r="F1339" s="204" t="s">
        <v>73</v>
      </c>
      <c r="G1339" s="204" t="s">
        <v>802</v>
      </c>
      <c r="H1339" s="204" t="s">
        <v>21</v>
      </c>
      <c r="I1339" s="26">
        <f>977.11+51.06+310.51+52.62</f>
        <v>1391.3</v>
      </c>
      <c r="J1339" s="26">
        <f>977.11+51.06+310.51</f>
        <v>1338.68</v>
      </c>
      <c r="K1339" s="26">
        <f>977.11+51.06+310.51</f>
        <v>1338.68</v>
      </c>
      <c r="L1339" s="50">
        <v>8210076200</v>
      </c>
      <c r="M1339" s="16" t="str">
        <f t="shared" si="522"/>
        <v>8210076200</v>
      </c>
      <c r="N1339" s="16" t="str">
        <f t="shared" si="523"/>
        <v>61901048210076200120</v>
      </c>
    </row>
    <row r="1340" spans="2:14" s="50" customFormat="1" ht="25.5">
      <c r="B1340" s="49"/>
      <c r="C1340" s="197" t="s">
        <v>28</v>
      </c>
      <c r="D1340" s="204" t="s">
        <v>795</v>
      </c>
      <c r="E1340" s="204" t="s">
        <v>11</v>
      </c>
      <c r="F1340" s="204" t="s">
        <v>73</v>
      </c>
      <c r="G1340" s="204" t="s">
        <v>802</v>
      </c>
      <c r="H1340" s="204" t="s">
        <v>29</v>
      </c>
      <c r="I1340" s="26">
        <f>196.3</f>
        <v>196.3</v>
      </c>
      <c r="J1340" s="26">
        <f>196.3</f>
        <v>196.3</v>
      </c>
      <c r="K1340" s="26">
        <f>196.3</f>
        <v>196.3</v>
      </c>
      <c r="L1340" s="50">
        <v>8210076200</v>
      </c>
      <c r="M1340" s="16" t="str">
        <f t="shared" si="522"/>
        <v>8210076200</v>
      </c>
      <c r="N1340" s="16" t="str">
        <f t="shared" si="523"/>
        <v>61901048210076200240</v>
      </c>
    </row>
    <row r="1341" spans="2:14" s="47" customFormat="1" ht="51">
      <c r="B1341" s="14" t="s">
        <v>80</v>
      </c>
      <c r="C1341" s="201" t="s">
        <v>754</v>
      </c>
      <c r="D1341" s="204" t="s">
        <v>795</v>
      </c>
      <c r="E1341" s="204" t="s">
        <v>11</v>
      </c>
      <c r="F1341" s="204" t="s">
        <v>73</v>
      </c>
      <c r="G1341" s="204" t="s">
        <v>803</v>
      </c>
      <c r="H1341" s="204" t="s">
        <v>9</v>
      </c>
      <c r="I1341" s="26">
        <f>I1342</f>
        <v>70.900000000000006</v>
      </c>
      <c r="J1341" s="26">
        <f>J1342</f>
        <v>70.900000000000006</v>
      </c>
      <c r="K1341" s="26">
        <f>K1342</f>
        <v>70.900000000000006</v>
      </c>
      <c r="L1341" s="47">
        <v>8210076360</v>
      </c>
      <c r="M1341" s="16" t="str">
        <f t="shared" si="522"/>
        <v>8210076360</v>
      </c>
      <c r="N1341" s="16" t="str">
        <f t="shared" si="523"/>
        <v>61901048210076360000</v>
      </c>
    </row>
    <row r="1342" spans="2:14" s="50" customFormat="1" ht="25.5">
      <c r="B1342" s="49"/>
      <c r="C1342" s="197" t="s">
        <v>28</v>
      </c>
      <c r="D1342" s="204" t="s">
        <v>795</v>
      </c>
      <c r="E1342" s="204" t="s">
        <v>11</v>
      </c>
      <c r="F1342" s="204" t="s">
        <v>73</v>
      </c>
      <c r="G1342" s="204" t="s">
        <v>803</v>
      </c>
      <c r="H1342" s="204" t="s">
        <v>29</v>
      </c>
      <c r="I1342" s="26">
        <f>70.9</f>
        <v>70.900000000000006</v>
      </c>
      <c r="J1342" s="26">
        <f t="shared" ref="J1342:K1342" si="539">70.9</f>
        <v>70.900000000000006</v>
      </c>
      <c r="K1342" s="26">
        <f t="shared" si="539"/>
        <v>70.900000000000006</v>
      </c>
      <c r="L1342" s="50">
        <v>8210076360</v>
      </c>
      <c r="M1342" s="16" t="str">
        <f t="shared" si="522"/>
        <v>8210076360</v>
      </c>
      <c r="N1342" s="16" t="str">
        <f t="shared" si="523"/>
        <v>61901048210076360240</v>
      </c>
    </row>
    <row r="1343" spans="2:14" s="50" customFormat="1" ht="191.25">
      <c r="B1343" s="14" t="s">
        <v>80</v>
      </c>
      <c r="C1343" s="197" t="s">
        <v>2269</v>
      </c>
      <c r="D1343" s="204" t="s">
        <v>795</v>
      </c>
      <c r="E1343" s="204" t="s">
        <v>11</v>
      </c>
      <c r="F1343" s="204" t="s">
        <v>73</v>
      </c>
      <c r="G1343" s="204" t="s">
        <v>1317</v>
      </c>
      <c r="H1343" s="204" t="s">
        <v>9</v>
      </c>
      <c r="I1343" s="26">
        <f>I1344</f>
        <v>1181.93</v>
      </c>
      <c r="J1343" s="26">
        <f t="shared" ref="J1343:K1345" si="540">J1344</f>
        <v>0</v>
      </c>
      <c r="K1343" s="26">
        <f t="shared" si="540"/>
        <v>0</v>
      </c>
      <c r="L1343" s="50">
        <v>8210077460</v>
      </c>
      <c r="M1343" s="16" t="str">
        <f t="shared" si="522"/>
        <v>8210077460</v>
      </c>
      <c r="N1343" s="16" t="str">
        <f t="shared" si="523"/>
        <v>61901048210077460000</v>
      </c>
    </row>
    <row r="1344" spans="2:14" s="50" customFormat="1" ht="25.5">
      <c r="B1344" s="14"/>
      <c r="C1344" s="201" t="s">
        <v>20</v>
      </c>
      <c r="D1344" s="204" t="s">
        <v>795</v>
      </c>
      <c r="E1344" s="204" t="s">
        <v>11</v>
      </c>
      <c r="F1344" s="204" t="s">
        <v>73</v>
      </c>
      <c r="G1344" s="204" t="s">
        <v>1317</v>
      </c>
      <c r="H1344" s="204" t="s">
        <v>21</v>
      </c>
      <c r="I1344" s="26">
        <f>1197.39-15.46</f>
        <v>1181.93</v>
      </c>
      <c r="J1344" s="26">
        <v>0</v>
      </c>
      <c r="K1344" s="26">
        <v>0</v>
      </c>
      <c r="L1344" s="50">
        <v>8210077460</v>
      </c>
      <c r="M1344" s="16" t="str">
        <f t="shared" si="522"/>
        <v>8210077460</v>
      </c>
      <c r="N1344" s="16" t="str">
        <f t="shared" si="523"/>
        <v>61901048210077460120</v>
      </c>
    </row>
    <row r="1345" spans="2:14" s="50" customFormat="1" ht="165.75">
      <c r="B1345" s="14" t="s">
        <v>2282</v>
      </c>
      <c r="C1345" s="200" t="s">
        <v>2247</v>
      </c>
      <c r="D1345" s="204" t="s">
        <v>795</v>
      </c>
      <c r="E1345" s="204" t="s">
        <v>11</v>
      </c>
      <c r="F1345" s="204" t="s">
        <v>73</v>
      </c>
      <c r="G1345" s="204" t="s">
        <v>2291</v>
      </c>
      <c r="H1345" s="204" t="s">
        <v>9</v>
      </c>
      <c r="I1345" s="26">
        <f>I1346</f>
        <v>61.53</v>
      </c>
      <c r="J1345" s="26">
        <f t="shared" si="540"/>
        <v>0</v>
      </c>
      <c r="K1345" s="26">
        <f t="shared" si="540"/>
        <v>0</v>
      </c>
      <c r="L1345" s="50">
        <v>8210077580</v>
      </c>
      <c r="M1345" s="16" t="str">
        <f t="shared" si="522"/>
        <v>8210077580</v>
      </c>
      <c r="N1345" s="16" t="str">
        <f t="shared" si="523"/>
        <v>61901048210077580000</v>
      </c>
    </row>
    <row r="1346" spans="2:14" s="50" customFormat="1" ht="25.5">
      <c r="B1346" s="14"/>
      <c r="C1346" s="201" t="s">
        <v>20</v>
      </c>
      <c r="D1346" s="204" t="s">
        <v>795</v>
      </c>
      <c r="E1346" s="204" t="s">
        <v>11</v>
      </c>
      <c r="F1346" s="204" t="s">
        <v>73</v>
      </c>
      <c r="G1346" s="204" t="s">
        <v>2291</v>
      </c>
      <c r="H1346" s="204" t="s">
        <v>21</v>
      </c>
      <c r="I1346" s="26">
        <f>61.53</f>
        <v>61.53</v>
      </c>
      <c r="J1346" s="26">
        <v>0</v>
      </c>
      <c r="K1346" s="26">
        <v>0</v>
      </c>
      <c r="L1346" s="50">
        <v>8210077580</v>
      </c>
      <c r="M1346" s="16" t="str">
        <f t="shared" si="522"/>
        <v>8210077580</v>
      </c>
      <c r="N1346" s="16" t="str">
        <f t="shared" si="523"/>
        <v>61901048210077580120</v>
      </c>
    </row>
    <row r="1347" spans="2:14" s="16" customFormat="1">
      <c r="B1347" s="14"/>
      <c r="C1347" s="261" t="s">
        <v>50</v>
      </c>
      <c r="D1347" s="195" t="s">
        <v>795</v>
      </c>
      <c r="E1347" s="196" t="s">
        <v>11</v>
      </c>
      <c r="F1347" s="196" t="s">
        <v>51</v>
      </c>
      <c r="G1347" s="196" t="s">
        <v>8</v>
      </c>
      <c r="H1347" s="196" t="s">
        <v>9</v>
      </c>
      <c r="I1347" s="19">
        <f>I1348+I1359+I1355</f>
        <v>4614.0300000000007</v>
      </c>
      <c r="J1347" s="19">
        <f t="shared" ref="J1347:K1347" si="541">J1348+J1359+J1355</f>
        <v>576.79999999999995</v>
      </c>
      <c r="K1347" s="19">
        <f t="shared" si="541"/>
        <v>576.79999999999995</v>
      </c>
      <c r="L1347" s="16">
        <v>0</v>
      </c>
      <c r="M1347" s="16" t="str">
        <f t="shared" si="522"/>
        <v>0000000000</v>
      </c>
      <c r="N1347" s="16" t="str">
        <f t="shared" si="523"/>
        <v>61901130000000000000</v>
      </c>
    </row>
    <row r="1348" spans="2:14" s="16" customFormat="1" ht="38.25">
      <c r="B1348" s="14"/>
      <c r="C1348" s="205" t="s">
        <v>257</v>
      </c>
      <c r="D1348" s="199" t="s">
        <v>795</v>
      </c>
      <c r="E1348" s="199" t="s">
        <v>11</v>
      </c>
      <c r="F1348" s="199" t="s">
        <v>51</v>
      </c>
      <c r="G1348" s="199" t="s">
        <v>258</v>
      </c>
      <c r="H1348" s="199" t="s">
        <v>9</v>
      </c>
      <c r="I1348" s="20">
        <f>I1349</f>
        <v>576.79999999999995</v>
      </c>
      <c r="J1348" s="20">
        <f t="shared" ref="J1348:K1351" si="542">J1349</f>
        <v>576.79999999999995</v>
      </c>
      <c r="K1348" s="20">
        <f t="shared" si="542"/>
        <v>576.79999999999995</v>
      </c>
      <c r="L1348" s="16">
        <v>1100000000</v>
      </c>
      <c r="M1348" s="16" t="str">
        <f t="shared" si="522"/>
        <v>1100000000</v>
      </c>
      <c r="N1348" s="16" t="str">
        <f t="shared" si="523"/>
        <v>61901131100000000000</v>
      </c>
    </row>
    <row r="1349" spans="2:14" s="16" customFormat="1" ht="51">
      <c r="B1349" s="14"/>
      <c r="C1349" s="205" t="s">
        <v>259</v>
      </c>
      <c r="D1349" s="256" t="s">
        <v>795</v>
      </c>
      <c r="E1349" s="199" t="s">
        <v>11</v>
      </c>
      <c r="F1349" s="199" t="s">
        <v>51</v>
      </c>
      <c r="G1349" s="199" t="s">
        <v>260</v>
      </c>
      <c r="H1349" s="199" t="s">
        <v>9</v>
      </c>
      <c r="I1349" s="20">
        <f>I1350</f>
        <v>576.79999999999995</v>
      </c>
      <c r="J1349" s="20">
        <f t="shared" si="542"/>
        <v>576.79999999999995</v>
      </c>
      <c r="K1349" s="20">
        <f t="shared" si="542"/>
        <v>576.79999999999995</v>
      </c>
      <c r="L1349" s="16" t="s">
        <v>1171</v>
      </c>
      <c r="M1349" s="16" t="str">
        <f t="shared" si="522"/>
        <v>11Б0000000</v>
      </c>
      <c r="N1349" s="16" t="str">
        <f t="shared" si="523"/>
        <v>619011311Б0000000000</v>
      </c>
    </row>
    <row r="1350" spans="2:14" s="16" customFormat="1" ht="38.25">
      <c r="B1350" s="14"/>
      <c r="C1350" s="255" t="s">
        <v>261</v>
      </c>
      <c r="D1350" s="256" t="s">
        <v>795</v>
      </c>
      <c r="E1350" s="199" t="s">
        <v>11</v>
      </c>
      <c r="F1350" s="199" t="s">
        <v>51</v>
      </c>
      <c r="G1350" s="199" t="s">
        <v>262</v>
      </c>
      <c r="H1350" s="199" t="s">
        <v>9</v>
      </c>
      <c r="I1350" s="20">
        <f>I1351+I1353</f>
        <v>576.79999999999995</v>
      </c>
      <c r="J1350" s="20">
        <f>J1351+J1353</f>
        <v>576.79999999999995</v>
      </c>
      <c r="K1350" s="20">
        <f>K1351+K1353</f>
        <v>576.79999999999995</v>
      </c>
      <c r="L1350" s="16" t="s">
        <v>1172</v>
      </c>
      <c r="M1350" s="16" t="str">
        <f t="shared" ref="M1350:M1413" si="543">TEXT(L1350,"0000000000")</f>
        <v>11Б0100000</v>
      </c>
      <c r="N1350" s="16" t="str">
        <f t="shared" ref="N1350:N1413" si="544">D1350&amp;E1350&amp;F1350&amp;M1350&amp;H1350</f>
        <v>619011311Б0100000000</v>
      </c>
    </row>
    <row r="1351" spans="2:14" s="16" customFormat="1" ht="25.5">
      <c r="B1351" s="14"/>
      <c r="C1351" s="250" t="s">
        <v>756</v>
      </c>
      <c r="D1351" s="256" t="s">
        <v>795</v>
      </c>
      <c r="E1351" s="199" t="s">
        <v>11</v>
      </c>
      <c r="F1351" s="199" t="s">
        <v>51</v>
      </c>
      <c r="G1351" s="199" t="s">
        <v>757</v>
      </c>
      <c r="H1351" s="199" t="s">
        <v>9</v>
      </c>
      <c r="I1351" s="20">
        <f>I1352</f>
        <v>476.64</v>
      </c>
      <c r="J1351" s="20">
        <f t="shared" si="542"/>
        <v>476.64</v>
      </c>
      <c r="K1351" s="20">
        <f t="shared" si="542"/>
        <v>476.64</v>
      </c>
      <c r="L1351" s="16" t="s">
        <v>1230</v>
      </c>
      <c r="M1351" s="16" t="str">
        <f t="shared" si="543"/>
        <v>11Б0120840</v>
      </c>
      <c r="N1351" s="16" t="str">
        <f t="shared" si="544"/>
        <v>619011311Б0120840000</v>
      </c>
    </row>
    <row r="1352" spans="2:14" s="16" customFormat="1" ht="25.5">
      <c r="B1352" s="14"/>
      <c r="C1352" s="197" t="s">
        <v>28</v>
      </c>
      <c r="D1352" s="256" t="s">
        <v>795</v>
      </c>
      <c r="E1352" s="199" t="s">
        <v>11</v>
      </c>
      <c r="F1352" s="199" t="s">
        <v>51</v>
      </c>
      <c r="G1352" s="199" t="s">
        <v>757</v>
      </c>
      <c r="H1352" s="199" t="s">
        <v>29</v>
      </c>
      <c r="I1352" s="26">
        <f>476.64</f>
        <v>476.64</v>
      </c>
      <c r="J1352" s="26">
        <f t="shared" ref="J1352:K1352" si="545">476.64</f>
        <v>476.64</v>
      </c>
      <c r="K1352" s="26">
        <f t="shared" si="545"/>
        <v>476.64</v>
      </c>
      <c r="L1352" s="16" t="s">
        <v>1230</v>
      </c>
      <c r="M1352" s="16" t="str">
        <f t="shared" si="543"/>
        <v>11Б0120840</v>
      </c>
      <c r="N1352" s="16" t="str">
        <f t="shared" si="544"/>
        <v>619011311Б0120840240</v>
      </c>
    </row>
    <row r="1353" spans="2:14" s="16" customFormat="1" ht="25.5">
      <c r="B1353" s="14"/>
      <c r="C1353" s="197" t="s">
        <v>267</v>
      </c>
      <c r="D1353" s="256" t="s">
        <v>795</v>
      </c>
      <c r="E1353" s="204" t="s">
        <v>11</v>
      </c>
      <c r="F1353" s="204" t="s">
        <v>51</v>
      </c>
      <c r="G1353" s="230" t="s">
        <v>268</v>
      </c>
      <c r="H1353" s="199" t="s">
        <v>9</v>
      </c>
      <c r="I1353" s="20">
        <f>I1354</f>
        <v>100.16</v>
      </c>
      <c r="J1353" s="20">
        <f t="shared" ref="J1353:K1353" si="546">J1354</f>
        <v>100.16</v>
      </c>
      <c r="K1353" s="20">
        <f t="shared" si="546"/>
        <v>100.16</v>
      </c>
      <c r="L1353" s="16" t="s">
        <v>1175</v>
      </c>
      <c r="M1353" s="16" t="str">
        <f t="shared" si="543"/>
        <v>11Б0121120</v>
      </c>
      <c r="N1353" s="16" t="str">
        <f t="shared" si="544"/>
        <v>619011311Б0121120000</v>
      </c>
    </row>
    <row r="1354" spans="2:14" s="16" customFormat="1" ht="25.5">
      <c r="B1354" s="14"/>
      <c r="C1354" s="197" t="s">
        <v>28</v>
      </c>
      <c r="D1354" s="256" t="s">
        <v>795</v>
      </c>
      <c r="E1354" s="204" t="s">
        <v>11</v>
      </c>
      <c r="F1354" s="204" t="s">
        <v>51</v>
      </c>
      <c r="G1354" s="230" t="s">
        <v>268</v>
      </c>
      <c r="H1354" s="199" t="s">
        <v>29</v>
      </c>
      <c r="I1354" s="20">
        <f>100.16</f>
        <v>100.16</v>
      </c>
      <c r="J1354" s="20">
        <f t="shared" ref="J1354:K1354" si="547">100.16</f>
        <v>100.16</v>
      </c>
      <c r="K1354" s="20">
        <f t="shared" si="547"/>
        <v>100.16</v>
      </c>
      <c r="L1354" s="16" t="s">
        <v>1175</v>
      </c>
      <c r="M1354" s="16" t="str">
        <f t="shared" si="543"/>
        <v>11Б0121120</v>
      </c>
      <c r="N1354" s="16" t="str">
        <f t="shared" si="544"/>
        <v>619011311Б0121120240</v>
      </c>
    </row>
    <row r="1355" spans="2:14" s="16" customFormat="1" ht="25.5">
      <c r="B1355" s="14"/>
      <c r="C1355" s="197" t="s">
        <v>796</v>
      </c>
      <c r="D1355" s="199" t="s">
        <v>795</v>
      </c>
      <c r="E1355" s="199" t="s">
        <v>11</v>
      </c>
      <c r="F1355" s="204" t="s">
        <v>51</v>
      </c>
      <c r="G1355" s="199" t="s">
        <v>797</v>
      </c>
      <c r="H1355" s="199" t="s">
        <v>9</v>
      </c>
      <c r="I1355" s="20">
        <f>I1356</f>
        <v>623.27</v>
      </c>
      <c r="J1355" s="20">
        <f t="shared" ref="J1355:K1357" si="548">J1356</f>
        <v>0</v>
      </c>
      <c r="K1355" s="20">
        <f t="shared" si="548"/>
        <v>0</v>
      </c>
      <c r="L1355" s="16">
        <v>8200000000</v>
      </c>
      <c r="M1355" s="16" t="str">
        <f t="shared" si="543"/>
        <v>8200000000</v>
      </c>
      <c r="N1355" s="16" t="str">
        <f t="shared" si="544"/>
        <v>61901138200000000000</v>
      </c>
    </row>
    <row r="1356" spans="2:14" s="16" customFormat="1" ht="25.5">
      <c r="B1356" s="14"/>
      <c r="C1356" s="197" t="s">
        <v>798</v>
      </c>
      <c r="D1356" s="199" t="s">
        <v>795</v>
      </c>
      <c r="E1356" s="199" t="s">
        <v>11</v>
      </c>
      <c r="F1356" s="204" t="s">
        <v>51</v>
      </c>
      <c r="G1356" s="199" t="s">
        <v>799</v>
      </c>
      <c r="H1356" s="199" t="s">
        <v>9</v>
      </c>
      <c r="I1356" s="20">
        <f>I1357</f>
        <v>623.27</v>
      </c>
      <c r="J1356" s="20">
        <f t="shared" si="548"/>
        <v>0</v>
      </c>
      <c r="K1356" s="20">
        <f t="shared" si="548"/>
        <v>0</v>
      </c>
      <c r="L1356" s="16">
        <v>8210000000</v>
      </c>
      <c r="M1356" s="16" t="str">
        <f t="shared" si="543"/>
        <v>8210000000</v>
      </c>
      <c r="N1356" s="16" t="str">
        <f t="shared" si="544"/>
        <v>61901138210000000000</v>
      </c>
    </row>
    <row r="1357" spans="2:14" s="16" customFormat="1" ht="25.5">
      <c r="B1357" s="14"/>
      <c r="C1357" s="197" t="s">
        <v>187</v>
      </c>
      <c r="D1357" s="199" t="s">
        <v>795</v>
      </c>
      <c r="E1357" s="204" t="s">
        <v>11</v>
      </c>
      <c r="F1357" s="204" t="s">
        <v>51</v>
      </c>
      <c r="G1357" s="204" t="s">
        <v>1140</v>
      </c>
      <c r="H1357" s="199" t="s">
        <v>9</v>
      </c>
      <c r="I1357" s="20">
        <f>I1358</f>
        <v>623.27</v>
      </c>
      <c r="J1357" s="20">
        <f t="shared" si="548"/>
        <v>0</v>
      </c>
      <c r="K1357" s="20">
        <f t="shared" si="548"/>
        <v>0</v>
      </c>
      <c r="L1357" s="16">
        <v>8210020050</v>
      </c>
      <c r="M1357" s="16" t="str">
        <f t="shared" si="543"/>
        <v>8210020050</v>
      </c>
      <c r="N1357" s="16" t="str">
        <f t="shared" si="544"/>
        <v>61901138210020050000</v>
      </c>
    </row>
    <row r="1358" spans="2:14" s="16" customFormat="1">
      <c r="B1358" s="14"/>
      <c r="C1358" s="197" t="s">
        <v>189</v>
      </c>
      <c r="D1358" s="199" t="s">
        <v>795</v>
      </c>
      <c r="E1358" s="204" t="s">
        <v>11</v>
      </c>
      <c r="F1358" s="204" t="s">
        <v>51</v>
      </c>
      <c r="G1358" s="204" t="s">
        <v>1140</v>
      </c>
      <c r="H1358" s="199" t="s">
        <v>190</v>
      </c>
      <c r="I1358" s="20">
        <f>523.64+7.26+64.72+27.65</f>
        <v>623.27</v>
      </c>
      <c r="J1358" s="20">
        <v>0</v>
      </c>
      <c r="K1358" s="20">
        <v>0</v>
      </c>
      <c r="L1358" s="16">
        <v>8210020050</v>
      </c>
      <c r="M1358" s="16" t="str">
        <f t="shared" si="543"/>
        <v>8210020050</v>
      </c>
      <c r="N1358" s="16" t="str">
        <f t="shared" si="544"/>
        <v>61901138210020050830</v>
      </c>
    </row>
    <row r="1359" spans="2:14" s="16" customFormat="1" ht="38.25">
      <c r="B1359" s="14"/>
      <c r="C1359" s="200" t="s">
        <v>87</v>
      </c>
      <c r="D1359" s="256" t="s">
        <v>795</v>
      </c>
      <c r="E1359" s="199" t="s">
        <v>11</v>
      </c>
      <c r="F1359" s="199" t="s">
        <v>51</v>
      </c>
      <c r="G1359" s="230" t="s">
        <v>88</v>
      </c>
      <c r="H1359" s="199" t="s">
        <v>9</v>
      </c>
      <c r="I1359" s="20">
        <f>I1360</f>
        <v>3413.96</v>
      </c>
      <c r="J1359" s="20">
        <f t="shared" ref="J1359:K1361" si="549">J1360</f>
        <v>0</v>
      </c>
      <c r="K1359" s="20">
        <f t="shared" si="549"/>
        <v>0</v>
      </c>
      <c r="L1359" s="16">
        <v>9800000000</v>
      </c>
      <c r="M1359" s="16" t="str">
        <f t="shared" si="543"/>
        <v>9800000000</v>
      </c>
      <c r="N1359" s="16" t="str">
        <f t="shared" si="544"/>
        <v>61901139800000000000</v>
      </c>
    </row>
    <row r="1360" spans="2:14" s="16" customFormat="1">
      <c r="B1360" s="14"/>
      <c r="C1360" s="200" t="s">
        <v>89</v>
      </c>
      <c r="D1360" s="256" t="s">
        <v>795</v>
      </c>
      <c r="E1360" s="199" t="s">
        <v>11</v>
      </c>
      <c r="F1360" s="199" t="s">
        <v>51</v>
      </c>
      <c r="G1360" s="230" t="s">
        <v>90</v>
      </c>
      <c r="H1360" s="199" t="s">
        <v>9</v>
      </c>
      <c r="I1360" s="20">
        <f>I1361+I1363</f>
        <v>3413.96</v>
      </c>
      <c r="J1360" s="20">
        <f t="shared" si="549"/>
        <v>0</v>
      </c>
      <c r="K1360" s="20">
        <f t="shared" si="549"/>
        <v>0</v>
      </c>
      <c r="L1360" s="16">
        <v>9810000000</v>
      </c>
      <c r="M1360" s="16" t="str">
        <f t="shared" si="543"/>
        <v>9810000000</v>
      </c>
      <c r="N1360" s="16" t="str">
        <f t="shared" si="544"/>
        <v>61901139810000000000</v>
      </c>
    </row>
    <row r="1361" spans="2:14" s="16" customFormat="1" ht="51">
      <c r="B1361" s="14"/>
      <c r="C1361" s="200" t="s">
        <v>758</v>
      </c>
      <c r="D1361" s="256" t="s">
        <v>795</v>
      </c>
      <c r="E1361" s="199" t="s">
        <v>11</v>
      </c>
      <c r="F1361" s="199" t="s">
        <v>51</v>
      </c>
      <c r="G1361" s="230" t="s">
        <v>759</v>
      </c>
      <c r="H1361" s="199" t="s">
        <v>9</v>
      </c>
      <c r="I1361" s="20">
        <f>I1362</f>
        <v>753.96</v>
      </c>
      <c r="J1361" s="20">
        <f t="shared" si="549"/>
        <v>0</v>
      </c>
      <c r="K1361" s="20">
        <f t="shared" si="549"/>
        <v>0</v>
      </c>
      <c r="L1361" s="16">
        <v>9810021020</v>
      </c>
      <c r="M1361" s="16" t="str">
        <f t="shared" si="543"/>
        <v>9810021020</v>
      </c>
      <c r="N1361" s="16" t="str">
        <f t="shared" si="544"/>
        <v>61901139810021020000</v>
      </c>
    </row>
    <row r="1362" spans="2:14" s="16" customFormat="1" ht="25.5">
      <c r="B1362" s="14"/>
      <c r="C1362" s="197" t="s">
        <v>28</v>
      </c>
      <c r="D1362" s="256" t="s">
        <v>795</v>
      </c>
      <c r="E1362" s="199" t="s">
        <v>11</v>
      </c>
      <c r="F1362" s="199" t="s">
        <v>51</v>
      </c>
      <c r="G1362" s="230" t="s">
        <v>759</v>
      </c>
      <c r="H1362" s="204" t="s">
        <v>29</v>
      </c>
      <c r="I1362" s="20">
        <f>753.96</f>
        <v>753.96</v>
      </c>
      <c r="J1362" s="20">
        <v>0</v>
      </c>
      <c r="K1362" s="20">
        <v>0</v>
      </c>
      <c r="L1362" s="16">
        <v>9810021020</v>
      </c>
      <c r="M1362" s="16" t="str">
        <f t="shared" si="543"/>
        <v>9810021020</v>
      </c>
      <c r="N1362" s="16" t="str">
        <f t="shared" si="544"/>
        <v>61901139810021020240</v>
      </c>
    </row>
    <row r="1363" spans="2:14" s="16" customFormat="1">
      <c r="B1363" s="14"/>
      <c r="C1363" s="375" t="s">
        <v>282</v>
      </c>
      <c r="D1363" s="256" t="s">
        <v>795</v>
      </c>
      <c r="E1363" s="199" t="s">
        <v>11</v>
      </c>
      <c r="F1363" s="199" t="s">
        <v>51</v>
      </c>
      <c r="G1363" s="199" t="s">
        <v>283</v>
      </c>
      <c r="H1363" s="199" t="s">
        <v>9</v>
      </c>
      <c r="I1363" s="20">
        <f>I1364</f>
        <v>2660</v>
      </c>
      <c r="J1363" s="20">
        <f t="shared" ref="J1363:K1363" si="550">J1364</f>
        <v>0</v>
      </c>
      <c r="K1363" s="20">
        <f t="shared" si="550"/>
        <v>0</v>
      </c>
      <c r="L1363" s="16">
        <v>9810021350</v>
      </c>
      <c r="M1363" s="16" t="str">
        <f t="shared" si="543"/>
        <v>9810021350</v>
      </c>
      <c r="N1363" s="16" t="str">
        <f t="shared" si="544"/>
        <v>61901139810021350000</v>
      </c>
    </row>
    <row r="1364" spans="2:14" s="16" customFormat="1" ht="25.5">
      <c r="B1364" s="14"/>
      <c r="C1364" s="197" t="s">
        <v>28</v>
      </c>
      <c r="D1364" s="256" t="s">
        <v>795</v>
      </c>
      <c r="E1364" s="199" t="s">
        <v>11</v>
      </c>
      <c r="F1364" s="199" t="s">
        <v>51</v>
      </c>
      <c r="G1364" s="199" t="s">
        <v>283</v>
      </c>
      <c r="H1364" s="204" t="s">
        <v>29</v>
      </c>
      <c r="I1364" s="20">
        <f>2700-40</f>
        <v>2660</v>
      </c>
      <c r="J1364" s="20">
        <v>0</v>
      </c>
      <c r="K1364" s="20">
        <v>0</v>
      </c>
      <c r="L1364" s="16">
        <v>9810021350</v>
      </c>
      <c r="M1364" s="16" t="str">
        <f t="shared" si="543"/>
        <v>9810021350</v>
      </c>
      <c r="N1364" s="16" t="str">
        <f t="shared" si="544"/>
        <v>61901139810021350240</v>
      </c>
    </row>
    <row r="1365" spans="2:14" s="16" customFormat="1">
      <c r="B1365" s="14"/>
      <c r="C1365" s="259" t="s">
        <v>195</v>
      </c>
      <c r="D1365" s="192" t="s">
        <v>795</v>
      </c>
      <c r="E1365" s="193" t="s">
        <v>73</v>
      </c>
      <c r="F1365" s="193" t="s">
        <v>7</v>
      </c>
      <c r="G1365" s="193" t="s">
        <v>8</v>
      </c>
      <c r="H1365" s="193" t="s">
        <v>9</v>
      </c>
      <c r="I1365" s="18">
        <f t="shared" ref="I1365:K1367" si="551">I1366</f>
        <v>121141.52</v>
      </c>
      <c r="J1365" s="18">
        <f t="shared" si="551"/>
        <v>129176.97</v>
      </c>
      <c r="K1365" s="18">
        <f t="shared" si="551"/>
        <v>141145.11000000002</v>
      </c>
      <c r="L1365" s="16">
        <v>0</v>
      </c>
      <c r="M1365" s="16" t="str">
        <f t="shared" si="543"/>
        <v>0000000000</v>
      </c>
      <c r="N1365" s="16" t="str">
        <f t="shared" si="544"/>
        <v>61904000000000000000</v>
      </c>
    </row>
    <row r="1366" spans="2:14" s="16" customFormat="1">
      <c r="B1366" s="14"/>
      <c r="C1366" s="260" t="s">
        <v>760</v>
      </c>
      <c r="D1366" s="195" t="s">
        <v>795</v>
      </c>
      <c r="E1366" s="196" t="s">
        <v>73</v>
      </c>
      <c r="F1366" s="196" t="s">
        <v>471</v>
      </c>
      <c r="G1366" s="196" t="s">
        <v>8</v>
      </c>
      <c r="H1366" s="196" t="s">
        <v>9</v>
      </c>
      <c r="I1366" s="19">
        <f>I1367+I1376</f>
        <v>121141.52</v>
      </c>
      <c r="J1366" s="19">
        <f>J1367+J1376</f>
        <v>129176.97</v>
      </c>
      <c r="K1366" s="19">
        <f>K1367+K1376</f>
        <v>141145.11000000002</v>
      </c>
      <c r="L1366" s="16">
        <v>0</v>
      </c>
      <c r="M1366" s="16" t="str">
        <f t="shared" si="543"/>
        <v>0000000000</v>
      </c>
      <c r="N1366" s="16" t="str">
        <f t="shared" si="544"/>
        <v>61904090000000000000</v>
      </c>
    </row>
    <row r="1367" spans="2:14" s="16" customFormat="1" ht="38.25">
      <c r="B1367" s="14"/>
      <c r="C1367" s="200" t="s">
        <v>293</v>
      </c>
      <c r="D1367" s="204" t="s">
        <v>795</v>
      </c>
      <c r="E1367" s="203" t="s">
        <v>73</v>
      </c>
      <c r="F1367" s="203" t="s">
        <v>471</v>
      </c>
      <c r="G1367" s="203" t="s">
        <v>294</v>
      </c>
      <c r="H1367" s="204" t="s">
        <v>9</v>
      </c>
      <c r="I1367" s="51">
        <f t="shared" si="551"/>
        <v>119141.52</v>
      </c>
      <c r="J1367" s="51">
        <f t="shared" si="551"/>
        <v>129176.97</v>
      </c>
      <c r="K1367" s="51">
        <f t="shared" si="551"/>
        <v>141145.11000000002</v>
      </c>
      <c r="L1367" s="16">
        <v>400000000</v>
      </c>
      <c r="M1367" s="16" t="str">
        <f t="shared" si="543"/>
        <v>0400000000</v>
      </c>
      <c r="N1367" s="16" t="str">
        <f t="shared" si="544"/>
        <v>61904090400000000000</v>
      </c>
    </row>
    <row r="1368" spans="2:14" s="16" customFormat="1" ht="38.25">
      <c r="B1368" s="14"/>
      <c r="C1368" s="226" t="s">
        <v>295</v>
      </c>
      <c r="D1368" s="204" t="s">
        <v>795</v>
      </c>
      <c r="E1368" s="203" t="s">
        <v>73</v>
      </c>
      <c r="F1368" s="203" t="s">
        <v>471</v>
      </c>
      <c r="G1368" s="262" t="s">
        <v>296</v>
      </c>
      <c r="H1368" s="262" t="s">
        <v>9</v>
      </c>
      <c r="I1368" s="26">
        <f>I1369</f>
        <v>119141.52</v>
      </c>
      <c r="J1368" s="26">
        <f>J1369</f>
        <v>129176.97</v>
      </c>
      <c r="K1368" s="26">
        <f>K1369</f>
        <v>141145.11000000002</v>
      </c>
      <c r="L1368" s="16">
        <v>420000000</v>
      </c>
      <c r="M1368" s="16" t="str">
        <f t="shared" si="543"/>
        <v>0420000000</v>
      </c>
      <c r="N1368" s="16" t="str">
        <f t="shared" si="544"/>
        <v>61904090420000000000</v>
      </c>
    </row>
    <row r="1369" spans="2:14" s="16" customFormat="1" ht="38.25">
      <c r="B1369" s="14"/>
      <c r="C1369" s="201" t="s">
        <v>297</v>
      </c>
      <c r="D1369" s="204" t="s">
        <v>795</v>
      </c>
      <c r="E1369" s="204" t="s">
        <v>73</v>
      </c>
      <c r="F1369" s="204" t="s">
        <v>471</v>
      </c>
      <c r="G1369" s="204" t="s">
        <v>298</v>
      </c>
      <c r="H1369" s="204" t="s">
        <v>9</v>
      </c>
      <c r="I1369" s="26">
        <f>I1372+I1370+I1374</f>
        <v>119141.52</v>
      </c>
      <c r="J1369" s="26">
        <f t="shared" ref="J1369:K1369" si="552">J1372+J1370+J1374</f>
        <v>129176.97</v>
      </c>
      <c r="K1369" s="26">
        <f t="shared" si="552"/>
        <v>141145.11000000002</v>
      </c>
      <c r="L1369" s="16">
        <v>420200000</v>
      </c>
      <c r="M1369" s="16" t="str">
        <f t="shared" si="543"/>
        <v>0420200000</v>
      </c>
      <c r="N1369" s="16" t="str">
        <f t="shared" si="544"/>
        <v>61904090420200000000</v>
      </c>
    </row>
    <row r="1370" spans="2:14" s="16" customFormat="1" ht="25.5">
      <c r="B1370" s="14"/>
      <c r="C1370" s="239" t="s">
        <v>761</v>
      </c>
      <c r="D1370" s="204" t="s">
        <v>795</v>
      </c>
      <c r="E1370" s="204" t="s">
        <v>73</v>
      </c>
      <c r="F1370" s="204" t="s">
        <v>471</v>
      </c>
      <c r="G1370" s="204" t="s">
        <v>762</v>
      </c>
      <c r="H1370" s="204" t="s">
        <v>9</v>
      </c>
      <c r="I1370" s="26">
        <f>I1371</f>
        <v>10608.9</v>
      </c>
      <c r="J1370" s="26">
        <f>J1371</f>
        <v>10095.51</v>
      </c>
      <c r="K1370" s="26">
        <f>K1371</f>
        <v>10095.51</v>
      </c>
      <c r="L1370" s="16">
        <v>420220820</v>
      </c>
      <c r="M1370" s="16" t="str">
        <f t="shared" si="543"/>
        <v>0420220820</v>
      </c>
      <c r="N1370" s="16" t="str">
        <f t="shared" si="544"/>
        <v>61904090420220820000</v>
      </c>
    </row>
    <row r="1371" spans="2:14" s="47" customFormat="1" ht="25.5">
      <c r="B1371" s="46"/>
      <c r="C1371" s="197" t="s">
        <v>28</v>
      </c>
      <c r="D1371" s="204" t="s">
        <v>795</v>
      </c>
      <c r="E1371" s="204" t="s">
        <v>73</v>
      </c>
      <c r="F1371" s="204" t="s">
        <v>471</v>
      </c>
      <c r="G1371" s="204" t="s">
        <v>762</v>
      </c>
      <c r="H1371" s="204" t="s">
        <v>29</v>
      </c>
      <c r="I1371" s="26">
        <f>9495.51+600+513.39</f>
        <v>10608.9</v>
      </c>
      <c r="J1371" s="26">
        <f>9495.51+600</f>
        <v>10095.51</v>
      </c>
      <c r="K1371" s="26">
        <f>9495.51+600</f>
        <v>10095.51</v>
      </c>
      <c r="L1371" s="47">
        <v>420220820</v>
      </c>
      <c r="M1371" s="16" t="str">
        <f t="shared" si="543"/>
        <v>0420220820</v>
      </c>
      <c r="N1371" s="16" t="str">
        <f t="shared" si="544"/>
        <v>61904090420220820240</v>
      </c>
    </row>
    <row r="1372" spans="2:14" s="16" customFormat="1" ht="25.5">
      <c r="B1372" s="14"/>
      <c r="C1372" s="197" t="s">
        <v>763</v>
      </c>
      <c r="D1372" s="204" t="s">
        <v>795</v>
      </c>
      <c r="E1372" s="204" t="s">
        <v>73</v>
      </c>
      <c r="F1372" s="204" t="s">
        <v>471</v>
      </c>
      <c r="G1372" s="199" t="s">
        <v>764</v>
      </c>
      <c r="H1372" s="204" t="s">
        <v>9</v>
      </c>
      <c r="I1372" s="26">
        <f>I1373</f>
        <v>101714.22000000002</v>
      </c>
      <c r="J1372" s="26">
        <f>J1373</f>
        <v>119081.46</v>
      </c>
      <c r="K1372" s="26">
        <f>K1373</f>
        <v>131049.60000000001</v>
      </c>
      <c r="L1372" s="16">
        <v>420221090</v>
      </c>
      <c r="M1372" s="16" t="str">
        <f t="shared" si="543"/>
        <v>0420221090</v>
      </c>
      <c r="N1372" s="16" t="str">
        <f t="shared" si="544"/>
        <v>61904090420221090000</v>
      </c>
    </row>
    <row r="1373" spans="2:14" s="16" customFormat="1" ht="25.5">
      <c r="B1373" s="14"/>
      <c r="C1373" s="197" t="s">
        <v>28</v>
      </c>
      <c r="D1373" s="204" t="s">
        <v>795</v>
      </c>
      <c r="E1373" s="204" t="s">
        <v>73</v>
      </c>
      <c r="F1373" s="204" t="s">
        <v>471</v>
      </c>
      <c r="G1373" s="199" t="s">
        <v>764</v>
      </c>
      <c r="H1373" s="204" t="s">
        <v>29</v>
      </c>
      <c r="I1373" s="26">
        <f>108801.32-600+100+231.3-6818.4</f>
        <v>101714.22000000002</v>
      </c>
      <c r="J1373" s="26">
        <f>119681.46-600</f>
        <v>119081.46</v>
      </c>
      <c r="K1373" s="26">
        <f>131649.6-600</f>
        <v>131049.60000000001</v>
      </c>
      <c r="L1373" s="16">
        <v>420221090</v>
      </c>
      <c r="M1373" s="16" t="str">
        <f t="shared" si="543"/>
        <v>0420221090</v>
      </c>
      <c r="N1373" s="16" t="str">
        <f t="shared" si="544"/>
        <v>61904090420221090240</v>
      </c>
    </row>
    <row r="1374" spans="2:14" s="16" customFormat="1" ht="51">
      <c r="B1374" s="14" t="s">
        <v>80</v>
      </c>
      <c r="C1374" s="197" t="s">
        <v>1318</v>
      </c>
      <c r="D1374" s="204" t="s">
        <v>795</v>
      </c>
      <c r="E1374" s="204" t="s">
        <v>73</v>
      </c>
      <c r="F1374" s="204" t="s">
        <v>471</v>
      </c>
      <c r="G1374" s="199" t="s">
        <v>1319</v>
      </c>
      <c r="H1374" s="204" t="s">
        <v>9</v>
      </c>
      <c r="I1374" s="26">
        <f>I1375</f>
        <v>6818.4</v>
      </c>
      <c r="J1374" s="26">
        <f>J1375</f>
        <v>0</v>
      </c>
      <c r="K1374" s="26">
        <f>K1375</f>
        <v>0</v>
      </c>
      <c r="L1374" s="16">
        <v>420276417</v>
      </c>
      <c r="M1374" s="16" t="str">
        <f t="shared" si="543"/>
        <v>0420276417</v>
      </c>
      <c r="N1374" s="16" t="str">
        <f t="shared" si="544"/>
        <v>61904090420276417000</v>
      </c>
    </row>
    <row r="1375" spans="2:14" s="16" customFormat="1" ht="25.5">
      <c r="B1375" s="14"/>
      <c r="C1375" s="197" t="s">
        <v>28</v>
      </c>
      <c r="D1375" s="204" t="s">
        <v>795</v>
      </c>
      <c r="E1375" s="204" t="s">
        <v>73</v>
      </c>
      <c r="F1375" s="204" t="s">
        <v>471</v>
      </c>
      <c r="G1375" s="199" t="s">
        <v>1319</v>
      </c>
      <c r="H1375" s="204" t="s">
        <v>29</v>
      </c>
      <c r="I1375" s="26">
        <f>6818.4</f>
        <v>6818.4</v>
      </c>
      <c r="J1375" s="26">
        <v>0</v>
      </c>
      <c r="K1375" s="26">
        <v>0</v>
      </c>
      <c r="L1375" s="16">
        <v>420276417</v>
      </c>
      <c r="M1375" s="16" t="str">
        <f t="shared" si="543"/>
        <v>0420276417</v>
      </c>
      <c r="N1375" s="16" t="str">
        <f t="shared" si="544"/>
        <v>61904090420276417240</v>
      </c>
    </row>
    <row r="1376" spans="2:14" s="16" customFormat="1" ht="51" customHeight="1">
      <c r="B1376" s="14"/>
      <c r="C1376" s="226" t="s">
        <v>87</v>
      </c>
      <c r="D1376" s="204" t="s">
        <v>795</v>
      </c>
      <c r="E1376" s="204" t="s">
        <v>73</v>
      </c>
      <c r="F1376" s="204" t="s">
        <v>471</v>
      </c>
      <c r="G1376" s="204" t="s">
        <v>88</v>
      </c>
      <c r="H1376" s="204" t="s">
        <v>9</v>
      </c>
      <c r="I1376" s="26">
        <f>I1377</f>
        <v>2000</v>
      </c>
      <c r="J1376" s="26">
        <f t="shared" ref="J1376:K1378" si="553">J1377</f>
        <v>0</v>
      </c>
      <c r="K1376" s="26">
        <f t="shared" si="553"/>
        <v>0</v>
      </c>
      <c r="L1376" s="16">
        <v>9800000000</v>
      </c>
      <c r="M1376" s="16" t="str">
        <f t="shared" si="543"/>
        <v>9800000000</v>
      </c>
      <c r="N1376" s="16" t="str">
        <f t="shared" si="544"/>
        <v>61904099800000000000</v>
      </c>
    </row>
    <row r="1377" spans="2:14" s="16" customFormat="1">
      <c r="B1377" s="14"/>
      <c r="C1377" s="226" t="s">
        <v>89</v>
      </c>
      <c r="D1377" s="204" t="s">
        <v>795</v>
      </c>
      <c r="E1377" s="204" t="s">
        <v>73</v>
      </c>
      <c r="F1377" s="204" t="s">
        <v>471</v>
      </c>
      <c r="G1377" s="204" t="s">
        <v>90</v>
      </c>
      <c r="H1377" s="204" t="s">
        <v>9</v>
      </c>
      <c r="I1377" s="26">
        <f>I1378</f>
        <v>2000</v>
      </c>
      <c r="J1377" s="26">
        <f t="shared" si="553"/>
        <v>0</v>
      </c>
      <c r="K1377" s="26">
        <f t="shared" si="553"/>
        <v>0</v>
      </c>
      <c r="L1377" s="16">
        <v>9810000000</v>
      </c>
      <c r="M1377" s="16" t="str">
        <f t="shared" si="543"/>
        <v>9810000000</v>
      </c>
      <c r="N1377" s="16" t="str">
        <f t="shared" si="544"/>
        <v>61904099810000000000</v>
      </c>
    </row>
    <row r="1378" spans="2:14" s="16" customFormat="1">
      <c r="B1378" s="14"/>
      <c r="C1378" s="197" t="s">
        <v>778</v>
      </c>
      <c r="D1378" s="204" t="s">
        <v>795</v>
      </c>
      <c r="E1378" s="204" t="s">
        <v>73</v>
      </c>
      <c r="F1378" s="204" t="s">
        <v>471</v>
      </c>
      <c r="G1378" s="204" t="s">
        <v>779</v>
      </c>
      <c r="H1378" s="204" t="s">
        <v>9</v>
      </c>
      <c r="I1378" s="26">
        <f>I1379</f>
        <v>2000</v>
      </c>
      <c r="J1378" s="26">
        <f t="shared" si="553"/>
        <v>0</v>
      </c>
      <c r="K1378" s="26">
        <f t="shared" si="553"/>
        <v>0</v>
      </c>
      <c r="L1378" s="16">
        <v>9810021450</v>
      </c>
      <c r="M1378" s="16" t="str">
        <f t="shared" si="543"/>
        <v>9810021450</v>
      </c>
      <c r="N1378" s="16" t="str">
        <f t="shared" si="544"/>
        <v>61904099810021450000</v>
      </c>
    </row>
    <row r="1379" spans="2:14" s="16" customFormat="1" ht="25.5">
      <c r="B1379" s="14"/>
      <c r="C1379" s="197" t="s">
        <v>28</v>
      </c>
      <c r="D1379" s="204" t="s">
        <v>795</v>
      </c>
      <c r="E1379" s="204" t="s">
        <v>73</v>
      </c>
      <c r="F1379" s="204" t="s">
        <v>471</v>
      </c>
      <c r="G1379" s="204" t="s">
        <v>779</v>
      </c>
      <c r="H1379" s="204" t="s">
        <v>29</v>
      </c>
      <c r="I1379" s="26">
        <f>2000</f>
        <v>2000</v>
      </c>
      <c r="J1379" s="26">
        <v>0</v>
      </c>
      <c r="K1379" s="26">
        <v>0</v>
      </c>
      <c r="L1379" s="16">
        <v>9810021450</v>
      </c>
      <c r="M1379" s="16" t="str">
        <f t="shared" si="543"/>
        <v>9810021450</v>
      </c>
      <c r="N1379" s="16" t="str">
        <f t="shared" si="544"/>
        <v>61904099810021450240</v>
      </c>
    </row>
    <row r="1380" spans="2:14" s="47" customFormat="1">
      <c r="B1380" s="46"/>
      <c r="C1380" s="259" t="s">
        <v>305</v>
      </c>
      <c r="D1380" s="192" t="s">
        <v>795</v>
      </c>
      <c r="E1380" s="193" t="s">
        <v>86</v>
      </c>
      <c r="F1380" s="193" t="s">
        <v>7</v>
      </c>
      <c r="G1380" s="193" t="s">
        <v>8</v>
      </c>
      <c r="H1380" s="193" t="s">
        <v>9</v>
      </c>
      <c r="I1380" s="18">
        <f>I1381+I1393</f>
        <v>49307.5</v>
      </c>
      <c r="J1380" s="18">
        <f>J1381+J1393</f>
        <v>25282.670000000002</v>
      </c>
      <c r="K1380" s="18">
        <f>K1381+K1393</f>
        <v>25094.670000000002</v>
      </c>
      <c r="L1380" s="47">
        <v>0</v>
      </c>
      <c r="M1380" s="16" t="str">
        <f t="shared" si="543"/>
        <v>0000000000</v>
      </c>
      <c r="N1380" s="16" t="str">
        <f t="shared" si="544"/>
        <v>61905000000000000000</v>
      </c>
    </row>
    <row r="1381" spans="2:14" s="16" customFormat="1">
      <c r="B1381" s="14"/>
      <c r="C1381" s="263" t="s">
        <v>765</v>
      </c>
      <c r="D1381" s="264" t="s">
        <v>795</v>
      </c>
      <c r="E1381" s="265" t="s">
        <v>86</v>
      </c>
      <c r="F1381" s="265" t="s">
        <v>11</v>
      </c>
      <c r="G1381" s="265" t="s">
        <v>8</v>
      </c>
      <c r="H1381" s="265" t="s">
        <v>9</v>
      </c>
      <c r="I1381" s="52">
        <f>I1382+I1389</f>
        <v>14318.42</v>
      </c>
      <c r="J1381" s="52">
        <f t="shared" ref="J1381:K1381" si="554">J1382+J1389</f>
        <v>3851.93</v>
      </c>
      <c r="K1381" s="52">
        <f t="shared" si="554"/>
        <v>3663.93</v>
      </c>
      <c r="L1381" s="16">
        <v>0</v>
      </c>
      <c r="M1381" s="16" t="str">
        <f t="shared" si="543"/>
        <v>0000000000</v>
      </c>
      <c r="N1381" s="16" t="str">
        <f t="shared" si="544"/>
        <v>61905010000000000000</v>
      </c>
    </row>
    <row r="1382" spans="2:14" s="16" customFormat="1" ht="38.25">
      <c r="B1382" s="14"/>
      <c r="C1382" s="200" t="s">
        <v>293</v>
      </c>
      <c r="D1382" s="204" t="s">
        <v>795</v>
      </c>
      <c r="E1382" s="204" t="s">
        <v>86</v>
      </c>
      <c r="F1382" s="204" t="s">
        <v>11</v>
      </c>
      <c r="G1382" s="204" t="s">
        <v>294</v>
      </c>
      <c r="H1382" s="204" t="s">
        <v>9</v>
      </c>
      <c r="I1382" s="53">
        <f t="shared" ref="I1382:K1384" si="555">I1383</f>
        <v>4092.08</v>
      </c>
      <c r="J1382" s="53">
        <f t="shared" si="555"/>
        <v>3851.93</v>
      </c>
      <c r="K1382" s="53">
        <f t="shared" si="555"/>
        <v>3663.93</v>
      </c>
      <c r="L1382" s="16">
        <v>400000000</v>
      </c>
      <c r="M1382" s="16" t="str">
        <f t="shared" si="543"/>
        <v>0400000000</v>
      </c>
      <c r="N1382" s="16" t="str">
        <f t="shared" si="544"/>
        <v>61905010400000000000</v>
      </c>
    </row>
    <row r="1383" spans="2:14" s="47" customFormat="1" ht="25.5">
      <c r="B1383" s="46"/>
      <c r="C1383" s="266" t="s">
        <v>766</v>
      </c>
      <c r="D1383" s="267" t="s">
        <v>795</v>
      </c>
      <c r="E1383" s="267" t="s">
        <v>86</v>
      </c>
      <c r="F1383" s="267" t="s">
        <v>11</v>
      </c>
      <c r="G1383" s="267" t="s">
        <v>767</v>
      </c>
      <c r="H1383" s="267" t="s">
        <v>9</v>
      </c>
      <c r="I1383" s="54">
        <f t="shared" si="555"/>
        <v>4092.08</v>
      </c>
      <c r="J1383" s="54">
        <f t="shared" si="555"/>
        <v>3851.93</v>
      </c>
      <c r="K1383" s="54">
        <f t="shared" si="555"/>
        <v>3663.93</v>
      </c>
      <c r="L1383" s="47">
        <v>410000000</v>
      </c>
      <c r="M1383" s="16" t="str">
        <f t="shared" si="543"/>
        <v>0410000000</v>
      </c>
      <c r="N1383" s="16" t="str">
        <f t="shared" si="544"/>
        <v>61905010410000000000</v>
      </c>
    </row>
    <row r="1384" spans="2:14" s="16" customFormat="1" ht="38.25">
      <c r="B1384" s="14"/>
      <c r="C1384" s="201" t="s">
        <v>793</v>
      </c>
      <c r="D1384" s="204" t="s">
        <v>795</v>
      </c>
      <c r="E1384" s="204" t="s">
        <v>86</v>
      </c>
      <c r="F1384" s="204" t="s">
        <v>11</v>
      </c>
      <c r="G1384" s="204" t="s">
        <v>769</v>
      </c>
      <c r="H1384" s="204" t="s">
        <v>9</v>
      </c>
      <c r="I1384" s="26">
        <f>I1385</f>
        <v>4092.08</v>
      </c>
      <c r="J1384" s="26">
        <f t="shared" si="555"/>
        <v>3851.93</v>
      </c>
      <c r="K1384" s="26">
        <f t="shared" si="555"/>
        <v>3663.93</v>
      </c>
      <c r="L1384" s="16">
        <v>410100000</v>
      </c>
      <c r="M1384" s="16" t="str">
        <f t="shared" si="543"/>
        <v>0410100000</v>
      </c>
      <c r="N1384" s="16" t="str">
        <f t="shared" si="544"/>
        <v>61905010410100000000</v>
      </c>
    </row>
    <row r="1385" spans="2:14" s="16" customFormat="1" ht="25.5">
      <c r="B1385" s="14"/>
      <c r="C1385" s="268" t="s">
        <v>770</v>
      </c>
      <c r="D1385" s="204" t="s">
        <v>795</v>
      </c>
      <c r="E1385" s="204" t="s">
        <v>86</v>
      </c>
      <c r="F1385" s="204" t="s">
        <v>11</v>
      </c>
      <c r="G1385" s="204" t="s">
        <v>771</v>
      </c>
      <c r="H1385" s="204" t="s">
        <v>9</v>
      </c>
      <c r="I1385" s="26">
        <f>I1388</f>
        <v>4092.08</v>
      </c>
      <c r="J1385" s="26">
        <f>J1388</f>
        <v>3851.93</v>
      </c>
      <c r="K1385" s="26">
        <f>K1388</f>
        <v>3663.93</v>
      </c>
      <c r="L1385" s="16">
        <v>410120190</v>
      </c>
      <c r="M1385" s="16" t="str">
        <f t="shared" si="543"/>
        <v>0410120190</v>
      </c>
      <c r="N1385" s="16" t="str">
        <f t="shared" si="544"/>
        <v>61905010410120190000</v>
      </c>
    </row>
    <row r="1386" spans="2:14" s="16" customFormat="1">
      <c r="B1386" s="14"/>
      <c r="C1386" s="220" t="s">
        <v>1104</v>
      </c>
      <c r="D1386" s="204"/>
      <c r="E1386" s="204"/>
      <c r="F1386" s="204"/>
      <c r="G1386" s="204"/>
      <c r="H1386" s="204"/>
      <c r="I1386" s="26"/>
      <c r="J1386" s="26"/>
      <c r="K1386" s="26"/>
      <c r="M1386" s="16" t="str">
        <f t="shared" si="543"/>
        <v>0000000000</v>
      </c>
      <c r="N1386" s="16" t="str">
        <f t="shared" si="544"/>
        <v>0000000000</v>
      </c>
    </row>
    <row r="1387" spans="2:14" s="16" customFormat="1">
      <c r="B1387" s="14"/>
      <c r="C1387" s="221" t="s">
        <v>1105</v>
      </c>
      <c r="D1387" s="223" t="s">
        <v>795</v>
      </c>
      <c r="E1387" s="223" t="s">
        <v>86</v>
      </c>
      <c r="F1387" s="223" t="s">
        <v>11</v>
      </c>
      <c r="G1387" s="223" t="s">
        <v>771</v>
      </c>
      <c r="H1387" s="223" t="s">
        <v>9</v>
      </c>
      <c r="I1387" s="224">
        <f>22.15</f>
        <v>22.15</v>
      </c>
      <c r="J1387" s="224">
        <v>0</v>
      </c>
      <c r="K1387" s="224">
        <v>0</v>
      </c>
      <c r="L1387" s="16">
        <v>410120190</v>
      </c>
      <c r="M1387" s="16" t="str">
        <f t="shared" si="543"/>
        <v>0410120190</v>
      </c>
      <c r="N1387" s="16" t="str">
        <f t="shared" si="544"/>
        <v>61905010410120190000</v>
      </c>
    </row>
    <row r="1388" spans="2:14" s="16" customFormat="1" ht="25.5">
      <c r="B1388" s="14"/>
      <c r="C1388" s="197" t="s">
        <v>28</v>
      </c>
      <c r="D1388" s="204" t="s">
        <v>795</v>
      </c>
      <c r="E1388" s="204" t="s">
        <v>86</v>
      </c>
      <c r="F1388" s="204" t="s">
        <v>11</v>
      </c>
      <c r="G1388" s="204" t="s">
        <v>771</v>
      </c>
      <c r="H1388" s="204" t="s">
        <v>29</v>
      </c>
      <c r="I1388" s="26">
        <f>4069.93+I1387</f>
        <v>4092.08</v>
      </c>
      <c r="J1388" s="26">
        <f>3851.93</f>
        <v>3851.93</v>
      </c>
      <c r="K1388" s="26">
        <f>3663.93</f>
        <v>3663.93</v>
      </c>
      <c r="L1388" s="16">
        <v>410120190</v>
      </c>
      <c r="M1388" s="16" t="str">
        <f t="shared" si="543"/>
        <v>0410120190</v>
      </c>
      <c r="N1388" s="16" t="str">
        <f t="shared" si="544"/>
        <v>61905010410120190240</v>
      </c>
    </row>
    <row r="1389" spans="2:14" s="16" customFormat="1" ht="25.5">
      <c r="B1389" s="14"/>
      <c r="C1389" s="197" t="s">
        <v>796</v>
      </c>
      <c r="D1389" s="199" t="s">
        <v>795</v>
      </c>
      <c r="E1389" s="204" t="s">
        <v>86</v>
      </c>
      <c r="F1389" s="204" t="s">
        <v>11</v>
      </c>
      <c r="G1389" s="199" t="s">
        <v>797</v>
      </c>
      <c r="H1389" s="199" t="s">
        <v>9</v>
      </c>
      <c r="I1389" s="20">
        <f>I1390</f>
        <v>10226.34</v>
      </c>
      <c r="J1389" s="20">
        <f t="shared" ref="J1389:K1391" si="556">J1390</f>
        <v>0</v>
      </c>
      <c r="K1389" s="20">
        <f t="shared" si="556"/>
        <v>0</v>
      </c>
      <c r="L1389" s="16">
        <v>8200000000</v>
      </c>
      <c r="M1389" s="16" t="str">
        <f t="shared" si="543"/>
        <v>8200000000</v>
      </c>
      <c r="N1389" s="16" t="str">
        <f t="shared" si="544"/>
        <v>61905018200000000000</v>
      </c>
    </row>
    <row r="1390" spans="2:14" s="16" customFormat="1">
      <c r="B1390" s="14"/>
      <c r="C1390" s="280" t="s">
        <v>52</v>
      </c>
      <c r="D1390" s="199" t="s">
        <v>795</v>
      </c>
      <c r="E1390" s="204" t="s">
        <v>86</v>
      </c>
      <c r="F1390" s="204" t="s">
        <v>11</v>
      </c>
      <c r="G1390" s="199" t="s">
        <v>1089</v>
      </c>
      <c r="H1390" s="199" t="s">
        <v>9</v>
      </c>
      <c r="I1390" s="20">
        <f>I1391</f>
        <v>10226.34</v>
      </c>
      <c r="J1390" s="20">
        <f t="shared" si="556"/>
        <v>0</v>
      </c>
      <c r="K1390" s="20">
        <f t="shared" si="556"/>
        <v>0</v>
      </c>
      <c r="L1390" s="16">
        <v>8220000000</v>
      </c>
      <c r="M1390" s="16" t="str">
        <f t="shared" si="543"/>
        <v>8220000000</v>
      </c>
      <c r="N1390" s="16" t="str">
        <f t="shared" si="544"/>
        <v>61905018220000000000</v>
      </c>
    </row>
    <row r="1391" spans="2:14" s="16" customFormat="1" ht="25.5">
      <c r="B1391" s="14"/>
      <c r="C1391" s="197" t="s">
        <v>1320</v>
      </c>
      <c r="D1391" s="199" t="s">
        <v>795</v>
      </c>
      <c r="E1391" s="204" t="s">
        <v>86</v>
      </c>
      <c r="F1391" s="204" t="s">
        <v>11</v>
      </c>
      <c r="G1391" s="204" t="s">
        <v>1321</v>
      </c>
      <c r="H1391" s="199" t="s">
        <v>9</v>
      </c>
      <c r="I1391" s="20">
        <f>I1392</f>
        <v>10226.34</v>
      </c>
      <c r="J1391" s="20">
        <f t="shared" si="556"/>
        <v>0</v>
      </c>
      <c r="K1391" s="20">
        <f t="shared" si="556"/>
        <v>0</v>
      </c>
      <c r="L1391" s="16">
        <v>8220076900</v>
      </c>
      <c r="M1391" s="16" t="str">
        <f t="shared" si="543"/>
        <v>8220076900</v>
      </c>
      <c r="N1391" s="16" t="str">
        <f t="shared" si="544"/>
        <v>61905018220076900000</v>
      </c>
    </row>
    <row r="1392" spans="2:14" s="16" customFormat="1" ht="25.5">
      <c r="B1392" s="14"/>
      <c r="C1392" s="197" t="s">
        <v>28</v>
      </c>
      <c r="D1392" s="199" t="s">
        <v>795</v>
      </c>
      <c r="E1392" s="204" t="s">
        <v>86</v>
      </c>
      <c r="F1392" s="204" t="s">
        <v>11</v>
      </c>
      <c r="G1392" s="204" t="s">
        <v>1321</v>
      </c>
      <c r="H1392" s="199" t="s">
        <v>29</v>
      </c>
      <c r="I1392" s="20">
        <v>10226.34</v>
      </c>
      <c r="J1392" s="20">
        <v>0</v>
      </c>
      <c r="K1392" s="20">
        <v>0</v>
      </c>
      <c r="L1392" s="16">
        <v>8220076900</v>
      </c>
      <c r="M1392" s="16" t="str">
        <f t="shared" si="543"/>
        <v>8220076900</v>
      </c>
      <c r="N1392" s="16" t="str">
        <f t="shared" si="544"/>
        <v>61905018220076900240</v>
      </c>
    </row>
    <row r="1393" spans="2:14" s="16" customFormat="1">
      <c r="B1393" s="14"/>
      <c r="C1393" s="261" t="s">
        <v>306</v>
      </c>
      <c r="D1393" s="195" t="s">
        <v>795</v>
      </c>
      <c r="E1393" s="196" t="s">
        <v>86</v>
      </c>
      <c r="F1393" s="196" t="s">
        <v>13</v>
      </c>
      <c r="G1393" s="196" t="s">
        <v>8</v>
      </c>
      <c r="H1393" s="196" t="s">
        <v>9</v>
      </c>
      <c r="I1393" s="19">
        <f>I1394+I1411</f>
        <v>34989.08</v>
      </c>
      <c r="J1393" s="19">
        <f>J1394+J1411</f>
        <v>21430.74</v>
      </c>
      <c r="K1393" s="19">
        <f>K1394+K1411</f>
        <v>21430.74</v>
      </c>
      <c r="L1393" s="16">
        <v>0</v>
      </c>
      <c r="M1393" s="16" t="str">
        <f t="shared" si="543"/>
        <v>0000000000</v>
      </c>
      <c r="N1393" s="16" t="str">
        <f t="shared" si="544"/>
        <v>61905030000000000000</v>
      </c>
    </row>
    <row r="1394" spans="2:14" s="16" customFormat="1" ht="38.25">
      <c r="B1394" s="14"/>
      <c r="C1394" s="200" t="s">
        <v>293</v>
      </c>
      <c r="D1394" s="204" t="s">
        <v>795</v>
      </c>
      <c r="E1394" s="204" t="s">
        <v>86</v>
      </c>
      <c r="F1394" s="204" t="s">
        <v>13</v>
      </c>
      <c r="G1394" s="204" t="s">
        <v>294</v>
      </c>
      <c r="H1394" s="204" t="s">
        <v>9</v>
      </c>
      <c r="I1394" s="26">
        <f t="shared" ref="I1394:K1395" si="557">I1395</f>
        <v>31489.079999999998</v>
      </c>
      <c r="J1394" s="26">
        <f t="shared" si="557"/>
        <v>21430.74</v>
      </c>
      <c r="K1394" s="26">
        <f t="shared" si="557"/>
        <v>21430.74</v>
      </c>
      <c r="L1394" s="16">
        <v>400000000</v>
      </c>
      <c r="M1394" s="16" t="str">
        <f t="shared" si="543"/>
        <v>0400000000</v>
      </c>
      <c r="N1394" s="16" t="str">
        <f t="shared" si="544"/>
        <v>61905030400000000000</v>
      </c>
    </row>
    <row r="1395" spans="2:14" s="16" customFormat="1">
      <c r="B1395" s="14"/>
      <c r="C1395" s="197" t="s">
        <v>2283</v>
      </c>
      <c r="D1395" s="204" t="s">
        <v>795</v>
      </c>
      <c r="E1395" s="204" t="s">
        <v>86</v>
      </c>
      <c r="F1395" s="204" t="s">
        <v>13</v>
      </c>
      <c r="G1395" s="204" t="s">
        <v>308</v>
      </c>
      <c r="H1395" s="204" t="s">
        <v>9</v>
      </c>
      <c r="I1395" s="26">
        <f t="shared" si="557"/>
        <v>31489.079999999998</v>
      </c>
      <c r="J1395" s="26">
        <f t="shared" si="557"/>
        <v>21430.74</v>
      </c>
      <c r="K1395" s="26">
        <f t="shared" si="557"/>
        <v>21430.74</v>
      </c>
      <c r="L1395" s="16">
        <v>430000000</v>
      </c>
      <c r="M1395" s="16" t="str">
        <f t="shared" si="543"/>
        <v>0430000000</v>
      </c>
      <c r="N1395" s="16" t="str">
        <f t="shared" si="544"/>
        <v>61905030430000000000</v>
      </c>
    </row>
    <row r="1396" spans="2:14" s="16" customFormat="1" ht="25.5">
      <c r="B1396" s="14"/>
      <c r="C1396" s="375" t="s">
        <v>309</v>
      </c>
      <c r="D1396" s="204" t="s">
        <v>795</v>
      </c>
      <c r="E1396" s="204" t="s">
        <v>86</v>
      </c>
      <c r="F1396" s="204" t="s">
        <v>13</v>
      </c>
      <c r="G1396" s="199" t="s">
        <v>310</v>
      </c>
      <c r="H1396" s="204" t="s">
        <v>9</v>
      </c>
      <c r="I1396" s="26">
        <f>I1397+I1399+I1401+I1406</f>
        <v>31489.079999999998</v>
      </c>
      <c r="J1396" s="26">
        <f t="shared" ref="J1396:K1396" si="558">J1397+J1399+J1401+J1406</f>
        <v>21430.74</v>
      </c>
      <c r="K1396" s="26">
        <f t="shared" si="558"/>
        <v>21430.74</v>
      </c>
      <c r="L1396" s="16">
        <v>430400000</v>
      </c>
      <c r="M1396" s="16" t="str">
        <f t="shared" si="543"/>
        <v>0430400000</v>
      </c>
      <c r="N1396" s="16" t="str">
        <f t="shared" si="544"/>
        <v>61905030430400000000</v>
      </c>
    </row>
    <row r="1397" spans="2:14" s="16" customFormat="1" ht="25.5">
      <c r="B1397" s="14"/>
      <c r="C1397" s="269" t="s">
        <v>542</v>
      </c>
      <c r="D1397" s="204" t="s">
        <v>795</v>
      </c>
      <c r="E1397" s="204" t="s">
        <v>86</v>
      </c>
      <c r="F1397" s="204" t="s">
        <v>13</v>
      </c>
      <c r="G1397" s="199" t="s">
        <v>543</v>
      </c>
      <c r="H1397" s="204" t="s">
        <v>9</v>
      </c>
      <c r="I1397" s="26">
        <f>I1398</f>
        <v>20219.079999999998</v>
      </c>
      <c r="J1397" s="26">
        <f>J1398</f>
        <v>20489.02</v>
      </c>
      <c r="K1397" s="26">
        <f>K1398</f>
        <v>20489.02</v>
      </c>
      <c r="L1397" s="16">
        <v>430420300</v>
      </c>
      <c r="M1397" s="16" t="str">
        <f t="shared" si="543"/>
        <v>0430420300</v>
      </c>
      <c r="N1397" s="16" t="str">
        <f t="shared" si="544"/>
        <v>61905030430420300000</v>
      </c>
    </row>
    <row r="1398" spans="2:14" s="16" customFormat="1" ht="25.5">
      <c r="B1398" s="14"/>
      <c r="C1398" s="197" t="s">
        <v>28</v>
      </c>
      <c r="D1398" s="204" t="s">
        <v>795</v>
      </c>
      <c r="E1398" s="204" t="s">
        <v>86</v>
      </c>
      <c r="F1398" s="204" t="s">
        <v>13</v>
      </c>
      <c r="G1398" s="199" t="s">
        <v>543</v>
      </c>
      <c r="H1398" s="204" t="s">
        <v>29</v>
      </c>
      <c r="I1398" s="20">
        <f>20489.02-20.5-189.25-40.13-20.06</f>
        <v>20219.079999999998</v>
      </c>
      <c r="J1398" s="20">
        <f t="shared" ref="J1398:K1398" si="559">20489.02</f>
        <v>20489.02</v>
      </c>
      <c r="K1398" s="20">
        <f t="shared" si="559"/>
        <v>20489.02</v>
      </c>
      <c r="L1398" s="16">
        <v>430420300</v>
      </c>
      <c r="M1398" s="16" t="str">
        <f t="shared" si="543"/>
        <v>0430420300</v>
      </c>
      <c r="N1398" s="16" t="str">
        <f t="shared" si="544"/>
        <v>61905030430420300240</v>
      </c>
    </row>
    <row r="1399" spans="2:14" s="16" customFormat="1">
      <c r="B1399" s="14"/>
      <c r="C1399" s="200" t="s">
        <v>774</v>
      </c>
      <c r="D1399" s="204" t="s">
        <v>795</v>
      </c>
      <c r="E1399" s="204" t="s">
        <v>86</v>
      </c>
      <c r="F1399" s="204" t="s">
        <v>13</v>
      </c>
      <c r="G1399" s="204" t="s">
        <v>775</v>
      </c>
      <c r="H1399" s="204" t="s">
        <v>9</v>
      </c>
      <c r="I1399" s="26">
        <f>I1400</f>
        <v>1170</v>
      </c>
      <c r="J1399" s="26">
        <f>J1400</f>
        <v>941.72</v>
      </c>
      <c r="K1399" s="26">
        <f>K1400</f>
        <v>941.72</v>
      </c>
      <c r="L1399" s="16">
        <v>430421070</v>
      </c>
      <c r="M1399" s="16" t="str">
        <f t="shared" si="543"/>
        <v>0430421070</v>
      </c>
      <c r="N1399" s="16" t="str">
        <f t="shared" si="544"/>
        <v>61905030430421070000</v>
      </c>
    </row>
    <row r="1400" spans="2:14" s="16" customFormat="1" ht="25.5">
      <c r="B1400" s="14"/>
      <c r="C1400" s="197" t="s">
        <v>28</v>
      </c>
      <c r="D1400" s="204" t="s">
        <v>795</v>
      </c>
      <c r="E1400" s="204" t="s">
        <v>86</v>
      </c>
      <c r="F1400" s="204" t="s">
        <v>13</v>
      </c>
      <c r="G1400" s="204" t="s">
        <v>775</v>
      </c>
      <c r="H1400" s="204" t="s">
        <v>29</v>
      </c>
      <c r="I1400" s="20">
        <f>941.72-271.72+500</f>
        <v>1170</v>
      </c>
      <c r="J1400" s="20">
        <f t="shared" ref="J1400:K1400" si="560">941.72</f>
        <v>941.72</v>
      </c>
      <c r="K1400" s="20">
        <f t="shared" si="560"/>
        <v>941.72</v>
      </c>
      <c r="L1400" s="16">
        <v>430421070</v>
      </c>
      <c r="M1400" s="16" t="str">
        <f t="shared" si="543"/>
        <v>0430421070</v>
      </c>
      <c r="N1400" s="16" t="str">
        <f t="shared" si="544"/>
        <v>61905030430421070240</v>
      </c>
    </row>
    <row r="1401" spans="2:14" s="16" customFormat="1" ht="38.25">
      <c r="B1401" s="14"/>
      <c r="C1401" s="197" t="s">
        <v>1043</v>
      </c>
      <c r="D1401" s="204" t="s">
        <v>795</v>
      </c>
      <c r="E1401" s="204" t="s">
        <v>86</v>
      </c>
      <c r="F1401" s="204" t="s">
        <v>13</v>
      </c>
      <c r="G1401" s="204" t="s">
        <v>1056</v>
      </c>
      <c r="H1401" s="204" t="s">
        <v>9</v>
      </c>
      <c r="I1401" s="26">
        <f>I1405</f>
        <v>1505.5</v>
      </c>
      <c r="J1401" s="26">
        <f t="shared" ref="J1401:K1401" si="561">J1405</f>
        <v>0</v>
      </c>
      <c r="K1401" s="26">
        <f t="shared" si="561"/>
        <v>0</v>
      </c>
      <c r="L1401" s="16" t="s">
        <v>1231</v>
      </c>
      <c r="M1401" s="16" t="str">
        <f t="shared" si="543"/>
        <v>04304G6420</v>
      </c>
      <c r="N1401" s="16" t="str">
        <f t="shared" si="544"/>
        <v>619050304304G6420000</v>
      </c>
    </row>
    <row r="1402" spans="2:14" s="16" customFormat="1">
      <c r="B1402" s="14"/>
      <c r="C1402" s="205" t="s">
        <v>1045</v>
      </c>
      <c r="D1402" s="204"/>
      <c r="E1402" s="204"/>
      <c r="F1402" s="204"/>
      <c r="G1402" s="204"/>
      <c r="H1402" s="204"/>
      <c r="I1402" s="26"/>
      <c r="J1402" s="26"/>
      <c r="K1402" s="26"/>
      <c r="M1402" s="16" t="str">
        <f t="shared" si="543"/>
        <v>0000000000</v>
      </c>
      <c r="N1402" s="16" t="str">
        <f t="shared" si="544"/>
        <v>0000000000</v>
      </c>
    </row>
    <row r="1403" spans="2:14" s="16" customFormat="1">
      <c r="B1403" s="14"/>
      <c r="C1403" s="197" t="s">
        <v>1046</v>
      </c>
      <c r="D1403" s="204" t="s">
        <v>795</v>
      </c>
      <c r="E1403" s="204" t="s">
        <v>86</v>
      </c>
      <c r="F1403" s="204" t="s">
        <v>13</v>
      </c>
      <c r="G1403" s="204" t="s">
        <v>1056</v>
      </c>
      <c r="H1403" s="204" t="s">
        <v>9</v>
      </c>
      <c r="I1403" s="26">
        <f>305.5</f>
        <v>305.5</v>
      </c>
      <c r="J1403" s="26">
        <v>0</v>
      </c>
      <c r="K1403" s="26">
        <v>0</v>
      </c>
      <c r="L1403" s="16" t="s">
        <v>1231</v>
      </c>
      <c r="M1403" s="16" t="str">
        <f t="shared" si="543"/>
        <v>04304G6420</v>
      </c>
      <c r="N1403" s="16" t="str">
        <f t="shared" si="544"/>
        <v>619050304304G6420000</v>
      </c>
    </row>
    <row r="1404" spans="2:14" s="16" customFormat="1">
      <c r="B1404" s="14"/>
      <c r="C1404" s="197" t="s">
        <v>1047</v>
      </c>
      <c r="D1404" s="204" t="s">
        <v>795</v>
      </c>
      <c r="E1404" s="204" t="s">
        <v>86</v>
      </c>
      <c r="F1404" s="204" t="s">
        <v>13</v>
      </c>
      <c r="G1404" s="204" t="s">
        <v>1056</v>
      </c>
      <c r="H1404" s="204" t="s">
        <v>9</v>
      </c>
      <c r="I1404" s="26">
        <f>1200</f>
        <v>1200</v>
      </c>
      <c r="J1404" s="26">
        <v>0</v>
      </c>
      <c r="K1404" s="26">
        <v>0</v>
      </c>
      <c r="L1404" s="16" t="s">
        <v>1231</v>
      </c>
      <c r="M1404" s="16" t="str">
        <f t="shared" si="543"/>
        <v>04304G6420</v>
      </c>
      <c r="N1404" s="16" t="str">
        <f t="shared" si="544"/>
        <v>619050304304G6420000</v>
      </c>
    </row>
    <row r="1405" spans="2:14" s="16" customFormat="1" ht="25.5">
      <c r="B1405" s="14"/>
      <c r="C1405" s="197" t="s">
        <v>28</v>
      </c>
      <c r="D1405" s="204" t="s">
        <v>795</v>
      </c>
      <c r="E1405" s="204" t="s">
        <v>86</v>
      </c>
      <c r="F1405" s="204" t="s">
        <v>13</v>
      </c>
      <c r="G1405" s="204" t="s">
        <v>1056</v>
      </c>
      <c r="H1405" s="204" t="s">
        <v>29</v>
      </c>
      <c r="I1405" s="26">
        <f>SUM(I1403:I1404)</f>
        <v>1505.5</v>
      </c>
      <c r="J1405" s="26">
        <f t="shared" ref="J1405:K1405" si="562">SUM(J1403:J1404)</f>
        <v>0</v>
      </c>
      <c r="K1405" s="26">
        <f t="shared" si="562"/>
        <v>0</v>
      </c>
      <c r="L1405" s="16" t="s">
        <v>1231</v>
      </c>
      <c r="M1405" s="16" t="str">
        <f t="shared" si="543"/>
        <v>04304G6420</v>
      </c>
      <c r="N1405" s="16" t="str">
        <f t="shared" si="544"/>
        <v>619050304304G6420240</v>
      </c>
    </row>
    <row r="1406" spans="2:14" s="16" customFormat="1" ht="25.5">
      <c r="B1406" s="14"/>
      <c r="C1406" s="200" t="s">
        <v>1048</v>
      </c>
      <c r="D1406" s="204" t="s">
        <v>795</v>
      </c>
      <c r="E1406" s="204" t="s">
        <v>86</v>
      </c>
      <c r="F1406" s="204" t="s">
        <v>13</v>
      </c>
      <c r="G1406" s="204" t="s">
        <v>1057</v>
      </c>
      <c r="H1406" s="204" t="s">
        <v>9</v>
      </c>
      <c r="I1406" s="26">
        <f>I1410</f>
        <v>8594.5</v>
      </c>
      <c r="J1406" s="26">
        <f t="shared" ref="J1406:K1406" si="563">J1410</f>
        <v>0</v>
      </c>
      <c r="K1406" s="26">
        <f t="shared" si="563"/>
        <v>0</v>
      </c>
      <c r="L1406" s="16" t="s">
        <v>1232</v>
      </c>
      <c r="M1406" s="16" t="str">
        <f t="shared" si="543"/>
        <v>04304S6420</v>
      </c>
      <c r="N1406" s="16" t="str">
        <f t="shared" si="544"/>
        <v>619050304304S6420000</v>
      </c>
    </row>
    <row r="1407" spans="2:14" s="16" customFormat="1">
      <c r="B1407" s="14"/>
      <c r="C1407" s="205" t="s">
        <v>1045</v>
      </c>
      <c r="D1407" s="204"/>
      <c r="E1407" s="204"/>
      <c r="F1407" s="204"/>
      <c r="G1407" s="204"/>
      <c r="H1407" s="204"/>
      <c r="I1407" s="26"/>
      <c r="J1407" s="26"/>
      <c r="K1407" s="26"/>
      <c r="M1407" s="16" t="str">
        <f t="shared" si="543"/>
        <v>0000000000</v>
      </c>
      <c r="N1407" s="16" t="str">
        <f t="shared" si="544"/>
        <v>0000000000</v>
      </c>
    </row>
    <row r="1408" spans="2:14" s="16" customFormat="1">
      <c r="B1408" s="14"/>
      <c r="C1408" s="197" t="s">
        <v>1050</v>
      </c>
      <c r="D1408" s="204" t="s">
        <v>795</v>
      </c>
      <c r="E1408" s="204" t="s">
        <v>86</v>
      </c>
      <c r="F1408" s="204" t="s">
        <v>13</v>
      </c>
      <c r="G1408" s="204" t="s">
        <v>1057</v>
      </c>
      <c r="H1408" s="204" t="s">
        <v>9</v>
      </c>
      <c r="I1408" s="26">
        <f>2674.5</f>
        <v>2674.5</v>
      </c>
      <c r="J1408" s="26">
        <v>0</v>
      </c>
      <c r="K1408" s="26">
        <v>0</v>
      </c>
      <c r="L1408" s="16" t="s">
        <v>1232</v>
      </c>
      <c r="M1408" s="16" t="str">
        <f t="shared" si="543"/>
        <v>04304S6420</v>
      </c>
      <c r="N1408" s="16" t="str">
        <f t="shared" si="544"/>
        <v>619050304304S6420000</v>
      </c>
    </row>
    <row r="1409" spans="2:14" s="16" customFormat="1">
      <c r="B1409" s="14" t="s">
        <v>80</v>
      </c>
      <c r="C1409" s="197" t="s">
        <v>1051</v>
      </c>
      <c r="D1409" s="204" t="s">
        <v>795</v>
      </c>
      <c r="E1409" s="204" t="s">
        <v>86</v>
      </c>
      <c r="F1409" s="204" t="s">
        <v>13</v>
      </c>
      <c r="G1409" s="204" t="s">
        <v>1057</v>
      </c>
      <c r="H1409" s="204" t="s">
        <v>9</v>
      </c>
      <c r="I1409" s="26">
        <f>5920</f>
        <v>5920</v>
      </c>
      <c r="J1409" s="26">
        <v>0</v>
      </c>
      <c r="K1409" s="26">
        <v>0</v>
      </c>
      <c r="L1409" s="16" t="s">
        <v>1232</v>
      </c>
      <c r="M1409" s="16" t="str">
        <f t="shared" si="543"/>
        <v>04304S6420</v>
      </c>
      <c r="N1409" s="16" t="str">
        <f t="shared" si="544"/>
        <v>619050304304S6420000</v>
      </c>
    </row>
    <row r="1410" spans="2:14" s="16" customFormat="1" ht="25.5">
      <c r="B1410" s="14"/>
      <c r="C1410" s="197" t="s">
        <v>28</v>
      </c>
      <c r="D1410" s="204" t="s">
        <v>795</v>
      </c>
      <c r="E1410" s="204" t="s">
        <v>86</v>
      </c>
      <c r="F1410" s="204" t="s">
        <v>13</v>
      </c>
      <c r="G1410" s="204" t="s">
        <v>1057</v>
      </c>
      <c r="H1410" s="204" t="s">
        <v>29</v>
      </c>
      <c r="I1410" s="26">
        <f>SUM(I1408:I1409)</f>
        <v>8594.5</v>
      </c>
      <c r="J1410" s="26">
        <f t="shared" ref="J1410:K1410" si="564">SUM(J1408:J1409)</f>
        <v>0</v>
      </c>
      <c r="K1410" s="26">
        <f t="shared" si="564"/>
        <v>0</v>
      </c>
      <c r="L1410" s="16" t="s">
        <v>1232</v>
      </c>
      <c r="M1410" s="16" t="str">
        <f t="shared" si="543"/>
        <v>04304S6420</v>
      </c>
      <c r="N1410" s="16" t="str">
        <f t="shared" si="544"/>
        <v>619050304304S6420240</v>
      </c>
    </row>
    <row r="1411" spans="2:14" s="16" customFormat="1" ht="38.25">
      <c r="B1411" s="14"/>
      <c r="C1411" s="226" t="s">
        <v>87</v>
      </c>
      <c r="D1411" s="204" t="s">
        <v>795</v>
      </c>
      <c r="E1411" s="204" t="s">
        <v>86</v>
      </c>
      <c r="F1411" s="204" t="s">
        <v>13</v>
      </c>
      <c r="G1411" s="204" t="s">
        <v>88</v>
      </c>
      <c r="H1411" s="204" t="s">
        <v>9</v>
      </c>
      <c r="I1411" s="26">
        <f>I1412</f>
        <v>3500</v>
      </c>
      <c r="J1411" s="26">
        <f t="shared" ref="J1411:K1413" si="565">J1412</f>
        <v>0</v>
      </c>
      <c r="K1411" s="26">
        <f t="shared" si="565"/>
        <v>0</v>
      </c>
      <c r="L1411" s="16">
        <v>9800000000</v>
      </c>
      <c r="M1411" s="16" t="str">
        <f t="shared" si="543"/>
        <v>9800000000</v>
      </c>
      <c r="N1411" s="16" t="str">
        <f t="shared" si="544"/>
        <v>61905039800000000000</v>
      </c>
    </row>
    <row r="1412" spans="2:14" s="16" customFormat="1">
      <c r="B1412" s="14"/>
      <c r="C1412" s="226" t="s">
        <v>89</v>
      </c>
      <c r="D1412" s="204" t="s">
        <v>795</v>
      </c>
      <c r="E1412" s="204" t="s">
        <v>86</v>
      </c>
      <c r="F1412" s="204" t="s">
        <v>13</v>
      </c>
      <c r="G1412" s="204" t="s">
        <v>90</v>
      </c>
      <c r="H1412" s="204" t="s">
        <v>9</v>
      </c>
      <c r="I1412" s="26">
        <f>I1413</f>
        <v>3500</v>
      </c>
      <c r="J1412" s="26">
        <f t="shared" si="565"/>
        <v>0</v>
      </c>
      <c r="K1412" s="26">
        <f t="shared" si="565"/>
        <v>0</v>
      </c>
      <c r="L1412" s="16">
        <v>9810000000</v>
      </c>
      <c r="M1412" s="16" t="str">
        <f t="shared" si="543"/>
        <v>9810000000</v>
      </c>
      <c r="N1412" s="16" t="str">
        <f t="shared" si="544"/>
        <v>61905039810000000000</v>
      </c>
    </row>
    <row r="1413" spans="2:14" s="16" customFormat="1">
      <c r="B1413" s="14"/>
      <c r="C1413" s="197" t="s">
        <v>778</v>
      </c>
      <c r="D1413" s="204" t="s">
        <v>795</v>
      </c>
      <c r="E1413" s="204" t="s">
        <v>86</v>
      </c>
      <c r="F1413" s="204" t="s">
        <v>13</v>
      </c>
      <c r="G1413" s="204" t="s">
        <v>779</v>
      </c>
      <c r="H1413" s="204" t="s">
        <v>9</v>
      </c>
      <c r="I1413" s="26">
        <f>I1414</f>
        <v>3500</v>
      </c>
      <c r="J1413" s="26">
        <f t="shared" si="565"/>
        <v>0</v>
      </c>
      <c r="K1413" s="26">
        <f t="shared" si="565"/>
        <v>0</v>
      </c>
      <c r="L1413" s="16">
        <v>9810021450</v>
      </c>
      <c r="M1413" s="16" t="str">
        <f t="shared" si="543"/>
        <v>9810021450</v>
      </c>
      <c r="N1413" s="16" t="str">
        <f t="shared" si="544"/>
        <v>61905039810021450000</v>
      </c>
    </row>
    <row r="1414" spans="2:14" s="16" customFormat="1" ht="25.5">
      <c r="B1414" s="14"/>
      <c r="C1414" s="197" t="s">
        <v>28</v>
      </c>
      <c r="D1414" s="204" t="s">
        <v>795</v>
      </c>
      <c r="E1414" s="204" t="s">
        <v>86</v>
      </c>
      <c r="F1414" s="204" t="s">
        <v>13</v>
      </c>
      <c r="G1414" s="204" t="s">
        <v>779</v>
      </c>
      <c r="H1414" s="204" t="s">
        <v>29</v>
      </c>
      <c r="I1414" s="26">
        <f>5500-2000</f>
        <v>3500</v>
      </c>
      <c r="J1414" s="26">
        <v>0</v>
      </c>
      <c r="K1414" s="26">
        <v>0</v>
      </c>
      <c r="L1414" s="16">
        <v>9810021450</v>
      </c>
      <c r="M1414" s="16" t="str">
        <f t="shared" ref="M1414:M1477" si="566">TEXT(L1414,"0000000000")</f>
        <v>9810021450</v>
      </c>
      <c r="N1414" s="16" t="str">
        <f t="shared" ref="N1414:N1477" si="567">D1414&amp;E1414&amp;F1414&amp;M1414&amp;H1414</f>
        <v>61905039810021450240</v>
      </c>
    </row>
    <row r="1415" spans="2:14" s="16" customFormat="1">
      <c r="B1415" s="14"/>
      <c r="C1415" s="191" t="s">
        <v>569</v>
      </c>
      <c r="D1415" s="192" t="s">
        <v>795</v>
      </c>
      <c r="E1415" s="193" t="s">
        <v>238</v>
      </c>
      <c r="F1415" s="193" t="s">
        <v>7</v>
      </c>
      <c r="G1415" s="193" t="s">
        <v>8</v>
      </c>
      <c r="H1415" s="193" t="s">
        <v>9</v>
      </c>
      <c r="I1415" s="18">
        <f t="shared" ref="I1415:K1418" si="568">I1416</f>
        <v>1549</v>
      </c>
      <c r="J1415" s="18">
        <f t="shared" si="568"/>
        <v>1549</v>
      </c>
      <c r="K1415" s="18">
        <f t="shared" si="568"/>
        <v>1549</v>
      </c>
      <c r="L1415" s="16">
        <v>0</v>
      </c>
      <c r="M1415" s="16" t="str">
        <f t="shared" si="566"/>
        <v>0000000000</v>
      </c>
      <c r="N1415" s="16" t="str">
        <f t="shared" si="567"/>
        <v>61908000000000000000</v>
      </c>
    </row>
    <row r="1416" spans="2:14" s="16" customFormat="1">
      <c r="B1416" s="14"/>
      <c r="C1416" s="261" t="s">
        <v>239</v>
      </c>
      <c r="D1416" s="195" t="s">
        <v>795</v>
      </c>
      <c r="E1416" s="196" t="s">
        <v>238</v>
      </c>
      <c r="F1416" s="196" t="s">
        <v>11</v>
      </c>
      <c r="G1416" s="196" t="s">
        <v>8</v>
      </c>
      <c r="H1416" s="196" t="s">
        <v>9</v>
      </c>
      <c r="I1416" s="19">
        <f t="shared" si="568"/>
        <v>1549</v>
      </c>
      <c r="J1416" s="19">
        <f t="shared" si="568"/>
        <v>1549</v>
      </c>
      <c r="K1416" s="19">
        <f t="shared" si="568"/>
        <v>1549</v>
      </c>
      <c r="L1416" s="16">
        <v>0</v>
      </c>
      <c r="M1416" s="16" t="str">
        <f t="shared" si="566"/>
        <v>0000000000</v>
      </c>
      <c r="N1416" s="16" t="str">
        <f t="shared" si="567"/>
        <v>61908010000000000000</v>
      </c>
    </row>
    <row r="1417" spans="2:14" s="16" customFormat="1">
      <c r="B1417" s="14"/>
      <c r="C1417" s="197" t="s">
        <v>240</v>
      </c>
      <c r="D1417" s="199" t="s">
        <v>795</v>
      </c>
      <c r="E1417" s="199" t="s">
        <v>238</v>
      </c>
      <c r="F1417" s="199" t="s">
        <v>11</v>
      </c>
      <c r="G1417" s="199" t="s">
        <v>241</v>
      </c>
      <c r="H1417" s="199" t="s">
        <v>9</v>
      </c>
      <c r="I1417" s="20">
        <f t="shared" si="568"/>
        <v>1549</v>
      </c>
      <c r="J1417" s="20">
        <f t="shared" si="568"/>
        <v>1549</v>
      </c>
      <c r="K1417" s="20">
        <f t="shared" si="568"/>
        <v>1549</v>
      </c>
      <c r="L1417" s="16">
        <v>700000000</v>
      </c>
      <c r="M1417" s="16" t="str">
        <f t="shared" si="566"/>
        <v>0700000000</v>
      </c>
      <c r="N1417" s="16" t="str">
        <f t="shared" si="567"/>
        <v>61908010700000000000</v>
      </c>
    </row>
    <row r="1418" spans="2:14" s="16" customFormat="1" ht="51">
      <c r="B1418" s="14"/>
      <c r="C1418" s="201" t="s">
        <v>804</v>
      </c>
      <c r="D1418" s="204" t="s">
        <v>795</v>
      </c>
      <c r="E1418" s="204" t="s">
        <v>238</v>
      </c>
      <c r="F1418" s="204" t="s">
        <v>11</v>
      </c>
      <c r="G1418" s="204" t="s">
        <v>243</v>
      </c>
      <c r="H1418" s="204" t="s">
        <v>9</v>
      </c>
      <c r="I1418" s="26">
        <f t="shared" si="568"/>
        <v>1549</v>
      </c>
      <c r="J1418" s="26">
        <f t="shared" si="568"/>
        <v>1549</v>
      </c>
      <c r="K1418" s="26">
        <f t="shared" si="568"/>
        <v>1549</v>
      </c>
      <c r="L1418" s="16">
        <v>710000000</v>
      </c>
      <c r="M1418" s="16" t="str">
        <f t="shared" si="566"/>
        <v>0710000000</v>
      </c>
      <c r="N1418" s="16" t="str">
        <f t="shared" si="567"/>
        <v>61908010710000000000</v>
      </c>
    </row>
    <row r="1419" spans="2:14" s="16" customFormat="1" ht="63.75">
      <c r="B1419" s="14"/>
      <c r="C1419" s="266" t="s">
        <v>244</v>
      </c>
      <c r="D1419" s="204" t="s">
        <v>795</v>
      </c>
      <c r="E1419" s="204" t="s">
        <v>238</v>
      </c>
      <c r="F1419" s="204" t="s">
        <v>11</v>
      </c>
      <c r="G1419" s="204" t="s">
        <v>245</v>
      </c>
      <c r="H1419" s="204" t="s">
        <v>9</v>
      </c>
      <c r="I1419" s="26">
        <f>I1420+I1422</f>
        <v>1549</v>
      </c>
      <c r="J1419" s="26">
        <f>J1420+J1422</f>
        <v>1549</v>
      </c>
      <c r="K1419" s="26">
        <f>K1420+K1422</f>
        <v>1549</v>
      </c>
      <c r="L1419" s="16">
        <v>710100000</v>
      </c>
      <c r="M1419" s="16" t="str">
        <f t="shared" si="566"/>
        <v>0710100000</v>
      </c>
      <c r="N1419" s="16" t="str">
        <f t="shared" si="567"/>
        <v>61908010710100000000</v>
      </c>
    </row>
    <row r="1420" spans="2:14" s="16" customFormat="1" ht="25.5">
      <c r="B1420" s="14"/>
      <c r="C1420" s="201" t="s">
        <v>246</v>
      </c>
      <c r="D1420" s="204" t="s">
        <v>795</v>
      </c>
      <c r="E1420" s="204" t="s">
        <v>238</v>
      </c>
      <c r="F1420" s="204" t="s">
        <v>11</v>
      </c>
      <c r="G1420" s="204" t="s">
        <v>247</v>
      </c>
      <c r="H1420" s="204" t="s">
        <v>9</v>
      </c>
      <c r="I1420" s="26">
        <f>I1421</f>
        <v>911.5</v>
      </c>
      <c r="J1420" s="26">
        <f>J1421</f>
        <v>911.5</v>
      </c>
      <c r="K1420" s="26">
        <f>K1421</f>
        <v>911.5</v>
      </c>
      <c r="L1420" s="16">
        <v>710120060</v>
      </c>
      <c r="M1420" s="16" t="str">
        <f t="shared" si="566"/>
        <v>0710120060</v>
      </c>
      <c r="N1420" s="16" t="str">
        <f t="shared" si="567"/>
        <v>61908010710120060000</v>
      </c>
    </row>
    <row r="1421" spans="2:14" s="16" customFormat="1" ht="25.5">
      <c r="B1421" s="14"/>
      <c r="C1421" s="197" t="s">
        <v>28</v>
      </c>
      <c r="D1421" s="204" t="s">
        <v>795</v>
      </c>
      <c r="E1421" s="204" t="s">
        <v>238</v>
      </c>
      <c r="F1421" s="204" t="s">
        <v>11</v>
      </c>
      <c r="G1421" s="204" t="s">
        <v>247</v>
      </c>
      <c r="H1421" s="204" t="s">
        <v>29</v>
      </c>
      <c r="I1421" s="20">
        <f>911.5</f>
        <v>911.5</v>
      </c>
      <c r="J1421" s="20">
        <f t="shared" ref="J1421:K1421" si="569">911.5</f>
        <v>911.5</v>
      </c>
      <c r="K1421" s="20">
        <f t="shared" si="569"/>
        <v>911.5</v>
      </c>
      <c r="L1421" s="16">
        <v>710120060</v>
      </c>
      <c r="M1421" s="16" t="str">
        <f t="shared" si="566"/>
        <v>0710120060</v>
      </c>
      <c r="N1421" s="16" t="str">
        <f t="shared" si="567"/>
        <v>61908010710120060240</v>
      </c>
    </row>
    <row r="1422" spans="2:14" s="16" customFormat="1" ht="25.5">
      <c r="B1422" s="14"/>
      <c r="C1422" s="200" t="s">
        <v>780</v>
      </c>
      <c r="D1422" s="204" t="s">
        <v>795</v>
      </c>
      <c r="E1422" s="204" t="s">
        <v>238</v>
      </c>
      <c r="F1422" s="204" t="s">
        <v>11</v>
      </c>
      <c r="G1422" s="204" t="s">
        <v>781</v>
      </c>
      <c r="H1422" s="204" t="s">
        <v>9</v>
      </c>
      <c r="I1422" s="55">
        <f>I1423</f>
        <v>637.5</v>
      </c>
      <c r="J1422" s="55">
        <f>J1423</f>
        <v>637.5</v>
      </c>
      <c r="K1422" s="55">
        <f>K1423</f>
        <v>637.5</v>
      </c>
      <c r="L1422" s="16">
        <v>710121130</v>
      </c>
      <c r="M1422" s="16" t="str">
        <f t="shared" si="566"/>
        <v>0710121130</v>
      </c>
      <c r="N1422" s="16" t="str">
        <f t="shared" si="567"/>
        <v>61908010710121130000</v>
      </c>
    </row>
    <row r="1423" spans="2:14" s="16" customFormat="1" ht="25.5">
      <c r="B1423" s="14"/>
      <c r="C1423" s="197" t="s">
        <v>28</v>
      </c>
      <c r="D1423" s="204" t="s">
        <v>795</v>
      </c>
      <c r="E1423" s="204" t="s">
        <v>238</v>
      </c>
      <c r="F1423" s="204" t="s">
        <v>11</v>
      </c>
      <c r="G1423" s="204" t="s">
        <v>781</v>
      </c>
      <c r="H1423" s="204" t="s">
        <v>29</v>
      </c>
      <c r="I1423" s="20">
        <f>637.5</f>
        <v>637.5</v>
      </c>
      <c r="J1423" s="20">
        <f t="shared" ref="J1423:K1423" si="570">637.5</f>
        <v>637.5</v>
      </c>
      <c r="K1423" s="20">
        <f t="shared" si="570"/>
        <v>637.5</v>
      </c>
      <c r="L1423" s="16">
        <v>710121130</v>
      </c>
      <c r="M1423" s="16" t="str">
        <f t="shared" si="566"/>
        <v>0710121130</v>
      </c>
      <c r="N1423" s="16" t="str">
        <f t="shared" si="567"/>
        <v>61908010710121130240</v>
      </c>
    </row>
    <row r="1424" spans="2:14" s="16" customFormat="1">
      <c r="B1424" s="14"/>
      <c r="C1424" s="191" t="s">
        <v>316</v>
      </c>
      <c r="D1424" s="192" t="s">
        <v>795</v>
      </c>
      <c r="E1424" s="193" t="s">
        <v>317</v>
      </c>
      <c r="F1424" s="193" t="s">
        <v>7</v>
      </c>
      <c r="G1424" s="193" t="s">
        <v>8</v>
      </c>
      <c r="H1424" s="193" t="s">
        <v>9</v>
      </c>
      <c r="I1424" s="18">
        <f>I1425</f>
        <v>36212.36</v>
      </c>
      <c r="J1424" s="18">
        <f t="shared" ref="J1424:K1433" si="571">J1425</f>
        <v>0</v>
      </c>
      <c r="K1424" s="18">
        <f t="shared" si="571"/>
        <v>0</v>
      </c>
      <c r="L1424" s="16">
        <v>0</v>
      </c>
      <c r="M1424" s="16" t="str">
        <f t="shared" si="566"/>
        <v>0000000000</v>
      </c>
      <c r="N1424" s="16" t="str">
        <f t="shared" si="567"/>
        <v>61910000000000000000</v>
      </c>
    </row>
    <row r="1425" spans="2:14" s="16" customFormat="1">
      <c r="B1425" s="14"/>
      <c r="C1425" s="194" t="s">
        <v>318</v>
      </c>
      <c r="D1425" s="195" t="s">
        <v>795</v>
      </c>
      <c r="E1425" s="196" t="s">
        <v>317</v>
      </c>
      <c r="F1425" s="196" t="s">
        <v>13</v>
      </c>
      <c r="G1425" s="196" t="s">
        <v>8</v>
      </c>
      <c r="H1425" s="196" t="s">
        <v>9</v>
      </c>
      <c r="I1425" s="19">
        <f>I1431+I1426</f>
        <v>36212.36</v>
      </c>
      <c r="J1425" s="19">
        <f>J1431+J1426</f>
        <v>0</v>
      </c>
      <c r="K1425" s="19">
        <f>K1431+K1426</f>
        <v>0</v>
      </c>
      <c r="L1425" s="16">
        <v>0</v>
      </c>
      <c r="M1425" s="16" t="str">
        <f t="shared" si="566"/>
        <v>0000000000</v>
      </c>
      <c r="N1425" s="16" t="str">
        <f t="shared" si="567"/>
        <v>61910030000000000000</v>
      </c>
    </row>
    <row r="1426" spans="2:14" s="16" customFormat="1" ht="25.5">
      <c r="B1426" s="14"/>
      <c r="C1426" s="197" t="s">
        <v>385</v>
      </c>
      <c r="D1426" s="199" t="s">
        <v>795</v>
      </c>
      <c r="E1426" s="199" t="s">
        <v>317</v>
      </c>
      <c r="F1426" s="199" t="s">
        <v>13</v>
      </c>
      <c r="G1426" s="199" t="s">
        <v>386</v>
      </c>
      <c r="H1426" s="199" t="s">
        <v>9</v>
      </c>
      <c r="I1426" s="20">
        <f>I1427</f>
        <v>36192.86</v>
      </c>
      <c r="J1426" s="20">
        <f t="shared" ref="J1426:K1429" si="572">J1427</f>
        <v>0</v>
      </c>
      <c r="K1426" s="20">
        <f t="shared" si="572"/>
        <v>0</v>
      </c>
      <c r="L1426" s="16">
        <v>300000000</v>
      </c>
      <c r="M1426" s="16" t="str">
        <f t="shared" si="566"/>
        <v>0300000000</v>
      </c>
      <c r="N1426" s="16" t="str">
        <f t="shared" si="567"/>
        <v>61910030300000000000</v>
      </c>
    </row>
    <row r="1427" spans="2:14" s="16" customFormat="1" ht="38.25">
      <c r="B1427" s="14"/>
      <c r="C1427" s="197" t="s">
        <v>387</v>
      </c>
      <c r="D1427" s="198" t="s">
        <v>795</v>
      </c>
      <c r="E1427" s="199" t="s">
        <v>317</v>
      </c>
      <c r="F1427" s="199" t="s">
        <v>13</v>
      </c>
      <c r="G1427" s="199" t="s">
        <v>388</v>
      </c>
      <c r="H1427" s="199" t="s">
        <v>9</v>
      </c>
      <c r="I1427" s="20">
        <f>I1428</f>
        <v>36192.86</v>
      </c>
      <c r="J1427" s="20">
        <f t="shared" si="572"/>
        <v>0</v>
      </c>
      <c r="K1427" s="20">
        <f t="shared" si="572"/>
        <v>0</v>
      </c>
      <c r="L1427" s="16">
        <v>320000000</v>
      </c>
      <c r="M1427" s="16" t="str">
        <f t="shared" si="566"/>
        <v>0320000000</v>
      </c>
      <c r="N1427" s="16" t="str">
        <f t="shared" si="567"/>
        <v>61910030320000000000</v>
      </c>
    </row>
    <row r="1428" spans="2:14" s="16" customFormat="1" ht="25.5">
      <c r="B1428" s="14"/>
      <c r="C1428" s="374" t="s">
        <v>633</v>
      </c>
      <c r="D1428" s="198" t="s">
        <v>795</v>
      </c>
      <c r="E1428" s="199" t="s">
        <v>317</v>
      </c>
      <c r="F1428" s="199" t="s">
        <v>13</v>
      </c>
      <c r="G1428" s="199" t="s">
        <v>634</v>
      </c>
      <c r="H1428" s="199" t="s">
        <v>9</v>
      </c>
      <c r="I1428" s="20">
        <f>I1429</f>
        <v>36192.86</v>
      </c>
      <c r="J1428" s="20">
        <f t="shared" si="572"/>
        <v>0</v>
      </c>
      <c r="K1428" s="20">
        <f t="shared" si="572"/>
        <v>0</v>
      </c>
      <c r="L1428" s="16">
        <v>320100000</v>
      </c>
      <c r="M1428" s="16" t="str">
        <f t="shared" si="566"/>
        <v>0320100000</v>
      </c>
      <c r="N1428" s="16" t="str">
        <f t="shared" si="567"/>
        <v>61910030320100000000</v>
      </c>
    </row>
    <row r="1429" spans="2:14" s="16" customFormat="1" ht="51">
      <c r="B1429" s="14"/>
      <c r="C1429" s="197" t="s">
        <v>1322</v>
      </c>
      <c r="D1429" s="199" t="s">
        <v>795</v>
      </c>
      <c r="E1429" s="199" t="s">
        <v>317</v>
      </c>
      <c r="F1429" s="199" t="s">
        <v>13</v>
      </c>
      <c r="G1429" s="199" t="s">
        <v>1323</v>
      </c>
      <c r="H1429" s="199" t="s">
        <v>9</v>
      </c>
      <c r="I1429" s="20">
        <f>I1430</f>
        <v>36192.86</v>
      </c>
      <c r="J1429" s="20">
        <f t="shared" si="572"/>
        <v>0</v>
      </c>
      <c r="K1429" s="20">
        <f t="shared" si="572"/>
        <v>0</v>
      </c>
      <c r="L1429" s="16">
        <v>320180270</v>
      </c>
      <c r="M1429" s="16" t="str">
        <f t="shared" si="566"/>
        <v>0320180270</v>
      </c>
      <c r="N1429" s="16" t="str">
        <f t="shared" si="567"/>
        <v>61910030320180270000</v>
      </c>
    </row>
    <row r="1430" spans="2:14" s="16" customFormat="1" ht="25.5">
      <c r="B1430" s="14"/>
      <c r="C1430" s="205" t="s">
        <v>327</v>
      </c>
      <c r="D1430" s="199" t="s">
        <v>795</v>
      </c>
      <c r="E1430" s="199" t="s">
        <v>317</v>
      </c>
      <c r="F1430" s="199" t="s">
        <v>13</v>
      </c>
      <c r="G1430" s="199" t="s">
        <v>1323</v>
      </c>
      <c r="H1430" s="206">
        <v>320</v>
      </c>
      <c r="I1430" s="20">
        <v>36192.86</v>
      </c>
      <c r="J1430" s="20">
        <v>0</v>
      </c>
      <c r="K1430" s="20">
        <v>0</v>
      </c>
      <c r="L1430" s="16">
        <v>320180270</v>
      </c>
      <c r="M1430" s="16" t="str">
        <f t="shared" si="566"/>
        <v>0320180270</v>
      </c>
      <c r="N1430" s="16" t="str">
        <f t="shared" si="567"/>
        <v>61910030320180270320</v>
      </c>
    </row>
    <row r="1431" spans="2:14" s="16" customFormat="1" ht="38.25">
      <c r="B1431" s="14"/>
      <c r="C1431" s="200" t="s">
        <v>87</v>
      </c>
      <c r="D1431" s="198" t="s">
        <v>795</v>
      </c>
      <c r="E1431" s="199" t="s">
        <v>1314</v>
      </c>
      <c r="F1431" s="199" t="s">
        <v>13</v>
      </c>
      <c r="G1431" s="199" t="s">
        <v>88</v>
      </c>
      <c r="H1431" s="199" t="s">
        <v>9</v>
      </c>
      <c r="I1431" s="20">
        <f>I1432</f>
        <v>19.5</v>
      </c>
      <c r="J1431" s="20">
        <f t="shared" si="571"/>
        <v>0</v>
      </c>
      <c r="K1431" s="20">
        <f t="shared" si="571"/>
        <v>0</v>
      </c>
      <c r="L1431" s="16">
        <v>9800000000</v>
      </c>
      <c r="M1431" s="16" t="str">
        <f t="shared" si="566"/>
        <v>9800000000</v>
      </c>
      <c r="N1431" s="16" t="str">
        <f t="shared" si="567"/>
        <v>61910 039800000000000</v>
      </c>
    </row>
    <row r="1432" spans="2:14" s="16" customFormat="1">
      <c r="B1432" s="14"/>
      <c r="C1432" s="200" t="s">
        <v>89</v>
      </c>
      <c r="D1432" s="198" t="s">
        <v>795</v>
      </c>
      <c r="E1432" s="199" t="s">
        <v>1314</v>
      </c>
      <c r="F1432" s="199" t="s">
        <v>13</v>
      </c>
      <c r="G1432" s="199" t="s">
        <v>90</v>
      </c>
      <c r="H1432" s="199" t="s">
        <v>9</v>
      </c>
      <c r="I1432" s="20">
        <f>I1433</f>
        <v>19.5</v>
      </c>
      <c r="J1432" s="20">
        <f t="shared" si="571"/>
        <v>0</v>
      </c>
      <c r="K1432" s="20">
        <f t="shared" si="571"/>
        <v>0</v>
      </c>
      <c r="L1432" s="16">
        <v>9810000000</v>
      </c>
      <c r="M1432" s="16" t="str">
        <f t="shared" si="566"/>
        <v>9810000000</v>
      </c>
      <c r="N1432" s="16" t="str">
        <f t="shared" si="567"/>
        <v>61910 039810000000000</v>
      </c>
    </row>
    <row r="1433" spans="2:14" s="16" customFormat="1" ht="76.5">
      <c r="B1433" s="14"/>
      <c r="C1433" s="197" t="s">
        <v>1324</v>
      </c>
      <c r="D1433" s="198" t="s">
        <v>795</v>
      </c>
      <c r="E1433" s="199" t="s">
        <v>317</v>
      </c>
      <c r="F1433" s="199" t="s">
        <v>13</v>
      </c>
      <c r="G1433" s="199" t="s">
        <v>1325</v>
      </c>
      <c r="H1433" s="199" t="s">
        <v>9</v>
      </c>
      <c r="I1433" s="20">
        <f>I1434</f>
        <v>19.5</v>
      </c>
      <c r="J1433" s="20">
        <f t="shared" si="571"/>
        <v>0</v>
      </c>
      <c r="K1433" s="20">
        <f t="shared" si="571"/>
        <v>0</v>
      </c>
      <c r="L1433" s="16">
        <v>9810021610</v>
      </c>
      <c r="M1433" s="16" t="str">
        <f t="shared" si="566"/>
        <v>9810021610</v>
      </c>
      <c r="N1433" s="16" t="str">
        <f t="shared" si="567"/>
        <v>61910039810021610000</v>
      </c>
    </row>
    <row r="1434" spans="2:14" s="16" customFormat="1" ht="38.25">
      <c r="B1434" s="14"/>
      <c r="C1434" s="201" t="s">
        <v>203</v>
      </c>
      <c r="D1434" s="198" t="s">
        <v>795</v>
      </c>
      <c r="E1434" s="199" t="s">
        <v>317</v>
      </c>
      <c r="F1434" s="199" t="s">
        <v>13</v>
      </c>
      <c r="G1434" s="199" t="s">
        <v>1325</v>
      </c>
      <c r="H1434" s="199" t="s">
        <v>204</v>
      </c>
      <c r="I1434" s="20">
        <f>7.81+11.69</f>
        <v>19.5</v>
      </c>
      <c r="J1434" s="20">
        <v>0</v>
      </c>
      <c r="K1434" s="20">
        <v>0</v>
      </c>
      <c r="L1434" s="16">
        <v>9810021610</v>
      </c>
      <c r="M1434" s="16" t="str">
        <f t="shared" si="566"/>
        <v>9810021610</v>
      </c>
      <c r="N1434" s="16" t="str">
        <f t="shared" si="567"/>
        <v>61910039810021610810</v>
      </c>
    </row>
    <row r="1435" spans="2:14" s="16" customFormat="1">
      <c r="B1435" s="14"/>
      <c r="C1435" s="197"/>
      <c r="D1435" s="204"/>
      <c r="E1435" s="204"/>
      <c r="F1435" s="204"/>
      <c r="G1435" s="204"/>
      <c r="H1435" s="204"/>
      <c r="I1435" s="20"/>
      <c r="J1435" s="20"/>
      <c r="K1435" s="20"/>
      <c r="M1435" s="16" t="str">
        <f t="shared" si="566"/>
        <v>0000000000</v>
      </c>
      <c r="N1435" s="16" t="str">
        <f t="shared" si="567"/>
        <v>0000000000</v>
      </c>
    </row>
    <row r="1436" spans="2:14" s="16" customFormat="1">
      <c r="B1436" s="14"/>
      <c r="C1436" s="202" t="s">
        <v>805</v>
      </c>
      <c r="D1436" s="189" t="s">
        <v>410</v>
      </c>
      <c r="E1436" s="190" t="s">
        <v>7</v>
      </c>
      <c r="F1436" s="190" t="s">
        <v>7</v>
      </c>
      <c r="G1436" s="190" t="s">
        <v>8</v>
      </c>
      <c r="H1436" s="190" t="s">
        <v>9</v>
      </c>
      <c r="I1436" s="56">
        <f>I1437+I1454+I1548+I1661+I1654</f>
        <v>1531649.91</v>
      </c>
      <c r="J1436" s="56">
        <f>J1437+J1454+J1548+J1661+J1654</f>
        <v>555062.44999999995</v>
      </c>
      <c r="K1436" s="56">
        <f>K1437+K1454+K1548+K1661+K1654</f>
        <v>547690.66999999993</v>
      </c>
      <c r="L1436" s="16">
        <v>0</v>
      </c>
      <c r="M1436" s="16" t="str">
        <f t="shared" si="566"/>
        <v>0000000000</v>
      </c>
      <c r="N1436" s="16" t="str">
        <f t="shared" si="567"/>
        <v>62000000000000000000</v>
      </c>
    </row>
    <row r="1437" spans="2:14" s="16" customFormat="1">
      <c r="B1437" s="14"/>
      <c r="C1437" s="191" t="s">
        <v>10</v>
      </c>
      <c r="D1437" s="192" t="s">
        <v>410</v>
      </c>
      <c r="E1437" s="193" t="s">
        <v>11</v>
      </c>
      <c r="F1437" s="193" t="s">
        <v>7</v>
      </c>
      <c r="G1437" s="193" t="s">
        <v>8</v>
      </c>
      <c r="H1437" s="193" t="s">
        <v>9</v>
      </c>
      <c r="I1437" s="18">
        <f t="shared" ref="I1437:K1444" si="573">I1438</f>
        <v>1273.97</v>
      </c>
      <c r="J1437" s="18">
        <f t="shared" si="573"/>
        <v>571.66</v>
      </c>
      <c r="K1437" s="18">
        <f t="shared" si="573"/>
        <v>571.66</v>
      </c>
      <c r="L1437" s="16">
        <v>0</v>
      </c>
      <c r="M1437" s="16" t="str">
        <f t="shared" si="566"/>
        <v>0000000000</v>
      </c>
      <c r="N1437" s="16" t="str">
        <f t="shared" si="567"/>
        <v>62001000000000000000</v>
      </c>
    </row>
    <row r="1438" spans="2:14" s="16" customFormat="1">
      <c r="B1438" s="14"/>
      <c r="C1438" s="194" t="s">
        <v>50</v>
      </c>
      <c r="D1438" s="195" t="s">
        <v>410</v>
      </c>
      <c r="E1438" s="196" t="s">
        <v>11</v>
      </c>
      <c r="F1438" s="196" t="s">
        <v>51</v>
      </c>
      <c r="G1438" s="196" t="s">
        <v>8</v>
      </c>
      <c r="H1438" s="196" t="s">
        <v>9</v>
      </c>
      <c r="I1438" s="19">
        <f>I1444+I1439+I1450</f>
        <v>1273.97</v>
      </c>
      <c r="J1438" s="19">
        <f t="shared" ref="J1438:K1438" si="574">J1444+J1439+J1450</f>
        <v>571.66</v>
      </c>
      <c r="K1438" s="19">
        <f t="shared" si="574"/>
        <v>571.66</v>
      </c>
      <c r="L1438" s="16">
        <v>0</v>
      </c>
      <c r="M1438" s="16" t="str">
        <f t="shared" si="566"/>
        <v>0000000000</v>
      </c>
      <c r="N1438" s="16" t="str">
        <f t="shared" si="567"/>
        <v>62001130000000000000</v>
      </c>
    </row>
    <row r="1439" spans="2:14" s="16" customFormat="1" ht="38.25">
      <c r="B1439" s="14"/>
      <c r="C1439" s="197" t="s">
        <v>257</v>
      </c>
      <c r="D1439" s="198" t="s">
        <v>410</v>
      </c>
      <c r="E1439" s="199" t="s">
        <v>11</v>
      </c>
      <c r="F1439" s="199" t="s">
        <v>51</v>
      </c>
      <c r="G1439" s="230" t="s">
        <v>258</v>
      </c>
      <c r="H1439" s="199" t="s">
        <v>9</v>
      </c>
      <c r="I1439" s="20">
        <f>I1440</f>
        <v>71.66</v>
      </c>
      <c r="J1439" s="20">
        <f t="shared" ref="J1439:K1442" si="575">J1440</f>
        <v>71.66</v>
      </c>
      <c r="K1439" s="20">
        <f t="shared" si="575"/>
        <v>71.66</v>
      </c>
      <c r="L1439" s="16">
        <v>1100000000</v>
      </c>
      <c r="M1439" s="16" t="str">
        <f t="shared" si="566"/>
        <v>1100000000</v>
      </c>
      <c r="N1439" s="16" t="str">
        <f t="shared" si="567"/>
        <v>62001131100000000000</v>
      </c>
    </row>
    <row r="1440" spans="2:14" s="16" customFormat="1" ht="51">
      <c r="B1440" s="14"/>
      <c r="C1440" s="197" t="s">
        <v>259</v>
      </c>
      <c r="D1440" s="198" t="s">
        <v>410</v>
      </c>
      <c r="E1440" s="199" t="s">
        <v>11</v>
      </c>
      <c r="F1440" s="199" t="s">
        <v>51</v>
      </c>
      <c r="G1440" s="230" t="s">
        <v>260</v>
      </c>
      <c r="H1440" s="199" t="s">
        <v>9</v>
      </c>
      <c r="I1440" s="20">
        <f>I1441</f>
        <v>71.66</v>
      </c>
      <c r="J1440" s="20">
        <f t="shared" si="575"/>
        <v>71.66</v>
      </c>
      <c r="K1440" s="20">
        <f t="shared" si="575"/>
        <v>71.66</v>
      </c>
      <c r="L1440" s="16" t="s">
        <v>1171</v>
      </c>
      <c r="M1440" s="16" t="str">
        <f t="shared" si="566"/>
        <v>11Б0000000</v>
      </c>
      <c r="N1440" s="16" t="str">
        <f t="shared" si="567"/>
        <v>620011311Б0000000000</v>
      </c>
    </row>
    <row r="1441" spans="2:14" s="16" customFormat="1" ht="38.25">
      <c r="B1441" s="14"/>
      <c r="C1441" s="197" t="s">
        <v>261</v>
      </c>
      <c r="D1441" s="198" t="s">
        <v>410</v>
      </c>
      <c r="E1441" s="199" t="s">
        <v>11</v>
      </c>
      <c r="F1441" s="199" t="s">
        <v>51</v>
      </c>
      <c r="G1441" s="230" t="s">
        <v>262</v>
      </c>
      <c r="H1441" s="199" t="s">
        <v>9</v>
      </c>
      <c r="I1441" s="20">
        <f>I1442</f>
        <v>71.66</v>
      </c>
      <c r="J1441" s="20">
        <f t="shared" si="575"/>
        <v>71.66</v>
      </c>
      <c r="K1441" s="20">
        <f t="shared" si="575"/>
        <v>71.66</v>
      </c>
      <c r="L1441" s="16" t="s">
        <v>1172</v>
      </c>
      <c r="M1441" s="16" t="str">
        <f t="shared" si="566"/>
        <v>11Б0100000</v>
      </c>
      <c r="N1441" s="16" t="str">
        <f t="shared" si="567"/>
        <v>620011311Б0100000000</v>
      </c>
    </row>
    <row r="1442" spans="2:14" s="16" customFormat="1" ht="25.5">
      <c r="B1442" s="14"/>
      <c r="C1442" s="197" t="s">
        <v>267</v>
      </c>
      <c r="D1442" s="198" t="s">
        <v>410</v>
      </c>
      <c r="E1442" s="199" t="s">
        <v>11</v>
      </c>
      <c r="F1442" s="199" t="s">
        <v>51</v>
      </c>
      <c r="G1442" s="230" t="s">
        <v>268</v>
      </c>
      <c r="H1442" s="199" t="s">
        <v>9</v>
      </c>
      <c r="I1442" s="20">
        <f>I1443</f>
        <v>71.66</v>
      </c>
      <c r="J1442" s="20">
        <f t="shared" si="575"/>
        <v>71.66</v>
      </c>
      <c r="K1442" s="20">
        <f t="shared" si="575"/>
        <v>71.66</v>
      </c>
      <c r="L1442" s="16" t="s">
        <v>1175</v>
      </c>
      <c r="M1442" s="16" t="str">
        <f t="shared" si="566"/>
        <v>11Б0121120</v>
      </c>
      <c r="N1442" s="16" t="str">
        <f t="shared" si="567"/>
        <v>620011311Б0121120000</v>
      </c>
    </row>
    <row r="1443" spans="2:14" s="16" customFormat="1" ht="25.5">
      <c r="B1443" s="14"/>
      <c r="C1443" s="197" t="s">
        <v>28</v>
      </c>
      <c r="D1443" s="198" t="s">
        <v>410</v>
      </c>
      <c r="E1443" s="199" t="s">
        <v>11</v>
      </c>
      <c r="F1443" s="199" t="s">
        <v>51</v>
      </c>
      <c r="G1443" s="230" t="s">
        <v>268</v>
      </c>
      <c r="H1443" s="199" t="s">
        <v>29</v>
      </c>
      <c r="I1443" s="20">
        <f>71.66</f>
        <v>71.66</v>
      </c>
      <c r="J1443" s="20">
        <f t="shared" ref="J1443:K1443" si="576">71.66</f>
        <v>71.66</v>
      </c>
      <c r="K1443" s="20">
        <f t="shared" si="576"/>
        <v>71.66</v>
      </c>
      <c r="L1443" s="16" t="s">
        <v>1175</v>
      </c>
      <c r="M1443" s="16" t="str">
        <f t="shared" si="566"/>
        <v>11Б0121120</v>
      </c>
      <c r="N1443" s="16" t="str">
        <f t="shared" si="567"/>
        <v>620011311Б0121120240</v>
      </c>
    </row>
    <row r="1444" spans="2:14" s="16" customFormat="1" ht="25.5">
      <c r="B1444" s="14"/>
      <c r="C1444" s="197" t="s">
        <v>806</v>
      </c>
      <c r="D1444" s="199" t="s">
        <v>410</v>
      </c>
      <c r="E1444" s="199" t="s">
        <v>11</v>
      </c>
      <c r="F1444" s="199" t="s">
        <v>51</v>
      </c>
      <c r="G1444" s="199" t="s">
        <v>807</v>
      </c>
      <c r="H1444" s="199" t="s">
        <v>9</v>
      </c>
      <c r="I1444" s="20">
        <f t="shared" si="573"/>
        <v>905.39</v>
      </c>
      <c r="J1444" s="20">
        <f t="shared" si="573"/>
        <v>500</v>
      </c>
      <c r="K1444" s="20">
        <f t="shared" si="573"/>
        <v>500</v>
      </c>
      <c r="L1444" s="16">
        <v>8300000000</v>
      </c>
      <c r="M1444" s="16" t="str">
        <f t="shared" si="566"/>
        <v>8300000000</v>
      </c>
      <c r="N1444" s="16" t="str">
        <f t="shared" si="567"/>
        <v>62001138300000000000</v>
      </c>
    </row>
    <row r="1445" spans="2:14" s="16" customFormat="1" ht="25.5">
      <c r="B1445" s="14"/>
      <c r="C1445" s="197" t="s">
        <v>808</v>
      </c>
      <c r="D1445" s="199" t="s">
        <v>410</v>
      </c>
      <c r="E1445" s="199" t="s">
        <v>11</v>
      </c>
      <c r="F1445" s="199" t="s">
        <v>51</v>
      </c>
      <c r="G1445" s="199" t="s">
        <v>809</v>
      </c>
      <c r="H1445" s="199" t="s">
        <v>9</v>
      </c>
      <c r="I1445" s="20">
        <f>I1446+I1448</f>
        <v>905.39</v>
      </c>
      <c r="J1445" s="20">
        <f t="shared" ref="J1445:K1445" si="577">J1446+J1448</f>
        <v>500</v>
      </c>
      <c r="K1445" s="20">
        <f t="shared" si="577"/>
        <v>500</v>
      </c>
      <c r="L1445" s="16">
        <v>8310000000</v>
      </c>
      <c r="M1445" s="16" t="str">
        <f t="shared" si="566"/>
        <v>8310000000</v>
      </c>
      <c r="N1445" s="16" t="str">
        <f t="shared" si="567"/>
        <v>62001138310000000000</v>
      </c>
    </row>
    <row r="1446" spans="2:14" s="16" customFormat="1" ht="25.5">
      <c r="B1446" s="14"/>
      <c r="C1446" s="197" t="s">
        <v>187</v>
      </c>
      <c r="D1446" s="199" t="s">
        <v>410</v>
      </c>
      <c r="E1446" s="199" t="s">
        <v>11</v>
      </c>
      <c r="F1446" s="199" t="s">
        <v>51</v>
      </c>
      <c r="G1446" s="199" t="s">
        <v>810</v>
      </c>
      <c r="H1446" s="199" t="s">
        <v>9</v>
      </c>
      <c r="I1446" s="20">
        <f>I1447</f>
        <v>805.39</v>
      </c>
      <c r="J1446" s="20">
        <f t="shared" ref="J1446:K1446" si="578">J1447</f>
        <v>500</v>
      </c>
      <c r="K1446" s="20">
        <f t="shared" si="578"/>
        <v>500</v>
      </c>
      <c r="L1446" s="16">
        <v>8310020050</v>
      </c>
      <c r="M1446" s="16" t="str">
        <f t="shared" si="566"/>
        <v>8310020050</v>
      </c>
      <c r="N1446" s="16" t="str">
        <f t="shared" si="567"/>
        <v>62001138310020050000</v>
      </c>
    </row>
    <row r="1447" spans="2:14" s="16" customFormat="1">
      <c r="B1447" s="14"/>
      <c r="C1447" s="197" t="s">
        <v>189</v>
      </c>
      <c r="D1447" s="199" t="s">
        <v>410</v>
      </c>
      <c r="E1447" s="199" t="s">
        <v>11</v>
      </c>
      <c r="F1447" s="199" t="s">
        <v>51</v>
      </c>
      <c r="G1447" s="199" t="s">
        <v>810</v>
      </c>
      <c r="H1447" s="199" t="s">
        <v>190</v>
      </c>
      <c r="I1447" s="20">
        <f>500+305.39</f>
        <v>805.39</v>
      </c>
      <c r="J1447" s="20">
        <f>500</f>
        <v>500</v>
      </c>
      <c r="K1447" s="20">
        <f>500</f>
        <v>500</v>
      </c>
      <c r="L1447" s="16">
        <v>8310020050</v>
      </c>
      <c r="M1447" s="16" t="str">
        <f t="shared" si="566"/>
        <v>8310020050</v>
      </c>
      <c r="N1447" s="16" t="str">
        <f t="shared" si="567"/>
        <v>62001138310020050830</v>
      </c>
    </row>
    <row r="1448" spans="2:14" s="16" customFormat="1">
      <c r="B1448" s="14"/>
      <c r="C1448" s="197" t="s">
        <v>1234</v>
      </c>
      <c r="D1448" s="199" t="s">
        <v>410</v>
      </c>
      <c r="E1448" s="199" t="s">
        <v>11</v>
      </c>
      <c r="F1448" s="199" t="s">
        <v>51</v>
      </c>
      <c r="G1448" s="199" t="s">
        <v>1235</v>
      </c>
      <c r="H1448" s="199" t="s">
        <v>9</v>
      </c>
      <c r="I1448" s="20">
        <f>I1449</f>
        <v>100</v>
      </c>
      <c r="J1448" s="20">
        <f t="shared" ref="J1448:K1448" si="579">J1449</f>
        <v>0</v>
      </c>
      <c r="K1448" s="20">
        <f t="shared" si="579"/>
        <v>0</v>
      </c>
      <c r="L1448" s="16">
        <v>8310021040</v>
      </c>
      <c r="M1448" s="16" t="str">
        <f t="shared" si="566"/>
        <v>8310021040</v>
      </c>
      <c r="N1448" s="16" t="str">
        <f t="shared" si="567"/>
        <v>62001138310021040000</v>
      </c>
    </row>
    <row r="1449" spans="2:14" s="16" customFormat="1">
      <c r="B1449" s="14"/>
      <c r="C1449" s="197" t="s">
        <v>32</v>
      </c>
      <c r="D1449" s="199" t="s">
        <v>410</v>
      </c>
      <c r="E1449" s="199" t="s">
        <v>11</v>
      </c>
      <c r="F1449" s="199" t="s">
        <v>51</v>
      </c>
      <c r="G1449" s="199" t="s">
        <v>1235</v>
      </c>
      <c r="H1449" s="199" t="s">
        <v>33</v>
      </c>
      <c r="I1449" s="20">
        <f>100</f>
        <v>100</v>
      </c>
      <c r="J1449" s="20">
        <v>0</v>
      </c>
      <c r="K1449" s="20">
        <v>0</v>
      </c>
      <c r="L1449" s="16">
        <v>8310021040</v>
      </c>
      <c r="M1449" s="16" t="str">
        <f t="shared" si="566"/>
        <v>8310021040</v>
      </c>
      <c r="N1449" s="16" t="str">
        <f t="shared" si="567"/>
        <v>62001138310021040850</v>
      </c>
    </row>
    <row r="1450" spans="2:14" s="16" customFormat="1" ht="38.25">
      <c r="B1450" s="14"/>
      <c r="C1450" s="375" t="s">
        <v>87</v>
      </c>
      <c r="D1450" s="199" t="s">
        <v>410</v>
      </c>
      <c r="E1450" s="199" t="s">
        <v>11</v>
      </c>
      <c r="F1450" s="199" t="s">
        <v>51</v>
      </c>
      <c r="G1450" s="199" t="s">
        <v>88</v>
      </c>
      <c r="H1450" s="199" t="s">
        <v>9</v>
      </c>
      <c r="I1450" s="20">
        <f>I1451</f>
        <v>296.92</v>
      </c>
      <c r="J1450" s="20">
        <f t="shared" ref="J1450:K1452" si="580">J1451</f>
        <v>0</v>
      </c>
      <c r="K1450" s="20">
        <f t="shared" si="580"/>
        <v>0</v>
      </c>
      <c r="L1450" s="16">
        <v>9800000000</v>
      </c>
      <c r="M1450" s="16" t="str">
        <f t="shared" si="566"/>
        <v>9800000000</v>
      </c>
      <c r="N1450" s="16" t="str">
        <f t="shared" si="567"/>
        <v>62001139800000000000</v>
      </c>
    </row>
    <row r="1451" spans="2:14" s="16" customFormat="1">
      <c r="B1451" s="14"/>
      <c r="C1451" s="375" t="s">
        <v>89</v>
      </c>
      <c r="D1451" s="199" t="s">
        <v>410</v>
      </c>
      <c r="E1451" s="199" t="s">
        <v>11</v>
      </c>
      <c r="F1451" s="199" t="s">
        <v>51</v>
      </c>
      <c r="G1451" s="199" t="s">
        <v>90</v>
      </c>
      <c r="H1451" s="199" t="s">
        <v>9</v>
      </c>
      <c r="I1451" s="20">
        <f>I1452</f>
        <v>296.92</v>
      </c>
      <c r="J1451" s="20">
        <f t="shared" si="580"/>
        <v>0</v>
      </c>
      <c r="K1451" s="20">
        <f t="shared" si="580"/>
        <v>0</v>
      </c>
      <c r="L1451" s="16">
        <v>9810000000</v>
      </c>
      <c r="M1451" s="16" t="str">
        <f t="shared" si="566"/>
        <v>9810000000</v>
      </c>
      <c r="N1451" s="16" t="str">
        <f t="shared" si="567"/>
        <v>62001139810000000000</v>
      </c>
    </row>
    <row r="1452" spans="2:14" s="16" customFormat="1">
      <c r="B1452" s="14"/>
      <c r="C1452" s="375" t="s">
        <v>282</v>
      </c>
      <c r="D1452" s="199" t="s">
        <v>410</v>
      </c>
      <c r="E1452" s="199" t="s">
        <v>11</v>
      </c>
      <c r="F1452" s="199" t="s">
        <v>51</v>
      </c>
      <c r="G1452" s="199" t="s">
        <v>283</v>
      </c>
      <c r="H1452" s="199" t="s">
        <v>9</v>
      </c>
      <c r="I1452" s="20">
        <f>I1453</f>
        <v>296.92</v>
      </c>
      <c r="J1452" s="20">
        <f t="shared" si="580"/>
        <v>0</v>
      </c>
      <c r="K1452" s="20">
        <f t="shared" si="580"/>
        <v>0</v>
      </c>
      <c r="L1452" s="16">
        <v>9810021350</v>
      </c>
      <c r="M1452" s="16" t="str">
        <f t="shared" si="566"/>
        <v>9810021350</v>
      </c>
      <c r="N1452" s="16" t="str">
        <f t="shared" si="567"/>
        <v>62001139810021350000</v>
      </c>
    </row>
    <row r="1453" spans="2:14" s="16" customFormat="1" ht="25.5">
      <c r="B1453" s="14"/>
      <c r="C1453" s="375" t="s">
        <v>28</v>
      </c>
      <c r="D1453" s="199" t="s">
        <v>410</v>
      </c>
      <c r="E1453" s="199" t="s">
        <v>11</v>
      </c>
      <c r="F1453" s="199" t="s">
        <v>51</v>
      </c>
      <c r="G1453" s="199" t="s">
        <v>283</v>
      </c>
      <c r="H1453" s="199" t="s">
        <v>29</v>
      </c>
      <c r="I1453" s="20">
        <f>296.92</f>
        <v>296.92</v>
      </c>
      <c r="J1453" s="20">
        <v>0</v>
      </c>
      <c r="K1453" s="20">
        <v>0</v>
      </c>
      <c r="L1453" s="16">
        <v>9810021350</v>
      </c>
      <c r="M1453" s="16" t="str">
        <f t="shared" si="566"/>
        <v>9810021350</v>
      </c>
      <c r="N1453" s="16" t="str">
        <f t="shared" si="567"/>
        <v>62001139810021350240</v>
      </c>
    </row>
    <row r="1454" spans="2:14" s="16" customFormat="1">
      <c r="B1454" s="14"/>
      <c r="C1454" s="191" t="s">
        <v>195</v>
      </c>
      <c r="D1454" s="192" t="s">
        <v>410</v>
      </c>
      <c r="E1454" s="193" t="s">
        <v>73</v>
      </c>
      <c r="F1454" s="193" t="s">
        <v>7</v>
      </c>
      <c r="G1454" s="193" t="s">
        <v>8</v>
      </c>
      <c r="H1454" s="193" t="s">
        <v>9</v>
      </c>
      <c r="I1454" s="18">
        <f>I1455+I1465+I1485+I1543</f>
        <v>973065.21</v>
      </c>
      <c r="J1454" s="18">
        <f>J1455+J1465+J1485+J1543</f>
        <v>264826.44999999995</v>
      </c>
      <c r="K1454" s="18">
        <f>K1455+K1465+K1485+K1543</f>
        <v>253630.70999999996</v>
      </c>
      <c r="L1454" s="16">
        <v>0</v>
      </c>
      <c r="M1454" s="16" t="str">
        <f t="shared" si="566"/>
        <v>0000000000</v>
      </c>
      <c r="N1454" s="16" t="str">
        <f t="shared" si="567"/>
        <v>62004000000000000000</v>
      </c>
    </row>
    <row r="1455" spans="2:14" s="16" customFormat="1">
      <c r="B1455" s="14"/>
      <c r="C1455" s="194" t="s">
        <v>811</v>
      </c>
      <c r="D1455" s="195" t="s">
        <v>410</v>
      </c>
      <c r="E1455" s="196" t="s">
        <v>73</v>
      </c>
      <c r="F1455" s="196" t="s">
        <v>229</v>
      </c>
      <c r="G1455" s="196" t="s">
        <v>8</v>
      </c>
      <c r="H1455" s="196" t="s">
        <v>9</v>
      </c>
      <c r="I1455" s="19">
        <f t="shared" ref="I1455:K1459" si="581">I1456</f>
        <v>15770.619999999999</v>
      </c>
      <c r="J1455" s="19">
        <f t="shared" si="581"/>
        <v>14094.599999999999</v>
      </c>
      <c r="K1455" s="19">
        <f t="shared" si="581"/>
        <v>14094.599999999999</v>
      </c>
      <c r="L1455" s="16">
        <v>0</v>
      </c>
      <c r="M1455" s="16" t="str">
        <f t="shared" si="566"/>
        <v>0000000000</v>
      </c>
      <c r="N1455" s="16" t="str">
        <f t="shared" si="567"/>
        <v>62004070000000000000</v>
      </c>
    </row>
    <row r="1456" spans="2:14" s="16" customFormat="1" ht="38.25">
      <c r="B1456" s="14"/>
      <c r="C1456" s="200" t="s">
        <v>293</v>
      </c>
      <c r="D1456" s="199" t="s">
        <v>410</v>
      </c>
      <c r="E1456" s="199" t="s">
        <v>73</v>
      </c>
      <c r="F1456" s="199" t="s">
        <v>229</v>
      </c>
      <c r="G1456" s="199" t="s">
        <v>294</v>
      </c>
      <c r="H1456" s="199" t="s">
        <v>9</v>
      </c>
      <c r="I1456" s="20">
        <f t="shared" si="581"/>
        <v>15770.619999999999</v>
      </c>
      <c r="J1456" s="20">
        <f t="shared" si="581"/>
        <v>14094.599999999999</v>
      </c>
      <c r="K1456" s="20">
        <f t="shared" si="581"/>
        <v>14094.599999999999</v>
      </c>
      <c r="L1456" s="16">
        <v>400000000</v>
      </c>
      <c r="M1456" s="16" t="str">
        <f t="shared" si="566"/>
        <v>0400000000</v>
      </c>
      <c r="N1456" s="16" t="str">
        <f t="shared" si="567"/>
        <v>62004070400000000000</v>
      </c>
    </row>
    <row r="1457" spans="2:14" s="16" customFormat="1">
      <c r="B1457" s="14"/>
      <c r="C1457" s="197" t="s">
        <v>2283</v>
      </c>
      <c r="D1457" s="199" t="s">
        <v>410</v>
      </c>
      <c r="E1457" s="199" t="s">
        <v>73</v>
      </c>
      <c r="F1457" s="199" t="s">
        <v>229</v>
      </c>
      <c r="G1457" s="199" t="s">
        <v>308</v>
      </c>
      <c r="H1457" s="199" t="s">
        <v>9</v>
      </c>
      <c r="I1457" s="20">
        <f>I1458</f>
        <v>15770.619999999999</v>
      </c>
      <c r="J1457" s="20">
        <f t="shared" si="581"/>
        <v>14094.599999999999</v>
      </c>
      <c r="K1457" s="20">
        <f t="shared" si="581"/>
        <v>14094.599999999999</v>
      </c>
      <c r="L1457" s="16">
        <v>430000000</v>
      </c>
      <c r="M1457" s="16" t="str">
        <f t="shared" si="566"/>
        <v>0430000000</v>
      </c>
      <c r="N1457" s="16" t="str">
        <f t="shared" si="567"/>
        <v>62004070430000000000</v>
      </c>
    </row>
    <row r="1458" spans="2:14" s="16" customFormat="1" ht="38.25">
      <c r="B1458" s="14"/>
      <c r="C1458" s="197" t="s">
        <v>812</v>
      </c>
      <c r="D1458" s="199" t="s">
        <v>410</v>
      </c>
      <c r="E1458" s="199" t="s">
        <v>73</v>
      </c>
      <c r="F1458" s="199" t="s">
        <v>229</v>
      </c>
      <c r="G1458" s="199" t="s">
        <v>813</v>
      </c>
      <c r="H1458" s="199" t="s">
        <v>9</v>
      </c>
      <c r="I1458" s="20">
        <f>I1459+I1461+I1463</f>
        <v>15770.619999999999</v>
      </c>
      <c r="J1458" s="20">
        <f t="shared" ref="J1458:K1458" si="582">J1459+J1461+J1463</f>
        <v>14094.599999999999</v>
      </c>
      <c r="K1458" s="20">
        <f t="shared" si="582"/>
        <v>14094.599999999999</v>
      </c>
      <c r="L1458" s="16">
        <v>430100000</v>
      </c>
      <c r="M1458" s="16" t="str">
        <f t="shared" si="566"/>
        <v>0430100000</v>
      </c>
      <c r="N1458" s="16" t="str">
        <f t="shared" si="567"/>
        <v>62004070430100000000</v>
      </c>
    </row>
    <row r="1459" spans="2:14" s="16" customFormat="1" ht="25.5">
      <c r="B1459" s="14"/>
      <c r="C1459" s="197" t="s">
        <v>136</v>
      </c>
      <c r="D1459" s="199" t="s">
        <v>410</v>
      </c>
      <c r="E1459" s="199" t="s">
        <v>73</v>
      </c>
      <c r="F1459" s="199" t="s">
        <v>229</v>
      </c>
      <c r="G1459" s="199" t="s">
        <v>814</v>
      </c>
      <c r="H1459" s="199" t="s">
        <v>9</v>
      </c>
      <c r="I1459" s="20">
        <f t="shared" si="581"/>
        <v>15042.679999999998</v>
      </c>
      <c r="J1459" s="20">
        <f t="shared" si="581"/>
        <v>14094.599999999999</v>
      </c>
      <c r="K1459" s="20">
        <f t="shared" si="581"/>
        <v>14094.599999999999</v>
      </c>
      <c r="L1459" s="16">
        <v>430111010</v>
      </c>
      <c r="M1459" s="16" t="str">
        <f t="shared" si="566"/>
        <v>0430111010</v>
      </c>
      <c r="N1459" s="16" t="str">
        <f t="shared" si="567"/>
        <v>62004070430111010000</v>
      </c>
    </row>
    <row r="1460" spans="2:14" s="16" customFormat="1">
      <c r="B1460" s="14"/>
      <c r="C1460" s="205" t="s">
        <v>403</v>
      </c>
      <c r="D1460" s="199" t="s">
        <v>410</v>
      </c>
      <c r="E1460" s="199" t="s">
        <v>73</v>
      </c>
      <c r="F1460" s="199" t="s">
        <v>229</v>
      </c>
      <c r="G1460" s="199" t="s">
        <v>814</v>
      </c>
      <c r="H1460" s="199" t="s">
        <v>404</v>
      </c>
      <c r="I1460" s="20">
        <f>11978.97+550+1080.39+1400+6.73+26.59</f>
        <v>15042.679999999998</v>
      </c>
      <c r="J1460" s="20">
        <f>11978.97+550+1080.39+458.65+26.59</f>
        <v>14094.599999999999</v>
      </c>
      <c r="K1460" s="20">
        <f>11978.97+550+1080.39+458.65+26.59</f>
        <v>14094.599999999999</v>
      </c>
      <c r="L1460" s="16">
        <v>430111010</v>
      </c>
      <c r="M1460" s="16" t="str">
        <f t="shared" si="566"/>
        <v>0430111010</v>
      </c>
      <c r="N1460" s="16" t="str">
        <f t="shared" si="567"/>
        <v>62004070430111010610</v>
      </c>
    </row>
    <row r="1461" spans="2:14" s="16" customFormat="1" ht="191.25">
      <c r="B1461" s="14" t="s">
        <v>2282</v>
      </c>
      <c r="C1461" s="197" t="s">
        <v>2269</v>
      </c>
      <c r="D1461" s="199" t="s">
        <v>410</v>
      </c>
      <c r="E1461" s="199" t="s">
        <v>73</v>
      </c>
      <c r="F1461" s="199" t="s">
        <v>229</v>
      </c>
      <c r="G1461" s="199" t="s">
        <v>1326</v>
      </c>
      <c r="H1461" s="199" t="s">
        <v>9</v>
      </c>
      <c r="I1461" s="20">
        <f>I1462</f>
        <v>451.92</v>
      </c>
      <c r="J1461" s="20">
        <f t="shared" ref="J1461:K1463" si="583">J1462</f>
        <v>0</v>
      </c>
      <c r="K1461" s="20">
        <f t="shared" si="583"/>
        <v>0</v>
      </c>
      <c r="L1461" s="16">
        <v>430177460</v>
      </c>
      <c r="M1461" s="16" t="str">
        <f t="shared" si="566"/>
        <v>0430177460</v>
      </c>
      <c r="N1461" s="16" t="str">
        <f t="shared" si="567"/>
        <v>62004070430177460000</v>
      </c>
    </row>
    <row r="1462" spans="2:14" s="16" customFormat="1">
      <c r="B1462" s="14"/>
      <c r="C1462" s="205" t="s">
        <v>403</v>
      </c>
      <c r="D1462" s="199" t="s">
        <v>410</v>
      </c>
      <c r="E1462" s="199" t="s">
        <v>73</v>
      </c>
      <c r="F1462" s="199" t="s">
        <v>229</v>
      </c>
      <c r="G1462" s="199" t="s">
        <v>1326</v>
      </c>
      <c r="H1462" s="199" t="s">
        <v>404</v>
      </c>
      <c r="I1462" s="20">
        <f>451.92</f>
        <v>451.92</v>
      </c>
      <c r="J1462" s="20">
        <v>0</v>
      </c>
      <c r="K1462" s="20">
        <v>0</v>
      </c>
      <c r="L1462" s="16">
        <v>430177460</v>
      </c>
      <c r="M1462" s="16" t="str">
        <f t="shared" si="566"/>
        <v>0430177460</v>
      </c>
      <c r="N1462" s="16" t="str">
        <f t="shared" si="567"/>
        <v>62004070430177460610</v>
      </c>
    </row>
    <row r="1463" spans="2:14" s="16" customFormat="1" ht="165.75">
      <c r="B1463" s="14"/>
      <c r="C1463" s="200" t="s">
        <v>2247</v>
      </c>
      <c r="D1463" s="199" t="s">
        <v>410</v>
      </c>
      <c r="E1463" s="199" t="s">
        <v>73</v>
      </c>
      <c r="F1463" s="199" t="s">
        <v>229</v>
      </c>
      <c r="G1463" s="199" t="s">
        <v>2292</v>
      </c>
      <c r="H1463" s="199" t="s">
        <v>9</v>
      </c>
      <c r="I1463" s="20">
        <f>I1464</f>
        <v>276.02</v>
      </c>
      <c r="J1463" s="20">
        <f t="shared" si="583"/>
        <v>0</v>
      </c>
      <c r="K1463" s="20">
        <f t="shared" si="583"/>
        <v>0</v>
      </c>
      <c r="L1463" s="16">
        <v>430177580</v>
      </c>
      <c r="M1463" s="16" t="str">
        <f t="shared" si="566"/>
        <v>0430177580</v>
      </c>
      <c r="N1463" s="16" t="str">
        <f t="shared" si="567"/>
        <v>62004070430177580000</v>
      </c>
    </row>
    <row r="1464" spans="2:14" s="16" customFormat="1">
      <c r="B1464" s="14"/>
      <c r="C1464" s="205" t="s">
        <v>403</v>
      </c>
      <c r="D1464" s="199" t="s">
        <v>410</v>
      </c>
      <c r="E1464" s="199" t="s">
        <v>73</v>
      </c>
      <c r="F1464" s="199" t="s">
        <v>229</v>
      </c>
      <c r="G1464" s="199" t="s">
        <v>2292</v>
      </c>
      <c r="H1464" s="199" t="s">
        <v>404</v>
      </c>
      <c r="I1464" s="20">
        <f>276.02</f>
        <v>276.02</v>
      </c>
      <c r="J1464" s="20">
        <v>0</v>
      </c>
      <c r="K1464" s="20">
        <v>0</v>
      </c>
      <c r="L1464" s="16">
        <v>430177580</v>
      </c>
      <c r="M1464" s="16" t="str">
        <f t="shared" si="566"/>
        <v>0430177580</v>
      </c>
      <c r="N1464" s="16" t="str">
        <f t="shared" si="567"/>
        <v>62004070430177580610</v>
      </c>
    </row>
    <row r="1465" spans="2:14" s="16" customFormat="1" ht="16.5" customHeight="1">
      <c r="B1465" s="14"/>
      <c r="C1465" s="194" t="s">
        <v>815</v>
      </c>
      <c r="D1465" s="195" t="s">
        <v>410</v>
      </c>
      <c r="E1465" s="196" t="s">
        <v>73</v>
      </c>
      <c r="F1465" s="196" t="s">
        <v>238</v>
      </c>
      <c r="G1465" s="196" t="s">
        <v>8</v>
      </c>
      <c r="H1465" s="196" t="s">
        <v>9</v>
      </c>
      <c r="I1465" s="19">
        <f>I1466+I1479</f>
        <v>153020.23000000001</v>
      </c>
      <c r="J1465" s="19">
        <f t="shared" ref="J1465:K1465" si="584">J1466+J1479</f>
        <v>55182.250000000007</v>
      </c>
      <c r="K1465" s="19">
        <f t="shared" si="584"/>
        <v>25723.87</v>
      </c>
      <c r="L1465" s="16">
        <v>0</v>
      </c>
      <c r="M1465" s="16" t="str">
        <f t="shared" si="566"/>
        <v>0000000000</v>
      </c>
      <c r="N1465" s="16" t="str">
        <f t="shared" si="567"/>
        <v>62004080000000000000</v>
      </c>
    </row>
    <row r="1466" spans="2:14" s="16" customFormat="1" ht="38.25">
      <c r="B1466" s="14"/>
      <c r="C1466" s="200" t="s">
        <v>293</v>
      </c>
      <c r="D1466" s="199" t="s">
        <v>410</v>
      </c>
      <c r="E1466" s="199" t="s">
        <v>73</v>
      </c>
      <c r="F1466" s="199" t="s">
        <v>238</v>
      </c>
      <c r="G1466" s="199" t="s">
        <v>294</v>
      </c>
      <c r="H1466" s="199" t="s">
        <v>9</v>
      </c>
      <c r="I1466" s="20">
        <f>I1467</f>
        <v>153020.02000000002</v>
      </c>
      <c r="J1466" s="20">
        <f t="shared" ref="I1466:K1467" si="585">J1467</f>
        <v>55182.240000000005</v>
      </c>
      <c r="K1466" s="20">
        <f t="shared" si="585"/>
        <v>25723.86</v>
      </c>
      <c r="L1466" s="16">
        <v>400000000</v>
      </c>
      <c r="M1466" s="16" t="str">
        <f t="shared" si="566"/>
        <v>0400000000</v>
      </c>
      <c r="N1466" s="16" t="str">
        <f t="shared" si="567"/>
        <v>62004080400000000000</v>
      </c>
    </row>
    <row r="1467" spans="2:14" s="16" customFormat="1" ht="38.25">
      <c r="B1467" s="14"/>
      <c r="C1467" s="226" t="s">
        <v>295</v>
      </c>
      <c r="D1467" s="199" t="s">
        <v>410</v>
      </c>
      <c r="E1467" s="199" t="s">
        <v>73</v>
      </c>
      <c r="F1467" s="199" t="s">
        <v>238</v>
      </c>
      <c r="G1467" s="199" t="s">
        <v>296</v>
      </c>
      <c r="H1467" s="199" t="s">
        <v>9</v>
      </c>
      <c r="I1467" s="20">
        <f t="shared" si="585"/>
        <v>153020.02000000002</v>
      </c>
      <c r="J1467" s="20">
        <f t="shared" si="585"/>
        <v>55182.240000000005</v>
      </c>
      <c r="K1467" s="20">
        <f t="shared" si="585"/>
        <v>25723.86</v>
      </c>
      <c r="L1467" s="16">
        <v>420000000</v>
      </c>
      <c r="M1467" s="16" t="str">
        <f t="shared" si="566"/>
        <v>0420000000</v>
      </c>
      <c r="N1467" s="16" t="str">
        <f t="shared" si="567"/>
        <v>62004080420000000000</v>
      </c>
    </row>
    <row r="1468" spans="2:14" s="16" customFormat="1" ht="38.25">
      <c r="B1468" s="14"/>
      <c r="C1468" s="214" t="s">
        <v>816</v>
      </c>
      <c r="D1468" s="199" t="s">
        <v>410</v>
      </c>
      <c r="E1468" s="199" t="s">
        <v>73</v>
      </c>
      <c r="F1468" s="199" t="s">
        <v>238</v>
      </c>
      <c r="G1468" s="199" t="s">
        <v>817</v>
      </c>
      <c r="H1468" s="199" t="s">
        <v>9</v>
      </c>
      <c r="I1468" s="20">
        <f>I1469+I1473+I1475+I1471</f>
        <v>153020.02000000002</v>
      </c>
      <c r="J1468" s="20">
        <f t="shared" ref="J1468:K1468" si="586">J1469+J1473+J1475+J1471</f>
        <v>55182.240000000005</v>
      </c>
      <c r="K1468" s="20">
        <f t="shared" si="586"/>
        <v>25723.86</v>
      </c>
      <c r="L1468" s="16">
        <v>420100000</v>
      </c>
      <c r="M1468" s="16" t="str">
        <f t="shared" si="566"/>
        <v>0420100000</v>
      </c>
      <c r="N1468" s="16" t="str">
        <f t="shared" si="567"/>
        <v>62004080420100000000</v>
      </c>
    </row>
    <row r="1469" spans="2:14" s="16" customFormat="1" ht="25.5">
      <c r="B1469" s="14"/>
      <c r="C1469" s="214" t="s">
        <v>136</v>
      </c>
      <c r="D1469" s="199" t="s">
        <v>410</v>
      </c>
      <c r="E1469" s="199" t="s">
        <v>73</v>
      </c>
      <c r="F1469" s="199" t="s">
        <v>238</v>
      </c>
      <c r="G1469" s="199" t="s">
        <v>818</v>
      </c>
      <c r="H1469" s="199" t="s">
        <v>9</v>
      </c>
      <c r="I1469" s="20">
        <f>I1470</f>
        <v>4025.94</v>
      </c>
      <c r="J1469" s="20">
        <f>J1470</f>
        <v>4159.8599999999997</v>
      </c>
      <c r="K1469" s="20">
        <f>K1470</f>
        <v>4159.8599999999997</v>
      </c>
      <c r="L1469" s="16">
        <v>420111010</v>
      </c>
      <c r="M1469" s="16" t="str">
        <f t="shared" si="566"/>
        <v>0420111010</v>
      </c>
      <c r="N1469" s="16" t="str">
        <f t="shared" si="567"/>
        <v>62004080420111010000</v>
      </c>
    </row>
    <row r="1470" spans="2:14" s="16" customFormat="1">
      <c r="B1470" s="14"/>
      <c r="C1470" s="205" t="s">
        <v>403</v>
      </c>
      <c r="D1470" s="199" t="s">
        <v>410</v>
      </c>
      <c r="E1470" s="199" t="s">
        <v>73</v>
      </c>
      <c r="F1470" s="199" t="s">
        <v>238</v>
      </c>
      <c r="G1470" s="199" t="s">
        <v>818</v>
      </c>
      <c r="H1470" s="199" t="s">
        <v>404</v>
      </c>
      <c r="I1470" s="20">
        <f>4023.94+2</f>
        <v>4025.94</v>
      </c>
      <c r="J1470" s="20">
        <f>4023.94+135.92</f>
        <v>4159.8599999999997</v>
      </c>
      <c r="K1470" s="20">
        <f>4023.94+135.92</f>
        <v>4159.8599999999997</v>
      </c>
      <c r="L1470" s="16">
        <v>420111010</v>
      </c>
      <c r="M1470" s="16" t="str">
        <f t="shared" si="566"/>
        <v>0420111010</v>
      </c>
      <c r="N1470" s="16" t="str">
        <f t="shared" si="567"/>
        <v>62004080420111010610</v>
      </c>
    </row>
    <row r="1471" spans="2:14" s="16" customFormat="1" ht="191.25">
      <c r="B1471" s="14" t="s">
        <v>2282</v>
      </c>
      <c r="C1471" s="197" t="s">
        <v>2269</v>
      </c>
      <c r="D1471" s="199" t="s">
        <v>410</v>
      </c>
      <c r="E1471" s="199" t="s">
        <v>73</v>
      </c>
      <c r="F1471" s="199" t="s">
        <v>238</v>
      </c>
      <c r="G1471" s="199" t="s">
        <v>1327</v>
      </c>
      <c r="H1471" s="199" t="s">
        <v>9</v>
      </c>
      <c r="I1471" s="20">
        <f>I1472</f>
        <v>133.91999999999999</v>
      </c>
      <c r="J1471" s="20">
        <f t="shared" ref="J1471:K1471" si="587">J1472</f>
        <v>0</v>
      </c>
      <c r="K1471" s="20">
        <f t="shared" si="587"/>
        <v>0</v>
      </c>
      <c r="L1471" s="16">
        <v>420177460</v>
      </c>
      <c r="M1471" s="16" t="str">
        <f t="shared" si="566"/>
        <v>0420177460</v>
      </c>
      <c r="N1471" s="16" t="str">
        <f t="shared" si="567"/>
        <v>62004080420177460000</v>
      </c>
    </row>
    <row r="1472" spans="2:14" s="16" customFormat="1">
      <c r="B1472" s="14"/>
      <c r="C1472" s="205" t="s">
        <v>403</v>
      </c>
      <c r="D1472" s="199" t="s">
        <v>410</v>
      </c>
      <c r="E1472" s="199" t="s">
        <v>73</v>
      </c>
      <c r="F1472" s="199" t="s">
        <v>238</v>
      </c>
      <c r="G1472" s="199" t="s">
        <v>1327</v>
      </c>
      <c r="H1472" s="199" t="s">
        <v>404</v>
      </c>
      <c r="I1472" s="20">
        <f>133.92</f>
        <v>133.91999999999999</v>
      </c>
      <c r="J1472" s="20">
        <v>0</v>
      </c>
      <c r="K1472" s="20">
        <v>0</v>
      </c>
      <c r="L1472" s="16">
        <v>420177460</v>
      </c>
      <c r="M1472" s="16" t="str">
        <f t="shared" si="566"/>
        <v>0420177460</v>
      </c>
      <c r="N1472" s="16" t="str">
        <f t="shared" si="567"/>
        <v>62004080420177460610</v>
      </c>
    </row>
    <row r="1473" spans="2:14" s="16" customFormat="1" ht="25.5">
      <c r="B1473" s="14"/>
      <c r="C1473" s="214" t="s">
        <v>819</v>
      </c>
      <c r="D1473" s="199" t="s">
        <v>410</v>
      </c>
      <c r="E1473" s="199" t="s">
        <v>73</v>
      </c>
      <c r="F1473" s="199" t="s">
        <v>238</v>
      </c>
      <c r="G1473" s="199" t="s">
        <v>820</v>
      </c>
      <c r="H1473" s="199" t="s">
        <v>9</v>
      </c>
      <c r="I1473" s="20">
        <f>I1474</f>
        <v>17447.84</v>
      </c>
      <c r="J1473" s="20">
        <f>J1474</f>
        <v>11796.87</v>
      </c>
      <c r="K1473" s="20">
        <f>K1474</f>
        <v>21564</v>
      </c>
      <c r="L1473" s="16">
        <v>420160020</v>
      </c>
      <c r="M1473" s="16" t="str">
        <f t="shared" si="566"/>
        <v>0420160020</v>
      </c>
      <c r="N1473" s="16" t="str">
        <f t="shared" si="567"/>
        <v>62004080420160020000</v>
      </c>
    </row>
    <row r="1474" spans="2:14" s="16" customFormat="1" ht="38.25">
      <c r="B1474" s="14"/>
      <c r="C1474" s="217" t="s">
        <v>203</v>
      </c>
      <c r="D1474" s="270" t="s">
        <v>410</v>
      </c>
      <c r="E1474" s="270" t="s">
        <v>73</v>
      </c>
      <c r="F1474" s="270" t="s">
        <v>238</v>
      </c>
      <c r="G1474" s="270" t="s">
        <v>820</v>
      </c>
      <c r="H1474" s="270" t="s">
        <v>204</v>
      </c>
      <c r="I1474" s="387">
        <f>11796.87+5650.97</f>
        <v>17447.84</v>
      </c>
      <c r="J1474" s="57">
        <f t="shared" ref="J1474" si="588">11796.87</f>
        <v>11796.87</v>
      </c>
      <c r="K1474" s="57">
        <f>21564</f>
        <v>21564</v>
      </c>
      <c r="L1474" s="16">
        <v>420160020</v>
      </c>
      <c r="M1474" s="16" t="str">
        <f t="shared" si="566"/>
        <v>0420160020</v>
      </c>
      <c r="N1474" s="16" t="str">
        <f t="shared" si="567"/>
        <v>62004080420160020810</v>
      </c>
    </row>
    <row r="1475" spans="2:14" s="59" customFormat="1" ht="102">
      <c r="B1475" s="388"/>
      <c r="C1475" s="201" t="s">
        <v>821</v>
      </c>
      <c r="D1475" s="199" t="s">
        <v>410</v>
      </c>
      <c r="E1475" s="199" t="s">
        <v>73</v>
      </c>
      <c r="F1475" s="199" t="s">
        <v>238</v>
      </c>
      <c r="G1475" s="199" t="s">
        <v>822</v>
      </c>
      <c r="H1475" s="199" t="s">
        <v>9</v>
      </c>
      <c r="I1475" s="20">
        <f>I1478</f>
        <v>131412.32</v>
      </c>
      <c r="J1475" s="20">
        <f>J1478</f>
        <v>39225.51</v>
      </c>
      <c r="K1475" s="20">
        <f>K1478</f>
        <v>0</v>
      </c>
      <c r="L1475" s="59">
        <v>420160070</v>
      </c>
      <c r="M1475" s="16" t="str">
        <f t="shared" si="566"/>
        <v>0420160070</v>
      </c>
      <c r="N1475" s="16" t="str">
        <f t="shared" si="567"/>
        <v>62004080420160070000</v>
      </c>
    </row>
    <row r="1476" spans="2:14" s="59" customFormat="1">
      <c r="B1476" s="388"/>
      <c r="C1476" s="201" t="s">
        <v>1104</v>
      </c>
      <c r="D1476" s="199"/>
      <c r="E1476" s="199"/>
      <c r="F1476" s="199"/>
      <c r="G1476" s="199"/>
      <c r="H1476" s="199"/>
      <c r="I1476" s="20"/>
      <c r="J1476" s="20"/>
      <c r="K1476" s="20"/>
      <c r="M1476" s="16" t="str">
        <f t="shared" si="566"/>
        <v>0000000000</v>
      </c>
      <c r="N1476" s="16" t="str">
        <f t="shared" si="567"/>
        <v>0000000000</v>
      </c>
    </row>
    <row r="1477" spans="2:14" s="59" customFormat="1" ht="89.25">
      <c r="B1477" s="388"/>
      <c r="C1477" s="201" t="s">
        <v>1141</v>
      </c>
      <c r="D1477" s="199" t="s">
        <v>410</v>
      </c>
      <c r="E1477" s="199" t="s">
        <v>73</v>
      </c>
      <c r="F1477" s="199" t="s">
        <v>238</v>
      </c>
      <c r="G1477" s="199" t="s">
        <v>822</v>
      </c>
      <c r="H1477" s="199" t="s">
        <v>9</v>
      </c>
      <c r="I1477" s="20">
        <f>36669.95</f>
        <v>36669.949999999997</v>
      </c>
      <c r="J1477" s="20">
        <f>39225.51</f>
        <v>39225.51</v>
      </c>
      <c r="K1477" s="20">
        <v>0</v>
      </c>
      <c r="L1477" s="59">
        <v>420160070</v>
      </c>
      <c r="M1477" s="16" t="str">
        <f t="shared" si="566"/>
        <v>0420160070</v>
      </c>
      <c r="N1477" s="16" t="str">
        <f t="shared" si="567"/>
        <v>62004080420160070000</v>
      </c>
    </row>
    <row r="1478" spans="2:14" s="59" customFormat="1" ht="38.25">
      <c r="B1478" s="388"/>
      <c r="C1478" s="201" t="s">
        <v>203</v>
      </c>
      <c r="D1478" s="199" t="s">
        <v>410</v>
      </c>
      <c r="E1478" s="199" t="s">
        <v>73</v>
      </c>
      <c r="F1478" s="199" t="s">
        <v>238</v>
      </c>
      <c r="G1478" s="199" t="s">
        <v>822</v>
      </c>
      <c r="H1478" s="199" t="s">
        <v>204</v>
      </c>
      <c r="I1478" s="329">
        <f>I1477+20000+21189.47+53552.9</f>
        <v>131412.32</v>
      </c>
      <c r="J1478" s="20">
        <f t="shared" ref="J1478:K1478" si="589">J1477</f>
        <v>39225.51</v>
      </c>
      <c r="K1478" s="20">
        <f t="shared" si="589"/>
        <v>0</v>
      </c>
      <c r="L1478" s="59">
        <v>420160070</v>
      </c>
      <c r="M1478" s="16" t="str">
        <f t="shared" ref="M1478:M1541" si="590">TEXT(L1478,"0000000000")</f>
        <v>0420160070</v>
      </c>
      <c r="N1478" s="16" t="str">
        <f t="shared" ref="N1478:N1541" si="591">D1478&amp;E1478&amp;F1478&amp;M1478&amp;H1478</f>
        <v>62004080420160070810</v>
      </c>
    </row>
    <row r="1479" spans="2:14" s="59" customFormat="1" ht="38.25">
      <c r="B1479" s="388"/>
      <c r="C1479" s="201" t="s">
        <v>87</v>
      </c>
      <c r="D1479" s="199" t="s">
        <v>410</v>
      </c>
      <c r="E1479" s="199" t="s">
        <v>73</v>
      </c>
      <c r="F1479" s="199" t="s">
        <v>238</v>
      </c>
      <c r="G1479" s="199" t="s">
        <v>88</v>
      </c>
      <c r="H1479" s="199" t="s">
        <v>9</v>
      </c>
      <c r="I1479" s="20">
        <f>I1480</f>
        <v>0.21</v>
      </c>
      <c r="J1479" s="20">
        <f t="shared" ref="J1479:K1480" si="592">J1480</f>
        <v>0.01</v>
      </c>
      <c r="K1479" s="20">
        <f t="shared" si="592"/>
        <v>0.01</v>
      </c>
      <c r="L1479" s="59">
        <v>9800000000</v>
      </c>
      <c r="M1479" s="16" t="str">
        <f t="shared" si="590"/>
        <v>9800000000</v>
      </c>
      <c r="N1479" s="16" t="str">
        <f t="shared" si="591"/>
        <v>62004089800000000000</v>
      </c>
    </row>
    <row r="1480" spans="2:14" s="59" customFormat="1">
      <c r="B1480" s="388"/>
      <c r="C1480" s="201" t="s">
        <v>89</v>
      </c>
      <c r="D1480" s="199" t="s">
        <v>410</v>
      </c>
      <c r="E1480" s="199" t="s">
        <v>73</v>
      </c>
      <c r="F1480" s="199" t="s">
        <v>238</v>
      </c>
      <c r="G1480" s="199" t="s">
        <v>90</v>
      </c>
      <c r="H1480" s="199" t="s">
        <v>9</v>
      </c>
      <c r="I1480" s="20">
        <f>I1481</f>
        <v>0.21</v>
      </c>
      <c r="J1480" s="20">
        <f t="shared" si="592"/>
        <v>0.01</v>
      </c>
      <c r="K1480" s="20">
        <f t="shared" si="592"/>
        <v>0.01</v>
      </c>
      <c r="L1480" s="59">
        <v>9810000000</v>
      </c>
      <c r="M1480" s="16" t="str">
        <f t="shared" si="590"/>
        <v>9810000000</v>
      </c>
      <c r="N1480" s="16" t="str">
        <f t="shared" si="591"/>
        <v>62004089810000000000</v>
      </c>
    </row>
    <row r="1481" spans="2:14" s="59" customFormat="1" ht="25.5">
      <c r="B1481" s="388"/>
      <c r="C1481" s="201" t="s">
        <v>823</v>
      </c>
      <c r="D1481" s="199" t="s">
        <v>410</v>
      </c>
      <c r="E1481" s="199" t="s">
        <v>73</v>
      </c>
      <c r="F1481" s="199" t="s">
        <v>238</v>
      </c>
      <c r="G1481" s="199" t="s">
        <v>824</v>
      </c>
      <c r="H1481" s="199" t="s">
        <v>9</v>
      </c>
      <c r="I1481" s="20">
        <f>I1484</f>
        <v>0.21</v>
      </c>
      <c r="J1481" s="20">
        <f>J1484</f>
        <v>0.01</v>
      </c>
      <c r="K1481" s="20">
        <f>K1484</f>
        <v>0.01</v>
      </c>
      <c r="L1481" s="59">
        <v>9810021170</v>
      </c>
      <c r="M1481" s="16" t="str">
        <f t="shared" si="590"/>
        <v>9810021170</v>
      </c>
      <c r="N1481" s="16" t="str">
        <f t="shared" si="591"/>
        <v>62004089810021170000</v>
      </c>
    </row>
    <row r="1482" spans="2:14" s="16" customFormat="1">
      <c r="B1482" s="14"/>
      <c r="C1482" s="220" t="s">
        <v>1104</v>
      </c>
      <c r="D1482" s="199"/>
      <c r="E1482" s="199"/>
      <c r="F1482" s="199"/>
      <c r="G1482" s="199"/>
      <c r="H1482" s="199"/>
      <c r="I1482" s="20"/>
      <c r="J1482" s="20"/>
      <c r="K1482" s="20"/>
      <c r="M1482" s="16" t="str">
        <f t="shared" si="590"/>
        <v>0000000000</v>
      </c>
      <c r="N1482" s="16" t="str">
        <f t="shared" si="591"/>
        <v>0000000000</v>
      </c>
    </row>
    <row r="1483" spans="2:14" s="16" customFormat="1">
      <c r="B1483" s="14"/>
      <c r="C1483" s="221" t="s">
        <v>1105</v>
      </c>
      <c r="D1483" s="223" t="s">
        <v>410</v>
      </c>
      <c r="E1483" s="223" t="s">
        <v>73</v>
      </c>
      <c r="F1483" s="223" t="s">
        <v>238</v>
      </c>
      <c r="G1483" s="223" t="s">
        <v>824</v>
      </c>
      <c r="H1483" s="223" t="s">
        <v>9</v>
      </c>
      <c r="I1483" s="224">
        <f>0.01</f>
        <v>0.01</v>
      </c>
      <c r="J1483" s="224">
        <v>0</v>
      </c>
      <c r="K1483" s="224">
        <v>0</v>
      </c>
      <c r="L1483" s="16">
        <v>9810021170</v>
      </c>
      <c r="M1483" s="16" t="str">
        <f t="shared" si="590"/>
        <v>9810021170</v>
      </c>
      <c r="N1483" s="16" t="str">
        <f t="shared" si="591"/>
        <v>62004089810021170000</v>
      </c>
    </row>
    <row r="1484" spans="2:14" s="16" customFormat="1" ht="25.5">
      <c r="B1484" s="14"/>
      <c r="C1484" s="197" t="s">
        <v>28</v>
      </c>
      <c r="D1484" s="199" t="s">
        <v>410</v>
      </c>
      <c r="E1484" s="199" t="s">
        <v>73</v>
      </c>
      <c r="F1484" s="199" t="s">
        <v>238</v>
      </c>
      <c r="G1484" s="199" t="s">
        <v>824</v>
      </c>
      <c r="H1484" s="199" t="s">
        <v>29</v>
      </c>
      <c r="I1484" s="20">
        <f>0.01+I1483+0.2-0.01</f>
        <v>0.21</v>
      </c>
      <c r="J1484" s="20">
        <f>0.01</f>
        <v>0.01</v>
      </c>
      <c r="K1484" s="20">
        <f>0.01</f>
        <v>0.01</v>
      </c>
      <c r="L1484" s="16">
        <v>9810021170</v>
      </c>
      <c r="M1484" s="16" t="str">
        <f t="shared" si="590"/>
        <v>9810021170</v>
      </c>
      <c r="N1484" s="16" t="str">
        <f t="shared" si="591"/>
        <v>62004089810021170240</v>
      </c>
    </row>
    <row r="1485" spans="2:14" s="16" customFormat="1">
      <c r="B1485" s="14"/>
      <c r="C1485" s="271" t="s">
        <v>760</v>
      </c>
      <c r="D1485" s="272" t="s">
        <v>410</v>
      </c>
      <c r="E1485" s="273" t="s">
        <v>73</v>
      </c>
      <c r="F1485" s="273" t="s">
        <v>471</v>
      </c>
      <c r="G1485" s="273" t="s">
        <v>8</v>
      </c>
      <c r="H1485" s="273" t="s">
        <v>9</v>
      </c>
      <c r="I1485" s="61">
        <f>I1486+I1491</f>
        <v>801274.36</v>
      </c>
      <c r="J1485" s="61">
        <f>J1486+J1491</f>
        <v>195549.59999999995</v>
      </c>
      <c r="K1485" s="61">
        <f>K1486+K1491</f>
        <v>213812.23999999996</v>
      </c>
      <c r="L1485" s="16">
        <v>0</v>
      </c>
      <c r="M1485" s="16" t="str">
        <f t="shared" si="590"/>
        <v>0000000000</v>
      </c>
      <c r="N1485" s="16" t="str">
        <f t="shared" si="591"/>
        <v>62004090000000000000</v>
      </c>
    </row>
    <row r="1486" spans="2:14" s="16" customFormat="1" ht="38.25">
      <c r="B1486" s="14"/>
      <c r="C1486" s="214" t="s">
        <v>285</v>
      </c>
      <c r="D1486" s="198" t="s">
        <v>410</v>
      </c>
      <c r="E1486" s="198" t="s">
        <v>73</v>
      </c>
      <c r="F1486" s="198" t="s">
        <v>471</v>
      </c>
      <c r="G1486" s="198" t="s">
        <v>286</v>
      </c>
      <c r="H1486" s="198" t="s">
        <v>9</v>
      </c>
      <c r="I1486" s="32">
        <f t="shared" ref="I1486:K1489" si="593">I1487</f>
        <v>5251.46</v>
      </c>
      <c r="J1486" s="32">
        <f t="shared" si="593"/>
        <v>5251.46</v>
      </c>
      <c r="K1486" s="32">
        <f t="shared" si="593"/>
        <v>5251.46</v>
      </c>
      <c r="L1486" s="16">
        <v>200000000</v>
      </c>
      <c r="M1486" s="16" t="str">
        <f t="shared" si="590"/>
        <v>0200000000</v>
      </c>
      <c r="N1486" s="16" t="str">
        <f t="shared" si="591"/>
        <v>62004090200000000000</v>
      </c>
    </row>
    <row r="1487" spans="2:14" s="16" customFormat="1" ht="51">
      <c r="B1487" s="14"/>
      <c r="C1487" s="197" t="s">
        <v>287</v>
      </c>
      <c r="D1487" s="198" t="s">
        <v>410</v>
      </c>
      <c r="E1487" s="198" t="s">
        <v>73</v>
      </c>
      <c r="F1487" s="198" t="s">
        <v>471</v>
      </c>
      <c r="G1487" s="198" t="s">
        <v>288</v>
      </c>
      <c r="H1487" s="198" t="s">
        <v>9</v>
      </c>
      <c r="I1487" s="32">
        <f t="shared" si="593"/>
        <v>5251.46</v>
      </c>
      <c r="J1487" s="32">
        <f t="shared" si="593"/>
        <v>5251.46</v>
      </c>
      <c r="K1487" s="32">
        <f t="shared" si="593"/>
        <v>5251.46</v>
      </c>
      <c r="L1487" s="16" t="s">
        <v>1182</v>
      </c>
      <c r="M1487" s="16" t="str">
        <f t="shared" si="590"/>
        <v>02Б0000000</v>
      </c>
      <c r="N1487" s="16" t="str">
        <f t="shared" si="591"/>
        <v>620040902Б0000000000</v>
      </c>
    </row>
    <row r="1488" spans="2:14" s="16" customFormat="1" ht="51">
      <c r="B1488" s="14"/>
      <c r="C1488" s="200" t="s">
        <v>825</v>
      </c>
      <c r="D1488" s="198" t="s">
        <v>410</v>
      </c>
      <c r="E1488" s="198" t="s">
        <v>73</v>
      </c>
      <c r="F1488" s="198" t="s">
        <v>471</v>
      </c>
      <c r="G1488" s="198" t="s">
        <v>826</v>
      </c>
      <c r="H1488" s="198" t="s">
        <v>9</v>
      </c>
      <c r="I1488" s="32">
        <f t="shared" si="593"/>
        <v>5251.46</v>
      </c>
      <c r="J1488" s="32">
        <f t="shared" si="593"/>
        <v>5251.46</v>
      </c>
      <c r="K1488" s="32">
        <f t="shared" si="593"/>
        <v>5251.46</v>
      </c>
      <c r="L1488" s="16" t="s">
        <v>1236</v>
      </c>
      <c r="M1488" s="16" t="str">
        <f t="shared" si="590"/>
        <v>02Б0200000</v>
      </c>
      <c r="N1488" s="16" t="str">
        <f t="shared" si="591"/>
        <v>620040902Б0200000000</v>
      </c>
    </row>
    <row r="1489" spans="2:14" s="16" customFormat="1" ht="51">
      <c r="B1489" s="14"/>
      <c r="C1489" s="200" t="s">
        <v>827</v>
      </c>
      <c r="D1489" s="198" t="s">
        <v>410</v>
      </c>
      <c r="E1489" s="198" t="s">
        <v>73</v>
      </c>
      <c r="F1489" s="198" t="s">
        <v>471</v>
      </c>
      <c r="G1489" s="198" t="s">
        <v>828</v>
      </c>
      <c r="H1489" s="198" t="s">
        <v>9</v>
      </c>
      <c r="I1489" s="32">
        <f t="shared" si="593"/>
        <v>5251.46</v>
      </c>
      <c r="J1489" s="32">
        <f t="shared" si="593"/>
        <v>5251.46</v>
      </c>
      <c r="K1489" s="32">
        <f t="shared" si="593"/>
        <v>5251.46</v>
      </c>
      <c r="L1489" s="16" t="s">
        <v>1237</v>
      </c>
      <c r="M1489" s="16" t="str">
        <f t="shared" si="590"/>
        <v>02Б0220560</v>
      </c>
      <c r="N1489" s="16" t="str">
        <f t="shared" si="591"/>
        <v>620040902Б0220560000</v>
      </c>
    </row>
    <row r="1490" spans="2:14" s="16" customFormat="1" ht="25.5">
      <c r="B1490" s="14"/>
      <c r="C1490" s="197" t="s">
        <v>28</v>
      </c>
      <c r="D1490" s="198" t="s">
        <v>410</v>
      </c>
      <c r="E1490" s="198" t="s">
        <v>73</v>
      </c>
      <c r="F1490" s="198" t="s">
        <v>471</v>
      </c>
      <c r="G1490" s="198" t="s">
        <v>828</v>
      </c>
      <c r="H1490" s="198" t="s">
        <v>29</v>
      </c>
      <c r="I1490" s="32">
        <f>5251.46+2000-2000</f>
        <v>5251.46</v>
      </c>
      <c r="J1490" s="32">
        <f t="shared" ref="J1490:K1490" si="594">5251.46</f>
        <v>5251.46</v>
      </c>
      <c r="K1490" s="32">
        <f t="shared" si="594"/>
        <v>5251.46</v>
      </c>
      <c r="L1490" s="16" t="s">
        <v>1237</v>
      </c>
      <c r="M1490" s="16" t="str">
        <f t="shared" si="590"/>
        <v>02Б0220560</v>
      </c>
      <c r="N1490" s="16" t="str">
        <f t="shared" si="591"/>
        <v>620040902Б0220560240</v>
      </c>
    </row>
    <row r="1491" spans="2:14" s="16" customFormat="1" ht="38.25">
      <c r="B1491" s="14"/>
      <c r="C1491" s="200" t="s">
        <v>293</v>
      </c>
      <c r="D1491" s="199" t="s">
        <v>410</v>
      </c>
      <c r="E1491" s="199" t="s">
        <v>73</v>
      </c>
      <c r="F1491" s="199" t="s">
        <v>471</v>
      </c>
      <c r="G1491" s="199" t="s">
        <v>294</v>
      </c>
      <c r="H1491" s="198" t="s">
        <v>9</v>
      </c>
      <c r="I1491" s="32">
        <f>I1492</f>
        <v>796022.9</v>
      </c>
      <c r="J1491" s="32">
        <f>J1492</f>
        <v>190298.13999999996</v>
      </c>
      <c r="K1491" s="32">
        <f>K1492</f>
        <v>208560.77999999997</v>
      </c>
      <c r="L1491" s="16">
        <v>400000000</v>
      </c>
      <c r="M1491" s="16" t="str">
        <f t="shared" si="590"/>
        <v>0400000000</v>
      </c>
      <c r="N1491" s="16" t="str">
        <f t="shared" si="591"/>
        <v>62004090400000000000</v>
      </c>
    </row>
    <row r="1492" spans="2:14" s="16" customFormat="1" ht="38.25">
      <c r="B1492" s="14"/>
      <c r="C1492" s="226" t="s">
        <v>295</v>
      </c>
      <c r="D1492" s="199" t="s">
        <v>410</v>
      </c>
      <c r="E1492" s="199" t="s">
        <v>73</v>
      </c>
      <c r="F1492" s="199" t="s">
        <v>471</v>
      </c>
      <c r="G1492" s="199" t="s">
        <v>296</v>
      </c>
      <c r="H1492" s="198" t="s">
        <v>9</v>
      </c>
      <c r="I1492" s="32">
        <f>I1493+I1534</f>
        <v>796022.9</v>
      </c>
      <c r="J1492" s="32">
        <f>J1493+J1534</f>
        <v>190298.13999999996</v>
      </c>
      <c r="K1492" s="32">
        <f>K1493+K1534</f>
        <v>208560.77999999997</v>
      </c>
      <c r="L1492" s="16">
        <v>420000000</v>
      </c>
      <c r="M1492" s="16" t="str">
        <f t="shared" si="590"/>
        <v>0420000000</v>
      </c>
      <c r="N1492" s="16" t="str">
        <f t="shared" si="591"/>
        <v>62004090420000000000</v>
      </c>
    </row>
    <row r="1493" spans="2:14" s="16" customFormat="1" ht="38.25">
      <c r="B1493" s="14"/>
      <c r="C1493" s="197" t="s">
        <v>297</v>
      </c>
      <c r="D1493" s="199" t="s">
        <v>410</v>
      </c>
      <c r="E1493" s="199" t="s">
        <v>73</v>
      </c>
      <c r="F1493" s="199" t="s">
        <v>471</v>
      </c>
      <c r="G1493" s="199" t="s">
        <v>298</v>
      </c>
      <c r="H1493" s="198" t="s">
        <v>9</v>
      </c>
      <c r="I1493" s="32">
        <f>I1494+I1498+I1510+I1528+I1500+I1506+I1530+I1514+I1526+I1516+I1518+I1520+I1522</f>
        <v>722871.05</v>
      </c>
      <c r="J1493" s="32">
        <f t="shared" ref="J1493:K1493" si="595">J1494+J1498+J1510+J1528+J1500+J1506+J1530+J1514+J1526+J1516+J1518+J1520+J1522</f>
        <v>137808.30999999997</v>
      </c>
      <c r="K1493" s="32">
        <f t="shared" si="595"/>
        <v>156070.94999999998</v>
      </c>
      <c r="L1493" s="16">
        <v>420200000</v>
      </c>
      <c r="M1493" s="16" t="str">
        <f t="shared" si="590"/>
        <v>0420200000</v>
      </c>
      <c r="N1493" s="16" t="str">
        <f t="shared" si="591"/>
        <v>62004090420200000000</v>
      </c>
    </row>
    <row r="1494" spans="2:14" s="16" customFormat="1" ht="25.5">
      <c r="B1494" s="14"/>
      <c r="C1494" s="197" t="s">
        <v>829</v>
      </c>
      <c r="D1494" s="199" t="s">
        <v>410</v>
      </c>
      <c r="E1494" s="199" t="s">
        <v>73</v>
      </c>
      <c r="F1494" s="199" t="s">
        <v>471</v>
      </c>
      <c r="G1494" s="199" t="s">
        <v>830</v>
      </c>
      <c r="H1494" s="198" t="s">
        <v>9</v>
      </c>
      <c r="I1494" s="32">
        <f>I1497</f>
        <v>101482.91999999998</v>
      </c>
      <c r="J1494" s="32">
        <f t="shared" ref="J1494:K1494" si="596">J1497</f>
        <v>70362.12999999999</v>
      </c>
      <c r="K1494" s="32">
        <f t="shared" si="596"/>
        <v>70362.12999999999</v>
      </c>
      <c r="L1494" s="16">
        <v>420220130</v>
      </c>
      <c r="M1494" s="16" t="str">
        <f t="shared" si="590"/>
        <v>0420220130</v>
      </c>
      <c r="N1494" s="16" t="str">
        <f t="shared" si="591"/>
        <v>62004090420220130000</v>
      </c>
    </row>
    <row r="1495" spans="2:14" s="16" customFormat="1">
      <c r="B1495" s="14"/>
      <c r="C1495" s="220" t="s">
        <v>1104</v>
      </c>
      <c r="D1495" s="199"/>
      <c r="E1495" s="199"/>
      <c r="F1495" s="199"/>
      <c r="G1495" s="199"/>
      <c r="H1495" s="198"/>
      <c r="I1495" s="32"/>
      <c r="J1495" s="32"/>
      <c r="K1495" s="32"/>
      <c r="M1495" s="16" t="str">
        <f t="shared" si="590"/>
        <v>0000000000</v>
      </c>
      <c r="N1495" s="16" t="str">
        <f t="shared" si="591"/>
        <v>0000000000</v>
      </c>
    </row>
    <row r="1496" spans="2:14" s="16" customFormat="1">
      <c r="B1496" s="14"/>
      <c r="C1496" s="221" t="s">
        <v>1105</v>
      </c>
      <c r="D1496" s="223" t="s">
        <v>410</v>
      </c>
      <c r="E1496" s="223" t="s">
        <v>73</v>
      </c>
      <c r="F1496" s="223" t="s">
        <v>471</v>
      </c>
      <c r="G1496" s="223" t="s">
        <v>830</v>
      </c>
      <c r="H1496" s="222" t="s">
        <v>9</v>
      </c>
      <c r="I1496" s="229">
        <f>891.4</f>
        <v>891.4</v>
      </c>
      <c r="J1496" s="229">
        <v>0</v>
      </c>
      <c r="K1496" s="229">
        <v>0</v>
      </c>
      <c r="L1496" s="16">
        <v>420220130</v>
      </c>
      <c r="M1496" s="16" t="str">
        <f t="shared" si="590"/>
        <v>0420220130</v>
      </c>
      <c r="N1496" s="16" t="str">
        <f t="shared" si="591"/>
        <v>62004090420220130000</v>
      </c>
    </row>
    <row r="1497" spans="2:14" s="16" customFormat="1" ht="25.5">
      <c r="B1497" s="14"/>
      <c r="C1497" s="197" t="s">
        <v>28</v>
      </c>
      <c r="D1497" s="199" t="s">
        <v>410</v>
      </c>
      <c r="E1497" s="199" t="s">
        <v>73</v>
      </c>
      <c r="F1497" s="199" t="s">
        <v>471</v>
      </c>
      <c r="G1497" s="199" t="s">
        <v>830</v>
      </c>
      <c r="H1497" s="198" t="s">
        <v>29</v>
      </c>
      <c r="I1497" s="32">
        <f>50830.06+10347.82+10873.83+5000-5000+6080+I1496-347.8-25722-4712.65+25722-4481.48+1353.79-873.83+260-1353.79+25873.26+3997.46+1361.75+1750-200-166.9</f>
        <v>101482.91999999998</v>
      </c>
      <c r="J1497" s="32">
        <f>50830.06+10347.82+10873.83+5000-5000-1689.58</f>
        <v>70362.12999999999</v>
      </c>
      <c r="K1497" s="32">
        <f>50830.06+10347.82+10873.83+5000-5000-1689.58</f>
        <v>70362.12999999999</v>
      </c>
      <c r="L1497" s="16">
        <v>420220130</v>
      </c>
      <c r="M1497" s="16" t="str">
        <f t="shared" si="590"/>
        <v>0420220130</v>
      </c>
      <c r="N1497" s="16" t="str">
        <f t="shared" si="591"/>
        <v>62004090420220130240</v>
      </c>
    </row>
    <row r="1498" spans="2:14" s="16" customFormat="1">
      <c r="B1498" s="14"/>
      <c r="C1498" s="197" t="s">
        <v>833</v>
      </c>
      <c r="D1498" s="199" t="s">
        <v>410</v>
      </c>
      <c r="E1498" s="199" t="s">
        <v>73</v>
      </c>
      <c r="F1498" s="199" t="s">
        <v>471</v>
      </c>
      <c r="G1498" s="199" t="s">
        <v>834</v>
      </c>
      <c r="H1498" s="198" t="s">
        <v>9</v>
      </c>
      <c r="I1498" s="32">
        <f>I1499</f>
        <v>2311.63</v>
      </c>
      <c r="J1498" s="32">
        <f>J1499</f>
        <v>1350</v>
      </c>
      <c r="K1498" s="32">
        <f>K1499</f>
        <v>1350</v>
      </c>
      <c r="L1498" s="16">
        <v>420220830</v>
      </c>
      <c r="M1498" s="16" t="str">
        <f t="shared" si="590"/>
        <v>0420220830</v>
      </c>
      <c r="N1498" s="16" t="str">
        <f t="shared" si="591"/>
        <v>62004090420220830000</v>
      </c>
    </row>
    <row r="1499" spans="2:14" s="16" customFormat="1" ht="25.5">
      <c r="B1499" s="14"/>
      <c r="C1499" s="197" t="s">
        <v>28</v>
      </c>
      <c r="D1499" s="199" t="s">
        <v>410</v>
      </c>
      <c r="E1499" s="199" t="s">
        <v>73</v>
      </c>
      <c r="F1499" s="199" t="s">
        <v>471</v>
      </c>
      <c r="G1499" s="199" t="s">
        <v>834</v>
      </c>
      <c r="H1499" s="198" t="s">
        <v>29</v>
      </c>
      <c r="I1499" s="32">
        <f>1350+347.8+873.83-260</f>
        <v>2311.63</v>
      </c>
      <c r="J1499" s="32">
        <f>1350</f>
        <v>1350</v>
      </c>
      <c r="K1499" s="32">
        <f>1350</f>
        <v>1350</v>
      </c>
      <c r="L1499" s="16">
        <v>420220830</v>
      </c>
      <c r="M1499" s="16" t="str">
        <f t="shared" si="590"/>
        <v>0420220830</v>
      </c>
      <c r="N1499" s="16" t="str">
        <f t="shared" si="591"/>
        <v>62004090420220830240</v>
      </c>
    </row>
    <row r="1500" spans="2:14" s="16" customFormat="1" ht="25.5">
      <c r="B1500" s="14"/>
      <c r="C1500" s="197" t="s">
        <v>835</v>
      </c>
      <c r="D1500" s="199" t="s">
        <v>410</v>
      </c>
      <c r="E1500" s="199" t="s">
        <v>73</v>
      </c>
      <c r="F1500" s="199" t="s">
        <v>471</v>
      </c>
      <c r="G1500" s="199" t="s">
        <v>836</v>
      </c>
      <c r="H1500" s="198" t="s">
        <v>9</v>
      </c>
      <c r="I1500" s="32">
        <f>I1505</f>
        <v>10049.99</v>
      </c>
      <c r="J1500" s="32">
        <f t="shared" ref="J1500:K1500" si="597">J1505</f>
        <v>4435.2800000000007</v>
      </c>
      <c r="K1500" s="32">
        <f t="shared" si="597"/>
        <v>22697.919999999998</v>
      </c>
      <c r="L1500" s="16">
        <v>420221180</v>
      </c>
      <c r="M1500" s="16" t="str">
        <f t="shared" si="590"/>
        <v>0420221180</v>
      </c>
      <c r="N1500" s="16" t="str">
        <f t="shared" si="591"/>
        <v>62004090420221180000</v>
      </c>
    </row>
    <row r="1501" spans="2:14" s="16" customFormat="1">
      <c r="B1501" s="14"/>
      <c r="C1501" s="197" t="s">
        <v>1045</v>
      </c>
      <c r="D1501" s="199"/>
      <c r="E1501" s="199"/>
      <c r="F1501" s="199"/>
      <c r="G1501" s="199"/>
      <c r="H1501" s="198"/>
      <c r="I1501" s="32"/>
      <c r="J1501" s="32"/>
      <c r="K1501" s="32"/>
      <c r="M1501" s="16" t="str">
        <f t="shared" si="590"/>
        <v>0000000000</v>
      </c>
      <c r="N1501" s="16" t="str">
        <f t="shared" si="591"/>
        <v>0000000000</v>
      </c>
    </row>
    <row r="1502" spans="2:14" s="16" customFormat="1" ht="25.5">
      <c r="B1502" s="14"/>
      <c r="C1502" s="197" t="s">
        <v>1142</v>
      </c>
      <c r="D1502" s="199" t="s">
        <v>410</v>
      </c>
      <c r="E1502" s="199" t="s">
        <v>73</v>
      </c>
      <c r="F1502" s="199" t="s">
        <v>471</v>
      </c>
      <c r="G1502" s="199" t="s">
        <v>836</v>
      </c>
      <c r="H1502" s="198" t="s">
        <v>9</v>
      </c>
      <c r="I1502" s="210">
        <f>21274.62-21274.62</f>
        <v>0</v>
      </c>
      <c r="J1502" s="32">
        <f>13566.6-9131.32</f>
        <v>4435.2800000000007</v>
      </c>
      <c r="K1502" s="32">
        <f>13566.6+9131.32</f>
        <v>22697.919999999998</v>
      </c>
      <c r="L1502" s="16">
        <v>420221180</v>
      </c>
      <c r="M1502" s="16" t="str">
        <f t="shared" si="590"/>
        <v>0420221180</v>
      </c>
      <c r="N1502" s="16" t="str">
        <f t="shared" si="591"/>
        <v>62004090420221180000</v>
      </c>
    </row>
    <row r="1503" spans="2:14" s="16" customFormat="1" ht="58.5" customHeight="1">
      <c r="B1503" s="14"/>
      <c r="C1503" s="197" t="s">
        <v>1328</v>
      </c>
      <c r="D1503" s="199" t="s">
        <v>410</v>
      </c>
      <c r="E1503" s="199" t="s">
        <v>73</v>
      </c>
      <c r="F1503" s="199" t="s">
        <v>471</v>
      </c>
      <c r="G1503" s="199" t="s">
        <v>836</v>
      </c>
      <c r="H1503" s="198" t="s">
        <v>9</v>
      </c>
      <c r="I1503" s="32">
        <f>1300</f>
        <v>1300</v>
      </c>
      <c r="J1503" s="32">
        <v>0</v>
      </c>
      <c r="K1503" s="32">
        <v>0</v>
      </c>
      <c r="L1503" s="16">
        <v>420221180</v>
      </c>
      <c r="M1503" s="16" t="str">
        <f t="shared" si="590"/>
        <v>0420221180</v>
      </c>
      <c r="N1503" s="16" t="str">
        <f t="shared" si="591"/>
        <v>62004090420221180000</v>
      </c>
    </row>
    <row r="1504" spans="2:14" s="16" customFormat="1" ht="58.5" customHeight="1">
      <c r="B1504" s="14"/>
      <c r="C1504" s="201" t="s">
        <v>2293</v>
      </c>
      <c r="D1504" s="199" t="s">
        <v>410</v>
      </c>
      <c r="E1504" s="199" t="s">
        <v>73</v>
      </c>
      <c r="F1504" s="199" t="s">
        <v>471</v>
      </c>
      <c r="G1504" s="199" t="s">
        <v>836</v>
      </c>
      <c r="H1504" s="198" t="s">
        <v>9</v>
      </c>
      <c r="I1504" s="32">
        <v>8749.99</v>
      </c>
      <c r="J1504" s="32">
        <v>0</v>
      </c>
      <c r="K1504" s="32">
        <v>0</v>
      </c>
      <c r="L1504" s="16">
        <v>420221180</v>
      </c>
      <c r="M1504" s="16" t="str">
        <f t="shared" si="590"/>
        <v>0420221180</v>
      </c>
      <c r="N1504" s="16" t="str">
        <f t="shared" si="591"/>
        <v>62004090420221180000</v>
      </c>
    </row>
    <row r="1505" spans="2:14" s="275" customFormat="1">
      <c r="B1505" s="382"/>
      <c r="C1505" s="231" t="s">
        <v>837</v>
      </c>
      <c r="D1505" s="233" t="s">
        <v>410</v>
      </c>
      <c r="E1505" s="233" t="s">
        <v>73</v>
      </c>
      <c r="F1505" s="233" t="s">
        <v>471</v>
      </c>
      <c r="G1505" s="233" t="s">
        <v>836</v>
      </c>
      <c r="H1505" s="232" t="s">
        <v>838</v>
      </c>
      <c r="I1505" s="274">
        <f>SUM(I1502:I1504)</f>
        <v>10049.99</v>
      </c>
      <c r="J1505" s="274">
        <f t="shared" ref="J1505:K1505" si="598">SUM(J1502:J1503)</f>
        <v>4435.2800000000007</v>
      </c>
      <c r="K1505" s="274">
        <f t="shared" si="598"/>
        <v>22697.919999999998</v>
      </c>
      <c r="L1505" s="275">
        <v>420221180</v>
      </c>
      <c r="M1505" s="16" t="str">
        <f t="shared" si="590"/>
        <v>0420221180</v>
      </c>
      <c r="N1505" s="16" t="str">
        <f t="shared" si="591"/>
        <v>62004090420221180410</v>
      </c>
    </row>
    <row r="1506" spans="2:14" s="275" customFormat="1" ht="63.75">
      <c r="B1506" s="382" t="s">
        <v>2282</v>
      </c>
      <c r="C1506" s="197" t="s">
        <v>1075</v>
      </c>
      <c r="D1506" s="198" t="s">
        <v>410</v>
      </c>
      <c r="E1506" s="199" t="s">
        <v>73</v>
      </c>
      <c r="F1506" s="199" t="s">
        <v>471</v>
      </c>
      <c r="G1506" s="199" t="s">
        <v>1076</v>
      </c>
      <c r="H1506" s="199" t="s">
        <v>9</v>
      </c>
      <c r="I1506" s="20">
        <f>I1509</f>
        <v>3.93</v>
      </c>
      <c r="J1506" s="20">
        <f t="shared" ref="J1506:K1506" si="599">J1509</f>
        <v>0</v>
      </c>
      <c r="K1506" s="20">
        <f t="shared" si="599"/>
        <v>0</v>
      </c>
      <c r="L1506" s="275">
        <v>420221410</v>
      </c>
      <c r="M1506" s="16" t="str">
        <f t="shared" si="590"/>
        <v>0420221410</v>
      </c>
      <c r="N1506" s="16" t="str">
        <f t="shared" si="591"/>
        <v>62004090420221410000</v>
      </c>
    </row>
    <row r="1507" spans="2:14" s="275" customFormat="1">
      <c r="B1507" s="382"/>
      <c r="C1507" s="220" t="s">
        <v>1104</v>
      </c>
      <c r="D1507" s="198"/>
      <c r="E1507" s="199"/>
      <c r="F1507" s="199"/>
      <c r="G1507" s="199"/>
      <c r="H1507" s="199"/>
      <c r="I1507" s="20"/>
      <c r="J1507" s="20"/>
      <c r="K1507" s="20"/>
      <c r="M1507" s="16" t="str">
        <f t="shared" si="590"/>
        <v>0000000000</v>
      </c>
      <c r="N1507" s="16" t="str">
        <f t="shared" si="591"/>
        <v>0000000000</v>
      </c>
    </row>
    <row r="1508" spans="2:14" s="275" customFormat="1">
      <c r="B1508" s="382"/>
      <c r="C1508" s="318" t="s">
        <v>1105</v>
      </c>
      <c r="D1508" s="322" t="s">
        <v>410</v>
      </c>
      <c r="E1508" s="319" t="s">
        <v>73</v>
      </c>
      <c r="F1508" s="319" t="s">
        <v>471</v>
      </c>
      <c r="G1508" s="319" t="s">
        <v>1076</v>
      </c>
      <c r="H1508" s="319" t="s">
        <v>9</v>
      </c>
      <c r="I1508" s="320">
        <f>3.93</f>
        <v>3.93</v>
      </c>
      <c r="J1508" s="320">
        <v>0</v>
      </c>
      <c r="K1508" s="320">
        <v>0</v>
      </c>
      <c r="L1508" s="275">
        <v>420221410</v>
      </c>
      <c r="M1508" s="16" t="str">
        <f t="shared" si="590"/>
        <v>0420221410</v>
      </c>
      <c r="N1508" s="16" t="str">
        <f t="shared" si="591"/>
        <v>62004090420221410000</v>
      </c>
    </row>
    <row r="1509" spans="2:14" s="275" customFormat="1" ht="25.5">
      <c r="B1509" s="382"/>
      <c r="C1509" s="197" t="s">
        <v>28</v>
      </c>
      <c r="D1509" s="198" t="s">
        <v>410</v>
      </c>
      <c r="E1509" s="199" t="s">
        <v>73</v>
      </c>
      <c r="F1509" s="199" t="s">
        <v>471</v>
      </c>
      <c r="G1509" s="199" t="s">
        <v>1076</v>
      </c>
      <c r="H1509" s="199" t="s">
        <v>29</v>
      </c>
      <c r="I1509" s="20">
        <f>I1508</f>
        <v>3.93</v>
      </c>
      <c r="J1509" s="20">
        <f t="shared" ref="J1509:K1509" si="600">J1508</f>
        <v>0</v>
      </c>
      <c r="K1509" s="20">
        <f t="shared" si="600"/>
        <v>0</v>
      </c>
      <c r="L1509" s="275">
        <v>420221410</v>
      </c>
      <c r="M1509" s="16" t="str">
        <f t="shared" si="590"/>
        <v>0420221410</v>
      </c>
      <c r="N1509" s="16" t="str">
        <f t="shared" si="591"/>
        <v>62004090420221410240</v>
      </c>
    </row>
    <row r="1510" spans="2:14" s="16" customFormat="1" ht="63.75">
      <c r="B1510" s="14"/>
      <c r="C1510" s="197" t="s">
        <v>845</v>
      </c>
      <c r="D1510" s="198" t="s">
        <v>410</v>
      </c>
      <c r="E1510" s="199" t="s">
        <v>73</v>
      </c>
      <c r="F1510" s="199" t="s">
        <v>471</v>
      </c>
      <c r="G1510" s="230" t="s">
        <v>846</v>
      </c>
      <c r="H1510" s="198" t="s">
        <v>9</v>
      </c>
      <c r="I1510" s="32">
        <f>I1513</f>
        <v>17461.53</v>
      </c>
      <c r="J1510" s="32">
        <f>J1513</f>
        <v>26441.059999999998</v>
      </c>
      <c r="K1510" s="32">
        <f>K1513</f>
        <v>26441.059999999998</v>
      </c>
      <c r="L1510" s="16">
        <v>420260090</v>
      </c>
      <c r="M1510" s="16" t="str">
        <f t="shared" si="590"/>
        <v>0420260090</v>
      </c>
      <c r="N1510" s="16" t="str">
        <f t="shared" si="591"/>
        <v>62004090420260090000</v>
      </c>
    </row>
    <row r="1511" spans="2:14" s="16" customFormat="1">
      <c r="B1511" s="14"/>
      <c r="C1511" s="220" t="s">
        <v>1104</v>
      </c>
      <c r="D1511" s="198"/>
      <c r="E1511" s="199"/>
      <c r="F1511" s="199"/>
      <c r="G1511" s="230"/>
      <c r="H1511" s="198"/>
      <c r="I1511" s="32"/>
      <c r="J1511" s="32"/>
      <c r="K1511" s="32"/>
      <c r="M1511" s="16" t="str">
        <f t="shared" si="590"/>
        <v>0000000000</v>
      </c>
      <c r="N1511" s="16" t="str">
        <f t="shared" si="591"/>
        <v>0000000000</v>
      </c>
    </row>
    <row r="1512" spans="2:14" s="16" customFormat="1">
      <c r="B1512" s="14"/>
      <c r="C1512" s="221" t="s">
        <v>1105</v>
      </c>
      <c r="D1512" s="222" t="s">
        <v>410</v>
      </c>
      <c r="E1512" s="223" t="s">
        <v>73</v>
      </c>
      <c r="F1512" s="223" t="s">
        <v>471</v>
      </c>
      <c r="G1512" s="276" t="s">
        <v>846</v>
      </c>
      <c r="H1512" s="222" t="s">
        <v>9</v>
      </c>
      <c r="I1512" s="229">
        <f>200.91</f>
        <v>200.91</v>
      </c>
      <c r="J1512" s="229">
        <v>0</v>
      </c>
      <c r="K1512" s="229">
        <v>0</v>
      </c>
      <c r="L1512" s="16">
        <v>420260090</v>
      </c>
      <c r="M1512" s="16" t="str">
        <f t="shared" si="590"/>
        <v>0420260090</v>
      </c>
      <c r="N1512" s="16" t="str">
        <f t="shared" si="591"/>
        <v>62004090420260090000</v>
      </c>
    </row>
    <row r="1513" spans="2:14" s="16" customFormat="1" ht="38.25">
      <c r="B1513" s="14"/>
      <c r="C1513" s="277" t="s">
        <v>203</v>
      </c>
      <c r="D1513" s="198" t="s">
        <v>410</v>
      </c>
      <c r="E1513" s="199" t="s">
        <v>73</v>
      </c>
      <c r="F1513" s="199" t="s">
        <v>471</v>
      </c>
      <c r="G1513" s="230" t="s">
        <v>846</v>
      </c>
      <c r="H1513" s="198" t="s">
        <v>204</v>
      </c>
      <c r="I1513" s="32">
        <f>25479.01-8218.39+I1512</f>
        <v>17461.53</v>
      </c>
      <c r="J1513" s="32">
        <f>25479.01+962.05</f>
        <v>26441.059999999998</v>
      </c>
      <c r="K1513" s="32">
        <f>25479.01+962.05</f>
        <v>26441.059999999998</v>
      </c>
      <c r="L1513" s="16">
        <v>420260090</v>
      </c>
      <c r="M1513" s="16" t="str">
        <f t="shared" si="590"/>
        <v>0420260090</v>
      </c>
      <c r="N1513" s="16" t="str">
        <f t="shared" si="591"/>
        <v>62004090420260090810</v>
      </c>
    </row>
    <row r="1514" spans="2:14" s="16" customFormat="1" ht="38.25">
      <c r="B1514" s="14" t="s">
        <v>2282</v>
      </c>
      <c r="C1514" s="277" t="s">
        <v>1329</v>
      </c>
      <c r="D1514" s="198" t="s">
        <v>410</v>
      </c>
      <c r="E1514" s="199" t="s">
        <v>73</v>
      </c>
      <c r="F1514" s="199" t="s">
        <v>471</v>
      </c>
      <c r="G1514" s="230" t="s">
        <v>1330</v>
      </c>
      <c r="H1514" s="198" t="s">
        <v>9</v>
      </c>
      <c r="I1514" s="32">
        <f>I1515</f>
        <v>18537.73</v>
      </c>
      <c r="J1514" s="32">
        <f>J1515</f>
        <v>18688.990000000002</v>
      </c>
      <c r="K1514" s="32">
        <f>K1515</f>
        <v>18688.990000000002</v>
      </c>
      <c r="L1514" s="16">
        <v>420276411</v>
      </c>
      <c r="M1514" s="16" t="str">
        <f t="shared" si="590"/>
        <v>0420276411</v>
      </c>
      <c r="N1514" s="16" t="str">
        <f t="shared" si="591"/>
        <v>62004090420276411000</v>
      </c>
    </row>
    <row r="1515" spans="2:14" s="16" customFormat="1" ht="25.5">
      <c r="B1515" s="14"/>
      <c r="C1515" s="197" t="s">
        <v>28</v>
      </c>
      <c r="D1515" s="198" t="s">
        <v>410</v>
      </c>
      <c r="E1515" s="199" t="s">
        <v>73</v>
      </c>
      <c r="F1515" s="199" t="s">
        <v>471</v>
      </c>
      <c r="G1515" s="230" t="s">
        <v>1330</v>
      </c>
      <c r="H1515" s="198" t="s">
        <v>29</v>
      </c>
      <c r="I1515" s="32">
        <f>44410.99-25722+25722-25873.26</f>
        <v>18537.73</v>
      </c>
      <c r="J1515" s="32">
        <f>18688.99</f>
        <v>18688.990000000002</v>
      </c>
      <c r="K1515" s="32">
        <f>18688.99</f>
        <v>18688.990000000002</v>
      </c>
      <c r="L1515" s="16">
        <v>420276411</v>
      </c>
      <c r="M1515" s="16" t="str">
        <f t="shared" si="590"/>
        <v>0420276411</v>
      </c>
      <c r="N1515" s="16" t="str">
        <f t="shared" si="591"/>
        <v>62004090420276411240</v>
      </c>
    </row>
    <row r="1516" spans="2:14" s="16" customFormat="1" ht="38.25">
      <c r="B1516" s="14" t="s">
        <v>2282</v>
      </c>
      <c r="C1516" s="197" t="s">
        <v>1331</v>
      </c>
      <c r="D1516" s="198" t="s">
        <v>410</v>
      </c>
      <c r="E1516" s="199" t="s">
        <v>73</v>
      </c>
      <c r="F1516" s="199" t="s">
        <v>471</v>
      </c>
      <c r="G1516" s="230" t="s">
        <v>1332</v>
      </c>
      <c r="H1516" s="198" t="s">
        <v>9</v>
      </c>
      <c r="I1516" s="32">
        <f>I1517</f>
        <v>6350</v>
      </c>
      <c r="J1516" s="32">
        <f>J1517</f>
        <v>0</v>
      </c>
      <c r="K1516" s="32">
        <f>K1517</f>
        <v>0</v>
      </c>
      <c r="L1516" s="16">
        <v>420276412</v>
      </c>
      <c r="M1516" s="16" t="str">
        <f t="shared" si="590"/>
        <v>0420276412</v>
      </c>
      <c r="N1516" s="16" t="str">
        <f t="shared" si="591"/>
        <v>62004090420276412000</v>
      </c>
    </row>
    <row r="1517" spans="2:14" s="16" customFormat="1" ht="25.5">
      <c r="B1517" s="14"/>
      <c r="C1517" s="197" t="s">
        <v>28</v>
      </c>
      <c r="D1517" s="198" t="s">
        <v>410</v>
      </c>
      <c r="E1517" s="199" t="s">
        <v>73</v>
      </c>
      <c r="F1517" s="199" t="s">
        <v>471</v>
      </c>
      <c r="G1517" s="230" t="s">
        <v>1332</v>
      </c>
      <c r="H1517" s="198" t="s">
        <v>29</v>
      </c>
      <c r="I1517" s="32">
        <f>6350</f>
        <v>6350</v>
      </c>
      <c r="J1517" s="32">
        <v>0</v>
      </c>
      <c r="K1517" s="32">
        <v>0</v>
      </c>
      <c r="L1517" s="16">
        <v>420276412</v>
      </c>
      <c r="M1517" s="16" t="str">
        <f t="shared" si="590"/>
        <v>0420276412</v>
      </c>
      <c r="N1517" s="16" t="str">
        <f t="shared" si="591"/>
        <v>62004090420276412240</v>
      </c>
    </row>
    <row r="1518" spans="2:14" s="16" customFormat="1" ht="114.75">
      <c r="B1518" s="14" t="s">
        <v>2282</v>
      </c>
      <c r="C1518" s="197" t="s">
        <v>1333</v>
      </c>
      <c r="D1518" s="198" t="s">
        <v>410</v>
      </c>
      <c r="E1518" s="199" t="s">
        <v>73</v>
      </c>
      <c r="F1518" s="199" t="s">
        <v>471</v>
      </c>
      <c r="G1518" s="230" t="s">
        <v>1334</v>
      </c>
      <c r="H1518" s="198" t="s">
        <v>9</v>
      </c>
      <c r="I1518" s="32">
        <f>I1519</f>
        <v>19287.71</v>
      </c>
      <c r="J1518" s="32">
        <f>J1519</f>
        <v>0</v>
      </c>
      <c r="K1518" s="32">
        <f>K1519</f>
        <v>0</v>
      </c>
      <c r="L1518" s="16">
        <v>420276414</v>
      </c>
      <c r="M1518" s="16" t="str">
        <f t="shared" si="590"/>
        <v>0420276414</v>
      </c>
      <c r="N1518" s="16" t="str">
        <f t="shared" si="591"/>
        <v>62004090420276414000</v>
      </c>
    </row>
    <row r="1519" spans="2:14" s="16" customFormat="1" ht="25.5">
      <c r="B1519" s="14"/>
      <c r="C1519" s="197" t="s">
        <v>28</v>
      </c>
      <c r="D1519" s="198" t="s">
        <v>410</v>
      </c>
      <c r="E1519" s="199" t="s">
        <v>73</v>
      </c>
      <c r="F1519" s="199" t="s">
        <v>471</v>
      </c>
      <c r="G1519" s="230" t="s">
        <v>1334</v>
      </c>
      <c r="H1519" s="198" t="s">
        <v>29</v>
      </c>
      <c r="I1519" s="32">
        <f>19287.71</f>
        <v>19287.71</v>
      </c>
      <c r="J1519" s="32">
        <v>0</v>
      </c>
      <c r="K1519" s="32">
        <v>0</v>
      </c>
      <c r="L1519" s="16">
        <v>420276414</v>
      </c>
      <c r="M1519" s="16" t="str">
        <f t="shared" si="590"/>
        <v>0420276414</v>
      </c>
      <c r="N1519" s="16" t="str">
        <f t="shared" si="591"/>
        <v>62004090420276414240</v>
      </c>
    </row>
    <row r="1520" spans="2:14" s="16" customFormat="1" ht="25.5">
      <c r="B1520" s="14"/>
      <c r="C1520" s="197" t="s">
        <v>1335</v>
      </c>
      <c r="D1520" s="198" t="s">
        <v>410</v>
      </c>
      <c r="E1520" s="199" t="s">
        <v>73</v>
      </c>
      <c r="F1520" s="199" t="s">
        <v>471</v>
      </c>
      <c r="G1520" s="230" t="s">
        <v>1336</v>
      </c>
      <c r="H1520" s="198" t="s">
        <v>9</v>
      </c>
      <c r="I1520" s="32">
        <f>I1521</f>
        <v>327923.8</v>
      </c>
      <c r="J1520" s="32">
        <f t="shared" ref="J1520:K1520" si="601">J1521</f>
        <v>0</v>
      </c>
      <c r="K1520" s="32">
        <f t="shared" si="601"/>
        <v>0</v>
      </c>
      <c r="L1520" s="16">
        <v>420276460</v>
      </c>
      <c r="M1520" s="16" t="str">
        <f t="shared" si="590"/>
        <v>0420276460</v>
      </c>
      <c r="N1520" s="16" t="str">
        <f t="shared" si="591"/>
        <v>62004090420276460000</v>
      </c>
    </row>
    <row r="1521" spans="2:14" s="16" customFormat="1" ht="25.5">
      <c r="B1521" s="14"/>
      <c r="C1521" s="197" t="s">
        <v>28</v>
      </c>
      <c r="D1521" s="198" t="s">
        <v>410</v>
      </c>
      <c r="E1521" s="199" t="s">
        <v>73</v>
      </c>
      <c r="F1521" s="199" t="s">
        <v>471</v>
      </c>
      <c r="G1521" s="230" t="s">
        <v>1336</v>
      </c>
      <c r="H1521" s="198" t="s">
        <v>29</v>
      </c>
      <c r="I1521" s="32">
        <f>285923.8+30000+12000</f>
        <v>327923.8</v>
      </c>
      <c r="J1521" s="32">
        <v>0</v>
      </c>
      <c r="K1521" s="32">
        <v>0</v>
      </c>
      <c r="L1521" s="16">
        <v>420276460</v>
      </c>
      <c r="M1521" s="16" t="str">
        <f t="shared" si="590"/>
        <v>0420276460</v>
      </c>
      <c r="N1521" s="16" t="str">
        <f t="shared" si="591"/>
        <v>62004090420276460240</v>
      </c>
    </row>
    <row r="1522" spans="2:14" s="16" customFormat="1" ht="25.5">
      <c r="B1522" s="14"/>
      <c r="C1522" s="197" t="s">
        <v>1337</v>
      </c>
      <c r="D1522" s="198" t="s">
        <v>410</v>
      </c>
      <c r="E1522" s="199" t="s">
        <v>73</v>
      </c>
      <c r="F1522" s="199" t="s">
        <v>471</v>
      </c>
      <c r="G1522" s="230" t="s">
        <v>1338</v>
      </c>
      <c r="H1522" s="198" t="s">
        <v>9</v>
      </c>
      <c r="I1522" s="32">
        <f>I1525</f>
        <v>192056.17</v>
      </c>
      <c r="J1522" s="32">
        <f>J1525</f>
        <v>0</v>
      </c>
      <c r="K1522" s="32">
        <f>K1525</f>
        <v>0</v>
      </c>
      <c r="L1522" s="16">
        <v>420276490</v>
      </c>
      <c r="M1522" s="16" t="str">
        <f t="shared" si="590"/>
        <v>0420276490</v>
      </c>
      <c r="N1522" s="16" t="str">
        <f t="shared" si="591"/>
        <v>62004090420276490000</v>
      </c>
    </row>
    <row r="1523" spans="2:14" s="16" customFormat="1">
      <c r="B1523" s="14"/>
      <c r="C1523" s="197" t="s">
        <v>1045</v>
      </c>
      <c r="D1523" s="198"/>
      <c r="E1523" s="199"/>
      <c r="F1523" s="199"/>
      <c r="G1523" s="230"/>
      <c r="H1523" s="198"/>
      <c r="I1523" s="32"/>
      <c r="J1523" s="32"/>
      <c r="K1523" s="32"/>
      <c r="M1523" s="16" t="str">
        <f t="shared" si="590"/>
        <v>0000000000</v>
      </c>
      <c r="N1523" s="16" t="str">
        <f t="shared" si="591"/>
        <v>0000000000</v>
      </c>
    </row>
    <row r="1524" spans="2:14" s="16" customFormat="1" ht="25.5">
      <c r="B1524" s="14"/>
      <c r="C1524" s="197" t="s">
        <v>1339</v>
      </c>
      <c r="D1524" s="198" t="s">
        <v>410</v>
      </c>
      <c r="E1524" s="199" t="s">
        <v>73</v>
      </c>
      <c r="F1524" s="199" t="s">
        <v>471</v>
      </c>
      <c r="G1524" s="230" t="s">
        <v>1338</v>
      </c>
      <c r="H1524" s="198" t="s">
        <v>9</v>
      </c>
      <c r="I1524" s="32">
        <f>186000+6056.17</f>
        <v>192056.17</v>
      </c>
      <c r="J1524" s="32">
        <v>0</v>
      </c>
      <c r="K1524" s="32">
        <v>0</v>
      </c>
      <c r="L1524" s="16">
        <v>420276490</v>
      </c>
      <c r="M1524" s="16" t="str">
        <f t="shared" si="590"/>
        <v>0420276490</v>
      </c>
      <c r="N1524" s="16" t="str">
        <f t="shared" si="591"/>
        <v>62004090420276490000</v>
      </c>
    </row>
    <row r="1525" spans="2:14" s="16" customFormat="1">
      <c r="B1525" s="14"/>
      <c r="C1525" s="231" t="s">
        <v>837</v>
      </c>
      <c r="D1525" s="232" t="s">
        <v>410</v>
      </c>
      <c r="E1525" s="233" t="s">
        <v>73</v>
      </c>
      <c r="F1525" s="233" t="s">
        <v>471</v>
      </c>
      <c r="G1525" s="234" t="s">
        <v>1338</v>
      </c>
      <c r="H1525" s="232" t="s">
        <v>838</v>
      </c>
      <c r="I1525" s="274">
        <f>I1524</f>
        <v>192056.17</v>
      </c>
      <c r="J1525" s="274">
        <f t="shared" ref="J1525:K1525" si="602">J1524</f>
        <v>0</v>
      </c>
      <c r="K1525" s="274">
        <f t="shared" si="602"/>
        <v>0</v>
      </c>
      <c r="L1525" s="16">
        <v>420276490</v>
      </c>
      <c r="M1525" s="16" t="str">
        <f t="shared" si="590"/>
        <v>0420276490</v>
      </c>
      <c r="N1525" s="16" t="str">
        <f t="shared" si="591"/>
        <v>62004090420276490410</v>
      </c>
    </row>
    <row r="1526" spans="2:14" s="16" customFormat="1" ht="38.25">
      <c r="B1526" s="14"/>
      <c r="C1526" s="197" t="s">
        <v>1340</v>
      </c>
      <c r="D1526" s="198" t="s">
        <v>410</v>
      </c>
      <c r="E1526" s="199" t="s">
        <v>73</v>
      </c>
      <c r="F1526" s="199" t="s">
        <v>471</v>
      </c>
      <c r="G1526" s="230" t="s">
        <v>1341</v>
      </c>
      <c r="H1526" s="198" t="s">
        <v>9</v>
      </c>
      <c r="I1526" s="32">
        <f>I1527</f>
        <v>3350.8999999999996</v>
      </c>
      <c r="J1526" s="32">
        <f t="shared" ref="J1526:K1526" si="603">J1527</f>
        <v>1689.58</v>
      </c>
      <c r="K1526" s="32">
        <f t="shared" si="603"/>
        <v>1689.58</v>
      </c>
      <c r="L1526" s="16" t="s">
        <v>2173</v>
      </c>
      <c r="M1526" s="16" t="str">
        <f t="shared" si="590"/>
        <v>04202S6411</v>
      </c>
      <c r="N1526" s="16" t="str">
        <f t="shared" si="591"/>
        <v>620040904202S6411000</v>
      </c>
    </row>
    <row r="1527" spans="2:14" s="16" customFormat="1" ht="25.5">
      <c r="B1527" s="14"/>
      <c r="C1527" s="197" t="s">
        <v>28</v>
      </c>
      <c r="D1527" s="198" t="s">
        <v>410</v>
      </c>
      <c r="E1527" s="199" t="s">
        <v>73</v>
      </c>
      <c r="F1527" s="199" t="s">
        <v>471</v>
      </c>
      <c r="G1527" s="230" t="s">
        <v>1341</v>
      </c>
      <c r="H1527" s="198" t="s">
        <v>29</v>
      </c>
      <c r="I1527" s="32">
        <f>4712.65-1353.79+1353.79-1361.75</f>
        <v>3350.8999999999996</v>
      </c>
      <c r="J1527" s="32">
        <f>1689.58</f>
        <v>1689.58</v>
      </c>
      <c r="K1527" s="32">
        <f>1689.58</f>
        <v>1689.58</v>
      </c>
      <c r="L1527" s="16" t="s">
        <v>2173</v>
      </c>
      <c r="M1527" s="16" t="str">
        <f t="shared" si="590"/>
        <v>04202S6411</v>
      </c>
      <c r="N1527" s="16" t="str">
        <f t="shared" si="591"/>
        <v>620040904202S6411240</v>
      </c>
    </row>
    <row r="1528" spans="2:14" s="16" customFormat="1" ht="38.25">
      <c r="B1528" s="14"/>
      <c r="C1528" s="197" t="s">
        <v>847</v>
      </c>
      <c r="D1528" s="198" t="s">
        <v>410</v>
      </c>
      <c r="E1528" s="199" t="s">
        <v>73</v>
      </c>
      <c r="F1528" s="199" t="s">
        <v>471</v>
      </c>
      <c r="G1528" s="230" t="s">
        <v>848</v>
      </c>
      <c r="H1528" s="198" t="s">
        <v>9</v>
      </c>
      <c r="I1528" s="32">
        <f>I1529</f>
        <v>19085.509999999998</v>
      </c>
      <c r="J1528" s="32">
        <f>J1529</f>
        <v>14841.27</v>
      </c>
      <c r="K1528" s="32">
        <f>K1529</f>
        <v>14841.27</v>
      </c>
      <c r="L1528" s="16" t="s">
        <v>1238</v>
      </c>
      <c r="M1528" s="16" t="str">
        <f t="shared" si="590"/>
        <v>04202S6460</v>
      </c>
      <c r="N1528" s="16" t="str">
        <f t="shared" si="591"/>
        <v>620040904202S6460000</v>
      </c>
    </row>
    <row r="1529" spans="2:14" s="16" customFormat="1" ht="25.5">
      <c r="B1529" s="14"/>
      <c r="C1529" s="197" t="s">
        <v>28</v>
      </c>
      <c r="D1529" s="198" t="s">
        <v>410</v>
      </c>
      <c r="E1529" s="199" t="s">
        <v>73</v>
      </c>
      <c r="F1529" s="199" t="s">
        <v>471</v>
      </c>
      <c r="G1529" s="230" t="s">
        <v>848</v>
      </c>
      <c r="H1529" s="198" t="s">
        <v>29</v>
      </c>
      <c r="I1529" s="32">
        <f>14841.27+8439.15-6639.35+1746.03+698.41</f>
        <v>19085.509999999998</v>
      </c>
      <c r="J1529" s="32">
        <f t="shared" ref="J1529:K1529" si="604">14841.27</f>
        <v>14841.27</v>
      </c>
      <c r="K1529" s="32">
        <f t="shared" si="604"/>
        <v>14841.27</v>
      </c>
      <c r="L1529" s="16" t="s">
        <v>1238</v>
      </c>
      <c r="M1529" s="16" t="str">
        <f t="shared" si="590"/>
        <v>04202S6460</v>
      </c>
      <c r="N1529" s="16" t="str">
        <f t="shared" si="591"/>
        <v>620040904202S6460240</v>
      </c>
    </row>
    <row r="1530" spans="2:14" s="16" customFormat="1" ht="25.5">
      <c r="B1530" s="14"/>
      <c r="C1530" s="197" t="s">
        <v>1342</v>
      </c>
      <c r="D1530" s="198" t="s">
        <v>410</v>
      </c>
      <c r="E1530" s="199" t="s">
        <v>73</v>
      </c>
      <c r="F1530" s="199" t="s">
        <v>471</v>
      </c>
      <c r="G1530" s="230" t="s">
        <v>1343</v>
      </c>
      <c r="H1530" s="198" t="s">
        <v>9</v>
      </c>
      <c r="I1530" s="32">
        <f>I1533</f>
        <v>4969.2299999999996</v>
      </c>
      <c r="J1530" s="32">
        <f t="shared" ref="J1530:K1530" si="605">J1533</f>
        <v>0</v>
      </c>
      <c r="K1530" s="32">
        <f t="shared" si="605"/>
        <v>0</v>
      </c>
      <c r="L1530" s="16" t="s">
        <v>2307</v>
      </c>
      <c r="M1530" s="16" t="str">
        <f t="shared" si="590"/>
        <v>04202S6490</v>
      </c>
      <c r="N1530" s="16" t="str">
        <f t="shared" si="591"/>
        <v>620040904202S6490000</v>
      </c>
    </row>
    <row r="1531" spans="2:14" s="16" customFormat="1">
      <c r="B1531" s="14"/>
      <c r="C1531" s="197" t="s">
        <v>1045</v>
      </c>
      <c r="D1531" s="198"/>
      <c r="E1531" s="199"/>
      <c r="F1531" s="199"/>
      <c r="G1531" s="230"/>
      <c r="H1531" s="198"/>
      <c r="I1531" s="32"/>
      <c r="J1531" s="32"/>
      <c r="K1531" s="32"/>
      <c r="M1531" s="16" t="str">
        <f t="shared" si="590"/>
        <v>0000000000</v>
      </c>
      <c r="N1531" s="16" t="str">
        <f t="shared" si="591"/>
        <v>0000000000</v>
      </c>
    </row>
    <row r="1532" spans="2:14" s="16" customFormat="1" ht="25.5">
      <c r="B1532" s="14"/>
      <c r="C1532" s="197" t="s">
        <v>1339</v>
      </c>
      <c r="D1532" s="198" t="s">
        <v>410</v>
      </c>
      <c r="E1532" s="199" t="s">
        <v>73</v>
      </c>
      <c r="F1532" s="199" t="s">
        <v>471</v>
      </c>
      <c r="G1532" s="230" t="s">
        <v>1343</v>
      </c>
      <c r="H1532" s="198" t="s">
        <v>9</v>
      </c>
      <c r="I1532" s="32">
        <f>10825.4-6056.17+200</f>
        <v>4969.2299999999996</v>
      </c>
      <c r="J1532" s="32">
        <v>0</v>
      </c>
      <c r="K1532" s="32">
        <v>0</v>
      </c>
      <c r="L1532" s="16" t="s">
        <v>2307</v>
      </c>
      <c r="M1532" s="16" t="str">
        <f t="shared" si="590"/>
        <v>04202S6490</v>
      </c>
      <c r="N1532" s="16" t="str">
        <f t="shared" si="591"/>
        <v>620040904202S6490000</v>
      </c>
    </row>
    <row r="1533" spans="2:14" s="16" customFormat="1">
      <c r="B1533" s="14"/>
      <c r="C1533" s="231" t="s">
        <v>837</v>
      </c>
      <c r="D1533" s="232" t="s">
        <v>410</v>
      </c>
      <c r="E1533" s="233" t="s">
        <v>73</v>
      </c>
      <c r="F1533" s="233" t="s">
        <v>471</v>
      </c>
      <c r="G1533" s="234" t="s">
        <v>1343</v>
      </c>
      <c r="H1533" s="232" t="s">
        <v>838</v>
      </c>
      <c r="I1533" s="274">
        <f>I1532</f>
        <v>4969.2299999999996</v>
      </c>
      <c r="J1533" s="274">
        <f t="shared" ref="J1533:K1533" si="606">J1532</f>
        <v>0</v>
      </c>
      <c r="K1533" s="274">
        <f t="shared" si="606"/>
        <v>0</v>
      </c>
      <c r="L1533" s="16" t="s">
        <v>2307</v>
      </c>
      <c r="M1533" s="16" t="str">
        <f t="shared" si="590"/>
        <v>04202S6490</v>
      </c>
      <c r="N1533" s="16" t="str">
        <f t="shared" si="591"/>
        <v>620040904202S6490410</v>
      </c>
    </row>
    <row r="1534" spans="2:14" s="16" customFormat="1" ht="25.5">
      <c r="B1534" s="14"/>
      <c r="C1534" s="197" t="s">
        <v>849</v>
      </c>
      <c r="D1534" s="199" t="s">
        <v>410</v>
      </c>
      <c r="E1534" s="199" t="s">
        <v>73</v>
      </c>
      <c r="F1534" s="199" t="s">
        <v>471</v>
      </c>
      <c r="G1534" s="199" t="s">
        <v>850</v>
      </c>
      <c r="H1534" s="198" t="s">
        <v>9</v>
      </c>
      <c r="I1534" s="32">
        <f>I1537+I1535+I1541</f>
        <v>73151.850000000006</v>
      </c>
      <c r="J1534" s="32">
        <f t="shared" ref="J1534:K1534" si="607">J1537+J1535+J1541</f>
        <v>52489.83</v>
      </c>
      <c r="K1534" s="32">
        <f t="shared" si="607"/>
        <v>52489.83</v>
      </c>
      <c r="L1534" s="16">
        <v>420300000</v>
      </c>
      <c r="M1534" s="16" t="str">
        <f t="shared" si="590"/>
        <v>0420300000</v>
      </c>
      <c r="N1534" s="16" t="str">
        <f t="shared" si="591"/>
        <v>62004090420300000000</v>
      </c>
    </row>
    <row r="1535" spans="2:14" s="16" customFormat="1" ht="25.5">
      <c r="B1535" s="14"/>
      <c r="C1535" s="214" t="s">
        <v>136</v>
      </c>
      <c r="D1535" s="199" t="s">
        <v>410</v>
      </c>
      <c r="E1535" s="199" t="s">
        <v>73</v>
      </c>
      <c r="F1535" s="199" t="s">
        <v>471</v>
      </c>
      <c r="G1535" s="199" t="s">
        <v>851</v>
      </c>
      <c r="H1535" s="199" t="s">
        <v>9</v>
      </c>
      <c r="I1535" s="20">
        <f>I1536</f>
        <v>46344.92</v>
      </c>
      <c r="J1535" s="20">
        <f>J1536</f>
        <v>43545.98</v>
      </c>
      <c r="K1535" s="20">
        <f>K1536</f>
        <v>43545.98</v>
      </c>
      <c r="L1535" s="16">
        <v>420311010</v>
      </c>
      <c r="M1535" s="16" t="str">
        <f t="shared" si="590"/>
        <v>0420311010</v>
      </c>
      <c r="N1535" s="16" t="str">
        <f t="shared" si="591"/>
        <v>62004090420311010000</v>
      </c>
    </row>
    <row r="1536" spans="2:14" s="16" customFormat="1">
      <c r="B1536" s="14"/>
      <c r="C1536" s="205" t="s">
        <v>403</v>
      </c>
      <c r="D1536" s="199" t="s">
        <v>410</v>
      </c>
      <c r="E1536" s="199" t="s">
        <v>73</v>
      </c>
      <c r="F1536" s="199" t="s">
        <v>471</v>
      </c>
      <c r="G1536" s="199" t="s">
        <v>851</v>
      </c>
      <c r="H1536" s="199" t="s">
        <v>404</v>
      </c>
      <c r="I1536" s="20">
        <f>41780.75+800+14.17+3750</f>
        <v>46344.92</v>
      </c>
      <c r="J1536" s="20">
        <f>41780.75+800+965.23</f>
        <v>43545.98</v>
      </c>
      <c r="K1536" s="20">
        <f>41780.75+800+965.23</f>
        <v>43545.98</v>
      </c>
      <c r="L1536" s="16">
        <v>420311010</v>
      </c>
      <c r="M1536" s="16" t="str">
        <f t="shared" si="590"/>
        <v>0420311010</v>
      </c>
      <c r="N1536" s="16" t="str">
        <f t="shared" si="591"/>
        <v>62004090420311010610</v>
      </c>
    </row>
    <row r="1537" spans="2:14" s="16" customFormat="1" ht="38.25">
      <c r="B1537" s="14"/>
      <c r="C1537" s="197" t="s">
        <v>852</v>
      </c>
      <c r="D1537" s="199" t="s">
        <v>410</v>
      </c>
      <c r="E1537" s="199" t="s">
        <v>73</v>
      </c>
      <c r="F1537" s="199" t="s">
        <v>471</v>
      </c>
      <c r="G1537" s="199" t="s">
        <v>853</v>
      </c>
      <c r="H1537" s="198" t="s">
        <v>9</v>
      </c>
      <c r="I1537" s="32">
        <f>I1540</f>
        <v>25855.870000000003</v>
      </c>
      <c r="J1537" s="32">
        <f>J1540</f>
        <v>8943.85</v>
      </c>
      <c r="K1537" s="32">
        <f>K1540</f>
        <v>8943.85</v>
      </c>
      <c r="L1537" s="16">
        <v>420320570</v>
      </c>
      <c r="M1537" s="16" t="str">
        <f t="shared" si="590"/>
        <v>0420320570</v>
      </c>
      <c r="N1537" s="16" t="str">
        <f t="shared" si="591"/>
        <v>62004090420320570000</v>
      </c>
    </row>
    <row r="1538" spans="2:14" s="16" customFormat="1">
      <c r="B1538" s="14"/>
      <c r="C1538" s="220" t="s">
        <v>1104</v>
      </c>
      <c r="D1538" s="199"/>
      <c r="E1538" s="199"/>
      <c r="F1538" s="199"/>
      <c r="G1538" s="199"/>
      <c r="H1538" s="198"/>
      <c r="I1538" s="32"/>
      <c r="J1538" s="32"/>
      <c r="K1538" s="32"/>
      <c r="M1538" s="16" t="str">
        <f t="shared" si="590"/>
        <v>0000000000</v>
      </c>
      <c r="N1538" s="16" t="str">
        <f t="shared" si="591"/>
        <v>0000000000</v>
      </c>
    </row>
    <row r="1539" spans="2:14" s="16" customFormat="1">
      <c r="B1539" s="14"/>
      <c r="C1539" s="221" t="s">
        <v>1105</v>
      </c>
      <c r="D1539" s="223" t="s">
        <v>410</v>
      </c>
      <c r="E1539" s="223" t="s">
        <v>73</v>
      </c>
      <c r="F1539" s="223" t="s">
        <v>471</v>
      </c>
      <c r="G1539" s="223" t="s">
        <v>853</v>
      </c>
      <c r="H1539" s="222" t="s">
        <v>9</v>
      </c>
      <c r="I1539" s="229">
        <f>112.58+27.49</f>
        <v>140.07</v>
      </c>
      <c r="J1539" s="229">
        <v>0</v>
      </c>
      <c r="K1539" s="229">
        <v>0</v>
      </c>
      <c r="L1539" s="16">
        <v>420320570</v>
      </c>
      <c r="M1539" s="16" t="str">
        <f t="shared" si="590"/>
        <v>0420320570</v>
      </c>
      <c r="N1539" s="16" t="str">
        <f t="shared" si="591"/>
        <v>62004090420320570000</v>
      </c>
    </row>
    <row r="1540" spans="2:14" s="16" customFormat="1" ht="25.5">
      <c r="B1540" s="14"/>
      <c r="C1540" s="197" t="s">
        <v>28</v>
      </c>
      <c r="D1540" s="199" t="s">
        <v>410</v>
      </c>
      <c r="E1540" s="199" t="s">
        <v>73</v>
      </c>
      <c r="F1540" s="199" t="s">
        <v>471</v>
      </c>
      <c r="G1540" s="199" t="s">
        <v>853</v>
      </c>
      <c r="H1540" s="198" t="s">
        <v>29</v>
      </c>
      <c r="I1540" s="32">
        <f>2818.86+375+750+5000+5000+1603-0.01+I1539-0.2+2837.6+2200+646.47+3210+1375.08-100</f>
        <v>25855.870000000003</v>
      </c>
      <c r="J1540" s="32">
        <f>2818.86+375+750+5000-0.01</f>
        <v>8943.85</v>
      </c>
      <c r="K1540" s="32">
        <f>2818.86+375+750+5000-0.01</f>
        <v>8943.85</v>
      </c>
      <c r="L1540" s="16">
        <v>420320570</v>
      </c>
      <c r="M1540" s="16" t="str">
        <f t="shared" si="590"/>
        <v>0420320570</v>
      </c>
      <c r="N1540" s="16" t="str">
        <f t="shared" si="591"/>
        <v>62004090420320570240</v>
      </c>
    </row>
    <row r="1541" spans="2:14" s="16" customFormat="1" ht="191.25">
      <c r="B1541" s="14" t="s">
        <v>2282</v>
      </c>
      <c r="C1541" s="197" t="s">
        <v>2269</v>
      </c>
      <c r="D1541" s="199" t="s">
        <v>410</v>
      </c>
      <c r="E1541" s="199" t="s">
        <v>73</v>
      </c>
      <c r="F1541" s="199" t="s">
        <v>471</v>
      </c>
      <c r="G1541" s="199" t="s">
        <v>1344</v>
      </c>
      <c r="H1541" s="199" t="s">
        <v>9</v>
      </c>
      <c r="I1541" s="32">
        <f>I1542</f>
        <v>951.06</v>
      </c>
      <c r="J1541" s="32">
        <f t="shared" ref="J1541:K1541" si="608">J1542</f>
        <v>0</v>
      </c>
      <c r="K1541" s="32">
        <f t="shared" si="608"/>
        <v>0</v>
      </c>
      <c r="L1541" s="16">
        <v>420377460</v>
      </c>
      <c r="M1541" s="16" t="str">
        <f t="shared" si="590"/>
        <v>0420377460</v>
      </c>
      <c r="N1541" s="16" t="str">
        <f t="shared" si="591"/>
        <v>62004090420377460000</v>
      </c>
    </row>
    <row r="1542" spans="2:14" s="16" customFormat="1">
      <c r="B1542" s="14"/>
      <c r="C1542" s="205" t="s">
        <v>403</v>
      </c>
      <c r="D1542" s="199" t="s">
        <v>410</v>
      </c>
      <c r="E1542" s="199" t="s">
        <v>73</v>
      </c>
      <c r="F1542" s="199" t="s">
        <v>471</v>
      </c>
      <c r="G1542" s="199" t="s">
        <v>1344</v>
      </c>
      <c r="H1542" s="199" t="s">
        <v>404</v>
      </c>
      <c r="I1542" s="32">
        <f>951.06</f>
        <v>951.06</v>
      </c>
      <c r="J1542" s="32">
        <v>0</v>
      </c>
      <c r="K1542" s="32">
        <v>0</v>
      </c>
      <c r="L1542" s="16">
        <v>420377460</v>
      </c>
      <c r="M1542" s="16" t="str">
        <f t="shared" ref="M1542:M1605" si="609">TEXT(L1542,"0000000000")</f>
        <v>0420377460</v>
      </c>
      <c r="N1542" s="16" t="str">
        <f t="shared" ref="N1542:N1605" si="610">D1542&amp;E1542&amp;F1542&amp;M1542&amp;H1542</f>
        <v>62004090420377460610</v>
      </c>
    </row>
    <row r="1543" spans="2:14" s="16" customFormat="1">
      <c r="B1543" s="14"/>
      <c r="C1543" s="194" t="s">
        <v>284</v>
      </c>
      <c r="D1543" s="195" t="s">
        <v>410</v>
      </c>
      <c r="E1543" s="196" t="s">
        <v>73</v>
      </c>
      <c r="F1543" s="196" t="s">
        <v>57</v>
      </c>
      <c r="G1543" s="196" t="s">
        <v>8</v>
      </c>
      <c r="H1543" s="196" t="s">
        <v>9</v>
      </c>
      <c r="I1543" s="19">
        <f>I1544</f>
        <v>3000</v>
      </c>
      <c r="J1543" s="19">
        <f t="shared" ref="J1543:K1546" si="611">J1544</f>
        <v>0</v>
      </c>
      <c r="K1543" s="19">
        <f t="shared" si="611"/>
        <v>0</v>
      </c>
      <c r="L1543" s="16">
        <v>0</v>
      </c>
      <c r="M1543" s="16" t="str">
        <f t="shared" si="609"/>
        <v>0000000000</v>
      </c>
      <c r="N1543" s="16" t="str">
        <f t="shared" si="610"/>
        <v>62004120000000000000</v>
      </c>
    </row>
    <row r="1544" spans="2:14" s="16" customFormat="1" ht="38.25">
      <c r="B1544" s="14"/>
      <c r="C1544" s="197" t="s">
        <v>87</v>
      </c>
      <c r="D1544" s="199" t="s">
        <v>410</v>
      </c>
      <c r="E1544" s="199" t="s">
        <v>73</v>
      </c>
      <c r="F1544" s="199" t="s">
        <v>57</v>
      </c>
      <c r="G1544" s="199" t="s">
        <v>88</v>
      </c>
      <c r="H1544" s="198" t="s">
        <v>9</v>
      </c>
      <c r="I1544" s="32">
        <f>I1545</f>
        <v>3000</v>
      </c>
      <c r="J1544" s="32">
        <f t="shared" si="611"/>
        <v>0</v>
      </c>
      <c r="K1544" s="32">
        <f t="shared" si="611"/>
        <v>0</v>
      </c>
      <c r="L1544" s="16">
        <v>9800000000</v>
      </c>
      <c r="M1544" s="16" t="str">
        <f t="shared" si="609"/>
        <v>9800000000</v>
      </c>
      <c r="N1544" s="16" t="str">
        <f t="shared" si="610"/>
        <v>62004129800000000000</v>
      </c>
    </row>
    <row r="1545" spans="2:14" s="16" customFormat="1">
      <c r="B1545" s="14"/>
      <c r="C1545" s="197" t="s">
        <v>89</v>
      </c>
      <c r="D1545" s="199" t="s">
        <v>410</v>
      </c>
      <c r="E1545" s="199" t="s">
        <v>73</v>
      </c>
      <c r="F1545" s="199" t="s">
        <v>57</v>
      </c>
      <c r="G1545" s="199" t="s">
        <v>90</v>
      </c>
      <c r="H1545" s="198" t="s">
        <v>9</v>
      </c>
      <c r="I1545" s="32">
        <f>I1546</f>
        <v>3000</v>
      </c>
      <c r="J1545" s="32">
        <f t="shared" si="611"/>
        <v>0</v>
      </c>
      <c r="K1545" s="32">
        <f t="shared" si="611"/>
        <v>0</v>
      </c>
      <c r="L1545" s="16">
        <v>9810000000</v>
      </c>
      <c r="M1545" s="16" t="str">
        <f t="shared" si="609"/>
        <v>9810000000</v>
      </c>
      <c r="N1545" s="16" t="str">
        <f t="shared" si="610"/>
        <v>62004129810000000000</v>
      </c>
    </row>
    <row r="1546" spans="2:14" s="16" customFormat="1" ht="25.5">
      <c r="B1546" s="14"/>
      <c r="C1546" s="197" t="s">
        <v>854</v>
      </c>
      <c r="D1546" s="199" t="s">
        <v>410</v>
      </c>
      <c r="E1546" s="199" t="s">
        <v>73</v>
      </c>
      <c r="F1546" s="199" t="s">
        <v>57</v>
      </c>
      <c r="G1546" s="199" t="s">
        <v>855</v>
      </c>
      <c r="H1546" s="198" t="s">
        <v>9</v>
      </c>
      <c r="I1546" s="32">
        <f>I1547</f>
        <v>3000</v>
      </c>
      <c r="J1546" s="32">
        <f t="shared" si="611"/>
        <v>0</v>
      </c>
      <c r="K1546" s="32">
        <f t="shared" si="611"/>
        <v>0</v>
      </c>
      <c r="L1546" s="16">
        <v>9810021540</v>
      </c>
      <c r="M1546" s="16" t="str">
        <f t="shared" si="609"/>
        <v>9810021540</v>
      </c>
      <c r="N1546" s="16" t="str">
        <f t="shared" si="610"/>
        <v>62004129810021540000</v>
      </c>
    </row>
    <row r="1547" spans="2:14" s="16" customFormat="1" ht="25.5">
      <c r="B1547" s="14"/>
      <c r="C1547" s="197" t="s">
        <v>28</v>
      </c>
      <c r="D1547" s="199" t="s">
        <v>410</v>
      </c>
      <c r="E1547" s="199" t="s">
        <v>73</v>
      </c>
      <c r="F1547" s="199" t="s">
        <v>57</v>
      </c>
      <c r="G1547" s="199" t="s">
        <v>855</v>
      </c>
      <c r="H1547" s="198" t="s">
        <v>29</v>
      </c>
      <c r="I1547" s="32">
        <f>3000</f>
        <v>3000</v>
      </c>
      <c r="J1547" s="32">
        <v>0</v>
      </c>
      <c r="K1547" s="32">
        <v>0</v>
      </c>
      <c r="L1547" s="16">
        <v>9810021540</v>
      </c>
      <c r="M1547" s="16" t="str">
        <f t="shared" si="609"/>
        <v>9810021540</v>
      </c>
      <c r="N1547" s="16" t="str">
        <f t="shared" si="610"/>
        <v>62004129810021540240</v>
      </c>
    </row>
    <row r="1548" spans="2:14" s="16" customFormat="1">
      <c r="B1548" s="14"/>
      <c r="C1548" s="191" t="s">
        <v>305</v>
      </c>
      <c r="D1548" s="192" t="s">
        <v>410</v>
      </c>
      <c r="E1548" s="193" t="s">
        <v>86</v>
      </c>
      <c r="F1548" s="193" t="s">
        <v>7</v>
      </c>
      <c r="G1548" s="193" t="s">
        <v>8</v>
      </c>
      <c r="H1548" s="193" t="s">
        <v>9</v>
      </c>
      <c r="I1548" s="18">
        <f>I1549+I1555+I1564+I1643</f>
        <v>540037.83000000007</v>
      </c>
      <c r="J1548" s="18">
        <f>J1549+J1555+J1564+J1643</f>
        <v>265016.06</v>
      </c>
      <c r="K1548" s="18">
        <f>K1549+K1555+K1564+K1643</f>
        <v>267926.11</v>
      </c>
      <c r="L1548" s="16">
        <v>0</v>
      </c>
      <c r="M1548" s="16" t="str">
        <f t="shared" si="609"/>
        <v>0000000000</v>
      </c>
      <c r="N1548" s="16" t="str">
        <f t="shared" si="610"/>
        <v>62005000000000000000</v>
      </c>
    </row>
    <row r="1549" spans="2:14" s="16" customFormat="1">
      <c r="B1549" s="14"/>
      <c r="C1549" s="194" t="s">
        <v>765</v>
      </c>
      <c r="D1549" s="195" t="s">
        <v>410</v>
      </c>
      <c r="E1549" s="196" t="s">
        <v>86</v>
      </c>
      <c r="F1549" s="196" t="s">
        <v>11</v>
      </c>
      <c r="G1549" s="196" t="s">
        <v>8</v>
      </c>
      <c r="H1549" s="196" t="s">
        <v>9</v>
      </c>
      <c r="I1549" s="19">
        <f>I1550</f>
        <v>90</v>
      </c>
      <c r="J1549" s="19">
        <f t="shared" ref="J1549:K1549" si="612">J1550</f>
        <v>90</v>
      </c>
      <c r="K1549" s="19">
        <f t="shared" si="612"/>
        <v>90</v>
      </c>
      <c r="L1549" s="16">
        <v>0</v>
      </c>
      <c r="M1549" s="16" t="str">
        <f t="shared" si="609"/>
        <v>0000000000</v>
      </c>
      <c r="N1549" s="16" t="str">
        <f t="shared" si="610"/>
        <v>62005010000000000000</v>
      </c>
    </row>
    <row r="1550" spans="2:14" s="16" customFormat="1" ht="38.25">
      <c r="B1550" s="14"/>
      <c r="C1550" s="200" t="s">
        <v>293</v>
      </c>
      <c r="D1550" s="198" t="s">
        <v>410</v>
      </c>
      <c r="E1550" s="199" t="s">
        <v>86</v>
      </c>
      <c r="F1550" s="199" t="s">
        <v>11</v>
      </c>
      <c r="G1550" s="230" t="s">
        <v>294</v>
      </c>
      <c r="H1550" s="199" t="s">
        <v>9</v>
      </c>
      <c r="I1550" s="32">
        <f t="shared" ref="I1550:K1553" si="613">I1551</f>
        <v>90</v>
      </c>
      <c r="J1550" s="32">
        <f t="shared" si="613"/>
        <v>90</v>
      </c>
      <c r="K1550" s="32">
        <f t="shared" si="613"/>
        <v>90</v>
      </c>
      <c r="L1550" s="16">
        <v>400000000</v>
      </c>
      <c r="M1550" s="16" t="str">
        <f t="shared" si="609"/>
        <v>0400000000</v>
      </c>
      <c r="N1550" s="16" t="str">
        <f t="shared" si="610"/>
        <v>62005010400000000000</v>
      </c>
    </row>
    <row r="1551" spans="2:14" s="16" customFormat="1" ht="25.5">
      <c r="B1551" s="14"/>
      <c r="C1551" s="197" t="s">
        <v>766</v>
      </c>
      <c r="D1551" s="198" t="s">
        <v>410</v>
      </c>
      <c r="E1551" s="199" t="s">
        <v>86</v>
      </c>
      <c r="F1551" s="199" t="s">
        <v>11</v>
      </c>
      <c r="G1551" s="230" t="s">
        <v>767</v>
      </c>
      <c r="H1551" s="199" t="s">
        <v>9</v>
      </c>
      <c r="I1551" s="32">
        <f t="shared" si="613"/>
        <v>90</v>
      </c>
      <c r="J1551" s="32">
        <f t="shared" si="613"/>
        <v>90</v>
      </c>
      <c r="K1551" s="32">
        <f t="shared" si="613"/>
        <v>90</v>
      </c>
      <c r="L1551" s="16">
        <v>410000000</v>
      </c>
      <c r="M1551" s="16" t="str">
        <f t="shared" si="609"/>
        <v>0410000000</v>
      </c>
      <c r="N1551" s="16" t="str">
        <f t="shared" si="610"/>
        <v>62005010410000000000</v>
      </c>
    </row>
    <row r="1552" spans="2:14" s="16" customFormat="1" ht="38.25">
      <c r="B1552" s="14"/>
      <c r="C1552" s="197" t="s">
        <v>793</v>
      </c>
      <c r="D1552" s="198" t="s">
        <v>410</v>
      </c>
      <c r="E1552" s="199" t="s">
        <v>86</v>
      </c>
      <c r="F1552" s="199" t="s">
        <v>11</v>
      </c>
      <c r="G1552" s="230" t="s">
        <v>769</v>
      </c>
      <c r="H1552" s="199" t="s">
        <v>9</v>
      </c>
      <c r="I1552" s="32">
        <f>I1553</f>
        <v>90</v>
      </c>
      <c r="J1552" s="32">
        <f t="shared" si="613"/>
        <v>90</v>
      </c>
      <c r="K1552" s="32">
        <f t="shared" si="613"/>
        <v>90</v>
      </c>
      <c r="L1552" s="16">
        <v>410100000</v>
      </c>
      <c r="M1552" s="16" t="str">
        <f t="shared" si="609"/>
        <v>0410100000</v>
      </c>
      <c r="N1552" s="16" t="str">
        <f t="shared" si="610"/>
        <v>62005010410100000000</v>
      </c>
    </row>
    <row r="1553" spans="2:14" s="16" customFormat="1">
      <c r="B1553" s="14"/>
      <c r="C1553" s="197" t="s">
        <v>856</v>
      </c>
      <c r="D1553" s="198" t="s">
        <v>410</v>
      </c>
      <c r="E1553" s="199" t="s">
        <v>86</v>
      </c>
      <c r="F1553" s="199" t="s">
        <v>11</v>
      </c>
      <c r="G1553" s="230" t="s">
        <v>857</v>
      </c>
      <c r="H1553" s="199" t="s">
        <v>9</v>
      </c>
      <c r="I1553" s="32">
        <f>I1554</f>
        <v>90</v>
      </c>
      <c r="J1553" s="32">
        <f t="shared" si="613"/>
        <v>90</v>
      </c>
      <c r="K1553" s="32">
        <f t="shared" si="613"/>
        <v>90</v>
      </c>
      <c r="L1553" s="16">
        <v>410120200</v>
      </c>
      <c r="M1553" s="16" t="str">
        <f t="shared" si="609"/>
        <v>0410120200</v>
      </c>
      <c r="N1553" s="16" t="str">
        <f t="shared" si="610"/>
        <v>62005010410120200000</v>
      </c>
    </row>
    <row r="1554" spans="2:14" s="16" customFormat="1" ht="25.5">
      <c r="B1554" s="14"/>
      <c r="C1554" s="197" t="s">
        <v>28</v>
      </c>
      <c r="D1554" s="199" t="s">
        <v>410</v>
      </c>
      <c r="E1554" s="199" t="s">
        <v>86</v>
      </c>
      <c r="F1554" s="199" t="s">
        <v>11</v>
      </c>
      <c r="G1554" s="230" t="s">
        <v>857</v>
      </c>
      <c r="H1554" s="199" t="s">
        <v>29</v>
      </c>
      <c r="I1554" s="32">
        <f>90</f>
        <v>90</v>
      </c>
      <c r="J1554" s="32">
        <f>90</f>
        <v>90</v>
      </c>
      <c r="K1554" s="32">
        <f>90</f>
        <v>90</v>
      </c>
      <c r="L1554" s="16">
        <v>410120200</v>
      </c>
      <c r="M1554" s="16" t="str">
        <f t="shared" si="609"/>
        <v>0410120200</v>
      </c>
      <c r="N1554" s="16" t="str">
        <f t="shared" si="610"/>
        <v>62005010410120200240</v>
      </c>
    </row>
    <row r="1555" spans="2:14" s="16" customFormat="1">
      <c r="B1555" s="14"/>
      <c r="C1555" s="194" t="s">
        <v>858</v>
      </c>
      <c r="D1555" s="195">
        <v>620</v>
      </c>
      <c r="E1555" s="196" t="s">
        <v>86</v>
      </c>
      <c r="F1555" s="196" t="s">
        <v>62</v>
      </c>
      <c r="G1555" s="196" t="s">
        <v>8</v>
      </c>
      <c r="H1555" s="196" t="s">
        <v>9</v>
      </c>
      <c r="I1555" s="19">
        <f t="shared" ref="I1555:K1559" si="614">I1556</f>
        <v>13803.59</v>
      </c>
      <c r="J1555" s="19">
        <f t="shared" si="614"/>
        <v>20</v>
      </c>
      <c r="K1555" s="19">
        <f t="shared" si="614"/>
        <v>20</v>
      </c>
      <c r="L1555" s="16">
        <v>0</v>
      </c>
      <c r="M1555" s="16" t="str">
        <f t="shared" si="609"/>
        <v>0000000000</v>
      </c>
      <c r="N1555" s="16" t="str">
        <f t="shared" si="610"/>
        <v>62005020000000000000</v>
      </c>
    </row>
    <row r="1556" spans="2:14" s="16" customFormat="1" ht="38.25">
      <c r="B1556" s="14"/>
      <c r="C1556" s="200" t="s">
        <v>293</v>
      </c>
      <c r="D1556" s="206">
        <v>620</v>
      </c>
      <c r="E1556" s="199" t="s">
        <v>86</v>
      </c>
      <c r="F1556" s="199" t="s">
        <v>62</v>
      </c>
      <c r="G1556" s="230" t="s">
        <v>294</v>
      </c>
      <c r="H1556" s="199" t="s">
        <v>9</v>
      </c>
      <c r="I1556" s="32">
        <f t="shared" si="614"/>
        <v>13803.59</v>
      </c>
      <c r="J1556" s="32">
        <f t="shared" si="614"/>
        <v>20</v>
      </c>
      <c r="K1556" s="32">
        <f t="shared" si="614"/>
        <v>20</v>
      </c>
      <c r="L1556" s="16">
        <v>400000000</v>
      </c>
      <c r="M1556" s="16" t="str">
        <f t="shared" si="609"/>
        <v>0400000000</v>
      </c>
      <c r="N1556" s="16" t="str">
        <f t="shared" si="610"/>
        <v>62005020400000000000</v>
      </c>
    </row>
    <row r="1557" spans="2:14" s="16" customFormat="1" ht="25.5">
      <c r="B1557" s="14"/>
      <c r="C1557" s="197" t="s">
        <v>766</v>
      </c>
      <c r="D1557" s="206">
        <v>620</v>
      </c>
      <c r="E1557" s="199" t="s">
        <v>86</v>
      </c>
      <c r="F1557" s="199" t="s">
        <v>62</v>
      </c>
      <c r="G1557" s="230" t="s">
        <v>767</v>
      </c>
      <c r="H1557" s="199" t="s">
        <v>9</v>
      </c>
      <c r="I1557" s="32">
        <f>I1558+I1561</f>
        <v>13803.59</v>
      </c>
      <c r="J1557" s="32">
        <f t="shared" ref="J1557:K1557" si="615">J1558+J1561</f>
        <v>20</v>
      </c>
      <c r="K1557" s="32">
        <f t="shared" si="615"/>
        <v>20</v>
      </c>
      <c r="L1557" s="16">
        <v>410000000</v>
      </c>
      <c r="M1557" s="16" t="str">
        <f t="shared" si="609"/>
        <v>0410000000</v>
      </c>
      <c r="N1557" s="16" t="str">
        <f t="shared" si="610"/>
        <v>62005020410000000000</v>
      </c>
    </row>
    <row r="1558" spans="2:14" s="16" customFormat="1" ht="38.25">
      <c r="B1558" s="14"/>
      <c r="C1558" s="197" t="s">
        <v>859</v>
      </c>
      <c r="D1558" s="206">
        <v>620</v>
      </c>
      <c r="E1558" s="199" t="s">
        <v>86</v>
      </c>
      <c r="F1558" s="199" t="s">
        <v>62</v>
      </c>
      <c r="G1558" s="230" t="s">
        <v>860</v>
      </c>
      <c r="H1558" s="199" t="s">
        <v>9</v>
      </c>
      <c r="I1558" s="32">
        <f t="shared" si="614"/>
        <v>20</v>
      </c>
      <c r="J1558" s="32">
        <f t="shared" si="614"/>
        <v>20</v>
      </c>
      <c r="K1558" s="32">
        <f t="shared" si="614"/>
        <v>20</v>
      </c>
      <c r="L1558" s="16">
        <v>410200000</v>
      </c>
      <c r="M1558" s="16" t="str">
        <f t="shared" si="609"/>
        <v>0410200000</v>
      </c>
      <c r="N1558" s="16" t="str">
        <f t="shared" si="610"/>
        <v>62005020410200000000</v>
      </c>
    </row>
    <row r="1559" spans="2:14" s="16" customFormat="1">
      <c r="B1559" s="14"/>
      <c r="C1559" s="197" t="s">
        <v>861</v>
      </c>
      <c r="D1559" s="206">
        <v>620</v>
      </c>
      <c r="E1559" s="199" t="s">
        <v>86</v>
      </c>
      <c r="F1559" s="199" t="s">
        <v>62</v>
      </c>
      <c r="G1559" s="230" t="s">
        <v>862</v>
      </c>
      <c r="H1559" s="199" t="s">
        <v>9</v>
      </c>
      <c r="I1559" s="32">
        <f>I1560</f>
        <v>20</v>
      </c>
      <c r="J1559" s="32">
        <f t="shared" si="614"/>
        <v>20</v>
      </c>
      <c r="K1559" s="32">
        <f t="shared" si="614"/>
        <v>20</v>
      </c>
      <c r="L1559" s="16">
        <v>410220220</v>
      </c>
      <c r="M1559" s="16" t="str">
        <f t="shared" si="609"/>
        <v>0410220220</v>
      </c>
      <c r="N1559" s="16" t="str">
        <f t="shared" si="610"/>
        <v>62005020410220220000</v>
      </c>
    </row>
    <row r="1560" spans="2:14" s="16" customFormat="1" ht="25.5">
      <c r="B1560" s="14"/>
      <c r="C1560" s="197" t="s">
        <v>28</v>
      </c>
      <c r="D1560" s="199" t="s">
        <v>410</v>
      </c>
      <c r="E1560" s="199" t="s">
        <v>86</v>
      </c>
      <c r="F1560" s="199" t="s">
        <v>62</v>
      </c>
      <c r="G1560" s="230" t="s">
        <v>862</v>
      </c>
      <c r="H1560" s="199" t="s">
        <v>29</v>
      </c>
      <c r="I1560" s="32">
        <f>20</f>
        <v>20</v>
      </c>
      <c r="J1560" s="32">
        <f>20</f>
        <v>20</v>
      </c>
      <c r="K1560" s="32">
        <f>20</f>
        <v>20</v>
      </c>
      <c r="L1560" s="16">
        <v>410220220</v>
      </c>
      <c r="M1560" s="16" t="str">
        <f t="shared" si="609"/>
        <v>0410220220</v>
      </c>
      <c r="N1560" s="16" t="str">
        <f t="shared" si="610"/>
        <v>62005020410220220240</v>
      </c>
    </row>
    <row r="1561" spans="2:14" s="16" customFormat="1" ht="38.25">
      <c r="B1561" s="14"/>
      <c r="C1561" s="197" t="s">
        <v>863</v>
      </c>
      <c r="D1561" s="206">
        <v>620</v>
      </c>
      <c r="E1561" s="199" t="s">
        <v>86</v>
      </c>
      <c r="F1561" s="199" t="s">
        <v>62</v>
      </c>
      <c r="G1561" s="230" t="s">
        <v>864</v>
      </c>
      <c r="H1561" s="199" t="s">
        <v>9</v>
      </c>
      <c r="I1561" s="32">
        <f>I1562</f>
        <v>13783.59</v>
      </c>
      <c r="J1561" s="32">
        <f t="shared" ref="J1561:K1562" si="616">J1562</f>
        <v>0</v>
      </c>
      <c r="K1561" s="32">
        <f t="shared" si="616"/>
        <v>0</v>
      </c>
      <c r="L1561" s="16">
        <v>410300000</v>
      </c>
      <c r="M1561" s="16" t="str">
        <f t="shared" si="609"/>
        <v>0410300000</v>
      </c>
      <c r="N1561" s="16" t="str">
        <f t="shared" si="610"/>
        <v>62005020410300000000</v>
      </c>
    </row>
    <row r="1562" spans="2:14" s="16" customFormat="1">
      <c r="B1562" s="14"/>
      <c r="C1562" s="197" t="s">
        <v>861</v>
      </c>
      <c r="D1562" s="206">
        <v>620</v>
      </c>
      <c r="E1562" s="199" t="s">
        <v>86</v>
      </c>
      <c r="F1562" s="199" t="s">
        <v>62</v>
      </c>
      <c r="G1562" s="230" t="s">
        <v>865</v>
      </c>
      <c r="H1562" s="199" t="s">
        <v>9</v>
      </c>
      <c r="I1562" s="32">
        <f>I1563</f>
        <v>13783.59</v>
      </c>
      <c r="J1562" s="32">
        <f t="shared" si="616"/>
        <v>0</v>
      </c>
      <c r="K1562" s="32">
        <f t="shared" si="616"/>
        <v>0</v>
      </c>
      <c r="L1562" s="16">
        <v>410320220</v>
      </c>
      <c r="M1562" s="16" t="str">
        <f t="shared" si="609"/>
        <v>0410320220</v>
      </c>
      <c r="N1562" s="16" t="str">
        <f t="shared" si="610"/>
        <v>62005020410320220000</v>
      </c>
    </row>
    <row r="1563" spans="2:14" s="16" customFormat="1" ht="25.5">
      <c r="B1563" s="14"/>
      <c r="C1563" s="197" t="s">
        <v>28</v>
      </c>
      <c r="D1563" s="206">
        <v>620</v>
      </c>
      <c r="E1563" s="199" t="s">
        <v>86</v>
      </c>
      <c r="F1563" s="199" t="s">
        <v>62</v>
      </c>
      <c r="G1563" s="230" t="s">
        <v>865</v>
      </c>
      <c r="H1563" s="199" t="s">
        <v>29</v>
      </c>
      <c r="I1563" s="32">
        <f>100+13683.59</f>
        <v>13783.59</v>
      </c>
      <c r="J1563" s="32">
        <v>0</v>
      </c>
      <c r="K1563" s="32">
        <v>0</v>
      </c>
      <c r="L1563" s="16">
        <v>410320220</v>
      </c>
      <c r="M1563" s="16" t="str">
        <f t="shared" si="609"/>
        <v>0410320220</v>
      </c>
      <c r="N1563" s="16" t="str">
        <f t="shared" si="610"/>
        <v>62005020410320220240</v>
      </c>
    </row>
    <row r="1564" spans="2:14" s="16" customFormat="1">
      <c r="B1564" s="14"/>
      <c r="C1564" s="194" t="s">
        <v>306</v>
      </c>
      <c r="D1564" s="195" t="s">
        <v>410</v>
      </c>
      <c r="E1564" s="196" t="s">
        <v>86</v>
      </c>
      <c r="F1564" s="196" t="s">
        <v>13</v>
      </c>
      <c r="G1564" s="196" t="s">
        <v>8</v>
      </c>
      <c r="H1564" s="196" t="s">
        <v>9</v>
      </c>
      <c r="I1564" s="19">
        <f>I1570+I1619+I1626+I1565</f>
        <v>475882.28</v>
      </c>
      <c r="J1564" s="19">
        <f>J1570+J1619+J1626+J1565</f>
        <v>214607.27000000002</v>
      </c>
      <c r="K1564" s="19">
        <f>K1570+K1619+K1626+K1565</f>
        <v>217517.32</v>
      </c>
      <c r="L1564" s="16">
        <v>0</v>
      </c>
      <c r="M1564" s="16" t="str">
        <f t="shared" si="609"/>
        <v>0000000000</v>
      </c>
      <c r="N1564" s="16" t="str">
        <f t="shared" si="610"/>
        <v>62005030000000000000</v>
      </c>
    </row>
    <row r="1565" spans="2:14" s="16" customFormat="1" ht="38.25">
      <c r="B1565" s="14"/>
      <c r="C1565" s="197" t="s">
        <v>285</v>
      </c>
      <c r="D1565" s="198" t="s">
        <v>410</v>
      </c>
      <c r="E1565" s="198" t="s">
        <v>86</v>
      </c>
      <c r="F1565" s="198" t="s">
        <v>13</v>
      </c>
      <c r="G1565" s="198" t="s">
        <v>286</v>
      </c>
      <c r="H1565" s="198" t="s">
        <v>9</v>
      </c>
      <c r="I1565" s="32">
        <f>I1566</f>
        <v>2000</v>
      </c>
      <c r="J1565" s="32">
        <f t="shared" ref="J1565:K1568" si="617">J1566</f>
        <v>0</v>
      </c>
      <c r="K1565" s="32">
        <f t="shared" si="617"/>
        <v>0</v>
      </c>
      <c r="L1565" s="16">
        <v>200000000</v>
      </c>
      <c r="M1565" s="16" t="str">
        <f t="shared" si="609"/>
        <v>0200000000</v>
      </c>
      <c r="N1565" s="16" t="str">
        <f t="shared" si="610"/>
        <v>62005030200000000000</v>
      </c>
    </row>
    <row r="1566" spans="2:14" s="16" customFormat="1" ht="51">
      <c r="B1566" s="14"/>
      <c r="C1566" s="197" t="s">
        <v>287</v>
      </c>
      <c r="D1566" s="198" t="s">
        <v>410</v>
      </c>
      <c r="E1566" s="198" t="s">
        <v>86</v>
      </c>
      <c r="F1566" s="198" t="s">
        <v>13</v>
      </c>
      <c r="G1566" s="198" t="s">
        <v>288</v>
      </c>
      <c r="H1566" s="198" t="s">
        <v>9</v>
      </c>
      <c r="I1566" s="32">
        <f>I1567</f>
        <v>2000</v>
      </c>
      <c r="J1566" s="32">
        <f t="shared" si="617"/>
        <v>0</v>
      </c>
      <c r="K1566" s="32">
        <f t="shared" si="617"/>
        <v>0</v>
      </c>
      <c r="L1566" s="16" t="s">
        <v>1182</v>
      </c>
      <c r="M1566" s="16" t="str">
        <f t="shared" si="609"/>
        <v>02Б0000000</v>
      </c>
      <c r="N1566" s="16" t="str">
        <f t="shared" si="610"/>
        <v>620050302Б0000000000</v>
      </c>
    </row>
    <row r="1567" spans="2:14" s="16" customFormat="1" ht="51">
      <c r="B1567" s="14"/>
      <c r="C1567" s="375" t="s">
        <v>1345</v>
      </c>
      <c r="D1567" s="198" t="s">
        <v>410</v>
      </c>
      <c r="E1567" s="198" t="s">
        <v>86</v>
      </c>
      <c r="F1567" s="198" t="s">
        <v>13</v>
      </c>
      <c r="G1567" s="198" t="s">
        <v>290</v>
      </c>
      <c r="H1567" s="198" t="s">
        <v>9</v>
      </c>
      <c r="I1567" s="32">
        <f>I1568</f>
        <v>2000</v>
      </c>
      <c r="J1567" s="32">
        <f t="shared" si="617"/>
        <v>0</v>
      </c>
      <c r="K1567" s="32">
        <f t="shared" si="617"/>
        <v>0</v>
      </c>
      <c r="L1567" s="16" t="s">
        <v>1183</v>
      </c>
      <c r="M1567" s="16" t="str">
        <f t="shared" si="609"/>
        <v>02Б0100000</v>
      </c>
      <c r="N1567" s="16" t="str">
        <f t="shared" si="610"/>
        <v>620050302Б0100000000</v>
      </c>
    </row>
    <row r="1568" spans="2:14" s="16" customFormat="1" ht="38.25">
      <c r="B1568" s="14"/>
      <c r="C1568" s="197" t="s">
        <v>1346</v>
      </c>
      <c r="D1568" s="198" t="s">
        <v>410</v>
      </c>
      <c r="E1568" s="198" t="s">
        <v>86</v>
      </c>
      <c r="F1568" s="198" t="s">
        <v>13</v>
      </c>
      <c r="G1568" s="198" t="s">
        <v>1347</v>
      </c>
      <c r="H1568" s="198" t="s">
        <v>9</v>
      </c>
      <c r="I1568" s="32">
        <f>I1569</f>
        <v>2000</v>
      </c>
      <c r="J1568" s="32">
        <f t="shared" si="617"/>
        <v>0</v>
      </c>
      <c r="K1568" s="32">
        <f t="shared" si="617"/>
        <v>0</v>
      </c>
      <c r="L1568" s="16" t="s">
        <v>2182</v>
      </c>
      <c r="M1568" s="16" t="str">
        <f t="shared" si="609"/>
        <v>02Б0160050</v>
      </c>
      <c r="N1568" s="16" t="str">
        <f t="shared" si="610"/>
        <v>620050302Б0160050000</v>
      </c>
    </row>
    <row r="1569" spans="2:16" s="16" customFormat="1" ht="25.5">
      <c r="B1569" s="14"/>
      <c r="C1569" s="197" t="s">
        <v>182</v>
      </c>
      <c r="D1569" s="198" t="s">
        <v>410</v>
      </c>
      <c r="E1569" s="198" t="s">
        <v>86</v>
      </c>
      <c r="F1569" s="198" t="s">
        <v>13</v>
      </c>
      <c r="G1569" s="198" t="s">
        <v>1347</v>
      </c>
      <c r="H1569" s="198" t="s">
        <v>183</v>
      </c>
      <c r="I1569" s="389">
        <f>2000</f>
        <v>2000</v>
      </c>
      <c r="J1569" s="20">
        <v>0</v>
      </c>
      <c r="K1569" s="20">
        <v>0</v>
      </c>
      <c r="L1569" s="16" t="s">
        <v>2182</v>
      </c>
      <c r="M1569" s="16" t="str">
        <f t="shared" si="609"/>
        <v>02Б0160050</v>
      </c>
      <c r="N1569" s="16" t="str">
        <f t="shared" si="610"/>
        <v>620050302Б0160050630</v>
      </c>
    </row>
    <row r="1570" spans="2:16" s="16" customFormat="1" ht="38.25">
      <c r="B1570" s="14"/>
      <c r="C1570" s="200" t="s">
        <v>293</v>
      </c>
      <c r="D1570" s="199" t="s">
        <v>410</v>
      </c>
      <c r="E1570" s="199" t="s">
        <v>86</v>
      </c>
      <c r="F1570" s="199" t="s">
        <v>13</v>
      </c>
      <c r="G1570" s="199" t="s">
        <v>294</v>
      </c>
      <c r="H1570" s="199" t="s">
        <v>9</v>
      </c>
      <c r="I1570" s="32">
        <f>I1571</f>
        <v>280177.33</v>
      </c>
      <c r="J1570" s="32">
        <f>J1571</f>
        <v>202041.59000000003</v>
      </c>
      <c r="K1570" s="32">
        <f>K1571</f>
        <v>202041.59000000003</v>
      </c>
      <c r="L1570" s="16">
        <v>400000000</v>
      </c>
      <c r="M1570" s="16" t="str">
        <f t="shared" si="609"/>
        <v>0400000000</v>
      </c>
      <c r="N1570" s="16" t="str">
        <f t="shared" si="610"/>
        <v>62005030400000000000</v>
      </c>
    </row>
    <row r="1571" spans="2:16" s="16" customFormat="1">
      <c r="B1571" s="14"/>
      <c r="C1571" s="197" t="s">
        <v>2283</v>
      </c>
      <c r="D1571" s="199" t="s">
        <v>410</v>
      </c>
      <c r="E1571" s="199" t="s">
        <v>86</v>
      </c>
      <c r="F1571" s="199" t="s">
        <v>13</v>
      </c>
      <c r="G1571" s="199" t="s">
        <v>308</v>
      </c>
      <c r="H1571" s="199" t="s">
        <v>9</v>
      </c>
      <c r="I1571" s="32">
        <f>I1572+I1577+I1580</f>
        <v>280177.33</v>
      </c>
      <c r="J1571" s="32">
        <f>J1572+J1577+J1580</f>
        <v>202041.59000000003</v>
      </c>
      <c r="K1571" s="32">
        <f>K1572+K1577+K1580</f>
        <v>202041.59000000003</v>
      </c>
      <c r="L1571" s="16">
        <v>430000000</v>
      </c>
      <c r="M1571" s="16" t="str">
        <f t="shared" si="609"/>
        <v>0430000000</v>
      </c>
      <c r="N1571" s="16" t="str">
        <f t="shared" si="610"/>
        <v>62005030430000000000</v>
      </c>
    </row>
    <row r="1572" spans="2:16" s="16" customFormat="1" ht="25.5">
      <c r="B1572" s="14"/>
      <c r="C1572" s="197" t="s">
        <v>866</v>
      </c>
      <c r="D1572" s="199" t="s">
        <v>410</v>
      </c>
      <c r="E1572" s="199" t="s">
        <v>86</v>
      </c>
      <c r="F1572" s="199" t="s">
        <v>13</v>
      </c>
      <c r="G1572" s="199" t="s">
        <v>867</v>
      </c>
      <c r="H1572" s="199" t="s">
        <v>9</v>
      </c>
      <c r="I1572" s="32">
        <f>I1573</f>
        <v>21832.15</v>
      </c>
      <c r="J1572" s="32">
        <f>J1573</f>
        <v>16821.77</v>
      </c>
      <c r="K1572" s="32">
        <f>K1573</f>
        <v>16821.77</v>
      </c>
      <c r="L1572" s="16">
        <v>430200000</v>
      </c>
      <c r="M1572" s="16" t="str">
        <f t="shared" si="609"/>
        <v>0430200000</v>
      </c>
      <c r="N1572" s="16" t="str">
        <f t="shared" si="610"/>
        <v>62005030430200000000</v>
      </c>
    </row>
    <row r="1573" spans="2:16" s="16" customFormat="1" ht="38.25">
      <c r="B1573" s="14"/>
      <c r="C1573" s="197" t="s">
        <v>868</v>
      </c>
      <c r="D1573" s="199" t="s">
        <v>410</v>
      </c>
      <c r="E1573" s="199" t="s">
        <v>86</v>
      </c>
      <c r="F1573" s="199" t="s">
        <v>13</v>
      </c>
      <c r="G1573" s="199" t="s">
        <v>869</v>
      </c>
      <c r="H1573" s="199" t="s">
        <v>9</v>
      </c>
      <c r="I1573" s="32">
        <f>I1576</f>
        <v>21832.15</v>
      </c>
      <c r="J1573" s="32">
        <f t="shared" ref="J1573:K1573" si="618">J1576</f>
        <v>16821.77</v>
      </c>
      <c r="K1573" s="32">
        <f t="shared" si="618"/>
        <v>16821.77</v>
      </c>
      <c r="L1573" s="16">
        <v>430220290</v>
      </c>
      <c r="M1573" s="16" t="str">
        <f t="shared" si="609"/>
        <v>0430220290</v>
      </c>
      <c r="N1573" s="16" t="str">
        <f t="shared" si="610"/>
        <v>62005030430220290000</v>
      </c>
    </row>
    <row r="1574" spans="2:16" s="16" customFormat="1">
      <c r="B1574" s="14"/>
      <c r="C1574" s="220" t="s">
        <v>1104</v>
      </c>
      <c r="D1574" s="199"/>
      <c r="E1574" s="199"/>
      <c r="F1574" s="199"/>
      <c r="G1574" s="199"/>
      <c r="H1574" s="199"/>
      <c r="I1574" s="32"/>
      <c r="J1574" s="32"/>
      <c r="K1574" s="32"/>
      <c r="M1574" s="16" t="str">
        <f t="shared" si="609"/>
        <v>0000000000</v>
      </c>
      <c r="N1574" s="16" t="str">
        <f t="shared" si="610"/>
        <v>0000000000</v>
      </c>
    </row>
    <row r="1575" spans="2:16" s="16" customFormat="1">
      <c r="B1575" s="14"/>
      <c r="C1575" s="221" t="s">
        <v>1105</v>
      </c>
      <c r="D1575" s="223" t="s">
        <v>410</v>
      </c>
      <c r="E1575" s="223" t="s">
        <v>86</v>
      </c>
      <c r="F1575" s="223" t="s">
        <v>13</v>
      </c>
      <c r="G1575" s="223" t="s">
        <v>869</v>
      </c>
      <c r="H1575" s="223" t="s">
        <v>9</v>
      </c>
      <c r="I1575" s="229">
        <f>99.99</f>
        <v>99.99</v>
      </c>
      <c r="J1575" s="229">
        <v>0</v>
      </c>
      <c r="K1575" s="229">
        <v>0</v>
      </c>
      <c r="L1575" s="16">
        <v>430220290</v>
      </c>
      <c r="M1575" s="16" t="str">
        <f t="shared" si="609"/>
        <v>0430220290</v>
      </c>
      <c r="N1575" s="16" t="str">
        <f t="shared" si="610"/>
        <v>62005030430220290000</v>
      </c>
    </row>
    <row r="1576" spans="2:16" s="16" customFormat="1" ht="25.5">
      <c r="B1576" s="14"/>
      <c r="C1576" s="197" t="s">
        <v>28</v>
      </c>
      <c r="D1576" s="199" t="s">
        <v>410</v>
      </c>
      <c r="E1576" s="199" t="s">
        <v>86</v>
      </c>
      <c r="F1576" s="199" t="s">
        <v>13</v>
      </c>
      <c r="G1576" s="199" t="s">
        <v>869</v>
      </c>
      <c r="H1576" s="199" t="s">
        <v>29</v>
      </c>
      <c r="I1576" s="32">
        <f>134.81+474.52+1400+7486.82+4611+2714.62+5000+I1575-89.61</f>
        <v>21832.15</v>
      </c>
      <c r="J1576" s="32">
        <f t="shared" ref="J1576:K1576" si="619">134.81+474.52+1400+7486.82+4611+2714.62</f>
        <v>16821.77</v>
      </c>
      <c r="K1576" s="32">
        <f t="shared" si="619"/>
        <v>16821.77</v>
      </c>
      <c r="L1576" s="16">
        <v>430220290</v>
      </c>
      <c r="M1576" s="16" t="str">
        <f t="shared" si="609"/>
        <v>0430220290</v>
      </c>
      <c r="N1576" s="16" t="str">
        <f t="shared" si="610"/>
        <v>62005030430220290240</v>
      </c>
    </row>
    <row r="1577" spans="2:16" s="16" customFormat="1" ht="38.25">
      <c r="B1577" s="14"/>
      <c r="C1577" s="197" t="s">
        <v>870</v>
      </c>
      <c r="D1577" s="199" t="s">
        <v>410</v>
      </c>
      <c r="E1577" s="199" t="s">
        <v>86</v>
      </c>
      <c r="F1577" s="199" t="s">
        <v>13</v>
      </c>
      <c r="G1577" s="199" t="s">
        <v>871</v>
      </c>
      <c r="H1577" s="199" t="s">
        <v>9</v>
      </c>
      <c r="I1577" s="32">
        <f t="shared" ref="I1577:K1578" si="620">I1578</f>
        <v>2284.56</v>
      </c>
      <c r="J1577" s="32">
        <f t="shared" si="620"/>
        <v>2284.56</v>
      </c>
      <c r="K1577" s="32">
        <f t="shared" si="620"/>
        <v>2284.56</v>
      </c>
      <c r="L1577" s="16">
        <v>430300000</v>
      </c>
      <c r="M1577" s="16" t="str">
        <f t="shared" si="609"/>
        <v>0430300000</v>
      </c>
      <c r="N1577" s="16" t="str">
        <f t="shared" si="610"/>
        <v>62005030430300000000</v>
      </c>
    </row>
    <row r="1578" spans="2:16" s="16" customFormat="1" ht="25.5">
      <c r="B1578" s="14" t="s">
        <v>80</v>
      </c>
      <c r="C1578" s="197" t="s">
        <v>872</v>
      </c>
      <c r="D1578" s="199" t="s">
        <v>410</v>
      </c>
      <c r="E1578" s="199" t="s">
        <v>86</v>
      </c>
      <c r="F1578" s="199" t="s">
        <v>13</v>
      </c>
      <c r="G1578" s="199" t="s">
        <v>873</v>
      </c>
      <c r="H1578" s="199" t="s">
        <v>9</v>
      </c>
      <c r="I1578" s="32">
        <f t="shared" si="620"/>
        <v>2284.56</v>
      </c>
      <c r="J1578" s="32">
        <f t="shared" si="620"/>
        <v>2284.56</v>
      </c>
      <c r="K1578" s="32">
        <f t="shared" si="620"/>
        <v>2284.56</v>
      </c>
      <c r="L1578" s="16">
        <v>430377150</v>
      </c>
      <c r="M1578" s="16" t="str">
        <f t="shared" si="609"/>
        <v>0430377150</v>
      </c>
      <c r="N1578" s="16" t="str">
        <f t="shared" si="610"/>
        <v>62005030430377150000</v>
      </c>
    </row>
    <row r="1579" spans="2:16" s="16" customFormat="1" ht="25.5">
      <c r="B1579" s="14"/>
      <c r="C1579" s="197" t="s">
        <v>28</v>
      </c>
      <c r="D1579" s="199" t="s">
        <v>410</v>
      </c>
      <c r="E1579" s="199" t="s">
        <v>86</v>
      </c>
      <c r="F1579" s="199" t="s">
        <v>13</v>
      </c>
      <c r="G1579" s="199" t="s">
        <v>873</v>
      </c>
      <c r="H1579" s="199" t="s">
        <v>29</v>
      </c>
      <c r="I1579" s="32">
        <f>2284.56</f>
        <v>2284.56</v>
      </c>
      <c r="J1579" s="32">
        <f>2284.56</f>
        <v>2284.56</v>
      </c>
      <c r="K1579" s="32">
        <f>2284.56</f>
        <v>2284.56</v>
      </c>
      <c r="L1579" s="16">
        <v>430377150</v>
      </c>
      <c r="M1579" s="16" t="str">
        <f t="shared" si="609"/>
        <v>0430377150</v>
      </c>
      <c r="N1579" s="16" t="str">
        <f t="shared" si="610"/>
        <v>62005030430377150240</v>
      </c>
    </row>
    <row r="1580" spans="2:16" s="16" customFormat="1" ht="25.5">
      <c r="B1580" s="14"/>
      <c r="C1580" s="375" t="s">
        <v>309</v>
      </c>
      <c r="D1580" s="199" t="s">
        <v>410</v>
      </c>
      <c r="E1580" s="199" t="s">
        <v>86</v>
      </c>
      <c r="F1580" s="199" t="s">
        <v>13</v>
      </c>
      <c r="G1580" s="199" t="s">
        <v>310</v>
      </c>
      <c r="H1580" s="199" t="s">
        <v>9</v>
      </c>
      <c r="I1580" s="32">
        <f>I1581+I1583+I1587+I1595+I1607+I1603+I1617+I1613+I1609+I1599+I1611+I1601</f>
        <v>256060.62</v>
      </c>
      <c r="J1580" s="32">
        <f t="shared" ref="J1580:K1580" si="621">J1581+J1583+J1587+J1595+J1607+J1603+J1617+J1613+J1609+J1599+J1611+J1601</f>
        <v>182935.26</v>
      </c>
      <c r="K1580" s="32">
        <f t="shared" si="621"/>
        <v>182935.26</v>
      </c>
      <c r="L1580" s="16">
        <v>430400000</v>
      </c>
      <c r="M1580" s="16" t="str">
        <f t="shared" si="609"/>
        <v>0430400000</v>
      </c>
      <c r="N1580" s="16" t="str">
        <f t="shared" si="610"/>
        <v>62005030430400000000</v>
      </c>
    </row>
    <row r="1581" spans="2:16" s="16" customFormat="1" ht="25.5">
      <c r="B1581" s="14"/>
      <c r="C1581" s="197" t="s">
        <v>136</v>
      </c>
      <c r="D1581" s="199" t="s">
        <v>410</v>
      </c>
      <c r="E1581" s="199" t="s">
        <v>86</v>
      </c>
      <c r="F1581" s="199" t="s">
        <v>13</v>
      </c>
      <c r="G1581" s="199" t="s">
        <v>874</v>
      </c>
      <c r="H1581" s="199" t="s">
        <v>9</v>
      </c>
      <c r="I1581" s="32">
        <f>I1582</f>
        <v>22266.92</v>
      </c>
      <c r="J1581" s="32">
        <f>J1582</f>
        <v>18163.38</v>
      </c>
      <c r="K1581" s="32">
        <f>K1582</f>
        <v>18163.38</v>
      </c>
      <c r="L1581" s="16">
        <v>430411010</v>
      </c>
      <c r="M1581" s="16" t="str">
        <f t="shared" si="609"/>
        <v>0430411010</v>
      </c>
      <c r="N1581" s="16" t="str">
        <f t="shared" si="610"/>
        <v>62005030430411010000</v>
      </c>
    </row>
    <row r="1582" spans="2:16" s="16" customFormat="1">
      <c r="B1582" s="14"/>
      <c r="C1582" s="205" t="s">
        <v>403</v>
      </c>
      <c r="D1582" s="199" t="s">
        <v>410</v>
      </c>
      <c r="E1582" s="199" t="s">
        <v>86</v>
      </c>
      <c r="F1582" s="199" t="s">
        <v>13</v>
      </c>
      <c r="G1582" s="199" t="s">
        <v>874</v>
      </c>
      <c r="H1582" s="199" t="s">
        <v>404</v>
      </c>
      <c r="I1582" s="32">
        <f>10984.23+6750+6+20.7+7260-2754.01</f>
        <v>22266.92</v>
      </c>
      <c r="J1582" s="32">
        <f>10984.23+6750+408.45+20.7</f>
        <v>18163.38</v>
      </c>
      <c r="K1582" s="32">
        <f>10984.23+6750+408.45+20.7</f>
        <v>18163.38</v>
      </c>
      <c r="L1582" s="16">
        <v>430411010</v>
      </c>
      <c r="M1582" s="16" t="str">
        <f t="shared" si="609"/>
        <v>0430411010</v>
      </c>
      <c r="N1582" s="16" t="str">
        <f t="shared" si="610"/>
        <v>62005030430411010610</v>
      </c>
    </row>
    <row r="1583" spans="2:16" s="16" customFormat="1" ht="25.5">
      <c r="B1583" s="14"/>
      <c r="C1583" s="197" t="s">
        <v>875</v>
      </c>
      <c r="D1583" s="199" t="s">
        <v>410</v>
      </c>
      <c r="E1583" s="199" t="s">
        <v>86</v>
      </c>
      <c r="F1583" s="199" t="s">
        <v>13</v>
      </c>
      <c r="G1583" s="199" t="s">
        <v>876</v>
      </c>
      <c r="H1583" s="199" t="s">
        <v>9</v>
      </c>
      <c r="I1583" s="32">
        <f>I1586</f>
        <v>122589.22000000002</v>
      </c>
      <c r="J1583" s="32">
        <f t="shared" ref="J1583:K1583" si="622">J1586</f>
        <v>105992.62</v>
      </c>
      <c r="K1583" s="32">
        <f t="shared" si="622"/>
        <v>105992.62</v>
      </c>
      <c r="L1583" s="383">
        <v>430420280</v>
      </c>
      <c r="M1583" s="16" t="str">
        <f t="shared" si="609"/>
        <v>0430420280</v>
      </c>
      <c r="N1583" s="16" t="str">
        <f t="shared" si="610"/>
        <v>62005030430420280000</v>
      </c>
      <c r="O1583" s="383" t="s">
        <v>2294</v>
      </c>
      <c r="P1583" s="16" t="e">
        <f>CONCATENATE(#REF!,C1583,D1583,E1583,F1583,G1583,H1583,#REF!,#REF!,L1583,#REF!,M1583,N1583,I1583,O1583)</f>
        <v>#REF!</v>
      </c>
    </row>
    <row r="1584" spans="2:16" s="16" customFormat="1">
      <c r="B1584" s="14"/>
      <c r="C1584" s="220" t="s">
        <v>1104</v>
      </c>
      <c r="D1584" s="199"/>
      <c r="E1584" s="199"/>
      <c r="F1584" s="199"/>
      <c r="G1584" s="199"/>
      <c r="H1584" s="199"/>
      <c r="I1584" s="32"/>
      <c r="J1584" s="32"/>
      <c r="K1584" s="32"/>
      <c r="M1584" s="16" t="str">
        <f t="shared" si="609"/>
        <v>0000000000</v>
      </c>
      <c r="N1584" s="16" t="str">
        <f t="shared" si="610"/>
        <v>0000000000</v>
      </c>
    </row>
    <row r="1585" spans="2:16" s="16" customFormat="1">
      <c r="B1585" s="14"/>
      <c r="C1585" s="221" t="s">
        <v>1105</v>
      </c>
      <c r="D1585" s="223" t="s">
        <v>410</v>
      </c>
      <c r="E1585" s="223" t="s">
        <v>86</v>
      </c>
      <c r="F1585" s="223" t="s">
        <v>13</v>
      </c>
      <c r="G1585" s="223" t="s">
        <v>876</v>
      </c>
      <c r="H1585" s="223" t="s">
        <v>9</v>
      </c>
      <c r="I1585" s="229">
        <f>1662.52+6420.27+229.96</f>
        <v>8312.75</v>
      </c>
      <c r="J1585" s="229">
        <v>0</v>
      </c>
      <c r="K1585" s="229">
        <v>0</v>
      </c>
      <c r="L1585" s="16">
        <v>430420280</v>
      </c>
      <c r="M1585" s="16" t="str">
        <f t="shared" si="609"/>
        <v>0430420280</v>
      </c>
      <c r="N1585" s="16" t="str">
        <f t="shared" si="610"/>
        <v>62005030430420280000</v>
      </c>
    </row>
    <row r="1586" spans="2:16" s="16" customFormat="1" ht="25.5">
      <c r="B1586" s="14"/>
      <c r="C1586" s="197" t="s">
        <v>28</v>
      </c>
      <c r="D1586" s="199" t="s">
        <v>410</v>
      </c>
      <c r="E1586" s="199" t="s">
        <v>86</v>
      </c>
      <c r="F1586" s="199" t="s">
        <v>13</v>
      </c>
      <c r="G1586" s="199" t="s">
        <v>876</v>
      </c>
      <c r="H1586" s="199" t="s">
        <v>29</v>
      </c>
      <c r="I1586" s="32">
        <f>57735.2+41679.92+697.5+5380+500+2500+I1585+9796.66-35.76+5911.06+4602.55-1038.84+3314.17-7.75-5213.02-4899.62-489.83-1694.19+1565.9-1277.77-4749.71</f>
        <v>122589.22000000002</v>
      </c>
      <c r="J1586" s="32">
        <f>57735.2+41679.92+697.5+5380+500</f>
        <v>105992.62</v>
      </c>
      <c r="K1586" s="32">
        <f>57735.2+41679.92+697.5+5380+500</f>
        <v>105992.62</v>
      </c>
      <c r="L1586" s="383">
        <v>430420280</v>
      </c>
      <c r="M1586" s="16" t="str">
        <f t="shared" si="609"/>
        <v>0430420280</v>
      </c>
      <c r="N1586" s="16" t="str">
        <f t="shared" si="610"/>
        <v>62005030430420280240</v>
      </c>
      <c r="O1586" s="383" t="s">
        <v>2294</v>
      </c>
      <c r="P1586" s="16" t="e">
        <f>CONCATENATE(#REF!,C1586,D1586,E1586,F1586,G1586,H1586,#REF!,#REF!,L1586,#REF!,M1586,N1586,I1586,O1586)</f>
        <v>#REF!</v>
      </c>
    </row>
    <row r="1587" spans="2:16" s="16" customFormat="1" ht="25.5">
      <c r="B1587" s="14"/>
      <c r="C1587" s="197" t="s">
        <v>542</v>
      </c>
      <c r="D1587" s="199" t="s">
        <v>410</v>
      </c>
      <c r="E1587" s="199" t="s">
        <v>86</v>
      </c>
      <c r="F1587" s="199" t="s">
        <v>13</v>
      </c>
      <c r="G1587" s="199" t="s">
        <v>543</v>
      </c>
      <c r="H1587" s="199" t="s">
        <v>9</v>
      </c>
      <c r="I1587" s="32">
        <f>I1590+I1594+I1593</f>
        <v>10952.46</v>
      </c>
      <c r="J1587" s="32">
        <f t="shared" ref="J1587:K1587" si="623">J1590+J1594+J1593</f>
        <v>8531.51</v>
      </c>
      <c r="K1587" s="32">
        <f t="shared" si="623"/>
        <v>8531.51</v>
      </c>
      <c r="L1587" s="16">
        <v>430420300</v>
      </c>
      <c r="M1587" s="16" t="str">
        <f t="shared" si="609"/>
        <v>0430420300</v>
      </c>
      <c r="N1587" s="16" t="str">
        <f t="shared" si="610"/>
        <v>62005030430420300000</v>
      </c>
    </row>
    <row r="1588" spans="2:16" s="16" customFormat="1">
      <c r="B1588" s="14"/>
      <c r="C1588" s="197" t="s">
        <v>1104</v>
      </c>
      <c r="D1588" s="199"/>
      <c r="E1588" s="199"/>
      <c r="F1588" s="199"/>
      <c r="G1588" s="199"/>
      <c r="H1588" s="199"/>
      <c r="I1588" s="32"/>
      <c r="J1588" s="32"/>
      <c r="K1588" s="32"/>
      <c r="M1588" s="16" t="str">
        <f t="shared" si="609"/>
        <v>0000000000</v>
      </c>
      <c r="N1588" s="16" t="str">
        <f t="shared" si="610"/>
        <v>0000000000</v>
      </c>
    </row>
    <row r="1589" spans="2:16" s="16" customFormat="1" ht="38.25">
      <c r="B1589" s="14"/>
      <c r="C1589" s="197" t="s">
        <v>1143</v>
      </c>
      <c r="D1589" s="199" t="s">
        <v>410</v>
      </c>
      <c r="E1589" s="199" t="s">
        <v>86</v>
      </c>
      <c r="F1589" s="199" t="s">
        <v>13</v>
      </c>
      <c r="G1589" s="199" t="s">
        <v>543</v>
      </c>
      <c r="H1589" s="199" t="s">
        <v>9</v>
      </c>
      <c r="I1589" s="32">
        <f>100-99.79</f>
        <v>0.20999999999999375</v>
      </c>
      <c r="J1589" s="32">
        <v>0</v>
      </c>
      <c r="K1589" s="32">
        <v>0</v>
      </c>
      <c r="L1589" s="16">
        <v>430420300</v>
      </c>
      <c r="M1589" s="16" t="str">
        <f t="shared" si="609"/>
        <v>0430420300</v>
      </c>
      <c r="N1589" s="16" t="str">
        <f t="shared" si="610"/>
        <v>62005030430420300000</v>
      </c>
    </row>
    <row r="1590" spans="2:16" s="16" customFormat="1" ht="25.5">
      <c r="B1590" s="14"/>
      <c r="C1590" s="197" t="s">
        <v>28</v>
      </c>
      <c r="D1590" s="199" t="s">
        <v>410</v>
      </c>
      <c r="E1590" s="199" t="s">
        <v>86</v>
      </c>
      <c r="F1590" s="199" t="s">
        <v>13</v>
      </c>
      <c r="G1590" s="199" t="s">
        <v>543</v>
      </c>
      <c r="H1590" s="199" t="s">
        <v>29</v>
      </c>
      <c r="I1590" s="32">
        <f>524.15+150+875.91+245.03+223.95+2250+315+450+274.5+86.25+1334.72+375+777+500+500+1500-500+I1592+10+140-10.2+100</f>
        <v>10952.25</v>
      </c>
      <c r="J1590" s="32">
        <f>524.15+150+875.91+245.03+223.95+2250+315+450+274.5+86.25+1334.72+375+777+500+500-500+10+140</f>
        <v>8531.51</v>
      </c>
      <c r="K1590" s="32">
        <f>524.15+150+875.91+245.03+223.95+2250+315+450+274.5+86.25+1334.72+375+777+500+500-500+10+140</f>
        <v>8531.51</v>
      </c>
      <c r="L1590" s="16">
        <v>430420300</v>
      </c>
      <c r="M1590" s="16" t="str">
        <f t="shared" si="609"/>
        <v>0430420300</v>
      </c>
      <c r="N1590" s="16" t="str">
        <f t="shared" si="610"/>
        <v>62005030430420300240</v>
      </c>
    </row>
    <row r="1591" spans="2:16" s="16" customFormat="1">
      <c r="B1591" s="14"/>
      <c r="C1591" s="220" t="s">
        <v>1104</v>
      </c>
      <c r="D1591" s="199"/>
      <c r="E1591" s="199"/>
      <c r="F1591" s="199"/>
      <c r="G1591" s="199"/>
      <c r="H1591" s="199"/>
      <c r="I1591" s="32"/>
      <c r="J1591" s="32"/>
      <c r="K1591" s="32"/>
      <c r="M1591" s="16" t="str">
        <f t="shared" si="609"/>
        <v>0000000000</v>
      </c>
      <c r="N1591" s="16" t="str">
        <f t="shared" si="610"/>
        <v>0000000000</v>
      </c>
    </row>
    <row r="1592" spans="2:16" s="16" customFormat="1">
      <c r="B1592" s="14"/>
      <c r="C1592" s="221" t="s">
        <v>1105</v>
      </c>
      <c r="D1592" s="223" t="s">
        <v>410</v>
      </c>
      <c r="E1592" s="223" t="s">
        <v>86</v>
      </c>
      <c r="F1592" s="223" t="s">
        <v>13</v>
      </c>
      <c r="G1592" s="223" t="s">
        <v>543</v>
      </c>
      <c r="H1592" s="223" t="s">
        <v>29</v>
      </c>
      <c r="I1592" s="229">
        <f>9.47+100+99.23+356.85+265.39</f>
        <v>830.93999999999994</v>
      </c>
      <c r="J1592" s="229">
        <v>0</v>
      </c>
      <c r="K1592" s="229">
        <v>0</v>
      </c>
      <c r="L1592" s="16">
        <v>430420300</v>
      </c>
      <c r="M1592" s="16" t="str">
        <f t="shared" si="609"/>
        <v>0430420300</v>
      </c>
      <c r="N1592" s="16" t="str">
        <f t="shared" si="610"/>
        <v>62005030430420300240</v>
      </c>
    </row>
    <row r="1593" spans="2:16" s="275" customFormat="1">
      <c r="B1593" s="382"/>
      <c r="C1593" s="231" t="s">
        <v>837</v>
      </c>
      <c r="D1593" s="233" t="s">
        <v>410</v>
      </c>
      <c r="E1593" s="233" t="s">
        <v>86</v>
      </c>
      <c r="F1593" s="233" t="s">
        <v>13</v>
      </c>
      <c r="G1593" s="233" t="s">
        <v>543</v>
      </c>
      <c r="H1593" s="232" t="s">
        <v>838</v>
      </c>
      <c r="I1593" s="274">
        <f>I1589</f>
        <v>0.20999999999999375</v>
      </c>
      <c r="J1593" s="274">
        <f t="shared" ref="J1593:K1593" si="624">J1589</f>
        <v>0</v>
      </c>
      <c r="K1593" s="274">
        <f t="shared" si="624"/>
        <v>0</v>
      </c>
      <c r="L1593" s="275">
        <v>430420300</v>
      </c>
      <c r="M1593" s="16" t="str">
        <f t="shared" si="609"/>
        <v>0430420300</v>
      </c>
      <c r="N1593" s="16" t="str">
        <f t="shared" si="610"/>
        <v>62005030430420300410</v>
      </c>
    </row>
    <row r="1594" spans="2:16" s="16" customFormat="1" ht="38.25">
      <c r="B1594" s="14"/>
      <c r="C1594" s="278" t="s">
        <v>203</v>
      </c>
      <c r="D1594" s="199" t="s">
        <v>410</v>
      </c>
      <c r="E1594" s="199" t="s">
        <v>86</v>
      </c>
      <c r="F1594" s="199" t="s">
        <v>13</v>
      </c>
      <c r="G1594" s="199" t="s">
        <v>543</v>
      </c>
      <c r="H1594" s="199" t="s">
        <v>204</v>
      </c>
      <c r="I1594" s="32">
        <f>150-150</f>
        <v>0</v>
      </c>
      <c r="J1594" s="32">
        <f>150-150</f>
        <v>0</v>
      </c>
      <c r="K1594" s="32">
        <f>150-150</f>
        <v>0</v>
      </c>
      <c r="L1594" s="16">
        <v>430420300</v>
      </c>
      <c r="M1594" s="16" t="str">
        <f t="shared" si="609"/>
        <v>0430420300</v>
      </c>
      <c r="N1594" s="16" t="str">
        <f t="shared" si="610"/>
        <v>62005030430420300810</v>
      </c>
    </row>
    <row r="1595" spans="2:16" s="16" customFormat="1" ht="25.5">
      <c r="B1595" s="14"/>
      <c r="C1595" s="214" t="s">
        <v>877</v>
      </c>
      <c r="D1595" s="199" t="s">
        <v>410</v>
      </c>
      <c r="E1595" s="199" t="s">
        <v>86</v>
      </c>
      <c r="F1595" s="199" t="s">
        <v>13</v>
      </c>
      <c r="G1595" s="199" t="s">
        <v>878</v>
      </c>
      <c r="H1595" s="199" t="s">
        <v>9</v>
      </c>
      <c r="I1595" s="32">
        <f>I1598</f>
        <v>9680.5699999999961</v>
      </c>
      <c r="J1595" s="32">
        <f t="shared" ref="J1595:K1595" si="625">J1598</f>
        <v>34467.69</v>
      </c>
      <c r="K1595" s="32">
        <f t="shared" si="625"/>
        <v>34467.69</v>
      </c>
      <c r="L1595" s="16">
        <v>430420780</v>
      </c>
      <c r="M1595" s="16" t="str">
        <f t="shared" si="609"/>
        <v>0430420780</v>
      </c>
      <c r="N1595" s="16" t="str">
        <f t="shared" si="610"/>
        <v>62005030430420780000</v>
      </c>
    </row>
    <row r="1596" spans="2:16" s="16" customFormat="1">
      <c r="B1596" s="14"/>
      <c r="C1596" s="220" t="s">
        <v>1104</v>
      </c>
      <c r="D1596" s="199"/>
      <c r="E1596" s="199"/>
      <c r="F1596" s="199"/>
      <c r="G1596" s="199"/>
      <c r="H1596" s="199"/>
      <c r="I1596" s="32"/>
      <c r="J1596" s="32"/>
      <c r="K1596" s="32"/>
      <c r="M1596" s="16" t="str">
        <f t="shared" si="609"/>
        <v>0000000000</v>
      </c>
      <c r="N1596" s="16" t="str">
        <f t="shared" si="610"/>
        <v>0000000000</v>
      </c>
    </row>
    <row r="1597" spans="2:16" s="16" customFormat="1">
      <c r="B1597" s="14"/>
      <c r="C1597" s="221" t="s">
        <v>1105</v>
      </c>
      <c r="D1597" s="223" t="s">
        <v>410</v>
      </c>
      <c r="E1597" s="223" t="s">
        <v>86</v>
      </c>
      <c r="F1597" s="223" t="s">
        <v>13</v>
      </c>
      <c r="G1597" s="223" t="s">
        <v>878</v>
      </c>
      <c r="H1597" s="223" t="s">
        <v>9</v>
      </c>
      <c r="I1597" s="229">
        <f>94.67</f>
        <v>94.67</v>
      </c>
      <c r="J1597" s="229">
        <v>0</v>
      </c>
      <c r="K1597" s="229">
        <v>0</v>
      </c>
      <c r="L1597" s="16">
        <v>430420780</v>
      </c>
      <c r="M1597" s="16" t="str">
        <f t="shared" si="609"/>
        <v>0430420780</v>
      </c>
      <c r="N1597" s="16" t="str">
        <f t="shared" si="610"/>
        <v>62005030430420780000</v>
      </c>
    </row>
    <row r="1598" spans="2:16" s="16" customFormat="1" ht="25.5">
      <c r="B1598" s="14"/>
      <c r="C1598" s="197" t="s">
        <v>28</v>
      </c>
      <c r="D1598" s="199" t="s">
        <v>410</v>
      </c>
      <c r="E1598" s="199" t="s">
        <v>86</v>
      </c>
      <c r="F1598" s="199" t="s">
        <v>13</v>
      </c>
      <c r="G1598" s="199" t="s">
        <v>878</v>
      </c>
      <c r="H1598" s="199" t="s">
        <v>29</v>
      </c>
      <c r="I1598" s="32">
        <f>3750+30014.08+1645.61+6750-6750+I1597-2263.16-5555.54-19447.34+1442.25</f>
        <v>9680.5699999999961</v>
      </c>
      <c r="J1598" s="32">
        <f>3750+30014.08+1645.61+6750-6750-942</f>
        <v>34467.69</v>
      </c>
      <c r="K1598" s="32">
        <f>3750+30014.08+1645.61+6750-6750-942</f>
        <v>34467.69</v>
      </c>
      <c r="L1598" s="16">
        <v>430420780</v>
      </c>
      <c r="M1598" s="16" t="str">
        <f t="shared" si="609"/>
        <v>0430420780</v>
      </c>
      <c r="N1598" s="16" t="str">
        <f t="shared" si="610"/>
        <v>62005030430420780240</v>
      </c>
    </row>
    <row r="1599" spans="2:16" s="16" customFormat="1" ht="51">
      <c r="B1599" s="14" t="s">
        <v>80</v>
      </c>
      <c r="C1599" s="197" t="s">
        <v>1350</v>
      </c>
      <c r="D1599" s="203" t="s">
        <v>410</v>
      </c>
      <c r="E1599" s="204" t="s">
        <v>86</v>
      </c>
      <c r="F1599" s="204" t="s">
        <v>13</v>
      </c>
      <c r="G1599" s="204" t="s">
        <v>1351</v>
      </c>
      <c r="H1599" s="204" t="s">
        <v>9</v>
      </c>
      <c r="I1599" s="26">
        <f>I1600</f>
        <v>19744.080000000002</v>
      </c>
      <c r="J1599" s="26">
        <f t="shared" ref="J1599:K1599" si="626">J1600</f>
        <v>14838.06</v>
      </c>
      <c r="K1599" s="26">
        <f t="shared" si="626"/>
        <v>14838.06</v>
      </c>
      <c r="L1599" s="16">
        <v>430476413</v>
      </c>
      <c r="M1599" s="16" t="str">
        <f t="shared" si="609"/>
        <v>0430476413</v>
      </c>
      <c r="N1599" s="16" t="str">
        <f t="shared" si="610"/>
        <v>62005030430476413000</v>
      </c>
    </row>
    <row r="1600" spans="2:16" s="16" customFormat="1" ht="25.5">
      <c r="B1600" s="14"/>
      <c r="C1600" s="197" t="s">
        <v>28</v>
      </c>
      <c r="D1600" s="203" t="s">
        <v>410</v>
      </c>
      <c r="E1600" s="204" t="s">
        <v>86</v>
      </c>
      <c r="F1600" s="204" t="s">
        <v>13</v>
      </c>
      <c r="G1600" s="204" t="s">
        <v>1351</v>
      </c>
      <c r="H1600" s="204" t="s">
        <v>29</v>
      </c>
      <c r="I1600" s="26">
        <f>19744.08</f>
        <v>19744.080000000002</v>
      </c>
      <c r="J1600" s="26">
        <f>14838.06</f>
        <v>14838.06</v>
      </c>
      <c r="K1600" s="26">
        <f>14838.06</f>
        <v>14838.06</v>
      </c>
      <c r="L1600" s="16">
        <v>430476413</v>
      </c>
      <c r="M1600" s="16" t="str">
        <f t="shared" si="609"/>
        <v>0430476413</v>
      </c>
      <c r="N1600" s="16" t="str">
        <f t="shared" si="610"/>
        <v>62005030430476413240</v>
      </c>
    </row>
    <row r="1601" spans="2:16" s="16" customFormat="1" ht="76.5">
      <c r="B1601" s="14" t="s">
        <v>80</v>
      </c>
      <c r="C1601" s="242" t="s">
        <v>1352</v>
      </c>
      <c r="D1601" s="203" t="s">
        <v>410</v>
      </c>
      <c r="E1601" s="204" t="s">
        <v>86</v>
      </c>
      <c r="F1601" s="204" t="s">
        <v>13</v>
      </c>
      <c r="G1601" s="204" t="s">
        <v>1353</v>
      </c>
      <c r="H1601" s="204" t="s">
        <v>9</v>
      </c>
      <c r="I1601" s="26">
        <f>I1602</f>
        <v>7456.27</v>
      </c>
      <c r="J1601" s="26">
        <f t="shared" ref="J1601:K1601" si="627">J1602</f>
        <v>0</v>
      </c>
      <c r="K1601" s="26">
        <f t="shared" si="627"/>
        <v>0</v>
      </c>
      <c r="L1601" s="16">
        <v>430476415</v>
      </c>
      <c r="M1601" s="16" t="str">
        <f t="shared" si="609"/>
        <v>0430476415</v>
      </c>
      <c r="N1601" s="16" t="str">
        <f t="shared" si="610"/>
        <v>62005030430476415000</v>
      </c>
    </row>
    <row r="1602" spans="2:16" s="16" customFormat="1" ht="25.5">
      <c r="B1602" s="14"/>
      <c r="C1602" s="197" t="s">
        <v>28</v>
      </c>
      <c r="D1602" s="203" t="s">
        <v>410</v>
      </c>
      <c r="E1602" s="204" t="s">
        <v>86</v>
      </c>
      <c r="F1602" s="204" t="s">
        <v>13</v>
      </c>
      <c r="G1602" s="204" t="s">
        <v>1353</v>
      </c>
      <c r="H1602" s="204" t="s">
        <v>29</v>
      </c>
      <c r="I1602" s="26">
        <f>7456.27</f>
        <v>7456.27</v>
      </c>
      <c r="J1602" s="26">
        <v>0</v>
      </c>
      <c r="K1602" s="26">
        <v>0</v>
      </c>
      <c r="L1602" s="16">
        <v>430476415</v>
      </c>
      <c r="M1602" s="16" t="str">
        <f t="shared" si="609"/>
        <v>0430476415</v>
      </c>
      <c r="N1602" s="16" t="str">
        <f t="shared" si="610"/>
        <v>62005030430476415240</v>
      </c>
    </row>
    <row r="1603" spans="2:16" s="16" customFormat="1" ht="25.5">
      <c r="B1603" s="14" t="s">
        <v>80</v>
      </c>
      <c r="C1603" s="197" t="s">
        <v>1144</v>
      </c>
      <c r="D1603" s="203" t="s">
        <v>410</v>
      </c>
      <c r="E1603" s="204" t="s">
        <v>86</v>
      </c>
      <c r="F1603" s="204" t="s">
        <v>13</v>
      </c>
      <c r="G1603" s="338" t="s">
        <v>2295</v>
      </c>
      <c r="H1603" s="204" t="s">
        <v>9</v>
      </c>
      <c r="I1603" s="26">
        <f>I1606</f>
        <v>16509.55</v>
      </c>
      <c r="J1603" s="26">
        <f t="shared" ref="J1603:K1603" si="628">J1606</f>
        <v>0</v>
      </c>
      <c r="K1603" s="26">
        <f t="shared" si="628"/>
        <v>0</v>
      </c>
      <c r="L1603" s="16">
        <v>430477247</v>
      </c>
      <c r="M1603" s="16" t="str">
        <f t="shared" si="609"/>
        <v>0430477247</v>
      </c>
      <c r="N1603" s="16" t="str">
        <f t="shared" si="610"/>
        <v>62005030430477247000</v>
      </c>
    </row>
    <row r="1604" spans="2:16" s="16" customFormat="1">
      <c r="B1604" s="14"/>
      <c r="C1604" s="197" t="s">
        <v>1104</v>
      </c>
      <c r="D1604" s="203"/>
      <c r="E1604" s="204"/>
      <c r="F1604" s="204"/>
      <c r="G1604" s="338"/>
      <c r="H1604" s="204"/>
      <c r="I1604" s="26"/>
      <c r="J1604" s="26"/>
      <c r="K1604" s="26"/>
      <c r="M1604" s="16" t="str">
        <f t="shared" si="609"/>
        <v>0000000000</v>
      </c>
      <c r="N1604" s="16" t="str">
        <f t="shared" si="610"/>
        <v>0000000000</v>
      </c>
    </row>
    <row r="1605" spans="2:16" s="16" customFormat="1" ht="25.5">
      <c r="B1605" s="14"/>
      <c r="C1605" s="197" t="s">
        <v>2296</v>
      </c>
      <c r="D1605" s="203" t="s">
        <v>410</v>
      </c>
      <c r="E1605" s="204" t="s">
        <v>86</v>
      </c>
      <c r="F1605" s="204" t="s">
        <v>13</v>
      </c>
      <c r="G1605" s="338" t="s">
        <v>2295</v>
      </c>
      <c r="H1605" s="204" t="s">
        <v>9</v>
      </c>
      <c r="I1605" s="26">
        <f>17290-780.45</f>
        <v>16509.55</v>
      </c>
      <c r="J1605" s="26">
        <v>0</v>
      </c>
      <c r="K1605" s="26">
        <v>0</v>
      </c>
      <c r="L1605" s="16">
        <v>430477247</v>
      </c>
      <c r="M1605" s="16" t="str">
        <f t="shared" si="609"/>
        <v>0430477247</v>
      </c>
      <c r="N1605" s="16" t="str">
        <f t="shared" si="610"/>
        <v>62005030430477247000</v>
      </c>
    </row>
    <row r="1606" spans="2:16" s="275" customFormat="1">
      <c r="B1606" s="382"/>
      <c r="C1606" s="231" t="s">
        <v>837</v>
      </c>
      <c r="D1606" s="232" t="s">
        <v>410</v>
      </c>
      <c r="E1606" s="233" t="s">
        <v>86</v>
      </c>
      <c r="F1606" s="233" t="s">
        <v>13</v>
      </c>
      <c r="G1606" s="390" t="s">
        <v>2295</v>
      </c>
      <c r="H1606" s="233" t="s">
        <v>838</v>
      </c>
      <c r="I1606" s="235">
        <f>I1605</f>
        <v>16509.55</v>
      </c>
      <c r="J1606" s="235">
        <f t="shared" ref="J1606:K1606" si="629">J1605</f>
        <v>0</v>
      </c>
      <c r="K1606" s="235">
        <f t="shared" si="629"/>
        <v>0</v>
      </c>
      <c r="L1606" s="275">
        <v>430477247</v>
      </c>
      <c r="M1606" s="16" t="str">
        <f t="shared" ref="M1606:M1669" si="630">TEXT(L1606,"0000000000")</f>
        <v>0430477247</v>
      </c>
      <c r="N1606" s="16" t="str">
        <f t="shared" ref="N1606:N1669" si="631">D1606&amp;E1606&amp;F1606&amp;M1606&amp;H1606</f>
        <v>62005030430477247410</v>
      </c>
    </row>
    <row r="1607" spans="2:16" s="16" customFormat="1" ht="25.5">
      <c r="B1607" s="14" t="s">
        <v>80</v>
      </c>
      <c r="C1607" s="197" t="s">
        <v>1149</v>
      </c>
      <c r="D1607" s="198" t="s">
        <v>410</v>
      </c>
      <c r="E1607" s="199" t="s">
        <v>86</v>
      </c>
      <c r="F1607" s="199" t="s">
        <v>13</v>
      </c>
      <c r="G1607" s="199" t="s">
        <v>1146</v>
      </c>
      <c r="H1607" s="199" t="s">
        <v>9</v>
      </c>
      <c r="I1607" s="20">
        <f>I1608</f>
        <v>40877.019999999997</v>
      </c>
      <c r="J1607" s="20">
        <f t="shared" ref="J1607:K1607" si="632">J1608</f>
        <v>0</v>
      </c>
      <c r="K1607" s="20">
        <f t="shared" si="632"/>
        <v>0</v>
      </c>
      <c r="L1607" s="383">
        <v>430477330</v>
      </c>
      <c r="M1607" s="16" t="str">
        <f t="shared" si="630"/>
        <v>0430477330</v>
      </c>
      <c r="N1607" s="16" t="str">
        <f t="shared" si="631"/>
        <v>62005030430477330000</v>
      </c>
      <c r="O1607" s="383" t="s">
        <v>2294</v>
      </c>
      <c r="P1607" s="16" t="e">
        <f>CONCATENATE(#REF!,C1607,D1607,E1607,F1607,G1607,H1607,#REF!,#REF!,L1607,#REF!,M1607,N1607,I1607,O1607)</f>
        <v>#REF!</v>
      </c>
    </row>
    <row r="1608" spans="2:16" s="16" customFormat="1" ht="25.5">
      <c r="B1608" s="14"/>
      <c r="C1608" s="197" t="s">
        <v>28</v>
      </c>
      <c r="D1608" s="198" t="s">
        <v>410</v>
      </c>
      <c r="E1608" s="199" t="s">
        <v>86</v>
      </c>
      <c r="F1608" s="199" t="s">
        <v>13</v>
      </c>
      <c r="G1608" s="199" t="s">
        <v>1146</v>
      </c>
      <c r="H1608" s="199" t="s">
        <v>29</v>
      </c>
      <c r="I1608" s="20">
        <f>30156.8+5277.76+4228.58+1213.88</f>
        <v>40877.019999999997</v>
      </c>
      <c r="J1608" s="20">
        <v>0</v>
      </c>
      <c r="K1608" s="20">
        <v>0</v>
      </c>
      <c r="L1608" s="383">
        <v>430477330</v>
      </c>
      <c r="M1608" s="16" t="str">
        <f t="shared" si="630"/>
        <v>0430477330</v>
      </c>
      <c r="N1608" s="16" t="str">
        <f t="shared" si="631"/>
        <v>62005030430477330240</v>
      </c>
      <c r="O1608" s="383" t="s">
        <v>2294</v>
      </c>
      <c r="P1608" s="16" t="e">
        <f>CONCATENATE(#REF!,C1608,D1608,E1608,F1608,G1608,H1608,#REF!,#REF!,L1608,#REF!,M1608,N1608,I1608,O1608)</f>
        <v>#REF!</v>
      </c>
    </row>
    <row r="1609" spans="2:16" s="212" customFormat="1" ht="191.25">
      <c r="B1609" s="14" t="s">
        <v>2282</v>
      </c>
      <c r="C1609" s="197" t="s">
        <v>2269</v>
      </c>
      <c r="D1609" s="199" t="s">
        <v>410</v>
      </c>
      <c r="E1609" s="199" t="s">
        <v>86</v>
      </c>
      <c r="F1609" s="199" t="s">
        <v>13</v>
      </c>
      <c r="G1609" s="199" t="s">
        <v>1354</v>
      </c>
      <c r="H1609" s="199" t="s">
        <v>9</v>
      </c>
      <c r="I1609" s="20">
        <f>I1610</f>
        <v>402.45</v>
      </c>
      <c r="J1609" s="20">
        <f t="shared" ref="J1609:K1609" si="633">J1610</f>
        <v>0</v>
      </c>
      <c r="K1609" s="20">
        <f t="shared" si="633"/>
        <v>0</v>
      </c>
      <c r="L1609" s="212">
        <v>430477460</v>
      </c>
      <c r="M1609" s="16" t="str">
        <f t="shared" si="630"/>
        <v>0430477460</v>
      </c>
      <c r="N1609" s="16" t="str">
        <f t="shared" si="631"/>
        <v>62005030430477460000</v>
      </c>
    </row>
    <row r="1610" spans="2:16" s="212" customFormat="1">
      <c r="B1610" s="14"/>
      <c r="C1610" s="205" t="s">
        <v>403</v>
      </c>
      <c r="D1610" s="199" t="s">
        <v>410</v>
      </c>
      <c r="E1610" s="199" t="s">
        <v>86</v>
      </c>
      <c r="F1610" s="199" t="s">
        <v>13</v>
      </c>
      <c r="G1610" s="199" t="s">
        <v>1354</v>
      </c>
      <c r="H1610" s="199" t="s">
        <v>404</v>
      </c>
      <c r="I1610" s="20">
        <f>402.45</f>
        <v>402.45</v>
      </c>
      <c r="J1610" s="20">
        <v>0</v>
      </c>
      <c r="K1610" s="20">
        <v>0</v>
      </c>
      <c r="L1610" s="212">
        <v>430477460</v>
      </c>
      <c r="M1610" s="16" t="str">
        <f t="shared" si="630"/>
        <v>0430477460</v>
      </c>
      <c r="N1610" s="16" t="str">
        <f t="shared" si="631"/>
        <v>62005030430477460610</v>
      </c>
    </row>
    <row r="1611" spans="2:16" s="212" customFormat="1" ht="51">
      <c r="B1611" s="14"/>
      <c r="C1611" s="197" t="s">
        <v>1355</v>
      </c>
      <c r="D1611" s="338" t="s">
        <v>410</v>
      </c>
      <c r="E1611" s="338" t="s">
        <v>86</v>
      </c>
      <c r="F1611" s="338" t="s">
        <v>13</v>
      </c>
      <c r="G1611" s="338" t="s">
        <v>1356</v>
      </c>
      <c r="H1611" s="326" t="s">
        <v>9</v>
      </c>
      <c r="I1611" s="329">
        <f>I1612</f>
        <v>2263.16</v>
      </c>
      <c r="J1611" s="329">
        <f t="shared" ref="J1611:K1611" si="634">J1612</f>
        <v>942</v>
      </c>
      <c r="K1611" s="329">
        <f t="shared" si="634"/>
        <v>942</v>
      </c>
      <c r="L1611" s="212" t="s">
        <v>2193</v>
      </c>
      <c r="M1611" s="16" t="str">
        <f t="shared" si="630"/>
        <v>04304S6413</v>
      </c>
      <c r="N1611" s="16" t="str">
        <f t="shared" si="631"/>
        <v>620050304304S6413000</v>
      </c>
    </row>
    <row r="1612" spans="2:16" s="212" customFormat="1" ht="25.5">
      <c r="B1612" s="14"/>
      <c r="C1612" s="197" t="s">
        <v>28</v>
      </c>
      <c r="D1612" s="338" t="s">
        <v>410</v>
      </c>
      <c r="E1612" s="338" t="s">
        <v>86</v>
      </c>
      <c r="F1612" s="338" t="s">
        <v>13</v>
      </c>
      <c r="G1612" s="338" t="s">
        <v>1356</v>
      </c>
      <c r="H1612" s="326" t="s">
        <v>29</v>
      </c>
      <c r="I1612" s="329">
        <f>2263.16</f>
        <v>2263.16</v>
      </c>
      <c r="J1612" s="329">
        <f>942</f>
        <v>942</v>
      </c>
      <c r="K1612" s="329">
        <f>942</f>
        <v>942</v>
      </c>
      <c r="L1612" s="212" t="s">
        <v>2193</v>
      </c>
      <c r="M1612" s="16" t="str">
        <f t="shared" si="630"/>
        <v>04304S6413</v>
      </c>
      <c r="N1612" s="16" t="str">
        <f t="shared" si="631"/>
        <v>620050304304S6413240</v>
      </c>
    </row>
    <row r="1613" spans="2:16" s="16" customFormat="1" ht="25.5">
      <c r="B1613" s="14"/>
      <c r="C1613" s="197" t="s">
        <v>1063</v>
      </c>
      <c r="D1613" s="203" t="s">
        <v>410</v>
      </c>
      <c r="E1613" s="204" t="s">
        <v>86</v>
      </c>
      <c r="F1613" s="204" t="s">
        <v>13</v>
      </c>
      <c r="G1613" s="326" t="s">
        <v>2270</v>
      </c>
      <c r="H1613" s="204" t="s">
        <v>9</v>
      </c>
      <c r="I1613" s="26">
        <f>I1616</f>
        <v>868.92</v>
      </c>
      <c r="J1613" s="26">
        <f t="shared" ref="J1613:K1613" si="635">J1616</f>
        <v>0</v>
      </c>
      <c r="K1613" s="26">
        <f t="shared" si="635"/>
        <v>0</v>
      </c>
      <c r="L1613" s="16" t="s">
        <v>2194</v>
      </c>
      <c r="M1613" s="16" t="str">
        <f t="shared" si="630"/>
        <v>04304S7247</v>
      </c>
      <c r="N1613" s="16" t="str">
        <f t="shared" si="631"/>
        <v>620050304304S7247000</v>
      </c>
    </row>
    <row r="1614" spans="2:16" s="16" customFormat="1">
      <c r="B1614" s="14"/>
      <c r="C1614" s="197" t="s">
        <v>1104</v>
      </c>
      <c r="D1614" s="203"/>
      <c r="E1614" s="204"/>
      <c r="F1614" s="204"/>
      <c r="G1614" s="326"/>
      <c r="H1614" s="204"/>
      <c r="I1614" s="26"/>
      <c r="J1614" s="26"/>
      <c r="K1614" s="26"/>
      <c r="M1614" s="16" t="str">
        <f t="shared" si="630"/>
        <v>0000000000</v>
      </c>
      <c r="N1614" s="16" t="str">
        <f t="shared" si="631"/>
        <v>0000000000</v>
      </c>
    </row>
    <row r="1615" spans="2:16" s="16" customFormat="1" ht="25.5">
      <c r="B1615" s="14"/>
      <c r="C1615" s="197" t="s">
        <v>2296</v>
      </c>
      <c r="D1615" s="203" t="s">
        <v>410</v>
      </c>
      <c r="E1615" s="204" t="s">
        <v>86</v>
      </c>
      <c r="F1615" s="204" t="s">
        <v>13</v>
      </c>
      <c r="G1615" s="326" t="s">
        <v>2270</v>
      </c>
      <c r="H1615" s="204" t="s">
        <v>9</v>
      </c>
      <c r="I1615" s="26">
        <f>810.21+99.79-41.08</f>
        <v>868.92</v>
      </c>
      <c r="J1615" s="26">
        <v>0</v>
      </c>
      <c r="K1615" s="26">
        <v>0</v>
      </c>
      <c r="L1615" s="16" t="s">
        <v>2194</v>
      </c>
      <c r="M1615" s="16" t="str">
        <f t="shared" si="630"/>
        <v>04304S7247</v>
      </c>
      <c r="N1615" s="16" t="str">
        <f t="shared" si="631"/>
        <v>620050304304S7247000</v>
      </c>
    </row>
    <row r="1616" spans="2:16" s="16" customFormat="1">
      <c r="B1616" s="14"/>
      <c r="C1616" s="231" t="s">
        <v>837</v>
      </c>
      <c r="D1616" s="232" t="s">
        <v>410</v>
      </c>
      <c r="E1616" s="233" t="s">
        <v>86</v>
      </c>
      <c r="F1616" s="233" t="s">
        <v>13</v>
      </c>
      <c r="G1616" s="390" t="s">
        <v>2270</v>
      </c>
      <c r="H1616" s="233" t="s">
        <v>838</v>
      </c>
      <c r="I1616" s="235">
        <f>I1615</f>
        <v>868.92</v>
      </c>
      <c r="J1616" s="235">
        <f t="shared" ref="J1616:K1616" si="636">J1615</f>
        <v>0</v>
      </c>
      <c r="K1616" s="235">
        <f t="shared" si="636"/>
        <v>0</v>
      </c>
      <c r="L1616" s="16" t="s">
        <v>2194</v>
      </c>
      <c r="M1616" s="16" t="str">
        <f t="shared" si="630"/>
        <v>04304S7247</v>
      </c>
      <c r="N1616" s="16" t="str">
        <f t="shared" si="631"/>
        <v>620050304304S7247410</v>
      </c>
    </row>
    <row r="1617" spans="2:16" s="16" customFormat="1" ht="25.5">
      <c r="B1617" s="14"/>
      <c r="C1617" s="197" t="s">
        <v>1357</v>
      </c>
      <c r="D1617" s="198" t="s">
        <v>410</v>
      </c>
      <c r="E1617" s="199" t="s">
        <v>86</v>
      </c>
      <c r="F1617" s="199" t="s">
        <v>13</v>
      </c>
      <c r="G1617" s="199" t="s">
        <v>1147</v>
      </c>
      <c r="H1617" s="199" t="s">
        <v>9</v>
      </c>
      <c r="I1617" s="20">
        <f>I1618</f>
        <v>2450</v>
      </c>
      <c r="J1617" s="20">
        <f t="shared" ref="J1617:K1617" si="637">J1618</f>
        <v>0</v>
      </c>
      <c r="K1617" s="20">
        <f t="shared" si="637"/>
        <v>0</v>
      </c>
      <c r="L1617" s="383" t="s">
        <v>1256</v>
      </c>
      <c r="M1617" s="16" t="str">
        <f t="shared" si="630"/>
        <v>04304S7330</v>
      </c>
      <c r="N1617" s="16" t="str">
        <f t="shared" si="631"/>
        <v>620050304304S7330000</v>
      </c>
      <c r="O1617" s="383" t="s">
        <v>2294</v>
      </c>
      <c r="P1617" s="16" t="e">
        <f>CONCATENATE(#REF!,C1617,D1617,E1617,F1617,G1617,H1617,#REF!,#REF!,L1617,#REF!,M1617,N1617,I1617,O1617)</f>
        <v>#REF!</v>
      </c>
    </row>
    <row r="1618" spans="2:16" s="16" customFormat="1" ht="25.5">
      <c r="B1618" s="14"/>
      <c r="C1618" s="197" t="s">
        <v>28</v>
      </c>
      <c r="D1618" s="198" t="s">
        <v>410</v>
      </c>
      <c r="E1618" s="199" t="s">
        <v>86</v>
      </c>
      <c r="F1618" s="199" t="s">
        <v>13</v>
      </c>
      <c r="G1618" s="199" t="s">
        <v>1147</v>
      </c>
      <c r="H1618" s="199" t="s">
        <v>29</v>
      </c>
      <c r="I1618" s="20">
        <f>1587.2+277.78+521.13+63.89</f>
        <v>2450</v>
      </c>
      <c r="J1618" s="20">
        <v>0</v>
      </c>
      <c r="K1618" s="20">
        <v>0</v>
      </c>
      <c r="L1618" s="383" t="s">
        <v>1256</v>
      </c>
      <c r="M1618" s="16" t="str">
        <f t="shared" si="630"/>
        <v>04304S7330</v>
      </c>
      <c r="N1618" s="16" t="str">
        <f t="shared" si="631"/>
        <v>620050304304S7330240</v>
      </c>
      <c r="O1618" s="383" t="s">
        <v>2294</v>
      </c>
      <c r="P1618" s="16" t="e">
        <f>CONCATENATE(#REF!,C1618,D1618,E1618,F1618,G1618,H1618,#REF!,#REF!,L1618,#REF!,M1618,N1618,I1618,O1618)</f>
        <v>#REF!</v>
      </c>
    </row>
    <row r="1619" spans="2:16" s="16" customFormat="1" ht="25.5">
      <c r="B1619" s="14"/>
      <c r="C1619" s="197" t="s">
        <v>430</v>
      </c>
      <c r="D1619" s="204" t="s">
        <v>410</v>
      </c>
      <c r="E1619" s="204" t="s">
        <v>86</v>
      </c>
      <c r="F1619" s="204" t="s">
        <v>13</v>
      </c>
      <c r="G1619" s="204" t="s">
        <v>431</v>
      </c>
      <c r="H1619" s="204" t="s">
        <v>9</v>
      </c>
      <c r="I1619" s="53">
        <f t="shared" ref="I1619:K1621" si="638">I1620</f>
        <v>7128.3899999999994</v>
      </c>
      <c r="J1619" s="53">
        <f t="shared" si="638"/>
        <v>3385.52</v>
      </c>
      <c r="K1619" s="53">
        <f t="shared" si="638"/>
        <v>3385.52</v>
      </c>
      <c r="L1619" s="16">
        <v>1700000000</v>
      </c>
      <c r="M1619" s="16" t="str">
        <f t="shared" si="630"/>
        <v>1700000000</v>
      </c>
      <c r="N1619" s="16" t="str">
        <f t="shared" si="631"/>
        <v>62005031700000000000</v>
      </c>
    </row>
    <row r="1620" spans="2:16" s="16" customFormat="1" ht="38.25">
      <c r="B1620" s="14"/>
      <c r="C1620" s="201" t="s">
        <v>432</v>
      </c>
      <c r="D1620" s="204" t="s">
        <v>410</v>
      </c>
      <c r="E1620" s="204" t="s">
        <v>86</v>
      </c>
      <c r="F1620" s="204" t="s">
        <v>13</v>
      </c>
      <c r="G1620" s="204" t="s">
        <v>433</v>
      </c>
      <c r="H1620" s="204" t="s">
        <v>9</v>
      </c>
      <c r="I1620" s="53">
        <f t="shared" si="638"/>
        <v>7128.3899999999994</v>
      </c>
      <c r="J1620" s="53">
        <f t="shared" si="638"/>
        <v>3385.52</v>
      </c>
      <c r="K1620" s="53">
        <f t="shared" si="638"/>
        <v>3385.52</v>
      </c>
      <c r="L1620" s="16" t="s">
        <v>1198</v>
      </c>
      <c r="M1620" s="16" t="str">
        <f t="shared" si="630"/>
        <v>17Б0000000</v>
      </c>
      <c r="N1620" s="16" t="str">
        <f t="shared" si="631"/>
        <v>620050317Б0000000000</v>
      </c>
    </row>
    <row r="1621" spans="2:16" s="16" customFormat="1" ht="25.5">
      <c r="B1621" s="14"/>
      <c r="C1621" s="201" t="s">
        <v>883</v>
      </c>
      <c r="D1621" s="204" t="s">
        <v>410</v>
      </c>
      <c r="E1621" s="204" t="s">
        <v>86</v>
      </c>
      <c r="F1621" s="204" t="s">
        <v>13</v>
      </c>
      <c r="G1621" s="204" t="s">
        <v>884</v>
      </c>
      <c r="H1621" s="204" t="s">
        <v>9</v>
      </c>
      <c r="I1621" s="53">
        <f t="shared" si="638"/>
        <v>7128.3899999999994</v>
      </c>
      <c r="J1621" s="53">
        <f t="shared" si="638"/>
        <v>3385.52</v>
      </c>
      <c r="K1621" s="53">
        <f t="shared" si="638"/>
        <v>3385.52</v>
      </c>
      <c r="L1621" s="16" t="s">
        <v>1240</v>
      </c>
      <c r="M1621" s="16" t="str">
        <f t="shared" si="630"/>
        <v>17Б0200000</v>
      </c>
      <c r="N1621" s="16" t="str">
        <f t="shared" si="631"/>
        <v>620050317Б0200000000</v>
      </c>
    </row>
    <row r="1622" spans="2:16" s="16" customFormat="1" ht="25.5">
      <c r="B1622" s="14"/>
      <c r="C1622" s="205" t="s">
        <v>436</v>
      </c>
      <c r="D1622" s="199" t="s">
        <v>410</v>
      </c>
      <c r="E1622" s="199" t="s">
        <v>86</v>
      </c>
      <c r="F1622" s="199" t="s">
        <v>13</v>
      </c>
      <c r="G1622" s="199" t="s">
        <v>885</v>
      </c>
      <c r="H1622" s="199" t="s">
        <v>9</v>
      </c>
      <c r="I1622" s="64">
        <f>I1625</f>
        <v>7128.3899999999994</v>
      </c>
      <c r="J1622" s="64">
        <f>J1625</f>
        <v>3385.52</v>
      </c>
      <c r="K1622" s="64">
        <f>K1625</f>
        <v>3385.52</v>
      </c>
      <c r="L1622" s="16" t="s">
        <v>1241</v>
      </c>
      <c r="M1622" s="16" t="str">
        <f t="shared" si="630"/>
        <v>17Б0220490</v>
      </c>
      <c r="N1622" s="16" t="str">
        <f t="shared" si="631"/>
        <v>620050317Б0220490000</v>
      </c>
    </row>
    <row r="1623" spans="2:16" s="16" customFormat="1">
      <c r="B1623" s="14"/>
      <c r="C1623" s="220" t="s">
        <v>1104</v>
      </c>
      <c r="D1623" s="199"/>
      <c r="E1623" s="199"/>
      <c r="F1623" s="199"/>
      <c r="G1623" s="199"/>
      <c r="H1623" s="199"/>
      <c r="I1623" s="64"/>
      <c r="J1623" s="64"/>
      <c r="K1623" s="64"/>
      <c r="M1623" s="16" t="str">
        <f t="shared" si="630"/>
        <v>0000000000</v>
      </c>
      <c r="N1623" s="16" t="str">
        <f t="shared" si="631"/>
        <v>0000000000</v>
      </c>
    </row>
    <row r="1624" spans="2:16" s="16" customFormat="1">
      <c r="B1624" s="14"/>
      <c r="C1624" s="221" t="s">
        <v>1105</v>
      </c>
      <c r="D1624" s="223" t="s">
        <v>410</v>
      </c>
      <c r="E1624" s="223" t="s">
        <v>86</v>
      </c>
      <c r="F1624" s="223" t="s">
        <v>13</v>
      </c>
      <c r="G1624" s="223" t="s">
        <v>885</v>
      </c>
      <c r="H1624" s="223" t="s">
        <v>9</v>
      </c>
      <c r="I1624" s="279">
        <f>3742.87</f>
        <v>3742.87</v>
      </c>
      <c r="J1624" s="279">
        <v>0</v>
      </c>
      <c r="K1624" s="279">
        <v>0</v>
      </c>
      <c r="L1624" s="16" t="s">
        <v>1241</v>
      </c>
      <c r="M1624" s="16" t="str">
        <f t="shared" si="630"/>
        <v>17Б0220490</v>
      </c>
      <c r="N1624" s="16" t="str">
        <f t="shared" si="631"/>
        <v>620050317Б0220490000</v>
      </c>
    </row>
    <row r="1625" spans="2:16" s="16" customFormat="1" ht="25.5">
      <c r="B1625" s="14"/>
      <c r="C1625" s="197" t="s">
        <v>28</v>
      </c>
      <c r="D1625" s="199" t="s">
        <v>410</v>
      </c>
      <c r="E1625" s="199" t="s">
        <v>86</v>
      </c>
      <c r="F1625" s="199" t="s">
        <v>13</v>
      </c>
      <c r="G1625" s="199" t="s">
        <v>885</v>
      </c>
      <c r="H1625" s="199" t="s">
        <v>29</v>
      </c>
      <c r="I1625" s="64">
        <f>3385.52+I1624</f>
        <v>7128.3899999999994</v>
      </c>
      <c r="J1625" s="64">
        <f t="shared" ref="J1625:K1625" si="639">3385.52</f>
        <v>3385.52</v>
      </c>
      <c r="K1625" s="64">
        <f t="shared" si="639"/>
        <v>3385.52</v>
      </c>
      <c r="L1625" s="16" t="s">
        <v>1241</v>
      </c>
      <c r="M1625" s="16" t="str">
        <f t="shared" si="630"/>
        <v>17Б0220490</v>
      </c>
      <c r="N1625" s="16" t="str">
        <f t="shared" si="631"/>
        <v>620050317Б0220490240</v>
      </c>
    </row>
    <row r="1626" spans="2:16" s="16" customFormat="1" ht="25.5">
      <c r="B1626" s="14"/>
      <c r="C1626" s="197" t="s">
        <v>886</v>
      </c>
      <c r="D1626" s="199" t="s">
        <v>410</v>
      </c>
      <c r="E1626" s="199" t="s">
        <v>86</v>
      </c>
      <c r="F1626" s="199" t="s">
        <v>13</v>
      </c>
      <c r="G1626" s="199" t="s">
        <v>887</v>
      </c>
      <c r="H1626" s="199" t="s">
        <v>9</v>
      </c>
      <c r="I1626" s="64">
        <f>I1627</f>
        <v>186576.56</v>
      </c>
      <c r="J1626" s="64">
        <f t="shared" ref="J1626:K1626" si="640">J1627</f>
        <v>9180.16</v>
      </c>
      <c r="K1626" s="64">
        <f t="shared" si="640"/>
        <v>12090.21</v>
      </c>
      <c r="L1626" s="16">
        <v>2000000000</v>
      </c>
      <c r="M1626" s="16" t="str">
        <f t="shared" si="630"/>
        <v>2000000000</v>
      </c>
      <c r="N1626" s="16" t="str">
        <f t="shared" si="631"/>
        <v>62005032000000000000</v>
      </c>
    </row>
    <row r="1627" spans="2:16" s="16" customFormat="1" ht="38.25">
      <c r="B1627" s="14"/>
      <c r="C1627" s="197" t="s">
        <v>888</v>
      </c>
      <c r="D1627" s="199" t="s">
        <v>410</v>
      </c>
      <c r="E1627" s="199" t="s">
        <v>86</v>
      </c>
      <c r="F1627" s="199" t="s">
        <v>13</v>
      </c>
      <c r="G1627" s="199" t="s">
        <v>889</v>
      </c>
      <c r="H1627" s="199" t="s">
        <v>9</v>
      </c>
      <c r="I1627" s="64">
        <f>I1628+I1634+I1640</f>
        <v>186576.56</v>
      </c>
      <c r="J1627" s="64">
        <f t="shared" ref="J1627:K1627" si="641">J1628+J1634+J1640</f>
        <v>9180.16</v>
      </c>
      <c r="K1627" s="64">
        <f t="shared" si="641"/>
        <v>12090.21</v>
      </c>
      <c r="L1627" s="16" t="s">
        <v>1242</v>
      </c>
      <c r="M1627" s="16" t="str">
        <f t="shared" si="630"/>
        <v>20Б0000000</v>
      </c>
      <c r="N1627" s="16" t="str">
        <f t="shared" si="631"/>
        <v>620050320Б0000000000</v>
      </c>
    </row>
    <row r="1628" spans="2:16" s="16" customFormat="1" ht="25.5">
      <c r="B1628" s="14"/>
      <c r="C1628" s="197" t="s">
        <v>890</v>
      </c>
      <c r="D1628" s="199" t="s">
        <v>410</v>
      </c>
      <c r="E1628" s="199" t="s">
        <v>86</v>
      </c>
      <c r="F1628" s="199" t="s">
        <v>13</v>
      </c>
      <c r="G1628" s="199" t="s">
        <v>891</v>
      </c>
      <c r="H1628" s="199" t="s">
        <v>9</v>
      </c>
      <c r="I1628" s="64">
        <f>I1629</f>
        <v>80283.759999999995</v>
      </c>
      <c r="J1628" s="64">
        <f t="shared" ref="J1628:K1628" si="642">J1629</f>
        <v>5820.1</v>
      </c>
      <c r="K1628" s="64">
        <f t="shared" si="642"/>
        <v>7760.13</v>
      </c>
      <c r="L1628" s="16" t="s">
        <v>1243</v>
      </c>
      <c r="M1628" s="16" t="str">
        <f t="shared" si="630"/>
        <v>20Б0100000</v>
      </c>
      <c r="N1628" s="16" t="str">
        <f t="shared" si="631"/>
        <v>620050320Б0100000000</v>
      </c>
    </row>
    <row r="1629" spans="2:16" s="16" customFormat="1" ht="25.5">
      <c r="B1629" s="14"/>
      <c r="C1629" s="197" t="s">
        <v>1358</v>
      </c>
      <c r="D1629" s="199" t="s">
        <v>410</v>
      </c>
      <c r="E1629" s="199" t="s">
        <v>86</v>
      </c>
      <c r="F1629" s="199" t="s">
        <v>13</v>
      </c>
      <c r="G1629" s="199" t="s">
        <v>893</v>
      </c>
      <c r="H1629" s="199" t="s">
        <v>9</v>
      </c>
      <c r="I1629" s="64">
        <f>I1633</f>
        <v>80283.759999999995</v>
      </c>
      <c r="J1629" s="64">
        <f t="shared" ref="J1629:K1629" si="643">J1633</f>
        <v>5820.1</v>
      </c>
      <c r="K1629" s="64">
        <f t="shared" si="643"/>
        <v>7760.13</v>
      </c>
      <c r="L1629" s="16" t="s">
        <v>1244</v>
      </c>
      <c r="M1629" s="16" t="str">
        <f t="shared" si="630"/>
        <v>20Б01L5550</v>
      </c>
      <c r="N1629" s="16" t="str">
        <f t="shared" si="631"/>
        <v>620050320Б01L5550000</v>
      </c>
    </row>
    <row r="1630" spans="2:16" s="16" customFormat="1">
      <c r="B1630" s="14"/>
      <c r="C1630" s="205" t="s">
        <v>1045</v>
      </c>
      <c r="D1630" s="199"/>
      <c r="E1630" s="199"/>
      <c r="F1630" s="199"/>
      <c r="G1630" s="199"/>
      <c r="H1630" s="199"/>
      <c r="I1630" s="64"/>
      <c r="J1630" s="64"/>
      <c r="K1630" s="64"/>
      <c r="M1630" s="16" t="str">
        <f t="shared" si="630"/>
        <v>0000000000</v>
      </c>
      <c r="N1630" s="16" t="str">
        <f t="shared" si="631"/>
        <v>0000000000</v>
      </c>
    </row>
    <row r="1631" spans="2:16" s="16" customFormat="1">
      <c r="B1631" s="14"/>
      <c r="C1631" s="197" t="s">
        <v>1050</v>
      </c>
      <c r="D1631" s="199" t="s">
        <v>410</v>
      </c>
      <c r="E1631" s="199" t="s">
        <v>86</v>
      </c>
      <c r="F1631" s="199" t="s">
        <v>13</v>
      </c>
      <c r="G1631" s="199" t="s">
        <v>893</v>
      </c>
      <c r="H1631" s="199" t="s">
        <v>9</v>
      </c>
      <c r="I1631" s="32">
        <f>3880.07+194.01+396.31+20064.88+24512.59</f>
        <v>49047.86</v>
      </c>
      <c r="J1631" s="32">
        <f>3880.07+1940.03</f>
        <v>5820.1</v>
      </c>
      <c r="K1631" s="32">
        <f>3880.07+3880.06</f>
        <v>7760.13</v>
      </c>
      <c r="L1631" s="16" t="s">
        <v>1244</v>
      </c>
      <c r="M1631" s="16" t="str">
        <f t="shared" si="630"/>
        <v>20Б01L5550</v>
      </c>
      <c r="N1631" s="16" t="str">
        <f t="shared" si="631"/>
        <v>620050320Б01L5550000</v>
      </c>
    </row>
    <row r="1632" spans="2:16" s="16" customFormat="1">
      <c r="B1632" s="14" t="s">
        <v>2282</v>
      </c>
      <c r="C1632" s="197" t="s">
        <v>1051</v>
      </c>
      <c r="D1632" s="199" t="s">
        <v>410</v>
      </c>
      <c r="E1632" s="199" t="s">
        <v>86</v>
      </c>
      <c r="F1632" s="199" t="s">
        <v>13</v>
      </c>
      <c r="G1632" s="199" t="s">
        <v>893</v>
      </c>
      <c r="H1632" s="199" t="s">
        <v>9</v>
      </c>
      <c r="I1632" s="64">
        <f>70000+6809.4-76809.4+56121.78-24885.88</f>
        <v>31235.899999999998</v>
      </c>
      <c r="J1632" s="64">
        <v>0</v>
      </c>
      <c r="K1632" s="64">
        <v>0</v>
      </c>
      <c r="L1632" s="16" t="s">
        <v>1244</v>
      </c>
      <c r="M1632" s="16" t="str">
        <f t="shared" si="630"/>
        <v>20Б01L5550</v>
      </c>
      <c r="N1632" s="16" t="str">
        <f t="shared" si="631"/>
        <v>620050320Б01L5550000</v>
      </c>
    </row>
    <row r="1633" spans="2:14" s="16" customFormat="1" ht="25.5">
      <c r="B1633" s="14"/>
      <c r="C1633" s="197" t="s">
        <v>28</v>
      </c>
      <c r="D1633" s="199" t="s">
        <v>410</v>
      </c>
      <c r="E1633" s="199" t="s">
        <v>86</v>
      </c>
      <c r="F1633" s="199" t="s">
        <v>13</v>
      </c>
      <c r="G1633" s="199" t="s">
        <v>893</v>
      </c>
      <c r="H1633" s="199" t="s">
        <v>29</v>
      </c>
      <c r="I1633" s="32">
        <f>I1631+I1632</f>
        <v>80283.759999999995</v>
      </c>
      <c r="J1633" s="32">
        <f t="shared" ref="J1633:K1633" si="644">J1631+J1632</f>
        <v>5820.1</v>
      </c>
      <c r="K1633" s="32">
        <f t="shared" si="644"/>
        <v>7760.13</v>
      </c>
      <c r="L1633" s="16" t="s">
        <v>1244</v>
      </c>
      <c r="M1633" s="16" t="str">
        <f t="shared" si="630"/>
        <v>20Б01L5550</v>
      </c>
      <c r="N1633" s="16" t="str">
        <f t="shared" si="631"/>
        <v>620050320Б01L5550240</v>
      </c>
    </row>
    <row r="1634" spans="2:14" s="16" customFormat="1" ht="25.5">
      <c r="B1634" s="14"/>
      <c r="C1634" s="197" t="s">
        <v>894</v>
      </c>
      <c r="D1634" s="199" t="s">
        <v>410</v>
      </c>
      <c r="E1634" s="199" t="s">
        <v>86</v>
      </c>
      <c r="F1634" s="199" t="s">
        <v>13</v>
      </c>
      <c r="G1634" s="199" t="s">
        <v>895</v>
      </c>
      <c r="H1634" s="199" t="s">
        <v>9</v>
      </c>
      <c r="I1634" s="64">
        <f>I1635</f>
        <v>105582.8</v>
      </c>
      <c r="J1634" s="64">
        <f t="shared" ref="J1634:K1634" si="645">J1635</f>
        <v>2910.06</v>
      </c>
      <c r="K1634" s="64">
        <f t="shared" si="645"/>
        <v>3880.08</v>
      </c>
      <c r="L1634" s="16" t="s">
        <v>1245</v>
      </c>
      <c r="M1634" s="16" t="str">
        <f t="shared" si="630"/>
        <v>20Б0200000</v>
      </c>
      <c r="N1634" s="16" t="str">
        <f t="shared" si="631"/>
        <v>620050320Б0200000000</v>
      </c>
    </row>
    <row r="1635" spans="2:14" s="16" customFormat="1" ht="25.5">
      <c r="B1635" s="14"/>
      <c r="C1635" s="197" t="s">
        <v>1358</v>
      </c>
      <c r="D1635" s="199" t="s">
        <v>410</v>
      </c>
      <c r="E1635" s="199" t="s">
        <v>86</v>
      </c>
      <c r="F1635" s="199" t="s">
        <v>13</v>
      </c>
      <c r="G1635" s="199" t="s">
        <v>896</v>
      </c>
      <c r="H1635" s="199" t="s">
        <v>9</v>
      </c>
      <c r="I1635" s="64">
        <f>I1639</f>
        <v>105582.8</v>
      </c>
      <c r="J1635" s="64">
        <f>J1639</f>
        <v>2910.06</v>
      </c>
      <c r="K1635" s="64">
        <f>K1639</f>
        <v>3880.08</v>
      </c>
      <c r="L1635" s="16" t="s">
        <v>1246</v>
      </c>
      <c r="M1635" s="16" t="str">
        <f t="shared" si="630"/>
        <v>20Б02L5550</v>
      </c>
      <c r="N1635" s="16" t="str">
        <f t="shared" si="631"/>
        <v>620050320Б02L5550000</v>
      </c>
    </row>
    <row r="1636" spans="2:14" s="16" customFormat="1">
      <c r="B1636" s="14"/>
      <c r="C1636" s="205" t="s">
        <v>1045</v>
      </c>
      <c r="D1636" s="199"/>
      <c r="E1636" s="199"/>
      <c r="F1636" s="199"/>
      <c r="G1636" s="199"/>
      <c r="H1636" s="199"/>
      <c r="I1636" s="64"/>
      <c r="J1636" s="64"/>
      <c r="K1636" s="64"/>
      <c r="M1636" s="16" t="str">
        <f t="shared" si="630"/>
        <v>0000000000</v>
      </c>
      <c r="N1636" s="16" t="str">
        <f t="shared" si="631"/>
        <v>0000000000</v>
      </c>
    </row>
    <row r="1637" spans="2:14" s="16" customFormat="1">
      <c r="B1637" s="14"/>
      <c r="C1637" s="197" t="s">
        <v>1050</v>
      </c>
      <c r="D1637" s="199" t="s">
        <v>410</v>
      </c>
      <c r="E1637" s="199" t="s">
        <v>86</v>
      </c>
      <c r="F1637" s="199" t="s">
        <v>13</v>
      </c>
      <c r="G1637" s="199" t="s">
        <v>896</v>
      </c>
      <c r="H1637" s="199" t="s">
        <v>9</v>
      </c>
      <c r="I1637" s="32">
        <f>1940.04+4287.47-396.31+26172.75-24512.59</f>
        <v>7491.3600000000006</v>
      </c>
      <c r="J1637" s="32">
        <f>1940.04+970.02</f>
        <v>2910.06</v>
      </c>
      <c r="K1637" s="32">
        <f>1940.04+1940.04</f>
        <v>3880.08</v>
      </c>
      <c r="L1637" s="16" t="s">
        <v>1246</v>
      </c>
      <c r="M1637" s="16" t="str">
        <f t="shared" si="630"/>
        <v>20Б02L5550</v>
      </c>
      <c r="N1637" s="16" t="str">
        <f t="shared" si="631"/>
        <v>620050320Б02L5550000</v>
      </c>
    </row>
    <row r="1638" spans="2:14" s="16" customFormat="1">
      <c r="B1638" s="14" t="s">
        <v>2282</v>
      </c>
      <c r="C1638" s="197" t="s">
        <v>1051</v>
      </c>
      <c r="D1638" s="199" t="s">
        <v>410</v>
      </c>
      <c r="E1638" s="199" t="s">
        <v>86</v>
      </c>
      <c r="F1638" s="199" t="s">
        <v>13</v>
      </c>
      <c r="G1638" s="199" t="s">
        <v>896</v>
      </c>
      <c r="H1638" s="199" t="s">
        <v>9</v>
      </c>
      <c r="I1638" s="64">
        <f>107000-6809.4-100190.6+73205.56+24885.88</f>
        <v>98091.44</v>
      </c>
      <c r="J1638" s="64">
        <v>0</v>
      </c>
      <c r="K1638" s="64">
        <v>0</v>
      </c>
      <c r="L1638" s="16" t="s">
        <v>1246</v>
      </c>
      <c r="M1638" s="16" t="str">
        <f t="shared" si="630"/>
        <v>20Б02L5550</v>
      </c>
      <c r="N1638" s="16" t="str">
        <f t="shared" si="631"/>
        <v>620050320Б02L5550000</v>
      </c>
    </row>
    <row r="1639" spans="2:14" s="16" customFormat="1" ht="25.5">
      <c r="B1639" s="14"/>
      <c r="C1639" s="197" t="s">
        <v>28</v>
      </c>
      <c r="D1639" s="199" t="s">
        <v>410</v>
      </c>
      <c r="E1639" s="199" t="s">
        <v>86</v>
      </c>
      <c r="F1639" s="199" t="s">
        <v>13</v>
      </c>
      <c r="G1639" s="199" t="s">
        <v>896</v>
      </c>
      <c r="H1639" s="199" t="s">
        <v>29</v>
      </c>
      <c r="I1639" s="32">
        <f>I1637+I1638</f>
        <v>105582.8</v>
      </c>
      <c r="J1639" s="32">
        <f t="shared" ref="J1639:K1639" si="646">J1637+J1638</f>
        <v>2910.06</v>
      </c>
      <c r="K1639" s="32">
        <f t="shared" si="646"/>
        <v>3880.08</v>
      </c>
      <c r="L1639" s="16" t="s">
        <v>1246</v>
      </c>
      <c r="M1639" s="16" t="str">
        <f t="shared" si="630"/>
        <v>20Б02L5550</v>
      </c>
      <c r="N1639" s="16" t="str">
        <f t="shared" si="631"/>
        <v>620050320Б02L5550240</v>
      </c>
    </row>
    <row r="1640" spans="2:14" s="16" customFormat="1" ht="112.5" customHeight="1">
      <c r="B1640" s="14"/>
      <c r="C1640" s="197" t="s">
        <v>1359</v>
      </c>
      <c r="D1640" s="199" t="s">
        <v>410</v>
      </c>
      <c r="E1640" s="199" t="s">
        <v>86</v>
      </c>
      <c r="F1640" s="199" t="s">
        <v>13</v>
      </c>
      <c r="G1640" s="199" t="s">
        <v>898</v>
      </c>
      <c r="H1640" s="199" t="s">
        <v>9</v>
      </c>
      <c r="I1640" s="32">
        <f t="shared" ref="I1640:K1641" si="647">I1641</f>
        <v>710</v>
      </c>
      <c r="J1640" s="32">
        <f t="shared" si="647"/>
        <v>450</v>
      </c>
      <c r="K1640" s="32">
        <f t="shared" si="647"/>
        <v>450</v>
      </c>
      <c r="L1640" s="16" t="s">
        <v>1247</v>
      </c>
      <c r="M1640" s="16" t="str">
        <f t="shared" si="630"/>
        <v>20Б0300000</v>
      </c>
      <c r="N1640" s="16" t="str">
        <f t="shared" si="631"/>
        <v>620050320Б0300000000</v>
      </c>
    </row>
    <row r="1641" spans="2:14" s="16" customFormat="1" ht="25.5">
      <c r="B1641" s="14"/>
      <c r="C1641" s="375" t="s">
        <v>542</v>
      </c>
      <c r="D1641" s="199" t="s">
        <v>410</v>
      </c>
      <c r="E1641" s="199" t="s">
        <v>86</v>
      </c>
      <c r="F1641" s="199" t="s">
        <v>13</v>
      </c>
      <c r="G1641" s="199" t="s">
        <v>899</v>
      </c>
      <c r="H1641" s="199" t="s">
        <v>9</v>
      </c>
      <c r="I1641" s="32">
        <f t="shared" si="647"/>
        <v>710</v>
      </c>
      <c r="J1641" s="32">
        <f t="shared" si="647"/>
        <v>450</v>
      </c>
      <c r="K1641" s="32">
        <f t="shared" si="647"/>
        <v>450</v>
      </c>
      <c r="L1641" s="16" t="s">
        <v>1248</v>
      </c>
      <c r="M1641" s="16" t="str">
        <f t="shared" si="630"/>
        <v>20Б0320300</v>
      </c>
      <c r="N1641" s="16" t="str">
        <f t="shared" si="631"/>
        <v>620050320Б0320300000</v>
      </c>
    </row>
    <row r="1642" spans="2:14" s="16" customFormat="1" ht="25.5">
      <c r="B1642" s="14"/>
      <c r="C1642" s="375" t="s">
        <v>28</v>
      </c>
      <c r="D1642" s="199" t="s">
        <v>410</v>
      </c>
      <c r="E1642" s="199" t="s">
        <v>86</v>
      </c>
      <c r="F1642" s="199" t="s">
        <v>13</v>
      </c>
      <c r="G1642" s="199" t="s">
        <v>899</v>
      </c>
      <c r="H1642" s="199" t="s">
        <v>29</v>
      </c>
      <c r="I1642" s="32">
        <f>450+260</f>
        <v>710</v>
      </c>
      <c r="J1642" s="32">
        <f>450</f>
        <v>450</v>
      </c>
      <c r="K1642" s="32">
        <f>450</f>
        <v>450</v>
      </c>
      <c r="L1642" s="16" t="s">
        <v>1248</v>
      </c>
      <c r="M1642" s="16" t="str">
        <f t="shared" si="630"/>
        <v>20Б0320300</v>
      </c>
      <c r="N1642" s="16" t="str">
        <f t="shared" si="631"/>
        <v>620050320Б0320300240</v>
      </c>
    </row>
    <row r="1643" spans="2:14" s="16" customFormat="1">
      <c r="B1643" s="14"/>
      <c r="C1643" s="194" t="s">
        <v>313</v>
      </c>
      <c r="D1643" s="195" t="s">
        <v>410</v>
      </c>
      <c r="E1643" s="196" t="s">
        <v>86</v>
      </c>
      <c r="F1643" s="196" t="s">
        <v>86</v>
      </c>
      <c r="G1643" s="196" t="s">
        <v>8</v>
      </c>
      <c r="H1643" s="196" t="s">
        <v>9</v>
      </c>
      <c r="I1643" s="19">
        <f>I1644</f>
        <v>50261.959999999992</v>
      </c>
      <c r="J1643" s="19">
        <f t="shared" ref="J1643:K1644" si="648">J1644</f>
        <v>50298.79</v>
      </c>
      <c r="K1643" s="19">
        <f t="shared" si="648"/>
        <v>50298.79</v>
      </c>
      <c r="L1643" s="16">
        <v>0</v>
      </c>
      <c r="M1643" s="16" t="str">
        <f t="shared" si="630"/>
        <v>0000000000</v>
      </c>
      <c r="N1643" s="16" t="str">
        <f t="shared" si="631"/>
        <v>62005050000000000000</v>
      </c>
    </row>
    <row r="1644" spans="2:14" s="16" customFormat="1" ht="25.5">
      <c r="B1644" s="14"/>
      <c r="C1644" s="197" t="s">
        <v>806</v>
      </c>
      <c r="D1644" s="199" t="s">
        <v>410</v>
      </c>
      <c r="E1644" s="199" t="s">
        <v>86</v>
      </c>
      <c r="F1644" s="199" t="s">
        <v>86</v>
      </c>
      <c r="G1644" s="199" t="s">
        <v>807</v>
      </c>
      <c r="H1644" s="199" t="s">
        <v>9</v>
      </c>
      <c r="I1644" s="64">
        <f>I1645</f>
        <v>50261.959999999992</v>
      </c>
      <c r="J1644" s="64">
        <f t="shared" si="648"/>
        <v>50298.79</v>
      </c>
      <c r="K1644" s="64">
        <f t="shared" si="648"/>
        <v>50298.79</v>
      </c>
      <c r="L1644" s="16">
        <v>8300000000</v>
      </c>
      <c r="M1644" s="16" t="str">
        <f t="shared" si="630"/>
        <v>8300000000</v>
      </c>
      <c r="N1644" s="16" t="str">
        <f t="shared" si="631"/>
        <v>62005058300000000000</v>
      </c>
    </row>
    <row r="1645" spans="2:14" s="16" customFormat="1" ht="25.5">
      <c r="B1645" s="14"/>
      <c r="C1645" s="197" t="s">
        <v>808</v>
      </c>
      <c r="D1645" s="199" t="s">
        <v>410</v>
      </c>
      <c r="E1645" s="199" t="s">
        <v>86</v>
      </c>
      <c r="F1645" s="199" t="s">
        <v>86</v>
      </c>
      <c r="G1645" s="199" t="s">
        <v>809</v>
      </c>
      <c r="H1645" s="199" t="s">
        <v>9</v>
      </c>
      <c r="I1645" s="64">
        <f>I1646+I1650+I1652</f>
        <v>50261.959999999992</v>
      </c>
      <c r="J1645" s="64">
        <f>J1646+J1650+J1652</f>
        <v>50298.79</v>
      </c>
      <c r="K1645" s="64">
        <f>K1646+K1650+K1652</f>
        <v>50298.79</v>
      </c>
      <c r="L1645" s="16">
        <v>8310000000</v>
      </c>
      <c r="M1645" s="16" t="str">
        <f t="shared" si="630"/>
        <v>8310000000</v>
      </c>
      <c r="N1645" s="16" t="str">
        <f t="shared" si="631"/>
        <v>62005058310000000000</v>
      </c>
    </row>
    <row r="1646" spans="2:14" s="16" customFormat="1" ht="25.5">
      <c r="B1646" s="14"/>
      <c r="C1646" s="197" t="s">
        <v>18</v>
      </c>
      <c r="D1646" s="199" t="s">
        <v>410</v>
      </c>
      <c r="E1646" s="199" t="s">
        <v>86</v>
      </c>
      <c r="F1646" s="199" t="s">
        <v>86</v>
      </c>
      <c r="G1646" s="199" t="s">
        <v>900</v>
      </c>
      <c r="H1646" s="199" t="s">
        <v>9</v>
      </c>
      <c r="I1646" s="64">
        <f>I1647+I1648+I1649</f>
        <v>6689.2400000000007</v>
      </c>
      <c r="J1646" s="64">
        <f>J1647+J1648+J1649</f>
        <v>6747.7300000000005</v>
      </c>
      <c r="K1646" s="64">
        <f>K1647+K1648+K1649</f>
        <v>6747.7300000000005</v>
      </c>
      <c r="L1646" s="16">
        <v>8310010010</v>
      </c>
      <c r="M1646" s="16" t="str">
        <f t="shared" si="630"/>
        <v>8310010010</v>
      </c>
      <c r="N1646" s="16" t="str">
        <f t="shared" si="631"/>
        <v>62005058310010010000</v>
      </c>
    </row>
    <row r="1647" spans="2:14" s="16" customFormat="1" ht="25.5">
      <c r="B1647" s="14"/>
      <c r="C1647" s="200" t="s">
        <v>20</v>
      </c>
      <c r="D1647" s="199" t="s">
        <v>410</v>
      </c>
      <c r="E1647" s="199" t="s">
        <v>86</v>
      </c>
      <c r="F1647" s="199" t="s">
        <v>86</v>
      </c>
      <c r="G1647" s="199" t="s">
        <v>900</v>
      </c>
      <c r="H1647" s="199" t="s">
        <v>21</v>
      </c>
      <c r="I1647" s="20">
        <f>908.44+274.32</f>
        <v>1182.76</v>
      </c>
      <c r="J1647" s="20">
        <f t="shared" ref="J1647:K1647" si="649">908.44+274.32</f>
        <v>1182.76</v>
      </c>
      <c r="K1647" s="20">
        <f t="shared" si="649"/>
        <v>1182.76</v>
      </c>
      <c r="L1647" s="16">
        <v>8310010010</v>
      </c>
      <c r="M1647" s="16" t="str">
        <f t="shared" si="630"/>
        <v>8310010010</v>
      </c>
      <c r="N1647" s="16" t="str">
        <f t="shared" si="631"/>
        <v>62005058310010010120</v>
      </c>
    </row>
    <row r="1648" spans="2:14" s="16" customFormat="1" ht="25.5">
      <c r="B1648" s="14"/>
      <c r="C1648" s="197" t="s">
        <v>28</v>
      </c>
      <c r="D1648" s="199" t="s">
        <v>410</v>
      </c>
      <c r="E1648" s="199" t="s">
        <v>86</v>
      </c>
      <c r="F1648" s="199" t="s">
        <v>86</v>
      </c>
      <c r="G1648" s="199" t="s">
        <v>900</v>
      </c>
      <c r="H1648" s="199" t="s">
        <v>29</v>
      </c>
      <c r="I1648" s="20">
        <f>5455.97-58.49</f>
        <v>5397.4800000000005</v>
      </c>
      <c r="J1648" s="20">
        <f t="shared" ref="J1648:K1648" si="650">5455.97</f>
        <v>5455.97</v>
      </c>
      <c r="K1648" s="20">
        <f t="shared" si="650"/>
        <v>5455.97</v>
      </c>
      <c r="L1648" s="16">
        <v>8310010010</v>
      </c>
      <c r="M1648" s="16" t="str">
        <f t="shared" si="630"/>
        <v>8310010010</v>
      </c>
      <c r="N1648" s="16" t="str">
        <f t="shared" si="631"/>
        <v>62005058310010010240</v>
      </c>
    </row>
    <row r="1649" spans="2:14" s="16" customFormat="1">
      <c r="B1649" s="14"/>
      <c r="C1649" s="197" t="s">
        <v>32</v>
      </c>
      <c r="D1649" s="199" t="s">
        <v>410</v>
      </c>
      <c r="E1649" s="199" t="s">
        <v>86</v>
      </c>
      <c r="F1649" s="199" t="s">
        <v>86</v>
      </c>
      <c r="G1649" s="199" t="s">
        <v>900</v>
      </c>
      <c r="H1649" s="199" t="s">
        <v>33</v>
      </c>
      <c r="I1649" s="20">
        <f>69+40</f>
        <v>109</v>
      </c>
      <c r="J1649" s="20">
        <f t="shared" ref="J1649:K1649" si="651">69+40</f>
        <v>109</v>
      </c>
      <c r="K1649" s="20">
        <f t="shared" si="651"/>
        <v>109</v>
      </c>
      <c r="L1649" s="16">
        <v>8310010010</v>
      </c>
      <c r="M1649" s="16" t="str">
        <f t="shared" si="630"/>
        <v>8310010010</v>
      </c>
      <c r="N1649" s="16" t="str">
        <f t="shared" si="631"/>
        <v>62005058310010010850</v>
      </c>
    </row>
    <row r="1650" spans="2:14" s="16" customFormat="1" ht="25.5">
      <c r="B1650" s="14"/>
      <c r="C1650" s="197" t="s">
        <v>38</v>
      </c>
      <c r="D1650" s="199" t="s">
        <v>410</v>
      </c>
      <c r="E1650" s="199" t="s">
        <v>86</v>
      </c>
      <c r="F1650" s="199" t="s">
        <v>86</v>
      </c>
      <c r="G1650" s="199" t="s">
        <v>901</v>
      </c>
      <c r="H1650" s="199" t="s">
        <v>9</v>
      </c>
      <c r="I1650" s="20">
        <f>I1651</f>
        <v>42199.259999999995</v>
      </c>
      <c r="J1650" s="20">
        <f>J1651</f>
        <v>43551.06</v>
      </c>
      <c r="K1650" s="20">
        <f>K1651</f>
        <v>43551.06</v>
      </c>
      <c r="L1650" s="16">
        <v>8310010020</v>
      </c>
      <c r="M1650" s="16" t="str">
        <f t="shared" si="630"/>
        <v>8310010020</v>
      </c>
      <c r="N1650" s="16" t="str">
        <f t="shared" si="631"/>
        <v>62005058310010020000</v>
      </c>
    </row>
    <row r="1651" spans="2:14" s="16" customFormat="1" ht="25.5">
      <c r="B1651" s="14"/>
      <c r="C1651" s="200" t="s">
        <v>20</v>
      </c>
      <c r="D1651" s="199" t="s">
        <v>410</v>
      </c>
      <c r="E1651" s="199" t="s">
        <v>86</v>
      </c>
      <c r="F1651" s="199" t="s">
        <v>86</v>
      </c>
      <c r="G1651" s="199" t="s">
        <v>901</v>
      </c>
      <c r="H1651" s="199" t="s">
        <v>21</v>
      </c>
      <c r="I1651" s="20">
        <f>31882.27+9628.45+72.84+203.64+100.5+10.49+143.38+157.69</f>
        <v>42199.259999999995</v>
      </c>
      <c r="J1651" s="20">
        <f>31882.27+9628.45+1660.43+143.38+236.53</f>
        <v>43551.06</v>
      </c>
      <c r="K1651" s="20">
        <f>31882.27+9628.45+1660.43+143.38+236.53</f>
        <v>43551.06</v>
      </c>
      <c r="L1651" s="16">
        <v>8310010020</v>
      </c>
      <c r="M1651" s="16" t="str">
        <f t="shared" si="630"/>
        <v>8310010020</v>
      </c>
      <c r="N1651" s="16" t="str">
        <f t="shared" si="631"/>
        <v>62005058310010020120</v>
      </c>
    </row>
    <row r="1652" spans="2:14" s="16" customFormat="1" ht="191.25">
      <c r="B1652" s="14" t="s">
        <v>2282</v>
      </c>
      <c r="C1652" s="197" t="s">
        <v>2269</v>
      </c>
      <c r="D1652" s="199" t="s">
        <v>410</v>
      </c>
      <c r="E1652" s="199" t="s">
        <v>86</v>
      </c>
      <c r="F1652" s="199" t="s">
        <v>86</v>
      </c>
      <c r="G1652" s="199" t="s">
        <v>1360</v>
      </c>
      <c r="H1652" s="199" t="s">
        <v>9</v>
      </c>
      <c r="I1652" s="20">
        <f>I1653</f>
        <v>1373.46</v>
      </c>
      <c r="J1652" s="20">
        <f t="shared" ref="J1652:K1652" si="652">J1653</f>
        <v>0</v>
      </c>
      <c r="K1652" s="20">
        <f t="shared" si="652"/>
        <v>0</v>
      </c>
      <c r="L1652" s="16">
        <v>8310077460</v>
      </c>
      <c r="M1652" s="16" t="str">
        <f t="shared" si="630"/>
        <v>8310077460</v>
      </c>
      <c r="N1652" s="16" t="str">
        <f t="shared" si="631"/>
        <v>62005058310077460000</v>
      </c>
    </row>
    <row r="1653" spans="2:14" s="16" customFormat="1" ht="25.5">
      <c r="B1653" s="14"/>
      <c r="C1653" s="200" t="s">
        <v>20</v>
      </c>
      <c r="D1653" s="199" t="s">
        <v>410</v>
      </c>
      <c r="E1653" s="199" t="s">
        <v>86</v>
      </c>
      <c r="F1653" s="199" t="s">
        <v>86</v>
      </c>
      <c r="G1653" s="199" t="s">
        <v>1360</v>
      </c>
      <c r="H1653" s="199" t="s">
        <v>21</v>
      </c>
      <c r="I1653" s="20">
        <f>1383.95-10.49</f>
        <v>1373.46</v>
      </c>
      <c r="J1653" s="20">
        <v>0</v>
      </c>
      <c r="K1653" s="20">
        <v>0</v>
      </c>
      <c r="L1653" s="16">
        <v>8310077460</v>
      </c>
      <c r="M1653" s="16" t="str">
        <f t="shared" si="630"/>
        <v>8310077460</v>
      </c>
      <c r="N1653" s="16" t="str">
        <f t="shared" si="631"/>
        <v>62005058310077460120</v>
      </c>
    </row>
    <row r="1654" spans="2:14" s="16" customFormat="1">
      <c r="B1654" s="14"/>
      <c r="C1654" s="191" t="s">
        <v>569</v>
      </c>
      <c r="D1654" s="192" t="s">
        <v>410</v>
      </c>
      <c r="E1654" s="193" t="s">
        <v>238</v>
      </c>
      <c r="F1654" s="193" t="s">
        <v>7</v>
      </c>
      <c r="G1654" s="193" t="s">
        <v>8</v>
      </c>
      <c r="H1654" s="193" t="s">
        <v>9</v>
      </c>
      <c r="I1654" s="18">
        <f>I1655</f>
        <v>1162.5</v>
      </c>
      <c r="J1654" s="18">
        <f t="shared" ref="J1654:K1656" si="653">J1655</f>
        <v>1162.5</v>
      </c>
      <c r="K1654" s="18">
        <f t="shared" si="653"/>
        <v>1162.5</v>
      </c>
      <c r="L1654" s="16">
        <v>0</v>
      </c>
      <c r="M1654" s="16" t="str">
        <f t="shared" si="630"/>
        <v>0000000000</v>
      </c>
      <c r="N1654" s="16" t="str">
        <f t="shared" si="631"/>
        <v>62008000000000000000</v>
      </c>
    </row>
    <row r="1655" spans="2:14" s="16" customFormat="1">
      <c r="B1655" s="14"/>
      <c r="C1655" s="194" t="s">
        <v>239</v>
      </c>
      <c r="D1655" s="195" t="s">
        <v>410</v>
      </c>
      <c r="E1655" s="196" t="s">
        <v>238</v>
      </c>
      <c r="F1655" s="196" t="s">
        <v>11</v>
      </c>
      <c r="G1655" s="196" t="s">
        <v>8</v>
      </c>
      <c r="H1655" s="196" t="s">
        <v>9</v>
      </c>
      <c r="I1655" s="19">
        <f>I1656</f>
        <v>1162.5</v>
      </c>
      <c r="J1655" s="19">
        <f t="shared" si="653"/>
        <v>1162.5</v>
      </c>
      <c r="K1655" s="19">
        <f t="shared" si="653"/>
        <v>1162.5</v>
      </c>
      <c r="L1655" s="16">
        <v>0</v>
      </c>
      <c r="M1655" s="16" t="str">
        <f t="shared" si="630"/>
        <v>0000000000</v>
      </c>
      <c r="N1655" s="16" t="str">
        <f t="shared" si="631"/>
        <v>62008010000000000000</v>
      </c>
    </row>
    <row r="1656" spans="2:14" s="16" customFormat="1">
      <c r="B1656" s="14"/>
      <c r="C1656" s="197" t="s">
        <v>240</v>
      </c>
      <c r="D1656" s="198" t="s">
        <v>410</v>
      </c>
      <c r="E1656" s="199" t="s">
        <v>238</v>
      </c>
      <c r="F1656" s="199" t="s">
        <v>11</v>
      </c>
      <c r="G1656" s="204" t="s">
        <v>241</v>
      </c>
      <c r="H1656" s="199" t="s">
        <v>9</v>
      </c>
      <c r="I1656" s="20">
        <f>I1657</f>
        <v>1162.5</v>
      </c>
      <c r="J1656" s="20">
        <f t="shared" si="653"/>
        <v>1162.5</v>
      </c>
      <c r="K1656" s="20">
        <f t="shared" si="653"/>
        <v>1162.5</v>
      </c>
      <c r="L1656" s="16">
        <v>700000000</v>
      </c>
      <c r="M1656" s="16" t="str">
        <f t="shared" si="630"/>
        <v>0700000000</v>
      </c>
      <c r="N1656" s="16" t="str">
        <f t="shared" si="631"/>
        <v>62008010700000000000</v>
      </c>
    </row>
    <row r="1657" spans="2:14" s="16" customFormat="1" ht="51">
      <c r="B1657" s="14"/>
      <c r="C1657" s="197" t="s">
        <v>384</v>
      </c>
      <c r="D1657" s="198" t="s">
        <v>410</v>
      </c>
      <c r="E1657" s="199" t="s">
        <v>238</v>
      </c>
      <c r="F1657" s="199" t="s">
        <v>11</v>
      </c>
      <c r="G1657" s="204" t="s">
        <v>243</v>
      </c>
      <c r="H1657" s="199" t="s">
        <v>9</v>
      </c>
      <c r="I1657" s="20">
        <f t="shared" ref="I1657:K1659" si="654">I1658</f>
        <v>1162.5</v>
      </c>
      <c r="J1657" s="20">
        <f t="shared" si="654"/>
        <v>1162.5</v>
      </c>
      <c r="K1657" s="20">
        <f t="shared" si="654"/>
        <v>1162.5</v>
      </c>
      <c r="L1657" s="16">
        <v>710000000</v>
      </c>
      <c r="M1657" s="16" t="str">
        <f t="shared" si="630"/>
        <v>0710000000</v>
      </c>
      <c r="N1657" s="16" t="str">
        <f t="shared" si="631"/>
        <v>62008010710000000000</v>
      </c>
    </row>
    <row r="1658" spans="2:14" s="16" customFormat="1" ht="63.75">
      <c r="B1658" s="14"/>
      <c r="C1658" s="197" t="s">
        <v>244</v>
      </c>
      <c r="D1658" s="198" t="s">
        <v>410</v>
      </c>
      <c r="E1658" s="199" t="s">
        <v>238</v>
      </c>
      <c r="F1658" s="199" t="s">
        <v>11</v>
      </c>
      <c r="G1658" s="204" t="s">
        <v>245</v>
      </c>
      <c r="H1658" s="199" t="s">
        <v>9</v>
      </c>
      <c r="I1658" s="20">
        <f t="shared" si="654"/>
        <v>1162.5</v>
      </c>
      <c r="J1658" s="20">
        <f t="shared" si="654"/>
        <v>1162.5</v>
      </c>
      <c r="K1658" s="20">
        <f t="shared" si="654"/>
        <v>1162.5</v>
      </c>
      <c r="L1658" s="16">
        <v>710100000</v>
      </c>
      <c r="M1658" s="16" t="str">
        <f t="shared" si="630"/>
        <v>0710100000</v>
      </c>
      <c r="N1658" s="16" t="str">
        <f t="shared" si="631"/>
        <v>62008010710100000000</v>
      </c>
    </row>
    <row r="1659" spans="2:14" s="16" customFormat="1" ht="25.5">
      <c r="B1659" s="14"/>
      <c r="C1659" s="197" t="s">
        <v>246</v>
      </c>
      <c r="D1659" s="198" t="s">
        <v>410</v>
      </c>
      <c r="E1659" s="199" t="s">
        <v>238</v>
      </c>
      <c r="F1659" s="199" t="s">
        <v>11</v>
      </c>
      <c r="G1659" s="204" t="s">
        <v>247</v>
      </c>
      <c r="H1659" s="199" t="s">
        <v>9</v>
      </c>
      <c r="I1659" s="20">
        <f t="shared" si="654"/>
        <v>1162.5</v>
      </c>
      <c r="J1659" s="20">
        <f t="shared" si="654"/>
        <v>1162.5</v>
      </c>
      <c r="K1659" s="20">
        <f t="shared" si="654"/>
        <v>1162.5</v>
      </c>
      <c r="L1659" s="16">
        <v>710120060</v>
      </c>
      <c r="M1659" s="16" t="str">
        <f t="shared" si="630"/>
        <v>0710120060</v>
      </c>
      <c r="N1659" s="16" t="str">
        <f t="shared" si="631"/>
        <v>62008010710120060000</v>
      </c>
    </row>
    <row r="1660" spans="2:14" s="16" customFormat="1" ht="25.5">
      <c r="B1660" s="14"/>
      <c r="C1660" s="200" t="s">
        <v>28</v>
      </c>
      <c r="D1660" s="198" t="s">
        <v>410</v>
      </c>
      <c r="E1660" s="199" t="s">
        <v>238</v>
      </c>
      <c r="F1660" s="199" t="s">
        <v>11</v>
      </c>
      <c r="G1660" s="204" t="s">
        <v>247</v>
      </c>
      <c r="H1660" s="199" t="s">
        <v>29</v>
      </c>
      <c r="I1660" s="20">
        <f>1162.5</f>
        <v>1162.5</v>
      </c>
      <c r="J1660" s="20">
        <f t="shared" ref="J1660:K1660" si="655">1162.5</f>
        <v>1162.5</v>
      </c>
      <c r="K1660" s="20">
        <f t="shared" si="655"/>
        <v>1162.5</v>
      </c>
      <c r="L1660" s="16">
        <v>710120060</v>
      </c>
      <c r="M1660" s="16" t="str">
        <f t="shared" si="630"/>
        <v>0710120060</v>
      </c>
      <c r="N1660" s="16" t="str">
        <f t="shared" si="631"/>
        <v>62008010710120060240</v>
      </c>
    </row>
    <row r="1661" spans="2:14" s="16" customFormat="1">
      <c r="B1661" s="14"/>
      <c r="C1661" s="191" t="s">
        <v>316</v>
      </c>
      <c r="D1661" s="192" t="s">
        <v>410</v>
      </c>
      <c r="E1661" s="193" t="s">
        <v>317</v>
      </c>
      <c r="F1661" s="193" t="s">
        <v>7</v>
      </c>
      <c r="G1661" s="193" t="s">
        <v>8</v>
      </c>
      <c r="H1661" s="193" t="s">
        <v>9</v>
      </c>
      <c r="I1661" s="18">
        <f>I1662</f>
        <v>16110.4</v>
      </c>
      <c r="J1661" s="18">
        <f>J1662</f>
        <v>23485.78</v>
      </c>
      <c r="K1661" s="18">
        <f>K1662</f>
        <v>24399.690000000002</v>
      </c>
      <c r="L1661" s="16">
        <v>0</v>
      </c>
      <c r="M1661" s="16" t="str">
        <f t="shared" si="630"/>
        <v>0000000000</v>
      </c>
      <c r="N1661" s="16" t="str">
        <f t="shared" si="631"/>
        <v>62010000000000000000</v>
      </c>
    </row>
    <row r="1662" spans="2:14" s="16" customFormat="1">
      <c r="B1662" s="14"/>
      <c r="C1662" s="194" t="s">
        <v>318</v>
      </c>
      <c r="D1662" s="195" t="s">
        <v>410</v>
      </c>
      <c r="E1662" s="196">
        <v>10</v>
      </c>
      <c r="F1662" s="196" t="s">
        <v>13</v>
      </c>
      <c r="G1662" s="196" t="s">
        <v>8</v>
      </c>
      <c r="H1662" s="196" t="s">
        <v>9</v>
      </c>
      <c r="I1662" s="19">
        <f>I1663</f>
        <v>16110.4</v>
      </c>
      <c r="J1662" s="19">
        <f t="shared" ref="J1662:K1662" si="656">J1663</f>
        <v>23485.78</v>
      </c>
      <c r="K1662" s="19">
        <f t="shared" si="656"/>
        <v>24399.690000000002</v>
      </c>
      <c r="L1662" s="16">
        <v>0</v>
      </c>
      <c r="M1662" s="16" t="str">
        <f t="shared" si="630"/>
        <v>0000000000</v>
      </c>
      <c r="N1662" s="16" t="str">
        <f t="shared" si="631"/>
        <v>62010030000000000000</v>
      </c>
    </row>
    <row r="1663" spans="2:14" s="16" customFormat="1" ht="25.5">
      <c r="B1663" s="14"/>
      <c r="C1663" s="214" t="s">
        <v>385</v>
      </c>
      <c r="D1663" s="204" t="s">
        <v>410</v>
      </c>
      <c r="E1663" s="204">
        <v>10</v>
      </c>
      <c r="F1663" s="204" t="s">
        <v>13</v>
      </c>
      <c r="G1663" s="204" t="s">
        <v>386</v>
      </c>
      <c r="H1663" s="204" t="s">
        <v>9</v>
      </c>
      <c r="I1663" s="26">
        <f>I1664</f>
        <v>16110.4</v>
      </c>
      <c r="J1663" s="26">
        <f>J1664</f>
        <v>23485.78</v>
      </c>
      <c r="K1663" s="26">
        <f>K1664</f>
        <v>24399.690000000002</v>
      </c>
      <c r="L1663" s="16">
        <v>300000000</v>
      </c>
      <c r="M1663" s="16" t="str">
        <f t="shared" si="630"/>
        <v>0300000000</v>
      </c>
      <c r="N1663" s="16" t="str">
        <f t="shared" si="631"/>
        <v>62010030300000000000</v>
      </c>
    </row>
    <row r="1664" spans="2:14" s="16" customFormat="1" ht="38.25">
      <c r="B1664" s="14"/>
      <c r="C1664" s="214" t="s">
        <v>387</v>
      </c>
      <c r="D1664" s="204" t="s">
        <v>410</v>
      </c>
      <c r="E1664" s="204">
        <v>10</v>
      </c>
      <c r="F1664" s="204" t="s">
        <v>13</v>
      </c>
      <c r="G1664" s="204" t="s">
        <v>388</v>
      </c>
      <c r="H1664" s="204" t="s">
        <v>9</v>
      </c>
      <c r="I1664" s="26">
        <f>I1665+I1668</f>
        <v>16110.4</v>
      </c>
      <c r="J1664" s="26">
        <f>J1665+J1668</f>
        <v>23485.78</v>
      </c>
      <c r="K1664" s="26">
        <f>K1665+K1668</f>
        <v>24399.690000000002</v>
      </c>
      <c r="L1664" s="16">
        <v>320000000</v>
      </c>
      <c r="M1664" s="16" t="str">
        <f t="shared" si="630"/>
        <v>0320000000</v>
      </c>
      <c r="N1664" s="16" t="str">
        <f t="shared" si="631"/>
        <v>62010030320000000000</v>
      </c>
    </row>
    <row r="1665" spans="2:14" s="16" customFormat="1" ht="38.25">
      <c r="B1665" s="14"/>
      <c r="C1665" s="201" t="s">
        <v>902</v>
      </c>
      <c r="D1665" s="204" t="s">
        <v>410</v>
      </c>
      <c r="E1665" s="204">
        <v>10</v>
      </c>
      <c r="F1665" s="204" t="s">
        <v>13</v>
      </c>
      <c r="G1665" s="204" t="s">
        <v>903</v>
      </c>
      <c r="H1665" s="204" t="s">
        <v>9</v>
      </c>
      <c r="I1665" s="26">
        <f t="shared" ref="I1665:K1666" si="657">I1666</f>
        <v>2835.26</v>
      </c>
      <c r="J1665" s="26">
        <f t="shared" si="657"/>
        <v>2109.2600000000002</v>
      </c>
      <c r="K1665" s="26">
        <f t="shared" si="657"/>
        <v>2109.2600000000002</v>
      </c>
      <c r="L1665" s="16">
        <v>320300000</v>
      </c>
      <c r="M1665" s="16" t="str">
        <f t="shared" si="630"/>
        <v>0320300000</v>
      </c>
      <c r="N1665" s="16" t="str">
        <f t="shared" si="631"/>
        <v>62010030320300000000</v>
      </c>
    </row>
    <row r="1666" spans="2:14" s="16" customFormat="1" ht="38.25">
      <c r="B1666" s="14"/>
      <c r="C1666" s="197" t="s">
        <v>904</v>
      </c>
      <c r="D1666" s="199" t="s">
        <v>410</v>
      </c>
      <c r="E1666" s="199">
        <v>10</v>
      </c>
      <c r="F1666" s="199" t="s">
        <v>13</v>
      </c>
      <c r="G1666" s="199" t="s">
        <v>905</v>
      </c>
      <c r="H1666" s="199" t="s">
        <v>9</v>
      </c>
      <c r="I1666" s="20">
        <f t="shared" si="657"/>
        <v>2835.26</v>
      </c>
      <c r="J1666" s="20">
        <f t="shared" si="657"/>
        <v>2109.2600000000002</v>
      </c>
      <c r="K1666" s="20">
        <f t="shared" si="657"/>
        <v>2109.2600000000002</v>
      </c>
      <c r="L1666" s="16">
        <v>320380020</v>
      </c>
      <c r="M1666" s="16" t="str">
        <f t="shared" si="630"/>
        <v>0320380020</v>
      </c>
      <c r="N1666" s="16" t="str">
        <f t="shared" si="631"/>
        <v>62010030320380020000</v>
      </c>
    </row>
    <row r="1667" spans="2:14" s="16" customFormat="1" ht="38.25">
      <c r="B1667" s="14"/>
      <c r="C1667" s="278" t="s">
        <v>203</v>
      </c>
      <c r="D1667" s="199" t="s">
        <v>410</v>
      </c>
      <c r="E1667" s="199">
        <v>10</v>
      </c>
      <c r="F1667" s="199" t="s">
        <v>13</v>
      </c>
      <c r="G1667" s="199" t="s">
        <v>905</v>
      </c>
      <c r="H1667" s="199" t="s">
        <v>204</v>
      </c>
      <c r="I1667" s="329">
        <f>2109.26+726</f>
        <v>2835.26</v>
      </c>
      <c r="J1667" s="20">
        <f t="shared" ref="J1667:K1667" si="658">2109.26</f>
        <v>2109.2600000000002</v>
      </c>
      <c r="K1667" s="20">
        <f t="shared" si="658"/>
        <v>2109.2600000000002</v>
      </c>
      <c r="L1667" s="16">
        <v>320380020</v>
      </c>
      <c r="M1667" s="16" t="str">
        <f t="shared" si="630"/>
        <v>0320380020</v>
      </c>
      <c r="N1667" s="16" t="str">
        <f t="shared" si="631"/>
        <v>62010030320380020810</v>
      </c>
    </row>
    <row r="1668" spans="2:14" s="16" customFormat="1" ht="51">
      <c r="B1668" s="14"/>
      <c r="C1668" s="201" t="s">
        <v>906</v>
      </c>
      <c r="D1668" s="204" t="s">
        <v>410</v>
      </c>
      <c r="E1668" s="204">
        <v>10</v>
      </c>
      <c r="F1668" s="204" t="s">
        <v>13</v>
      </c>
      <c r="G1668" s="204" t="s">
        <v>907</v>
      </c>
      <c r="H1668" s="204" t="s">
        <v>9</v>
      </c>
      <c r="I1668" s="26">
        <f t="shared" ref="I1668:K1669" si="659">I1669</f>
        <v>13275.14</v>
      </c>
      <c r="J1668" s="26">
        <f t="shared" si="659"/>
        <v>21376.52</v>
      </c>
      <c r="K1668" s="26">
        <f t="shared" si="659"/>
        <v>22290.43</v>
      </c>
      <c r="L1668" s="16">
        <v>320400000</v>
      </c>
      <c r="M1668" s="16" t="str">
        <f t="shared" si="630"/>
        <v>0320400000</v>
      </c>
      <c r="N1668" s="16" t="str">
        <f t="shared" si="631"/>
        <v>62010030320400000000</v>
      </c>
    </row>
    <row r="1669" spans="2:14" s="16" customFormat="1" ht="38.25">
      <c r="B1669" s="14"/>
      <c r="C1669" s="197" t="s">
        <v>908</v>
      </c>
      <c r="D1669" s="199" t="s">
        <v>410</v>
      </c>
      <c r="E1669" s="199">
        <v>10</v>
      </c>
      <c r="F1669" s="199" t="s">
        <v>13</v>
      </c>
      <c r="G1669" s="199" t="s">
        <v>909</v>
      </c>
      <c r="H1669" s="199" t="s">
        <v>9</v>
      </c>
      <c r="I1669" s="20">
        <f t="shared" si="659"/>
        <v>13275.14</v>
      </c>
      <c r="J1669" s="20">
        <f t="shared" si="659"/>
        <v>21376.52</v>
      </c>
      <c r="K1669" s="20">
        <f t="shared" si="659"/>
        <v>22290.43</v>
      </c>
      <c r="L1669" s="16">
        <v>320480220</v>
      </c>
      <c r="M1669" s="16" t="str">
        <f t="shared" si="630"/>
        <v>0320480220</v>
      </c>
      <c r="N1669" s="16" t="str">
        <f t="shared" si="631"/>
        <v>62010030320480220000</v>
      </c>
    </row>
    <row r="1670" spans="2:14" s="16" customFormat="1" ht="38.25">
      <c r="B1670" s="14"/>
      <c r="C1670" s="278" t="s">
        <v>203</v>
      </c>
      <c r="D1670" s="199" t="s">
        <v>410</v>
      </c>
      <c r="E1670" s="199">
        <v>10</v>
      </c>
      <c r="F1670" s="199" t="s">
        <v>13</v>
      </c>
      <c r="G1670" s="199" t="s">
        <v>909</v>
      </c>
      <c r="H1670" s="199" t="s">
        <v>204</v>
      </c>
      <c r="I1670" s="329">
        <f>12804.02+8572.5-8101.38</f>
        <v>13275.14</v>
      </c>
      <c r="J1670" s="20">
        <f>12804.02+8572.5</f>
        <v>21376.52</v>
      </c>
      <c r="K1670" s="20">
        <f>13717.93+8572.5</f>
        <v>22290.43</v>
      </c>
      <c r="L1670" s="16">
        <v>320480220</v>
      </c>
      <c r="M1670" s="16" t="str">
        <f t="shared" ref="M1670:M1733" si="660">TEXT(L1670,"0000000000")</f>
        <v>0320480220</v>
      </c>
      <c r="N1670" s="16" t="str">
        <f t="shared" ref="N1670:N1733" si="661">D1670&amp;E1670&amp;F1670&amp;M1670&amp;H1670</f>
        <v>62010030320480220810</v>
      </c>
    </row>
    <row r="1671" spans="2:14" s="16" customFormat="1">
      <c r="B1671" s="14"/>
      <c r="C1671" s="205"/>
      <c r="D1671" s="204"/>
      <c r="E1671" s="204"/>
      <c r="F1671" s="204"/>
      <c r="G1671" s="204"/>
      <c r="H1671" s="204"/>
      <c r="I1671" s="26"/>
      <c r="J1671" s="26"/>
      <c r="K1671" s="26"/>
      <c r="M1671" s="16" t="str">
        <f t="shared" si="660"/>
        <v>0000000000</v>
      </c>
      <c r="N1671" s="16" t="str">
        <f t="shared" si="661"/>
        <v>0000000000</v>
      </c>
    </row>
    <row r="1672" spans="2:14" s="16" customFormat="1">
      <c r="B1672" s="14"/>
      <c r="C1672" s="202" t="s">
        <v>910</v>
      </c>
      <c r="D1672" s="189" t="s">
        <v>412</v>
      </c>
      <c r="E1672" s="190" t="s">
        <v>7</v>
      </c>
      <c r="F1672" s="190" t="s">
        <v>7</v>
      </c>
      <c r="G1672" s="190" t="s">
        <v>8</v>
      </c>
      <c r="H1672" s="190" t="s">
        <v>9</v>
      </c>
      <c r="I1672" s="25">
        <f>I1673+I1697+I1754+I1810+I1713+I1823</f>
        <v>1099661.5799999998</v>
      </c>
      <c r="J1672" s="25">
        <f>J1673+J1697+J1754+J1810+J1713+J1823</f>
        <v>931673.3600000001</v>
      </c>
      <c r="K1672" s="25">
        <f>K1673+K1697+K1754+K1810+K1713+K1823</f>
        <v>82509.610000000015</v>
      </c>
      <c r="L1672" s="16">
        <v>0</v>
      </c>
      <c r="M1672" s="16" t="str">
        <f t="shared" si="660"/>
        <v>0000000000</v>
      </c>
      <c r="N1672" s="16" t="str">
        <f t="shared" si="661"/>
        <v>62100000000000000000</v>
      </c>
    </row>
    <row r="1673" spans="2:14" s="16" customFormat="1">
      <c r="B1673" s="14"/>
      <c r="C1673" s="191" t="s">
        <v>10</v>
      </c>
      <c r="D1673" s="192" t="s">
        <v>412</v>
      </c>
      <c r="E1673" s="193" t="s">
        <v>11</v>
      </c>
      <c r="F1673" s="193" t="s">
        <v>7</v>
      </c>
      <c r="G1673" s="193" t="s">
        <v>8</v>
      </c>
      <c r="H1673" s="193" t="s">
        <v>9</v>
      </c>
      <c r="I1673" s="18">
        <f>I1674</f>
        <v>53856.55</v>
      </c>
      <c r="J1673" s="18">
        <f>J1674</f>
        <v>53046.490000000005</v>
      </c>
      <c r="K1673" s="18">
        <f>K1674</f>
        <v>53046.490000000005</v>
      </c>
      <c r="L1673" s="16">
        <v>0</v>
      </c>
      <c r="M1673" s="16" t="str">
        <f t="shared" si="660"/>
        <v>0000000000</v>
      </c>
      <c r="N1673" s="16" t="str">
        <f t="shared" si="661"/>
        <v>62101000000000000000</v>
      </c>
    </row>
    <row r="1674" spans="2:14" s="16" customFormat="1">
      <c r="B1674" s="14"/>
      <c r="C1674" s="194" t="s">
        <v>50</v>
      </c>
      <c r="D1674" s="195" t="s">
        <v>412</v>
      </c>
      <c r="E1674" s="196" t="s">
        <v>11</v>
      </c>
      <c r="F1674" s="196" t="s">
        <v>51</v>
      </c>
      <c r="G1674" s="196" t="s">
        <v>8</v>
      </c>
      <c r="H1674" s="196" t="s">
        <v>9</v>
      </c>
      <c r="I1674" s="19">
        <f>I1675</f>
        <v>53856.55</v>
      </c>
      <c r="J1674" s="19">
        <f t="shared" ref="J1674:K1674" si="662">J1675</f>
        <v>53046.490000000005</v>
      </c>
      <c r="K1674" s="19">
        <f t="shared" si="662"/>
        <v>53046.490000000005</v>
      </c>
      <c r="L1674" s="16">
        <v>0</v>
      </c>
      <c r="M1674" s="16" t="str">
        <f t="shared" si="660"/>
        <v>0000000000</v>
      </c>
      <c r="N1674" s="16" t="str">
        <f t="shared" si="661"/>
        <v>62101130000000000000</v>
      </c>
    </row>
    <row r="1675" spans="2:14" s="16" customFormat="1" ht="25.5">
      <c r="B1675" s="14"/>
      <c r="C1675" s="220" t="s">
        <v>911</v>
      </c>
      <c r="D1675" s="198" t="s">
        <v>412</v>
      </c>
      <c r="E1675" s="199" t="s">
        <v>11</v>
      </c>
      <c r="F1675" s="199" t="s">
        <v>51</v>
      </c>
      <c r="G1675" s="199" t="s">
        <v>912</v>
      </c>
      <c r="H1675" s="199" t="s">
        <v>9</v>
      </c>
      <c r="I1675" s="20">
        <f>I1676+I1689</f>
        <v>53856.55</v>
      </c>
      <c r="J1675" s="20">
        <f>J1676+J1689</f>
        <v>53046.490000000005</v>
      </c>
      <c r="K1675" s="20">
        <f>K1676+K1689</f>
        <v>53046.490000000005</v>
      </c>
      <c r="L1675" s="16">
        <v>8400000000</v>
      </c>
      <c r="M1675" s="16" t="str">
        <f t="shared" si="660"/>
        <v>8400000000</v>
      </c>
      <c r="N1675" s="16" t="str">
        <f t="shared" si="661"/>
        <v>62101138400000000000</v>
      </c>
    </row>
    <row r="1676" spans="2:14" s="16" customFormat="1" ht="25.5">
      <c r="B1676" s="14"/>
      <c r="C1676" s="280" t="s">
        <v>913</v>
      </c>
      <c r="D1676" s="198" t="s">
        <v>412</v>
      </c>
      <c r="E1676" s="199" t="s">
        <v>11</v>
      </c>
      <c r="F1676" s="199" t="s">
        <v>51</v>
      </c>
      <c r="G1676" s="199" t="s">
        <v>914</v>
      </c>
      <c r="H1676" s="199" t="s">
        <v>9</v>
      </c>
      <c r="I1676" s="20">
        <f>I1677+I1683+I1685+I1687</f>
        <v>49007.700000000004</v>
      </c>
      <c r="J1676" s="20">
        <f t="shared" ref="J1676:K1676" si="663">J1677+J1683+J1685+J1687</f>
        <v>48946.490000000005</v>
      </c>
      <c r="K1676" s="20">
        <f t="shared" si="663"/>
        <v>48946.490000000005</v>
      </c>
      <c r="L1676" s="16">
        <v>8410000000</v>
      </c>
      <c r="M1676" s="16" t="str">
        <f t="shared" si="660"/>
        <v>8410000000</v>
      </c>
      <c r="N1676" s="16" t="str">
        <f t="shared" si="661"/>
        <v>62101138410000000000</v>
      </c>
    </row>
    <row r="1677" spans="2:14" s="16" customFormat="1" ht="25.5">
      <c r="B1677" s="14"/>
      <c r="C1677" s="220" t="s">
        <v>18</v>
      </c>
      <c r="D1677" s="198" t="s">
        <v>412</v>
      </c>
      <c r="E1677" s="199" t="s">
        <v>11</v>
      </c>
      <c r="F1677" s="199" t="s">
        <v>51</v>
      </c>
      <c r="G1677" s="199" t="s">
        <v>915</v>
      </c>
      <c r="H1677" s="199" t="s">
        <v>9</v>
      </c>
      <c r="I1677" s="20">
        <f>I1678+I1679+I1682</f>
        <v>4209.3899999999994</v>
      </c>
      <c r="J1677" s="20">
        <f t="shared" ref="J1677:K1677" si="664">J1678+J1679+J1682</f>
        <v>4084.58</v>
      </c>
      <c r="K1677" s="20">
        <f t="shared" si="664"/>
        <v>4084.58</v>
      </c>
      <c r="L1677" s="16">
        <v>8410010010</v>
      </c>
      <c r="M1677" s="16" t="str">
        <f t="shared" si="660"/>
        <v>8410010010</v>
      </c>
      <c r="N1677" s="16" t="str">
        <f t="shared" si="661"/>
        <v>62101138410010010000</v>
      </c>
    </row>
    <row r="1678" spans="2:14" s="16" customFormat="1" ht="25.5">
      <c r="B1678" s="14"/>
      <c r="C1678" s="220" t="s">
        <v>20</v>
      </c>
      <c r="D1678" s="198" t="s">
        <v>412</v>
      </c>
      <c r="E1678" s="199" t="s">
        <v>11</v>
      </c>
      <c r="F1678" s="199" t="s">
        <v>51</v>
      </c>
      <c r="G1678" s="199" t="s">
        <v>915</v>
      </c>
      <c r="H1678" s="199" t="s">
        <v>21</v>
      </c>
      <c r="I1678" s="20">
        <f>994.43+6.5</f>
        <v>1000.93</v>
      </c>
      <c r="J1678" s="20">
        <f>994.43</f>
        <v>994.43</v>
      </c>
      <c r="K1678" s="20">
        <f>994.43</f>
        <v>994.43</v>
      </c>
      <c r="L1678" s="16">
        <v>8410010010</v>
      </c>
      <c r="M1678" s="16" t="str">
        <f t="shared" si="660"/>
        <v>8410010010</v>
      </c>
      <c r="N1678" s="16" t="str">
        <f t="shared" si="661"/>
        <v>62101138410010010120</v>
      </c>
    </row>
    <row r="1679" spans="2:14" s="16" customFormat="1" ht="25.5">
      <c r="B1679" s="14"/>
      <c r="C1679" s="220" t="s">
        <v>28</v>
      </c>
      <c r="D1679" s="198" t="s">
        <v>412</v>
      </c>
      <c r="E1679" s="199" t="s">
        <v>11</v>
      </c>
      <c r="F1679" s="199" t="s">
        <v>51</v>
      </c>
      <c r="G1679" s="199" t="s">
        <v>915</v>
      </c>
      <c r="H1679" s="199" t="s">
        <v>29</v>
      </c>
      <c r="I1679" s="20">
        <f>507.54+412.32+55.08+2115.21-226.3+112.41+12.4-6.5</f>
        <v>2982.16</v>
      </c>
      <c r="J1679" s="20">
        <f t="shared" ref="J1679:K1679" si="665">507.54+412.32+55.08+2115.21-226.3</f>
        <v>2863.85</v>
      </c>
      <c r="K1679" s="20">
        <f t="shared" si="665"/>
        <v>2863.85</v>
      </c>
      <c r="L1679" s="16">
        <v>8410010010</v>
      </c>
      <c r="M1679" s="16" t="str">
        <f t="shared" si="660"/>
        <v>8410010010</v>
      </c>
      <c r="N1679" s="16" t="str">
        <f t="shared" si="661"/>
        <v>62101138410010010240</v>
      </c>
    </row>
    <row r="1680" spans="2:14" s="16" customFormat="1">
      <c r="B1680" s="14"/>
      <c r="C1680" s="220" t="s">
        <v>1104</v>
      </c>
      <c r="D1680" s="198"/>
      <c r="E1680" s="199"/>
      <c r="F1680" s="199"/>
      <c r="G1680" s="199"/>
      <c r="H1680" s="199"/>
      <c r="I1680" s="20"/>
      <c r="J1680" s="20"/>
      <c r="K1680" s="20"/>
      <c r="M1680" s="16" t="str">
        <f t="shared" si="660"/>
        <v>0000000000</v>
      </c>
      <c r="N1680" s="16" t="str">
        <f t="shared" si="661"/>
        <v>0000000000</v>
      </c>
    </row>
    <row r="1681" spans="2:14" s="16" customFormat="1">
      <c r="B1681" s="14"/>
      <c r="C1681" s="221" t="s">
        <v>1105</v>
      </c>
      <c r="D1681" s="222" t="s">
        <v>412</v>
      </c>
      <c r="E1681" s="223" t="s">
        <v>11</v>
      </c>
      <c r="F1681" s="223" t="s">
        <v>51</v>
      </c>
      <c r="G1681" s="223" t="s">
        <v>915</v>
      </c>
      <c r="H1681" s="223" t="s">
        <v>29</v>
      </c>
      <c r="I1681" s="224">
        <f>112.41</f>
        <v>112.41</v>
      </c>
      <c r="J1681" s="224">
        <v>0</v>
      </c>
      <c r="K1681" s="224">
        <v>0</v>
      </c>
      <c r="L1681" s="16">
        <v>8410010010</v>
      </c>
      <c r="M1681" s="16" t="str">
        <f t="shared" si="660"/>
        <v>8410010010</v>
      </c>
      <c r="N1681" s="16" t="str">
        <f t="shared" si="661"/>
        <v>62101138410010010240</v>
      </c>
    </row>
    <row r="1682" spans="2:14" s="16" customFormat="1">
      <c r="B1682" s="14"/>
      <c r="C1682" s="220" t="s">
        <v>32</v>
      </c>
      <c r="D1682" s="198" t="s">
        <v>412</v>
      </c>
      <c r="E1682" s="199" t="s">
        <v>11</v>
      </c>
      <c r="F1682" s="199" t="s">
        <v>51</v>
      </c>
      <c r="G1682" s="199" t="s">
        <v>915</v>
      </c>
      <c r="H1682" s="199" t="s">
        <v>33</v>
      </c>
      <c r="I1682" s="20">
        <f>226.3</f>
        <v>226.3</v>
      </c>
      <c r="J1682" s="20">
        <f t="shared" ref="J1682:K1682" si="666">226.3</f>
        <v>226.3</v>
      </c>
      <c r="K1682" s="20">
        <f t="shared" si="666"/>
        <v>226.3</v>
      </c>
      <c r="L1682" s="16">
        <v>8410010010</v>
      </c>
      <c r="M1682" s="16" t="str">
        <f t="shared" si="660"/>
        <v>8410010010</v>
      </c>
      <c r="N1682" s="16" t="str">
        <f t="shared" si="661"/>
        <v>62101138410010010850</v>
      </c>
    </row>
    <row r="1683" spans="2:14" s="16" customFormat="1" ht="25.5">
      <c r="B1683" s="14"/>
      <c r="C1683" s="220" t="s">
        <v>38</v>
      </c>
      <c r="D1683" s="198" t="s">
        <v>412</v>
      </c>
      <c r="E1683" s="199" t="s">
        <v>11</v>
      </c>
      <c r="F1683" s="199" t="s">
        <v>51</v>
      </c>
      <c r="G1683" s="199" t="s">
        <v>916</v>
      </c>
      <c r="H1683" s="199" t="s">
        <v>9</v>
      </c>
      <c r="I1683" s="20">
        <f>I1684</f>
        <v>43345.760000000009</v>
      </c>
      <c r="J1683" s="20">
        <f>J1684</f>
        <v>44861.91</v>
      </c>
      <c r="K1683" s="20">
        <f>K1684</f>
        <v>44861.91</v>
      </c>
      <c r="L1683" s="16">
        <v>8410010020</v>
      </c>
      <c r="M1683" s="16" t="str">
        <f t="shared" si="660"/>
        <v>8410010020</v>
      </c>
      <c r="N1683" s="16" t="str">
        <f t="shared" si="661"/>
        <v>62101138410010020000</v>
      </c>
    </row>
    <row r="1684" spans="2:14" s="16" customFormat="1" ht="25.5">
      <c r="B1684" s="14"/>
      <c r="C1684" s="220" t="s">
        <v>20</v>
      </c>
      <c r="D1684" s="198" t="s">
        <v>412</v>
      </c>
      <c r="E1684" s="199" t="s">
        <v>11</v>
      </c>
      <c r="F1684" s="199" t="s">
        <v>51</v>
      </c>
      <c r="G1684" s="199" t="s">
        <v>916</v>
      </c>
      <c r="H1684" s="199" t="s">
        <v>21</v>
      </c>
      <c r="I1684" s="20">
        <f>42831.37+75.16+210.12+2.14+126.49+100.48</f>
        <v>43345.760000000009</v>
      </c>
      <c r="J1684" s="20">
        <f>42831.37+1713.26+126.49+190.79</f>
        <v>44861.91</v>
      </c>
      <c r="K1684" s="20">
        <f>42831.37+1713.26+126.49+190.79</f>
        <v>44861.91</v>
      </c>
      <c r="L1684" s="16">
        <v>8410010020</v>
      </c>
      <c r="M1684" s="16" t="str">
        <f t="shared" si="660"/>
        <v>8410010020</v>
      </c>
      <c r="N1684" s="16" t="str">
        <f t="shared" si="661"/>
        <v>62101138410010020120</v>
      </c>
    </row>
    <row r="1685" spans="2:14" s="16" customFormat="1" ht="191.25">
      <c r="B1685" s="14" t="s">
        <v>2282</v>
      </c>
      <c r="C1685" s="197" t="s">
        <v>2269</v>
      </c>
      <c r="D1685" s="198" t="s">
        <v>412</v>
      </c>
      <c r="E1685" s="199" t="s">
        <v>11</v>
      </c>
      <c r="F1685" s="199" t="s">
        <v>51</v>
      </c>
      <c r="G1685" s="199" t="s">
        <v>1361</v>
      </c>
      <c r="H1685" s="199" t="s">
        <v>9</v>
      </c>
      <c r="I1685" s="20">
        <f>I1686</f>
        <v>1425.84</v>
      </c>
      <c r="J1685" s="20">
        <f>J1686</f>
        <v>0</v>
      </c>
      <c r="K1685" s="20">
        <f>K1686</f>
        <v>0</v>
      </c>
      <c r="L1685" s="16">
        <v>8410077460</v>
      </c>
      <c r="M1685" s="16" t="str">
        <f t="shared" si="660"/>
        <v>8410077460</v>
      </c>
      <c r="N1685" s="16" t="str">
        <f t="shared" si="661"/>
        <v>62101138410077460000</v>
      </c>
    </row>
    <row r="1686" spans="2:14" s="16" customFormat="1" ht="33.75" customHeight="1">
      <c r="B1686" s="14"/>
      <c r="C1686" s="220" t="s">
        <v>20</v>
      </c>
      <c r="D1686" s="198" t="s">
        <v>412</v>
      </c>
      <c r="E1686" s="199" t="s">
        <v>11</v>
      </c>
      <c r="F1686" s="199" t="s">
        <v>51</v>
      </c>
      <c r="G1686" s="199" t="s">
        <v>1361</v>
      </c>
      <c r="H1686" s="199" t="s">
        <v>21</v>
      </c>
      <c r="I1686" s="20">
        <f>1427.98-2.14</f>
        <v>1425.84</v>
      </c>
      <c r="J1686" s="20">
        <v>0</v>
      </c>
      <c r="K1686" s="20">
        <v>0</v>
      </c>
      <c r="L1686" s="16">
        <v>8410077460</v>
      </c>
      <c r="M1686" s="16" t="str">
        <f t="shared" si="660"/>
        <v>8410077460</v>
      </c>
      <c r="N1686" s="16" t="str">
        <f t="shared" si="661"/>
        <v>62101138410077460120</v>
      </c>
    </row>
    <row r="1687" spans="2:14" s="16" customFormat="1" ht="165.75">
      <c r="B1687" s="14"/>
      <c r="C1687" s="200" t="s">
        <v>2247</v>
      </c>
      <c r="D1687" s="198" t="s">
        <v>412</v>
      </c>
      <c r="E1687" s="199" t="s">
        <v>11</v>
      </c>
      <c r="F1687" s="199" t="s">
        <v>51</v>
      </c>
      <c r="G1687" s="199" t="s">
        <v>2274</v>
      </c>
      <c r="H1687" s="199" t="s">
        <v>9</v>
      </c>
      <c r="I1687" s="20">
        <f>I1688</f>
        <v>26.71</v>
      </c>
      <c r="J1687" s="20">
        <f>J1688</f>
        <v>0</v>
      </c>
      <c r="K1687" s="20">
        <f>K1688</f>
        <v>0</v>
      </c>
      <c r="L1687" s="16">
        <v>8410077580</v>
      </c>
      <c r="M1687" s="16" t="str">
        <f t="shared" si="660"/>
        <v>8410077580</v>
      </c>
      <c r="N1687" s="16" t="str">
        <f t="shared" si="661"/>
        <v>62101138410077580000</v>
      </c>
    </row>
    <row r="1688" spans="2:14" s="16" customFormat="1" ht="25.5">
      <c r="B1688" s="14"/>
      <c r="C1688" s="220" t="s">
        <v>20</v>
      </c>
      <c r="D1688" s="198" t="s">
        <v>412</v>
      </c>
      <c r="E1688" s="199" t="s">
        <v>11</v>
      </c>
      <c r="F1688" s="199" t="s">
        <v>51</v>
      </c>
      <c r="G1688" s="199" t="s">
        <v>2274</v>
      </c>
      <c r="H1688" s="199" t="s">
        <v>21</v>
      </c>
      <c r="I1688" s="20">
        <f>26.71</f>
        <v>26.71</v>
      </c>
      <c r="J1688" s="20">
        <v>0</v>
      </c>
      <c r="K1688" s="20">
        <v>0</v>
      </c>
      <c r="L1688" s="16">
        <v>8410077580</v>
      </c>
      <c r="M1688" s="16" t="str">
        <f t="shared" si="660"/>
        <v>8410077580</v>
      </c>
      <c r="N1688" s="16" t="str">
        <f t="shared" si="661"/>
        <v>62101138410077580120</v>
      </c>
    </row>
    <row r="1689" spans="2:14" s="16" customFormat="1">
      <c r="B1689" s="14"/>
      <c r="C1689" s="280" t="s">
        <v>52</v>
      </c>
      <c r="D1689" s="198" t="s">
        <v>412</v>
      </c>
      <c r="E1689" s="199" t="s">
        <v>11</v>
      </c>
      <c r="F1689" s="199" t="s">
        <v>51</v>
      </c>
      <c r="G1689" s="199" t="s">
        <v>917</v>
      </c>
      <c r="H1689" s="199" t="s">
        <v>9</v>
      </c>
      <c r="I1689" s="20">
        <f>I1693+I1690</f>
        <v>4848.8500000000004</v>
      </c>
      <c r="J1689" s="20">
        <f t="shared" ref="J1689:K1689" si="667">J1693+J1690</f>
        <v>4100</v>
      </c>
      <c r="K1689" s="20">
        <f t="shared" si="667"/>
        <v>4100</v>
      </c>
      <c r="L1689" s="16">
        <v>8420000000</v>
      </c>
      <c r="M1689" s="16" t="str">
        <f t="shared" si="660"/>
        <v>8420000000</v>
      </c>
      <c r="N1689" s="16" t="str">
        <f t="shared" si="661"/>
        <v>62101138420000000000</v>
      </c>
    </row>
    <row r="1690" spans="2:14" s="16" customFormat="1" ht="38.25">
      <c r="B1690" s="14"/>
      <c r="C1690" s="220" t="s">
        <v>918</v>
      </c>
      <c r="D1690" s="198" t="s">
        <v>412</v>
      </c>
      <c r="E1690" s="199" t="s">
        <v>11</v>
      </c>
      <c r="F1690" s="199" t="s">
        <v>51</v>
      </c>
      <c r="G1690" s="199" t="s">
        <v>919</v>
      </c>
      <c r="H1690" s="199" t="s">
        <v>9</v>
      </c>
      <c r="I1690" s="20">
        <f>I1691+I1692</f>
        <v>600</v>
      </c>
      <c r="J1690" s="20">
        <f t="shared" ref="J1690:K1690" si="668">J1691+J1692</f>
        <v>600</v>
      </c>
      <c r="K1690" s="20">
        <f t="shared" si="668"/>
        <v>600</v>
      </c>
      <c r="L1690" s="16">
        <v>8420020740</v>
      </c>
      <c r="M1690" s="16" t="str">
        <f t="shared" si="660"/>
        <v>8420020740</v>
      </c>
      <c r="N1690" s="16" t="str">
        <f t="shared" si="661"/>
        <v>62101138420020740000</v>
      </c>
    </row>
    <row r="1691" spans="2:14" s="16" customFormat="1" ht="25.5">
      <c r="B1691" s="14"/>
      <c r="C1691" s="197" t="s">
        <v>28</v>
      </c>
      <c r="D1691" s="198" t="s">
        <v>412</v>
      </c>
      <c r="E1691" s="199" t="s">
        <v>11</v>
      </c>
      <c r="F1691" s="199" t="s">
        <v>51</v>
      </c>
      <c r="G1691" s="199" t="s">
        <v>919</v>
      </c>
      <c r="H1691" s="199" t="s">
        <v>29</v>
      </c>
      <c r="I1691" s="20">
        <f>150</f>
        <v>150</v>
      </c>
      <c r="J1691" s="20">
        <f>150</f>
        <v>150</v>
      </c>
      <c r="K1691" s="20">
        <f>150</f>
        <v>150</v>
      </c>
      <c r="L1691" s="16">
        <v>8420020740</v>
      </c>
      <c r="M1691" s="16" t="str">
        <f t="shared" si="660"/>
        <v>8420020740</v>
      </c>
      <c r="N1691" s="16" t="str">
        <f t="shared" si="661"/>
        <v>62101138420020740240</v>
      </c>
    </row>
    <row r="1692" spans="2:14" s="16" customFormat="1">
      <c r="B1692" s="14"/>
      <c r="C1692" s="205" t="s">
        <v>189</v>
      </c>
      <c r="D1692" s="198" t="s">
        <v>412</v>
      </c>
      <c r="E1692" s="199" t="s">
        <v>11</v>
      </c>
      <c r="F1692" s="199" t="s">
        <v>51</v>
      </c>
      <c r="G1692" s="199" t="s">
        <v>919</v>
      </c>
      <c r="H1692" s="199" t="s">
        <v>190</v>
      </c>
      <c r="I1692" s="20">
        <f>450</f>
        <v>450</v>
      </c>
      <c r="J1692" s="20">
        <f>450</f>
        <v>450</v>
      </c>
      <c r="K1692" s="20">
        <f>450</f>
        <v>450</v>
      </c>
      <c r="L1692" s="16">
        <v>8420020740</v>
      </c>
      <c r="M1692" s="16" t="str">
        <f t="shared" si="660"/>
        <v>8420020740</v>
      </c>
      <c r="N1692" s="16" t="str">
        <f t="shared" si="661"/>
        <v>62101138420020740830</v>
      </c>
    </row>
    <row r="1693" spans="2:14" s="16" customFormat="1" ht="25.5">
      <c r="B1693" s="14"/>
      <c r="C1693" s="205" t="s">
        <v>920</v>
      </c>
      <c r="D1693" s="198" t="s">
        <v>412</v>
      </c>
      <c r="E1693" s="199" t="s">
        <v>11</v>
      </c>
      <c r="F1693" s="199" t="s">
        <v>51</v>
      </c>
      <c r="G1693" s="199" t="s">
        <v>921</v>
      </c>
      <c r="H1693" s="199" t="s">
        <v>9</v>
      </c>
      <c r="I1693" s="20">
        <f>I1696</f>
        <v>4248.8500000000004</v>
      </c>
      <c r="J1693" s="20">
        <f t="shared" ref="J1693:K1693" si="669">J1696</f>
        <v>3500</v>
      </c>
      <c r="K1693" s="20">
        <f t="shared" si="669"/>
        <v>3500</v>
      </c>
      <c r="L1693" s="16">
        <v>8420021100</v>
      </c>
      <c r="M1693" s="16" t="str">
        <f t="shared" si="660"/>
        <v>8420021100</v>
      </c>
      <c r="N1693" s="16" t="str">
        <f t="shared" si="661"/>
        <v>62101138420021100000</v>
      </c>
    </row>
    <row r="1694" spans="2:14" s="16" customFormat="1">
      <c r="B1694" s="14"/>
      <c r="C1694" s="220" t="s">
        <v>1104</v>
      </c>
      <c r="D1694" s="198"/>
      <c r="E1694" s="199"/>
      <c r="F1694" s="199"/>
      <c r="G1694" s="199"/>
      <c r="H1694" s="199"/>
      <c r="I1694" s="20"/>
      <c r="J1694" s="20"/>
      <c r="K1694" s="20"/>
      <c r="M1694" s="16" t="str">
        <f t="shared" si="660"/>
        <v>0000000000</v>
      </c>
      <c r="N1694" s="16" t="str">
        <f t="shared" si="661"/>
        <v>0000000000</v>
      </c>
    </row>
    <row r="1695" spans="2:14" s="16" customFormat="1">
      <c r="B1695" s="14"/>
      <c r="C1695" s="221" t="s">
        <v>1105</v>
      </c>
      <c r="D1695" s="222" t="s">
        <v>412</v>
      </c>
      <c r="E1695" s="223" t="s">
        <v>11</v>
      </c>
      <c r="F1695" s="223" t="s">
        <v>51</v>
      </c>
      <c r="G1695" s="223" t="s">
        <v>921</v>
      </c>
      <c r="H1695" s="223" t="s">
        <v>9</v>
      </c>
      <c r="I1695" s="224">
        <f>838.55</f>
        <v>838.55</v>
      </c>
      <c r="J1695" s="224">
        <v>0</v>
      </c>
      <c r="K1695" s="224">
        <v>0</v>
      </c>
      <c r="L1695" s="16">
        <v>8420021100</v>
      </c>
      <c r="M1695" s="16" t="str">
        <f t="shared" si="660"/>
        <v>8420021100</v>
      </c>
      <c r="N1695" s="16" t="str">
        <f t="shared" si="661"/>
        <v>62101138420021100000</v>
      </c>
    </row>
    <row r="1696" spans="2:14" s="16" customFormat="1" ht="25.5">
      <c r="B1696" s="14"/>
      <c r="C1696" s="197" t="s">
        <v>28</v>
      </c>
      <c r="D1696" s="198" t="s">
        <v>412</v>
      </c>
      <c r="E1696" s="199" t="s">
        <v>11</v>
      </c>
      <c r="F1696" s="199" t="s">
        <v>51</v>
      </c>
      <c r="G1696" s="199" t="s">
        <v>921</v>
      </c>
      <c r="H1696" s="199" t="s">
        <v>29</v>
      </c>
      <c r="I1696" s="20">
        <f>3500+I1695-89.7</f>
        <v>4248.8500000000004</v>
      </c>
      <c r="J1696" s="20">
        <f>3500</f>
        <v>3500</v>
      </c>
      <c r="K1696" s="20">
        <f>3500</f>
        <v>3500</v>
      </c>
      <c r="L1696" s="16">
        <v>8420021100</v>
      </c>
      <c r="M1696" s="16" t="str">
        <f t="shared" si="660"/>
        <v>8420021100</v>
      </c>
      <c r="N1696" s="16" t="str">
        <f t="shared" si="661"/>
        <v>62101138420021100240</v>
      </c>
    </row>
    <row r="1697" spans="2:14" s="16" customFormat="1">
      <c r="B1697" s="14"/>
      <c r="C1697" s="191" t="s">
        <v>195</v>
      </c>
      <c r="D1697" s="192" t="s">
        <v>412</v>
      </c>
      <c r="E1697" s="193" t="s">
        <v>73</v>
      </c>
      <c r="F1697" s="193" t="s">
        <v>7</v>
      </c>
      <c r="G1697" s="193" t="s">
        <v>8</v>
      </c>
      <c r="H1697" s="193" t="s">
        <v>9</v>
      </c>
      <c r="I1697" s="18">
        <f>I1698</f>
        <v>10102.08</v>
      </c>
      <c r="J1697" s="18">
        <f>J1698</f>
        <v>9588.2999999999993</v>
      </c>
      <c r="K1697" s="18">
        <f>K1698</f>
        <v>9588.2999999999993</v>
      </c>
      <c r="L1697" s="16">
        <v>0</v>
      </c>
      <c r="M1697" s="16" t="str">
        <f t="shared" si="660"/>
        <v>0000000000</v>
      </c>
      <c r="N1697" s="16" t="str">
        <f t="shared" si="661"/>
        <v>62104000000000000000</v>
      </c>
    </row>
    <row r="1698" spans="2:14" s="16" customFormat="1">
      <c r="B1698" s="14"/>
      <c r="C1698" s="194" t="s">
        <v>284</v>
      </c>
      <c r="D1698" s="195" t="s">
        <v>412</v>
      </c>
      <c r="E1698" s="196" t="s">
        <v>73</v>
      </c>
      <c r="F1698" s="196" t="s">
        <v>57</v>
      </c>
      <c r="G1698" s="196" t="s">
        <v>8</v>
      </c>
      <c r="H1698" s="196" t="s">
        <v>9</v>
      </c>
      <c r="I1698" s="19">
        <f>I1699+I1709</f>
        <v>10102.08</v>
      </c>
      <c r="J1698" s="19">
        <f t="shared" ref="J1698:K1698" si="670">J1699+J1709</f>
        <v>9588.2999999999993</v>
      </c>
      <c r="K1698" s="19">
        <f t="shared" si="670"/>
        <v>9588.2999999999993</v>
      </c>
      <c r="L1698" s="16">
        <v>0</v>
      </c>
      <c r="M1698" s="16" t="str">
        <f t="shared" si="660"/>
        <v>0000000000</v>
      </c>
      <c r="N1698" s="16" t="str">
        <f t="shared" si="661"/>
        <v>62104120000000000000</v>
      </c>
    </row>
    <row r="1699" spans="2:14" s="16" customFormat="1" ht="25.5">
      <c r="B1699" s="14"/>
      <c r="C1699" s="197" t="s">
        <v>922</v>
      </c>
      <c r="D1699" s="198" t="s">
        <v>412</v>
      </c>
      <c r="E1699" s="198" t="s">
        <v>73</v>
      </c>
      <c r="F1699" s="198" t="s">
        <v>57</v>
      </c>
      <c r="G1699" s="198" t="s">
        <v>923</v>
      </c>
      <c r="H1699" s="198" t="s">
        <v>9</v>
      </c>
      <c r="I1699" s="32">
        <f>I1700</f>
        <v>5102.08</v>
      </c>
      <c r="J1699" s="32">
        <f>J1700</f>
        <v>9488.2999999999993</v>
      </c>
      <c r="K1699" s="32">
        <f>K1700</f>
        <v>9488.2999999999993</v>
      </c>
      <c r="L1699" s="16">
        <v>500000000</v>
      </c>
      <c r="M1699" s="16" t="str">
        <f t="shared" si="660"/>
        <v>0500000000</v>
      </c>
      <c r="N1699" s="16" t="str">
        <f t="shared" si="661"/>
        <v>62104120500000000000</v>
      </c>
    </row>
    <row r="1700" spans="2:14" s="16" customFormat="1" ht="25.5">
      <c r="B1700" s="14"/>
      <c r="C1700" s="197" t="s">
        <v>924</v>
      </c>
      <c r="D1700" s="198" t="s">
        <v>412</v>
      </c>
      <c r="E1700" s="198" t="s">
        <v>73</v>
      </c>
      <c r="F1700" s="198" t="s">
        <v>57</v>
      </c>
      <c r="G1700" s="198" t="s">
        <v>925</v>
      </c>
      <c r="H1700" s="198" t="s">
        <v>9</v>
      </c>
      <c r="I1700" s="32">
        <f>I1701+I1706</f>
        <v>5102.08</v>
      </c>
      <c r="J1700" s="32">
        <f>J1701+J1706</f>
        <v>9488.2999999999993</v>
      </c>
      <c r="K1700" s="32">
        <f>K1701+K1706</f>
        <v>9488.2999999999993</v>
      </c>
      <c r="L1700" s="16" t="s">
        <v>1251</v>
      </c>
      <c r="M1700" s="16" t="str">
        <f t="shared" si="660"/>
        <v>05Б0000000</v>
      </c>
      <c r="N1700" s="16" t="str">
        <f t="shared" si="661"/>
        <v>621041205Б0000000000</v>
      </c>
    </row>
    <row r="1701" spans="2:14" s="16" customFormat="1" ht="51">
      <c r="B1701" s="14"/>
      <c r="C1701" s="197" t="s">
        <v>926</v>
      </c>
      <c r="D1701" s="198" t="s">
        <v>412</v>
      </c>
      <c r="E1701" s="198" t="s">
        <v>73</v>
      </c>
      <c r="F1701" s="198" t="s">
        <v>57</v>
      </c>
      <c r="G1701" s="198" t="s">
        <v>927</v>
      </c>
      <c r="H1701" s="198" t="s">
        <v>9</v>
      </c>
      <c r="I1701" s="32">
        <f t="shared" ref="I1701:K1701" si="671">I1702</f>
        <v>4702.08</v>
      </c>
      <c r="J1701" s="32">
        <f t="shared" si="671"/>
        <v>9488.2999999999993</v>
      </c>
      <c r="K1701" s="32">
        <f t="shared" si="671"/>
        <v>9488.2999999999993</v>
      </c>
      <c r="L1701" s="16" t="s">
        <v>1252</v>
      </c>
      <c r="M1701" s="16" t="str">
        <f t="shared" si="660"/>
        <v>05Б0100000</v>
      </c>
      <c r="N1701" s="16" t="str">
        <f t="shared" si="661"/>
        <v>621041205Б0100000000</v>
      </c>
    </row>
    <row r="1702" spans="2:14" s="16" customFormat="1" ht="25.5">
      <c r="B1702" s="14"/>
      <c r="C1702" s="200" t="s">
        <v>928</v>
      </c>
      <c r="D1702" s="198" t="s">
        <v>412</v>
      </c>
      <c r="E1702" s="198" t="s">
        <v>73</v>
      </c>
      <c r="F1702" s="198" t="s">
        <v>57</v>
      </c>
      <c r="G1702" s="198" t="s">
        <v>929</v>
      </c>
      <c r="H1702" s="198" t="s">
        <v>9</v>
      </c>
      <c r="I1702" s="32">
        <f>I1705</f>
        <v>4702.08</v>
      </c>
      <c r="J1702" s="32">
        <f>J1705</f>
        <v>9488.2999999999993</v>
      </c>
      <c r="K1702" s="32">
        <f>K1705</f>
        <v>9488.2999999999993</v>
      </c>
      <c r="L1702" s="16" t="s">
        <v>1253</v>
      </c>
      <c r="M1702" s="16" t="str">
        <f t="shared" si="660"/>
        <v>05Б0120390</v>
      </c>
      <c r="N1702" s="16" t="str">
        <f t="shared" si="661"/>
        <v>621041205Б0120390000</v>
      </c>
    </row>
    <row r="1703" spans="2:14" s="16" customFormat="1">
      <c r="B1703" s="14"/>
      <c r="C1703" s="220" t="s">
        <v>1104</v>
      </c>
      <c r="D1703" s="198"/>
      <c r="E1703" s="198"/>
      <c r="F1703" s="198"/>
      <c r="G1703" s="198"/>
      <c r="H1703" s="198"/>
      <c r="I1703" s="32"/>
      <c r="J1703" s="32"/>
      <c r="K1703" s="32"/>
      <c r="M1703" s="16" t="str">
        <f t="shared" si="660"/>
        <v>0000000000</v>
      </c>
      <c r="N1703" s="16" t="str">
        <f t="shared" si="661"/>
        <v>0000000000</v>
      </c>
    </row>
    <row r="1704" spans="2:14" s="16" customFormat="1">
      <c r="B1704" s="14"/>
      <c r="C1704" s="221" t="s">
        <v>1105</v>
      </c>
      <c r="D1704" s="222" t="s">
        <v>412</v>
      </c>
      <c r="E1704" s="222" t="s">
        <v>73</v>
      </c>
      <c r="F1704" s="222" t="s">
        <v>57</v>
      </c>
      <c r="G1704" s="222" t="s">
        <v>929</v>
      </c>
      <c r="H1704" s="222" t="s">
        <v>9</v>
      </c>
      <c r="I1704" s="229">
        <f>299.08</f>
        <v>299.08</v>
      </c>
      <c r="J1704" s="229">
        <v>0</v>
      </c>
      <c r="K1704" s="229">
        <v>0</v>
      </c>
      <c r="L1704" s="16" t="s">
        <v>1253</v>
      </c>
      <c r="M1704" s="16" t="str">
        <f t="shared" si="660"/>
        <v>05Б0120390</v>
      </c>
      <c r="N1704" s="16" t="str">
        <f t="shared" si="661"/>
        <v>621041205Б0120390000</v>
      </c>
    </row>
    <row r="1705" spans="2:14" s="16" customFormat="1" ht="25.5">
      <c r="B1705" s="14"/>
      <c r="C1705" s="197" t="s">
        <v>28</v>
      </c>
      <c r="D1705" s="198" t="s">
        <v>412</v>
      </c>
      <c r="E1705" s="198" t="s">
        <v>73</v>
      </c>
      <c r="F1705" s="198" t="s">
        <v>57</v>
      </c>
      <c r="G1705" s="198" t="s">
        <v>929</v>
      </c>
      <c r="H1705" s="198" t="s">
        <v>29</v>
      </c>
      <c r="I1705" s="32">
        <f>403+4000-4303+I1704+4303</f>
        <v>4702.08</v>
      </c>
      <c r="J1705" s="32">
        <f>9488.3-9388.3+4488.3+4900</f>
        <v>9488.2999999999993</v>
      </c>
      <c r="K1705" s="32">
        <f>9488.3-9388.3+4488.3+4900</f>
        <v>9488.2999999999993</v>
      </c>
      <c r="L1705" s="16" t="s">
        <v>1253</v>
      </c>
      <c r="M1705" s="16" t="str">
        <f t="shared" si="660"/>
        <v>05Б0120390</v>
      </c>
      <c r="N1705" s="16" t="str">
        <f t="shared" si="661"/>
        <v>621041205Б0120390240</v>
      </c>
    </row>
    <row r="1706" spans="2:14" s="16" customFormat="1" ht="51">
      <c r="B1706" s="14"/>
      <c r="C1706" s="197" t="s">
        <v>930</v>
      </c>
      <c r="D1706" s="198" t="s">
        <v>412</v>
      </c>
      <c r="E1706" s="198" t="s">
        <v>73</v>
      </c>
      <c r="F1706" s="198" t="s">
        <v>57</v>
      </c>
      <c r="G1706" s="198" t="s">
        <v>931</v>
      </c>
      <c r="H1706" s="198" t="s">
        <v>9</v>
      </c>
      <c r="I1706" s="32">
        <f t="shared" ref="I1706:K1707" si="672">I1707</f>
        <v>400</v>
      </c>
      <c r="J1706" s="32">
        <f t="shared" si="672"/>
        <v>0</v>
      </c>
      <c r="K1706" s="32">
        <f t="shared" si="672"/>
        <v>0</v>
      </c>
      <c r="L1706" s="16" t="s">
        <v>1254</v>
      </c>
      <c r="M1706" s="16" t="str">
        <f t="shared" si="660"/>
        <v>05Б0200000</v>
      </c>
      <c r="N1706" s="16" t="str">
        <f t="shared" si="661"/>
        <v>621041205Б0200000000</v>
      </c>
    </row>
    <row r="1707" spans="2:14" s="16" customFormat="1">
      <c r="B1707" s="14"/>
      <c r="C1707" s="197" t="s">
        <v>932</v>
      </c>
      <c r="D1707" s="198" t="s">
        <v>412</v>
      </c>
      <c r="E1707" s="198" t="s">
        <v>73</v>
      </c>
      <c r="F1707" s="198" t="s">
        <v>57</v>
      </c>
      <c r="G1707" s="198" t="s">
        <v>933</v>
      </c>
      <c r="H1707" s="198" t="s">
        <v>9</v>
      </c>
      <c r="I1707" s="32">
        <f t="shared" si="672"/>
        <v>400</v>
      </c>
      <c r="J1707" s="32">
        <f t="shared" si="672"/>
        <v>0</v>
      </c>
      <c r="K1707" s="32">
        <f t="shared" si="672"/>
        <v>0</v>
      </c>
      <c r="L1707" s="16" t="s">
        <v>1255</v>
      </c>
      <c r="M1707" s="16" t="str">
        <f t="shared" si="660"/>
        <v>05Б0221190</v>
      </c>
      <c r="N1707" s="16" t="str">
        <f t="shared" si="661"/>
        <v>621041205Б0221190000</v>
      </c>
    </row>
    <row r="1708" spans="2:14" s="16" customFormat="1" ht="25.5">
      <c r="B1708" s="14"/>
      <c r="C1708" s="197" t="s">
        <v>28</v>
      </c>
      <c r="D1708" s="198" t="s">
        <v>412</v>
      </c>
      <c r="E1708" s="198" t="s">
        <v>73</v>
      </c>
      <c r="F1708" s="198" t="s">
        <v>57</v>
      </c>
      <c r="G1708" s="198" t="s">
        <v>933</v>
      </c>
      <c r="H1708" s="198" t="s">
        <v>29</v>
      </c>
      <c r="I1708" s="32">
        <f>9085.3-9085.3+400</f>
        <v>400</v>
      </c>
      <c r="J1708" s="32">
        <v>0</v>
      </c>
      <c r="K1708" s="32">
        <v>0</v>
      </c>
      <c r="L1708" s="16" t="s">
        <v>1255</v>
      </c>
      <c r="M1708" s="16" t="str">
        <f t="shared" si="660"/>
        <v>05Б0221190</v>
      </c>
      <c r="N1708" s="16" t="str">
        <f t="shared" si="661"/>
        <v>621041205Б0221190240</v>
      </c>
    </row>
    <row r="1709" spans="2:14" s="16" customFormat="1" ht="25.5">
      <c r="B1709" s="14"/>
      <c r="C1709" s="220" t="s">
        <v>911</v>
      </c>
      <c r="D1709" s="198" t="s">
        <v>412</v>
      </c>
      <c r="E1709" s="198" t="s">
        <v>73</v>
      </c>
      <c r="F1709" s="198" t="s">
        <v>57</v>
      </c>
      <c r="G1709" s="199" t="s">
        <v>912</v>
      </c>
      <c r="H1709" s="199" t="s">
        <v>9</v>
      </c>
      <c r="I1709" s="20">
        <f t="shared" ref="I1709:K1710" si="673">I1710</f>
        <v>5000</v>
      </c>
      <c r="J1709" s="20">
        <f t="shared" si="673"/>
        <v>100</v>
      </c>
      <c r="K1709" s="20">
        <f t="shared" si="673"/>
        <v>100</v>
      </c>
      <c r="L1709" s="16">
        <v>8400000000</v>
      </c>
      <c r="M1709" s="16" t="str">
        <f t="shared" si="660"/>
        <v>8400000000</v>
      </c>
      <c r="N1709" s="16" t="str">
        <f t="shared" si="661"/>
        <v>62104128400000000000</v>
      </c>
    </row>
    <row r="1710" spans="2:14" s="16" customFormat="1">
      <c r="B1710" s="14"/>
      <c r="C1710" s="280" t="s">
        <v>52</v>
      </c>
      <c r="D1710" s="198" t="s">
        <v>412</v>
      </c>
      <c r="E1710" s="198" t="s">
        <v>73</v>
      </c>
      <c r="F1710" s="198" t="s">
        <v>57</v>
      </c>
      <c r="G1710" s="199" t="s">
        <v>917</v>
      </c>
      <c r="H1710" s="199" t="s">
        <v>9</v>
      </c>
      <c r="I1710" s="20">
        <f t="shared" si="673"/>
        <v>5000</v>
      </c>
      <c r="J1710" s="20">
        <f t="shared" si="673"/>
        <v>100</v>
      </c>
      <c r="K1710" s="20">
        <f t="shared" si="673"/>
        <v>100</v>
      </c>
      <c r="L1710" s="16">
        <v>8420000000</v>
      </c>
      <c r="M1710" s="16" t="str">
        <f t="shared" si="660"/>
        <v>8420000000</v>
      </c>
      <c r="N1710" s="16" t="str">
        <f t="shared" si="661"/>
        <v>62104128420000000000</v>
      </c>
    </row>
    <row r="1711" spans="2:14" s="16" customFormat="1" ht="25.5">
      <c r="B1711" s="14"/>
      <c r="C1711" s="220" t="s">
        <v>934</v>
      </c>
      <c r="D1711" s="198" t="s">
        <v>412</v>
      </c>
      <c r="E1711" s="198" t="s">
        <v>73</v>
      </c>
      <c r="F1711" s="198" t="s">
        <v>57</v>
      </c>
      <c r="G1711" s="199" t="s">
        <v>935</v>
      </c>
      <c r="H1711" s="199" t="s">
        <v>9</v>
      </c>
      <c r="I1711" s="20">
        <f>I1712</f>
        <v>5000</v>
      </c>
      <c r="J1711" s="20">
        <f>J1712</f>
        <v>100</v>
      </c>
      <c r="K1711" s="20">
        <f>K1712</f>
        <v>100</v>
      </c>
      <c r="L1711" s="16">
        <v>8420021210</v>
      </c>
      <c r="M1711" s="16" t="str">
        <f t="shared" si="660"/>
        <v>8420021210</v>
      </c>
      <c r="N1711" s="16" t="str">
        <f t="shared" si="661"/>
        <v>62104128420021210000</v>
      </c>
    </row>
    <row r="1712" spans="2:14" s="16" customFormat="1" ht="25.5">
      <c r="B1712" s="14"/>
      <c r="C1712" s="197" t="s">
        <v>28</v>
      </c>
      <c r="D1712" s="198" t="s">
        <v>412</v>
      </c>
      <c r="E1712" s="198" t="s">
        <v>73</v>
      </c>
      <c r="F1712" s="198" t="s">
        <v>57</v>
      </c>
      <c r="G1712" s="199" t="s">
        <v>935</v>
      </c>
      <c r="H1712" s="199" t="s">
        <v>29</v>
      </c>
      <c r="I1712" s="20">
        <f>100+4900</f>
        <v>5000</v>
      </c>
      <c r="J1712" s="20">
        <f>100+4900-4900</f>
        <v>100</v>
      </c>
      <c r="K1712" s="20">
        <f>100+4900-4900</f>
        <v>100</v>
      </c>
      <c r="L1712" s="16">
        <v>8420021210</v>
      </c>
      <c r="M1712" s="16" t="str">
        <f t="shared" si="660"/>
        <v>8420021210</v>
      </c>
      <c r="N1712" s="16" t="str">
        <f t="shared" si="661"/>
        <v>62104128420021210240</v>
      </c>
    </row>
    <row r="1713" spans="2:14" s="16" customFormat="1">
      <c r="B1713" s="14"/>
      <c r="C1713" s="191" t="s">
        <v>305</v>
      </c>
      <c r="D1713" s="192" t="s">
        <v>412</v>
      </c>
      <c r="E1713" s="193" t="s">
        <v>86</v>
      </c>
      <c r="F1713" s="193" t="s">
        <v>7</v>
      </c>
      <c r="G1713" s="193" t="s">
        <v>8</v>
      </c>
      <c r="H1713" s="193" t="s">
        <v>9</v>
      </c>
      <c r="I1713" s="18">
        <f>I1721+I1714</f>
        <v>431910.10999999987</v>
      </c>
      <c r="J1713" s="18">
        <f t="shared" ref="J1713:K1713" si="674">J1721+J1714</f>
        <v>0</v>
      </c>
      <c r="K1713" s="18">
        <f t="shared" si="674"/>
        <v>0</v>
      </c>
      <c r="L1713" s="16">
        <v>0</v>
      </c>
      <c r="M1713" s="16" t="str">
        <f t="shared" si="660"/>
        <v>0000000000</v>
      </c>
      <c r="N1713" s="16" t="str">
        <f t="shared" si="661"/>
        <v>62105000000000000000</v>
      </c>
    </row>
    <row r="1714" spans="2:14" s="16" customFormat="1">
      <c r="B1714" s="14"/>
      <c r="C1714" s="194" t="s">
        <v>765</v>
      </c>
      <c r="D1714" s="195" t="s">
        <v>412</v>
      </c>
      <c r="E1714" s="196" t="s">
        <v>86</v>
      </c>
      <c r="F1714" s="196" t="s">
        <v>11</v>
      </c>
      <c r="G1714" s="196" t="s">
        <v>8</v>
      </c>
      <c r="H1714" s="196" t="s">
        <v>9</v>
      </c>
      <c r="I1714" s="19">
        <f>I1715</f>
        <v>1388</v>
      </c>
      <c r="J1714" s="19">
        <f t="shared" ref="J1714:K1716" si="675">J1715</f>
        <v>0</v>
      </c>
      <c r="K1714" s="19">
        <f t="shared" si="675"/>
        <v>0</v>
      </c>
      <c r="L1714" s="16">
        <v>0</v>
      </c>
      <c r="M1714" s="16" t="str">
        <f t="shared" si="660"/>
        <v>0000000000</v>
      </c>
      <c r="N1714" s="16" t="str">
        <f t="shared" si="661"/>
        <v>62105010000000000000</v>
      </c>
    </row>
    <row r="1715" spans="2:14" s="16" customFormat="1" ht="25.5">
      <c r="B1715" s="14"/>
      <c r="C1715" s="220" t="s">
        <v>911</v>
      </c>
      <c r="D1715" s="198" t="s">
        <v>412</v>
      </c>
      <c r="E1715" s="199" t="s">
        <v>86</v>
      </c>
      <c r="F1715" s="199" t="s">
        <v>11</v>
      </c>
      <c r="G1715" s="199" t="s">
        <v>912</v>
      </c>
      <c r="H1715" s="199" t="s">
        <v>9</v>
      </c>
      <c r="I1715" s="20">
        <f>I1716</f>
        <v>1388</v>
      </c>
      <c r="J1715" s="20">
        <f t="shared" si="675"/>
        <v>0</v>
      </c>
      <c r="K1715" s="20">
        <f t="shared" si="675"/>
        <v>0</v>
      </c>
      <c r="L1715" s="16">
        <v>8400000000</v>
      </c>
      <c r="M1715" s="16" t="str">
        <f t="shared" si="660"/>
        <v>8400000000</v>
      </c>
      <c r="N1715" s="16" t="str">
        <f t="shared" si="661"/>
        <v>62105018400000000000</v>
      </c>
    </row>
    <row r="1716" spans="2:14" s="16" customFormat="1">
      <c r="B1716" s="14"/>
      <c r="C1716" s="281" t="s">
        <v>52</v>
      </c>
      <c r="D1716" s="198" t="s">
        <v>412</v>
      </c>
      <c r="E1716" s="199" t="s">
        <v>86</v>
      </c>
      <c r="F1716" s="199" t="s">
        <v>11</v>
      </c>
      <c r="G1716" s="199" t="s">
        <v>917</v>
      </c>
      <c r="H1716" s="199" t="s">
        <v>9</v>
      </c>
      <c r="I1716" s="20">
        <f>I1717</f>
        <v>1388</v>
      </c>
      <c r="J1716" s="20">
        <f t="shared" si="675"/>
        <v>0</v>
      </c>
      <c r="K1716" s="20">
        <f t="shared" si="675"/>
        <v>0</v>
      </c>
      <c r="L1716" s="16">
        <v>8420000000</v>
      </c>
      <c r="M1716" s="16" t="str">
        <f t="shared" si="660"/>
        <v>8420000000</v>
      </c>
      <c r="N1716" s="16" t="str">
        <f t="shared" si="661"/>
        <v>62105018420000000000</v>
      </c>
    </row>
    <row r="1717" spans="2:14" s="16" customFormat="1">
      <c r="B1717" s="14"/>
      <c r="C1717" s="280" t="s">
        <v>856</v>
      </c>
      <c r="D1717" s="198" t="s">
        <v>412</v>
      </c>
      <c r="E1717" s="199" t="s">
        <v>86</v>
      </c>
      <c r="F1717" s="199" t="s">
        <v>11</v>
      </c>
      <c r="G1717" s="199" t="s">
        <v>1079</v>
      </c>
      <c r="H1717" s="199" t="s">
        <v>9</v>
      </c>
      <c r="I1717" s="20">
        <f>I1720</f>
        <v>1388</v>
      </c>
      <c r="J1717" s="20">
        <f>J1720</f>
        <v>0</v>
      </c>
      <c r="K1717" s="20">
        <f>K1720</f>
        <v>0</v>
      </c>
      <c r="L1717" s="16">
        <v>8420020200</v>
      </c>
      <c r="M1717" s="16" t="str">
        <f t="shared" si="660"/>
        <v>8420020200</v>
      </c>
      <c r="N1717" s="16" t="str">
        <f t="shared" si="661"/>
        <v>62105018420020200000</v>
      </c>
    </row>
    <row r="1718" spans="2:14" s="16" customFormat="1">
      <c r="B1718" s="14"/>
      <c r="C1718" s="220" t="s">
        <v>1104</v>
      </c>
      <c r="D1718" s="198"/>
      <c r="E1718" s="199"/>
      <c r="F1718" s="199"/>
      <c r="G1718" s="199"/>
      <c r="H1718" s="199"/>
      <c r="I1718" s="20"/>
      <c r="J1718" s="20"/>
      <c r="K1718" s="20"/>
      <c r="M1718" s="16" t="str">
        <f t="shared" si="660"/>
        <v>0000000000</v>
      </c>
      <c r="N1718" s="16" t="str">
        <f t="shared" si="661"/>
        <v>0000000000</v>
      </c>
    </row>
    <row r="1719" spans="2:14" s="16" customFormat="1">
      <c r="B1719" s="14"/>
      <c r="C1719" s="221" t="s">
        <v>1105</v>
      </c>
      <c r="D1719" s="222" t="s">
        <v>412</v>
      </c>
      <c r="E1719" s="223" t="s">
        <v>86</v>
      </c>
      <c r="F1719" s="223" t="s">
        <v>11</v>
      </c>
      <c r="G1719" s="223" t="s">
        <v>1079</v>
      </c>
      <c r="H1719" s="223" t="s">
        <v>9</v>
      </c>
      <c r="I1719" s="224">
        <f>68</f>
        <v>68</v>
      </c>
      <c r="J1719" s="224">
        <v>0</v>
      </c>
      <c r="K1719" s="224">
        <v>0</v>
      </c>
      <c r="L1719" s="16">
        <v>8420020200</v>
      </c>
      <c r="M1719" s="16" t="str">
        <f t="shared" si="660"/>
        <v>8420020200</v>
      </c>
      <c r="N1719" s="16" t="str">
        <f t="shared" si="661"/>
        <v>62105018420020200000</v>
      </c>
    </row>
    <row r="1720" spans="2:14" s="16" customFormat="1" ht="25.5">
      <c r="B1720" s="14"/>
      <c r="C1720" s="197" t="s">
        <v>28</v>
      </c>
      <c r="D1720" s="198" t="s">
        <v>412</v>
      </c>
      <c r="E1720" s="199" t="s">
        <v>86</v>
      </c>
      <c r="F1720" s="199" t="s">
        <v>11</v>
      </c>
      <c r="G1720" s="199" t="s">
        <v>1079</v>
      </c>
      <c r="H1720" s="199" t="s">
        <v>29</v>
      </c>
      <c r="I1720" s="20">
        <f>I1719+1320</f>
        <v>1388</v>
      </c>
      <c r="J1720" s="20">
        <v>0</v>
      </c>
      <c r="K1720" s="20">
        <v>0</v>
      </c>
      <c r="L1720" s="16">
        <v>8420020200</v>
      </c>
      <c r="M1720" s="16" t="str">
        <f t="shared" si="660"/>
        <v>8420020200</v>
      </c>
      <c r="N1720" s="16" t="str">
        <f t="shared" si="661"/>
        <v>62105018420020200240</v>
      </c>
    </row>
    <row r="1721" spans="2:14" s="16" customFormat="1">
      <c r="B1721" s="14"/>
      <c r="C1721" s="194" t="s">
        <v>306</v>
      </c>
      <c r="D1721" s="195" t="s">
        <v>412</v>
      </c>
      <c r="E1721" s="196" t="s">
        <v>86</v>
      </c>
      <c r="F1721" s="196" t="s">
        <v>13</v>
      </c>
      <c r="G1721" s="196" t="s">
        <v>8</v>
      </c>
      <c r="H1721" s="196" t="s">
        <v>9</v>
      </c>
      <c r="I1721" s="19">
        <f>I1722+I1748</f>
        <v>430522.10999999987</v>
      </c>
      <c r="J1721" s="19">
        <f>J1722+J1748</f>
        <v>0</v>
      </c>
      <c r="K1721" s="19">
        <f>K1722+K1748</f>
        <v>0</v>
      </c>
      <c r="L1721" s="16">
        <v>0</v>
      </c>
      <c r="M1721" s="16" t="str">
        <f t="shared" si="660"/>
        <v>0000000000</v>
      </c>
      <c r="N1721" s="16" t="str">
        <f t="shared" si="661"/>
        <v>62105030000000000000</v>
      </c>
    </row>
    <row r="1722" spans="2:14" s="16" customFormat="1" ht="38.25">
      <c r="B1722" s="14"/>
      <c r="C1722" s="200" t="s">
        <v>293</v>
      </c>
      <c r="D1722" s="199" t="s">
        <v>412</v>
      </c>
      <c r="E1722" s="199" t="s">
        <v>86</v>
      </c>
      <c r="F1722" s="199" t="s">
        <v>13</v>
      </c>
      <c r="G1722" s="199" t="s">
        <v>294</v>
      </c>
      <c r="H1722" s="199" t="s">
        <v>9</v>
      </c>
      <c r="I1722" s="32">
        <f t="shared" ref="I1722:K1723" si="676">I1723</f>
        <v>392918.37999999989</v>
      </c>
      <c r="J1722" s="32">
        <f t="shared" si="676"/>
        <v>0</v>
      </c>
      <c r="K1722" s="32">
        <f t="shared" si="676"/>
        <v>0</v>
      </c>
      <c r="L1722" s="16">
        <v>400000000</v>
      </c>
      <c r="M1722" s="16" t="str">
        <f t="shared" si="660"/>
        <v>0400000000</v>
      </c>
      <c r="N1722" s="16" t="str">
        <f t="shared" si="661"/>
        <v>62105030400000000000</v>
      </c>
    </row>
    <row r="1723" spans="2:14" s="16" customFormat="1">
      <c r="B1723" s="14"/>
      <c r="C1723" s="197" t="s">
        <v>2283</v>
      </c>
      <c r="D1723" s="199" t="s">
        <v>412</v>
      </c>
      <c r="E1723" s="199" t="s">
        <v>86</v>
      </c>
      <c r="F1723" s="199" t="s">
        <v>13</v>
      </c>
      <c r="G1723" s="199" t="s">
        <v>308</v>
      </c>
      <c r="H1723" s="199" t="s">
        <v>9</v>
      </c>
      <c r="I1723" s="32">
        <f t="shared" si="676"/>
        <v>392918.37999999989</v>
      </c>
      <c r="J1723" s="32">
        <f t="shared" si="676"/>
        <v>0</v>
      </c>
      <c r="K1723" s="32">
        <f t="shared" si="676"/>
        <v>0</v>
      </c>
      <c r="L1723" s="16">
        <v>430000000</v>
      </c>
      <c r="M1723" s="16" t="str">
        <f t="shared" si="660"/>
        <v>0430000000</v>
      </c>
      <c r="N1723" s="16" t="str">
        <f t="shared" si="661"/>
        <v>62105030430000000000</v>
      </c>
    </row>
    <row r="1724" spans="2:14" s="16" customFormat="1" ht="25.5">
      <c r="B1724" s="14"/>
      <c r="C1724" s="375" t="s">
        <v>309</v>
      </c>
      <c r="D1724" s="203" t="s">
        <v>412</v>
      </c>
      <c r="E1724" s="204" t="s">
        <v>86</v>
      </c>
      <c r="F1724" s="204" t="s">
        <v>13</v>
      </c>
      <c r="G1724" s="199" t="s">
        <v>310</v>
      </c>
      <c r="H1724" s="204" t="s">
        <v>9</v>
      </c>
      <c r="I1724" s="26">
        <f>I1725+I1734+I1739+I1744+I1746+I1730</f>
        <v>392918.37999999989</v>
      </c>
      <c r="J1724" s="26">
        <f>J1725+J1734+J1739+J1744+J1746+J1730</f>
        <v>0</v>
      </c>
      <c r="K1724" s="26">
        <f>K1725+K1734+K1739+K1744+K1746+K1730</f>
        <v>0</v>
      </c>
      <c r="L1724" s="16">
        <v>430400000</v>
      </c>
      <c r="M1724" s="16" t="str">
        <f t="shared" si="660"/>
        <v>0430400000</v>
      </c>
      <c r="N1724" s="16" t="str">
        <f t="shared" si="661"/>
        <v>62105030430400000000</v>
      </c>
    </row>
    <row r="1725" spans="2:14" s="16" customFormat="1" ht="25.5">
      <c r="B1725" s="14"/>
      <c r="C1725" s="375" t="s">
        <v>542</v>
      </c>
      <c r="D1725" s="203" t="s">
        <v>412</v>
      </c>
      <c r="E1725" s="204" t="s">
        <v>86</v>
      </c>
      <c r="F1725" s="204" t="s">
        <v>13</v>
      </c>
      <c r="G1725" s="380" t="s">
        <v>543</v>
      </c>
      <c r="H1725" s="380" t="s">
        <v>9</v>
      </c>
      <c r="I1725" s="20">
        <f>I1728+I1729</f>
        <v>12357.289999999999</v>
      </c>
      <c r="J1725" s="20">
        <f t="shared" ref="J1725:K1725" si="677">J1728+J1729</f>
        <v>0</v>
      </c>
      <c r="K1725" s="20">
        <f t="shared" si="677"/>
        <v>0</v>
      </c>
      <c r="L1725" s="16">
        <v>430420300</v>
      </c>
      <c r="M1725" s="16" t="str">
        <f t="shared" si="660"/>
        <v>0430420300</v>
      </c>
      <c r="N1725" s="16" t="str">
        <f t="shared" si="661"/>
        <v>62105030430420300000</v>
      </c>
    </row>
    <row r="1726" spans="2:14" s="16" customFormat="1">
      <c r="B1726" s="14"/>
      <c r="C1726" s="375" t="s">
        <v>1104</v>
      </c>
      <c r="D1726" s="203"/>
      <c r="E1726" s="204"/>
      <c r="F1726" s="204"/>
      <c r="G1726" s="380"/>
      <c r="H1726" s="380"/>
      <c r="I1726" s="20"/>
      <c r="J1726" s="20"/>
      <c r="K1726" s="20"/>
      <c r="M1726" s="16" t="str">
        <f t="shared" si="660"/>
        <v>0000000000</v>
      </c>
      <c r="N1726" s="16" t="str">
        <f t="shared" si="661"/>
        <v>0000000000</v>
      </c>
    </row>
    <row r="1727" spans="2:14" s="16" customFormat="1" ht="38.25">
      <c r="B1727" s="14"/>
      <c r="C1727" s="375" t="s">
        <v>1148</v>
      </c>
      <c r="D1727" s="203" t="s">
        <v>412</v>
      </c>
      <c r="E1727" s="204" t="s">
        <v>86</v>
      </c>
      <c r="F1727" s="204" t="s">
        <v>13</v>
      </c>
      <c r="G1727" s="380" t="s">
        <v>543</v>
      </c>
      <c r="H1727" s="380" t="s">
        <v>9</v>
      </c>
      <c r="I1727" s="20">
        <f>3638.89+1900-50</f>
        <v>5488.8899999999994</v>
      </c>
      <c r="J1727" s="20">
        <v>0</v>
      </c>
      <c r="K1727" s="20">
        <v>0</v>
      </c>
      <c r="L1727" s="16">
        <v>430420300</v>
      </c>
      <c r="M1727" s="16" t="str">
        <f t="shared" si="660"/>
        <v>0430420300</v>
      </c>
      <c r="N1727" s="16" t="str">
        <f t="shared" si="661"/>
        <v>62105030430420300000</v>
      </c>
    </row>
    <row r="1728" spans="2:14" s="16" customFormat="1" ht="25.5">
      <c r="B1728" s="14"/>
      <c r="C1728" s="375" t="s">
        <v>28</v>
      </c>
      <c r="D1728" s="203" t="s">
        <v>412</v>
      </c>
      <c r="E1728" s="204" t="s">
        <v>86</v>
      </c>
      <c r="F1728" s="204" t="s">
        <v>13</v>
      </c>
      <c r="G1728" s="380" t="s">
        <v>543</v>
      </c>
      <c r="H1728" s="380" t="s">
        <v>29</v>
      </c>
      <c r="I1728" s="20">
        <f>50+6818.4</f>
        <v>6868.4</v>
      </c>
      <c r="J1728" s="20">
        <v>0</v>
      </c>
      <c r="K1728" s="20">
        <v>0</v>
      </c>
      <c r="L1728" s="16">
        <v>430420300</v>
      </c>
      <c r="M1728" s="16" t="str">
        <f t="shared" si="660"/>
        <v>0430420300</v>
      </c>
      <c r="N1728" s="16" t="str">
        <f t="shared" si="661"/>
        <v>62105030430420300240</v>
      </c>
    </row>
    <row r="1729" spans="2:16" s="16" customFormat="1">
      <c r="B1729" s="14"/>
      <c r="C1729" s="391" t="s">
        <v>937</v>
      </c>
      <c r="D1729" s="232" t="s">
        <v>412</v>
      </c>
      <c r="E1729" s="233" t="s">
        <v>86</v>
      </c>
      <c r="F1729" s="233" t="s">
        <v>13</v>
      </c>
      <c r="G1729" s="392" t="s">
        <v>543</v>
      </c>
      <c r="H1729" s="392" t="s">
        <v>838</v>
      </c>
      <c r="I1729" s="235">
        <f>I1727</f>
        <v>5488.8899999999994</v>
      </c>
      <c r="J1729" s="235">
        <f t="shared" ref="J1729:K1729" si="678">J1727</f>
        <v>0</v>
      </c>
      <c r="K1729" s="235">
        <f t="shared" si="678"/>
        <v>0</v>
      </c>
      <c r="L1729" s="16">
        <v>430420300</v>
      </c>
      <c r="M1729" s="16" t="str">
        <f t="shared" si="660"/>
        <v>0430420300</v>
      </c>
      <c r="N1729" s="16" t="str">
        <f t="shared" si="661"/>
        <v>62105030430420300410</v>
      </c>
    </row>
    <row r="1730" spans="2:16" s="16" customFormat="1" ht="63.75">
      <c r="B1730" s="14" t="s">
        <v>2282</v>
      </c>
      <c r="C1730" s="200" t="s">
        <v>1084</v>
      </c>
      <c r="D1730" s="203" t="s">
        <v>412</v>
      </c>
      <c r="E1730" s="204" t="s">
        <v>86</v>
      </c>
      <c r="F1730" s="204" t="s">
        <v>13</v>
      </c>
      <c r="G1730" s="204" t="s">
        <v>1085</v>
      </c>
      <c r="H1730" s="204" t="s">
        <v>9</v>
      </c>
      <c r="I1730" s="26">
        <f>I1733</f>
        <v>1936.47</v>
      </c>
      <c r="J1730" s="26">
        <f t="shared" ref="J1730:K1730" si="679">J1733</f>
        <v>0</v>
      </c>
      <c r="K1730" s="26">
        <f t="shared" si="679"/>
        <v>0</v>
      </c>
      <c r="L1730" s="16">
        <v>430420800</v>
      </c>
      <c r="M1730" s="16" t="str">
        <f t="shared" si="660"/>
        <v>0430420800</v>
      </c>
      <c r="N1730" s="16" t="str">
        <f t="shared" si="661"/>
        <v>62105030430420800000</v>
      </c>
    </row>
    <row r="1731" spans="2:16" s="16" customFormat="1">
      <c r="B1731" s="14"/>
      <c r="C1731" s="220" t="s">
        <v>1104</v>
      </c>
      <c r="D1731" s="203"/>
      <c r="E1731" s="204"/>
      <c r="F1731" s="204"/>
      <c r="G1731" s="204"/>
      <c r="H1731" s="204"/>
      <c r="I1731" s="26"/>
      <c r="J1731" s="26"/>
      <c r="K1731" s="26"/>
      <c r="M1731" s="16" t="str">
        <f t="shared" si="660"/>
        <v>0000000000</v>
      </c>
      <c r="N1731" s="16" t="str">
        <f t="shared" si="661"/>
        <v>0000000000</v>
      </c>
    </row>
    <row r="1732" spans="2:16" s="16" customFormat="1">
      <c r="B1732" s="14"/>
      <c r="C1732" s="318" t="s">
        <v>1105</v>
      </c>
      <c r="D1732" s="322" t="s">
        <v>412</v>
      </c>
      <c r="E1732" s="319" t="s">
        <v>86</v>
      </c>
      <c r="F1732" s="319" t="s">
        <v>13</v>
      </c>
      <c r="G1732" s="319" t="s">
        <v>1085</v>
      </c>
      <c r="H1732" s="319" t="s">
        <v>9</v>
      </c>
      <c r="I1732" s="320">
        <f>1936.47</f>
        <v>1936.47</v>
      </c>
      <c r="J1732" s="320">
        <v>0</v>
      </c>
      <c r="K1732" s="320">
        <v>0</v>
      </c>
      <c r="L1732" s="16">
        <v>430420800</v>
      </c>
      <c r="M1732" s="16" t="str">
        <f t="shared" si="660"/>
        <v>0430420800</v>
      </c>
      <c r="N1732" s="16" t="str">
        <f t="shared" si="661"/>
        <v>62105030430420800000</v>
      </c>
    </row>
    <row r="1733" spans="2:16" s="16" customFormat="1" ht="25.5">
      <c r="B1733" s="14"/>
      <c r="C1733" s="197" t="s">
        <v>28</v>
      </c>
      <c r="D1733" s="203" t="s">
        <v>412</v>
      </c>
      <c r="E1733" s="204" t="s">
        <v>86</v>
      </c>
      <c r="F1733" s="204" t="s">
        <v>13</v>
      </c>
      <c r="G1733" s="204" t="s">
        <v>1085</v>
      </c>
      <c r="H1733" s="204" t="s">
        <v>29</v>
      </c>
      <c r="I1733" s="26">
        <f>I1732</f>
        <v>1936.47</v>
      </c>
      <c r="J1733" s="26">
        <f t="shared" ref="J1733:K1733" si="680">J1732</f>
        <v>0</v>
      </c>
      <c r="K1733" s="26">
        <f t="shared" si="680"/>
        <v>0</v>
      </c>
      <c r="L1733" s="16">
        <v>430420800</v>
      </c>
      <c r="M1733" s="16" t="str">
        <f t="shared" si="660"/>
        <v>0430420800</v>
      </c>
      <c r="N1733" s="16" t="str">
        <f t="shared" si="661"/>
        <v>62105030430420800240</v>
      </c>
    </row>
    <row r="1734" spans="2:16" s="16" customFormat="1" ht="38.25">
      <c r="B1734" s="14"/>
      <c r="C1734" s="197" t="s">
        <v>1043</v>
      </c>
      <c r="D1734" s="203" t="s">
        <v>412</v>
      </c>
      <c r="E1734" s="204" t="s">
        <v>86</v>
      </c>
      <c r="F1734" s="204" t="s">
        <v>13</v>
      </c>
      <c r="G1734" s="204" t="s">
        <v>1056</v>
      </c>
      <c r="H1734" s="204" t="s">
        <v>9</v>
      </c>
      <c r="I1734" s="20">
        <f>I1738</f>
        <v>10646.69</v>
      </c>
      <c r="J1734" s="20">
        <f t="shared" ref="J1734:K1734" si="681">J1738</f>
        <v>0</v>
      </c>
      <c r="K1734" s="20">
        <f t="shared" si="681"/>
        <v>0</v>
      </c>
      <c r="L1734" s="16" t="s">
        <v>1231</v>
      </c>
      <c r="M1734" s="16" t="str">
        <f t="shared" ref="M1734:M1797" si="682">TEXT(L1734,"0000000000")</f>
        <v>04304G6420</v>
      </c>
      <c r="N1734" s="16" t="str">
        <f t="shared" ref="N1734:N1797" si="683">D1734&amp;E1734&amp;F1734&amp;M1734&amp;H1734</f>
        <v>621050304304G6420000</v>
      </c>
    </row>
    <row r="1735" spans="2:16" s="16" customFormat="1">
      <c r="B1735" s="14"/>
      <c r="C1735" s="205" t="s">
        <v>1045</v>
      </c>
      <c r="D1735" s="203"/>
      <c r="E1735" s="204"/>
      <c r="F1735" s="204"/>
      <c r="G1735" s="204"/>
      <c r="H1735" s="204"/>
      <c r="I1735" s="20"/>
      <c r="J1735" s="20"/>
      <c r="K1735" s="20"/>
      <c r="M1735" s="16" t="str">
        <f t="shared" si="682"/>
        <v>0000000000</v>
      </c>
      <c r="N1735" s="16" t="str">
        <f t="shared" si="683"/>
        <v>0000000000</v>
      </c>
    </row>
    <row r="1736" spans="2:16" s="16" customFormat="1">
      <c r="B1736" s="14"/>
      <c r="C1736" s="197" t="s">
        <v>1046</v>
      </c>
      <c r="D1736" s="203" t="s">
        <v>412</v>
      </c>
      <c r="E1736" s="204" t="s">
        <v>86</v>
      </c>
      <c r="F1736" s="204" t="s">
        <v>13</v>
      </c>
      <c r="G1736" s="204" t="s">
        <v>1056</v>
      </c>
      <c r="H1736" s="204" t="s">
        <v>9</v>
      </c>
      <c r="I1736" s="20">
        <f>310.2</f>
        <v>310.2</v>
      </c>
      <c r="J1736" s="20">
        <v>0</v>
      </c>
      <c r="K1736" s="20">
        <v>0</v>
      </c>
      <c r="L1736" s="16" t="s">
        <v>1231</v>
      </c>
      <c r="M1736" s="16" t="str">
        <f t="shared" si="682"/>
        <v>04304G6420</v>
      </c>
      <c r="N1736" s="16" t="str">
        <f t="shared" si="683"/>
        <v>621050304304G6420000</v>
      </c>
    </row>
    <row r="1737" spans="2:16" s="16" customFormat="1">
      <c r="B1737" s="14"/>
      <c r="C1737" s="197" t="s">
        <v>1047</v>
      </c>
      <c r="D1737" s="203" t="s">
        <v>412</v>
      </c>
      <c r="E1737" s="204" t="s">
        <v>86</v>
      </c>
      <c r="F1737" s="204" t="s">
        <v>13</v>
      </c>
      <c r="G1737" s="204" t="s">
        <v>1056</v>
      </c>
      <c r="H1737" s="204" t="s">
        <v>9</v>
      </c>
      <c r="I1737" s="20">
        <f>10336.49</f>
        <v>10336.49</v>
      </c>
      <c r="J1737" s="20">
        <v>0</v>
      </c>
      <c r="K1737" s="20">
        <v>0</v>
      </c>
      <c r="L1737" s="16" t="s">
        <v>1231</v>
      </c>
      <c r="M1737" s="16" t="str">
        <f t="shared" si="682"/>
        <v>04304G6420</v>
      </c>
      <c r="N1737" s="16" t="str">
        <f t="shared" si="683"/>
        <v>621050304304G6420000</v>
      </c>
    </row>
    <row r="1738" spans="2:16" s="16" customFormat="1" ht="25.5">
      <c r="B1738" s="14"/>
      <c r="C1738" s="197" t="s">
        <v>28</v>
      </c>
      <c r="D1738" s="203" t="s">
        <v>412</v>
      </c>
      <c r="E1738" s="204" t="s">
        <v>86</v>
      </c>
      <c r="F1738" s="204" t="s">
        <v>13</v>
      </c>
      <c r="G1738" s="204" t="s">
        <v>1056</v>
      </c>
      <c r="H1738" s="204" t="s">
        <v>29</v>
      </c>
      <c r="I1738" s="20">
        <f>SUM(I1736:I1737)</f>
        <v>10646.69</v>
      </c>
      <c r="J1738" s="20">
        <f t="shared" ref="J1738:K1738" si="684">SUM(J1736:J1737)</f>
        <v>0</v>
      </c>
      <c r="K1738" s="20">
        <f t="shared" si="684"/>
        <v>0</v>
      </c>
      <c r="L1738" s="16" t="s">
        <v>1231</v>
      </c>
      <c r="M1738" s="16" t="str">
        <f t="shared" si="682"/>
        <v>04304G6420</v>
      </c>
      <c r="N1738" s="16" t="str">
        <f t="shared" si="683"/>
        <v>621050304304G6420240</v>
      </c>
    </row>
    <row r="1739" spans="2:16" s="16" customFormat="1" ht="25.5">
      <c r="B1739" s="14"/>
      <c r="C1739" s="200" t="s">
        <v>1048</v>
      </c>
      <c r="D1739" s="203" t="s">
        <v>412</v>
      </c>
      <c r="E1739" s="204" t="s">
        <v>86</v>
      </c>
      <c r="F1739" s="204" t="s">
        <v>13</v>
      </c>
      <c r="G1739" s="204" t="s">
        <v>1057</v>
      </c>
      <c r="H1739" s="204" t="s">
        <v>9</v>
      </c>
      <c r="I1739" s="20">
        <f>I1743</f>
        <v>8709.7999999999993</v>
      </c>
      <c r="J1739" s="20">
        <f t="shared" ref="J1739:K1739" si="685">J1743</f>
        <v>0</v>
      </c>
      <c r="K1739" s="20">
        <f t="shared" si="685"/>
        <v>0</v>
      </c>
      <c r="L1739" s="16" t="s">
        <v>1232</v>
      </c>
      <c r="M1739" s="16" t="str">
        <f t="shared" si="682"/>
        <v>04304S6420</v>
      </c>
      <c r="N1739" s="16" t="str">
        <f t="shared" si="683"/>
        <v>621050304304S6420000</v>
      </c>
    </row>
    <row r="1740" spans="2:16" s="16" customFormat="1">
      <c r="B1740" s="14"/>
      <c r="C1740" s="205" t="s">
        <v>1045</v>
      </c>
      <c r="D1740" s="203"/>
      <c r="E1740" s="204"/>
      <c r="F1740" s="204"/>
      <c r="G1740" s="204"/>
      <c r="H1740" s="204"/>
      <c r="I1740" s="20"/>
      <c r="J1740" s="20"/>
      <c r="K1740" s="20"/>
      <c r="M1740" s="16" t="str">
        <f t="shared" si="682"/>
        <v>0000000000</v>
      </c>
      <c r="N1740" s="16" t="str">
        <f t="shared" si="683"/>
        <v>0000000000</v>
      </c>
    </row>
    <row r="1741" spans="2:16" s="16" customFormat="1">
      <c r="B1741" s="14"/>
      <c r="C1741" s="197" t="s">
        <v>1050</v>
      </c>
      <c r="D1741" s="203" t="s">
        <v>412</v>
      </c>
      <c r="E1741" s="204" t="s">
        <v>86</v>
      </c>
      <c r="F1741" s="204" t="s">
        <v>13</v>
      </c>
      <c r="G1741" s="204" t="s">
        <v>1057</v>
      </c>
      <c r="H1741" s="204" t="s">
        <v>9</v>
      </c>
      <c r="I1741" s="20">
        <v>2709.8</v>
      </c>
      <c r="J1741" s="20">
        <v>0</v>
      </c>
      <c r="K1741" s="20">
        <v>0</v>
      </c>
      <c r="L1741" s="16" t="s">
        <v>1232</v>
      </c>
      <c r="M1741" s="16" t="str">
        <f t="shared" si="682"/>
        <v>04304S6420</v>
      </c>
      <c r="N1741" s="16" t="str">
        <f t="shared" si="683"/>
        <v>621050304304S6420000</v>
      </c>
    </row>
    <row r="1742" spans="2:16" s="16" customFormat="1">
      <c r="B1742" s="14" t="s">
        <v>80</v>
      </c>
      <c r="C1742" s="197" t="s">
        <v>1051</v>
      </c>
      <c r="D1742" s="203" t="s">
        <v>412</v>
      </c>
      <c r="E1742" s="204" t="s">
        <v>86</v>
      </c>
      <c r="F1742" s="204" t="s">
        <v>13</v>
      </c>
      <c r="G1742" s="204" t="s">
        <v>1057</v>
      </c>
      <c r="H1742" s="204" t="s">
        <v>9</v>
      </c>
      <c r="I1742" s="20">
        <v>6000</v>
      </c>
      <c r="J1742" s="20">
        <v>0</v>
      </c>
      <c r="K1742" s="20">
        <v>0</v>
      </c>
      <c r="L1742" s="16" t="s">
        <v>1232</v>
      </c>
      <c r="M1742" s="16" t="str">
        <f t="shared" si="682"/>
        <v>04304S6420</v>
      </c>
      <c r="N1742" s="16" t="str">
        <f t="shared" si="683"/>
        <v>621050304304S6420000</v>
      </c>
    </row>
    <row r="1743" spans="2:16" s="16" customFormat="1" ht="25.5">
      <c r="B1743" s="14"/>
      <c r="C1743" s="197" t="s">
        <v>28</v>
      </c>
      <c r="D1743" s="203" t="s">
        <v>412</v>
      </c>
      <c r="E1743" s="204" t="s">
        <v>86</v>
      </c>
      <c r="F1743" s="204" t="s">
        <v>13</v>
      </c>
      <c r="G1743" s="204" t="s">
        <v>1057</v>
      </c>
      <c r="H1743" s="204" t="s">
        <v>29</v>
      </c>
      <c r="I1743" s="20">
        <f>SUM(I1741:I1742)</f>
        <v>8709.7999999999993</v>
      </c>
      <c r="J1743" s="20">
        <f t="shared" ref="J1743:K1743" si="686">SUM(J1741:J1742)</f>
        <v>0</v>
      </c>
      <c r="K1743" s="20">
        <f t="shared" si="686"/>
        <v>0</v>
      </c>
      <c r="L1743" s="16" t="s">
        <v>1232</v>
      </c>
      <c r="M1743" s="16" t="str">
        <f t="shared" si="682"/>
        <v>04304S6420</v>
      </c>
      <c r="N1743" s="16" t="str">
        <f t="shared" si="683"/>
        <v>621050304304S6420240</v>
      </c>
    </row>
    <row r="1744" spans="2:16" s="16" customFormat="1" ht="25.5">
      <c r="B1744" s="14"/>
      <c r="C1744" s="197" t="s">
        <v>1149</v>
      </c>
      <c r="D1744" s="203" t="s">
        <v>412</v>
      </c>
      <c r="E1744" s="204" t="s">
        <v>86</v>
      </c>
      <c r="F1744" s="204" t="s">
        <v>13</v>
      </c>
      <c r="G1744" s="199" t="s">
        <v>1146</v>
      </c>
      <c r="H1744" s="204" t="s">
        <v>9</v>
      </c>
      <c r="I1744" s="20">
        <f>I1745</f>
        <v>332160.36999999994</v>
      </c>
      <c r="J1744" s="20">
        <f t="shared" ref="J1744:K1744" si="687">J1745</f>
        <v>0</v>
      </c>
      <c r="K1744" s="20">
        <f t="shared" si="687"/>
        <v>0</v>
      </c>
      <c r="L1744" s="383">
        <v>430477330</v>
      </c>
      <c r="M1744" s="16" t="str">
        <f t="shared" si="682"/>
        <v>0430477330</v>
      </c>
      <c r="N1744" s="16" t="str">
        <f t="shared" si="683"/>
        <v>62105030430477330000</v>
      </c>
      <c r="O1744" s="383" t="s">
        <v>2294</v>
      </c>
      <c r="P1744" s="16" t="e">
        <f>CONCATENATE(#REF!,C1744,D1744,E1744,F1744,G1744,H1744,#REF!,#REF!,L1744,#REF!,M1744,N1744,I1744,O1744)</f>
        <v>#REF!</v>
      </c>
    </row>
    <row r="1745" spans="2:16" s="16" customFormat="1" ht="25.5">
      <c r="B1745" s="14"/>
      <c r="C1745" s="197" t="s">
        <v>28</v>
      </c>
      <c r="D1745" s="203" t="s">
        <v>412</v>
      </c>
      <c r="E1745" s="204" t="s">
        <v>86</v>
      </c>
      <c r="F1745" s="204" t="s">
        <v>13</v>
      </c>
      <c r="G1745" s="199" t="s">
        <v>1146</v>
      </c>
      <c r="H1745" s="204" t="s">
        <v>29</v>
      </c>
      <c r="I1745" s="20">
        <f>137789.9+108377-30156.8+93092.75-93092.75-39220.2+53872.55+39220.2+28499.98+39220.2-5442.46</f>
        <v>332160.36999999994</v>
      </c>
      <c r="J1745" s="20">
        <v>0</v>
      </c>
      <c r="K1745" s="20">
        <v>0</v>
      </c>
      <c r="L1745" s="383">
        <v>430477330</v>
      </c>
      <c r="M1745" s="16" t="str">
        <f t="shared" si="682"/>
        <v>0430477330</v>
      </c>
      <c r="N1745" s="16" t="str">
        <f t="shared" si="683"/>
        <v>62105030430477330240</v>
      </c>
      <c r="O1745" s="383" t="s">
        <v>2294</v>
      </c>
      <c r="P1745" s="16" t="e">
        <f>CONCATENATE(#REF!,C1745,D1745,E1745,F1745,G1745,H1745,#REF!,#REF!,L1745,#REF!,M1745,N1745,I1745,O1745)</f>
        <v>#REF!</v>
      </c>
    </row>
    <row r="1746" spans="2:16" s="16" customFormat="1" ht="25.5">
      <c r="B1746" s="14"/>
      <c r="C1746" s="197" t="s">
        <v>1150</v>
      </c>
      <c r="D1746" s="203" t="s">
        <v>412</v>
      </c>
      <c r="E1746" s="204" t="s">
        <v>86</v>
      </c>
      <c r="F1746" s="204" t="s">
        <v>13</v>
      </c>
      <c r="G1746" s="199" t="s">
        <v>1147</v>
      </c>
      <c r="H1746" s="204" t="s">
        <v>9</v>
      </c>
      <c r="I1746" s="20">
        <f>I1747</f>
        <v>27107.759999999998</v>
      </c>
      <c r="J1746" s="20">
        <f t="shared" ref="J1746:K1746" si="688">J1747</f>
        <v>0</v>
      </c>
      <c r="K1746" s="20">
        <f t="shared" si="688"/>
        <v>0</v>
      </c>
      <c r="L1746" s="383" t="s">
        <v>1256</v>
      </c>
      <c r="M1746" s="16" t="str">
        <f t="shared" si="682"/>
        <v>04304S7330</v>
      </c>
      <c r="N1746" s="16" t="str">
        <f t="shared" si="683"/>
        <v>621050304304S7330000</v>
      </c>
      <c r="O1746" s="383" t="s">
        <v>2294</v>
      </c>
      <c r="P1746" s="16" t="e">
        <f>CONCATENATE(#REF!,C1746,D1746,E1746,F1746,G1746,H1746,#REF!,#REF!,L1746,#REF!,M1746,N1746,I1746,O1746)</f>
        <v>#REF!</v>
      </c>
    </row>
    <row r="1747" spans="2:16" s="16" customFormat="1" ht="25.5">
      <c r="B1747" s="14"/>
      <c r="C1747" s="197" t="s">
        <v>28</v>
      </c>
      <c r="D1747" s="203" t="s">
        <v>412</v>
      </c>
      <c r="E1747" s="204" t="s">
        <v>86</v>
      </c>
      <c r="F1747" s="204" t="s">
        <v>13</v>
      </c>
      <c r="G1747" s="199" t="s">
        <v>1147</v>
      </c>
      <c r="H1747" s="204" t="s">
        <v>29</v>
      </c>
      <c r="I1747" s="20">
        <f>7252.1+5704.05-1587.2+4899.62+1500-2064.22+2064.22+3896.73+5442.46</f>
        <v>27107.759999999998</v>
      </c>
      <c r="J1747" s="20">
        <v>0</v>
      </c>
      <c r="K1747" s="20">
        <v>0</v>
      </c>
      <c r="L1747" s="383" t="s">
        <v>1256</v>
      </c>
      <c r="M1747" s="16" t="str">
        <f t="shared" si="682"/>
        <v>04304S7330</v>
      </c>
      <c r="N1747" s="16" t="str">
        <f t="shared" si="683"/>
        <v>621050304304S7330240</v>
      </c>
      <c r="O1747" s="383" t="s">
        <v>2294</v>
      </c>
      <c r="P1747" s="16" t="e">
        <f>CONCATENATE(#REF!,C1747,D1747,E1747,F1747,G1747,H1747,#REF!,#REF!,L1747,#REF!,M1747,N1747,I1747,O1747)</f>
        <v>#REF!</v>
      </c>
    </row>
    <row r="1748" spans="2:16" s="16" customFormat="1" ht="38.25">
      <c r="B1748" s="14"/>
      <c r="C1748" s="197" t="s">
        <v>87</v>
      </c>
      <c r="D1748" s="203" t="s">
        <v>412</v>
      </c>
      <c r="E1748" s="204" t="s">
        <v>86</v>
      </c>
      <c r="F1748" s="204" t="s">
        <v>13</v>
      </c>
      <c r="G1748" s="204" t="s">
        <v>88</v>
      </c>
      <c r="H1748" s="204" t="s">
        <v>9</v>
      </c>
      <c r="I1748" s="20">
        <f>I1749</f>
        <v>37603.730000000003</v>
      </c>
      <c r="J1748" s="20">
        <f t="shared" ref="J1748:K1749" si="689">J1749</f>
        <v>0</v>
      </c>
      <c r="K1748" s="20">
        <f t="shared" si="689"/>
        <v>0</v>
      </c>
      <c r="L1748" s="16">
        <v>9800000000</v>
      </c>
      <c r="M1748" s="16" t="str">
        <f t="shared" si="682"/>
        <v>9800000000</v>
      </c>
      <c r="N1748" s="16" t="str">
        <f t="shared" si="683"/>
        <v>62105039800000000000</v>
      </c>
    </row>
    <row r="1749" spans="2:16" s="16" customFormat="1" ht="38.25">
      <c r="B1749" s="14"/>
      <c r="C1749" s="197" t="s">
        <v>1108</v>
      </c>
      <c r="D1749" s="203" t="s">
        <v>412</v>
      </c>
      <c r="E1749" s="204" t="s">
        <v>86</v>
      </c>
      <c r="F1749" s="204" t="s">
        <v>13</v>
      </c>
      <c r="G1749" s="204" t="s">
        <v>1109</v>
      </c>
      <c r="H1749" s="204" t="s">
        <v>9</v>
      </c>
      <c r="I1749" s="20">
        <f>I1750</f>
        <v>37603.730000000003</v>
      </c>
      <c r="J1749" s="20">
        <f t="shared" si="689"/>
        <v>0</v>
      </c>
      <c r="K1749" s="20">
        <f t="shared" si="689"/>
        <v>0</v>
      </c>
      <c r="L1749" s="16">
        <v>9820000000</v>
      </c>
      <c r="M1749" s="16" t="str">
        <f t="shared" si="682"/>
        <v>9820000000</v>
      </c>
      <c r="N1749" s="16" t="str">
        <f t="shared" si="683"/>
        <v>62105039820000000000</v>
      </c>
    </row>
    <row r="1750" spans="2:16" s="16" customFormat="1" ht="63.75">
      <c r="B1750" s="14" t="s">
        <v>2282</v>
      </c>
      <c r="C1750" s="341" t="s">
        <v>1084</v>
      </c>
      <c r="D1750" s="322" t="s">
        <v>412</v>
      </c>
      <c r="E1750" s="319" t="s">
        <v>86</v>
      </c>
      <c r="F1750" s="319" t="s">
        <v>13</v>
      </c>
      <c r="G1750" s="319" t="s">
        <v>1257</v>
      </c>
      <c r="H1750" s="319" t="s">
        <v>9</v>
      </c>
      <c r="I1750" s="320">
        <f>I1753</f>
        <v>37603.730000000003</v>
      </c>
      <c r="J1750" s="320">
        <f t="shared" ref="J1750:K1750" si="690">J1753</f>
        <v>0</v>
      </c>
      <c r="K1750" s="320">
        <f t="shared" si="690"/>
        <v>0</v>
      </c>
      <c r="L1750" s="16">
        <v>9820020800</v>
      </c>
      <c r="M1750" s="16" t="str">
        <f t="shared" si="682"/>
        <v>9820020800</v>
      </c>
      <c r="N1750" s="16" t="str">
        <f t="shared" si="683"/>
        <v>62105039820020800000</v>
      </c>
    </row>
    <row r="1751" spans="2:16" s="16" customFormat="1">
      <c r="B1751" s="14"/>
      <c r="C1751" s="197" t="s">
        <v>1104</v>
      </c>
      <c r="D1751" s="203"/>
      <c r="E1751" s="204"/>
      <c r="F1751" s="204"/>
      <c r="G1751" s="204"/>
      <c r="H1751" s="204"/>
      <c r="I1751" s="26"/>
      <c r="J1751" s="32"/>
      <c r="K1751" s="32"/>
      <c r="M1751" s="16" t="str">
        <f t="shared" si="682"/>
        <v>0000000000</v>
      </c>
      <c r="N1751" s="16" t="str">
        <f t="shared" si="683"/>
        <v>0000000000</v>
      </c>
    </row>
    <row r="1752" spans="2:16" s="16" customFormat="1" ht="51">
      <c r="B1752" s="14"/>
      <c r="C1752" s="197" t="s">
        <v>1362</v>
      </c>
      <c r="D1752" s="203" t="s">
        <v>412</v>
      </c>
      <c r="E1752" s="204" t="s">
        <v>86</v>
      </c>
      <c r="F1752" s="204" t="s">
        <v>13</v>
      </c>
      <c r="G1752" s="204" t="s">
        <v>1257</v>
      </c>
      <c r="H1752" s="204" t="s">
        <v>9</v>
      </c>
      <c r="I1752" s="26">
        <f>37603.73</f>
        <v>37603.730000000003</v>
      </c>
      <c r="J1752" s="32">
        <v>0</v>
      </c>
      <c r="K1752" s="32">
        <v>0</v>
      </c>
      <c r="L1752" s="16">
        <v>9820020800</v>
      </c>
      <c r="M1752" s="16" t="str">
        <f t="shared" si="682"/>
        <v>9820020800</v>
      </c>
      <c r="N1752" s="16" t="str">
        <f t="shared" si="683"/>
        <v>62105039820020800000</v>
      </c>
    </row>
    <row r="1753" spans="2:16" s="16" customFormat="1">
      <c r="B1753" s="14"/>
      <c r="C1753" s="231" t="s">
        <v>937</v>
      </c>
      <c r="D1753" s="232" t="s">
        <v>412</v>
      </c>
      <c r="E1753" s="233" t="s">
        <v>86</v>
      </c>
      <c r="F1753" s="233" t="s">
        <v>13</v>
      </c>
      <c r="G1753" s="233" t="s">
        <v>1257</v>
      </c>
      <c r="H1753" s="233" t="s">
        <v>838</v>
      </c>
      <c r="I1753" s="235">
        <f>I1752</f>
        <v>37603.730000000003</v>
      </c>
      <c r="J1753" s="235">
        <f t="shared" ref="J1753:K1753" si="691">J1752</f>
        <v>0</v>
      </c>
      <c r="K1753" s="235">
        <f t="shared" si="691"/>
        <v>0</v>
      </c>
      <c r="L1753" s="16">
        <v>9820020800</v>
      </c>
      <c r="M1753" s="16" t="str">
        <f t="shared" si="682"/>
        <v>9820020800</v>
      </c>
      <c r="N1753" s="16" t="str">
        <f t="shared" si="683"/>
        <v>62105039820020800410</v>
      </c>
    </row>
    <row r="1754" spans="2:16" s="16" customFormat="1">
      <c r="B1754" s="14"/>
      <c r="C1754" s="191" t="s">
        <v>228</v>
      </c>
      <c r="D1754" s="192" t="s">
        <v>412</v>
      </c>
      <c r="E1754" s="193" t="s">
        <v>229</v>
      </c>
      <c r="F1754" s="193" t="s">
        <v>7</v>
      </c>
      <c r="G1754" s="193" t="s">
        <v>8</v>
      </c>
      <c r="H1754" s="193" t="s">
        <v>9</v>
      </c>
      <c r="I1754" s="18">
        <f>I1755+I1788</f>
        <v>600498.30999999994</v>
      </c>
      <c r="J1754" s="18">
        <f>J1755+J1788</f>
        <v>868238.57000000007</v>
      </c>
      <c r="K1754" s="18">
        <f>K1755+K1788</f>
        <v>19074.82</v>
      </c>
      <c r="L1754" s="16">
        <v>0</v>
      </c>
      <c r="M1754" s="16" t="str">
        <f t="shared" si="682"/>
        <v>0000000000</v>
      </c>
      <c r="N1754" s="16" t="str">
        <f t="shared" si="683"/>
        <v>62107000000000000000</v>
      </c>
    </row>
    <row r="1755" spans="2:16" s="16" customFormat="1">
      <c r="B1755" s="14"/>
      <c r="C1755" s="194" t="s">
        <v>395</v>
      </c>
      <c r="D1755" s="195" t="s">
        <v>412</v>
      </c>
      <c r="E1755" s="196" t="s">
        <v>229</v>
      </c>
      <c r="F1755" s="196" t="s">
        <v>11</v>
      </c>
      <c r="G1755" s="196" t="s">
        <v>8</v>
      </c>
      <c r="H1755" s="196" t="s">
        <v>9</v>
      </c>
      <c r="I1755" s="19">
        <f t="shared" ref="I1755:K1757" si="692">I1756</f>
        <v>284683.52999999997</v>
      </c>
      <c r="J1755" s="19">
        <f t="shared" si="692"/>
        <v>170586.58000000002</v>
      </c>
      <c r="K1755" s="19">
        <f t="shared" si="692"/>
        <v>3495.1099999999997</v>
      </c>
      <c r="L1755" s="16">
        <v>0</v>
      </c>
      <c r="M1755" s="16" t="str">
        <f t="shared" si="682"/>
        <v>0000000000</v>
      </c>
      <c r="N1755" s="16" t="str">
        <f t="shared" si="683"/>
        <v>62107010000000000000</v>
      </c>
    </row>
    <row r="1756" spans="2:16" s="16" customFormat="1" ht="25.5">
      <c r="B1756" s="14"/>
      <c r="C1756" s="205" t="s">
        <v>396</v>
      </c>
      <c r="D1756" s="198" t="s">
        <v>412</v>
      </c>
      <c r="E1756" s="199" t="s">
        <v>229</v>
      </c>
      <c r="F1756" s="199" t="s">
        <v>11</v>
      </c>
      <c r="G1756" s="199" t="s">
        <v>397</v>
      </c>
      <c r="H1756" s="199" t="s">
        <v>9</v>
      </c>
      <c r="I1756" s="20">
        <f t="shared" si="692"/>
        <v>284683.52999999997</v>
      </c>
      <c r="J1756" s="20">
        <f t="shared" si="692"/>
        <v>170586.58000000002</v>
      </c>
      <c r="K1756" s="20">
        <f t="shared" si="692"/>
        <v>3495.1099999999997</v>
      </c>
      <c r="L1756" s="16">
        <v>100000000</v>
      </c>
      <c r="M1756" s="16" t="str">
        <f t="shared" si="682"/>
        <v>0100000000</v>
      </c>
      <c r="N1756" s="16" t="str">
        <f t="shared" si="683"/>
        <v>62107010100000000000</v>
      </c>
    </row>
    <row r="1757" spans="2:16" s="16" customFormat="1" ht="25.5">
      <c r="B1757" s="14"/>
      <c r="C1757" s="197" t="s">
        <v>444</v>
      </c>
      <c r="D1757" s="198" t="s">
        <v>412</v>
      </c>
      <c r="E1757" s="199" t="s">
        <v>229</v>
      </c>
      <c r="F1757" s="199" t="s">
        <v>11</v>
      </c>
      <c r="G1757" s="199" t="s">
        <v>445</v>
      </c>
      <c r="H1757" s="199" t="s">
        <v>9</v>
      </c>
      <c r="I1757" s="20">
        <f t="shared" si="692"/>
        <v>284683.52999999997</v>
      </c>
      <c r="J1757" s="20">
        <f t="shared" si="692"/>
        <v>170586.58000000002</v>
      </c>
      <c r="K1757" s="20">
        <f t="shared" si="692"/>
        <v>3495.1099999999997</v>
      </c>
      <c r="L1757" s="16">
        <v>120000000</v>
      </c>
      <c r="M1757" s="16" t="str">
        <f t="shared" si="682"/>
        <v>0120000000</v>
      </c>
      <c r="N1757" s="16" t="str">
        <f t="shared" si="683"/>
        <v>62107010120000000000</v>
      </c>
    </row>
    <row r="1758" spans="2:16" s="16" customFormat="1" ht="38.25">
      <c r="B1758" s="14"/>
      <c r="C1758" s="197" t="s">
        <v>936</v>
      </c>
      <c r="D1758" s="198" t="s">
        <v>412</v>
      </c>
      <c r="E1758" s="199" t="s">
        <v>229</v>
      </c>
      <c r="F1758" s="199" t="s">
        <v>11</v>
      </c>
      <c r="G1758" s="199" t="s">
        <v>447</v>
      </c>
      <c r="H1758" s="199" t="s">
        <v>9</v>
      </c>
      <c r="I1758" s="20">
        <f>I1759+I1764+I1781+I1784+I1768+I1773</f>
        <v>284683.52999999997</v>
      </c>
      <c r="J1758" s="20">
        <f>J1759+J1764+J1781+J1784+J1768+J1773+J1778</f>
        <v>170586.58000000002</v>
      </c>
      <c r="K1758" s="20">
        <f>K1759+K1764+K1781+K1784+K1768+K1773</f>
        <v>3495.1099999999997</v>
      </c>
      <c r="L1758" s="16">
        <v>120100000</v>
      </c>
      <c r="M1758" s="16" t="str">
        <f t="shared" si="682"/>
        <v>0120100000</v>
      </c>
      <c r="N1758" s="16" t="str">
        <f t="shared" si="683"/>
        <v>62107010120100000000</v>
      </c>
    </row>
    <row r="1759" spans="2:16" s="16" customFormat="1" ht="38.25">
      <c r="B1759" s="14"/>
      <c r="C1759" s="197" t="s">
        <v>448</v>
      </c>
      <c r="D1759" s="198" t="s">
        <v>412</v>
      </c>
      <c r="E1759" s="199" t="s">
        <v>229</v>
      </c>
      <c r="F1759" s="199" t="s">
        <v>11</v>
      </c>
      <c r="G1759" s="199" t="s">
        <v>449</v>
      </c>
      <c r="H1759" s="199" t="s">
        <v>9</v>
      </c>
      <c r="I1759" s="20">
        <f>I1763</f>
        <v>0</v>
      </c>
      <c r="J1759" s="20">
        <f>J1763</f>
        <v>18569.41</v>
      </c>
      <c r="K1759" s="20">
        <f>K1763</f>
        <v>1006.3199999999997</v>
      </c>
      <c r="L1759" s="16">
        <v>120140010</v>
      </c>
      <c r="M1759" s="16" t="str">
        <f t="shared" si="682"/>
        <v>0120140010</v>
      </c>
      <c r="N1759" s="16" t="str">
        <f t="shared" si="683"/>
        <v>62107010120140010000</v>
      </c>
    </row>
    <row r="1760" spans="2:16" s="16" customFormat="1">
      <c r="B1760" s="14"/>
      <c r="C1760" s="197" t="s">
        <v>1104</v>
      </c>
      <c r="D1760" s="198"/>
      <c r="E1760" s="199"/>
      <c r="F1760" s="199"/>
      <c r="G1760" s="199"/>
      <c r="H1760" s="199"/>
      <c r="I1760" s="20"/>
      <c r="J1760" s="20"/>
      <c r="K1760" s="20"/>
      <c r="M1760" s="16" t="str">
        <f t="shared" si="682"/>
        <v>0000000000</v>
      </c>
      <c r="N1760" s="16" t="str">
        <f t="shared" si="683"/>
        <v>0000000000</v>
      </c>
    </row>
    <row r="1761" spans="1:14" s="16" customFormat="1" ht="38.25">
      <c r="B1761" s="14"/>
      <c r="C1761" s="197" t="s">
        <v>1151</v>
      </c>
      <c r="D1761" s="198" t="s">
        <v>412</v>
      </c>
      <c r="E1761" s="199" t="s">
        <v>229</v>
      </c>
      <c r="F1761" s="199" t="s">
        <v>11</v>
      </c>
      <c r="G1761" s="199" t="s">
        <v>449</v>
      </c>
      <c r="H1761" s="199" t="s">
        <v>9</v>
      </c>
      <c r="I1761" s="20">
        <v>0</v>
      </c>
      <c r="J1761" s="20">
        <f>8013.7-1491.27-28.9</f>
        <v>6493.5300000000007</v>
      </c>
      <c r="K1761" s="20">
        <f>6350-6350</f>
        <v>0</v>
      </c>
      <c r="L1761" s="16">
        <v>120140010</v>
      </c>
      <c r="M1761" s="16" t="str">
        <f t="shared" si="682"/>
        <v>0120140010</v>
      </c>
      <c r="N1761" s="16" t="str">
        <f t="shared" si="683"/>
        <v>62107010120140010000</v>
      </c>
    </row>
    <row r="1762" spans="1:14" s="16" customFormat="1" ht="38.25">
      <c r="B1762" s="14"/>
      <c r="C1762" s="197" t="s">
        <v>1152</v>
      </c>
      <c r="D1762" s="198" t="s">
        <v>412</v>
      </c>
      <c r="E1762" s="199" t="s">
        <v>229</v>
      </c>
      <c r="F1762" s="199" t="s">
        <v>11</v>
      </c>
      <c r="G1762" s="199" t="s">
        <v>449</v>
      </c>
      <c r="H1762" s="199" t="s">
        <v>9</v>
      </c>
      <c r="I1762" s="20">
        <f>0</f>
        <v>0</v>
      </c>
      <c r="J1762" s="20">
        <f>12075.88</f>
        <v>12075.88</v>
      </c>
      <c r="K1762" s="20">
        <f>6350-5343.68</f>
        <v>1006.3199999999997</v>
      </c>
      <c r="L1762" s="16">
        <v>120140010</v>
      </c>
      <c r="M1762" s="16" t="str">
        <f t="shared" si="682"/>
        <v>0120140010</v>
      </c>
      <c r="N1762" s="16" t="str">
        <f t="shared" si="683"/>
        <v>62107010120140010000</v>
      </c>
    </row>
    <row r="1763" spans="1:14" s="16" customFormat="1">
      <c r="B1763" s="14"/>
      <c r="C1763" s="231" t="s">
        <v>937</v>
      </c>
      <c r="D1763" s="232" t="s">
        <v>412</v>
      </c>
      <c r="E1763" s="233" t="s">
        <v>229</v>
      </c>
      <c r="F1763" s="233" t="s">
        <v>11</v>
      </c>
      <c r="G1763" s="233" t="s">
        <v>449</v>
      </c>
      <c r="H1763" s="233" t="s">
        <v>838</v>
      </c>
      <c r="I1763" s="235">
        <f>SUM(I1761:I1762)</f>
        <v>0</v>
      </c>
      <c r="J1763" s="235">
        <f>SUM(J1761:J1762)</f>
        <v>18569.41</v>
      </c>
      <c r="K1763" s="235">
        <f>SUM(K1761:K1762)</f>
        <v>1006.3199999999997</v>
      </c>
      <c r="L1763" s="16">
        <v>120140010</v>
      </c>
      <c r="M1763" s="16" t="str">
        <f t="shared" si="682"/>
        <v>0120140010</v>
      </c>
      <c r="N1763" s="16" t="str">
        <f t="shared" si="683"/>
        <v>62107010120140010410</v>
      </c>
    </row>
    <row r="1764" spans="1:14" s="16" customFormat="1" ht="25.5">
      <c r="B1764" s="14"/>
      <c r="C1764" s="197" t="s">
        <v>1153</v>
      </c>
      <c r="D1764" s="198" t="s">
        <v>412</v>
      </c>
      <c r="E1764" s="199" t="s">
        <v>229</v>
      </c>
      <c r="F1764" s="199" t="s">
        <v>11</v>
      </c>
      <c r="G1764" s="199" t="s">
        <v>1154</v>
      </c>
      <c r="H1764" s="199" t="s">
        <v>9</v>
      </c>
      <c r="I1764" s="20">
        <f>I1767</f>
        <v>0</v>
      </c>
      <c r="J1764" s="20">
        <f t="shared" ref="J1764:K1764" si="693">J1767</f>
        <v>0</v>
      </c>
      <c r="K1764" s="20">
        <f t="shared" si="693"/>
        <v>2488.79</v>
      </c>
      <c r="L1764" s="16">
        <v>120140060</v>
      </c>
      <c r="M1764" s="16" t="str">
        <f t="shared" si="682"/>
        <v>0120140060</v>
      </c>
      <c r="N1764" s="16" t="str">
        <f t="shared" si="683"/>
        <v>62107010120140060000</v>
      </c>
    </row>
    <row r="1765" spans="1:14" s="16" customFormat="1">
      <c r="B1765" s="14"/>
      <c r="C1765" s="197" t="s">
        <v>1104</v>
      </c>
      <c r="D1765" s="198"/>
      <c r="E1765" s="199"/>
      <c r="F1765" s="199"/>
      <c r="G1765" s="199"/>
      <c r="H1765" s="199"/>
      <c r="I1765" s="20"/>
      <c r="J1765" s="20"/>
      <c r="K1765" s="20"/>
      <c r="M1765" s="16" t="str">
        <f t="shared" si="682"/>
        <v>0000000000</v>
      </c>
      <c r="N1765" s="16" t="str">
        <f t="shared" si="683"/>
        <v>0000000000</v>
      </c>
    </row>
    <row r="1766" spans="1:14" s="16" customFormat="1" ht="38.25">
      <c r="B1766" s="14"/>
      <c r="C1766" s="197" t="s">
        <v>2297</v>
      </c>
      <c r="D1766" s="198" t="s">
        <v>412</v>
      </c>
      <c r="E1766" s="199" t="s">
        <v>229</v>
      </c>
      <c r="F1766" s="199" t="s">
        <v>11</v>
      </c>
      <c r="G1766" s="199" t="s">
        <v>1154</v>
      </c>
      <c r="H1766" s="199" t="s">
        <v>9</v>
      </c>
      <c r="I1766" s="20">
        <f>100-100</f>
        <v>0</v>
      </c>
      <c r="J1766" s="20">
        <f>10958.26-10958.26</f>
        <v>0</v>
      </c>
      <c r="K1766" s="20">
        <f>2488.79</f>
        <v>2488.79</v>
      </c>
      <c r="L1766" s="16">
        <v>120140060</v>
      </c>
      <c r="M1766" s="16" t="str">
        <f t="shared" si="682"/>
        <v>0120140060</v>
      </c>
      <c r="N1766" s="16" t="str">
        <f t="shared" si="683"/>
        <v>62107010120140060000</v>
      </c>
    </row>
    <row r="1767" spans="1:14" s="16" customFormat="1">
      <c r="B1767" s="14"/>
      <c r="C1767" s="197" t="s">
        <v>937</v>
      </c>
      <c r="D1767" s="198" t="s">
        <v>412</v>
      </c>
      <c r="E1767" s="199" t="s">
        <v>229</v>
      </c>
      <c r="F1767" s="199" t="s">
        <v>11</v>
      </c>
      <c r="G1767" s="199" t="s">
        <v>1154</v>
      </c>
      <c r="H1767" s="199" t="s">
        <v>838</v>
      </c>
      <c r="I1767" s="20">
        <f>I1766</f>
        <v>0</v>
      </c>
      <c r="J1767" s="20">
        <f t="shared" ref="J1767:K1767" si="694">J1766</f>
        <v>0</v>
      </c>
      <c r="K1767" s="20">
        <f t="shared" si="694"/>
        <v>2488.79</v>
      </c>
      <c r="L1767" s="16">
        <v>120140060</v>
      </c>
      <c r="M1767" s="16" t="str">
        <f t="shared" si="682"/>
        <v>0120140060</v>
      </c>
      <c r="N1767" s="16" t="str">
        <f t="shared" si="683"/>
        <v>62107010120140060410</v>
      </c>
    </row>
    <row r="1768" spans="1:14" s="16" customFormat="1" ht="89.25">
      <c r="A1768" s="16" t="s">
        <v>2298</v>
      </c>
      <c r="B1768" s="14"/>
      <c r="C1768" s="197" t="s">
        <v>2277</v>
      </c>
      <c r="D1768" s="198" t="s">
        <v>412</v>
      </c>
      <c r="E1768" s="199" t="s">
        <v>229</v>
      </c>
      <c r="F1768" s="199" t="s">
        <v>11</v>
      </c>
      <c r="G1768" s="199" t="s">
        <v>2278</v>
      </c>
      <c r="H1768" s="199" t="s">
        <v>9</v>
      </c>
      <c r="I1768" s="20">
        <f>I1772</f>
        <v>7865.62</v>
      </c>
      <c r="J1768" s="20">
        <f t="shared" ref="J1768:K1768" si="695">J1772</f>
        <v>75780.5</v>
      </c>
      <c r="K1768" s="20">
        <f t="shared" si="695"/>
        <v>0</v>
      </c>
      <c r="L1768" s="16" t="s">
        <v>2218</v>
      </c>
      <c r="M1768" s="16" t="str">
        <f t="shared" si="682"/>
        <v>01201L1591</v>
      </c>
      <c r="N1768" s="16" t="str">
        <f t="shared" si="683"/>
        <v>621070101201L1591000</v>
      </c>
    </row>
    <row r="1769" spans="1:14" s="16" customFormat="1">
      <c r="B1769" s="14"/>
      <c r="C1769" s="205" t="s">
        <v>1045</v>
      </c>
      <c r="D1769" s="198"/>
      <c r="E1769" s="199"/>
      <c r="F1769" s="199"/>
      <c r="G1769" s="199"/>
      <c r="H1769" s="199"/>
      <c r="I1769" s="20"/>
      <c r="J1769" s="20"/>
      <c r="K1769" s="20"/>
      <c r="M1769" s="16" t="str">
        <f t="shared" si="682"/>
        <v>0000000000</v>
      </c>
      <c r="N1769" s="16" t="str">
        <f t="shared" si="683"/>
        <v>0000000000</v>
      </c>
    </row>
    <row r="1770" spans="1:14" s="16" customFormat="1">
      <c r="A1770" s="16" t="s">
        <v>2298</v>
      </c>
      <c r="B1770" s="14"/>
      <c r="C1770" s="197" t="s">
        <v>1050</v>
      </c>
      <c r="D1770" s="198" t="s">
        <v>412</v>
      </c>
      <c r="E1770" s="199" t="s">
        <v>229</v>
      </c>
      <c r="F1770" s="199" t="s">
        <v>11</v>
      </c>
      <c r="G1770" s="199" t="s">
        <v>2278</v>
      </c>
      <c r="H1770" s="199" t="s">
        <v>9</v>
      </c>
      <c r="I1770" s="20">
        <f>78.66</f>
        <v>78.66</v>
      </c>
      <c r="J1770" s="20">
        <f>1520.17-762.37</f>
        <v>757.80000000000007</v>
      </c>
      <c r="K1770" s="20">
        <v>0</v>
      </c>
      <c r="L1770" s="16" t="s">
        <v>2218</v>
      </c>
      <c r="M1770" s="16" t="str">
        <f t="shared" si="682"/>
        <v>01201L1591</v>
      </c>
      <c r="N1770" s="16" t="str">
        <f t="shared" si="683"/>
        <v>621070101201L1591000</v>
      </c>
    </row>
    <row r="1771" spans="1:14" s="16" customFormat="1">
      <c r="A1771" s="16" t="s">
        <v>2298</v>
      </c>
      <c r="B1771" s="14" t="s">
        <v>80</v>
      </c>
      <c r="C1771" s="197" t="s">
        <v>1051</v>
      </c>
      <c r="D1771" s="198" t="s">
        <v>412</v>
      </c>
      <c r="E1771" s="199" t="s">
        <v>229</v>
      </c>
      <c r="F1771" s="199" t="s">
        <v>11</v>
      </c>
      <c r="G1771" s="199" t="s">
        <v>2278</v>
      </c>
      <c r="H1771" s="199" t="s">
        <v>9</v>
      </c>
      <c r="I1771" s="20">
        <f>7786.96</f>
        <v>7786.96</v>
      </c>
      <c r="J1771" s="20">
        <f>150497-75474.3</f>
        <v>75022.7</v>
      </c>
      <c r="K1771" s="20">
        <v>0</v>
      </c>
      <c r="L1771" s="16" t="s">
        <v>2218</v>
      </c>
      <c r="M1771" s="16" t="str">
        <f t="shared" si="682"/>
        <v>01201L1591</v>
      </c>
      <c r="N1771" s="16" t="str">
        <f t="shared" si="683"/>
        <v>621070101201L1591000</v>
      </c>
    </row>
    <row r="1772" spans="1:14" s="16" customFormat="1">
      <c r="A1772" s="16" t="s">
        <v>2298</v>
      </c>
      <c r="B1772" s="14"/>
      <c r="C1772" s="231" t="s">
        <v>937</v>
      </c>
      <c r="D1772" s="232" t="s">
        <v>412</v>
      </c>
      <c r="E1772" s="233" t="s">
        <v>229</v>
      </c>
      <c r="F1772" s="233" t="s">
        <v>11</v>
      </c>
      <c r="G1772" s="233" t="s">
        <v>2278</v>
      </c>
      <c r="H1772" s="233" t="s">
        <v>838</v>
      </c>
      <c r="I1772" s="235">
        <f>I1770+I1771</f>
        <v>7865.62</v>
      </c>
      <c r="J1772" s="235">
        <f t="shared" ref="J1772:K1772" si="696">J1770+J1771</f>
        <v>75780.5</v>
      </c>
      <c r="K1772" s="235">
        <f t="shared" si="696"/>
        <v>0</v>
      </c>
      <c r="L1772" s="16" t="s">
        <v>2218</v>
      </c>
      <c r="M1772" s="16" t="str">
        <f t="shared" si="682"/>
        <v>01201L1591</v>
      </c>
      <c r="N1772" s="16" t="str">
        <f t="shared" si="683"/>
        <v>621070101201L1591410</v>
      </c>
    </row>
    <row r="1773" spans="1:14" s="16" customFormat="1" ht="89.25">
      <c r="B1773" s="14"/>
      <c r="C1773" s="197" t="s">
        <v>2279</v>
      </c>
      <c r="D1773" s="198" t="s">
        <v>412</v>
      </c>
      <c r="E1773" s="199" t="s">
        <v>229</v>
      </c>
      <c r="F1773" s="199" t="s">
        <v>11</v>
      </c>
      <c r="G1773" s="199" t="s">
        <v>2280</v>
      </c>
      <c r="H1773" s="199" t="s">
        <v>9</v>
      </c>
      <c r="I1773" s="20">
        <f>I1777</f>
        <v>276817.90999999997</v>
      </c>
      <c r="J1773" s="20">
        <f t="shared" ref="J1773:K1773" si="697">J1777</f>
        <v>0</v>
      </c>
      <c r="K1773" s="20">
        <f t="shared" si="697"/>
        <v>0</v>
      </c>
      <c r="L1773" s="16" t="s">
        <v>2219</v>
      </c>
      <c r="M1773" s="16" t="str">
        <f t="shared" si="682"/>
        <v>01201L1592</v>
      </c>
      <c r="N1773" s="16" t="str">
        <f t="shared" si="683"/>
        <v>621070101201L1592000</v>
      </c>
    </row>
    <row r="1774" spans="1:14" s="16" customFormat="1">
      <c r="B1774" s="14"/>
      <c r="C1774" s="205" t="s">
        <v>1045</v>
      </c>
      <c r="D1774" s="198"/>
      <c r="E1774" s="199"/>
      <c r="F1774" s="199"/>
      <c r="G1774" s="199"/>
      <c r="H1774" s="199"/>
      <c r="I1774" s="20"/>
      <c r="J1774" s="20"/>
      <c r="K1774" s="20"/>
      <c r="M1774" s="16" t="str">
        <f t="shared" si="682"/>
        <v>0000000000</v>
      </c>
      <c r="N1774" s="16" t="str">
        <f t="shared" si="683"/>
        <v>0000000000</v>
      </c>
    </row>
    <row r="1775" spans="1:14" s="16" customFormat="1">
      <c r="B1775" s="14"/>
      <c r="C1775" s="197" t="s">
        <v>1050</v>
      </c>
      <c r="D1775" s="198" t="s">
        <v>412</v>
      </c>
      <c r="E1775" s="199" t="s">
        <v>229</v>
      </c>
      <c r="F1775" s="199" t="s">
        <v>11</v>
      </c>
      <c r="G1775" s="199" t="s">
        <v>2280</v>
      </c>
      <c r="H1775" s="199" t="s">
        <v>9</v>
      </c>
      <c r="I1775" s="20">
        <f>2768.18</f>
        <v>2768.18</v>
      </c>
      <c r="J1775" s="20">
        <v>0</v>
      </c>
      <c r="K1775" s="20">
        <v>0</v>
      </c>
      <c r="L1775" s="16" t="s">
        <v>2219</v>
      </c>
      <c r="M1775" s="16" t="str">
        <f t="shared" si="682"/>
        <v>01201L1592</v>
      </c>
      <c r="N1775" s="16" t="str">
        <f t="shared" si="683"/>
        <v>621070101201L1592000</v>
      </c>
    </row>
    <row r="1776" spans="1:14" s="16" customFormat="1">
      <c r="B1776" s="14" t="s">
        <v>80</v>
      </c>
      <c r="C1776" s="197" t="s">
        <v>1051</v>
      </c>
      <c r="D1776" s="198" t="s">
        <v>412</v>
      </c>
      <c r="E1776" s="199" t="s">
        <v>229</v>
      </c>
      <c r="F1776" s="199" t="s">
        <v>11</v>
      </c>
      <c r="G1776" s="199" t="s">
        <v>2280</v>
      </c>
      <c r="H1776" s="199" t="s">
        <v>9</v>
      </c>
      <c r="I1776" s="20">
        <f>274049.73</f>
        <v>274049.73</v>
      </c>
      <c r="J1776" s="20">
        <v>0</v>
      </c>
      <c r="K1776" s="20">
        <v>0</v>
      </c>
      <c r="L1776" s="16" t="s">
        <v>2219</v>
      </c>
      <c r="M1776" s="16" t="str">
        <f t="shared" si="682"/>
        <v>01201L1592</v>
      </c>
      <c r="N1776" s="16" t="str">
        <f t="shared" si="683"/>
        <v>621070101201L1592000</v>
      </c>
    </row>
    <row r="1777" spans="1:14" s="16" customFormat="1">
      <c r="B1777" s="14"/>
      <c r="C1777" s="231" t="s">
        <v>937</v>
      </c>
      <c r="D1777" s="232" t="s">
        <v>412</v>
      </c>
      <c r="E1777" s="233" t="s">
        <v>229</v>
      </c>
      <c r="F1777" s="233" t="s">
        <v>11</v>
      </c>
      <c r="G1777" s="233" t="s">
        <v>2280</v>
      </c>
      <c r="H1777" s="233" t="s">
        <v>838</v>
      </c>
      <c r="I1777" s="235">
        <f>I1775+I1776</f>
        <v>276817.90999999997</v>
      </c>
      <c r="J1777" s="235">
        <f t="shared" ref="J1777:K1777" si="698">J1775+J1776</f>
        <v>0</v>
      </c>
      <c r="K1777" s="235">
        <f t="shared" si="698"/>
        <v>0</v>
      </c>
      <c r="L1777" s="16" t="s">
        <v>2219</v>
      </c>
      <c r="M1777" s="16" t="str">
        <f t="shared" si="682"/>
        <v>01201L1592</v>
      </c>
      <c r="N1777" s="16" t="str">
        <f t="shared" si="683"/>
        <v>621070101201L1592410</v>
      </c>
    </row>
    <row r="1778" spans="1:14" s="16" customFormat="1" ht="89.25">
      <c r="A1778" s="16" t="s">
        <v>2298</v>
      </c>
      <c r="B1778" s="14"/>
      <c r="C1778" s="393" t="s">
        <v>2299</v>
      </c>
      <c r="D1778" s="394" t="s">
        <v>412</v>
      </c>
      <c r="E1778" s="395" t="s">
        <v>229</v>
      </c>
      <c r="F1778" s="395" t="s">
        <v>11</v>
      </c>
      <c r="G1778" s="395" t="s">
        <v>2300</v>
      </c>
      <c r="H1778" s="395" t="s">
        <v>9</v>
      </c>
      <c r="I1778" s="396">
        <f>I1780</f>
        <v>0</v>
      </c>
      <c r="J1778" s="396">
        <f t="shared" ref="J1778:K1778" si="699">J1780</f>
        <v>75474.3</v>
      </c>
      <c r="K1778" s="396">
        <f t="shared" si="699"/>
        <v>0</v>
      </c>
      <c r="L1778" s="16">
        <v>120177471</v>
      </c>
      <c r="M1778" s="16" t="str">
        <f t="shared" si="682"/>
        <v>0120177471</v>
      </c>
      <c r="N1778" s="16" t="str">
        <f t="shared" si="683"/>
        <v>62107010120177471000</v>
      </c>
    </row>
    <row r="1779" spans="1:14" s="16" customFormat="1">
      <c r="B1779" s="14"/>
      <c r="C1779" s="393" t="s">
        <v>1104</v>
      </c>
      <c r="D1779" s="394"/>
      <c r="E1779" s="395"/>
      <c r="F1779" s="395"/>
      <c r="G1779" s="395"/>
      <c r="H1779" s="395"/>
      <c r="I1779" s="396"/>
      <c r="J1779" s="396"/>
      <c r="K1779" s="396"/>
      <c r="M1779" s="16" t="str">
        <f t="shared" si="682"/>
        <v>0000000000</v>
      </c>
      <c r="N1779" s="16" t="str">
        <f t="shared" si="683"/>
        <v>0000000000</v>
      </c>
    </row>
    <row r="1780" spans="1:14" s="16" customFormat="1">
      <c r="A1780" s="16" t="s">
        <v>2298</v>
      </c>
      <c r="B1780" s="14"/>
      <c r="C1780" s="393" t="s">
        <v>937</v>
      </c>
      <c r="D1780" s="394" t="s">
        <v>412</v>
      </c>
      <c r="E1780" s="395" t="s">
        <v>229</v>
      </c>
      <c r="F1780" s="395" t="s">
        <v>11</v>
      </c>
      <c r="G1780" s="395" t="s">
        <v>2301</v>
      </c>
      <c r="H1780" s="395" t="s">
        <v>838</v>
      </c>
      <c r="I1780" s="396">
        <v>0</v>
      </c>
      <c r="J1780" s="396">
        <v>75474.3</v>
      </c>
      <c r="K1780" s="396">
        <v>0</v>
      </c>
      <c r="L1780" s="16">
        <v>120197471</v>
      </c>
      <c r="M1780" s="16" t="str">
        <f t="shared" si="682"/>
        <v>0120197471</v>
      </c>
      <c r="N1780" s="16" t="str">
        <f t="shared" si="683"/>
        <v>62107010120197471410</v>
      </c>
    </row>
    <row r="1781" spans="1:14" s="16" customFormat="1" ht="89.25">
      <c r="A1781" s="16" t="s">
        <v>2298</v>
      </c>
      <c r="B1781" s="14"/>
      <c r="C1781" s="393" t="s">
        <v>2302</v>
      </c>
      <c r="D1781" s="394" t="s">
        <v>412</v>
      </c>
      <c r="E1781" s="395" t="s">
        <v>229</v>
      </c>
      <c r="F1781" s="395" t="s">
        <v>11</v>
      </c>
      <c r="G1781" s="395" t="s">
        <v>2301</v>
      </c>
      <c r="H1781" s="395" t="s">
        <v>9</v>
      </c>
      <c r="I1781" s="396">
        <f>I1783</f>
        <v>0</v>
      </c>
      <c r="J1781" s="396">
        <f t="shared" ref="J1781:K1781" si="700">J1783</f>
        <v>762.37</v>
      </c>
      <c r="K1781" s="396">
        <f t="shared" si="700"/>
        <v>0</v>
      </c>
      <c r="L1781" s="16">
        <v>120197471</v>
      </c>
      <c r="M1781" s="16" t="str">
        <f t="shared" si="682"/>
        <v>0120197471</v>
      </c>
      <c r="N1781" s="16" t="str">
        <f t="shared" si="683"/>
        <v>62107010120197471000</v>
      </c>
    </row>
    <row r="1782" spans="1:14" s="16" customFormat="1">
      <c r="B1782" s="14"/>
      <c r="C1782" s="393" t="s">
        <v>1104</v>
      </c>
      <c r="D1782" s="394"/>
      <c r="E1782" s="395"/>
      <c r="F1782" s="395"/>
      <c r="G1782" s="395"/>
      <c r="H1782" s="395"/>
      <c r="I1782" s="396"/>
      <c r="J1782" s="396"/>
      <c r="K1782" s="396"/>
      <c r="M1782" s="16" t="str">
        <f t="shared" si="682"/>
        <v>0000000000</v>
      </c>
      <c r="N1782" s="16" t="str">
        <f t="shared" si="683"/>
        <v>0000000000</v>
      </c>
    </row>
    <row r="1783" spans="1:14" s="275" customFormat="1">
      <c r="A1783" s="16" t="s">
        <v>2298</v>
      </c>
      <c r="B1783" s="382"/>
      <c r="C1783" s="393" t="s">
        <v>937</v>
      </c>
      <c r="D1783" s="394" t="s">
        <v>412</v>
      </c>
      <c r="E1783" s="395" t="s">
        <v>229</v>
      </c>
      <c r="F1783" s="395" t="s">
        <v>11</v>
      </c>
      <c r="G1783" s="395" t="s">
        <v>2301</v>
      </c>
      <c r="H1783" s="395" t="s">
        <v>838</v>
      </c>
      <c r="I1783" s="396">
        <v>0</v>
      </c>
      <c r="J1783" s="396">
        <v>762.37</v>
      </c>
      <c r="K1783" s="396">
        <v>0</v>
      </c>
      <c r="L1783" s="16">
        <v>120197471</v>
      </c>
      <c r="M1783" s="16" t="str">
        <f t="shared" si="682"/>
        <v>0120197471</v>
      </c>
      <c r="N1783" s="16" t="str">
        <f t="shared" si="683"/>
        <v>62107010120197471410</v>
      </c>
    </row>
    <row r="1784" spans="1:14" s="16" customFormat="1" ht="51">
      <c r="B1784" s="14"/>
      <c r="C1784" s="208" t="s">
        <v>2303</v>
      </c>
      <c r="D1784" s="209" t="s">
        <v>412</v>
      </c>
      <c r="E1784" s="236" t="s">
        <v>229</v>
      </c>
      <c r="F1784" s="236" t="s">
        <v>11</v>
      </c>
      <c r="G1784" s="236" t="s">
        <v>2304</v>
      </c>
      <c r="H1784" s="236" t="s">
        <v>9</v>
      </c>
      <c r="I1784" s="218">
        <f>I1787</f>
        <v>0</v>
      </c>
      <c r="J1784" s="218">
        <f t="shared" ref="J1784:K1784" si="701">J1787</f>
        <v>0</v>
      </c>
      <c r="K1784" s="218">
        <f t="shared" si="701"/>
        <v>0</v>
      </c>
      <c r="L1784" s="16">
        <v>120197472</v>
      </c>
      <c r="M1784" s="16" t="str">
        <f t="shared" si="682"/>
        <v>0120197472</v>
      </c>
      <c r="N1784" s="16" t="str">
        <f t="shared" si="683"/>
        <v>62107010120197472000</v>
      </c>
    </row>
    <row r="1785" spans="1:14" s="16" customFormat="1">
      <c r="B1785" s="14"/>
      <c r="C1785" s="208" t="s">
        <v>1104</v>
      </c>
      <c r="D1785" s="209"/>
      <c r="E1785" s="236"/>
      <c r="F1785" s="236"/>
      <c r="G1785" s="236"/>
      <c r="H1785" s="236"/>
      <c r="I1785" s="218"/>
      <c r="J1785" s="218"/>
      <c r="K1785" s="218"/>
      <c r="M1785" s="16" t="str">
        <f t="shared" si="682"/>
        <v>0000000000</v>
      </c>
      <c r="N1785" s="16" t="str">
        <f t="shared" si="683"/>
        <v>0000000000</v>
      </c>
    </row>
    <row r="1786" spans="1:14" s="16" customFormat="1" ht="38.25">
      <c r="B1786" s="14"/>
      <c r="C1786" s="208" t="s">
        <v>2297</v>
      </c>
      <c r="D1786" s="209" t="s">
        <v>412</v>
      </c>
      <c r="E1786" s="236" t="s">
        <v>229</v>
      </c>
      <c r="F1786" s="236" t="s">
        <v>11</v>
      </c>
      <c r="G1786" s="236" t="s">
        <v>2304</v>
      </c>
      <c r="H1786" s="236" t="s">
        <v>9</v>
      </c>
      <c r="I1786" s="218">
        <f>3500-3500</f>
        <v>0</v>
      </c>
      <c r="J1786" s="218">
        <v>0</v>
      </c>
      <c r="K1786" s="218">
        <v>0</v>
      </c>
      <c r="L1786" s="16">
        <v>120197472</v>
      </c>
      <c r="M1786" s="16" t="str">
        <f t="shared" si="682"/>
        <v>0120197472</v>
      </c>
      <c r="N1786" s="16" t="str">
        <f t="shared" si="683"/>
        <v>62107010120197472000</v>
      </c>
    </row>
    <row r="1787" spans="1:14" s="16" customFormat="1">
      <c r="B1787" s="14"/>
      <c r="C1787" s="208" t="s">
        <v>937</v>
      </c>
      <c r="D1787" s="209" t="s">
        <v>412</v>
      </c>
      <c r="E1787" s="236" t="s">
        <v>229</v>
      </c>
      <c r="F1787" s="236" t="s">
        <v>11</v>
      </c>
      <c r="G1787" s="236" t="s">
        <v>2304</v>
      </c>
      <c r="H1787" s="236" t="s">
        <v>838</v>
      </c>
      <c r="I1787" s="218">
        <f>I1786</f>
        <v>0</v>
      </c>
      <c r="J1787" s="218">
        <f t="shared" ref="J1787:K1787" si="702">J1786</f>
        <v>0</v>
      </c>
      <c r="K1787" s="218">
        <f t="shared" si="702"/>
        <v>0</v>
      </c>
      <c r="L1787" s="16">
        <v>120197472</v>
      </c>
      <c r="M1787" s="16" t="str">
        <f t="shared" si="682"/>
        <v>0120197472</v>
      </c>
      <c r="N1787" s="16" t="str">
        <f t="shared" si="683"/>
        <v>62107010120197472410</v>
      </c>
    </row>
    <row r="1788" spans="1:14" s="16" customFormat="1">
      <c r="B1788" s="14"/>
      <c r="C1788" s="194" t="s">
        <v>438</v>
      </c>
      <c r="D1788" s="195" t="s">
        <v>412</v>
      </c>
      <c r="E1788" s="196" t="s">
        <v>229</v>
      </c>
      <c r="F1788" s="196" t="s">
        <v>62</v>
      </c>
      <c r="G1788" s="196" t="s">
        <v>8</v>
      </c>
      <c r="H1788" s="196" t="s">
        <v>9</v>
      </c>
      <c r="I1788" s="19">
        <f>I1789</f>
        <v>315814.77999999997</v>
      </c>
      <c r="J1788" s="19">
        <f t="shared" ref="J1788:K1788" si="703">J1789</f>
        <v>697651.99</v>
      </c>
      <c r="K1788" s="19">
        <f t="shared" si="703"/>
        <v>15579.71</v>
      </c>
      <c r="L1788" s="16">
        <v>0</v>
      </c>
      <c r="M1788" s="16" t="str">
        <f t="shared" si="682"/>
        <v>0000000000</v>
      </c>
      <c r="N1788" s="16" t="str">
        <f t="shared" si="683"/>
        <v>62107020000000000000</v>
      </c>
    </row>
    <row r="1789" spans="1:14" s="16" customFormat="1" ht="25.5">
      <c r="B1789" s="14"/>
      <c r="C1789" s="205" t="s">
        <v>396</v>
      </c>
      <c r="D1789" s="198" t="s">
        <v>412</v>
      </c>
      <c r="E1789" s="199" t="s">
        <v>229</v>
      </c>
      <c r="F1789" s="199" t="s">
        <v>62</v>
      </c>
      <c r="G1789" s="199" t="s">
        <v>397</v>
      </c>
      <c r="H1789" s="199" t="s">
        <v>9</v>
      </c>
      <c r="I1789" s="20">
        <f t="shared" ref="I1789:K1790" si="704">I1790</f>
        <v>315814.77999999997</v>
      </c>
      <c r="J1789" s="20">
        <f t="shared" si="704"/>
        <v>697651.99</v>
      </c>
      <c r="K1789" s="20">
        <f t="shared" si="704"/>
        <v>15579.71</v>
      </c>
      <c r="L1789" s="16">
        <v>100000000</v>
      </c>
      <c r="M1789" s="16" t="str">
        <f t="shared" si="682"/>
        <v>0100000000</v>
      </c>
      <c r="N1789" s="16" t="str">
        <f t="shared" si="683"/>
        <v>62107020100000000000</v>
      </c>
    </row>
    <row r="1790" spans="1:14" s="16" customFormat="1" ht="25.5">
      <c r="B1790" s="14"/>
      <c r="C1790" s="197" t="s">
        <v>444</v>
      </c>
      <c r="D1790" s="198" t="s">
        <v>412</v>
      </c>
      <c r="E1790" s="199" t="s">
        <v>229</v>
      </c>
      <c r="F1790" s="199" t="s">
        <v>62</v>
      </c>
      <c r="G1790" s="199" t="s">
        <v>445</v>
      </c>
      <c r="H1790" s="199" t="s">
        <v>9</v>
      </c>
      <c r="I1790" s="20">
        <f>I1791</f>
        <v>315814.77999999997</v>
      </c>
      <c r="J1790" s="20">
        <f t="shared" si="704"/>
        <v>697651.99</v>
      </c>
      <c r="K1790" s="20">
        <f t="shared" si="704"/>
        <v>15579.71</v>
      </c>
      <c r="L1790" s="16">
        <v>120000000</v>
      </c>
      <c r="M1790" s="16" t="str">
        <f t="shared" si="682"/>
        <v>0120000000</v>
      </c>
      <c r="N1790" s="16" t="str">
        <f t="shared" si="683"/>
        <v>62107020120000000000</v>
      </c>
    </row>
    <row r="1791" spans="1:14" s="16" customFormat="1" ht="38.25">
      <c r="B1791" s="14"/>
      <c r="C1791" s="197" t="s">
        <v>936</v>
      </c>
      <c r="D1791" s="198" t="s">
        <v>412</v>
      </c>
      <c r="E1791" s="199" t="s">
        <v>229</v>
      </c>
      <c r="F1791" s="199" t="s">
        <v>62</v>
      </c>
      <c r="G1791" s="199" t="s">
        <v>447</v>
      </c>
      <c r="H1791" s="199" t="s">
        <v>9</v>
      </c>
      <c r="I1791" s="20">
        <f>I1792+I1806+I1798</f>
        <v>315814.77999999997</v>
      </c>
      <c r="J1791" s="20">
        <f t="shared" ref="J1791:K1791" si="705">J1792+J1806+J1798</f>
        <v>697651.99</v>
      </c>
      <c r="K1791" s="20">
        <f t="shared" si="705"/>
        <v>15579.71</v>
      </c>
      <c r="L1791" s="16">
        <v>120100000</v>
      </c>
      <c r="M1791" s="16" t="str">
        <f t="shared" si="682"/>
        <v>0120100000</v>
      </c>
      <c r="N1791" s="16" t="str">
        <f t="shared" si="683"/>
        <v>62107020120100000000</v>
      </c>
    </row>
    <row r="1792" spans="1:14" s="16" customFormat="1" ht="38.25">
      <c r="B1792" s="14"/>
      <c r="C1792" s="197" t="s">
        <v>448</v>
      </c>
      <c r="D1792" s="198" t="s">
        <v>412</v>
      </c>
      <c r="E1792" s="199" t="s">
        <v>229</v>
      </c>
      <c r="F1792" s="199" t="s">
        <v>62</v>
      </c>
      <c r="G1792" s="199" t="s">
        <v>449</v>
      </c>
      <c r="H1792" s="199" t="s">
        <v>9</v>
      </c>
      <c r="I1792" s="20">
        <f>I1797</f>
        <v>16.25</v>
      </c>
      <c r="J1792" s="20">
        <f>J1797</f>
        <v>0</v>
      </c>
      <c r="K1792" s="20">
        <f>K1797</f>
        <v>15579.71</v>
      </c>
      <c r="L1792" s="16">
        <v>120140010</v>
      </c>
      <c r="M1792" s="16" t="str">
        <f t="shared" si="682"/>
        <v>0120140010</v>
      </c>
      <c r="N1792" s="16" t="str">
        <f t="shared" si="683"/>
        <v>62107020120140010000</v>
      </c>
    </row>
    <row r="1793" spans="2:14" s="16" customFormat="1">
      <c r="B1793" s="14"/>
      <c r="C1793" s="197" t="s">
        <v>1104</v>
      </c>
      <c r="D1793" s="198"/>
      <c r="E1793" s="199"/>
      <c r="F1793" s="199"/>
      <c r="G1793" s="199"/>
      <c r="H1793" s="199"/>
      <c r="I1793" s="20"/>
      <c r="J1793" s="20"/>
      <c r="K1793" s="20"/>
      <c r="M1793" s="16" t="str">
        <f t="shared" si="682"/>
        <v>0000000000</v>
      </c>
      <c r="N1793" s="16" t="str">
        <f t="shared" si="683"/>
        <v>0000000000</v>
      </c>
    </row>
    <row r="1794" spans="2:14" s="16" customFormat="1" ht="38.25">
      <c r="B1794" s="14"/>
      <c r="C1794" s="197" t="s">
        <v>1155</v>
      </c>
      <c r="D1794" s="198" t="s">
        <v>412</v>
      </c>
      <c r="E1794" s="199" t="s">
        <v>229</v>
      </c>
      <c r="F1794" s="199" t="s">
        <v>62</v>
      </c>
      <c r="G1794" s="199" t="s">
        <v>449</v>
      </c>
      <c r="H1794" s="199" t="s">
        <v>9</v>
      </c>
      <c r="I1794" s="20">
        <f>13358.85-4900-72-3000-5386.85</f>
        <v>0</v>
      </c>
      <c r="J1794" s="20">
        <f>7613.02-7613.02</f>
        <v>0</v>
      </c>
      <c r="K1794" s="20">
        <v>0</v>
      </c>
      <c r="L1794" s="16">
        <v>120140010</v>
      </c>
      <c r="M1794" s="16" t="str">
        <f t="shared" si="682"/>
        <v>0120140010</v>
      </c>
      <c r="N1794" s="16" t="str">
        <f t="shared" si="683"/>
        <v>62107020120140010000</v>
      </c>
    </row>
    <row r="1795" spans="2:14" s="16" customFormat="1" ht="51">
      <c r="B1795" s="14"/>
      <c r="C1795" s="197" t="s">
        <v>1156</v>
      </c>
      <c r="D1795" s="198" t="s">
        <v>412</v>
      </c>
      <c r="E1795" s="199" t="s">
        <v>229</v>
      </c>
      <c r="F1795" s="199" t="s">
        <v>62</v>
      </c>
      <c r="G1795" s="199" t="s">
        <v>449</v>
      </c>
      <c r="H1795" s="199" t="s">
        <v>9</v>
      </c>
      <c r="I1795" s="20">
        <v>0</v>
      </c>
      <c r="J1795" s="20">
        <v>0</v>
      </c>
      <c r="K1795" s="20">
        <f>6332.56+9247.15</f>
        <v>15579.71</v>
      </c>
      <c r="L1795" s="16">
        <v>120140010</v>
      </c>
      <c r="M1795" s="16" t="str">
        <f t="shared" si="682"/>
        <v>0120140010</v>
      </c>
      <c r="N1795" s="16" t="str">
        <f t="shared" si="683"/>
        <v>62107020120140010000</v>
      </c>
    </row>
    <row r="1796" spans="2:14" s="16" customFormat="1" ht="63.75">
      <c r="B1796" s="14"/>
      <c r="C1796" s="228" t="s">
        <v>1157</v>
      </c>
      <c r="D1796" s="222" t="s">
        <v>412</v>
      </c>
      <c r="E1796" s="223" t="s">
        <v>229</v>
      </c>
      <c r="F1796" s="223" t="s">
        <v>62</v>
      </c>
      <c r="G1796" s="223" t="s">
        <v>449</v>
      </c>
      <c r="H1796" s="223" t="s">
        <v>9</v>
      </c>
      <c r="I1796" s="224">
        <f>25.31-9.06</f>
        <v>16.25</v>
      </c>
      <c r="J1796" s="224">
        <v>0</v>
      </c>
      <c r="K1796" s="224">
        <v>0</v>
      </c>
      <c r="L1796" s="16">
        <v>120140010</v>
      </c>
      <c r="M1796" s="16" t="str">
        <f t="shared" si="682"/>
        <v>0120140010</v>
      </c>
      <c r="N1796" s="16" t="str">
        <f t="shared" si="683"/>
        <v>62107020120140010000</v>
      </c>
    </row>
    <row r="1797" spans="2:14" s="16" customFormat="1">
      <c r="B1797" s="14"/>
      <c r="C1797" s="231" t="s">
        <v>937</v>
      </c>
      <c r="D1797" s="232" t="s">
        <v>412</v>
      </c>
      <c r="E1797" s="233" t="s">
        <v>229</v>
      </c>
      <c r="F1797" s="233" t="s">
        <v>62</v>
      </c>
      <c r="G1797" s="233" t="s">
        <v>449</v>
      </c>
      <c r="H1797" s="233" t="s">
        <v>838</v>
      </c>
      <c r="I1797" s="235">
        <f>SUM(I1794:I1796)</f>
        <v>16.25</v>
      </c>
      <c r="J1797" s="235">
        <f t="shared" ref="J1797:K1797" si="706">SUM(J1794:J1796)</f>
        <v>0</v>
      </c>
      <c r="K1797" s="235">
        <f t="shared" si="706"/>
        <v>15579.71</v>
      </c>
      <c r="L1797" s="16">
        <v>120140010</v>
      </c>
      <c r="M1797" s="16" t="str">
        <f t="shared" si="682"/>
        <v>0120140010</v>
      </c>
      <c r="N1797" s="16" t="str">
        <f t="shared" si="683"/>
        <v>62107020120140010410</v>
      </c>
    </row>
    <row r="1798" spans="2:14" s="16" customFormat="1" ht="25.5">
      <c r="B1798" s="14"/>
      <c r="C1798" s="197" t="s">
        <v>1364</v>
      </c>
      <c r="D1798" s="198" t="s">
        <v>412</v>
      </c>
      <c r="E1798" s="199" t="s">
        <v>229</v>
      </c>
      <c r="F1798" s="199" t="s">
        <v>62</v>
      </c>
      <c r="G1798" s="199" t="s">
        <v>1365</v>
      </c>
      <c r="H1798" s="199" t="s">
        <v>9</v>
      </c>
      <c r="I1798" s="20">
        <f>I1805</f>
        <v>315789.46999999997</v>
      </c>
      <c r="J1798" s="20">
        <f t="shared" ref="J1798:K1798" si="707">J1805</f>
        <v>697651.99</v>
      </c>
      <c r="K1798" s="20">
        <f t="shared" si="707"/>
        <v>0</v>
      </c>
      <c r="L1798" s="16" t="s">
        <v>2220</v>
      </c>
      <c r="M1798" s="16" t="str">
        <f t="shared" ref="M1798:M1861" si="708">TEXT(L1798,"0000000000")</f>
        <v>01201L5200</v>
      </c>
      <c r="N1798" s="16" t="str">
        <f t="shared" ref="N1798:N1861" si="709">D1798&amp;E1798&amp;F1798&amp;M1798&amp;H1798</f>
        <v>621070201201L5200000</v>
      </c>
    </row>
    <row r="1799" spans="2:14" s="16" customFormat="1">
      <c r="B1799" s="14"/>
      <c r="C1799" s="197" t="s">
        <v>1104</v>
      </c>
      <c r="D1799" s="198"/>
      <c r="E1799" s="199"/>
      <c r="F1799" s="199"/>
      <c r="G1799" s="199"/>
      <c r="H1799" s="199"/>
      <c r="I1799" s="20"/>
      <c r="J1799" s="20"/>
      <c r="K1799" s="20"/>
      <c r="M1799" s="16" t="str">
        <f t="shared" si="708"/>
        <v>0000000000</v>
      </c>
      <c r="N1799" s="16" t="str">
        <f t="shared" si="709"/>
        <v>0000000000</v>
      </c>
    </row>
    <row r="1800" spans="2:14" s="16" customFormat="1" ht="38.25">
      <c r="B1800" s="14"/>
      <c r="C1800" s="197" t="s">
        <v>1155</v>
      </c>
      <c r="D1800" s="198" t="s">
        <v>412</v>
      </c>
      <c r="E1800" s="199" t="s">
        <v>229</v>
      </c>
      <c r="F1800" s="199" t="s">
        <v>62</v>
      </c>
      <c r="G1800" s="199" t="s">
        <v>1365</v>
      </c>
      <c r="H1800" s="199" t="s">
        <v>9</v>
      </c>
      <c r="I1800" s="20">
        <f>I1805</f>
        <v>315789.46999999997</v>
      </c>
      <c r="J1800" s="20">
        <f t="shared" ref="J1800:K1800" si="710">J1805</f>
        <v>697651.99</v>
      </c>
      <c r="K1800" s="20">
        <f t="shared" si="710"/>
        <v>0</v>
      </c>
      <c r="L1800" s="16" t="s">
        <v>2220</v>
      </c>
      <c r="M1800" s="16" t="str">
        <f t="shared" si="708"/>
        <v>01201L5200</v>
      </c>
      <c r="N1800" s="16" t="str">
        <f t="shared" si="709"/>
        <v>621070201201L5200000</v>
      </c>
    </row>
    <row r="1801" spans="2:14" s="16" customFormat="1">
      <c r="B1801" s="14"/>
      <c r="C1801" s="197" t="s">
        <v>1045</v>
      </c>
      <c r="D1801" s="198"/>
      <c r="E1801" s="199"/>
      <c r="F1801" s="199"/>
      <c r="G1801" s="199"/>
      <c r="H1801" s="199"/>
      <c r="I1801" s="20"/>
      <c r="J1801" s="20"/>
      <c r="K1801" s="20"/>
      <c r="M1801" s="16" t="str">
        <f t="shared" si="708"/>
        <v>0000000000</v>
      </c>
      <c r="N1801" s="16" t="str">
        <f t="shared" si="709"/>
        <v>0000000000</v>
      </c>
    </row>
    <row r="1802" spans="2:14" s="16" customFormat="1">
      <c r="B1802" s="14"/>
      <c r="C1802" s="197" t="s">
        <v>1050</v>
      </c>
      <c r="D1802" s="198" t="s">
        <v>412</v>
      </c>
      <c r="E1802" s="199" t="s">
        <v>229</v>
      </c>
      <c r="F1802" s="199" t="s">
        <v>62</v>
      </c>
      <c r="G1802" s="199" t="s">
        <v>1365</v>
      </c>
      <c r="H1802" s="199" t="s">
        <v>9</v>
      </c>
      <c r="I1802" s="20">
        <f>5386.85+7613.02+244929.68</f>
        <v>257929.55</v>
      </c>
      <c r="J1802" s="20">
        <f>697651.99</f>
        <v>697651.99</v>
      </c>
      <c r="K1802" s="20">
        <v>0</v>
      </c>
      <c r="L1802" s="16" t="s">
        <v>2220</v>
      </c>
      <c r="M1802" s="16" t="str">
        <f t="shared" si="708"/>
        <v>01201L5200</v>
      </c>
      <c r="N1802" s="16" t="str">
        <f t="shared" si="709"/>
        <v>621070201201L5200000</v>
      </c>
    </row>
    <row r="1803" spans="2:14" s="16" customFormat="1">
      <c r="B1803" s="14" t="s">
        <v>80</v>
      </c>
      <c r="C1803" s="197" t="s">
        <v>1051</v>
      </c>
      <c r="D1803" s="198" t="s">
        <v>412</v>
      </c>
      <c r="E1803" s="199" t="s">
        <v>229</v>
      </c>
      <c r="F1803" s="199" t="s">
        <v>62</v>
      </c>
      <c r="G1803" s="199" t="s">
        <v>1365</v>
      </c>
      <c r="H1803" s="199" t="s">
        <v>9</v>
      </c>
      <c r="I1803" s="20">
        <f>318118.34-260258.42</f>
        <v>57859.920000000013</v>
      </c>
      <c r="J1803" s="20">
        <v>0</v>
      </c>
      <c r="K1803" s="20">
        <v>0</v>
      </c>
      <c r="L1803" s="16" t="s">
        <v>2220</v>
      </c>
      <c r="M1803" s="16" t="str">
        <f t="shared" si="708"/>
        <v>01201L5200</v>
      </c>
      <c r="N1803" s="16" t="str">
        <f t="shared" si="709"/>
        <v>621070201201L5200000</v>
      </c>
    </row>
    <row r="1804" spans="2:14" s="212" customFormat="1">
      <c r="B1804" s="397" t="s">
        <v>91</v>
      </c>
      <c r="C1804" s="208" t="s">
        <v>1366</v>
      </c>
      <c r="D1804" s="209" t="s">
        <v>412</v>
      </c>
      <c r="E1804" s="236" t="s">
        <v>229</v>
      </c>
      <c r="F1804" s="236" t="s">
        <v>62</v>
      </c>
      <c r="G1804" s="236" t="s">
        <v>1365</v>
      </c>
      <c r="H1804" s="236" t="s">
        <v>9</v>
      </c>
      <c r="I1804" s="218">
        <f>604771.69-604771.69</f>
        <v>0</v>
      </c>
      <c r="J1804" s="218">
        <v>0</v>
      </c>
      <c r="K1804" s="218">
        <v>0</v>
      </c>
      <c r="L1804" s="212" t="s">
        <v>2220</v>
      </c>
      <c r="M1804" s="16" t="str">
        <f t="shared" si="708"/>
        <v>01201L5200</v>
      </c>
      <c r="N1804" s="16" t="str">
        <f t="shared" si="709"/>
        <v>621070201201L5200000</v>
      </c>
    </row>
    <row r="1805" spans="2:14" s="16" customFormat="1">
      <c r="B1805" s="14"/>
      <c r="C1805" s="231" t="s">
        <v>937</v>
      </c>
      <c r="D1805" s="232" t="s">
        <v>412</v>
      </c>
      <c r="E1805" s="233" t="s">
        <v>229</v>
      </c>
      <c r="F1805" s="233" t="s">
        <v>62</v>
      </c>
      <c r="G1805" s="233" t="s">
        <v>1365</v>
      </c>
      <c r="H1805" s="233" t="s">
        <v>838</v>
      </c>
      <c r="I1805" s="235">
        <f>SUM(I1802:I1804)</f>
        <v>315789.46999999997</v>
      </c>
      <c r="J1805" s="235">
        <f t="shared" ref="J1805:K1805" si="711">SUM(J1802:J1804)</f>
        <v>697651.99</v>
      </c>
      <c r="K1805" s="235">
        <f t="shared" si="711"/>
        <v>0</v>
      </c>
      <c r="L1805" s="16" t="s">
        <v>2220</v>
      </c>
      <c r="M1805" s="16" t="str">
        <f t="shared" si="708"/>
        <v>01201L5200</v>
      </c>
      <c r="N1805" s="16" t="str">
        <f t="shared" si="709"/>
        <v>621070201201L5200410</v>
      </c>
    </row>
    <row r="1806" spans="2:14" s="16" customFormat="1" ht="38.25">
      <c r="B1806" s="14"/>
      <c r="C1806" s="197" t="s">
        <v>1077</v>
      </c>
      <c r="D1806" s="198" t="s">
        <v>412</v>
      </c>
      <c r="E1806" s="199" t="s">
        <v>229</v>
      </c>
      <c r="F1806" s="199" t="s">
        <v>62</v>
      </c>
      <c r="G1806" s="199" t="s">
        <v>1078</v>
      </c>
      <c r="H1806" s="199" t="s">
        <v>9</v>
      </c>
      <c r="I1806" s="20">
        <f>I1809</f>
        <v>9.06</v>
      </c>
      <c r="J1806" s="20">
        <f t="shared" ref="J1806:K1806" si="712">J1809</f>
        <v>0</v>
      </c>
      <c r="K1806" s="20">
        <f t="shared" si="712"/>
        <v>0</v>
      </c>
      <c r="L1806" s="16" t="s">
        <v>1258</v>
      </c>
      <c r="M1806" s="16" t="str">
        <f t="shared" si="708"/>
        <v>01201R5200</v>
      </c>
      <c r="N1806" s="16" t="str">
        <f t="shared" si="709"/>
        <v>621070201201R5200000</v>
      </c>
    </row>
    <row r="1807" spans="2:14" s="16" customFormat="1">
      <c r="B1807" s="14"/>
      <c r="C1807" s="197" t="s">
        <v>1104</v>
      </c>
      <c r="D1807" s="198"/>
      <c r="E1807" s="199"/>
      <c r="F1807" s="199"/>
      <c r="G1807" s="199"/>
      <c r="H1807" s="199"/>
      <c r="I1807" s="20"/>
      <c r="J1807" s="20"/>
      <c r="K1807" s="20"/>
      <c r="M1807" s="16" t="str">
        <f t="shared" si="708"/>
        <v>0000000000</v>
      </c>
      <c r="N1807" s="16" t="str">
        <f t="shared" si="709"/>
        <v>0000000000</v>
      </c>
    </row>
    <row r="1808" spans="2:14" s="399" customFormat="1" ht="63.75">
      <c r="B1808" s="398" t="s">
        <v>2282</v>
      </c>
      <c r="C1808" s="342" t="s">
        <v>1367</v>
      </c>
      <c r="D1808" s="322" t="s">
        <v>412</v>
      </c>
      <c r="E1808" s="319" t="s">
        <v>229</v>
      </c>
      <c r="F1808" s="319" t="s">
        <v>62</v>
      </c>
      <c r="G1808" s="319" t="s">
        <v>1078</v>
      </c>
      <c r="H1808" s="319" t="s">
        <v>9</v>
      </c>
      <c r="I1808" s="320">
        <f>9.06</f>
        <v>9.06</v>
      </c>
      <c r="J1808" s="320">
        <v>0</v>
      </c>
      <c r="K1808" s="320">
        <v>0</v>
      </c>
      <c r="L1808" s="399" t="s">
        <v>1258</v>
      </c>
      <c r="M1808" s="16" t="str">
        <f t="shared" si="708"/>
        <v>01201R5200</v>
      </c>
      <c r="N1808" s="16" t="str">
        <f t="shared" si="709"/>
        <v>621070201201R5200000</v>
      </c>
    </row>
    <row r="1809" spans="2:14" s="16" customFormat="1">
      <c r="B1809" s="14"/>
      <c r="C1809" s="231" t="s">
        <v>937</v>
      </c>
      <c r="D1809" s="232" t="s">
        <v>412</v>
      </c>
      <c r="E1809" s="233" t="s">
        <v>229</v>
      </c>
      <c r="F1809" s="233" t="s">
        <v>62</v>
      </c>
      <c r="G1809" s="233" t="s">
        <v>1078</v>
      </c>
      <c r="H1809" s="233" t="s">
        <v>838</v>
      </c>
      <c r="I1809" s="235">
        <f>SUM(I1808:I1808)</f>
        <v>9.06</v>
      </c>
      <c r="J1809" s="235">
        <f>SUM(J1808:J1808)</f>
        <v>0</v>
      </c>
      <c r="K1809" s="235">
        <f>SUM(K1808:K1808)</f>
        <v>0</v>
      </c>
      <c r="L1809" s="16" t="s">
        <v>1258</v>
      </c>
      <c r="M1809" s="16" t="str">
        <f t="shared" si="708"/>
        <v>01201R5200</v>
      </c>
      <c r="N1809" s="16" t="str">
        <f t="shared" si="709"/>
        <v>621070201201R5200410</v>
      </c>
    </row>
    <row r="1810" spans="2:14" s="16" customFormat="1">
      <c r="B1810" s="14"/>
      <c r="C1810" s="191" t="s">
        <v>569</v>
      </c>
      <c r="D1810" s="192" t="s">
        <v>412</v>
      </c>
      <c r="E1810" s="193" t="s">
        <v>238</v>
      </c>
      <c r="F1810" s="193" t="s">
        <v>7</v>
      </c>
      <c r="G1810" s="193" t="s">
        <v>8</v>
      </c>
      <c r="H1810" s="193" t="s">
        <v>9</v>
      </c>
      <c r="I1810" s="18">
        <f t="shared" ref="I1810:K1811" si="713">I1811</f>
        <v>3206.53</v>
      </c>
      <c r="J1810" s="18">
        <f t="shared" si="713"/>
        <v>800</v>
      </c>
      <c r="K1810" s="18">
        <f t="shared" si="713"/>
        <v>800</v>
      </c>
      <c r="L1810" s="16">
        <v>0</v>
      </c>
      <c r="M1810" s="16" t="str">
        <f t="shared" si="708"/>
        <v>0000000000</v>
      </c>
      <c r="N1810" s="16" t="str">
        <f t="shared" si="709"/>
        <v>62108000000000000000</v>
      </c>
    </row>
    <row r="1811" spans="2:14" s="16" customFormat="1">
      <c r="B1811" s="14"/>
      <c r="C1811" s="194" t="s">
        <v>239</v>
      </c>
      <c r="D1811" s="195" t="s">
        <v>412</v>
      </c>
      <c r="E1811" s="196" t="s">
        <v>238</v>
      </c>
      <c r="F1811" s="196" t="s">
        <v>11</v>
      </c>
      <c r="G1811" s="196" t="s">
        <v>8</v>
      </c>
      <c r="H1811" s="196" t="s">
        <v>9</v>
      </c>
      <c r="I1811" s="19">
        <f>I1812</f>
        <v>3206.53</v>
      </c>
      <c r="J1811" s="19">
        <f t="shared" si="713"/>
        <v>800</v>
      </c>
      <c r="K1811" s="19">
        <f t="shared" si="713"/>
        <v>800</v>
      </c>
      <c r="L1811" s="16">
        <v>0</v>
      </c>
      <c r="M1811" s="16" t="str">
        <f t="shared" si="708"/>
        <v>0000000000</v>
      </c>
      <c r="N1811" s="16" t="str">
        <f t="shared" si="709"/>
        <v>62108010000000000000</v>
      </c>
    </row>
    <row r="1812" spans="2:14" s="16" customFormat="1">
      <c r="B1812" s="14"/>
      <c r="C1812" s="197" t="s">
        <v>240</v>
      </c>
      <c r="D1812" s="198" t="s">
        <v>412</v>
      </c>
      <c r="E1812" s="199" t="s">
        <v>238</v>
      </c>
      <c r="F1812" s="199" t="s">
        <v>11</v>
      </c>
      <c r="G1812" s="204" t="s">
        <v>241</v>
      </c>
      <c r="H1812" s="199" t="s">
        <v>9</v>
      </c>
      <c r="I1812" s="20">
        <f>I1813+I1817</f>
        <v>3206.53</v>
      </c>
      <c r="J1812" s="20">
        <f t="shared" ref="J1812:K1812" si="714">J1813+J1817</f>
        <v>800</v>
      </c>
      <c r="K1812" s="20">
        <f t="shared" si="714"/>
        <v>800</v>
      </c>
      <c r="L1812" s="16">
        <v>700000000</v>
      </c>
      <c r="M1812" s="16" t="str">
        <f t="shared" si="708"/>
        <v>0700000000</v>
      </c>
      <c r="N1812" s="16" t="str">
        <f t="shared" si="709"/>
        <v>62108010700000000000</v>
      </c>
    </row>
    <row r="1813" spans="2:14" s="16" customFormat="1" ht="51">
      <c r="B1813" s="14"/>
      <c r="C1813" s="197" t="s">
        <v>384</v>
      </c>
      <c r="D1813" s="198" t="s">
        <v>412</v>
      </c>
      <c r="E1813" s="199" t="s">
        <v>238</v>
      </c>
      <c r="F1813" s="199" t="s">
        <v>11</v>
      </c>
      <c r="G1813" s="204" t="s">
        <v>243</v>
      </c>
      <c r="H1813" s="199" t="s">
        <v>9</v>
      </c>
      <c r="I1813" s="20">
        <f t="shared" ref="I1813:K1815" si="715">I1814</f>
        <v>3112</v>
      </c>
      <c r="J1813" s="20">
        <f t="shared" si="715"/>
        <v>800</v>
      </c>
      <c r="K1813" s="20">
        <f t="shared" si="715"/>
        <v>800</v>
      </c>
      <c r="L1813" s="16">
        <v>710000000</v>
      </c>
      <c r="M1813" s="16" t="str">
        <f t="shared" si="708"/>
        <v>0710000000</v>
      </c>
      <c r="N1813" s="16" t="str">
        <f t="shared" si="709"/>
        <v>62108010710000000000</v>
      </c>
    </row>
    <row r="1814" spans="2:14" s="16" customFormat="1" ht="63.75">
      <c r="B1814" s="14"/>
      <c r="C1814" s="197" t="s">
        <v>244</v>
      </c>
      <c r="D1814" s="198" t="s">
        <v>412</v>
      </c>
      <c r="E1814" s="199" t="s">
        <v>238</v>
      </c>
      <c r="F1814" s="199" t="s">
        <v>11</v>
      </c>
      <c r="G1814" s="204" t="s">
        <v>245</v>
      </c>
      <c r="H1814" s="199" t="s">
        <v>9</v>
      </c>
      <c r="I1814" s="20">
        <f t="shared" si="715"/>
        <v>3112</v>
      </c>
      <c r="J1814" s="20">
        <f t="shared" si="715"/>
        <v>800</v>
      </c>
      <c r="K1814" s="20">
        <f t="shared" si="715"/>
        <v>800</v>
      </c>
      <c r="L1814" s="16">
        <v>710100000</v>
      </c>
      <c r="M1814" s="16" t="str">
        <f t="shared" si="708"/>
        <v>0710100000</v>
      </c>
      <c r="N1814" s="16" t="str">
        <f t="shared" si="709"/>
        <v>62108010710100000000</v>
      </c>
    </row>
    <row r="1815" spans="2:14" s="16" customFormat="1" ht="25.5">
      <c r="B1815" s="14"/>
      <c r="C1815" s="197" t="s">
        <v>246</v>
      </c>
      <c r="D1815" s="198" t="s">
        <v>412</v>
      </c>
      <c r="E1815" s="199" t="s">
        <v>238</v>
      </c>
      <c r="F1815" s="199" t="s">
        <v>11</v>
      </c>
      <c r="G1815" s="204" t="s">
        <v>247</v>
      </c>
      <c r="H1815" s="199" t="s">
        <v>9</v>
      </c>
      <c r="I1815" s="20">
        <f t="shared" si="715"/>
        <v>3112</v>
      </c>
      <c r="J1815" s="20">
        <f t="shared" si="715"/>
        <v>800</v>
      </c>
      <c r="K1815" s="20">
        <f t="shared" si="715"/>
        <v>800</v>
      </c>
      <c r="L1815" s="16">
        <v>710120060</v>
      </c>
      <c r="M1815" s="16" t="str">
        <f t="shared" si="708"/>
        <v>0710120060</v>
      </c>
      <c r="N1815" s="16" t="str">
        <f t="shared" si="709"/>
        <v>62108010710120060000</v>
      </c>
    </row>
    <row r="1816" spans="2:14" s="16" customFormat="1" ht="25.5">
      <c r="B1816" s="14"/>
      <c r="C1816" s="200" t="s">
        <v>28</v>
      </c>
      <c r="D1816" s="198" t="s">
        <v>412</v>
      </c>
      <c r="E1816" s="199" t="s">
        <v>238</v>
      </c>
      <c r="F1816" s="199" t="s">
        <v>11</v>
      </c>
      <c r="G1816" s="204" t="s">
        <v>247</v>
      </c>
      <c r="H1816" s="199" t="s">
        <v>29</v>
      </c>
      <c r="I1816" s="20">
        <f>720+80+2312</f>
        <v>3112</v>
      </c>
      <c r="J1816" s="20">
        <f>720+80</f>
        <v>800</v>
      </c>
      <c r="K1816" s="20">
        <f>720+80</f>
        <v>800</v>
      </c>
      <c r="L1816" s="16">
        <v>710120060</v>
      </c>
      <c r="M1816" s="16" t="str">
        <f t="shared" si="708"/>
        <v>0710120060</v>
      </c>
      <c r="N1816" s="16" t="str">
        <f t="shared" si="709"/>
        <v>62108010710120060240</v>
      </c>
    </row>
    <row r="1817" spans="2:14" s="16" customFormat="1">
      <c r="B1817" s="14"/>
      <c r="C1817" s="200" t="s">
        <v>519</v>
      </c>
      <c r="D1817" s="198" t="s">
        <v>412</v>
      </c>
      <c r="E1817" s="199" t="s">
        <v>238</v>
      </c>
      <c r="F1817" s="199" t="s">
        <v>11</v>
      </c>
      <c r="G1817" s="204" t="s">
        <v>520</v>
      </c>
      <c r="H1817" s="199" t="s">
        <v>9</v>
      </c>
      <c r="I1817" s="20">
        <f>I1818</f>
        <v>94.53</v>
      </c>
      <c r="J1817" s="20">
        <f t="shared" ref="J1817:K1818" si="716">J1818</f>
        <v>0</v>
      </c>
      <c r="K1817" s="20">
        <f t="shared" si="716"/>
        <v>0</v>
      </c>
      <c r="L1817" s="16">
        <v>720000000</v>
      </c>
      <c r="M1817" s="16" t="str">
        <f t="shared" si="708"/>
        <v>0720000000</v>
      </c>
      <c r="N1817" s="16" t="str">
        <f t="shared" si="709"/>
        <v>62108010720000000000</v>
      </c>
    </row>
    <row r="1818" spans="2:14" s="16" customFormat="1" ht="38.25">
      <c r="B1818" s="14"/>
      <c r="C1818" s="197" t="s">
        <v>1259</v>
      </c>
      <c r="D1818" s="198" t="s">
        <v>412</v>
      </c>
      <c r="E1818" s="199" t="s">
        <v>238</v>
      </c>
      <c r="F1818" s="199" t="s">
        <v>11</v>
      </c>
      <c r="G1818" s="204" t="s">
        <v>1260</v>
      </c>
      <c r="H1818" s="199" t="s">
        <v>9</v>
      </c>
      <c r="I1818" s="20">
        <f>I1819</f>
        <v>94.53</v>
      </c>
      <c r="J1818" s="20">
        <f t="shared" si="716"/>
        <v>0</v>
      </c>
      <c r="K1818" s="20">
        <f t="shared" si="716"/>
        <v>0</v>
      </c>
      <c r="L1818" s="16">
        <v>721300000</v>
      </c>
      <c r="M1818" s="16" t="str">
        <f t="shared" si="708"/>
        <v>0721300000</v>
      </c>
      <c r="N1818" s="16" t="str">
        <f t="shared" si="709"/>
        <v>62108010721300000000</v>
      </c>
    </row>
    <row r="1819" spans="2:14" s="16" customFormat="1" ht="63.75">
      <c r="B1819" s="14" t="s">
        <v>2282</v>
      </c>
      <c r="C1819" s="205" t="s">
        <v>1261</v>
      </c>
      <c r="D1819" s="198" t="s">
        <v>412</v>
      </c>
      <c r="E1819" s="199" t="s">
        <v>238</v>
      </c>
      <c r="F1819" s="199" t="s">
        <v>11</v>
      </c>
      <c r="G1819" s="204" t="s">
        <v>1262</v>
      </c>
      <c r="H1819" s="199" t="s">
        <v>9</v>
      </c>
      <c r="I1819" s="20">
        <f>I1822</f>
        <v>94.53</v>
      </c>
      <c r="J1819" s="20">
        <f t="shared" ref="J1819:K1819" si="717">J1822</f>
        <v>0</v>
      </c>
      <c r="K1819" s="20">
        <f t="shared" si="717"/>
        <v>0</v>
      </c>
      <c r="L1819" s="16">
        <v>721340020</v>
      </c>
      <c r="M1819" s="16" t="str">
        <f t="shared" si="708"/>
        <v>0721340020</v>
      </c>
      <c r="N1819" s="16" t="str">
        <f t="shared" si="709"/>
        <v>62108010721340020000</v>
      </c>
    </row>
    <row r="1820" spans="2:14" s="16" customFormat="1">
      <c r="B1820" s="14"/>
      <c r="C1820" s="197" t="s">
        <v>1104</v>
      </c>
      <c r="D1820" s="198"/>
      <c r="E1820" s="199"/>
      <c r="F1820" s="199"/>
      <c r="G1820" s="204"/>
      <c r="H1820" s="199"/>
      <c r="I1820" s="20"/>
      <c r="J1820" s="20"/>
      <c r="K1820" s="20"/>
      <c r="M1820" s="16" t="str">
        <f t="shared" si="708"/>
        <v>0000000000</v>
      </c>
      <c r="N1820" s="16" t="str">
        <f t="shared" si="709"/>
        <v>0000000000</v>
      </c>
    </row>
    <row r="1821" spans="2:14" s="16" customFormat="1" ht="38.25">
      <c r="B1821" s="14"/>
      <c r="C1821" s="318" t="s">
        <v>1368</v>
      </c>
      <c r="D1821" s="322" t="s">
        <v>412</v>
      </c>
      <c r="E1821" s="319" t="s">
        <v>238</v>
      </c>
      <c r="F1821" s="319" t="s">
        <v>11</v>
      </c>
      <c r="G1821" s="319" t="s">
        <v>1262</v>
      </c>
      <c r="H1821" s="319" t="s">
        <v>9</v>
      </c>
      <c r="I1821" s="320">
        <f>94.53</f>
        <v>94.53</v>
      </c>
      <c r="J1821" s="320">
        <v>0</v>
      </c>
      <c r="K1821" s="320">
        <v>0</v>
      </c>
      <c r="L1821" s="16">
        <v>721340020</v>
      </c>
      <c r="M1821" s="16" t="str">
        <f t="shared" si="708"/>
        <v>0721340020</v>
      </c>
      <c r="N1821" s="16" t="str">
        <f t="shared" si="709"/>
        <v>62108010721340020000</v>
      </c>
    </row>
    <row r="1822" spans="2:14" s="16" customFormat="1">
      <c r="B1822" s="14"/>
      <c r="C1822" s="231" t="s">
        <v>937</v>
      </c>
      <c r="D1822" s="232" t="s">
        <v>412</v>
      </c>
      <c r="E1822" s="233" t="s">
        <v>238</v>
      </c>
      <c r="F1822" s="233" t="s">
        <v>11</v>
      </c>
      <c r="G1822" s="233" t="s">
        <v>1262</v>
      </c>
      <c r="H1822" s="233" t="s">
        <v>838</v>
      </c>
      <c r="I1822" s="235">
        <f>I1821</f>
        <v>94.53</v>
      </c>
      <c r="J1822" s="235">
        <f t="shared" ref="J1822:K1822" si="718">J1821</f>
        <v>0</v>
      </c>
      <c r="K1822" s="235">
        <f t="shared" si="718"/>
        <v>0</v>
      </c>
      <c r="L1822" s="16">
        <v>721340020</v>
      </c>
      <c r="M1822" s="16" t="str">
        <f t="shared" si="708"/>
        <v>0721340020</v>
      </c>
      <c r="N1822" s="16" t="str">
        <f t="shared" si="709"/>
        <v>62108010721340020410</v>
      </c>
    </row>
    <row r="1823" spans="2:14" s="16" customFormat="1">
      <c r="B1823" s="14"/>
      <c r="C1823" s="191" t="s">
        <v>707</v>
      </c>
      <c r="D1823" s="192" t="s">
        <v>412</v>
      </c>
      <c r="E1823" s="193" t="s">
        <v>342</v>
      </c>
      <c r="F1823" s="193" t="s">
        <v>7</v>
      </c>
      <c r="G1823" s="193" t="s">
        <v>8</v>
      </c>
      <c r="H1823" s="193" t="s">
        <v>9</v>
      </c>
      <c r="I1823" s="18">
        <f>I1824</f>
        <v>88</v>
      </c>
      <c r="J1823" s="18">
        <f t="shared" ref="J1823:K1827" si="719">J1824</f>
        <v>0</v>
      </c>
      <c r="K1823" s="18">
        <f t="shared" si="719"/>
        <v>0</v>
      </c>
      <c r="L1823" s="16">
        <v>0</v>
      </c>
      <c r="M1823" s="16" t="str">
        <f t="shared" si="708"/>
        <v>0000000000</v>
      </c>
      <c r="N1823" s="16" t="str">
        <f t="shared" si="709"/>
        <v>62111000000000000000</v>
      </c>
    </row>
    <row r="1824" spans="2:14" s="16" customFormat="1">
      <c r="B1824" s="14"/>
      <c r="C1824" s="194" t="s">
        <v>712</v>
      </c>
      <c r="D1824" s="195" t="s">
        <v>412</v>
      </c>
      <c r="E1824" s="196" t="s">
        <v>342</v>
      </c>
      <c r="F1824" s="196" t="s">
        <v>62</v>
      </c>
      <c r="G1824" s="196" t="s">
        <v>8</v>
      </c>
      <c r="H1824" s="196" t="s">
        <v>9</v>
      </c>
      <c r="I1824" s="19">
        <f>I1825</f>
        <v>88</v>
      </c>
      <c r="J1824" s="19">
        <f t="shared" si="719"/>
        <v>0</v>
      </c>
      <c r="K1824" s="19">
        <f t="shared" si="719"/>
        <v>0</v>
      </c>
      <c r="L1824" s="16">
        <v>0</v>
      </c>
      <c r="M1824" s="16" t="str">
        <f t="shared" si="708"/>
        <v>0000000000</v>
      </c>
      <c r="N1824" s="16" t="str">
        <f t="shared" si="709"/>
        <v>62111020000000000000</v>
      </c>
    </row>
    <row r="1825" spans="2:14" s="16" customFormat="1" ht="25.5">
      <c r="B1825" s="14"/>
      <c r="C1825" s="197" t="s">
        <v>700</v>
      </c>
      <c r="D1825" s="198" t="s">
        <v>412</v>
      </c>
      <c r="E1825" s="199" t="s">
        <v>342</v>
      </c>
      <c r="F1825" s="199" t="s">
        <v>62</v>
      </c>
      <c r="G1825" s="199" t="s">
        <v>701</v>
      </c>
      <c r="H1825" s="199" t="s">
        <v>9</v>
      </c>
      <c r="I1825" s="20">
        <f>I1826</f>
        <v>88</v>
      </c>
      <c r="J1825" s="20">
        <f t="shared" si="719"/>
        <v>0</v>
      </c>
      <c r="K1825" s="20">
        <f t="shared" si="719"/>
        <v>0</v>
      </c>
      <c r="L1825" s="16">
        <v>800000000</v>
      </c>
      <c r="M1825" s="16" t="str">
        <f t="shared" si="708"/>
        <v>0800000000</v>
      </c>
      <c r="N1825" s="16" t="str">
        <f t="shared" si="709"/>
        <v>62111020800000000000</v>
      </c>
    </row>
    <row r="1826" spans="2:14" s="16" customFormat="1" ht="38.25">
      <c r="B1826" s="14"/>
      <c r="C1826" s="197" t="s">
        <v>702</v>
      </c>
      <c r="D1826" s="198" t="s">
        <v>412</v>
      </c>
      <c r="E1826" s="199" t="s">
        <v>342</v>
      </c>
      <c r="F1826" s="199" t="s">
        <v>62</v>
      </c>
      <c r="G1826" s="199" t="s">
        <v>703</v>
      </c>
      <c r="H1826" s="199" t="s">
        <v>9</v>
      </c>
      <c r="I1826" s="20">
        <f>I1827</f>
        <v>88</v>
      </c>
      <c r="J1826" s="20">
        <f t="shared" si="719"/>
        <v>0</v>
      </c>
      <c r="K1826" s="20">
        <f t="shared" si="719"/>
        <v>0</v>
      </c>
      <c r="L1826" s="16">
        <v>810000000</v>
      </c>
      <c r="M1826" s="16" t="str">
        <f t="shared" si="708"/>
        <v>0810000000</v>
      </c>
      <c r="N1826" s="16" t="str">
        <f t="shared" si="709"/>
        <v>62111020810000000000</v>
      </c>
    </row>
    <row r="1827" spans="2:14" s="16" customFormat="1" ht="25.5">
      <c r="B1827" s="14"/>
      <c r="C1827" s="205" t="s">
        <v>1080</v>
      </c>
      <c r="D1827" s="198" t="s">
        <v>412</v>
      </c>
      <c r="E1827" s="199" t="s">
        <v>342</v>
      </c>
      <c r="F1827" s="199" t="s">
        <v>62</v>
      </c>
      <c r="G1827" s="199" t="s">
        <v>1081</v>
      </c>
      <c r="H1827" s="199" t="s">
        <v>9</v>
      </c>
      <c r="I1827" s="20">
        <f>I1828</f>
        <v>88</v>
      </c>
      <c r="J1827" s="20">
        <f t="shared" si="719"/>
        <v>0</v>
      </c>
      <c r="K1827" s="20">
        <f t="shared" si="719"/>
        <v>0</v>
      </c>
      <c r="L1827" s="16">
        <v>810400000</v>
      </c>
      <c r="M1827" s="16" t="str">
        <f t="shared" si="708"/>
        <v>0810400000</v>
      </c>
      <c r="N1827" s="16" t="str">
        <f t="shared" si="709"/>
        <v>62111020810400000000</v>
      </c>
    </row>
    <row r="1828" spans="2:14" s="16" customFormat="1" ht="51">
      <c r="B1828" s="14"/>
      <c r="C1828" s="205" t="s">
        <v>1082</v>
      </c>
      <c r="D1828" s="198" t="s">
        <v>412</v>
      </c>
      <c r="E1828" s="199" t="s">
        <v>342</v>
      </c>
      <c r="F1828" s="199" t="s">
        <v>62</v>
      </c>
      <c r="G1828" s="199" t="s">
        <v>1083</v>
      </c>
      <c r="H1828" s="199" t="s">
        <v>9</v>
      </c>
      <c r="I1828" s="20">
        <f>I1831</f>
        <v>88</v>
      </c>
      <c r="J1828" s="20">
        <f t="shared" ref="J1828:K1828" si="720">J1831</f>
        <v>0</v>
      </c>
      <c r="K1828" s="20">
        <f t="shared" si="720"/>
        <v>0</v>
      </c>
      <c r="L1828" s="16">
        <v>810421380</v>
      </c>
      <c r="M1828" s="16" t="str">
        <f t="shared" si="708"/>
        <v>0810421380</v>
      </c>
      <c r="N1828" s="16" t="str">
        <f t="shared" si="709"/>
        <v>62111020810421380000</v>
      </c>
    </row>
    <row r="1829" spans="2:14" s="16" customFormat="1">
      <c r="B1829" s="14"/>
      <c r="C1829" s="197" t="s">
        <v>1104</v>
      </c>
      <c r="D1829" s="198"/>
      <c r="E1829" s="199"/>
      <c r="F1829" s="199"/>
      <c r="G1829" s="199"/>
      <c r="H1829" s="199"/>
      <c r="I1829" s="20"/>
      <c r="J1829" s="20"/>
      <c r="K1829" s="20"/>
      <c r="M1829" s="16" t="str">
        <f t="shared" si="708"/>
        <v>0000000000</v>
      </c>
      <c r="N1829" s="16" t="str">
        <f t="shared" si="709"/>
        <v>0000000000</v>
      </c>
    </row>
    <row r="1830" spans="2:14" s="16" customFormat="1">
      <c r="B1830" s="14"/>
      <c r="C1830" s="228" t="s">
        <v>1105</v>
      </c>
      <c r="D1830" s="222" t="s">
        <v>412</v>
      </c>
      <c r="E1830" s="223" t="s">
        <v>342</v>
      </c>
      <c r="F1830" s="223" t="s">
        <v>62</v>
      </c>
      <c r="G1830" s="223" t="s">
        <v>1083</v>
      </c>
      <c r="H1830" s="223" t="s">
        <v>9</v>
      </c>
      <c r="I1830" s="224">
        <f>88</f>
        <v>88</v>
      </c>
      <c r="J1830" s="224">
        <v>0</v>
      </c>
      <c r="K1830" s="224">
        <v>0</v>
      </c>
      <c r="L1830" s="16">
        <v>810421380</v>
      </c>
      <c r="M1830" s="16" t="str">
        <f t="shared" si="708"/>
        <v>0810421380</v>
      </c>
      <c r="N1830" s="16" t="str">
        <f t="shared" si="709"/>
        <v>62111020810421380000</v>
      </c>
    </row>
    <row r="1831" spans="2:14" s="16" customFormat="1" ht="25.5">
      <c r="B1831" s="14"/>
      <c r="C1831" s="197" t="s">
        <v>28</v>
      </c>
      <c r="D1831" s="198" t="s">
        <v>412</v>
      </c>
      <c r="E1831" s="199" t="s">
        <v>342</v>
      </c>
      <c r="F1831" s="199" t="s">
        <v>62</v>
      </c>
      <c r="G1831" s="199" t="s">
        <v>1083</v>
      </c>
      <c r="H1831" s="199" t="s">
        <v>29</v>
      </c>
      <c r="I1831" s="20">
        <f>I1830</f>
        <v>88</v>
      </c>
      <c r="J1831" s="20">
        <v>0</v>
      </c>
      <c r="K1831" s="20">
        <v>0</v>
      </c>
      <c r="L1831" s="16">
        <v>810421380</v>
      </c>
      <c r="M1831" s="16" t="str">
        <f t="shared" si="708"/>
        <v>0810421380</v>
      </c>
      <c r="N1831" s="16" t="str">
        <f t="shared" si="709"/>
        <v>62111020810421380240</v>
      </c>
    </row>
    <row r="1832" spans="2:14" s="16" customFormat="1">
      <c r="B1832" s="14"/>
      <c r="C1832" s="197"/>
      <c r="D1832" s="198"/>
      <c r="E1832" s="199"/>
      <c r="F1832" s="199"/>
      <c r="G1832" s="199"/>
      <c r="H1832" s="199"/>
      <c r="I1832" s="20"/>
      <c r="J1832" s="20"/>
      <c r="K1832" s="20"/>
      <c r="M1832" s="16" t="str">
        <f t="shared" si="708"/>
        <v>0000000000</v>
      </c>
      <c r="N1832" s="16" t="str">
        <f t="shared" si="709"/>
        <v>0000000000</v>
      </c>
    </row>
    <row r="1833" spans="2:14" s="16" customFormat="1" ht="25.5">
      <c r="B1833" s="14"/>
      <c r="C1833" s="202" t="s">
        <v>938</v>
      </c>
      <c r="D1833" s="189" t="s">
        <v>939</v>
      </c>
      <c r="E1833" s="190" t="s">
        <v>7</v>
      </c>
      <c r="F1833" s="190" t="s">
        <v>7</v>
      </c>
      <c r="G1833" s="190" t="s">
        <v>8</v>
      </c>
      <c r="H1833" s="190" t="s">
        <v>9</v>
      </c>
      <c r="I1833" s="25">
        <f>I1834</f>
        <v>84206.080000000002</v>
      </c>
      <c r="J1833" s="25">
        <f t="shared" ref="J1833:K1833" si="721">J1834</f>
        <v>92328.87</v>
      </c>
      <c r="K1833" s="25">
        <f t="shared" si="721"/>
        <v>92328.87</v>
      </c>
      <c r="L1833" s="16">
        <v>0</v>
      </c>
      <c r="M1833" s="16" t="str">
        <f t="shared" si="708"/>
        <v>0000000000</v>
      </c>
      <c r="N1833" s="16" t="str">
        <f t="shared" si="709"/>
        <v>62400000000000000000</v>
      </c>
    </row>
    <row r="1834" spans="2:14" s="16" customFormat="1">
      <c r="B1834" s="14"/>
      <c r="C1834" s="191" t="s">
        <v>940</v>
      </c>
      <c r="D1834" s="192" t="s">
        <v>939</v>
      </c>
      <c r="E1834" s="193" t="s">
        <v>13</v>
      </c>
      <c r="F1834" s="193" t="s">
        <v>7</v>
      </c>
      <c r="G1834" s="193" t="s">
        <v>8</v>
      </c>
      <c r="H1834" s="193" t="s">
        <v>9</v>
      </c>
      <c r="I1834" s="18">
        <f t="shared" ref="I1834:K1834" si="722">I1835</f>
        <v>84206.080000000002</v>
      </c>
      <c r="J1834" s="18">
        <f t="shared" si="722"/>
        <v>92328.87</v>
      </c>
      <c r="K1834" s="18">
        <f t="shared" si="722"/>
        <v>92328.87</v>
      </c>
      <c r="L1834" s="16">
        <v>0</v>
      </c>
      <c r="M1834" s="16" t="str">
        <f t="shared" si="708"/>
        <v>0000000000</v>
      </c>
      <c r="N1834" s="16" t="str">
        <f t="shared" si="709"/>
        <v>62403000000000000000</v>
      </c>
    </row>
    <row r="1835" spans="2:14" s="16" customFormat="1" ht="38.25">
      <c r="B1835" s="14"/>
      <c r="C1835" s="194" t="s">
        <v>941</v>
      </c>
      <c r="D1835" s="195" t="s">
        <v>939</v>
      </c>
      <c r="E1835" s="196" t="s">
        <v>13</v>
      </c>
      <c r="F1835" s="196" t="s">
        <v>471</v>
      </c>
      <c r="G1835" s="196" t="s">
        <v>8</v>
      </c>
      <c r="H1835" s="196" t="s">
        <v>9</v>
      </c>
      <c r="I1835" s="19">
        <f>I1836+I1841+I1877</f>
        <v>84206.080000000002</v>
      </c>
      <c r="J1835" s="19">
        <f>J1836+J1841+J1877</f>
        <v>92328.87</v>
      </c>
      <c r="K1835" s="19">
        <f>K1836+K1841+K1877</f>
        <v>92328.87</v>
      </c>
      <c r="L1835" s="16">
        <v>0</v>
      </c>
      <c r="M1835" s="16" t="str">
        <f t="shared" si="708"/>
        <v>0000000000</v>
      </c>
      <c r="N1835" s="16" t="str">
        <f t="shared" si="709"/>
        <v>62403090000000000000</v>
      </c>
    </row>
    <row r="1836" spans="2:14" s="16" customFormat="1" ht="38.25">
      <c r="B1836" s="14"/>
      <c r="C1836" s="251" t="s">
        <v>146</v>
      </c>
      <c r="D1836" s="198" t="s">
        <v>939</v>
      </c>
      <c r="E1836" s="199" t="s">
        <v>13</v>
      </c>
      <c r="F1836" s="199" t="s">
        <v>471</v>
      </c>
      <c r="G1836" s="199" t="s">
        <v>147</v>
      </c>
      <c r="H1836" s="199" t="s">
        <v>9</v>
      </c>
      <c r="I1836" s="20">
        <f>I1837</f>
        <v>22.95</v>
      </c>
      <c r="J1836" s="20">
        <f t="shared" ref="J1836:K1836" si="723">J1837</f>
        <v>22.95</v>
      </c>
      <c r="K1836" s="20">
        <f t="shared" si="723"/>
        <v>22.95</v>
      </c>
      <c r="L1836" s="16">
        <v>1500000000</v>
      </c>
      <c r="M1836" s="16" t="str">
        <f t="shared" si="708"/>
        <v>1500000000</v>
      </c>
      <c r="N1836" s="16" t="str">
        <f t="shared" si="709"/>
        <v>62403091500000000000</v>
      </c>
    </row>
    <row r="1837" spans="2:14" s="66" customFormat="1" ht="25.5">
      <c r="B1837" s="65"/>
      <c r="C1837" s="197" t="s">
        <v>168</v>
      </c>
      <c r="D1837" s="198" t="s">
        <v>939</v>
      </c>
      <c r="E1837" s="199" t="s">
        <v>13</v>
      </c>
      <c r="F1837" s="199" t="s">
        <v>471</v>
      </c>
      <c r="G1837" s="199" t="s">
        <v>169</v>
      </c>
      <c r="H1837" s="199" t="s">
        <v>9</v>
      </c>
      <c r="I1837" s="20">
        <f t="shared" ref="I1837:K1839" si="724">I1838</f>
        <v>22.95</v>
      </c>
      <c r="J1837" s="20">
        <f t="shared" si="724"/>
        <v>22.95</v>
      </c>
      <c r="K1837" s="20">
        <f t="shared" si="724"/>
        <v>22.95</v>
      </c>
      <c r="L1837" s="66">
        <v>1530000000</v>
      </c>
      <c r="M1837" s="16" t="str">
        <f t="shared" si="708"/>
        <v>1530000000</v>
      </c>
      <c r="N1837" s="16" t="str">
        <f t="shared" si="709"/>
        <v>62403091530000000000</v>
      </c>
    </row>
    <row r="1838" spans="2:14" s="16" customFormat="1" ht="25.5">
      <c r="B1838" s="14"/>
      <c r="C1838" s="251" t="s">
        <v>942</v>
      </c>
      <c r="D1838" s="198" t="s">
        <v>939</v>
      </c>
      <c r="E1838" s="199" t="s">
        <v>13</v>
      </c>
      <c r="F1838" s="199" t="s">
        <v>471</v>
      </c>
      <c r="G1838" s="199" t="s">
        <v>943</v>
      </c>
      <c r="H1838" s="199" t="s">
        <v>9</v>
      </c>
      <c r="I1838" s="20">
        <f t="shared" si="724"/>
        <v>22.95</v>
      </c>
      <c r="J1838" s="20">
        <f t="shared" si="724"/>
        <v>22.95</v>
      </c>
      <c r="K1838" s="20">
        <f t="shared" si="724"/>
        <v>22.95</v>
      </c>
      <c r="L1838" s="16">
        <v>1530200000</v>
      </c>
      <c r="M1838" s="16" t="str">
        <f t="shared" si="708"/>
        <v>1530200000</v>
      </c>
      <c r="N1838" s="16" t="str">
        <f t="shared" si="709"/>
        <v>62403091530200000000</v>
      </c>
    </row>
    <row r="1839" spans="2:14" s="16" customFormat="1" ht="25.5">
      <c r="B1839" s="14"/>
      <c r="C1839" s="251" t="s">
        <v>944</v>
      </c>
      <c r="D1839" s="198" t="s">
        <v>939</v>
      </c>
      <c r="E1839" s="199" t="s">
        <v>13</v>
      </c>
      <c r="F1839" s="199" t="s">
        <v>471</v>
      </c>
      <c r="G1839" s="199" t="s">
        <v>945</v>
      </c>
      <c r="H1839" s="199" t="s">
        <v>9</v>
      </c>
      <c r="I1839" s="20">
        <f t="shared" si="724"/>
        <v>22.95</v>
      </c>
      <c r="J1839" s="20">
        <f t="shared" si="724"/>
        <v>22.95</v>
      </c>
      <c r="K1839" s="20">
        <f t="shared" si="724"/>
        <v>22.95</v>
      </c>
      <c r="L1839" s="16">
        <v>1530221290</v>
      </c>
      <c r="M1839" s="16" t="str">
        <f t="shared" si="708"/>
        <v>1530221290</v>
      </c>
      <c r="N1839" s="16" t="str">
        <f t="shared" si="709"/>
        <v>62403091530221290000</v>
      </c>
    </row>
    <row r="1840" spans="2:14" s="16" customFormat="1" ht="25.5">
      <c r="B1840" s="14"/>
      <c r="C1840" s="251" t="s">
        <v>28</v>
      </c>
      <c r="D1840" s="198" t="s">
        <v>939</v>
      </c>
      <c r="E1840" s="199" t="s">
        <v>13</v>
      </c>
      <c r="F1840" s="199" t="s">
        <v>471</v>
      </c>
      <c r="G1840" s="199" t="s">
        <v>945</v>
      </c>
      <c r="H1840" s="199" t="s">
        <v>29</v>
      </c>
      <c r="I1840" s="20">
        <f>22.95</f>
        <v>22.95</v>
      </c>
      <c r="J1840" s="20">
        <f t="shared" ref="J1840:K1840" si="725">22.95</f>
        <v>22.95</v>
      </c>
      <c r="K1840" s="20">
        <f t="shared" si="725"/>
        <v>22.95</v>
      </c>
      <c r="L1840" s="16">
        <v>1530221290</v>
      </c>
      <c r="M1840" s="16" t="str">
        <f t="shared" si="708"/>
        <v>1530221290</v>
      </c>
      <c r="N1840" s="16" t="str">
        <f t="shared" si="709"/>
        <v>62403091530221290240</v>
      </c>
    </row>
    <row r="1841" spans="2:14" s="16" customFormat="1" ht="63.75">
      <c r="B1841" s="14"/>
      <c r="C1841" s="197" t="s">
        <v>420</v>
      </c>
      <c r="D1841" s="198" t="s">
        <v>939</v>
      </c>
      <c r="E1841" s="199" t="s">
        <v>13</v>
      </c>
      <c r="F1841" s="199" t="s">
        <v>471</v>
      </c>
      <c r="G1841" s="199" t="s">
        <v>421</v>
      </c>
      <c r="H1841" s="199" t="s">
        <v>9</v>
      </c>
      <c r="I1841" s="20">
        <f>I1842+I1856+I1860</f>
        <v>68418.290000000008</v>
      </c>
      <c r="J1841" s="20">
        <f>J1842+J1856+J1860</f>
        <v>76467.13</v>
      </c>
      <c r="K1841" s="20">
        <f>K1842+K1856+K1860</f>
        <v>76433.17</v>
      </c>
      <c r="L1841" s="16">
        <v>1600000000</v>
      </c>
      <c r="M1841" s="16" t="str">
        <f t="shared" si="708"/>
        <v>1600000000</v>
      </c>
      <c r="N1841" s="16" t="str">
        <f t="shared" si="709"/>
        <v>62403091600000000000</v>
      </c>
    </row>
    <row r="1842" spans="2:14" s="66" customFormat="1" ht="38.25">
      <c r="B1842" s="65"/>
      <c r="C1842" s="197" t="s">
        <v>946</v>
      </c>
      <c r="D1842" s="198" t="s">
        <v>939</v>
      </c>
      <c r="E1842" s="199" t="s">
        <v>13</v>
      </c>
      <c r="F1842" s="199" t="s">
        <v>471</v>
      </c>
      <c r="G1842" s="199" t="s">
        <v>947</v>
      </c>
      <c r="H1842" s="199" t="s">
        <v>9</v>
      </c>
      <c r="I1842" s="20">
        <f>I1843+I1846+I1853</f>
        <v>35615.64</v>
      </c>
      <c r="J1842" s="20">
        <f>J1843+J1846+J1853</f>
        <v>35425.64</v>
      </c>
      <c r="K1842" s="20">
        <f>K1843+K1846+K1853</f>
        <v>35425.64</v>
      </c>
      <c r="L1842" s="66">
        <v>1610000000</v>
      </c>
      <c r="M1842" s="16" t="str">
        <f t="shared" si="708"/>
        <v>1610000000</v>
      </c>
      <c r="N1842" s="16" t="str">
        <f t="shared" si="709"/>
        <v>62403091610000000000</v>
      </c>
    </row>
    <row r="1843" spans="2:14" s="16" customFormat="1" ht="38.25">
      <c r="B1843" s="14"/>
      <c r="C1843" s="197" t="s">
        <v>948</v>
      </c>
      <c r="D1843" s="198" t="s">
        <v>939</v>
      </c>
      <c r="E1843" s="199" t="s">
        <v>13</v>
      </c>
      <c r="F1843" s="199" t="s">
        <v>471</v>
      </c>
      <c r="G1843" s="199" t="s">
        <v>949</v>
      </c>
      <c r="H1843" s="199" t="s">
        <v>9</v>
      </c>
      <c r="I1843" s="20">
        <f t="shared" ref="I1843:K1844" si="726">I1844</f>
        <v>100</v>
      </c>
      <c r="J1843" s="20">
        <f t="shared" si="726"/>
        <v>100</v>
      </c>
      <c r="K1843" s="20">
        <f t="shared" si="726"/>
        <v>100</v>
      </c>
      <c r="L1843" s="16">
        <v>1610100000</v>
      </c>
      <c r="M1843" s="16" t="str">
        <f t="shared" si="708"/>
        <v>1610100000</v>
      </c>
      <c r="N1843" s="16" t="str">
        <f t="shared" si="709"/>
        <v>62403091610100000000</v>
      </c>
    </row>
    <row r="1844" spans="2:14" s="16" customFormat="1" ht="51">
      <c r="B1844" s="14"/>
      <c r="C1844" s="251" t="s">
        <v>950</v>
      </c>
      <c r="D1844" s="198" t="s">
        <v>939</v>
      </c>
      <c r="E1844" s="199" t="s">
        <v>13</v>
      </c>
      <c r="F1844" s="199" t="s">
        <v>471</v>
      </c>
      <c r="G1844" s="199" t="s">
        <v>951</v>
      </c>
      <c r="H1844" s="199" t="s">
        <v>9</v>
      </c>
      <c r="I1844" s="20">
        <f t="shared" si="726"/>
        <v>100</v>
      </c>
      <c r="J1844" s="20">
        <f t="shared" si="726"/>
        <v>100</v>
      </c>
      <c r="K1844" s="20">
        <f t="shared" si="726"/>
        <v>100</v>
      </c>
      <c r="L1844" s="16">
        <v>1610120120</v>
      </c>
      <c r="M1844" s="16" t="str">
        <f t="shared" si="708"/>
        <v>1610120120</v>
      </c>
      <c r="N1844" s="16" t="str">
        <f t="shared" si="709"/>
        <v>62403091610120120000</v>
      </c>
    </row>
    <row r="1845" spans="2:14" s="16" customFormat="1" ht="25.5">
      <c r="B1845" s="14"/>
      <c r="C1845" s="197" t="s">
        <v>28</v>
      </c>
      <c r="D1845" s="198" t="s">
        <v>939</v>
      </c>
      <c r="E1845" s="199" t="s">
        <v>13</v>
      </c>
      <c r="F1845" s="199" t="s">
        <v>471</v>
      </c>
      <c r="G1845" s="199" t="s">
        <v>951</v>
      </c>
      <c r="H1845" s="199" t="s">
        <v>29</v>
      </c>
      <c r="I1845" s="20">
        <f>100</f>
        <v>100</v>
      </c>
      <c r="J1845" s="20">
        <f>100</f>
        <v>100</v>
      </c>
      <c r="K1845" s="20">
        <f>100</f>
        <v>100</v>
      </c>
      <c r="L1845" s="16">
        <v>1610120120</v>
      </c>
      <c r="M1845" s="16" t="str">
        <f t="shared" si="708"/>
        <v>1610120120</v>
      </c>
      <c r="N1845" s="16" t="str">
        <f t="shared" si="709"/>
        <v>62403091610120120240</v>
      </c>
    </row>
    <row r="1846" spans="2:14" s="16" customFormat="1" ht="25.5">
      <c r="B1846" s="14"/>
      <c r="C1846" s="251" t="s">
        <v>952</v>
      </c>
      <c r="D1846" s="198" t="s">
        <v>939</v>
      </c>
      <c r="E1846" s="199" t="s">
        <v>13</v>
      </c>
      <c r="F1846" s="199" t="s">
        <v>471</v>
      </c>
      <c r="G1846" s="199" t="s">
        <v>953</v>
      </c>
      <c r="H1846" s="199" t="s">
        <v>9</v>
      </c>
      <c r="I1846" s="20">
        <f>I1847+I1851</f>
        <v>35085.64</v>
      </c>
      <c r="J1846" s="20">
        <f t="shared" ref="J1846:K1846" si="727">J1847+J1851</f>
        <v>34895.64</v>
      </c>
      <c r="K1846" s="20">
        <f t="shared" si="727"/>
        <v>34895.64</v>
      </c>
      <c r="L1846" s="16">
        <v>1610200000</v>
      </c>
      <c r="M1846" s="16" t="str">
        <f t="shared" si="708"/>
        <v>1610200000</v>
      </c>
      <c r="N1846" s="16" t="str">
        <f t="shared" si="709"/>
        <v>62403091610200000000</v>
      </c>
    </row>
    <row r="1847" spans="2:14" s="16" customFormat="1" ht="25.5">
      <c r="B1847" s="14"/>
      <c r="C1847" s="251" t="s">
        <v>136</v>
      </c>
      <c r="D1847" s="198" t="s">
        <v>939</v>
      </c>
      <c r="E1847" s="199" t="s">
        <v>13</v>
      </c>
      <c r="F1847" s="199" t="s">
        <v>471</v>
      </c>
      <c r="G1847" s="199" t="s">
        <v>954</v>
      </c>
      <c r="H1847" s="199" t="s">
        <v>9</v>
      </c>
      <c r="I1847" s="20">
        <f>SUM(I1848:I1850)</f>
        <v>34088.07</v>
      </c>
      <c r="J1847" s="20">
        <f>SUM(J1848:J1850)</f>
        <v>34895.64</v>
      </c>
      <c r="K1847" s="20">
        <f>SUM(K1848:K1850)</f>
        <v>34895.64</v>
      </c>
      <c r="L1847" s="16">
        <v>1610211010</v>
      </c>
      <c r="M1847" s="16" t="str">
        <f t="shared" si="708"/>
        <v>1610211010</v>
      </c>
      <c r="N1847" s="16" t="str">
        <f t="shared" si="709"/>
        <v>62403091610211010000</v>
      </c>
    </row>
    <row r="1848" spans="2:14" s="16" customFormat="1">
      <c r="B1848" s="14"/>
      <c r="C1848" s="197" t="s">
        <v>138</v>
      </c>
      <c r="D1848" s="198" t="s">
        <v>939</v>
      </c>
      <c r="E1848" s="199" t="s">
        <v>13</v>
      </c>
      <c r="F1848" s="199" t="s">
        <v>471</v>
      </c>
      <c r="G1848" s="199" t="s">
        <v>954</v>
      </c>
      <c r="H1848" s="199" t="s">
        <v>139</v>
      </c>
      <c r="I1848" s="20">
        <f>19440.04+5870.89+3367.05+14.87</f>
        <v>28692.85</v>
      </c>
      <c r="J1848" s="20">
        <f>19440.04+5870.89+3367.05+1012.44</f>
        <v>29690.42</v>
      </c>
      <c r="K1848" s="20">
        <f>19440.04+5870.89+3367.05+1012.44</f>
        <v>29690.42</v>
      </c>
      <c r="L1848" s="16">
        <v>1610211010</v>
      </c>
      <c r="M1848" s="16" t="str">
        <f t="shared" si="708"/>
        <v>1610211010</v>
      </c>
      <c r="N1848" s="16" t="str">
        <f t="shared" si="709"/>
        <v>62403091610211010110</v>
      </c>
    </row>
    <row r="1849" spans="2:14" s="16" customFormat="1" ht="25.5">
      <c r="B1849" s="14"/>
      <c r="C1849" s="251" t="s">
        <v>28</v>
      </c>
      <c r="D1849" s="198" t="s">
        <v>939</v>
      </c>
      <c r="E1849" s="199" t="s">
        <v>13</v>
      </c>
      <c r="F1849" s="199" t="s">
        <v>471</v>
      </c>
      <c r="G1849" s="199" t="s">
        <v>954</v>
      </c>
      <c r="H1849" s="199" t="s">
        <v>29</v>
      </c>
      <c r="I1849" s="20">
        <f>4264.22+70+300</f>
        <v>4634.22</v>
      </c>
      <c r="J1849" s="20">
        <f t="shared" ref="J1849:K1849" si="728">4264.22</f>
        <v>4264.22</v>
      </c>
      <c r="K1849" s="20">
        <f t="shared" si="728"/>
        <v>4264.22</v>
      </c>
      <c r="L1849" s="16">
        <v>1610211010</v>
      </c>
      <c r="M1849" s="16" t="str">
        <f t="shared" si="708"/>
        <v>1610211010</v>
      </c>
      <c r="N1849" s="16" t="str">
        <f t="shared" si="709"/>
        <v>62403091610211010240</v>
      </c>
    </row>
    <row r="1850" spans="2:14" s="16" customFormat="1">
      <c r="B1850" s="14"/>
      <c r="C1850" s="251" t="s">
        <v>32</v>
      </c>
      <c r="D1850" s="198" t="s">
        <v>939</v>
      </c>
      <c r="E1850" s="199" t="s">
        <v>13</v>
      </c>
      <c r="F1850" s="199" t="s">
        <v>471</v>
      </c>
      <c r="G1850" s="199" t="s">
        <v>954</v>
      </c>
      <c r="H1850" s="199" t="s">
        <v>33</v>
      </c>
      <c r="I1850" s="20">
        <f>895+41+5-70-105-5</f>
        <v>761</v>
      </c>
      <c r="J1850" s="20">
        <f t="shared" ref="J1850:K1850" si="729">895+41+5</f>
        <v>941</v>
      </c>
      <c r="K1850" s="20">
        <f t="shared" si="729"/>
        <v>941</v>
      </c>
      <c r="L1850" s="16">
        <v>1610211010</v>
      </c>
      <c r="M1850" s="16" t="str">
        <f t="shared" si="708"/>
        <v>1610211010</v>
      </c>
      <c r="N1850" s="16" t="str">
        <f t="shared" si="709"/>
        <v>62403091610211010850</v>
      </c>
    </row>
    <row r="1851" spans="2:14" s="16" customFormat="1" ht="191.25">
      <c r="B1851" s="14" t="s">
        <v>2282</v>
      </c>
      <c r="C1851" s="197" t="s">
        <v>2269</v>
      </c>
      <c r="D1851" s="198" t="s">
        <v>939</v>
      </c>
      <c r="E1851" s="199" t="s">
        <v>13</v>
      </c>
      <c r="F1851" s="199" t="s">
        <v>471</v>
      </c>
      <c r="G1851" s="199" t="s">
        <v>1369</v>
      </c>
      <c r="H1851" s="199" t="s">
        <v>9</v>
      </c>
      <c r="I1851" s="20">
        <f>I1852</f>
        <v>997.57</v>
      </c>
      <c r="J1851" s="20">
        <f t="shared" ref="J1851:K1851" si="730">J1852</f>
        <v>0</v>
      </c>
      <c r="K1851" s="20">
        <f t="shared" si="730"/>
        <v>0</v>
      </c>
      <c r="L1851" s="16">
        <v>1610277460</v>
      </c>
      <c r="M1851" s="16" t="str">
        <f t="shared" si="708"/>
        <v>1610277460</v>
      </c>
      <c r="N1851" s="16" t="str">
        <f t="shared" si="709"/>
        <v>62403091610277460000</v>
      </c>
    </row>
    <row r="1852" spans="2:14" s="16" customFormat="1">
      <c r="B1852" s="14"/>
      <c r="C1852" s="251" t="s">
        <v>138</v>
      </c>
      <c r="D1852" s="198" t="s">
        <v>939</v>
      </c>
      <c r="E1852" s="199" t="s">
        <v>13</v>
      </c>
      <c r="F1852" s="199" t="s">
        <v>471</v>
      </c>
      <c r="G1852" s="199" t="s">
        <v>1369</v>
      </c>
      <c r="H1852" s="199" t="s">
        <v>139</v>
      </c>
      <c r="I1852" s="20">
        <f>997.57</f>
        <v>997.57</v>
      </c>
      <c r="J1852" s="20">
        <v>0</v>
      </c>
      <c r="K1852" s="20">
        <v>0</v>
      </c>
      <c r="L1852" s="16">
        <v>1610277460</v>
      </c>
      <c r="M1852" s="16" t="str">
        <f t="shared" si="708"/>
        <v>1610277460</v>
      </c>
      <c r="N1852" s="16" t="str">
        <f t="shared" si="709"/>
        <v>62403091610277460110</v>
      </c>
    </row>
    <row r="1853" spans="2:14" s="16" customFormat="1" ht="25.5">
      <c r="B1853" s="14"/>
      <c r="C1853" s="251" t="s">
        <v>942</v>
      </c>
      <c r="D1853" s="198" t="s">
        <v>939</v>
      </c>
      <c r="E1853" s="199" t="s">
        <v>13</v>
      </c>
      <c r="F1853" s="199" t="s">
        <v>471</v>
      </c>
      <c r="G1853" s="199" t="s">
        <v>955</v>
      </c>
      <c r="H1853" s="199" t="s">
        <v>9</v>
      </c>
      <c r="I1853" s="20">
        <f t="shared" ref="I1853:K1854" si="731">I1854</f>
        <v>430</v>
      </c>
      <c r="J1853" s="20">
        <f t="shared" si="731"/>
        <v>430</v>
      </c>
      <c r="K1853" s="20">
        <f t="shared" si="731"/>
        <v>430</v>
      </c>
      <c r="L1853" s="16">
        <v>1610300000</v>
      </c>
      <c r="M1853" s="16" t="str">
        <f t="shared" si="708"/>
        <v>1610300000</v>
      </c>
      <c r="N1853" s="16" t="str">
        <f t="shared" si="709"/>
        <v>62403091610300000000</v>
      </c>
    </row>
    <row r="1854" spans="2:14" s="16" customFormat="1" ht="51">
      <c r="B1854" s="14"/>
      <c r="C1854" s="197" t="s">
        <v>950</v>
      </c>
      <c r="D1854" s="198" t="s">
        <v>939</v>
      </c>
      <c r="E1854" s="199" t="s">
        <v>13</v>
      </c>
      <c r="F1854" s="199" t="s">
        <v>471</v>
      </c>
      <c r="G1854" s="199" t="s">
        <v>956</v>
      </c>
      <c r="H1854" s="199" t="s">
        <v>9</v>
      </c>
      <c r="I1854" s="20">
        <f>I1855</f>
        <v>430</v>
      </c>
      <c r="J1854" s="20">
        <f t="shared" si="731"/>
        <v>430</v>
      </c>
      <c r="K1854" s="20">
        <f t="shared" si="731"/>
        <v>430</v>
      </c>
      <c r="L1854" s="16">
        <v>1610320120</v>
      </c>
      <c r="M1854" s="16" t="str">
        <f t="shared" si="708"/>
        <v>1610320120</v>
      </c>
      <c r="N1854" s="16" t="str">
        <f t="shared" si="709"/>
        <v>62403091610320120000</v>
      </c>
    </row>
    <row r="1855" spans="2:14" s="16" customFormat="1" ht="25.5">
      <c r="B1855" s="14"/>
      <c r="C1855" s="251" t="s">
        <v>28</v>
      </c>
      <c r="D1855" s="198" t="s">
        <v>939</v>
      </c>
      <c r="E1855" s="199" t="s">
        <v>13</v>
      </c>
      <c r="F1855" s="199" t="s">
        <v>471</v>
      </c>
      <c r="G1855" s="199" t="s">
        <v>956</v>
      </c>
      <c r="H1855" s="199" t="s">
        <v>29</v>
      </c>
      <c r="I1855" s="20">
        <f>430</f>
        <v>430</v>
      </c>
      <c r="J1855" s="20">
        <f>430</f>
        <v>430</v>
      </c>
      <c r="K1855" s="20">
        <f>430</f>
        <v>430</v>
      </c>
      <c r="L1855" s="16">
        <v>1610320120</v>
      </c>
      <c r="M1855" s="16" t="str">
        <f t="shared" si="708"/>
        <v>1610320120</v>
      </c>
      <c r="N1855" s="16" t="str">
        <f t="shared" si="709"/>
        <v>62403091610320120240</v>
      </c>
    </row>
    <row r="1856" spans="2:14" s="66" customFormat="1" ht="25.5">
      <c r="B1856" s="65"/>
      <c r="C1856" s="197" t="s">
        <v>422</v>
      </c>
      <c r="D1856" s="198" t="s">
        <v>939</v>
      </c>
      <c r="E1856" s="199" t="s">
        <v>13</v>
      </c>
      <c r="F1856" s="199" t="s">
        <v>471</v>
      </c>
      <c r="G1856" s="199" t="s">
        <v>423</v>
      </c>
      <c r="H1856" s="199" t="s">
        <v>9</v>
      </c>
      <c r="I1856" s="20">
        <f t="shared" ref="I1856:K1858" si="732">I1857</f>
        <v>535</v>
      </c>
      <c r="J1856" s="20">
        <f t="shared" si="732"/>
        <v>535</v>
      </c>
      <c r="K1856" s="20">
        <f t="shared" si="732"/>
        <v>535</v>
      </c>
      <c r="L1856" s="66">
        <v>1620000000</v>
      </c>
      <c r="M1856" s="16" t="str">
        <f t="shared" si="708"/>
        <v>1620000000</v>
      </c>
      <c r="N1856" s="16" t="str">
        <f t="shared" si="709"/>
        <v>62403091620000000000</v>
      </c>
    </row>
    <row r="1857" spans="2:14" s="16" customFormat="1" ht="25.5">
      <c r="B1857" s="14"/>
      <c r="C1857" s="251" t="s">
        <v>957</v>
      </c>
      <c r="D1857" s="198" t="s">
        <v>939</v>
      </c>
      <c r="E1857" s="199" t="s">
        <v>13</v>
      </c>
      <c r="F1857" s="199" t="s">
        <v>471</v>
      </c>
      <c r="G1857" s="199" t="s">
        <v>958</v>
      </c>
      <c r="H1857" s="199" t="s">
        <v>9</v>
      </c>
      <c r="I1857" s="20">
        <f t="shared" si="732"/>
        <v>535</v>
      </c>
      <c r="J1857" s="20">
        <f t="shared" si="732"/>
        <v>535</v>
      </c>
      <c r="K1857" s="20">
        <f t="shared" si="732"/>
        <v>535</v>
      </c>
      <c r="L1857" s="16">
        <v>1620100000</v>
      </c>
      <c r="M1857" s="16" t="str">
        <f t="shared" si="708"/>
        <v>1620100000</v>
      </c>
      <c r="N1857" s="16" t="str">
        <f t="shared" si="709"/>
        <v>62403091620100000000</v>
      </c>
    </row>
    <row r="1858" spans="2:14" s="16" customFormat="1" ht="25.5">
      <c r="B1858" s="14"/>
      <c r="C1858" s="251" t="s">
        <v>959</v>
      </c>
      <c r="D1858" s="198" t="s">
        <v>939</v>
      </c>
      <c r="E1858" s="199" t="s">
        <v>13</v>
      </c>
      <c r="F1858" s="199" t="s">
        <v>471</v>
      </c>
      <c r="G1858" s="199" t="s">
        <v>960</v>
      </c>
      <c r="H1858" s="199" t="s">
        <v>9</v>
      </c>
      <c r="I1858" s="20">
        <f>I1859</f>
        <v>535</v>
      </c>
      <c r="J1858" s="20">
        <f t="shared" si="732"/>
        <v>535</v>
      </c>
      <c r="K1858" s="20">
        <f t="shared" si="732"/>
        <v>535</v>
      </c>
      <c r="L1858" s="16">
        <v>1620120540</v>
      </c>
      <c r="M1858" s="16" t="str">
        <f t="shared" si="708"/>
        <v>1620120540</v>
      </c>
      <c r="N1858" s="16" t="str">
        <f t="shared" si="709"/>
        <v>62403091620120540000</v>
      </c>
    </row>
    <row r="1859" spans="2:14" s="16" customFormat="1" ht="25.5">
      <c r="B1859" s="14"/>
      <c r="C1859" s="197" t="s">
        <v>28</v>
      </c>
      <c r="D1859" s="198" t="s">
        <v>939</v>
      </c>
      <c r="E1859" s="199" t="s">
        <v>13</v>
      </c>
      <c r="F1859" s="199" t="s">
        <v>471</v>
      </c>
      <c r="G1859" s="199" t="s">
        <v>960</v>
      </c>
      <c r="H1859" s="199" t="s">
        <v>29</v>
      </c>
      <c r="I1859" s="20">
        <f>388+100+47</f>
        <v>535</v>
      </c>
      <c r="J1859" s="20">
        <f>388+100+47</f>
        <v>535</v>
      </c>
      <c r="K1859" s="20">
        <f>388+100+47</f>
        <v>535</v>
      </c>
      <c r="L1859" s="16">
        <v>1620120540</v>
      </c>
      <c r="M1859" s="16" t="str">
        <f t="shared" si="708"/>
        <v>1620120540</v>
      </c>
      <c r="N1859" s="16" t="str">
        <f t="shared" si="709"/>
        <v>62403091620120540240</v>
      </c>
    </row>
    <row r="1860" spans="2:14" s="16" customFormat="1" ht="25.5">
      <c r="B1860" s="14"/>
      <c r="C1860" s="197" t="s">
        <v>961</v>
      </c>
      <c r="D1860" s="198" t="s">
        <v>939</v>
      </c>
      <c r="E1860" s="199" t="s">
        <v>13</v>
      </c>
      <c r="F1860" s="199" t="s">
        <v>471</v>
      </c>
      <c r="G1860" s="199" t="s">
        <v>962</v>
      </c>
      <c r="H1860" s="199" t="s">
        <v>9</v>
      </c>
      <c r="I1860" s="20">
        <f>I1861+I1868+I1871+I1874</f>
        <v>32267.65</v>
      </c>
      <c r="J1860" s="20">
        <f t="shared" ref="J1860:K1860" si="733">J1861+J1868+J1871+J1874</f>
        <v>40506.49</v>
      </c>
      <c r="K1860" s="20">
        <f t="shared" si="733"/>
        <v>40472.53</v>
      </c>
      <c r="L1860" s="16">
        <v>1630000000</v>
      </c>
      <c r="M1860" s="16" t="str">
        <f t="shared" si="708"/>
        <v>1630000000</v>
      </c>
      <c r="N1860" s="16" t="str">
        <f t="shared" si="709"/>
        <v>62403091630000000000</v>
      </c>
    </row>
    <row r="1861" spans="2:14" s="16" customFormat="1" ht="38.25">
      <c r="B1861" s="14"/>
      <c r="C1861" s="197" t="s">
        <v>963</v>
      </c>
      <c r="D1861" s="198" t="s">
        <v>939</v>
      </c>
      <c r="E1861" s="199" t="s">
        <v>13</v>
      </c>
      <c r="F1861" s="199" t="s">
        <v>471</v>
      </c>
      <c r="G1861" s="199" t="s">
        <v>964</v>
      </c>
      <c r="H1861" s="199" t="s">
        <v>9</v>
      </c>
      <c r="I1861" s="20">
        <f>I1862+I1866</f>
        <v>26600.84</v>
      </c>
      <c r="J1861" s="20">
        <f t="shared" ref="J1861:K1861" si="734">J1862+J1866</f>
        <v>34839.68</v>
      </c>
      <c r="K1861" s="20">
        <f t="shared" si="734"/>
        <v>34805.72</v>
      </c>
      <c r="L1861" s="16">
        <v>1630100000</v>
      </c>
      <c r="M1861" s="16" t="str">
        <f t="shared" si="708"/>
        <v>1630100000</v>
      </c>
      <c r="N1861" s="16" t="str">
        <f t="shared" si="709"/>
        <v>62403091630100000000</v>
      </c>
    </row>
    <row r="1862" spans="2:14" s="16" customFormat="1" ht="25.5">
      <c r="B1862" s="14"/>
      <c r="C1862" s="251" t="s">
        <v>136</v>
      </c>
      <c r="D1862" s="198" t="s">
        <v>939</v>
      </c>
      <c r="E1862" s="199" t="s">
        <v>13</v>
      </c>
      <c r="F1862" s="199" t="s">
        <v>471</v>
      </c>
      <c r="G1862" s="199" t="s">
        <v>965</v>
      </c>
      <c r="H1862" s="199" t="s">
        <v>9</v>
      </c>
      <c r="I1862" s="20">
        <f>SUM(I1863:I1865)</f>
        <v>25930.93</v>
      </c>
      <c r="J1862" s="20">
        <f>SUM(J1863:J1865)</f>
        <v>34839.68</v>
      </c>
      <c r="K1862" s="20">
        <f>SUM(K1863:K1865)</f>
        <v>34805.72</v>
      </c>
      <c r="L1862" s="16">
        <v>1630111010</v>
      </c>
      <c r="M1862" s="16" t="str">
        <f t="shared" ref="M1862:M1904" si="735">TEXT(L1862,"0000000000")</f>
        <v>1630111010</v>
      </c>
      <c r="N1862" s="16" t="str">
        <f t="shared" ref="N1862:N1925" si="736">D1862&amp;E1862&amp;F1862&amp;M1862&amp;H1862</f>
        <v>62403091630111010000</v>
      </c>
    </row>
    <row r="1863" spans="2:14" s="16" customFormat="1">
      <c r="B1863" s="14"/>
      <c r="C1863" s="251" t="s">
        <v>138</v>
      </c>
      <c r="D1863" s="198" t="s">
        <v>939</v>
      </c>
      <c r="E1863" s="199" t="s">
        <v>13</v>
      </c>
      <c r="F1863" s="199" t="s">
        <v>471</v>
      </c>
      <c r="G1863" s="199" t="s">
        <v>965</v>
      </c>
      <c r="H1863" s="199" t="s">
        <v>139</v>
      </c>
      <c r="I1863" s="20">
        <f>13054.85+3942.57+835.17+214.61+9.98+1972.42+2588.81</f>
        <v>22618.41</v>
      </c>
      <c r="J1863" s="20">
        <f>13054.85+3942.57+1670.35+429.22+679.89+13313.87</f>
        <v>33090.75</v>
      </c>
      <c r="K1863" s="20">
        <f>13054.85+3942.57+1670.35+429.22+679.89+13313.87</f>
        <v>33090.75</v>
      </c>
      <c r="L1863" s="16">
        <v>1630111010</v>
      </c>
      <c r="M1863" s="16" t="str">
        <f t="shared" si="735"/>
        <v>1630111010</v>
      </c>
      <c r="N1863" s="16" t="str">
        <f t="shared" si="736"/>
        <v>62403091630111010110</v>
      </c>
    </row>
    <row r="1864" spans="2:14" s="16" customFormat="1" ht="25.5">
      <c r="B1864" s="14"/>
      <c r="C1864" s="197" t="s">
        <v>28</v>
      </c>
      <c r="D1864" s="198" t="s">
        <v>939</v>
      </c>
      <c r="E1864" s="199" t="s">
        <v>13</v>
      </c>
      <c r="F1864" s="199" t="s">
        <v>471</v>
      </c>
      <c r="G1864" s="199" t="s">
        <v>965</v>
      </c>
      <c r="H1864" s="199" t="s">
        <v>29</v>
      </c>
      <c r="I1864" s="20">
        <f>1338.16+350.06+371.4+330.6-18.18+17.66-99.51+675+52.61</f>
        <v>3017.7999999999997</v>
      </c>
      <c r="J1864" s="20">
        <f t="shared" ref="J1864:K1864" si="737">1338.16</f>
        <v>1338.16</v>
      </c>
      <c r="K1864" s="20">
        <f t="shared" si="737"/>
        <v>1338.16</v>
      </c>
      <c r="L1864" s="16">
        <v>1630111010</v>
      </c>
      <c r="M1864" s="16" t="str">
        <f t="shared" si="735"/>
        <v>1630111010</v>
      </c>
      <c r="N1864" s="16" t="str">
        <f t="shared" si="736"/>
        <v>62403091630111010240</v>
      </c>
    </row>
    <row r="1865" spans="2:14" s="16" customFormat="1">
      <c r="B1865" s="14"/>
      <c r="C1865" s="251" t="s">
        <v>32</v>
      </c>
      <c r="D1865" s="198" t="s">
        <v>939</v>
      </c>
      <c r="E1865" s="199" t="s">
        <v>13</v>
      </c>
      <c r="F1865" s="199" t="s">
        <v>471</v>
      </c>
      <c r="G1865" s="199" t="s">
        <v>965</v>
      </c>
      <c r="H1865" s="199" t="s">
        <v>33</v>
      </c>
      <c r="I1865" s="20">
        <f>350+2.67+4.33+87.72-150</f>
        <v>294.72000000000003</v>
      </c>
      <c r="J1865" s="20">
        <f>350+2.67+4.33+53.77</f>
        <v>410.77</v>
      </c>
      <c r="K1865" s="20">
        <f>350+2.67+4.33+19.81</f>
        <v>376.81</v>
      </c>
      <c r="L1865" s="16">
        <v>1630111010</v>
      </c>
      <c r="M1865" s="16" t="str">
        <f t="shared" si="735"/>
        <v>1630111010</v>
      </c>
      <c r="N1865" s="16" t="str">
        <f t="shared" si="736"/>
        <v>62403091630111010850</v>
      </c>
    </row>
    <row r="1866" spans="2:14" s="16" customFormat="1" ht="191.25">
      <c r="B1866" s="14" t="s">
        <v>2282</v>
      </c>
      <c r="C1866" s="197" t="s">
        <v>2269</v>
      </c>
      <c r="D1866" s="198" t="s">
        <v>939</v>
      </c>
      <c r="E1866" s="199" t="s">
        <v>13</v>
      </c>
      <c r="F1866" s="199" t="s">
        <v>471</v>
      </c>
      <c r="G1866" s="199" t="s">
        <v>1370</v>
      </c>
      <c r="H1866" s="199" t="s">
        <v>9</v>
      </c>
      <c r="I1866" s="20">
        <f>I1867</f>
        <v>669.91</v>
      </c>
      <c r="J1866" s="20">
        <f t="shared" ref="J1866:K1866" si="738">J1867</f>
        <v>0</v>
      </c>
      <c r="K1866" s="20">
        <f t="shared" si="738"/>
        <v>0</v>
      </c>
      <c r="L1866" s="16">
        <v>1630177460</v>
      </c>
      <c r="M1866" s="16" t="str">
        <f t="shared" si="735"/>
        <v>1630177460</v>
      </c>
      <c r="N1866" s="16" t="str">
        <f t="shared" si="736"/>
        <v>62403091630177460000</v>
      </c>
    </row>
    <row r="1867" spans="2:14" s="16" customFormat="1">
      <c r="B1867" s="14"/>
      <c r="C1867" s="251" t="s">
        <v>138</v>
      </c>
      <c r="D1867" s="198" t="s">
        <v>939</v>
      </c>
      <c r="E1867" s="199" t="s">
        <v>13</v>
      </c>
      <c r="F1867" s="199" t="s">
        <v>471</v>
      </c>
      <c r="G1867" s="199" t="s">
        <v>1370</v>
      </c>
      <c r="H1867" s="199" t="s">
        <v>139</v>
      </c>
      <c r="I1867" s="20">
        <f>669.91</f>
        <v>669.91</v>
      </c>
      <c r="J1867" s="20">
        <v>0</v>
      </c>
      <c r="K1867" s="20">
        <v>0</v>
      </c>
      <c r="L1867" s="16">
        <v>1630177460</v>
      </c>
      <c r="M1867" s="16" t="str">
        <f t="shared" si="735"/>
        <v>1630177460</v>
      </c>
      <c r="N1867" s="16" t="str">
        <f t="shared" si="736"/>
        <v>62403091630177460110</v>
      </c>
    </row>
    <row r="1868" spans="2:14" s="16" customFormat="1" ht="63.75">
      <c r="B1868" s="14"/>
      <c r="C1868" s="251" t="s">
        <v>966</v>
      </c>
      <c r="D1868" s="198" t="s">
        <v>939</v>
      </c>
      <c r="E1868" s="199" t="s">
        <v>13</v>
      </c>
      <c r="F1868" s="199" t="s">
        <v>471</v>
      </c>
      <c r="G1868" s="199" t="s">
        <v>967</v>
      </c>
      <c r="H1868" s="199" t="s">
        <v>9</v>
      </c>
      <c r="I1868" s="20">
        <f>I1869</f>
        <v>2201.81</v>
      </c>
      <c r="J1868" s="20">
        <f t="shared" ref="J1868:K1869" si="739">J1869</f>
        <v>2201.81</v>
      </c>
      <c r="K1868" s="20">
        <f t="shared" si="739"/>
        <v>2201.81</v>
      </c>
      <c r="L1868" s="16">
        <v>1630200000</v>
      </c>
      <c r="M1868" s="16" t="str">
        <f t="shared" si="735"/>
        <v>1630200000</v>
      </c>
      <c r="N1868" s="16" t="str">
        <f t="shared" si="736"/>
        <v>62403091630200000000</v>
      </c>
    </row>
    <row r="1869" spans="2:14" s="16" customFormat="1" ht="51">
      <c r="B1869" s="14"/>
      <c r="C1869" s="251" t="s">
        <v>968</v>
      </c>
      <c r="D1869" s="198" t="s">
        <v>939</v>
      </c>
      <c r="E1869" s="199" t="s">
        <v>13</v>
      </c>
      <c r="F1869" s="199" t="s">
        <v>471</v>
      </c>
      <c r="G1869" s="199" t="s">
        <v>969</v>
      </c>
      <c r="H1869" s="199" t="s">
        <v>9</v>
      </c>
      <c r="I1869" s="20">
        <f>I1870</f>
        <v>2201.81</v>
      </c>
      <c r="J1869" s="20">
        <f t="shared" si="739"/>
        <v>2201.81</v>
      </c>
      <c r="K1869" s="20">
        <f t="shared" si="739"/>
        <v>2201.81</v>
      </c>
      <c r="L1869" s="16">
        <v>1630220690</v>
      </c>
      <c r="M1869" s="16" t="str">
        <f t="shared" si="735"/>
        <v>1630220690</v>
      </c>
      <c r="N1869" s="16" t="str">
        <f t="shared" si="736"/>
        <v>62403091630220690000</v>
      </c>
    </row>
    <row r="1870" spans="2:14" s="16" customFormat="1" ht="25.5">
      <c r="B1870" s="14"/>
      <c r="C1870" s="197" t="s">
        <v>28</v>
      </c>
      <c r="D1870" s="198" t="s">
        <v>939</v>
      </c>
      <c r="E1870" s="199" t="s">
        <v>13</v>
      </c>
      <c r="F1870" s="199" t="s">
        <v>471</v>
      </c>
      <c r="G1870" s="199" t="s">
        <v>969</v>
      </c>
      <c r="H1870" s="199" t="s">
        <v>29</v>
      </c>
      <c r="I1870" s="20">
        <v>2201.81</v>
      </c>
      <c r="J1870" s="20">
        <v>2201.81</v>
      </c>
      <c r="K1870" s="20">
        <v>2201.81</v>
      </c>
      <c r="L1870" s="16">
        <v>1630220690</v>
      </c>
      <c r="M1870" s="16" t="str">
        <f t="shared" si="735"/>
        <v>1630220690</v>
      </c>
      <c r="N1870" s="16" t="str">
        <f t="shared" si="736"/>
        <v>62403091630220690240</v>
      </c>
    </row>
    <row r="1871" spans="2:14" s="16" customFormat="1" ht="63.75">
      <c r="B1871" s="14"/>
      <c r="C1871" s="251" t="s">
        <v>970</v>
      </c>
      <c r="D1871" s="198" t="s">
        <v>939</v>
      </c>
      <c r="E1871" s="199" t="s">
        <v>13</v>
      </c>
      <c r="F1871" s="199" t="s">
        <v>471</v>
      </c>
      <c r="G1871" s="199" t="s">
        <v>971</v>
      </c>
      <c r="H1871" s="199" t="s">
        <v>9</v>
      </c>
      <c r="I1871" s="20">
        <f>I1872</f>
        <v>2700</v>
      </c>
      <c r="J1871" s="20">
        <f t="shared" ref="J1871:K1872" si="740">J1872</f>
        <v>2700</v>
      </c>
      <c r="K1871" s="20">
        <f t="shared" si="740"/>
        <v>2700</v>
      </c>
      <c r="L1871" s="16">
        <v>1630300000</v>
      </c>
      <c r="M1871" s="16" t="str">
        <f t="shared" si="735"/>
        <v>1630300000</v>
      </c>
      <c r="N1871" s="16" t="str">
        <f t="shared" si="736"/>
        <v>62403091630300000000</v>
      </c>
    </row>
    <row r="1872" spans="2:14" s="16" customFormat="1" ht="25.5">
      <c r="B1872" s="14"/>
      <c r="C1872" s="251" t="s">
        <v>152</v>
      </c>
      <c r="D1872" s="198" t="s">
        <v>939</v>
      </c>
      <c r="E1872" s="199" t="s">
        <v>13</v>
      </c>
      <c r="F1872" s="199" t="s">
        <v>471</v>
      </c>
      <c r="G1872" s="199" t="s">
        <v>972</v>
      </c>
      <c r="H1872" s="199" t="s">
        <v>9</v>
      </c>
      <c r="I1872" s="20">
        <f>I1873</f>
        <v>2700</v>
      </c>
      <c r="J1872" s="20">
        <f t="shared" si="740"/>
        <v>2700</v>
      </c>
      <c r="K1872" s="20">
        <f t="shared" si="740"/>
        <v>2700</v>
      </c>
      <c r="L1872" s="16">
        <v>1630320350</v>
      </c>
      <c r="M1872" s="16" t="str">
        <f t="shared" si="735"/>
        <v>1630320350</v>
      </c>
      <c r="N1872" s="16" t="str">
        <f t="shared" si="736"/>
        <v>62403091630320350000</v>
      </c>
    </row>
    <row r="1873" spans="2:14" s="16" customFormat="1" ht="25.5">
      <c r="B1873" s="14"/>
      <c r="C1873" s="251" t="s">
        <v>28</v>
      </c>
      <c r="D1873" s="198" t="s">
        <v>939</v>
      </c>
      <c r="E1873" s="199" t="s">
        <v>13</v>
      </c>
      <c r="F1873" s="199" t="s">
        <v>471</v>
      </c>
      <c r="G1873" s="199" t="s">
        <v>972</v>
      </c>
      <c r="H1873" s="199" t="s">
        <v>29</v>
      </c>
      <c r="I1873" s="20">
        <f>2430+270</f>
        <v>2700</v>
      </c>
      <c r="J1873" s="20">
        <f t="shared" ref="J1873:K1873" si="741">2430+270</f>
        <v>2700</v>
      </c>
      <c r="K1873" s="20">
        <f t="shared" si="741"/>
        <v>2700</v>
      </c>
      <c r="L1873" s="16">
        <v>1630320350</v>
      </c>
      <c r="M1873" s="16" t="str">
        <f t="shared" si="735"/>
        <v>1630320350</v>
      </c>
      <c r="N1873" s="16" t="str">
        <f t="shared" si="736"/>
        <v>62403091630320350240</v>
      </c>
    </row>
    <row r="1874" spans="2:14" s="16" customFormat="1" ht="63.75">
      <c r="B1874" s="14"/>
      <c r="C1874" s="251" t="s">
        <v>973</v>
      </c>
      <c r="D1874" s="198" t="s">
        <v>939</v>
      </c>
      <c r="E1874" s="199" t="s">
        <v>13</v>
      </c>
      <c r="F1874" s="199" t="s">
        <v>471</v>
      </c>
      <c r="G1874" s="199" t="s">
        <v>974</v>
      </c>
      <c r="H1874" s="199" t="s">
        <v>9</v>
      </c>
      <c r="I1874" s="20">
        <f>I1875</f>
        <v>765</v>
      </c>
      <c r="J1874" s="20">
        <f t="shared" ref="J1874:K1875" si="742">J1875</f>
        <v>765</v>
      </c>
      <c r="K1874" s="20">
        <f t="shared" si="742"/>
        <v>765</v>
      </c>
      <c r="L1874" s="16">
        <v>1630400000</v>
      </c>
      <c r="M1874" s="16" t="str">
        <f t="shared" si="735"/>
        <v>1630400000</v>
      </c>
      <c r="N1874" s="16" t="str">
        <f t="shared" si="736"/>
        <v>62403091630400000000</v>
      </c>
    </row>
    <row r="1875" spans="2:14" s="16" customFormat="1" ht="25.5">
      <c r="B1875" s="14"/>
      <c r="C1875" s="251" t="s">
        <v>152</v>
      </c>
      <c r="D1875" s="198" t="s">
        <v>939</v>
      </c>
      <c r="E1875" s="199" t="s">
        <v>13</v>
      </c>
      <c r="F1875" s="199" t="s">
        <v>471</v>
      </c>
      <c r="G1875" s="199" t="s">
        <v>975</v>
      </c>
      <c r="H1875" s="199" t="s">
        <v>9</v>
      </c>
      <c r="I1875" s="20">
        <f>I1876</f>
        <v>765</v>
      </c>
      <c r="J1875" s="20">
        <f t="shared" si="742"/>
        <v>765</v>
      </c>
      <c r="K1875" s="20">
        <f t="shared" si="742"/>
        <v>765</v>
      </c>
      <c r="L1875" s="16">
        <v>1630420350</v>
      </c>
      <c r="M1875" s="16" t="str">
        <f t="shared" si="735"/>
        <v>1630420350</v>
      </c>
      <c r="N1875" s="16" t="str">
        <f t="shared" si="736"/>
        <v>62403091630420350000</v>
      </c>
    </row>
    <row r="1876" spans="2:14" s="16" customFormat="1" ht="25.5">
      <c r="B1876" s="14"/>
      <c r="C1876" s="251" t="s">
        <v>28</v>
      </c>
      <c r="D1876" s="198" t="s">
        <v>939</v>
      </c>
      <c r="E1876" s="199" t="s">
        <v>13</v>
      </c>
      <c r="F1876" s="199" t="s">
        <v>471</v>
      </c>
      <c r="G1876" s="199" t="s">
        <v>975</v>
      </c>
      <c r="H1876" s="199" t="s">
        <v>29</v>
      </c>
      <c r="I1876" s="20">
        <f>765</f>
        <v>765</v>
      </c>
      <c r="J1876" s="20">
        <f>765</f>
        <v>765</v>
      </c>
      <c r="K1876" s="20">
        <f>765</f>
        <v>765</v>
      </c>
      <c r="L1876" s="16">
        <v>1630420350</v>
      </c>
      <c r="M1876" s="16" t="str">
        <f t="shared" si="735"/>
        <v>1630420350</v>
      </c>
      <c r="N1876" s="16" t="str">
        <f t="shared" si="736"/>
        <v>62403091630420350240</v>
      </c>
    </row>
    <row r="1877" spans="2:14" s="16" customFormat="1" ht="38.25">
      <c r="B1877" s="14"/>
      <c r="C1877" s="250" t="s">
        <v>976</v>
      </c>
      <c r="D1877" s="198" t="s">
        <v>939</v>
      </c>
      <c r="E1877" s="199" t="s">
        <v>13</v>
      </c>
      <c r="F1877" s="199" t="s">
        <v>471</v>
      </c>
      <c r="G1877" s="199" t="s">
        <v>977</v>
      </c>
      <c r="H1877" s="199" t="s">
        <v>9</v>
      </c>
      <c r="I1877" s="20">
        <f>I1878</f>
        <v>15764.84</v>
      </c>
      <c r="J1877" s="20">
        <f>J1878</f>
        <v>15838.789999999999</v>
      </c>
      <c r="K1877" s="20">
        <f>K1878</f>
        <v>15872.75</v>
      </c>
      <c r="L1877" s="16">
        <v>8500000000</v>
      </c>
      <c r="M1877" s="16" t="str">
        <f t="shared" si="735"/>
        <v>8500000000</v>
      </c>
      <c r="N1877" s="16" t="str">
        <f t="shared" si="736"/>
        <v>62403098500000000000</v>
      </c>
    </row>
    <row r="1878" spans="2:14" s="66" customFormat="1" ht="38.25">
      <c r="B1878" s="65"/>
      <c r="C1878" s="197" t="s">
        <v>978</v>
      </c>
      <c r="D1878" s="198" t="s">
        <v>939</v>
      </c>
      <c r="E1878" s="199" t="s">
        <v>13</v>
      </c>
      <c r="F1878" s="199" t="s">
        <v>471</v>
      </c>
      <c r="G1878" s="199" t="s">
        <v>979</v>
      </c>
      <c r="H1878" s="199" t="s">
        <v>9</v>
      </c>
      <c r="I1878" s="20">
        <f>I1879+I1883+I1885</f>
        <v>15764.84</v>
      </c>
      <c r="J1878" s="20">
        <f t="shared" ref="J1878:K1878" si="743">J1879+J1883+J1885</f>
        <v>15838.789999999999</v>
      </c>
      <c r="K1878" s="20">
        <f t="shared" si="743"/>
        <v>15872.75</v>
      </c>
      <c r="L1878" s="66">
        <v>8510000000</v>
      </c>
      <c r="M1878" s="16" t="str">
        <f t="shared" si="735"/>
        <v>8510000000</v>
      </c>
      <c r="N1878" s="16" t="str">
        <f t="shared" si="736"/>
        <v>62403098510000000000</v>
      </c>
    </row>
    <row r="1879" spans="2:14" s="16" customFormat="1" ht="25.5">
      <c r="B1879" s="14"/>
      <c r="C1879" s="251" t="s">
        <v>18</v>
      </c>
      <c r="D1879" s="198" t="s">
        <v>939</v>
      </c>
      <c r="E1879" s="199" t="s">
        <v>13</v>
      </c>
      <c r="F1879" s="199" t="s">
        <v>471</v>
      </c>
      <c r="G1879" s="199" t="s">
        <v>980</v>
      </c>
      <c r="H1879" s="199" t="s">
        <v>9</v>
      </c>
      <c r="I1879" s="20">
        <f>SUM(I1880:I1882)</f>
        <v>1645.22</v>
      </c>
      <c r="J1879" s="20">
        <f>SUM(J1880:J1882)</f>
        <v>1719.17</v>
      </c>
      <c r="K1879" s="20">
        <f>SUM(K1880:K1882)</f>
        <v>1753.13</v>
      </c>
      <c r="L1879" s="16">
        <v>8510010010</v>
      </c>
      <c r="M1879" s="16" t="str">
        <f t="shared" si="735"/>
        <v>8510010010</v>
      </c>
      <c r="N1879" s="16" t="str">
        <f t="shared" si="736"/>
        <v>62403098510010010000</v>
      </c>
    </row>
    <row r="1880" spans="2:14" s="16" customFormat="1" ht="25.5">
      <c r="B1880" s="14"/>
      <c r="C1880" s="197" t="s">
        <v>20</v>
      </c>
      <c r="D1880" s="198" t="s">
        <v>939</v>
      </c>
      <c r="E1880" s="199" t="s">
        <v>13</v>
      </c>
      <c r="F1880" s="199" t="s">
        <v>471</v>
      </c>
      <c r="G1880" s="199" t="s">
        <v>980</v>
      </c>
      <c r="H1880" s="199" t="s">
        <v>21</v>
      </c>
      <c r="I1880" s="20">
        <f>303.08+84.17</f>
        <v>387.25</v>
      </c>
      <c r="J1880" s="20">
        <f t="shared" ref="J1880:K1880" si="744">303.08+84.17</f>
        <v>387.25</v>
      </c>
      <c r="K1880" s="20">
        <f t="shared" si="744"/>
        <v>387.25</v>
      </c>
      <c r="L1880" s="16">
        <v>8510010010</v>
      </c>
      <c r="M1880" s="16" t="str">
        <f t="shared" si="735"/>
        <v>8510010010</v>
      </c>
      <c r="N1880" s="16" t="str">
        <f t="shared" si="736"/>
        <v>62403098510010010120</v>
      </c>
    </row>
    <row r="1881" spans="2:14" s="16" customFormat="1" ht="25.5">
      <c r="B1881" s="14"/>
      <c r="C1881" s="278" t="s">
        <v>28</v>
      </c>
      <c r="D1881" s="198" t="s">
        <v>939</v>
      </c>
      <c r="E1881" s="199" t="s">
        <v>13</v>
      </c>
      <c r="F1881" s="199" t="s">
        <v>471</v>
      </c>
      <c r="G1881" s="199" t="s">
        <v>980</v>
      </c>
      <c r="H1881" s="199" t="s">
        <v>29</v>
      </c>
      <c r="I1881" s="20">
        <f>1183.98</f>
        <v>1183.98</v>
      </c>
      <c r="J1881" s="20">
        <f t="shared" ref="J1881:K1881" si="745">1183.98</f>
        <v>1183.98</v>
      </c>
      <c r="K1881" s="20">
        <f t="shared" si="745"/>
        <v>1183.98</v>
      </c>
      <c r="L1881" s="16">
        <v>8510010010</v>
      </c>
      <c r="M1881" s="16" t="str">
        <f t="shared" si="735"/>
        <v>8510010010</v>
      </c>
      <c r="N1881" s="16" t="str">
        <f t="shared" si="736"/>
        <v>62403098510010010240</v>
      </c>
    </row>
    <row r="1882" spans="2:14" s="16" customFormat="1">
      <c r="B1882" s="14"/>
      <c r="C1882" s="197" t="s">
        <v>32</v>
      </c>
      <c r="D1882" s="198" t="s">
        <v>939</v>
      </c>
      <c r="E1882" s="199" t="s">
        <v>13</v>
      </c>
      <c r="F1882" s="199" t="s">
        <v>471</v>
      </c>
      <c r="G1882" s="199" t="s">
        <v>980</v>
      </c>
      <c r="H1882" s="199" t="s">
        <v>33</v>
      </c>
      <c r="I1882" s="20">
        <f>172.71+29-87.72-40</f>
        <v>73.990000000000009</v>
      </c>
      <c r="J1882" s="20">
        <f>172.71+29-53.77</f>
        <v>147.94</v>
      </c>
      <c r="K1882" s="20">
        <f>172.71+29-19.81</f>
        <v>181.9</v>
      </c>
      <c r="L1882" s="16">
        <v>8510010010</v>
      </c>
      <c r="M1882" s="16" t="str">
        <f t="shared" si="735"/>
        <v>8510010010</v>
      </c>
      <c r="N1882" s="16" t="str">
        <f t="shared" si="736"/>
        <v>62403098510010010850</v>
      </c>
    </row>
    <row r="1883" spans="2:14" s="16" customFormat="1" ht="25.5">
      <c r="B1883" s="14"/>
      <c r="C1883" s="251" t="s">
        <v>38</v>
      </c>
      <c r="D1883" s="198" t="s">
        <v>939</v>
      </c>
      <c r="E1883" s="199" t="s">
        <v>13</v>
      </c>
      <c r="F1883" s="199" t="s">
        <v>471</v>
      </c>
      <c r="G1883" s="199" t="s">
        <v>981</v>
      </c>
      <c r="H1883" s="199" t="s">
        <v>9</v>
      </c>
      <c r="I1883" s="20">
        <f>I1884</f>
        <v>13657.84</v>
      </c>
      <c r="J1883" s="20">
        <f>J1884</f>
        <v>14119.619999999999</v>
      </c>
      <c r="K1883" s="20">
        <f>K1884</f>
        <v>14119.619999999999</v>
      </c>
      <c r="L1883" s="16">
        <v>8510010020</v>
      </c>
      <c r="M1883" s="16" t="str">
        <f t="shared" si="735"/>
        <v>8510010020</v>
      </c>
      <c r="N1883" s="16" t="str">
        <f t="shared" si="736"/>
        <v>62403098510010020000</v>
      </c>
    </row>
    <row r="1884" spans="2:14" s="16" customFormat="1" ht="25.5">
      <c r="B1884" s="14"/>
      <c r="C1884" s="197" t="s">
        <v>20</v>
      </c>
      <c r="D1884" s="198" t="s">
        <v>939</v>
      </c>
      <c r="E1884" s="199" t="s">
        <v>13</v>
      </c>
      <c r="F1884" s="199" t="s">
        <v>471</v>
      </c>
      <c r="G1884" s="199" t="s">
        <v>981</v>
      </c>
      <c r="H1884" s="199" t="s">
        <v>21</v>
      </c>
      <c r="I1884" s="20">
        <f>10427.46+3149.09+23.82+66.61-9.14</f>
        <v>13657.84</v>
      </c>
      <c r="J1884" s="20">
        <f>10427.46+3149.09+543.07</f>
        <v>14119.619999999999</v>
      </c>
      <c r="K1884" s="20">
        <f>10427.46+3149.09+543.07</f>
        <v>14119.619999999999</v>
      </c>
      <c r="L1884" s="16">
        <v>8510010020</v>
      </c>
      <c r="M1884" s="16" t="str">
        <f t="shared" si="735"/>
        <v>8510010020</v>
      </c>
      <c r="N1884" s="16" t="str">
        <f t="shared" si="736"/>
        <v>62403098510010020120</v>
      </c>
    </row>
    <row r="1885" spans="2:14" s="16" customFormat="1" ht="191.25">
      <c r="B1885" s="14" t="s">
        <v>2282</v>
      </c>
      <c r="C1885" s="197" t="s">
        <v>2269</v>
      </c>
      <c r="D1885" s="198" t="s">
        <v>939</v>
      </c>
      <c r="E1885" s="199" t="s">
        <v>13</v>
      </c>
      <c r="F1885" s="199" t="s">
        <v>471</v>
      </c>
      <c r="G1885" s="199" t="s">
        <v>1371</v>
      </c>
      <c r="H1885" s="199" t="s">
        <v>9</v>
      </c>
      <c r="I1885" s="20">
        <f>I1886</f>
        <v>461.78</v>
      </c>
      <c r="J1885" s="20">
        <f>J1886</f>
        <v>0</v>
      </c>
      <c r="K1885" s="20">
        <f>K1886</f>
        <v>0</v>
      </c>
      <c r="L1885" s="16">
        <v>8510077460</v>
      </c>
      <c r="M1885" s="16" t="str">
        <f t="shared" si="735"/>
        <v>8510077460</v>
      </c>
      <c r="N1885" s="16" t="str">
        <f t="shared" si="736"/>
        <v>62403098510077460000</v>
      </c>
    </row>
    <row r="1886" spans="2:14" s="16" customFormat="1" ht="25.5">
      <c r="B1886" s="14"/>
      <c r="C1886" s="197" t="s">
        <v>20</v>
      </c>
      <c r="D1886" s="198" t="s">
        <v>939</v>
      </c>
      <c r="E1886" s="199" t="s">
        <v>13</v>
      </c>
      <c r="F1886" s="199" t="s">
        <v>471</v>
      </c>
      <c r="G1886" s="199" t="s">
        <v>1371</v>
      </c>
      <c r="H1886" s="199" t="s">
        <v>21</v>
      </c>
      <c r="I1886" s="20">
        <f>452.64+9.14</f>
        <v>461.78</v>
      </c>
      <c r="J1886" s="20">
        <v>0</v>
      </c>
      <c r="K1886" s="20">
        <v>0</v>
      </c>
      <c r="L1886" s="16">
        <v>8510077460</v>
      </c>
      <c r="M1886" s="16" t="str">
        <f t="shared" si="735"/>
        <v>8510077460</v>
      </c>
      <c r="N1886" s="16" t="str">
        <f t="shared" si="736"/>
        <v>62403098510077460120</v>
      </c>
    </row>
    <row r="1887" spans="2:14" s="16" customFormat="1">
      <c r="B1887" s="14"/>
      <c r="C1887" s="197"/>
      <c r="D1887" s="198"/>
      <c r="E1887" s="199"/>
      <c r="F1887" s="199"/>
      <c r="G1887" s="199"/>
      <c r="H1887" s="199"/>
      <c r="I1887" s="20"/>
      <c r="J1887" s="20"/>
      <c r="K1887" s="20"/>
      <c r="M1887" s="16" t="str">
        <f t="shared" si="735"/>
        <v>0000000000</v>
      </c>
      <c r="N1887" s="16" t="str">
        <f t="shared" si="736"/>
        <v>0000000000</v>
      </c>
    </row>
    <row r="1888" spans="2:14" s="16" customFormat="1">
      <c r="B1888" s="14"/>
      <c r="C1888" s="202" t="s">
        <v>982</v>
      </c>
      <c r="D1888" s="189" t="s">
        <v>983</v>
      </c>
      <c r="E1888" s="190" t="s">
        <v>7</v>
      </c>
      <c r="F1888" s="190" t="s">
        <v>7</v>
      </c>
      <c r="G1888" s="190" t="s">
        <v>8</v>
      </c>
      <c r="H1888" s="190" t="s">
        <v>9</v>
      </c>
      <c r="I1888" s="25">
        <f t="shared" ref="I1888:K1891" si="746">I1889</f>
        <v>14864.670000000004</v>
      </c>
      <c r="J1888" s="25">
        <f t="shared" si="746"/>
        <v>14901.69</v>
      </c>
      <c r="K1888" s="25">
        <f t="shared" si="746"/>
        <v>14901.69</v>
      </c>
      <c r="L1888" s="16">
        <v>0</v>
      </c>
      <c r="M1888" s="16" t="str">
        <f t="shared" si="735"/>
        <v>0000000000</v>
      </c>
      <c r="N1888" s="16" t="str">
        <f t="shared" si="736"/>
        <v>64300000000000000000</v>
      </c>
    </row>
    <row r="1889" spans="2:14" s="16" customFormat="1">
      <c r="B1889" s="14"/>
      <c r="C1889" s="191" t="s">
        <v>10</v>
      </c>
      <c r="D1889" s="192" t="s">
        <v>983</v>
      </c>
      <c r="E1889" s="193" t="s">
        <v>11</v>
      </c>
      <c r="F1889" s="193" t="s">
        <v>7</v>
      </c>
      <c r="G1889" s="193" t="s">
        <v>8</v>
      </c>
      <c r="H1889" s="193" t="s">
        <v>9</v>
      </c>
      <c r="I1889" s="18">
        <f t="shared" si="746"/>
        <v>14864.670000000004</v>
      </c>
      <c r="J1889" s="18">
        <f t="shared" si="746"/>
        <v>14901.69</v>
      </c>
      <c r="K1889" s="18">
        <f t="shared" si="746"/>
        <v>14901.69</v>
      </c>
      <c r="L1889" s="16">
        <v>0</v>
      </c>
      <c r="M1889" s="16" t="str">
        <f t="shared" si="735"/>
        <v>0000000000</v>
      </c>
      <c r="N1889" s="16" t="str">
        <f t="shared" si="736"/>
        <v>64301000000000000000</v>
      </c>
    </row>
    <row r="1890" spans="2:14" s="16" customFormat="1" ht="25.5">
      <c r="B1890" s="14"/>
      <c r="C1890" s="194" t="s">
        <v>333</v>
      </c>
      <c r="D1890" s="195" t="s">
        <v>983</v>
      </c>
      <c r="E1890" s="196" t="s">
        <v>11</v>
      </c>
      <c r="F1890" s="196" t="s">
        <v>334</v>
      </c>
      <c r="G1890" s="196" t="s">
        <v>8</v>
      </c>
      <c r="H1890" s="196" t="s">
        <v>9</v>
      </c>
      <c r="I1890" s="19">
        <f t="shared" si="746"/>
        <v>14864.670000000004</v>
      </c>
      <c r="J1890" s="19">
        <f t="shared" si="746"/>
        <v>14901.69</v>
      </c>
      <c r="K1890" s="19">
        <f t="shared" si="746"/>
        <v>14901.69</v>
      </c>
      <c r="L1890" s="16">
        <v>0</v>
      </c>
      <c r="M1890" s="16" t="str">
        <f t="shared" si="735"/>
        <v>0000000000</v>
      </c>
      <c r="N1890" s="16" t="str">
        <f t="shared" si="736"/>
        <v>64301060000000000000</v>
      </c>
    </row>
    <row r="1891" spans="2:14" s="16" customFormat="1" ht="26.25">
      <c r="B1891" s="14"/>
      <c r="C1891" s="283" t="s">
        <v>984</v>
      </c>
      <c r="D1891" s="198" t="s">
        <v>983</v>
      </c>
      <c r="E1891" s="199" t="s">
        <v>11</v>
      </c>
      <c r="F1891" s="199" t="s">
        <v>334</v>
      </c>
      <c r="G1891" s="199" t="s">
        <v>985</v>
      </c>
      <c r="H1891" s="199" t="s">
        <v>9</v>
      </c>
      <c r="I1891" s="20">
        <f t="shared" si="746"/>
        <v>14864.670000000004</v>
      </c>
      <c r="J1891" s="20">
        <f t="shared" si="746"/>
        <v>14901.69</v>
      </c>
      <c r="K1891" s="20">
        <f t="shared" si="746"/>
        <v>14901.69</v>
      </c>
      <c r="L1891" s="16">
        <v>8600000000</v>
      </c>
      <c r="M1891" s="16" t="str">
        <f t="shared" si="735"/>
        <v>8600000000</v>
      </c>
      <c r="N1891" s="16" t="str">
        <f t="shared" si="736"/>
        <v>64301068600000000000</v>
      </c>
    </row>
    <row r="1892" spans="2:14" s="16" customFormat="1" ht="26.25">
      <c r="B1892" s="14"/>
      <c r="C1892" s="283" t="s">
        <v>986</v>
      </c>
      <c r="D1892" s="198" t="s">
        <v>983</v>
      </c>
      <c r="E1892" s="199" t="s">
        <v>11</v>
      </c>
      <c r="F1892" s="199" t="s">
        <v>334</v>
      </c>
      <c r="G1892" s="199" t="s">
        <v>987</v>
      </c>
      <c r="H1892" s="199" t="s">
        <v>9</v>
      </c>
      <c r="I1892" s="20">
        <f>I1893+I1897+I1899+I1901</f>
        <v>14864.670000000004</v>
      </c>
      <c r="J1892" s="20">
        <f t="shared" ref="J1892:K1892" si="747">J1893+J1897+J1899+J1901</f>
        <v>14901.69</v>
      </c>
      <c r="K1892" s="20">
        <f t="shared" si="747"/>
        <v>14901.69</v>
      </c>
      <c r="L1892" s="16">
        <v>8610000000</v>
      </c>
      <c r="M1892" s="16" t="str">
        <f t="shared" si="735"/>
        <v>8610000000</v>
      </c>
      <c r="N1892" s="16" t="str">
        <f t="shared" si="736"/>
        <v>64301068610000000000</v>
      </c>
    </row>
    <row r="1893" spans="2:14" s="16" customFormat="1" ht="25.5">
      <c r="B1893" s="14"/>
      <c r="C1893" s="197" t="s">
        <v>18</v>
      </c>
      <c r="D1893" s="198" t="s">
        <v>983</v>
      </c>
      <c r="E1893" s="199" t="s">
        <v>11</v>
      </c>
      <c r="F1893" s="199" t="s">
        <v>334</v>
      </c>
      <c r="G1893" s="199" t="s">
        <v>988</v>
      </c>
      <c r="H1893" s="199" t="s">
        <v>9</v>
      </c>
      <c r="I1893" s="20">
        <f>SUM(I1894:I1896)</f>
        <v>3940.05</v>
      </c>
      <c r="J1893" s="20">
        <f t="shared" ref="J1893:K1893" si="748">SUM(J1894:J1896)</f>
        <v>3953.5899999999997</v>
      </c>
      <c r="K1893" s="20">
        <f t="shared" si="748"/>
        <v>3953.5899999999997</v>
      </c>
      <c r="L1893" s="16">
        <v>8610010010</v>
      </c>
      <c r="M1893" s="16" t="str">
        <f t="shared" si="735"/>
        <v>8610010010</v>
      </c>
      <c r="N1893" s="16" t="str">
        <f t="shared" si="736"/>
        <v>64301068610010010000</v>
      </c>
    </row>
    <row r="1894" spans="2:14" s="16" customFormat="1" ht="25.5">
      <c r="B1894" s="14"/>
      <c r="C1894" s="200" t="s">
        <v>20</v>
      </c>
      <c r="D1894" s="198" t="s">
        <v>983</v>
      </c>
      <c r="E1894" s="199" t="s">
        <v>11</v>
      </c>
      <c r="F1894" s="199" t="s">
        <v>334</v>
      </c>
      <c r="G1894" s="199" t="s">
        <v>988</v>
      </c>
      <c r="H1894" s="199" t="s">
        <v>21</v>
      </c>
      <c r="I1894" s="20">
        <f>426.5+70.03+50+2.95+37.38</f>
        <v>586.86</v>
      </c>
      <c r="J1894" s="20">
        <f>426.5+70.03+50+37.38</f>
        <v>583.91</v>
      </c>
      <c r="K1894" s="20">
        <f>426.5+70.03+50+37.38</f>
        <v>583.91</v>
      </c>
      <c r="L1894" s="16">
        <v>8610010010</v>
      </c>
      <c r="M1894" s="16" t="str">
        <f t="shared" si="735"/>
        <v>8610010010</v>
      </c>
      <c r="N1894" s="16" t="str">
        <f t="shared" si="736"/>
        <v>64301068610010010120</v>
      </c>
    </row>
    <row r="1895" spans="2:14" s="16" customFormat="1" ht="25.5">
      <c r="B1895" s="14"/>
      <c r="C1895" s="197" t="s">
        <v>28</v>
      </c>
      <c r="D1895" s="198" t="s">
        <v>983</v>
      </c>
      <c r="E1895" s="199" t="s">
        <v>11</v>
      </c>
      <c r="F1895" s="199" t="s">
        <v>334</v>
      </c>
      <c r="G1895" s="199" t="s">
        <v>988</v>
      </c>
      <c r="H1895" s="199" t="s">
        <v>29</v>
      </c>
      <c r="I1895" s="20">
        <f>2563.83+694.15-14.89-1.6</f>
        <v>3241.4900000000002</v>
      </c>
      <c r="J1895" s="20">
        <f t="shared" ref="J1895:K1895" si="749">2563.83+694.15</f>
        <v>3257.98</v>
      </c>
      <c r="K1895" s="20">
        <f t="shared" si="749"/>
        <v>3257.98</v>
      </c>
      <c r="L1895" s="16">
        <v>8610010010</v>
      </c>
      <c r="M1895" s="16" t="str">
        <f t="shared" si="735"/>
        <v>8610010010</v>
      </c>
      <c r="N1895" s="16" t="str">
        <f t="shared" si="736"/>
        <v>64301068610010010240</v>
      </c>
    </row>
    <row r="1896" spans="2:14" s="16" customFormat="1">
      <c r="B1896" s="14"/>
      <c r="C1896" s="197" t="s">
        <v>32</v>
      </c>
      <c r="D1896" s="198" t="s">
        <v>983</v>
      </c>
      <c r="E1896" s="199" t="s">
        <v>11</v>
      </c>
      <c r="F1896" s="199" t="s">
        <v>334</v>
      </c>
      <c r="G1896" s="199" t="s">
        <v>988</v>
      </c>
      <c r="H1896" s="199" t="s">
        <v>33</v>
      </c>
      <c r="I1896" s="20">
        <f>28.97+1.88+25+55.85</f>
        <v>111.69999999999999</v>
      </c>
      <c r="J1896" s="20">
        <f t="shared" ref="J1896:K1896" si="750">28.97+1.88+25+55.85</f>
        <v>111.69999999999999</v>
      </c>
      <c r="K1896" s="20">
        <f t="shared" si="750"/>
        <v>111.69999999999999</v>
      </c>
      <c r="L1896" s="16">
        <v>8610010010</v>
      </c>
      <c r="M1896" s="16" t="str">
        <f t="shared" si="735"/>
        <v>8610010010</v>
      </c>
      <c r="N1896" s="16" t="str">
        <f t="shared" si="736"/>
        <v>64301068610010010850</v>
      </c>
    </row>
    <row r="1897" spans="2:14" s="16" customFormat="1" ht="25.5">
      <c r="B1897" s="14"/>
      <c r="C1897" s="200" t="s">
        <v>38</v>
      </c>
      <c r="D1897" s="198" t="s">
        <v>983</v>
      </c>
      <c r="E1897" s="199" t="s">
        <v>11</v>
      </c>
      <c r="F1897" s="199" t="s">
        <v>334</v>
      </c>
      <c r="G1897" s="199" t="s">
        <v>989</v>
      </c>
      <c r="H1897" s="199" t="s">
        <v>9</v>
      </c>
      <c r="I1897" s="20">
        <f>I1898</f>
        <v>10565.230000000001</v>
      </c>
      <c r="J1897" s="20">
        <f>J1898</f>
        <v>10948.1</v>
      </c>
      <c r="K1897" s="20">
        <f>K1898</f>
        <v>10948.1</v>
      </c>
      <c r="L1897" s="16">
        <v>8610010020</v>
      </c>
      <c r="M1897" s="16" t="str">
        <f t="shared" si="735"/>
        <v>8610010020</v>
      </c>
      <c r="N1897" s="16" t="str">
        <f t="shared" si="736"/>
        <v>64301068610010020000</v>
      </c>
    </row>
    <row r="1898" spans="2:14" s="16" customFormat="1" ht="25.5">
      <c r="B1898" s="14"/>
      <c r="C1898" s="200" t="s">
        <v>20</v>
      </c>
      <c r="D1898" s="198" t="s">
        <v>983</v>
      </c>
      <c r="E1898" s="199" t="s">
        <v>11</v>
      </c>
      <c r="F1898" s="199" t="s">
        <v>334</v>
      </c>
      <c r="G1898" s="199" t="s">
        <v>989</v>
      </c>
      <c r="H1898" s="199" t="s">
        <v>21</v>
      </c>
      <c r="I1898" s="20">
        <f>8039.78+2428.01+18.37+51.35+27.72</f>
        <v>10565.230000000001</v>
      </c>
      <c r="J1898" s="20">
        <f>8039.78+2428.01+418.71+61.6</f>
        <v>10948.1</v>
      </c>
      <c r="K1898" s="20">
        <f>8039.78+2428.01+418.71+61.6</f>
        <v>10948.1</v>
      </c>
      <c r="L1898" s="16">
        <v>8610010020</v>
      </c>
      <c r="M1898" s="16" t="str">
        <f t="shared" si="735"/>
        <v>8610010020</v>
      </c>
      <c r="N1898" s="16" t="str">
        <f t="shared" si="736"/>
        <v>64301068610010020120</v>
      </c>
    </row>
    <row r="1899" spans="2:14" s="16" customFormat="1" ht="191.25">
      <c r="B1899" s="14" t="s">
        <v>2282</v>
      </c>
      <c r="C1899" s="197" t="s">
        <v>2269</v>
      </c>
      <c r="D1899" s="198" t="s">
        <v>983</v>
      </c>
      <c r="E1899" s="199" t="s">
        <v>11</v>
      </c>
      <c r="F1899" s="199" t="s">
        <v>334</v>
      </c>
      <c r="G1899" s="199" t="s">
        <v>1372</v>
      </c>
      <c r="H1899" s="199" t="s">
        <v>9</v>
      </c>
      <c r="I1899" s="20">
        <f>I1900</f>
        <v>346.04</v>
      </c>
      <c r="J1899" s="20">
        <f t="shared" ref="J1899:K1901" si="751">J1900</f>
        <v>0</v>
      </c>
      <c r="K1899" s="20">
        <f t="shared" si="751"/>
        <v>0</v>
      </c>
      <c r="L1899" s="16">
        <v>8610077460</v>
      </c>
      <c r="M1899" s="16" t="str">
        <f t="shared" si="735"/>
        <v>8610077460</v>
      </c>
      <c r="N1899" s="16" t="str">
        <f t="shared" si="736"/>
        <v>64301068610077460000</v>
      </c>
    </row>
    <row r="1900" spans="2:14" s="16" customFormat="1" ht="25.5">
      <c r="B1900" s="14"/>
      <c r="C1900" s="197" t="s">
        <v>20</v>
      </c>
      <c r="D1900" s="198" t="s">
        <v>983</v>
      </c>
      <c r="E1900" s="199" t="s">
        <v>11</v>
      </c>
      <c r="F1900" s="199" t="s">
        <v>334</v>
      </c>
      <c r="G1900" s="199" t="s">
        <v>1372</v>
      </c>
      <c r="H1900" s="199" t="s">
        <v>21</v>
      </c>
      <c r="I1900" s="20">
        <f>348.99-2.95</f>
        <v>346.04</v>
      </c>
      <c r="J1900" s="20">
        <v>0</v>
      </c>
      <c r="K1900" s="20">
        <v>0</v>
      </c>
      <c r="L1900" s="16">
        <v>8610077460</v>
      </c>
      <c r="M1900" s="16" t="str">
        <f t="shared" si="735"/>
        <v>8610077460</v>
      </c>
      <c r="N1900" s="16" t="str">
        <f t="shared" si="736"/>
        <v>64301068610077460120</v>
      </c>
    </row>
    <row r="1901" spans="2:14" s="16" customFormat="1" ht="165.75">
      <c r="B1901" s="14"/>
      <c r="C1901" s="200" t="s">
        <v>2247</v>
      </c>
      <c r="D1901" s="198" t="s">
        <v>983</v>
      </c>
      <c r="E1901" s="199" t="s">
        <v>11</v>
      </c>
      <c r="F1901" s="199" t="s">
        <v>334</v>
      </c>
      <c r="G1901" s="199" t="s">
        <v>2281</v>
      </c>
      <c r="H1901" s="199" t="s">
        <v>9</v>
      </c>
      <c r="I1901" s="20">
        <f>I1902</f>
        <v>13.35</v>
      </c>
      <c r="J1901" s="20">
        <f t="shared" si="751"/>
        <v>0</v>
      </c>
      <c r="K1901" s="20">
        <f t="shared" si="751"/>
        <v>0</v>
      </c>
      <c r="L1901" s="16">
        <v>8610077580</v>
      </c>
      <c r="M1901" s="16" t="str">
        <f t="shared" si="735"/>
        <v>8610077580</v>
      </c>
      <c r="N1901" s="16" t="str">
        <f t="shared" si="736"/>
        <v>64301068610077580000</v>
      </c>
    </row>
    <row r="1902" spans="2:14" s="16" customFormat="1" ht="25.5">
      <c r="B1902" s="14"/>
      <c r="C1902" s="197" t="s">
        <v>20</v>
      </c>
      <c r="D1902" s="198" t="s">
        <v>983</v>
      </c>
      <c r="E1902" s="199" t="s">
        <v>11</v>
      </c>
      <c r="F1902" s="199" t="s">
        <v>334</v>
      </c>
      <c r="G1902" s="199" t="s">
        <v>2281</v>
      </c>
      <c r="H1902" s="199" t="s">
        <v>21</v>
      </c>
      <c r="I1902" s="20">
        <f>13.35</f>
        <v>13.35</v>
      </c>
      <c r="J1902" s="20">
        <v>0</v>
      </c>
      <c r="K1902" s="20">
        <v>0</v>
      </c>
      <c r="L1902" s="16">
        <v>8610077580</v>
      </c>
      <c r="M1902" s="16" t="str">
        <f t="shared" si="735"/>
        <v>8610077580</v>
      </c>
      <c r="N1902" s="16" t="str">
        <f t="shared" si="736"/>
        <v>64301068610077580120</v>
      </c>
    </row>
    <row r="1903" spans="2:14" s="16" customFormat="1">
      <c r="B1903" s="14"/>
      <c r="C1903" s="283"/>
      <c r="D1903" s="198"/>
      <c r="E1903" s="199"/>
      <c r="F1903" s="199"/>
      <c r="G1903" s="199"/>
      <c r="H1903" s="199"/>
      <c r="I1903" s="20"/>
      <c r="J1903" s="20"/>
      <c r="K1903" s="20"/>
      <c r="M1903" s="16" t="str">
        <f t="shared" si="735"/>
        <v>0000000000</v>
      </c>
      <c r="N1903" s="16" t="str">
        <f t="shared" si="736"/>
        <v>0000000000</v>
      </c>
    </row>
    <row r="1904" spans="2:14">
      <c r="C1904" s="284" t="s">
        <v>990</v>
      </c>
      <c r="D1904" s="285"/>
      <c r="E1904" s="190"/>
      <c r="F1904" s="190"/>
      <c r="G1904" s="190"/>
      <c r="H1904" s="190"/>
      <c r="I1904" s="25">
        <f>I5+I51+I221+I352+I394+I431+I697+I903+I1072+I1143+I1239+I1327+I1436+I1833+I1672+I1888</f>
        <v>10518865.859999999</v>
      </c>
      <c r="J1904" s="25">
        <f>J5+J51+J221+J352+J394+J431+J697+J903+J1072+J1143+J1239+J1327+J1436+J1833+J1672+J1888</f>
        <v>8918565.0399999991</v>
      </c>
      <c r="K1904" s="25">
        <f>K5+K51+K221+K352+K394+K431+K697+K903+K1072+K1143+K1239+K1327+K1436+K1833+K1672+K1888</f>
        <v>8182659.9500000011</v>
      </c>
      <c r="M1904" s="16" t="str">
        <f t="shared" si="735"/>
        <v>0000000000</v>
      </c>
      <c r="N1904" s="16" t="str">
        <f t="shared" si="736"/>
        <v>0000000000</v>
      </c>
    </row>
    <row r="1905" spans="2:14">
      <c r="C1905" s="286"/>
      <c r="D1905" s="68"/>
      <c r="E1905" s="69"/>
      <c r="F1905" s="69"/>
      <c r="G1905" s="69"/>
      <c r="H1905" s="69"/>
      <c r="I1905" s="70"/>
      <c r="J1905" s="70"/>
      <c r="K1905" s="18"/>
      <c r="M1905" s="16"/>
      <c r="N1905" s="16" t="str">
        <f t="shared" si="736"/>
        <v/>
      </c>
    </row>
    <row r="1906" spans="2:14">
      <c r="J1906" s="76"/>
      <c r="K1906" s="18"/>
      <c r="M1906" s="16"/>
      <c r="N1906" s="16" t="str">
        <f t="shared" si="736"/>
        <v/>
      </c>
    </row>
    <row r="1907" spans="2:14">
      <c r="J1907" s="76"/>
      <c r="K1907" s="18"/>
      <c r="M1907" s="16"/>
      <c r="N1907" s="16" t="str">
        <f t="shared" si="736"/>
        <v/>
      </c>
    </row>
    <row r="1908" spans="2:14">
      <c r="M1908" s="16"/>
      <c r="N1908" s="16" t="str">
        <f t="shared" si="736"/>
        <v/>
      </c>
    </row>
    <row r="1909" spans="2:14">
      <c r="M1909" s="16"/>
      <c r="N1909" s="16" t="str">
        <f t="shared" si="736"/>
        <v/>
      </c>
    </row>
    <row r="1910" spans="2:14" s="86" customFormat="1">
      <c r="B1910" s="85"/>
      <c r="E1910" s="87"/>
      <c r="F1910" s="87"/>
      <c r="G1910" s="288" t="s">
        <v>1158</v>
      </c>
      <c r="H1910" s="289"/>
      <c r="I1910" s="290">
        <f>I276+I292+I305+I347+I408+I440+I443+I458+I474+I489+I492+I495+I511+I522+I544+I574+I618+I639+I642+I655+I663+I1186+I1272+I1283+I1387+I1483+I1496+I1512+I1539+I1575+I1585+I1592+I1597+I1624+I1681+I1695+I1704+I1719+I1796+I1830-I306</f>
        <v>28955.360000000004</v>
      </c>
      <c r="M1910" s="16"/>
      <c r="N1910" s="16" t="str">
        <f t="shared" si="736"/>
        <v/>
      </c>
    </row>
    <row r="1911" spans="2:14">
      <c r="C1911" s="48"/>
      <c r="D1911" s="48"/>
      <c r="E1911" s="23"/>
      <c r="F1911" s="23"/>
      <c r="G1911" s="291" t="s">
        <v>1159</v>
      </c>
      <c r="I1911" s="290">
        <f>27114.71+1846.54+25.31-9.06-22.14</f>
        <v>28955.360000000001</v>
      </c>
      <c r="J1911" s="48"/>
      <c r="K1911" s="48"/>
      <c r="M1911" s="16"/>
      <c r="N1911" s="16" t="str">
        <f t="shared" si="736"/>
        <v/>
      </c>
    </row>
    <row r="1912" spans="2:14">
      <c r="C1912" s="48"/>
      <c r="D1912" s="48"/>
      <c r="E1912" s="23"/>
      <c r="F1912" s="23"/>
      <c r="G1912" s="291" t="s">
        <v>1160</v>
      </c>
      <c r="I1912" s="290">
        <f>I1910-I1911</f>
        <v>0</v>
      </c>
      <c r="J1912" s="48"/>
      <c r="K1912" s="48"/>
      <c r="M1912" s="16"/>
      <c r="N1912" s="16" t="str">
        <f t="shared" si="736"/>
        <v/>
      </c>
    </row>
    <row r="1913" spans="2:14">
      <c r="C1913" s="48"/>
      <c r="D1913" s="48"/>
      <c r="E1913" s="23"/>
      <c r="F1913" s="23"/>
      <c r="G1913" s="291"/>
      <c r="I1913" s="290"/>
      <c r="J1913" s="48"/>
      <c r="K1913" s="48"/>
      <c r="M1913" s="16"/>
      <c r="N1913" s="16" t="str">
        <f t="shared" si="736"/>
        <v/>
      </c>
    </row>
    <row r="1914" spans="2:14">
      <c r="C1914" s="48"/>
      <c r="D1914" s="48"/>
      <c r="E1914" s="23"/>
      <c r="F1914" s="23"/>
      <c r="I1914" s="290"/>
      <c r="J1914" s="48"/>
      <c r="K1914" s="48"/>
      <c r="M1914" s="16"/>
      <c r="N1914" s="16" t="str">
        <f t="shared" si="736"/>
        <v/>
      </c>
    </row>
    <row r="1915" spans="2:14">
      <c r="E1915" s="90"/>
      <c r="F1915" s="90"/>
      <c r="G1915" s="343" t="s">
        <v>1373</v>
      </c>
      <c r="I1915" s="290">
        <f>I334+I1192+I1508+I1732+I1750+I1808+I1821+I527+I306</f>
        <v>58043.829999999994</v>
      </c>
      <c r="M1915" s="16"/>
      <c r="N1915" s="16" t="str">
        <f t="shared" si="736"/>
        <v/>
      </c>
    </row>
    <row r="1916" spans="2:14">
      <c r="E1916" s="90"/>
      <c r="F1916" s="90"/>
      <c r="G1916" s="291" t="s">
        <v>1159</v>
      </c>
      <c r="I1916" s="290">
        <f>51402.13+6641.7</f>
        <v>58043.829999999994</v>
      </c>
      <c r="M1916" s="16"/>
      <c r="N1916" s="16" t="str">
        <f t="shared" si="736"/>
        <v/>
      </c>
    </row>
    <row r="1917" spans="2:14">
      <c r="E1917" s="90"/>
      <c r="F1917" s="90"/>
      <c r="G1917" s="291" t="s">
        <v>1160</v>
      </c>
      <c r="H1917" s="90"/>
      <c r="I1917" s="77">
        <f>I1915-I1916</f>
        <v>0</v>
      </c>
      <c r="J1917" s="77"/>
      <c r="M1917" s="16"/>
      <c r="N1917" s="16" t="str">
        <f t="shared" si="736"/>
        <v/>
      </c>
    </row>
    <row r="1918" spans="2:14">
      <c r="M1918" s="16"/>
      <c r="N1918" s="16" t="str">
        <f t="shared" si="736"/>
        <v/>
      </c>
    </row>
    <row r="1919" spans="2:14">
      <c r="G1919" s="90"/>
      <c r="H1919" s="90"/>
      <c r="I1919" s="77"/>
      <c r="J1919" s="77"/>
      <c r="K1919" s="91"/>
      <c r="M1919" s="16"/>
      <c r="N1919" s="16" t="str">
        <f t="shared" si="736"/>
        <v/>
      </c>
    </row>
    <row r="1920" spans="2:14">
      <c r="G1920" s="90"/>
      <c r="H1920" s="90"/>
      <c r="I1920" s="77"/>
      <c r="J1920" s="77"/>
      <c r="K1920" s="91"/>
      <c r="M1920" s="16"/>
      <c r="N1920" s="16" t="str">
        <f t="shared" si="736"/>
        <v/>
      </c>
    </row>
    <row r="1921" spans="7:14">
      <c r="G1921" s="90"/>
      <c r="H1921" s="90"/>
      <c r="I1921" s="77"/>
      <c r="J1921" s="77"/>
      <c r="K1921" s="91"/>
      <c r="M1921" s="16"/>
      <c r="N1921" s="16" t="str">
        <f t="shared" si="736"/>
        <v/>
      </c>
    </row>
    <row r="1922" spans="7:14">
      <c r="G1922" s="90"/>
      <c r="H1922" s="90"/>
      <c r="I1922" s="76"/>
      <c r="J1922" s="77"/>
      <c r="K1922" s="77"/>
      <c r="M1922" s="16"/>
      <c r="N1922" s="16" t="str">
        <f t="shared" si="736"/>
        <v/>
      </c>
    </row>
    <row r="1923" spans="7:14">
      <c r="G1923" s="90"/>
      <c r="H1923" s="90"/>
      <c r="I1923" s="76"/>
      <c r="J1923" s="77"/>
      <c r="K1923" s="77"/>
      <c r="M1923" s="16"/>
      <c r="N1923" s="16" t="str">
        <f t="shared" si="736"/>
        <v/>
      </c>
    </row>
    <row r="1924" spans="7:14">
      <c r="G1924" s="90"/>
      <c r="H1924" s="90"/>
      <c r="I1924" s="76"/>
      <c r="J1924" s="77"/>
      <c r="K1924" s="77"/>
      <c r="M1924" s="16"/>
      <c r="N1924" s="16" t="str">
        <f t="shared" si="736"/>
        <v/>
      </c>
    </row>
    <row r="1925" spans="7:14">
      <c r="G1925" s="90"/>
      <c r="H1925" s="90"/>
      <c r="I1925" s="76"/>
      <c r="J1925" s="77"/>
      <c r="K1925" s="77"/>
      <c r="M1925" s="16"/>
      <c r="N1925" s="16" t="str">
        <f t="shared" si="736"/>
        <v/>
      </c>
    </row>
    <row r="1926" spans="7:14">
      <c r="G1926" s="90"/>
      <c r="H1926" s="90"/>
      <c r="I1926" s="77"/>
      <c r="J1926" s="77"/>
      <c r="K1926" s="91"/>
      <c r="M1926" s="16"/>
      <c r="N1926" s="16" t="str">
        <f t="shared" ref="N1926:N1989" si="752">D1926&amp;E1926&amp;F1926&amp;M1926&amp;H1926</f>
        <v/>
      </c>
    </row>
    <row r="1927" spans="7:14">
      <c r="G1927" s="90"/>
      <c r="H1927" s="90"/>
      <c r="I1927" s="77"/>
      <c r="J1927" s="77"/>
      <c r="K1927" s="91"/>
      <c r="M1927" s="16"/>
      <c r="N1927" s="16" t="str">
        <f t="shared" si="752"/>
        <v/>
      </c>
    </row>
    <row r="1928" spans="7:14">
      <c r="G1928" s="90"/>
      <c r="H1928" s="90"/>
      <c r="I1928" s="77"/>
      <c r="J1928" s="77"/>
      <c r="K1928" s="91"/>
      <c r="M1928" s="16"/>
      <c r="N1928" s="16" t="str">
        <f t="shared" si="752"/>
        <v/>
      </c>
    </row>
    <row r="1929" spans="7:14">
      <c r="G1929" s="90"/>
      <c r="H1929" s="90"/>
      <c r="I1929" s="77"/>
      <c r="J1929" s="77"/>
      <c r="K1929" s="91"/>
      <c r="M1929" s="16"/>
      <c r="N1929" s="16" t="str">
        <f t="shared" si="752"/>
        <v/>
      </c>
    </row>
    <row r="1930" spans="7:14">
      <c r="G1930" s="90"/>
      <c r="H1930" s="90"/>
      <c r="I1930" s="77"/>
      <c r="J1930" s="77"/>
      <c r="K1930" s="91"/>
      <c r="M1930" s="16"/>
      <c r="N1930" s="16" t="str">
        <f t="shared" si="752"/>
        <v/>
      </c>
    </row>
    <row r="1931" spans="7:14">
      <c r="M1931" s="16"/>
      <c r="N1931" s="16" t="str">
        <f t="shared" si="752"/>
        <v/>
      </c>
    </row>
    <row r="1932" spans="7:14">
      <c r="M1932" s="16"/>
      <c r="N1932" s="16" t="str">
        <f t="shared" si="752"/>
        <v/>
      </c>
    </row>
    <row r="1933" spans="7:14">
      <c r="M1933" s="16"/>
      <c r="N1933" s="16" t="str">
        <f t="shared" si="752"/>
        <v/>
      </c>
    </row>
    <row r="1934" spans="7:14">
      <c r="M1934" s="16"/>
      <c r="N1934" s="16" t="str">
        <f t="shared" si="752"/>
        <v/>
      </c>
    </row>
    <row r="1935" spans="7:14">
      <c r="M1935" s="16"/>
      <c r="N1935" s="16" t="str">
        <f t="shared" si="752"/>
        <v/>
      </c>
    </row>
    <row r="1936" spans="7:14">
      <c r="M1936" s="16"/>
      <c r="N1936" s="16" t="str">
        <f t="shared" si="752"/>
        <v/>
      </c>
    </row>
    <row r="1937" spans="13:14">
      <c r="M1937" s="16"/>
      <c r="N1937" s="16" t="str">
        <f t="shared" si="752"/>
        <v/>
      </c>
    </row>
    <row r="1938" spans="13:14">
      <c r="M1938" s="16"/>
      <c r="N1938" s="16" t="str">
        <f t="shared" si="752"/>
        <v/>
      </c>
    </row>
    <row r="1939" spans="13:14">
      <c r="M1939" s="16"/>
      <c r="N1939" s="16" t="str">
        <f t="shared" si="752"/>
        <v/>
      </c>
    </row>
    <row r="1940" spans="13:14">
      <c r="M1940" s="16"/>
      <c r="N1940" s="16" t="str">
        <f t="shared" si="752"/>
        <v/>
      </c>
    </row>
    <row r="1941" spans="13:14">
      <c r="M1941" s="16"/>
      <c r="N1941" s="16" t="str">
        <f t="shared" si="752"/>
        <v/>
      </c>
    </row>
    <row r="1942" spans="13:14">
      <c r="M1942" s="16"/>
      <c r="N1942" s="16" t="str">
        <f t="shared" si="752"/>
        <v/>
      </c>
    </row>
    <row r="1943" spans="13:14">
      <c r="M1943" s="16"/>
      <c r="N1943" s="16" t="str">
        <f t="shared" si="752"/>
        <v/>
      </c>
    </row>
    <row r="1944" spans="13:14">
      <c r="M1944" s="16"/>
      <c r="N1944" s="16" t="str">
        <f t="shared" si="752"/>
        <v/>
      </c>
    </row>
    <row r="1945" spans="13:14">
      <c r="M1945" s="16"/>
      <c r="N1945" s="16" t="str">
        <f t="shared" si="752"/>
        <v/>
      </c>
    </row>
    <row r="1946" spans="13:14">
      <c r="M1946" s="16"/>
      <c r="N1946" s="16" t="str">
        <f t="shared" si="752"/>
        <v/>
      </c>
    </row>
    <row r="1947" spans="13:14">
      <c r="M1947" s="16"/>
      <c r="N1947" s="16" t="str">
        <f t="shared" si="752"/>
        <v/>
      </c>
    </row>
    <row r="1948" spans="13:14">
      <c r="M1948" s="16"/>
      <c r="N1948" s="16" t="str">
        <f t="shared" si="752"/>
        <v/>
      </c>
    </row>
    <row r="1949" spans="13:14">
      <c r="M1949" s="16"/>
      <c r="N1949" s="16" t="str">
        <f t="shared" si="752"/>
        <v/>
      </c>
    </row>
    <row r="1950" spans="13:14">
      <c r="M1950" s="16"/>
      <c r="N1950" s="16" t="str">
        <f t="shared" si="752"/>
        <v/>
      </c>
    </row>
    <row r="1951" spans="13:14">
      <c r="M1951" s="16"/>
      <c r="N1951" s="16" t="str">
        <f t="shared" si="752"/>
        <v/>
      </c>
    </row>
    <row r="1952" spans="13:14">
      <c r="M1952" s="16"/>
      <c r="N1952" s="16" t="str">
        <f t="shared" si="752"/>
        <v/>
      </c>
    </row>
    <row r="1953" spans="13:14">
      <c r="M1953" s="16"/>
      <c r="N1953" s="16" t="str">
        <f t="shared" si="752"/>
        <v/>
      </c>
    </row>
    <row r="1954" spans="13:14">
      <c r="M1954" s="16"/>
      <c r="N1954" s="16" t="str">
        <f t="shared" si="752"/>
        <v/>
      </c>
    </row>
    <row r="1955" spans="13:14">
      <c r="M1955" s="16"/>
      <c r="N1955" s="16" t="str">
        <f t="shared" si="752"/>
        <v/>
      </c>
    </row>
    <row r="1956" spans="13:14">
      <c r="M1956" s="16"/>
      <c r="N1956" s="16" t="str">
        <f t="shared" si="752"/>
        <v/>
      </c>
    </row>
    <row r="1957" spans="13:14">
      <c r="M1957" s="16"/>
      <c r="N1957" s="16" t="str">
        <f t="shared" si="752"/>
        <v/>
      </c>
    </row>
    <row r="1958" spans="13:14">
      <c r="M1958" s="16"/>
      <c r="N1958" s="16" t="str">
        <f t="shared" si="752"/>
        <v/>
      </c>
    </row>
    <row r="1959" spans="13:14">
      <c r="M1959" s="16"/>
      <c r="N1959" s="16" t="str">
        <f t="shared" si="752"/>
        <v/>
      </c>
    </row>
    <row r="1960" spans="13:14">
      <c r="M1960" s="16"/>
      <c r="N1960" s="16" t="str">
        <f t="shared" si="752"/>
        <v/>
      </c>
    </row>
    <row r="1961" spans="13:14">
      <c r="M1961" s="16"/>
      <c r="N1961" s="16" t="str">
        <f t="shared" si="752"/>
        <v/>
      </c>
    </row>
    <row r="1962" spans="13:14">
      <c r="M1962" s="16"/>
      <c r="N1962" s="16" t="str">
        <f t="shared" si="752"/>
        <v/>
      </c>
    </row>
    <row r="1963" spans="13:14">
      <c r="M1963" s="16"/>
      <c r="N1963" s="16" t="str">
        <f t="shared" si="752"/>
        <v/>
      </c>
    </row>
    <row r="1964" spans="13:14">
      <c r="M1964" s="16"/>
      <c r="N1964" s="16" t="str">
        <f t="shared" si="752"/>
        <v/>
      </c>
    </row>
    <row r="1965" spans="13:14">
      <c r="M1965" s="16"/>
      <c r="N1965" s="16" t="str">
        <f t="shared" si="752"/>
        <v/>
      </c>
    </row>
    <row r="1966" spans="13:14">
      <c r="M1966" s="16"/>
      <c r="N1966" s="16" t="str">
        <f t="shared" si="752"/>
        <v/>
      </c>
    </row>
    <row r="1967" spans="13:14">
      <c r="M1967" s="16"/>
      <c r="N1967" s="16" t="str">
        <f t="shared" si="752"/>
        <v/>
      </c>
    </row>
    <row r="1968" spans="13:14">
      <c r="M1968" s="16"/>
      <c r="N1968" s="16" t="str">
        <f t="shared" si="752"/>
        <v/>
      </c>
    </row>
    <row r="1969" spans="3:14">
      <c r="M1969" s="16"/>
      <c r="N1969" s="16" t="str">
        <f t="shared" si="752"/>
        <v/>
      </c>
    </row>
    <row r="1970" spans="3:14">
      <c r="M1970" s="16"/>
      <c r="N1970" s="16" t="str">
        <f t="shared" si="752"/>
        <v/>
      </c>
    </row>
    <row r="1971" spans="3:14">
      <c r="M1971" s="16"/>
      <c r="N1971" s="16" t="str">
        <f t="shared" si="752"/>
        <v/>
      </c>
    </row>
    <row r="1972" spans="3:14">
      <c r="M1972" s="16"/>
      <c r="N1972" s="16" t="str">
        <f t="shared" si="752"/>
        <v/>
      </c>
    </row>
    <row r="1973" spans="3:14">
      <c r="M1973" s="16"/>
      <c r="N1973" s="16" t="str">
        <f t="shared" si="752"/>
        <v/>
      </c>
    </row>
    <row r="1974" spans="3:14">
      <c r="M1974" s="16"/>
      <c r="N1974" s="16" t="str">
        <f t="shared" si="752"/>
        <v/>
      </c>
    </row>
    <row r="1975" spans="3:14">
      <c r="M1975" s="16"/>
      <c r="N1975" s="16" t="str">
        <f t="shared" si="752"/>
        <v/>
      </c>
    </row>
    <row r="1976" spans="3:14">
      <c r="C1976" s="318"/>
      <c r="D1976" s="322"/>
      <c r="E1976" s="319"/>
      <c r="F1976" s="319"/>
      <c r="G1976" s="319" t="s">
        <v>1373</v>
      </c>
      <c r="H1976" s="319"/>
      <c r="I1976" s="320" t="e">
        <f>I334+#REF!+I1192+I1508+I1732+I1750+I1808+I1821</f>
        <v>#REF!</v>
      </c>
      <c r="J1976" s="320"/>
      <c r="K1976" s="320"/>
      <c r="M1976" s="16"/>
      <c r="N1976" s="16" t="str">
        <f t="shared" si="752"/>
        <v/>
      </c>
    </row>
    <row r="1977" spans="3:14">
      <c r="M1977" s="16"/>
      <c r="N1977" s="16" t="str">
        <f t="shared" si="752"/>
        <v/>
      </c>
    </row>
    <row r="1978" spans="3:14">
      <c r="M1978" s="16"/>
      <c r="N1978" s="16" t="str">
        <f t="shared" si="752"/>
        <v/>
      </c>
    </row>
    <row r="1979" spans="3:14">
      <c r="M1979" s="16"/>
      <c r="N1979" s="16" t="str">
        <f t="shared" si="752"/>
        <v/>
      </c>
    </row>
    <row r="1980" spans="3:14">
      <c r="M1980" s="16"/>
      <c r="N1980" s="16" t="str">
        <f t="shared" si="752"/>
        <v/>
      </c>
    </row>
    <row r="1981" spans="3:14">
      <c r="M1981" s="16"/>
      <c r="N1981" s="16" t="str">
        <f t="shared" si="752"/>
        <v/>
      </c>
    </row>
    <row r="1982" spans="3:14">
      <c r="M1982" s="16"/>
      <c r="N1982" s="16" t="str">
        <f t="shared" si="752"/>
        <v/>
      </c>
    </row>
    <row r="1983" spans="3:14">
      <c r="M1983" s="16"/>
      <c r="N1983" s="16" t="str">
        <f t="shared" si="752"/>
        <v/>
      </c>
    </row>
    <row r="1984" spans="3:14">
      <c r="M1984" s="16"/>
      <c r="N1984" s="16" t="str">
        <f t="shared" si="752"/>
        <v/>
      </c>
    </row>
    <row r="1985" spans="13:14">
      <c r="M1985" s="16"/>
      <c r="N1985" s="16" t="str">
        <f t="shared" si="752"/>
        <v/>
      </c>
    </row>
    <row r="1986" spans="13:14">
      <c r="M1986" s="16"/>
      <c r="N1986" s="16" t="str">
        <f t="shared" si="752"/>
        <v/>
      </c>
    </row>
    <row r="1987" spans="13:14">
      <c r="M1987" s="16"/>
      <c r="N1987" s="16" t="str">
        <f t="shared" si="752"/>
        <v/>
      </c>
    </row>
    <row r="1988" spans="13:14">
      <c r="M1988" s="16"/>
      <c r="N1988" s="16" t="str">
        <f t="shared" si="752"/>
        <v/>
      </c>
    </row>
    <row r="1989" spans="13:14">
      <c r="M1989" s="16"/>
      <c r="N1989" s="16" t="str">
        <f t="shared" si="752"/>
        <v/>
      </c>
    </row>
    <row r="1990" spans="13:14">
      <c r="M1990" s="16"/>
      <c r="N1990" s="16" t="str">
        <f t="shared" ref="N1990:N2000" si="753">D1990&amp;E1990&amp;F1990&amp;M1990&amp;H1990</f>
        <v/>
      </c>
    </row>
    <row r="1991" spans="13:14">
      <c r="M1991" s="16"/>
      <c r="N1991" s="16" t="str">
        <f t="shared" si="753"/>
        <v/>
      </c>
    </row>
    <row r="1992" spans="13:14">
      <c r="M1992" s="16"/>
      <c r="N1992" s="16" t="str">
        <f t="shared" si="753"/>
        <v/>
      </c>
    </row>
    <row r="1993" spans="13:14">
      <c r="M1993" s="16"/>
      <c r="N1993" s="16" t="str">
        <f t="shared" si="753"/>
        <v/>
      </c>
    </row>
    <row r="1994" spans="13:14">
      <c r="M1994" s="16"/>
      <c r="N1994" s="16" t="str">
        <f t="shared" si="753"/>
        <v/>
      </c>
    </row>
    <row r="1995" spans="13:14">
      <c r="M1995" s="16"/>
      <c r="N1995" s="16" t="str">
        <f t="shared" si="753"/>
        <v/>
      </c>
    </row>
    <row r="1996" spans="13:14">
      <c r="M1996" s="16"/>
      <c r="N1996" s="16" t="str">
        <f t="shared" si="753"/>
        <v/>
      </c>
    </row>
    <row r="1997" spans="13:14">
      <c r="M1997" s="16"/>
      <c r="N1997" s="16" t="str">
        <f t="shared" si="753"/>
        <v/>
      </c>
    </row>
    <row r="1998" spans="13:14">
      <c r="M1998" s="16"/>
      <c r="N1998" s="16" t="str">
        <f t="shared" si="753"/>
        <v/>
      </c>
    </row>
    <row r="1999" spans="13:14">
      <c r="M1999" s="16"/>
      <c r="N1999" s="16" t="str">
        <f t="shared" si="753"/>
        <v/>
      </c>
    </row>
    <row r="2000" spans="13:14">
      <c r="M2000" s="16"/>
      <c r="N2000" s="16" t="str">
        <f t="shared" si="753"/>
        <v/>
      </c>
    </row>
    <row r="2001" spans="13:13">
      <c r="M2001" s="16"/>
    </row>
    <row r="2002" spans="13:13">
      <c r="M2002" s="16"/>
    </row>
    <row r="2003" spans="13:13">
      <c r="M2003" s="16"/>
    </row>
    <row r="2004" spans="13:13">
      <c r="M2004" s="16"/>
    </row>
    <row r="2005" spans="13:13">
      <c r="M2005" s="16"/>
    </row>
    <row r="2006" spans="13:13">
      <c r="M2006" s="16"/>
    </row>
    <row r="2007" spans="13:13">
      <c r="M2007" s="16"/>
    </row>
    <row r="2008" spans="13:13">
      <c r="M2008" s="16"/>
    </row>
    <row r="2009" spans="13:13">
      <c r="M2009" s="16"/>
    </row>
    <row r="2010" spans="13:13">
      <c r="M2010" s="16"/>
    </row>
    <row r="2011" spans="13:13">
      <c r="M2011" s="16"/>
    </row>
    <row r="2012" spans="13:13">
      <c r="M2012" s="16"/>
    </row>
    <row r="2013" spans="13:13">
      <c r="M2013" s="16"/>
    </row>
    <row r="2014" spans="13:13">
      <c r="M2014" s="16"/>
    </row>
    <row r="2015" spans="13:13">
      <c r="M2015" s="16"/>
    </row>
    <row r="2016" spans="13:13">
      <c r="M2016" s="16"/>
    </row>
    <row r="2017" spans="13:13">
      <c r="M2017" s="16"/>
    </row>
    <row r="2018" spans="13:13">
      <c r="M2018" s="16"/>
    </row>
    <row r="2019" spans="13:13">
      <c r="M2019" s="16"/>
    </row>
    <row r="2020" spans="13:13">
      <c r="M2020" s="16"/>
    </row>
    <row r="2021" spans="13:13">
      <c r="M2021" s="16"/>
    </row>
    <row r="2022" spans="13:13">
      <c r="M2022" s="16"/>
    </row>
    <row r="2023" spans="13:13">
      <c r="M2023" s="16"/>
    </row>
    <row r="2024" spans="13:13">
      <c r="M2024" s="16"/>
    </row>
    <row r="2025" spans="13:13">
      <c r="M2025" s="16"/>
    </row>
    <row r="2026" spans="13:13">
      <c r="M2026" s="16"/>
    </row>
    <row r="2027" spans="13:13">
      <c r="M2027" s="16"/>
    </row>
    <row r="2028" spans="13:13">
      <c r="M2028" s="16"/>
    </row>
    <row r="2029" spans="13:13">
      <c r="M2029" s="16"/>
    </row>
    <row r="2030" spans="13:13">
      <c r="M2030" s="16"/>
    </row>
    <row r="2031" spans="13:13">
      <c r="M2031" s="16"/>
    </row>
    <row r="2032" spans="13:13">
      <c r="M2032" s="16"/>
    </row>
    <row r="2033" spans="13:13">
      <c r="M2033" s="16"/>
    </row>
    <row r="2034" spans="13:13">
      <c r="M2034" s="16"/>
    </row>
    <row r="2035" spans="13:13">
      <c r="M2035" s="16"/>
    </row>
    <row r="2036" spans="13:13">
      <c r="M2036" s="16"/>
    </row>
    <row r="2037" spans="13:13">
      <c r="M2037" s="16"/>
    </row>
    <row r="2038" spans="13:13">
      <c r="M2038" s="16"/>
    </row>
    <row r="2039" spans="13:13">
      <c r="M2039" s="16"/>
    </row>
    <row r="2040" spans="13:13">
      <c r="M2040" s="16"/>
    </row>
    <row r="2041" spans="13:13">
      <c r="M2041" s="16"/>
    </row>
    <row r="2042" spans="13:13">
      <c r="M2042" s="16"/>
    </row>
    <row r="2043" spans="13:13">
      <c r="M2043" s="16"/>
    </row>
    <row r="2044" spans="13:13">
      <c r="M2044" s="16"/>
    </row>
    <row r="2045" spans="13:13">
      <c r="M2045" s="16"/>
    </row>
    <row r="2046" spans="13:13">
      <c r="M2046" s="16"/>
    </row>
    <row r="2047" spans="13:13">
      <c r="M2047" s="16"/>
    </row>
    <row r="2048" spans="13:13">
      <c r="M2048" s="16"/>
    </row>
    <row r="2049" spans="13:13">
      <c r="M2049" s="16"/>
    </row>
    <row r="2050" spans="13:13">
      <c r="M2050" s="16"/>
    </row>
    <row r="2051" spans="13:13">
      <c r="M2051" s="16"/>
    </row>
    <row r="2052" spans="13:13">
      <c r="M2052" s="16"/>
    </row>
    <row r="2053" spans="13:13">
      <c r="M2053" s="16"/>
    </row>
    <row r="2054" spans="13:13">
      <c r="M2054" s="16"/>
    </row>
    <row r="2055" spans="13:13">
      <c r="M2055" s="16"/>
    </row>
    <row r="2056" spans="13:13">
      <c r="M2056" s="16"/>
    </row>
    <row r="2057" spans="13:13">
      <c r="M2057" s="16"/>
    </row>
    <row r="2058" spans="13:13">
      <c r="M2058" s="16"/>
    </row>
    <row r="2059" spans="13:13">
      <c r="M2059" s="16"/>
    </row>
    <row r="2060" spans="13:13">
      <c r="M2060" s="16"/>
    </row>
    <row r="2061" spans="13:13">
      <c r="M2061" s="16"/>
    </row>
    <row r="2062" spans="13:13">
      <c r="M2062" s="16"/>
    </row>
    <row r="2063" spans="13:13">
      <c r="M2063" s="16"/>
    </row>
    <row r="2064" spans="13:13">
      <c r="M2064" s="16"/>
    </row>
    <row r="2065" spans="13:13">
      <c r="M2065" s="16"/>
    </row>
    <row r="2066" spans="13:13">
      <c r="M2066" s="16"/>
    </row>
    <row r="2067" spans="13:13">
      <c r="M2067" s="16"/>
    </row>
    <row r="2068" spans="13:13">
      <c r="M2068" s="16"/>
    </row>
    <row r="2069" spans="13:13">
      <c r="M2069" s="16"/>
    </row>
    <row r="2070" spans="13:13">
      <c r="M2070" s="16"/>
    </row>
    <row r="2071" spans="13:13">
      <c r="M2071" s="16"/>
    </row>
    <row r="2072" spans="13:13">
      <c r="M2072" s="16"/>
    </row>
    <row r="2073" spans="13:13">
      <c r="M2073" s="16"/>
    </row>
    <row r="2074" spans="13:13">
      <c r="M2074" s="16"/>
    </row>
    <row r="2075" spans="13:13">
      <c r="M2075" s="16"/>
    </row>
    <row r="2076" spans="13:13">
      <c r="M2076" s="16"/>
    </row>
    <row r="2077" spans="13:13">
      <c r="M2077" s="16"/>
    </row>
    <row r="2078" spans="13:13">
      <c r="M2078" s="16"/>
    </row>
    <row r="2079" spans="13:13">
      <c r="M2079" s="16"/>
    </row>
    <row r="2080" spans="13:13">
      <c r="M2080" s="16"/>
    </row>
    <row r="2081" spans="13:13">
      <c r="M2081" s="16"/>
    </row>
    <row r="2082" spans="13:13">
      <c r="M2082" s="16"/>
    </row>
    <row r="2083" spans="13:13">
      <c r="M2083" s="16"/>
    </row>
    <row r="2084" spans="13:13">
      <c r="M2084" s="16"/>
    </row>
    <row r="2085" spans="13:13">
      <c r="M2085" s="16"/>
    </row>
    <row r="2086" spans="13:13">
      <c r="M2086" s="16"/>
    </row>
    <row r="2087" spans="13:13">
      <c r="M2087" s="16"/>
    </row>
    <row r="2088" spans="13:13">
      <c r="M2088" s="16"/>
    </row>
    <row r="2089" spans="13:13">
      <c r="M2089" s="16"/>
    </row>
    <row r="2090" spans="13:13">
      <c r="M2090" s="16"/>
    </row>
    <row r="2091" spans="13:13">
      <c r="M2091" s="16"/>
    </row>
    <row r="2092" spans="13:13">
      <c r="M2092" s="16"/>
    </row>
    <row r="2093" spans="13:13">
      <c r="M2093" s="16"/>
    </row>
    <row r="2094" spans="13:13">
      <c r="M2094" s="16"/>
    </row>
    <row r="2095" spans="13:13">
      <c r="M2095" s="16"/>
    </row>
    <row r="2096" spans="13:13">
      <c r="M2096" s="16"/>
    </row>
    <row r="2097" spans="13:13">
      <c r="M2097" s="16"/>
    </row>
    <row r="2098" spans="13:13">
      <c r="M2098" s="16"/>
    </row>
    <row r="2099" spans="13:13">
      <c r="M2099" s="16"/>
    </row>
    <row r="2100" spans="13:13">
      <c r="M2100" s="16"/>
    </row>
    <row r="2101" spans="13:13">
      <c r="M2101" s="16"/>
    </row>
    <row r="2102" spans="13:13">
      <c r="M2102" s="16"/>
    </row>
    <row r="2103" spans="13:13">
      <c r="M2103" s="16"/>
    </row>
    <row r="2104" spans="13:13">
      <c r="M2104" s="16"/>
    </row>
    <row r="2105" spans="13:13">
      <c r="M2105" s="16"/>
    </row>
    <row r="2106" spans="13:13">
      <c r="M2106" s="16"/>
    </row>
    <row r="2107" spans="13:13">
      <c r="M2107" s="16"/>
    </row>
    <row r="2108" spans="13:13">
      <c r="M2108" s="16"/>
    </row>
    <row r="2109" spans="13:13">
      <c r="M2109" s="16"/>
    </row>
    <row r="2110" spans="13:13">
      <c r="M2110" s="16"/>
    </row>
    <row r="2111" spans="13:13">
      <c r="M2111" s="16"/>
    </row>
    <row r="2112" spans="13:13">
      <c r="M2112" s="16"/>
    </row>
    <row r="2113" spans="13:13">
      <c r="M2113" s="16"/>
    </row>
    <row r="2114" spans="13:13">
      <c r="M2114" s="16"/>
    </row>
    <row r="2115" spans="13:13">
      <c r="M2115" s="16"/>
    </row>
    <row r="2116" spans="13:13">
      <c r="M2116" s="16"/>
    </row>
    <row r="2117" spans="13:13">
      <c r="M2117" s="16"/>
    </row>
    <row r="2118" spans="13:13">
      <c r="M2118" s="16"/>
    </row>
    <row r="2119" spans="13:13">
      <c r="M2119" s="16"/>
    </row>
    <row r="2120" spans="13:13">
      <c r="M2120" s="16"/>
    </row>
    <row r="2121" spans="13:13">
      <c r="M2121" s="16"/>
    </row>
    <row r="2122" spans="13:13">
      <c r="M2122" s="16"/>
    </row>
    <row r="2123" spans="13:13">
      <c r="M2123" s="16"/>
    </row>
    <row r="2124" spans="13:13">
      <c r="M2124" s="16"/>
    </row>
    <row r="2125" spans="13:13">
      <c r="M2125" s="16"/>
    </row>
    <row r="2126" spans="13:13">
      <c r="M2126" s="16"/>
    </row>
    <row r="2127" spans="13:13">
      <c r="M2127" s="16"/>
    </row>
    <row r="2128" spans="13:13">
      <c r="M2128" s="16"/>
    </row>
    <row r="2129" spans="13:13">
      <c r="M2129" s="16"/>
    </row>
    <row r="2130" spans="13:13">
      <c r="M2130" s="16"/>
    </row>
    <row r="2131" spans="13:13">
      <c r="M2131" s="16"/>
    </row>
    <row r="2132" spans="13:13">
      <c r="M2132" s="16"/>
    </row>
    <row r="2133" spans="13:13">
      <c r="M2133" s="16"/>
    </row>
    <row r="2134" spans="13:13">
      <c r="M2134" s="16"/>
    </row>
    <row r="2135" spans="13:13">
      <c r="M2135" s="16"/>
    </row>
    <row r="2136" spans="13:13">
      <c r="M2136" s="16"/>
    </row>
    <row r="2137" spans="13:13">
      <c r="M2137" s="16"/>
    </row>
    <row r="2138" spans="13:13">
      <c r="M2138" s="16"/>
    </row>
    <row r="2139" spans="13:13">
      <c r="M2139" s="16"/>
    </row>
    <row r="2140" spans="13:13">
      <c r="M2140" s="16"/>
    </row>
    <row r="2141" spans="13:13">
      <c r="M2141" s="16"/>
    </row>
    <row r="2142" spans="13:13">
      <c r="M2142" s="16"/>
    </row>
    <row r="2143" spans="13:13">
      <c r="M2143" s="16"/>
    </row>
    <row r="2144" spans="13:13">
      <c r="M2144" s="16"/>
    </row>
    <row r="2145" spans="13:13">
      <c r="M2145" s="16"/>
    </row>
    <row r="2146" spans="13:13">
      <c r="M2146" s="16"/>
    </row>
    <row r="2147" spans="13:13">
      <c r="M2147" s="16"/>
    </row>
    <row r="2148" spans="13:13">
      <c r="M2148" s="16"/>
    </row>
    <row r="2149" spans="13:13">
      <c r="M2149" s="16"/>
    </row>
    <row r="2150" spans="13:13">
      <c r="M2150" s="16"/>
    </row>
    <row r="2151" spans="13:13">
      <c r="M2151" s="16"/>
    </row>
    <row r="2152" spans="13:13">
      <c r="M2152" s="16"/>
    </row>
    <row r="2153" spans="13:13">
      <c r="M2153" s="16"/>
    </row>
    <row r="2154" spans="13:13">
      <c r="M2154" s="16"/>
    </row>
    <row r="2155" spans="13:13">
      <c r="M2155" s="16"/>
    </row>
    <row r="2156" spans="13:13">
      <c r="M2156" s="16"/>
    </row>
    <row r="2157" spans="13:13">
      <c r="M2157" s="16"/>
    </row>
    <row r="2158" spans="13:13">
      <c r="M2158" s="16"/>
    </row>
    <row r="2159" spans="13:13">
      <c r="M2159" s="16"/>
    </row>
    <row r="2160" spans="13:13">
      <c r="M2160" s="16"/>
    </row>
    <row r="2161" spans="13:13">
      <c r="M2161" s="16"/>
    </row>
    <row r="2162" spans="13:13">
      <c r="M2162" s="16"/>
    </row>
    <row r="2163" spans="13:13">
      <c r="M2163" s="16"/>
    </row>
    <row r="2164" spans="13:13">
      <c r="M2164" s="16"/>
    </row>
    <row r="2165" spans="13:13">
      <c r="M2165" s="16"/>
    </row>
    <row r="2166" spans="13:13">
      <c r="M2166" s="16"/>
    </row>
    <row r="2167" spans="13:13">
      <c r="M2167" s="16"/>
    </row>
    <row r="2168" spans="13:13">
      <c r="M2168" s="16"/>
    </row>
    <row r="2169" spans="13:13">
      <c r="M2169" s="16"/>
    </row>
    <row r="2170" spans="13:13">
      <c r="M2170" s="16"/>
    </row>
    <row r="2171" spans="13:13">
      <c r="M2171" s="16"/>
    </row>
    <row r="2172" spans="13:13">
      <c r="M2172" s="16"/>
    </row>
    <row r="2173" spans="13:13">
      <c r="M2173" s="16"/>
    </row>
    <row r="2174" spans="13:13">
      <c r="M2174" s="16"/>
    </row>
    <row r="2175" spans="13:13">
      <c r="M2175" s="16"/>
    </row>
    <row r="2176" spans="13:13">
      <c r="M2176" s="16"/>
    </row>
    <row r="2177" spans="13:13">
      <c r="M2177" s="16"/>
    </row>
    <row r="2178" spans="13:13">
      <c r="M2178" s="16"/>
    </row>
    <row r="2179" spans="13:13">
      <c r="M2179" s="16"/>
    </row>
    <row r="2180" spans="13:13">
      <c r="M2180" s="16"/>
    </row>
    <row r="2181" spans="13:13">
      <c r="M2181" s="16"/>
    </row>
    <row r="2182" spans="13:13">
      <c r="M2182" s="16"/>
    </row>
    <row r="2183" spans="13:13">
      <c r="M2183" s="16"/>
    </row>
    <row r="2184" spans="13:13">
      <c r="M2184" s="16"/>
    </row>
    <row r="2185" spans="13:13">
      <c r="M2185" s="16"/>
    </row>
    <row r="2186" spans="13:13">
      <c r="M2186" s="16"/>
    </row>
    <row r="2187" spans="13:13">
      <c r="M2187" s="16"/>
    </row>
    <row r="2188" spans="13:13">
      <c r="M2188" s="16"/>
    </row>
    <row r="2189" spans="13:13">
      <c r="M2189" s="16"/>
    </row>
    <row r="2190" spans="13:13">
      <c r="M2190" s="16"/>
    </row>
    <row r="2191" spans="13:13">
      <c r="M2191" s="16"/>
    </row>
    <row r="2192" spans="13:13">
      <c r="M2192" s="16"/>
    </row>
    <row r="2193" spans="13:13">
      <c r="M2193" s="16"/>
    </row>
    <row r="2194" spans="13:13">
      <c r="M2194" s="16"/>
    </row>
    <row r="2195" spans="13:13">
      <c r="M2195" s="16"/>
    </row>
    <row r="2196" spans="13:13">
      <c r="M2196" s="16"/>
    </row>
    <row r="2197" spans="13:13">
      <c r="M2197" s="16"/>
    </row>
    <row r="2198" spans="13:13">
      <c r="M2198" s="16"/>
    </row>
    <row r="2199" spans="13:13">
      <c r="M2199" s="16"/>
    </row>
    <row r="2200" spans="13:13">
      <c r="M2200" s="16"/>
    </row>
    <row r="2201" spans="13:13">
      <c r="M2201" s="16"/>
    </row>
    <row r="2202" spans="13:13">
      <c r="M2202" s="16"/>
    </row>
    <row r="2203" spans="13:13">
      <c r="M2203" s="16"/>
    </row>
    <row r="2204" spans="13:13">
      <c r="M2204" s="16"/>
    </row>
    <row r="2205" spans="13:13">
      <c r="M2205" s="16"/>
    </row>
    <row r="2206" spans="13:13">
      <c r="M2206" s="16"/>
    </row>
    <row r="2207" spans="13:13">
      <c r="M2207" s="16"/>
    </row>
    <row r="2208" spans="13:13">
      <c r="M2208" s="16"/>
    </row>
    <row r="2209" spans="13:13">
      <c r="M2209" s="16"/>
    </row>
    <row r="2210" spans="13:13">
      <c r="M2210" s="16"/>
    </row>
    <row r="2211" spans="13:13">
      <c r="M2211" s="16"/>
    </row>
    <row r="2212" spans="13:13">
      <c r="M2212" s="16"/>
    </row>
    <row r="2213" spans="13:13">
      <c r="M2213" s="16"/>
    </row>
    <row r="2214" spans="13:13">
      <c r="M2214" s="16"/>
    </row>
    <row r="2215" spans="13:13">
      <c r="M2215" s="16"/>
    </row>
    <row r="2216" spans="13:13">
      <c r="M2216" s="16"/>
    </row>
    <row r="2217" spans="13:13">
      <c r="M2217" s="16"/>
    </row>
    <row r="2218" spans="13:13">
      <c r="M2218" s="16"/>
    </row>
    <row r="2219" spans="13:13">
      <c r="M2219" s="16"/>
    </row>
    <row r="2220" spans="13:13">
      <c r="M2220" s="16"/>
    </row>
    <row r="2221" spans="13:13">
      <c r="M2221" s="16"/>
    </row>
    <row r="2222" spans="13:13">
      <c r="M2222" s="16"/>
    </row>
    <row r="2223" spans="13:13">
      <c r="M2223" s="16"/>
    </row>
    <row r="2224" spans="13:13">
      <c r="M2224" s="16"/>
    </row>
    <row r="2225" spans="13:13">
      <c r="M2225" s="16"/>
    </row>
    <row r="2226" spans="13:13">
      <c r="M2226" s="16"/>
    </row>
    <row r="2227" spans="13:13">
      <c r="M2227" s="16"/>
    </row>
    <row r="2228" spans="13:13">
      <c r="M2228" s="16"/>
    </row>
    <row r="2229" spans="13:13">
      <c r="M2229" s="16"/>
    </row>
    <row r="2230" spans="13:13">
      <c r="M2230" s="16"/>
    </row>
    <row r="2231" spans="13:13">
      <c r="M2231" s="16"/>
    </row>
    <row r="2232" spans="13:13">
      <c r="M2232" s="16"/>
    </row>
    <row r="2233" spans="13:13">
      <c r="M2233" s="16"/>
    </row>
    <row r="2234" spans="13:13">
      <c r="M2234" s="16"/>
    </row>
    <row r="2235" spans="13:13">
      <c r="M2235" s="16"/>
    </row>
    <row r="2236" spans="13:13">
      <c r="M2236" s="16"/>
    </row>
    <row r="2237" spans="13:13">
      <c r="M2237" s="16"/>
    </row>
    <row r="2238" spans="13:13">
      <c r="M2238" s="16"/>
    </row>
    <row r="2239" spans="13:13">
      <c r="M2239" s="16"/>
    </row>
    <row r="2240" spans="13:13">
      <c r="M2240" s="16"/>
    </row>
    <row r="2241" spans="13:13">
      <c r="M2241" s="16"/>
    </row>
    <row r="2242" spans="13:13">
      <c r="M2242" s="16"/>
    </row>
    <row r="2243" spans="13:13">
      <c r="M2243" s="16"/>
    </row>
    <row r="2244" spans="13:13">
      <c r="M2244" s="16"/>
    </row>
    <row r="2245" spans="13:13">
      <c r="M2245" s="16"/>
    </row>
    <row r="2246" spans="13:13">
      <c r="M2246" s="16"/>
    </row>
    <row r="2247" spans="13:13">
      <c r="M2247" s="16"/>
    </row>
    <row r="2248" spans="13:13">
      <c r="M2248" s="16"/>
    </row>
    <row r="2249" spans="13:13">
      <c r="M2249" s="16"/>
    </row>
    <row r="2250" spans="13:13">
      <c r="M2250" s="16"/>
    </row>
    <row r="2251" spans="13:13">
      <c r="M2251" s="16"/>
    </row>
    <row r="2252" spans="13:13">
      <c r="M2252" s="16"/>
    </row>
    <row r="2253" spans="13:13">
      <c r="M2253" s="16"/>
    </row>
    <row r="2254" spans="13:13">
      <c r="M2254" s="16"/>
    </row>
    <row r="2255" spans="13:13">
      <c r="M2255" s="16"/>
    </row>
    <row r="2256" spans="13:13">
      <c r="M2256" s="16"/>
    </row>
    <row r="2257" spans="13:13">
      <c r="M2257" s="16"/>
    </row>
    <row r="2258" spans="13:13">
      <c r="M2258" s="16"/>
    </row>
    <row r="2259" spans="13:13">
      <c r="M2259" s="16"/>
    </row>
    <row r="2260" spans="13:13">
      <c r="M2260" s="16"/>
    </row>
    <row r="2261" spans="13:13">
      <c r="M2261" s="16"/>
    </row>
    <row r="2262" spans="13:13">
      <c r="M2262" s="16"/>
    </row>
    <row r="2263" spans="13:13">
      <c r="M2263" s="16"/>
    </row>
    <row r="2264" spans="13:13">
      <c r="M2264" s="16"/>
    </row>
    <row r="2265" spans="13:13">
      <c r="M2265" s="16"/>
    </row>
    <row r="2266" spans="13:13">
      <c r="M2266" s="16"/>
    </row>
    <row r="2267" spans="13:13">
      <c r="M2267" s="16"/>
    </row>
    <row r="2268" spans="13:13">
      <c r="M2268" s="16"/>
    </row>
    <row r="2269" spans="13:13">
      <c r="M2269" s="16"/>
    </row>
    <row r="2270" spans="13:13">
      <c r="M2270" s="16"/>
    </row>
    <row r="2271" spans="13:13">
      <c r="M2271" s="16"/>
    </row>
    <row r="2272" spans="13:13">
      <c r="M2272" s="16"/>
    </row>
    <row r="2273" spans="13:13">
      <c r="M2273" s="16"/>
    </row>
    <row r="2274" spans="13:13">
      <c r="M2274" s="16"/>
    </row>
    <row r="2275" spans="13:13">
      <c r="M2275" s="16"/>
    </row>
    <row r="2276" spans="13:13">
      <c r="M2276" s="16"/>
    </row>
    <row r="2277" spans="13:13">
      <c r="M2277" s="16"/>
    </row>
    <row r="2278" spans="13:13">
      <c r="M2278" s="16"/>
    </row>
    <row r="2279" spans="13:13">
      <c r="M2279" s="16"/>
    </row>
    <row r="2280" spans="13:13">
      <c r="M2280" s="16"/>
    </row>
    <row r="2281" spans="13:13">
      <c r="M2281" s="16"/>
    </row>
    <row r="2282" spans="13:13">
      <c r="M2282" s="16"/>
    </row>
    <row r="2283" spans="13:13">
      <c r="M2283" s="16"/>
    </row>
    <row r="2284" spans="13:13">
      <c r="M2284" s="16"/>
    </row>
    <row r="2285" spans="13:13">
      <c r="M2285" s="16"/>
    </row>
    <row r="2286" spans="13:13">
      <c r="M2286" s="16"/>
    </row>
    <row r="2287" spans="13:13">
      <c r="M2287" s="16"/>
    </row>
    <row r="2288" spans="13:13">
      <c r="M2288" s="16"/>
    </row>
    <row r="2289" spans="13:13">
      <c r="M2289" s="16"/>
    </row>
    <row r="2290" spans="13:13">
      <c r="M2290" s="16"/>
    </row>
    <row r="2291" spans="13:13">
      <c r="M2291" s="16"/>
    </row>
    <row r="2292" spans="13:13">
      <c r="M2292" s="16"/>
    </row>
    <row r="2293" spans="13:13">
      <c r="M2293" s="16"/>
    </row>
    <row r="2294" spans="13:13">
      <c r="M2294" s="16"/>
    </row>
    <row r="2295" spans="13:13">
      <c r="M2295" s="16"/>
    </row>
    <row r="2296" spans="13:13">
      <c r="M2296" s="16"/>
    </row>
    <row r="2297" spans="13:13">
      <c r="M2297" s="16"/>
    </row>
    <row r="2298" spans="13:13">
      <c r="M2298" s="16"/>
    </row>
    <row r="2299" spans="13:13">
      <c r="M2299" s="16"/>
    </row>
    <row r="2300" spans="13:13">
      <c r="M2300" s="16"/>
    </row>
    <row r="2301" spans="13:13">
      <c r="M2301" s="16"/>
    </row>
    <row r="2302" spans="13:13">
      <c r="M2302" s="16"/>
    </row>
    <row r="2303" spans="13:13">
      <c r="M2303" s="16"/>
    </row>
    <row r="2304" spans="13:13">
      <c r="M2304" s="16"/>
    </row>
    <row r="2305" spans="13:13">
      <c r="M2305" s="16"/>
    </row>
    <row r="2306" spans="13:13">
      <c r="M2306" s="16"/>
    </row>
    <row r="2307" spans="13:13">
      <c r="M2307" s="16"/>
    </row>
    <row r="2308" spans="13:13">
      <c r="M2308" s="16"/>
    </row>
    <row r="2309" spans="13:13">
      <c r="M2309" s="16"/>
    </row>
    <row r="2310" spans="13:13">
      <c r="M2310" s="16"/>
    </row>
    <row r="2311" spans="13:13">
      <c r="M2311" s="16"/>
    </row>
    <row r="2312" spans="13:13">
      <c r="M2312" s="16"/>
    </row>
    <row r="2313" spans="13:13">
      <c r="M2313" s="16"/>
    </row>
    <row r="2314" spans="13:13">
      <c r="M2314" s="16"/>
    </row>
    <row r="2315" spans="13:13">
      <c r="M2315" s="16"/>
    </row>
    <row r="2316" spans="13:13">
      <c r="M2316" s="16"/>
    </row>
    <row r="2317" spans="13:13">
      <c r="M2317" s="16"/>
    </row>
    <row r="2318" spans="13:13">
      <c r="M2318" s="16"/>
    </row>
    <row r="2319" spans="13:13">
      <c r="M2319" s="16"/>
    </row>
    <row r="2320" spans="13:13">
      <c r="M2320" s="16"/>
    </row>
    <row r="2321" spans="13:13">
      <c r="M2321" s="16"/>
    </row>
    <row r="2322" spans="13:13">
      <c r="M2322" s="16"/>
    </row>
    <row r="2323" spans="13:13">
      <c r="M2323" s="16"/>
    </row>
    <row r="2324" spans="13:13">
      <c r="M2324" s="16"/>
    </row>
    <row r="2325" spans="13:13">
      <c r="M2325" s="16"/>
    </row>
    <row r="2326" spans="13:13">
      <c r="M2326" s="16"/>
    </row>
    <row r="2327" spans="13:13">
      <c r="M2327" s="16"/>
    </row>
    <row r="2328" spans="13:13">
      <c r="M2328" s="16"/>
    </row>
    <row r="2329" spans="13:13">
      <c r="M2329" s="16"/>
    </row>
    <row r="2330" spans="13:13">
      <c r="M2330" s="16"/>
    </row>
    <row r="2331" spans="13:13">
      <c r="M2331" s="16"/>
    </row>
    <row r="2332" spans="13:13">
      <c r="M2332" s="16"/>
    </row>
    <row r="2333" spans="13:13">
      <c r="M2333" s="16"/>
    </row>
    <row r="2334" spans="13:13">
      <c r="M2334" s="16"/>
    </row>
    <row r="2335" spans="13:13">
      <c r="M2335" s="16"/>
    </row>
    <row r="2336" spans="13:13">
      <c r="M2336" s="16"/>
    </row>
    <row r="2337" spans="13:13">
      <c r="M2337" s="16"/>
    </row>
    <row r="2338" spans="13:13">
      <c r="M2338" s="16"/>
    </row>
    <row r="2339" spans="13:13">
      <c r="M2339" s="16"/>
    </row>
    <row r="2340" spans="13:13">
      <c r="M2340" s="16"/>
    </row>
    <row r="2341" spans="13:13">
      <c r="M2341" s="16"/>
    </row>
    <row r="2342" spans="13:13">
      <c r="M2342" s="16"/>
    </row>
    <row r="2343" spans="13:13">
      <c r="M2343" s="16"/>
    </row>
    <row r="2344" spans="13:13">
      <c r="M2344" s="16"/>
    </row>
    <row r="2345" spans="13:13">
      <c r="M2345" s="16"/>
    </row>
    <row r="2346" spans="13:13">
      <c r="M2346" s="16"/>
    </row>
    <row r="2347" spans="13:13">
      <c r="M2347" s="16"/>
    </row>
    <row r="2348" spans="13:13">
      <c r="M2348" s="16"/>
    </row>
    <row r="2349" spans="13:13">
      <c r="M2349" s="16"/>
    </row>
    <row r="2350" spans="13:13">
      <c r="M2350" s="16"/>
    </row>
    <row r="2351" spans="13:13">
      <c r="M2351" s="16"/>
    </row>
    <row r="2352" spans="13:13">
      <c r="M2352" s="16"/>
    </row>
    <row r="2353" spans="13:13">
      <c r="M2353" s="16"/>
    </row>
    <row r="2354" spans="13:13">
      <c r="M2354" s="16"/>
    </row>
    <row r="2355" spans="13:13">
      <c r="M2355" s="16"/>
    </row>
    <row r="2356" spans="13:13">
      <c r="M2356" s="16"/>
    </row>
    <row r="2357" spans="13:13">
      <c r="M2357" s="16"/>
    </row>
    <row r="2358" spans="13:13">
      <c r="M2358" s="16"/>
    </row>
    <row r="2359" spans="13:13">
      <c r="M2359" s="16"/>
    </row>
    <row r="2360" spans="13:13">
      <c r="M2360" s="16"/>
    </row>
    <row r="2361" spans="13:13">
      <c r="M2361" s="16"/>
    </row>
    <row r="2362" spans="13:13">
      <c r="M2362" s="16"/>
    </row>
    <row r="2363" spans="13:13">
      <c r="M2363" s="16"/>
    </row>
    <row r="2364" spans="13:13">
      <c r="M2364" s="16"/>
    </row>
    <row r="2365" spans="13:13">
      <c r="M2365" s="16"/>
    </row>
    <row r="2366" spans="13:13">
      <c r="M2366" s="16"/>
    </row>
    <row r="2367" spans="13:13">
      <c r="M2367" s="16"/>
    </row>
    <row r="2368" spans="13:13">
      <c r="M2368" s="16"/>
    </row>
    <row r="2369" spans="13:13">
      <c r="M2369" s="16"/>
    </row>
    <row r="2370" spans="13:13">
      <c r="M2370" s="16"/>
    </row>
    <row r="2371" spans="13:13">
      <c r="M2371" s="16"/>
    </row>
    <row r="2372" spans="13:13">
      <c r="M2372" s="16"/>
    </row>
    <row r="2373" spans="13:13">
      <c r="M2373" s="16"/>
    </row>
    <row r="2374" spans="13:13">
      <c r="M2374" s="16"/>
    </row>
    <row r="2375" spans="13:13">
      <c r="M2375" s="16"/>
    </row>
    <row r="2376" spans="13:13">
      <c r="M2376" s="16"/>
    </row>
    <row r="2377" spans="13:13">
      <c r="M2377" s="16"/>
    </row>
    <row r="2378" spans="13:13">
      <c r="M2378" s="16"/>
    </row>
    <row r="2379" spans="13:13">
      <c r="M2379" s="16"/>
    </row>
    <row r="2380" spans="13:13">
      <c r="M2380" s="16"/>
    </row>
    <row r="2381" spans="13:13">
      <c r="M2381" s="16"/>
    </row>
    <row r="2382" spans="13:13">
      <c r="M2382" s="16"/>
    </row>
    <row r="2383" spans="13:13">
      <c r="M2383" s="16"/>
    </row>
    <row r="2384" spans="13:13">
      <c r="M2384" s="16"/>
    </row>
    <row r="2385" spans="13:13">
      <c r="M2385" s="16"/>
    </row>
    <row r="2386" spans="13:13">
      <c r="M2386" s="16"/>
    </row>
    <row r="2387" spans="13:13">
      <c r="M2387" s="16"/>
    </row>
    <row r="2388" spans="13:13">
      <c r="M2388" s="16"/>
    </row>
    <row r="2389" spans="13:13">
      <c r="M2389" s="16"/>
    </row>
    <row r="2390" spans="13:13">
      <c r="M2390" s="16"/>
    </row>
    <row r="2391" spans="13:13">
      <c r="M2391" s="16"/>
    </row>
    <row r="2392" spans="13:13">
      <c r="M2392" s="16"/>
    </row>
    <row r="2393" spans="13:13">
      <c r="M2393" s="16"/>
    </row>
    <row r="2394" spans="13:13">
      <c r="M2394" s="16"/>
    </row>
    <row r="2395" spans="13:13">
      <c r="M2395" s="16"/>
    </row>
    <row r="2396" spans="13:13">
      <c r="M2396" s="16"/>
    </row>
    <row r="2397" spans="13:13">
      <c r="M2397" s="16"/>
    </row>
    <row r="2398" spans="13:13">
      <c r="M2398" s="16"/>
    </row>
    <row r="2399" spans="13:13">
      <c r="M2399" s="16"/>
    </row>
    <row r="2400" spans="13:13">
      <c r="M2400" s="16"/>
    </row>
    <row r="2401" spans="13:13">
      <c r="M2401" s="16"/>
    </row>
    <row r="2402" spans="13:13">
      <c r="M2402" s="16"/>
    </row>
    <row r="2403" spans="13:13">
      <c r="M2403" s="16"/>
    </row>
    <row r="2404" spans="13:13">
      <c r="M2404" s="16"/>
    </row>
    <row r="2405" spans="13:13">
      <c r="M2405" s="16"/>
    </row>
    <row r="2406" spans="13:13">
      <c r="M2406" s="16"/>
    </row>
    <row r="2407" spans="13:13">
      <c r="M2407" s="16"/>
    </row>
    <row r="2408" spans="13:13">
      <c r="M2408" s="16"/>
    </row>
    <row r="2409" spans="13:13">
      <c r="M2409" s="16"/>
    </row>
    <row r="2410" spans="13:13">
      <c r="M2410" s="16"/>
    </row>
    <row r="2411" spans="13:13">
      <c r="M2411" s="16"/>
    </row>
    <row r="2412" spans="13:13">
      <c r="M2412" s="16"/>
    </row>
    <row r="2413" spans="13:13">
      <c r="M2413" s="16"/>
    </row>
    <row r="2414" spans="13:13">
      <c r="M2414" s="16"/>
    </row>
    <row r="2415" spans="13:13">
      <c r="M2415" s="16"/>
    </row>
    <row r="2416" spans="13:13">
      <c r="M2416" s="16"/>
    </row>
    <row r="2417" spans="13:13">
      <c r="M2417" s="16"/>
    </row>
    <row r="2418" spans="13:13">
      <c r="M2418" s="16"/>
    </row>
    <row r="2419" spans="13:13">
      <c r="M2419" s="16"/>
    </row>
    <row r="2420" spans="13:13">
      <c r="M2420" s="16"/>
    </row>
    <row r="2421" spans="13:13">
      <c r="M2421" s="16"/>
    </row>
    <row r="2422" spans="13:13">
      <c r="M2422" s="16"/>
    </row>
    <row r="2423" spans="13:13">
      <c r="M2423" s="16"/>
    </row>
    <row r="2424" spans="13:13">
      <c r="M2424" s="16"/>
    </row>
    <row r="2425" spans="13:13">
      <c r="M2425" s="16"/>
    </row>
    <row r="2426" spans="13:13">
      <c r="M2426" s="16"/>
    </row>
    <row r="2427" spans="13:13">
      <c r="M2427" s="16"/>
    </row>
    <row r="2428" spans="13:13">
      <c r="M2428" s="16"/>
    </row>
    <row r="2429" spans="13:13">
      <c r="M2429" s="16"/>
    </row>
    <row r="2430" spans="13:13">
      <c r="M2430" s="16"/>
    </row>
    <row r="2431" spans="13:13">
      <c r="M2431" s="16"/>
    </row>
    <row r="2432" spans="13:13">
      <c r="M2432" s="16"/>
    </row>
    <row r="2433" spans="13:13">
      <c r="M2433" s="16"/>
    </row>
    <row r="2434" spans="13:13">
      <c r="M2434" s="16"/>
    </row>
    <row r="2435" spans="13:13">
      <c r="M2435" s="16"/>
    </row>
    <row r="2436" spans="13:13">
      <c r="M2436" s="16"/>
    </row>
    <row r="2437" spans="13:13">
      <c r="M2437" s="16"/>
    </row>
    <row r="2438" spans="13:13">
      <c r="M2438" s="16"/>
    </row>
    <row r="2439" spans="13:13">
      <c r="M2439" s="16"/>
    </row>
    <row r="2440" spans="13:13">
      <c r="M2440" s="16"/>
    </row>
    <row r="2441" spans="13:13">
      <c r="M2441" s="16"/>
    </row>
    <row r="2442" spans="13:13">
      <c r="M2442" s="16"/>
    </row>
    <row r="2443" spans="13:13">
      <c r="M2443" s="16"/>
    </row>
    <row r="2444" spans="13:13">
      <c r="M2444" s="16"/>
    </row>
    <row r="2445" spans="13:13">
      <c r="M2445" s="16"/>
    </row>
    <row r="2446" spans="13:13">
      <c r="M2446" s="16"/>
    </row>
    <row r="2447" spans="13:13">
      <c r="M2447" s="16"/>
    </row>
    <row r="2448" spans="13:13">
      <c r="M2448" s="16"/>
    </row>
    <row r="2449" spans="13:13">
      <c r="M2449" s="16"/>
    </row>
    <row r="2450" spans="13:13">
      <c r="M2450" s="16"/>
    </row>
    <row r="2451" spans="13:13">
      <c r="M2451" s="16"/>
    </row>
    <row r="2452" spans="13:13">
      <c r="M2452" s="16"/>
    </row>
    <row r="2453" spans="13:13">
      <c r="M2453" s="16"/>
    </row>
    <row r="2454" spans="13:13">
      <c r="M2454" s="16"/>
    </row>
    <row r="2455" spans="13:13">
      <c r="M2455" s="16"/>
    </row>
    <row r="2456" spans="13:13">
      <c r="M2456" s="16"/>
    </row>
    <row r="2457" spans="13:13">
      <c r="M2457" s="16"/>
    </row>
    <row r="2458" spans="13:13">
      <c r="M2458" s="16"/>
    </row>
    <row r="2459" spans="13:13">
      <c r="M2459" s="16"/>
    </row>
    <row r="2460" spans="13:13">
      <c r="M2460" s="16"/>
    </row>
    <row r="2461" spans="13:13">
      <c r="M2461" s="16"/>
    </row>
    <row r="2462" spans="13:13">
      <c r="M2462" s="16"/>
    </row>
    <row r="2463" spans="13:13">
      <c r="M2463" s="16"/>
    </row>
    <row r="2464" spans="13:13">
      <c r="M2464" s="16"/>
    </row>
    <row r="2465" spans="13:13">
      <c r="M2465" s="16"/>
    </row>
    <row r="2466" spans="13:13">
      <c r="M2466" s="16"/>
    </row>
    <row r="2467" spans="13:13">
      <c r="M2467" s="16"/>
    </row>
    <row r="2468" spans="13:13">
      <c r="M2468" s="16"/>
    </row>
    <row r="2469" spans="13:13">
      <c r="M2469" s="16"/>
    </row>
    <row r="2470" spans="13:13">
      <c r="M2470" s="16"/>
    </row>
    <row r="2471" spans="13:13">
      <c r="M2471" s="16"/>
    </row>
    <row r="2472" spans="13:13">
      <c r="M2472" s="16"/>
    </row>
    <row r="2473" spans="13:13">
      <c r="M2473" s="16"/>
    </row>
    <row r="2474" spans="13:13">
      <c r="M2474" s="16"/>
    </row>
    <row r="2475" spans="13:13">
      <c r="M2475" s="16"/>
    </row>
    <row r="2476" spans="13:13">
      <c r="M2476" s="16"/>
    </row>
    <row r="2477" spans="13:13">
      <c r="M2477" s="16"/>
    </row>
    <row r="2478" spans="13:13">
      <c r="M2478" s="16"/>
    </row>
    <row r="2479" spans="13:13">
      <c r="M2479" s="16"/>
    </row>
    <row r="2480" spans="13:13">
      <c r="M2480" s="16"/>
    </row>
    <row r="2481" spans="13:13">
      <c r="M2481" s="16"/>
    </row>
    <row r="2482" spans="13:13">
      <c r="M2482" s="16"/>
    </row>
    <row r="2483" spans="13:13">
      <c r="M2483" s="16"/>
    </row>
    <row r="2484" spans="13:13">
      <c r="M2484" s="16"/>
    </row>
    <row r="2485" spans="13:13">
      <c r="M2485" s="16"/>
    </row>
    <row r="2486" spans="13:13">
      <c r="M2486" s="16"/>
    </row>
    <row r="2487" spans="13:13">
      <c r="M2487" s="16"/>
    </row>
    <row r="2488" spans="13:13">
      <c r="M2488" s="16"/>
    </row>
    <row r="2489" spans="13:13">
      <c r="M2489" s="16"/>
    </row>
    <row r="2490" spans="13:13">
      <c r="M2490" s="16"/>
    </row>
    <row r="2491" spans="13:13">
      <c r="M2491" s="16"/>
    </row>
    <row r="2492" spans="13:13">
      <c r="M2492" s="16"/>
    </row>
    <row r="2493" spans="13:13">
      <c r="M2493" s="16"/>
    </row>
    <row r="2494" spans="13:13">
      <c r="M2494" s="16"/>
    </row>
    <row r="2495" spans="13:13">
      <c r="M2495" s="16"/>
    </row>
    <row r="2496" spans="13:13">
      <c r="M2496" s="16"/>
    </row>
    <row r="2497" spans="13:13">
      <c r="M2497" s="16"/>
    </row>
    <row r="2498" spans="13:13">
      <c r="M2498" s="16"/>
    </row>
    <row r="2499" spans="13:13">
      <c r="M2499" s="16"/>
    </row>
    <row r="2500" spans="13:13">
      <c r="M2500" s="16"/>
    </row>
    <row r="3062" spans="16:16">
      <c r="P3062" s="48" t="e">
        <f>CONCATENATE(P1583,P1586,P1607,P1608,P1617,P1618)</f>
        <v>#REF!</v>
      </c>
    </row>
    <row r="3063" spans="16:16">
      <c r="P3063" s="48" t="e">
        <f>CONCATENATE(P1744,P1745,P1746,P1747)</f>
        <v>#REF!</v>
      </c>
    </row>
    <row r="3066" spans="16:16">
      <c r="P3066" s="48" t="s">
        <v>2305</v>
      </c>
    </row>
    <row r="3067" spans="16:16">
      <c r="P3067" s="48" t="s">
        <v>2306</v>
      </c>
    </row>
  </sheetData>
  <pageMargins left="0.59055118110236227" right="0.15748031496062992" top="0.35433070866141736" bottom="0.27559055118110237" header="0.19685039370078741" footer="0.15748031496062992"/>
  <pageSetup paperSize="9" scale="10" fitToHeight="2" orientation="portrait" r:id="rId1"/>
  <headerFooter differentFirst="1" alignWithMargins="0">
    <oddHeader>&amp;C&amp;P</oddHeader>
  </headerFooter>
  <rowBreaks count="1" manualBreakCount="1">
    <brk id="865" min="2" max="10" man="1"/>
  </rowBreaks>
</worksheet>
</file>

<file path=xl/worksheets/sheet15.xml><?xml version="1.0" encoding="utf-8"?>
<worksheet xmlns="http://schemas.openxmlformats.org/spreadsheetml/2006/main" xmlns:r="http://schemas.openxmlformats.org/officeDocument/2006/relationships">
  <dimension ref="A1:I19"/>
  <sheetViews>
    <sheetView topLeftCell="A7" workbookViewId="0">
      <selection activeCell="B14" sqref="B14:C14"/>
    </sheetView>
  </sheetViews>
  <sheetFormatPr defaultRowHeight="18"/>
  <cols>
    <col min="1" max="1" width="22.7265625" customWidth="1"/>
    <col min="2" max="2" width="3" bestFit="1" customWidth="1"/>
    <col min="3" max="4" width="2.26953125" bestFit="1" customWidth="1"/>
    <col min="5" max="5" width="9.54296875" bestFit="1" customWidth="1"/>
    <col min="6" max="6" width="3.81640625" bestFit="1" customWidth="1"/>
    <col min="7" max="7" width="6.08984375" bestFit="1" customWidth="1"/>
    <col min="8" max="8" width="11.1796875" bestFit="1" customWidth="1"/>
    <col min="9" max="9" width="3.81640625" bestFit="1" customWidth="1"/>
  </cols>
  <sheetData>
    <row r="1" spans="1:9" ht="409.5">
      <c r="A1" s="164" t="s">
        <v>2247</v>
      </c>
      <c r="B1" s="109" t="s">
        <v>406</v>
      </c>
      <c r="C1" s="131" t="s">
        <v>342</v>
      </c>
      <c r="D1" s="131" t="s">
        <v>11</v>
      </c>
      <c r="E1" s="108" t="s">
        <v>2268</v>
      </c>
      <c r="F1" s="108" t="s">
        <v>9</v>
      </c>
      <c r="G1" s="126">
        <f>G2</f>
        <v>0</v>
      </c>
    </row>
    <row r="2" spans="1:9" ht="47.25">
      <c r="A2" s="127" t="s">
        <v>20</v>
      </c>
      <c r="B2" s="109" t="s">
        <v>406</v>
      </c>
      <c r="C2" s="108" t="s">
        <v>342</v>
      </c>
      <c r="D2" s="108" t="s">
        <v>86</v>
      </c>
      <c r="E2" s="108" t="s">
        <v>2288</v>
      </c>
      <c r="F2" s="108" t="s">
        <v>21</v>
      </c>
      <c r="G2" s="126">
        <f>SUM(G3:G4)</f>
        <v>0</v>
      </c>
    </row>
    <row r="3" spans="1:9" ht="47.25">
      <c r="A3" s="127" t="s">
        <v>40</v>
      </c>
      <c r="B3" s="109" t="s">
        <v>406</v>
      </c>
      <c r="C3" s="108" t="s">
        <v>342</v>
      </c>
      <c r="D3" s="108" t="s">
        <v>86</v>
      </c>
      <c r="E3" s="108" t="s">
        <v>2288</v>
      </c>
      <c r="F3" s="108" t="s">
        <v>41</v>
      </c>
      <c r="G3" s="126"/>
    </row>
    <row r="4" spans="1:9" ht="94.5">
      <c r="A4" s="127" t="s">
        <v>26</v>
      </c>
      <c r="B4" s="109" t="s">
        <v>406</v>
      </c>
      <c r="C4" s="108" t="s">
        <v>342</v>
      </c>
      <c r="D4" s="108" t="s">
        <v>86</v>
      </c>
      <c r="E4" s="108" t="s">
        <v>2288</v>
      </c>
      <c r="F4" s="108" t="s">
        <v>27</v>
      </c>
      <c r="G4" s="126"/>
    </row>
    <row r="7" spans="1:9">
      <c r="A7" t="s">
        <v>1859</v>
      </c>
      <c r="B7" s="109"/>
      <c r="C7" s="108"/>
      <c r="D7" s="131"/>
      <c r="E7" s="108"/>
      <c r="F7">
        <v>602</v>
      </c>
      <c r="G7">
        <v>1003</v>
      </c>
      <c r="H7" t="s">
        <v>1855</v>
      </c>
      <c r="I7">
        <v>322</v>
      </c>
    </row>
    <row r="8" spans="1:9">
      <c r="A8" t="s">
        <v>2241</v>
      </c>
      <c r="B8" s="109"/>
      <c r="C8" s="108"/>
      <c r="D8" s="131"/>
      <c r="E8" s="108"/>
      <c r="F8">
        <v>606</v>
      </c>
      <c r="G8">
        <v>709</v>
      </c>
      <c r="H8">
        <v>7510011010</v>
      </c>
      <c r="I8">
        <v>851</v>
      </c>
    </row>
    <row r="9" spans="1:9">
      <c r="A9" t="s">
        <v>1871</v>
      </c>
      <c r="B9" s="109"/>
      <c r="C9" s="108"/>
      <c r="D9" s="131"/>
      <c r="E9" s="108"/>
      <c r="F9">
        <v>617</v>
      </c>
      <c r="G9">
        <v>503</v>
      </c>
      <c r="H9">
        <v>430476416</v>
      </c>
      <c r="I9">
        <v>244</v>
      </c>
    </row>
    <row r="10" spans="1:9">
      <c r="A10" t="s">
        <v>1872</v>
      </c>
      <c r="B10" s="109"/>
      <c r="C10" s="108"/>
      <c r="D10" s="131"/>
      <c r="E10" s="108"/>
      <c r="F10">
        <v>618</v>
      </c>
      <c r="G10">
        <v>503</v>
      </c>
      <c r="H10">
        <v>430476416</v>
      </c>
      <c r="I10">
        <v>244</v>
      </c>
    </row>
    <row r="11" spans="1:9">
      <c r="A11" t="s">
        <v>1873</v>
      </c>
      <c r="B11" s="109"/>
      <c r="C11" s="108"/>
      <c r="D11" s="131"/>
      <c r="E11" s="108"/>
      <c r="F11">
        <v>620</v>
      </c>
      <c r="G11">
        <v>409</v>
      </c>
      <c r="H11">
        <v>420276411</v>
      </c>
      <c r="I11">
        <v>244</v>
      </c>
    </row>
    <row r="12" spans="1:9">
      <c r="A12" t="s">
        <v>1874</v>
      </c>
      <c r="B12" s="109"/>
      <c r="C12" s="108"/>
      <c r="D12" s="131"/>
      <c r="E12" s="108"/>
      <c r="F12">
        <v>620</v>
      </c>
      <c r="G12">
        <v>409</v>
      </c>
      <c r="H12" t="s">
        <v>2173</v>
      </c>
      <c r="I12">
        <v>244</v>
      </c>
    </row>
    <row r="13" spans="1:9">
      <c r="A13" t="s">
        <v>1875</v>
      </c>
      <c r="F13">
        <v>620</v>
      </c>
      <c r="G13">
        <v>503</v>
      </c>
      <c r="H13">
        <v>430476413</v>
      </c>
      <c r="I13">
        <v>244</v>
      </c>
    </row>
    <row r="14" spans="1:9">
      <c r="A14" t="s">
        <v>1876</v>
      </c>
      <c r="F14">
        <v>620</v>
      </c>
      <c r="G14">
        <v>503</v>
      </c>
      <c r="H14" t="s">
        <v>2193</v>
      </c>
      <c r="I14">
        <v>244</v>
      </c>
    </row>
    <row r="15" spans="1:9">
      <c r="A15" t="s">
        <v>1878</v>
      </c>
      <c r="F15">
        <v>621</v>
      </c>
      <c r="G15">
        <v>701</v>
      </c>
      <c r="H15">
        <v>120140060</v>
      </c>
      <c r="I15">
        <v>412</v>
      </c>
    </row>
    <row r="16" spans="1:9">
      <c r="A16" t="s">
        <v>2242</v>
      </c>
      <c r="F16">
        <v>621</v>
      </c>
      <c r="G16">
        <v>701</v>
      </c>
      <c r="H16">
        <v>120177471</v>
      </c>
      <c r="I16">
        <v>414</v>
      </c>
    </row>
    <row r="17" spans="1:9">
      <c r="A17" t="s">
        <v>2243</v>
      </c>
      <c r="F17">
        <v>621</v>
      </c>
      <c r="G17">
        <v>701</v>
      </c>
      <c r="H17">
        <v>120197471</v>
      </c>
      <c r="I17">
        <v>414</v>
      </c>
    </row>
    <row r="18" spans="1:9">
      <c r="A18" t="s">
        <v>2244</v>
      </c>
      <c r="F18">
        <v>621</v>
      </c>
      <c r="G18">
        <v>701</v>
      </c>
      <c r="H18" t="s">
        <v>2218</v>
      </c>
      <c r="I18">
        <v>414</v>
      </c>
    </row>
    <row r="19" spans="1:9">
      <c r="A19" t="s">
        <v>1879</v>
      </c>
      <c r="F19">
        <v>621</v>
      </c>
      <c r="G19">
        <v>702</v>
      </c>
      <c r="H19" t="s">
        <v>2220</v>
      </c>
      <c r="I19">
        <v>414</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sheetPr>
    <tabColor rgb="FF92D050"/>
  </sheetPr>
  <dimension ref="A1:K512"/>
  <sheetViews>
    <sheetView workbookViewId="0">
      <selection activeCell="B14" sqref="B14:C14"/>
    </sheetView>
  </sheetViews>
  <sheetFormatPr defaultRowHeight="18"/>
  <cols>
    <col min="1" max="1" width="15.08984375" customWidth="1"/>
    <col min="2" max="3" width="3.26953125" style="403" customWidth="1"/>
    <col min="4" max="4" width="7.453125" style="403" customWidth="1"/>
    <col min="5" max="5" width="2.453125" style="403" customWidth="1"/>
    <col min="6" max="7" width="8.36328125" style="373" customWidth="1"/>
    <col min="8" max="8" width="2.7265625" style="292" bestFit="1" customWidth="1"/>
    <col min="9" max="9" width="5.90625" style="292" bestFit="1" customWidth="1"/>
    <col min="10" max="10" width="9.26953125" style="292"/>
  </cols>
  <sheetData>
    <row r="1" spans="1:11">
      <c r="B1" s="404"/>
      <c r="C1" s="404"/>
      <c r="D1" s="404"/>
      <c r="E1" s="404"/>
      <c r="F1" s="353"/>
      <c r="G1" s="353"/>
    </row>
    <row r="2" spans="1:11">
      <c r="B2" s="404"/>
      <c r="C2" s="404"/>
      <c r="D2" s="404"/>
      <c r="E2" s="404"/>
      <c r="F2" s="353"/>
      <c r="G2" s="353"/>
    </row>
    <row r="3" spans="1:11">
      <c r="B3" s="419"/>
      <c r="C3" s="419"/>
      <c r="D3" s="419"/>
      <c r="E3" s="419"/>
      <c r="F3" s="353"/>
      <c r="G3" s="353"/>
    </row>
    <row r="4" spans="1:11">
      <c r="B4" s="418"/>
      <c r="C4" s="418"/>
      <c r="D4" s="418"/>
      <c r="E4" s="418"/>
      <c r="F4" s="353"/>
      <c r="G4" s="353"/>
    </row>
    <row r="5" spans="1:11">
      <c r="B5" s="417"/>
      <c r="C5" s="417"/>
      <c r="D5" s="417"/>
      <c r="E5" s="417"/>
      <c r="F5" s="353"/>
      <c r="G5" s="353"/>
    </row>
    <row r="6" spans="1:11">
      <c r="B6" s="417"/>
      <c r="C6" s="417"/>
      <c r="D6" s="417"/>
      <c r="E6" s="417"/>
      <c r="F6" s="353"/>
      <c r="G6" s="353"/>
    </row>
    <row r="7" spans="1:11" ht="18.75" thickBot="1">
      <c r="B7" s="416"/>
      <c r="C7" s="415"/>
      <c r="D7" s="415"/>
      <c r="E7" s="415"/>
      <c r="F7" s="416"/>
      <c r="G7" s="416"/>
    </row>
    <row r="8" spans="1:11" ht="23.25" thickBot="1">
      <c r="B8" s="414" t="s">
        <v>1890</v>
      </c>
      <c r="C8" s="414" t="s">
        <v>1891</v>
      </c>
      <c r="D8" s="413" t="s">
        <v>1892</v>
      </c>
      <c r="E8" s="412" t="s">
        <v>1893</v>
      </c>
      <c r="F8" s="412" t="s">
        <v>1895</v>
      </c>
      <c r="G8" s="412" t="s">
        <v>1896</v>
      </c>
    </row>
    <row r="9" spans="1:11" ht="22.5">
      <c r="A9" s="346" t="str">
        <f t="shared" ref="A9:A72" si="0">B9&amp;H9&amp;I9&amp;E9</f>
        <v>60001037010010010122</v>
      </c>
      <c r="B9" s="411">
        <v>600</v>
      </c>
      <c r="C9" s="410">
        <v>103</v>
      </c>
      <c r="D9" s="409" t="s">
        <v>1897</v>
      </c>
      <c r="E9" s="408" t="s">
        <v>23</v>
      </c>
      <c r="F9" s="362">
        <v>1283389.68</v>
      </c>
      <c r="G9" s="363">
        <v>1283389.68</v>
      </c>
      <c r="H9" s="345" t="str">
        <f>TEXT(C9,"0000")</f>
        <v>0103</v>
      </c>
      <c r="I9" s="346" t="str">
        <f>TEXT(D9,"0000000000")</f>
        <v>7010010010</v>
      </c>
    </row>
    <row r="10" spans="1:11" ht="22.5">
      <c r="A10" s="346" t="str">
        <f t="shared" si="0"/>
        <v>60001037010010010123</v>
      </c>
      <c r="B10" s="364">
        <v>600</v>
      </c>
      <c r="C10" s="365">
        <v>103</v>
      </c>
      <c r="D10" s="366" t="s">
        <v>1897</v>
      </c>
      <c r="E10" s="367" t="s">
        <v>25</v>
      </c>
      <c r="F10" s="368">
        <v>2426594</v>
      </c>
      <c r="G10" s="369">
        <v>2426594</v>
      </c>
      <c r="H10" s="345" t="str">
        <f>TEXT(C10,"0000")</f>
        <v>0103</v>
      </c>
      <c r="I10" s="346" t="str">
        <f>TEXT(D10,"0000000000")</f>
        <v>7010010010</v>
      </c>
    </row>
    <row r="11" spans="1:11" ht="22.5">
      <c r="A11" s="346" t="str">
        <f t="shared" si="0"/>
        <v>60001037010010010129</v>
      </c>
      <c r="B11" s="364">
        <v>600</v>
      </c>
      <c r="C11" s="365">
        <v>103</v>
      </c>
      <c r="D11" s="366" t="s">
        <v>1897</v>
      </c>
      <c r="E11" s="367" t="s">
        <v>27</v>
      </c>
      <c r="F11" s="368">
        <v>230654</v>
      </c>
      <c r="G11" s="369">
        <v>230654</v>
      </c>
      <c r="H11" s="345" t="str">
        <f t="shared" ref="H11:H58" si="1">TEXT(C11,"0000")</f>
        <v>0103</v>
      </c>
      <c r="I11" s="346" t="str">
        <f t="shared" ref="I11:I58" si="2">TEXT(D11,"0000000000")</f>
        <v>7010010010</v>
      </c>
    </row>
    <row r="12" spans="1:11" ht="22.5">
      <c r="A12" s="346" t="str">
        <f t="shared" si="0"/>
        <v>60001037010010010244</v>
      </c>
      <c r="B12" s="364">
        <v>600</v>
      </c>
      <c r="C12" s="365">
        <v>103</v>
      </c>
      <c r="D12" s="366" t="s">
        <v>1897</v>
      </c>
      <c r="E12" s="367" t="s">
        <v>31</v>
      </c>
      <c r="F12" s="368">
        <v>6454140</v>
      </c>
      <c r="G12" s="369">
        <v>6454140</v>
      </c>
      <c r="H12" s="345" t="str">
        <f t="shared" si="1"/>
        <v>0103</v>
      </c>
      <c r="I12" s="346" t="str">
        <f t="shared" si="2"/>
        <v>7010010010</v>
      </c>
    </row>
    <row r="13" spans="1:11" ht="22.5">
      <c r="A13" s="346" t="str">
        <f t="shared" si="0"/>
        <v>60001037010010010851</v>
      </c>
      <c r="B13" s="364">
        <v>600</v>
      </c>
      <c r="C13" s="365">
        <v>103</v>
      </c>
      <c r="D13" s="366" t="s">
        <v>1897</v>
      </c>
      <c r="E13" s="367" t="s">
        <v>35</v>
      </c>
      <c r="F13" s="368">
        <v>30280</v>
      </c>
      <c r="G13" s="369">
        <v>30280</v>
      </c>
      <c r="H13" s="345" t="str">
        <f t="shared" si="1"/>
        <v>0103</v>
      </c>
      <c r="I13" s="346" t="str">
        <f t="shared" si="2"/>
        <v>7010010010</v>
      </c>
    </row>
    <row r="14" spans="1:11" ht="22.5">
      <c r="A14" s="346" t="str">
        <f t="shared" si="0"/>
        <v>60001037010010010852</v>
      </c>
      <c r="B14" s="364">
        <v>600</v>
      </c>
      <c r="C14" s="365">
        <v>103</v>
      </c>
      <c r="D14" s="366" t="s">
        <v>1897</v>
      </c>
      <c r="E14" s="367" t="s">
        <v>37</v>
      </c>
      <c r="F14" s="368">
        <v>76340</v>
      </c>
      <c r="G14" s="369">
        <v>76340</v>
      </c>
      <c r="H14" s="345" t="str">
        <f t="shared" si="1"/>
        <v>0103</v>
      </c>
      <c r="I14" s="346" t="str">
        <f t="shared" si="2"/>
        <v>7010010010</v>
      </c>
    </row>
    <row r="15" spans="1:11" s="292" customFormat="1" ht="22.5">
      <c r="A15" s="346" t="str">
        <f t="shared" si="0"/>
        <v>60001037010010020121</v>
      </c>
      <c r="B15" s="364">
        <v>600</v>
      </c>
      <c r="C15" s="365">
        <v>103</v>
      </c>
      <c r="D15" s="366" t="s">
        <v>1898</v>
      </c>
      <c r="E15" s="367" t="s">
        <v>41</v>
      </c>
      <c r="F15" s="368">
        <v>26353333.43</v>
      </c>
      <c r="G15" s="369">
        <v>26353333.43</v>
      </c>
      <c r="H15" s="345" t="str">
        <f t="shared" si="1"/>
        <v>0103</v>
      </c>
      <c r="I15" s="346" t="str">
        <f t="shared" si="2"/>
        <v>7010010020</v>
      </c>
      <c r="K15"/>
    </row>
    <row r="16" spans="1:11" s="292" customFormat="1" ht="22.5">
      <c r="A16" s="346" t="str">
        <f t="shared" si="0"/>
        <v>60001037010010020129</v>
      </c>
      <c r="B16" s="364">
        <v>600</v>
      </c>
      <c r="C16" s="365">
        <v>103</v>
      </c>
      <c r="D16" s="366" t="s">
        <v>1898</v>
      </c>
      <c r="E16" s="367" t="s">
        <v>27</v>
      </c>
      <c r="F16" s="368">
        <v>7971822.2400000002</v>
      </c>
      <c r="G16" s="369">
        <v>7971822.2400000002</v>
      </c>
      <c r="H16" s="345" t="str">
        <f t="shared" si="1"/>
        <v>0103</v>
      </c>
      <c r="I16" s="346" t="str">
        <f t="shared" si="2"/>
        <v>7010010020</v>
      </c>
      <c r="K16"/>
    </row>
    <row r="17" spans="1:11" s="292" customFormat="1" ht="22.5">
      <c r="A17" s="346" t="str">
        <f t="shared" si="0"/>
        <v>60001037020010010122</v>
      </c>
      <c r="B17" s="364">
        <v>600</v>
      </c>
      <c r="C17" s="365">
        <v>103</v>
      </c>
      <c r="D17" s="366" t="s">
        <v>1901</v>
      </c>
      <c r="E17" s="367" t="s">
        <v>23</v>
      </c>
      <c r="F17" s="368">
        <v>31912.5</v>
      </c>
      <c r="G17" s="369">
        <v>31912.5</v>
      </c>
      <c r="H17" s="345" t="str">
        <f t="shared" si="1"/>
        <v>0103</v>
      </c>
      <c r="I17" s="346" t="str">
        <f t="shared" si="2"/>
        <v>7020010010</v>
      </c>
      <c r="K17"/>
    </row>
    <row r="18" spans="1:11" s="292" customFormat="1" ht="22.5">
      <c r="A18" s="346" t="str">
        <f t="shared" si="0"/>
        <v>60001037020010010129</v>
      </c>
      <c r="B18" s="364">
        <v>600</v>
      </c>
      <c r="C18" s="365">
        <v>103</v>
      </c>
      <c r="D18" s="366" t="s">
        <v>1901</v>
      </c>
      <c r="E18" s="367" t="s">
        <v>27</v>
      </c>
      <c r="F18" s="368">
        <v>9637.5</v>
      </c>
      <c r="G18" s="369">
        <v>9637.5</v>
      </c>
      <c r="H18" s="345" t="str">
        <f t="shared" si="1"/>
        <v>0103</v>
      </c>
      <c r="I18" s="346" t="str">
        <f t="shared" si="2"/>
        <v>7020010010</v>
      </c>
      <c r="K18"/>
    </row>
    <row r="19" spans="1:11" s="292" customFormat="1" ht="22.5">
      <c r="A19" s="346" t="str">
        <f t="shared" si="0"/>
        <v>60001037020010020121</v>
      </c>
      <c r="B19" s="364">
        <v>600</v>
      </c>
      <c r="C19" s="365">
        <v>103</v>
      </c>
      <c r="D19" s="366" t="s">
        <v>1902</v>
      </c>
      <c r="E19" s="367" t="s">
        <v>41</v>
      </c>
      <c r="F19" s="368">
        <v>1241575.47</v>
      </c>
      <c r="G19" s="369">
        <v>1241575.47</v>
      </c>
      <c r="H19" s="345" t="str">
        <f t="shared" si="1"/>
        <v>0103</v>
      </c>
      <c r="I19" s="346" t="str">
        <f t="shared" si="2"/>
        <v>7020010020</v>
      </c>
      <c r="K19"/>
    </row>
    <row r="20" spans="1:11" s="292" customFormat="1" ht="22.5">
      <c r="A20" s="346" t="str">
        <f t="shared" si="0"/>
        <v>60001037020010020129</v>
      </c>
      <c r="B20" s="364">
        <v>600</v>
      </c>
      <c r="C20" s="365">
        <v>103</v>
      </c>
      <c r="D20" s="366" t="s">
        <v>1902</v>
      </c>
      <c r="E20" s="367" t="s">
        <v>27</v>
      </c>
      <c r="F20" s="368">
        <v>374971.79</v>
      </c>
      <c r="G20" s="369">
        <v>374971.79</v>
      </c>
      <c r="H20" s="345" t="str">
        <f t="shared" si="1"/>
        <v>0103</v>
      </c>
      <c r="I20" s="346" t="str">
        <f t="shared" si="2"/>
        <v>7020010020</v>
      </c>
      <c r="K20"/>
    </row>
    <row r="21" spans="1:11" s="292" customFormat="1" ht="22.5">
      <c r="A21" s="346" t="str">
        <f t="shared" si="0"/>
        <v>60001037030010010122</v>
      </c>
      <c r="B21" s="364">
        <v>600</v>
      </c>
      <c r="C21" s="365">
        <v>103</v>
      </c>
      <c r="D21" s="366" t="s">
        <v>1904</v>
      </c>
      <c r="E21" s="367" t="s">
        <v>23</v>
      </c>
      <c r="F21" s="368">
        <v>63830</v>
      </c>
      <c r="G21" s="369">
        <v>63830</v>
      </c>
      <c r="H21" s="345" t="str">
        <f t="shared" si="1"/>
        <v>0103</v>
      </c>
      <c r="I21" s="346" t="str">
        <f t="shared" si="2"/>
        <v>7030010010</v>
      </c>
      <c r="K21"/>
    </row>
    <row r="22" spans="1:11" s="292" customFormat="1" ht="22.5">
      <c r="A22" s="346" t="str">
        <f t="shared" si="0"/>
        <v>60001037030010010129</v>
      </c>
      <c r="B22" s="364">
        <v>600</v>
      </c>
      <c r="C22" s="365">
        <v>103</v>
      </c>
      <c r="D22" s="366" t="s">
        <v>1904</v>
      </c>
      <c r="E22" s="367" t="s">
        <v>27</v>
      </c>
      <c r="F22" s="368">
        <v>19280</v>
      </c>
      <c r="G22" s="369">
        <v>19280</v>
      </c>
      <c r="H22" s="345" t="str">
        <f t="shared" si="1"/>
        <v>0103</v>
      </c>
      <c r="I22" s="346" t="str">
        <f t="shared" si="2"/>
        <v>7030010010</v>
      </c>
      <c r="K22"/>
    </row>
    <row r="23" spans="1:11" s="292" customFormat="1" ht="22.5">
      <c r="A23" s="346" t="str">
        <f t="shared" si="0"/>
        <v>60001037030010020121</v>
      </c>
      <c r="B23" s="364">
        <v>600</v>
      </c>
      <c r="C23" s="365">
        <v>103</v>
      </c>
      <c r="D23" s="366" t="s">
        <v>1905</v>
      </c>
      <c r="E23" s="367" t="s">
        <v>41</v>
      </c>
      <c r="F23" s="368">
        <v>1950014.16</v>
      </c>
      <c r="G23" s="369">
        <v>1950014.16</v>
      </c>
      <c r="H23" s="345" t="str">
        <f t="shared" si="1"/>
        <v>0103</v>
      </c>
      <c r="I23" s="346" t="str">
        <f t="shared" si="2"/>
        <v>7030010020</v>
      </c>
      <c r="K23"/>
    </row>
    <row r="24" spans="1:11" s="292" customFormat="1" ht="22.5">
      <c r="A24" s="346" t="str">
        <f t="shared" si="0"/>
        <v>60001037030010020129</v>
      </c>
      <c r="B24" s="364">
        <v>600</v>
      </c>
      <c r="C24" s="365">
        <v>103</v>
      </c>
      <c r="D24" s="366" t="s">
        <v>1905</v>
      </c>
      <c r="E24" s="367" t="s">
        <v>27</v>
      </c>
      <c r="F24" s="368">
        <v>575767.43999999994</v>
      </c>
      <c r="G24" s="369">
        <v>575767.43999999994</v>
      </c>
      <c r="H24" s="345" t="str">
        <f t="shared" si="1"/>
        <v>0103</v>
      </c>
      <c r="I24" s="346" t="str">
        <f t="shared" si="2"/>
        <v>7030010020</v>
      </c>
      <c r="K24"/>
    </row>
    <row r="25" spans="1:11" s="292" customFormat="1" ht="22.5">
      <c r="A25" s="346" t="str">
        <f t="shared" si="0"/>
        <v>60001137040020090244</v>
      </c>
      <c r="B25" s="364">
        <v>600</v>
      </c>
      <c r="C25" s="365">
        <v>113</v>
      </c>
      <c r="D25" s="366" t="s">
        <v>1907</v>
      </c>
      <c r="E25" s="367" t="s">
        <v>31</v>
      </c>
      <c r="F25" s="368">
        <v>500000</v>
      </c>
      <c r="G25" s="369">
        <v>500000</v>
      </c>
      <c r="H25" s="345" t="str">
        <f t="shared" si="1"/>
        <v>0113</v>
      </c>
      <c r="I25" s="346" t="str">
        <f t="shared" si="2"/>
        <v>7040020090</v>
      </c>
      <c r="K25"/>
    </row>
    <row r="26" spans="1:11" s="292" customFormat="1" ht="22.5">
      <c r="A26" s="346" t="str">
        <f t="shared" si="0"/>
        <v>60012017040098710244</v>
      </c>
      <c r="B26" s="364">
        <v>600</v>
      </c>
      <c r="C26" s="365">
        <v>1201</v>
      </c>
      <c r="D26" s="366" t="s">
        <v>1908</v>
      </c>
      <c r="E26" s="367" t="s">
        <v>31</v>
      </c>
      <c r="F26" s="368">
        <v>5090500</v>
      </c>
      <c r="G26" s="369">
        <v>5090500</v>
      </c>
      <c r="H26" s="345" t="str">
        <f t="shared" si="1"/>
        <v>1201</v>
      </c>
      <c r="I26" s="346" t="str">
        <f t="shared" si="2"/>
        <v>7040098710</v>
      </c>
      <c r="K26"/>
    </row>
    <row r="27" spans="1:11" s="292" customFormat="1" ht="22.5">
      <c r="A27" s="346" t="str">
        <f t="shared" si="0"/>
        <v>60012027040098710244</v>
      </c>
      <c r="B27" s="364">
        <v>600</v>
      </c>
      <c r="C27" s="365">
        <v>1202</v>
      </c>
      <c r="D27" s="366" t="s">
        <v>1908</v>
      </c>
      <c r="E27" s="367" t="s">
        <v>31</v>
      </c>
      <c r="F27" s="368">
        <v>2000000</v>
      </c>
      <c r="G27" s="369">
        <v>2000000</v>
      </c>
      <c r="H27" s="345" t="str">
        <f t="shared" si="1"/>
        <v>1202</v>
      </c>
      <c r="I27" s="346" t="str">
        <f t="shared" si="2"/>
        <v>7040098710</v>
      </c>
      <c r="K27"/>
    </row>
    <row r="28" spans="1:11" s="292" customFormat="1" ht="22.5">
      <c r="A28" s="346" t="str">
        <f t="shared" si="0"/>
        <v>60101027120010010122</v>
      </c>
      <c r="B28" s="364">
        <v>601</v>
      </c>
      <c r="C28" s="365">
        <v>102</v>
      </c>
      <c r="D28" s="366" t="s">
        <v>1909</v>
      </c>
      <c r="E28" s="367" t="s">
        <v>23</v>
      </c>
      <c r="F28" s="368">
        <v>31912.5</v>
      </c>
      <c r="G28" s="369">
        <v>31912.5</v>
      </c>
      <c r="H28" s="345" t="str">
        <f t="shared" si="1"/>
        <v>0102</v>
      </c>
      <c r="I28" s="346" t="str">
        <f t="shared" si="2"/>
        <v>7120010010</v>
      </c>
      <c r="K28"/>
    </row>
    <row r="29" spans="1:11" s="292" customFormat="1" ht="22.5">
      <c r="A29" s="346" t="str">
        <f t="shared" si="0"/>
        <v>60101027120010010129</v>
      </c>
      <c r="B29" s="364">
        <v>601</v>
      </c>
      <c r="C29" s="365">
        <v>102</v>
      </c>
      <c r="D29" s="366" t="s">
        <v>1909</v>
      </c>
      <c r="E29" s="367" t="s">
        <v>27</v>
      </c>
      <c r="F29" s="368">
        <v>9637.5</v>
      </c>
      <c r="G29" s="369">
        <v>9637.5</v>
      </c>
      <c r="H29" s="345" t="str">
        <f t="shared" si="1"/>
        <v>0102</v>
      </c>
      <c r="I29" s="346" t="str">
        <f t="shared" si="2"/>
        <v>7120010010</v>
      </c>
      <c r="K29"/>
    </row>
    <row r="30" spans="1:11" s="292" customFormat="1" ht="22.5">
      <c r="A30" s="346" t="str">
        <f t="shared" si="0"/>
        <v>60101027120010020121</v>
      </c>
      <c r="B30" s="364">
        <v>601</v>
      </c>
      <c r="C30" s="365">
        <v>102</v>
      </c>
      <c r="D30" s="366" t="s">
        <v>1910</v>
      </c>
      <c r="E30" s="367" t="s">
        <v>41</v>
      </c>
      <c r="F30" s="368">
        <v>1241629.21</v>
      </c>
      <c r="G30" s="369">
        <v>1241629.21</v>
      </c>
      <c r="H30" s="345" t="str">
        <f t="shared" si="1"/>
        <v>0102</v>
      </c>
      <c r="I30" s="346" t="str">
        <f t="shared" si="2"/>
        <v>7120010020</v>
      </c>
      <c r="K30"/>
    </row>
    <row r="31" spans="1:11" s="292" customFormat="1" ht="22.5">
      <c r="A31" s="346" t="str">
        <f t="shared" si="0"/>
        <v>60101027120010020129</v>
      </c>
      <c r="B31" s="364">
        <v>601</v>
      </c>
      <c r="C31" s="365">
        <v>102</v>
      </c>
      <c r="D31" s="366" t="s">
        <v>1910</v>
      </c>
      <c r="E31" s="367" t="s">
        <v>27</v>
      </c>
      <c r="F31" s="368">
        <v>374988.02</v>
      </c>
      <c r="G31" s="369">
        <v>374988.02</v>
      </c>
      <c r="H31" s="345" t="str">
        <f t="shared" si="1"/>
        <v>0102</v>
      </c>
      <c r="I31" s="346" t="str">
        <f t="shared" si="2"/>
        <v>7120010020</v>
      </c>
      <c r="K31"/>
    </row>
    <row r="32" spans="1:11" s="292" customFormat="1" ht="22.5">
      <c r="A32" s="346" t="str">
        <f t="shared" si="0"/>
        <v>60101047110010010122</v>
      </c>
      <c r="B32" s="364">
        <v>601</v>
      </c>
      <c r="C32" s="365">
        <v>104</v>
      </c>
      <c r="D32" s="366" t="s">
        <v>1912</v>
      </c>
      <c r="E32" s="367" t="s">
        <v>23</v>
      </c>
      <c r="F32" s="368">
        <v>3720350</v>
      </c>
      <c r="G32" s="369">
        <v>3720350</v>
      </c>
      <c r="H32" s="345" t="str">
        <f t="shared" si="1"/>
        <v>0104</v>
      </c>
      <c r="I32" s="346" t="str">
        <f t="shared" si="2"/>
        <v>7110010010</v>
      </c>
      <c r="K32"/>
    </row>
    <row r="33" spans="1:11" s="292" customFormat="1" ht="22.5">
      <c r="A33" s="346" t="str">
        <f t="shared" si="0"/>
        <v>60101047110010010129</v>
      </c>
      <c r="B33" s="364">
        <v>601</v>
      </c>
      <c r="C33" s="365">
        <v>104</v>
      </c>
      <c r="D33" s="366" t="s">
        <v>1912</v>
      </c>
      <c r="E33" s="367" t="s">
        <v>27</v>
      </c>
      <c r="F33" s="368">
        <v>694550</v>
      </c>
      <c r="G33" s="369">
        <v>694550</v>
      </c>
      <c r="H33" s="345" t="str">
        <f t="shared" si="1"/>
        <v>0104</v>
      </c>
      <c r="I33" s="346" t="str">
        <f t="shared" si="2"/>
        <v>7110010010</v>
      </c>
      <c r="K33"/>
    </row>
    <row r="34" spans="1:11" s="292" customFormat="1" ht="22.5">
      <c r="A34" s="346" t="str">
        <f t="shared" si="0"/>
        <v>60101047110010010244</v>
      </c>
      <c r="B34" s="364">
        <v>601</v>
      </c>
      <c r="C34" s="365">
        <v>104</v>
      </c>
      <c r="D34" s="366" t="s">
        <v>1912</v>
      </c>
      <c r="E34" s="367" t="s">
        <v>31</v>
      </c>
      <c r="F34" s="368">
        <v>7701660</v>
      </c>
      <c r="G34" s="369">
        <v>7701660</v>
      </c>
      <c r="H34" s="345" t="str">
        <f t="shared" si="1"/>
        <v>0104</v>
      </c>
      <c r="I34" s="346" t="str">
        <f t="shared" si="2"/>
        <v>7110010010</v>
      </c>
      <c r="K34"/>
    </row>
    <row r="35" spans="1:11" s="292" customFormat="1" ht="22.5">
      <c r="A35" s="346" t="str">
        <f t="shared" si="0"/>
        <v>60101047110010010852</v>
      </c>
      <c r="B35" s="364">
        <v>601</v>
      </c>
      <c r="C35" s="365">
        <v>104</v>
      </c>
      <c r="D35" s="366" t="s">
        <v>1912</v>
      </c>
      <c r="E35" s="367" t="s">
        <v>37</v>
      </c>
      <c r="F35" s="368">
        <v>16000</v>
      </c>
      <c r="G35" s="369">
        <v>16000</v>
      </c>
      <c r="H35" s="345" t="str">
        <f t="shared" si="1"/>
        <v>0104</v>
      </c>
      <c r="I35" s="346" t="str">
        <f t="shared" si="2"/>
        <v>7110010010</v>
      </c>
      <c r="K35"/>
    </row>
    <row r="36" spans="1:11" s="292" customFormat="1" ht="22.5">
      <c r="A36" s="346" t="str">
        <f t="shared" si="0"/>
        <v>60101047110010010853</v>
      </c>
      <c r="B36" s="364">
        <v>601</v>
      </c>
      <c r="C36" s="365">
        <v>104</v>
      </c>
      <c r="D36" s="366" t="s">
        <v>1912</v>
      </c>
      <c r="E36" s="367" t="s">
        <v>78</v>
      </c>
      <c r="F36" s="368">
        <v>8000</v>
      </c>
      <c r="G36" s="369">
        <v>8000</v>
      </c>
      <c r="H36" s="345" t="str">
        <f t="shared" si="1"/>
        <v>0104</v>
      </c>
      <c r="I36" s="346" t="str">
        <f t="shared" si="2"/>
        <v>7110010010</v>
      </c>
      <c r="K36"/>
    </row>
    <row r="37" spans="1:11" s="292" customFormat="1" ht="22.5">
      <c r="A37" s="346" t="str">
        <f t="shared" si="0"/>
        <v>60101047110010020121</v>
      </c>
      <c r="B37" s="364">
        <v>601</v>
      </c>
      <c r="C37" s="365">
        <v>104</v>
      </c>
      <c r="D37" s="366" t="s">
        <v>1913</v>
      </c>
      <c r="E37" s="367" t="s">
        <v>41</v>
      </c>
      <c r="F37" s="368">
        <v>74685866.370000005</v>
      </c>
      <c r="G37" s="369">
        <v>74685866.370000005</v>
      </c>
      <c r="H37" s="345" t="str">
        <f t="shared" si="1"/>
        <v>0104</v>
      </c>
      <c r="I37" s="346" t="str">
        <f t="shared" si="2"/>
        <v>7110010020</v>
      </c>
      <c r="K37"/>
    </row>
    <row r="38" spans="1:11" s="292" customFormat="1" ht="22.5">
      <c r="A38" s="346" t="str">
        <f t="shared" si="0"/>
        <v>60101047110010020129</v>
      </c>
      <c r="B38" s="364">
        <v>601</v>
      </c>
      <c r="C38" s="365">
        <v>104</v>
      </c>
      <c r="D38" s="366" t="s">
        <v>1913</v>
      </c>
      <c r="E38" s="367" t="s">
        <v>27</v>
      </c>
      <c r="F38" s="368">
        <v>22555119.600000001</v>
      </c>
      <c r="G38" s="369">
        <v>22555119.600000001</v>
      </c>
      <c r="H38" s="345" t="str">
        <f t="shared" si="1"/>
        <v>0104</v>
      </c>
      <c r="I38" s="346" t="str">
        <f t="shared" si="2"/>
        <v>7110010020</v>
      </c>
      <c r="K38"/>
    </row>
    <row r="39" spans="1:11" s="292" customFormat="1" ht="22.5">
      <c r="A39" s="346" t="str">
        <f t="shared" si="0"/>
        <v>60101047110076630121</v>
      </c>
      <c r="B39" s="364">
        <v>601</v>
      </c>
      <c r="C39" s="365">
        <v>104</v>
      </c>
      <c r="D39" s="366" t="s">
        <v>1914</v>
      </c>
      <c r="E39" s="367" t="s">
        <v>41</v>
      </c>
      <c r="F39" s="368">
        <v>617367</v>
      </c>
      <c r="G39" s="369">
        <v>617367</v>
      </c>
      <c r="H39" s="345" t="str">
        <f t="shared" si="1"/>
        <v>0104</v>
      </c>
      <c r="I39" s="346" t="str">
        <f t="shared" si="2"/>
        <v>7110076630</v>
      </c>
      <c r="K39"/>
    </row>
    <row r="40" spans="1:11" s="292" customFormat="1" ht="22.5">
      <c r="A40" s="346" t="str">
        <f t="shared" si="0"/>
        <v>60101047110076630129</v>
      </c>
      <c r="B40" s="364">
        <v>601</v>
      </c>
      <c r="C40" s="365">
        <v>104</v>
      </c>
      <c r="D40" s="366" t="s">
        <v>1914</v>
      </c>
      <c r="E40" s="367" t="s">
        <v>27</v>
      </c>
      <c r="F40" s="368">
        <v>186445</v>
      </c>
      <c r="G40" s="369">
        <v>186445</v>
      </c>
      <c r="H40" s="345" t="str">
        <f t="shared" si="1"/>
        <v>0104</v>
      </c>
      <c r="I40" s="346" t="str">
        <f t="shared" si="2"/>
        <v>7110076630</v>
      </c>
      <c r="K40"/>
    </row>
    <row r="41" spans="1:11" s="292" customFormat="1" ht="22.5">
      <c r="A41" s="346" t="str">
        <f t="shared" si="0"/>
        <v>60101047110076630244</v>
      </c>
      <c r="B41" s="364">
        <v>601</v>
      </c>
      <c r="C41" s="365">
        <v>104</v>
      </c>
      <c r="D41" s="366" t="s">
        <v>1914</v>
      </c>
      <c r="E41" s="367" t="s">
        <v>31</v>
      </c>
      <c r="F41" s="368">
        <v>212206</v>
      </c>
      <c r="G41" s="369">
        <v>212206</v>
      </c>
      <c r="H41" s="345" t="str">
        <f t="shared" si="1"/>
        <v>0104</v>
      </c>
      <c r="I41" s="346" t="str">
        <f t="shared" si="2"/>
        <v>7110076630</v>
      </c>
      <c r="K41"/>
    </row>
    <row r="42" spans="1:11" s="292" customFormat="1" ht="22.5">
      <c r="A42" s="346" t="str">
        <f t="shared" si="0"/>
        <v>60101047110076930244</v>
      </c>
      <c r="B42" s="364">
        <v>601</v>
      </c>
      <c r="C42" s="365">
        <v>104</v>
      </c>
      <c r="D42" s="366" t="s">
        <v>1915</v>
      </c>
      <c r="E42" s="367" t="s">
        <v>31</v>
      </c>
      <c r="F42" s="368">
        <v>9000</v>
      </c>
      <c r="G42" s="369">
        <v>9000</v>
      </c>
      <c r="H42" s="345" t="str">
        <f t="shared" si="1"/>
        <v>0104</v>
      </c>
      <c r="I42" s="346" t="str">
        <f t="shared" si="2"/>
        <v>7110076930</v>
      </c>
      <c r="K42"/>
    </row>
    <row r="43" spans="1:11" s="292" customFormat="1" ht="22.5">
      <c r="A43" s="346" t="str">
        <f t="shared" si="0"/>
        <v>60101059810051200244</v>
      </c>
      <c r="B43" s="364">
        <v>601</v>
      </c>
      <c r="C43" s="365">
        <v>105</v>
      </c>
      <c r="D43" s="366" t="s">
        <v>1917</v>
      </c>
      <c r="E43" s="367" t="s">
        <v>31</v>
      </c>
      <c r="F43" s="368">
        <v>86530</v>
      </c>
      <c r="G43" s="369">
        <v>139630</v>
      </c>
      <c r="H43" s="345" t="str">
        <f t="shared" si="1"/>
        <v>0105</v>
      </c>
      <c r="I43" s="346" t="str">
        <f t="shared" si="2"/>
        <v>9810051200</v>
      </c>
      <c r="K43"/>
    </row>
    <row r="44" spans="1:11" s="292" customFormat="1" ht="22.5">
      <c r="A44" s="346" t="str">
        <f t="shared" si="0"/>
        <v>60101131220320040853</v>
      </c>
      <c r="B44" s="364">
        <v>601</v>
      </c>
      <c r="C44" s="365">
        <v>113</v>
      </c>
      <c r="D44" s="366" t="s">
        <v>1918</v>
      </c>
      <c r="E44" s="367" t="s">
        <v>78</v>
      </c>
      <c r="F44" s="368">
        <v>1329080</v>
      </c>
      <c r="G44" s="369">
        <v>1329080</v>
      </c>
      <c r="H44" s="345" t="str">
        <f t="shared" si="1"/>
        <v>0113</v>
      </c>
      <c r="I44" s="346" t="str">
        <f t="shared" si="2"/>
        <v>1220320040</v>
      </c>
      <c r="K44"/>
    </row>
    <row r="45" spans="1:11" s="292" customFormat="1" ht="22.5">
      <c r="A45" s="346" t="str">
        <f t="shared" si="0"/>
        <v>60101131220320090244</v>
      </c>
      <c r="B45" s="364">
        <v>601</v>
      </c>
      <c r="C45" s="365">
        <v>113</v>
      </c>
      <c r="D45" s="366" t="s">
        <v>1919</v>
      </c>
      <c r="E45" s="367" t="s">
        <v>31</v>
      </c>
      <c r="F45" s="368">
        <v>790000</v>
      </c>
      <c r="G45" s="369">
        <v>790000</v>
      </c>
      <c r="H45" s="345" t="str">
        <f t="shared" si="1"/>
        <v>0113</v>
      </c>
      <c r="I45" s="346" t="str">
        <f t="shared" si="2"/>
        <v>1220320090</v>
      </c>
      <c r="K45"/>
    </row>
    <row r="46" spans="1:11" s="292" customFormat="1" ht="22.5">
      <c r="A46" s="346" t="str">
        <f t="shared" si="0"/>
        <v>60101131320120620244</v>
      </c>
      <c r="B46" s="364">
        <v>601</v>
      </c>
      <c r="C46" s="365">
        <v>113</v>
      </c>
      <c r="D46" s="366" t="s">
        <v>1920</v>
      </c>
      <c r="E46" s="367" t="s">
        <v>31</v>
      </c>
      <c r="F46" s="368">
        <v>100000</v>
      </c>
      <c r="G46" s="369">
        <v>100000</v>
      </c>
      <c r="H46" s="345" t="str">
        <f t="shared" si="1"/>
        <v>0113</v>
      </c>
      <c r="I46" s="346" t="str">
        <f t="shared" si="2"/>
        <v>1320120620</v>
      </c>
      <c r="K46"/>
    </row>
    <row r="47" spans="1:11" s="292" customFormat="1" ht="22.5">
      <c r="A47" s="346" t="str">
        <f t="shared" si="0"/>
        <v>60101131410120630244</v>
      </c>
      <c r="B47" s="364">
        <v>601</v>
      </c>
      <c r="C47" s="365">
        <v>113</v>
      </c>
      <c r="D47" s="366" t="s">
        <v>1921</v>
      </c>
      <c r="E47" s="367" t="s">
        <v>31</v>
      </c>
      <c r="F47" s="368">
        <v>8250850</v>
      </c>
      <c r="G47" s="369">
        <v>8250850</v>
      </c>
      <c r="H47" s="345" t="str">
        <f t="shared" si="1"/>
        <v>0113</v>
      </c>
      <c r="I47" s="346" t="str">
        <f t="shared" si="2"/>
        <v>1410120630</v>
      </c>
      <c r="K47"/>
    </row>
    <row r="48" spans="1:11" s="292" customFormat="1" ht="22.5">
      <c r="A48" s="346" t="str">
        <f t="shared" si="0"/>
        <v>60101131410220630244</v>
      </c>
      <c r="B48" s="364">
        <v>601</v>
      </c>
      <c r="C48" s="365">
        <v>113</v>
      </c>
      <c r="D48" s="366" t="s">
        <v>1922</v>
      </c>
      <c r="E48" s="367" t="s">
        <v>31</v>
      </c>
      <c r="F48" s="368">
        <v>3811030</v>
      </c>
      <c r="G48" s="369">
        <v>3811030</v>
      </c>
      <c r="H48" s="345" t="str">
        <f t="shared" si="1"/>
        <v>0113</v>
      </c>
      <c r="I48" s="346" t="str">
        <f t="shared" si="2"/>
        <v>1410220630</v>
      </c>
      <c r="K48"/>
    </row>
    <row r="49" spans="1:11" s="292" customFormat="1" ht="22.5">
      <c r="A49" s="346" t="str">
        <f t="shared" si="0"/>
        <v>60101131420120710244</v>
      </c>
      <c r="B49" s="364">
        <v>601</v>
      </c>
      <c r="C49" s="365">
        <v>113</v>
      </c>
      <c r="D49" s="366" t="s">
        <v>1923</v>
      </c>
      <c r="E49" s="367" t="s">
        <v>31</v>
      </c>
      <c r="F49" s="368">
        <v>450000</v>
      </c>
      <c r="G49" s="369">
        <v>450000</v>
      </c>
      <c r="H49" s="345" t="str">
        <f t="shared" si="1"/>
        <v>0113</v>
      </c>
      <c r="I49" s="346" t="str">
        <f t="shared" si="2"/>
        <v>1420120710</v>
      </c>
      <c r="K49"/>
    </row>
    <row r="50" spans="1:11" s="292" customFormat="1" ht="22.5">
      <c r="A50" s="346" t="str">
        <f t="shared" si="0"/>
        <v>60101131420220710244</v>
      </c>
      <c r="B50" s="364">
        <v>601</v>
      </c>
      <c r="C50" s="365">
        <v>113</v>
      </c>
      <c r="D50" s="366" t="s">
        <v>1924</v>
      </c>
      <c r="E50" s="367" t="s">
        <v>31</v>
      </c>
      <c r="F50" s="368">
        <v>76500</v>
      </c>
      <c r="G50" s="369">
        <v>76500</v>
      </c>
      <c r="H50" s="345" t="str">
        <f t="shared" si="1"/>
        <v>0113</v>
      </c>
      <c r="I50" s="346" t="str">
        <f t="shared" si="2"/>
        <v>1420220710</v>
      </c>
      <c r="K50"/>
    </row>
    <row r="51" spans="1:11" s="292" customFormat="1" ht="22.5">
      <c r="A51" s="346" t="str">
        <f t="shared" si="0"/>
        <v>60101131420320710244</v>
      </c>
      <c r="B51" s="364">
        <v>601</v>
      </c>
      <c r="C51" s="365">
        <v>113</v>
      </c>
      <c r="D51" s="366" t="s">
        <v>1925</v>
      </c>
      <c r="E51" s="367" t="s">
        <v>31</v>
      </c>
      <c r="F51" s="368">
        <v>76500</v>
      </c>
      <c r="G51" s="369">
        <v>76500</v>
      </c>
      <c r="H51" s="345" t="str">
        <f t="shared" si="1"/>
        <v>0113</v>
      </c>
      <c r="I51" s="346" t="str">
        <f t="shared" si="2"/>
        <v>1420320710</v>
      </c>
      <c r="K51"/>
    </row>
    <row r="52" spans="1:11" s="292" customFormat="1" ht="22.5">
      <c r="A52" s="346" t="str">
        <f t="shared" si="0"/>
        <v>60101131420411010111</v>
      </c>
      <c r="B52" s="364">
        <v>601</v>
      </c>
      <c r="C52" s="365">
        <v>113</v>
      </c>
      <c r="D52" s="366" t="s">
        <v>1926</v>
      </c>
      <c r="E52" s="367" t="s">
        <v>141</v>
      </c>
      <c r="F52" s="368">
        <v>47934026.409999996</v>
      </c>
      <c r="G52" s="369">
        <v>47934026.409999996</v>
      </c>
      <c r="H52" s="345" t="str">
        <f t="shared" si="1"/>
        <v>0113</v>
      </c>
      <c r="I52" s="346" t="str">
        <f t="shared" si="2"/>
        <v>1420411010</v>
      </c>
      <c r="K52"/>
    </row>
    <row r="53" spans="1:11" s="292" customFormat="1" ht="22.5">
      <c r="A53" s="346" t="str">
        <f t="shared" si="0"/>
        <v>60101131420411010112</v>
      </c>
      <c r="B53" s="364">
        <v>601</v>
      </c>
      <c r="C53" s="365">
        <v>113</v>
      </c>
      <c r="D53" s="366" t="s">
        <v>1926</v>
      </c>
      <c r="E53" s="367" t="s">
        <v>143</v>
      </c>
      <c r="F53" s="368">
        <v>17800</v>
      </c>
      <c r="G53" s="369">
        <v>17800</v>
      </c>
      <c r="H53" s="345" t="str">
        <f t="shared" si="1"/>
        <v>0113</v>
      </c>
      <c r="I53" s="346" t="str">
        <f t="shared" si="2"/>
        <v>1420411010</v>
      </c>
      <c r="K53"/>
    </row>
    <row r="54" spans="1:11" s="292" customFormat="1" ht="22.5">
      <c r="A54" s="346" t="str">
        <f t="shared" si="0"/>
        <v>60101131420411010119</v>
      </c>
      <c r="B54" s="364">
        <v>601</v>
      </c>
      <c r="C54" s="365">
        <v>113</v>
      </c>
      <c r="D54" s="366" t="s">
        <v>1926</v>
      </c>
      <c r="E54" s="367" t="s">
        <v>145</v>
      </c>
      <c r="F54" s="368">
        <v>14476072.15</v>
      </c>
      <c r="G54" s="369">
        <v>14476072.15</v>
      </c>
      <c r="H54" s="345" t="str">
        <f t="shared" si="1"/>
        <v>0113</v>
      </c>
      <c r="I54" s="346" t="str">
        <f t="shared" si="2"/>
        <v>1420411010</v>
      </c>
      <c r="K54"/>
    </row>
    <row r="55" spans="1:11" s="292" customFormat="1" ht="22.5">
      <c r="A55" s="346" t="str">
        <f t="shared" si="0"/>
        <v>60101131420411010244</v>
      </c>
      <c r="B55" s="364">
        <v>601</v>
      </c>
      <c r="C55" s="365">
        <v>113</v>
      </c>
      <c r="D55" s="366" t="s">
        <v>1926</v>
      </c>
      <c r="E55" s="367" t="s">
        <v>31</v>
      </c>
      <c r="F55" s="368">
        <v>11789550</v>
      </c>
      <c r="G55" s="369">
        <v>11789550</v>
      </c>
      <c r="H55" s="345" t="str">
        <f t="shared" si="1"/>
        <v>0113</v>
      </c>
      <c r="I55" s="346" t="str">
        <f t="shared" si="2"/>
        <v>1420411010</v>
      </c>
      <c r="K55"/>
    </row>
    <row r="56" spans="1:11" s="292" customFormat="1" ht="22.5">
      <c r="A56" s="346" t="str">
        <f t="shared" si="0"/>
        <v>60101131420411010851</v>
      </c>
      <c r="B56" s="364">
        <v>601</v>
      </c>
      <c r="C56" s="365">
        <v>113</v>
      </c>
      <c r="D56" s="366" t="s">
        <v>1926</v>
      </c>
      <c r="E56" s="367" t="s">
        <v>35</v>
      </c>
      <c r="F56" s="368">
        <v>1324830</v>
      </c>
      <c r="G56" s="369">
        <v>1324830</v>
      </c>
      <c r="H56" s="345" t="str">
        <f t="shared" si="1"/>
        <v>0113</v>
      </c>
      <c r="I56" s="346" t="str">
        <f t="shared" si="2"/>
        <v>1420411010</v>
      </c>
      <c r="K56"/>
    </row>
    <row r="57" spans="1:11" s="292" customFormat="1" ht="22.5">
      <c r="A57" s="346" t="str">
        <f t="shared" si="0"/>
        <v>60101131420411010852</v>
      </c>
      <c r="B57" s="364">
        <v>601</v>
      </c>
      <c r="C57" s="365">
        <v>113</v>
      </c>
      <c r="D57" s="366" t="s">
        <v>1926</v>
      </c>
      <c r="E57" s="367" t="s">
        <v>37</v>
      </c>
      <c r="F57" s="368">
        <v>6850</v>
      </c>
      <c r="G57" s="369">
        <v>6850</v>
      </c>
      <c r="H57" s="345" t="str">
        <f t="shared" si="1"/>
        <v>0113</v>
      </c>
      <c r="I57" s="346" t="str">
        <f t="shared" si="2"/>
        <v>1420411010</v>
      </c>
      <c r="K57"/>
    </row>
    <row r="58" spans="1:11" s="292" customFormat="1" ht="22.5">
      <c r="A58" s="346" t="str">
        <f t="shared" si="0"/>
        <v>60101131420411010853</v>
      </c>
      <c r="B58" s="364">
        <v>601</v>
      </c>
      <c r="C58" s="365">
        <v>113</v>
      </c>
      <c r="D58" s="366" t="s">
        <v>1926</v>
      </c>
      <c r="E58" s="367" t="s">
        <v>78</v>
      </c>
      <c r="F58" s="368">
        <v>11070</v>
      </c>
      <c r="G58" s="369">
        <v>11070</v>
      </c>
      <c r="H58" s="345" t="str">
        <f t="shared" si="1"/>
        <v>0113</v>
      </c>
      <c r="I58" s="346" t="str">
        <f t="shared" si="2"/>
        <v>1420411010</v>
      </c>
      <c r="K58"/>
    </row>
    <row r="59" spans="1:11" s="292" customFormat="1" ht="22.5">
      <c r="A59" s="346" t="str">
        <f t="shared" si="0"/>
        <v>60101131510120350244</v>
      </c>
      <c r="B59" s="364">
        <v>601</v>
      </c>
      <c r="C59" s="365">
        <v>113</v>
      </c>
      <c r="D59" s="366" t="s">
        <v>1928</v>
      </c>
      <c r="E59" s="367" t="s">
        <v>31</v>
      </c>
      <c r="F59" s="368">
        <v>100000</v>
      </c>
      <c r="G59" s="369">
        <v>100000</v>
      </c>
      <c r="H59" s="345" t="str">
        <f t="shared" ref="H59:H104" si="3">TEXT(C59,"0000")</f>
        <v>0113</v>
      </c>
      <c r="I59" s="346" t="str">
        <f t="shared" ref="I59:I104" si="4">TEXT(D59,"0000000000")</f>
        <v>1510120350</v>
      </c>
      <c r="K59"/>
    </row>
    <row r="60" spans="1:11" s="292" customFormat="1" ht="22.5">
      <c r="A60" s="346" t="str">
        <f t="shared" si="0"/>
        <v>60101131510220350244</v>
      </c>
      <c r="B60" s="364">
        <v>601</v>
      </c>
      <c r="C60" s="365">
        <v>113</v>
      </c>
      <c r="D60" s="366" t="s">
        <v>1929</v>
      </c>
      <c r="E60" s="367" t="s">
        <v>31</v>
      </c>
      <c r="F60" s="368">
        <v>185300</v>
      </c>
      <c r="G60" s="369">
        <v>185300</v>
      </c>
      <c r="H60" s="345" t="str">
        <f t="shared" si="3"/>
        <v>0113</v>
      </c>
      <c r="I60" s="346" t="str">
        <f t="shared" si="4"/>
        <v>1510220350</v>
      </c>
      <c r="K60"/>
    </row>
    <row r="61" spans="1:11" s="292" customFormat="1" ht="22.5">
      <c r="A61" s="346" t="str">
        <f t="shared" si="0"/>
        <v>60101131510320350244</v>
      </c>
      <c r="B61" s="364">
        <v>601</v>
      </c>
      <c r="C61" s="365">
        <v>113</v>
      </c>
      <c r="D61" s="366" t="s">
        <v>1930</v>
      </c>
      <c r="E61" s="367" t="s">
        <v>31</v>
      </c>
      <c r="F61" s="368">
        <v>51300</v>
      </c>
      <c r="G61" s="369">
        <v>51300</v>
      </c>
      <c r="H61" s="345" t="str">
        <f t="shared" si="3"/>
        <v>0113</v>
      </c>
      <c r="I61" s="346" t="str">
        <f t="shared" si="4"/>
        <v>1510320350</v>
      </c>
      <c r="K61"/>
    </row>
    <row r="62" spans="1:11" s="292" customFormat="1" ht="22.5">
      <c r="A62" s="346" t="str">
        <f t="shared" si="0"/>
        <v>60101131520120370244</v>
      </c>
      <c r="B62" s="364">
        <v>601</v>
      </c>
      <c r="C62" s="365">
        <v>113</v>
      </c>
      <c r="D62" s="366" t="s">
        <v>1931</v>
      </c>
      <c r="E62" s="367" t="s">
        <v>31</v>
      </c>
      <c r="F62" s="368">
        <v>74970</v>
      </c>
      <c r="G62" s="369">
        <v>74970</v>
      </c>
      <c r="H62" s="345" t="str">
        <f t="shared" si="3"/>
        <v>0113</v>
      </c>
      <c r="I62" s="346" t="str">
        <f t="shared" si="4"/>
        <v>1520120370</v>
      </c>
      <c r="K62"/>
    </row>
    <row r="63" spans="1:11" s="292" customFormat="1" ht="22.5">
      <c r="A63" s="346" t="str">
        <f t="shared" si="0"/>
        <v>60101131520220370244</v>
      </c>
      <c r="B63" s="364">
        <v>601</v>
      </c>
      <c r="C63" s="365">
        <v>113</v>
      </c>
      <c r="D63" s="366" t="s">
        <v>1932</v>
      </c>
      <c r="E63" s="367" t="s">
        <v>31</v>
      </c>
      <c r="F63" s="368">
        <v>13500</v>
      </c>
      <c r="G63" s="369">
        <v>13500</v>
      </c>
      <c r="H63" s="345" t="str">
        <f t="shared" si="3"/>
        <v>0113</v>
      </c>
      <c r="I63" s="346" t="str">
        <f t="shared" si="4"/>
        <v>1520220370</v>
      </c>
      <c r="K63"/>
    </row>
    <row r="64" spans="1:11" s="292" customFormat="1" ht="22.5">
      <c r="A64" s="346" t="str">
        <f t="shared" si="0"/>
        <v>60101131520220370350</v>
      </c>
      <c r="B64" s="364">
        <v>601</v>
      </c>
      <c r="C64" s="365">
        <v>113</v>
      </c>
      <c r="D64" s="366" t="s">
        <v>1932</v>
      </c>
      <c r="E64" s="367" t="s">
        <v>164</v>
      </c>
      <c r="F64" s="368">
        <v>63000</v>
      </c>
      <c r="G64" s="369">
        <v>63000</v>
      </c>
      <c r="H64" s="345" t="str">
        <f t="shared" si="3"/>
        <v>0113</v>
      </c>
      <c r="I64" s="346" t="str">
        <f t="shared" si="4"/>
        <v>1520220370</v>
      </c>
      <c r="K64"/>
    </row>
    <row r="65" spans="1:11" s="292" customFormat="1" ht="22.5">
      <c r="A65" s="346" t="str">
        <f t="shared" si="0"/>
        <v>60101131520320370244</v>
      </c>
      <c r="B65" s="364">
        <v>601</v>
      </c>
      <c r="C65" s="365">
        <v>113</v>
      </c>
      <c r="D65" s="366" t="s">
        <v>1933</v>
      </c>
      <c r="E65" s="367" t="s">
        <v>31</v>
      </c>
      <c r="F65" s="368">
        <v>202800</v>
      </c>
      <c r="G65" s="369">
        <v>202800</v>
      </c>
      <c r="H65" s="345" t="str">
        <f t="shared" si="3"/>
        <v>0113</v>
      </c>
      <c r="I65" s="346" t="str">
        <f t="shared" si="4"/>
        <v>1520320370</v>
      </c>
      <c r="K65"/>
    </row>
    <row r="66" spans="1:11" s="292" customFormat="1" ht="22.5">
      <c r="A66" s="346" t="str">
        <f t="shared" si="0"/>
        <v>60101131520320370350</v>
      </c>
      <c r="B66" s="364">
        <v>601</v>
      </c>
      <c r="C66" s="365">
        <v>113</v>
      </c>
      <c r="D66" s="366" t="s">
        <v>1933</v>
      </c>
      <c r="E66" s="367" t="s">
        <v>164</v>
      </c>
      <c r="F66" s="368">
        <v>60000</v>
      </c>
      <c r="G66" s="369">
        <v>60000</v>
      </c>
      <c r="H66" s="345" t="str">
        <f t="shared" si="3"/>
        <v>0113</v>
      </c>
      <c r="I66" s="346" t="str">
        <f t="shared" si="4"/>
        <v>1520320370</v>
      </c>
      <c r="K66"/>
    </row>
    <row r="67" spans="1:11" s="292" customFormat="1" ht="22.5">
      <c r="A67" s="346" t="str">
        <f t="shared" si="0"/>
        <v>60101131530320100350</v>
      </c>
      <c r="B67" s="364">
        <v>601</v>
      </c>
      <c r="C67" s="365">
        <v>113</v>
      </c>
      <c r="D67" s="366" t="s">
        <v>1934</v>
      </c>
      <c r="E67" s="367" t="s">
        <v>164</v>
      </c>
      <c r="F67" s="368">
        <v>250920</v>
      </c>
      <c r="G67" s="369">
        <v>250920</v>
      </c>
      <c r="H67" s="345" t="str">
        <f t="shared" si="3"/>
        <v>0113</v>
      </c>
      <c r="I67" s="346" t="str">
        <f t="shared" si="4"/>
        <v>1530320100</v>
      </c>
      <c r="K67"/>
    </row>
    <row r="68" spans="1:11" s="292" customFormat="1" ht="22.5">
      <c r="A68" s="346" t="str">
        <f t="shared" si="0"/>
        <v>601011318Б0160080631</v>
      </c>
      <c r="B68" s="364">
        <v>601</v>
      </c>
      <c r="C68" s="365">
        <v>113</v>
      </c>
      <c r="D68" s="366" t="s">
        <v>1169</v>
      </c>
      <c r="E68" s="367" t="s">
        <v>185</v>
      </c>
      <c r="F68" s="368">
        <v>2292500</v>
      </c>
      <c r="G68" s="369">
        <v>2292500</v>
      </c>
      <c r="H68" s="345" t="str">
        <f t="shared" si="3"/>
        <v>0113</v>
      </c>
      <c r="I68" s="346" t="str">
        <f t="shared" si="4"/>
        <v>18Б0160080</v>
      </c>
      <c r="K68"/>
    </row>
    <row r="69" spans="1:11" s="292" customFormat="1" ht="22.5">
      <c r="A69" s="346" t="str">
        <f t="shared" si="0"/>
        <v>60101137110011010111</v>
      </c>
      <c r="B69" s="364">
        <v>601</v>
      </c>
      <c r="C69" s="365">
        <v>113</v>
      </c>
      <c r="D69" s="366" t="s">
        <v>1936</v>
      </c>
      <c r="E69" s="367" t="s">
        <v>141</v>
      </c>
      <c r="F69" s="368">
        <v>11129433.68</v>
      </c>
      <c r="G69" s="369">
        <v>11129433.68</v>
      </c>
      <c r="H69" s="345" t="str">
        <f t="shared" si="3"/>
        <v>0113</v>
      </c>
      <c r="I69" s="346" t="str">
        <f t="shared" si="4"/>
        <v>7110011010</v>
      </c>
      <c r="K69"/>
    </row>
    <row r="70" spans="1:11" s="292" customFormat="1" ht="22.5">
      <c r="A70" s="346" t="str">
        <f t="shared" si="0"/>
        <v>60101137110011010112</v>
      </c>
      <c r="B70" s="364">
        <v>601</v>
      </c>
      <c r="C70" s="365">
        <v>113</v>
      </c>
      <c r="D70" s="366" t="s">
        <v>1936</v>
      </c>
      <c r="E70" s="367" t="s">
        <v>143</v>
      </c>
      <c r="F70" s="368">
        <v>55000</v>
      </c>
      <c r="G70" s="369">
        <v>55000</v>
      </c>
      <c r="H70" s="345" t="str">
        <f t="shared" si="3"/>
        <v>0113</v>
      </c>
      <c r="I70" s="346" t="str">
        <f t="shared" si="4"/>
        <v>7110011010</v>
      </c>
      <c r="K70"/>
    </row>
    <row r="71" spans="1:11" s="292" customFormat="1" ht="22.5">
      <c r="A71" s="346" t="str">
        <f t="shared" si="0"/>
        <v>60101137110011010119</v>
      </c>
      <c r="B71" s="364">
        <v>601</v>
      </c>
      <c r="C71" s="365">
        <v>113</v>
      </c>
      <c r="D71" s="366" t="s">
        <v>1936</v>
      </c>
      <c r="E71" s="367" t="s">
        <v>145</v>
      </c>
      <c r="F71" s="368">
        <v>3287779.83</v>
      </c>
      <c r="G71" s="369">
        <v>3287779.83</v>
      </c>
      <c r="H71" s="345" t="str">
        <f t="shared" si="3"/>
        <v>0113</v>
      </c>
      <c r="I71" s="346" t="str">
        <f t="shared" si="4"/>
        <v>7110011010</v>
      </c>
      <c r="K71"/>
    </row>
    <row r="72" spans="1:11" s="292" customFormat="1" ht="22.5">
      <c r="A72" s="346" t="str">
        <f t="shared" si="0"/>
        <v>60101137110011010244</v>
      </c>
      <c r="B72" s="364">
        <v>601</v>
      </c>
      <c r="C72" s="365">
        <v>113</v>
      </c>
      <c r="D72" s="366" t="s">
        <v>1936</v>
      </c>
      <c r="E72" s="367" t="s">
        <v>31</v>
      </c>
      <c r="F72" s="368">
        <v>19082020</v>
      </c>
      <c r="G72" s="369">
        <v>19082020</v>
      </c>
      <c r="H72" s="345" t="str">
        <f t="shared" si="3"/>
        <v>0113</v>
      </c>
      <c r="I72" s="346" t="str">
        <f t="shared" si="4"/>
        <v>7110011010</v>
      </c>
      <c r="K72"/>
    </row>
    <row r="73" spans="1:11" s="292" customFormat="1" ht="22.5">
      <c r="A73" s="346" t="str">
        <f t="shared" ref="A73:A136" si="5">B73&amp;H73&amp;I73&amp;E73</f>
        <v>60101137110011010851</v>
      </c>
      <c r="B73" s="364">
        <v>601</v>
      </c>
      <c r="C73" s="365">
        <v>113</v>
      </c>
      <c r="D73" s="366" t="s">
        <v>1936</v>
      </c>
      <c r="E73" s="367" t="s">
        <v>35</v>
      </c>
      <c r="F73" s="368">
        <v>200000</v>
      </c>
      <c r="G73" s="369">
        <v>200000</v>
      </c>
      <c r="H73" s="345" t="str">
        <f t="shared" si="3"/>
        <v>0113</v>
      </c>
      <c r="I73" s="346" t="str">
        <f t="shared" si="4"/>
        <v>7110011010</v>
      </c>
      <c r="K73"/>
    </row>
    <row r="74" spans="1:11" s="292" customFormat="1" ht="22.5">
      <c r="A74" s="346" t="str">
        <f t="shared" si="5"/>
        <v>60101137110011010852</v>
      </c>
      <c r="B74" s="364">
        <v>601</v>
      </c>
      <c r="C74" s="365">
        <v>113</v>
      </c>
      <c r="D74" s="366" t="s">
        <v>1936</v>
      </c>
      <c r="E74" s="367" t="s">
        <v>37</v>
      </c>
      <c r="F74" s="368">
        <v>187530</v>
      </c>
      <c r="G74" s="369">
        <v>187530</v>
      </c>
      <c r="H74" s="345" t="str">
        <f t="shared" si="3"/>
        <v>0113</v>
      </c>
      <c r="I74" s="346" t="str">
        <f t="shared" si="4"/>
        <v>7110011010</v>
      </c>
      <c r="K74"/>
    </row>
    <row r="75" spans="1:11" s="292" customFormat="1" ht="22.5">
      <c r="A75" s="346" t="str">
        <f t="shared" si="5"/>
        <v>60101137110011010853</v>
      </c>
      <c r="B75" s="364">
        <v>601</v>
      </c>
      <c r="C75" s="365">
        <v>113</v>
      </c>
      <c r="D75" s="366" t="s">
        <v>1936</v>
      </c>
      <c r="E75" s="367" t="s">
        <v>78</v>
      </c>
      <c r="F75" s="368">
        <v>7000</v>
      </c>
      <c r="G75" s="369">
        <v>7000</v>
      </c>
      <c r="H75" s="345" t="str">
        <f t="shared" si="3"/>
        <v>0113</v>
      </c>
      <c r="I75" s="346" t="str">
        <f t="shared" si="4"/>
        <v>7110011010</v>
      </c>
      <c r="K75"/>
    </row>
    <row r="76" spans="1:11" s="292" customFormat="1" ht="22.5">
      <c r="A76" s="346" t="str">
        <f t="shared" si="5"/>
        <v>60101137110020050831</v>
      </c>
      <c r="B76" s="364">
        <v>601</v>
      </c>
      <c r="C76" s="365">
        <v>113</v>
      </c>
      <c r="D76" s="366" t="s">
        <v>1937</v>
      </c>
      <c r="E76" s="367" t="s">
        <v>192</v>
      </c>
      <c r="F76" s="368">
        <v>200000</v>
      </c>
      <c r="G76" s="369">
        <v>200000</v>
      </c>
      <c r="H76" s="345" t="str">
        <f t="shared" si="3"/>
        <v>0113</v>
      </c>
      <c r="I76" s="346" t="str">
        <f t="shared" si="4"/>
        <v>7110020050</v>
      </c>
      <c r="K76"/>
    </row>
    <row r="77" spans="1:11" s="292" customFormat="1" ht="22.5">
      <c r="A77" s="346" t="str">
        <f t="shared" si="5"/>
        <v>60101139810076610121</v>
      </c>
      <c r="B77" s="364">
        <v>601</v>
      </c>
      <c r="C77" s="365">
        <v>113</v>
      </c>
      <c r="D77" s="366" t="s">
        <v>1939</v>
      </c>
      <c r="E77" s="367" t="s">
        <v>41</v>
      </c>
      <c r="F77" s="368">
        <v>5687160</v>
      </c>
      <c r="G77" s="369">
        <v>5687160</v>
      </c>
      <c r="H77" s="345" t="str">
        <f t="shared" si="3"/>
        <v>0113</v>
      </c>
      <c r="I77" s="346" t="str">
        <f t="shared" si="4"/>
        <v>9810076610</v>
      </c>
      <c r="K77"/>
    </row>
    <row r="78" spans="1:11" s="292" customFormat="1" ht="22.5">
      <c r="A78" s="346" t="str">
        <f t="shared" si="5"/>
        <v>60101139810076610129</v>
      </c>
      <c r="B78" s="364">
        <v>601</v>
      </c>
      <c r="C78" s="365">
        <v>113</v>
      </c>
      <c r="D78" s="366" t="s">
        <v>1939</v>
      </c>
      <c r="E78" s="367" t="s">
        <v>27</v>
      </c>
      <c r="F78" s="368">
        <v>1717530</v>
      </c>
      <c r="G78" s="369">
        <v>1717530</v>
      </c>
      <c r="H78" s="345" t="str">
        <f t="shared" si="3"/>
        <v>0113</v>
      </c>
      <c r="I78" s="346" t="str">
        <f t="shared" si="4"/>
        <v>9810076610</v>
      </c>
      <c r="K78"/>
    </row>
    <row r="79" spans="1:11" s="292" customFormat="1" ht="22.5">
      <c r="A79" s="346" t="str">
        <f t="shared" si="5"/>
        <v>60104121210160130811</v>
      </c>
      <c r="B79" s="364">
        <v>601</v>
      </c>
      <c r="C79" s="365">
        <v>412</v>
      </c>
      <c r="D79" s="366" t="s">
        <v>1940</v>
      </c>
      <c r="E79" s="367" t="s">
        <v>206</v>
      </c>
      <c r="F79" s="368">
        <v>3000000</v>
      </c>
      <c r="G79" s="369">
        <v>3000000</v>
      </c>
      <c r="H79" s="345" t="str">
        <f t="shared" si="3"/>
        <v>0412</v>
      </c>
      <c r="I79" s="346" t="str">
        <f t="shared" si="4"/>
        <v>1210160130</v>
      </c>
      <c r="K79"/>
    </row>
    <row r="80" spans="1:11" s="292" customFormat="1" ht="22.5">
      <c r="A80" s="346" t="str">
        <f t="shared" si="5"/>
        <v>60104121210160130812</v>
      </c>
      <c r="B80" s="364">
        <v>601</v>
      </c>
      <c r="C80" s="365">
        <v>412</v>
      </c>
      <c r="D80" s="366" t="s">
        <v>1940</v>
      </c>
      <c r="E80" s="367" t="s">
        <v>208</v>
      </c>
      <c r="F80" s="368">
        <v>2000000</v>
      </c>
      <c r="G80" s="369">
        <v>2000000</v>
      </c>
      <c r="H80" s="345" t="str">
        <f t="shared" si="3"/>
        <v>0412</v>
      </c>
      <c r="I80" s="346" t="str">
        <f t="shared" si="4"/>
        <v>1210160130</v>
      </c>
      <c r="K80"/>
    </row>
    <row r="81" spans="1:11" s="292" customFormat="1" ht="22.5">
      <c r="A81" s="346" t="str">
        <f t="shared" si="5"/>
        <v>60104121210220480244</v>
      </c>
      <c r="B81" s="364">
        <v>601</v>
      </c>
      <c r="C81" s="365">
        <v>412</v>
      </c>
      <c r="D81" s="366" t="s">
        <v>1941</v>
      </c>
      <c r="E81" s="367" t="s">
        <v>31</v>
      </c>
      <c r="F81" s="368">
        <v>150000</v>
      </c>
      <c r="G81" s="369">
        <v>150000</v>
      </c>
      <c r="H81" s="345" t="str">
        <f t="shared" si="3"/>
        <v>0412</v>
      </c>
      <c r="I81" s="346" t="str">
        <f t="shared" si="4"/>
        <v>1210220480</v>
      </c>
      <c r="K81"/>
    </row>
    <row r="82" spans="1:11" s="292" customFormat="1" ht="22.5">
      <c r="A82" s="346" t="str">
        <f t="shared" si="5"/>
        <v>60104121210220480634</v>
      </c>
      <c r="B82" s="364">
        <v>601</v>
      </c>
      <c r="C82" s="365">
        <v>412</v>
      </c>
      <c r="D82" s="366" t="s">
        <v>1941</v>
      </c>
      <c r="E82" s="367" t="s">
        <v>214</v>
      </c>
      <c r="F82" s="368">
        <v>2400000</v>
      </c>
      <c r="G82" s="369">
        <v>2400000</v>
      </c>
      <c r="H82" s="345" t="str">
        <f t="shared" si="3"/>
        <v>0412</v>
      </c>
      <c r="I82" s="346" t="str">
        <f t="shared" si="4"/>
        <v>1210220480</v>
      </c>
      <c r="K82"/>
    </row>
    <row r="83" spans="1:11" s="292" customFormat="1" ht="22.5">
      <c r="A83" s="346" t="str">
        <f t="shared" si="5"/>
        <v>60104121210320480244</v>
      </c>
      <c r="B83" s="364">
        <v>601</v>
      </c>
      <c r="C83" s="365">
        <v>412</v>
      </c>
      <c r="D83" s="366" t="s">
        <v>1942</v>
      </c>
      <c r="E83" s="367" t="s">
        <v>31</v>
      </c>
      <c r="F83" s="368">
        <v>660000</v>
      </c>
      <c r="G83" s="369">
        <v>660000</v>
      </c>
      <c r="H83" s="345" t="str">
        <f t="shared" si="3"/>
        <v>0412</v>
      </c>
      <c r="I83" s="346" t="str">
        <f t="shared" si="4"/>
        <v>1210320480</v>
      </c>
      <c r="K83"/>
    </row>
    <row r="84" spans="1:11" s="292" customFormat="1" ht="22.5">
      <c r="A84" s="346" t="str">
        <f t="shared" si="5"/>
        <v>60104121220120650244</v>
      </c>
      <c r="B84" s="364">
        <v>601</v>
      </c>
      <c r="C84" s="365">
        <v>412</v>
      </c>
      <c r="D84" s="366" t="s">
        <v>1943</v>
      </c>
      <c r="E84" s="367" t="s">
        <v>31</v>
      </c>
      <c r="F84" s="368">
        <v>1080000</v>
      </c>
      <c r="G84" s="369">
        <v>1080000</v>
      </c>
      <c r="H84" s="345" t="str">
        <f t="shared" si="3"/>
        <v>0412</v>
      </c>
      <c r="I84" s="346" t="str">
        <f t="shared" si="4"/>
        <v>1220120650</v>
      </c>
      <c r="K84"/>
    </row>
    <row r="85" spans="1:11" s="292" customFormat="1" ht="22.5">
      <c r="A85" s="346" t="str">
        <f t="shared" si="5"/>
        <v>60104121220220640244</v>
      </c>
      <c r="B85" s="364">
        <v>601</v>
      </c>
      <c r="C85" s="365">
        <v>412</v>
      </c>
      <c r="D85" s="366" t="s">
        <v>1944</v>
      </c>
      <c r="E85" s="367" t="s">
        <v>31</v>
      </c>
      <c r="F85" s="368">
        <v>2057500</v>
      </c>
      <c r="G85" s="369">
        <v>2057500</v>
      </c>
      <c r="H85" s="345" t="str">
        <f t="shared" si="3"/>
        <v>0412</v>
      </c>
      <c r="I85" s="346" t="str">
        <f t="shared" si="4"/>
        <v>1220220640</v>
      </c>
      <c r="K85"/>
    </row>
    <row r="86" spans="1:11" s="292" customFormat="1" ht="22.5">
      <c r="A86" s="346" t="str">
        <f t="shared" si="5"/>
        <v>60104121220220640813</v>
      </c>
      <c r="B86" s="364">
        <v>601</v>
      </c>
      <c r="C86" s="365">
        <v>412</v>
      </c>
      <c r="D86" s="366" t="s">
        <v>1944</v>
      </c>
      <c r="E86" s="367" t="s">
        <v>227</v>
      </c>
      <c r="F86" s="368">
        <v>200000</v>
      </c>
      <c r="G86" s="369">
        <v>200000</v>
      </c>
      <c r="H86" s="345" t="str">
        <f t="shared" si="3"/>
        <v>0412</v>
      </c>
      <c r="I86" s="346" t="str">
        <f t="shared" si="4"/>
        <v>1220220640</v>
      </c>
      <c r="K86"/>
    </row>
    <row r="87" spans="1:11" s="292" customFormat="1" ht="22.5">
      <c r="A87" s="346" t="str">
        <f t="shared" si="5"/>
        <v>60107051310120450244</v>
      </c>
      <c r="B87" s="364">
        <v>601</v>
      </c>
      <c r="C87" s="365">
        <v>705</v>
      </c>
      <c r="D87" s="366" t="s">
        <v>1945</v>
      </c>
      <c r="E87" s="367" t="s">
        <v>31</v>
      </c>
      <c r="F87" s="368">
        <v>160000</v>
      </c>
      <c r="G87" s="369">
        <v>160000</v>
      </c>
      <c r="H87" s="345" t="str">
        <f t="shared" si="3"/>
        <v>0705</v>
      </c>
      <c r="I87" s="346" t="str">
        <f t="shared" si="4"/>
        <v>1310120450</v>
      </c>
      <c r="K87"/>
    </row>
    <row r="88" spans="1:11" s="292" customFormat="1" ht="22.5">
      <c r="A88" s="346" t="str">
        <f t="shared" si="5"/>
        <v>60108010710120060244</v>
      </c>
      <c r="B88" s="364">
        <v>601</v>
      </c>
      <c r="C88" s="365">
        <v>801</v>
      </c>
      <c r="D88" s="366" t="s">
        <v>1946</v>
      </c>
      <c r="E88" s="367" t="s">
        <v>31</v>
      </c>
      <c r="F88" s="368">
        <v>1911000</v>
      </c>
      <c r="G88" s="369">
        <v>1911000</v>
      </c>
      <c r="H88" s="345" t="str">
        <f t="shared" si="3"/>
        <v>0801</v>
      </c>
      <c r="I88" s="346" t="str">
        <f t="shared" si="4"/>
        <v>0710120060</v>
      </c>
      <c r="K88"/>
    </row>
    <row r="89" spans="1:11" s="292" customFormat="1" ht="22.5">
      <c r="A89" s="346" t="str">
        <f t="shared" si="5"/>
        <v>60112011410398710244</v>
      </c>
      <c r="B89" s="364">
        <v>601</v>
      </c>
      <c r="C89" s="365">
        <v>1201</v>
      </c>
      <c r="D89" s="366" t="s">
        <v>1947</v>
      </c>
      <c r="E89" s="367" t="s">
        <v>31</v>
      </c>
      <c r="F89" s="368">
        <v>5900500</v>
      </c>
      <c r="G89" s="369">
        <v>5900500</v>
      </c>
      <c r="H89" s="345" t="str">
        <f t="shared" si="3"/>
        <v>1201</v>
      </c>
      <c r="I89" s="346" t="str">
        <f t="shared" si="4"/>
        <v>1410398710</v>
      </c>
      <c r="K89"/>
    </row>
    <row r="90" spans="1:11" s="292" customFormat="1" ht="22.5">
      <c r="A90" s="346" t="str">
        <f t="shared" si="5"/>
        <v>60112021410398710244</v>
      </c>
      <c r="B90" s="364">
        <v>601</v>
      </c>
      <c r="C90" s="365">
        <v>1202</v>
      </c>
      <c r="D90" s="366" t="s">
        <v>1947</v>
      </c>
      <c r="E90" s="367" t="s">
        <v>31</v>
      </c>
      <c r="F90" s="368">
        <v>1190000</v>
      </c>
      <c r="G90" s="369">
        <v>1190000</v>
      </c>
      <c r="H90" s="345" t="str">
        <f t="shared" si="3"/>
        <v>1202</v>
      </c>
      <c r="I90" s="346" t="str">
        <f t="shared" si="4"/>
        <v>1410398710</v>
      </c>
      <c r="K90"/>
    </row>
    <row r="91" spans="1:11" s="292" customFormat="1" ht="22.5">
      <c r="A91" s="346" t="str">
        <f t="shared" si="5"/>
        <v>60112021410498720811</v>
      </c>
      <c r="B91" s="364">
        <v>601</v>
      </c>
      <c r="C91" s="365">
        <v>1202</v>
      </c>
      <c r="D91" s="366" t="s">
        <v>1948</v>
      </c>
      <c r="E91" s="367" t="s">
        <v>206</v>
      </c>
      <c r="F91" s="368">
        <v>13367000</v>
      </c>
      <c r="G91" s="369">
        <v>13367000</v>
      </c>
      <c r="H91" s="345" t="str">
        <f t="shared" si="3"/>
        <v>1202</v>
      </c>
      <c r="I91" s="346" t="str">
        <f t="shared" si="4"/>
        <v>1410498720</v>
      </c>
      <c r="K91"/>
    </row>
    <row r="92" spans="1:11" s="292" customFormat="1" ht="22.5">
      <c r="A92" s="346" t="str">
        <f t="shared" si="5"/>
        <v>602011311Б0120030244</v>
      </c>
      <c r="B92" s="364">
        <v>602</v>
      </c>
      <c r="C92" s="365">
        <v>113</v>
      </c>
      <c r="D92" s="366" t="s">
        <v>1173</v>
      </c>
      <c r="E92" s="367" t="s">
        <v>31</v>
      </c>
      <c r="F92" s="368">
        <v>1250000</v>
      </c>
      <c r="G92" s="369">
        <v>1250000</v>
      </c>
      <c r="H92" s="345" t="str">
        <f t="shared" si="3"/>
        <v>0113</v>
      </c>
      <c r="I92" s="346" t="str">
        <f t="shared" si="4"/>
        <v>11Б0120030</v>
      </c>
      <c r="K92"/>
    </row>
    <row r="93" spans="1:11" s="292" customFormat="1" ht="22.5">
      <c r="A93" s="346" t="str">
        <f t="shared" si="5"/>
        <v>602011311Б0120030852</v>
      </c>
      <c r="B93" s="364">
        <v>602</v>
      </c>
      <c r="C93" s="365">
        <v>113</v>
      </c>
      <c r="D93" s="366" t="s">
        <v>1173</v>
      </c>
      <c r="E93" s="367" t="s">
        <v>37</v>
      </c>
      <c r="F93" s="368">
        <v>11000</v>
      </c>
      <c r="G93" s="369">
        <v>11000</v>
      </c>
      <c r="H93" s="345" t="str">
        <f t="shared" si="3"/>
        <v>0113</v>
      </c>
      <c r="I93" s="346" t="str">
        <f t="shared" si="4"/>
        <v>11Б0120030</v>
      </c>
      <c r="K93"/>
    </row>
    <row r="94" spans="1:11" s="292" customFormat="1" ht="22.5">
      <c r="A94" s="346" t="str">
        <f t="shared" si="5"/>
        <v>602011311Б0120070244</v>
      </c>
      <c r="B94" s="364">
        <v>602</v>
      </c>
      <c r="C94" s="365">
        <v>113</v>
      </c>
      <c r="D94" s="366" t="s">
        <v>1174</v>
      </c>
      <c r="E94" s="367" t="s">
        <v>31</v>
      </c>
      <c r="F94" s="368">
        <v>1703920</v>
      </c>
      <c r="G94" s="369">
        <v>1703920</v>
      </c>
      <c r="H94" s="345" t="str">
        <f t="shared" si="3"/>
        <v>0113</v>
      </c>
      <c r="I94" s="346" t="str">
        <f t="shared" si="4"/>
        <v>11Б0120070</v>
      </c>
      <c r="K94"/>
    </row>
    <row r="95" spans="1:11" s="292" customFormat="1" ht="22.5">
      <c r="A95" s="346" t="str">
        <f t="shared" si="5"/>
        <v>602011311Б0121120244</v>
      </c>
      <c r="B95" s="364">
        <v>602</v>
      </c>
      <c r="C95" s="365">
        <v>113</v>
      </c>
      <c r="D95" s="366" t="s">
        <v>1175</v>
      </c>
      <c r="E95" s="367" t="s">
        <v>31</v>
      </c>
      <c r="F95" s="368">
        <v>1806000</v>
      </c>
      <c r="G95" s="369">
        <v>1806000</v>
      </c>
      <c r="H95" s="345" t="str">
        <f t="shared" si="3"/>
        <v>0113</v>
      </c>
      <c r="I95" s="346" t="str">
        <f t="shared" si="4"/>
        <v>11Б0121120</v>
      </c>
      <c r="K95"/>
    </row>
    <row r="96" spans="1:11" s="292" customFormat="1" ht="22.5">
      <c r="A96" s="346" t="str">
        <f t="shared" si="5"/>
        <v>602011311Б0320340244</v>
      </c>
      <c r="B96" s="364">
        <v>602</v>
      </c>
      <c r="C96" s="365">
        <v>113</v>
      </c>
      <c r="D96" s="366" t="s">
        <v>1177</v>
      </c>
      <c r="E96" s="367" t="s">
        <v>31</v>
      </c>
      <c r="F96" s="368">
        <v>572040</v>
      </c>
      <c r="G96" s="369">
        <v>572040</v>
      </c>
      <c r="H96" s="345" t="str">
        <f t="shared" si="3"/>
        <v>0113</v>
      </c>
      <c r="I96" s="346" t="str">
        <f t="shared" si="4"/>
        <v>11Б0320340</v>
      </c>
      <c r="K96"/>
    </row>
    <row r="97" spans="1:11" s="292" customFormat="1" ht="22.5">
      <c r="A97" s="346" t="str">
        <f t="shared" si="5"/>
        <v>60201137210010010122</v>
      </c>
      <c r="B97" s="364">
        <v>602</v>
      </c>
      <c r="C97" s="365">
        <v>113</v>
      </c>
      <c r="D97" s="366" t="s">
        <v>1951</v>
      </c>
      <c r="E97" s="367" t="s">
        <v>23</v>
      </c>
      <c r="F97" s="368">
        <v>1220340</v>
      </c>
      <c r="G97" s="369">
        <v>1220340</v>
      </c>
      <c r="H97" s="345" t="str">
        <f t="shared" si="3"/>
        <v>0113</v>
      </c>
      <c r="I97" s="346" t="str">
        <f t="shared" si="4"/>
        <v>7210010010</v>
      </c>
      <c r="K97"/>
    </row>
    <row r="98" spans="1:11" s="292" customFormat="1" ht="22.5">
      <c r="A98" s="346" t="str">
        <f t="shared" si="5"/>
        <v>60201137210010010129</v>
      </c>
      <c r="B98" s="364">
        <v>602</v>
      </c>
      <c r="C98" s="365">
        <v>113</v>
      </c>
      <c r="D98" s="366" t="s">
        <v>1951</v>
      </c>
      <c r="E98" s="367" t="s">
        <v>27</v>
      </c>
      <c r="F98" s="368">
        <v>351450</v>
      </c>
      <c r="G98" s="369">
        <v>351450</v>
      </c>
      <c r="H98" s="345" t="str">
        <f t="shared" si="3"/>
        <v>0113</v>
      </c>
      <c r="I98" s="346" t="str">
        <f t="shared" si="4"/>
        <v>7210010010</v>
      </c>
      <c r="K98"/>
    </row>
    <row r="99" spans="1:11" s="292" customFormat="1" ht="22.5">
      <c r="A99" s="346" t="str">
        <f t="shared" si="5"/>
        <v>60201137210010010244</v>
      </c>
      <c r="B99" s="364">
        <v>602</v>
      </c>
      <c r="C99" s="365">
        <v>113</v>
      </c>
      <c r="D99" s="366" t="s">
        <v>1951</v>
      </c>
      <c r="E99" s="367" t="s">
        <v>31</v>
      </c>
      <c r="F99" s="368">
        <v>8947150</v>
      </c>
      <c r="G99" s="369">
        <v>8947150</v>
      </c>
      <c r="H99" s="345" t="str">
        <f t="shared" si="3"/>
        <v>0113</v>
      </c>
      <c r="I99" s="346" t="str">
        <f t="shared" si="4"/>
        <v>7210010010</v>
      </c>
      <c r="K99"/>
    </row>
    <row r="100" spans="1:11" s="292" customFormat="1" ht="22.5">
      <c r="A100" s="346" t="str">
        <f t="shared" si="5"/>
        <v>60201137210010010851</v>
      </c>
      <c r="B100" s="364">
        <v>602</v>
      </c>
      <c r="C100" s="365">
        <v>113</v>
      </c>
      <c r="D100" s="366" t="s">
        <v>1951</v>
      </c>
      <c r="E100" s="367" t="s">
        <v>35</v>
      </c>
      <c r="F100" s="368">
        <v>66940</v>
      </c>
      <c r="G100" s="369">
        <v>66940</v>
      </c>
      <c r="H100" s="345" t="str">
        <f t="shared" si="3"/>
        <v>0113</v>
      </c>
      <c r="I100" s="346" t="str">
        <f t="shared" si="4"/>
        <v>7210010010</v>
      </c>
      <c r="K100"/>
    </row>
    <row r="101" spans="1:11" s="292" customFormat="1" ht="22.5">
      <c r="A101" s="346" t="str">
        <f t="shared" si="5"/>
        <v>60201137210010010852</v>
      </c>
      <c r="B101" s="364">
        <v>602</v>
      </c>
      <c r="C101" s="365">
        <v>113</v>
      </c>
      <c r="D101" s="366" t="s">
        <v>1951</v>
      </c>
      <c r="E101" s="367" t="s">
        <v>37</v>
      </c>
      <c r="F101" s="368">
        <v>6020</v>
      </c>
      <c r="G101" s="369">
        <v>6020</v>
      </c>
      <c r="H101" s="345" t="str">
        <f t="shared" si="3"/>
        <v>0113</v>
      </c>
      <c r="I101" s="346" t="str">
        <f t="shared" si="4"/>
        <v>7210010010</v>
      </c>
      <c r="K101"/>
    </row>
    <row r="102" spans="1:11" s="292" customFormat="1" ht="22.5">
      <c r="A102" s="346" t="str">
        <f t="shared" si="5"/>
        <v>60201137210010010853</v>
      </c>
      <c r="B102" s="364">
        <v>602</v>
      </c>
      <c r="C102" s="365">
        <v>113</v>
      </c>
      <c r="D102" s="366" t="s">
        <v>1951</v>
      </c>
      <c r="E102" s="367" t="s">
        <v>78</v>
      </c>
      <c r="F102" s="368">
        <v>6040</v>
      </c>
      <c r="G102" s="369">
        <v>6040</v>
      </c>
      <c r="H102" s="345" t="str">
        <f t="shared" si="3"/>
        <v>0113</v>
      </c>
      <c r="I102" s="346" t="str">
        <f t="shared" si="4"/>
        <v>7210010010</v>
      </c>
      <c r="K102"/>
    </row>
    <row r="103" spans="1:11" s="292" customFormat="1" ht="22.5">
      <c r="A103" s="346" t="str">
        <f t="shared" si="5"/>
        <v>60201137210010020121</v>
      </c>
      <c r="B103" s="364">
        <v>602</v>
      </c>
      <c r="C103" s="365">
        <v>113</v>
      </c>
      <c r="D103" s="366" t="s">
        <v>1952</v>
      </c>
      <c r="E103" s="367" t="s">
        <v>41</v>
      </c>
      <c r="F103" s="368">
        <v>47346668.840000004</v>
      </c>
      <c r="G103" s="369">
        <v>47346668.840000004</v>
      </c>
      <c r="H103" s="345" t="str">
        <f t="shared" si="3"/>
        <v>0113</v>
      </c>
      <c r="I103" s="346" t="str">
        <f t="shared" si="4"/>
        <v>7210010020</v>
      </c>
      <c r="K103"/>
    </row>
    <row r="104" spans="1:11" s="292" customFormat="1" ht="22.5">
      <c r="A104" s="346" t="str">
        <f t="shared" si="5"/>
        <v>60201137210010020129</v>
      </c>
      <c r="B104" s="364">
        <v>602</v>
      </c>
      <c r="C104" s="365">
        <v>113</v>
      </c>
      <c r="D104" s="366" t="s">
        <v>1952</v>
      </c>
      <c r="E104" s="367" t="s">
        <v>27</v>
      </c>
      <c r="F104" s="368">
        <v>14298685.09</v>
      </c>
      <c r="G104" s="369">
        <v>14298685.09</v>
      </c>
      <c r="H104" s="345" t="str">
        <f t="shared" si="3"/>
        <v>0113</v>
      </c>
      <c r="I104" s="346" t="str">
        <f t="shared" si="4"/>
        <v>7210010020</v>
      </c>
      <c r="K104"/>
    </row>
    <row r="105" spans="1:11" s="292" customFormat="1" ht="22.5">
      <c r="A105" s="346" t="str">
        <f t="shared" si="5"/>
        <v>602041202Б0120160244</v>
      </c>
      <c r="B105" s="364">
        <v>602</v>
      </c>
      <c r="C105" s="365">
        <v>412</v>
      </c>
      <c r="D105" s="366" t="s">
        <v>1184</v>
      </c>
      <c r="E105" s="367" t="s">
        <v>31</v>
      </c>
      <c r="F105" s="368">
        <v>180000</v>
      </c>
      <c r="G105" s="369">
        <v>180000</v>
      </c>
      <c r="H105" s="345" t="str">
        <f t="shared" ref="H105:H138" si="6">TEXT(C105,"0000")</f>
        <v>0412</v>
      </c>
      <c r="I105" s="346" t="str">
        <f t="shared" ref="I105:I138" si="7">TEXT(D105,"0000000000")</f>
        <v>02Б0120160</v>
      </c>
      <c r="K105"/>
    </row>
    <row r="106" spans="1:11" s="292" customFormat="1" ht="22.5">
      <c r="A106" s="346" t="str">
        <f t="shared" si="5"/>
        <v>602041211Б0220180244</v>
      </c>
      <c r="B106" s="364">
        <v>602</v>
      </c>
      <c r="C106" s="365">
        <v>412</v>
      </c>
      <c r="D106" s="366" t="s">
        <v>1186</v>
      </c>
      <c r="E106" s="367" t="s">
        <v>31</v>
      </c>
      <c r="F106" s="368">
        <v>612000</v>
      </c>
      <c r="G106" s="369">
        <v>612000</v>
      </c>
      <c r="H106" s="345" t="str">
        <f t="shared" si="6"/>
        <v>0412</v>
      </c>
      <c r="I106" s="346" t="str">
        <f t="shared" si="7"/>
        <v>11Б0220180</v>
      </c>
      <c r="K106"/>
    </row>
    <row r="107" spans="1:11" s="292" customFormat="1" ht="22.5">
      <c r="A107" s="346" t="str">
        <f t="shared" si="5"/>
        <v>602041211Б0221550244</v>
      </c>
      <c r="B107" s="364">
        <v>602</v>
      </c>
      <c r="C107" s="365">
        <v>412</v>
      </c>
      <c r="D107" s="366" t="s">
        <v>1962</v>
      </c>
      <c r="E107" s="367" t="s">
        <v>31</v>
      </c>
      <c r="F107" s="368">
        <v>14587130</v>
      </c>
      <c r="G107" s="369">
        <v>0</v>
      </c>
      <c r="H107" s="345" t="str">
        <f t="shared" si="6"/>
        <v>0412</v>
      </c>
      <c r="I107" s="346" t="str">
        <f t="shared" si="7"/>
        <v>11Б0221550</v>
      </c>
      <c r="K107"/>
    </row>
    <row r="108" spans="1:11" s="292" customFormat="1" ht="22.5">
      <c r="A108" s="346" t="str">
        <f t="shared" si="5"/>
        <v>602100306Б01S4970322</v>
      </c>
      <c r="B108" s="364">
        <v>602</v>
      </c>
      <c r="C108" s="365">
        <v>1003</v>
      </c>
      <c r="D108" s="366" t="s">
        <v>1855</v>
      </c>
      <c r="E108" s="367" t="s">
        <v>330</v>
      </c>
      <c r="F108" s="368">
        <v>2604630</v>
      </c>
      <c r="G108" s="369">
        <v>7404630</v>
      </c>
      <c r="H108" s="345" t="str">
        <f t="shared" si="6"/>
        <v>1003</v>
      </c>
      <c r="I108" s="346" t="str">
        <f t="shared" si="7"/>
        <v>06Б01S4970</v>
      </c>
      <c r="K108"/>
    </row>
    <row r="109" spans="1:11" s="292" customFormat="1" ht="22.5">
      <c r="A109" s="346" t="str">
        <f t="shared" si="5"/>
        <v>60401067310010010122</v>
      </c>
      <c r="B109" s="364">
        <v>604</v>
      </c>
      <c r="C109" s="365">
        <v>106</v>
      </c>
      <c r="D109" s="366" t="s">
        <v>1970</v>
      </c>
      <c r="E109" s="367" t="s">
        <v>23</v>
      </c>
      <c r="F109" s="368">
        <v>1019558</v>
      </c>
      <c r="G109" s="369">
        <v>1019558</v>
      </c>
      <c r="H109" s="345" t="str">
        <f t="shared" si="6"/>
        <v>0106</v>
      </c>
      <c r="I109" s="346" t="str">
        <f t="shared" si="7"/>
        <v>7310010010</v>
      </c>
      <c r="K109"/>
    </row>
    <row r="110" spans="1:11" s="292" customFormat="1" ht="22.5">
      <c r="A110" s="346" t="str">
        <f t="shared" si="5"/>
        <v>60401067310010010129</v>
      </c>
      <c r="B110" s="364">
        <v>604</v>
      </c>
      <c r="C110" s="365">
        <v>106</v>
      </c>
      <c r="D110" s="366" t="s">
        <v>1970</v>
      </c>
      <c r="E110" s="367" t="s">
        <v>27</v>
      </c>
      <c r="F110" s="368">
        <v>271780</v>
      </c>
      <c r="G110" s="369">
        <v>271780</v>
      </c>
      <c r="H110" s="345" t="str">
        <f t="shared" si="6"/>
        <v>0106</v>
      </c>
      <c r="I110" s="346" t="str">
        <f t="shared" si="7"/>
        <v>7310010010</v>
      </c>
      <c r="K110"/>
    </row>
    <row r="111" spans="1:11" s="292" customFormat="1" ht="22.5">
      <c r="A111" s="346" t="str">
        <f t="shared" si="5"/>
        <v>60401067310010010244</v>
      </c>
      <c r="B111" s="364">
        <v>604</v>
      </c>
      <c r="C111" s="365">
        <v>106</v>
      </c>
      <c r="D111" s="366" t="s">
        <v>1970</v>
      </c>
      <c r="E111" s="367" t="s">
        <v>31</v>
      </c>
      <c r="F111" s="368">
        <v>3391990</v>
      </c>
      <c r="G111" s="369">
        <v>3391990</v>
      </c>
      <c r="H111" s="345" t="str">
        <f t="shared" si="6"/>
        <v>0106</v>
      </c>
      <c r="I111" s="346" t="str">
        <f t="shared" si="7"/>
        <v>7310010010</v>
      </c>
      <c r="K111"/>
    </row>
    <row r="112" spans="1:11" s="292" customFormat="1" ht="22.5">
      <c r="A112" s="346" t="str">
        <f t="shared" si="5"/>
        <v>60401067310010010851</v>
      </c>
      <c r="B112" s="364">
        <v>604</v>
      </c>
      <c r="C112" s="365">
        <v>106</v>
      </c>
      <c r="D112" s="366" t="s">
        <v>1970</v>
      </c>
      <c r="E112" s="367" t="s">
        <v>35</v>
      </c>
      <c r="F112" s="368">
        <v>2000</v>
      </c>
      <c r="G112" s="369">
        <v>2000</v>
      </c>
      <c r="H112" s="345" t="str">
        <f t="shared" si="6"/>
        <v>0106</v>
      </c>
      <c r="I112" s="346" t="str">
        <f t="shared" si="7"/>
        <v>7310010010</v>
      </c>
      <c r="K112"/>
    </row>
    <row r="113" spans="1:11" s="292" customFormat="1" ht="22.5">
      <c r="A113" s="346" t="str">
        <f t="shared" si="5"/>
        <v>60401067310010010852</v>
      </c>
      <c r="B113" s="364">
        <v>604</v>
      </c>
      <c r="C113" s="365">
        <v>106</v>
      </c>
      <c r="D113" s="366" t="s">
        <v>1970</v>
      </c>
      <c r="E113" s="367" t="s">
        <v>37</v>
      </c>
      <c r="F113" s="368">
        <v>15075</v>
      </c>
      <c r="G113" s="369">
        <v>15075</v>
      </c>
      <c r="H113" s="345" t="str">
        <f t="shared" si="6"/>
        <v>0106</v>
      </c>
      <c r="I113" s="346" t="str">
        <f t="shared" si="7"/>
        <v>7310010010</v>
      </c>
      <c r="K113"/>
    </row>
    <row r="114" spans="1:11" s="292" customFormat="1" ht="22.5">
      <c r="A114" s="346" t="str">
        <f t="shared" si="5"/>
        <v>60401067310010010853</v>
      </c>
      <c r="B114" s="364">
        <v>604</v>
      </c>
      <c r="C114" s="365">
        <v>106</v>
      </c>
      <c r="D114" s="366" t="s">
        <v>1970</v>
      </c>
      <c r="E114" s="367" t="s">
        <v>78</v>
      </c>
      <c r="F114" s="368">
        <v>43395</v>
      </c>
      <c r="G114" s="369">
        <v>43395</v>
      </c>
      <c r="H114" s="345" t="str">
        <f t="shared" si="6"/>
        <v>0106</v>
      </c>
      <c r="I114" s="346" t="str">
        <f t="shared" si="7"/>
        <v>7310010010</v>
      </c>
      <c r="K114"/>
    </row>
    <row r="115" spans="1:11" s="292" customFormat="1" ht="22.5">
      <c r="A115" s="346" t="str">
        <f t="shared" si="5"/>
        <v>60401067310010020121</v>
      </c>
      <c r="B115" s="364">
        <v>604</v>
      </c>
      <c r="C115" s="365">
        <v>106</v>
      </c>
      <c r="D115" s="366" t="s">
        <v>1971</v>
      </c>
      <c r="E115" s="367" t="s">
        <v>41</v>
      </c>
      <c r="F115" s="368">
        <v>31716647.149999999</v>
      </c>
      <c r="G115" s="369">
        <v>31716647.149999999</v>
      </c>
      <c r="H115" s="345" t="str">
        <f t="shared" si="6"/>
        <v>0106</v>
      </c>
      <c r="I115" s="346" t="str">
        <f t="shared" si="7"/>
        <v>7310010020</v>
      </c>
      <c r="K115"/>
    </row>
    <row r="116" spans="1:11" s="292" customFormat="1" ht="22.5">
      <c r="A116" s="346" t="str">
        <f t="shared" si="5"/>
        <v>60401067310010020129</v>
      </c>
      <c r="B116" s="364">
        <v>604</v>
      </c>
      <c r="C116" s="365">
        <v>106</v>
      </c>
      <c r="D116" s="366" t="s">
        <v>1971</v>
      </c>
      <c r="E116" s="367" t="s">
        <v>27</v>
      </c>
      <c r="F116" s="368">
        <v>9578427.2799999993</v>
      </c>
      <c r="G116" s="369">
        <v>9578427.2799999993</v>
      </c>
      <c r="H116" s="345" t="str">
        <f t="shared" si="6"/>
        <v>0106</v>
      </c>
      <c r="I116" s="346" t="str">
        <f t="shared" si="7"/>
        <v>7310010020</v>
      </c>
      <c r="K116"/>
    </row>
    <row r="117" spans="1:11" s="292" customFormat="1" ht="22.5">
      <c r="A117" s="346" t="str">
        <f t="shared" si="5"/>
        <v>60401119810020020870</v>
      </c>
      <c r="B117" s="364">
        <v>604</v>
      </c>
      <c r="C117" s="365">
        <v>111</v>
      </c>
      <c r="D117" s="366" t="s">
        <v>1973</v>
      </c>
      <c r="E117" s="367" t="s">
        <v>347</v>
      </c>
      <c r="F117" s="368">
        <v>12775540</v>
      </c>
      <c r="G117" s="369">
        <v>12775540</v>
      </c>
      <c r="H117" s="345" t="str">
        <f t="shared" si="6"/>
        <v>0111</v>
      </c>
      <c r="I117" s="346" t="str">
        <f t="shared" si="7"/>
        <v>9810020020</v>
      </c>
      <c r="K117"/>
    </row>
    <row r="118" spans="1:11" s="292" customFormat="1" ht="22.5">
      <c r="A118" s="346" t="str">
        <f t="shared" si="5"/>
        <v>604011310Б0120050831</v>
      </c>
      <c r="B118" s="364">
        <v>604</v>
      </c>
      <c r="C118" s="365">
        <v>113</v>
      </c>
      <c r="D118" s="366" t="s">
        <v>1195</v>
      </c>
      <c r="E118" s="367" t="s">
        <v>192</v>
      </c>
      <c r="F118" s="368">
        <v>9744420</v>
      </c>
      <c r="G118" s="369">
        <v>9744420</v>
      </c>
      <c r="H118" s="345" t="str">
        <f t="shared" si="6"/>
        <v>0113</v>
      </c>
      <c r="I118" s="346" t="str">
        <f t="shared" si="7"/>
        <v>10Б0120050</v>
      </c>
      <c r="K118"/>
    </row>
    <row r="119" spans="1:11" s="292" customFormat="1" ht="22.5">
      <c r="A119" s="346" t="str">
        <f t="shared" si="5"/>
        <v>60401139810010050880</v>
      </c>
      <c r="B119" s="364">
        <v>604</v>
      </c>
      <c r="C119" s="365">
        <v>113</v>
      </c>
      <c r="D119" s="366" t="s">
        <v>1975</v>
      </c>
      <c r="E119" s="367" t="s">
        <v>358</v>
      </c>
      <c r="F119" s="368">
        <v>2000000</v>
      </c>
      <c r="G119" s="369">
        <v>2000000</v>
      </c>
      <c r="H119" s="345" t="str">
        <f t="shared" si="6"/>
        <v>0113</v>
      </c>
      <c r="I119" s="346" t="str">
        <f t="shared" si="7"/>
        <v>9810010050</v>
      </c>
      <c r="K119"/>
    </row>
    <row r="120" spans="1:11" s="292" customFormat="1" ht="22.5">
      <c r="A120" s="346" t="str">
        <f t="shared" si="5"/>
        <v>60401139810021440880</v>
      </c>
      <c r="B120" s="364">
        <v>604</v>
      </c>
      <c r="C120" s="365">
        <v>113</v>
      </c>
      <c r="D120" s="366" t="s">
        <v>1976</v>
      </c>
      <c r="E120" s="367" t="s">
        <v>358</v>
      </c>
      <c r="F120" s="368">
        <v>35191690</v>
      </c>
      <c r="G120" s="369">
        <v>40998570</v>
      </c>
      <c r="H120" s="345" t="str">
        <f t="shared" si="6"/>
        <v>0113</v>
      </c>
      <c r="I120" s="346" t="str">
        <f t="shared" si="7"/>
        <v>9810021440</v>
      </c>
      <c r="K120"/>
    </row>
    <row r="121" spans="1:11" s="292" customFormat="1" ht="22.5">
      <c r="A121" s="346" t="str">
        <f t="shared" si="5"/>
        <v>60401139810021520880</v>
      </c>
      <c r="B121" s="364">
        <v>604</v>
      </c>
      <c r="C121" s="365">
        <v>113</v>
      </c>
      <c r="D121" s="366" t="s">
        <v>1977</v>
      </c>
      <c r="E121" s="367" t="s">
        <v>358</v>
      </c>
      <c r="F121" s="368">
        <v>16413690</v>
      </c>
      <c r="G121" s="369">
        <v>33483900</v>
      </c>
      <c r="H121" s="345" t="str">
        <f t="shared" si="6"/>
        <v>0113</v>
      </c>
      <c r="I121" s="346" t="str">
        <f t="shared" si="7"/>
        <v>9810021520</v>
      </c>
      <c r="K121"/>
    </row>
    <row r="122" spans="1:11" s="292" customFormat="1" ht="22.5">
      <c r="A122" s="346" t="str">
        <f t="shared" si="5"/>
        <v>604130110Б0220010730</v>
      </c>
      <c r="B122" s="364">
        <v>604</v>
      </c>
      <c r="C122" s="365">
        <v>1301</v>
      </c>
      <c r="D122" s="366" t="s">
        <v>1197</v>
      </c>
      <c r="E122" s="367" t="s">
        <v>370</v>
      </c>
      <c r="F122" s="368">
        <v>223370000</v>
      </c>
      <c r="G122" s="369">
        <v>261938000</v>
      </c>
      <c r="H122" s="345" t="str">
        <f t="shared" si="6"/>
        <v>1301</v>
      </c>
      <c r="I122" s="346" t="str">
        <f t="shared" si="7"/>
        <v>10Б0220010</v>
      </c>
      <c r="K122"/>
    </row>
    <row r="123" spans="1:11" s="292" customFormat="1" ht="22.5">
      <c r="A123" s="346" t="str">
        <f t="shared" si="5"/>
        <v>60501131530120660244</v>
      </c>
      <c r="B123" s="364">
        <v>605</v>
      </c>
      <c r="C123" s="365">
        <v>113</v>
      </c>
      <c r="D123" s="366" t="s">
        <v>1978</v>
      </c>
      <c r="E123" s="367" t="s">
        <v>31</v>
      </c>
      <c r="F123" s="368">
        <v>7650</v>
      </c>
      <c r="G123" s="369">
        <v>7650</v>
      </c>
      <c r="H123" s="345" t="str">
        <f t="shared" si="6"/>
        <v>0113</v>
      </c>
      <c r="I123" s="346" t="str">
        <f t="shared" si="7"/>
        <v>1530120660</v>
      </c>
      <c r="K123"/>
    </row>
    <row r="124" spans="1:11" s="292" customFormat="1" ht="22.5">
      <c r="A124" s="346" t="str">
        <f t="shared" si="5"/>
        <v>60501137410010010122</v>
      </c>
      <c r="B124" s="364">
        <v>605</v>
      </c>
      <c r="C124" s="365">
        <v>113</v>
      </c>
      <c r="D124" s="366" t="s">
        <v>1979</v>
      </c>
      <c r="E124" s="367" t="s">
        <v>23</v>
      </c>
      <c r="F124" s="368">
        <v>585060</v>
      </c>
      <c r="G124" s="369">
        <v>585060</v>
      </c>
      <c r="H124" s="345" t="str">
        <f t="shared" si="6"/>
        <v>0113</v>
      </c>
      <c r="I124" s="346" t="str">
        <f t="shared" si="7"/>
        <v>7410010010</v>
      </c>
      <c r="K124"/>
    </row>
    <row r="125" spans="1:11" s="292" customFormat="1" ht="22.5">
      <c r="A125" s="346" t="str">
        <f t="shared" si="5"/>
        <v>60501137410010010129</v>
      </c>
      <c r="B125" s="364">
        <v>605</v>
      </c>
      <c r="C125" s="365">
        <v>113</v>
      </c>
      <c r="D125" s="366" t="s">
        <v>1979</v>
      </c>
      <c r="E125" s="367" t="s">
        <v>27</v>
      </c>
      <c r="F125" s="368">
        <v>172830</v>
      </c>
      <c r="G125" s="369">
        <v>172830</v>
      </c>
      <c r="H125" s="345" t="str">
        <f t="shared" si="6"/>
        <v>0113</v>
      </c>
      <c r="I125" s="346" t="str">
        <f t="shared" si="7"/>
        <v>7410010010</v>
      </c>
      <c r="K125"/>
    </row>
    <row r="126" spans="1:11" s="292" customFormat="1" ht="22.5">
      <c r="A126" s="346" t="str">
        <f t="shared" si="5"/>
        <v>60501137410010010244</v>
      </c>
      <c r="B126" s="364">
        <v>605</v>
      </c>
      <c r="C126" s="365">
        <v>113</v>
      </c>
      <c r="D126" s="366" t="s">
        <v>1979</v>
      </c>
      <c r="E126" s="367" t="s">
        <v>31</v>
      </c>
      <c r="F126" s="368">
        <v>2842320</v>
      </c>
      <c r="G126" s="369">
        <v>2842320</v>
      </c>
      <c r="H126" s="345" t="str">
        <f t="shared" si="6"/>
        <v>0113</v>
      </c>
      <c r="I126" s="346" t="str">
        <f t="shared" si="7"/>
        <v>7410010010</v>
      </c>
      <c r="K126"/>
    </row>
    <row r="127" spans="1:11" s="292" customFormat="1" ht="22.5">
      <c r="A127" s="346" t="str">
        <f t="shared" si="5"/>
        <v>60501137410010010851</v>
      </c>
      <c r="B127" s="364">
        <v>605</v>
      </c>
      <c r="C127" s="365">
        <v>113</v>
      </c>
      <c r="D127" s="366" t="s">
        <v>1979</v>
      </c>
      <c r="E127" s="367" t="s">
        <v>35</v>
      </c>
      <c r="F127" s="368">
        <v>500</v>
      </c>
      <c r="G127" s="369">
        <v>500</v>
      </c>
      <c r="H127" s="345" t="str">
        <f t="shared" si="6"/>
        <v>0113</v>
      </c>
      <c r="I127" s="346" t="str">
        <f t="shared" si="7"/>
        <v>7410010010</v>
      </c>
      <c r="K127"/>
    </row>
    <row r="128" spans="1:11" s="292" customFormat="1" ht="22.5">
      <c r="A128" s="346" t="str">
        <f t="shared" si="5"/>
        <v>60501137410010010852</v>
      </c>
      <c r="B128" s="364">
        <v>605</v>
      </c>
      <c r="C128" s="365">
        <v>113</v>
      </c>
      <c r="D128" s="366" t="s">
        <v>1979</v>
      </c>
      <c r="E128" s="367" t="s">
        <v>37</v>
      </c>
      <c r="F128" s="368">
        <v>12960</v>
      </c>
      <c r="G128" s="369">
        <v>12960</v>
      </c>
      <c r="H128" s="345" t="str">
        <f t="shared" si="6"/>
        <v>0113</v>
      </c>
      <c r="I128" s="346" t="str">
        <f t="shared" si="7"/>
        <v>7410010010</v>
      </c>
      <c r="K128"/>
    </row>
    <row r="129" spans="1:11" s="292" customFormat="1" ht="22.5">
      <c r="A129" s="346" t="str">
        <f t="shared" si="5"/>
        <v>60501137410010010853</v>
      </c>
      <c r="B129" s="364">
        <v>605</v>
      </c>
      <c r="C129" s="365">
        <v>113</v>
      </c>
      <c r="D129" s="366" t="s">
        <v>1979</v>
      </c>
      <c r="E129" s="367" t="s">
        <v>78</v>
      </c>
      <c r="F129" s="368">
        <v>2500</v>
      </c>
      <c r="G129" s="369">
        <v>2500</v>
      </c>
      <c r="H129" s="345" t="str">
        <f t="shared" si="6"/>
        <v>0113</v>
      </c>
      <c r="I129" s="346" t="str">
        <f t="shared" si="7"/>
        <v>7410010010</v>
      </c>
      <c r="K129"/>
    </row>
    <row r="130" spans="1:11" s="292" customFormat="1" ht="22.5">
      <c r="A130" s="346" t="str">
        <f t="shared" si="5"/>
        <v>60501137410010020121</v>
      </c>
      <c r="B130" s="364">
        <v>605</v>
      </c>
      <c r="C130" s="365">
        <v>113</v>
      </c>
      <c r="D130" s="366" t="s">
        <v>1980</v>
      </c>
      <c r="E130" s="367" t="s">
        <v>41</v>
      </c>
      <c r="F130" s="368">
        <v>20346622.09</v>
      </c>
      <c r="G130" s="369">
        <v>20346622.09</v>
      </c>
      <c r="H130" s="345" t="str">
        <f t="shared" si="6"/>
        <v>0113</v>
      </c>
      <c r="I130" s="346" t="str">
        <f t="shared" si="7"/>
        <v>7410010020</v>
      </c>
      <c r="K130"/>
    </row>
    <row r="131" spans="1:11" s="292" customFormat="1" ht="22.5">
      <c r="A131" s="346" t="str">
        <f t="shared" si="5"/>
        <v>60501137410010020129</v>
      </c>
      <c r="B131" s="364">
        <v>605</v>
      </c>
      <c r="C131" s="365">
        <v>113</v>
      </c>
      <c r="D131" s="366" t="s">
        <v>1980</v>
      </c>
      <c r="E131" s="367" t="s">
        <v>27</v>
      </c>
      <c r="F131" s="368">
        <v>6144680.4100000001</v>
      </c>
      <c r="G131" s="369">
        <v>6144680.4100000001</v>
      </c>
      <c r="H131" s="345" t="str">
        <f t="shared" si="6"/>
        <v>0113</v>
      </c>
      <c r="I131" s="346" t="str">
        <f t="shared" si="7"/>
        <v>7410010020</v>
      </c>
      <c r="K131"/>
    </row>
    <row r="132" spans="1:11" s="292" customFormat="1" ht="22.5">
      <c r="A132" s="346" t="str">
        <f t="shared" si="5"/>
        <v>60508010710120060244</v>
      </c>
      <c r="B132" s="364">
        <v>605</v>
      </c>
      <c r="C132" s="365">
        <v>801</v>
      </c>
      <c r="D132" s="366" t="s">
        <v>1946</v>
      </c>
      <c r="E132" s="367" t="s">
        <v>31</v>
      </c>
      <c r="F132" s="368">
        <v>1096200</v>
      </c>
      <c r="G132" s="369">
        <v>1096200</v>
      </c>
      <c r="H132" s="345" t="str">
        <f t="shared" si="6"/>
        <v>0801</v>
      </c>
      <c r="I132" s="346" t="str">
        <f t="shared" si="7"/>
        <v>0710120060</v>
      </c>
      <c r="K132"/>
    </row>
    <row r="133" spans="1:11" s="292" customFormat="1" ht="22.5">
      <c r="A133" s="346" t="str">
        <f t="shared" si="5"/>
        <v>60510030320280240811</v>
      </c>
      <c r="B133" s="364">
        <v>605</v>
      </c>
      <c r="C133" s="365">
        <v>1003</v>
      </c>
      <c r="D133" s="366" t="s">
        <v>1984</v>
      </c>
      <c r="E133" s="367" t="s">
        <v>206</v>
      </c>
      <c r="F133" s="368">
        <v>2250320</v>
      </c>
      <c r="G133" s="369">
        <v>2250320</v>
      </c>
      <c r="H133" s="345" t="str">
        <f t="shared" si="6"/>
        <v>1003</v>
      </c>
      <c r="I133" s="346" t="str">
        <f t="shared" si="7"/>
        <v>0320280240</v>
      </c>
      <c r="K133"/>
    </row>
    <row r="134" spans="1:11" s="292" customFormat="1" ht="22.5">
      <c r="A134" s="346" t="str">
        <f t="shared" si="5"/>
        <v>60607010110111010611</v>
      </c>
      <c r="B134" s="364">
        <v>606</v>
      </c>
      <c r="C134" s="365">
        <v>701</v>
      </c>
      <c r="D134" s="366" t="s">
        <v>1986</v>
      </c>
      <c r="E134" s="367" t="s">
        <v>406</v>
      </c>
      <c r="F134" s="368">
        <v>686340005.34000003</v>
      </c>
      <c r="G134" s="369">
        <v>686340005.34000003</v>
      </c>
      <c r="H134" s="345" t="str">
        <f t="shared" si="6"/>
        <v>0701</v>
      </c>
      <c r="I134" s="346" t="str">
        <f t="shared" si="7"/>
        <v>0110111010</v>
      </c>
      <c r="K134"/>
    </row>
    <row r="135" spans="1:11" s="292" customFormat="1" ht="22.5">
      <c r="A135" s="346" t="str">
        <f t="shared" si="5"/>
        <v>60607010110111010612</v>
      </c>
      <c r="B135" s="364">
        <v>606</v>
      </c>
      <c r="C135" s="365">
        <v>701</v>
      </c>
      <c r="D135" s="366" t="s">
        <v>1986</v>
      </c>
      <c r="E135" s="367" t="s">
        <v>408</v>
      </c>
      <c r="F135" s="368">
        <v>3361600</v>
      </c>
      <c r="G135" s="369">
        <v>3361600</v>
      </c>
      <c r="H135" s="345" t="str">
        <f t="shared" si="6"/>
        <v>0701</v>
      </c>
      <c r="I135" s="346" t="str">
        <f t="shared" si="7"/>
        <v>0110111010</v>
      </c>
      <c r="K135"/>
    </row>
    <row r="136" spans="1:11" s="292" customFormat="1" ht="22.5">
      <c r="A136" s="346" t="str">
        <f t="shared" si="5"/>
        <v>60607010110111010621</v>
      </c>
      <c r="B136" s="364">
        <v>606</v>
      </c>
      <c r="C136" s="365">
        <v>701</v>
      </c>
      <c r="D136" s="366" t="s">
        <v>1986</v>
      </c>
      <c r="E136" s="367" t="s">
        <v>412</v>
      </c>
      <c r="F136" s="368">
        <v>31504919</v>
      </c>
      <c r="G136" s="369">
        <v>31504919</v>
      </c>
      <c r="H136" s="345" t="str">
        <f t="shared" si="6"/>
        <v>0701</v>
      </c>
      <c r="I136" s="346" t="str">
        <f t="shared" si="7"/>
        <v>0110111010</v>
      </c>
      <c r="K136"/>
    </row>
    <row r="137" spans="1:11" s="292" customFormat="1" ht="22.5">
      <c r="A137" s="346" t="str">
        <f t="shared" ref="A137:A200" si="8">B137&amp;H137&amp;I137&amp;E137</f>
        <v>60607010110177170611</v>
      </c>
      <c r="B137" s="364">
        <v>606</v>
      </c>
      <c r="C137" s="365">
        <v>701</v>
      </c>
      <c r="D137" s="366" t="s">
        <v>1987</v>
      </c>
      <c r="E137" s="367" t="s">
        <v>406</v>
      </c>
      <c r="F137" s="368">
        <v>709342294.91999996</v>
      </c>
      <c r="G137" s="369">
        <v>721037937.12</v>
      </c>
      <c r="H137" s="345" t="str">
        <f t="shared" si="6"/>
        <v>0701</v>
      </c>
      <c r="I137" s="346" t="str">
        <f t="shared" si="7"/>
        <v>0110177170</v>
      </c>
      <c r="K137"/>
    </row>
    <row r="138" spans="1:11" s="292" customFormat="1" ht="22.5">
      <c r="A138" s="346" t="str">
        <f t="shared" si="8"/>
        <v>60607010110177170621</v>
      </c>
      <c r="B138" s="364">
        <v>606</v>
      </c>
      <c r="C138" s="365">
        <v>701</v>
      </c>
      <c r="D138" s="366" t="s">
        <v>1987</v>
      </c>
      <c r="E138" s="367" t="s">
        <v>412</v>
      </c>
      <c r="F138" s="368">
        <v>33113400</v>
      </c>
      <c r="G138" s="369">
        <v>33775700</v>
      </c>
      <c r="H138" s="345" t="str">
        <f t="shared" si="6"/>
        <v>0701</v>
      </c>
      <c r="I138" s="346" t="str">
        <f t="shared" si="7"/>
        <v>0110177170</v>
      </c>
      <c r="K138"/>
    </row>
    <row r="139" spans="1:11" s="292" customFormat="1" ht="22.5">
      <c r="A139" s="346" t="str">
        <f t="shared" si="8"/>
        <v>60607010110177170632</v>
      </c>
      <c r="B139" s="364">
        <v>606</v>
      </c>
      <c r="C139" s="365">
        <v>701</v>
      </c>
      <c r="D139" s="366" t="s">
        <v>1987</v>
      </c>
      <c r="E139" s="367" t="s">
        <v>416</v>
      </c>
      <c r="F139" s="368">
        <v>5007900</v>
      </c>
      <c r="G139" s="369">
        <v>5108100</v>
      </c>
      <c r="H139" s="345" t="str">
        <f t="shared" ref="H139:H169" si="9">TEXT(C139,"0000")</f>
        <v>0701</v>
      </c>
      <c r="I139" s="346" t="str">
        <f t="shared" ref="I139:I169" si="10">TEXT(D139,"0000000000")</f>
        <v>0110177170</v>
      </c>
      <c r="K139"/>
    </row>
    <row r="140" spans="1:11" s="292" customFormat="1" ht="22.5">
      <c r="A140" s="346" t="str">
        <f t="shared" si="8"/>
        <v>60607010110611010612</v>
      </c>
      <c r="B140" s="364">
        <v>606</v>
      </c>
      <c r="C140" s="365">
        <v>701</v>
      </c>
      <c r="D140" s="366" t="s">
        <v>1990</v>
      </c>
      <c r="E140" s="367" t="s">
        <v>408</v>
      </c>
      <c r="F140" s="368">
        <v>13530660</v>
      </c>
      <c r="G140" s="369">
        <v>13530660</v>
      </c>
      <c r="H140" s="345" t="str">
        <f t="shared" si="9"/>
        <v>0701</v>
      </c>
      <c r="I140" s="346" t="str">
        <f t="shared" si="10"/>
        <v>0110611010</v>
      </c>
      <c r="K140"/>
    </row>
    <row r="141" spans="1:11" s="292" customFormat="1" ht="22.5">
      <c r="A141" s="346" t="str">
        <f t="shared" si="8"/>
        <v>60607011510420350612</v>
      </c>
      <c r="B141" s="364">
        <v>606</v>
      </c>
      <c r="C141" s="365">
        <v>701</v>
      </c>
      <c r="D141" s="366" t="s">
        <v>1949</v>
      </c>
      <c r="E141" s="367" t="s">
        <v>408</v>
      </c>
      <c r="F141" s="368">
        <v>20250000</v>
      </c>
      <c r="G141" s="369">
        <v>0</v>
      </c>
      <c r="H141" s="345" t="str">
        <f t="shared" si="9"/>
        <v>0701</v>
      </c>
      <c r="I141" s="346" t="str">
        <f t="shared" si="10"/>
        <v>1510420350</v>
      </c>
      <c r="K141"/>
    </row>
    <row r="142" spans="1:11" s="292" customFormat="1" ht="22.5">
      <c r="A142" s="346" t="str">
        <f t="shared" si="8"/>
        <v>60607011620220550612</v>
      </c>
      <c r="B142" s="364">
        <v>606</v>
      </c>
      <c r="C142" s="365">
        <v>701</v>
      </c>
      <c r="D142" s="366" t="s">
        <v>1991</v>
      </c>
      <c r="E142" s="367" t="s">
        <v>408</v>
      </c>
      <c r="F142" s="368">
        <v>3744140</v>
      </c>
      <c r="G142" s="369">
        <v>3744140</v>
      </c>
      <c r="H142" s="345" t="str">
        <f t="shared" si="9"/>
        <v>0701</v>
      </c>
      <c r="I142" s="346" t="str">
        <f t="shared" si="10"/>
        <v>1620220550</v>
      </c>
      <c r="K142"/>
    </row>
    <row r="143" spans="1:11" s="292" customFormat="1" ht="22.5">
      <c r="A143" s="346" t="str">
        <f t="shared" si="8"/>
        <v>60607011620220550622</v>
      </c>
      <c r="B143" s="364">
        <v>606</v>
      </c>
      <c r="C143" s="365">
        <v>701</v>
      </c>
      <c r="D143" s="366" t="s">
        <v>1991</v>
      </c>
      <c r="E143" s="367" t="s">
        <v>429</v>
      </c>
      <c r="F143" s="368">
        <v>98500</v>
      </c>
      <c r="G143" s="369">
        <v>98500</v>
      </c>
      <c r="H143" s="345" t="str">
        <f t="shared" si="9"/>
        <v>0701</v>
      </c>
      <c r="I143" s="346" t="str">
        <f t="shared" si="10"/>
        <v>1620220550</v>
      </c>
      <c r="K143"/>
    </row>
    <row r="144" spans="1:11" s="292" customFormat="1" ht="22.5">
      <c r="A144" s="346" t="str">
        <f t="shared" si="8"/>
        <v>606070117Б0120490612</v>
      </c>
      <c r="B144" s="364">
        <v>606</v>
      </c>
      <c r="C144" s="365">
        <v>701</v>
      </c>
      <c r="D144" s="366" t="s">
        <v>1200</v>
      </c>
      <c r="E144" s="367" t="s">
        <v>408</v>
      </c>
      <c r="F144" s="368">
        <v>2538870</v>
      </c>
      <c r="G144" s="369">
        <v>2538870</v>
      </c>
      <c r="H144" s="345" t="str">
        <f t="shared" si="9"/>
        <v>0701</v>
      </c>
      <c r="I144" s="346" t="str">
        <f t="shared" si="10"/>
        <v>17Б0120490</v>
      </c>
      <c r="K144"/>
    </row>
    <row r="145" spans="1:11" s="292" customFormat="1" ht="22.5">
      <c r="A145" s="346" t="str">
        <f t="shared" si="8"/>
        <v>60607020110211010611</v>
      </c>
      <c r="B145" s="364">
        <v>606</v>
      </c>
      <c r="C145" s="365">
        <v>702</v>
      </c>
      <c r="D145" s="366" t="s">
        <v>1992</v>
      </c>
      <c r="E145" s="367" t="s">
        <v>406</v>
      </c>
      <c r="F145" s="368">
        <v>540025996.21000004</v>
      </c>
      <c r="G145" s="369">
        <v>540025996.21000004</v>
      </c>
      <c r="H145" s="345" t="str">
        <f t="shared" si="9"/>
        <v>0702</v>
      </c>
      <c r="I145" s="346" t="str">
        <f t="shared" si="10"/>
        <v>0110211010</v>
      </c>
      <c r="K145"/>
    </row>
    <row r="146" spans="1:11" s="292" customFormat="1" ht="22.5">
      <c r="A146" s="346" t="str">
        <f t="shared" si="8"/>
        <v>60607020110211010612</v>
      </c>
      <c r="B146" s="364">
        <v>606</v>
      </c>
      <c r="C146" s="365">
        <v>702</v>
      </c>
      <c r="D146" s="366" t="s">
        <v>1992</v>
      </c>
      <c r="E146" s="367" t="s">
        <v>408</v>
      </c>
      <c r="F146" s="368">
        <v>3997750</v>
      </c>
      <c r="G146" s="369">
        <v>3997750</v>
      </c>
      <c r="H146" s="345" t="str">
        <f t="shared" si="9"/>
        <v>0702</v>
      </c>
      <c r="I146" s="346" t="str">
        <f t="shared" si="10"/>
        <v>0110211010</v>
      </c>
      <c r="K146"/>
    </row>
    <row r="147" spans="1:11" s="292" customFormat="1" ht="22.5">
      <c r="A147" s="346" t="str">
        <f t="shared" si="8"/>
        <v>60607020110211010621</v>
      </c>
      <c r="B147" s="364">
        <v>606</v>
      </c>
      <c r="C147" s="365">
        <v>702</v>
      </c>
      <c r="D147" s="366" t="s">
        <v>1992</v>
      </c>
      <c r="E147" s="367" t="s">
        <v>412</v>
      </c>
      <c r="F147" s="368">
        <v>39206277.219999999</v>
      </c>
      <c r="G147" s="369">
        <v>39206277.219999999</v>
      </c>
      <c r="H147" s="345" t="str">
        <f t="shared" si="9"/>
        <v>0702</v>
      </c>
      <c r="I147" s="346" t="str">
        <f t="shared" si="10"/>
        <v>0110211010</v>
      </c>
      <c r="K147"/>
    </row>
    <row r="148" spans="1:11" s="292" customFormat="1" ht="22.5">
      <c r="A148" s="346" t="str">
        <f t="shared" si="8"/>
        <v>60607020110211010622</v>
      </c>
      <c r="B148" s="364">
        <v>606</v>
      </c>
      <c r="C148" s="365">
        <v>702</v>
      </c>
      <c r="D148" s="366" t="s">
        <v>1992</v>
      </c>
      <c r="E148" s="367" t="s">
        <v>429</v>
      </c>
      <c r="F148" s="368">
        <v>1935120</v>
      </c>
      <c r="G148" s="369">
        <v>1935120</v>
      </c>
      <c r="H148" s="345" t="str">
        <f t="shared" si="9"/>
        <v>0702</v>
      </c>
      <c r="I148" s="346" t="str">
        <f t="shared" si="10"/>
        <v>0110211010</v>
      </c>
      <c r="K148"/>
    </row>
    <row r="149" spans="1:11" s="292" customFormat="1" ht="22.5">
      <c r="A149" s="346" t="str">
        <f t="shared" si="8"/>
        <v>60607020110211010632</v>
      </c>
      <c r="B149" s="364">
        <v>606</v>
      </c>
      <c r="C149" s="365">
        <v>702</v>
      </c>
      <c r="D149" s="366" t="s">
        <v>1992</v>
      </c>
      <c r="E149" s="367" t="s">
        <v>416</v>
      </c>
      <c r="F149" s="368">
        <v>3076980</v>
      </c>
      <c r="G149" s="369">
        <v>3076980</v>
      </c>
      <c r="H149" s="345" t="str">
        <f t="shared" si="9"/>
        <v>0702</v>
      </c>
      <c r="I149" s="346" t="str">
        <f t="shared" si="10"/>
        <v>0110211010</v>
      </c>
      <c r="K149"/>
    </row>
    <row r="150" spans="1:11" s="292" customFormat="1" ht="22.5">
      <c r="A150" s="346" t="str">
        <f t="shared" si="8"/>
        <v>60607020110277160611</v>
      </c>
      <c r="B150" s="364">
        <v>606</v>
      </c>
      <c r="C150" s="365">
        <v>702</v>
      </c>
      <c r="D150" s="366" t="s">
        <v>1993</v>
      </c>
      <c r="E150" s="367" t="s">
        <v>406</v>
      </c>
      <c r="F150" s="368">
        <v>961646501</v>
      </c>
      <c r="G150" s="369">
        <v>971150697</v>
      </c>
      <c r="H150" s="345" t="str">
        <f t="shared" si="9"/>
        <v>0702</v>
      </c>
      <c r="I150" s="346" t="str">
        <f t="shared" si="10"/>
        <v>0110277160</v>
      </c>
      <c r="K150"/>
    </row>
    <row r="151" spans="1:11" s="292" customFormat="1" ht="22.5">
      <c r="A151" s="346" t="str">
        <f t="shared" si="8"/>
        <v>60607020110277160621</v>
      </c>
      <c r="B151" s="364">
        <v>606</v>
      </c>
      <c r="C151" s="365">
        <v>702</v>
      </c>
      <c r="D151" s="366" t="s">
        <v>1993</v>
      </c>
      <c r="E151" s="367" t="s">
        <v>412</v>
      </c>
      <c r="F151" s="368">
        <v>115222500</v>
      </c>
      <c r="G151" s="369">
        <v>116121720</v>
      </c>
      <c r="H151" s="345" t="str">
        <f t="shared" si="9"/>
        <v>0702</v>
      </c>
      <c r="I151" s="346" t="str">
        <f t="shared" si="10"/>
        <v>0110277160</v>
      </c>
      <c r="K151"/>
    </row>
    <row r="152" spans="1:11" s="292" customFormat="1" ht="22.5">
      <c r="A152" s="346" t="str">
        <f t="shared" si="8"/>
        <v>60607020110277160632</v>
      </c>
      <c r="B152" s="364">
        <v>606</v>
      </c>
      <c r="C152" s="365">
        <v>702</v>
      </c>
      <c r="D152" s="366" t="s">
        <v>1993</v>
      </c>
      <c r="E152" s="367" t="s">
        <v>416</v>
      </c>
      <c r="F152" s="368">
        <v>4774400</v>
      </c>
      <c r="G152" s="369">
        <v>4821740</v>
      </c>
      <c r="H152" s="345" t="str">
        <f t="shared" si="9"/>
        <v>0702</v>
      </c>
      <c r="I152" s="346" t="str">
        <f t="shared" si="10"/>
        <v>0110277160</v>
      </c>
      <c r="K152"/>
    </row>
    <row r="153" spans="1:11" s="292" customFormat="1" ht="22.5">
      <c r="A153" s="346" t="str">
        <f t="shared" si="8"/>
        <v>60607020110611010612</v>
      </c>
      <c r="B153" s="364">
        <v>606</v>
      </c>
      <c r="C153" s="365">
        <v>702</v>
      </c>
      <c r="D153" s="366" t="s">
        <v>1990</v>
      </c>
      <c r="E153" s="367" t="s">
        <v>408</v>
      </c>
      <c r="F153" s="368">
        <v>4000000</v>
      </c>
      <c r="G153" s="369">
        <v>4000000</v>
      </c>
      <c r="H153" s="345" t="str">
        <f t="shared" si="9"/>
        <v>0702</v>
      </c>
      <c r="I153" s="346" t="str">
        <f t="shared" si="10"/>
        <v>0110611010</v>
      </c>
      <c r="K153"/>
    </row>
    <row r="154" spans="1:11" s="292" customFormat="1" ht="22.5">
      <c r="A154" s="346" t="str">
        <f t="shared" si="8"/>
        <v>60607020120140010465</v>
      </c>
      <c r="B154" s="364">
        <v>606</v>
      </c>
      <c r="C154" s="365">
        <v>702</v>
      </c>
      <c r="D154" s="366" t="s">
        <v>1997</v>
      </c>
      <c r="E154" s="367" t="s">
        <v>453</v>
      </c>
      <c r="F154" s="368">
        <v>6819620</v>
      </c>
      <c r="G154" s="369">
        <v>0</v>
      </c>
      <c r="H154" s="345" t="str">
        <f t="shared" si="9"/>
        <v>0702</v>
      </c>
      <c r="I154" s="346" t="str">
        <f t="shared" si="10"/>
        <v>0120140010</v>
      </c>
      <c r="K154"/>
    </row>
    <row r="155" spans="1:11" s="292" customFormat="1" ht="22.5">
      <c r="A155" s="346" t="str">
        <f t="shared" si="8"/>
        <v>60607021510420350612</v>
      </c>
      <c r="B155" s="364">
        <v>606</v>
      </c>
      <c r="C155" s="365">
        <v>702</v>
      </c>
      <c r="D155" s="366" t="s">
        <v>1949</v>
      </c>
      <c r="E155" s="367" t="s">
        <v>408</v>
      </c>
      <c r="F155" s="368">
        <v>780000</v>
      </c>
      <c r="G155" s="369">
        <v>0</v>
      </c>
      <c r="H155" s="345" t="str">
        <f t="shared" si="9"/>
        <v>0702</v>
      </c>
      <c r="I155" s="346" t="str">
        <f t="shared" si="10"/>
        <v>1510420350</v>
      </c>
      <c r="K155"/>
    </row>
    <row r="156" spans="1:11" s="292" customFormat="1" ht="22.5">
      <c r="A156" s="346" t="str">
        <f t="shared" si="8"/>
        <v>60607021520220370612</v>
      </c>
      <c r="B156" s="364">
        <v>606</v>
      </c>
      <c r="C156" s="365">
        <v>702</v>
      </c>
      <c r="D156" s="366" t="s">
        <v>1932</v>
      </c>
      <c r="E156" s="367" t="s">
        <v>408</v>
      </c>
      <c r="F156" s="368">
        <v>217150</v>
      </c>
      <c r="G156" s="369">
        <v>217150</v>
      </c>
      <c r="H156" s="345" t="str">
        <f t="shared" si="9"/>
        <v>0702</v>
      </c>
      <c r="I156" s="346" t="str">
        <f t="shared" si="10"/>
        <v>1520220370</v>
      </c>
      <c r="K156"/>
    </row>
    <row r="157" spans="1:11" s="292" customFormat="1" ht="22.5">
      <c r="A157" s="346" t="str">
        <f t="shared" si="8"/>
        <v>60607021530120660612</v>
      </c>
      <c r="B157" s="364">
        <v>606</v>
      </c>
      <c r="C157" s="365">
        <v>702</v>
      </c>
      <c r="D157" s="366" t="s">
        <v>1978</v>
      </c>
      <c r="E157" s="367" t="s">
        <v>408</v>
      </c>
      <c r="F157" s="368">
        <v>1674800</v>
      </c>
      <c r="G157" s="369">
        <v>1674800</v>
      </c>
      <c r="H157" s="345" t="str">
        <f t="shared" si="9"/>
        <v>0702</v>
      </c>
      <c r="I157" s="346" t="str">
        <f t="shared" si="10"/>
        <v>1530120660</v>
      </c>
      <c r="K157"/>
    </row>
    <row r="158" spans="1:11" s="292" customFormat="1" ht="22.5">
      <c r="A158" s="346" t="str">
        <f t="shared" si="8"/>
        <v>60607021620220550612</v>
      </c>
      <c r="B158" s="364">
        <v>606</v>
      </c>
      <c r="C158" s="365">
        <v>702</v>
      </c>
      <c r="D158" s="366" t="s">
        <v>1991</v>
      </c>
      <c r="E158" s="367" t="s">
        <v>408</v>
      </c>
      <c r="F158" s="368">
        <v>2627360</v>
      </c>
      <c r="G158" s="369">
        <v>2627360</v>
      </c>
      <c r="H158" s="345" t="str">
        <f t="shared" si="9"/>
        <v>0702</v>
      </c>
      <c r="I158" s="346" t="str">
        <f t="shared" si="10"/>
        <v>1620220550</v>
      </c>
      <c r="K158"/>
    </row>
    <row r="159" spans="1:11" s="292" customFormat="1" ht="22.5">
      <c r="A159" s="346" t="str">
        <f t="shared" si="8"/>
        <v>60607021620220550622</v>
      </c>
      <c r="B159" s="364">
        <v>606</v>
      </c>
      <c r="C159" s="365">
        <v>702</v>
      </c>
      <c r="D159" s="366" t="s">
        <v>1991</v>
      </c>
      <c r="E159" s="367" t="s">
        <v>429</v>
      </c>
      <c r="F159" s="368">
        <v>148700</v>
      </c>
      <c r="G159" s="369">
        <v>148700</v>
      </c>
      <c r="H159" s="345" t="str">
        <f t="shared" si="9"/>
        <v>0702</v>
      </c>
      <c r="I159" s="346" t="str">
        <f t="shared" si="10"/>
        <v>1620220550</v>
      </c>
      <c r="K159"/>
    </row>
    <row r="160" spans="1:11" s="292" customFormat="1" ht="22.5">
      <c r="A160" s="346" t="str">
        <f t="shared" si="8"/>
        <v>606070217Б0120490612</v>
      </c>
      <c r="B160" s="364">
        <v>606</v>
      </c>
      <c r="C160" s="365">
        <v>702</v>
      </c>
      <c r="D160" s="366" t="s">
        <v>1200</v>
      </c>
      <c r="E160" s="367" t="s">
        <v>408</v>
      </c>
      <c r="F160" s="368">
        <v>2538870</v>
      </c>
      <c r="G160" s="369">
        <v>2538870</v>
      </c>
      <c r="H160" s="345" t="str">
        <f t="shared" si="9"/>
        <v>0702</v>
      </c>
      <c r="I160" s="346" t="str">
        <f t="shared" si="10"/>
        <v>17Б0120490</v>
      </c>
      <c r="K160"/>
    </row>
    <row r="161" spans="1:11" s="292" customFormat="1" ht="22.5">
      <c r="A161" s="346" t="str">
        <f t="shared" si="8"/>
        <v>606070218Б0220360612</v>
      </c>
      <c r="B161" s="364">
        <v>606</v>
      </c>
      <c r="C161" s="365">
        <v>702</v>
      </c>
      <c r="D161" s="366" t="s">
        <v>1205</v>
      </c>
      <c r="E161" s="367" t="s">
        <v>408</v>
      </c>
      <c r="F161" s="368">
        <v>91800</v>
      </c>
      <c r="G161" s="369">
        <v>91800</v>
      </c>
      <c r="H161" s="345" t="str">
        <f t="shared" si="9"/>
        <v>0702</v>
      </c>
      <c r="I161" s="346" t="str">
        <f t="shared" si="10"/>
        <v>18Б0220360</v>
      </c>
      <c r="K161"/>
    </row>
    <row r="162" spans="1:11" s="292" customFormat="1" ht="22.5">
      <c r="A162" s="346" t="str">
        <f t="shared" si="8"/>
        <v>60607030110311010611</v>
      </c>
      <c r="B162" s="364">
        <v>606</v>
      </c>
      <c r="C162" s="365">
        <v>703</v>
      </c>
      <c r="D162" s="366" t="s">
        <v>1998</v>
      </c>
      <c r="E162" s="367" t="s">
        <v>406</v>
      </c>
      <c r="F162" s="368">
        <v>101455827.91</v>
      </c>
      <c r="G162" s="369">
        <v>101455827.91</v>
      </c>
      <c r="H162" s="345" t="str">
        <f t="shared" si="9"/>
        <v>0703</v>
      </c>
      <c r="I162" s="346" t="str">
        <f t="shared" si="10"/>
        <v>0110311010</v>
      </c>
      <c r="K162"/>
    </row>
    <row r="163" spans="1:11" s="292" customFormat="1" ht="22.5">
      <c r="A163" s="346" t="str">
        <f t="shared" si="8"/>
        <v>60607030110311010621</v>
      </c>
      <c r="B163" s="364">
        <v>606</v>
      </c>
      <c r="C163" s="365">
        <v>703</v>
      </c>
      <c r="D163" s="366" t="s">
        <v>1998</v>
      </c>
      <c r="E163" s="367" t="s">
        <v>412</v>
      </c>
      <c r="F163" s="368">
        <v>98747895.900000006</v>
      </c>
      <c r="G163" s="369">
        <v>98747895.900000006</v>
      </c>
      <c r="H163" s="345" t="str">
        <f t="shared" si="9"/>
        <v>0703</v>
      </c>
      <c r="I163" s="346" t="str">
        <f t="shared" si="10"/>
        <v>0110311010</v>
      </c>
      <c r="K163"/>
    </row>
    <row r="164" spans="1:11" s="292" customFormat="1" ht="22.5">
      <c r="A164" s="346" t="str">
        <f t="shared" si="8"/>
        <v>60607031520220370612</v>
      </c>
      <c r="B164" s="364">
        <v>606</v>
      </c>
      <c r="C164" s="365">
        <v>703</v>
      </c>
      <c r="D164" s="366" t="s">
        <v>1932</v>
      </c>
      <c r="E164" s="367" t="s">
        <v>408</v>
      </c>
      <c r="F164" s="368">
        <v>20000</v>
      </c>
      <c r="G164" s="369">
        <v>20000</v>
      </c>
      <c r="H164" s="345" t="str">
        <f t="shared" si="9"/>
        <v>0703</v>
      </c>
      <c r="I164" s="346" t="str">
        <f t="shared" si="10"/>
        <v>1520220370</v>
      </c>
      <c r="K164"/>
    </row>
    <row r="165" spans="1:11" s="292" customFormat="1" ht="22.5">
      <c r="A165" s="346" t="str">
        <f t="shared" si="8"/>
        <v>60607031530120660612</v>
      </c>
      <c r="B165" s="364">
        <v>606</v>
      </c>
      <c r="C165" s="365">
        <v>703</v>
      </c>
      <c r="D165" s="366" t="s">
        <v>1978</v>
      </c>
      <c r="E165" s="367" t="s">
        <v>408</v>
      </c>
      <c r="F165" s="368">
        <v>100000</v>
      </c>
      <c r="G165" s="369">
        <v>100000</v>
      </c>
      <c r="H165" s="345" t="str">
        <f t="shared" si="9"/>
        <v>0703</v>
      </c>
      <c r="I165" s="346" t="str">
        <f t="shared" si="10"/>
        <v>1530120660</v>
      </c>
      <c r="K165"/>
    </row>
    <row r="166" spans="1:11" s="292" customFormat="1" ht="22.5">
      <c r="A166" s="346" t="str">
        <f t="shared" si="8"/>
        <v>60607031620220550612</v>
      </c>
      <c r="B166" s="364">
        <v>606</v>
      </c>
      <c r="C166" s="365">
        <v>703</v>
      </c>
      <c r="D166" s="366" t="s">
        <v>1991</v>
      </c>
      <c r="E166" s="367" t="s">
        <v>408</v>
      </c>
      <c r="F166" s="368">
        <v>251800</v>
      </c>
      <c r="G166" s="369">
        <v>251800</v>
      </c>
      <c r="H166" s="345" t="str">
        <f t="shared" si="9"/>
        <v>0703</v>
      </c>
      <c r="I166" s="346" t="str">
        <f t="shared" si="10"/>
        <v>1620220550</v>
      </c>
      <c r="K166"/>
    </row>
    <row r="167" spans="1:11" s="292" customFormat="1" ht="22.5">
      <c r="A167" s="346" t="str">
        <f t="shared" si="8"/>
        <v>60607031620220550622</v>
      </c>
      <c r="B167" s="364">
        <v>606</v>
      </c>
      <c r="C167" s="365">
        <v>703</v>
      </c>
      <c r="D167" s="366" t="s">
        <v>1991</v>
      </c>
      <c r="E167" s="367" t="s">
        <v>429</v>
      </c>
      <c r="F167" s="368">
        <v>108100</v>
      </c>
      <c r="G167" s="369">
        <v>108100</v>
      </c>
      <c r="H167" s="345" t="str">
        <f t="shared" si="9"/>
        <v>0703</v>
      </c>
      <c r="I167" s="346" t="str">
        <f t="shared" si="10"/>
        <v>1620220550</v>
      </c>
      <c r="K167"/>
    </row>
    <row r="168" spans="1:11" s="292" customFormat="1" ht="22.5">
      <c r="A168" s="346" t="str">
        <f t="shared" si="8"/>
        <v>60607070110411010621</v>
      </c>
      <c r="B168" s="364">
        <v>606</v>
      </c>
      <c r="C168" s="365">
        <v>707</v>
      </c>
      <c r="D168" s="366" t="s">
        <v>2002</v>
      </c>
      <c r="E168" s="367" t="s">
        <v>412</v>
      </c>
      <c r="F168" s="368">
        <v>7857356.4000000004</v>
      </c>
      <c r="G168" s="369">
        <v>7857356.4000000004</v>
      </c>
      <c r="H168" s="345" t="str">
        <f t="shared" si="9"/>
        <v>0707</v>
      </c>
      <c r="I168" s="346" t="str">
        <f t="shared" si="10"/>
        <v>0110411010</v>
      </c>
      <c r="K168"/>
    </row>
    <row r="169" spans="1:11" s="292" customFormat="1" ht="22.5">
      <c r="A169" s="346" t="str">
        <f t="shared" si="8"/>
        <v>60607070110420330612</v>
      </c>
      <c r="B169" s="364">
        <v>606</v>
      </c>
      <c r="C169" s="365">
        <v>707</v>
      </c>
      <c r="D169" s="366" t="s">
        <v>2003</v>
      </c>
      <c r="E169" s="367" t="s">
        <v>408</v>
      </c>
      <c r="F169" s="368">
        <v>17867370</v>
      </c>
      <c r="G169" s="369">
        <v>17867370</v>
      </c>
      <c r="H169" s="345" t="str">
        <f t="shared" si="9"/>
        <v>0707</v>
      </c>
      <c r="I169" s="346" t="str">
        <f t="shared" si="10"/>
        <v>0110420330</v>
      </c>
      <c r="K169"/>
    </row>
    <row r="170" spans="1:11" s="292" customFormat="1" ht="22.5">
      <c r="A170" s="346" t="str">
        <f t="shared" si="8"/>
        <v>60607071620220550622</v>
      </c>
      <c r="B170" s="364">
        <v>606</v>
      </c>
      <c r="C170" s="365">
        <v>707</v>
      </c>
      <c r="D170" s="366" t="s">
        <v>1991</v>
      </c>
      <c r="E170" s="367" t="s">
        <v>429</v>
      </c>
      <c r="F170" s="368">
        <v>45200</v>
      </c>
      <c r="G170" s="369">
        <v>45200</v>
      </c>
      <c r="H170" s="345" t="str">
        <f t="shared" ref="H170:H218" si="11">TEXT(C170,"0000")</f>
        <v>0707</v>
      </c>
      <c r="I170" s="346" t="str">
        <f t="shared" ref="I170:I218" si="12">TEXT(D170,"0000000000")</f>
        <v>1620220550</v>
      </c>
      <c r="K170"/>
    </row>
    <row r="171" spans="1:11" s="292" customFormat="1" ht="22.5">
      <c r="A171" s="346" t="str">
        <f t="shared" si="8"/>
        <v>60607090110520240244</v>
      </c>
      <c r="B171" s="364">
        <v>606</v>
      </c>
      <c r="C171" s="365">
        <v>709</v>
      </c>
      <c r="D171" s="366" t="s">
        <v>2006</v>
      </c>
      <c r="E171" s="367" t="s">
        <v>31</v>
      </c>
      <c r="F171" s="368">
        <v>200000</v>
      </c>
      <c r="G171" s="369">
        <v>200000</v>
      </c>
      <c r="H171" s="345" t="str">
        <f t="shared" si="11"/>
        <v>0709</v>
      </c>
      <c r="I171" s="346" t="str">
        <f t="shared" si="12"/>
        <v>0110520240</v>
      </c>
      <c r="K171"/>
    </row>
    <row r="172" spans="1:11" s="292" customFormat="1" ht="22.5">
      <c r="A172" s="346" t="str">
        <f t="shared" si="8"/>
        <v>60607090110520240612</v>
      </c>
      <c r="B172" s="364">
        <v>606</v>
      </c>
      <c r="C172" s="365">
        <v>709</v>
      </c>
      <c r="D172" s="366" t="s">
        <v>2006</v>
      </c>
      <c r="E172" s="367" t="s">
        <v>408</v>
      </c>
      <c r="F172" s="368">
        <v>4533500</v>
      </c>
      <c r="G172" s="369">
        <v>4533500</v>
      </c>
      <c r="H172" s="345" t="str">
        <f t="shared" si="11"/>
        <v>0709</v>
      </c>
      <c r="I172" s="346" t="str">
        <f t="shared" si="12"/>
        <v>0110520240</v>
      </c>
      <c r="K172"/>
    </row>
    <row r="173" spans="1:11" s="292" customFormat="1" ht="22.5">
      <c r="A173" s="346" t="str">
        <f t="shared" si="8"/>
        <v>60607090110520240622</v>
      </c>
      <c r="B173" s="364">
        <v>606</v>
      </c>
      <c r="C173" s="365">
        <v>709</v>
      </c>
      <c r="D173" s="366" t="s">
        <v>2006</v>
      </c>
      <c r="E173" s="367" t="s">
        <v>429</v>
      </c>
      <c r="F173" s="368">
        <v>345290</v>
      </c>
      <c r="G173" s="369">
        <v>345290</v>
      </c>
      <c r="H173" s="345" t="str">
        <f t="shared" si="11"/>
        <v>0709</v>
      </c>
      <c r="I173" s="346" t="str">
        <f t="shared" si="12"/>
        <v>0110520240</v>
      </c>
      <c r="K173"/>
    </row>
    <row r="174" spans="1:11" s="292" customFormat="1" ht="22.5">
      <c r="A174" s="346" t="str">
        <f t="shared" si="8"/>
        <v>60607090110811010611</v>
      </c>
      <c r="B174" s="364">
        <v>606</v>
      </c>
      <c r="C174" s="365">
        <v>709</v>
      </c>
      <c r="D174" s="366" t="s">
        <v>2007</v>
      </c>
      <c r="E174" s="367" t="s">
        <v>406</v>
      </c>
      <c r="F174" s="368">
        <v>7278730.5</v>
      </c>
      <c r="G174" s="369">
        <v>7278730.5</v>
      </c>
      <c r="H174" s="345" t="str">
        <f t="shared" si="11"/>
        <v>0709</v>
      </c>
      <c r="I174" s="346" t="str">
        <f t="shared" si="12"/>
        <v>0110811010</v>
      </c>
      <c r="K174"/>
    </row>
    <row r="175" spans="1:11" s="292" customFormat="1" ht="22.5">
      <c r="A175" s="346" t="str">
        <f t="shared" si="8"/>
        <v>60607091620220550612</v>
      </c>
      <c r="B175" s="364">
        <v>606</v>
      </c>
      <c r="C175" s="365">
        <v>709</v>
      </c>
      <c r="D175" s="366" t="s">
        <v>1991</v>
      </c>
      <c r="E175" s="367" t="s">
        <v>408</v>
      </c>
      <c r="F175" s="368">
        <v>58600</v>
      </c>
      <c r="G175" s="369">
        <v>58600</v>
      </c>
      <c r="H175" s="345" t="str">
        <f t="shared" si="11"/>
        <v>0709</v>
      </c>
      <c r="I175" s="346" t="str">
        <f t="shared" si="12"/>
        <v>1620220550</v>
      </c>
      <c r="K175"/>
    </row>
    <row r="176" spans="1:11" s="292" customFormat="1" ht="22.5">
      <c r="A176" s="346" t="str">
        <f t="shared" si="8"/>
        <v>60607097510010010122</v>
      </c>
      <c r="B176" s="364">
        <v>606</v>
      </c>
      <c r="C176" s="365">
        <v>709</v>
      </c>
      <c r="D176" s="366" t="s">
        <v>2010</v>
      </c>
      <c r="E176" s="367" t="s">
        <v>23</v>
      </c>
      <c r="F176" s="368">
        <v>522400</v>
      </c>
      <c r="G176" s="369">
        <v>522400</v>
      </c>
      <c r="H176" s="345" t="str">
        <f t="shared" si="11"/>
        <v>0709</v>
      </c>
      <c r="I176" s="346" t="str">
        <f t="shared" si="12"/>
        <v>7510010010</v>
      </c>
      <c r="K176"/>
    </row>
    <row r="177" spans="1:11" s="292" customFormat="1" ht="22.5">
      <c r="A177" s="346" t="str">
        <f t="shared" si="8"/>
        <v>60607097510010010129</v>
      </c>
      <c r="B177" s="364">
        <v>606</v>
      </c>
      <c r="C177" s="365">
        <v>709</v>
      </c>
      <c r="D177" s="366" t="s">
        <v>2010</v>
      </c>
      <c r="E177" s="367" t="s">
        <v>27</v>
      </c>
      <c r="F177" s="368">
        <v>154840</v>
      </c>
      <c r="G177" s="369">
        <v>154840</v>
      </c>
      <c r="H177" s="345" t="str">
        <f t="shared" si="11"/>
        <v>0709</v>
      </c>
      <c r="I177" s="346" t="str">
        <f t="shared" si="12"/>
        <v>7510010010</v>
      </c>
      <c r="K177"/>
    </row>
    <row r="178" spans="1:11" s="292" customFormat="1" ht="22.5">
      <c r="A178" s="346" t="str">
        <f t="shared" si="8"/>
        <v>60607097510010010244</v>
      </c>
      <c r="B178" s="364">
        <v>606</v>
      </c>
      <c r="C178" s="365">
        <v>709</v>
      </c>
      <c r="D178" s="366" t="s">
        <v>2010</v>
      </c>
      <c r="E178" s="367" t="s">
        <v>31</v>
      </c>
      <c r="F178" s="368">
        <v>1690510</v>
      </c>
      <c r="G178" s="369">
        <v>1690510</v>
      </c>
      <c r="H178" s="345" t="str">
        <f t="shared" si="11"/>
        <v>0709</v>
      </c>
      <c r="I178" s="346" t="str">
        <f t="shared" si="12"/>
        <v>7510010010</v>
      </c>
      <c r="K178"/>
    </row>
    <row r="179" spans="1:11" s="292" customFormat="1" ht="22.5">
      <c r="A179" s="346" t="str">
        <f t="shared" si="8"/>
        <v>60607097510010010851</v>
      </c>
      <c r="B179" s="364">
        <v>606</v>
      </c>
      <c r="C179" s="365">
        <v>709</v>
      </c>
      <c r="D179" s="366" t="s">
        <v>2010</v>
      </c>
      <c r="E179" s="367" t="s">
        <v>35</v>
      </c>
      <c r="F179" s="368">
        <v>40240</v>
      </c>
      <c r="G179" s="369">
        <v>40240</v>
      </c>
      <c r="H179" s="345" t="str">
        <f t="shared" si="11"/>
        <v>0709</v>
      </c>
      <c r="I179" s="346" t="str">
        <f t="shared" si="12"/>
        <v>7510010010</v>
      </c>
      <c r="K179"/>
    </row>
    <row r="180" spans="1:11" s="292" customFormat="1" ht="22.5">
      <c r="A180" s="346" t="str">
        <f t="shared" si="8"/>
        <v>60607097510010010852</v>
      </c>
      <c r="B180" s="364">
        <v>606</v>
      </c>
      <c r="C180" s="365">
        <v>709</v>
      </c>
      <c r="D180" s="366" t="s">
        <v>2010</v>
      </c>
      <c r="E180" s="367" t="s">
        <v>37</v>
      </c>
      <c r="F180" s="368">
        <v>1900</v>
      </c>
      <c r="G180" s="369">
        <v>1900</v>
      </c>
      <c r="H180" s="345" t="str">
        <f t="shared" si="11"/>
        <v>0709</v>
      </c>
      <c r="I180" s="346" t="str">
        <f t="shared" si="12"/>
        <v>7510010010</v>
      </c>
      <c r="K180"/>
    </row>
    <row r="181" spans="1:11" s="292" customFormat="1" ht="22.5">
      <c r="A181" s="346" t="str">
        <f t="shared" si="8"/>
        <v>60607097510010010853</v>
      </c>
      <c r="B181" s="364">
        <v>606</v>
      </c>
      <c r="C181" s="365">
        <v>709</v>
      </c>
      <c r="D181" s="366" t="s">
        <v>2010</v>
      </c>
      <c r="E181" s="367" t="s">
        <v>78</v>
      </c>
      <c r="F181" s="368">
        <v>11000</v>
      </c>
      <c r="G181" s="369">
        <v>11000</v>
      </c>
      <c r="H181" s="345" t="str">
        <f t="shared" si="11"/>
        <v>0709</v>
      </c>
      <c r="I181" s="346" t="str">
        <f t="shared" si="12"/>
        <v>7510010010</v>
      </c>
      <c r="K181"/>
    </row>
    <row r="182" spans="1:11" s="292" customFormat="1" ht="22.5">
      <c r="A182" s="346" t="str">
        <f t="shared" si="8"/>
        <v>60607097510010020121</v>
      </c>
      <c r="B182" s="364">
        <v>606</v>
      </c>
      <c r="C182" s="365">
        <v>709</v>
      </c>
      <c r="D182" s="366" t="s">
        <v>2011</v>
      </c>
      <c r="E182" s="367" t="s">
        <v>41</v>
      </c>
      <c r="F182" s="368">
        <v>17066428.579999998</v>
      </c>
      <c r="G182" s="369">
        <v>17066428.579999998</v>
      </c>
      <c r="H182" s="345" t="str">
        <f t="shared" si="11"/>
        <v>0709</v>
      </c>
      <c r="I182" s="346" t="str">
        <f t="shared" si="12"/>
        <v>7510010020</v>
      </c>
      <c r="K182"/>
    </row>
    <row r="183" spans="1:11" s="292" customFormat="1" ht="22.5">
      <c r="A183" s="346" t="str">
        <f t="shared" si="8"/>
        <v>60607097510010020129</v>
      </c>
      <c r="B183" s="364">
        <v>606</v>
      </c>
      <c r="C183" s="365">
        <v>709</v>
      </c>
      <c r="D183" s="366" t="s">
        <v>2011</v>
      </c>
      <c r="E183" s="367" t="s">
        <v>27</v>
      </c>
      <c r="F183" s="368">
        <v>5150318.58</v>
      </c>
      <c r="G183" s="369">
        <v>5150318.58</v>
      </c>
      <c r="H183" s="345" t="str">
        <f t="shared" si="11"/>
        <v>0709</v>
      </c>
      <c r="I183" s="346" t="str">
        <f t="shared" si="12"/>
        <v>7510010020</v>
      </c>
      <c r="K183"/>
    </row>
    <row r="184" spans="1:11" s="292" customFormat="1" ht="22.5">
      <c r="A184" s="346" t="str">
        <f t="shared" si="8"/>
        <v>60607097510011010111</v>
      </c>
      <c r="B184" s="364">
        <v>606</v>
      </c>
      <c r="C184" s="365">
        <v>709</v>
      </c>
      <c r="D184" s="366" t="s">
        <v>2012</v>
      </c>
      <c r="E184" s="367" t="s">
        <v>141</v>
      </c>
      <c r="F184" s="368">
        <v>5162092</v>
      </c>
      <c r="G184" s="369">
        <v>5162092</v>
      </c>
      <c r="H184" s="345" t="str">
        <f t="shared" si="11"/>
        <v>0709</v>
      </c>
      <c r="I184" s="346" t="str">
        <f t="shared" si="12"/>
        <v>7510011010</v>
      </c>
      <c r="K184"/>
    </row>
    <row r="185" spans="1:11" s="292" customFormat="1" ht="22.5">
      <c r="A185" s="346" t="str">
        <f t="shared" si="8"/>
        <v>60607097510011010119</v>
      </c>
      <c r="B185" s="364">
        <v>606</v>
      </c>
      <c r="C185" s="365">
        <v>709</v>
      </c>
      <c r="D185" s="366" t="s">
        <v>2012</v>
      </c>
      <c r="E185" s="367" t="s">
        <v>145</v>
      </c>
      <c r="F185" s="368">
        <v>1558949.6</v>
      </c>
      <c r="G185" s="369">
        <v>1558949.6</v>
      </c>
      <c r="H185" s="345" t="str">
        <f t="shared" si="11"/>
        <v>0709</v>
      </c>
      <c r="I185" s="346" t="str">
        <f t="shared" si="12"/>
        <v>7510011010</v>
      </c>
      <c r="K185"/>
    </row>
    <row r="186" spans="1:11" s="292" customFormat="1" ht="22.5">
      <c r="A186" s="346" t="str">
        <f t="shared" si="8"/>
        <v>60607097510011010244</v>
      </c>
      <c r="B186" s="364">
        <v>606</v>
      </c>
      <c r="C186" s="365">
        <v>709</v>
      </c>
      <c r="D186" s="366" t="s">
        <v>2012</v>
      </c>
      <c r="E186" s="367" t="s">
        <v>31</v>
      </c>
      <c r="F186" s="368">
        <v>226620</v>
      </c>
      <c r="G186" s="369">
        <v>226620</v>
      </c>
      <c r="H186" s="345" t="str">
        <f t="shared" si="11"/>
        <v>0709</v>
      </c>
      <c r="I186" s="346" t="str">
        <f t="shared" si="12"/>
        <v>7510011010</v>
      </c>
      <c r="K186"/>
    </row>
    <row r="187" spans="1:11" s="292" customFormat="1" ht="22.5">
      <c r="A187" s="346" t="str">
        <f t="shared" si="8"/>
        <v>60607097510011010851</v>
      </c>
      <c r="B187" s="364">
        <v>606</v>
      </c>
      <c r="C187" s="365">
        <v>709</v>
      </c>
      <c r="D187" s="366" t="s">
        <v>2012</v>
      </c>
      <c r="E187" s="367" t="s">
        <v>35</v>
      </c>
      <c r="F187" s="368">
        <v>1100</v>
      </c>
      <c r="G187" s="369">
        <v>1100</v>
      </c>
      <c r="H187" s="345" t="str">
        <f t="shared" si="11"/>
        <v>0709</v>
      </c>
      <c r="I187" s="346" t="str">
        <f t="shared" si="12"/>
        <v>7510011010</v>
      </c>
      <c r="K187"/>
    </row>
    <row r="188" spans="1:11" s="292" customFormat="1" ht="22.5">
      <c r="A188" s="346" t="str">
        <f t="shared" si="8"/>
        <v>60607097510076200121</v>
      </c>
      <c r="B188" s="364">
        <v>606</v>
      </c>
      <c r="C188" s="365">
        <v>709</v>
      </c>
      <c r="D188" s="366" t="s">
        <v>2013</v>
      </c>
      <c r="E188" s="367" t="s">
        <v>41</v>
      </c>
      <c r="F188" s="368">
        <v>1446982</v>
      </c>
      <c r="G188" s="369">
        <v>1446982</v>
      </c>
      <c r="H188" s="345" t="str">
        <f t="shared" si="11"/>
        <v>0709</v>
      </c>
      <c r="I188" s="346" t="str">
        <f t="shared" si="12"/>
        <v>7510076200</v>
      </c>
      <c r="K188"/>
    </row>
    <row r="189" spans="1:11" s="292" customFormat="1" ht="22.5">
      <c r="A189" s="346" t="str">
        <f t="shared" si="8"/>
        <v>60607097510076200122</v>
      </c>
      <c r="B189" s="364">
        <v>606</v>
      </c>
      <c r="C189" s="365">
        <v>709</v>
      </c>
      <c r="D189" s="366" t="s">
        <v>2013</v>
      </c>
      <c r="E189" s="367" t="s">
        <v>23</v>
      </c>
      <c r="F189" s="368">
        <v>51660</v>
      </c>
      <c r="G189" s="369">
        <v>51660</v>
      </c>
      <c r="H189" s="345" t="str">
        <f t="shared" si="11"/>
        <v>0709</v>
      </c>
      <c r="I189" s="346" t="str">
        <f t="shared" si="12"/>
        <v>7510076200</v>
      </c>
      <c r="K189"/>
    </row>
    <row r="190" spans="1:11" s="292" customFormat="1" ht="22.5">
      <c r="A190" s="346" t="str">
        <f t="shared" si="8"/>
        <v>60607097510076200129</v>
      </c>
      <c r="B190" s="364">
        <v>606</v>
      </c>
      <c r="C190" s="365">
        <v>709</v>
      </c>
      <c r="D190" s="366" t="s">
        <v>2013</v>
      </c>
      <c r="E190" s="367" t="s">
        <v>27</v>
      </c>
      <c r="F190" s="368">
        <v>453288</v>
      </c>
      <c r="G190" s="369">
        <v>453288</v>
      </c>
      <c r="H190" s="345" t="str">
        <f t="shared" si="11"/>
        <v>0709</v>
      </c>
      <c r="I190" s="346" t="str">
        <f t="shared" si="12"/>
        <v>7510076200</v>
      </c>
      <c r="K190"/>
    </row>
    <row r="191" spans="1:11" s="292" customFormat="1" ht="22.5">
      <c r="A191" s="346" t="str">
        <f t="shared" si="8"/>
        <v>60607097510076200244</v>
      </c>
      <c r="B191" s="364">
        <v>606</v>
      </c>
      <c r="C191" s="365">
        <v>709</v>
      </c>
      <c r="D191" s="366" t="s">
        <v>2013</v>
      </c>
      <c r="E191" s="367" t="s">
        <v>31</v>
      </c>
      <c r="F191" s="368">
        <v>19490</v>
      </c>
      <c r="G191" s="369">
        <v>19490</v>
      </c>
      <c r="H191" s="345" t="str">
        <f t="shared" si="11"/>
        <v>0709</v>
      </c>
      <c r="I191" s="346" t="str">
        <f t="shared" si="12"/>
        <v>7510076200</v>
      </c>
      <c r="K191"/>
    </row>
    <row r="192" spans="1:11" s="292" customFormat="1" ht="22.5">
      <c r="A192" s="346" t="str">
        <f t="shared" si="8"/>
        <v>60610040110176140244</v>
      </c>
      <c r="B192" s="364">
        <v>606</v>
      </c>
      <c r="C192" s="365">
        <v>1004</v>
      </c>
      <c r="D192" s="366" t="s">
        <v>2015</v>
      </c>
      <c r="E192" s="367" t="s">
        <v>31</v>
      </c>
      <c r="F192" s="368">
        <v>1259000</v>
      </c>
      <c r="G192" s="369">
        <v>1259000</v>
      </c>
      <c r="H192" s="345" t="str">
        <f t="shared" si="11"/>
        <v>1004</v>
      </c>
      <c r="I192" s="346" t="str">
        <f t="shared" si="12"/>
        <v>0110176140</v>
      </c>
      <c r="K192"/>
    </row>
    <row r="193" spans="1:11" s="292" customFormat="1" ht="22.5">
      <c r="A193" s="346" t="str">
        <f t="shared" si="8"/>
        <v>60610040110176140313</v>
      </c>
      <c r="B193" s="364">
        <v>606</v>
      </c>
      <c r="C193" s="365">
        <v>1004</v>
      </c>
      <c r="D193" s="366" t="s">
        <v>2015</v>
      </c>
      <c r="E193" s="367" t="s">
        <v>496</v>
      </c>
      <c r="F193" s="368">
        <v>82674400</v>
      </c>
      <c r="G193" s="369">
        <v>82674400</v>
      </c>
      <c r="H193" s="345" t="str">
        <f t="shared" si="11"/>
        <v>1004</v>
      </c>
      <c r="I193" s="346" t="str">
        <f t="shared" si="12"/>
        <v>0110176140</v>
      </c>
      <c r="K193"/>
    </row>
    <row r="194" spans="1:11" s="292" customFormat="1" ht="22.5">
      <c r="A194" s="346" t="str">
        <f t="shared" si="8"/>
        <v>60610040110778110323</v>
      </c>
      <c r="B194" s="364">
        <v>606</v>
      </c>
      <c r="C194" s="365">
        <v>1004</v>
      </c>
      <c r="D194" s="366" t="s">
        <v>2017</v>
      </c>
      <c r="E194" s="367" t="s">
        <v>502</v>
      </c>
      <c r="F194" s="368">
        <v>28714450</v>
      </c>
      <c r="G194" s="369">
        <v>28714450</v>
      </c>
      <c r="H194" s="345" t="str">
        <f t="shared" si="11"/>
        <v>1004</v>
      </c>
      <c r="I194" s="346" t="str">
        <f t="shared" si="12"/>
        <v>0110778110</v>
      </c>
      <c r="K194"/>
    </row>
    <row r="195" spans="1:11" s="292" customFormat="1" ht="22.5">
      <c r="A195" s="346" t="str">
        <f t="shared" si="8"/>
        <v>60610040110778120323</v>
      </c>
      <c r="B195" s="364">
        <v>606</v>
      </c>
      <c r="C195" s="365">
        <v>1004</v>
      </c>
      <c r="D195" s="366" t="s">
        <v>2018</v>
      </c>
      <c r="E195" s="367" t="s">
        <v>502</v>
      </c>
      <c r="F195" s="368">
        <v>1642420</v>
      </c>
      <c r="G195" s="369">
        <v>1642420</v>
      </c>
      <c r="H195" s="345" t="str">
        <f t="shared" si="11"/>
        <v>1004</v>
      </c>
      <c r="I195" s="346" t="str">
        <f t="shared" si="12"/>
        <v>0110778120</v>
      </c>
      <c r="K195"/>
    </row>
    <row r="196" spans="1:11" s="292" customFormat="1" ht="22.5">
      <c r="A196" s="346" t="str">
        <f t="shared" si="8"/>
        <v>60610040110778130323</v>
      </c>
      <c r="B196" s="364">
        <v>606</v>
      </c>
      <c r="C196" s="365">
        <v>1004</v>
      </c>
      <c r="D196" s="366" t="s">
        <v>2019</v>
      </c>
      <c r="E196" s="367" t="s">
        <v>502</v>
      </c>
      <c r="F196" s="368">
        <v>12987120</v>
      </c>
      <c r="G196" s="369">
        <v>12987120</v>
      </c>
      <c r="H196" s="345" t="str">
        <f t="shared" si="11"/>
        <v>1004</v>
      </c>
      <c r="I196" s="346" t="str">
        <f t="shared" si="12"/>
        <v>0110778130</v>
      </c>
      <c r="K196"/>
    </row>
    <row r="197" spans="1:11" s="292" customFormat="1" ht="22.5">
      <c r="A197" s="346" t="str">
        <f t="shared" si="8"/>
        <v>60610040110778140323</v>
      </c>
      <c r="B197" s="364">
        <v>606</v>
      </c>
      <c r="C197" s="365">
        <v>1004</v>
      </c>
      <c r="D197" s="366" t="s">
        <v>2020</v>
      </c>
      <c r="E197" s="367" t="s">
        <v>502</v>
      </c>
      <c r="F197" s="368">
        <v>3277500</v>
      </c>
      <c r="G197" s="369">
        <v>3277500</v>
      </c>
      <c r="H197" s="345" t="str">
        <f t="shared" si="11"/>
        <v>1004</v>
      </c>
      <c r="I197" s="346" t="str">
        <f t="shared" si="12"/>
        <v>0110778140</v>
      </c>
      <c r="K197"/>
    </row>
    <row r="198" spans="1:11" s="292" customFormat="1" ht="22.5">
      <c r="A198" s="346" t="str">
        <f t="shared" si="8"/>
        <v>60701139810020110244</v>
      </c>
      <c r="B198" s="364">
        <v>607</v>
      </c>
      <c r="C198" s="365">
        <v>113</v>
      </c>
      <c r="D198" s="366" t="s">
        <v>2021</v>
      </c>
      <c r="E198" s="367" t="s">
        <v>31</v>
      </c>
      <c r="F198" s="368">
        <v>1058300</v>
      </c>
      <c r="G198" s="369">
        <v>1058300</v>
      </c>
      <c r="H198" s="345" t="str">
        <f t="shared" si="11"/>
        <v>0113</v>
      </c>
      <c r="I198" s="346" t="str">
        <f t="shared" si="12"/>
        <v>9810020110</v>
      </c>
      <c r="K198"/>
    </row>
    <row r="199" spans="1:11" s="292" customFormat="1" ht="22.5">
      <c r="A199" s="346" t="str">
        <f t="shared" si="8"/>
        <v>60701139810020110360</v>
      </c>
      <c r="B199" s="364">
        <v>607</v>
      </c>
      <c r="C199" s="365">
        <v>113</v>
      </c>
      <c r="D199" s="366" t="s">
        <v>2021</v>
      </c>
      <c r="E199" s="367" t="s">
        <v>514</v>
      </c>
      <c r="F199" s="368">
        <v>26400</v>
      </c>
      <c r="G199" s="369">
        <v>26400</v>
      </c>
      <c r="H199" s="345" t="str">
        <f t="shared" si="11"/>
        <v>0113</v>
      </c>
      <c r="I199" s="346" t="str">
        <f t="shared" si="12"/>
        <v>9810020110</v>
      </c>
      <c r="K199"/>
    </row>
    <row r="200" spans="1:11" s="292" customFormat="1" ht="22.5">
      <c r="A200" s="346" t="str">
        <f t="shared" si="8"/>
        <v>60701139810020110853</v>
      </c>
      <c r="B200" s="364">
        <v>607</v>
      </c>
      <c r="C200" s="365">
        <v>113</v>
      </c>
      <c r="D200" s="366" t="s">
        <v>2021</v>
      </c>
      <c r="E200" s="367" t="s">
        <v>78</v>
      </c>
      <c r="F200" s="368">
        <v>42000</v>
      </c>
      <c r="G200" s="369">
        <v>42000</v>
      </c>
      <c r="H200" s="345" t="str">
        <f t="shared" si="11"/>
        <v>0113</v>
      </c>
      <c r="I200" s="346" t="str">
        <f t="shared" si="12"/>
        <v>9810020110</v>
      </c>
      <c r="K200"/>
    </row>
    <row r="201" spans="1:11" s="292" customFormat="1" ht="22.5">
      <c r="A201" s="346" t="str">
        <f t="shared" ref="A201:A264" si="13">B201&amp;H201&amp;I201&amp;E201</f>
        <v>60701139810020110862</v>
      </c>
      <c r="B201" s="364">
        <v>607</v>
      </c>
      <c r="C201" s="365">
        <v>113</v>
      </c>
      <c r="D201" s="366" t="s">
        <v>2021</v>
      </c>
      <c r="E201" s="367" t="s">
        <v>518</v>
      </c>
      <c r="F201" s="368">
        <v>260000</v>
      </c>
      <c r="G201" s="369">
        <v>260000</v>
      </c>
      <c r="H201" s="345" t="str">
        <f t="shared" si="11"/>
        <v>0113</v>
      </c>
      <c r="I201" s="346" t="str">
        <f t="shared" si="12"/>
        <v>9810020110</v>
      </c>
      <c r="K201"/>
    </row>
    <row r="202" spans="1:11" s="292" customFormat="1" ht="22.5">
      <c r="A202" s="346" t="str">
        <f t="shared" si="13"/>
        <v>60707030710120060611</v>
      </c>
      <c r="B202" s="364">
        <v>607</v>
      </c>
      <c r="C202" s="365">
        <v>703</v>
      </c>
      <c r="D202" s="366" t="s">
        <v>1946</v>
      </c>
      <c r="E202" s="367" t="s">
        <v>406</v>
      </c>
      <c r="F202" s="368">
        <v>296500</v>
      </c>
      <c r="G202" s="369">
        <v>296500</v>
      </c>
      <c r="H202" s="345" t="str">
        <f t="shared" si="11"/>
        <v>0703</v>
      </c>
      <c r="I202" s="346" t="str">
        <f t="shared" si="12"/>
        <v>0710120060</v>
      </c>
      <c r="K202"/>
    </row>
    <row r="203" spans="1:11" s="292" customFormat="1" ht="22.5">
      <c r="A203" s="346" t="str">
        <f t="shared" si="13"/>
        <v>60707030710120060621</v>
      </c>
      <c r="B203" s="364">
        <v>607</v>
      </c>
      <c r="C203" s="365">
        <v>703</v>
      </c>
      <c r="D203" s="366" t="s">
        <v>1946</v>
      </c>
      <c r="E203" s="367" t="s">
        <v>412</v>
      </c>
      <c r="F203" s="368">
        <v>65000</v>
      </c>
      <c r="G203" s="369">
        <v>65000</v>
      </c>
      <c r="H203" s="345" t="str">
        <f t="shared" si="11"/>
        <v>0703</v>
      </c>
      <c r="I203" s="346" t="str">
        <f t="shared" si="12"/>
        <v>0710120060</v>
      </c>
      <c r="K203"/>
    </row>
    <row r="204" spans="1:11" s="292" customFormat="1" ht="22.5">
      <c r="A204" s="346" t="str">
        <f t="shared" si="13"/>
        <v>60707030720111010611</v>
      </c>
      <c r="B204" s="364">
        <v>607</v>
      </c>
      <c r="C204" s="365">
        <v>703</v>
      </c>
      <c r="D204" s="366" t="s">
        <v>2022</v>
      </c>
      <c r="E204" s="367" t="s">
        <v>406</v>
      </c>
      <c r="F204" s="368">
        <v>117286561.94</v>
      </c>
      <c r="G204" s="369">
        <v>117286561.94</v>
      </c>
      <c r="H204" s="345" t="str">
        <f t="shared" si="11"/>
        <v>0703</v>
      </c>
      <c r="I204" s="346" t="str">
        <f t="shared" si="12"/>
        <v>0720111010</v>
      </c>
      <c r="K204"/>
    </row>
    <row r="205" spans="1:11" s="292" customFormat="1" ht="22.5">
      <c r="A205" s="346" t="str">
        <f t="shared" si="13"/>
        <v>60707030720111010621</v>
      </c>
      <c r="B205" s="364">
        <v>607</v>
      </c>
      <c r="C205" s="365">
        <v>703</v>
      </c>
      <c r="D205" s="366" t="s">
        <v>2022</v>
      </c>
      <c r="E205" s="367" t="s">
        <v>412</v>
      </c>
      <c r="F205" s="368">
        <v>14803149.32</v>
      </c>
      <c r="G205" s="369">
        <v>14803149.32</v>
      </c>
      <c r="H205" s="345" t="str">
        <f t="shared" si="11"/>
        <v>0703</v>
      </c>
      <c r="I205" s="346" t="str">
        <f t="shared" si="12"/>
        <v>0720111010</v>
      </c>
      <c r="K205"/>
    </row>
    <row r="206" spans="1:11" s="292" customFormat="1" ht="22.5">
      <c r="A206" s="346" t="str">
        <f t="shared" si="13"/>
        <v>60707030720620400612</v>
      </c>
      <c r="B206" s="364">
        <v>607</v>
      </c>
      <c r="C206" s="365">
        <v>703</v>
      </c>
      <c r="D206" s="366" t="s">
        <v>2025</v>
      </c>
      <c r="E206" s="367" t="s">
        <v>408</v>
      </c>
      <c r="F206" s="368">
        <v>661430</v>
      </c>
      <c r="G206" s="369">
        <v>0</v>
      </c>
      <c r="H206" s="345" t="str">
        <f t="shared" si="11"/>
        <v>0703</v>
      </c>
      <c r="I206" s="346" t="str">
        <f t="shared" si="12"/>
        <v>0720620400</v>
      </c>
      <c r="K206"/>
    </row>
    <row r="207" spans="1:11" s="292" customFormat="1" ht="22.5">
      <c r="A207" s="346" t="str">
        <f t="shared" si="13"/>
        <v>60707030720821230612</v>
      </c>
      <c r="B207" s="364">
        <v>607</v>
      </c>
      <c r="C207" s="365">
        <v>703</v>
      </c>
      <c r="D207" s="366" t="s">
        <v>2026</v>
      </c>
      <c r="E207" s="367" t="s">
        <v>408</v>
      </c>
      <c r="F207" s="368">
        <v>150000</v>
      </c>
      <c r="G207" s="369">
        <v>150000</v>
      </c>
      <c r="H207" s="345" t="str">
        <f t="shared" si="11"/>
        <v>0703</v>
      </c>
      <c r="I207" s="346" t="str">
        <f t="shared" si="12"/>
        <v>0720821230</v>
      </c>
      <c r="K207"/>
    </row>
    <row r="208" spans="1:11" s="292" customFormat="1" ht="22.5">
      <c r="A208" s="346" t="str">
        <f t="shared" si="13"/>
        <v>60707030720921280612</v>
      </c>
      <c r="B208" s="364">
        <v>607</v>
      </c>
      <c r="C208" s="365">
        <v>703</v>
      </c>
      <c r="D208" s="366" t="s">
        <v>2027</v>
      </c>
      <c r="E208" s="367" t="s">
        <v>408</v>
      </c>
      <c r="F208" s="368">
        <v>163800</v>
      </c>
      <c r="G208" s="369">
        <v>163800</v>
      </c>
      <c r="H208" s="345" t="str">
        <f t="shared" si="11"/>
        <v>0703</v>
      </c>
      <c r="I208" s="346" t="str">
        <f t="shared" si="12"/>
        <v>0720921280</v>
      </c>
      <c r="K208"/>
    </row>
    <row r="209" spans="1:11" s="292" customFormat="1" ht="22.5">
      <c r="A209" s="346" t="str">
        <f t="shared" si="13"/>
        <v>60707030720921280622</v>
      </c>
      <c r="B209" s="364">
        <v>607</v>
      </c>
      <c r="C209" s="365">
        <v>703</v>
      </c>
      <c r="D209" s="366" t="s">
        <v>2027</v>
      </c>
      <c r="E209" s="367" t="s">
        <v>429</v>
      </c>
      <c r="F209" s="368">
        <v>54600</v>
      </c>
      <c r="G209" s="369">
        <v>54600</v>
      </c>
      <c r="H209" s="345" t="str">
        <f t="shared" si="11"/>
        <v>0703</v>
      </c>
      <c r="I209" s="346" t="str">
        <f t="shared" si="12"/>
        <v>0720921280</v>
      </c>
      <c r="K209"/>
    </row>
    <row r="210" spans="1:11" s="292" customFormat="1" ht="22.5">
      <c r="A210" s="346" t="str">
        <f t="shared" si="13"/>
        <v>60707031620220550612</v>
      </c>
      <c r="B210" s="364">
        <v>607</v>
      </c>
      <c r="C210" s="365">
        <v>703</v>
      </c>
      <c r="D210" s="366" t="s">
        <v>1991</v>
      </c>
      <c r="E210" s="367" t="s">
        <v>408</v>
      </c>
      <c r="F210" s="368">
        <v>344800</v>
      </c>
      <c r="G210" s="369">
        <v>344800</v>
      </c>
      <c r="H210" s="345" t="str">
        <f t="shared" si="11"/>
        <v>0703</v>
      </c>
      <c r="I210" s="346" t="str">
        <f t="shared" si="12"/>
        <v>1620220550</v>
      </c>
      <c r="K210"/>
    </row>
    <row r="211" spans="1:11" s="292" customFormat="1" ht="22.5">
      <c r="A211" s="346" t="str">
        <f t="shared" si="13"/>
        <v>60707031620220550622</v>
      </c>
      <c r="B211" s="364">
        <v>607</v>
      </c>
      <c r="C211" s="365">
        <v>703</v>
      </c>
      <c r="D211" s="366" t="s">
        <v>1991</v>
      </c>
      <c r="E211" s="367" t="s">
        <v>429</v>
      </c>
      <c r="F211" s="368">
        <v>48000</v>
      </c>
      <c r="G211" s="369">
        <v>48000</v>
      </c>
      <c r="H211" s="345" t="str">
        <f t="shared" si="11"/>
        <v>0703</v>
      </c>
      <c r="I211" s="346" t="str">
        <f t="shared" si="12"/>
        <v>1620220550</v>
      </c>
      <c r="K211"/>
    </row>
    <row r="212" spans="1:11" s="292" customFormat="1" ht="22.5">
      <c r="A212" s="346" t="str">
        <f t="shared" si="13"/>
        <v>607070317Б0120490622</v>
      </c>
      <c r="B212" s="364">
        <v>607</v>
      </c>
      <c r="C212" s="365">
        <v>703</v>
      </c>
      <c r="D212" s="366" t="s">
        <v>1200</v>
      </c>
      <c r="E212" s="367" t="s">
        <v>429</v>
      </c>
      <c r="F212" s="368">
        <v>692250</v>
      </c>
      <c r="G212" s="369">
        <v>692250</v>
      </c>
      <c r="H212" s="345" t="str">
        <f t="shared" si="11"/>
        <v>0703</v>
      </c>
      <c r="I212" s="346" t="str">
        <f t="shared" si="12"/>
        <v>17Б0120490</v>
      </c>
      <c r="K212"/>
    </row>
    <row r="213" spans="1:11" s="292" customFormat="1" ht="22.5">
      <c r="A213" s="346" t="str">
        <f t="shared" si="13"/>
        <v>60707070430420300244</v>
      </c>
      <c r="B213" s="364">
        <v>607</v>
      </c>
      <c r="C213" s="365">
        <v>707</v>
      </c>
      <c r="D213" s="366" t="s">
        <v>2030</v>
      </c>
      <c r="E213" s="367" t="s">
        <v>31</v>
      </c>
      <c r="F213" s="368">
        <v>187500</v>
      </c>
      <c r="G213" s="369">
        <v>187500</v>
      </c>
      <c r="H213" s="345" t="str">
        <f t="shared" si="11"/>
        <v>0707</v>
      </c>
      <c r="I213" s="346" t="str">
        <f t="shared" si="12"/>
        <v>0430420300</v>
      </c>
      <c r="K213"/>
    </row>
    <row r="214" spans="1:11" s="292" customFormat="1" ht="22.5">
      <c r="A214" s="346" t="str">
        <f t="shared" si="13"/>
        <v>607070709Б0120460611</v>
      </c>
      <c r="B214" s="364">
        <v>607</v>
      </c>
      <c r="C214" s="365">
        <v>707</v>
      </c>
      <c r="D214" s="366" t="s">
        <v>1209</v>
      </c>
      <c r="E214" s="367" t="s">
        <v>406</v>
      </c>
      <c r="F214" s="368">
        <v>779000</v>
      </c>
      <c r="G214" s="369">
        <v>779000</v>
      </c>
      <c r="H214" s="345" t="str">
        <f t="shared" si="11"/>
        <v>0707</v>
      </c>
      <c r="I214" s="346" t="str">
        <f t="shared" si="12"/>
        <v>09Б0120460</v>
      </c>
      <c r="K214"/>
    </row>
    <row r="215" spans="1:11" s="292" customFormat="1" ht="22.5">
      <c r="A215" s="346" t="str">
        <f t="shared" si="13"/>
        <v>607070709Б0220460244</v>
      </c>
      <c r="B215" s="364">
        <v>607</v>
      </c>
      <c r="C215" s="365">
        <v>707</v>
      </c>
      <c r="D215" s="366" t="s">
        <v>1211</v>
      </c>
      <c r="E215" s="367" t="s">
        <v>31</v>
      </c>
      <c r="F215" s="368">
        <v>549500</v>
      </c>
      <c r="G215" s="369">
        <v>549500</v>
      </c>
      <c r="H215" s="345" t="str">
        <f t="shared" si="11"/>
        <v>0707</v>
      </c>
      <c r="I215" s="346" t="str">
        <f t="shared" si="12"/>
        <v>09Б0220460</v>
      </c>
      <c r="K215"/>
    </row>
    <row r="216" spans="1:11" s="292" customFormat="1" ht="22.5">
      <c r="A216" s="346" t="str">
        <f t="shared" si="13"/>
        <v>607070709Б0220460340</v>
      </c>
      <c r="B216" s="364">
        <v>607</v>
      </c>
      <c r="C216" s="365">
        <v>707</v>
      </c>
      <c r="D216" s="366" t="s">
        <v>1211</v>
      </c>
      <c r="E216" s="367" t="s">
        <v>556</v>
      </c>
      <c r="F216" s="368">
        <v>2835000</v>
      </c>
      <c r="G216" s="369">
        <v>2835000</v>
      </c>
      <c r="H216" s="345" t="str">
        <f t="shared" si="11"/>
        <v>0707</v>
      </c>
      <c r="I216" s="346" t="str">
        <f t="shared" si="12"/>
        <v>09Б0220460</v>
      </c>
      <c r="K216"/>
    </row>
    <row r="217" spans="1:11" s="292" customFormat="1" ht="22.5">
      <c r="A217" s="346" t="str">
        <f t="shared" si="13"/>
        <v>607070709Б0220460350</v>
      </c>
      <c r="B217" s="364">
        <v>607</v>
      </c>
      <c r="C217" s="365">
        <v>707</v>
      </c>
      <c r="D217" s="366" t="s">
        <v>1211</v>
      </c>
      <c r="E217" s="367" t="s">
        <v>164</v>
      </c>
      <c r="F217" s="368">
        <v>250000</v>
      </c>
      <c r="G217" s="369">
        <v>250000</v>
      </c>
      <c r="H217" s="345" t="str">
        <f t="shared" si="11"/>
        <v>0707</v>
      </c>
      <c r="I217" s="346" t="str">
        <f t="shared" si="12"/>
        <v>09Б0220460</v>
      </c>
      <c r="K217"/>
    </row>
    <row r="218" spans="1:11" s="292" customFormat="1" ht="22.5">
      <c r="A218" s="346" t="str">
        <f t="shared" si="13"/>
        <v>607070709Б0220460611</v>
      </c>
      <c r="B218" s="364">
        <v>607</v>
      </c>
      <c r="C218" s="365">
        <v>707</v>
      </c>
      <c r="D218" s="366" t="s">
        <v>1211</v>
      </c>
      <c r="E218" s="367" t="s">
        <v>406</v>
      </c>
      <c r="F218" s="368">
        <v>1130000</v>
      </c>
      <c r="G218" s="369">
        <v>1130000</v>
      </c>
      <c r="H218" s="345" t="str">
        <f t="shared" si="11"/>
        <v>0707</v>
      </c>
      <c r="I218" s="346" t="str">
        <f t="shared" si="12"/>
        <v>09Б0220460</v>
      </c>
      <c r="K218"/>
    </row>
    <row r="219" spans="1:11" s="292" customFormat="1" ht="22.5">
      <c r="A219" s="346" t="str">
        <f t="shared" si="13"/>
        <v>607070709Б0320460611</v>
      </c>
      <c r="B219" s="364">
        <v>607</v>
      </c>
      <c r="C219" s="365">
        <v>707</v>
      </c>
      <c r="D219" s="366" t="s">
        <v>1214</v>
      </c>
      <c r="E219" s="367" t="s">
        <v>406</v>
      </c>
      <c r="F219" s="368">
        <v>180000</v>
      </c>
      <c r="G219" s="369">
        <v>180000</v>
      </c>
      <c r="H219" s="345" t="str">
        <f t="shared" ref="H219:H255" si="14">TEXT(C219,"0000")</f>
        <v>0707</v>
      </c>
      <c r="I219" s="346" t="str">
        <f t="shared" ref="I219:I255" si="15">TEXT(D219,"0000000000")</f>
        <v>09Б0320460</v>
      </c>
      <c r="K219"/>
    </row>
    <row r="220" spans="1:11" s="292" customFormat="1" ht="22.5">
      <c r="A220" s="346" t="str">
        <f t="shared" si="13"/>
        <v>607070709Б0420460611</v>
      </c>
      <c r="B220" s="364">
        <v>607</v>
      </c>
      <c r="C220" s="365">
        <v>707</v>
      </c>
      <c r="D220" s="366" t="s">
        <v>1216</v>
      </c>
      <c r="E220" s="367" t="s">
        <v>406</v>
      </c>
      <c r="F220" s="368">
        <v>310000</v>
      </c>
      <c r="G220" s="369">
        <v>310000</v>
      </c>
      <c r="H220" s="345" t="str">
        <f t="shared" si="14"/>
        <v>0707</v>
      </c>
      <c r="I220" s="346" t="str">
        <f t="shared" si="15"/>
        <v>09Б0420460</v>
      </c>
      <c r="K220"/>
    </row>
    <row r="221" spans="1:11" s="292" customFormat="1" ht="22.5">
      <c r="A221" s="346" t="str">
        <f t="shared" si="13"/>
        <v>607070709Б0520460611</v>
      </c>
      <c r="B221" s="364">
        <v>607</v>
      </c>
      <c r="C221" s="365">
        <v>707</v>
      </c>
      <c r="D221" s="366" t="s">
        <v>1218</v>
      </c>
      <c r="E221" s="367" t="s">
        <v>406</v>
      </c>
      <c r="F221" s="368">
        <v>25540</v>
      </c>
      <c r="G221" s="369">
        <v>25540</v>
      </c>
      <c r="H221" s="345" t="str">
        <f t="shared" si="14"/>
        <v>0707</v>
      </c>
      <c r="I221" s="346" t="str">
        <f t="shared" si="15"/>
        <v>09Б0520460</v>
      </c>
      <c r="K221"/>
    </row>
    <row r="222" spans="1:11" s="292" customFormat="1" ht="22.5">
      <c r="A222" s="346" t="str">
        <f t="shared" si="13"/>
        <v>607070709Б0611010611</v>
      </c>
      <c r="B222" s="364">
        <v>607</v>
      </c>
      <c r="C222" s="365">
        <v>707</v>
      </c>
      <c r="D222" s="366" t="s">
        <v>1220</v>
      </c>
      <c r="E222" s="367" t="s">
        <v>406</v>
      </c>
      <c r="F222" s="368">
        <v>3885255.64</v>
      </c>
      <c r="G222" s="369">
        <v>3885255.64</v>
      </c>
      <c r="H222" s="345" t="str">
        <f t="shared" si="14"/>
        <v>0707</v>
      </c>
      <c r="I222" s="346" t="str">
        <f t="shared" si="15"/>
        <v>09Б0611010</v>
      </c>
      <c r="K222"/>
    </row>
    <row r="223" spans="1:11" s="292" customFormat="1" ht="22.5">
      <c r="A223" s="346" t="str">
        <f t="shared" si="13"/>
        <v>60708010710120060611</v>
      </c>
      <c r="B223" s="364">
        <v>607</v>
      </c>
      <c r="C223" s="365">
        <v>801</v>
      </c>
      <c r="D223" s="366" t="s">
        <v>1946</v>
      </c>
      <c r="E223" s="367" t="s">
        <v>406</v>
      </c>
      <c r="F223" s="368">
        <v>3172500</v>
      </c>
      <c r="G223" s="369">
        <v>3172500</v>
      </c>
      <c r="H223" s="345" t="str">
        <f t="shared" si="14"/>
        <v>0801</v>
      </c>
      <c r="I223" s="346" t="str">
        <f t="shared" si="15"/>
        <v>0710120060</v>
      </c>
      <c r="K223"/>
    </row>
    <row r="224" spans="1:11" s="292" customFormat="1" ht="22.5">
      <c r="A224" s="346" t="str">
        <f t="shared" si="13"/>
        <v>60708010710120060621</v>
      </c>
      <c r="B224" s="364">
        <v>607</v>
      </c>
      <c r="C224" s="365">
        <v>801</v>
      </c>
      <c r="D224" s="366" t="s">
        <v>1946</v>
      </c>
      <c r="E224" s="367" t="s">
        <v>412</v>
      </c>
      <c r="F224" s="368">
        <v>2471500</v>
      </c>
      <c r="G224" s="369">
        <v>2471500</v>
      </c>
      <c r="H224" s="345" t="str">
        <f t="shared" si="14"/>
        <v>0801</v>
      </c>
      <c r="I224" s="346" t="str">
        <f t="shared" si="15"/>
        <v>0710120060</v>
      </c>
      <c r="K224"/>
    </row>
    <row r="225" spans="1:11" s="292" customFormat="1" ht="22.5">
      <c r="A225" s="346" t="str">
        <f t="shared" si="13"/>
        <v>60708010720211010611</v>
      </c>
      <c r="B225" s="364">
        <v>607</v>
      </c>
      <c r="C225" s="365">
        <v>801</v>
      </c>
      <c r="D225" s="366" t="s">
        <v>2032</v>
      </c>
      <c r="E225" s="367" t="s">
        <v>406</v>
      </c>
      <c r="F225" s="368">
        <v>40143190</v>
      </c>
      <c r="G225" s="369">
        <v>40143190</v>
      </c>
      <c r="H225" s="345" t="str">
        <f t="shared" si="14"/>
        <v>0801</v>
      </c>
      <c r="I225" s="346" t="str">
        <f t="shared" si="15"/>
        <v>0720211010</v>
      </c>
      <c r="K225"/>
    </row>
    <row r="226" spans="1:11" s="292" customFormat="1" ht="22.5">
      <c r="A226" s="346" t="str">
        <f t="shared" si="13"/>
        <v>60708010720211010621</v>
      </c>
      <c r="B226" s="364">
        <v>607</v>
      </c>
      <c r="C226" s="365">
        <v>801</v>
      </c>
      <c r="D226" s="366" t="s">
        <v>2032</v>
      </c>
      <c r="E226" s="367" t="s">
        <v>412</v>
      </c>
      <c r="F226" s="368">
        <v>21141470</v>
      </c>
      <c r="G226" s="369">
        <v>21141470</v>
      </c>
      <c r="H226" s="345" t="str">
        <f t="shared" si="14"/>
        <v>0801</v>
      </c>
      <c r="I226" s="346" t="str">
        <f t="shared" si="15"/>
        <v>0720211010</v>
      </c>
      <c r="K226"/>
    </row>
    <row r="227" spans="1:11" s="292" customFormat="1" ht="22.5">
      <c r="A227" s="346" t="str">
        <f t="shared" si="13"/>
        <v>60708010720311010611</v>
      </c>
      <c r="B227" s="364">
        <v>607</v>
      </c>
      <c r="C227" s="365">
        <v>801</v>
      </c>
      <c r="D227" s="366" t="s">
        <v>2035</v>
      </c>
      <c r="E227" s="367" t="s">
        <v>406</v>
      </c>
      <c r="F227" s="368">
        <v>3557020</v>
      </c>
      <c r="G227" s="369">
        <v>3557020</v>
      </c>
      <c r="H227" s="345" t="str">
        <f t="shared" si="14"/>
        <v>0801</v>
      </c>
      <c r="I227" s="346" t="str">
        <f t="shared" si="15"/>
        <v>0720311010</v>
      </c>
      <c r="K227"/>
    </row>
    <row r="228" spans="1:11" s="292" customFormat="1" ht="22.5">
      <c r="A228" s="346" t="str">
        <f t="shared" si="13"/>
        <v>60708010720411010611</v>
      </c>
      <c r="B228" s="364">
        <v>607</v>
      </c>
      <c r="C228" s="365">
        <v>801</v>
      </c>
      <c r="D228" s="366" t="s">
        <v>2038</v>
      </c>
      <c r="E228" s="367" t="s">
        <v>406</v>
      </c>
      <c r="F228" s="368">
        <v>49039270</v>
      </c>
      <c r="G228" s="369">
        <v>49039270</v>
      </c>
      <c r="H228" s="345" t="str">
        <f t="shared" si="14"/>
        <v>0801</v>
      </c>
      <c r="I228" s="346" t="str">
        <f t="shared" si="15"/>
        <v>0720411010</v>
      </c>
      <c r="K228"/>
    </row>
    <row r="229" spans="1:11" s="292" customFormat="1" ht="22.5">
      <c r="A229" s="346" t="str">
        <f t="shared" si="13"/>
        <v>607080107204L5194611</v>
      </c>
      <c r="B229" s="364">
        <v>607</v>
      </c>
      <c r="C229" s="365">
        <v>801</v>
      </c>
      <c r="D229" s="366" t="s">
        <v>1221</v>
      </c>
      <c r="E229" s="367" t="s">
        <v>406</v>
      </c>
      <c r="F229" s="368">
        <v>1777300</v>
      </c>
      <c r="G229" s="369">
        <v>1777300</v>
      </c>
      <c r="H229" s="345" t="str">
        <f t="shared" si="14"/>
        <v>0801</v>
      </c>
      <c r="I229" s="346" t="str">
        <f t="shared" si="15"/>
        <v>07204L5194</v>
      </c>
      <c r="K229"/>
    </row>
    <row r="230" spans="1:11" s="292" customFormat="1" ht="22.5">
      <c r="A230" s="346" t="str">
        <f t="shared" si="13"/>
        <v>60708010720511010611</v>
      </c>
      <c r="B230" s="364">
        <v>607</v>
      </c>
      <c r="C230" s="365">
        <v>801</v>
      </c>
      <c r="D230" s="366" t="s">
        <v>2041</v>
      </c>
      <c r="E230" s="367" t="s">
        <v>406</v>
      </c>
      <c r="F230" s="368">
        <v>46565700</v>
      </c>
      <c r="G230" s="369">
        <v>46565700</v>
      </c>
      <c r="H230" s="345" t="str">
        <f t="shared" si="14"/>
        <v>0801</v>
      </c>
      <c r="I230" s="346" t="str">
        <f t="shared" si="15"/>
        <v>0720511010</v>
      </c>
      <c r="K230"/>
    </row>
    <row r="231" spans="1:11" s="292" customFormat="1" ht="22.5">
      <c r="A231" s="346" t="str">
        <f t="shared" si="13"/>
        <v>60708010720511010621</v>
      </c>
      <c r="B231" s="364">
        <v>607</v>
      </c>
      <c r="C231" s="365">
        <v>801</v>
      </c>
      <c r="D231" s="366" t="s">
        <v>2041</v>
      </c>
      <c r="E231" s="367" t="s">
        <v>412</v>
      </c>
      <c r="F231" s="368">
        <v>10615710</v>
      </c>
      <c r="G231" s="369">
        <v>10615710</v>
      </c>
      <c r="H231" s="345" t="str">
        <f t="shared" si="14"/>
        <v>0801</v>
      </c>
      <c r="I231" s="346" t="str">
        <f t="shared" si="15"/>
        <v>0720511010</v>
      </c>
      <c r="K231"/>
    </row>
    <row r="232" spans="1:11" s="292" customFormat="1" ht="22.5">
      <c r="A232" s="346" t="str">
        <f t="shared" si="13"/>
        <v>60708010720620400612</v>
      </c>
      <c r="B232" s="364">
        <v>607</v>
      </c>
      <c r="C232" s="365">
        <v>801</v>
      </c>
      <c r="D232" s="366" t="s">
        <v>2025</v>
      </c>
      <c r="E232" s="367" t="s">
        <v>408</v>
      </c>
      <c r="F232" s="368">
        <v>1934530</v>
      </c>
      <c r="G232" s="369">
        <v>2595960</v>
      </c>
      <c r="H232" s="345" t="str">
        <f t="shared" si="14"/>
        <v>0801</v>
      </c>
      <c r="I232" s="346" t="str">
        <f t="shared" si="15"/>
        <v>0720620400</v>
      </c>
      <c r="K232"/>
    </row>
    <row r="233" spans="1:11" s="292" customFormat="1" ht="22.5">
      <c r="A233" s="346" t="str">
        <f t="shared" si="13"/>
        <v>60708010720821230612</v>
      </c>
      <c r="B233" s="364">
        <v>607</v>
      </c>
      <c r="C233" s="365">
        <v>801</v>
      </c>
      <c r="D233" s="366" t="s">
        <v>2026</v>
      </c>
      <c r="E233" s="367" t="s">
        <v>408</v>
      </c>
      <c r="F233" s="368">
        <v>150000</v>
      </c>
      <c r="G233" s="369">
        <v>150000</v>
      </c>
      <c r="H233" s="345" t="str">
        <f t="shared" si="14"/>
        <v>0801</v>
      </c>
      <c r="I233" s="346" t="str">
        <f t="shared" si="15"/>
        <v>0720821230</v>
      </c>
      <c r="K233"/>
    </row>
    <row r="234" spans="1:11" s="292" customFormat="1" ht="22.5">
      <c r="A234" s="346" t="str">
        <f t="shared" si="13"/>
        <v>60708010720921280612</v>
      </c>
      <c r="B234" s="364">
        <v>607</v>
      </c>
      <c r="C234" s="365">
        <v>801</v>
      </c>
      <c r="D234" s="366" t="s">
        <v>2027</v>
      </c>
      <c r="E234" s="367" t="s">
        <v>408</v>
      </c>
      <c r="F234" s="368">
        <v>817600</v>
      </c>
      <c r="G234" s="369">
        <v>817600</v>
      </c>
      <c r="H234" s="345" t="str">
        <f t="shared" si="14"/>
        <v>0801</v>
      </c>
      <c r="I234" s="346" t="str">
        <f t="shared" si="15"/>
        <v>0720921280</v>
      </c>
      <c r="K234"/>
    </row>
    <row r="235" spans="1:11" s="292" customFormat="1" ht="22.5">
      <c r="A235" s="346" t="str">
        <f t="shared" si="13"/>
        <v>60708011510320350612</v>
      </c>
      <c r="B235" s="364">
        <v>607</v>
      </c>
      <c r="C235" s="365">
        <v>801</v>
      </c>
      <c r="D235" s="366" t="s">
        <v>1930</v>
      </c>
      <c r="E235" s="367" t="s">
        <v>408</v>
      </c>
      <c r="F235" s="368">
        <v>76500</v>
      </c>
      <c r="G235" s="369">
        <v>76500</v>
      </c>
      <c r="H235" s="345" t="str">
        <f t="shared" si="14"/>
        <v>0801</v>
      </c>
      <c r="I235" s="346" t="str">
        <f t="shared" si="15"/>
        <v>1510320350</v>
      </c>
      <c r="K235"/>
    </row>
    <row r="236" spans="1:11" s="292" customFormat="1" ht="22.5">
      <c r="A236" s="346" t="str">
        <f t="shared" si="13"/>
        <v>60708011620220550612</v>
      </c>
      <c r="B236" s="364">
        <v>607</v>
      </c>
      <c r="C236" s="365">
        <v>801</v>
      </c>
      <c r="D236" s="366" t="s">
        <v>1991</v>
      </c>
      <c r="E236" s="367" t="s">
        <v>408</v>
      </c>
      <c r="F236" s="368">
        <v>547850</v>
      </c>
      <c r="G236" s="369">
        <v>547850</v>
      </c>
      <c r="H236" s="345" t="str">
        <f t="shared" si="14"/>
        <v>0801</v>
      </c>
      <c r="I236" s="346" t="str">
        <f t="shared" si="15"/>
        <v>1620220550</v>
      </c>
      <c r="K236"/>
    </row>
    <row r="237" spans="1:11" s="292" customFormat="1" ht="22.5">
      <c r="A237" s="346" t="str">
        <f t="shared" si="13"/>
        <v>607080117Б0120490612</v>
      </c>
      <c r="B237" s="364">
        <v>607</v>
      </c>
      <c r="C237" s="365">
        <v>801</v>
      </c>
      <c r="D237" s="366" t="s">
        <v>1200</v>
      </c>
      <c r="E237" s="367" t="s">
        <v>408</v>
      </c>
      <c r="F237" s="368">
        <v>203830</v>
      </c>
      <c r="G237" s="369">
        <v>203830</v>
      </c>
      <c r="H237" s="345" t="str">
        <f t="shared" si="14"/>
        <v>0801</v>
      </c>
      <c r="I237" s="346" t="str">
        <f t="shared" si="15"/>
        <v>17Б0120490</v>
      </c>
      <c r="K237"/>
    </row>
    <row r="238" spans="1:11" s="292" customFormat="1" ht="22.5">
      <c r="A238" s="346" t="str">
        <f t="shared" si="13"/>
        <v>60708047610010010122</v>
      </c>
      <c r="B238" s="364">
        <v>607</v>
      </c>
      <c r="C238" s="365">
        <v>804</v>
      </c>
      <c r="D238" s="366" t="s">
        <v>2046</v>
      </c>
      <c r="E238" s="367" t="s">
        <v>23</v>
      </c>
      <c r="F238" s="368">
        <v>274450</v>
      </c>
      <c r="G238" s="369">
        <v>274450</v>
      </c>
      <c r="H238" s="345" t="str">
        <f t="shared" si="14"/>
        <v>0804</v>
      </c>
      <c r="I238" s="346" t="str">
        <f t="shared" si="15"/>
        <v>7610010010</v>
      </c>
      <c r="K238"/>
    </row>
    <row r="239" spans="1:11" s="292" customFormat="1" ht="22.5">
      <c r="A239" s="346" t="str">
        <f t="shared" si="13"/>
        <v>60708047610010010129</v>
      </c>
      <c r="B239" s="364">
        <v>607</v>
      </c>
      <c r="C239" s="365">
        <v>804</v>
      </c>
      <c r="D239" s="366" t="s">
        <v>2046</v>
      </c>
      <c r="E239" s="367" t="s">
        <v>27</v>
      </c>
      <c r="F239" s="368">
        <v>82880</v>
      </c>
      <c r="G239" s="369">
        <v>82880</v>
      </c>
      <c r="H239" s="345" t="str">
        <f t="shared" si="14"/>
        <v>0804</v>
      </c>
      <c r="I239" s="346" t="str">
        <f t="shared" si="15"/>
        <v>7610010010</v>
      </c>
      <c r="K239"/>
    </row>
    <row r="240" spans="1:11" s="292" customFormat="1" ht="22.5">
      <c r="A240" s="346" t="str">
        <f t="shared" si="13"/>
        <v>60708047610010010244</v>
      </c>
      <c r="B240" s="364">
        <v>607</v>
      </c>
      <c r="C240" s="365">
        <v>804</v>
      </c>
      <c r="D240" s="366" t="s">
        <v>2046</v>
      </c>
      <c r="E240" s="367" t="s">
        <v>31</v>
      </c>
      <c r="F240" s="368">
        <v>941810</v>
      </c>
      <c r="G240" s="369">
        <v>941810</v>
      </c>
      <c r="H240" s="345" t="str">
        <f t="shared" si="14"/>
        <v>0804</v>
      </c>
      <c r="I240" s="346" t="str">
        <f t="shared" si="15"/>
        <v>7610010010</v>
      </c>
      <c r="K240"/>
    </row>
    <row r="241" spans="1:11" s="292" customFormat="1" ht="22.5">
      <c r="A241" s="346" t="str">
        <f t="shared" si="13"/>
        <v>60708047610010010851</v>
      </c>
      <c r="B241" s="364">
        <v>607</v>
      </c>
      <c r="C241" s="365">
        <v>804</v>
      </c>
      <c r="D241" s="366" t="s">
        <v>2046</v>
      </c>
      <c r="E241" s="367" t="s">
        <v>35</v>
      </c>
      <c r="F241" s="368">
        <v>174200</v>
      </c>
      <c r="G241" s="369">
        <v>174200</v>
      </c>
      <c r="H241" s="345" t="str">
        <f t="shared" si="14"/>
        <v>0804</v>
      </c>
      <c r="I241" s="346" t="str">
        <f t="shared" si="15"/>
        <v>7610010010</v>
      </c>
      <c r="K241"/>
    </row>
    <row r="242" spans="1:11" s="292" customFormat="1" ht="22.5">
      <c r="A242" s="346" t="str">
        <f t="shared" si="13"/>
        <v>60708047610010010852</v>
      </c>
      <c r="B242" s="364">
        <v>607</v>
      </c>
      <c r="C242" s="365">
        <v>804</v>
      </c>
      <c r="D242" s="366" t="s">
        <v>2046</v>
      </c>
      <c r="E242" s="367" t="s">
        <v>37</v>
      </c>
      <c r="F242" s="368">
        <v>5500</v>
      </c>
      <c r="G242" s="369">
        <v>5500</v>
      </c>
      <c r="H242" s="345" t="str">
        <f t="shared" si="14"/>
        <v>0804</v>
      </c>
      <c r="I242" s="346" t="str">
        <f t="shared" si="15"/>
        <v>7610010010</v>
      </c>
      <c r="K242"/>
    </row>
    <row r="243" spans="1:11" s="292" customFormat="1" ht="22.5">
      <c r="A243" s="346" t="str">
        <f t="shared" si="13"/>
        <v>60708047610010010853</v>
      </c>
      <c r="B243" s="364">
        <v>607</v>
      </c>
      <c r="C243" s="365">
        <v>804</v>
      </c>
      <c r="D243" s="366" t="s">
        <v>2046</v>
      </c>
      <c r="E243" s="367" t="s">
        <v>78</v>
      </c>
      <c r="F243" s="368">
        <v>1500</v>
      </c>
      <c r="G243" s="369">
        <v>1500</v>
      </c>
      <c r="H243" s="345" t="str">
        <f t="shared" si="14"/>
        <v>0804</v>
      </c>
      <c r="I243" s="346" t="str">
        <f t="shared" si="15"/>
        <v>7610010010</v>
      </c>
      <c r="K243"/>
    </row>
    <row r="244" spans="1:11" s="292" customFormat="1" ht="22.5">
      <c r="A244" s="346" t="str">
        <f t="shared" si="13"/>
        <v>60708047610010020121</v>
      </c>
      <c r="B244" s="364">
        <v>607</v>
      </c>
      <c r="C244" s="365">
        <v>804</v>
      </c>
      <c r="D244" s="366" t="s">
        <v>2047</v>
      </c>
      <c r="E244" s="367" t="s">
        <v>41</v>
      </c>
      <c r="F244" s="368">
        <v>9637217.4499999993</v>
      </c>
      <c r="G244" s="369">
        <v>9637217.4499999993</v>
      </c>
      <c r="H244" s="345" t="str">
        <f t="shared" si="14"/>
        <v>0804</v>
      </c>
      <c r="I244" s="346" t="str">
        <f t="shared" si="15"/>
        <v>7610010020</v>
      </c>
      <c r="K244"/>
    </row>
    <row r="245" spans="1:11" s="292" customFormat="1" ht="22.5">
      <c r="A245" s="346" t="str">
        <f t="shared" si="13"/>
        <v>60708047610010020129</v>
      </c>
      <c r="B245" s="364">
        <v>607</v>
      </c>
      <c r="C245" s="365">
        <v>804</v>
      </c>
      <c r="D245" s="366" t="s">
        <v>2047</v>
      </c>
      <c r="E245" s="367" t="s">
        <v>27</v>
      </c>
      <c r="F245" s="368">
        <v>2910440.39</v>
      </c>
      <c r="G245" s="369">
        <v>2910440.39</v>
      </c>
      <c r="H245" s="345" t="str">
        <f t="shared" si="14"/>
        <v>0804</v>
      </c>
      <c r="I245" s="346" t="str">
        <f t="shared" si="15"/>
        <v>7610010020</v>
      </c>
      <c r="K245"/>
    </row>
    <row r="246" spans="1:11" s="292" customFormat="1" ht="22.5">
      <c r="A246" s="346" t="str">
        <f t="shared" si="13"/>
        <v>60708047620020250244</v>
      </c>
      <c r="B246" s="364">
        <v>607</v>
      </c>
      <c r="C246" s="365">
        <v>804</v>
      </c>
      <c r="D246" s="366" t="s">
        <v>2050</v>
      </c>
      <c r="E246" s="367" t="s">
        <v>31</v>
      </c>
      <c r="F246" s="368">
        <v>160000</v>
      </c>
      <c r="G246" s="369">
        <v>160000</v>
      </c>
      <c r="H246" s="345" t="str">
        <f t="shared" si="14"/>
        <v>0804</v>
      </c>
      <c r="I246" s="346" t="str">
        <f t="shared" si="15"/>
        <v>7620020250</v>
      </c>
      <c r="K246"/>
    </row>
    <row r="247" spans="1:11" s="292" customFormat="1" ht="22.5">
      <c r="A247" s="346" t="str">
        <f t="shared" si="13"/>
        <v>609011311Б0121120244</v>
      </c>
      <c r="B247" s="364">
        <v>609</v>
      </c>
      <c r="C247" s="365">
        <v>113</v>
      </c>
      <c r="D247" s="366" t="s">
        <v>1175</v>
      </c>
      <c r="E247" s="367" t="s">
        <v>31</v>
      </c>
      <c r="F247" s="368">
        <v>6980</v>
      </c>
      <c r="G247" s="369">
        <v>6980</v>
      </c>
      <c r="H247" s="345" t="str">
        <f t="shared" si="14"/>
        <v>0113</v>
      </c>
      <c r="I247" s="346" t="str">
        <f t="shared" si="15"/>
        <v>11Б0121120</v>
      </c>
      <c r="K247"/>
    </row>
    <row r="248" spans="1:11" s="292" customFormat="1" ht="22.5">
      <c r="A248" s="346" t="str">
        <f t="shared" si="13"/>
        <v>60908010710120060244</v>
      </c>
      <c r="B248" s="364">
        <v>609</v>
      </c>
      <c r="C248" s="365">
        <v>801</v>
      </c>
      <c r="D248" s="366" t="s">
        <v>1946</v>
      </c>
      <c r="E248" s="367" t="s">
        <v>31</v>
      </c>
      <c r="F248" s="368">
        <v>2704980</v>
      </c>
      <c r="G248" s="369">
        <v>2704980</v>
      </c>
      <c r="H248" s="345" t="str">
        <f t="shared" si="14"/>
        <v>0801</v>
      </c>
      <c r="I248" s="346" t="str">
        <f t="shared" si="15"/>
        <v>0710120060</v>
      </c>
      <c r="K248"/>
    </row>
    <row r="249" spans="1:11" s="292" customFormat="1" ht="22.5">
      <c r="A249" s="346" t="str">
        <f t="shared" si="13"/>
        <v>60910030310152200244</v>
      </c>
      <c r="B249" s="364">
        <v>609</v>
      </c>
      <c r="C249" s="365">
        <v>1003</v>
      </c>
      <c r="D249" s="366" t="s">
        <v>2052</v>
      </c>
      <c r="E249" s="367" t="s">
        <v>31</v>
      </c>
      <c r="F249" s="368">
        <v>233870</v>
      </c>
      <c r="G249" s="369">
        <v>243300</v>
      </c>
      <c r="H249" s="345" t="str">
        <f t="shared" si="14"/>
        <v>1003</v>
      </c>
      <c r="I249" s="346" t="str">
        <f t="shared" si="15"/>
        <v>0310152200</v>
      </c>
      <c r="K249"/>
    </row>
    <row r="250" spans="1:11" s="292" customFormat="1" ht="22.5">
      <c r="A250" s="346" t="str">
        <f t="shared" si="13"/>
        <v>60910030310152200313</v>
      </c>
      <c r="B250" s="364">
        <v>609</v>
      </c>
      <c r="C250" s="365">
        <v>1003</v>
      </c>
      <c r="D250" s="366" t="s">
        <v>2052</v>
      </c>
      <c r="E250" s="367" t="s">
        <v>496</v>
      </c>
      <c r="F250" s="368">
        <v>15591230</v>
      </c>
      <c r="G250" s="369">
        <v>16220200</v>
      </c>
      <c r="H250" s="345" t="str">
        <f t="shared" si="14"/>
        <v>1003</v>
      </c>
      <c r="I250" s="346" t="str">
        <f t="shared" si="15"/>
        <v>0310152200</v>
      </c>
      <c r="K250"/>
    </row>
    <row r="251" spans="1:11" s="292" customFormat="1" ht="22.5">
      <c r="A251" s="346" t="str">
        <f t="shared" si="13"/>
        <v>60910030310152500244</v>
      </c>
      <c r="B251" s="364">
        <v>609</v>
      </c>
      <c r="C251" s="365">
        <v>1003</v>
      </c>
      <c r="D251" s="366" t="s">
        <v>2053</v>
      </c>
      <c r="E251" s="367" t="s">
        <v>31</v>
      </c>
      <c r="F251" s="368">
        <v>2558350</v>
      </c>
      <c r="G251" s="369">
        <v>2556840</v>
      </c>
      <c r="H251" s="345" t="str">
        <f t="shared" si="14"/>
        <v>1003</v>
      </c>
      <c r="I251" s="346" t="str">
        <f t="shared" si="15"/>
        <v>0310152500</v>
      </c>
      <c r="K251"/>
    </row>
    <row r="252" spans="1:11" s="292" customFormat="1" ht="22.5">
      <c r="A252" s="346" t="str">
        <f t="shared" si="13"/>
        <v>60910030310152500313</v>
      </c>
      <c r="B252" s="364">
        <v>609</v>
      </c>
      <c r="C252" s="365">
        <v>1003</v>
      </c>
      <c r="D252" s="366" t="s">
        <v>2053</v>
      </c>
      <c r="E252" s="367" t="s">
        <v>496</v>
      </c>
      <c r="F252" s="368">
        <v>340289550</v>
      </c>
      <c r="G252" s="369">
        <v>340189260</v>
      </c>
      <c r="H252" s="345" t="str">
        <f t="shared" si="14"/>
        <v>1003</v>
      </c>
      <c r="I252" s="346" t="str">
        <f t="shared" si="15"/>
        <v>0310152500</v>
      </c>
      <c r="K252"/>
    </row>
    <row r="253" spans="1:11" s="292" customFormat="1" ht="22.5">
      <c r="A253" s="346" t="str">
        <f t="shared" si="13"/>
        <v>60910030310152800244</v>
      </c>
      <c r="B253" s="364">
        <v>609</v>
      </c>
      <c r="C253" s="365">
        <v>1003</v>
      </c>
      <c r="D253" s="366" t="s">
        <v>2054</v>
      </c>
      <c r="E253" s="367" t="s">
        <v>31</v>
      </c>
      <c r="F253" s="368">
        <v>1000</v>
      </c>
      <c r="G253" s="369">
        <v>1000</v>
      </c>
      <c r="H253" s="345" t="str">
        <f t="shared" si="14"/>
        <v>1003</v>
      </c>
      <c r="I253" s="346" t="str">
        <f t="shared" si="15"/>
        <v>0310152800</v>
      </c>
      <c r="K253"/>
    </row>
    <row r="254" spans="1:11" s="292" customFormat="1" ht="22.5">
      <c r="A254" s="346" t="str">
        <f t="shared" si="13"/>
        <v>60910030310152800313</v>
      </c>
      <c r="B254" s="364">
        <v>609</v>
      </c>
      <c r="C254" s="365">
        <v>1003</v>
      </c>
      <c r="D254" s="366" t="s">
        <v>2054</v>
      </c>
      <c r="E254" s="367" t="s">
        <v>496</v>
      </c>
      <c r="F254" s="368">
        <v>73900</v>
      </c>
      <c r="G254" s="369">
        <v>73900</v>
      </c>
      <c r="H254" s="345" t="str">
        <f t="shared" si="14"/>
        <v>1003</v>
      </c>
      <c r="I254" s="346" t="str">
        <f t="shared" si="15"/>
        <v>0310152800</v>
      </c>
      <c r="K254"/>
    </row>
    <row r="255" spans="1:11" s="292" customFormat="1" ht="22.5">
      <c r="A255" s="346" t="str">
        <f t="shared" si="13"/>
        <v>60910030310176240313</v>
      </c>
      <c r="B255" s="364">
        <v>609</v>
      </c>
      <c r="C255" s="365">
        <v>1003</v>
      </c>
      <c r="D255" s="366" t="s">
        <v>2055</v>
      </c>
      <c r="E255" s="367" t="s">
        <v>496</v>
      </c>
      <c r="F255" s="368">
        <v>7961360</v>
      </c>
      <c r="G255" s="369">
        <v>7961360</v>
      </c>
      <c r="H255" s="345" t="str">
        <f t="shared" si="14"/>
        <v>1003</v>
      </c>
      <c r="I255" s="346" t="str">
        <f t="shared" si="15"/>
        <v>0310176240</v>
      </c>
      <c r="K255"/>
    </row>
    <row r="256" spans="1:11" s="292" customFormat="1" ht="22.5">
      <c r="A256" s="346" t="str">
        <f t="shared" si="13"/>
        <v>60910030310177220244</v>
      </c>
      <c r="B256" s="364">
        <v>609</v>
      </c>
      <c r="C256" s="365">
        <v>1003</v>
      </c>
      <c r="D256" s="366" t="s">
        <v>2057</v>
      </c>
      <c r="E256" s="367" t="s">
        <v>31</v>
      </c>
      <c r="F256" s="368">
        <v>24600</v>
      </c>
      <c r="G256" s="369">
        <v>24600</v>
      </c>
      <c r="H256" s="345" t="str">
        <f t="shared" ref="H256:H316" si="16">TEXT(C256,"0000")</f>
        <v>1003</v>
      </c>
      <c r="I256" s="346" t="str">
        <f t="shared" ref="I256:I316" si="17">TEXT(D256,"0000000000")</f>
        <v>0310177220</v>
      </c>
      <c r="K256"/>
    </row>
    <row r="257" spans="1:11" s="292" customFormat="1" ht="22.5">
      <c r="A257" s="346" t="str">
        <f t="shared" si="13"/>
        <v>60910030310177220313</v>
      </c>
      <c r="B257" s="364">
        <v>609</v>
      </c>
      <c r="C257" s="365">
        <v>1003</v>
      </c>
      <c r="D257" s="366" t="s">
        <v>2057</v>
      </c>
      <c r="E257" s="367" t="s">
        <v>496</v>
      </c>
      <c r="F257" s="368">
        <v>2055300</v>
      </c>
      <c r="G257" s="369">
        <v>2055300</v>
      </c>
      <c r="H257" s="345" t="str">
        <f t="shared" si="16"/>
        <v>1003</v>
      </c>
      <c r="I257" s="346" t="str">
        <f t="shared" si="17"/>
        <v>0310177220</v>
      </c>
      <c r="K257"/>
    </row>
    <row r="258" spans="1:11" s="292" customFormat="1" ht="22.5">
      <c r="A258" s="346" t="str">
        <f t="shared" si="13"/>
        <v>60910030310178210244</v>
      </c>
      <c r="B258" s="364">
        <v>609</v>
      </c>
      <c r="C258" s="365">
        <v>1003</v>
      </c>
      <c r="D258" s="366" t="s">
        <v>2058</v>
      </c>
      <c r="E258" s="367" t="s">
        <v>31</v>
      </c>
      <c r="F258" s="368">
        <v>5280000</v>
      </c>
      <c r="G258" s="369">
        <v>5280000</v>
      </c>
      <c r="H258" s="345" t="str">
        <f t="shared" si="16"/>
        <v>1003</v>
      </c>
      <c r="I258" s="346" t="str">
        <f t="shared" si="17"/>
        <v>0310178210</v>
      </c>
      <c r="K258"/>
    </row>
    <row r="259" spans="1:11" s="292" customFormat="1" ht="22.5">
      <c r="A259" s="346" t="str">
        <f t="shared" si="13"/>
        <v>60910030310178210313</v>
      </c>
      <c r="B259" s="364">
        <v>609</v>
      </c>
      <c r="C259" s="365">
        <v>1003</v>
      </c>
      <c r="D259" s="366" t="s">
        <v>2058</v>
      </c>
      <c r="E259" s="367" t="s">
        <v>496</v>
      </c>
      <c r="F259" s="368">
        <v>358514900</v>
      </c>
      <c r="G259" s="369">
        <v>360337960</v>
      </c>
      <c r="H259" s="345" t="str">
        <f t="shared" si="16"/>
        <v>1003</v>
      </c>
      <c r="I259" s="346" t="str">
        <f t="shared" si="17"/>
        <v>0310178210</v>
      </c>
      <c r="K259"/>
    </row>
    <row r="260" spans="1:11" s="292" customFormat="1" ht="22.5">
      <c r="A260" s="346" t="str">
        <f t="shared" si="13"/>
        <v>60910030310178220244</v>
      </c>
      <c r="B260" s="364">
        <v>609</v>
      </c>
      <c r="C260" s="365">
        <v>1003</v>
      </c>
      <c r="D260" s="366" t="s">
        <v>2059</v>
      </c>
      <c r="E260" s="367" t="s">
        <v>31</v>
      </c>
      <c r="F260" s="368">
        <v>3840000</v>
      </c>
      <c r="G260" s="369">
        <v>3840000</v>
      </c>
      <c r="H260" s="345" t="str">
        <f t="shared" si="16"/>
        <v>1003</v>
      </c>
      <c r="I260" s="346" t="str">
        <f t="shared" si="17"/>
        <v>0310178220</v>
      </c>
      <c r="K260"/>
    </row>
    <row r="261" spans="1:11" s="292" customFormat="1" ht="22.5">
      <c r="A261" s="346" t="str">
        <f t="shared" si="13"/>
        <v>60910030310178220313</v>
      </c>
      <c r="B261" s="364">
        <v>609</v>
      </c>
      <c r="C261" s="365">
        <v>1003</v>
      </c>
      <c r="D261" s="366" t="s">
        <v>2059</v>
      </c>
      <c r="E261" s="367" t="s">
        <v>496</v>
      </c>
      <c r="F261" s="368">
        <v>260830360</v>
      </c>
      <c r="G261" s="369">
        <v>260830360</v>
      </c>
      <c r="H261" s="345" t="str">
        <f t="shared" si="16"/>
        <v>1003</v>
      </c>
      <c r="I261" s="346" t="str">
        <f t="shared" si="17"/>
        <v>0310178220</v>
      </c>
      <c r="K261"/>
    </row>
    <row r="262" spans="1:11" s="292" customFormat="1" ht="22.5">
      <c r="A262" s="346" t="str">
        <f t="shared" si="13"/>
        <v>60910030310178230244</v>
      </c>
      <c r="B262" s="364">
        <v>609</v>
      </c>
      <c r="C262" s="365">
        <v>1003</v>
      </c>
      <c r="D262" s="366" t="s">
        <v>2060</v>
      </c>
      <c r="E262" s="367" t="s">
        <v>31</v>
      </c>
      <c r="F262" s="368">
        <v>86000</v>
      </c>
      <c r="G262" s="369">
        <v>84800</v>
      </c>
      <c r="H262" s="345" t="str">
        <f t="shared" si="16"/>
        <v>1003</v>
      </c>
      <c r="I262" s="346" t="str">
        <f t="shared" si="17"/>
        <v>0310178230</v>
      </c>
      <c r="K262"/>
    </row>
    <row r="263" spans="1:11" s="292" customFormat="1" ht="22.5">
      <c r="A263" s="346" t="str">
        <f t="shared" si="13"/>
        <v>60910030310178230313</v>
      </c>
      <c r="B263" s="364">
        <v>609</v>
      </c>
      <c r="C263" s="365">
        <v>1003</v>
      </c>
      <c r="D263" s="366" t="s">
        <v>2060</v>
      </c>
      <c r="E263" s="367" t="s">
        <v>496</v>
      </c>
      <c r="F263" s="368">
        <v>5791650</v>
      </c>
      <c r="G263" s="369">
        <v>5620860</v>
      </c>
      <c r="H263" s="345" t="str">
        <f t="shared" si="16"/>
        <v>1003</v>
      </c>
      <c r="I263" s="346" t="str">
        <f t="shared" si="17"/>
        <v>0310178230</v>
      </c>
      <c r="K263"/>
    </row>
    <row r="264" spans="1:11" s="292" customFormat="1" ht="22.5">
      <c r="A264" s="346" t="str">
        <f t="shared" si="13"/>
        <v>60910030310178240244</v>
      </c>
      <c r="B264" s="364">
        <v>609</v>
      </c>
      <c r="C264" s="365">
        <v>1003</v>
      </c>
      <c r="D264" s="366" t="s">
        <v>2061</v>
      </c>
      <c r="E264" s="367" t="s">
        <v>31</v>
      </c>
      <c r="F264" s="368">
        <v>840</v>
      </c>
      <c r="G264" s="369">
        <v>840</v>
      </c>
      <c r="H264" s="345" t="str">
        <f t="shared" si="16"/>
        <v>1003</v>
      </c>
      <c r="I264" s="346" t="str">
        <f t="shared" si="17"/>
        <v>0310178240</v>
      </c>
      <c r="K264"/>
    </row>
    <row r="265" spans="1:11" s="292" customFormat="1" ht="22.5">
      <c r="A265" s="346" t="str">
        <f t="shared" ref="A265:A328" si="18">B265&amp;H265&amp;I265&amp;E265</f>
        <v>60910030310178240313</v>
      </c>
      <c r="B265" s="364">
        <v>609</v>
      </c>
      <c r="C265" s="365">
        <v>1003</v>
      </c>
      <c r="D265" s="366" t="s">
        <v>2061</v>
      </c>
      <c r="E265" s="367" t="s">
        <v>496</v>
      </c>
      <c r="F265" s="368">
        <v>177210</v>
      </c>
      <c r="G265" s="369">
        <v>177210</v>
      </c>
      <c r="H265" s="345" t="str">
        <f t="shared" si="16"/>
        <v>1003</v>
      </c>
      <c r="I265" s="346" t="str">
        <f t="shared" si="17"/>
        <v>0310178240</v>
      </c>
      <c r="K265"/>
    </row>
    <row r="266" spans="1:11" s="292" customFormat="1" ht="22.5">
      <c r="A266" s="346" t="str">
        <f t="shared" si="18"/>
        <v>60910030310178250244</v>
      </c>
      <c r="B266" s="364">
        <v>609</v>
      </c>
      <c r="C266" s="365">
        <v>1003</v>
      </c>
      <c r="D266" s="366" t="s">
        <v>2062</v>
      </c>
      <c r="E266" s="367" t="s">
        <v>31</v>
      </c>
      <c r="F266" s="368">
        <v>8400</v>
      </c>
      <c r="G266" s="369">
        <v>8400</v>
      </c>
      <c r="H266" s="345" t="str">
        <f t="shared" si="16"/>
        <v>1003</v>
      </c>
      <c r="I266" s="346" t="str">
        <f t="shared" si="17"/>
        <v>0310178250</v>
      </c>
      <c r="K266"/>
    </row>
    <row r="267" spans="1:11" s="292" customFormat="1" ht="22.5">
      <c r="A267" s="346" t="str">
        <f t="shared" si="18"/>
        <v>60910030310178250313</v>
      </c>
      <c r="B267" s="364">
        <v>609</v>
      </c>
      <c r="C267" s="365">
        <v>1003</v>
      </c>
      <c r="D267" s="366" t="s">
        <v>2062</v>
      </c>
      <c r="E267" s="367" t="s">
        <v>496</v>
      </c>
      <c r="F267" s="368">
        <v>605860</v>
      </c>
      <c r="G267" s="369">
        <v>605860</v>
      </c>
      <c r="H267" s="345" t="str">
        <f t="shared" si="16"/>
        <v>1003</v>
      </c>
      <c r="I267" s="346" t="str">
        <f t="shared" si="17"/>
        <v>0310178250</v>
      </c>
      <c r="K267"/>
    </row>
    <row r="268" spans="1:11" s="292" customFormat="1" ht="22.5">
      <c r="A268" s="346" t="str">
        <f t="shared" si="18"/>
        <v>60910030310178260244</v>
      </c>
      <c r="B268" s="364">
        <v>609</v>
      </c>
      <c r="C268" s="365">
        <v>1003</v>
      </c>
      <c r="D268" s="366" t="s">
        <v>2063</v>
      </c>
      <c r="E268" s="367" t="s">
        <v>31</v>
      </c>
      <c r="F268" s="368">
        <v>4532400</v>
      </c>
      <c r="G268" s="369">
        <v>4632400</v>
      </c>
      <c r="H268" s="345" t="str">
        <f t="shared" si="16"/>
        <v>1003</v>
      </c>
      <c r="I268" s="346" t="str">
        <f t="shared" si="17"/>
        <v>0310178260</v>
      </c>
      <c r="K268"/>
    </row>
    <row r="269" spans="1:11" s="292" customFormat="1" ht="22.5">
      <c r="A269" s="346" t="str">
        <f t="shared" si="18"/>
        <v>60910030310178260313</v>
      </c>
      <c r="B269" s="364">
        <v>609</v>
      </c>
      <c r="C269" s="365">
        <v>1003</v>
      </c>
      <c r="D269" s="366" t="s">
        <v>2063</v>
      </c>
      <c r="E269" s="367" t="s">
        <v>496</v>
      </c>
      <c r="F269" s="368">
        <v>331501000</v>
      </c>
      <c r="G269" s="369">
        <v>333403600</v>
      </c>
      <c r="H269" s="345" t="str">
        <f t="shared" si="16"/>
        <v>1003</v>
      </c>
      <c r="I269" s="346" t="str">
        <f t="shared" si="17"/>
        <v>0310178260</v>
      </c>
      <c r="K269"/>
    </row>
    <row r="270" spans="1:11" s="292" customFormat="1" ht="22.5">
      <c r="A270" s="346" t="str">
        <f t="shared" si="18"/>
        <v>609100303101R4620244</v>
      </c>
      <c r="B270" s="364">
        <v>609</v>
      </c>
      <c r="C270" s="365">
        <v>1003</v>
      </c>
      <c r="D270" s="366" t="s">
        <v>1227</v>
      </c>
      <c r="E270" s="367" t="s">
        <v>31</v>
      </c>
      <c r="F270" s="368">
        <v>28000</v>
      </c>
      <c r="G270" s="369">
        <v>28000</v>
      </c>
      <c r="H270" s="345" t="str">
        <f t="shared" si="16"/>
        <v>1003</v>
      </c>
      <c r="I270" s="346" t="str">
        <f t="shared" si="17"/>
        <v>03101R4620</v>
      </c>
      <c r="K270"/>
    </row>
    <row r="271" spans="1:11" s="292" customFormat="1" ht="22.5">
      <c r="A271" s="346" t="str">
        <f t="shared" si="18"/>
        <v>609100303101R4620313</v>
      </c>
      <c r="B271" s="364">
        <v>609</v>
      </c>
      <c r="C271" s="365">
        <v>1003</v>
      </c>
      <c r="D271" s="366" t="s">
        <v>1227</v>
      </c>
      <c r="E271" s="367" t="s">
        <v>496</v>
      </c>
      <c r="F271" s="368">
        <v>3351100</v>
      </c>
      <c r="G271" s="369">
        <v>3351100</v>
      </c>
      <c r="H271" s="345" t="str">
        <f t="shared" si="16"/>
        <v>1003</v>
      </c>
      <c r="I271" s="346" t="str">
        <f t="shared" si="17"/>
        <v>03101R4620</v>
      </c>
      <c r="K271"/>
    </row>
    <row r="272" spans="1:11" s="292" customFormat="1" ht="22.5">
      <c r="A272" s="346" t="str">
        <f t="shared" si="18"/>
        <v>60910030310253800244</v>
      </c>
      <c r="B272" s="364">
        <v>609</v>
      </c>
      <c r="C272" s="365">
        <v>1003</v>
      </c>
      <c r="D272" s="366" t="s">
        <v>2064</v>
      </c>
      <c r="E272" s="367" t="s">
        <v>31</v>
      </c>
      <c r="F272" s="368">
        <v>2877910</v>
      </c>
      <c r="G272" s="369">
        <v>2999270</v>
      </c>
      <c r="H272" s="345" t="str">
        <f t="shared" si="16"/>
        <v>1003</v>
      </c>
      <c r="I272" s="346" t="str">
        <f t="shared" si="17"/>
        <v>0310253800</v>
      </c>
      <c r="K272"/>
    </row>
    <row r="273" spans="1:11" s="292" customFormat="1" ht="22.5">
      <c r="A273" s="346" t="str">
        <f t="shared" si="18"/>
        <v>60910030310253800313</v>
      </c>
      <c r="B273" s="364">
        <v>609</v>
      </c>
      <c r="C273" s="365">
        <v>1003</v>
      </c>
      <c r="D273" s="366" t="s">
        <v>2064</v>
      </c>
      <c r="E273" s="367" t="s">
        <v>496</v>
      </c>
      <c r="F273" s="368">
        <v>191860390</v>
      </c>
      <c r="G273" s="369">
        <v>199951230</v>
      </c>
      <c r="H273" s="345" t="str">
        <f t="shared" si="16"/>
        <v>1003</v>
      </c>
      <c r="I273" s="346" t="str">
        <f t="shared" si="17"/>
        <v>0310253800</v>
      </c>
      <c r="K273"/>
    </row>
    <row r="274" spans="1:11" s="292" customFormat="1" ht="22.5">
      <c r="A274" s="346" t="str">
        <f t="shared" si="18"/>
        <v>60910030310276260244</v>
      </c>
      <c r="B274" s="364">
        <v>609</v>
      </c>
      <c r="C274" s="365">
        <v>1003</v>
      </c>
      <c r="D274" s="366" t="s">
        <v>2065</v>
      </c>
      <c r="E274" s="367" t="s">
        <v>31</v>
      </c>
      <c r="F274" s="368">
        <v>3790</v>
      </c>
      <c r="G274" s="369">
        <v>3790</v>
      </c>
      <c r="H274" s="345" t="str">
        <f t="shared" si="16"/>
        <v>1003</v>
      </c>
      <c r="I274" s="346" t="str">
        <f t="shared" si="17"/>
        <v>0310276260</v>
      </c>
      <c r="K274"/>
    </row>
    <row r="275" spans="1:11" s="292" customFormat="1" ht="22.5">
      <c r="A275" s="346" t="str">
        <f t="shared" si="18"/>
        <v>60910030310276260313</v>
      </c>
      <c r="B275" s="364">
        <v>609</v>
      </c>
      <c r="C275" s="365">
        <v>1003</v>
      </c>
      <c r="D275" s="366" t="s">
        <v>2065</v>
      </c>
      <c r="E275" s="367" t="s">
        <v>496</v>
      </c>
      <c r="F275" s="368">
        <v>280860</v>
      </c>
      <c r="G275" s="369">
        <v>280860</v>
      </c>
      <c r="H275" s="345" t="str">
        <f t="shared" si="16"/>
        <v>1003</v>
      </c>
      <c r="I275" s="346" t="str">
        <f t="shared" si="17"/>
        <v>0310276260</v>
      </c>
      <c r="K275"/>
    </row>
    <row r="276" spans="1:11" s="292" customFormat="1" ht="22.5">
      <c r="A276" s="346" t="str">
        <f t="shared" si="18"/>
        <v>60910030310277190244</v>
      </c>
      <c r="B276" s="364">
        <v>609</v>
      </c>
      <c r="C276" s="365">
        <v>1003</v>
      </c>
      <c r="D276" s="366" t="s">
        <v>2066</v>
      </c>
      <c r="E276" s="367" t="s">
        <v>31</v>
      </c>
      <c r="F276" s="368">
        <v>39070</v>
      </c>
      <c r="G276" s="369">
        <v>39070</v>
      </c>
      <c r="H276" s="345" t="str">
        <f t="shared" si="16"/>
        <v>1003</v>
      </c>
      <c r="I276" s="346" t="str">
        <f t="shared" si="17"/>
        <v>0310277190</v>
      </c>
      <c r="K276"/>
    </row>
    <row r="277" spans="1:11" s="292" customFormat="1" ht="22.5">
      <c r="A277" s="346" t="str">
        <f t="shared" si="18"/>
        <v>60910030310277190313</v>
      </c>
      <c r="B277" s="364">
        <v>609</v>
      </c>
      <c r="C277" s="365">
        <v>1003</v>
      </c>
      <c r="D277" s="366" t="s">
        <v>2066</v>
      </c>
      <c r="E277" s="367" t="s">
        <v>496</v>
      </c>
      <c r="F277" s="368">
        <v>2894210</v>
      </c>
      <c r="G277" s="369">
        <v>2894210</v>
      </c>
      <c r="H277" s="345" t="str">
        <f t="shared" si="16"/>
        <v>1003</v>
      </c>
      <c r="I277" s="346" t="str">
        <f t="shared" si="17"/>
        <v>0310277190</v>
      </c>
      <c r="K277"/>
    </row>
    <row r="278" spans="1:11" s="292" customFormat="1" ht="22.5">
      <c r="A278" s="346" t="str">
        <f t="shared" si="18"/>
        <v>60910030310278280244</v>
      </c>
      <c r="B278" s="364">
        <v>609</v>
      </c>
      <c r="C278" s="365">
        <v>1003</v>
      </c>
      <c r="D278" s="366" t="s">
        <v>2067</v>
      </c>
      <c r="E278" s="367" t="s">
        <v>31</v>
      </c>
      <c r="F278" s="368">
        <v>582410</v>
      </c>
      <c r="G278" s="369">
        <v>662530</v>
      </c>
      <c r="H278" s="345" t="str">
        <f t="shared" si="16"/>
        <v>1003</v>
      </c>
      <c r="I278" s="346" t="str">
        <f t="shared" si="17"/>
        <v>0310278280</v>
      </c>
      <c r="K278"/>
    </row>
    <row r="279" spans="1:11" s="292" customFormat="1" ht="22.5">
      <c r="A279" s="346" t="str">
        <f t="shared" si="18"/>
        <v>60910030310278280313</v>
      </c>
      <c r="B279" s="364">
        <v>609</v>
      </c>
      <c r="C279" s="365">
        <v>1003</v>
      </c>
      <c r="D279" s="366" t="s">
        <v>2067</v>
      </c>
      <c r="E279" s="367" t="s">
        <v>496</v>
      </c>
      <c r="F279" s="368">
        <v>47110700</v>
      </c>
      <c r="G279" s="369">
        <v>54182900</v>
      </c>
      <c r="H279" s="345" t="str">
        <f t="shared" si="16"/>
        <v>1003</v>
      </c>
      <c r="I279" s="346" t="str">
        <f t="shared" si="17"/>
        <v>0310278280</v>
      </c>
      <c r="K279"/>
    </row>
    <row r="280" spans="1:11" s="292" customFormat="1" ht="22.5">
      <c r="A280" s="346" t="str">
        <f t="shared" si="18"/>
        <v>60910030320180010313</v>
      </c>
      <c r="B280" s="364">
        <v>609</v>
      </c>
      <c r="C280" s="365">
        <v>1003</v>
      </c>
      <c r="D280" s="366" t="s">
        <v>2068</v>
      </c>
      <c r="E280" s="367" t="s">
        <v>496</v>
      </c>
      <c r="F280" s="368">
        <v>0</v>
      </c>
      <c r="G280" s="369">
        <v>1650000</v>
      </c>
      <c r="H280" s="345" t="str">
        <f t="shared" si="16"/>
        <v>1003</v>
      </c>
      <c r="I280" s="346" t="str">
        <f t="shared" si="17"/>
        <v>0320180010</v>
      </c>
      <c r="K280"/>
    </row>
    <row r="281" spans="1:11" s="292" customFormat="1" ht="22.5">
      <c r="A281" s="346" t="str">
        <f t="shared" si="18"/>
        <v>60910030320180030313</v>
      </c>
      <c r="B281" s="364">
        <v>609</v>
      </c>
      <c r="C281" s="365">
        <v>1003</v>
      </c>
      <c r="D281" s="366" t="s">
        <v>2069</v>
      </c>
      <c r="E281" s="367" t="s">
        <v>496</v>
      </c>
      <c r="F281" s="368">
        <v>6350000</v>
      </c>
      <c r="G281" s="369">
        <v>6350000</v>
      </c>
      <c r="H281" s="345" t="str">
        <f t="shared" si="16"/>
        <v>1003</v>
      </c>
      <c r="I281" s="346" t="str">
        <f t="shared" si="17"/>
        <v>0320180030</v>
      </c>
      <c r="K281"/>
    </row>
    <row r="282" spans="1:11" s="292" customFormat="1" ht="22.5">
      <c r="A282" s="346" t="str">
        <f t="shared" si="18"/>
        <v>60910030320180040313</v>
      </c>
      <c r="B282" s="364">
        <v>609</v>
      </c>
      <c r="C282" s="365">
        <v>1003</v>
      </c>
      <c r="D282" s="366" t="s">
        <v>2070</v>
      </c>
      <c r="E282" s="367" t="s">
        <v>496</v>
      </c>
      <c r="F282" s="368">
        <v>0</v>
      </c>
      <c r="G282" s="369">
        <v>132000</v>
      </c>
      <c r="H282" s="345" t="str">
        <f t="shared" si="16"/>
        <v>1003</v>
      </c>
      <c r="I282" s="346" t="str">
        <f t="shared" si="17"/>
        <v>0320180040</v>
      </c>
      <c r="K282"/>
    </row>
    <row r="283" spans="1:11" s="292" customFormat="1" ht="22.5">
      <c r="A283" s="346" t="str">
        <f t="shared" si="18"/>
        <v>60910030320180050313</v>
      </c>
      <c r="B283" s="364">
        <v>609</v>
      </c>
      <c r="C283" s="365">
        <v>1003</v>
      </c>
      <c r="D283" s="366" t="s">
        <v>2071</v>
      </c>
      <c r="E283" s="367" t="s">
        <v>496</v>
      </c>
      <c r="F283" s="368">
        <v>0</v>
      </c>
      <c r="G283" s="369">
        <v>8000000</v>
      </c>
      <c r="H283" s="345" t="str">
        <f t="shared" si="16"/>
        <v>1003</v>
      </c>
      <c r="I283" s="346" t="str">
        <f t="shared" si="17"/>
        <v>0320180050</v>
      </c>
      <c r="K283"/>
    </row>
    <row r="284" spans="1:11" s="292" customFormat="1" ht="22.5">
      <c r="A284" s="346" t="str">
        <f t="shared" si="18"/>
        <v>60910030320180070313</v>
      </c>
      <c r="B284" s="364">
        <v>609</v>
      </c>
      <c r="C284" s="365">
        <v>1003</v>
      </c>
      <c r="D284" s="366" t="s">
        <v>2072</v>
      </c>
      <c r="E284" s="367" t="s">
        <v>496</v>
      </c>
      <c r="F284" s="368">
        <v>694280</v>
      </c>
      <c r="G284" s="369">
        <v>694280</v>
      </c>
      <c r="H284" s="345" t="str">
        <f t="shared" si="16"/>
        <v>1003</v>
      </c>
      <c r="I284" s="346" t="str">
        <f t="shared" si="17"/>
        <v>0320180070</v>
      </c>
      <c r="K284"/>
    </row>
    <row r="285" spans="1:11" s="292" customFormat="1" ht="22.5">
      <c r="A285" s="346" t="str">
        <f t="shared" si="18"/>
        <v>60910030320180080313</v>
      </c>
      <c r="B285" s="364">
        <v>609</v>
      </c>
      <c r="C285" s="365">
        <v>1003</v>
      </c>
      <c r="D285" s="366" t="s">
        <v>2073</v>
      </c>
      <c r="E285" s="367" t="s">
        <v>496</v>
      </c>
      <c r="F285" s="368">
        <v>1730000</v>
      </c>
      <c r="G285" s="369">
        <v>1944350</v>
      </c>
      <c r="H285" s="345" t="str">
        <f t="shared" si="16"/>
        <v>1003</v>
      </c>
      <c r="I285" s="346" t="str">
        <f t="shared" si="17"/>
        <v>0320180080</v>
      </c>
      <c r="K285"/>
    </row>
    <row r="286" spans="1:11" s="292" customFormat="1" ht="22.5">
      <c r="A286" s="346" t="str">
        <f t="shared" si="18"/>
        <v>60910030320180090313</v>
      </c>
      <c r="B286" s="364">
        <v>609</v>
      </c>
      <c r="C286" s="365">
        <v>1003</v>
      </c>
      <c r="D286" s="366" t="s">
        <v>2074</v>
      </c>
      <c r="E286" s="367" t="s">
        <v>496</v>
      </c>
      <c r="F286" s="368">
        <v>0</v>
      </c>
      <c r="G286" s="369">
        <v>10800000</v>
      </c>
      <c r="H286" s="345" t="str">
        <f t="shared" si="16"/>
        <v>1003</v>
      </c>
      <c r="I286" s="346" t="str">
        <f t="shared" si="17"/>
        <v>0320180090</v>
      </c>
      <c r="K286"/>
    </row>
    <row r="287" spans="1:11" s="292" customFormat="1" ht="22.5">
      <c r="A287" s="346" t="str">
        <f t="shared" si="18"/>
        <v>60910030320180100313</v>
      </c>
      <c r="B287" s="364">
        <v>609</v>
      </c>
      <c r="C287" s="365">
        <v>1003</v>
      </c>
      <c r="D287" s="366" t="s">
        <v>2075</v>
      </c>
      <c r="E287" s="367" t="s">
        <v>496</v>
      </c>
      <c r="F287" s="368">
        <v>5718000</v>
      </c>
      <c r="G287" s="369">
        <v>5718000</v>
      </c>
      <c r="H287" s="345" t="str">
        <f t="shared" si="16"/>
        <v>1003</v>
      </c>
      <c r="I287" s="346" t="str">
        <f t="shared" si="17"/>
        <v>0320180100</v>
      </c>
      <c r="K287"/>
    </row>
    <row r="288" spans="1:11" s="292" customFormat="1" ht="22.5">
      <c r="A288" s="346" t="str">
        <f t="shared" si="18"/>
        <v>60910030320180110313</v>
      </c>
      <c r="B288" s="364">
        <v>609</v>
      </c>
      <c r="C288" s="365">
        <v>1003</v>
      </c>
      <c r="D288" s="366" t="s">
        <v>2076</v>
      </c>
      <c r="E288" s="367" t="s">
        <v>496</v>
      </c>
      <c r="F288" s="368">
        <v>1080000</v>
      </c>
      <c r="G288" s="369">
        <v>1080000</v>
      </c>
      <c r="H288" s="345" t="str">
        <f t="shared" si="16"/>
        <v>1003</v>
      </c>
      <c r="I288" s="346" t="str">
        <f t="shared" si="17"/>
        <v>0320180110</v>
      </c>
      <c r="K288"/>
    </row>
    <row r="289" spans="1:11" s="292" customFormat="1" ht="22.5">
      <c r="A289" s="346" t="str">
        <f t="shared" si="18"/>
        <v>60910030320180120313</v>
      </c>
      <c r="B289" s="364">
        <v>609</v>
      </c>
      <c r="C289" s="365">
        <v>1003</v>
      </c>
      <c r="D289" s="366" t="s">
        <v>2077</v>
      </c>
      <c r="E289" s="367" t="s">
        <v>496</v>
      </c>
      <c r="F289" s="368">
        <v>1025460</v>
      </c>
      <c r="G289" s="369">
        <v>1025460</v>
      </c>
      <c r="H289" s="345" t="str">
        <f t="shared" si="16"/>
        <v>1003</v>
      </c>
      <c r="I289" s="346" t="str">
        <f t="shared" si="17"/>
        <v>0320180120</v>
      </c>
      <c r="K289"/>
    </row>
    <row r="290" spans="1:11" s="292" customFormat="1" ht="22.5">
      <c r="A290" s="346" t="str">
        <f t="shared" si="18"/>
        <v>60910030320180130313</v>
      </c>
      <c r="B290" s="364">
        <v>609</v>
      </c>
      <c r="C290" s="365">
        <v>1003</v>
      </c>
      <c r="D290" s="366" t="s">
        <v>2078</v>
      </c>
      <c r="E290" s="367" t="s">
        <v>496</v>
      </c>
      <c r="F290" s="368">
        <v>0</v>
      </c>
      <c r="G290" s="369">
        <v>1000000</v>
      </c>
      <c r="H290" s="345" t="str">
        <f t="shared" si="16"/>
        <v>1003</v>
      </c>
      <c r="I290" s="346" t="str">
        <f t="shared" si="17"/>
        <v>0320180130</v>
      </c>
      <c r="K290"/>
    </row>
    <row r="291" spans="1:11" s="292" customFormat="1" ht="22.5">
      <c r="A291" s="346" t="str">
        <f t="shared" si="18"/>
        <v>60910030320180140313</v>
      </c>
      <c r="B291" s="364">
        <v>609</v>
      </c>
      <c r="C291" s="365">
        <v>1003</v>
      </c>
      <c r="D291" s="366" t="s">
        <v>2079</v>
      </c>
      <c r="E291" s="367" t="s">
        <v>496</v>
      </c>
      <c r="F291" s="368">
        <v>714000</v>
      </c>
      <c r="G291" s="369">
        <v>714000</v>
      </c>
      <c r="H291" s="345" t="str">
        <f t="shared" si="16"/>
        <v>1003</v>
      </c>
      <c r="I291" s="346" t="str">
        <f t="shared" si="17"/>
        <v>0320180140</v>
      </c>
      <c r="K291"/>
    </row>
    <row r="292" spans="1:11" s="292" customFormat="1" ht="22.5">
      <c r="A292" s="346" t="str">
        <f t="shared" si="18"/>
        <v>60910030320180150313</v>
      </c>
      <c r="B292" s="364">
        <v>609</v>
      </c>
      <c r="C292" s="365">
        <v>1003</v>
      </c>
      <c r="D292" s="366" t="s">
        <v>2080</v>
      </c>
      <c r="E292" s="367" t="s">
        <v>496</v>
      </c>
      <c r="F292" s="368">
        <v>300000</v>
      </c>
      <c r="G292" s="369">
        <v>300000</v>
      </c>
      <c r="H292" s="345" t="str">
        <f t="shared" si="16"/>
        <v>1003</v>
      </c>
      <c r="I292" s="346" t="str">
        <f t="shared" si="17"/>
        <v>0320180150</v>
      </c>
      <c r="K292"/>
    </row>
    <row r="293" spans="1:11" s="292" customFormat="1" ht="22.5">
      <c r="A293" s="346" t="str">
        <f t="shared" si="18"/>
        <v>60910030320180160313</v>
      </c>
      <c r="B293" s="364">
        <v>609</v>
      </c>
      <c r="C293" s="365">
        <v>1003</v>
      </c>
      <c r="D293" s="366" t="s">
        <v>2081</v>
      </c>
      <c r="E293" s="367" t="s">
        <v>496</v>
      </c>
      <c r="F293" s="368">
        <v>1020000</v>
      </c>
      <c r="G293" s="369">
        <v>1020000</v>
      </c>
      <c r="H293" s="345" t="str">
        <f t="shared" si="16"/>
        <v>1003</v>
      </c>
      <c r="I293" s="346" t="str">
        <f t="shared" si="17"/>
        <v>0320180160</v>
      </c>
      <c r="K293"/>
    </row>
    <row r="294" spans="1:11" s="292" customFormat="1" ht="22.5">
      <c r="A294" s="346" t="str">
        <f t="shared" si="18"/>
        <v>60910030320180170313</v>
      </c>
      <c r="B294" s="364">
        <v>609</v>
      </c>
      <c r="C294" s="365">
        <v>1003</v>
      </c>
      <c r="D294" s="366" t="s">
        <v>2082</v>
      </c>
      <c r="E294" s="367" t="s">
        <v>496</v>
      </c>
      <c r="F294" s="368">
        <v>0</v>
      </c>
      <c r="G294" s="369">
        <v>3750000</v>
      </c>
      <c r="H294" s="345" t="str">
        <f t="shared" si="16"/>
        <v>1003</v>
      </c>
      <c r="I294" s="346" t="str">
        <f t="shared" si="17"/>
        <v>0320180170</v>
      </c>
      <c r="K294"/>
    </row>
    <row r="295" spans="1:11" s="292" customFormat="1" ht="22.5">
      <c r="A295" s="346" t="str">
        <f t="shared" si="18"/>
        <v>60910030320180180313</v>
      </c>
      <c r="B295" s="364">
        <v>609</v>
      </c>
      <c r="C295" s="365">
        <v>1003</v>
      </c>
      <c r="D295" s="366" t="s">
        <v>2083</v>
      </c>
      <c r="E295" s="367" t="s">
        <v>496</v>
      </c>
      <c r="F295" s="368">
        <v>1854000</v>
      </c>
      <c r="G295" s="369">
        <v>1854000</v>
      </c>
      <c r="H295" s="345" t="str">
        <f t="shared" si="16"/>
        <v>1003</v>
      </c>
      <c r="I295" s="346" t="str">
        <f t="shared" si="17"/>
        <v>0320180180</v>
      </c>
      <c r="K295"/>
    </row>
    <row r="296" spans="1:11" s="292" customFormat="1" ht="22.5">
      <c r="A296" s="346" t="str">
        <f t="shared" si="18"/>
        <v>60910030320180190313</v>
      </c>
      <c r="B296" s="364">
        <v>609</v>
      </c>
      <c r="C296" s="365">
        <v>1003</v>
      </c>
      <c r="D296" s="366" t="s">
        <v>2084</v>
      </c>
      <c r="E296" s="367" t="s">
        <v>496</v>
      </c>
      <c r="F296" s="368">
        <v>20000</v>
      </c>
      <c r="G296" s="369">
        <v>20000</v>
      </c>
      <c r="H296" s="345" t="str">
        <f t="shared" si="16"/>
        <v>1003</v>
      </c>
      <c r="I296" s="346" t="str">
        <f t="shared" si="17"/>
        <v>0320180190</v>
      </c>
      <c r="K296"/>
    </row>
    <row r="297" spans="1:11" s="292" customFormat="1" ht="22.5">
      <c r="A297" s="346" t="str">
        <f t="shared" si="18"/>
        <v>60910030320180200313</v>
      </c>
      <c r="B297" s="364">
        <v>609</v>
      </c>
      <c r="C297" s="365">
        <v>1003</v>
      </c>
      <c r="D297" s="366" t="s">
        <v>2085</v>
      </c>
      <c r="E297" s="367" t="s">
        <v>496</v>
      </c>
      <c r="F297" s="368">
        <v>0</v>
      </c>
      <c r="G297" s="369">
        <v>4500000</v>
      </c>
      <c r="H297" s="345" t="str">
        <f t="shared" si="16"/>
        <v>1003</v>
      </c>
      <c r="I297" s="346" t="str">
        <f t="shared" si="17"/>
        <v>0320180200</v>
      </c>
      <c r="K297"/>
    </row>
    <row r="298" spans="1:11" s="292" customFormat="1" ht="22.5">
      <c r="A298" s="346" t="str">
        <f t="shared" si="18"/>
        <v>60910030320180210313</v>
      </c>
      <c r="B298" s="364">
        <v>609</v>
      </c>
      <c r="C298" s="365">
        <v>1003</v>
      </c>
      <c r="D298" s="366" t="s">
        <v>2086</v>
      </c>
      <c r="E298" s="367" t="s">
        <v>496</v>
      </c>
      <c r="F298" s="368">
        <v>100000</v>
      </c>
      <c r="G298" s="369">
        <v>100000</v>
      </c>
      <c r="H298" s="345" t="str">
        <f t="shared" si="16"/>
        <v>1003</v>
      </c>
      <c r="I298" s="346" t="str">
        <f t="shared" si="17"/>
        <v>0320180210</v>
      </c>
      <c r="K298"/>
    </row>
    <row r="299" spans="1:11" s="292" customFormat="1" ht="22.5">
      <c r="A299" s="346" t="str">
        <f t="shared" si="18"/>
        <v>60910030320520500323</v>
      </c>
      <c r="B299" s="364">
        <v>609</v>
      </c>
      <c r="C299" s="365">
        <v>1003</v>
      </c>
      <c r="D299" s="366" t="s">
        <v>2087</v>
      </c>
      <c r="E299" s="367" t="s">
        <v>502</v>
      </c>
      <c r="F299" s="368">
        <v>81000</v>
      </c>
      <c r="G299" s="369">
        <v>81000</v>
      </c>
      <c r="H299" s="345" t="str">
        <f t="shared" si="16"/>
        <v>1003</v>
      </c>
      <c r="I299" s="346" t="str">
        <f t="shared" si="17"/>
        <v>0320520500</v>
      </c>
      <c r="K299"/>
    </row>
    <row r="300" spans="1:11" s="292" customFormat="1" ht="22.5">
      <c r="A300" s="346" t="str">
        <f t="shared" si="18"/>
        <v>60910030320620520244</v>
      </c>
      <c r="B300" s="364">
        <v>609</v>
      </c>
      <c r="C300" s="365">
        <v>1003</v>
      </c>
      <c r="D300" s="366" t="s">
        <v>2088</v>
      </c>
      <c r="E300" s="367" t="s">
        <v>31</v>
      </c>
      <c r="F300" s="368">
        <v>25000</v>
      </c>
      <c r="G300" s="369">
        <v>25000</v>
      </c>
      <c r="H300" s="345" t="str">
        <f t="shared" si="16"/>
        <v>1003</v>
      </c>
      <c r="I300" s="346" t="str">
        <f t="shared" si="17"/>
        <v>0320620520</v>
      </c>
      <c r="K300"/>
    </row>
    <row r="301" spans="1:11" s="292" customFormat="1" ht="22.5">
      <c r="A301" s="346" t="str">
        <f t="shared" si="18"/>
        <v>60910030320820510244</v>
      </c>
      <c r="B301" s="364">
        <v>609</v>
      </c>
      <c r="C301" s="365">
        <v>1003</v>
      </c>
      <c r="D301" s="366" t="s">
        <v>2089</v>
      </c>
      <c r="E301" s="367" t="s">
        <v>31</v>
      </c>
      <c r="F301" s="368">
        <v>75000</v>
      </c>
      <c r="G301" s="369">
        <v>75000</v>
      </c>
      <c r="H301" s="345" t="str">
        <f t="shared" si="16"/>
        <v>1003</v>
      </c>
      <c r="I301" s="346" t="str">
        <f t="shared" si="17"/>
        <v>0320820510</v>
      </c>
      <c r="K301"/>
    </row>
    <row r="302" spans="1:11" s="292" customFormat="1" ht="22.5">
      <c r="A302" s="346" t="str">
        <f t="shared" si="18"/>
        <v>60910030330120530323</v>
      </c>
      <c r="B302" s="364">
        <v>609</v>
      </c>
      <c r="C302" s="365">
        <v>1003</v>
      </c>
      <c r="D302" s="366" t="s">
        <v>2090</v>
      </c>
      <c r="E302" s="367" t="s">
        <v>502</v>
      </c>
      <c r="F302" s="368">
        <v>2608500</v>
      </c>
      <c r="G302" s="369">
        <v>2608500</v>
      </c>
      <c r="H302" s="345" t="str">
        <f t="shared" si="16"/>
        <v>1003</v>
      </c>
      <c r="I302" s="346" t="str">
        <f t="shared" si="17"/>
        <v>0330120530</v>
      </c>
      <c r="K302"/>
    </row>
    <row r="303" spans="1:11" s="292" customFormat="1" ht="22.5">
      <c r="A303" s="346" t="str">
        <f t="shared" si="18"/>
        <v>60910040310276270313</v>
      </c>
      <c r="B303" s="364">
        <v>609</v>
      </c>
      <c r="C303" s="365">
        <v>1004</v>
      </c>
      <c r="D303" s="366" t="s">
        <v>2091</v>
      </c>
      <c r="E303" s="367" t="s">
        <v>496</v>
      </c>
      <c r="F303" s="368">
        <v>122664880</v>
      </c>
      <c r="G303" s="369">
        <v>122664880</v>
      </c>
      <c r="H303" s="345" t="str">
        <f t="shared" si="16"/>
        <v>1004</v>
      </c>
      <c r="I303" s="346" t="str">
        <f t="shared" si="17"/>
        <v>0310276270</v>
      </c>
      <c r="K303"/>
    </row>
    <row r="304" spans="1:11" s="292" customFormat="1" ht="22.5">
      <c r="A304" s="346" t="str">
        <f t="shared" si="18"/>
        <v>609100403102R0840313</v>
      </c>
      <c r="B304" s="364">
        <v>609</v>
      </c>
      <c r="C304" s="365">
        <v>1004</v>
      </c>
      <c r="D304" s="366" t="s">
        <v>1228</v>
      </c>
      <c r="E304" s="367" t="s">
        <v>496</v>
      </c>
      <c r="F304" s="368">
        <v>115179000</v>
      </c>
      <c r="G304" s="369">
        <v>115179000</v>
      </c>
      <c r="H304" s="345" t="str">
        <f t="shared" si="16"/>
        <v>1004</v>
      </c>
      <c r="I304" s="346" t="str">
        <f t="shared" si="17"/>
        <v>03102R0840</v>
      </c>
      <c r="K304"/>
    </row>
    <row r="305" spans="1:11" s="292" customFormat="1" ht="22.5">
      <c r="A305" s="346" t="str">
        <f t="shared" si="18"/>
        <v>60910060310152500121</v>
      </c>
      <c r="B305" s="364">
        <v>609</v>
      </c>
      <c r="C305" s="365">
        <v>1006</v>
      </c>
      <c r="D305" s="366" t="s">
        <v>2053</v>
      </c>
      <c r="E305" s="367" t="s">
        <v>41</v>
      </c>
      <c r="F305" s="368">
        <v>2000000</v>
      </c>
      <c r="G305" s="369">
        <v>2000000</v>
      </c>
      <c r="H305" s="345" t="str">
        <f t="shared" si="16"/>
        <v>1006</v>
      </c>
      <c r="I305" s="346" t="str">
        <f t="shared" si="17"/>
        <v>0310152500</v>
      </c>
      <c r="K305"/>
    </row>
    <row r="306" spans="1:11" s="292" customFormat="1" ht="22.5">
      <c r="A306" s="346" t="str">
        <f t="shared" si="18"/>
        <v>60910060310152500129</v>
      </c>
      <c r="B306" s="364">
        <v>609</v>
      </c>
      <c r="C306" s="365">
        <v>1006</v>
      </c>
      <c r="D306" s="366" t="s">
        <v>2053</v>
      </c>
      <c r="E306" s="367" t="s">
        <v>27</v>
      </c>
      <c r="F306" s="368">
        <v>546000</v>
      </c>
      <c r="G306" s="369">
        <v>546000</v>
      </c>
      <c r="H306" s="345" t="str">
        <f t="shared" si="16"/>
        <v>1006</v>
      </c>
      <c r="I306" s="346" t="str">
        <f t="shared" si="17"/>
        <v>0310152500</v>
      </c>
      <c r="K306"/>
    </row>
    <row r="307" spans="1:11" s="292" customFormat="1" ht="22.5">
      <c r="A307" s="346" t="str">
        <f t="shared" si="18"/>
        <v>60910060320760040632</v>
      </c>
      <c r="B307" s="364">
        <v>609</v>
      </c>
      <c r="C307" s="365">
        <v>1006</v>
      </c>
      <c r="D307" s="366" t="s">
        <v>2092</v>
      </c>
      <c r="E307" s="367" t="s">
        <v>416</v>
      </c>
      <c r="F307" s="368">
        <v>1160510</v>
      </c>
      <c r="G307" s="369">
        <v>1160510</v>
      </c>
      <c r="H307" s="345" t="str">
        <f t="shared" si="16"/>
        <v>1006</v>
      </c>
      <c r="I307" s="346" t="str">
        <f t="shared" si="17"/>
        <v>0320760040</v>
      </c>
      <c r="K307"/>
    </row>
    <row r="308" spans="1:11" s="292" customFormat="1" ht="22.5">
      <c r="A308" s="346" t="str">
        <f t="shared" si="18"/>
        <v>60910060330120530244</v>
      </c>
      <c r="B308" s="364">
        <v>609</v>
      </c>
      <c r="C308" s="365">
        <v>1006</v>
      </c>
      <c r="D308" s="366" t="s">
        <v>2090</v>
      </c>
      <c r="E308" s="367" t="s">
        <v>31</v>
      </c>
      <c r="F308" s="368">
        <v>68690</v>
      </c>
      <c r="G308" s="369">
        <v>68690</v>
      </c>
      <c r="H308" s="345" t="str">
        <f t="shared" si="16"/>
        <v>1006</v>
      </c>
      <c r="I308" s="346" t="str">
        <f t="shared" si="17"/>
        <v>0330120530</v>
      </c>
      <c r="K308"/>
    </row>
    <row r="309" spans="1:11" s="292" customFormat="1" ht="22.5">
      <c r="A309" s="346" t="str">
        <f t="shared" si="18"/>
        <v>60910060330120530851</v>
      </c>
      <c r="B309" s="364">
        <v>609</v>
      </c>
      <c r="C309" s="365">
        <v>1006</v>
      </c>
      <c r="D309" s="366" t="s">
        <v>2090</v>
      </c>
      <c r="E309" s="367" t="s">
        <v>35</v>
      </c>
      <c r="F309" s="368">
        <v>32110</v>
      </c>
      <c r="G309" s="369">
        <v>32110</v>
      </c>
      <c r="H309" s="345" t="str">
        <f t="shared" si="16"/>
        <v>1006</v>
      </c>
      <c r="I309" s="346" t="str">
        <f t="shared" si="17"/>
        <v>0330120530</v>
      </c>
      <c r="K309"/>
    </row>
    <row r="310" spans="1:11" s="292" customFormat="1" ht="22.5">
      <c r="A310" s="346" t="str">
        <f t="shared" si="18"/>
        <v>60910060330120530852</v>
      </c>
      <c r="B310" s="364">
        <v>609</v>
      </c>
      <c r="C310" s="365">
        <v>1006</v>
      </c>
      <c r="D310" s="366" t="s">
        <v>2090</v>
      </c>
      <c r="E310" s="367" t="s">
        <v>37</v>
      </c>
      <c r="F310" s="368">
        <v>2750</v>
      </c>
      <c r="G310" s="369">
        <v>2750</v>
      </c>
      <c r="H310" s="345" t="str">
        <f t="shared" si="16"/>
        <v>1006</v>
      </c>
      <c r="I310" s="346" t="str">
        <f t="shared" si="17"/>
        <v>0330120530</v>
      </c>
      <c r="K310"/>
    </row>
    <row r="311" spans="1:11" s="292" customFormat="1" ht="22.5">
      <c r="A311" s="346" t="str">
        <f t="shared" si="18"/>
        <v>609100603301S0270244</v>
      </c>
      <c r="B311" s="364">
        <v>609</v>
      </c>
      <c r="C311" s="365">
        <v>1006</v>
      </c>
      <c r="D311" s="366" t="s">
        <v>1229</v>
      </c>
      <c r="E311" s="367" t="s">
        <v>31</v>
      </c>
      <c r="F311" s="368">
        <v>1751860</v>
      </c>
      <c r="G311" s="369">
        <v>1751860</v>
      </c>
      <c r="H311" s="345" t="str">
        <f t="shared" si="16"/>
        <v>1006</v>
      </c>
      <c r="I311" s="346" t="str">
        <f t="shared" si="17"/>
        <v>03301S0270</v>
      </c>
      <c r="K311"/>
    </row>
    <row r="312" spans="1:11" s="292" customFormat="1" ht="22.5">
      <c r="A312" s="346" t="str">
        <f t="shared" si="18"/>
        <v>60910067710010010122</v>
      </c>
      <c r="B312" s="364">
        <v>609</v>
      </c>
      <c r="C312" s="365">
        <v>1006</v>
      </c>
      <c r="D312" s="366" t="s">
        <v>2093</v>
      </c>
      <c r="E312" s="367" t="s">
        <v>23</v>
      </c>
      <c r="F312" s="368">
        <v>110630</v>
      </c>
      <c r="G312" s="369">
        <v>110630</v>
      </c>
      <c r="H312" s="345" t="str">
        <f t="shared" si="16"/>
        <v>1006</v>
      </c>
      <c r="I312" s="346" t="str">
        <f t="shared" si="17"/>
        <v>7710010010</v>
      </c>
      <c r="K312"/>
    </row>
    <row r="313" spans="1:11" s="292" customFormat="1" ht="22.5">
      <c r="A313" s="346" t="str">
        <f t="shared" si="18"/>
        <v>60910067710010010129</v>
      </c>
      <c r="B313" s="364">
        <v>609</v>
      </c>
      <c r="C313" s="365">
        <v>1006</v>
      </c>
      <c r="D313" s="366" t="s">
        <v>2093</v>
      </c>
      <c r="E313" s="367" t="s">
        <v>27</v>
      </c>
      <c r="F313" s="368">
        <v>33410</v>
      </c>
      <c r="G313" s="369">
        <v>33410</v>
      </c>
      <c r="H313" s="345" t="str">
        <f t="shared" si="16"/>
        <v>1006</v>
      </c>
      <c r="I313" s="346" t="str">
        <f t="shared" si="17"/>
        <v>7710010010</v>
      </c>
      <c r="K313"/>
    </row>
    <row r="314" spans="1:11" s="292" customFormat="1" ht="22.5">
      <c r="A314" s="346" t="str">
        <f t="shared" si="18"/>
        <v>60910067710010010244</v>
      </c>
      <c r="B314" s="364">
        <v>609</v>
      </c>
      <c r="C314" s="365">
        <v>1006</v>
      </c>
      <c r="D314" s="366" t="s">
        <v>2093</v>
      </c>
      <c r="E314" s="367" t="s">
        <v>31</v>
      </c>
      <c r="F314" s="368">
        <v>992630</v>
      </c>
      <c r="G314" s="369">
        <v>992630</v>
      </c>
      <c r="H314" s="345" t="str">
        <f t="shared" si="16"/>
        <v>1006</v>
      </c>
      <c r="I314" s="346" t="str">
        <f t="shared" si="17"/>
        <v>7710010010</v>
      </c>
      <c r="K314"/>
    </row>
    <row r="315" spans="1:11" s="292" customFormat="1" ht="22.5">
      <c r="A315" s="346" t="str">
        <f t="shared" si="18"/>
        <v>60910067710010010852</v>
      </c>
      <c r="B315" s="364">
        <v>609</v>
      </c>
      <c r="C315" s="365">
        <v>1006</v>
      </c>
      <c r="D315" s="366" t="s">
        <v>2093</v>
      </c>
      <c r="E315" s="367" t="s">
        <v>37</v>
      </c>
      <c r="F315" s="368">
        <v>1940</v>
      </c>
      <c r="G315" s="369">
        <v>1940</v>
      </c>
      <c r="H315" s="345" t="str">
        <f t="shared" si="16"/>
        <v>1006</v>
      </c>
      <c r="I315" s="346" t="str">
        <f t="shared" si="17"/>
        <v>7710010010</v>
      </c>
      <c r="K315"/>
    </row>
    <row r="316" spans="1:11" s="292" customFormat="1" ht="22.5">
      <c r="A316" s="346" t="str">
        <f t="shared" si="18"/>
        <v>60910067710010020121</v>
      </c>
      <c r="B316" s="364">
        <v>609</v>
      </c>
      <c r="C316" s="365">
        <v>1006</v>
      </c>
      <c r="D316" s="366" t="s">
        <v>2094</v>
      </c>
      <c r="E316" s="367" t="s">
        <v>41</v>
      </c>
      <c r="F316" s="368">
        <v>4894032</v>
      </c>
      <c r="G316" s="369">
        <v>4894032</v>
      </c>
      <c r="H316" s="345" t="str">
        <f t="shared" si="16"/>
        <v>1006</v>
      </c>
      <c r="I316" s="346" t="str">
        <f t="shared" si="17"/>
        <v>7710010020</v>
      </c>
      <c r="K316"/>
    </row>
    <row r="317" spans="1:11" s="292" customFormat="1" ht="22.5">
      <c r="A317" s="346" t="str">
        <f t="shared" si="18"/>
        <v>60910067710010020129</v>
      </c>
      <c r="B317" s="364">
        <v>609</v>
      </c>
      <c r="C317" s="365">
        <v>1006</v>
      </c>
      <c r="D317" s="366" t="s">
        <v>2094</v>
      </c>
      <c r="E317" s="367" t="s">
        <v>27</v>
      </c>
      <c r="F317" s="368">
        <v>1477996.06</v>
      </c>
      <c r="G317" s="369">
        <v>1477996.06</v>
      </c>
      <c r="H317" s="345" t="str">
        <f t="shared" ref="H317:H359" si="19">TEXT(C317,"0000")</f>
        <v>1006</v>
      </c>
      <c r="I317" s="346" t="str">
        <f t="shared" ref="I317:I359" si="20">TEXT(D317,"0000000000")</f>
        <v>7710010020</v>
      </c>
      <c r="K317"/>
    </row>
    <row r="318" spans="1:11" s="292" customFormat="1" ht="22.5">
      <c r="A318" s="346" t="str">
        <f t="shared" si="18"/>
        <v>60910067710076100121</v>
      </c>
      <c r="B318" s="364">
        <v>609</v>
      </c>
      <c r="C318" s="365">
        <v>1006</v>
      </c>
      <c r="D318" s="366" t="s">
        <v>2095</v>
      </c>
      <c r="E318" s="367" t="s">
        <v>41</v>
      </c>
      <c r="F318" s="368">
        <v>899600</v>
      </c>
      <c r="G318" s="369">
        <v>899600</v>
      </c>
      <c r="H318" s="345" t="str">
        <f t="shared" si="19"/>
        <v>1006</v>
      </c>
      <c r="I318" s="346" t="str">
        <f t="shared" si="20"/>
        <v>7710076100</v>
      </c>
      <c r="K318"/>
    </row>
    <row r="319" spans="1:11" s="292" customFormat="1" ht="22.5">
      <c r="A319" s="346" t="str">
        <f t="shared" si="18"/>
        <v>60910067710076100122</v>
      </c>
      <c r="B319" s="364">
        <v>609</v>
      </c>
      <c r="C319" s="365">
        <v>1006</v>
      </c>
      <c r="D319" s="366" t="s">
        <v>2095</v>
      </c>
      <c r="E319" s="367" t="s">
        <v>23</v>
      </c>
      <c r="F319" s="368">
        <v>38300</v>
      </c>
      <c r="G319" s="369">
        <v>38300</v>
      </c>
      <c r="H319" s="345" t="str">
        <f t="shared" si="19"/>
        <v>1006</v>
      </c>
      <c r="I319" s="346" t="str">
        <f t="shared" si="20"/>
        <v>7710076100</v>
      </c>
      <c r="K319"/>
    </row>
    <row r="320" spans="1:11" s="292" customFormat="1" ht="22.5">
      <c r="A320" s="346" t="str">
        <f t="shared" si="18"/>
        <v>60910067710076100129</v>
      </c>
      <c r="B320" s="364">
        <v>609</v>
      </c>
      <c r="C320" s="365">
        <v>1006</v>
      </c>
      <c r="D320" s="366" t="s">
        <v>2095</v>
      </c>
      <c r="E320" s="367" t="s">
        <v>27</v>
      </c>
      <c r="F320" s="368">
        <v>256040</v>
      </c>
      <c r="G320" s="369">
        <v>256040</v>
      </c>
      <c r="H320" s="345" t="str">
        <f t="shared" si="19"/>
        <v>1006</v>
      </c>
      <c r="I320" s="346" t="str">
        <f t="shared" si="20"/>
        <v>7710076100</v>
      </c>
      <c r="K320"/>
    </row>
    <row r="321" spans="1:11" s="292" customFormat="1" ht="22.5">
      <c r="A321" s="346" t="str">
        <f t="shared" si="18"/>
        <v>60910067710076100244</v>
      </c>
      <c r="B321" s="364">
        <v>609</v>
      </c>
      <c r="C321" s="365">
        <v>1006</v>
      </c>
      <c r="D321" s="366" t="s">
        <v>2095</v>
      </c>
      <c r="E321" s="367" t="s">
        <v>31</v>
      </c>
      <c r="F321" s="368">
        <v>202966.35</v>
      </c>
      <c r="G321" s="369">
        <v>202966.35</v>
      </c>
      <c r="H321" s="345" t="str">
        <f t="shared" si="19"/>
        <v>1006</v>
      </c>
      <c r="I321" s="346" t="str">
        <f t="shared" si="20"/>
        <v>7710076100</v>
      </c>
      <c r="K321"/>
    </row>
    <row r="322" spans="1:11" s="292" customFormat="1" ht="22.5">
      <c r="A322" s="346" t="str">
        <f t="shared" si="18"/>
        <v>60910067710076210121</v>
      </c>
      <c r="B322" s="364">
        <v>609</v>
      </c>
      <c r="C322" s="365">
        <v>1006</v>
      </c>
      <c r="D322" s="366" t="s">
        <v>2096</v>
      </c>
      <c r="E322" s="367" t="s">
        <v>41</v>
      </c>
      <c r="F322" s="368">
        <v>39035892</v>
      </c>
      <c r="G322" s="369">
        <v>39035888</v>
      </c>
      <c r="H322" s="345" t="str">
        <f t="shared" si="19"/>
        <v>1006</v>
      </c>
      <c r="I322" s="346" t="str">
        <f t="shared" si="20"/>
        <v>7710076210</v>
      </c>
      <c r="K322"/>
    </row>
    <row r="323" spans="1:11" s="292" customFormat="1" ht="22.5">
      <c r="A323" s="346" t="str">
        <f t="shared" si="18"/>
        <v>60910067710076210122</v>
      </c>
      <c r="B323" s="364">
        <v>609</v>
      </c>
      <c r="C323" s="365">
        <v>1006</v>
      </c>
      <c r="D323" s="366" t="s">
        <v>2096</v>
      </c>
      <c r="E323" s="367" t="s">
        <v>23</v>
      </c>
      <c r="F323" s="368">
        <v>1404150</v>
      </c>
      <c r="G323" s="369">
        <v>1404150</v>
      </c>
      <c r="H323" s="345" t="str">
        <f t="shared" si="19"/>
        <v>1006</v>
      </c>
      <c r="I323" s="346" t="str">
        <f t="shared" si="20"/>
        <v>7710076210</v>
      </c>
      <c r="K323"/>
    </row>
    <row r="324" spans="1:11" s="292" customFormat="1" ht="22.5">
      <c r="A324" s="346" t="str">
        <f t="shared" si="18"/>
        <v>60910067710076210129</v>
      </c>
      <c r="B324" s="364">
        <v>609</v>
      </c>
      <c r="C324" s="365">
        <v>1006</v>
      </c>
      <c r="D324" s="366" t="s">
        <v>2096</v>
      </c>
      <c r="E324" s="367" t="s">
        <v>27</v>
      </c>
      <c r="F324" s="368">
        <v>11700000</v>
      </c>
      <c r="G324" s="369">
        <v>11700000</v>
      </c>
      <c r="H324" s="345" t="str">
        <f t="shared" si="19"/>
        <v>1006</v>
      </c>
      <c r="I324" s="346" t="str">
        <f t="shared" si="20"/>
        <v>7710076210</v>
      </c>
      <c r="K324"/>
    </row>
    <row r="325" spans="1:11" s="292" customFormat="1" ht="22.5">
      <c r="A325" s="346" t="str">
        <f t="shared" si="18"/>
        <v>60910067710076210244</v>
      </c>
      <c r="B325" s="364">
        <v>609</v>
      </c>
      <c r="C325" s="365">
        <v>1006</v>
      </c>
      <c r="D325" s="366" t="s">
        <v>2096</v>
      </c>
      <c r="E325" s="367" t="s">
        <v>31</v>
      </c>
      <c r="F325" s="368">
        <v>1530670</v>
      </c>
      <c r="G325" s="369">
        <v>1568730</v>
      </c>
      <c r="H325" s="345" t="str">
        <f t="shared" si="19"/>
        <v>1006</v>
      </c>
      <c r="I325" s="346" t="str">
        <f t="shared" si="20"/>
        <v>7710076210</v>
      </c>
      <c r="K325"/>
    </row>
    <row r="326" spans="1:11" s="292" customFormat="1" ht="22.5">
      <c r="A326" s="346" t="str">
        <f t="shared" si="18"/>
        <v>60910067710076210851</v>
      </c>
      <c r="B326" s="364">
        <v>609</v>
      </c>
      <c r="C326" s="365">
        <v>1006</v>
      </c>
      <c r="D326" s="366" t="s">
        <v>2096</v>
      </c>
      <c r="E326" s="367" t="s">
        <v>35</v>
      </c>
      <c r="F326" s="368">
        <v>100000</v>
      </c>
      <c r="G326" s="369">
        <v>100000</v>
      </c>
      <c r="H326" s="345" t="str">
        <f t="shared" si="19"/>
        <v>1006</v>
      </c>
      <c r="I326" s="346" t="str">
        <f t="shared" si="20"/>
        <v>7710076210</v>
      </c>
      <c r="K326"/>
    </row>
    <row r="327" spans="1:11" s="292" customFormat="1" ht="22.5">
      <c r="A327" s="346" t="str">
        <f t="shared" si="18"/>
        <v>60910067710076210852</v>
      </c>
      <c r="B327" s="364">
        <v>609</v>
      </c>
      <c r="C327" s="365">
        <v>1006</v>
      </c>
      <c r="D327" s="366" t="s">
        <v>2096</v>
      </c>
      <c r="E327" s="367" t="s">
        <v>37</v>
      </c>
      <c r="F327" s="368">
        <v>2500</v>
      </c>
      <c r="G327" s="369">
        <v>2500</v>
      </c>
      <c r="H327" s="345" t="str">
        <f t="shared" si="19"/>
        <v>1006</v>
      </c>
      <c r="I327" s="346" t="str">
        <f t="shared" si="20"/>
        <v>7710076210</v>
      </c>
      <c r="K327"/>
    </row>
    <row r="328" spans="1:11" s="292" customFormat="1" ht="22.5">
      <c r="A328" s="346" t="str">
        <f t="shared" si="18"/>
        <v>61107030810111010611</v>
      </c>
      <c r="B328" s="364">
        <v>611</v>
      </c>
      <c r="C328" s="365">
        <v>703</v>
      </c>
      <c r="D328" s="366" t="s">
        <v>2098</v>
      </c>
      <c r="E328" s="367" t="s">
        <v>406</v>
      </c>
      <c r="F328" s="368">
        <v>153486062.84</v>
      </c>
      <c r="G328" s="369">
        <v>153486062.84</v>
      </c>
      <c r="H328" s="345" t="str">
        <f t="shared" si="19"/>
        <v>0703</v>
      </c>
      <c r="I328" s="346" t="str">
        <f t="shared" si="20"/>
        <v>0810111010</v>
      </c>
      <c r="K328"/>
    </row>
    <row r="329" spans="1:11" s="292" customFormat="1" ht="22.5">
      <c r="A329" s="346" t="str">
        <f t="shared" ref="A329:A392" si="21">B329&amp;H329&amp;I329&amp;E329</f>
        <v>61107031620220550612</v>
      </c>
      <c r="B329" s="364">
        <v>611</v>
      </c>
      <c r="C329" s="365">
        <v>703</v>
      </c>
      <c r="D329" s="366" t="s">
        <v>1991</v>
      </c>
      <c r="E329" s="367" t="s">
        <v>408</v>
      </c>
      <c r="F329" s="368">
        <v>233550</v>
      </c>
      <c r="G329" s="369">
        <v>233550</v>
      </c>
      <c r="H329" s="345" t="str">
        <f t="shared" si="19"/>
        <v>0703</v>
      </c>
      <c r="I329" s="346" t="str">
        <f t="shared" si="20"/>
        <v>1620220550</v>
      </c>
      <c r="K329"/>
    </row>
    <row r="330" spans="1:11" s="292" customFormat="1" ht="22.5">
      <c r="A330" s="346" t="str">
        <f t="shared" si="21"/>
        <v>61111010810211010611</v>
      </c>
      <c r="B330" s="364">
        <v>611</v>
      </c>
      <c r="C330" s="365">
        <v>1101</v>
      </c>
      <c r="D330" s="366" t="s">
        <v>2101</v>
      </c>
      <c r="E330" s="367" t="s">
        <v>406</v>
      </c>
      <c r="F330" s="368">
        <v>3062704.33</v>
      </c>
      <c r="G330" s="369">
        <v>3062704.33</v>
      </c>
      <c r="H330" s="345" t="str">
        <f t="shared" si="19"/>
        <v>1101</v>
      </c>
      <c r="I330" s="346" t="str">
        <f t="shared" si="20"/>
        <v>0810211010</v>
      </c>
      <c r="K330"/>
    </row>
    <row r="331" spans="1:11" s="292" customFormat="1" ht="22.5">
      <c r="A331" s="346" t="str">
        <f t="shared" si="21"/>
        <v>61111020810311010611</v>
      </c>
      <c r="B331" s="364">
        <v>611</v>
      </c>
      <c r="C331" s="365">
        <v>1102</v>
      </c>
      <c r="D331" s="366" t="s">
        <v>2104</v>
      </c>
      <c r="E331" s="367" t="s">
        <v>406</v>
      </c>
      <c r="F331" s="368">
        <v>9606500</v>
      </c>
      <c r="G331" s="369">
        <v>9606500</v>
      </c>
      <c r="H331" s="345" t="str">
        <f t="shared" si="19"/>
        <v>1102</v>
      </c>
      <c r="I331" s="346" t="str">
        <f t="shared" si="20"/>
        <v>0810311010</v>
      </c>
      <c r="K331"/>
    </row>
    <row r="332" spans="1:11" s="292" customFormat="1" ht="22.5">
      <c r="A332" s="346" t="str">
        <f t="shared" si="21"/>
        <v>61111020820120420113</v>
      </c>
      <c r="B332" s="364">
        <v>611</v>
      </c>
      <c r="C332" s="365">
        <v>1102</v>
      </c>
      <c r="D332" s="366" t="s">
        <v>2105</v>
      </c>
      <c r="E332" s="367" t="s">
        <v>722</v>
      </c>
      <c r="F332" s="368">
        <v>3250000</v>
      </c>
      <c r="G332" s="369">
        <v>3250000</v>
      </c>
      <c r="H332" s="345" t="str">
        <f t="shared" si="19"/>
        <v>1102</v>
      </c>
      <c r="I332" s="346" t="str">
        <f t="shared" si="20"/>
        <v>0820120420</v>
      </c>
      <c r="K332"/>
    </row>
    <row r="333" spans="1:11" s="292" customFormat="1" ht="22.5">
      <c r="A333" s="346" t="str">
        <f t="shared" si="21"/>
        <v>61111020820120420244</v>
      </c>
      <c r="B333" s="364">
        <v>611</v>
      </c>
      <c r="C333" s="365">
        <v>1102</v>
      </c>
      <c r="D333" s="366" t="s">
        <v>2105</v>
      </c>
      <c r="E333" s="367" t="s">
        <v>31</v>
      </c>
      <c r="F333" s="368">
        <v>2000000</v>
      </c>
      <c r="G333" s="369">
        <v>2000000</v>
      </c>
      <c r="H333" s="345" t="str">
        <f t="shared" si="19"/>
        <v>1102</v>
      </c>
      <c r="I333" s="346" t="str">
        <f t="shared" si="20"/>
        <v>0820120420</v>
      </c>
      <c r="K333"/>
    </row>
    <row r="334" spans="1:11" s="292" customFormat="1" ht="22.5">
      <c r="A334" s="346" t="str">
        <f t="shared" si="21"/>
        <v>61111020820220440244</v>
      </c>
      <c r="B334" s="364">
        <v>611</v>
      </c>
      <c r="C334" s="365">
        <v>1102</v>
      </c>
      <c r="D334" s="366" t="s">
        <v>2106</v>
      </c>
      <c r="E334" s="367" t="s">
        <v>31</v>
      </c>
      <c r="F334" s="368">
        <v>11250</v>
      </c>
      <c r="G334" s="369">
        <v>11250</v>
      </c>
      <c r="H334" s="345" t="str">
        <f t="shared" si="19"/>
        <v>1102</v>
      </c>
      <c r="I334" s="346" t="str">
        <f t="shared" si="20"/>
        <v>0820220440</v>
      </c>
      <c r="K334"/>
    </row>
    <row r="335" spans="1:11" s="292" customFormat="1" ht="22.5">
      <c r="A335" s="346" t="str">
        <f t="shared" si="21"/>
        <v>61111020820321060244</v>
      </c>
      <c r="B335" s="364">
        <v>611</v>
      </c>
      <c r="C335" s="365">
        <v>1102</v>
      </c>
      <c r="D335" s="366" t="s">
        <v>2107</v>
      </c>
      <c r="E335" s="367" t="s">
        <v>31</v>
      </c>
      <c r="F335" s="368">
        <v>56250</v>
      </c>
      <c r="G335" s="369">
        <v>56250</v>
      </c>
      <c r="H335" s="345" t="str">
        <f t="shared" si="19"/>
        <v>1102</v>
      </c>
      <c r="I335" s="346" t="str">
        <f t="shared" si="20"/>
        <v>0820321060</v>
      </c>
      <c r="K335"/>
    </row>
    <row r="336" spans="1:11" s="292" customFormat="1" ht="22.5">
      <c r="A336" s="346" t="str">
        <f t="shared" si="21"/>
        <v>61111057810010010122</v>
      </c>
      <c r="B336" s="364">
        <v>611</v>
      </c>
      <c r="C336" s="365">
        <v>1105</v>
      </c>
      <c r="D336" s="366" t="s">
        <v>2110</v>
      </c>
      <c r="E336" s="367" t="s">
        <v>23</v>
      </c>
      <c r="F336" s="368">
        <v>155307.5</v>
      </c>
      <c r="G336" s="369">
        <v>155307.5</v>
      </c>
      <c r="H336" s="345" t="str">
        <f t="shared" si="19"/>
        <v>1105</v>
      </c>
      <c r="I336" s="346" t="str">
        <f t="shared" si="20"/>
        <v>7810010010</v>
      </c>
      <c r="K336"/>
    </row>
    <row r="337" spans="1:11" s="292" customFormat="1" ht="22.5">
      <c r="A337" s="346" t="str">
        <f t="shared" si="21"/>
        <v>61111057810010010129</v>
      </c>
      <c r="B337" s="364">
        <v>611</v>
      </c>
      <c r="C337" s="365">
        <v>1105</v>
      </c>
      <c r="D337" s="366" t="s">
        <v>2110</v>
      </c>
      <c r="E337" s="367" t="s">
        <v>27</v>
      </c>
      <c r="F337" s="368">
        <v>46902.5</v>
      </c>
      <c r="G337" s="369">
        <v>46902.5</v>
      </c>
      <c r="H337" s="345" t="str">
        <f t="shared" si="19"/>
        <v>1105</v>
      </c>
      <c r="I337" s="346" t="str">
        <f t="shared" si="20"/>
        <v>7810010010</v>
      </c>
      <c r="K337"/>
    </row>
    <row r="338" spans="1:11" s="292" customFormat="1" ht="22.5">
      <c r="A338" s="346" t="str">
        <f t="shared" si="21"/>
        <v>61111057810010010244</v>
      </c>
      <c r="B338" s="364">
        <v>611</v>
      </c>
      <c r="C338" s="365">
        <v>1105</v>
      </c>
      <c r="D338" s="366" t="s">
        <v>2110</v>
      </c>
      <c r="E338" s="367" t="s">
        <v>31</v>
      </c>
      <c r="F338" s="368">
        <v>568000</v>
      </c>
      <c r="G338" s="369">
        <v>568000</v>
      </c>
      <c r="H338" s="345" t="str">
        <f t="shared" si="19"/>
        <v>1105</v>
      </c>
      <c r="I338" s="346" t="str">
        <f t="shared" si="20"/>
        <v>7810010010</v>
      </c>
      <c r="K338"/>
    </row>
    <row r="339" spans="1:11" s="292" customFormat="1" ht="22.5">
      <c r="A339" s="346" t="str">
        <f t="shared" si="21"/>
        <v>61111057810010010851</v>
      </c>
      <c r="B339" s="364">
        <v>611</v>
      </c>
      <c r="C339" s="365">
        <v>1105</v>
      </c>
      <c r="D339" s="366" t="s">
        <v>2110</v>
      </c>
      <c r="E339" s="367" t="s">
        <v>35</v>
      </c>
      <c r="F339" s="368">
        <v>5000</v>
      </c>
      <c r="G339" s="369">
        <v>5000</v>
      </c>
      <c r="H339" s="345" t="str">
        <f t="shared" si="19"/>
        <v>1105</v>
      </c>
      <c r="I339" s="346" t="str">
        <f t="shared" si="20"/>
        <v>7810010010</v>
      </c>
      <c r="K339"/>
    </row>
    <row r="340" spans="1:11" s="292" customFormat="1" ht="22.5">
      <c r="A340" s="346" t="str">
        <f t="shared" si="21"/>
        <v>61111057810010010852</v>
      </c>
      <c r="B340" s="364">
        <v>611</v>
      </c>
      <c r="C340" s="365">
        <v>1105</v>
      </c>
      <c r="D340" s="366" t="s">
        <v>2110</v>
      </c>
      <c r="E340" s="367" t="s">
        <v>37</v>
      </c>
      <c r="F340" s="368">
        <v>3000</v>
      </c>
      <c r="G340" s="369">
        <v>3000</v>
      </c>
      <c r="H340" s="345" t="str">
        <f t="shared" si="19"/>
        <v>1105</v>
      </c>
      <c r="I340" s="346" t="str">
        <f t="shared" si="20"/>
        <v>7810010010</v>
      </c>
      <c r="K340"/>
    </row>
    <row r="341" spans="1:11" s="292" customFormat="1" ht="22.5">
      <c r="A341" s="346" t="str">
        <f t="shared" si="21"/>
        <v>61111057810010020121</v>
      </c>
      <c r="B341" s="364">
        <v>611</v>
      </c>
      <c r="C341" s="365">
        <v>1105</v>
      </c>
      <c r="D341" s="366" t="s">
        <v>2111</v>
      </c>
      <c r="E341" s="367" t="s">
        <v>41</v>
      </c>
      <c r="F341" s="368">
        <v>5725315.5300000003</v>
      </c>
      <c r="G341" s="369">
        <v>5725315.5300000003</v>
      </c>
      <c r="H341" s="345" t="str">
        <f t="shared" si="19"/>
        <v>1105</v>
      </c>
      <c r="I341" s="346" t="str">
        <f t="shared" si="20"/>
        <v>7810010020</v>
      </c>
      <c r="K341"/>
    </row>
    <row r="342" spans="1:11" s="292" customFormat="1" ht="22.5">
      <c r="A342" s="346" t="str">
        <f t="shared" si="21"/>
        <v>61111057810010020129</v>
      </c>
      <c r="B342" s="364">
        <v>611</v>
      </c>
      <c r="C342" s="365">
        <v>1105</v>
      </c>
      <c r="D342" s="366" t="s">
        <v>2111</v>
      </c>
      <c r="E342" s="367" t="s">
        <v>27</v>
      </c>
      <c r="F342" s="368">
        <v>1729038.09</v>
      </c>
      <c r="G342" s="369">
        <v>1729038.09</v>
      </c>
      <c r="H342" s="345" t="str">
        <f t="shared" si="19"/>
        <v>1105</v>
      </c>
      <c r="I342" s="346" t="str">
        <f t="shared" si="20"/>
        <v>7810010020</v>
      </c>
      <c r="K342"/>
    </row>
    <row r="343" spans="1:11" s="292" customFormat="1" ht="22.5">
      <c r="A343" s="346" t="str">
        <f t="shared" si="21"/>
        <v>61111057810011010111</v>
      </c>
      <c r="B343" s="364">
        <v>611</v>
      </c>
      <c r="C343" s="365">
        <v>1105</v>
      </c>
      <c r="D343" s="366" t="s">
        <v>2112</v>
      </c>
      <c r="E343" s="367" t="s">
        <v>141</v>
      </c>
      <c r="F343" s="368">
        <v>6752741.8700000001</v>
      </c>
      <c r="G343" s="369">
        <v>6752741.8700000001</v>
      </c>
      <c r="H343" s="345" t="str">
        <f t="shared" si="19"/>
        <v>1105</v>
      </c>
      <c r="I343" s="346" t="str">
        <f t="shared" si="20"/>
        <v>7810011010</v>
      </c>
      <c r="K343"/>
    </row>
    <row r="344" spans="1:11" s="292" customFormat="1" ht="22.5">
      <c r="A344" s="346" t="str">
        <f t="shared" si="21"/>
        <v>61111057810011010119</v>
      </c>
      <c r="B344" s="364">
        <v>611</v>
      </c>
      <c r="C344" s="365">
        <v>1105</v>
      </c>
      <c r="D344" s="366" t="s">
        <v>2112</v>
      </c>
      <c r="E344" s="367" t="s">
        <v>145</v>
      </c>
      <c r="F344" s="368">
        <v>2039333.46</v>
      </c>
      <c r="G344" s="369">
        <v>2039333.46</v>
      </c>
      <c r="H344" s="345" t="str">
        <f t="shared" si="19"/>
        <v>1105</v>
      </c>
      <c r="I344" s="346" t="str">
        <f t="shared" si="20"/>
        <v>7810011010</v>
      </c>
      <c r="K344"/>
    </row>
    <row r="345" spans="1:11" s="292" customFormat="1" ht="22.5">
      <c r="A345" s="346" t="str">
        <f t="shared" si="21"/>
        <v>61111057810011010244</v>
      </c>
      <c r="B345" s="364">
        <v>611</v>
      </c>
      <c r="C345" s="365">
        <v>1105</v>
      </c>
      <c r="D345" s="366" t="s">
        <v>2112</v>
      </c>
      <c r="E345" s="367" t="s">
        <v>31</v>
      </c>
      <c r="F345" s="368">
        <v>1140000</v>
      </c>
      <c r="G345" s="369">
        <v>1140000</v>
      </c>
      <c r="H345" s="345" t="str">
        <f t="shared" si="19"/>
        <v>1105</v>
      </c>
      <c r="I345" s="346" t="str">
        <f t="shared" si="20"/>
        <v>7810011010</v>
      </c>
      <c r="K345"/>
    </row>
    <row r="346" spans="1:11" s="292" customFormat="1" ht="22.5">
      <c r="A346" s="346" t="str">
        <f t="shared" si="21"/>
        <v>61701048010010010122</v>
      </c>
      <c r="B346" s="364">
        <v>617</v>
      </c>
      <c r="C346" s="365">
        <v>104</v>
      </c>
      <c r="D346" s="366" t="s">
        <v>2115</v>
      </c>
      <c r="E346" s="367" t="s">
        <v>23</v>
      </c>
      <c r="F346" s="368">
        <v>476560</v>
      </c>
      <c r="G346" s="369">
        <v>476560</v>
      </c>
      <c r="H346" s="345" t="str">
        <f t="shared" si="19"/>
        <v>0104</v>
      </c>
      <c r="I346" s="346" t="str">
        <f t="shared" si="20"/>
        <v>8010010010</v>
      </c>
      <c r="K346"/>
    </row>
    <row r="347" spans="1:11" s="292" customFormat="1" ht="22.5">
      <c r="A347" s="346" t="str">
        <f t="shared" si="21"/>
        <v>61701048010010010129</v>
      </c>
      <c r="B347" s="364">
        <v>617</v>
      </c>
      <c r="C347" s="365">
        <v>104</v>
      </c>
      <c r="D347" s="366" t="s">
        <v>2115</v>
      </c>
      <c r="E347" s="367" t="s">
        <v>27</v>
      </c>
      <c r="F347" s="368">
        <v>143900</v>
      </c>
      <c r="G347" s="369">
        <v>143900</v>
      </c>
      <c r="H347" s="345" t="str">
        <f t="shared" si="19"/>
        <v>0104</v>
      </c>
      <c r="I347" s="346" t="str">
        <f t="shared" si="20"/>
        <v>8010010010</v>
      </c>
      <c r="K347"/>
    </row>
    <row r="348" spans="1:11" s="292" customFormat="1" ht="22.5">
      <c r="A348" s="346" t="str">
        <f t="shared" si="21"/>
        <v>61701048010010010244</v>
      </c>
      <c r="B348" s="364">
        <v>617</v>
      </c>
      <c r="C348" s="365">
        <v>104</v>
      </c>
      <c r="D348" s="366" t="s">
        <v>2115</v>
      </c>
      <c r="E348" s="367" t="s">
        <v>31</v>
      </c>
      <c r="F348" s="368">
        <v>3320750</v>
      </c>
      <c r="G348" s="369">
        <v>3320750</v>
      </c>
      <c r="H348" s="345" t="str">
        <f t="shared" si="19"/>
        <v>0104</v>
      </c>
      <c r="I348" s="346" t="str">
        <f t="shared" si="20"/>
        <v>8010010010</v>
      </c>
      <c r="K348"/>
    </row>
    <row r="349" spans="1:11" s="292" customFormat="1" ht="22.5">
      <c r="A349" s="346" t="str">
        <f t="shared" si="21"/>
        <v>61701048010010010851</v>
      </c>
      <c r="B349" s="364">
        <v>617</v>
      </c>
      <c r="C349" s="365">
        <v>104</v>
      </c>
      <c r="D349" s="366" t="s">
        <v>2115</v>
      </c>
      <c r="E349" s="367" t="s">
        <v>35</v>
      </c>
      <c r="F349" s="368">
        <v>77000</v>
      </c>
      <c r="G349" s="369">
        <v>77000</v>
      </c>
      <c r="H349" s="345" t="str">
        <f t="shared" si="19"/>
        <v>0104</v>
      </c>
      <c r="I349" s="346" t="str">
        <f t="shared" si="20"/>
        <v>8010010010</v>
      </c>
      <c r="K349"/>
    </row>
    <row r="350" spans="1:11" s="292" customFormat="1" ht="22.5">
      <c r="A350" s="346" t="str">
        <f t="shared" si="21"/>
        <v>61701048010010010852</v>
      </c>
      <c r="B350" s="364">
        <v>617</v>
      </c>
      <c r="C350" s="365">
        <v>104</v>
      </c>
      <c r="D350" s="366" t="s">
        <v>2115</v>
      </c>
      <c r="E350" s="367" t="s">
        <v>37</v>
      </c>
      <c r="F350" s="368">
        <v>20000</v>
      </c>
      <c r="G350" s="369">
        <v>20000</v>
      </c>
      <c r="H350" s="345" t="str">
        <f t="shared" si="19"/>
        <v>0104</v>
      </c>
      <c r="I350" s="346" t="str">
        <f t="shared" si="20"/>
        <v>8010010010</v>
      </c>
      <c r="K350"/>
    </row>
    <row r="351" spans="1:11" s="292" customFormat="1" ht="22.5">
      <c r="A351" s="346" t="str">
        <f t="shared" si="21"/>
        <v>61701048010010020121</v>
      </c>
      <c r="B351" s="364">
        <v>617</v>
      </c>
      <c r="C351" s="365">
        <v>104</v>
      </c>
      <c r="D351" s="366" t="s">
        <v>2116</v>
      </c>
      <c r="E351" s="367" t="s">
        <v>41</v>
      </c>
      <c r="F351" s="368">
        <v>22745182.789999999</v>
      </c>
      <c r="G351" s="369">
        <v>22745182.789999999</v>
      </c>
      <c r="H351" s="345" t="str">
        <f t="shared" si="19"/>
        <v>0104</v>
      </c>
      <c r="I351" s="346" t="str">
        <f t="shared" si="20"/>
        <v>8010010020</v>
      </c>
      <c r="K351"/>
    </row>
    <row r="352" spans="1:11" s="292" customFormat="1" ht="22.5">
      <c r="A352" s="346" t="str">
        <f t="shared" si="21"/>
        <v>61701048010010020129</v>
      </c>
      <c r="B352" s="364">
        <v>617</v>
      </c>
      <c r="C352" s="365">
        <v>104</v>
      </c>
      <c r="D352" s="366" t="s">
        <v>2116</v>
      </c>
      <c r="E352" s="367" t="s">
        <v>27</v>
      </c>
      <c r="F352" s="368">
        <v>6869020.7400000002</v>
      </c>
      <c r="G352" s="369">
        <v>6869020.7400000002</v>
      </c>
      <c r="H352" s="345" t="str">
        <f t="shared" si="19"/>
        <v>0104</v>
      </c>
      <c r="I352" s="346" t="str">
        <f t="shared" si="20"/>
        <v>8010010020</v>
      </c>
      <c r="K352"/>
    </row>
    <row r="353" spans="1:11" s="292" customFormat="1" ht="22.5">
      <c r="A353" s="346" t="str">
        <f t="shared" si="21"/>
        <v>61701048010076200121</v>
      </c>
      <c r="B353" s="364">
        <v>617</v>
      </c>
      <c r="C353" s="365">
        <v>104</v>
      </c>
      <c r="D353" s="366" t="s">
        <v>2117</v>
      </c>
      <c r="E353" s="367" t="s">
        <v>41</v>
      </c>
      <c r="F353" s="368">
        <v>721560</v>
      </c>
      <c r="G353" s="369">
        <v>721560</v>
      </c>
      <c r="H353" s="345" t="str">
        <f t="shared" si="19"/>
        <v>0104</v>
      </c>
      <c r="I353" s="346" t="str">
        <f t="shared" si="20"/>
        <v>8010076200</v>
      </c>
      <c r="K353"/>
    </row>
    <row r="354" spans="1:11" s="292" customFormat="1" ht="22.5">
      <c r="A354" s="346" t="str">
        <f t="shared" si="21"/>
        <v>61701048010076200122</v>
      </c>
      <c r="B354" s="364">
        <v>617</v>
      </c>
      <c r="C354" s="365">
        <v>104</v>
      </c>
      <c r="D354" s="366" t="s">
        <v>2117</v>
      </c>
      <c r="E354" s="367" t="s">
        <v>23</v>
      </c>
      <c r="F354" s="368">
        <v>38300</v>
      </c>
      <c r="G354" s="369">
        <v>38300</v>
      </c>
      <c r="H354" s="345" t="str">
        <f t="shared" si="19"/>
        <v>0104</v>
      </c>
      <c r="I354" s="346" t="str">
        <f t="shared" si="20"/>
        <v>8010076200</v>
      </c>
      <c r="K354"/>
    </row>
    <row r="355" spans="1:11" s="292" customFormat="1" ht="22.5">
      <c r="A355" s="346" t="str">
        <f t="shared" si="21"/>
        <v>61701048010076200129</v>
      </c>
      <c r="B355" s="364">
        <v>617</v>
      </c>
      <c r="C355" s="365">
        <v>104</v>
      </c>
      <c r="D355" s="366" t="s">
        <v>2117</v>
      </c>
      <c r="E355" s="367" t="s">
        <v>27</v>
      </c>
      <c r="F355" s="368">
        <v>229470</v>
      </c>
      <c r="G355" s="369">
        <v>229470</v>
      </c>
      <c r="H355" s="345" t="str">
        <f t="shared" si="19"/>
        <v>0104</v>
      </c>
      <c r="I355" s="346" t="str">
        <f t="shared" si="20"/>
        <v>8010076200</v>
      </c>
      <c r="K355"/>
    </row>
    <row r="356" spans="1:11" s="292" customFormat="1" ht="22.5">
      <c r="A356" s="346" t="str">
        <f t="shared" si="21"/>
        <v>61701048010076200244</v>
      </c>
      <c r="B356" s="364">
        <v>617</v>
      </c>
      <c r="C356" s="365">
        <v>104</v>
      </c>
      <c r="D356" s="366" t="s">
        <v>2117</v>
      </c>
      <c r="E356" s="367" t="s">
        <v>31</v>
      </c>
      <c r="F356" s="368">
        <v>58420</v>
      </c>
      <c r="G356" s="369">
        <v>58420</v>
      </c>
      <c r="H356" s="345" t="str">
        <f t="shared" si="19"/>
        <v>0104</v>
      </c>
      <c r="I356" s="346" t="str">
        <f t="shared" si="20"/>
        <v>8010076200</v>
      </c>
      <c r="K356"/>
    </row>
    <row r="357" spans="1:11" s="292" customFormat="1" ht="22.5">
      <c r="A357" s="346" t="str">
        <f t="shared" si="21"/>
        <v>61701048010076360244</v>
      </c>
      <c r="B357" s="364">
        <v>617</v>
      </c>
      <c r="C357" s="365">
        <v>104</v>
      </c>
      <c r="D357" s="366" t="s">
        <v>2118</v>
      </c>
      <c r="E357" s="367" t="s">
        <v>31</v>
      </c>
      <c r="F357" s="368">
        <v>70900</v>
      </c>
      <c r="G357" s="369">
        <v>70900</v>
      </c>
      <c r="H357" s="345" t="str">
        <f t="shared" si="19"/>
        <v>0104</v>
      </c>
      <c r="I357" s="346" t="str">
        <f t="shared" si="20"/>
        <v>8010076360</v>
      </c>
      <c r="K357"/>
    </row>
    <row r="358" spans="1:11" s="292" customFormat="1" ht="22.5">
      <c r="A358" s="346" t="str">
        <f t="shared" si="21"/>
        <v>617011311Б0120840244</v>
      </c>
      <c r="B358" s="364">
        <v>617</v>
      </c>
      <c r="C358" s="365">
        <v>113</v>
      </c>
      <c r="D358" s="366" t="s">
        <v>1230</v>
      </c>
      <c r="E358" s="367" t="s">
        <v>31</v>
      </c>
      <c r="F358" s="368">
        <v>350000</v>
      </c>
      <c r="G358" s="369">
        <v>350000</v>
      </c>
      <c r="H358" s="345" t="str">
        <f t="shared" si="19"/>
        <v>0113</v>
      </c>
      <c r="I358" s="346" t="str">
        <f t="shared" si="20"/>
        <v>11Б0120840</v>
      </c>
      <c r="K358"/>
    </row>
    <row r="359" spans="1:11" s="292" customFormat="1" ht="22.5">
      <c r="A359" s="346" t="str">
        <f t="shared" si="21"/>
        <v>617011311Б0121120244</v>
      </c>
      <c r="B359" s="364">
        <v>617</v>
      </c>
      <c r="C359" s="365">
        <v>113</v>
      </c>
      <c r="D359" s="366" t="s">
        <v>1175</v>
      </c>
      <c r="E359" s="367" t="s">
        <v>31</v>
      </c>
      <c r="F359" s="368">
        <v>40200</v>
      </c>
      <c r="G359" s="369">
        <v>40200</v>
      </c>
      <c r="H359" s="345" t="str">
        <f t="shared" si="19"/>
        <v>0113</v>
      </c>
      <c r="I359" s="346" t="str">
        <f t="shared" si="20"/>
        <v>11Б0121120</v>
      </c>
      <c r="K359"/>
    </row>
    <row r="360" spans="1:11" s="292" customFormat="1" ht="22.5">
      <c r="A360" s="346" t="str">
        <f t="shared" si="21"/>
        <v>61704090420220820244</v>
      </c>
      <c r="B360" s="364">
        <v>617</v>
      </c>
      <c r="C360" s="365">
        <v>409</v>
      </c>
      <c r="D360" s="366" t="s">
        <v>2123</v>
      </c>
      <c r="E360" s="367" t="s">
        <v>31</v>
      </c>
      <c r="F360" s="368">
        <v>10379760</v>
      </c>
      <c r="G360" s="369">
        <v>10379760</v>
      </c>
      <c r="H360" s="345" t="str">
        <f t="shared" ref="H360:H402" si="22">TEXT(C360,"0000")</f>
        <v>0409</v>
      </c>
      <c r="I360" s="346" t="str">
        <f t="shared" ref="I360:I402" si="23">TEXT(D360,"0000000000")</f>
        <v>0420220820</v>
      </c>
      <c r="K360"/>
    </row>
    <row r="361" spans="1:11" s="292" customFormat="1" ht="22.5">
      <c r="A361" s="346" t="str">
        <f t="shared" si="21"/>
        <v>61704090420221090244</v>
      </c>
      <c r="B361" s="364">
        <v>617</v>
      </c>
      <c r="C361" s="365">
        <v>409</v>
      </c>
      <c r="D361" s="366" t="s">
        <v>2124</v>
      </c>
      <c r="E361" s="367" t="s">
        <v>31</v>
      </c>
      <c r="F361" s="368">
        <v>70837650</v>
      </c>
      <c r="G361" s="369">
        <v>78221410</v>
      </c>
      <c r="H361" s="345" t="str">
        <f t="shared" si="22"/>
        <v>0409</v>
      </c>
      <c r="I361" s="346" t="str">
        <f t="shared" si="23"/>
        <v>0420221090</v>
      </c>
      <c r="K361"/>
    </row>
    <row r="362" spans="1:11" s="292" customFormat="1" ht="22.5">
      <c r="A362" s="346" t="str">
        <f t="shared" si="21"/>
        <v>61705010410120190243</v>
      </c>
      <c r="B362" s="364">
        <v>617</v>
      </c>
      <c r="C362" s="365">
        <v>501</v>
      </c>
      <c r="D362" s="366" t="s">
        <v>2127</v>
      </c>
      <c r="E362" s="367" t="s">
        <v>773</v>
      </c>
      <c r="F362" s="368">
        <v>439000</v>
      </c>
      <c r="G362" s="369">
        <v>427000</v>
      </c>
      <c r="H362" s="345" t="str">
        <f t="shared" si="22"/>
        <v>0501</v>
      </c>
      <c r="I362" s="346" t="str">
        <f t="shared" si="23"/>
        <v>0410120190</v>
      </c>
      <c r="K362"/>
    </row>
    <row r="363" spans="1:11" s="292" customFormat="1" ht="22.5">
      <c r="A363" s="346" t="str">
        <f t="shared" si="21"/>
        <v>61705010410120190244</v>
      </c>
      <c r="B363" s="364">
        <v>617</v>
      </c>
      <c r="C363" s="365">
        <v>501</v>
      </c>
      <c r="D363" s="366" t="s">
        <v>2127</v>
      </c>
      <c r="E363" s="367" t="s">
        <v>31</v>
      </c>
      <c r="F363" s="368">
        <v>1100000</v>
      </c>
      <c r="G363" s="369">
        <v>1100000</v>
      </c>
      <c r="H363" s="345" t="str">
        <f t="shared" si="22"/>
        <v>0501</v>
      </c>
      <c r="I363" s="346" t="str">
        <f t="shared" si="23"/>
        <v>0410120190</v>
      </c>
      <c r="K363"/>
    </row>
    <row r="364" spans="1:11" s="292" customFormat="1" ht="22.5">
      <c r="A364" s="346" t="str">
        <f t="shared" si="21"/>
        <v>61705030430420300244</v>
      </c>
      <c r="B364" s="364">
        <v>617</v>
      </c>
      <c r="C364" s="365">
        <v>503</v>
      </c>
      <c r="D364" s="366" t="s">
        <v>2030</v>
      </c>
      <c r="E364" s="367" t="s">
        <v>31</v>
      </c>
      <c r="F364" s="368">
        <v>8259320</v>
      </c>
      <c r="G364" s="369">
        <v>8259320</v>
      </c>
      <c r="H364" s="345" t="str">
        <f t="shared" si="22"/>
        <v>0503</v>
      </c>
      <c r="I364" s="346" t="str">
        <f t="shared" si="23"/>
        <v>0430420300</v>
      </c>
      <c r="K364"/>
    </row>
    <row r="365" spans="1:11" s="292" customFormat="1" ht="22.5">
      <c r="A365" s="346" t="str">
        <f t="shared" si="21"/>
        <v>61705030430421070244</v>
      </c>
      <c r="B365" s="364">
        <v>617</v>
      </c>
      <c r="C365" s="365">
        <v>503</v>
      </c>
      <c r="D365" s="366" t="s">
        <v>2128</v>
      </c>
      <c r="E365" s="367" t="s">
        <v>31</v>
      </c>
      <c r="F365" s="368">
        <v>941720</v>
      </c>
      <c r="G365" s="369">
        <v>941720</v>
      </c>
      <c r="H365" s="345" t="str">
        <f t="shared" si="22"/>
        <v>0503</v>
      </c>
      <c r="I365" s="346" t="str">
        <f t="shared" si="23"/>
        <v>0430421070</v>
      </c>
      <c r="K365"/>
    </row>
    <row r="366" spans="1:11" s="292" customFormat="1" ht="22.5">
      <c r="A366" s="346" t="str">
        <f t="shared" si="21"/>
        <v>61705030430476416244</v>
      </c>
      <c r="B366" s="364">
        <v>617</v>
      </c>
      <c r="C366" s="365">
        <v>503</v>
      </c>
      <c r="D366" s="366" t="s">
        <v>2129</v>
      </c>
      <c r="E366" s="367" t="s">
        <v>31</v>
      </c>
      <c r="F366" s="368">
        <v>9476080</v>
      </c>
      <c r="G366" s="369">
        <v>9476080</v>
      </c>
      <c r="H366" s="345" t="str">
        <f t="shared" si="22"/>
        <v>0503</v>
      </c>
      <c r="I366" s="346" t="str">
        <f t="shared" si="23"/>
        <v>0430476416</v>
      </c>
      <c r="K366"/>
    </row>
    <row r="367" spans="1:11" s="292" customFormat="1" ht="22.5">
      <c r="A367" s="346" t="str">
        <f t="shared" si="21"/>
        <v>61708010710120060244</v>
      </c>
      <c r="B367" s="364">
        <v>617</v>
      </c>
      <c r="C367" s="365">
        <v>801</v>
      </c>
      <c r="D367" s="366" t="s">
        <v>1946</v>
      </c>
      <c r="E367" s="367" t="s">
        <v>31</v>
      </c>
      <c r="F367" s="368">
        <v>1095450</v>
      </c>
      <c r="G367" s="369">
        <v>1095450</v>
      </c>
      <c r="H367" s="345" t="str">
        <f t="shared" si="22"/>
        <v>0801</v>
      </c>
      <c r="I367" s="346" t="str">
        <f t="shared" si="23"/>
        <v>0710120060</v>
      </c>
      <c r="K367"/>
    </row>
    <row r="368" spans="1:11" s="292" customFormat="1" ht="22.5">
      <c r="A368" s="346" t="str">
        <f t="shared" si="21"/>
        <v>61708010710121130244</v>
      </c>
      <c r="B368" s="364">
        <v>617</v>
      </c>
      <c r="C368" s="365">
        <v>801</v>
      </c>
      <c r="D368" s="366" t="s">
        <v>2130</v>
      </c>
      <c r="E368" s="367" t="s">
        <v>31</v>
      </c>
      <c r="F368" s="368">
        <v>495550</v>
      </c>
      <c r="G368" s="369">
        <v>495550</v>
      </c>
      <c r="H368" s="345" t="str">
        <f t="shared" si="22"/>
        <v>0801</v>
      </c>
      <c r="I368" s="346" t="str">
        <f t="shared" si="23"/>
        <v>0710121130</v>
      </c>
      <c r="K368"/>
    </row>
    <row r="369" spans="1:11" s="292" customFormat="1" ht="22.5">
      <c r="A369" s="346" t="str">
        <f t="shared" si="21"/>
        <v>61801048110010010122</v>
      </c>
      <c r="B369" s="364">
        <v>618</v>
      </c>
      <c r="C369" s="365">
        <v>104</v>
      </c>
      <c r="D369" s="366" t="s">
        <v>2131</v>
      </c>
      <c r="E369" s="367" t="s">
        <v>23</v>
      </c>
      <c r="F369" s="368">
        <v>492330</v>
      </c>
      <c r="G369" s="369">
        <v>492330</v>
      </c>
      <c r="H369" s="345" t="str">
        <f t="shared" si="22"/>
        <v>0104</v>
      </c>
      <c r="I369" s="346" t="str">
        <f t="shared" si="23"/>
        <v>8110010010</v>
      </c>
      <c r="K369"/>
    </row>
    <row r="370" spans="1:11" s="292" customFormat="1" ht="22.5">
      <c r="A370" s="346" t="str">
        <f t="shared" si="21"/>
        <v>61801048110010010129</v>
      </c>
      <c r="B370" s="364">
        <v>618</v>
      </c>
      <c r="C370" s="365">
        <v>104</v>
      </c>
      <c r="D370" s="366" t="s">
        <v>2131</v>
      </c>
      <c r="E370" s="367" t="s">
        <v>27</v>
      </c>
      <c r="F370" s="368">
        <v>147780</v>
      </c>
      <c r="G370" s="369">
        <v>147780</v>
      </c>
      <c r="H370" s="345" t="str">
        <f t="shared" si="22"/>
        <v>0104</v>
      </c>
      <c r="I370" s="346" t="str">
        <f t="shared" si="23"/>
        <v>8110010010</v>
      </c>
      <c r="K370"/>
    </row>
    <row r="371" spans="1:11" s="292" customFormat="1" ht="22.5">
      <c r="A371" s="346" t="str">
        <f t="shared" si="21"/>
        <v>61801048110010010244</v>
      </c>
      <c r="B371" s="364">
        <v>618</v>
      </c>
      <c r="C371" s="365">
        <v>104</v>
      </c>
      <c r="D371" s="366" t="s">
        <v>2131</v>
      </c>
      <c r="E371" s="367" t="s">
        <v>31</v>
      </c>
      <c r="F371" s="368">
        <v>3598470</v>
      </c>
      <c r="G371" s="369">
        <v>3598470</v>
      </c>
      <c r="H371" s="345" t="str">
        <f t="shared" si="22"/>
        <v>0104</v>
      </c>
      <c r="I371" s="346" t="str">
        <f t="shared" si="23"/>
        <v>8110010010</v>
      </c>
      <c r="K371"/>
    </row>
    <row r="372" spans="1:11" s="292" customFormat="1" ht="22.5">
      <c r="A372" s="346" t="str">
        <f t="shared" si="21"/>
        <v>61801048110010010851</v>
      </c>
      <c r="B372" s="364">
        <v>618</v>
      </c>
      <c r="C372" s="365">
        <v>104</v>
      </c>
      <c r="D372" s="366" t="s">
        <v>2131</v>
      </c>
      <c r="E372" s="367" t="s">
        <v>35</v>
      </c>
      <c r="F372" s="368">
        <v>36000</v>
      </c>
      <c r="G372" s="369">
        <v>36000</v>
      </c>
      <c r="H372" s="345" t="str">
        <f t="shared" si="22"/>
        <v>0104</v>
      </c>
      <c r="I372" s="346" t="str">
        <f t="shared" si="23"/>
        <v>8110010010</v>
      </c>
      <c r="K372"/>
    </row>
    <row r="373" spans="1:11" s="292" customFormat="1" ht="22.5">
      <c r="A373" s="346" t="str">
        <f t="shared" si="21"/>
        <v>61801048110010010852</v>
      </c>
      <c r="B373" s="364">
        <v>618</v>
      </c>
      <c r="C373" s="365">
        <v>104</v>
      </c>
      <c r="D373" s="366" t="s">
        <v>2131</v>
      </c>
      <c r="E373" s="367" t="s">
        <v>37</v>
      </c>
      <c r="F373" s="368">
        <v>14500</v>
      </c>
      <c r="G373" s="369">
        <v>14500</v>
      </c>
      <c r="H373" s="345" t="str">
        <f t="shared" si="22"/>
        <v>0104</v>
      </c>
      <c r="I373" s="346" t="str">
        <f t="shared" si="23"/>
        <v>8110010010</v>
      </c>
      <c r="K373"/>
    </row>
    <row r="374" spans="1:11" s="292" customFormat="1" ht="22.5">
      <c r="A374" s="346" t="str">
        <f t="shared" si="21"/>
        <v>61801048110010020121</v>
      </c>
      <c r="B374" s="364">
        <v>618</v>
      </c>
      <c r="C374" s="365">
        <v>104</v>
      </c>
      <c r="D374" s="366" t="s">
        <v>2132</v>
      </c>
      <c r="E374" s="367" t="s">
        <v>41</v>
      </c>
      <c r="F374" s="368">
        <v>20709248.57</v>
      </c>
      <c r="G374" s="369">
        <v>20709248.57</v>
      </c>
      <c r="H374" s="345" t="str">
        <f t="shared" si="22"/>
        <v>0104</v>
      </c>
      <c r="I374" s="346" t="str">
        <f t="shared" si="23"/>
        <v>8110010020</v>
      </c>
      <c r="K374"/>
    </row>
    <row r="375" spans="1:11" s="292" customFormat="1" ht="22.5">
      <c r="A375" s="346" t="str">
        <f t="shared" si="21"/>
        <v>61801048110010020129</v>
      </c>
      <c r="B375" s="364">
        <v>618</v>
      </c>
      <c r="C375" s="365">
        <v>104</v>
      </c>
      <c r="D375" s="366" t="s">
        <v>2132</v>
      </c>
      <c r="E375" s="367" t="s">
        <v>27</v>
      </c>
      <c r="F375" s="368">
        <v>6254192.5099999998</v>
      </c>
      <c r="G375" s="369">
        <v>6254192.5099999998</v>
      </c>
      <c r="H375" s="345" t="str">
        <f t="shared" si="22"/>
        <v>0104</v>
      </c>
      <c r="I375" s="346" t="str">
        <f t="shared" si="23"/>
        <v>8110010020</v>
      </c>
      <c r="K375"/>
    </row>
    <row r="376" spans="1:11" s="292" customFormat="1" ht="22.5">
      <c r="A376" s="346" t="str">
        <f t="shared" si="21"/>
        <v>61801048110076200121</v>
      </c>
      <c r="B376" s="364">
        <v>618</v>
      </c>
      <c r="C376" s="365">
        <v>104</v>
      </c>
      <c r="D376" s="366" t="s">
        <v>2133</v>
      </c>
      <c r="E376" s="367" t="s">
        <v>41</v>
      </c>
      <c r="F376" s="368">
        <v>775600</v>
      </c>
      <c r="G376" s="369">
        <v>775600</v>
      </c>
      <c r="H376" s="345" t="str">
        <f t="shared" si="22"/>
        <v>0104</v>
      </c>
      <c r="I376" s="346" t="str">
        <f t="shared" si="23"/>
        <v>8110076200</v>
      </c>
      <c r="K376"/>
    </row>
    <row r="377" spans="1:11" s="292" customFormat="1" ht="22.5">
      <c r="A377" s="346" t="str">
        <f t="shared" si="21"/>
        <v>61801048110076200122</v>
      </c>
      <c r="B377" s="364">
        <v>618</v>
      </c>
      <c r="C377" s="365">
        <v>104</v>
      </c>
      <c r="D377" s="366" t="s">
        <v>2133</v>
      </c>
      <c r="E377" s="367" t="s">
        <v>23</v>
      </c>
      <c r="F377" s="368">
        <v>38300</v>
      </c>
      <c r="G377" s="369">
        <v>38300</v>
      </c>
      <c r="H377" s="345" t="str">
        <f t="shared" si="22"/>
        <v>0104</v>
      </c>
      <c r="I377" s="346" t="str">
        <f t="shared" si="23"/>
        <v>8110076200</v>
      </c>
      <c r="K377"/>
    </row>
    <row r="378" spans="1:11" s="292" customFormat="1" ht="22.5">
      <c r="A378" s="346" t="str">
        <f t="shared" si="21"/>
        <v>61801048110076200129</v>
      </c>
      <c r="B378" s="364">
        <v>618</v>
      </c>
      <c r="C378" s="365">
        <v>104</v>
      </c>
      <c r="D378" s="366" t="s">
        <v>2133</v>
      </c>
      <c r="E378" s="367" t="s">
        <v>27</v>
      </c>
      <c r="F378" s="368">
        <v>245810</v>
      </c>
      <c r="G378" s="369">
        <v>245810</v>
      </c>
      <c r="H378" s="345" t="str">
        <f t="shared" si="22"/>
        <v>0104</v>
      </c>
      <c r="I378" s="346" t="str">
        <f t="shared" si="23"/>
        <v>8110076200</v>
      </c>
      <c r="K378"/>
    </row>
    <row r="379" spans="1:11" s="292" customFormat="1" ht="22.5">
      <c r="A379" s="346" t="str">
        <f t="shared" si="21"/>
        <v>61801048110076200244</v>
      </c>
      <c r="B379" s="364">
        <v>618</v>
      </c>
      <c r="C379" s="365">
        <v>104</v>
      </c>
      <c r="D379" s="366" t="s">
        <v>2133</v>
      </c>
      <c r="E379" s="367" t="s">
        <v>31</v>
      </c>
      <c r="F379" s="368">
        <v>158920</v>
      </c>
      <c r="G379" s="369">
        <v>158920</v>
      </c>
      <c r="H379" s="345" t="str">
        <f t="shared" si="22"/>
        <v>0104</v>
      </c>
      <c r="I379" s="346" t="str">
        <f t="shared" si="23"/>
        <v>8110076200</v>
      </c>
      <c r="K379"/>
    </row>
    <row r="380" spans="1:11" s="292" customFormat="1" ht="22.5">
      <c r="A380" s="346" t="str">
        <f t="shared" si="21"/>
        <v>61801048110076360244</v>
      </c>
      <c r="B380" s="364">
        <v>618</v>
      </c>
      <c r="C380" s="365">
        <v>104</v>
      </c>
      <c r="D380" s="366" t="s">
        <v>2134</v>
      </c>
      <c r="E380" s="367" t="s">
        <v>31</v>
      </c>
      <c r="F380" s="368">
        <v>70900</v>
      </c>
      <c r="G380" s="369">
        <v>70900</v>
      </c>
      <c r="H380" s="345" t="str">
        <f t="shared" si="22"/>
        <v>0104</v>
      </c>
      <c r="I380" s="346" t="str">
        <f t="shared" si="23"/>
        <v>8110076360</v>
      </c>
      <c r="K380"/>
    </row>
    <row r="381" spans="1:11" s="292" customFormat="1" ht="22.5">
      <c r="A381" s="346" t="str">
        <f t="shared" si="21"/>
        <v>618011311Б0120840244</v>
      </c>
      <c r="B381" s="364">
        <v>618</v>
      </c>
      <c r="C381" s="365">
        <v>113</v>
      </c>
      <c r="D381" s="366" t="s">
        <v>1230</v>
      </c>
      <c r="E381" s="367" t="s">
        <v>31</v>
      </c>
      <c r="F381" s="368">
        <v>357850</v>
      </c>
      <c r="G381" s="369">
        <v>357850</v>
      </c>
      <c r="H381" s="345" t="str">
        <f t="shared" si="22"/>
        <v>0113</v>
      </c>
      <c r="I381" s="346" t="str">
        <f t="shared" si="23"/>
        <v>11Б0120840</v>
      </c>
      <c r="K381"/>
    </row>
    <row r="382" spans="1:11" s="292" customFormat="1" ht="22.5">
      <c r="A382" s="346" t="str">
        <f t="shared" si="21"/>
        <v>61804090420220820244</v>
      </c>
      <c r="B382" s="364">
        <v>618</v>
      </c>
      <c r="C382" s="365">
        <v>409</v>
      </c>
      <c r="D382" s="366" t="s">
        <v>2123</v>
      </c>
      <c r="E382" s="367" t="s">
        <v>31</v>
      </c>
      <c r="F382" s="368">
        <v>10087430</v>
      </c>
      <c r="G382" s="369">
        <v>10087430</v>
      </c>
      <c r="H382" s="345" t="str">
        <f t="shared" si="22"/>
        <v>0409</v>
      </c>
      <c r="I382" s="346" t="str">
        <f t="shared" si="23"/>
        <v>0420220820</v>
      </c>
      <c r="K382"/>
    </row>
    <row r="383" spans="1:11" s="292" customFormat="1" ht="22.5">
      <c r="A383" s="346" t="str">
        <f t="shared" si="21"/>
        <v>61804090420221090244</v>
      </c>
      <c r="B383" s="364">
        <v>618</v>
      </c>
      <c r="C383" s="365">
        <v>409</v>
      </c>
      <c r="D383" s="366" t="s">
        <v>2124</v>
      </c>
      <c r="E383" s="367" t="s">
        <v>31</v>
      </c>
      <c r="F383" s="368">
        <v>54743990</v>
      </c>
      <c r="G383" s="369">
        <v>59812980</v>
      </c>
      <c r="H383" s="345" t="str">
        <f t="shared" si="22"/>
        <v>0409</v>
      </c>
      <c r="I383" s="346" t="str">
        <f t="shared" si="23"/>
        <v>0420221090</v>
      </c>
      <c r="K383"/>
    </row>
    <row r="384" spans="1:11" s="292" customFormat="1" ht="22.5">
      <c r="A384" s="346" t="str">
        <f t="shared" si="21"/>
        <v>61805010410120190243</v>
      </c>
      <c r="B384" s="364">
        <v>618</v>
      </c>
      <c r="C384" s="365">
        <v>501</v>
      </c>
      <c r="D384" s="366" t="s">
        <v>2127</v>
      </c>
      <c r="E384" s="367" t="s">
        <v>773</v>
      </c>
      <c r="F384" s="368">
        <v>725720</v>
      </c>
      <c r="G384" s="369">
        <v>725720</v>
      </c>
      <c r="H384" s="345" t="str">
        <f t="shared" si="22"/>
        <v>0501</v>
      </c>
      <c r="I384" s="346" t="str">
        <f t="shared" si="23"/>
        <v>0410120190</v>
      </c>
      <c r="K384"/>
    </row>
    <row r="385" spans="1:11" s="292" customFormat="1" ht="22.5">
      <c r="A385" s="346" t="str">
        <f t="shared" si="21"/>
        <v>61805010410120190244</v>
      </c>
      <c r="B385" s="364">
        <v>618</v>
      </c>
      <c r="C385" s="365">
        <v>501</v>
      </c>
      <c r="D385" s="366" t="s">
        <v>2127</v>
      </c>
      <c r="E385" s="367" t="s">
        <v>31</v>
      </c>
      <c r="F385" s="368">
        <v>997540</v>
      </c>
      <c r="G385" s="369">
        <v>997540</v>
      </c>
      <c r="H385" s="345" t="str">
        <f t="shared" si="22"/>
        <v>0501</v>
      </c>
      <c r="I385" s="346" t="str">
        <f t="shared" si="23"/>
        <v>0410120190</v>
      </c>
      <c r="K385"/>
    </row>
    <row r="386" spans="1:11" s="292" customFormat="1" ht="22.5">
      <c r="A386" s="346" t="str">
        <f t="shared" si="21"/>
        <v>61805030430420300244</v>
      </c>
      <c r="B386" s="364">
        <v>618</v>
      </c>
      <c r="C386" s="365">
        <v>503</v>
      </c>
      <c r="D386" s="366" t="s">
        <v>2030</v>
      </c>
      <c r="E386" s="367" t="s">
        <v>31</v>
      </c>
      <c r="F386" s="368">
        <v>9545050</v>
      </c>
      <c r="G386" s="369">
        <v>9545050</v>
      </c>
      <c r="H386" s="345" t="str">
        <f t="shared" si="22"/>
        <v>0503</v>
      </c>
      <c r="I386" s="346" t="str">
        <f t="shared" si="23"/>
        <v>0430420300</v>
      </c>
      <c r="K386"/>
    </row>
    <row r="387" spans="1:11" s="292" customFormat="1" ht="22.5">
      <c r="A387" s="346" t="str">
        <f t="shared" si="21"/>
        <v>61805030430421070244</v>
      </c>
      <c r="B387" s="364">
        <v>618</v>
      </c>
      <c r="C387" s="365">
        <v>503</v>
      </c>
      <c r="D387" s="366" t="s">
        <v>2128</v>
      </c>
      <c r="E387" s="367" t="s">
        <v>31</v>
      </c>
      <c r="F387" s="368">
        <v>941720</v>
      </c>
      <c r="G387" s="369">
        <v>941720</v>
      </c>
      <c r="H387" s="345" t="str">
        <f t="shared" si="22"/>
        <v>0503</v>
      </c>
      <c r="I387" s="346" t="str">
        <f t="shared" si="23"/>
        <v>0430421070</v>
      </c>
      <c r="K387"/>
    </row>
    <row r="388" spans="1:11" s="292" customFormat="1" ht="22.5">
      <c r="A388" s="346" t="str">
        <f t="shared" si="21"/>
        <v>61805030430476416244</v>
      </c>
      <c r="B388" s="364">
        <v>618</v>
      </c>
      <c r="C388" s="365">
        <v>503</v>
      </c>
      <c r="D388" s="366" t="s">
        <v>2129</v>
      </c>
      <c r="E388" s="367" t="s">
        <v>31</v>
      </c>
      <c r="F388" s="368">
        <v>6996870</v>
      </c>
      <c r="G388" s="369">
        <v>6996870</v>
      </c>
      <c r="H388" s="345" t="str">
        <f t="shared" si="22"/>
        <v>0503</v>
      </c>
      <c r="I388" s="346" t="str">
        <f t="shared" si="23"/>
        <v>0430476416</v>
      </c>
      <c r="K388"/>
    </row>
    <row r="389" spans="1:11" s="292" customFormat="1" ht="22.5">
      <c r="A389" s="346" t="str">
        <f t="shared" si="21"/>
        <v>61808010710120060244</v>
      </c>
      <c r="B389" s="364">
        <v>618</v>
      </c>
      <c r="C389" s="365">
        <v>801</v>
      </c>
      <c r="D389" s="366" t="s">
        <v>1946</v>
      </c>
      <c r="E389" s="367" t="s">
        <v>31</v>
      </c>
      <c r="F389" s="368">
        <v>919000</v>
      </c>
      <c r="G389" s="369">
        <v>919000</v>
      </c>
      <c r="H389" s="345" t="str">
        <f t="shared" si="22"/>
        <v>0801</v>
      </c>
      <c r="I389" s="346" t="str">
        <f t="shared" si="23"/>
        <v>0710120060</v>
      </c>
      <c r="K389"/>
    </row>
    <row r="390" spans="1:11" s="292" customFormat="1" ht="22.5">
      <c r="A390" s="346" t="str">
        <f t="shared" si="21"/>
        <v>61808010710121130244</v>
      </c>
      <c r="B390" s="364">
        <v>618</v>
      </c>
      <c r="C390" s="365">
        <v>801</v>
      </c>
      <c r="D390" s="366" t="s">
        <v>2130</v>
      </c>
      <c r="E390" s="367" t="s">
        <v>31</v>
      </c>
      <c r="F390" s="368">
        <v>561000</v>
      </c>
      <c r="G390" s="369">
        <v>561000</v>
      </c>
      <c r="H390" s="345" t="str">
        <f t="shared" si="22"/>
        <v>0801</v>
      </c>
      <c r="I390" s="346" t="str">
        <f t="shared" si="23"/>
        <v>0710121130</v>
      </c>
      <c r="K390"/>
    </row>
    <row r="391" spans="1:11" s="292" customFormat="1" ht="22.5">
      <c r="A391" s="346" t="str">
        <f t="shared" si="21"/>
        <v>61901048210010010122</v>
      </c>
      <c r="B391" s="364">
        <v>619</v>
      </c>
      <c r="C391" s="365">
        <v>104</v>
      </c>
      <c r="D391" s="366" t="s">
        <v>2140</v>
      </c>
      <c r="E391" s="367" t="s">
        <v>23</v>
      </c>
      <c r="F391" s="368">
        <v>642510</v>
      </c>
      <c r="G391" s="369">
        <v>642510</v>
      </c>
      <c r="H391" s="345" t="str">
        <f t="shared" si="22"/>
        <v>0104</v>
      </c>
      <c r="I391" s="346" t="str">
        <f t="shared" si="23"/>
        <v>8210010010</v>
      </c>
      <c r="K391"/>
    </row>
    <row r="392" spans="1:11" s="292" customFormat="1" ht="22.5">
      <c r="A392" s="346" t="str">
        <f t="shared" si="21"/>
        <v>61901048210010010129</v>
      </c>
      <c r="B392" s="364">
        <v>619</v>
      </c>
      <c r="C392" s="365">
        <v>104</v>
      </c>
      <c r="D392" s="366" t="s">
        <v>2140</v>
      </c>
      <c r="E392" s="367" t="s">
        <v>27</v>
      </c>
      <c r="F392" s="368">
        <v>194040</v>
      </c>
      <c r="G392" s="369">
        <v>194040</v>
      </c>
      <c r="H392" s="345" t="str">
        <f t="shared" si="22"/>
        <v>0104</v>
      </c>
      <c r="I392" s="346" t="str">
        <f t="shared" si="23"/>
        <v>8210010010</v>
      </c>
      <c r="K392"/>
    </row>
    <row r="393" spans="1:11" s="292" customFormat="1" ht="22.5">
      <c r="A393" s="346" t="str">
        <f t="shared" ref="A393:A456" si="24">B393&amp;H393&amp;I393&amp;E393</f>
        <v>61901048210010010244</v>
      </c>
      <c r="B393" s="364">
        <v>619</v>
      </c>
      <c r="C393" s="365">
        <v>104</v>
      </c>
      <c r="D393" s="366" t="s">
        <v>2140</v>
      </c>
      <c r="E393" s="367" t="s">
        <v>31</v>
      </c>
      <c r="F393" s="368">
        <v>3935760</v>
      </c>
      <c r="G393" s="369">
        <v>3935760</v>
      </c>
      <c r="H393" s="345" t="str">
        <f t="shared" si="22"/>
        <v>0104</v>
      </c>
      <c r="I393" s="346" t="str">
        <f t="shared" si="23"/>
        <v>8210010010</v>
      </c>
      <c r="K393"/>
    </row>
    <row r="394" spans="1:11" s="292" customFormat="1" ht="22.5">
      <c r="A394" s="346" t="str">
        <f t="shared" si="24"/>
        <v>61901048210010010851</v>
      </c>
      <c r="B394" s="364">
        <v>619</v>
      </c>
      <c r="C394" s="365">
        <v>104</v>
      </c>
      <c r="D394" s="366" t="s">
        <v>2140</v>
      </c>
      <c r="E394" s="367" t="s">
        <v>35</v>
      </c>
      <c r="F394" s="368">
        <v>320000</v>
      </c>
      <c r="G394" s="369">
        <v>320000</v>
      </c>
      <c r="H394" s="345" t="str">
        <f t="shared" si="22"/>
        <v>0104</v>
      </c>
      <c r="I394" s="346" t="str">
        <f t="shared" si="23"/>
        <v>8210010010</v>
      </c>
      <c r="K394"/>
    </row>
    <row r="395" spans="1:11" s="292" customFormat="1" ht="22.5">
      <c r="A395" s="346" t="str">
        <f t="shared" si="24"/>
        <v>61901048210010010852</v>
      </c>
      <c r="B395" s="364">
        <v>619</v>
      </c>
      <c r="C395" s="365">
        <v>104</v>
      </c>
      <c r="D395" s="366" t="s">
        <v>2140</v>
      </c>
      <c r="E395" s="367" t="s">
        <v>37</v>
      </c>
      <c r="F395" s="368">
        <v>20000</v>
      </c>
      <c r="G395" s="369">
        <v>20000</v>
      </c>
      <c r="H395" s="345" t="str">
        <f t="shared" si="22"/>
        <v>0104</v>
      </c>
      <c r="I395" s="346" t="str">
        <f t="shared" si="23"/>
        <v>8210010010</v>
      </c>
      <c r="K395"/>
    </row>
    <row r="396" spans="1:11" s="292" customFormat="1" ht="22.5">
      <c r="A396" s="346" t="str">
        <f t="shared" si="24"/>
        <v>61901048210010020121</v>
      </c>
      <c r="B396" s="364">
        <v>619</v>
      </c>
      <c r="C396" s="365">
        <v>104</v>
      </c>
      <c r="D396" s="366" t="s">
        <v>2141</v>
      </c>
      <c r="E396" s="367" t="s">
        <v>41</v>
      </c>
      <c r="F396" s="368">
        <v>29021483.149999999</v>
      </c>
      <c r="G396" s="369">
        <v>29021483.149999999</v>
      </c>
      <c r="H396" s="345" t="str">
        <f t="shared" si="22"/>
        <v>0104</v>
      </c>
      <c r="I396" s="346" t="str">
        <f t="shared" si="23"/>
        <v>8210010020</v>
      </c>
      <c r="K396"/>
    </row>
    <row r="397" spans="1:11" s="292" customFormat="1" ht="22.5">
      <c r="A397" s="346" t="str">
        <f t="shared" si="24"/>
        <v>61901048210010020129</v>
      </c>
      <c r="B397" s="364">
        <v>619</v>
      </c>
      <c r="C397" s="365">
        <v>104</v>
      </c>
      <c r="D397" s="366" t="s">
        <v>2141</v>
      </c>
      <c r="E397" s="367" t="s">
        <v>27</v>
      </c>
      <c r="F397" s="368">
        <v>8764481.5700000003</v>
      </c>
      <c r="G397" s="369">
        <v>8764481.5700000003</v>
      </c>
      <c r="H397" s="345" t="str">
        <f t="shared" si="22"/>
        <v>0104</v>
      </c>
      <c r="I397" s="346" t="str">
        <f t="shared" si="23"/>
        <v>8210010020</v>
      </c>
      <c r="K397"/>
    </row>
    <row r="398" spans="1:11" s="292" customFormat="1" ht="22.5">
      <c r="A398" s="346" t="str">
        <f t="shared" si="24"/>
        <v>61901048210076200121</v>
      </c>
      <c r="B398" s="364">
        <v>619</v>
      </c>
      <c r="C398" s="365">
        <v>104</v>
      </c>
      <c r="D398" s="366" t="s">
        <v>2142</v>
      </c>
      <c r="E398" s="367" t="s">
        <v>41</v>
      </c>
      <c r="F398" s="368">
        <v>977110</v>
      </c>
      <c r="G398" s="369">
        <v>977110</v>
      </c>
      <c r="H398" s="345" t="str">
        <f t="shared" si="22"/>
        <v>0104</v>
      </c>
      <c r="I398" s="346" t="str">
        <f t="shared" si="23"/>
        <v>8210076200</v>
      </c>
      <c r="K398"/>
    </row>
    <row r="399" spans="1:11" s="292" customFormat="1" ht="22.5">
      <c r="A399" s="346" t="str">
        <f t="shared" si="24"/>
        <v>61901048210076200122</v>
      </c>
      <c r="B399" s="364">
        <v>619</v>
      </c>
      <c r="C399" s="365">
        <v>104</v>
      </c>
      <c r="D399" s="366" t="s">
        <v>2142</v>
      </c>
      <c r="E399" s="367" t="s">
        <v>23</v>
      </c>
      <c r="F399" s="368">
        <v>51060</v>
      </c>
      <c r="G399" s="369">
        <v>51060</v>
      </c>
      <c r="H399" s="345" t="str">
        <f t="shared" si="22"/>
        <v>0104</v>
      </c>
      <c r="I399" s="346" t="str">
        <f t="shared" si="23"/>
        <v>8210076200</v>
      </c>
      <c r="K399"/>
    </row>
    <row r="400" spans="1:11" s="292" customFormat="1" ht="22.5">
      <c r="A400" s="346" t="str">
        <f t="shared" si="24"/>
        <v>61901048210076200129</v>
      </c>
      <c r="B400" s="364">
        <v>619</v>
      </c>
      <c r="C400" s="365">
        <v>104</v>
      </c>
      <c r="D400" s="366" t="s">
        <v>2142</v>
      </c>
      <c r="E400" s="367" t="s">
        <v>27</v>
      </c>
      <c r="F400" s="368">
        <v>310510</v>
      </c>
      <c r="G400" s="369">
        <v>310510</v>
      </c>
      <c r="H400" s="345" t="str">
        <f t="shared" si="22"/>
        <v>0104</v>
      </c>
      <c r="I400" s="346" t="str">
        <f t="shared" si="23"/>
        <v>8210076200</v>
      </c>
      <c r="K400"/>
    </row>
    <row r="401" spans="1:11" s="292" customFormat="1" ht="22.5">
      <c r="A401" s="346" t="str">
        <f t="shared" si="24"/>
        <v>61901048210076200244</v>
      </c>
      <c r="B401" s="364">
        <v>619</v>
      </c>
      <c r="C401" s="365">
        <v>104</v>
      </c>
      <c r="D401" s="366" t="s">
        <v>2142</v>
      </c>
      <c r="E401" s="367" t="s">
        <v>31</v>
      </c>
      <c r="F401" s="368">
        <v>196300</v>
      </c>
      <c r="G401" s="369">
        <v>196300</v>
      </c>
      <c r="H401" s="345" t="str">
        <f t="shared" si="22"/>
        <v>0104</v>
      </c>
      <c r="I401" s="346" t="str">
        <f t="shared" si="23"/>
        <v>8210076200</v>
      </c>
      <c r="K401"/>
    </row>
    <row r="402" spans="1:11" s="292" customFormat="1" ht="22.5">
      <c r="A402" s="346" t="str">
        <f t="shared" si="24"/>
        <v>61901048210076360244</v>
      </c>
      <c r="B402" s="364">
        <v>619</v>
      </c>
      <c r="C402" s="365">
        <v>104</v>
      </c>
      <c r="D402" s="366" t="s">
        <v>2143</v>
      </c>
      <c r="E402" s="367" t="s">
        <v>31</v>
      </c>
      <c r="F402" s="368">
        <v>70900</v>
      </c>
      <c r="G402" s="369">
        <v>70900</v>
      </c>
      <c r="H402" s="345" t="str">
        <f t="shared" si="22"/>
        <v>0104</v>
      </c>
      <c r="I402" s="346" t="str">
        <f t="shared" si="23"/>
        <v>8210076360</v>
      </c>
      <c r="K402"/>
    </row>
    <row r="403" spans="1:11" s="292" customFormat="1" ht="22.5">
      <c r="A403" s="346" t="str">
        <f t="shared" si="24"/>
        <v>619011311Б0120840244</v>
      </c>
      <c r="B403" s="364">
        <v>619</v>
      </c>
      <c r="C403" s="365">
        <v>113</v>
      </c>
      <c r="D403" s="366" t="s">
        <v>1230</v>
      </c>
      <c r="E403" s="367" t="s">
        <v>31</v>
      </c>
      <c r="F403" s="368">
        <v>476640</v>
      </c>
      <c r="G403" s="369">
        <v>476640</v>
      </c>
      <c r="H403" s="345" t="str">
        <f t="shared" ref="H403:H435" si="25">TEXT(C403,"0000")</f>
        <v>0113</v>
      </c>
      <c r="I403" s="346" t="str">
        <f t="shared" ref="I403:I435" si="26">TEXT(D403,"0000000000")</f>
        <v>11Б0120840</v>
      </c>
      <c r="K403"/>
    </row>
    <row r="404" spans="1:11" s="292" customFormat="1" ht="22.5">
      <c r="A404" s="346" t="str">
        <f t="shared" si="24"/>
        <v>619011311Б0121120244</v>
      </c>
      <c r="B404" s="364">
        <v>619</v>
      </c>
      <c r="C404" s="365">
        <v>113</v>
      </c>
      <c r="D404" s="366" t="s">
        <v>1175</v>
      </c>
      <c r="E404" s="367" t="s">
        <v>31</v>
      </c>
      <c r="F404" s="368">
        <v>100160</v>
      </c>
      <c r="G404" s="369">
        <v>100160</v>
      </c>
      <c r="H404" s="345" t="str">
        <f t="shared" si="25"/>
        <v>0113</v>
      </c>
      <c r="I404" s="346" t="str">
        <f t="shared" si="26"/>
        <v>11Б0121120</v>
      </c>
      <c r="K404"/>
    </row>
    <row r="405" spans="1:11" s="292" customFormat="1" ht="22.5">
      <c r="A405" s="346" t="str">
        <f t="shared" si="24"/>
        <v>61904090420220820244</v>
      </c>
      <c r="B405" s="364">
        <v>619</v>
      </c>
      <c r="C405" s="365">
        <v>409</v>
      </c>
      <c r="D405" s="366" t="s">
        <v>2123</v>
      </c>
      <c r="E405" s="367" t="s">
        <v>31</v>
      </c>
      <c r="F405" s="368">
        <v>10095510</v>
      </c>
      <c r="G405" s="369">
        <v>10095510</v>
      </c>
      <c r="H405" s="345" t="str">
        <f t="shared" si="25"/>
        <v>0409</v>
      </c>
      <c r="I405" s="346" t="str">
        <f t="shared" si="26"/>
        <v>0420220820</v>
      </c>
      <c r="K405"/>
    </row>
    <row r="406" spans="1:11" s="292" customFormat="1" ht="22.5">
      <c r="A406" s="346" t="str">
        <f t="shared" si="24"/>
        <v>61904090420221090244</v>
      </c>
      <c r="B406" s="364">
        <v>619</v>
      </c>
      <c r="C406" s="365">
        <v>409</v>
      </c>
      <c r="D406" s="366" t="s">
        <v>2124</v>
      </c>
      <c r="E406" s="367" t="s">
        <v>31</v>
      </c>
      <c r="F406" s="368">
        <v>119081460</v>
      </c>
      <c r="G406" s="369">
        <v>131049600</v>
      </c>
      <c r="H406" s="345" t="str">
        <f t="shared" si="25"/>
        <v>0409</v>
      </c>
      <c r="I406" s="346" t="str">
        <f t="shared" si="26"/>
        <v>0420221090</v>
      </c>
      <c r="K406"/>
    </row>
    <row r="407" spans="1:11" s="292" customFormat="1" ht="22.5">
      <c r="A407" s="346" t="str">
        <f t="shared" si="24"/>
        <v>61905010410120190243</v>
      </c>
      <c r="B407" s="364">
        <v>619</v>
      </c>
      <c r="C407" s="365">
        <v>501</v>
      </c>
      <c r="D407" s="366" t="s">
        <v>2127</v>
      </c>
      <c r="E407" s="367" t="s">
        <v>773</v>
      </c>
      <c r="F407" s="368">
        <v>1359000</v>
      </c>
      <c r="G407" s="369">
        <v>1171000</v>
      </c>
      <c r="H407" s="345" t="str">
        <f t="shared" si="25"/>
        <v>0501</v>
      </c>
      <c r="I407" s="346" t="str">
        <f t="shared" si="26"/>
        <v>0410120190</v>
      </c>
      <c r="K407"/>
    </row>
    <row r="408" spans="1:11" s="292" customFormat="1" ht="22.5">
      <c r="A408" s="346" t="str">
        <f t="shared" si="24"/>
        <v>61905010410120190244</v>
      </c>
      <c r="B408" s="364">
        <v>619</v>
      </c>
      <c r="C408" s="365">
        <v>501</v>
      </c>
      <c r="D408" s="366" t="s">
        <v>2127</v>
      </c>
      <c r="E408" s="367" t="s">
        <v>31</v>
      </c>
      <c r="F408" s="368">
        <v>2492930</v>
      </c>
      <c r="G408" s="369">
        <v>2492930</v>
      </c>
      <c r="H408" s="345" t="str">
        <f t="shared" si="25"/>
        <v>0501</v>
      </c>
      <c r="I408" s="346" t="str">
        <f t="shared" si="26"/>
        <v>0410120190</v>
      </c>
      <c r="K408"/>
    </row>
    <row r="409" spans="1:11" s="292" customFormat="1" ht="22.5">
      <c r="A409" s="346" t="str">
        <f t="shared" si="24"/>
        <v>61905030430420300244</v>
      </c>
      <c r="B409" s="364">
        <v>619</v>
      </c>
      <c r="C409" s="365">
        <v>503</v>
      </c>
      <c r="D409" s="366" t="s">
        <v>2030</v>
      </c>
      <c r="E409" s="367" t="s">
        <v>31</v>
      </c>
      <c r="F409" s="368">
        <v>20489020</v>
      </c>
      <c r="G409" s="369">
        <v>20489020</v>
      </c>
      <c r="H409" s="345" t="str">
        <f t="shared" si="25"/>
        <v>0503</v>
      </c>
      <c r="I409" s="346" t="str">
        <f t="shared" si="26"/>
        <v>0430420300</v>
      </c>
      <c r="K409"/>
    </row>
    <row r="410" spans="1:11" s="292" customFormat="1" ht="22.5">
      <c r="A410" s="346" t="str">
        <f t="shared" si="24"/>
        <v>61905030430421070244</v>
      </c>
      <c r="B410" s="364">
        <v>619</v>
      </c>
      <c r="C410" s="365">
        <v>503</v>
      </c>
      <c r="D410" s="366" t="s">
        <v>2128</v>
      </c>
      <c r="E410" s="367" t="s">
        <v>31</v>
      </c>
      <c r="F410" s="368">
        <v>941720</v>
      </c>
      <c r="G410" s="369">
        <v>941720</v>
      </c>
      <c r="H410" s="345" t="str">
        <f t="shared" si="25"/>
        <v>0503</v>
      </c>
      <c r="I410" s="346" t="str">
        <f t="shared" si="26"/>
        <v>0430421070</v>
      </c>
      <c r="K410"/>
    </row>
    <row r="411" spans="1:11" s="292" customFormat="1" ht="22.5">
      <c r="A411" s="346" t="str">
        <f t="shared" si="24"/>
        <v>61908010710120060244</v>
      </c>
      <c r="B411" s="364">
        <v>619</v>
      </c>
      <c r="C411" s="365">
        <v>801</v>
      </c>
      <c r="D411" s="366" t="s">
        <v>1946</v>
      </c>
      <c r="E411" s="367" t="s">
        <v>31</v>
      </c>
      <c r="F411" s="368">
        <v>911500</v>
      </c>
      <c r="G411" s="369">
        <v>911500</v>
      </c>
      <c r="H411" s="345" t="str">
        <f t="shared" si="25"/>
        <v>0801</v>
      </c>
      <c r="I411" s="346" t="str">
        <f t="shared" si="26"/>
        <v>0710120060</v>
      </c>
      <c r="K411"/>
    </row>
    <row r="412" spans="1:11" s="292" customFormat="1" ht="22.5">
      <c r="A412" s="346" t="str">
        <f t="shared" si="24"/>
        <v>61908010710121130244</v>
      </c>
      <c r="B412" s="364">
        <v>619</v>
      </c>
      <c r="C412" s="365">
        <v>801</v>
      </c>
      <c r="D412" s="366" t="s">
        <v>2130</v>
      </c>
      <c r="E412" s="367" t="s">
        <v>31</v>
      </c>
      <c r="F412" s="368">
        <v>637500</v>
      </c>
      <c r="G412" s="369">
        <v>637500</v>
      </c>
      <c r="H412" s="345" t="str">
        <f t="shared" si="25"/>
        <v>0801</v>
      </c>
      <c r="I412" s="346" t="str">
        <f t="shared" si="26"/>
        <v>0710121130</v>
      </c>
      <c r="K412"/>
    </row>
    <row r="413" spans="1:11" s="292" customFormat="1" ht="22.5">
      <c r="A413" s="346" t="str">
        <f t="shared" si="24"/>
        <v>620011311Б0121120244</v>
      </c>
      <c r="B413" s="364">
        <v>620</v>
      </c>
      <c r="C413" s="365">
        <v>113</v>
      </c>
      <c r="D413" s="366" t="s">
        <v>1175</v>
      </c>
      <c r="E413" s="367" t="s">
        <v>31</v>
      </c>
      <c r="F413" s="368">
        <v>71660</v>
      </c>
      <c r="G413" s="369">
        <v>71660</v>
      </c>
      <c r="H413" s="345" t="str">
        <f t="shared" si="25"/>
        <v>0113</v>
      </c>
      <c r="I413" s="346" t="str">
        <f t="shared" si="26"/>
        <v>11Б0121120</v>
      </c>
      <c r="K413"/>
    </row>
    <row r="414" spans="1:11" s="292" customFormat="1" ht="22.5">
      <c r="A414" s="346" t="str">
        <f t="shared" si="24"/>
        <v>62001138310020050831</v>
      </c>
      <c r="B414" s="364">
        <v>620</v>
      </c>
      <c r="C414" s="365">
        <v>113</v>
      </c>
      <c r="D414" s="366" t="s">
        <v>2154</v>
      </c>
      <c r="E414" s="367" t="s">
        <v>192</v>
      </c>
      <c r="F414" s="368">
        <v>500000</v>
      </c>
      <c r="G414" s="369">
        <v>500000</v>
      </c>
      <c r="H414" s="345" t="str">
        <f t="shared" si="25"/>
        <v>0113</v>
      </c>
      <c r="I414" s="346" t="str">
        <f t="shared" si="26"/>
        <v>8310020050</v>
      </c>
      <c r="K414"/>
    </row>
    <row r="415" spans="1:11" s="292" customFormat="1" ht="22.5">
      <c r="A415" s="346" t="str">
        <f t="shared" si="24"/>
        <v>62004070430111010611</v>
      </c>
      <c r="B415" s="364">
        <v>620</v>
      </c>
      <c r="C415" s="365">
        <v>407</v>
      </c>
      <c r="D415" s="366" t="s">
        <v>2156</v>
      </c>
      <c r="E415" s="367" t="s">
        <v>406</v>
      </c>
      <c r="F415" s="368">
        <v>13544600.1</v>
      </c>
      <c r="G415" s="369">
        <v>13544600.1</v>
      </c>
      <c r="H415" s="345" t="str">
        <f t="shared" si="25"/>
        <v>0407</v>
      </c>
      <c r="I415" s="346" t="str">
        <f t="shared" si="26"/>
        <v>0430111010</v>
      </c>
      <c r="K415"/>
    </row>
    <row r="416" spans="1:11" s="292" customFormat="1" ht="22.5">
      <c r="A416" s="346" t="str">
        <f t="shared" si="24"/>
        <v>62004070430111010612</v>
      </c>
      <c r="B416" s="364">
        <v>620</v>
      </c>
      <c r="C416" s="365">
        <v>407</v>
      </c>
      <c r="D416" s="366" t="s">
        <v>2156</v>
      </c>
      <c r="E416" s="367" t="s">
        <v>408</v>
      </c>
      <c r="F416" s="368">
        <v>550000</v>
      </c>
      <c r="G416" s="369">
        <v>550000</v>
      </c>
      <c r="H416" s="345" t="str">
        <f t="shared" si="25"/>
        <v>0407</v>
      </c>
      <c r="I416" s="346" t="str">
        <f t="shared" si="26"/>
        <v>0430111010</v>
      </c>
      <c r="K416"/>
    </row>
    <row r="417" spans="1:11" s="292" customFormat="1" ht="22.5">
      <c r="A417" s="346" t="str">
        <f t="shared" si="24"/>
        <v>62004080420111010611</v>
      </c>
      <c r="B417" s="364">
        <v>620</v>
      </c>
      <c r="C417" s="365">
        <v>408</v>
      </c>
      <c r="D417" s="366" t="s">
        <v>2159</v>
      </c>
      <c r="E417" s="367" t="s">
        <v>406</v>
      </c>
      <c r="F417" s="368">
        <v>4159857.55</v>
      </c>
      <c r="G417" s="369">
        <v>4159857.55</v>
      </c>
      <c r="H417" s="345" t="str">
        <f t="shared" si="25"/>
        <v>0408</v>
      </c>
      <c r="I417" s="346" t="str">
        <f t="shared" si="26"/>
        <v>0420111010</v>
      </c>
      <c r="K417"/>
    </row>
    <row r="418" spans="1:11" s="292" customFormat="1" ht="22.5">
      <c r="A418" s="346" t="str">
        <f t="shared" si="24"/>
        <v>62004080420160020812</v>
      </c>
      <c r="B418" s="364">
        <v>620</v>
      </c>
      <c r="C418" s="365">
        <v>408</v>
      </c>
      <c r="D418" s="366" t="s">
        <v>2160</v>
      </c>
      <c r="E418" s="367" t="s">
        <v>208</v>
      </c>
      <c r="F418" s="368">
        <v>11796870</v>
      </c>
      <c r="G418" s="369">
        <v>21564000</v>
      </c>
      <c r="H418" s="345" t="str">
        <f t="shared" si="25"/>
        <v>0408</v>
      </c>
      <c r="I418" s="346" t="str">
        <f t="shared" si="26"/>
        <v>0420160020</v>
      </c>
      <c r="K418"/>
    </row>
    <row r="419" spans="1:11" s="292" customFormat="1" ht="22.5">
      <c r="A419" s="346" t="str">
        <f t="shared" si="24"/>
        <v>62004080420160070812</v>
      </c>
      <c r="B419" s="364">
        <v>620</v>
      </c>
      <c r="C419" s="365">
        <v>408</v>
      </c>
      <c r="D419" s="366" t="s">
        <v>2161</v>
      </c>
      <c r="E419" s="367" t="s">
        <v>208</v>
      </c>
      <c r="F419" s="368">
        <v>39225506.439999998</v>
      </c>
      <c r="G419" s="369">
        <v>0</v>
      </c>
      <c r="H419" s="345" t="str">
        <f t="shared" si="25"/>
        <v>0408</v>
      </c>
      <c r="I419" s="346" t="str">
        <f t="shared" si="26"/>
        <v>0420160070</v>
      </c>
      <c r="K419"/>
    </row>
    <row r="420" spans="1:11" s="292" customFormat="1" ht="22.5">
      <c r="A420" s="346" t="str">
        <f t="shared" si="24"/>
        <v>62004089810021170244</v>
      </c>
      <c r="B420" s="364">
        <v>620</v>
      </c>
      <c r="C420" s="365">
        <v>408</v>
      </c>
      <c r="D420" s="366" t="s">
        <v>2163</v>
      </c>
      <c r="E420" s="367" t="s">
        <v>31</v>
      </c>
      <c r="F420" s="368">
        <v>12</v>
      </c>
      <c r="G420" s="369">
        <v>12</v>
      </c>
      <c r="H420" s="345" t="str">
        <f t="shared" si="25"/>
        <v>0408</v>
      </c>
      <c r="I420" s="346" t="str">
        <f t="shared" si="26"/>
        <v>9810021170</v>
      </c>
      <c r="K420"/>
    </row>
    <row r="421" spans="1:11" s="292" customFormat="1" ht="22.5">
      <c r="A421" s="346" t="str">
        <f t="shared" si="24"/>
        <v>620040902Б0220560244</v>
      </c>
      <c r="B421" s="364">
        <v>620</v>
      </c>
      <c r="C421" s="365">
        <v>409</v>
      </c>
      <c r="D421" s="366" t="s">
        <v>1237</v>
      </c>
      <c r="E421" s="367" t="s">
        <v>31</v>
      </c>
      <c r="F421" s="368">
        <v>5251460</v>
      </c>
      <c r="G421" s="369">
        <v>5251460</v>
      </c>
      <c r="H421" s="345" t="str">
        <f t="shared" si="25"/>
        <v>0409</v>
      </c>
      <c r="I421" s="346" t="str">
        <f t="shared" si="26"/>
        <v>02Б0220560</v>
      </c>
      <c r="K421"/>
    </row>
    <row r="422" spans="1:11" s="292" customFormat="1" ht="22.5">
      <c r="A422" s="346" t="str">
        <f t="shared" si="24"/>
        <v>62004090420220130244</v>
      </c>
      <c r="B422" s="364">
        <v>620</v>
      </c>
      <c r="C422" s="365">
        <v>409</v>
      </c>
      <c r="D422" s="366" t="s">
        <v>2164</v>
      </c>
      <c r="E422" s="367" t="s">
        <v>31</v>
      </c>
      <c r="F422" s="368">
        <v>70362130</v>
      </c>
      <c r="G422" s="369">
        <v>70362130</v>
      </c>
      <c r="H422" s="345" t="str">
        <f t="shared" si="25"/>
        <v>0409</v>
      </c>
      <c r="I422" s="346" t="str">
        <f t="shared" si="26"/>
        <v>0420220130</v>
      </c>
      <c r="K422"/>
    </row>
    <row r="423" spans="1:11" s="292" customFormat="1" ht="22.5">
      <c r="A423" s="346" t="str">
        <f t="shared" si="24"/>
        <v>62004090420220830244</v>
      </c>
      <c r="B423" s="364">
        <v>620</v>
      </c>
      <c r="C423" s="365">
        <v>409</v>
      </c>
      <c r="D423" s="366" t="s">
        <v>2165</v>
      </c>
      <c r="E423" s="367" t="s">
        <v>31</v>
      </c>
      <c r="F423" s="368">
        <v>1350000</v>
      </c>
      <c r="G423" s="369">
        <v>1350000</v>
      </c>
      <c r="H423" s="345" t="str">
        <f t="shared" si="25"/>
        <v>0409</v>
      </c>
      <c r="I423" s="346" t="str">
        <f t="shared" si="26"/>
        <v>0420220830</v>
      </c>
      <c r="K423"/>
    </row>
    <row r="424" spans="1:11" s="292" customFormat="1" ht="22.5">
      <c r="A424" s="346" t="str">
        <f t="shared" si="24"/>
        <v>62004090420221180414</v>
      </c>
      <c r="B424" s="364">
        <v>620</v>
      </c>
      <c r="C424" s="365">
        <v>409</v>
      </c>
      <c r="D424" s="366" t="s">
        <v>2166</v>
      </c>
      <c r="E424" s="367" t="s">
        <v>840</v>
      </c>
      <c r="F424" s="368">
        <v>4435280</v>
      </c>
      <c r="G424" s="369">
        <v>22697920</v>
      </c>
      <c r="H424" s="345" t="str">
        <f t="shared" si="25"/>
        <v>0409</v>
      </c>
      <c r="I424" s="346" t="str">
        <f t="shared" si="26"/>
        <v>0420221180</v>
      </c>
      <c r="K424"/>
    </row>
    <row r="425" spans="1:11" s="292" customFormat="1" ht="22.5">
      <c r="A425" s="346" t="str">
        <f t="shared" si="24"/>
        <v>62004090420260090811</v>
      </c>
      <c r="B425" s="364">
        <v>620</v>
      </c>
      <c r="C425" s="365">
        <v>409</v>
      </c>
      <c r="D425" s="366" t="s">
        <v>2167</v>
      </c>
      <c r="E425" s="367" t="s">
        <v>206</v>
      </c>
      <c r="F425" s="368">
        <v>26441060</v>
      </c>
      <c r="G425" s="369">
        <v>26441060</v>
      </c>
      <c r="H425" s="345" t="str">
        <f t="shared" si="25"/>
        <v>0409</v>
      </c>
      <c r="I425" s="346" t="str">
        <f t="shared" si="26"/>
        <v>0420260090</v>
      </c>
      <c r="K425"/>
    </row>
    <row r="426" spans="1:11" s="292" customFormat="1" ht="22.5">
      <c r="A426" s="346" t="str">
        <f t="shared" si="24"/>
        <v>62004090420276411244</v>
      </c>
      <c r="B426" s="364">
        <v>620</v>
      </c>
      <c r="C426" s="365">
        <v>409</v>
      </c>
      <c r="D426" s="366" t="s">
        <v>2168</v>
      </c>
      <c r="E426" s="367" t="s">
        <v>31</v>
      </c>
      <c r="F426" s="368">
        <v>18688990</v>
      </c>
      <c r="G426" s="369">
        <v>18688990</v>
      </c>
      <c r="H426" s="345" t="str">
        <f t="shared" si="25"/>
        <v>0409</v>
      </c>
      <c r="I426" s="346" t="str">
        <f t="shared" si="26"/>
        <v>0420276411</v>
      </c>
      <c r="K426"/>
    </row>
    <row r="427" spans="1:11" s="292" customFormat="1" ht="22.5">
      <c r="A427" s="346" t="str">
        <f t="shared" si="24"/>
        <v>620040904202S6411244</v>
      </c>
      <c r="B427" s="364">
        <v>620</v>
      </c>
      <c r="C427" s="365">
        <v>409</v>
      </c>
      <c r="D427" s="366" t="s">
        <v>2173</v>
      </c>
      <c r="E427" s="367" t="s">
        <v>31</v>
      </c>
      <c r="F427" s="368">
        <v>1689580</v>
      </c>
      <c r="G427" s="369">
        <v>1689580</v>
      </c>
      <c r="H427" s="345" t="str">
        <f t="shared" si="25"/>
        <v>0409</v>
      </c>
      <c r="I427" s="346" t="str">
        <f t="shared" si="26"/>
        <v>04202S6411</v>
      </c>
      <c r="K427"/>
    </row>
    <row r="428" spans="1:11" s="292" customFormat="1" ht="22.5">
      <c r="A428" s="346" t="str">
        <f t="shared" si="24"/>
        <v>620040904202S6460244</v>
      </c>
      <c r="B428" s="364">
        <v>620</v>
      </c>
      <c r="C428" s="365">
        <v>409</v>
      </c>
      <c r="D428" s="366" t="s">
        <v>1238</v>
      </c>
      <c r="E428" s="367" t="s">
        <v>31</v>
      </c>
      <c r="F428" s="368">
        <v>14841269.85</v>
      </c>
      <c r="G428" s="369">
        <v>14841269.85</v>
      </c>
      <c r="H428" s="345" t="str">
        <f t="shared" si="25"/>
        <v>0409</v>
      </c>
      <c r="I428" s="346" t="str">
        <f t="shared" si="26"/>
        <v>04202S6460</v>
      </c>
      <c r="K428"/>
    </row>
    <row r="429" spans="1:11" s="292" customFormat="1" ht="22.5">
      <c r="A429" s="346" t="str">
        <f t="shared" si="24"/>
        <v>62004090420311010611</v>
      </c>
      <c r="B429" s="364">
        <v>620</v>
      </c>
      <c r="C429" s="365">
        <v>409</v>
      </c>
      <c r="D429" s="366" t="s">
        <v>2175</v>
      </c>
      <c r="E429" s="367" t="s">
        <v>406</v>
      </c>
      <c r="F429" s="368">
        <v>42745982.229999997</v>
      </c>
      <c r="G429" s="369">
        <v>42745982.229999997</v>
      </c>
      <c r="H429" s="345" t="str">
        <f t="shared" si="25"/>
        <v>0409</v>
      </c>
      <c r="I429" s="346" t="str">
        <f t="shared" si="26"/>
        <v>0420311010</v>
      </c>
      <c r="K429"/>
    </row>
    <row r="430" spans="1:11" s="292" customFormat="1" ht="22.5">
      <c r="A430" s="346" t="str">
        <f t="shared" si="24"/>
        <v>62004090420311010612</v>
      </c>
      <c r="B430" s="364">
        <v>620</v>
      </c>
      <c r="C430" s="365">
        <v>409</v>
      </c>
      <c r="D430" s="366" t="s">
        <v>2175</v>
      </c>
      <c r="E430" s="367" t="s">
        <v>408</v>
      </c>
      <c r="F430" s="368">
        <v>800000</v>
      </c>
      <c r="G430" s="369">
        <v>800000</v>
      </c>
      <c r="H430" s="345" t="str">
        <f t="shared" si="25"/>
        <v>0409</v>
      </c>
      <c r="I430" s="346" t="str">
        <f t="shared" si="26"/>
        <v>0420311010</v>
      </c>
      <c r="K430"/>
    </row>
    <row r="431" spans="1:11" s="292" customFormat="1" ht="22.5">
      <c r="A431" s="346" t="str">
        <f t="shared" si="24"/>
        <v>62004090420320570244</v>
      </c>
      <c r="B431" s="364">
        <v>620</v>
      </c>
      <c r="C431" s="365">
        <v>409</v>
      </c>
      <c r="D431" s="366" t="s">
        <v>2176</v>
      </c>
      <c r="E431" s="367" t="s">
        <v>31</v>
      </c>
      <c r="F431" s="368">
        <v>8943848</v>
      </c>
      <c r="G431" s="369">
        <v>8943848</v>
      </c>
      <c r="H431" s="345" t="str">
        <f t="shared" si="25"/>
        <v>0409</v>
      </c>
      <c r="I431" s="346" t="str">
        <f t="shared" si="26"/>
        <v>0420320570</v>
      </c>
      <c r="K431"/>
    </row>
    <row r="432" spans="1:11" s="292" customFormat="1" ht="22.5">
      <c r="A432" s="346" t="str">
        <f t="shared" si="24"/>
        <v>62005010410120200244</v>
      </c>
      <c r="B432" s="364">
        <v>620</v>
      </c>
      <c r="C432" s="365">
        <v>501</v>
      </c>
      <c r="D432" s="366" t="s">
        <v>2179</v>
      </c>
      <c r="E432" s="367" t="s">
        <v>31</v>
      </c>
      <c r="F432" s="368">
        <v>90000</v>
      </c>
      <c r="G432" s="369">
        <v>90000</v>
      </c>
      <c r="H432" s="345" t="str">
        <f t="shared" si="25"/>
        <v>0501</v>
      </c>
      <c r="I432" s="346" t="str">
        <f t="shared" si="26"/>
        <v>0410120200</v>
      </c>
      <c r="K432"/>
    </row>
    <row r="433" spans="1:11" s="292" customFormat="1" ht="22.5">
      <c r="A433" s="346" t="str">
        <f t="shared" si="24"/>
        <v>62005020410220220244</v>
      </c>
      <c r="B433" s="364">
        <v>620</v>
      </c>
      <c r="C433" s="365">
        <v>502</v>
      </c>
      <c r="D433" s="366" t="s">
        <v>2180</v>
      </c>
      <c r="E433" s="367" t="s">
        <v>31</v>
      </c>
      <c r="F433" s="368">
        <v>20000</v>
      </c>
      <c r="G433" s="369">
        <v>20000</v>
      </c>
      <c r="H433" s="345" t="str">
        <f t="shared" si="25"/>
        <v>0502</v>
      </c>
      <c r="I433" s="346" t="str">
        <f t="shared" si="26"/>
        <v>0410220220</v>
      </c>
      <c r="K433"/>
    </row>
    <row r="434" spans="1:11" s="292" customFormat="1" ht="22.5">
      <c r="A434" s="346" t="str">
        <f t="shared" si="24"/>
        <v>62005030430220290244</v>
      </c>
      <c r="B434" s="364">
        <v>620</v>
      </c>
      <c r="C434" s="365">
        <v>503</v>
      </c>
      <c r="D434" s="366" t="s">
        <v>2183</v>
      </c>
      <c r="E434" s="367" t="s">
        <v>31</v>
      </c>
      <c r="F434" s="368">
        <v>16821770</v>
      </c>
      <c r="G434" s="369">
        <v>16821770</v>
      </c>
      <c r="H434" s="345" t="str">
        <f t="shared" si="25"/>
        <v>0503</v>
      </c>
      <c r="I434" s="346" t="str">
        <f t="shared" si="26"/>
        <v>0430220290</v>
      </c>
      <c r="K434"/>
    </row>
    <row r="435" spans="1:11" s="292" customFormat="1" ht="22.5">
      <c r="A435" s="346" t="str">
        <f t="shared" si="24"/>
        <v>62005030430377150244</v>
      </c>
      <c r="B435" s="364">
        <v>620</v>
      </c>
      <c r="C435" s="365">
        <v>503</v>
      </c>
      <c r="D435" s="366" t="s">
        <v>2184</v>
      </c>
      <c r="E435" s="367" t="s">
        <v>31</v>
      </c>
      <c r="F435" s="368">
        <v>2284560</v>
      </c>
      <c r="G435" s="369">
        <v>2284560</v>
      </c>
      <c r="H435" s="345" t="str">
        <f t="shared" si="25"/>
        <v>0503</v>
      </c>
      <c r="I435" s="346" t="str">
        <f t="shared" si="26"/>
        <v>0430377150</v>
      </c>
      <c r="K435"/>
    </row>
    <row r="436" spans="1:11" s="292" customFormat="1" ht="22.5">
      <c r="A436" s="346" t="str">
        <f t="shared" si="24"/>
        <v>62005030430411010611</v>
      </c>
      <c r="B436" s="364">
        <v>620</v>
      </c>
      <c r="C436" s="365">
        <v>503</v>
      </c>
      <c r="D436" s="366" t="s">
        <v>2185</v>
      </c>
      <c r="E436" s="367" t="s">
        <v>406</v>
      </c>
      <c r="F436" s="368">
        <v>18163381.32</v>
      </c>
      <c r="G436" s="369">
        <v>18163381.32</v>
      </c>
      <c r="H436" s="345" t="str">
        <f t="shared" ref="H436:H467" si="27">TEXT(C436,"0000")</f>
        <v>0503</v>
      </c>
      <c r="I436" s="346" t="str">
        <f t="shared" ref="I436:I467" si="28">TEXT(D436,"0000000000")</f>
        <v>0430411010</v>
      </c>
      <c r="K436"/>
    </row>
    <row r="437" spans="1:11" s="292" customFormat="1" ht="22.5">
      <c r="A437" s="346" t="str">
        <f t="shared" si="24"/>
        <v>62005030430420280244</v>
      </c>
      <c r="B437" s="364">
        <v>620</v>
      </c>
      <c r="C437" s="365">
        <v>503</v>
      </c>
      <c r="D437" s="366" t="s">
        <v>2186</v>
      </c>
      <c r="E437" s="367" t="s">
        <v>31</v>
      </c>
      <c r="F437" s="368">
        <v>105992620</v>
      </c>
      <c r="G437" s="369">
        <v>105992620</v>
      </c>
      <c r="H437" s="345" t="str">
        <f t="shared" si="27"/>
        <v>0503</v>
      </c>
      <c r="I437" s="346" t="str">
        <f t="shared" si="28"/>
        <v>0430420280</v>
      </c>
      <c r="K437"/>
    </row>
    <row r="438" spans="1:11" s="292" customFormat="1" ht="22.5">
      <c r="A438" s="346" t="str">
        <f t="shared" si="24"/>
        <v>62005030430420300244</v>
      </c>
      <c r="B438" s="364">
        <v>620</v>
      </c>
      <c r="C438" s="365">
        <v>503</v>
      </c>
      <c r="D438" s="366" t="s">
        <v>2030</v>
      </c>
      <c r="E438" s="367" t="s">
        <v>31</v>
      </c>
      <c r="F438" s="368">
        <v>8531510</v>
      </c>
      <c r="G438" s="369">
        <v>8531510</v>
      </c>
      <c r="H438" s="345" t="str">
        <f t="shared" si="27"/>
        <v>0503</v>
      </c>
      <c r="I438" s="346" t="str">
        <f t="shared" si="28"/>
        <v>0430420300</v>
      </c>
      <c r="K438"/>
    </row>
    <row r="439" spans="1:11" s="292" customFormat="1" ht="22.5">
      <c r="A439" s="346" t="str">
        <f t="shared" si="24"/>
        <v>62005030430420780244</v>
      </c>
      <c r="B439" s="364">
        <v>620</v>
      </c>
      <c r="C439" s="365">
        <v>503</v>
      </c>
      <c r="D439" s="366" t="s">
        <v>2187</v>
      </c>
      <c r="E439" s="367" t="s">
        <v>31</v>
      </c>
      <c r="F439" s="368">
        <v>34467690</v>
      </c>
      <c r="G439" s="369">
        <v>34467690</v>
      </c>
      <c r="H439" s="345" t="str">
        <f t="shared" si="27"/>
        <v>0503</v>
      </c>
      <c r="I439" s="346" t="str">
        <f t="shared" si="28"/>
        <v>0430420780</v>
      </c>
      <c r="K439"/>
    </row>
    <row r="440" spans="1:11" s="292" customFormat="1" ht="22.5">
      <c r="A440" s="346" t="str">
        <f t="shared" si="24"/>
        <v>62005030430476413244</v>
      </c>
      <c r="B440" s="364">
        <v>620</v>
      </c>
      <c r="C440" s="365">
        <v>503</v>
      </c>
      <c r="D440" s="366" t="s">
        <v>2188</v>
      </c>
      <c r="E440" s="367" t="s">
        <v>31</v>
      </c>
      <c r="F440" s="368">
        <v>14838060</v>
      </c>
      <c r="G440" s="369">
        <v>14838060</v>
      </c>
      <c r="H440" s="345" t="str">
        <f t="shared" si="27"/>
        <v>0503</v>
      </c>
      <c r="I440" s="346" t="str">
        <f t="shared" si="28"/>
        <v>0430476413</v>
      </c>
      <c r="K440"/>
    </row>
    <row r="441" spans="1:11" s="292" customFormat="1" ht="22.5">
      <c r="A441" s="346" t="str">
        <f t="shared" si="24"/>
        <v>620050304304S6413244</v>
      </c>
      <c r="B441" s="364">
        <v>620</v>
      </c>
      <c r="C441" s="365">
        <v>503</v>
      </c>
      <c r="D441" s="366" t="s">
        <v>2193</v>
      </c>
      <c r="E441" s="367" t="s">
        <v>31</v>
      </c>
      <c r="F441" s="368">
        <v>942000</v>
      </c>
      <c r="G441" s="369">
        <v>942000</v>
      </c>
      <c r="H441" s="345" t="str">
        <f t="shared" si="27"/>
        <v>0503</v>
      </c>
      <c r="I441" s="346" t="str">
        <f t="shared" si="28"/>
        <v>04304S6413</v>
      </c>
      <c r="K441"/>
    </row>
    <row r="442" spans="1:11" s="292" customFormat="1" ht="22.5">
      <c r="A442" s="346" t="str">
        <f t="shared" si="24"/>
        <v>620050317Б0220490244</v>
      </c>
      <c r="B442" s="364">
        <v>620</v>
      </c>
      <c r="C442" s="365">
        <v>503</v>
      </c>
      <c r="D442" s="366" t="s">
        <v>1241</v>
      </c>
      <c r="E442" s="367" t="s">
        <v>31</v>
      </c>
      <c r="F442" s="368">
        <v>3385520</v>
      </c>
      <c r="G442" s="369">
        <v>3385520</v>
      </c>
      <c r="H442" s="345" t="str">
        <f t="shared" si="27"/>
        <v>0503</v>
      </c>
      <c r="I442" s="346" t="str">
        <f t="shared" si="28"/>
        <v>17Б0220490</v>
      </c>
      <c r="K442"/>
    </row>
    <row r="443" spans="1:11" s="292" customFormat="1" ht="22.5">
      <c r="A443" s="346" t="str">
        <f t="shared" si="24"/>
        <v>620050320Б01L5550244</v>
      </c>
      <c r="B443" s="364">
        <v>620</v>
      </c>
      <c r="C443" s="365">
        <v>503</v>
      </c>
      <c r="D443" s="366" t="s">
        <v>1244</v>
      </c>
      <c r="E443" s="367" t="s">
        <v>31</v>
      </c>
      <c r="F443" s="368">
        <v>5820105.7999999998</v>
      </c>
      <c r="G443" s="369">
        <v>7760134.4299999997</v>
      </c>
      <c r="H443" s="345" t="str">
        <f t="shared" si="27"/>
        <v>0503</v>
      </c>
      <c r="I443" s="346" t="str">
        <f t="shared" si="28"/>
        <v>20Б01L5550</v>
      </c>
      <c r="K443"/>
    </row>
    <row r="444" spans="1:11" s="292" customFormat="1" ht="22.5">
      <c r="A444" s="346" t="str">
        <f t="shared" si="24"/>
        <v>620050320Б02L5550244</v>
      </c>
      <c r="B444" s="364">
        <v>620</v>
      </c>
      <c r="C444" s="365">
        <v>503</v>
      </c>
      <c r="D444" s="366" t="s">
        <v>1246</v>
      </c>
      <c r="E444" s="367" t="s">
        <v>31</v>
      </c>
      <c r="F444" s="368">
        <v>2910057.91</v>
      </c>
      <c r="G444" s="369">
        <v>3880075.72</v>
      </c>
      <c r="H444" s="345" t="str">
        <f t="shared" si="27"/>
        <v>0503</v>
      </c>
      <c r="I444" s="346" t="str">
        <f t="shared" si="28"/>
        <v>20Б02L5550</v>
      </c>
      <c r="K444"/>
    </row>
    <row r="445" spans="1:11" s="292" customFormat="1" ht="22.5">
      <c r="A445" s="346" t="str">
        <f t="shared" si="24"/>
        <v>620050320Б0320300244</v>
      </c>
      <c r="B445" s="364">
        <v>620</v>
      </c>
      <c r="C445" s="365">
        <v>503</v>
      </c>
      <c r="D445" s="366" t="s">
        <v>1248</v>
      </c>
      <c r="E445" s="367" t="s">
        <v>31</v>
      </c>
      <c r="F445" s="368">
        <v>450000</v>
      </c>
      <c r="G445" s="369">
        <v>450000</v>
      </c>
      <c r="H445" s="345" t="str">
        <f t="shared" si="27"/>
        <v>0503</v>
      </c>
      <c r="I445" s="346" t="str">
        <f t="shared" si="28"/>
        <v>20Б0320300</v>
      </c>
      <c r="K445"/>
    </row>
    <row r="446" spans="1:11" s="292" customFormat="1" ht="22.5">
      <c r="A446" s="346" t="str">
        <f t="shared" si="24"/>
        <v>62005058310010010122</v>
      </c>
      <c r="B446" s="364">
        <v>620</v>
      </c>
      <c r="C446" s="365">
        <v>505</v>
      </c>
      <c r="D446" s="366" t="s">
        <v>2195</v>
      </c>
      <c r="E446" s="367" t="s">
        <v>23</v>
      </c>
      <c r="F446" s="368">
        <v>908442.5</v>
      </c>
      <c r="G446" s="369">
        <v>908442.5</v>
      </c>
      <c r="H446" s="345" t="str">
        <f t="shared" si="27"/>
        <v>0505</v>
      </c>
      <c r="I446" s="346" t="str">
        <f t="shared" si="28"/>
        <v>8310010010</v>
      </c>
      <c r="K446"/>
    </row>
    <row r="447" spans="1:11" s="292" customFormat="1" ht="22.5">
      <c r="A447" s="346" t="str">
        <f t="shared" si="24"/>
        <v>62005058310010010129</v>
      </c>
      <c r="B447" s="364">
        <v>620</v>
      </c>
      <c r="C447" s="365">
        <v>505</v>
      </c>
      <c r="D447" s="366" t="s">
        <v>2195</v>
      </c>
      <c r="E447" s="367" t="s">
        <v>27</v>
      </c>
      <c r="F447" s="368">
        <v>274317.5</v>
      </c>
      <c r="G447" s="369">
        <v>274317.5</v>
      </c>
      <c r="H447" s="345" t="str">
        <f t="shared" si="27"/>
        <v>0505</v>
      </c>
      <c r="I447" s="346" t="str">
        <f t="shared" si="28"/>
        <v>8310010010</v>
      </c>
      <c r="K447"/>
    </row>
    <row r="448" spans="1:11" s="292" customFormat="1" ht="22.5">
      <c r="A448" s="346" t="str">
        <f t="shared" si="24"/>
        <v>62005058310010010244</v>
      </c>
      <c r="B448" s="364">
        <v>620</v>
      </c>
      <c r="C448" s="365">
        <v>505</v>
      </c>
      <c r="D448" s="366" t="s">
        <v>2195</v>
      </c>
      <c r="E448" s="367" t="s">
        <v>31</v>
      </c>
      <c r="F448" s="368">
        <v>5455970</v>
      </c>
      <c r="G448" s="369">
        <v>5455970</v>
      </c>
      <c r="H448" s="345" t="str">
        <f t="shared" si="27"/>
        <v>0505</v>
      </c>
      <c r="I448" s="346" t="str">
        <f t="shared" si="28"/>
        <v>8310010010</v>
      </c>
      <c r="K448"/>
    </row>
    <row r="449" spans="1:11" s="292" customFormat="1" ht="22.5">
      <c r="A449" s="346" t="str">
        <f t="shared" si="24"/>
        <v>62005058310010010851</v>
      </c>
      <c r="B449" s="364">
        <v>620</v>
      </c>
      <c r="C449" s="365">
        <v>505</v>
      </c>
      <c r="D449" s="366" t="s">
        <v>2195</v>
      </c>
      <c r="E449" s="367" t="s">
        <v>35</v>
      </c>
      <c r="F449" s="368">
        <v>69000</v>
      </c>
      <c r="G449" s="369">
        <v>69000</v>
      </c>
      <c r="H449" s="345" t="str">
        <f t="shared" si="27"/>
        <v>0505</v>
      </c>
      <c r="I449" s="346" t="str">
        <f t="shared" si="28"/>
        <v>8310010010</v>
      </c>
      <c r="K449"/>
    </row>
    <row r="450" spans="1:11" s="292" customFormat="1" ht="22.5">
      <c r="A450" s="346" t="str">
        <f t="shared" si="24"/>
        <v>62005058310010010852</v>
      </c>
      <c r="B450" s="364">
        <v>620</v>
      </c>
      <c r="C450" s="365">
        <v>505</v>
      </c>
      <c r="D450" s="366" t="s">
        <v>2195</v>
      </c>
      <c r="E450" s="367" t="s">
        <v>37</v>
      </c>
      <c r="F450" s="368">
        <v>40000</v>
      </c>
      <c r="G450" s="369">
        <v>40000</v>
      </c>
      <c r="H450" s="345" t="str">
        <f t="shared" si="27"/>
        <v>0505</v>
      </c>
      <c r="I450" s="346" t="str">
        <f t="shared" si="28"/>
        <v>8310010010</v>
      </c>
      <c r="K450"/>
    </row>
    <row r="451" spans="1:11" s="292" customFormat="1" ht="22.5">
      <c r="A451" s="346" t="str">
        <f t="shared" si="24"/>
        <v>62005058310010020121</v>
      </c>
      <c r="B451" s="364">
        <v>620</v>
      </c>
      <c r="C451" s="365">
        <v>505</v>
      </c>
      <c r="D451" s="366" t="s">
        <v>2196</v>
      </c>
      <c r="E451" s="367" t="s">
        <v>41</v>
      </c>
      <c r="F451" s="368">
        <v>33449356.600000001</v>
      </c>
      <c r="G451" s="369">
        <v>33449356.600000001</v>
      </c>
      <c r="H451" s="345" t="str">
        <f t="shared" si="27"/>
        <v>0505</v>
      </c>
      <c r="I451" s="346" t="str">
        <f t="shared" si="28"/>
        <v>8310010020</v>
      </c>
      <c r="K451"/>
    </row>
    <row r="452" spans="1:11" s="292" customFormat="1" ht="22.5">
      <c r="A452" s="346" t="str">
        <f t="shared" si="24"/>
        <v>62005058310010020129</v>
      </c>
      <c r="B452" s="364">
        <v>620</v>
      </c>
      <c r="C452" s="365">
        <v>505</v>
      </c>
      <c r="D452" s="366" t="s">
        <v>2196</v>
      </c>
      <c r="E452" s="367" t="s">
        <v>27</v>
      </c>
      <c r="F452" s="368">
        <v>10101710.15</v>
      </c>
      <c r="G452" s="369">
        <v>10101710.15</v>
      </c>
      <c r="H452" s="345" t="str">
        <f t="shared" si="27"/>
        <v>0505</v>
      </c>
      <c r="I452" s="346" t="str">
        <f t="shared" si="28"/>
        <v>8310010020</v>
      </c>
      <c r="K452"/>
    </row>
    <row r="453" spans="1:11" s="292" customFormat="1" ht="22.5">
      <c r="A453" s="346" t="str">
        <f t="shared" si="24"/>
        <v>62008010710120060244</v>
      </c>
      <c r="B453" s="364">
        <v>620</v>
      </c>
      <c r="C453" s="365">
        <v>801</v>
      </c>
      <c r="D453" s="366" t="s">
        <v>1946</v>
      </c>
      <c r="E453" s="367" t="s">
        <v>31</v>
      </c>
      <c r="F453" s="368">
        <v>1162500</v>
      </c>
      <c r="G453" s="369">
        <v>1162500</v>
      </c>
      <c r="H453" s="345" t="str">
        <f t="shared" si="27"/>
        <v>0801</v>
      </c>
      <c r="I453" s="346" t="str">
        <f t="shared" si="28"/>
        <v>0710120060</v>
      </c>
      <c r="K453"/>
    </row>
    <row r="454" spans="1:11" s="292" customFormat="1" ht="22.5">
      <c r="A454" s="346" t="str">
        <f t="shared" si="24"/>
        <v>62010030320380020811</v>
      </c>
      <c r="B454" s="364">
        <v>620</v>
      </c>
      <c r="C454" s="365">
        <v>1003</v>
      </c>
      <c r="D454" s="366" t="s">
        <v>2198</v>
      </c>
      <c r="E454" s="367" t="s">
        <v>206</v>
      </c>
      <c r="F454" s="368">
        <v>2109260</v>
      </c>
      <c r="G454" s="369">
        <v>2109260</v>
      </c>
      <c r="H454" s="345" t="str">
        <f t="shared" si="27"/>
        <v>1003</v>
      </c>
      <c r="I454" s="346" t="str">
        <f t="shared" si="28"/>
        <v>0320380020</v>
      </c>
      <c r="K454"/>
    </row>
    <row r="455" spans="1:11" s="292" customFormat="1" ht="22.5">
      <c r="A455" s="346" t="str">
        <f t="shared" si="24"/>
        <v>62010030320480220812</v>
      </c>
      <c r="B455" s="364">
        <v>620</v>
      </c>
      <c r="C455" s="365">
        <v>1003</v>
      </c>
      <c r="D455" s="366" t="s">
        <v>2199</v>
      </c>
      <c r="E455" s="367" t="s">
        <v>208</v>
      </c>
      <c r="F455" s="368">
        <v>21376520</v>
      </c>
      <c r="G455" s="369">
        <v>22290430</v>
      </c>
      <c r="H455" s="345" t="str">
        <f t="shared" si="27"/>
        <v>1003</v>
      </c>
      <c r="I455" s="346" t="str">
        <f t="shared" si="28"/>
        <v>0320480220</v>
      </c>
      <c r="K455"/>
    </row>
    <row r="456" spans="1:11" s="292" customFormat="1" ht="22.5">
      <c r="A456" s="346" t="str">
        <f t="shared" si="24"/>
        <v>62101138410010010122</v>
      </c>
      <c r="B456" s="364">
        <v>621</v>
      </c>
      <c r="C456" s="365">
        <v>113</v>
      </c>
      <c r="D456" s="366" t="s">
        <v>2200</v>
      </c>
      <c r="E456" s="367" t="s">
        <v>23</v>
      </c>
      <c r="F456" s="368">
        <v>763770</v>
      </c>
      <c r="G456" s="369">
        <v>763770</v>
      </c>
      <c r="H456" s="345" t="str">
        <f t="shared" si="27"/>
        <v>0113</v>
      </c>
      <c r="I456" s="346" t="str">
        <f t="shared" si="28"/>
        <v>8410010010</v>
      </c>
      <c r="K456"/>
    </row>
    <row r="457" spans="1:11" s="292" customFormat="1" ht="22.5">
      <c r="A457" s="346" t="str">
        <f t="shared" ref="A457:A509" si="29">B457&amp;H457&amp;I457&amp;E457</f>
        <v>62101138410010010129</v>
      </c>
      <c r="B457" s="364">
        <v>621</v>
      </c>
      <c r="C457" s="365">
        <v>113</v>
      </c>
      <c r="D457" s="366" t="s">
        <v>2200</v>
      </c>
      <c r="E457" s="367" t="s">
        <v>27</v>
      </c>
      <c r="F457" s="368">
        <v>230660</v>
      </c>
      <c r="G457" s="369">
        <v>230660</v>
      </c>
      <c r="H457" s="345" t="str">
        <f t="shared" si="27"/>
        <v>0113</v>
      </c>
      <c r="I457" s="346" t="str">
        <f t="shared" si="28"/>
        <v>8410010010</v>
      </c>
      <c r="K457"/>
    </row>
    <row r="458" spans="1:11" s="292" customFormat="1" ht="22.5">
      <c r="A458" s="346" t="str">
        <f t="shared" si="29"/>
        <v>62101138410010010244</v>
      </c>
      <c r="B458" s="364">
        <v>621</v>
      </c>
      <c r="C458" s="365">
        <v>113</v>
      </c>
      <c r="D458" s="366" t="s">
        <v>2200</v>
      </c>
      <c r="E458" s="367" t="s">
        <v>31</v>
      </c>
      <c r="F458" s="368">
        <v>2863850</v>
      </c>
      <c r="G458" s="369">
        <v>2863850</v>
      </c>
      <c r="H458" s="345" t="str">
        <f t="shared" si="27"/>
        <v>0113</v>
      </c>
      <c r="I458" s="346" t="str">
        <f t="shared" si="28"/>
        <v>8410010010</v>
      </c>
      <c r="K458"/>
    </row>
    <row r="459" spans="1:11" s="292" customFormat="1" ht="22.5">
      <c r="A459" s="346" t="str">
        <f t="shared" si="29"/>
        <v>62101138410010010851</v>
      </c>
      <c r="B459" s="364">
        <v>621</v>
      </c>
      <c r="C459" s="365">
        <v>113</v>
      </c>
      <c r="D459" s="366" t="s">
        <v>2200</v>
      </c>
      <c r="E459" s="367" t="s">
        <v>35</v>
      </c>
      <c r="F459" s="368">
        <v>216000</v>
      </c>
      <c r="G459" s="369">
        <v>216000</v>
      </c>
      <c r="H459" s="345" t="str">
        <f t="shared" si="27"/>
        <v>0113</v>
      </c>
      <c r="I459" s="346" t="str">
        <f t="shared" si="28"/>
        <v>8410010010</v>
      </c>
      <c r="K459"/>
    </row>
    <row r="460" spans="1:11" s="292" customFormat="1" ht="22.5">
      <c r="A460" s="346" t="str">
        <f t="shared" si="29"/>
        <v>62101138410010010852</v>
      </c>
      <c r="B460" s="364">
        <v>621</v>
      </c>
      <c r="C460" s="365">
        <v>113</v>
      </c>
      <c r="D460" s="366" t="s">
        <v>2200</v>
      </c>
      <c r="E460" s="367" t="s">
        <v>37</v>
      </c>
      <c r="F460" s="368">
        <v>10300</v>
      </c>
      <c r="G460" s="369">
        <v>10300</v>
      </c>
      <c r="H460" s="345" t="str">
        <f t="shared" si="27"/>
        <v>0113</v>
      </c>
      <c r="I460" s="346" t="str">
        <f t="shared" si="28"/>
        <v>8410010010</v>
      </c>
      <c r="K460"/>
    </row>
    <row r="461" spans="1:11" s="292" customFormat="1" ht="22.5">
      <c r="A461" s="346" t="str">
        <f t="shared" si="29"/>
        <v>62101138410010020121</v>
      </c>
      <c r="B461" s="364">
        <v>621</v>
      </c>
      <c r="C461" s="365">
        <v>113</v>
      </c>
      <c r="D461" s="366" t="s">
        <v>2201</v>
      </c>
      <c r="E461" s="367" t="s">
        <v>41</v>
      </c>
      <c r="F461" s="368">
        <v>34456148</v>
      </c>
      <c r="G461" s="369">
        <v>34456148</v>
      </c>
      <c r="H461" s="345" t="str">
        <f t="shared" si="27"/>
        <v>0113</v>
      </c>
      <c r="I461" s="346" t="str">
        <f t="shared" si="28"/>
        <v>8410010020</v>
      </c>
      <c r="K461"/>
    </row>
    <row r="462" spans="1:11" s="292" customFormat="1" ht="22.5">
      <c r="A462" s="346" t="str">
        <f t="shared" si="29"/>
        <v>62101138410010020129</v>
      </c>
      <c r="B462" s="364">
        <v>621</v>
      </c>
      <c r="C462" s="365">
        <v>113</v>
      </c>
      <c r="D462" s="366" t="s">
        <v>2201</v>
      </c>
      <c r="E462" s="367" t="s">
        <v>27</v>
      </c>
      <c r="F462" s="368">
        <v>10405753.5</v>
      </c>
      <c r="G462" s="369">
        <v>10405753.5</v>
      </c>
      <c r="H462" s="345" t="str">
        <f t="shared" si="27"/>
        <v>0113</v>
      </c>
      <c r="I462" s="346" t="str">
        <f t="shared" si="28"/>
        <v>8410010020</v>
      </c>
      <c r="K462"/>
    </row>
    <row r="463" spans="1:11" s="292" customFormat="1" ht="22.5">
      <c r="A463" s="346" t="str">
        <f t="shared" si="29"/>
        <v>62101138420020740244</v>
      </c>
      <c r="B463" s="364">
        <v>621</v>
      </c>
      <c r="C463" s="365">
        <v>113</v>
      </c>
      <c r="D463" s="366" t="s">
        <v>2209</v>
      </c>
      <c r="E463" s="367" t="s">
        <v>31</v>
      </c>
      <c r="F463" s="368">
        <v>150000</v>
      </c>
      <c r="G463" s="369">
        <v>150000</v>
      </c>
      <c r="H463" s="345" t="str">
        <f t="shared" si="27"/>
        <v>0113</v>
      </c>
      <c r="I463" s="346" t="str">
        <f t="shared" si="28"/>
        <v>8420020740</v>
      </c>
      <c r="K463"/>
    </row>
    <row r="464" spans="1:11" s="292" customFormat="1" ht="22.5">
      <c r="A464" s="346" t="str">
        <f t="shared" si="29"/>
        <v>62101138420020740831</v>
      </c>
      <c r="B464" s="364">
        <v>621</v>
      </c>
      <c r="C464" s="365">
        <v>113</v>
      </c>
      <c r="D464" s="366" t="s">
        <v>2209</v>
      </c>
      <c r="E464" s="367" t="s">
        <v>192</v>
      </c>
      <c r="F464" s="368">
        <v>450000</v>
      </c>
      <c r="G464" s="369">
        <v>450000</v>
      </c>
      <c r="H464" s="345" t="str">
        <f t="shared" si="27"/>
        <v>0113</v>
      </c>
      <c r="I464" s="346" t="str">
        <f t="shared" si="28"/>
        <v>8420020740</v>
      </c>
      <c r="K464"/>
    </row>
    <row r="465" spans="1:11" s="292" customFormat="1" ht="22.5">
      <c r="A465" s="346" t="str">
        <f t="shared" si="29"/>
        <v>62101138420021100244</v>
      </c>
      <c r="B465" s="364">
        <v>621</v>
      </c>
      <c r="C465" s="365">
        <v>113</v>
      </c>
      <c r="D465" s="366" t="s">
        <v>2210</v>
      </c>
      <c r="E465" s="367" t="s">
        <v>31</v>
      </c>
      <c r="F465" s="368">
        <v>3500000</v>
      </c>
      <c r="G465" s="369">
        <v>3500000</v>
      </c>
      <c r="H465" s="345" t="str">
        <f t="shared" si="27"/>
        <v>0113</v>
      </c>
      <c r="I465" s="346" t="str">
        <f t="shared" si="28"/>
        <v>8420021100</v>
      </c>
      <c r="K465"/>
    </row>
    <row r="466" spans="1:11" s="292" customFormat="1" ht="22.5">
      <c r="A466" s="346" t="str">
        <f t="shared" si="29"/>
        <v>621041205Б0120390244</v>
      </c>
      <c r="B466" s="364">
        <v>621</v>
      </c>
      <c r="C466" s="365">
        <v>412</v>
      </c>
      <c r="D466" s="366" t="s">
        <v>1253</v>
      </c>
      <c r="E466" s="367" t="s">
        <v>31</v>
      </c>
      <c r="F466" s="368">
        <v>9488300</v>
      </c>
      <c r="G466" s="369">
        <v>9488300</v>
      </c>
      <c r="H466" s="345" t="str">
        <f t="shared" si="27"/>
        <v>0412</v>
      </c>
      <c r="I466" s="346" t="str">
        <f t="shared" si="28"/>
        <v>05Б0120390</v>
      </c>
      <c r="K466"/>
    </row>
    <row r="467" spans="1:11" s="292" customFormat="1" ht="22.5">
      <c r="A467" s="346" t="str">
        <f t="shared" si="29"/>
        <v>62104128420021210244</v>
      </c>
      <c r="B467" s="364">
        <v>621</v>
      </c>
      <c r="C467" s="365">
        <v>412</v>
      </c>
      <c r="D467" s="366" t="s">
        <v>2211</v>
      </c>
      <c r="E467" s="367" t="s">
        <v>31</v>
      </c>
      <c r="F467" s="368">
        <v>100000</v>
      </c>
      <c r="G467" s="369">
        <v>100000</v>
      </c>
      <c r="H467" s="345" t="str">
        <f t="shared" si="27"/>
        <v>0412</v>
      </c>
      <c r="I467" s="346" t="str">
        <f t="shared" si="28"/>
        <v>8420021210</v>
      </c>
      <c r="K467"/>
    </row>
    <row r="468" spans="1:11" s="292" customFormat="1" ht="22.5">
      <c r="A468" s="346" t="str">
        <f t="shared" si="29"/>
        <v>62107010120140010414</v>
      </c>
      <c r="B468" s="364">
        <v>621</v>
      </c>
      <c r="C468" s="365">
        <v>701</v>
      </c>
      <c r="D468" s="366" t="s">
        <v>1997</v>
      </c>
      <c r="E468" s="367" t="s">
        <v>840</v>
      </c>
      <c r="F468" s="368">
        <v>18569408.25</v>
      </c>
      <c r="G468" s="369">
        <v>1006320</v>
      </c>
      <c r="H468" s="345" t="str">
        <f t="shared" ref="H468:H509" si="30">TEXT(C468,"0000")</f>
        <v>0701</v>
      </c>
      <c r="I468" s="346" t="str">
        <f t="shared" ref="I468:I509" si="31">TEXT(D468,"0000000000")</f>
        <v>0120140010</v>
      </c>
      <c r="K468"/>
    </row>
    <row r="469" spans="1:11" s="292" customFormat="1" ht="22.5">
      <c r="A469" s="346" t="str">
        <f t="shared" si="29"/>
        <v>62107010120140060412</v>
      </c>
      <c r="B469" s="364">
        <v>621</v>
      </c>
      <c r="C469" s="365">
        <v>701</v>
      </c>
      <c r="D469" s="366" t="s">
        <v>2215</v>
      </c>
      <c r="E469" s="367" t="s">
        <v>1162</v>
      </c>
      <c r="F469" s="368">
        <v>0</v>
      </c>
      <c r="G469" s="369">
        <v>2488790</v>
      </c>
      <c r="H469" s="345" t="str">
        <f t="shared" si="30"/>
        <v>0701</v>
      </c>
      <c r="I469" s="346" t="str">
        <f t="shared" si="31"/>
        <v>0120140060</v>
      </c>
      <c r="K469"/>
    </row>
    <row r="470" spans="1:11" s="292" customFormat="1" ht="22.5">
      <c r="A470" s="346" t="str">
        <f t="shared" si="29"/>
        <v>62107010120177471414</v>
      </c>
      <c r="B470" s="364">
        <v>621</v>
      </c>
      <c r="C470" s="365">
        <v>701</v>
      </c>
      <c r="D470" s="366" t="s">
        <v>2216</v>
      </c>
      <c r="E470" s="367" t="s">
        <v>840</v>
      </c>
      <c r="F470" s="368">
        <v>75474302.730000004</v>
      </c>
      <c r="G470" s="369">
        <v>0</v>
      </c>
      <c r="H470" s="345" t="str">
        <f t="shared" si="30"/>
        <v>0701</v>
      </c>
      <c r="I470" s="346" t="str">
        <f t="shared" si="31"/>
        <v>0120177471</v>
      </c>
      <c r="K470"/>
    </row>
    <row r="471" spans="1:11" s="292" customFormat="1" ht="22.5">
      <c r="A471" s="346" t="str">
        <f t="shared" si="29"/>
        <v>62107010120197471414</v>
      </c>
      <c r="B471" s="364">
        <v>621</v>
      </c>
      <c r="C471" s="365">
        <v>701</v>
      </c>
      <c r="D471" s="366" t="s">
        <v>2217</v>
      </c>
      <c r="E471" s="367" t="s">
        <v>840</v>
      </c>
      <c r="F471" s="368">
        <v>762366.69</v>
      </c>
      <c r="G471" s="369">
        <v>0</v>
      </c>
      <c r="H471" s="345" t="str">
        <f t="shared" si="30"/>
        <v>0701</v>
      </c>
      <c r="I471" s="346" t="str">
        <f t="shared" si="31"/>
        <v>0120197471</v>
      </c>
      <c r="K471"/>
    </row>
    <row r="472" spans="1:11" s="292" customFormat="1" ht="22.5">
      <c r="A472" s="346" t="str">
        <f t="shared" si="29"/>
        <v>621070101201L1591414</v>
      </c>
      <c r="B472" s="364">
        <v>621</v>
      </c>
      <c r="C472" s="365">
        <v>701</v>
      </c>
      <c r="D472" s="366" t="s">
        <v>2218</v>
      </c>
      <c r="E472" s="367" t="s">
        <v>840</v>
      </c>
      <c r="F472" s="368">
        <v>75780506.469999999</v>
      </c>
      <c r="G472" s="369">
        <v>0</v>
      </c>
      <c r="H472" s="345" t="str">
        <f t="shared" si="30"/>
        <v>0701</v>
      </c>
      <c r="I472" s="346" t="str">
        <f t="shared" si="31"/>
        <v>01201L1591</v>
      </c>
      <c r="K472"/>
    </row>
    <row r="473" spans="1:11" s="292" customFormat="1" ht="22.5">
      <c r="A473" s="346" t="str">
        <f t="shared" si="29"/>
        <v>62107020120140010414</v>
      </c>
      <c r="B473" s="364">
        <v>621</v>
      </c>
      <c r="C473" s="365">
        <v>702</v>
      </c>
      <c r="D473" s="366" t="s">
        <v>1997</v>
      </c>
      <c r="E473" s="367" t="s">
        <v>840</v>
      </c>
      <c r="F473" s="368">
        <v>0</v>
      </c>
      <c r="G473" s="369">
        <v>15579710</v>
      </c>
      <c r="H473" s="345" t="str">
        <f t="shared" si="30"/>
        <v>0702</v>
      </c>
      <c r="I473" s="346" t="str">
        <f t="shared" si="31"/>
        <v>0120140010</v>
      </c>
      <c r="K473"/>
    </row>
    <row r="474" spans="1:11" s="292" customFormat="1" ht="22.5">
      <c r="A474" s="346" t="str">
        <f t="shared" si="29"/>
        <v>621070201201L5200414</v>
      </c>
      <c r="B474" s="364">
        <v>621</v>
      </c>
      <c r="C474" s="365">
        <v>702</v>
      </c>
      <c r="D474" s="366" t="s">
        <v>2220</v>
      </c>
      <c r="E474" s="367" t="s">
        <v>840</v>
      </c>
      <c r="F474" s="368">
        <v>697651986.32000005</v>
      </c>
      <c r="G474" s="369">
        <v>0</v>
      </c>
      <c r="H474" s="345" t="str">
        <f t="shared" si="30"/>
        <v>0702</v>
      </c>
      <c r="I474" s="346" t="str">
        <f t="shared" si="31"/>
        <v>01201L5200</v>
      </c>
      <c r="K474"/>
    </row>
    <row r="475" spans="1:11" s="292" customFormat="1" ht="22.5">
      <c r="A475" s="346" t="str">
        <f t="shared" si="29"/>
        <v>62108010710120060244</v>
      </c>
      <c r="B475" s="364">
        <v>621</v>
      </c>
      <c r="C475" s="365">
        <v>801</v>
      </c>
      <c r="D475" s="366" t="s">
        <v>1946</v>
      </c>
      <c r="E475" s="367" t="s">
        <v>31</v>
      </c>
      <c r="F475" s="368">
        <v>800000</v>
      </c>
      <c r="G475" s="369">
        <v>800000</v>
      </c>
      <c r="H475" s="345" t="str">
        <f t="shared" si="30"/>
        <v>0801</v>
      </c>
      <c r="I475" s="346" t="str">
        <f t="shared" si="31"/>
        <v>0710120060</v>
      </c>
      <c r="K475"/>
    </row>
    <row r="476" spans="1:11" s="292" customFormat="1" ht="22.5">
      <c r="A476" s="346" t="str">
        <f t="shared" si="29"/>
        <v>62403091530221290244</v>
      </c>
      <c r="B476" s="364">
        <v>624</v>
      </c>
      <c r="C476" s="365">
        <v>309</v>
      </c>
      <c r="D476" s="366" t="s">
        <v>2223</v>
      </c>
      <c r="E476" s="367" t="s">
        <v>31</v>
      </c>
      <c r="F476" s="368">
        <v>22950</v>
      </c>
      <c r="G476" s="369">
        <v>22950</v>
      </c>
      <c r="H476" s="345" t="str">
        <f t="shared" si="30"/>
        <v>0309</v>
      </c>
      <c r="I476" s="346" t="str">
        <f t="shared" si="31"/>
        <v>1530221290</v>
      </c>
      <c r="K476"/>
    </row>
    <row r="477" spans="1:11" s="292" customFormat="1" ht="22.5">
      <c r="A477" s="346" t="str">
        <f t="shared" si="29"/>
        <v>62403091610120120244</v>
      </c>
      <c r="B477" s="364">
        <v>624</v>
      </c>
      <c r="C477" s="365">
        <v>309</v>
      </c>
      <c r="D477" s="366" t="s">
        <v>2224</v>
      </c>
      <c r="E477" s="367" t="s">
        <v>31</v>
      </c>
      <c r="F477" s="368">
        <v>100000</v>
      </c>
      <c r="G477" s="369">
        <v>100000</v>
      </c>
      <c r="H477" s="345" t="str">
        <f t="shared" si="30"/>
        <v>0309</v>
      </c>
      <c r="I477" s="346" t="str">
        <f t="shared" si="31"/>
        <v>1610120120</v>
      </c>
      <c r="K477"/>
    </row>
    <row r="478" spans="1:11" s="292" customFormat="1" ht="22.5">
      <c r="A478" s="346" t="str">
        <f t="shared" si="29"/>
        <v>62403091610211010111</v>
      </c>
      <c r="B478" s="364">
        <v>624</v>
      </c>
      <c r="C478" s="365">
        <v>309</v>
      </c>
      <c r="D478" s="366" t="s">
        <v>2225</v>
      </c>
      <c r="E478" s="367" t="s">
        <v>141</v>
      </c>
      <c r="F478" s="368">
        <v>22803698.079999998</v>
      </c>
      <c r="G478" s="369">
        <v>22803698.079999998</v>
      </c>
      <c r="H478" s="345" t="str">
        <f t="shared" si="30"/>
        <v>0309</v>
      </c>
      <c r="I478" s="346" t="str">
        <f t="shared" si="31"/>
        <v>1610211010</v>
      </c>
      <c r="K478"/>
    </row>
    <row r="479" spans="1:11" s="292" customFormat="1" ht="22.5">
      <c r="A479" s="346" t="str">
        <f t="shared" si="29"/>
        <v>62403091610211010119</v>
      </c>
      <c r="B479" s="364">
        <v>624</v>
      </c>
      <c r="C479" s="365">
        <v>309</v>
      </c>
      <c r="D479" s="366" t="s">
        <v>2225</v>
      </c>
      <c r="E479" s="367" t="s">
        <v>145</v>
      </c>
      <c r="F479" s="368">
        <v>6886719.9400000004</v>
      </c>
      <c r="G479" s="369">
        <v>6886719.9400000004</v>
      </c>
      <c r="H479" s="345" t="str">
        <f t="shared" si="30"/>
        <v>0309</v>
      </c>
      <c r="I479" s="346" t="str">
        <f t="shared" si="31"/>
        <v>1610211010</v>
      </c>
      <c r="K479"/>
    </row>
    <row r="480" spans="1:11" s="292" customFormat="1" ht="22.5">
      <c r="A480" s="346" t="str">
        <f t="shared" si="29"/>
        <v>62403091610211010244</v>
      </c>
      <c r="B480" s="364">
        <v>624</v>
      </c>
      <c r="C480" s="365">
        <v>309</v>
      </c>
      <c r="D480" s="366" t="s">
        <v>2225</v>
      </c>
      <c r="E480" s="367" t="s">
        <v>31</v>
      </c>
      <c r="F480" s="368">
        <v>4264220</v>
      </c>
      <c r="G480" s="369">
        <v>4264220</v>
      </c>
      <c r="H480" s="345" t="str">
        <f t="shared" si="30"/>
        <v>0309</v>
      </c>
      <c r="I480" s="346" t="str">
        <f t="shared" si="31"/>
        <v>1610211010</v>
      </c>
      <c r="K480"/>
    </row>
    <row r="481" spans="1:11" s="292" customFormat="1" ht="22.5">
      <c r="A481" s="346" t="str">
        <f t="shared" si="29"/>
        <v>62403091610211010851</v>
      </c>
      <c r="B481" s="364">
        <v>624</v>
      </c>
      <c r="C481" s="365">
        <v>309</v>
      </c>
      <c r="D481" s="366" t="s">
        <v>2225</v>
      </c>
      <c r="E481" s="367" t="s">
        <v>35</v>
      </c>
      <c r="F481" s="368">
        <v>895000</v>
      </c>
      <c r="G481" s="369">
        <v>895000</v>
      </c>
      <c r="H481" s="345" t="str">
        <f t="shared" si="30"/>
        <v>0309</v>
      </c>
      <c r="I481" s="346" t="str">
        <f t="shared" si="31"/>
        <v>1610211010</v>
      </c>
      <c r="K481"/>
    </row>
    <row r="482" spans="1:11" s="292" customFormat="1" ht="22.5">
      <c r="A482" s="346" t="str">
        <f t="shared" si="29"/>
        <v>62403091610211010852</v>
      </c>
      <c r="B482" s="364">
        <v>624</v>
      </c>
      <c r="C482" s="365">
        <v>309</v>
      </c>
      <c r="D482" s="366" t="s">
        <v>2225</v>
      </c>
      <c r="E482" s="367" t="s">
        <v>37</v>
      </c>
      <c r="F482" s="368">
        <v>41000</v>
      </c>
      <c r="G482" s="369">
        <v>41000</v>
      </c>
      <c r="H482" s="345" t="str">
        <f t="shared" si="30"/>
        <v>0309</v>
      </c>
      <c r="I482" s="346" t="str">
        <f t="shared" si="31"/>
        <v>1610211010</v>
      </c>
      <c r="K482"/>
    </row>
    <row r="483" spans="1:11" s="292" customFormat="1" ht="22.5">
      <c r="A483" s="346" t="str">
        <f t="shared" si="29"/>
        <v>62403091610211010853</v>
      </c>
      <c r="B483" s="364">
        <v>624</v>
      </c>
      <c r="C483" s="365">
        <v>309</v>
      </c>
      <c r="D483" s="366" t="s">
        <v>2225</v>
      </c>
      <c r="E483" s="367" t="s">
        <v>78</v>
      </c>
      <c r="F483" s="368">
        <v>5000</v>
      </c>
      <c r="G483" s="369">
        <v>5000</v>
      </c>
      <c r="H483" s="345" t="str">
        <f t="shared" si="30"/>
        <v>0309</v>
      </c>
      <c r="I483" s="346" t="str">
        <f t="shared" si="31"/>
        <v>1610211010</v>
      </c>
      <c r="K483"/>
    </row>
    <row r="484" spans="1:11" s="292" customFormat="1" ht="22.5">
      <c r="A484" s="346" t="str">
        <f t="shared" si="29"/>
        <v>62403091610320120244</v>
      </c>
      <c r="B484" s="364">
        <v>624</v>
      </c>
      <c r="C484" s="365">
        <v>309</v>
      </c>
      <c r="D484" s="366" t="s">
        <v>2227</v>
      </c>
      <c r="E484" s="367" t="s">
        <v>31</v>
      </c>
      <c r="F484" s="368">
        <v>430000</v>
      </c>
      <c r="G484" s="369">
        <v>430000</v>
      </c>
      <c r="H484" s="345" t="str">
        <f t="shared" si="30"/>
        <v>0309</v>
      </c>
      <c r="I484" s="346" t="str">
        <f t="shared" si="31"/>
        <v>1610320120</v>
      </c>
      <c r="K484"/>
    </row>
    <row r="485" spans="1:11" s="292" customFormat="1" ht="22.5">
      <c r="A485" s="346" t="str">
        <f t="shared" si="29"/>
        <v>62403091620120540244</v>
      </c>
      <c r="B485" s="364">
        <v>624</v>
      </c>
      <c r="C485" s="365">
        <v>309</v>
      </c>
      <c r="D485" s="366" t="s">
        <v>2228</v>
      </c>
      <c r="E485" s="367" t="s">
        <v>31</v>
      </c>
      <c r="F485" s="368">
        <v>535000</v>
      </c>
      <c r="G485" s="369">
        <v>535000</v>
      </c>
      <c r="H485" s="345" t="str">
        <f t="shared" si="30"/>
        <v>0309</v>
      </c>
      <c r="I485" s="346" t="str">
        <f t="shared" si="31"/>
        <v>1620120540</v>
      </c>
      <c r="K485"/>
    </row>
    <row r="486" spans="1:11" s="292" customFormat="1" ht="22.5">
      <c r="A486" s="346" t="str">
        <f t="shared" si="29"/>
        <v>62403091630111010111</v>
      </c>
      <c r="B486" s="364">
        <v>624</v>
      </c>
      <c r="C486" s="365">
        <v>309</v>
      </c>
      <c r="D486" s="366" t="s">
        <v>2229</v>
      </c>
      <c r="E486" s="367" t="s">
        <v>141</v>
      </c>
      <c r="F486" s="368">
        <v>25415319.100000001</v>
      </c>
      <c r="G486" s="369">
        <v>25415319.100000001</v>
      </c>
      <c r="H486" s="345" t="str">
        <f t="shared" si="30"/>
        <v>0309</v>
      </c>
      <c r="I486" s="346" t="str">
        <f t="shared" si="31"/>
        <v>1630111010</v>
      </c>
      <c r="K486"/>
    </row>
    <row r="487" spans="1:11" s="292" customFormat="1" ht="22.5">
      <c r="A487" s="346" t="str">
        <f t="shared" si="29"/>
        <v>62403091630111010119</v>
      </c>
      <c r="B487" s="364">
        <v>624</v>
      </c>
      <c r="C487" s="365">
        <v>309</v>
      </c>
      <c r="D487" s="366" t="s">
        <v>2229</v>
      </c>
      <c r="E487" s="367" t="s">
        <v>145</v>
      </c>
      <c r="F487" s="368">
        <v>7675431.6600000001</v>
      </c>
      <c r="G487" s="369">
        <v>7675431.6600000001</v>
      </c>
      <c r="H487" s="345" t="str">
        <f t="shared" si="30"/>
        <v>0309</v>
      </c>
      <c r="I487" s="346" t="str">
        <f t="shared" si="31"/>
        <v>1630111010</v>
      </c>
      <c r="K487"/>
    </row>
    <row r="488" spans="1:11" s="292" customFormat="1" ht="22.5">
      <c r="A488" s="346" t="str">
        <f t="shared" si="29"/>
        <v>62403091630111010244</v>
      </c>
      <c r="B488" s="364">
        <v>624</v>
      </c>
      <c r="C488" s="365">
        <v>309</v>
      </c>
      <c r="D488" s="366" t="s">
        <v>2229</v>
      </c>
      <c r="E488" s="367" t="s">
        <v>31</v>
      </c>
      <c r="F488" s="368">
        <v>1338160</v>
      </c>
      <c r="G488" s="369">
        <v>1338160</v>
      </c>
      <c r="H488" s="345" t="str">
        <f t="shared" si="30"/>
        <v>0309</v>
      </c>
      <c r="I488" s="346" t="str">
        <f t="shared" si="31"/>
        <v>1630111010</v>
      </c>
      <c r="K488"/>
    </row>
    <row r="489" spans="1:11" s="292" customFormat="1" ht="22.5">
      <c r="A489" s="346" t="str">
        <f t="shared" si="29"/>
        <v>62403091630111010851</v>
      </c>
      <c r="B489" s="364">
        <v>624</v>
      </c>
      <c r="C489" s="365">
        <v>309</v>
      </c>
      <c r="D489" s="366" t="s">
        <v>2229</v>
      </c>
      <c r="E489" s="367" t="s">
        <v>35</v>
      </c>
      <c r="F489" s="368">
        <v>403765</v>
      </c>
      <c r="G489" s="369">
        <v>369808</v>
      </c>
      <c r="H489" s="345" t="str">
        <f t="shared" si="30"/>
        <v>0309</v>
      </c>
      <c r="I489" s="346" t="str">
        <f t="shared" si="31"/>
        <v>1630111010</v>
      </c>
      <c r="K489"/>
    </row>
    <row r="490" spans="1:11" s="292" customFormat="1" ht="22.5">
      <c r="A490" s="346" t="str">
        <f t="shared" si="29"/>
        <v>62403091630111010852</v>
      </c>
      <c r="B490" s="364">
        <v>624</v>
      </c>
      <c r="C490" s="365">
        <v>309</v>
      </c>
      <c r="D490" s="366" t="s">
        <v>2229</v>
      </c>
      <c r="E490" s="367" t="s">
        <v>37</v>
      </c>
      <c r="F490" s="368">
        <v>2670</v>
      </c>
      <c r="G490" s="369">
        <v>2670</v>
      </c>
      <c r="H490" s="345" t="str">
        <f t="shared" si="30"/>
        <v>0309</v>
      </c>
      <c r="I490" s="346" t="str">
        <f t="shared" si="31"/>
        <v>1630111010</v>
      </c>
      <c r="K490"/>
    </row>
    <row r="491" spans="1:11" s="292" customFormat="1" ht="22.5">
      <c r="A491" s="346" t="str">
        <f t="shared" si="29"/>
        <v>62403091630111010853</v>
      </c>
      <c r="B491" s="364">
        <v>624</v>
      </c>
      <c r="C491" s="365">
        <v>309</v>
      </c>
      <c r="D491" s="366" t="s">
        <v>2229</v>
      </c>
      <c r="E491" s="367" t="s">
        <v>78</v>
      </c>
      <c r="F491" s="368">
        <v>4330</v>
      </c>
      <c r="G491" s="369">
        <v>4330</v>
      </c>
      <c r="H491" s="345" t="str">
        <f t="shared" si="30"/>
        <v>0309</v>
      </c>
      <c r="I491" s="346" t="str">
        <f t="shared" si="31"/>
        <v>1630111010</v>
      </c>
      <c r="K491"/>
    </row>
    <row r="492" spans="1:11" s="292" customFormat="1" ht="22.5">
      <c r="A492" s="346" t="str">
        <f t="shared" si="29"/>
        <v>62403091630220690244</v>
      </c>
      <c r="B492" s="364">
        <v>624</v>
      </c>
      <c r="C492" s="365">
        <v>309</v>
      </c>
      <c r="D492" s="366" t="s">
        <v>2231</v>
      </c>
      <c r="E492" s="367" t="s">
        <v>31</v>
      </c>
      <c r="F492" s="368">
        <v>2201810</v>
      </c>
      <c r="G492" s="369">
        <v>2201810</v>
      </c>
      <c r="H492" s="345" t="str">
        <f t="shared" si="30"/>
        <v>0309</v>
      </c>
      <c r="I492" s="346" t="str">
        <f t="shared" si="31"/>
        <v>1630220690</v>
      </c>
      <c r="K492"/>
    </row>
    <row r="493" spans="1:11" s="292" customFormat="1" ht="22.5">
      <c r="A493" s="346" t="str">
        <f t="shared" si="29"/>
        <v>62403091630320350244</v>
      </c>
      <c r="B493" s="364">
        <v>624</v>
      </c>
      <c r="C493" s="365">
        <v>309</v>
      </c>
      <c r="D493" s="366" t="s">
        <v>2232</v>
      </c>
      <c r="E493" s="367" t="s">
        <v>31</v>
      </c>
      <c r="F493" s="368">
        <v>2700000</v>
      </c>
      <c r="G493" s="369">
        <v>2700000</v>
      </c>
      <c r="H493" s="345" t="str">
        <f t="shared" si="30"/>
        <v>0309</v>
      </c>
      <c r="I493" s="346" t="str">
        <f t="shared" si="31"/>
        <v>1630320350</v>
      </c>
      <c r="K493"/>
    </row>
    <row r="494" spans="1:11" s="292" customFormat="1" ht="22.5">
      <c r="A494" s="346" t="str">
        <f t="shared" si="29"/>
        <v>62403091630420350244</v>
      </c>
      <c r="B494" s="364">
        <v>624</v>
      </c>
      <c r="C494" s="365">
        <v>309</v>
      </c>
      <c r="D494" s="366" t="s">
        <v>2233</v>
      </c>
      <c r="E494" s="367" t="s">
        <v>31</v>
      </c>
      <c r="F494" s="368">
        <v>765000</v>
      </c>
      <c r="G494" s="369">
        <v>765000</v>
      </c>
      <c r="H494" s="345" t="str">
        <f t="shared" si="30"/>
        <v>0309</v>
      </c>
      <c r="I494" s="346" t="str">
        <f t="shared" si="31"/>
        <v>1630420350</v>
      </c>
      <c r="K494"/>
    </row>
    <row r="495" spans="1:11" s="292" customFormat="1" ht="22.5">
      <c r="A495" s="346" t="str">
        <f t="shared" si="29"/>
        <v>62403098510010010122</v>
      </c>
      <c r="B495" s="364">
        <v>624</v>
      </c>
      <c r="C495" s="365">
        <v>309</v>
      </c>
      <c r="D495" s="366" t="s">
        <v>2234</v>
      </c>
      <c r="E495" s="367" t="s">
        <v>23</v>
      </c>
      <c r="F495" s="368">
        <v>303080</v>
      </c>
      <c r="G495" s="369">
        <v>303080</v>
      </c>
      <c r="H495" s="345" t="str">
        <f t="shared" si="30"/>
        <v>0309</v>
      </c>
      <c r="I495" s="346" t="str">
        <f t="shared" si="31"/>
        <v>8510010010</v>
      </c>
      <c r="K495"/>
    </row>
    <row r="496" spans="1:11" s="292" customFormat="1" ht="22.5">
      <c r="A496" s="346" t="str">
        <f t="shared" si="29"/>
        <v>62403098510010010129</v>
      </c>
      <c r="B496" s="364">
        <v>624</v>
      </c>
      <c r="C496" s="365">
        <v>309</v>
      </c>
      <c r="D496" s="366" t="s">
        <v>2234</v>
      </c>
      <c r="E496" s="367" t="s">
        <v>27</v>
      </c>
      <c r="F496" s="368">
        <v>84170</v>
      </c>
      <c r="G496" s="369">
        <v>84170</v>
      </c>
      <c r="H496" s="345" t="str">
        <f t="shared" si="30"/>
        <v>0309</v>
      </c>
      <c r="I496" s="346" t="str">
        <f t="shared" si="31"/>
        <v>8510010010</v>
      </c>
      <c r="K496"/>
    </row>
    <row r="497" spans="1:11" s="292" customFormat="1" ht="22.5">
      <c r="A497" s="346" t="str">
        <f t="shared" si="29"/>
        <v>62403098510010010244</v>
      </c>
      <c r="B497" s="364">
        <v>624</v>
      </c>
      <c r="C497" s="365">
        <v>309</v>
      </c>
      <c r="D497" s="366" t="s">
        <v>2234</v>
      </c>
      <c r="E497" s="367" t="s">
        <v>31</v>
      </c>
      <c r="F497" s="368">
        <v>1183980</v>
      </c>
      <c r="G497" s="369">
        <v>1183980</v>
      </c>
      <c r="H497" s="345" t="str">
        <f t="shared" si="30"/>
        <v>0309</v>
      </c>
      <c r="I497" s="346" t="str">
        <f t="shared" si="31"/>
        <v>8510010010</v>
      </c>
      <c r="K497"/>
    </row>
    <row r="498" spans="1:11" s="292" customFormat="1" ht="22.5">
      <c r="A498" s="346" t="str">
        <f t="shared" si="29"/>
        <v>62403098510010010851</v>
      </c>
      <c r="B498" s="364">
        <v>624</v>
      </c>
      <c r="C498" s="365">
        <v>309</v>
      </c>
      <c r="D498" s="366" t="s">
        <v>2234</v>
      </c>
      <c r="E498" s="367" t="s">
        <v>35</v>
      </c>
      <c r="F498" s="368">
        <v>146625</v>
      </c>
      <c r="G498" s="369">
        <v>180582</v>
      </c>
      <c r="H498" s="345" t="str">
        <f t="shared" si="30"/>
        <v>0309</v>
      </c>
      <c r="I498" s="346" t="str">
        <f t="shared" si="31"/>
        <v>8510010010</v>
      </c>
      <c r="K498"/>
    </row>
    <row r="499" spans="1:11" s="292" customFormat="1" ht="22.5">
      <c r="A499" s="346" t="str">
        <f t="shared" si="29"/>
        <v>62403098510010010853</v>
      </c>
      <c r="B499" s="364">
        <v>624</v>
      </c>
      <c r="C499" s="365">
        <v>309</v>
      </c>
      <c r="D499" s="366" t="s">
        <v>2234</v>
      </c>
      <c r="E499" s="367" t="s">
        <v>78</v>
      </c>
      <c r="F499" s="368">
        <v>1320</v>
      </c>
      <c r="G499" s="369">
        <v>1320</v>
      </c>
      <c r="H499" s="345" t="str">
        <f t="shared" si="30"/>
        <v>0309</v>
      </c>
      <c r="I499" s="346" t="str">
        <f t="shared" si="31"/>
        <v>8510010010</v>
      </c>
      <c r="K499"/>
    </row>
    <row r="500" spans="1:11" s="292" customFormat="1" ht="22.5">
      <c r="A500" s="346" t="str">
        <f t="shared" si="29"/>
        <v>62403098510010020121</v>
      </c>
      <c r="B500" s="364">
        <v>624</v>
      </c>
      <c r="C500" s="365">
        <v>309</v>
      </c>
      <c r="D500" s="366" t="s">
        <v>2235</v>
      </c>
      <c r="E500" s="367" t="s">
        <v>41</v>
      </c>
      <c r="F500" s="368">
        <v>10844558.4</v>
      </c>
      <c r="G500" s="369">
        <v>10844558.4</v>
      </c>
      <c r="H500" s="345" t="str">
        <f t="shared" si="30"/>
        <v>0309</v>
      </c>
      <c r="I500" s="346" t="str">
        <f t="shared" si="31"/>
        <v>8510010020</v>
      </c>
      <c r="K500"/>
    </row>
    <row r="501" spans="1:11" s="292" customFormat="1" ht="22.5">
      <c r="A501" s="346" t="str">
        <f t="shared" si="29"/>
        <v>62403098510010020129</v>
      </c>
      <c r="B501" s="364">
        <v>624</v>
      </c>
      <c r="C501" s="365">
        <v>309</v>
      </c>
      <c r="D501" s="366" t="s">
        <v>2235</v>
      </c>
      <c r="E501" s="367" t="s">
        <v>27</v>
      </c>
      <c r="F501" s="368">
        <v>3275053.72</v>
      </c>
      <c r="G501" s="369">
        <v>3275053.72</v>
      </c>
      <c r="H501" s="345" t="str">
        <f t="shared" si="30"/>
        <v>0309</v>
      </c>
      <c r="I501" s="346" t="str">
        <f t="shared" si="31"/>
        <v>8510010020</v>
      </c>
      <c r="K501"/>
    </row>
    <row r="502" spans="1:11" s="292" customFormat="1" ht="22.5">
      <c r="A502" s="346" t="str">
        <f t="shared" si="29"/>
        <v>64301068610010010122</v>
      </c>
      <c r="B502" s="364">
        <v>643</v>
      </c>
      <c r="C502" s="365">
        <v>106</v>
      </c>
      <c r="D502" s="366" t="s">
        <v>2237</v>
      </c>
      <c r="E502" s="367" t="s">
        <v>23</v>
      </c>
      <c r="F502" s="368">
        <v>476497</v>
      </c>
      <c r="G502" s="369">
        <v>476497</v>
      </c>
      <c r="H502" s="345" t="str">
        <f t="shared" si="30"/>
        <v>0106</v>
      </c>
      <c r="I502" s="346" t="str">
        <f t="shared" si="31"/>
        <v>8610010010</v>
      </c>
      <c r="K502"/>
    </row>
    <row r="503" spans="1:11" s="292" customFormat="1" ht="22.5">
      <c r="A503" s="346" t="str">
        <f t="shared" si="29"/>
        <v>64301068610010010129</v>
      </c>
      <c r="B503" s="364">
        <v>643</v>
      </c>
      <c r="C503" s="365">
        <v>106</v>
      </c>
      <c r="D503" s="366" t="s">
        <v>2237</v>
      </c>
      <c r="E503" s="367" t="s">
        <v>27</v>
      </c>
      <c r="F503" s="368">
        <v>70033</v>
      </c>
      <c r="G503" s="369">
        <v>70033</v>
      </c>
      <c r="H503" s="345" t="str">
        <f t="shared" si="30"/>
        <v>0106</v>
      </c>
      <c r="I503" s="346" t="str">
        <f t="shared" si="31"/>
        <v>8610010010</v>
      </c>
      <c r="K503"/>
    </row>
    <row r="504" spans="1:11" s="292" customFormat="1" ht="22.5">
      <c r="A504" s="346" t="str">
        <f t="shared" si="29"/>
        <v>64301068610010010244</v>
      </c>
      <c r="B504" s="364">
        <v>643</v>
      </c>
      <c r="C504" s="365">
        <v>106</v>
      </c>
      <c r="D504" s="366" t="s">
        <v>2237</v>
      </c>
      <c r="E504" s="367" t="s">
        <v>31</v>
      </c>
      <c r="F504" s="368">
        <v>3257980</v>
      </c>
      <c r="G504" s="369">
        <v>3257980</v>
      </c>
      <c r="H504" s="345" t="str">
        <f t="shared" si="30"/>
        <v>0106</v>
      </c>
      <c r="I504" s="346" t="str">
        <f t="shared" si="31"/>
        <v>8610010010</v>
      </c>
      <c r="K504"/>
    </row>
    <row r="505" spans="1:11" s="292" customFormat="1" ht="22.5">
      <c r="A505" s="346" t="str">
        <f t="shared" si="29"/>
        <v>64301068610010010851</v>
      </c>
      <c r="B505" s="364">
        <v>643</v>
      </c>
      <c r="C505" s="365">
        <v>106</v>
      </c>
      <c r="D505" s="366" t="s">
        <v>2237</v>
      </c>
      <c r="E505" s="367" t="s">
        <v>35</v>
      </c>
      <c r="F505" s="368">
        <v>79825</v>
      </c>
      <c r="G505" s="369">
        <v>79825</v>
      </c>
      <c r="H505" s="345" t="str">
        <f t="shared" si="30"/>
        <v>0106</v>
      </c>
      <c r="I505" s="346" t="str">
        <f t="shared" si="31"/>
        <v>8610010010</v>
      </c>
      <c r="K505"/>
    </row>
    <row r="506" spans="1:11" s="292" customFormat="1" ht="22.5">
      <c r="A506" s="346" t="str">
        <f t="shared" si="29"/>
        <v>64301068610010010852</v>
      </c>
      <c r="B506" s="364">
        <v>643</v>
      </c>
      <c r="C506" s="365">
        <v>106</v>
      </c>
      <c r="D506" s="366" t="s">
        <v>2237</v>
      </c>
      <c r="E506" s="367" t="s">
        <v>37</v>
      </c>
      <c r="F506" s="368">
        <v>1875</v>
      </c>
      <c r="G506" s="369">
        <v>1875</v>
      </c>
      <c r="H506" s="345" t="str">
        <f t="shared" si="30"/>
        <v>0106</v>
      </c>
      <c r="I506" s="346" t="str">
        <f t="shared" si="31"/>
        <v>8610010010</v>
      </c>
      <c r="K506"/>
    </row>
    <row r="507" spans="1:11" s="292" customFormat="1" ht="22.5">
      <c r="A507" s="346" t="str">
        <f t="shared" si="29"/>
        <v>64301068610010010853</v>
      </c>
      <c r="B507" s="364">
        <v>643</v>
      </c>
      <c r="C507" s="365">
        <v>106</v>
      </c>
      <c r="D507" s="366" t="s">
        <v>2237</v>
      </c>
      <c r="E507" s="367" t="s">
        <v>78</v>
      </c>
      <c r="F507" s="368">
        <v>30000</v>
      </c>
      <c r="G507" s="369">
        <v>30000</v>
      </c>
      <c r="H507" s="345" t="str">
        <f t="shared" si="30"/>
        <v>0106</v>
      </c>
      <c r="I507" s="346" t="str">
        <f t="shared" si="31"/>
        <v>8610010010</v>
      </c>
      <c r="K507"/>
    </row>
    <row r="508" spans="1:11" s="292" customFormat="1" ht="22.5">
      <c r="A508" s="346" t="str">
        <f t="shared" si="29"/>
        <v>64301068610010020121</v>
      </c>
      <c r="B508" s="364">
        <v>643</v>
      </c>
      <c r="C508" s="365">
        <v>106</v>
      </c>
      <c r="D508" s="366" t="s">
        <v>2238</v>
      </c>
      <c r="E508" s="367" t="s">
        <v>41</v>
      </c>
      <c r="F508" s="368">
        <v>8437398.7300000004</v>
      </c>
      <c r="G508" s="369">
        <v>8437398.7300000004</v>
      </c>
      <c r="H508" s="345" t="str">
        <f t="shared" si="30"/>
        <v>0106</v>
      </c>
      <c r="I508" s="346" t="str">
        <f t="shared" si="31"/>
        <v>8610010020</v>
      </c>
      <c r="K508"/>
    </row>
    <row r="509" spans="1:11" s="292" customFormat="1" ht="22.5">
      <c r="A509" s="346" t="str">
        <f t="shared" si="29"/>
        <v>64301068610010020129</v>
      </c>
      <c r="B509" s="364">
        <v>643</v>
      </c>
      <c r="C509" s="365">
        <v>106</v>
      </c>
      <c r="D509" s="366" t="s">
        <v>2238</v>
      </c>
      <c r="E509" s="367" t="s">
        <v>27</v>
      </c>
      <c r="F509" s="368">
        <v>2548090.86</v>
      </c>
      <c r="G509" s="369">
        <v>2548090.86</v>
      </c>
      <c r="H509" s="345" t="str">
        <f t="shared" si="30"/>
        <v>0106</v>
      </c>
      <c r="I509" s="346" t="str">
        <f t="shared" si="31"/>
        <v>8610010020</v>
      </c>
      <c r="K509"/>
    </row>
    <row r="510" spans="1:11" s="292" customFormat="1" ht="18.75" thickBot="1">
      <c r="A510"/>
      <c r="B510" s="406"/>
      <c r="C510" s="406"/>
      <c r="D510" s="407"/>
      <c r="E510" s="407"/>
      <c r="F510" s="371">
        <v>8918565034.5</v>
      </c>
      <c r="G510" s="371">
        <v>8182659928.2399998</v>
      </c>
      <c r="K510"/>
    </row>
    <row r="511" spans="1:11" s="292" customFormat="1" ht="18.75" thickBot="1">
      <c r="A511"/>
      <c r="B511" s="405"/>
      <c r="C511" s="405"/>
      <c r="D511" s="405"/>
      <c r="E511" s="405"/>
      <c r="F511" s="371">
        <v>8918565034.5</v>
      </c>
      <c r="G511" s="371">
        <v>8182659928.2399998</v>
      </c>
      <c r="K511"/>
    </row>
    <row r="512" spans="1:11" s="292" customFormat="1" ht="18.75" thickBot="1">
      <c r="A512"/>
      <c r="B512" s="404"/>
      <c r="C512" s="404"/>
      <c r="D512" s="404"/>
      <c r="E512" s="404"/>
      <c r="F512" s="370">
        <f t="shared" ref="F512:G512" si="32">F510-F511</f>
        <v>0</v>
      </c>
      <c r="G512" s="370">
        <f t="shared" si="32"/>
        <v>0</v>
      </c>
      <c r="K512"/>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Лист2">
    <tabColor rgb="FFFFFF00"/>
  </sheetPr>
  <dimension ref="A1:R1982"/>
  <sheetViews>
    <sheetView view="pageBreakPreview" topLeftCell="A19" zoomScale="98" zoomScaleNormal="100" zoomScaleSheetLayoutView="98" workbookViewId="0">
      <selection activeCell="E26" sqref="E26"/>
    </sheetView>
  </sheetViews>
  <sheetFormatPr defaultColWidth="8.7265625" defaultRowHeight="18"/>
  <cols>
    <col min="1" max="1" width="6.81640625" style="40" customWidth="1"/>
    <col min="2" max="2" width="35.90625" style="72" customWidth="1"/>
    <col min="3" max="3" width="4.90625" style="73" customWidth="1"/>
    <col min="4" max="4" width="3.36328125" style="74" customWidth="1"/>
    <col min="5" max="5" width="3" style="74" customWidth="1"/>
    <col min="6" max="6" width="9.1796875" style="74" customWidth="1"/>
    <col min="7" max="7" width="4" style="74" customWidth="1"/>
    <col min="8" max="8" width="11.90625" style="75" customWidth="1"/>
    <col min="12" max="12" width="10.08984375" style="75" hidden="1" customWidth="1"/>
    <col min="13" max="13" width="10.36328125" style="75" hidden="1" customWidth="1"/>
    <col min="14" max="14" width="10.36328125" style="84" hidden="1" customWidth="1"/>
    <col min="15" max="15" width="10.08984375" style="75" hidden="1" customWidth="1"/>
    <col min="16" max="16" width="10.36328125" style="75" hidden="1" customWidth="1"/>
    <col min="17" max="17" width="10.36328125" style="84" hidden="1" customWidth="1"/>
    <col min="18" max="19" width="0" style="48" hidden="1" customWidth="1"/>
    <col min="20" max="16384" width="8.7265625" style="48"/>
  </cols>
  <sheetData>
    <row r="1" spans="1:17" s="6" customFormat="1">
      <c r="A1" s="1"/>
      <c r="B1" s="2"/>
      <c r="C1" s="3"/>
      <c r="D1" s="97"/>
      <c r="E1" s="97"/>
      <c r="F1" s="97"/>
      <c r="G1" s="97"/>
      <c r="H1" s="5" t="s">
        <v>1002</v>
      </c>
      <c r="I1" s="101"/>
      <c r="J1" s="101"/>
      <c r="K1" s="101"/>
      <c r="L1" s="98"/>
      <c r="M1" s="98"/>
      <c r="N1" s="100"/>
      <c r="O1" s="98"/>
      <c r="P1" s="98"/>
      <c r="Q1" s="100"/>
    </row>
    <row r="2" spans="1:17" s="6" customFormat="1">
      <c r="A2" s="1"/>
      <c r="B2" s="2"/>
      <c r="C2" s="3"/>
      <c r="D2" s="97"/>
      <c r="E2" s="97"/>
      <c r="F2" s="97"/>
      <c r="G2" s="97"/>
      <c r="H2" s="5" t="s">
        <v>1003</v>
      </c>
      <c r="I2" s="101"/>
      <c r="J2" s="101"/>
      <c r="K2" s="101"/>
      <c r="L2" s="98"/>
      <c r="M2" s="98"/>
      <c r="N2" s="100"/>
      <c r="O2" s="98"/>
      <c r="P2" s="98"/>
      <c r="Q2" s="100"/>
    </row>
    <row r="3" spans="1:17" s="6" customFormat="1">
      <c r="A3" s="1"/>
      <c r="B3" s="2"/>
      <c r="C3" s="3"/>
      <c r="D3" s="97"/>
      <c r="E3" s="97"/>
      <c r="F3" s="97"/>
      <c r="G3" s="97"/>
      <c r="H3" s="5" t="s">
        <v>1004</v>
      </c>
      <c r="I3" s="101"/>
      <c r="J3" s="101"/>
      <c r="K3" s="101"/>
      <c r="L3" s="98"/>
      <c r="M3" s="98"/>
      <c r="N3" s="100"/>
      <c r="O3" s="98"/>
      <c r="P3" s="98"/>
      <c r="Q3" s="100"/>
    </row>
    <row r="4" spans="1:17" s="6" customFormat="1">
      <c r="A4" s="1"/>
      <c r="B4" s="2"/>
      <c r="C4" s="3"/>
      <c r="D4" s="97"/>
      <c r="E4" s="97"/>
      <c r="F4" s="97"/>
      <c r="G4" s="97"/>
      <c r="H4" s="5" t="s">
        <v>1005</v>
      </c>
      <c r="I4" s="101"/>
      <c r="J4" s="101"/>
      <c r="K4" s="101"/>
      <c r="L4" s="98"/>
      <c r="M4" s="98"/>
      <c r="N4" s="100"/>
      <c r="O4" s="98"/>
      <c r="P4" s="98"/>
      <c r="Q4" s="100"/>
    </row>
    <row r="5" spans="1:17" s="6" customFormat="1">
      <c r="A5" s="1"/>
      <c r="B5" s="2"/>
      <c r="C5" s="3"/>
      <c r="D5" s="97"/>
      <c r="E5" s="97"/>
      <c r="F5" s="97"/>
      <c r="G5" s="97"/>
      <c r="H5" s="5" t="s">
        <v>992</v>
      </c>
      <c r="I5" s="101"/>
      <c r="J5" s="101"/>
      <c r="K5" s="101"/>
      <c r="L5" s="98"/>
      <c r="M5" s="98"/>
      <c r="N5" s="100"/>
      <c r="O5" s="98"/>
      <c r="P5" s="98"/>
      <c r="Q5" s="100"/>
    </row>
    <row r="6" spans="1:17" s="6" customFormat="1">
      <c r="A6" s="1"/>
      <c r="B6" s="2"/>
      <c r="C6" s="3"/>
      <c r="D6" s="97"/>
      <c r="E6" s="97"/>
      <c r="F6" s="97"/>
      <c r="G6" s="97"/>
      <c r="H6" s="5" t="s">
        <v>1006</v>
      </c>
      <c r="I6" s="101"/>
      <c r="J6" s="101"/>
      <c r="K6" s="101"/>
      <c r="L6" s="98"/>
      <c r="M6" s="98"/>
      <c r="N6" s="100"/>
      <c r="O6" s="98"/>
      <c r="P6" s="98"/>
      <c r="Q6" s="100"/>
    </row>
    <row r="7" spans="1:17" s="6" customFormat="1">
      <c r="A7" s="1"/>
      <c r="B7" s="2"/>
      <c r="C7" s="3"/>
      <c r="D7" s="97"/>
      <c r="E7" s="97"/>
      <c r="F7" s="97"/>
      <c r="G7" s="97"/>
      <c r="H7" s="5" t="s">
        <v>1007</v>
      </c>
      <c r="I7" s="101"/>
      <c r="J7" s="101"/>
      <c r="K7" s="101"/>
      <c r="L7" s="98"/>
      <c r="M7" s="98"/>
      <c r="N7" s="100"/>
      <c r="O7" s="98"/>
      <c r="P7" s="98"/>
      <c r="Q7" s="100"/>
    </row>
    <row r="8" spans="1:17" s="6" customFormat="1">
      <c r="A8" s="1"/>
      <c r="B8" s="2"/>
      <c r="C8" s="3"/>
      <c r="D8" s="97"/>
      <c r="E8" s="97"/>
      <c r="F8" s="97"/>
      <c r="G8" s="97"/>
      <c r="H8" s="102" t="s">
        <v>1008</v>
      </c>
      <c r="I8" s="101"/>
      <c r="J8" s="101"/>
      <c r="K8" s="101"/>
      <c r="L8" s="98"/>
      <c r="M8" s="98"/>
      <c r="N8" s="100"/>
      <c r="O8" s="98"/>
      <c r="P8" s="98"/>
      <c r="Q8" s="100"/>
    </row>
    <row r="9" spans="1:17" s="6" customFormat="1">
      <c r="A9" s="1"/>
      <c r="B9" s="2"/>
      <c r="C9" s="3"/>
      <c r="D9" s="97"/>
      <c r="E9" s="97"/>
      <c r="F9" s="97"/>
      <c r="G9" s="97"/>
      <c r="H9" s="98"/>
      <c r="I9" s="101"/>
      <c r="J9" s="101"/>
      <c r="K9" s="101"/>
      <c r="L9" s="98"/>
      <c r="M9" s="98"/>
      <c r="N9" s="100"/>
      <c r="O9" s="98"/>
      <c r="P9" s="98"/>
      <c r="Q9" s="100"/>
    </row>
    <row r="10" spans="1:17" s="6" customFormat="1" ht="15.75">
      <c r="A10" s="1"/>
      <c r="B10" s="511" t="s">
        <v>993</v>
      </c>
      <c r="C10" s="511"/>
      <c r="D10" s="511"/>
      <c r="E10" s="511"/>
      <c r="F10" s="511"/>
      <c r="G10" s="511"/>
      <c r="H10" s="511"/>
      <c r="L10" s="3"/>
      <c r="M10" s="3"/>
      <c r="N10" s="5"/>
      <c r="O10" s="3"/>
      <c r="P10" s="3"/>
      <c r="Q10" s="5"/>
    </row>
    <row r="11" spans="1:17" s="6" customFormat="1" ht="15.75">
      <c r="A11" s="1"/>
      <c r="B11" s="512" t="s">
        <v>1001</v>
      </c>
      <c r="C11" s="512"/>
      <c r="D11" s="512"/>
      <c r="E11" s="512"/>
      <c r="F11" s="512"/>
      <c r="G11" s="512"/>
      <c r="H11" s="512"/>
      <c r="L11" s="3"/>
      <c r="M11" s="3"/>
      <c r="N11" s="5"/>
      <c r="O11" s="3"/>
      <c r="P11" s="3"/>
      <c r="Q11" s="5"/>
    </row>
    <row r="12" spans="1:17" s="6" customFormat="1" ht="15.75">
      <c r="A12" s="1"/>
      <c r="B12" s="167"/>
      <c r="C12" s="167"/>
      <c r="D12" s="167"/>
      <c r="E12" s="167"/>
      <c r="F12" s="167"/>
      <c r="G12" s="167"/>
      <c r="H12" s="167"/>
      <c r="L12" s="3"/>
      <c r="M12" s="3"/>
      <c r="N12" s="5"/>
      <c r="O12" s="3"/>
      <c r="P12" s="3"/>
      <c r="Q12" s="5"/>
    </row>
    <row r="13" spans="1:17" s="6" customFormat="1" ht="15.75">
      <c r="A13" s="1"/>
      <c r="B13" s="512" t="s">
        <v>994</v>
      </c>
      <c r="C13" s="512"/>
      <c r="D13" s="512"/>
      <c r="E13" s="512"/>
      <c r="F13" s="512"/>
      <c r="G13" s="512"/>
      <c r="H13" s="512"/>
      <c r="L13" s="3"/>
      <c r="M13" s="3"/>
      <c r="N13" s="5"/>
      <c r="O13" s="3"/>
      <c r="P13" s="3"/>
      <c r="Q13" s="5"/>
    </row>
    <row r="14" spans="1:17" s="6" customFormat="1" ht="15.75">
      <c r="A14" s="1"/>
      <c r="B14" s="512" t="s">
        <v>995</v>
      </c>
      <c r="C14" s="512"/>
      <c r="D14" s="512"/>
      <c r="E14" s="512"/>
      <c r="F14" s="512"/>
      <c r="G14" s="512"/>
      <c r="H14" s="512"/>
      <c r="L14" s="3"/>
      <c r="M14" s="3"/>
      <c r="N14" s="5"/>
      <c r="O14" s="3"/>
      <c r="P14" s="3"/>
      <c r="Q14" s="5"/>
    </row>
    <row r="15" spans="1:17" s="6" customFormat="1" ht="15.75">
      <c r="A15" s="1"/>
      <c r="B15" s="513"/>
      <c r="C15" s="513"/>
      <c r="D15" s="513"/>
      <c r="E15" s="513"/>
      <c r="F15" s="513"/>
      <c r="G15" s="513"/>
      <c r="H15" s="513"/>
      <c r="L15" s="3"/>
      <c r="M15" s="3"/>
      <c r="N15" s="5"/>
      <c r="O15" s="3"/>
      <c r="P15" s="3"/>
      <c r="Q15" s="5"/>
    </row>
    <row r="16" spans="1:17" s="6" customFormat="1" ht="15.75">
      <c r="A16" s="1"/>
      <c r="B16" s="167"/>
      <c r="C16" s="167"/>
      <c r="D16" s="167"/>
      <c r="E16" s="167"/>
      <c r="F16" s="167"/>
      <c r="G16" s="111"/>
      <c r="H16" s="112" t="s">
        <v>996</v>
      </c>
      <c r="L16" s="3"/>
      <c r="M16" s="3"/>
      <c r="N16" s="5"/>
      <c r="O16" s="3"/>
      <c r="P16" s="3"/>
      <c r="Q16" s="5"/>
    </row>
    <row r="17" spans="1:18" s="6" customFormat="1" ht="15.75">
      <c r="A17" s="1"/>
      <c r="B17" s="508" t="s">
        <v>997</v>
      </c>
      <c r="C17" s="508" t="s">
        <v>998</v>
      </c>
      <c r="D17" s="508"/>
      <c r="E17" s="508"/>
      <c r="F17" s="508"/>
      <c r="G17" s="508"/>
      <c r="H17" s="509" t="s">
        <v>999</v>
      </c>
      <c r="L17" s="3"/>
      <c r="M17" s="3"/>
      <c r="N17" s="5"/>
      <c r="O17" s="3"/>
      <c r="P17" s="3"/>
      <c r="Q17" s="5"/>
    </row>
    <row r="18" spans="1:18" s="6" customFormat="1" ht="16.5" thickBot="1">
      <c r="A18" s="1"/>
      <c r="B18" s="508"/>
      <c r="C18" s="166" t="s">
        <v>1000</v>
      </c>
      <c r="D18" s="166" t="s">
        <v>0</v>
      </c>
      <c r="E18" s="166" t="s">
        <v>1</v>
      </c>
      <c r="F18" s="166" t="s">
        <v>2</v>
      </c>
      <c r="G18" s="166" t="s">
        <v>3</v>
      </c>
      <c r="H18" s="510"/>
      <c r="L18" s="9"/>
      <c r="M18" s="10"/>
      <c r="N18" s="11"/>
      <c r="O18" s="9"/>
      <c r="P18" s="10"/>
      <c r="Q18" s="11"/>
    </row>
    <row r="19" spans="1:18" s="13" customFormat="1" ht="16.5" thickBot="1">
      <c r="A19" s="1"/>
      <c r="B19" s="114">
        <v>1</v>
      </c>
      <c r="C19" s="115">
        <v>2</v>
      </c>
      <c r="D19" s="115">
        <v>3</v>
      </c>
      <c r="E19" s="115" t="s">
        <v>4</v>
      </c>
      <c r="F19" s="115">
        <v>5</v>
      </c>
      <c r="G19" s="115">
        <v>6</v>
      </c>
      <c r="H19" s="115">
        <v>7</v>
      </c>
      <c r="L19" s="12"/>
      <c r="M19" s="12"/>
      <c r="N19" s="12"/>
      <c r="O19" s="12"/>
      <c r="P19" s="12"/>
      <c r="Q19" s="12"/>
    </row>
    <row r="20" spans="1:18" s="16" customFormat="1" ht="15.75">
      <c r="A20" s="14"/>
      <c r="B20" s="67" t="s">
        <v>5</v>
      </c>
      <c r="C20" s="116" t="s">
        <v>6</v>
      </c>
      <c r="D20" s="69" t="s">
        <v>7</v>
      </c>
      <c r="E20" s="69" t="s">
        <v>7</v>
      </c>
      <c r="F20" s="69" t="s">
        <v>8</v>
      </c>
      <c r="G20" s="69" t="s">
        <v>9</v>
      </c>
      <c r="H20" s="70">
        <f>H21+H63</f>
        <v>0</v>
      </c>
      <c r="L20" s="15">
        <v>54679.56</v>
      </c>
      <c r="M20" s="15">
        <v>54679.56</v>
      </c>
      <c r="N20" s="15">
        <v>54679.56</v>
      </c>
      <c r="O20" s="15">
        <f t="shared" ref="O20:O26" si="0">H20-L20</f>
        <v>-54679.56</v>
      </c>
      <c r="P20" s="15" t="e">
        <f>#REF!-M20</f>
        <v>#REF!</v>
      </c>
      <c r="Q20" s="15" t="e">
        <f>#REF!-N20</f>
        <v>#REF!</v>
      </c>
      <c r="R20" s="17" t="str">
        <f>CONCATENATE(F20,G20)</f>
        <v>00 0 00 00000000</v>
      </c>
    </row>
    <row r="21" spans="1:18" s="16" customFormat="1" ht="15.75">
      <c r="A21" s="14"/>
      <c r="B21" s="117" t="s">
        <v>10</v>
      </c>
      <c r="C21" s="118" t="s">
        <v>6</v>
      </c>
      <c r="D21" s="119" t="s">
        <v>11</v>
      </c>
      <c r="E21" s="119" t="s">
        <v>7</v>
      </c>
      <c r="F21" s="119" t="s">
        <v>8</v>
      </c>
      <c r="G21" s="119" t="s">
        <v>9</v>
      </c>
      <c r="H21" s="120">
        <f>H22+H57</f>
        <v>0</v>
      </c>
      <c r="L21" s="18">
        <v>47589.06</v>
      </c>
      <c r="M21" s="18">
        <v>47589.06</v>
      </c>
      <c r="N21" s="18">
        <v>47589.06</v>
      </c>
      <c r="O21" s="18">
        <f t="shared" si="0"/>
        <v>-47589.06</v>
      </c>
      <c r="P21" s="18" t="e">
        <f>#REF!-M21</f>
        <v>#REF!</v>
      </c>
      <c r="Q21" s="18" t="e">
        <f>#REF!-N21</f>
        <v>#REF!</v>
      </c>
      <c r="R21" s="17" t="str">
        <f t="shared" ref="R21:R118" si="1">CONCATENATE(F21,G21)</f>
        <v>00 0 00 00000000</v>
      </c>
    </row>
    <row r="22" spans="1:18" s="16" customFormat="1" ht="63">
      <c r="A22" s="14"/>
      <c r="B22" s="121" t="s">
        <v>12</v>
      </c>
      <c r="C22" s="122" t="s">
        <v>6</v>
      </c>
      <c r="D22" s="123" t="s">
        <v>11</v>
      </c>
      <c r="E22" s="123" t="s">
        <v>13</v>
      </c>
      <c r="F22" s="123" t="s">
        <v>8</v>
      </c>
      <c r="G22" s="123" t="s">
        <v>9</v>
      </c>
      <c r="H22" s="124">
        <f>H23</f>
        <v>0</v>
      </c>
      <c r="L22" s="19">
        <v>47089.06</v>
      </c>
      <c r="M22" s="19">
        <v>47089.06</v>
      </c>
      <c r="N22" s="19">
        <v>47089.06</v>
      </c>
      <c r="O22" s="19">
        <f t="shared" si="0"/>
        <v>-47089.06</v>
      </c>
      <c r="P22" s="19" t="e">
        <f>#REF!-M22</f>
        <v>#REF!</v>
      </c>
      <c r="Q22" s="19" t="e">
        <f>#REF!-N22</f>
        <v>#REF!</v>
      </c>
      <c r="R22" s="17" t="str">
        <f t="shared" si="1"/>
        <v>00 0 00 00000000</v>
      </c>
    </row>
    <row r="23" spans="1:18" s="16" customFormat="1" ht="31.5">
      <c r="A23" s="14"/>
      <c r="B23" s="125" t="s">
        <v>14</v>
      </c>
      <c r="C23" s="109" t="s">
        <v>6</v>
      </c>
      <c r="D23" s="108" t="s">
        <v>11</v>
      </c>
      <c r="E23" s="108" t="s">
        <v>13</v>
      </c>
      <c r="F23" s="108" t="s">
        <v>15</v>
      </c>
      <c r="G23" s="108" t="s">
        <v>9</v>
      </c>
      <c r="H23" s="126">
        <f>H24+H48+H39</f>
        <v>0</v>
      </c>
      <c r="L23" s="20">
        <v>47089.06</v>
      </c>
      <c r="M23" s="20">
        <v>47089.06</v>
      </c>
      <c r="N23" s="20">
        <v>47089.06</v>
      </c>
      <c r="O23" s="20">
        <f t="shared" si="0"/>
        <v>-47089.06</v>
      </c>
      <c r="P23" s="20" t="e">
        <f>#REF!-M23</f>
        <v>#REF!</v>
      </c>
      <c r="Q23" s="20" t="e">
        <f>#REF!-N23</f>
        <v>#REF!</v>
      </c>
      <c r="R23" s="17" t="str">
        <f t="shared" si="1"/>
        <v>70 0 00 00000000</v>
      </c>
    </row>
    <row r="24" spans="1:18" s="16" customFormat="1" ht="31.5">
      <c r="A24" s="14"/>
      <c r="B24" s="125" t="s">
        <v>16</v>
      </c>
      <c r="C24" s="109" t="s">
        <v>6</v>
      </c>
      <c r="D24" s="108" t="s">
        <v>11</v>
      </c>
      <c r="E24" s="108" t="s">
        <v>13</v>
      </c>
      <c r="F24" s="108" t="s">
        <v>17</v>
      </c>
      <c r="G24" s="108" t="s">
        <v>9</v>
      </c>
      <c r="H24" s="126">
        <f>H25+H35</f>
        <v>0</v>
      </c>
      <c r="L24" s="20">
        <v>42983.74</v>
      </c>
      <c r="M24" s="20">
        <v>42983.74</v>
      </c>
      <c r="N24" s="20">
        <v>42983.74</v>
      </c>
      <c r="O24" s="20">
        <f t="shared" si="0"/>
        <v>-42983.74</v>
      </c>
      <c r="P24" s="20" t="e">
        <f>#REF!-M24</f>
        <v>#REF!</v>
      </c>
      <c r="Q24" s="20" t="e">
        <f>#REF!-N24</f>
        <v>#REF!</v>
      </c>
      <c r="R24" s="17" t="str">
        <f t="shared" si="1"/>
        <v>70 1 00 00000000</v>
      </c>
    </row>
    <row r="25" spans="1:18" s="16" customFormat="1" ht="31.5">
      <c r="A25" s="14"/>
      <c r="B25" s="125" t="s">
        <v>18</v>
      </c>
      <c r="C25" s="109" t="s">
        <v>6</v>
      </c>
      <c r="D25" s="108" t="s">
        <v>11</v>
      </c>
      <c r="E25" s="108" t="s">
        <v>13</v>
      </c>
      <c r="F25" s="108" t="s">
        <v>19</v>
      </c>
      <c r="G25" s="108" t="s">
        <v>9</v>
      </c>
      <c r="H25" s="126">
        <f>H26+H30+H32</f>
        <v>0</v>
      </c>
      <c r="L25" s="20">
        <v>10397.540000000001</v>
      </c>
      <c r="M25" s="20">
        <v>10397.540000000001</v>
      </c>
      <c r="N25" s="20">
        <v>10397.540000000001</v>
      </c>
      <c r="O25" s="20">
        <f t="shared" si="0"/>
        <v>-10397.540000000001</v>
      </c>
      <c r="P25" s="20" t="e">
        <f>#REF!-M25</f>
        <v>#REF!</v>
      </c>
      <c r="Q25" s="20" t="e">
        <f>#REF!-N25</f>
        <v>#REF!</v>
      </c>
      <c r="R25" s="17" t="str">
        <f t="shared" si="1"/>
        <v>70 1 00 10010000</v>
      </c>
    </row>
    <row r="26" spans="1:18" s="16" customFormat="1" ht="31.5">
      <c r="A26" s="14"/>
      <c r="B26" s="127" t="s">
        <v>20</v>
      </c>
      <c r="C26" s="109" t="s">
        <v>6</v>
      </c>
      <c r="D26" s="108" t="s">
        <v>11</v>
      </c>
      <c r="E26" s="108" t="s">
        <v>13</v>
      </c>
      <c r="F26" s="108" t="s">
        <v>19</v>
      </c>
      <c r="G26" s="108" t="s">
        <v>21</v>
      </c>
      <c r="H26" s="126">
        <f>SUM(H27:H29)</f>
        <v>0</v>
      </c>
      <c r="L26" s="20">
        <v>3836.7799999999997</v>
      </c>
      <c r="M26" s="20">
        <v>3836.7799999999997</v>
      </c>
      <c r="N26" s="20">
        <v>3836.7799999999997</v>
      </c>
      <c r="O26" s="20">
        <f t="shared" si="0"/>
        <v>-3836.7799999999997</v>
      </c>
      <c r="P26" s="20" t="e">
        <f>#REF!-M26</f>
        <v>#REF!</v>
      </c>
      <c r="Q26" s="20" t="e">
        <f>#REF!-N26</f>
        <v>#REF!</v>
      </c>
      <c r="R26" s="17" t="str">
        <f t="shared" si="1"/>
        <v>70 1 00 10010120</v>
      </c>
    </row>
    <row r="27" spans="1:18" s="23" customFormat="1" ht="47.25">
      <c r="A27" s="21"/>
      <c r="B27" s="127" t="s">
        <v>22</v>
      </c>
      <c r="C27" s="109" t="s">
        <v>6</v>
      </c>
      <c r="D27" s="108" t="s">
        <v>11</v>
      </c>
      <c r="E27" s="108" t="s">
        <v>13</v>
      </c>
      <c r="F27" s="108" t="s">
        <v>19</v>
      </c>
      <c r="G27" s="108" t="s">
        <v>23</v>
      </c>
      <c r="H27" s="126"/>
      <c r="L27" s="22"/>
      <c r="M27" s="22"/>
      <c r="N27" s="22"/>
      <c r="O27" s="22"/>
      <c r="P27" s="22"/>
      <c r="Q27" s="22"/>
      <c r="R27" s="24"/>
    </row>
    <row r="28" spans="1:18" s="23" customFormat="1" ht="63">
      <c r="A28" s="21"/>
      <c r="B28" s="127" t="s">
        <v>24</v>
      </c>
      <c r="C28" s="109" t="s">
        <v>6</v>
      </c>
      <c r="D28" s="108" t="s">
        <v>11</v>
      </c>
      <c r="E28" s="108" t="s">
        <v>13</v>
      </c>
      <c r="F28" s="108" t="s">
        <v>19</v>
      </c>
      <c r="G28" s="108" t="s">
        <v>25</v>
      </c>
      <c r="H28" s="126"/>
      <c r="L28" s="22"/>
      <c r="M28" s="22"/>
      <c r="N28" s="22"/>
      <c r="O28" s="22"/>
      <c r="P28" s="22"/>
      <c r="Q28" s="22"/>
      <c r="R28" s="24"/>
    </row>
    <row r="29" spans="1:18" s="23" customFormat="1" ht="63">
      <c r="A29" s="21"/>
      <c r="B29" s="127" t="s">
        <v>26</v>
      </c>
      <c r="C29" s="109" t="s">
        <v>6</v>
      </c>
      <c r="D29" s="108" t="s">
        <v>11</v>
      </c>
      <c r="E29" s="108" t="s">
        <v>13</v>
      </c>
      <c r="F29" s="108" t="s">
        <v>19</v>
      </c>
      <c r="G29" s="108" t="s">
        <v>27</v>
      </c>
      <c r="H29" s="126"/>
      <c r="L29" s="22"/>
      <c r="M29" s="22"/>
      <c r="N29" s="22"/>
      <c r="O29" s="22"/>
      <c r="P29" s="22"/>
      <c r="Q29" s="22"/>
      <c r="R29" s="24"/>
    </row>
    <row r="30" spans="1:18" s="16" customFormat="1" ht="31.5">
      <c r="A30" s="14"/>
      <c r="B30" s="125" t="s">
        <v>28</v>
      </c>
      <c r="C30" s="109" t="s">
        <v>6</v>
      </c>
      <c r="D30" s="108" t="s">
        <v>11</v>
      </c>
      <c r="E30" s="108" t="s">
        <v>13</v>
      </c>
      <c r="F30" s="108" t="s">
        <v>19</v>
      </c>
      <c r="G30" s="108" t="s">
        <v>29</v>
      </c>
      <c r="H30" s="126">
        <f>H31</f>
        <v>0</v>
      </c>
      <c r="L30" s="20">
        <v>6454.14</v>
      </c>
      <c r="M30" s="20">
        <v>6454.14</v>
      </c>
      <c r="N30" s="20">
        <v>6454.14</v>
      </c>
      <c r="O30" s="20">
        <f>H30-L30</f>
        <v>-6454.14</v>
      </c>
      <c r="P30" s="20" t="e">
        <f>#REF!-M30</f>
        <v>#REF!</v>
      </c>
      <c r="Q30" s="20" t="e">
        <f>#REF!-N30</f>
        <v>#REF!</v>
      </c>
      <c r="R30" s="17" t="str">
        <f t="shared" si="1"/>
        <v>70 1 00 10010240</v>
      </c>
    </row>
    <row r="31" spans="1:18" s="16" customFormat="1" ht="15.75">
      <c r="A31" s="14"/>
      <c r="B31" s="125" t="s">
        <v>30</v>
      </c>
      <c r="C31" s="109" t="s">
        <v>6</v>
      </c>
      <c r="D31" s="108" t="s">
        <v>11</v>
      </c>
      <c r="E31" s="108" t="s">
        <v>13</v>
      </c>
      <c r="F31" s="108" t="s">
        <v>19</v>
      </c>
      <c r="G31" s="108" t="s">
        <v>31</v>
      </c>
      <c r="H31" s="126"/>
      <c r="L31" s="20"/>
      <c r="M31" s="20"/>
      <c r="N31" s="20"/>
      <c r="O31" s="20"/>
      <c r="P31" s="20"/>
      <c r="Q31" s="20"/>
      <c r="R31" s="17"/>
    </row>
    <row r="32" spans="1:18" s="16" customFormat="1" ht="15.75">
      <c r="A32" s="14"/>
      <c r="B32" s="125" t="s">
        <v>32</v>
      </c>
      <c r="C32" s="109" t="s">
        <v>6</v>
      </c>
      <c r="D32" s="108" t="s">
        <v>11</v>
      </c>
      <c r="E32" s="108" t="s">
        <v>13</v>
      </c>
      <c r="F32" s="108" t="s">
        <v>19</v>
      </c>
      <c r="G32" s="108" t="s">
        <v>33</v>
      </c>
      <c r="H32" s="126">
        <f>SUM(H33:H34)</f>
        <v>0</v>
      </c>
      <c r="L32" s="20">
        <v>106.62</v>
      </c>
      <c r="M32" s="20">
        <v>106.62</v>
      </c>
      <c r="N32" s="20">
        <v>106.62</v>
      </c>
      <c r="O32" s="20">
        <f>H32-L32</f>
        <v>-106.62</v>
      </c>
      <c r="P32" s="20" t="e">
        <f>#REF!-M32</f>
        <v>#REF!</v>
      </c>
      <c r="Q32" s="20" t="e">
        <f>#REF!-N32</f>
        <v>#REF!</v>
      </c>
      <c r="R32" s="17" t="str">
        <f t="shared" si="1"/>
        <v>70 1 00 10010850</v>
      </c>
    </row>
    <row r="33" spans="1:18" s="23" customFormat="1" ht="31.5">
      <c r="A33" s="21"/>
      <c r="B33" s="127" t="s">
        <v>34</v>
      </c>
      <c r="C33" s="109" t="s">
        <v>6</v>
      </c>
      <c r="D33" s="108" t="s">
        <v>11</v>
      </c>
      <c r="E33" s="108" t="s">
        <v>13</v>
      </c>
      <c r="F33" s="108" t="s">
        <v>19</v>
      </c>
      <c r="G33" s="108" t="s">
        <v>35</v>
      </c>
      <c r="H33" s="128"/>
      <c r="L33" s="22"/>
      <c r="M33" s="22"/>
      <c r="N33" s="22"/>
      <c r="O33" s="22"/>
      <c r="P33" s="22"/>
      <c r="Q33" s="22"/>
      <c r="R33" s="24"/>
    </row>
    <row r="34" spans="1:18" s="23" customFormat="1" ht="15.75">
      <c r="A34" s="21"/>
      <c r="B34" s="127" t="s">
        <v>36</v>
      </c>
      <c r="C34" s="109" t="s">
        <v>6</v>
      </c>
      <c r="D34" s="108" t="s">
        <v>11</v>
      </c>
      <c r="E34" s="108" t="s">
        <v>13</v>
      </c>
      <c r="F34" s="108" t="s">
        <v>19</v>
      </c>
      <c r="G34" s="108" t="s">
        <v>37</v>
      </c>
      <c r="H34" s="128"/>
      <c r="L34" s="22"/>
      <c r="M34" s="22"/>
      <c r="N34" s="22"/>
      <c r="O34" s="22"/>
      <c r="P34" s="22"/>
      <c r="Q34" s="22"/>
      <c r="R34" s="24"/>
    </row>
    <row r="35" spans="1:18" s="16" customFormat="1" ht="31.5">
      <c r="A35" s="14"/>
      <c r="B35" s="127" t="s">
        <v>38</v>
      </c>
      <c r="C35" s="109" t="s">
        <v>6</v>
      </c>
      <c r="D35" s="108" t="s">
        <v>11</v>
      </c>
      <c r="E35" s="108" t="s">
        <v>13</v>
      </c>
      <c r="F35" s="108" t="s">
        <v>39</v>
      </c>
      <c r="G35" s="108" t="s">
        <v>9</v>
      </c>
      <c r="H35" s="126">
        <f>H36</f>
        <v>0</v>
      </c>
      <c r="L35" s="20">
        <v>32586.199999999997</v>
      </c>
      <c r="M35" s="20">
        <v>32586.199999999997</v>
      </c>
      <c r="N35" s="20">
        <v>32586.199999999997</v>
      </c>
      <c r="O35" s="20">
        <f>H35-L35</f>
        <v>-32586.199999999997</v>
      </c>
      <c r="P35" s="20" t="e">
        <f>#REF!-M35</f>
        <v>#REF!</v>
      </c>
      <c r="Q35" s="20" t="e">
        <f>#REF!-N35</f>
        <v>#REF!</v>
      </c>
      <c r="R35" s="17" t="str">
        <f t="shared" si="1"/>
        <v>70 1 00 10020000</v>
      </c>
    </row>
    <row r="36" spans="1:18" s="16" customFormat="1" ht="31.5">
      <c r="A36" s="14"/>
      <c r="B36" s="127" t="s">
        <v>20</v>
      </c>
      <c r="C36" s="109" t="s">
        <v>6</v>
      </c>
      <c r="D36" s="108" t="s">
        <v>11</v>
      </c>
      <c r="E36" s="108" t="s">
        <v>13</v>
      </c>
      <c r="F36" s="108" t="s">
        <v>39</v>
      </c>
      <c r="G36" s="108" t="s">
        <v>21</v>
      </c>
      <c r="H36" s="126">
        <f>SUM(H37:H38)</f>
        <v>0</v>
      </c>
      <c r="L36" s="20">
        <v>32586.199999999997</v>
      </c>
      <c r="M36" s="20">
        <v>32586.199999999997</v>
      </c>
      <c r="N36" s="20">
        <v>32586.199999999997</v>
      </c>
      <c r="O36" s="20">
        <f>H36-L36</f>
        <v>-32586.199999999997</v>
      </c>
      <c r="P36" s="20" t="e">
        <f>#REF!-M36</f>
        <v>#REF!</v>
      </c>
      <c r="Q36" s="20" t="e">
        <f>#REF!-N36</f>
        <v>#REF!</v>
      </c>
      <c r="R36" s="17" t="str">
        <f t="shared" si="1"/>
        <v>70 1 00 10020120</v>
      </c>
    </row>
    <row r="37" spans="1:18" s="23" customFormat="1" ht="31.5">
      <c r="A37" s="21"/>
      <c r="B37" s="127" t="s">
        <v>40</v>
      </c>
      <c r="C37" s="109" t="s">
        <v>6</v>
      </c>
      <c r="D37" s="108" t="s">
        <v>11</v>
      </c>
      <c r="E37" s="108" t="s">
        <v>13</v>
      </c>
      <c r="F37" s="108" t="s">
        <v>39</v>
      </c>
      <c r="G37" s="108" t="s">
        <v>41</v>
      </c>
      <c r="H37" s="126"/>
      <c r="L37" s="22"/>
      <c r="M37" s="22"/>
      <c r="N37" s="22"/>
      <c r="O37" s="22"/>
      <c r="P37" s="22"/>
      <c r="Q37" s="22"/>
      <c r="R37" s="24"/>
    </row>
    <row r="38" spans="1:18" s="23" customFormat="1" ht="63">
      <c r="A38" s="21"/>
      <c r="B38" s="127" t="s">
        <v>26</v>
      </c>
      <c r="C38" s="109" t="s">
        <v>6</v>
      </c>
      <c r="D38" s="108" t="s">
        <v>11</v>
      </c>
      <c r="E38" s="108" t="s">
        <v>13</v>
      </c>
      <c r="F38" s="108" t="s">
        <v>39</v>
      </c>
      <c r="G38" s="108" t="s">
        <v>27</v>
      </c>
      <c r="H38" s="126"/>
      <c r="L38" s="22"/>
      <c r="M38" s="22"/>
      <c r="N38" s="22"/>
      <c r="O38" s="22"/>
      <c r="P38" s="22"/>
      <c r="Q38" s="22"/>
      <c r="R38" s="24"/>
    </row>
    <row r="39" spans="1:18" s="16" customFormat="1" ht="31.5">
      <c r="A39" s="14"/>
      <c r="B39" s="127" t="s">
        <v>42</v>
      </c>
      <c r="C39" s="109" t="s">
        <v>6</v>
      </c>
      <c r="D39" s="108" t="s">
        <v>11</v>
      </c>
      <c r="E39" s="108" t="s">
        <v>13</v>
      </c>
      <c r="F39" s="108" t="s">
        <v>43</v>
      </c>
      <c r="G39" s="108" t="s">
        <v>9</v>
      </c>
      <c r="H39" s="126">
        <f>H44+H40</f>
        <v>0</v>
      </c>
      <c r="L39" s="20">
        <v>1593.55</v>
      </c>
      <c r="M39" s="20">
        <v>1593.55</v>
      </c>
      <c r="N39" s="20">
        <v>1593.55</v>
      </c>
      <c r="O39" s="20">
        <f>H39-L39</f>
        <v>-1593.55</v>
      </c>
      <c r="P39" s="20" t="e">
        <f>#REF!-M39</f>
        <v>#REF!</v>
      </c>
      <c r="Q39" s="20" t="e">
        <f>#REF!-N39</f>
        <v>#REF!</v>
      </c>
      <c r="R39" s="17" t="str">
        <f t="shared" si="1"/>
        <v>70 2 00 00000000</v>
      </c>
    </row>
    <row r="40" spans="1:18" s="16" customFormat="1" ht="31.5">
      <c r="A40" s="14"/>
      <c r="B40" s="125" t="s">
        <v>18</v>
      </c>
      <c r="C40" s="109" t="s">
        <v>6</v>
      </c>
      <c r="D40" s="108" t="s">
        <v>11</v>
      </c>
      <c r="E40" s="108" t="s">
        <v>13</v>
      </c>
      <c r="F40" s="108" t="s">
        <v>44</v>
      </c>
      <c r="G40" s="108" t="s">
        <v>9</v>
      </c>
      <c r="H40" s="126">
        <f>H41</f>
        <v>0</v>
      </c>
      <c r="L40" s="20">
        <v>41.55</v>
      </c>
      <c r="M40" s="20">
        <v>41.55</v>
      </c>
      <c r="N40" s="20">
        <v>41.55</v>
      </c>
      <c r="O40" s="20">
        <f>H40-L40</f>
        <v>-41.55</v>
      </c>
      <c r="P40" s="20" t="e">
        <f>#REF!-M40</f>
        <v>#REF!</v>
      </c>
      <c r="Q40" s="20" t="e">
        <f>#REF!-N40</f>
        <v>#REF!</v>
      </c>
      <c r="R40" s="17" t="str">
        <f t="shared" si="1"/>
        <v>70 2 00 10010000</v>
      </c>
    </row>
    <row r="41" spans="1:18" s="16" customFormat="1" ht="31.5">
      <c r="A41" s="14"/>
      <c r="B41" s="127" t="s">
        <v>20</v>
      </c>
      <c r="C41" s="109" t="s">
        <v>6</v>
      </c>
      <c r="D41" s="108" t="s">
        <v>11</v>
      </c>
      <c r="E41" s="108" t="s">
        <v>13</v>
      </c>
      <c r="F41" s="108" t="s">
        <v>44</v>
      </c>
      <c r="G41" s="108" t="s">
        <v>21</v>
      </c>
      <c r="H41" s="126">
        <f>SUM(H42:H43)</f>
        <v>0</v>
      </c>
      <c r="L41" s="20">
        <v>41.55</v>
      </c>
      <c r="M41" s="20">
        <v>41.55</v>
      </c>
      <c r="N41" s="20">
        <v>41.55</v>
      </c>
      <c r="O41" s="20">
        <f>H41-L41</f>
        <v>-41.55</v>
      </c>
      <c r="P41" s="20" t="e">
        <f>#REF!-M41</f>
        <v>#REF!</v>
      </c>
      <c r="Q41" s="20" t="e">
        <f>#REF!-N41</f>
        <v>#REF!</v>
      </c>
      <c r="R41" s="17" t="str">
        <f t="shared" si="1"/>
        <v>70 2 00 10010120</v>
      </c>
    </row>
    <row r="42" spans="1:18" s="23" customFormat="1" ht="47.25">
      <c r="A42" s="21"/>
      <c r="B42" s="127" t="s">
        <v>22</v>
      </c>
      <c r="C42" s="109" t="s">
        <v>6</v>
      </c>
      <c r="D42" s="108" t="s">
        <v>11</v>
      </c>
      <c r="E42" s="108" t="s">
        <v>13</v>
      </c>
      <c r="F42" s="108" t="s">
        <v>44</v>
      </c>
      <c r="G42" s="108" t="s">
        <v>23</v>
      </c>
      <c r="H42" s="128"/>
      <c r="L42" s="22"/>
      <c r="M42" s="22"/>
      <c r="N42" s="22"/>
      <c r="O42" s="22"/>
      <c r="P42" s="22"/>
      <c r="Q42" s="22"/>
      <c r="R42" s="24"/>
    </row>
    <row r="43" spans="1:18" s="23" customFormat="1" ht="63">
      <c r="A43" s="21"/>
      <c r="B43" s="127" t="s">
        <v>26</v>
      </c>
      <c r="C43" s="109" t="s">
        <v>6</v>
      </c>
      <c r="D43" s="108" t="s">
        <v>11</v>
      </c>
      <c r="E43" s="108" t="s">
        <v>13</v>
      </c>
      <c r="F43" s="108" t="s">
        <v>44</v>
      </c>
      <c r="G43" s="108" t="s">
        <v>27</v>
      </c>
      <c r="H43" s="128"/>
      <c r="L43" s="22"/>
      <c r="M43" s="22"/>
      <c r="N43" s="22"/>
      <c r="O43" s="22"/>
      <c r="P43" s="22"/>
      <c r="Q43" s="22"/>
      <c r="R43" s="24"/>
    </row>
    <row r="44" spans="1:18" s="16" customFormat="1" ht="31.5">
      <c r="A44" s="14"/>
      <c r="B44" s="127" t="s">
        <v>38</v>
      </c>
      <c r="C44" s="109" t="s">
        <v>6</v>
      </c>
      <c r="D44" s="108" t="s">
        <v>11</v>
      </c>
      <c r="E44" s="108" t="s">
        <v>13</v>
      </c>
      <c r="F44" s="108" t="s">
        <v>45</v>
      </c>
      <c r="G44" s="108" t="s">
        <v>9</v>
      </c>
      <c r="H44" s="126">
        <f>H45</f>
        <v>0</v>
      </c>
      <c r="L44" s="20">
        <v>1552</v>
      </c>
      <c r="M44" s="20">
        <v>1552</v>
      </c>
      <c r="N44" s="20">
        <v>1552</v>
      </c>
      <c r="O44" s="20">
        <f>H44-L44</f>
        <v>-1552</v>
      </c>
      <c r="P44" s="20" t="e">
        <f>#REF!-M44</f>
        <v>#REF!</v>
      </c>
      <c r="Q44" s="20" t="e">
        <f>#REF!-N44</f>
        <v>#REF!</v>
      </c>
      <c r="R44" s="17" t="str">
        <f t="shared" si="1"/>
        <v>70 2 00 10020000</v>
      </c>
    </row>
    <row r="45" spans="1:18" s="16" customFormat="1" ht="31.5">
      <c r="A45" s="14"/>
      <c r="B45" s="127" t="s">
        <v>20</v>
      </c>
      <c r="C45" s="109" t="s">
        <v>6</v>
      </c>
      <c r="D45" s="108" t="s">
        <v>11</v>
      </c>
      <c r="E45" s="108" t="s">
        <v>13</v>
      </c>
      <c r="F45" s="108" t="s">
        <v>45</v>
      </c>
      <c r="G45" s="108" t="s">
        <v>21</v>
      </c>
      <c r="H45" s="126">
        <f>SUM(H46:H47)</f>
        <v>0</v>
      </c>
      <c r="L45" s="20">
        <v>1552</v>
      </c>
      <c r="M45" s="20">
        <v>1552</v>
      </c>
      <c r="N45" s="20">
        <v>1552</v>
      </c>
      <c r="O45" s="20">
        <f>H45-L45</f>
        <v>-1552</v>
      </c>
      <c r="P45" s="20" t="e">
        <f>#REF!-M45</f>
        <v>#REF!</v>
      </c>
      <c r="Q45" s="20" t="e">
        <f>#REF!-N45</f>
        <v>#REF!</v>
      </c>
      <c r="R45" s="17" t="str">
        <f t="shared" si="1"/>
        <v>70 2 00 10020120</v>
      </c>
    </row>
    <row r="46" spans="1:18" s="16" customFormat="1" ht="31.5">
      <c r="A46" s="14"/>
      <c r="B46" s="125" t="s">
        <v>40</v>
      </c>
      <c r="C46" s="109" t="s">
        <v>6</v>
      </c>
      <c r="D46" s="108" t="s">
        <v>11</v>
      </c>
      <c r="E46" s="108" t="s">
        <v>13</v>
      </c>
      <c r="F46" s="108" t="s">
        <v>45</v>
      </c>
      <c r="G46" s="108" t="s">
        <v>41</v>
      </c>
      <c r="H46" s="128"/>
      <c r="L46" s="20"/>
      <c r="M46" s="20"/>
      <c r="N46" s="20"/>
      <c r="O46" s="20"/>
      <c r="P46" s="20"/>
      <c r="Q46" s="20"/>
      <c r="R46" s="17"/>
    </row>
    <row r="47" spans="1:18" s="16" customFormat="1" ht="63">
      <c r="A47" s="14"/>
      <c r="B47" s="125" t="s">
        <v>26</v>
      </c>
      <c r="C47" s="109" t="s">
        <v>6</v>
      </c>
      <c r="D47" s="108" t="s">
        <v>11</v>
      </c>
      <c r="E47" s="108" t="s">
        <v>13</v>
      </c>
      <c r="F47" s="108" t="s">
        <v>45</v>
      </c>
      <c r="G47" s="108" t="s">
        <v>27</v>
      </c>
      <c r="H47" s="128"/>
      <c r="L47" s="20"/>
      <c r="M47" s="20"/>
      <c r="N47" s="20"/>
      <c r="O47" s="20"/>
      <c r="P47" s="20"/>
      <c r="Q47" s="20"/>
      <c r="R47" s="17"/>
    </row>
    <row r="48" spans="1:18" s="16" customFormat="1" ht="31.5">
      <c r="A48" s="14"/>
      <c r="B48" s="127" t="s">
        <v>46</v>
      </c>
      <c r="C48" s="109" t="s">
        <v>6</v>
      </c>
      <c r="D48" s="108" t="s">
        <v>11</v>
      </c>
      <c r="E48" s="108" t="s">
        <v>13</v>
      </c>
      <c r="F48" s="108" t="s">
        <v>47</v>
      </c>
      <c r="G48" s="108" t="s">
        <v>9</v>
      </c>
      <c r="H48" s="126">
        <f>H53+H49</f>
        <v>0</v>
      </c>
      <c r="L48" s="20">
        <v>2511.77</v>
      </c>
      <c r="M48" s="20">
        <v>2511.77</v>
      </c>
      <c r="N48" s="20">
        <v>2511.77</v>
      </c>
      <c r="O48" s="20">
        <f>H48-L48</f>
        <v>-2511.77</v>
      </c>
      <c r="P48" s="20" t="e">
        <f>#REF!-M48</f>
        <v>#REF!</v>
      </c>
      <c r="Q48" s="20" t="e">
        <f>#REF!-N48</f>
        <v>#REF!</v>
      </c>
      <c r="R48" s="17" t="str">
        <f t="shared" si="1"/>
        <v>70 3 00 00000000</v>
      </c>
    </row>
    <row r="49" spans="1:18" s="16" customFormat="1" ht="31.5">
      <c r="A49" s="14"/>
      <c r="B49" s="125" t="s">
        <v>18</v>
      </c>
      <c r="C49" s="109" t="s">
        <v>6</v>
      </c>
      <c r="D49" s="108" t="s">
        <v>11</v>
      </c>
      <c r="E49" s="108" t="s">
        <v>13</v>
      </c>
      <c r="F49" s="108" t="s">
        <v>48</v>
      </c>
      <c r="G49" s="108" t="s">
        <v>9</v>
      </c>
      <c r="H49" s="126">
        <f>H50</f>
        <v>0</v>
      </c>
      <c r="L49" s="20">
        <v>83.11</v>
      </c>
      <c r="M49" s="20">
        <v>83.11</v>
      </c>
      <c r="N49" s="20">
        <v>83.11</v>
      </c>
      <c r="O49" s="20">
        <f>H49-L49</f>
        <v>-83.11</v>
      </c>
      <c r="P49" s="20" t="e">
        <f>#REF!-M49</f>
        <v>#REF!</v>
      </c>
      <c r="Q49" s="20" t="e">
        <f>#REF!-N49</f>
        <v>#REF!</v>
      </c>
      <c r="R49" s="17" t="str">
        <f t="shared" si="1"/>
        <v>70 3 00 10010000</v>
      </c>
    </row>
    <row r="50" spans="1:18" s="16" customFormat="1" ht="31.5">
      <c r="A50" s="14"/>
      <c r="B50" s="127" t="s">
        <v>20</v>
      </c>
      <c r="C50" s="109" t="s">
        <v>6</v>
      </c>
      <c r="D50" s="108" t="s">
        <v>11</v>
      </c>
      <c r="E50" s="108" t="s">
        <v>13</v>
      </c>
      <c r="F50" s="108" t="s">
        <v>48</v>
      </c>
      <c r="G50" s="108" t="s">
        <v>21</v>
      </c>
      <c r="H50" s="126">
        <f>SUM(H51:H52)</f>
        <v>0</v>
      </c>
      <c r="L50" s="20">
        <v>83.11</v>
      </c>
      <c r="M50" s="20">
        <v>83.11</v>
      </c>
      <c r="N50" s="20">
        <v>83.11</v>
      </c>
      <c r="O50" s="20">
        <f>H50-L50</f>
        <v>-83.11</v>
      </c>
      <c r="P50" s="20" t="e">
        <f>#REF!-M50</f>
        <v>#REF!</v>
      </c>
      <c r="Q50" s="20" t="e">
        <f>#REF!-N50</f>
        <v>#REF!</v>
      </c>
      <c r="R50" s="17" t="str">
        <f t="shared" si="1"/>
        <v>70 3 00 10010120</v>
      </c>
    </row>
    <row r="51" spans="1:18" s="16" customFormat="1" ht="47.25">
      <c r="A51" s="14"/>
      <c r="B51" s="127" t="s">
        <v>22</v>
      </c>
      <c r="C51" s="109" t="s">
        <v>6</v>
      </c>
      <c r="D51" s="108" t="s">
        <v>11</v>
      </c>
      <c r="E51" s="108" t="s">
        <v>13</v>
      </c>
      <c r="F51" s="108" t="s">
        <v>48</v>
      </c>
      <c r="G51" s="108" t="s">
        <v>23</v>
      </c>
      <c r="H51" s="128"/>
      <c r="L51" s="20"/>
      <c r="M51" s="20"/>
      <c r="N51" s="20"/>
      <c r="O51" s="20"/>
      <c r="P51" s="20"/>
      <c r="Q51" s="20"/>
      <c r="R51" s="17"/>
    </row>
    <row r="52" spans="1:18" s="16" customFormat="1" ht="63">
      <c r="A52" s="14"/>
      <c r="B52" s="127" t="s">
        <v>26</v>
      </c>
      <c r="C52" s="109" t="s">
        <v>6</v>
      </c>
      <c r="D52" s="108" t="s">
        <v>11</v>
      </c>
      <c r="E52" s="108" t="s">
        <v>13</v>
      </c>
      <c r="F52" s="108" t="s">
        <v>48</v>
      </c>
      <c r="G52" s="108" t="s">
        <v>27</v>
      </c>
      <c r="H52" s="128"/>
      <c r="L52" s="20"/>
      <c r="M52" s="20"/>
      <c r="N52" s="20"/>
      <c r="O52" s="20"/>
      <c r="P52" s="20"/>
      <c r="Q52" s="20"/>
      <c r="R52" s="17"/>
    </row>
    <row r="53" spans="1:18" s="16" customFormat="1" ht="31.5">
      <c r="A53" s="14"/>
      <c r="B53" s="127" t="s">
        <v>38</v>
      </c>
      <c r="C53" s="109" t="s">
        <v>6</v>
      </c>
      <c r="D53" s="108" t="s">
        <v>11</v>
      </c>
      <c r="E53" s="108" t="s">
        <v>13</v>
      </c>
      <c r="F53" s="108" t="s">
        <v>49</v>
      </c>
      <c r="G53" s="108" t="s">
        <v>9</v>
      </c>
      <c r="H53" s="126">
        <f>H54</f>
        <v>0</v>
      </c>
      <c r="L53" s="20">
        <v>2428.66</v>
      </c>
      <c r="M53" s="20">
        <v>2428.66</v>
      </c>
      <c r="N53" s="20">
        <v>2428.66</v>
      </c>
      <c r="O53" s="20">
        <f>H53-L53</f>
        <v>-2428.66</v>
      </c>
      <c r="P53" s="20" t="e">
        <f>#REF!-M53</f>
        <v>#REF!</v>
      </c>
      <c r="Q53" s="20" t="e">
        <f>#REF!-N53</f>
        <v>#REF!</v>
      </c>
      <c r="R53" s="17" t="str">
        <f t="shared" si="1"/>
        <v>70 3 00 10020000</v>
      </c>
    </row>
    <row r="54" spans="1:18" s="16" customFormat="1" ht="31.5">
      <c r="A54" s="14"/>
      <c r="B54" s="127" t="s">
        <v>20</v>
      </c>
      <c r="C54" s="109" t="s">
        <v>6</v>
      </c>
      <c r="D54" s="108" t="s">
        <v>11</v>
      </c>
      <c r="E54" s="108" t="s">
        <v>13</v>
      </c>
      <c r="F54" s="108" t="s">
        <v>49</v>
      </c>
      <c r="G54" s="108" t="s">
        <v>21</v>
      </c>
      <c r="H54" s="126">
        <f>SUM(H55:H56)</f>
        <v>0</v>
      </c>
      <c r="L54" s="20">
        <v>2428.66</v>
      </c>
      <c r="M54" s="20">
        <v>2428.66</v>
      </c>
      <c r="N54" s="20">
        <v>2428.66</v>
      </c>
      <c r="O54" s="20">
        <f>H54-L54</f>
        <v>-2428.66</v>
      </c>
      <c r="P54" s="20" t="e">
        <f>#REF!-M54</f>
        <v>#REF!</v>
      </c>
      <c r="Q54" s="20" t="e">
        <f>#REF!-N54</f>
        <v>#REF!</v>
      </c>
      <c r="R54" s="17" t="str">
        <f t="shared" si="1"/>
        <v>70 3 00 10020120</v>
      </c>
    </row>
    <row r="55" spans="1:18" s="16" customFormat="1" ht="31.5">
      <c r="A55" s="14"/>
      <c r="B55" s="127" t="s">
        <v>40</v>
      </c>
      <c r="C55" s="109" t="s">
        <v>6</v>
      </c>
      <c r="D55" s="108" t="s">
        <v>11</v>
      </c>
      <c r="E55" s="108" t="s">
        <v>13</v>
      </c>
      <c r="F55" s="108" t="s">
        <v>49</v>
      </c>
      <c r="G55" s="108" t="s">
        <v>41</v>
      </c>
      <c r="H55" s="128"/>
      <c r="L55" s="20"/>
      <c r="M55" s="20"/>
      <c r="N55" s="20"/>
      <c r="O55" s="20"/>
      <c r="P55" s="20"/>
      <c r="Q55" s="20"/>
      <c r="R55" s="17"/>
    </row>
    <row r="56" spans="1:18" s="16" customFormat="1" ht="63">
      <c r="A56" s="14"/>
      <c r="B56" s="127" t="s">
        <v>26</v>
      </c>
      <c r="C56" s="109" t="s">
        <v>6</v>
      </c>
      <c r="D56" s="108" t="s">
        <v>11</v>
      </c>
      <c r="E56" s="108" t="s">
        <v>13</v>
      </c>
      <c r="F56" s="108" t="s">
        <v>49</v>
      </c>
      <c r="G56" s="108" t="s">
        <v>27</v>
      </c>
      <c r="H56" s="128"/>
      <c r="L56" s="20"/>
      <c r="M56" s="20"/>
      <c r="N56" s="20"/>
      <c r="O56" s="20"/>
      <c r="P56" s="20"/>
      <c r="Q56" s="20"/>
      <c r="R56" s="17"/>
    </row>
    <row r="57" spans="1:18" s="16" customFormat="1" ht="15.75">
      <c r="A57" s="14"/>
      <c r="B57" s="121" t="s">
        <v>50</v>
      </c>
      <c r="C57" s="122" t="s">
        <v>6</v>
      </c>
      <c r="D57" s="123" t="s">
        <v>11</v>
      </c>
      <c r="E57" s="123" t="s">
        <v>51</v>
      </c>
      <c r="F57" s="123" t="s">
        <v>8</v>
      </c>
      <c r="G57" s="123" t="s">
        <v>9</v>
      </c>
      <c r="H57" s="124">
        <f t="shared" ref="H57" si="2">H58</f>
        <v>0</v>
      </c>
      <c r="L57" s="19">
        <v>500</v>
      </c>
      <c r="M57" s="19">
        <v>500</v>
      </c>
      <c r="N57" s="19">
        <v>500</v>
      </c>
      <c r="O57" s="19">
        <f>H57-L57</f>
        <v>-500</v>
      </c>
      <c r="P57" s="19" t="e">
        <f>#REF!-M57</f>
        <v>#REF!</v>
      </c>
      <c r="Q57" s="19" t="e">
        <f>#REF!-N57</f>
        <v>#REF!</v>
      </c>
      <c r="R57" s="17" t="str">
        <f t="shared" si="1"/>
        <v>00 0 00 00000000</v>
      </c>
    </row>
    <row r="58" spans="1:18" s="16" customFormat="1" ht="31.5">
      <c r="A58" s="14"/>
      <c r="B58" s="125" t="s">
        <v>14</v>
      </c>
      <c r="C58" s="109" t="s">
        <v>6</v>
      </c>
      <c r="D58" s="108" t="s">
        <v>11</v>
      </c>
      <c r="E58" s="108" t="s">
        <v>51</v>
      </c>
      <c r="F58" s="108" t="s">
        <v>15</v>
      </c>
      <c r="G58" s="108" t="s">
        <v>9</v>
      </c>
      <c r="H58" s="126">
        <f>H59</f>
        <v>0</v>
      </c>
      <c r="L58" s="20">
        <v>500</v>
      </c>
      <c r="M58" s="20">
        <v>500</v>
      </c>
      <c r="N58" s="20">
        <v>500</v>
      </c>
      <c r="O58" s="20">
        <f>H58-L58</f>
        <v>-500</v>
      </c>
      <c r="P58" s="20" t="e">
        <f>#REF!-M58</f>
        <v>#REF!</v>
      </c>
      <c r="Q58" s="20" t="e">
        <f>#REF!-N58</f>
        <v>#REF!</v>
      </c>
      <c r="R58" s="17" t="str">
        <f t="shared" si="1"/>
        <v>70 0 00 00000000</v>
      </c>
    </row>
    <row r="59" spans="1:18" s="16" customFormat="1" ht="15.75">
      <c r="A59" s="14"/>
      <c r="B59" s="125" t="s">
        <v>52</v>
      </c>
      <c r="C59" s="109" t="s">
        <v>6</v>
      </c>
      <c r="D59" s="108" t="s">
        <v>11</v>
      </c>
      <c r="E59" s="108" t="s">
        <v>51</v>
      </c>
      <c r="F59" s="108" t="s">
        <v>53</v>
      </c>
      <c r="G59" s="108" t="s">
        <v>9</v>
      </c>
      <c r="H59" s="126">
        <f>H60</f>
        <v>0</v>
      </c>
      <c r="L59" s="20">
        <v>500</v>
      </c>
      <c r="M59" s="20">
        <v>500</v>
      </c>
      <c r="N59" s="20">
        <v>500</v>
      </c>
      <c r="O59" s="20">
        <f>H59-L59</f>
        <v>-500</v>
      </c>
      <c r="P59" s="20" t="e">
        <f>#REF!-M59</f>
        <v>#REF!</v>
      </c>
      <c r="Q59" s="20" t="e">
        <f>#REF!-N59</f>
        <v>#REF!</v>
      </c>
      <c r="R59" s="17" t="str">
        <f t="shared" si="1"/>
        <v>70 4 00 00000000</v>
      </c>
    </row>
    <row r="60" spans="1:18" s="16" customFormat="1" ht="94.5">
      <c r="A60" s="14"/>
      <c r="B60" s="129" t="s">
        <v>54</v>
      </c>
      <c r="C60" s="109" t="s">
        <v>6</v>
      </c>
      <c r="D60" s="108" t="s">
        <v>11</v>
      </c>
      <c r="E60" s="108" t="s">
        <v>51</v>
      </c>
      <c r="F60" s="108" t="s">
        <v>55</v>
      </c>
      <c r="G60" s="108" t="s">
        <v>9</v>
      </c>
      <c r="H60" s="126">
        <f t="shared" ref="H60" si="3">H61</f>
        <v>0</v>
      </c>
      <c r="L60" s="20">
        <v>500</v>
      </c>
      <c r="M60" s="20">
        <v>500</v>
      </c>
      <c r="N60" s="20">
        <v>500</v>
      </c>
      <c r="O60" s="20">
        <f>H60-L60</f>
        <v>-500</v>
      </c>
      <c r="P60" s="20" t="e">
        <f>#REF!-M60</f>
        <v>#REF!</v>
      </c>
      <c r="Q60" s="20" t="e">
        <f>#REF!-N60</f>
        <v>#REF!</v>
      </c>
      <c r="R60" s="17" t="str">
        <f t="shared" si="1"/>
        <v>70 4 00 20090000</v>
      </c>
    </row>
    <row r="61" spans="1:18" s="16" customFormat="1" ht="31.5">
      <c r="A61" s="14"/>
      <c r="B61" s="125" t="s">
        <v>28</v>
      </c>
      <c r="C61" s="109" t="s">
        <v>6</v>
      </c>
      <c r="D61" s="108" t="s">
        <v>11</v>
      </c>
      <c r="E61" s="108" t="s">
        <v>51</v>
      </c>
      <c r="F61" s="108" t="s">
        <v>55</v>
      </c>
      <c r="G61" s="108" t="s">
        <v>29</v>
      </c>
      <c r="H61" s="126">
        <f>H62</f>
        <v>0</v>
      </c>
      <c r="L61" s="20">
        <v>500</v>
      </c>
      <c r="M61" s="20">
        <v>500</v>
      </c>
      <c r="N61" s="20">
        <v>500</v>
      </c>
      <c r="O61" s="20">
        <f>H61-L61</f>
        <v>-500</v>
      </c>
      <c r="P61" s="20" t="e">
        <f>#REF!-M61</f>
        <v>#REF!</v>
      </c>
      <c r="Q61" s="20" t="e">
        <f>#REF!-N61</f>
        <v>#REF!</v>
      </c>
      <c r="R61" s="17" t="str">
        <f t="shared" si="1"/>
        <v>70 4 00 20090240</v>
      </c>
    </row>
    <row r="62" spans="1:18" s="16" customFormat="1" ht="15.75">
      <c r="A62" s="14"/>
      <c r="B62" s="125" t="s">
        <v>30</v>
      </c>
      <c r="C62" s="109" t="s">
        <v>6</v>
      </c>
      <c r="D62" s="108" t="s">
        <v>11</v>
      </c>
      <c r="E62" s="108" t="s">
        <v>51</v>
      </c>
      <c r="F62" s="108" t="s">
        <v>55</v>
      </c>
      <c r="G62" s="108" t="s">
        <v>31</v>
      </c>
      <c r="H62" s="126"/>
      <c r="L62" s="20"/>
      <c r="M62" s="20"/>
      <c r="N62" s="20"/>
      <c r="O62" s="20"/>
      <c r="P62" s="20"/>
      <c r="Q62" s="20"/>
      <c r="R62" s="17" t="str">
        <f t="shared" si="1"/>
        <v>70 4 00 20090244</v>
      </c>
    </row>
    <row r="63" spans="1:18" s="6" customFormat="1" ht="15.75">
      <c r="A63" s="1"/>
      <c r="B63" s="117" t="s">
        <v>56</v>
      </c>
      <c r="C63" s="118" t="s">
        <v>6</v>
      </c>
      <c r="D63" s="119" t="s">
        <v>57</v>
      </c>
      <c r="E63" s="119" t="s">
        <v>7</v>
      </c>
      <c r="F63" s="119" t="s">
        <v>8</v>
      </c>
      <c r="G63" s="119" t="s">
        <v>9</v>
      </c>
      <c r="H63" s="120">
        <f>H70+H64</f>
        <v>0</v>
      </c>
      <c r="L63" s="18">
        <v>7090.5</v>
      </c>
      <c r="M63" s="18">
        <v>7090.5</v>
      </c>
      <c r="N63" s="18">
        <v>7090.5</v>
      </c>
      <c r="O63" s="18">
        <f t="shared" ref="O63:O68" si="4">H63-L63</f>
        <v>-7090.5</v>
      </c>
      <c r="P63" s="18" t="e">
        <f>#REF!-M63</f>
        <v>#REF!</v>
      </c>
      <c r="Q63" s="18" t="e">
        <f>#REF!-N63</f>
        <v>#REF!</v>
      </c>
      <c r="R63" s="17" t="str">
        <f t="shared" si="1"/>
        <v>00 0 00 00000000</v>
      </c>
    </row>
    <row r="64" spans="1:18" s="6" customFormat="1" ht="15.75">
      <c r="A64" s="1"/>
      <c r="B64" s="121" t="s">
        <v>58</v>
      </c>
      <c r="C64" s="122" t="s">
        <v>6</v>
      </c>
      <c r="D64" s="123" t="s">
        <v>57</v>
      </c>
      <c r="E64" s="123" t="s">
        <v>11</v>
      </c>
      <c r="F64" s="123" t="s">
        <v>8</v>
      </c>
      <c r="G64" s="123" t="s">
        <v>9</v>
      </c>
      <c r="H64" s="124">
        <f>H65</f>
        <v>0</v>
      </c>
      <c r="L64" s="19">
        <v>5090.5</v>
      </c>
      <c r="M64" s="19">
        <v>5090.5</v>
      </c>
      <c r="N64" s="19">
        <v>5090.5</v>
      </c>
      <c r="O64" s="19">
        <f t="shared" si="4"/>
        <v>-5090.5</v>
      </c>
      <c r="P64" s="19" t="e">
        <f>#REF!-M64</f>
        <v>#REF!</v>
      </c>
      <c r="Q64" s="19" t="e">
        <f>#REF!-N64</f>
        <v>#REF!</v>
      </c>
      <c r="R64" s="17" t="str">
        <f t="shared" si="1"/>
        <v>00 0 00 00000000</v>
      </c>
    </row>
    <row r="65" spans="1:18" s="16" customFormat="1" ht="31.5">
      <c r="A65" s="14"/>
      <c r="B65" s="125" t="s">
        <v>14</v>
      </c>
      <c r="C65" s="109" t="s">
        <v>6</v>
      </c>
      <c r="D65" s="108" t="s">
        <v>57</v>
      </c>
      <c r="E65" s="108" t="s">
        <v>11</v>
      </c>
      <c r="F65" s="108" t="s">
        <v>15</v>
      </c>
      <c r="G65" s="108" t="s">
        <v>9</v>
      </c>
      <c r="H65" s="126">
        <f>H66</f>
        <v>0</v>
      </c>
      <c r="L65" s="20">
        <v>5090.5</v>
      </c>
      <c r="M65" s="20">
        <v>5090.5</v>
      </c>
      <c r="N65" s="20">
        <v>5090.5</v>
      </c>
      <c r="O65" s="20">
        <f t="shared" si="4"/>
        <v>-5090.5</v>
      </c>
      <c r="P65" s="20" t="e">
        <f>#REF!-M65</f>
        <v>#REF!</v>
      </c>
      <c r="Q65" s="20" t="e">
        <f>#REF!-N65</f>
        <v>#REF!</v>
      </c>
      <c r="R65" s="17" t="str">
        <f t="shared" si="1"/>
        <v>70 0 00 00000000</v>
      </c>
    </row>
    <row r="66" spans="1:18" s="16" customFormat="1" ht="15.75">
      <c r="A66" s="14"/>
      <c r="B66" s="125" t="s">
        <v>52</v>
      </c>
      <c r="C66" s="109" t="s">
        <v>6</v>
      </c>
      <c r="D66" s="108" t="s">
        <v>57</v>
      </c>
      <c r="E66" s="108" t="s">
        <v>11</v>
      </c>
      <c r="F66" s="108" t="s">
        <v>53</v>
      </c>
      <c r="G66" s="108" t="s">
        <v>9</v>
      </c>
      <c r="H66" s="126">
        <f t="shared" ref="H66:H67" si="5">H67</f>
        <v>0</v>
      </c>
      <c r="L66" s="20">
        <v>5090.5</v>
      </c>
      <c r="M66" s="20">
        <v>5090.5</v>
      </c>
      <c r="N66" s="20">
        <v>5090.5</v>
      </c>
      <c r="O66" s="20">
        <f t="shared" si="4"/>
        <v>-5090.5</v>
      </c>
      <c r="P66" s="20" t="e">
        <f>#REF!-M66</f>
        <v>#REF!</v>
      </c>
      <c r="Q66" s="20" t="e">
        <f>#REF!-N66</f>
        <v>#REF!</v>
      </c>
      <c r="R66" s="17" t="str">
        <f t="shared" si="1"/>
        <v>70 4 00 00000000</v>
      </c>
    </row>
    <row r="67" spans="1:18" s="16" customFormat="1" ht="31.5">
      <c r="A67" s="14"/>
      <c r="B67" s="125" t="s">
        <v>59</v>
      </c>
      <c r="C67" s="109" t="s">
        <v>6</v>
      </c>
      <c r="D67" s="108" t="s">
        <v>57</v>
      </c>
      <c r="E67" s="108" t="s">
        <v>11</v>
      </c>
      <c r="F67" s="108" t="s">
        <v>60</v>
      </c>
      <c r="G67" s="108" t="s">
        <v>9</v>
      </c>
      <c r="H67" s="126">
        <f t="shared" si="5"/>
        <v>0</v>
      </c>
      <c r="L67" s="20">
        <v>5090.5</v>
      </c>
      <c r="M67" s="20">
        <v>5090.5</v>
      </c>
      <c r="N67" s="20">
        <v>5090.5</v>
      </c>
      <c r="O67" s="20">
        <f t="shared" si="4"/>
        <v>-5090.5</v>
      </c>
      <c r="P67" s="20" t="e">
        <f>#REF!-M67</f>
        <v>#REF!</v>
      </c>
      <c r="Q67" s="20" t="e">
        <f>#REF!-N67</f>
        <v>#REF!</v>
      </c>
      <c r="R67" s="17" t="str">
        <f t="shared" si="1"/>
        <v>70 4 00 98710000</v>
      </c>
    </row>
    <row r="68" spans="1:18" s="16" customFormat="1" ht="31.5">
      <c r="A68" s="14"/>
      <c r="B68" s="125" t="s">
        <v>28</v>
      </c>
      <c r="C68" s="109" t="s">
        <v>6</v>
      </c>
      <c r="D68" s="108" t="s">
        <v>57</v>
      </c>
      <c r="E68" s="108" t="s">
        <v>11</v>
      </c>
      <c r="F68" s="108" t="s">
        <v>60</v>
      </c>
      <c r="G68" s="108" t="s">
        <v>29</v>
      </c>
      <c r="H68" s="126">
        <f>H69</f>
        <v>0</v>
      </c>
      <c r="L68" s="20">
        <v>5090.5</v>
      </c>
      <c r="M68" s="20">
        <v>5090.5</v>
      </c>
      <c r="N68" s="20">
        <v>5090.5</v>
      </c>
      <c r="O68" s="20">
        <f t="shared" si="4"/>
        <v>-5090.5</v>
      </c>
      <c r="P68" s="20" t="e">
        <f>#REF!-M68</f>
        <v>#REF!</v>
      </c>
      <c r="Q68" s="20" t="e">
        <f>#REF!-N68</f>
        <v>#REF!</v>
      </c>
      <c r="R68" s="17" t="str">
        <f t="shared" si="1"/>
        <v>70 4 00 98710240</v>
      </c>
    </row>
    <row r="69" spans="1:18" s="16" customFormat="1" ht="15.75">
      <c r="A69" s="14"/>
      <c r="B69" s="125" t="s">
        <v>30</v>
      </c>
      <c r="C69" s="109" t="s">
        <v>6</v>
      </c>
      <c r="D69" s="108" t="s">
        <v>57</v>
      </c>
      <c r="E69" s="108" t="s">
        <v>11</v>
      </c>
      <c r="F69" s="108" t="s">
        <v>60</v>
      </c>
      <c r="G69" s="108" t="s">
        <v>31</v>
      </c>
      <c r="H69" s="126"/>
      <c r="L69" s="20"/>
      <c r="M69" s="20"/>
      <c r="N69" s="20"/>
      <c r="O69" s="20"/>
      <c r="P69" s="20"/>
      <c r="Q69" s="20"/>
      <c r="R69" s="17" t="str">
        <f t="shared" si="1"/>
        <v>70 4 00 98710244</v>
      </c>
    </row>
    <row r="70" spans="1:18" s="16" customFormat="1" ht="15.75">
      <c r="A70" s="14"/>
      <c r="B70" s="121" t="s">
        <v>61</v>
      </c>
      <c r="C70" s="122" t="s">
        <v>6</v>
      </c>
      <c r="D70" s="123" t="s">
        <v>57</v>
      </c>
      <c r="E70" s="123" t="s">
        <v>62</v>
      </c>
      <c r="F70" s="123" t="s">
        <v>8</v>
      </c>
      <c r="G70" s="123" t="s">
        <v>9</v>
      </c>
      <c r="H70" s="124">
        <f t="shared" ref="H70" si="6">H71</f>
        <v>0</v>
      </c>
      <c r="L70" s="19">
        <v>2000</v>
      </c>
      <c r="M70" s="19">
        <v>2000</v>
      </c>
      <c r="N70" s="19">
        <v>2000</v>
      </c>
      <c r="O70" s="19">
        <f>H70-L70</f>
        <v>-2000</v>
      </c>
      <c r="P70" s="19" t="e">
        <f>#REF!-M70</f>
        <v>#REF!</v>
      </c>
      <c r="Q70" s="19" t="e">
        <f>#REF!-N70</f>
        <v>#REF!</v>
      </c>
      <c r="R70" s="17" t="str">
        <f t="shared" si="1"/>
        <v>00 0 00 00000000</v>
      </c>
    </row>
    <row r="71" spans="1:18" s="16" customFormat="1" ht="31.5">
      <c r="A71" s="14"/>
      <c r="B71" s="125" t="s">
        <v>14</v>
      </c>
      <c r="C71" s="109" t="s">
        <v>6</v>
      </c>
      <c r="D71" s="108" t="s">
        <v>57</v>
      </c>
      <c r="E71" s="108" t="s">
        <v>62</v>
      </c>
      <c r="F71" s="108" t="s">
        <v>15</v>
      </c>
      <c r="G71" s="108" t="s">
        <v>9</v>
      </c>
      <c r="H71" s="126">
        <f>H72</f>
        <v>0</v>
      </c>
      <c r="L71" s="20">
        <v>2000</v>
      </c>
      <c r="M71" s="20">
        <v>2000</v>
      </c>
      <c r="N71" s="20">
        <v>2000</v>
      </c>
      <c r="O71" s="20">
        <f>H71-L71</f>
        <v>-2000</v>
      </c>
      <c r="P71" s="20" t="e">
        <f>#REF!-M71</f>
        <v>#REF!</v>
      </c>
      <c r="Q71" s="20" t="e">
        <f>#REF!-N71</f>
        <v>#REF!</v>
      </c>
      <c r="R71" s="17" t="str">
        <f t="shared" si="1"/>
        <v>70 0 00 00000000</v>
      </c>
    </row>
    <row r="72" spans="1:18" s="16" customFormat="1" ht="15.75">
      <c r="A72" s="14"/>
      <c r="B72" s="125" t="s">
        <v>52</v>
      </c>
      <c r="C72" s="109" t="s">
        <v>6</v>
      </c>
      <c r="D72" s="108" t="s">
        <v>57</v>
      </c>
      <c r="E72" s="108" t="s">
        <v>62</v>
      </c>
      <c r="F72" s="108" t="s">
        <v>53</v>
      </c>
      <c r="G72" s="108" t="s">
        <v>9</v>
      </c>
      <c r="H72" s="126">
        <f>H73</f>
        <v>0</v>
      </c>
      <c r="L72" s="20">
        <v>2000</v>
      </c>
      <c r="M72" s="20">
        <v>2000</v>
      </c>
      <c r="N72" s="20">
        <v>2000</v>
      </c>
      <c r="O72" s="20">
        <f>H72-L72</f>
        <v>-2000</v>
      </c>
      <c r="P72" s="20" t="e">
        <f>#REF!-M72</f>
        <v>#REF!</v>
      </c>
      <c r="Q72" s="20" t="e">
        <f>#REF!-N72</f>
        <v>#REF!</v>
      </c>
      <c r="R72" s="17" t="str">
        <f t="shared" si="1"/>
        <v>70 4 00 00000000</v>
      </c>
    </row>
    <row r="73" spans="1:18" s="16" customFormat="1" ht="31.5">
      <c r="A73" s="14"/>
      <c r="B73" s="125" t="s">
        <v>59</v>
      </c>
      <c r="C73" s="109" t="s">
        <v>6</v>
      </c>
      <c r="D73" s="108" t="s">
        <v>57</v>
      </c>
      <c r="E73" s="108" t="s">
        <v>62</v>
      </c>
      <c r="F73" s="108" t="s">
        <v>60</v>
      </c>
      <c r="G73" s="108" t="s">
        <v>9</v>
      </c>
      <c r="H73" s="126">
        <f>H74</f>
        <v>0</v>
      </c>
      <c r="L73" s="20">
        <v>2000</v>
      </c>
      <c r="M73" s="20">
        <v>2000</v>
      </c>
      <c r="N73" s="20">
        <v>2000</v>
      </c>
      <c r="O73" s="20">
        <f>H73-L73</f>
        <v>-2000</v>
      </c>
      <c r="P73" s="20" t="e">
        <f>#REF!-M73</f>
        <v>#REF!</v>
      </c>
      <c r="Q73" s="20" t="e">
        <f>#REF!-N73</f>
        <v>#REF!</v>
      </c>
      <c r="R73" s="17" t="str">
        <f t="shared" si="1"/>
        <v>70 4 00 98710000</v>
      </c>
    </row>
    <row r="74" spans="1:18" s="16" customFormat="1" ht="31.5">
      <c r="A74" s="14"/>
      <c r="B74" s="125" t="s">
        <v>28</v>
      </c>
      <c r="C74" s="109" t="s">
        <v>6</v>
      </c>
      <c r="D74" s="108" t="s">
        <v>57</v>
      </c>
      <c r="E74" s="108" t="s">
        <v>62</v>
      </c>
      <c r="F74" s="108" t="s">
        <v>60</v>
      </c>
      <c r="G74" s="108" t="s">
        <v>29</v>
      </c>
      <c r="H74" s="126">
        <f>H75</f>
        <v>0</v>
      </c>
      <c r="L74" s="20">
        <v>2000</v>
      </c>
      <c r="M74" s="20">
        <v>2000</v>
      </c>
      <c r="N74" s="20">
        <v>2000</v>
      </c>
      <c r="O74" s="20">
        <f>H74-L74</f>
        <v>-2000</v>
      </c>
      <c r="P74" s="20" t="e">
        <f>#REF!-M74</f>
        <v>#REF!</v>
      </c>
      <c r="Q74" s="20" t="e">
        <f>#REF!-N74</f>
        <v>#REF!</v>
      </c>
      <c r="R74" s="17" t="str">
        <f t="shared" si="1"/>
        <v>70 4 00 98710240</v>
      </c>
    </row>
    <row r="75" spans="1:18" s="16" customFormat="1" ht="15.75">
      <c r="A75" s="14"/>
      <c r="B75" s="125" t="s">
        <v>30</v>
      </c>
      <c r="C75" s="109" t="s">
        <v>6</v>
      </c>
      <c r="D75" s="108" t="s">
        <v>57</v>
      </c>
      <c r="E75" s="108" t="s">
        <v>62</v>
      </c>
      <c r="F75" s="108" t="s">
        <v>60</v>
      </c>
      <c r="G75" s="108" t="s">
        <v>31</v>
      </c>
      <c r="H75" s="126"/>
      <c r="L75" s="20"/>
      <c r="M75" s="20"/>
      <c r="N75" s="20"/>
      <c r="O75" s="20"/>
      <c r="P75" s="20"/>
      <c r="Q75" s="20"/>
      <c r="R75" s="17" t="str">
        <f t="shared" si="1"/>
        <v>70 4 00 98710244</v>
      </c>
    </row>
    <row r="76" spans="1:18" s="16" customFormat="1" ht="15.75">
      <c r="A76" s="14"/>
      <c r="B76" s="125"/>
      <c r="C76" s="109"/>
      <c r="D76" s="108"/>
      <c r="E76" s="108"/>
      <c r="F76" s="108"/>
      <c r="G76" s="108"/>
      <c r="H76" s="126"/>
      <c r="L76" s="20"/>
      <c r="M76" s="20"/>
      <c r="N76" s="20"/>
      <c r="O76" s="20">
        <f t="shared" ref="O76:O83" si="7">H76-L76</f>
        <v>0</v>
      </c>
      <c r="P76" s="20" t="e">
        <f>#REF!-M76</f>
        <v>#REF!</v>
      </c>
      <c r="Q76" s="20" t="e">
        <f>#REF!-N76</f>
        <v>#REF!</v>
      </c>
      <c r="R76" s="17" t="str">
        <f t="shared" si="1"/>
        <v/>
      </c>
    </row>
    <row r="77" spans="1:18" s="16" customFormat="1" ht="15.75">
      <c r="A77" s="14"/>
      <c r="B77" s="67" t="s">
        <v>63</v>
      </c>
      <c r="C77" s="116" t="s">
        <v>64</v>
      </c>
      <c r="D77" s="69" t="s">
        <v>7</v>
      </c>
      <c r="E77" s="69" t="s">
        <v>7</v>
      </c>
      <c r="F77" s="69" t="s">
        <v>8</v>
      </c>
      <c r="G77" s="69" t="s">
        <v>9</v>
      </c>
      <c r="H77" s="70">
        <f>H78+H225+H255+H263+H271</f>
        <v>0</v>
      </c>
      <c r="L77" s="25">
        <v>289884.67</v>
      </c>
      <c r="M77" s="25">
        <v>273496.95</v>
      </c>
      <c r="N77" s="25">
        <v>273550.05</v>
      </c>
      <c r="O77" s="25">
        <f t="shared" si="7"/>
        <v>-289884.67</v>
      </c>
      <c r="P77" s="25" t="e">
        <f>#REF!-M77</f>
        <v>#REF!</v>
      </c>
      <c r="Q77" s="25" t="e">
        <f>#REF!-N77</f>
        <v>#REF!</v>
      </c>
      <c r="R77" s="17" t="str">
        <f t="shared" si="1"/>
        <v>00 0 00 00000000</v>
      </c>
    </row>
    <row r="78" spans="1:18" s="16" customFormat="1" ht="15.75">
      <c r="A78" s="14"/>
      <c r="B78" s="117" t="s">
        <v>10</v>
      </c>
      <c r="C78" s="118" t="s">
        <v>64</v>
      </c>
      <c r="D78" s="119" t="s">
        <v>11</v>
      </c>
      <c r="E78" s="119" t="s">
        <v>7</v>
      </c>
      <c r="F78" s="119" t="s">
        <v>8</v>
      </c>
      <c r="G78" s="119" t="s">
        <v>9</v>
      </c>
      <c r="H78" s="120">
        <f>H90+H115+H121+H79</f>
        <v>0</v>
      </c>
      <c r="L78" s="18">
        <v>255808.66999999998</v>
      </c>
      <c r="M78" s="18">
        <v>239420.95</v>
      </c>
      <c r="N78" s="18">
        <v>239474.05</v>
      </c>
      <c r="O78" s="18">
        <f t="shared" si="7"/>
        <v>-255808.66999999998</v>
      </c>
      <c r="P78" s="18" t="e">
        <f>#REF!-M78</f>
        <v>#REF!</v>
      </c>
      <c r="Q78" s="18" t="e">
        <f>#REF!-N78</f>
        <v>#REF!</v>
      </c>
      <c r="R78" s="17" t="str">
        <f t="shared" si="1"/>
        <v>00 0 00 00000000</v>
      </c>
    </row>
    <row r="79" spans="1:18" s="16" customFormat="1" ht="47.25">
      <c r="A79" s="14"/>
      <c r="B79" s="121" t="s">
        <v>65</v>
      </c>
      <c r="C79" s="122" t="s">
        <v>64</v>
      </c>
      <c r="D79" s="123" t="s">
        <v>11</v>
      </c>
      <c r="E79" s="123" t="s">
        <v>62</v>
      </c>
      <c r="F79" s="123" t="s">
        <v>8</v>
      </c>
      <c r="G79" s="123" t="s">
        <v>9</v>
      </c>
      <c r="H79" s="124">
        <f>H80</f>
        <v>0</v>
      </c>
      <c r="L79" s="19">
        <v>1593.55</v>
      </c>
      <c r="M79" s="19">
        <v>1593.55</v>
      </c>
      <c r="N79" s="19">
        <v>1593.55</v>
      </c>
      <c r="O79" s="19">
        <f t="shared" si="7"/>
        <v>-1593.55</v>
      </c>
      <c r="P79" s="19" t="e">
        <f>#REF!-M79</f>
        <v>#REF!</v>
      </c>
      <c r="Q79" s="19" t="e">
        <f>#REF!-N79</f>
        <v>#REF!</v>
      </c>
      <c r="R79" s="17" t="str">
        <f t="shared" si="1"/>
        <v>00 0 00 00000000</v>
      </c>
    </row>
    <row r="80" spans="1:18" s="16" customFormat="1" ht="31.5">
      <c r="A80" s="14"/>
      <c r="B80" s="129" t="s">
        <v>66</v>
      </c>
      <c r="C80" s="109" t="s">
        <v>64</v>
      </c>
      <c r="D80" s="108" t="s">
        <v>11</v>
      </c>
      <c r="E80" s="108" t="s">
        <v>62</v>
      </c>
      <c r="F80" s="108" t="s">
        <v>67</v>
      </c>
      <c r="G80" s="108" t="s">
        <v>9</v>
      </c>
      <c r="H80" s="126">
        <f>H81</f>
        <v>0</v>
      </c>
      <c r="L80" s="20">
        <v>1593.55</v>
      </c>
      <c r="M80" s="20">
        <v>1593.55</v>
      </c>
      <c r="N80" s="20">
        <v>1593.55</v>
      </c>
      <c r="O80" s="20">
        <f t="shared" si="7"/>
        <v>-1593.55</v>
      </c>
      <c r="P80" s="20" t="e">
        <f>#REF!-M80</f>
        <v>#REF!</v>
      </c>
      <c r="Q80" s="20" t="e">
        <f>#REF!-N80</f>
        <v>#REF!</v>
      </c>
      <c r="R80" s="17" t="str">
        <f t="shared" si="1"/>
        <v>71 0 00 00000000</v>
      </c>
    </row>
    <row r="81" spans="1:18" s="16" customFormat="1" ht="15.75">
      <c r="A81" s="14"/>
      <c r="B81" s="125" t="s">
        <v>68</v>
      </c>
      <c r="C81" s="109" t="s">
        <v>64</v>
      </c>
      <c r="D81" s="108" t="s">
        <v>11</v>
      </c>
      <c r="E81" s="108" t="s">
        <v>62</v>
      </c>
      <c r="F81" s="108" t="s">
        <v>69</v>
      </c>
      <c r="G81" s="108" t="s">
        <v>9</v>
      </c>
      <c r="H81" s="126">
        <f>H82+H86</f>
        <v>0</v>
      </c>
      <c r="L81" s="20">
        <v>1593.55</v>
      </c>
      <c r="M81" s="20">
        <v>1593.55</v>
      </c>
      <c r="N81" s="20">
        <v>1593.55</v>
      </c>
      <c r="O81" s="20">
        <f t="shared" si="7"/>
        <v>-1593.55</v>
      </c>
      <c r="P81" s="20" t="e">
        <f>#REF!-M81</f>
        <v>#REF!</v>
      </c>
      <c r="Q81" s="20" t="e">
        <f>#REF!-N81</f>
        <v>#REF!</v>
      </c>
      <c r="R81" s="17" t="str">
        <f t="shared" si="1"/>
        <v>71 2 00 00000000</v>
      </c>
    </row>
    <row r="82" spans="1:18" s="16" customFormat="1" ht="31.5">
      <c r="A82" s="14"/>
      <c r="B82" s="125" t="s">
        <v>18</v>
      </c>
      <c r="C82" s="109" t="s">
        <v>64</v>
      </c>
      <c r="D82" s="108" t="s">
        <v>11</v>
      </c>
      <c r="E82" s="108" t="s">
        <v>62</v>
      </c>
      <c r="F82" s="108" t="s">
        <v>70</v>
      </c>
      <c r="G82" s="108" t="s">
        <v>9</v>
      </c>
      <c r="H82" s="126">
        <f>H83</f>
        <v>0</v>
      </c>
      <c r="L82" s="20">
        <v>41.55</v>
      </c>
      <c r="M82" s="20">
        <v>41.55</v>
      </c>
      <c r="N82" s="20">
        <v>41.55</v>
      </c>
      <c r="O82" s="20">
        <f t="shared" si="7"/>
        <v>-41.55</v>
      </c>
      <c r="P82" s="20" t="e">
        <f>#REF!-M82</f>
        <v>#REF!</v>
      </c>
      <c r="Q82" s="20" t="e">
        <f>#REF!-N82</f>
        <v>#REF!</v>
      </c>
      <c r="R82" s="17" t="str">
        <f t="shared" si="1"/>
        <v>71 2 00 10010000</v>
      </c>
    </row>
    <row r="83" spans="1:18" s="16" customFormat="1" ht="31.5">
      <c r="A83" s="14"/>
      <c r="B83" s="127" t="s">
        <v>20</v>
      </c>
      <c r="C83" s="109" t="s">
        <v>64</v>
      </c>
      <c r="D83" s="108" t="s">
        <v>11</v>
      </c>
      <c r="E83" s="108" t="s">
        <v>62</v>
      </c>
      <c r="F83" s="108" t="s">
        <v>70</v>
      </c>
      <c r="G83" s="108" t="s">
        <v>21</v>
      </c>
      <c r="H83" s="126">
        <f>SUM(H84:H85)</f>
        <v>0</v>
      </c>
      <c r="L83" s="20">
        <v>41.55</v>
      </c>
      <c r="M83" s="20">
        <v>41.55</v>
      </c>
      <c r="N83" s="20">
        <v>41.55</v>
      </c>
      <c r="O83" s="20">
        <f t="shared" si="7"/>
        <v>-41.55</v>
      </c>
      <c r="P83" s="20" t="e">
        <f>#REF!-M83</f>
        <v>#REF!</v>
      </c>
      <c r="Q83" s="20" t="e">
        <f>#REF!-N83</f>
        <v>#REF!</v>
      </c>
      <c r="R83" s="17" t="str">
        <f t="shared" si="1"/>
        <v>71 2 00 10010120</v>
      </c>
    </row>
    <row r="84" spans="1:18" s="23" customFormat="1" ht="47.25">
      <c r="A84" s="21"/>
      <c r="B84" s="127" t="s">
        <v>22</v>
      </c>
      <c r="C84" s="109" t="s">
        <v>64</v>
      </c>
      <c r="D84" s="108" t="s">
        <v>11</v>
      </c>
      <c r="E84" s="108" t="s">
        <v>62</v>
      </c>
      <c r="F84" s="108" t="s">
        <v>70</v>
      </c>
      <c r="G84" s="108" t="s">
        <v>23</v>
      </c>
      <c r="H84" s="126"/>
      <c r="L84" s="22"/>
      <c r="M84" s="22"/>
      <c r="N84" s="22"/>
      <c r="O84" s="22"/>
      <c r="P84" s="22"/>
      <c r="Q84" s="22"/>
      <c r="R84" s="24"/>
    </row>
    <row r="85" spans="1:18" s="23" customFormat="1" ht="63">
      <c r="A85" s="21"/>
      <c r="B85" s="127" t="s">
        <v>26</v>
      </c>
      <c r="C85" s="109" t="s">
        <v>64</v>
      </c>
      <c r="D85" s="108" t="s">
        <v>11</v>
      </c>
      <c r="E85" s="108" t="s">
        <v>62</v>
      </c>
      <c r="F85" s="108" t="s">
        <v>70</v>
      </c>
      <c r="G85" s="108" t="s">
        <v>27</v>
      </c>
      <c r="H85" s="126"/>
      <c r="L85" s="22"/>
      <c r="M85" s="22"/>
      <c r="N85" s="22"/>
      <c r="O85" s="22"/>
      <c r="P85" s="22"/>
      <c r="Q85" s="22"/>
      <c r="R85" s="24"/>
    </row>
    <row r="86" spans="1:18" s="16" customFormat="1" ht="31.5">
      <c r="A86" s="14"/>
      <c r="B86" s="125" t="s">
        <v>38</v>
      </c>
      <c r="C86" s="109" t="s">
        <v>64</v>
      </c>
      <c r="D86" s="108" t="s">
        <v>11</v>
      </c>
      <c r="E86" s="108" t="s">
        <v>62</v>
      </c>
      <c r="F86" s="108" t="s">
        <v>71</v>
      </c>
      <c r="G86" s="108" t="s">
        <v>9</v>
      </c>
      <c r="H86" s="126">
        <f>H87</f>
        <v>0</v>
      </c>
      <c r="L86" s="20">
        <v>1552</v>
      </c>
      <c r="M86" s="20">
        <v>1552</v>
      </c>
      <c r="N86" s="20">
        <v>1552</v>
      </c>
      <c r="O86" s="20">
        <f>H86-L86</f>
        <v>-1552</v>
      </c>
      <c r="P86" s="20" t="e">
        <f>#REF!-M86</f>
        <v>#REF!</v>
      </c>
      <c r="Q86" s="20" t="e">
        <f>#REF!-N86</f>
        <v>#REF!</v>
      </c>
      <c r="R86" s="17" t="str">
        <f t="shared" si="1"/>
        <v>71 2 00 10020000</v>
      </c>
    </row>
    <row r="87" spans="1:18" s="16" customFormat="1" ht="31.5">
      <c r="A87" s="14"/>
      <c r="B87" s="127" t="s">
        <v>20</v>
      </c>
      <c r="C87" s="109" t="s">
        <v>64</v>
      </c>
      <c r="D87" s="108" t="s">
        <v>11</v>
      </c>
      <c r="E87" s="108" t="s">
        <v>62</v>
      </c>
      <c r="F87" s="108" t="s">
        <v>71</v>
      </c>
      <c r="G87" s="108" t="s">
        <v>21</v>
      </c>
      <c r="H87" s="126">
        <f>SUM(H88:H89)</f>
        <v>0</v>
      </c>
      <c r="L87" s="20">
        <v>1552</v>
      </c>
      <c r="M87" s="20">
        <v>1552</v>
      </c>
      <c r="N87" s="20">
        <v>1552</v>
      </c>
      <c r="O87" s="20">
        <f>H87-L87</f>
        <v>-1552</v>
      </c>
      <c r="P87" s="20" t="e">
        <f>#REF!-M87</f>
        <v>#REF!</v>
      </c>
      <c r="Q87" s="20" t="e">
        <f>#REF!-N87</f>
        <v>#REF!</v>
      </c>
      <c r="R87" s="17" t="str">
        <f t="shared" si="1"/>
        <v>71 2 00 10020120</v>
      </c>
    </row>
    <row r="88" spans="1:18" s="23" customFormat="1" ht="31.5">
      <c r="A88" s="21"/>
      <c r="B88" s="127" t="s">
        <v>40</v>
      </c>
      <c r="C88" s="109" t="s">
        <v>64</v>
      </c>
      <c r="D88" s="108" t="s">
        <v>11</v>
      </c>
      <c r="E88" s="108" t="s">
        <v>62</v>
      </c>
      <c r="F88" s="108" t="s">
        <v>71</v>
      </c>
      <c r="G88" s="108" t="s">
        <v>41</v>
      </c>
      <c r="H88" s="126"/>
      <c r="L88" s="22"/>
      <c r="M88" s="22"/>
      <c r="N88" s="22"/>
      <c r="O88" s="22"/>
      <c r="P88" s="22"/>
      <c r="Q88" s="22"/>
      <c r="R88" s="24"/>
    </row>
    <row r="89" spans="1:18" s="23" customFormat="1" ht="63">
      <c r="A89" s="21"/>
      <c r="B89" s="127" t="s">
        <v>26</v>
      </c>
      <c r="C89" s="109" t="s">
        <v>64</v>
      </c>
      <c r="D89" s="108" t="s">
        <v>11</v>
      </c>
      <c r="E89" s="108" t="s">
        <v>62</v>
      </c>
      <c r="F89" s="108" t="s">
        <v>71</v>
      </c>
      <c r="G89" s="108" t="s">
        <v>27</v>
      </c>
      <c r="H89" s="126"/>
      <c r="L89" s="22"/>
      <c r="M89" s="22"/>
      <c r="N89" s="22"/>
      <c r="O89" s="22"/>
      <c r="P89" s="22"/>
      <c r="Q89" s="22"/>
      <c r="R89" s="24"/>
    </row>
    <row r="90" spans="1:18" s="16" customFormat="1" ht="63">
      <c r="A90" s="14"/>
      <c r="B90" s="121" t="s">
        <v>72</v>
      </c>
      <c r="C90" s="122" t="s">
        <v>64</v>
      </c>
      <c r="D90" s="123" t="s">
        <v>11</v>
      </c>
      <c r="E90" s="123" t="s">
        <v>73</v>
      </c>
      <c r="F90" s="123" t="s">
        <v>8</v>
      </c>
      <c r="G90" s="123" t="s">
        <v>9</v>
      </c>
      <c r="H90" s="124">
        <f>H91</f>
        <v>0</v>
      </c>
      <c r="L90" s="19">
        <v>106659.61</v>
      </c>
      <c r="M90" s="19">
        <v>106659.61</v>
      </c>
      <c r="N90" s="19">
        <v>106659.61</v>
      </c>
      <c r="O90" s="19">
        <f>H90-L90</f>
        <v>-106659.61</v>
      </c>
      <c r="P90" s="19" t="e">
        <f>#REF!-M90</f>
        <v>#REF!</v>
      </c>
      <c r="Q90" s="19" t="e">
        <f>#REF!-N90</f>
        <v>#REF!</v>
      </c>
      <c r="R90" s="17" t="str">
        <f t="shared" si="1"/>
        <v>00 0 00 00000000</v>
      </c>
    </row>
    <row r="91" spans="1:18" s="16" customFormat="1" ht="31.5">
      <c r="A91" s="14"/>
      <c r="B91" s="129" t="s">
        <v>66</v>
      </c>
      <c r="C91" s="109" t="s">
        <v>64</v>
      </c>
      <c r="D91" s="108" t="s">
        <v>11</v>
      </c>
      <c r="E91" s="108" t="s">
        <v>73</v>
      </c>
      <c r="F91" s="108" t="s">
        <v>67</v>
      </c>
      <c r="G91" s="108" t="s">
        <v>9</v>
      </c>
      <c r="H91" s="126">
        <f>H92</f>
        <v>0</v>
      </c>
      <c r="L91" s="20">
        <v>106659.61</v>
      </c>
      <c r="M91" s="20">
        <v>106659.61</v>
      </c>
      <c r="N91" s="20">
        <v>106659.61</v>
      </c>
      <c r="O91" s="20">
        <f>H91-L91</f>
        <v>-106659.61</v>
      </c>
      <c r="P91" s="20" t="e">
        <f>#REF!-M91</f>
        <v>#REF!</v>
      </c>
      <c r="Q91" s="20" t="e">
        <f>#REF!-N91</f>
        <v>#REF!</v>
      </c>
      <c r="R91" s="17" t="str">
        <f t="shared" si="1"/>
        <v>71 0 00 00000000</v>
      </c>
    </row>
    <row r="92" spans="1:18" s="16" customFormat="1" ht="31.5">
      <c r="A92" s="14"/>
      <c r="B92" s="129" t="s">
        <v>74</v>
      </c>
      <c r="C92" s="109" t="s">
        <v>64</v>
      </c>
      <c r="D92" s="108" t="s">
        <v>11</v>
      </c>
      <c r="E92" s="108" t="s">
        <v>73</v>
      </c>
      <c r="F92" s="108" t="s">
        <v>75</v>
      </c>
      <c r="G92" s="108" t="s">
        <v>9</v>
      </c>
      <c r="H92" s="126">
        <f>H93+H102+H106+H112</f>
        <v>0</v>
      </c>
      <c r="L92" s="20">
        <v>106659.61</v>
      </c>
      <c r="M92" s="20">
        <v>106659.61</v>
      </c>
      <c r="N92" s="20">
        <v>106659.61</v>
      </c>
      <c r="O92" s="20">
        <f>H92-L92</f>
        <v>-106659.61</v>
      </c>
      <c r="P92" s="20" t="e">
        <f>#REF!-M92</f>
        <v>#REF!</v>
      </c>
      <c r="Q92" s="20" t="e">
        <f>#REF!-N92</f>
        <v>#REF!</v>
      </c>
      <c r="R92" s="17" t="str">
        <f t="shared" si="1"/>
        <v>71 1 00 00000000</v>
      </c>
    </row>
    <row r="93" spans="1:18" s="16" customFormat="1" ht="31.5">
      <c r="A93" s="14"/>
      <c r="B93" s="129" t="s">
        <v>18</v>
      </c>
      <c r="C93" s="130" t="s">
        <v>64</v>
      </c>
      <c r="D93" s="131" t="s">
        <v>11</v>
      </c>
      <c r="E93" s="131" t="s">
        <v>73</v>
      </c>
      <c r="F93" s="131" t="s">
        <v>76</v>
      </c>
      <c r="G93" s="131" t="s">
        <v>9</v>
      </c>
      <c r="H93" s="105">
        <f>H94+H97+H99</f>
        <v>0</v>
      </c>
      <c r="L93" s="26">
        <v>12140.56</v>
      </c>
      <c r="M93" s="26">
        <v>12140.56</v>
      </c>
      <c r="N93" s="26">
        <v>12140.56</v>
      </c>
      <c r="O93" s="26">
        <f>H93-L93</f>
        <v>-12140.56</v>
      </c>
      <c r="P93" s="26" t="e">
        <f>#REF!-M93</f>
        <v>#REF!</v>
      </c>
      <c r="Q93" s="26" t="e">
        <f>#REF!-N93</f>
        <v>#REF!</v>
      </c>
      <c r="R93" s="17" t="str">
        <f t="shared" si="1"/>
        <v>71 1 00 10010000</v>
      </c>
    </row>
    <row r="94" spans="1:18" s="16" customFormat="1" ht="31.5">
      <c r="A94" s="14"/>
      <c r="B94" s="127" t="s">
        <v>20</v>
      </c>
      <c r="C94" s="130" t="s">
        <v>64</v>
      </c>
      <c r="D94" s="131" t="s">
        <v>11</v>
      </c>
      <c r="E94" s="131" t="s">
        <v>73</v>
      </c>
      <c r="F94" s="131" t="s">
        <v>76</v>
      </c>
      <c r="G94" s="108" t="s">
        <v>21</v>
      </c>
      <c r="H94" s="126">
        <f>SUM(H95:H96)</f>
        <v>0</v>
      </c>
      <c r="L94" s="20">
        <v>4414.8999999999996</v>
      </c>
      <c r="M94" s="20">
        <v>4414.8999999999996</v>
      </c>
      <c r="N94" s="20">
        <v>4414.8999999999996</v>
      </c>
      <c r="O94" s="20">
        <f>H94-L94</f>
        <v>-4414.8999999999996</v>
      </c>
      <c r="P94" s="20" t="e">
        <f>#REF!-M94</f>
        <v>#REF!</v>
      </c>
      <c r="Q94" s="20" t="e">
        <f>#REF!-N94</f>
        <v>#REF!</v>
      </c>
      <c r="R94" s="17" t="str">
        <f t="shared" si="1"/>
        <v>71 1 00 10010120</v>
      </c>
    </row>
    <row r="95" spans="1:18" s="23" customFormat="1" ht="47.25">
      <c r="A95" s="21"/>
      <c r="B95" s="127" t="s">
        <v>22</v>
      </c>
      <c r="C95" s="130" t="s">
        <v>64</v>
      </c>
      <c r="D95" s="131" t="s">
        <v>11</v>
      </c>
      <c r="E95" s="131" t="s">
        <v>73</v>
      </c>
      <c r="F95" s="131" t="s">
        <v>76</v>
      </c>
      <c r="G95" s="108" t="s">
        <v>23</v>
      </c>
      <c r="H95" s="126"/>
      <c r="L95" s="22"/>
      <c r="M95" s="22"/>
      <c r="N95" s="22"/>
      <c r="O95" s="22"/>
      <c r="P95" s="22"/>
      <c r="Q95" s="22"/>
      <c r="R95" s="24"/>
    </row>
    <row r="96" spans="1:18" s="23" customFormat="1" ht="63">
      <c r="A96" s="21"/>
      <c r="B96" s="127" t="s">
        <v>26</v>
      </c>
      <c r="C96" s="130" t="s">
        <v>64</v>
      </c>
      <c r="D96" s="131" t="s">
        <v>11</v>
      </c>
      <c r="E96" s="131" t="s">
        <v>73</v>
      </c>
      <c r="F96" s="131" t="s">
        <v>76</v>
      </c>
      <c r="G96" s="108" t="s">
        <v>27</v>
      </c>
      <c r="H96" s="126"/>
      <c r="L96" s="22"/>
      <c r="M96" s="22"/>
      <c r="N96" s="22"/>
      <c r="O96" s="22"/>
      <c r="P96" s="22"/>
      <c r="Q96" s="22"/>
      <c r="R96" s="24"/>
    </row>
    <row r="97" spans="1:18" s="16" customFormat="1" ht="31.5">
      <c r="A97" s="14"/>
      <c r="B97" s="125" t="s">
        <v>28</v>
      </c>
      <c r="C97" s="130" t="s">
        <v>64</v>
      </c>
      <c r="D97" s="131" t="s">
        <v>11</v>
      </c>
      <c r="E97" s="131" t="s">
        <v>73</v>
      </c>
      <c r="F97" s="131" t="s">
        <v>76</v>
      </c>
      <c r="G97" s="108" t="s">
        <v>29</v>
      </c>
      <c r="H97" s="126">
        <f>H98</f>
        <v>0</v>
      </c>
      <c r="L97" s="20">
        <v>7701.66</v>
      </c>
      <c r="M97" s="20">
        <v>7701.66</v>
      </c>
      <c r="N97" s="20">
        <v>7701.66</v>
      </c>
      <c r="O97" s="20">
        <f>H97-L97</f>
        <v>-7701.66</v>
      </c>
      <c r="P97" s="20" t="e">
        <f>#REF!-M97</f>
        <v>#REF!</v>
      </c>
      <c r="Q97" s="20" t="e">
        <f>#REF!-N97</f>
        <v>#REF!</v>
      </c>
      <c r="R97" s="17" t="str">
        <f t="shared" si="1"/>
        <v>71 1 00 10010240</v>
      </c>
    </row>
    <row r="98" spans="1:18" s="16" customFormat="1" ht="15.75">
      <c r="A98" s="14"/>
      <c r="B98" s="125" t="s">
        <v>30</v>
      </c>
      <c r="C98" s="130" t="s">
        <v>64</v>
      </c>
      <c r="D98" s="131" t="s">
        <v>11</v>
      </c>
      <c r="E98" s="131" t="s">
        <v>73</v>
      </c>
      <c r="F98" s="131" t="s">
        <v>76</v>
      </c>
      <c r="G98" s="108" t="s">
        <v>31</v>
      </c>
      <c r="H98" s="126"/>
      <c r="L98" s="20"/>
      <c r="M98" s="20"/>
      <c r="N98" s="20"/>
      <c r="O98" s="20"/>
      <c r="P98" s="20"/>
      <c r="Q98" s="20"/>
      <c r="R98" s="17"/>
    </row>
    <row r="99" spans="1:18" s="16" customFormat="1" ht="15.75">
      <c r="A99" s="14"/>
      <c r="B99" s="125" t="s">
        <v>32</v>
      </c>
      <c r="C99" s="130" t="s">
        <v>64</v>
      </c>
      <c r="D99" s="131" t="s">
        <v>11</v>
      </c>
      <c r="E99" s="131" t="s">
        <v>73</v>
      </c>
      <c r="F99" s="131" t="s">
        <v>76</v>
      </c>
      <c r="G99" s="108" t="s">
        <v>33</v>
      </c>
      <c r="H99" s="126">
        <f>SUM(H100:H101)</f>
        <v>0</v>
      </c>
      <c r="L99" s="20">
        <v>24</v>
      </c>
      <c r="M99" s="20">
        <v>24</v>
      </c>
      <c r="N99" s="20">
        <v>24</v>
      </c>
      <c r="O99" s="20">
        <f>H99-L99</f>
        <v>-24</v>
      </c>
      <c r="P99" s="20" t="e">
        <f>#REF!-M99</f>
        <v>#REF!</v>
      </c>
      <c r="Q99" s="20" t="e">
        <f>#REF!-N99</f>
        <v>#REF!</v>
      </c>
      <c r="R99" s="17" t="str">
        <f t="shared" si="1"/>
        <v>71 1 00 10010850</v>
      </c>
    </row>
    <row r="100" spans="1:18" s="16" customFormat="1" ht="15.75">
      <c r="A100" s="14"/>
      <c r="B100" s="125" t="s">
        <v>36</v>
      </c>
      <c r="C100" s="109" t="s">
        <v>64</v>
      </c>
      <c r="D100" s="108" t="s">
        <v>11</v>
      </c>
      <c r="E100" s="108" t="s">
        <v>73</v>
      </c>
      <c r="F100" s="108" t="s">
        <v>76</v>
      </c>
      <c r="G100" s="108" t="s">
        <v>37</v>
      </c>
      <c r="H100" s="126"/>
      <c r="L100" s="20"/>
      <c r="M100" s="20"/>
      <c r="N100" s="20"/>
      <c r="O100" s="20"/>
      <c r="P100" s="20"/>
      <c r="Q100" s="20"/>
      <c r="R100" s="17"/>
    </row>
    <row r="101" spans="1:18" s="16" customFormat="1" ht="15.75">
      <c r="A101" s="14"/>
      <c r="B101" s="125" t="s">
        <v>77</v>
      </c>
      <c r="C101" s="109" t="s">
        <v>64</v>
      </c>
      <c r="D101" s="108" t="s">
        <v>11</v>
      </c>
      <c r="E101" s="108" t="s">
        <v>73</v>
      </c>
      <c r="F101" s="108" t="s">
        <v>76</v>
      </c>
      <c r="G101" s="108" t="s">
        <v>78</v>
      </c>
      <c r="H101" s="126"/>
      <c r="L101" s="20"/>
      <c r="M101" s="20"/>
      <c r="N101" s="20"/>
      <c r="O101" s="20"/>
      <c r="P101" s="20"/>
      <c r="Q101" s="20"/>
      <c r="R101" s="17"/>
    </row>
    <row r="102" spans="1:18" s="16" customFormat="1" ht="31.5">
      <c r="A102" s="14"/>
      <c r="B102" s="129" t="s">
        <v>38</v>
      </c>
      <c r="C102" s="109" t="s">
        <v>64</v>
      </c>
      <c r="D102" s="108" t="s">
        <v>11</v>
      </c>
      <c r="E102" s="108" t="s">
        <v>73</v>
      </c>
      <c r="F102" s="108" t="s">
        <v>79</v>
      </c>
      <c r="G102" s="131" t="s">
        <v>9</v>
      </c>
      <c r="H102" s="126">
        <f>H103</f>
        <v>0</v>
      </c>
      <c r="L102" s="20">
        <v>93494.03</v>
      </c>
      <c r="M102" s="20">
        <v>93494.03</v>
      </c>
      <c r="N102" s="20">
        <v>93494.03</v>
      </c>
      <c r="O102" s="20">
        <f>H102-L102</f>
        <v>-93494.03</v>
      </c>
      <c r="P102" s="20" t="e">
        <f>#REF!-M102</f>
        <v>#REF!</v>
      </c>
      <c r="Q102" s="20" t="e">
        <f>#REF!-N102</f>
        <v>#REF!</v>
      </c>
      <c r="R102" s="17" t="str">
        <f t="shared" si="1"/>
        <v>71 1 00 10020000</v>
      </c>
    </row>
    <row r="103" spans="1:18" s="16" customFormat="1" ht="31.5">
      <c r="A103" s="14"/>
      <c r="B103" s="127" t="s">
        <v>20</v>
      </c>
      <c r="C103" s="109" t="s">
        <v>64</v>
      </c>
      <c r="D103" s="108" t="s">
        <v>11</v>
      </c>
      <c r="E103" s="108" t="s">
        <v>73</v>
      </c>
      <c r="F103" s="108" t="s">
        <v>79</v>
      </c>
      <c r="G103" s="131" t="s">
        <v>21</v>
      </c>
      <c r="H103" s="126">
        <f>SUM(H104:H105)</f>
        <v>0</v>
      </c>
      <c r="L103" s="20">
        <v>93494.03</v>
      </c>
      <c r="M103" s="20">
        <v>93494.03</v>
      </c>
      <c r="N103" s="20">
        <v>93494.03</v>
      </c>
      <c r="O103" s="20">
        <f>H103-L103</f>
        <v>-93494.03</v>
      </c>
      <c r="P103" s="20" t="e">
        <f>#REF!-M103</f>
        <v>#REF!</v>
      </c>
      <c r="Q103" s="20" t="e">
        <f>#REF!-N103</f>
        <v>#REF!</v>
      </c>
      <c r="R103" s="17" t="str">
        <f t="shared" si="1"/>
        <v>71 1 00 10020120</v>
      </c>
    </row>
    <row r="104" spans="1:18" s="16" customFormat="1" ht="31.5">
      <c r="A104" s="14"/>
      <c r="B104" s="125" t="s">
        <v>40</v>
      </c>
      <c r="C104" s="109" t="s">
        <v>64</v>
      </c>
      <c r="D104" s="108" t="s">
        <v>11</v>
      </c>
      <c r="E104" s="108" t="s">
        <v>73</v>
      </c>
      <c r="F104" s="108" t="s">
        <v>79</v>
      </c>
      <c r="G104" s="108" t="s">
        <v>41</v>
      </c>
      <c r="H104" s="126"/>
      <c r="L104" s="20"/>
      <c r="M104" s="20"/>
      <c r="N104" s="20"/>
      <c r="O104" s="20"/>
      <c r="P104" s="20"/>
      <c r="Q104" s="20"/>
      <c r="R104" s="17"/>
    </row>
    <row r="105" spans="1:18" s="16" customFormat="1" ht="63">
      <c r="A105" s="14"/>
      <c r="B105" s="125" t="s">
        <v>26</v>
      </c>
      <c r="C105" s="109" t="s">
        <v>64</v>
      </c>
      <c r="D105" s="108" t="s">
        <v>11</v>
      </c>
      <c r="E105" s="108" t="s">
        <v>73</v>
      </c>
      <c r="F105" s="108" t="s">
        <v>79</v>
      </c>
      <c r="G105" s="108" t="s">
        <v>27</v>
      </c>
      <c r="H105" s="126"/>
      <c r="L105" s="20"/>
      <c r="M105" s="20"/>
      <c r="N105" s="20"/>
      <c r="O105" s="20"/>
      <c r="P105" s="20"/>
      <c r="Q105" s="20"/>
      <c r="R105" s="17"/>
    </row>
    <row r="106" spans="1:18" s="16" customFormat="1" ht="63">
      <c r="A106" s="14" t="s">
        <v>80</v>
      </c>
      <c r="B106" s="125" t="s">
        <v>81</v>
      </c>
      <c r="C106" s="130" t="s">
        <v>64</v>
      </c>
      <c r="D106" s="131" t="s">
        <v>11</v>
      </c>
      <c r="E106" s="131" t="s">
        <v>73</v>
      </c>
      <c r="F106" s="131" t="s">
        <v>82</v>
      </c>
      <c r="G106" s="131" t="s">
        <v>9</v>
      </c>
      <c r="H106" s="126">
        <f>H107+H110</f>
        <v>0</v>
      </c>
      <c r="L106" s="20">
        <v>1016.02</v>
      </c>
      <c r="M106" s="20">
        <v>1016.02</v>
      </c>
      <c r="N106" s="20">
        <v>1016.02</v>
      </c>
      <c r="O106" s="20">
        <f>H106-L106</f>
        <v>-1016.02</v>
      </c>
      <c r="P106" s="20" t="e">
        <f>#REF!-M106</f>
        <v>#REF!</v>
      </c>
      <c r="Q106" s="20" t="e">
        <f>#REF!-N106</f>
        <v>#REF!</v>
      </c>
      <c r="R106" s="17" t="str">
        <f t="shared" si="1"/>
        <v>71 1 00 76630000</v>
      </c>
    </row>
    <row r="107" spans="1:18" s="16" customFormat="1" ht="31.5">
      <c r="A107" s="14"/>
      <c r="B107" s="127" t="s">
        <v>20</v>
      </c>
      <c r="C107" s="130" t="s">
        <v>64</v>
      </c>
      <c r="D107" s="131" t="s">
        <v>11</v>
      </c>
      <c r="E107" s="131" t="s">
        <v>73</v>
      </c>
      <c r="F107" s="131" t="s">
        <v>82</v>
      </c>
      <c r="G107" s="131" t="s">
        <v>21</v>
      </c>
      <c r="H107" s="126">
        <f>SUM(H108:H109)</f>
        <v>0</v>
      </c>
      <c r="L107" s="20">
        <v>803.81</v>
      </c>
      <c r="M107" s="20">
        <v>803.81</v>
      </c>
      <c r="N107" s="20">
        <v>803.81</v>
      </c>
      <c r="O107" s="20">
        <f>H107-L107</f>
        <v>-803.81</v>
      </c>
      <c r="P107" s="20" t="e">
        <f>#REF!-M107</f>
        <v>#REF!</v>
      </c>
      <c r="Q107" s="20" t="e">
        <f>#REF!-N107</f>
        <v>#REF!</v>
      </c>
      <c r="R107" s="17" t="str">
        <f t="shared" si="1"/>
        <v>71 1 00 76630120</v>
      </c>
    </row>
    <row r="108" spans="1:18" s="23" customFormat="1" ht="31.5">
      <c r="A108" s="21"/>
      <c r="B108" s="127" t="s">
        <v>40</v>
      </c>
      <c r="C108" s="109" t="s">
        <v>64</v>
      </c>
      <c r="D108" s="108" t="s">
        <v>11</v>
      </c>
      <c r="E108" s="108" t="s">
        <v>73</v>
      </c>
      <c r="F108" s="108" t="s">
        <v>82</v>
      </c>
      <c r="G108" s="108" t="s">
        <v>41</v>
      </c>
      <c r="H108" s="126"/>
      <c r="L108" s="22"/>
      <c r="M108" s="22"/>
      <c r="N108" s="22"/>
      <c r="O108" s="22"/>
      <c r="P108" s="22"/>
      <c r="Q108" s="22"/>
      <c r="R108" s="24"/>
    </row>
    <row r="109" spans="1:18" s="23" customFormat="1" ht="63">
      <c r="A109" s="21"/>
      <c r="B109" s="127" t="s">
        <v>26</v>
      </c>
      <c r="C109" s="109" t="s">
        <v>64</v>
      </c>
      <c r="D109" s="108" t="s">
        <v>11</v>
      </c>
      <c r="E109" s="108" t="s">
        <v>73</v>
      </c>
      <c r="F109" s="108" t="s">
        <v>82</v>
      </c>
      <c r="G109" s="108" t="s">
        <v>27</v>
      </c>
      <c r="H109" s="126"/>
      <c r="L109" s="22"/>
      <c r="M109" s="22"/>
      <c r="N109" s="22"/>
      <c r="O109" s="22"/>
      <c r="P109" s="22"/>
      <c r="Q109" s="22"/>
      <c r="R109" s="24"/>
    </row>
    <row r="110" spans="1:18" s="16" customFormat="1" ht="31.5">
      <c r="A110" s="14"/>
      <c r="B110" s="125" t="s">
        <v>28</v>
      </c>
      <c r="C110" s="130" t="s">
        <v>64</v>
      </c>
      <c r="D110" s="131" t="s">
        <v>11</v>
      </c>
      <c r="E110" s="131" t="s">
        <v>73</v>
      </c>
      <c r="F110" s="131" t="s">
        <v>82</v>
      </c>
      <c r="G110" s="131" t="s">
        <v>29</v>
      </c>
      <c r="H110" s="126">
        <f>H111</f>
        <v>0</v>
      </c>
      <c r="L110" s="20">
        <v>212.21</v>
      </c>
      <c r="M110" s="20">
        <v>212.21</v>
      </c>
      <c r="N110" s="20">
        <v>212.21</v>
      </c>
      <c r="O110" s="20">
        <f>H110-L110</f>
        <v>-212.21</v>
      </c>
      <c r="P110" s="20" t="e">
        <f>#REF!-M110</f>
        <v>#REF!</v>
      </c>
      <c r="Q110" s="20" t="e">
        <f>#REF!-N110</f>
        <v>#REF!</v>
      </c>
      <c r="R110" s="17" t="str">
        <f t="shared" si="1"/>
        <v>71 1 00 76630240</v>
      </c>
    </row>
    <row r="111" spans="1:18" s="16" customFormat="1" ht="15.75">
      <c r="A111" s="14"/>
      <c r="B111" s="125" t="s">
        <v>30</v>
      </c>
      <c r="C111" s="130" t="s">
        <v>64</v>
      </c>
      <c r="D111" s="131" t="s">
        <v>11</v>
      </c>
      <c r="E111" s="131" t="s">
        <v>73</v>
      </c>
      <c r="F111" s="131" t="s">
        <v>82</v>
      </c>
      <c r="G111" s="131" t="s">
        <v>31</v>
      </c>
      <c r="H111" s="126"/>
      <c r="L111" s="20"/>
      <c r="M111" s="20"/>
      <c r="N111" s="20"/>
      <c r="O111" s="20"/>
      <c r="P111" s="20"/>
      <c r="Q111" s="20"/>
      <c r="R111" s="17"/>
    </row>
    <row r="112" spans="1:18" s="16" customFormat="1" ht="47.25">
      <c r="A112" s="14" t="s">
        <v>80</v>
      </c>
      <c r="B112" s="129" t="s">
        <v>83</v>
      </c>
      <c r="C112" s="130" t="s">
        <v>64</v>
      </c>
      <c r="D112" s="131" t="s">
        <v>11</v>
      </c>
      <c r="E112" s="131" t="s">
        <v>73</v>
      </c>
      <c r="F112" s="131" t="s">
        <v>84</v>
      </c>
      <c r="G112" s="131" t="s">
        <v>9</v>
      </c>
      <c r="H112" s="105">
        <f>H113</f>
        <v>0</v>
      </c>
      <c r="L112" s="26">
        <v>9</v>
      </c>
      <c r="M112" s="26">
        <v>9</v>
      </c>
      <c r="N112" s="26">
        <v>9</v>
      </c>
      <c r="O112" s="26">
        <f>H112-L112</f>
        <v>-9</v>
      </c>
      <c r="P112" s="26" t="e">
        <f>#REF!-M112</f>
        <v>#REF!</v>
      </c>
      <c r="Q112" s="26" t="e">
        <f>#REF!-N112</f>
        <v>#REF!</v>
      </c>
      <c r="R112" s="17" t="str">
        <f t="shared" si="1"/>
        <v>71 1 00 76930000</v>
      </c>
    </row>
    <row r="113" spans="1:18" s="16" customFormat="1" ht="31.5">
      <c r="A113" s="14"/>
      <c r="B113" s="125" t="s">
        <v>28</v>
      </c>
      <c r="C113" s="130" t="s">
        <v>64</v>
      </c>
      <c r="D113" s="131" t="s">
        <v>11</v>
      </c>
      <c r="E113" s="131" t="s">
        <v>73</v>
      </c>
      <c r="F113" s="131" t="s">
        <v>84</v>
      </c>
      <c r="G113" s="131" t="s">
        <v>29</v>
      </c>
      <c r="H113" s="126">
        <f>H114</f>
        <v>0</v>
      </c>
      <c r="L113" s="20">
        <v>9</v>
      </c>
      <c r="M113" s="20">
        <v>9</v>
      </c>
      <c r="N113" s="20">
        <v>9</v>
      </c>
      <c r="O113" s="20">
        <f>H113-L113</f>
        <v>-9</v>
      </c>
      <c r="P113" s="20" t="e">
        <f>#REF!-M113</f>
        <v>#REF!</v>
      </c>
      <c r="Q113" s="20" t="e">
        <f>#REF!-N113</f>
        <v>#REF!</v>
      </c>
      <c r="R113" s="17" t="str">
        <f t="shared" si="1"/>
        <v>71 1 00 76930240</v>
      </c>
    </row>
    <row r="114" spans="1:18" s="16" customFormat="1" ht="15.75">
      <c r="A114" s="14"/>
      <c r="B114" s="125" t="s">
        <v>30</v>
      </c>
      <c r="C114" s="130" t="s">
        <v>64</v>
      </c>
      <c r="D114" s="131" t="s">
        <v>11</v>
      </c>
      <c r="E114" s="131" t="s">
        <v>73</v>
      </c>
      <c r="F114" s="131" t="s">
        <v>84</v>
      </c>
      <c r="G114" s="131" t="s">
        <v>31</v>
      </c>
      <c r="H114" s="126"/>
      <c r="L114" s="20"/>
      <c r="M114" s="20"/>
      <c r="N114" s="20"/>
      <c r="O114" s="20"/>
      <c r="P114" s="20"/>
      <c r="Q114" s="20"/>
      <c r="R114" s="17"/>
    </row>
    <row r="115" spans="1:18" s="16" customFormat="1" ht="15.75">
      <c r="A115" s="14"/>
      <c r="B115" s="121" t="s">
        <v>85</v>
      </c>
      <c r="C115" s="122" t="s">
        <v>64</v>
      </c>
      <c r="D115" s="123" t="s">
        <v>11</v>
      </c>
      <c r="E115" s="123" t="s">
        <v>86</v>
      </c>
      <c r="F115" s="123" t="s">
        <v>8</v>
      </c>
      <c r="G115" s="123" t="s">
        <v>9</v>
      </c>
      <c r="H115" s="124">
        <f>H116</f>
        <v>0</v>
      </c>
      <c r="L115" s="19">
        <v>1291.44</v>
      </c>
      <c r="M115" s="19">
        <v>86.53</v>
      </c>
      <c r="N115" s="19">
        <v>139.63</v>
      </c>
      <c r="O115" s="19">
        <f>H115-L115</f>
        <v>-1291.44</v>
      </c>
      <c r="P115" s="19" t="e">
        <f>#REF!-M115</f>
        <v>#REF!</v>
      </c>
      <c r="Q115" s="19" t="e">
        <f>#REF!-N115</f>
        <v>#REF!</v>
      </c>
      <c r="R115" s="17" t="str">
        <f t="shared" si="1"/>
        <v>00 0 00 00000000</v>
      </c>
    </row>
    <row r="116" spans="1:18" s="16" customFormat="1" ht="63">
      <c r="A116" s="14"/>
      <c r="B116" s="125" t="s">
        <v>87</v>
      </c>
      <c r="C116" s="109" t="s">
        <v>64</v>
      </c>
      <c r="D116" s="108" t="s">
        <v>11</v>
      </c>
      <c r="E116" s="131" t="s">
        <v>86</v>
      </c>
      <c r="F116" s="108" t="s">
        <v>88</v>
      </c>
      <c r="G116" s="108" t="s">
        <v>9</v>
      </c>
      <c r="H116" s="126">
        <f t="shared" ref="H116:H118" si="8">H117</f>
        <v>0</v>
      </c>
      <c r="L116" s="20">
        <v>1291.44</v>
      </c>
      <c r="M116" s="20">
        <v>86.53</v>
      </c>
      <c r="N116" s="20">
        <v>139.63</v>
      </c>
      <c r="O116" s="20">
        <f>H116-L116</f>
        <v>-1291.44</v>
      </c>
      <c r="P116" s="20" t="e">
        <f>#REF!-M116</f>
        <v>#REF!</v>
      </c>
      <c r="Q116" s="20" t="e">
        <f>#REF!-N116</f>
        <v>#REF!</v>
      </c>
      <c r="R116" s="17" t="str">
        <f t="shared" si="1"/>
        <v>98 0 00 00000000</v>
      </c>
    </row>
    <row r="117" spans="1:18" s="16" customFormat="1" ht="15.75">
      <c r="A117" s="14"/>
      <c r="B117" s="125" t="s">
        <v>89</v>
      </c>
      <c r="C117" s="109" t="s">
        <v>64</v>
      </c>
      <c r="D117" s="108" t="s">
        <v>11</v>
      </c>
      <c r="E117" s="131" t="s">
        <v>86</v>
      </c>
      <c r="F117" s="108" t="s">
        <v>90</v>
      </c>
      <c r="G117" s="108" t="s">
        <v>9</v>
      </c>
      <c r="H117" s="126">
        <f t="shared" si="8"/>
        <v>0</v>
      </c>
      <c r="L117" s="20">
        <v>1291.44</v>
      </c>
      <c r="M117" s="20">
        <v>86.53</v>
      </c>
      <c r="N117" s="20">
        <v>139.63</v>
      </c>
      <c r="O117" s="20">
        <f>H117-L117</f>
        <v>-1291.44</v>
      </c>
      <c r="P117" s="20" t="e">
        <f>#REF!-M117</f>
        <v>#REF!</v>
      </c>
      <c r="Q117" s="20" t="e">
        <f>#REF!-N117</f>
        <v>#REF!</v>
      </c>
      <c r="R117" s="17" t="str">
        <f t="shared" si="1"/>
        <v>98 1 00 00000000</v>
      </c>
    </row>
    <row r="118" spans="1:18" s="16" customFormat="1" ht="63">
      <c r="A118" s="14" t="s">
        <v>91</v>
      </c>
      <c r="B118" s="129" t="s">
        <v>92</v>
      </c>
      <c r="C118" s="130" t="s">
        <v>64</v>
      </c>
      <c r="D118" s="131" t="s">
        <v>11</v>
      </c>
      <c r="E118" s="131" t="s">
        <v>86</v>
      </c>
      <c r="F118" s="131" t="s">
        <v>93</v>
      </c>
      <c r="G118" s="131" t="s">
        <v>9</v>
      </c>
      <c r="H118" s="105">
        <f t="shared" si="8"/>
        <v>0</v>
      </c>
      <c r="L118" s="26">
        <v>1291.44</v>
      </c>
      <c r="M118" s="26">
        <v>86.53</v>
      </c>
      <c r="N118" s="26">
        <v>139.63</v>
      </c>
      <c r="O118" s="26">
        <f>H118-L118</f>
        <v>-1291.44</v>
      </c>
      <c r="P118" s="26" t="e">
        <f>#REF!-M118</f>
        <v>#REF!</v>
      </c>
      <c r="Q118" s="26" t="e">
        <f>#REF!-N118</f>
        <v>#REF!</v>
      </c>
      <c r="R118" s="17" t="str">
        <f t="shared" si="1"/>
        <v>98 1 00 51200000</v>
      </c>
    </row>
    <row r="119" spans="1:18" s="16" customFormat="1" ht="31.5">
      <c r="A119" s="14"/>
      <c r="B119" s="125" t="s">
        <v>28</v>
      </c>
      <c r="C119" s="130" t="s">
        <v>64</v>
      </c>
      <c r="D119" s="131" t="s">
        <v>11</v>
      </c>
      <c r="E119" s="131" t="s">
        <v>86</v>
      </c>
      <c r="F119" s="131" t="s">
        <v>93</v>
      </c>
      <c r="G119" s="131" t="s">
        <v>29</v>
      </c>
      <c r="H119" s="126">
        <f>H120</f>
        <v>0</v>
      </c>
      <c r="L119" s="20">
        <v>1291.44</v>
      </c>
      <c r="M119" s="20">
        <v>86.53</v>
      </c>
      <c r="N119" s="20">
        <v>139.63</v>
      </c>
      <c r="O119" s="20">
        <f>H119-L119</f>
        <v>-1291.44</v>
      </c>
      <c r="P119" s="20" t="e">
        <f>#REF!-M119</f>
        <v>#REF!</v>
      </c>
      <c r="Q119" s="20" t="e">
        <f>#REF!-N119</f>
        <v>#REF!</v>
      </c>
      <c r="R119" s="17" t="str">
        <f t="shared" ref="R119:R203" si="9">CONCATENATE(F119,G119)</f>
        <v>98 1 00 51200240</v>
      </c>
    </row>
    <row r="120" spans="1:18" s="16" customFormat="1" ht="15.75">
      <c r="A120" s="14"/>
      <c r="B120" s="125" t="s">
        <v>30</v>
      </c>
      <c r="C120" s="130" t="s">
        <v>64</v>
      </c>
      <c r="D120" s="131" t="s">
        <v>11</v>
      </c>
      <c r="E120" s="131" t="s">
        <v>86</v>
      </c>
      <c r="F120" s="131" t="s">
        <v>93</v>
      </c>
      <c r="G120" s="131" t="s">
        <v>31</v>
      </c>
      <c r="H120" s="126"/>
      <c r="L120" s="20"/>
      <c r="M120" s="20"/>
      <c r="N120" s="20"/>
      <c r="O120" s="20"/>
      <c r="P120" s="20"/>
      <c r="Q120" s="20"/>
      <c r="R120" s="17"/>
    </row>
    <row r="121" spans="1:18" s="16" customFormat="1" ht="15.75">
      <c r="A121" s="14"/>
      <c r="B121" s="121" t="s">
        <v>50</v>
      </c>
      <c r="C121" s="122" t="s">
        <v>64</v>
      </c>
      <c r="D121" s="123" t="s">
        <v>11</v>
      </c>
      <c r="E121" s="123" t="s">
        <v>51</v>
      </c>
      <c r="F121" s="123" t="s">
        <v>8</v>
      </c>
      <c r="G121" s="123" t="s">
        <v>9</v>
      </c>
      <c r="H121" s="124">
        <f>H122+H131+H137+H172+H197+H203+H219</f>
        <v>0</v>
      </c>
      <c r="L121" s="19">
        <v>146264.07</v>
      </c>
      <c r="M121" s="19">
        <v>131081.26</v>
      </c>
      <c r="N121" s="19">
        <v>131081.26</v>
      </c>
      <c r="O121" s="19">
        <f t="shared" ref="O121:O126" si="10">H121-L121</f>
        <v>-146264.07</v>
      </c>
      <c r="P121" s="19" t="e">
        <f>#REF!-M121</f>
        <v>#REF!</v>
      </c>
      <c r="Q121" s="19" t="e">
        <f>#REF!-N121</f>
        <v>#REF!</v>
      </c>
      <c r="R121" s="17" t="str">
        <f t="shared" si="9"/>
        <v>00 0 00 00000000</v>
      </c>
    </row>
    <row r="122" spans="1:18" s="16" customFormat="1" ht="31.5">
      <c r="A122" s="14"/>
      <c r="B122" s="129" t="s">
        <v>94</v>
      </c>
      <c r="C122" s="109" t="s">
        <v>64</v>
      </c>
      <c r="D122" s="108" t="s">
        <v>11</v>
      </c>
      <c r="E122" s="108" t="s">
        <v>51</v>
      </c>
      <c r="F122" s="108" t="s">
        <v>95</v>
      </c>
      <c r="G122" s="108" t="s">
        <v>9</v>
      </c>
      <c r="H122" s="126">
        <f t="shared" ref="H122:H123" si="11">H123</f>
        <v>0</v>
      </c>
      <c r="L122" s="20">
        <v>2119.08</v>
      </c>
      <c r="M122" s="20">
        <v>2119.08</v>
      </c>
      <c r="N122" s="20">
        <v>2119.08</v>
      </c>
      <c r="O122" s="20">
        <f t="shared" si="10"/>
        <v>-2119.08</v>
      </c>
      <c r="P122" s="20" t="e">
        <f>#REF!-M122</f>
        <v>#REF!</v>
      </c>
      <c r="Q122" s="20" t="e">
        <f>#REF!-N122</f>
        <v>#REF!</v>
      </c>
      <c r="R122" s="17" t="str">
        <f t="shared" si="9"/>
        <v>12 0 00 00000000</v>
      </c>
    </row>
    <row r="123" spans="1:18" s="16" customFormat="1" ht="31.5">
      <c r="A123" s="14"/>
      <c r="B123" s="129" t="s">
        <v>96</v>
      </c>
      <c r="C123" s="109" t="s">
        <v>64</v>
      </c>
      <c r="D123" s="108" t="s">
        <v>11</v>
      </c>
      <c r="E123" s="108" t="s">
        <v>51</v>
      </c>
      <c r="F123" s="108" t="s">
        <v>97</v>
      </c>
      <c r="G123" s="108" t="s">
        <v>9</v>
      </c>
      <c r="H123" s="126">
        <f t="shared" si="11"/>
        <v>0</v>
      </c>
      <c r="L123" s="20">
        <v>2119.08</v>
      </c>
      <c r="M123" s="20">
        <v>2119.08</v>
      </c>
      <c r="N123" s="20">
        <v>2119.08</v>
      </c>
      <c r="O123" s="20">
        <f t="shared" si="10"/>
        <v>-2119.08</v>
      </c>
      <c r="P123" s="20" t="e">
        <f>#REF!-M123</f>
        <v>#REF!</v>
      </c>
      <c r="Q123" s="20" t="e">
        <f>#REF!-N123</f>
        <v>#REF!</v>
      </c>
      <c r="R123" s="17" t="str">
        <f t="shared" si="9"/>
        <v>12 2 00 00000000</v>
      </c>
    </row>
    <row r="124" spans="1:18" s="16" customFormat="1" ht="47.25">
      <c r="A124" s="14"/>
      <c r="B124" s="129" t="s">
        <v>98</v>
      </c>
      <c r="C124" s="109" t="s">
        <v>64</v>
      </c>
      <c r="D124" s="108" t="s">
        <v>11</v>
      </c>
      <c r="E124" s="108" t="s">
        <v>51</v>
      </c>
      <c r="F124" s="108" t="s">
        <v>99</v>
      </c>
      <c r="G124" s="108" t="s">
        <v>9</v>
      </c>
      <c r="H124" s="126">
        <f>H125+H128</f>
        <v>0</v>
      </c>
      <c r="L124" s="20">
        <v>2119.08</v>
      </c>
      <c r="M124" s="20">
        <v>2119.08</v>
      </c>
      <c r="N124" s="20">
        <v>2119.08</v>
      </c>
      <c r="O124" s="20">
        <f t="shared" si="10"/>
        <v>-2119.08</v>
      </c>
      <c r="P124" s="20" t="e">
        <f>#REF!-M124</f>
        <v>#REF!</v>
      </c>
      <c r="Q124" s="20" t="e">
        <f>#REF!-N124</f>
        <v>#REF!</v>
      </c>
      <c r="R124" s="17" t="str">
        <f t="shared" si="9"/>
        <v>12 2 03 00000000</v>
      </c>
    </row>
    <row r="125" spans="1:18" s="16" customFormat="1" ht="63">
      <c r="A125" s="14"/>
      <c r="B125" s="129" t="s">
        <v>100</v>
      </c>
      <c r="C125" s="109" t="s">
        <v>64</v>
      </c>
      <c r="D125" s="108" t="s">
        <v>11</v>
      </c>
      <c r="E125" s="108" t="s">
        <v>51</v>
      </c>
      <c r="F125" s="108" t="s">
        <v>101</v>
      </c>
      <c r="G125" s="108" t="s">
        <v>9</v>
      </c>
      <c r="H125" s="126">
        <f>H126</f>
        <v>0</v>
      </c>
      <c r="L125" s="20">
        <v>1329.08</v>
      </c>
      <c r="M125" s="20">
        <v>1329.08</v>
      </c>
      <c r="N125" s="20">
        <v>1329.08</v>
      </c>
      <c r="O125" s="20">
        <f t="shared" si="10"/>
        <v>-1329.08</v>
      </c>
      <c r="P125" s="20" t="e">
        <f>#REF!-M125</f>
        <v>#REF!</v>
      </c>
      <c r="Q125" s="20" t="e">
        <f>#REF!-N125</f>
        <v>#REF!</v>
      </c>
      <c r="R125" s="17" t="str">
        <f t="shared" si="9"/>
        <v>12 2 03 20040000</v>
      </c>
    </row>
    <row r="126" spans="1:18" s="16" customFormat="1" ht="15.75">
      <c r="A126" s="14"/>
      <c r="B126" s="125" t="s">
        <v>32</v>
      </c>
      <c r="C126" s="109" t="s">
        <v>64</v>
      </c>
      <c r="D126" s="108" t="s">
        <v>11</v>
      </c>
      <c r="E126" s="108" t="s">
        <v>51</v>
      </c>
      <c r="F126" s="108" t="s">
        <v>101</v>
      </c>
      <c r="G126" s="108" t="s">
        <v>33</v>
      </c>
      <c r="H126" s="126">
        <f>H127</f>
        <v>0</v>
      </c>
      <c r="L126" s="20">
        <v>1329.08</v>
      </c>
      <c r="M126" s="20">
        <v>1329.08</v>
      </c>
      <c r="N126" s="20">
        <v>1329.08</v>
      </c>
      <c r="O126" s="20">
        <f t="shared" si="10"/>
        <v>-1329.08</v>
      </c>
      <c r="P126" s="20" t="e">
        <f>#REF!-M126</f>
        <v>#REF!</v>
      </c>
      <c r="Q126" s="20" t="e">
        <f>#REF!-N126</f>
        <v>#REF!</v>
      </c>
      <c r="R126" s="17" t="str">
        <f t="shared" si="9"/>
        <v>12 2 03 20040850</v>
      </c>
    </row>
    <row r="127" spans="1:18" s="23" customFormat="1" ht="15.75">
      <c r="A127" s="21"/>
      <c r="B127" s="127" t="s">
        <v>77</v>
      </c>
      <c r="C127" s="109" t="s">
        <v>64</v>
      </c>
      <c r="D127" s="108" t="s">
        <v>11</v>
      </c>
      <c r="E127" s="108" t="s">
        <v>51</v>
      </c>
      <c r="F127" s="108" t="s">
        <v>101</v>
      </c>
      <c r="G127" s="108" t="s">
        <v>78</v>
      </c>
      <c r="H127" s="126"/>
      <c r="L127" s="22"/>
      <c r="M127" s="22"/>
      <c r="N127" s="22"/>
      <c r="O127" s="22"/>
      <c r="P127" s="22"/>
      <c r="Q127" s="22"/>
      <c r="R127" s="24"/>
    </row>
    <row r="128" spans="1:18" s="16" customFormat="1" ht="94.5">
      <c r="A128" s="14"/>
      <c r="B128" s="129" t="s">
        <v>54</v>
      </c>
      <c r="C128" s="109" t="s">
        <v>64</v>
      </c>
      <c r="D128" s="108" t="s">
        <v>11</v>
      </c>
      <c r="E128" s="108" t="s">
        <v>51</v>
      </c>
      <c r="F128" s="108" t="s">
        <v>102</v>
      </c>
      <c r="G128" s="108" t="s">
        <v>9</v>
      </c>
      <c r="H128" s="126">
        <f>H129</f>
        <v>0</v>
      </c>
      <c r="L128" s="20">
        <v>790</v>
      </c>
      <c r="M128" s="20">
        <v>790</v>
      </c>
      <c r="N128" s="20">
        <v>790</v>
      </c>
      <c r="O128" s="20">
        <f>H128-L128</f>
        <v>-790</v>
      </c>
      <c r="P128" s="20" t="e">
        <f>#REF!-M128</f>
        <v>#REF!</v>
      </c>
      <c r="Q128" s="20" t="e">
        <f>#REF!-N128</f>
        <v>#REF!</v>
      </c>
      <c r="R128" s="17" t="str">
        <f t="shared" si="9"/>
        <v>12 2 03 20090000</v>
      </c>
    </row>
    <row r="129" spans="1:18" s="16" customFormat="1" ht="31.5">
      <c r="A129" s="14"/>
      <c r="B129" s="125" t="s">
        <v>28</v>
      </c>
      <c r="C129" s="109" t="s">
        <v>64</v>
      </c>
      <c r="D129" s="108" t="s">
        <v>11</v>
      </c>
      <c r="E129" s="108" t="s">
        <v>51</v>
      </c>
      <c r="F129" s="108" t="s">
        <v>102</v>
      </c>
      <c r="G129" s="108" t="s">
        <v>29</v>
      </c>
      <c r="H129" s="126">
        <f>H130</f>
        <v>0</v>
      </c>
      <c r="L129" s="20">
        <v>790</v>
      </c>
      <c r="M129" s="20">
        <v>790</v>
      </c>
      <c r="N129" s="20">
        <v>790</v>
      </c>
      <c r="O129" s="20">
        <f>H129-L129</f>
        <v>-790</v>
      </c>
      <c r="P129" s="20" t="e">
        <f>#REF!-M129</f>
        <v>#REF!</v>
      </c>
      <c r="Q129" s="20" t="e">
        <f>#REF!-N129</f>
        <v>#REF!</v>
      </c>
      <c r="R129" s="17" t="str">
        <f t="shared" si="9"/>
        <v>12 2 03 20090240</v>
      </c>
    </row>
    <row r="130" spans="1:18" s="16" customFormat="1" ht="15.75">
      <c r="A130" s="14"/>
      <c r="B130" s="125" t="s">
        <v>30</v>
      </c>
      <c r="C130" s="109" t="s">
        <v>64</v>
      </c>
      <c r="D130" s="108" t="s">
        <v>11</v>
      </c>
      <c r="E130" s="108" t="s">
        <v>51</v>
      </c>
      <c r="F130" s="108" t="s">
        <v>102</v>
      </c>
      <c r="G130" s="108" t="s">
        <v>31</v>
      </c>
      <c r="H130" s="126"/>
      <c r="L130" s="20"/>
      <c r="M130" s="20"/>
      <c r="N130" s="20"/>
      <c r="O130" s="20"/>
      <c r="P130" s="20"/>
      <c r="Q130" s="20"/>
      <c r="R130" s="17" t="str">
        <f t="shared" si="9"/>
        <v>12 2 03 20090244</v>
      </c>
    </row>
    <row r="131" spans="1:18" s="16" customFormat="1" ht="47.25">
      <c r="A131" s="14"/>
      <c r="B131" s="129" t="s">
        <v>103</v>
      </c>
      <c r="C131" s="109" t="s">
        <v>64</v>
      </c>
      <c r="D131" s="108" t="s">
        <v>11</v>
      </c>
      <c r="E131" s="108" t="s">
        <v>51</v>
      </c>
      <c r="F131" s="108" t="s">
        <v>104</v>
      </c>
      <c r="G131" s="108" t="s">
        <v>9</v>
      </c>
      <c r="H131" s="126">
        <f>H132</f>
        <v>0</v>
      </c>
      <c r="L131" s="20">
        <v>100</v>
      </c>
      <c r="M131" s="20">
        <v>100</v>
      </c>
      <c r="N131" s="20">
        <v>100</v>
      </c>
      <c r="O131" s="20">
        <f>H131-L131</f>
        <v>-100</v>
      </c>
      <c r="P131" s="20" t="e">
        <f>#REF!-M131</f>
        <v>#REF!</v>
      </c>
      <c r="Q131" s="20" t="e">
        <f>#REF!-N131</f>
        <v>#REF!</v>
      </c>
      <c r="R131" s="17" t="str">
        <f t="shared" si="9"/>
        <v>13 0 00 00000000</v>
      </c>
    </row>
    <row r="132" spans="1:18" s="16" customFormat="1" ht="47.25">
      <c r="A132" s="14"/>
      <c r="B132" s="125" t="s">
        <v>105</v>
      </c>
      <c r="C132" s="109" t="s">
        <v>64</v>
      </c>
      <c r="D132" s="108" t="s">
        <v>11</v>
      </c>
      <c r="E132" s="108" t="s">
        <v>51</v>
      </c>
      <c r="F132" s="108" t="s">
        <v>106</v>
      </c>
      <c r="G132" s="108" t="s">
        <v>9</v>
      </c>
      <c r="H132" s="126">
        <f>H133</f>
        <v>0</v>
      </c>
      <c r="L132" s="20">
        <v>100</v>
      </c>
      <c r="M132" s="20">
        <v>100</v>
      </c>
      <c r="N132" s="20">
        <v>100</v>
      </c>
      <c r="O132" s="20">
        <f>H132-L132</f>
        <v>-100</v>
      </c>
      <c r="P132" s="20" t="e">
        <f>#REF!-M132</f>
        <v>#REF!</v>
      </c>
      <c r="Q132" s="20" t="e">
        <f>#REF!-N132</f>
        <v>#REF!</v>
      </c>
      <c r="R132" s="17" t="str">
        <f t="shared" si="9"/>
        <v>13 2 00 00000000</v>
      </c>
    </row>
    <row r="133" spans="1:18" s="16" customFormat="1" ht="31.5">
      <c r="A133" s="14"/>
      <c r="B133" s="129" t="s">
        <v>107</v>
      </c>
      <c r="C133" s="109" t="s">
        <v>64</v>
      </c>
      <c r="D133" s="108" t="s">
        <v>11</v>
      </c>
      <c r="E133" s="108" t="s">
        <v>51</v>
      </c>
      <c r="F133" s="108" t="s">
        <v>108</v>
      </c>
      <c r="G133" s="108" t="s">
        <v>9</v>
      </c>
      <c r="H133" s="126">
        <f>H134</f>
        <v>0</v>
      </c>
      <c r="L133" s="20">
        <v>100</v>
      </c>
      <c r="M133" s="20">
        <v>100</v>
      </c>
      <c r="N133" s="20">
        <v>100</v>
      </c>
      <c r="O133" s="20">
        <f>H133-L133</f>
        <v>-100</v>
      </c>
      <c r="P133" s="20" t="e">
        <f>#REF!-M133</f>
        <v>#REF!</v>
      </c>
      <c r="Q133" s="20" t="e">
        <f>#REF!-N133</f>
        <v>#REF!</v>
      </c>
      <c r="R133" s="17" t="str">
        <f t="shared" si="9"/>
        <v>13 2 01 00000000</v>
      </c>
    </row>
    <row r="134" spans="1:18" s="16" customFormat="1" ht="47.25">
      <c r="A134" s="14"/>
      <c r="B134" s="129" t="s">
        <v>109</v>
      </c>
      <c r="C134" s="109" t="s">
        <v>64</v>
      </c>
      <c r="D134" s="108" t="s">
        <v>11</v>
      </c>
      <c r="E134" s="108" t="s">
        <v>51</v>
      </c>
      <c r="F134" s="108" t="s">
        <v>110</v>
      </c>
      <c r="G134" s="108" t="s">
        <v>9</v>
      </c>
      <c r="H134" s="126">
        <f>H135</f>
        <v>0</v>
      </c>
      <c r="L134" s="20">
        <v>100</v>
      </c>
      <c r="M134" s="20">
        <v>100</v>
      </c>
      <c r="N134" s="20">
        <v>100</v>
      </c>
      <c r="O134" s="20">
        <f>H134-L134</f>
        <v>-100</v>
      </c>
      <c r="P134" s="20" t="e">
        <f>#REF!-M134</f>
        <v>#REF!</v>
      </c>
      <c r="Q134" s="20" t="e">
        <f>#REF!-N134</f>
        <v>#REF!</v>
      </c>
      <c r="R134" s="17" t="str">
        <f t="shared" si="9"/>
        <v>13 2 01 20620000</v>
      </c>
    </row>
    <row r="135" spans="1:18" s="16" customFormat="1" ht="31.5">
      <c r="A135" s="14"/>
      <c r="B135" s="125" t="s">
        <v>28</v>
      </c>
      <c r="C135" s="109" t="s">
        <v>64</v>
      </c>
      <c r="D135" s="108" t="s">
        <v>11</v>
      </c>
      <c r="E135" s="108" t="s">
        <v>51</v>
      </c>
      <c r="F135" s="108" t="s">
        <v>110</v>
      </c>
      <c r="G135" s="108" t="s">
        <v>29</v>
      </c>
      <c r="H135" s="126">
        <f>H136</f>
        <v>0</v>
      </c>
      <c r="L135" s="20">
        <v>100</v>
      </c>
      <c r="M135" s="20">
        <v>100</v>
      </c>
      <c r="N135" s="20">
        <v>100</v>
      </c>
      <c r="O135" s="20">
        <f>H135-L135</f>
        <v>-100</v>
      </c>
      <c r="P135" s="20" t="e">
        <f>#REF!-M135</f>
        <v>#REF!</v>
      </c>
      <c r="Q135" s="20" t="e">
        <f>#REF!-N135</f>
        <v>#REF!</v>
      </c>
      <c r="R135" s="17" t="str">
        <f t="shared" si="9"/>
        <v>13 2 01 20620240</v>
      </c>
    </row>
    <row r="136" spans="1:18" s="16" customFormat="1" ht="15.75">
      <c r="A136" s="14"/>
      <c r="B136" s="125" t="s">
        <v>30</v>
      </c>
      <c r="C136" s="109" t="s">
        <v>64</v>
      </c>
      <c r="D136" s="108" t="s">
        <v>11</v>
      </c>
      <c r="E136" s="108" t="s">
        <v>51</v>
      </c>
      <c r="F136" s="108" t="s">
        <v>110</v>
      </c>
      <c r="G136" s="108" t="s">
        <v>31</v>
      </c>
      <c r="H136" s="126"/>
      <c r="L136" s="20"/>
      <c r="M136" s="20"/>
      <c r="N136" s="20"/>
      <c r="O136" s="20"/>
      <c r="P136" s="20"/>
      <c r="Q136" s="20"/>
      <c r="R136" s="17" t="str">
        <f t="shared" si="9"/>
        <v>13 2 01 20620244</v>
      </c>
    </row>
    <row r="137" spans="1:18" s="16" customFormat="1" ht="63">
      <c r="A137" s="14"/>
      <c r="B137" s="129" t="s">
        <v>111</v>
      </c>
      <c r="C137" s="109" t="s">
        <v>64</v>
      </c>
      <c r="D137" s="108" t="s">
        <v>11</v>
      </c>
      <c r="E137" s="108" t="s">
        <v>51</v>
      </c>
      <c r="F137" s="108" t="s">
        <v>112</v>
      </c>
      <c r="G137" s="108" t="s">
        <v>9</v>
      </c>
      <c r="H137" s="126">
        <f>H138+H147</f>
        <v>0</v>
      </c>
      <c r="L137" s="20">
        <v>95957.5</v>
      </c>
      <c r="M137" s="20">
        <v>85824.690000000017</v>
      </c>
      <c r="N137" s="20">
        <v>85824.690000000017</v>
      </c>
      <c r="O137" s="20">
        <f>H137-L137</f>
        <v>-95957.5</v>
      </c>
      <c r="P137" s="20" t="e">
        <f>#REF!-M137</f>
        <v>#REF!</v>
      </c>
      <c r="Q137" s="20" t="e">
        <f>#REF!-N137</f>
        <v>#REF!</v>
      </c>
      <c r="R137" s="17" t="str">
        <f t="shared" si="9"/>
        <v>14 0 00 00000000</v>
      </c>
    </row>
    <row r="138" spans="1:18" s="16" customFormat="1" ht="31.5">
      <c r="A138" s="14"/>
      <c r="B138" s="129" t="s">
        <v>113</v>
      </c>
      <c r="C138" s="109" t="s">
        <v>64</v>
      </c>
      <c r="D138" s="108" t="s">
        <v>11</v>
      </c>
      <c r="E138" s="108" t="s">
        <v>51</v>
      </c>
      <c r="F138" s="108" t="s">
        <v>114</v>
      </c>
      <c r="G138" s="108" t="s">
        <v>9</v>
      </c>
      <c r="H138" s="126">
        <f>H139+H143</f>
        <v>0</v>
      </c>
      <c r="L138" s="20">
        <v>21574.29</v>
      </c>
      <c r="M138" s="20">
        <v>12061.880000000001</v>
      </c>
      <c r="N138" s="20">
        <v>12061.880000000001</v>
      </c>
      <c r="O138" s="20">
        <f>H138-L138</f>
        <v>-21574.29</v>
      </c>
      <c r="P138" s="20" t="e">
        <f>#REF!-M138</f>
        <v>#REF!</v>
      </c>
      <c r="Q138" s="20" t="e">
        <f>#REF!-N138</f>
        <v>#REF!</v>
      </c>
      <c r="R138" s="17" t="str">
        <f t="shared" si="9"/>
        <v>14 1 00 00000000</v>
      </c>
    </row>
    <row r="139" spans="1:18" s="16" customFormat="1" ht="47.25">
      <c r="A139" s="14"/>
      <c r="B139" s="129" t="s">
        <v>115</v>
      </c>
      <c r="C139" s="109" t="s">
        <v>64</v>
      </c>
      <c r="D139" s="108" t="s">
        <v>11</v>
      </c>
      <c r="E139" s="108" t="s">
        <v>51</v>
      </c>
      <c r="F139" s="108" t="s">
        <v>116</v>
      </c>
      <c r="G139" s="108" t="s">
        <v>9</v>
      </c>
      <c r="H139" s="126">
        <f>H140</f>
        <v>0</v>
      </c>
      <c r="L139" s="20">
        <v>15750.150000000001</v>
      </c>
      <c r="M139" s="20">
        <v>8250.85</v>
      </c>
      <c r="N139" s="20">
        <v>8250.85</v>
      </c>
      <c r="O139" s="20">
        <f>H139-L139</f>
        <v>-15750.150000000001</v>
      </c>
      <c r="P139" s="20" t="e">
        <f>#REF!-M139</f>
        <v>#REF!</v>
      </c>
      <c r="Q139" s="20" t="e">
        <f>#REF!-N139</f>
        <v>#REF!</v>
      </c>
      <c r="R139" s="17" t="str">
        <f t="shared" si="9"/>
        <v>14 1 01 00000000</v>
      </c>
    </row>
    <row r="140" spans="1:18" s="16" customFormat="1" ht="31.5">
      <c r="A140" s="14"/>
      <c r="B140" s="129" t="s">
        <v>117</v>
      </c>
      <c r="C140" s="109" t="s">
        <v>64</v>
      </c>
      <c r="D140" s="108" t="s">
        <v>11</v>
      </c>
      <c r="E140" s="108" t="s">
        <v>51</v>
      </c>
      <c r="F140" s="108" t="s">
        <v>118</v>
      </c>
      <c r="G140" s="108" t="s">
        <v>9</v>
      </c>
      <c r="H140" s="126">
        <f t="shared" ref="H140" si="12">H141</f>
        <v>0</v>
      </c>
      <c r="L140" s="20">
        <v>15750.150000000001</v>
      </c>
      <c r="M140" s="20">
        <v>8250.85</v>
      </c>
      <c r="N140" s="20">
        <v>8250.85</v>
      </c>
      <c r="O140" s="20">
        <f>H140-L140</f>
        <v>-15750.150000000001</v>
      </c>
      <c r="P140" s="20" t="e">
        <f>#REF!-M140</f>
        <v>#REF!</v>
      </c>
      <c r="Q140" s="20" t="e">
        <f>#REF!-N140</f>
        <v>#REF!</v>
      </c>
      <c r="R140" s="17" t="str">
        <f t="shared" si="9"/>
        <v>14 1 01 20630000</v>
      </c>
    </row>
    <row r="141" spans="1:18" s="16" customFormat="1" ht="31.5">
      <c r="A141" s="14"/>
      <c r="B141" s="125" t="s">
        <v>28</v>
      </c>
      <c r="C141" s="109" t="s">
        <v>64</v>
      </c>
      <c r="D141" s="108" t="s">
        <v>11</v>
      </c>
      <c r="E141" s="108" t="s">
        <v>51</v>
      </c>
      <c r="F141" s="108" t="s">
        <v>118</v>
      </c>
      <c r="G141" s="108" t="s">
        <v>29</v>
      </c>
      <c r="H141" s="126">
        <f>H142</f>
        <v>0</v>
      </c>
      <c r="L141" s="20">
        <v>15750.150000000001</v>
      </c>
      <c r="M141" s="20">
        <v>8250.85</v>
      </c>
      <c r="N141" s="20">
        <v>8250.85</v>
      </c>
      <c r="O141" s="20">
        <f>H141-L141</f>
        <v>-15750.150000000001</v>
      </c>
      <c r="P141" s="20" t="e">
        <f>#REF!-M141</f>
        <v>#REF!</v>
      </c>
      <c r="Q141" s="20" t="e">
        <f>#REF!-N141</f>
        <v>#REF!</v>
      </c>
      <c r="R141" s="17" t="str">
        <f t="shared" si="9"/>
        <v>14 1 01 20630240</v>
      </c>
    </row>
    <row r="142" spans="1:18" s="16" customFormat="1" ht="15.75">
      <c r="A142" s="14"/>
      <c r="B142" s="125" t="s">
        <v>30</v>
      </c>
      <c r="C142" s="109" t="s">
        <v>64</v>
      </c>
      <c r="D142" s="108" t="s">
        <v>11</v>
      </c>
      <c r="E142" s="108" t="s">
        <v>51</v>
      </c>
      <c r="F142" s="108" t="s">
        <v>118</v>
      </c>
      <c r="G142" s="108" t="s">
        <v>31</v>
      </c>
      <c r="H142" s="126"/>
      <c r="L142" s="20"/>
      <c r="M142" s="20"/>
      <c r="N142" s="20"/>
      <c r="O142" s="20"/>
      <c r="P142" s="20"/>
      <c r="Q142" s="20"/>
      <c r="R142" s="17" t="str">
        <f t="shared" si="9"/>
        <v>14 1 01 20630244</v>
      </c>
    </row>
    <row r="143" spans="1:18" s="16" customFormat="1" ht="63">
      <c r="A143" s="14"/>
      <c r="B143" s="129" t="s">
        <v>119</v>
      </c>
      <c r="C143" s="109" t="s">
        <v>64</v>
      </c>
      <c r="D143" s="108" t="s">
        <v>11</v>
      </c>
      <c r="E143" s="108" t="s">
        <v>51</v>
      </c>
      <c r="F143" s="108" t="s">
        <v>120</v>
      </c>
      <c r="G143" s="108" t="s">
        <v>9</v>
      </c>
      <c r="H143" s="126">
        <f t="shared" ref="H143:H144" si="13">H144</f>
        <v>0</v>
      </c>
      <c r="L143" s="20">
        <v>5824.1400000000012</v>
      </c>
      <c r="M143" s="20">
        <v>3811.03</v>
      </c>
      <c r="N143" s="20">
        <v>3811.03</v>
      </c>
      <c r="O143" s="20">
        <f>H143-L143</f>
        <v>-5824.1400000000012</v>
      </c>
      <c r="P143" s="20" t="e">
        <f>#REF!-M143</f>
        <v>#REF!</v>
      </c>
      <c r="Q143" s="20" t="e">
        <f>#REF!-N143</f>
        <v>#REF!</v>
      </c>
      <c r="R143" s="17" t="str">
        <f t="shared" si="9"/>
        <v>14 1 02 00000000</v>
      </c>
    </row>
    <row r="144" spans="1:18" s="16" customFormat="1" ht="31.5">
      <c r="A144" s="14"/>
      <c r="B144" s="129" t="s">
        <v>117</v>
      </c>
      <c r="C144" s="109" t="s">
        <v>64</v>
      </c>
      <c r="D144" s="108" t="s">
        <v>11</v>
      </c>
      <c r="E144" s="108" t="s">
        <v>51</v>
      </c>
      <c r="F144" s="108" t="s">
        <v>121</v>
      </c>
      <c r="G144" s="108" t="s">
        <v>9</v>
      </c>
      <c r="H144" s="126">
        <f t="shared" si="13"/>
        <v>0</v>
      </c>
      <c r="L144" s="20">
        <v>5824.1400000000012</v>
      </c>
      <c r="M144" s="20">
        <v>3811.03</v>
      </c>
      <c r="N144" s="20">
        <v>3811.03</v>
      </c>
      <c r="O144" s="20">
        <f>H144-L144</f>
        <v>-5824.1400000000012</v>
      </c>
      <c r="P144" s="20" t="e">
        <f>#REF!-M144</f>
        <v>#REF!</v>
      </c>
      <c r="Q144" s="20" t="e">
        <f>#REF!-N144</f>
        <v>#REF!</v>
      </c>
      <c r="R144" s="17" t="str">
        <f t="shared" si="9"/>
        <v>14 1 02 20630000</v>
      </c>
    </row>
    <row r="145" spans="1:18" s="16" customFormat="1" ht="31.5">
      <c r="A145" s="14"/>
      <c r="B145" s="125" t="s">
        <v>28</v>
      </c>
      <c r="C145" s="109" t="s">
        <v>64</v>
      </c>
      <c r="D145" s="108" t="s">
        <v>11</v>
      </c>
      <c r="E145" s="108" t="s">
        <v>51</v>
      </c>
      <c r="F145" s="108" t="s">
        <v>121</v>
      </c>
      <c r="G145" s="108" t="s">
        <v>29</v>
      </c>
      <c r="H145" s="126">
        <f>H146</f>
        <v>0</v>
      </c>
      <c r="L145" s="20">
        <v>5824.1400000000012</v>
      </c>
      <c r="M145" s="20">
        <v>3811.03</v>
      </c>
      <c r="N145" s="20">
        <v>3811.03</v>
      </c>
      <c r="O145" s="20">
        <f>H145-L145</f>
        <v>-5824.1400000000012</v>
      </c>
      <c r="P145" s="20" t="e">
        <f>#REF!-M145</f>
        <v>#REF!</v>
      </c>
      <c r="Q145" s="20" t="e">
        <f>#REF!-N145</f>
        <v>#REF!</v>
      </c>
      <c r="R145" s="17" t="str">
        <f t="shared" si="9"/>
        <v>14 1 02 20630240</v>
      </c>
    </row>
    <row r="146" spans="1:18" s="16" customFormat="1" ht="15.75">
      <c r="A146" s="14"/>
      <c r="B146" s="125" t="s">
        <v>30</v>
      </c>
      <c r="C146" s="109" t="s">
        <v>64</v>
      </c>
      <c r="D146" s="108" t="s">
        <v>11</v>
      </c>
      <c r="E146" s="108" t="s">
        <v>51</v>
      </c>
      <c r="F146" s="108" t="s">
        <v>121</v>
      </c>
      <c r="G146" s="108" t="s">
        <v>31</v>
      </c>
      <c r="H146" s="126"/>
      <c r="L146" s="20"/>
      <c r="M146" s="20"/>
      <c r="N146" s="20"/>
      <c r="O146" s="20"/>
      <c r="P146" s="20"/>
      <c r="Q146" s="20"/>
      <c r="R146" s="17"/>
    </row>
    <row r="147" spans="1:18" s="16" customFormat="1" ht="47.25">
      <c r="A147" s="14"/>
      <c r="B147" s="129" t="s">
        <v>122</v>
      </c>
      <c r="C147" s="109" t="s">
        <v>64</v>
      </c>
      <c r="D147" s="108" t="s">
        <v>11</v>
      </c>
      <c r="E147" s="108" t="s">
        <v>51</v>
      </c>
      <c r="F147" s="108" t="s">
        <v>123</v>
      </c>
      <c r="G147" s="108" t="s">
        <v>9</v>
      </c>
      <c r="H147" s="126">
        <f>H148+H152+H160+H156</f>
        <v>0</v>
      </c>
      <c r="L147" s="20">
        <v>74383.210000000006</v>
      </c>
      <c r="M147" s="20">
        <v>73762.810000000012</v>
      </c>
      <c r="N147" s="20">
        <v>73762.810000000012</v>
      </c>
      <c r="O147" s="20">
        <f>H147-L147</f>
        <v>-74383.210000000006</v>
      </c>
      <c r="P147" s="20" t="e">
        <f>#REF!-M147</f>
        <v>#REF!</v>
      </c>
      <c r="Q147" s="20" t="e">
        <f>#REF!-N147</f>
        <v>#REF!</v>
      </c>
      <c r="R147" s="17" t="str">
        <f t="shared" si="9"/>
        <v>14 2 00 00000000</v>
      </c>
    </row>
    <row r="148" spans="1:18" s="16" customFormat="1" ht="47.25">
      <c r="A148" s="14"/>
      <c r="B148" s="129" t="s">
        <v>124</v>
      </c>
      <c r="C148" s="109" t="s">
        <v>64</v>
      </c>
      <c r="D148" s="108" t="s">
        <v>11</v>
      </c>
      <c r="E148" s="108" t="s">
        <v>51</v>
      </c>
      <c r="F148" s="108" t="s">
        <v>125</v>
      </c>
      <c r="G148" s="108" t="s">
        <v>9</v>
      </c>
      <c r="H148" s="126">
        <f t="shared" ref="H148:H149" si="14">H149</f>
        <v>0</v>
      </c>
      <c r="L148" s="20">
        <v>450</v>
      </c>
      <c r="M148" s="20">
        <v>450</v>
      </c>
      <c r="N148" s="20">
        <v>450</v>
      </c>
      <c r="O148" s="20">
        <f>H148-L148</f>
        <v>-450</v>
      </c>
      <c r="P148" s="20" t="e">
        <f>#REF!-M148</f>
        <v>#REF!</v>
      </c>
      <c r="Q148" s="20" t="e">
        <f>#REF!-N148</f>
        <v>#REF!</v>
      </c>
      <c r="R148" s="17" t="str">
        <f t="shared" si="9"/>
        <v>14 2 01 00000000</v>
      </c>
    </row>
    <row r="149" spans="1:18" s="16" customFormat="1" ht="63">
      <c r="A149" s="14"/>
      <c r="B149" s="129" t="s">
        <v>126</v>
      </c>
      <c r="C149" s="109" t="s">
        <v>64</v>
      </c>
      <c r="D149" s="108" t="s">
        <v>11</v>
      </c>
      <c r="E149" s="108" t="s">
        <v>51</v>
      </c>
      <c r="F149" s="108" t="s">
        <v>127</v>
      </c>
      <c r="G149" s="108" t="s">
        <v>9</v>
      </c>
      <c r="H149" s="126">
        <f t="shared" si="14"/>
        <v>0</v>
      </c>
      <c r="L149" s="20">
        <v>450</v>
      </c>
      <c r="M149" s="20">
        <v>450</v>
      </c>
      <c r="N149" s="20">
        <v>450</v>
      </c>
      <c r="O149" s="20">
        <f>H149-L149</f>
        <v>-450</v>
      </c>
      <c r="P149" s="20" t="e">
        <f>#REF!-M149</f>
        <v>#REF!</v>
      </c>
      <c r="Q149" s="20" t="e">
        <f>#REF!-N149</f>
        <v>#REF!</v>
      </c>
      <c r="R149" s="17" t="str">
        <f t="shared" si="9"/>
        <v>14 2 01 20710000</v>
      </c>
    </row>
    <row r="150" spans="1:18" s="16" customFormat="1" ht="31.5">
      <c r="A150" s="14"/>
      <c r="B150" s="125" t="s">
        <v>28</v>
      </c>
      <c r="C150" s="109" t="s">
        <v>64</v>
      </c>
      <c r="D150" s="108" t="s">
        <v>11</v>
      </c>
      <c r="E150" s="108" t="s">
        <v>51</v>
      </c>
      <c r="F150" s="108" t="s">
        <v>127</v>
      </c>
      <c r="G150" s="108" t="s">
        <v>29</v>
      </c>
      <c r="H150" s="126">
        <f>H151</f>
        <v>0</v>
      </c>
      <c r="L150" s="20">
        <v>450</v>
      </c>
      <c r="M150" s="20">
        <v>450</v>
      </c>
      <c r="N150" s="20">
        <v>450</v>
      </c>
      <c r="O150" s="20">
        <f>H150-L150</f>
        <v>-450</v>
      </c>
      <c r="P150" s="20" t="e">
        <f>#REF!-M150</f>
        <v>#REF!</v>
      </c>
      <c r="Q150" s="20" t="e">
        <f>#REF!-N150</f>
        <v>#REF!</v>
      </c>
      <c r="R150" s="17" t="str">
        <f t="shared" si="9"/>
        <v>14 2 01 20710240</v>
      </c>
    </row>
    <row r="151" spans="1:18" s="16" customFormat="1" ht="15.75">
      <c r="A151" s="14"/>
      <c r="B151" s="125" t="s">
        <v>30</v>
      </c>
      <c r="C151" s="109" t="s">
        <v>64</v>
      </c>
      <c r="D151" s="108" t="s">
        <v>11</v>
      </c>
      <c r="E151" s="108" t="s">
        <v>51</v>
      </c>
      <c r="F151" s="108" t="s">
        <v>127</v>
      </c>
      <c r="G151" s="108" t="s">
        <v>31</v>
      </c>
      <c r="H151" s="126"/>
      <c r="L151" s="20"/>
      <c r="M151" s="20"/>
      <c r="N151" s="20"/>
      <c r="O151" s="20"/>
      <c r="P151" s="20"/>
      <c r="Q151" s="20"/>
      <c r="R151" s="17" t="str">
        <f t="shared" si="9"/>
        <v>14 2 01 20710244</v>
      </c>
    </row>
    <row r="152" spans="1:18" s="16" customFormat="1" ht="78.75">
      <c r="A152" s="14"/>
      <c r="B152" s="129" t="s">
        <v>128</v>
      </c>
      <c r="C152" s="109" t="s">
        <v>64</v>
      </c>
      <c r="D152" s="108" t="s">
        <v>11</v>
      </c>
      <c r="E152" s="108" t="s">
        <v>51</v>
      </c>
      <c r="F152" s="108" t="s">
        <v>129</v>
      </c>
      <c r="G152" s="108" t="s">
        <v>9</v>
      </c>
      <c r="H152" s="126">
        <f t="shared" ref="H152:H153" si="15">H153</f>
        <v>0</v>
      </c>
      <c r="L152" s="20">
        <v>76.5</v>
      </c>
      <c r="M152" s="20">
        <v>76.5</v>
      </c>
      <c r="N152" s="20">
        <v>76.5</v>
      </c>
      <c r="O152" s="20">
        <f>H152-L152</f>
        <v>-76.5</v>
      </c>
      <c r="P152" s="20" t="e">
        <f>#REF!-M152</f>
        <v>#REF!</v>
      </c>
      <c r="Q152" s="20" t="e">
        <f>#REF!-N152</f>
        <v>#REF!</v>
      </c>
      <c r="R152" s="17" t="str">
        <f t="shared" si="9"/>
        <v>14 2 02 00000000</v>
      </c>
    </row>
    <row r="153" spans="1:18" s="16" customFormat="1" ht="63">
      <c r="A153" s="14"/>
      <c r="B153" s="129" t="s">
        <v>126</v>
      </c>
      <c r="C153" s="109" t="s">
        <v>64</v>
      </c>
      <c r="D153" s="108" t="s">
        <v>11</v>
      </c>
      <c r="E153" s="108" t="s">
        <v>51</v>
      </c>
      <c r="F153" s="108" t="s">
        <v>130</v>
      </c>
      <c r="G153" s="108" t="s">
        <v>9</v>
      </c>
      <c r="H153" s="126">
        <f t="shared" si="15"/>
        <v>0</v>
      </c>
      <c r="L153" s="20">
        <v>76.5</v>
      </c>
      <c r="M153" s="20">
        <v>76.5</v>
      </c>
      <c r="N153" s="20">
        <v>76.5</v>
      </c>
      <c r="O153" s="20">
        <f>H153-L153</f>
        <v>-76.5</v>
      </c>
      <c r="P153" s="20" t="e">
        <f>#REF!-M153</f>
        <v>#REF!</v>
      </c>
      <c r="Q153" s="20" t="e">
        <f>#REF!-N153</f>
        <v>#REF!</v>
      </c>
      <c r="R153" s="17" t="str">
        <f t="shared" si="9"/>
        <v>14 2 02 20710000</v>
      </c>
    </row>
    <row r="154" spans="1:18" s="16" customFormat="1" ht="31.5">
      <c r="A154" s="14"/>
      <c r="B154" s="125" t="s">
        <v>28</v>
      </c>
      <c r="C154" s="109" t="s">
        <v>64</v>
      </c>
      <c r="D154" s="108" t="s">
        <v>11</v>
      </c>
      <c r="E154" s="108" t="s">
        <v>51</v>
      </c>
      <c r="F154" s="108" t="s">
        <v>130</v>
      </c>
      <c r="G154" s="108" t="s">
        <v>29</v>
      </c>
      <c r="H154" s="126">
        <f>H155</f>
        <v>0</v>
      </c>
      <c r="L154" s="20">
        <v>76.5</v>
      </c>
      <c r="M154" s="20">
        <v>76.5</v>
      </c>
      <c r="N154" s="20">
        <v>76.5</v>
      </c>
      <c r="O154" s="20">
        <f>H154-L154</f>
        <v>-76.5</v>
      </c>
      <c r="P154" s="20" t="e">
        <f>#REF!-M154</f>
        <v>#REF!</v>
      </c>
      <c r="Q154" s="20" t="e">
        <f>#REF!-N154</f>
        <v>#REF!</v>
      </c>
      <c r="R154" s="17" t="str">
        <f t="shared" si="9"/>
        <v>14 2 02 20710240</v>
      </c>
    </row>
    <row r="155" spans="1:18" s="16" customFormat="1" ht="15.75">
      <c r="A155" s="14"/>
      <c r="B155" s="125" t="s">
        <v>30</v>
      </c>
      <c r="C155" s="109" t="s">
        <v>64</v>
      </c>
      <c r="D155" s="108" t="s">
        <v>11</v>
      </c>
      <c r="E155" s="108" t="s">
        <v>51</v>
      </c>
      <c r="F155" s="108" t="s">
        <v>130</v>
      </c>
      <c r="G155" s="108" t="s">
        <v>31</v>
      </c>
      <c r="H155" s="126"/>
      <c r="L155" s="20"/>
      <c r="M155" s="20"/>
      <c r="N155" s="20"/>
      <c r="O155" s="20"/>
      <c r="P155" s="20"/>
      <c r="Q155" s="20"/>
      <c r="R155" s="17" t="str">
        <f t="shared" si="9"/>
        <v>14 2 02 20710244</v>
      </c>
    </row>
    <row r="156" spans="1:18" s="16" customFormat="1" ht="78.75">
      <c r="A156" s="14"/>
      <c r="B156" s="129" t="s">
        <v>131</v>
      </c>
      <c r="C156" s="109" t="s">
        <v>64</v>
      </c>
      <c r="D156" s="108" t="s">
        <v>11</v>
      </c>
      <c r="E156" s="108" t="s">
        <v>51</v>
      </c>
      <c r="F156" s="108" t="s">
        <v>132</v>
      </c>
      <c r="G156" s="108" t="s">
        <v>9</v>
      </c>
      <c r="H156" s="126">
        <f>H157</f>
        <v>0</v>
      </c>
      <c r="L156" s="20">
        <v>76.5</v>
      </c>
      <c r="M156" s="20">
        <v>76.5</v>
      </c>
      <c r="N156" s="20">
        <v>76.5</v>
      </c>
      <c r="O156" s="20">
        <f>H156-L156</f>
        <v>-76.5</v>
      </c>
      <c r="P156" s="20" t="e">
        <f>#REF!-M156</f>
        <v>#REF!</v>
      </c>
      <c r="Q156" s="20" t="e">
        <f>#REF!-N156</f>
        <v>#REF!</v>
      </c>
      <c r="R156" s="17" t="str">
        <f t="shared" si="9"/>
        <v>14 2 03 00000000</v>
      </c>
    </row>
    <row r="157" spans="1:18" s="16" customFormat="1" ht="63">
      <c r="A157" s="14"/>
      <c r="B157" s="129" t="s">
        <v>126</v>
      </c>
      <c r="C157" s="109" t="s">
        <v>64</v>
      </c>
      <c r="D157" s="108" t="s">
        <v>11</v>
      </c>
      <c r="E157" s="108" t="s">
        <v>51</v>
      </c>
      <c r="F157" s="108" t="s">
        <v>133</v>
      </c>
      <c r="G157" s="108" t="s">
        <v>9</v>
      </c>
      <c r="H157" s="126">
        <f>H158</f>
        <v>0</v>
      </c>
      <c r="L157" s="20">
        <v>76.5</v>
      </c>
      <c r="M157" s="20">
        <v>76.5</v>
      </c>
      <c r="N157" s="20">
        <v>76.5</v>
      </c>
      <c r="O157" s="20">
        <f>H157-L157</f>
        <v>-76.5</v>
      </c>
      <c r="P157" s="20" t="e">
        <f>#REF!-M157</f>
        <v>#REF!</v>
      </c>
      <c r="Q157" s="20" t="e">
        <f>#REF!-N157</f>
        <v>#REF!</v>
      </c>
      <c r="R157" s="17" t="str">
        <f t="shared" si="9"/>
        <v>14 2 03 20710000</v>
      </c>
    </row>
    <row r="158" spans="1:18" s="16" customFormat="1" ht="31.5">
      <c r="A158" s="14"/>
      <c r="B158" s="125" t="s">
        <v>28</v>
      </c>
      <c r="C158" s="109" t="s">
        <v>64</v>
      </c>
      <c r="D158" s="108" t="s">
        <v>11</v>
      </c>
      <c r="E158" s="108" t="s">
        <v>51</v>
      </c>
      <c r="F158" s="108" t="s">
        <v>133</v>
      </c>
      <c r="G158" s="108" t="s">
        <v>29</v>
      </c>
      <c r="H158" s="126">
        <f>H159</f>
        <v>0</v>
      </c>
      <c r="L158" s="20">
        <v>76.5</v>
      </c>
      <c r="M158" s="20">
        <v>76.5</v>
      </c>
      <c r="N158" s="20">
        <v>76.5</v>
      </c>
      <c r="O158" s="20">
        <f>H158-L158</f>
        <v>-76.5</v>
      </c>
      <c r="P158" s="20" t="e">
        <f>#REF!-M158</f>
        <v>#REF!</v>
      </c>
      <c r="Q158" s="20" t="e">
        <f>#REF!-N158</f>
        <v>#REF!</v>
      </c>
      <c r="R158" s="17" t="str">
        <f t="shared" si="9"/>
        <v>14 2 03 20710240</v>
      </c>
    </row>
    <row r="159" spans="1:18" s="16" customFormat="1" ht="15.75">
      <c r="A159" s="14"/>
      <c r="B159" s="125" t="s">
        <v>30</v>
      </c>
      <c r="C159" s="109" t="s">
        <v>64</v>
      </c>
      <c r="D159" s="108" t="s">
        <v>11</v>
      </c>
      <c r="E159" s="108" t="s">
        <v>51</v>
      </c>
      <c r="F159" s="108" t="s">
        <v>133</v>
      </c>
      <c r="G159" s="108" t="s">
        <v>31</v>
      </c>
      <c r="H159" s="126"/>
      <c r="L159" s="20"/>
      <c r="M159" s="20"/>
      <c r="N159" s="20"/>
      <c r="O159" s="20"/>
      <c r="P159" s="20"/>
      <c r="Q159" s="20"/>
      <c r="R159" s="17" t="str">
        <f t="shared" si="9"/>
        <v>14 2 03 20710244</v>
      </c>
    </row>
    <row r="160" spans="1:18" s="16" customFormat="1" ht="63">
      <c r="A160" s="14"/>
      <c r="B160" s="125" t="s">
        <v>134</v>
      </c>
      <c r="C160" s="109" t="s">
        <v>64</v>
      </c>
      <c r="D160" s="108" t="s">
        <v>11</v>
      </c>
      <c r="E160" s="108" t="s">
        <v>51</v>
      </c>
      <c r="F160" s="108" t="s">
        <v>135</v>
      </c>
      <c r="G160" s="108" t="s">
        <v>9</v>
      </c>
      <c r="H160" s="126">
        <f>H161</f>
        <v>0</v>
      </c>
      <c r="L160" s="20">
        <v>73780.210000000006</v>
      </c>
      <c r="M160" s="20">
        <v>73159.810000000012</v>
      </c>
      <c r="N160" s="20">
        <v>73159.810000000012</v>
      </c>
      <c r="O160" s="20">
        <f>H160-L160</f>
        <v>-73780.210000000006</v>
      </c>
      <c r="P160" s="20" t="e">
        <f>#REF!-M160</f>
        <v>#REF!</v>
      </c>
      <c r="Q160" s="20" t="e">
        <f>#REF!-N160</f>
        <v>#REF!</v>
      </c>
      <c r="R160" s="17" t="str">
        <f t="shared" si="9"/>
        <v>14 2 04 00000000</v>
      </c>
    </row>
    <row r="161" spans="1:18" s="16" customFormat="1" ht="31.5">
      <c r="A161" s="14"/>
      <c r="B161" s="125" t="s">
        <v>136</v>
      </c>
      <c r="C161" s="109" t="s">
        <v>64</v>
      </c>
      <c r="D161" s="108" t="s">
        <v>11</v>
      </c>
      <c r="E161" s="108" t="s">
        <v>51</v>
      </c>
      <c r="F161" s="108" t="s">
        <v>137</v>
      </c>
      <c r="G161" s="108" t="s">
        <v>9</v>
      </c>
      <c r="H161" s="126">
        <f>H162+H166+H168</f>
        <v>0</v>
      </c>
      <c r="L161" s="20">
        <v>73780.210000000006</v>
      </c>
      <c r="M161" s="20">
        <v>73159.810000000012</v>
      </c>
      <c r="N161" s="20">
        <v>73159.810000000012</v>
      </c>
      <c r="O161" s="20">
        <f>H161-L161</f>
        <v>-73780.210000000006</v>
      </c>
      <c r="P161" s="20" t="e">
        <f>#REF!-M161</f>
        <v>#REF!</v>
      </c>
      <c r="Q161" s="20" t="e">
        <f>#REF!-N161</f>
        <v>#REF!</v>
      </c>
      <c r="R161" s="17" t="str">
        <f t="shared" si="9"/>
        <v>14 2 04 11010000</v>
      </c>
    </row>
    <row r="162" spans="1:18" s="16" customFormat="1" ht="15.75">
      <c r="A162" s="14"/>
      <c r="B162" s="132" t="s">
        <v>138</v>
      </c>
      <c r="C162" s="109" t="s">
        <v>64</v>
      </c>
      <c r="D162" s="108" t="s">
        <v>11</v>
      </c>
      <c r="E162" s="108" t="s">
        <v>51</v>
      </c>
      <c r="F162" s="108" t="s">
        <v>137</v>
      </c>
      <c r="G162" s="108" t="s">
        <v>139</v>
      </c>
      <c r="H162" s="126">
        <f>SUM(H163:H165)</f>
        <v>0</v>
      </c>
      <c r="L162" s="20">
        <v>60027.510000000009</v>
      </c>
      <c r="M162" s="20">
        <v>60027.510000000009</v>
      </c>
      <c r="N162" s="20">
        <v>60027.510000000009</v>
      </c>
      <c r="O162" s="20">
        <f>H162-L162</f>
        <v>-60027.510000000009</v>
      </c>
      <c r="P162" s="20" t="e">
        <f>#REF!-M162</f>
        <v>#REF!</v>
      </c>
      <c r="Q162" s="20" t="e">
        <f>#REF!-N162</f>
        <v>#REF!</v>
      </c>
      <c r="R162" s="17" t="str">
        <f t="shared" si="9"/>
        <v>14 2 04 11010110</v>
      </c>
    </row>
    <row r="163" spans="1:18" s="23" customFormat="1" ht="15.75">
      <c r="A163" s="21"/>
      <c r="B163" s="127" t="s">
        <v>140</v>
      </c>
      <c r="C163" s="109" t="s">
        <v>64</v>
      </c>
      <c r="D163" s="108" t="s">
        <v>11</v>
      </c>
      <c r="E163" s="108" t="s">
        <v>51</v>
      </c>
      <c r="F163" s="108" t="s">
        <v>137</v>
      </c>
      <c r="G163" s="108" t="s">
        <v>141</v>
      </c>
      <c r="H163" s="126"/>
      <c r="L163" s="22"/>
      <c r="M163" s="22"/>
      <c r="N163" s="22"/>
      <c r="O163" s="22"/>
      <c r="P163" s="22"/>
      <c r="Q163" s="22"/>
      <c r="R163" s="24"/>
    </row>
    <row r="164" spans="1:18" s="23" customFormat="1" ht="31.5">
      <c r="A164" s="21"/>
      <c r="B164" s="127" t="s">
        <v>142</v>
      </c>
      <c r="C164" s="109" t="s">
        <v>64</v>
      </c>
      <c r="D164" s="108" t="s">
        <v>11</v>
      </c>
      <c r="E164" s="108" t="s">
        <v>51</v>
      </c>
      <c r="F164" s="108" t="s">
        <v>137</v>
      </c>
      <c r="G164" s="108" t="s">
        <v>143</v>
      </c>
      <c r="H164" s="126"/>
      <c r="L164" s="22"/>
      <c r="M164" s="22"/>
      <c r="N164" s="22"/>
      <c r="O164" s="22"/>
      <c r="P164" s="22"/>
      <c r="Q164" s="22"/>
      <c r="R164" s="24"/>
    </row>
    <row r="165" spans="1:18" s="23" customFormat="1" ht="63">
      <c r="A165" s="21"/>
      <c r="B165" s="127" t="s">
        <v>144</v>
      </c>
      <c r="C165" s="109" t="s">
        <v>64</v>
      </c>
      <c r="D165" s="108" t="s">
        <v>11</v>
      </c>
      <c r="E165" s="108" t="s">
        <v>51</v>
      </c>
      <c r="F165" s="108" t="s">
        <v>137</v>
      </c>
      <c r="G165" s="108" t="s">
        <v>145</v>
      </c>
      <c r="H165" s="126"/>
      <c r="L165" s="22"/>
      <c r="M165" s="22"/>
      <c r="N165" s="22"/>
      <c r="O165" s="22"/>
      <c r="P165" s="22"/>
      <c r="Q165" s="22"/>
      <c r="R165" s="24"/>
    </row>
    <row r="166" spans="1:18" s="16" customFormat="1" ht="31.5">
      <c r="A166" s="14"/>
      <c r="B166" s="125" t="s">
        <v>28</v>
      </c>
      <c r="C166" s="109" t="s">
        <v>64</v>
      </c>
      <c r="D166" s="108" t="s">
        <v>11</v>
      </c>
      <c r="E166" s="108" t="s">
        <v>51</v>
      </c>
      <c r="F166" s="108" t="s">
        <v>137</v>
      </c>
      <c r="G166" s="108" t="s">
        <v>29</v>
      </c>
      <c r="H166" s="126">
        <f>H167</f>
        <v>0</v>
      </c>
      <c r="L166" s="20">
        <v>12409.95</v>
      </c>
      <c r="M166" s="20">
        <v>11789.55</v>
      </c>
      <c r="N166" s="20">
        <v>11789.55</v>
      </c>
      <c r="O166" s="20">
        <f>H166-L166</f>
        <v>-12409.95</v>
      </c>
      <c r="P166" s="20" t="e">
        <f>#REF!-M166</f>
        <v>#REF!</v>
      </c>
      <c r="Q166" s="20" t="e">
        <f>#REF!-N166</f>
        <v>#REF!</v>
      </c>
      <c r="R166" s="17" t="str">
        <f t="shared" si="9"/>
        <v>14 2 04 11010240</v>
      </c>
    </row>
    <row r="167" spans="1:18" s="16" customFormat="1" ht="15.75">
      <c r="A167" s="14"/>
      <c r="B167" s="125" t="s">
        <v>30</v>
      </c>
      <c r="C167" s="109" t="s">
        <v>64</v>
      </c>
      <c r="D167" s="108" t="s">
        <v>11</v>
      </c>
      <c r="E167" s="108" t="s">
        <v>51</v>
      </c>
      <c r="F167" s="108" t="s">
        <v>137</v>
      </c>
      <c r="G167" s="108" t="s">
        <v>31</v>
      </c>
      <c r="H167" s="126"/>
      <c r="L167" s="20"/>
      <c r="M167" s="20"/>
      <c r="N167" s="20"/>
      <c r="O167" s="20"/>
      <c r="P167" s="20"/>
      <c r="Q167" s="20"/>
      <c r="R167" s="17"/>
    </row>
    <row r="168" spans="1:18" s="16" customFormat="1" ht="15.75">
      <c r="A168" s="14"/>
      <c r="B168" s="125" t="s">
        <v>32</v>
      </c>
      <c r="C168" s="109" t="s">
        <v>64</v>
      </c>
      <c r="D168" s="108" t="s">
        <v>11</v>
      </c>
      <c r="E168" s="108" t="s">
        <v>51</v>
      </c>
      <c r="F168" s="108" t="s">
        <v>137</v>
      </c>
      <c r="G168" s="133">
        <v>850</v>
      </c>
      <c r="H168" s="126">
        <f>SUM(H169:H171)</f>
        <v>0</v>
      </c>
      <c r="L168" s="20">
        <v>1342.7499999999998</v>
      </c>
      <c r="M168" s="20">
        <v>1342.7499999999998</v>
      </c>
      <c r="N168" s="20">
        <v>1342.7499999999998</v>
      </c>
      <c r="O168" s="20">
        <f>H168-L168</f>
        <v>-1342.7499999999998</v>
      </c>
      <c r="P168" s="20" t="e">
        <f>#REF!-M168</f>
        <v>#REF!</v>
      </c>
      <c r="Q168" s="20" t="e">
        <f>#REF!-N168</f>
        <v>#REF!</v>
      </c>
      <c r="R168" s="17" t="str">
        <f t="shared" si="9"/>
        <v>14 2 04 11010850</v>
      </c>
    </row>
    <row r="169" spans="1:18" s="23" customFormat="1" ht="31.5">
      <c r="A169" s="21"/>
      <c r="B169" s="127" t="s">
        <v>34</v>
      </c>
      <c r="C169" s="109" t="s">
        <v>64</v>
      </c>
      <c r="D169" s="108" t="s">
        <v>11</v>
      </c>
      <c r="E169" s="108" t="s">
        <v>51</v>
      </c>
      <c r="F169" s="108" t="s">
        <v>137</v>
      </c>
      <c r="G169" s="133">
        <v>851</v>
      </c>
      <c r="H169" s="126"/>
      <c r="L169" s="22"/>
      <c r="M169" s="22"/>
      <c r="N169" s="22"/>
      <c r="O169" s="22"/>
      <c r="P169" s="22"/>
      <c r="Q169" s="22"/>
      <c r="R169" s="24"/>
    </row>
    <row r="170" spans="1:18" s="23" customFormat="1" ht="15.75">
      <c r="A170" s="21"/>
      <c r="B170" s="127" t="s">
        <v>36</v>
      </c>
      <c r="C170" s="109" t="s">
        <v>64</v>
      </c>
      <c r="D170" s="108" t="s">
        <v>11</v>
      </c>
      <c r="E170" s="108" t="s">
        <v>51</v>
      </c>
      <c r="F170" s="108" t="s">
        <v>137</v>
      </c>
      <c r="G170" s="133">
        <v>852</v>
      </c>
      <c r="H170" s="126"/>
      <c r="L170" s="22"/>
      <c r="M170" s="22"/>
      <c r="N170" s="22"/>
      <c r="O170" s="22"/>
      <c r="P170" s="22"/>
      <c r="Q170" s="22"/>
      <c r="R170" s="24"/>
    </row>
    <row r="171" spans="1:18" s="23" customFormat="1" ht="15.75">
      <c r="A171" s="21"/>
      <c r="B171" s="127" t="s">
        <v>77</v>
      </c>
      <c r="C171" s="109" t="s">
        <v>64</v>
      </c>
      <c r="D171" s="108" t="s">
        <v>11</v>
      </c>
      <c r="E171" s="108" t="s">
        <v>51</v>
      </c>
      <c r="F171" s="108" t="s">
        <v>137</v>
      </c>
      <c r="G171" s="133">
        <v>853</v>
      </c>
      <c r="H171" s="126"/>
      <c r="L171" s="22"/>
      <c r="M171" s="22"/>
      <c r="N171" s="22"/>
      <c r="O171" s="22"/>
      <c r="P171" s="22"/>
      <c r="Q171" s="22"/>
      <c r="R171" s="24"/>
    </row>
    <row r="172" spans="1:18" s="16" customFormat="1" ht="47.25">
      <c r="A172" s="14"/>
      <c r="B172" s="127" t="s">
        <v>146</v>
      </c>
      <c r="C172" s="130">
        <v>601</v>
      </c>
      <c r="D172" s="130" t="s">
        <v>11</v>
      </c>
      <c r="E172" s="130">
        <v>13</v>
      </c>
      <c r="F172" s="130" t="s">
        <v>147</v>
      </c>
      <c r="G172" s="130" t="s">
        <v>9</v>
      </c>
      <c r="H172" s="134">
        <f>H173+H178+H193</f>
        <v>0</v>
      </c>
      <c r="L172" s="27">
        <v>1051.79</v>
      </c>
      <c r="M172" s="27">
        <v>1001.79</v>
      </c>
      <c r="N172" s="27">
        <v>1001.79</v>
      </c>
      <c r="O172" s="27">
        <f>H172-L172</f>
        <v>-1051.79</v>
      </c>
      <c r="P172" s="27" t="e">
        <f>#REF!-M172</f>
        <v>#REF!</v>
      </c>
      <c r="Q172" s="27" t="e">
        <f>#REF!-N172</f>
        <v>#REF!</v>
      </c>
      <c r="R172" s="17" t="str">
        <f t="shared" si="9"/>
        <v>15 0 00 00000000</v>
      </c>
    </row>
    <row r="173" spans="1:18" s="16" customFormat="1" ht="15.75">
      <c r="A173" s="14"/>
      <c r="B173" s="125" t="s">
        <v>148</v>
      </c>
      <c r="C173" s="130">
        <v>601</v>
      </c>
      <c r="D173" s="130" t="s">
        <v>11</v>
      </c>
      <c r="E173" s="130">
        <v>13</v>
      </c>
      <c r="F173" s="130" t="s">
        <v>149</v>
      </c>
      <c r="G173" s="130" t="s">
        <v>9</v>
      </c>
      <c r="H173" s="134">
        <f>H174</f>
        <v>0</v>
      </c>
      <c r="L173" s="27">
        <v>386.6</v>
      </c>
      <c r="M173" s="27">
        <v>336.6</v>
      </c>
      <c r="N173" s="27">
        <v>336.6</v>
      </c>
      <c r="O173" s="27">
        <f>H173-L173</f>
        <v>-386.6</v>
      </c>
      <c r="P173" s="27" t="e">
        <f>#REF!-M173</f>
        <v>#REF!</v>
      </c>
      <c r="Q173" s="27" t="e">
        <f>#REF!-N173</f>
        <v>#REF!</v>
      </c>
      <c r="R173" s="17" t="str">
        <f t="shared" si="9"/>
        <v>15 1 00 00000000</v>
      </c>
    </row>
    <row r="174" spans="1:18" s="16" customFormat="1" ht="78.75">
      <c r="A174" s="14"/>
      <c r="B174" s="129" t="s">
        <v>150</v>
      </c>
      <c r="C174" s="130">
        <v>601</v>
      </c>
      <c r="D174" s="130" t="s">
        <v>11</v>
      </c>
      <c r="E174" s="130">
        <v>13</v>
      </c>
      <c r="F174" s="130" t="s">
        <v>151</v>
      </c>
      <c r="G174" s="130" t="s">
        <v>9</v>
      </c>
      <c r="H174" s="134">
        <f>H175</f>
        <v>0</v>
      </c>
      <c r="L174" s="27">
        <v>386.6</v>
      </c>
      <c r="M174" s="27">
        <v>336.6</v>
      </c>
      <c r="N174" s="27">
        <v>336.6</v>
      </c>
      <c r="O174" s="27">
        <f>H174-L174</f>
        <v>-386.6</v>
      </c>
      <c r="P174" s="27" t="e">
        <f>#REF!-M174</f>
        <v>#REF!</v>
      </c>
      <c r="Q174" s="27" t="e">
        <f>#REF!-N174</f>
        <v>#REF!</v>
      </c>
      <c r="R174" s="17" t="str">
        <f t="shared" si="9"/>
        <v>15 1 01 00000000</v>
      </c>
    </row>
    <row r="175" spans="1:18" s="16" customFormat="1" ht="47.25">
      <c r="A175" s="14"/>
      <c r="B175" s="129" t="s">
        <v>152</v>
      </c>
      <c r="C175" s="130">
        <v>601</v>
      </c>
      <c r="D175" s="130" t="s">
        <v>11</v>
      </c>
      <c r="E175" s="130">
        <v>13</v>
      </c>
      <c r="F175" s="130" t="s">
        <v>153</v>
      </c>
      <c r="G175" s="130" t="s">
        <v>9</v>
      </c>
      <c r="H175" s="134">
        <f>SUM(H176:H176)</f>
        <v>0</v>
      </c>
      <c r="L175" s="27">
        <v>386.6</v>
      </c>
      <c r="M175" s="27">
        <v>336.6</v>
      </c>
      <c r="N175" s="27">
        <v>336.6</v>
      </c>
      <c r="O175" s="27">
        <f>H175-L175</f>
        <v>-386.6</v>
      </c>
      <c r="P175" s="27" t="e">
        <f>#REF!-M175</f>
        <v>#REF!</v>
      </c>
      <c r="Q175" s="27" t="e">
        <f>#REF!-N175</f>
        <v>#REF!</v>
      </c>
      <c r="R175" s="17" t="str">
        <f t="shared" si="9"/>
        <v>15 1 01 20350000</v>
      </c>
    </row>
    <row r="176" spans="1:18" s="16" customFormat="1" ht="31.5">
      <c r="A176" s="14"/>
      <c r="B176" s="135" t="s">
        <v>28</v>
      </c>
      <c r="C176" s="130">
        <v>601</v>
      </c>
      <c r="D176" s="130" t="s">
        <v>11</v>
      </c>
      <c r="E176" s="130">
        <v>13</v>
      </c>
      <c r="F176" s="130" t="s">
        <v>153</v>
      </c>
      <c r="G176" s="130" t="s">
        <v>29</v>
      </c>
      <c r="H176" s="126">
        <f>H177</f>
        <v>0</v>
      </c>
      <c r="L176" s="20">
        <v>386.6</v>
      </c>
      <c r="M176" s="20">
        <v>336.6</v>
      </c>
      <c r="N176" s="20">
        <v>336.6</v>
      </c>
      <c r="O176" s="20">
        <f>H176-L176</f>
        <v>-386.6</v>
      </c>
      <c r="P176" s="20" t="e">
        <f>#REF!-M176</f>
        <v>#REF!</v>
      </c>
      <c r="Q176" s="20" t="e">
        <f>#REF!-N176</f>
        <v>#REF!</v>
      </c>
      <c r="R176" s="17" t="str">
        <f t="shared" si="9"/>
        <v>15 1 01 20350240</v>
      </c>
    </row>
    <row r="177" spans="1:18" s="16" customFormat="1" ht="15.75">
      <c r="A177" s="14"/>
      <c r="B177" s="125" t="s">
        <v>30</v>
      </c>
      <c r="C177" s="130">
        <v>601</v>
      </c>
      <c r="D177" s="130" t="s">
        <v>11</v>
      </c>
      <c r="E177" s="130">
        <v>13</v>
      </c>
      <c r="F177" s="130" t="s">
        <v>153</v>
      </c>
      <c r="G177" s="130" t="s">
        <v>31</v>
      </c>
      <c r="H177" s="126"/>
      <c r="L177" s="20"/>
      <c r="M177" s="20"/>
      <c r="N177" s="20"/>
      <c r="O177" s="20"/>
      <c r="P177" s="20"/>
      <c r="Q177" s="20"/>
      <c r="R177" s="17" t="str">
        <f t="shared" si="9"/>
        <v>15 1 01 20350244</v>
      </c>
    </row>
    <row r="178" spans="1:18" s="16" customFormat="1" ht="15.75">
      <c r="A178" s="14"/>
      <c r="B178" s="127" t="s">
        <v>154</v>
      </c>
      <c r="C178" s="136">
        <v>601</v>
      </c>
      <c r="D178" s="130" t="s">
        <v>11</v>
      </c>
      <c r="E178" s="130">
        <v>13</v>
      </c>
      <c r="F178" s="130" t="s">
        <v>155</v>
      </c>
      <c r="G178" s="130" t="s">
        <v>9</v>
      </c>
      <c r="H178" s="134">
        <f>H183+H188+H179</f>
        <v>0</v>
      </c>
      <c r="L178" s="27">
        <v>414.27</v>
      </c>
      <c r="M178" s="27">
        <v>414.27</v>
      </c>
      <c r="N178" s="27">
        <v>414.27</v>
      </c>
      <c r="O178" s="27">
        <f>H178-L178</f>
        <v>-414.27</v>
      </c>
      <c r="P178" s="27" t="e">
        <f>#REF!-M178</f>
        <v>#REF!</v>
      </c>
      <c r="Q178" s="27" t="e">
        <f>#REF!-N178</f>
        <v>#REF!</v>
      </c>
      <c r="R178" s="17" t="str">
        <f t="shared" si="9"/>
        <v>15 2 00 00000000</v>
      </c>
    </row>
    <row r="179" spans="1:18" s="16" customFormat="1" ht="47.25">
      <c r="A179" s="14"/>
      <c r="B179" s="129" t="s">
        <v>156</v>
      </c>
      <c r="C179" s="136">
        <v>601</v>
      </c>
      <c r="D179" s="130" t="s">
        <v>11</v>
      </c>
      <c r="E179" s="130">
        <v>13</v>
      </c>
      <c r="F179" s="130" t="s">
        <v>157</v>
      </c>
      <c r="G179" s="130" t="s">
        <v>9</v>
      </c>
      <c r="H179" s="134">
        <f>H180</f>
        <v>0</v>
      </c>
      <c r="L179" s="27">
        <v>74.97</v>
      </c>
      <c r="M179" s="27">
        <v>74.97</v>
      </c>
      <c r="N179" s="27">
        <v>74.97</v>
      </c>
      <c r="O179" s="27">
        <f>H179-L179</f>
        <v>-74.97</v>
      </c>
      <c r="P179" s="27" t="e">
        <f>#REF!-M179</f>
        <v>#REF!</v>
      </c>
      <c r="Q179" s="27" t="e">
        <f>#REF!-N179</f>
        <v>#REF!</v>
      </c>
      <c r="R179" s="17" t="str">
        <f t="shared" si="9"/>
        <v>15 2 01 00000000</v>
      </c>
    </row>
    <row r="180" spans="1:18" s="16" customFormat="1" ht="78.75">
      <c r="A180" s="14"/>
      <c r="B180" s="129" t="s">
        <v>158</v>
      </c>
      <c r="C180" s="136">
        <v>601</v>
      </c>
      <c r="D180" s="130" t="s">
        <v>11</v>
      </c>
      <c r="E180" s="130">
        <v>13</v>
      </c>
      <c r="F180" s="130" t="s">
        <v>159</v>
      </c>
      <c r="G180" s="130" t="s">
        <v>9</v>
      </c>
      <c r="H180" s="126">
        <f>H181</f>
        <v>0</v>
      </c>
      <c r="L180" s="20">
        <v>74.97</v>
      </c>
      <c r="M180" s="20">
        <v>74.97</v>
      </c>
      <c r="N180" s="20">
        <v>74.97</v>
      </c>
      <c r="O180" s="20">
        <f>H180-L180</f>
        <v>-74.97</v>
      </c>
      <c r="P180" s="20" t="e">
        <f>#REF!-M180</f>
        <v>#REF!</v>
      </c>
      <c r="Q180" s="20" t="e">
        <f>#REF!-N180</f>
        <v>#REF!</v>
      </c>
      <c r="R180" s="17" t="str">
        <f t="shared" si="9"/>
        <v>15 2 01 20370000</v>
      </c>
    </row>
    <row r="181" spans="1:18" s="16" customFormat="1" ht="31.5">
      <c r="A181" s="14"/>
      <c r="B181" s="125" t="s">
        <v>28</v>
      </c>
      <c r="C181" s="136">
        <v>601</v>
      </c>
      <c r="D181" s="130" t="s">
        <v>11</v>
      </c>
      <c r="E181" s="130">
        <v>13</v>
      </c>
      <c r="F181" s="130" t="s">
        <v>159</v>
      </c>
      <c r="G181" s="130" t="s">
        <v>29</v>
      </c>
      <c r="H181" s="126">
        <f>H182</f>
        <v>0</v>
      </c>
      <c r="L181" s="20">
        <v>74.97</v>
      </c>
      <c r="M181" s="20">
        <v>74.97</v>
      </c>
      <c r="N181" s="20">
        <v>74.97</v>
      </c>
      <c r="O181" s="20">
        <f>H181-L181</f>
        <v>-74.97</v>
      </c>
      <c r="P181" s="20" t="e">
        <f>#REF!-M181</f>
        <v>#REF!</v>
      </c>
      <c r="Q181" s="20" t="e">
        <f>#REF!-N181</f>
        <v>#REF!</v>
      </c>
      <c r="R181" s="17" t="str">
        <f t="shared" si="9"/>
        <v>15 2 01 20370240</v>
      </c>
    </row>
    <row r="182" spans="1:18" s="16" customFormat="1" ht="15.75">
      <c r="A182" s="14"/>
      <c r="B182" s="125" t="s">
        <v>30</v>
      </c>
      <c r="C182" s="136">
        <v>601</v>
      </c>
      <c r="D182" s="130" t="s">
        <v>11</v>
      </c>
      <c r="E182" s="130">
        <v>13</v>
      </c>
      <c r="F182" s="130" t="s">
        <v>159</v>
      </c>
      <c r="G182" s="130" t="s">
        <v>31</v>
      </c>
      <c r="H182" s="126"/>
      <c r="L182" s="20"/>
      <c r="M182" s="20"/>
      <c r="N182" s="20"/>
      <c r="O182" s="20"/>
      <c r="P182" s="20"/>
      <c r="Q182" s="20"/>
      <c r="R182" s="17" t="str">
        <f t="shared" si="9"/>
        <v>15 2 01 20370244</v>
      </c>
    </row>
    <row r="183" spans="1:18" s="16" customFormat="1" ht="47.25">
      <c r="A183" s="14"/>
      <c r="B183" s="129" t="s">
        <v>160</v>
      </c>
      <c r="C183" s="136">
        <v>601</v>
      </c>
      <c r="D183" s="130" t="s">
        <v>11</v>
      </c>
      <c r="E183" s="130">
        <v>13</v>
      </c>
      <c r="F183" s="130" t="s">
        <v>161</v>
      </c>
      <c r="G183" s="108" t="s">
        <v>9</v>
      </c>
      <c r="H183" s="126">
        <f>H184</f>
        <v>0</v>
      </c>
      <c r="L183" s="20">
        <v>76.5</v>
      </c>
      <c r="M183" s="20">
        <v>76.5</v>
      </c>
      <c r="N183" s="20">
        <v>76.5</v>
      </c>
      <c r="O183" s="20">
        <f>H183-L183</f>
        <v>-76.5</v>
      </c>
      <c r="P183" s="20" t="e">
        <f>#REF!-M183</f>
        <v>#REF!</v>
      </c>
      <c r="Q183" s="20" t="e">
        <f>#REF!-N183</f>
        <v>#REF!</v>
      </c>
      <c r="R183" s="17" t="str">
        <f t="shared" si="9"/>
        <v>15 2 02 00000000</v>
      </c>
    </row>
    <row r="184" spans="1:18" s="16" customFormat="1" ht="78.75">
      <c r="A184" s="14"/>
      <c r="B184" s="129" t="s">
        <v>158</v>
      </c>
      <c r="C184" s="136">
        <v>601</v>
      </c>
      <c r="D184" s="130" t="s">
        <v>11</v>
      </c>
      <c r="E184" s="130">
        <v>13</v>
      </c>
      <c r="F184" s="130" t="s">
        <v>162</v>
      </c>
      <c r="G184" s="108" t="s">
        <v>9</v>
      </c>
      <c r="H184" s="126">
        <f>H185+H187</f>
        <v>0</v>
      </c>
      <c r="L184" s="20">
        <v>76.5</v>
      </c>
      <c r="M184" s="20">
        <v>76.5</v>
      </c>
      <c r="N184" s="20">
        <v>76.5</v>
      </c>
      <c r="O184" s="20">
        <f>H184-L184</f>
        <v>-76.5</v>
      </c>
      <c r="P184" s="20" t="e">
        <f>#REF!-M184</f>
        <v>#REF!</v>
      </c>
      <c r="Q184" s="20" t="e">
        <f>#REF!-N184</f>
        <v>#REF!</v>
      </c>
      <c r="R184" s="17" t="str">
        <f t="shared" si="9"/>
        <v>15 2 02 20370000</v>
      </c>
    </row>
    <row r="185" spans="1:18" s="16" customFormat="1" ht="31.5">
      <c r="A185" s="14"/>
      <c r="B185" s="125" t="s">
        <v>28</v>
      </c>
      <c r="C185" s="136">
        <v>601</v>
      </c>
      <c r="D185" s="130" t="s">
        <v>11</v>
      </c>
      <c r="E185" s="130">
        <v>13</v>
      </c>
      <c r="F185" s="130" t="s">
        <v>162</v>
      </c>
      <c r="G185" s="108" t="s">
        <v>29</v>
      </c>
      <c r="H185" s="126">
        <f>H186</f>
        <v>0</v>
      </c>
      <c r="L185" s="20">
        <v>13.5</v>
      </c>
      <c r="M185" s="20">
        <v>13.5</v>
      </c>
      <c r="N185" s="20">
        <v>13.5</v>
      </c>
      <c r="O185" s="20">
        <f>H185-L185</f>
        <v>-13.5</v>
      </c>
      <c r="P185" s="20" t="e">
        <f>#REF!-M185</f>
        <v>#REF!</v>
      </c>
      <c r="Q185" s="20" t="e">
        <f>#REF!-N185</f>
        <v>#REF!</v>
      </c>
      <c r="R185" s="17" t="str">
        <f t="shared" si="9"/>
        <v>15 2 02 20370240</v>
      </c>
    </row>
    <row r="186" spans="1:18" s="16" customFormat="1" ht="15.75">
      <c r="A186" s="14"/>
      <c r="B186" s="125" t="s">
        <v>30</v>
      </c>
      <c r="C186" s="136">
        <v>601</v>
      </c>
      <c r="D186" s="130" t="s">
        <v>11</v>
      </c>
      <c r="E186" s="130">
        <v>13</v>
      </c>
      <c r="F186" s="130" t="s">
        <v>162</v>
      </c>
      <c r="G186" s="108" t="s">
        <v>31</v>
      </c>
      <c r="H186" s="126"/>
      <c r="L186" s="20"/>
      <c r="M186" s="20"/>
      <c r="N186" s="20"/>
      <c r="O186" s="20"/>
      <c r="P186" s="20"/>
      <c r="Q186" s="20"/>
      <c r="R186" s="17" t="str">
        <f t="shared" si="9"/>
        <v>15 2 02 20370244</v>
      </c>
    </row>
    <row r="187" spans="1:18" s="16" customFormat="1" ht="15.75">
      <c r="A187" s="14"/>
      <c r="B187" s="125" t="s">
        <v>163</v>
      </c>
      <c r="C187" s="136">
        <v>601</v>
      </c>
      <c r="D187" s="130" t="s">
        <v>11</v>
      </c>
      <c r="E187" s="130">
        <v>13</v>
      </c>
      <c r="F187" s="130" t="s">
        <v>162</v>
      </c>
      <c r="G187" s="108" t="s">
        <v>164</v>
      </c>
      <c r="H187" s="126"/>
      <c r="L187" s="20">
        <v>63</v>
      </c>
      <c r="M187" s="20">
        <v>63</v>
      </c>
      <c r="N187" s="20">
        <v>63</v>
      </c>
      <c r="O187" s="20">
        <f>H187-L187</f>
        <v>-63</v>
      </c>
      <c r="P187" s="20" t="e">
        <f>#REF!-M187</f>
        <v>#REF!</v>
      </c>
      <c r="Q187" s="20" t="e">
        <f>#REF!-N187</f>
        <v>#REF!</v>
      </c>
      <c r="R187" s="17" t="str">
        <f t="shared" si="9"/>
        <v>15 2 02 20370350</v>
      </c>
    </row>
    <row r="188" spans="1:18" s="16" customFormat="1" ht="47.25">
      <c r="A188" s="14"/>
      <c r="B188" s="129" t="s">
        <v>165</v>
      </c>
      <c r="C188" s="136">
        <v>601</v>
      </c>
      <c r="D188" s="130" t="s">
        <v>11</v>
      </c>
      <c r="E188" s="130">
        <v>13</v>
      </c>
      <c r="F188" s="130" t="s">
        <v>166</v>
      </c>
      <c r="G188" s="108" t="s">
        <v>9</v>
      </c>
      <c r="H188" s="126">
        <f>H189</f>
        <v>0</v>
      </c>
      <c r="L188" s="20">
        <v>262.8</v>
      </c>
      <c r="M188" s="20">
        <v>262.8</v>
      </c>
      <c r="N188" s="20">
        <v>262.8</v>
      </c>
      <c r="O188" s="20">
        <f>H188-L188</f>
        <v>-262.8</v>
      </c>
      <c r="P188" s="20" t="e">
        <f>#REF!-M188</f>
        <v>#REF!</v>
      </c>
      <c r="Q188" s="20" t="e">
        <f>#REF!-N188</f>
        <v>#REF!</v>
      </c>
      <c r="R188" s="17" t="str">
        <f t="shared" si="9"/>
        <v>15 2 03 00000000</v>
      </c>
    </row>
    <row r="189" spans="1:18" s="16" customFormat="1" ht="78.75">
      <c r="A189" s="14"/>
      <c r="B189" s="129" t="s">
        <v>158</v>
      </c>
      <c r="C189" s="136">
        <v>601</v>
      </c>
      <c r="D189" s="130" t="s">
        <v>11</v>
      </c>
      <c r="E189" s="130">
        <v>13</v>
      </c>
      <c r="F189" s="130" t="s">
        <v>167</v>
      </c>
      <c r="G189" s="108" t="s">
        <v>9</v>
      </c>
      <c r="H189" s="126">
        <f>H190+H192</f>
        <v>0</v>
      </c>
      <c r="L189" s="20">
        <v>262.8</v>
      </c>
      <c r="M189" s="20">
        <v>262.8</v>
      </c>
      <c r="N189" s="20">
        <v>262.8</v>
      </c>
      <c r="O189" s="20">
        <f>H189-L189</f>
        <v>-262.8</v>
      </c>
      <c r="P189" s="20" t="e">
        <f>#REF!-M189</f>
        <v>#REF!</v>
      </c>
      <c r="Q189" s="20" t="e">
        <f>#REF!-N189</f>
        <v>#REF!</v>
      </c>
      <c r="R189" s="17" t="str">
        <f t="shared" si="9"/>
        <v>15 2 03 20370000</v>
      </c>
    </row>
    <row r="190" spans="1:18" s="16" customFormat="1" ht="31.5">
      <c r="A190" s="14"/>
      <c r="B190" s="125" t="s">
        <v>28</v>
      </c>
      <c r="C190" s="136">
        <v>601</v>
      </c>
      <c r="D190" s="130" t="s">
        <v>11</v>
      </c>
      <c r="E190" s="130">
        <v>13</v>
      </c>
      <c r="F190" s="130" t="s">
        <v>167</v>
      </c>
      <c r="G190" s="108" t="s">
        <v>29</v>
      </c>
      <c r="H190" s="126">
        <f>H191</f>
        <v>0</v>
      </c>
      <c r="L190" s="20">
        <v>202.8</v>
      </c>
      <c r="M190" s="20">
        <v>202.8</v>
      </c>
      <c r="N190" s="20">
        <v>202.8</v>
      </c>
      <c r="O190" s="20">
        <f>H190-L190</f>
        <v>-202.8</v>
      </c>
      <c r="P190" s="20" t="e">
        <f>#REF!-M190</f>
        <v>#REF!</v>
      </c>
      <c r="Q190" s="20" t="e">
        <f>#REF!-N190</f>
        <v>#REF!</v>
      </c>
      <c r="R190" s="17" t="str">
        <f t="shared" si="9"/>
        <v>15 2 03 20370240</v>
      </c>
    </row>
    <row r="191" spans="1:18" s="16" customFormat="1" ht="15.75">
      <c r="A191" s="14"/>
      <c r="B191" s="125" t="s">
        <v>30</v>
      </c>
      <c r="C191" s="136">
        <v>601</v>
      </c>
      <c r="D191" s="130" t="s">
        <v>11</v>
      </c>
      <c r="E191" s="130">
        <v>13</v>
      </c>
      <c r="F191" s="130" t="s">
        <v>167</v>
      </c>
      <c r="G191" s="108" t="s">
        <v>31</v>
      </c>
      <c r="H191" s="126"/>
      <c r="L191" s="20"/>
      <c r="M191" s="20"/>
      <c r="N191" s="20"/>
      <c r="O191" s="20"/>
      <c r="P191" s="20"/>
      <c r="Q191" s="20"/>
      <c r="R191" s="17" t="str">
        <f t="shared" si="9"/>
        <v>15 2 03 20370244</v>
      </c>
    </row>
    <row r="192" spans="1:18" s="16" customFormat="1" ht="15.75">
      <c r="A192" s="14"/>
      <c r="B192" s="125" t="s">
        <v>163</v>
      </c>
      <c r="C192" s="136">
        <v>601</v>
      </c>
      <c r="D192" s="130" t="s">
        <v>11</v>
      </c>
      <c r="E192" s="130">
        <v>13</v>
      </c>
      <c r="F192" s="130" t="s">
        <v>167</v>
      </c>
      <c r="G192" s="108" t="s">
        <v>164</v>
      </c>
      <c r="H192" s="126"/>
      <c r="L192" s="20">
        <v>60</v>
      </c>
      <c r="M192" s="20">
        <v>60</v>
      </c>
      <c r="N192" s="20">
        <v>60</v>
      </c>
      <c r="O192" s="20">
        <f t="shared" ref="O192:O201" si="16">H192-L192</f>
        <v>-60</v>
      </c>
      <c r="P192" s="20" t="e">
        <f>#REF!-M192</f>
        <v>#REF!</v>
      </c>
      <c r="Q192" s="20" t="e">
        <f>#REF!-N192</f>
        <v>#REF!</v>
      </c>
      <c r="R192" s="17" t="str">
        <f t="shared" si="9"/>
        <v>15 2 03 20370350</v>
      </c>
    </row>
    <row r="193" spans="1:18" s="16" customFormat="1" ht="31.5">
      <c r="A193" s="14"/>
      <c r="B193" s="125" t="s">
        <v>168</v>
      </c>
      <c r="C193" s="136">
        <v>601</v>
      </c>
      <c r="D193" s="130" t="s">
        <v>11</v>
      </c>
      <c r="E193" s="130">
        <v>13</v>
      </c>
      <c r="F193" s="130" t="s">
        <v>169</v>
      </c>
      <c r="G193" s="108" t="s">
        <v>9</v>
      </c>
      <c r="H193" s="126">
        <f t="shared" ref="H193:H195" si="17">H194</f>
        <v>0</v>
      </c>
      <c r="L193" s="20">
        <v>250.92</v>
      </c>
      <c r="M193" s="20">
        <v>250.92</v>
      </c>
      <c r="N193" s="20">
        <v>250.92</v>
      </c>
      <c r="O193" s="20">
        <f t="shared" si="16"/>
        <v>-250.92</v>
      </c>
      <c r="P193" s="20" t="e">
        <f>#REF!-M193</f>
        <v>#REF!</v>
      </c>
      <c r="Q193" s="20" t="e">
        <f>#REF!-N193</f>
        <v>#REF!</v>
      </c>
      <c r="R193" s="17" t="str">
        <f t="shared" si="9"/>
        <v>15 3 00 00000000</v>
      </c>
    </row>
    <row r="194" spans="1:18" s="16" customFormat="1" ht="47.25">
      <c r="A194" s="14"/>
      <c r="B194" s="125" t="s">
        <v>170</v>
      </c>
      <c r="C194" s="136">
        <v>601</v>
      </c>
      <c r="D194" s="130" t="s">
        <v>11</v>
      </c>
      <c r="E194" s="130">
        <v>13</v>
      </c>
      <c r="F194" s="130" t="s">
        <v>171</v>
      </c>
      <c r="G194" s="108" t="s">
        <v>9</v>
      </c>
      <c r="H194" s="126">
        <f t="shared" si="17"/>
        <v>0</v>
      </c>
      <c r="L194" s="20">
        <v>250.92</v>
      </c>
      <c r="M194" s="20">
        <v>250.92</v>
      </c>
      <c r="N194" s="20">
        <v>250.92</v>
      </c>
      <c r="O194" s="20">
        <f t="shared" si="16"/>
        <v>-250.92</v>
      </c>
      <c r="P194" s="20" t="e">
        <f>#REF!-M194</f>
        <v>#REF!</v>
      </c>
      <c r="Q194" s="20" t="e">
        <f>#REF!-N194</f>
        <v>#REF!</v>
      </c>
      <c r="R194" s="17" t="str">
        <f t="shared" si="9"/>
        <v>15 3 03 00000000</v>
      </c>
    </row>
    <row r="195" spans="1:18" s="16" customFormat="1" ht="63">
      <c r="A195" s="14"/>
      <c r="B195" s="125" t="s">
        <v>172</v>
      </c>
      <c r="C195" s="136">
        <v>601</v>
      </c>
      <c r="D195" s="130" t="s">
        <v>11</v>
      </c>
      <c r="E195" s="130">
        <v>13</v>
      </c>
      <c r="F195" s="130" t="s">
        <v>173</v>
      </c>
      <c r="G195" s="108" t="s">
        <v>9</v>
      </c>
      <c r="H195" s="126">
        <f t="shared" si="17"/>
        <v>0</v>
      </c>
      <c r="L195" s="20">
        <v>250.92</v>
      </c>
      <c r="M195" s="20">
        <v>250.92</v>
      </c>
      <c r="N195" s="20">
        <v>250.92</v>
      </c>
      <c r="O195" s="20">
        <f t="shared" si="16"/>
        <v>-250.92</v>
      </c>
      <c r="P195" s="20" t="e">
        <f>#REF!-M195</f>
        <v>#REF!</v>
      </c>
      <c r="Q195" s="20" t="e">
        <f>#REF!-N195</f>
        <v>#REF!</v>
      </c>
      <c r="R195" s="17" t="str">
        <f t="shared" si="9"/>
        <v>15 3 03 20100000</v>
      </c>
    </row>
    <row r="196" spans="1:18" s="16" customFormat="1" ht="15.75">
      <c r="A196" s="14"/>
      <c r="B196" s="125" t="s">
        <v>163</v>
      </c>
      <c r="C196" s="136">
        <v>601</v>
      </c>
      <c r="D196" s="130" t="s">
        <v>11</v>
      </c>
      <c r="E196" s="130">
        <v>13</v>
      </c>
      <c r="F196" s="130" t="s">
        <v>173</v>
      </c>
      <c r="G196" s="108" t="s">
        <v>164</v>
      </c>
      <c r="H196" s="126"/>
      <c r="L196" s="20">
        <v>250.92</v>
      </c>
      <c r="M196" s="20">
        <v>250.92</v>
      </c>
      <c r="N196" s="20">
        <v>250.92</v>
      </c>
      <c r="O196" s="20">
        <f t="shared" si="16"/>
        <v>-250.92</v>
      </c>
      <c r="P196" s="20" t="e">
        <f>#REF!-M196</f>
        <v>#REF!</v>
      </c>
      <c r="Q196" s="20" t="e">
        <f>#REF!-N196</f>
        <v>#REF!</v>
      </c>
      <c r="R196" s="17" t="str">
        <f t="shared" si="9"/>
        <v>15 3 03 20100350</v>
      </c>
    </row>
    <row r="197" spans="1:18" s="16" customFormat="1" ht="31.5">
      <c r="A197" s="14"/>
      <c r="B197" s="125" t="s">
        <v>174</v>
      </c>
      <c r="C197" s="109" t="s">
        <v>64</v>
      </c>
      <c r="D197" s="108" t="s">
        <v>11</v>
      </c>
      <c r="E197" s="108" t="s">
        <v>51</v>
      </c>
      <c r="F197" s="108" t="s">
        <v>175</v>
      </c>
      <c r="G197" s="108" t="s">
        <v>9</v>
      </c>
      <c r="H197" s="126">
        <f t="shared" ref="H197:H200" si="18">H198</f>
        <v>0</v>
      </c>
      <c r="L197" s="20">
        <v>2292.5</v>
      </c>
      <c r="M197" s="20">
        <v>2292.5</v>
      </c>
      <c r="N197" s="20">
        <v>2292.5</v>
      </c>
      <c r="O197" s="20">
        <f t="shared" si="16"/>
        <v>-2292.5</v>
      </c>
      <c r="P197" s="20" t="e">
        <f>#REF!-M197</f>
        <v>#REF!</v>
      </c>
      <c r="Q197" s="20" t="e">
        <f>#REF!-N197</f>
        <v>#REF!</v>
      </c>
      <c r="R197" s="17" t="str">
        <f t="shared" si="9"/>
        <v>18 0 00 00000000</v>
      </c>
    </row>
    <row r="198" spans="1:18" s="16" customFormat="1" ht="31.5">
      <c r="A198" s="14"/>
      <c r="B198" s="125" t="s">
        <v>176</v>
      </c>
      <c r="C198" s="109" t="s">
        <v>64</v>
      </c>
      <c r="D198" s="108" t="s">
        <v>11</v>
      </c>
      <c r="E198" s="108" t="s">
        <v>51</v>
      </c>
      <c r="F198" s="108" t="s">
        <v>177</v>
      </c>
      <c r="G198" s="108" t="s">
        <v>9</v>
      </c>
      <c r="H198" s="126">
        <f t="shared" si="18"/>
        <v>0</v>
      </c>
      <c r="L198" s="20">
        <v>2292.5</v>
      </c>
      <c r="M198" s="20">
        <v>2292.5</v>
      </c>
      <c r="N198" s="20">
        <v>2292.5</v>
      </c>
      <c r="O198" s="20">
        <f t="shared" si="16"/>
        <v>-2292.5</v>
      </c>
      <c r="P198" s="20" t="e">
        <f>#REF!-M198</f>
        <v>#REF!</v>
      </c>
      <c r="Q198" s="20" t="e">
        <f>#REF!-N198</f>
        <v>#REF!</v>
      </c>
      <c r="R198" s="17" t="str">
        <f t="shared" si="9"/>
        <v>18 Б 00 00000000</v>
      </c>
    </row>
    <row r="199" spans="1:18" s="16" customFormat="1" ht="63">
      <c r="A199" s="14"/>
      <c r="B199" s="129" t="s">
        <v>178</v>
      </c>
      <c r="C199" s="109" t="s">
        <v>64</v>
      </c>
      <c r="D199" s="108" t="s">
        <v>11</v>
      </c>
      <c r="E199" s="108" t="s">
        <v>51</v>
      </c>
      <c r="F199" s="108" t="s">
        <v>179</v>
      </c>
      <c r="G199" s="108" t="s">
        <v>9</v>
      </c>
      <c r="H199" s="126">
        <f t="shared" si="18"/>
        <v>0</v>
      </c>
      <c r="L199" s="20">
        <v>2292.5</v>
      </c>
      <c r="M199" s="20">
        <v>2292.5</v>
      </c>
      <c r="N199" s="20">
        <v>2292.5</v>
      </c>
      <c r="O199" s="20">
        <f t="shared" si="16"/>
        <v>-2292.5</v>
      </c>
      <c r="P199" s="20" t="e">
        <f>#REF!-M199</f>
        <v>#REF!</v>
      </c>
      <c r="Q199" s="20" t="e">
        <f>#REF!-N199</f>
        <v>#REF!</v>
      </c>
      <c r="R199" s="17" t="str">
        <f t="shared" si="9"/>
        <v>18 Б 01 00000000</v>
      </c>
    </row>
    <row r="200" spans="1:18" s="16" customFormat="1" ht="126">
      <c r="A200" s="14"/>
      <c r="B200" s="125" t="s">
        <v>180</v>
      </c>
      <c r="C200" s="109" t="s">
        <v>64</v>
      </c>
      <c r="D200" s="108" t="s">
        <v>11</v>
      </c>
      <c r="E200" s="108" t="s">
        <v>51</v>
      </c>
      <c r="F200" s="108" t="s">
        <v>181</v>
      </c>
      <c r="G200" s="108" t="s">
        <v>9</v>
      </c>
      <c r="H200" s="126">
        <f t="shared" si="18"/>
        <v>0</v>
      </c>
      <c r="L200" s="20">
        <v>2292.5</v>
      </c>
      <c r="M200" s="20">
        <v>2292.5</v>
      </c>
      <c r="N200" s="20">
        <v>2292.5</v>
      </c>
      <c r="O200" s="20">
        <f t="shared" si="16"/>
        <v>-2292.5</v>
      </c>
      <c r="P200" s="20" t="e">
        <f>#REF!-M200</f>
        <v>#REF!</v>
      </c>
      <c r="Q200" s="20" t="e">
        <f>#REF!-N200</f>
        <v>#REF!</v>
      </c>
      <c r="R200" s="17" t="str">
        <f t="shared" si="9"/>
        <v>18 Б 01 60080000</v>
      </c>
    </row>
    <row r="201" spans="1:18" s="16" customFormat="1" ht="47.25">
      <c r="A201" s="14"/>
      <c r="B201" s="125" t="s">
        <v>182</v>
      </c>
      <c r="C201" s="109" t="s">
        <v>64</v>
      </c>
      <c r="D201" s="108" t="s">
        <v>11</v>
      </c>
      <c r="E201" s="108" t="s">
        <v>51</v>
      </c>
      <c r="F201" s="108" t="s">
        <v>181</v>
      </c>
      <c r="G201" s="108" t="s">
        <v>183</v>
      </c>
      <c r="H201" s="126">
        <f>H202</f>
        <v>0</v>
      </c>
      <c r="L201" s="20">
        <v>2292.5</v>
      </c>
      <c r="M201" s="20">
        <v>2292.5</v>
      </c>
      <c r="N201" s="20">
        <v>2292.5</v>
      </c>
      <c r="O201" s="20">
        <f t="shared" si="16"/>
        <v>-2292.5</v>
      </c>
      <c r="P201" s="20" t="e">
        <f>#REF!-M201</f>
        <v>#REF!</v>
      </c>
      <c r="Q201" s="20" t="e">
        <f>#REF!-N201</f>
        <v>#REF!</v>
      </c>
      <c r="R201" s="17" t="str">
        <f t="shared" si="9"/>
        <v>18 Б 01 60080630</v>
      </c>
    </row>
    <row r="202" spans="1:18" s="16" customFormat="1" ht="31.5">
      <c r="A202" s="14"/>
      <c r="B202" s="125" t="s">
        <v>1037</v>
      </c>
      <c r="C202" s="109" t="s">
        <v>64</v>
      </c>
      <c r="D202" s="108" t="s">
        <v>11</v>
      </c>
      <c r="E202" s="108" t="s">
        <v>51</v>
      </c>
      <c r="F202" s="108" t="s">
        <v>181</v>
      </c>
      <c r="G202" s="108" t="s">
        <v>185</v>
      </c>
      <c r="H202" s="126"/>
      <c r="L202" s="20"/>
      <c r="M202" s="20"/>
      <c r="N202" s="20"/>
      <c r="O202" s="20"/>
      <c r="P202" s="20"/>
      <c r="Q202" s="20"/>
      <c r="R202" s="17" t="str">
        <f t="shared" si="9"/>
        <v>18 Б 01 60080631</v>
      </c>
    </row>
    <row r="203" spans="1:18" s="16" customFormat="1" ht="31.5">
      <c r="A203" s="14"/>
      <c r="B203" s="129" t="s">
        <v>66</v>
      </c>
      <c r="C203" s="130" t="s">
        <v>64</v>
      </c>
      <c r="D203" s="131" t="s">
        <v>11</v>
      </c>
      <c r="E203" s="131" t="s">
        <v>51</v>
      </c>
      <c r="F203" s="131" t="s">
        <v>67</v>
      </c>
      <c r="G203" s="131" t="s">
        <v>9</v>
      </c>
      <c r="H203" s="126">
        <f>H204</f>
        <v>0</v>
      </c>
      <c r="L203" s="20">
        <v>37338.509999999995</v>
      </c>
      <c r="M203" s="20">
        <v>32338.51</v>
      </c>
      <c r="N203" s="20">
        <v>32338.51</v>
      </c>
      <c r="O203" s="20">
        <f>H203-L203</f>
        <v>-37338.509999999995</v>
      </c>
      <c r="P203" s="20" t="e">
        <f>#REF!-M203</f>
        <v>#REF!</v>
      </c>
      <c r="Q203" s="20" t="e">
        <f>#REF!-N203</f>
        <v>#REF!</v>
      </c>
      <c r="R203" s="17" t="str">
        <f t="shared" si="9"/>
        <v>71 0 00 00000000</v>
      </c>
    </row>
    <row r="204" spans="1:18" s="16" customFormat="1" ht="31.5">
      <c r="A204" s="14"/>
      <c r="B204" s="129" t="s">
        <v>74</v>
      </c>
      <c r="C204" s="130" t="s">
        <v>64</v>
      </c>
      <c r="D204" s="131" t="s">
        <v>11</v>
      </c>
      <c r="E204" s="131" t="s">
        <v>51</v>
      </c>
      <c r="F204" s="131" t="s">
        <v>75</v>
      </c>
      <c r="G204" s="131" t="s">
        <v>9</v>
      </c>
      <c r="H204" s="126">
        <f>H205+H216</f>
        <v>0</v>
      </c>
      <c r="L204" s="20">
        <v>37338.509999999995</v>
      </c>
      <c r="M204" s="20">
        <v>32338.51</v>
      </c>
      <c r="N204" s="20">
        <v>32338.51</v>
      </c>
      <c r="O204" s="20">
        <f>H204-L204</f>
        <v>-37338.509999999995</v>
      </c>
      <c r="P204" s="20" t="e">
        <f>#REF!-M204</f>
        <v>#REF!</v>
      </c>
      <c r="Q204" s="20" t="e">
        <f>#REF!-N204</f>
        <v>#REF!</v>
      </c>
      <c r="R204" s="17" t="str">
        <f t="shared" ref="R204:R289" si="19">CONCATENATE(F204,G204)</f>
        <v>71 1 00 00000000</v>
      </c>
    </row>
    <row r="205" spans="1:18" s="16" customFormat="1" ht="31.5">
      <c r="A205" s="14"/>
      <c r="B205" s="125" t="s">
        <v>136</v>
      </c>
      <c r="C205" s="109" t="s">
        <v>64</v>
      </c>
      <c r="D205" s="108" t="s">
        <v>11</v>
      </c>
      <c r="E205" s="108" t="s">
        <v>51</v>
      </c>
      <c r="F205" s="108" t="s">
        <v>186</v>
      </c>
      <c r="G205" s="108" t="s">
        <v>9</v>
      </c>
      <c r="H205" s="126">
        <f>H206+H210+H212</f>
        <v>0</v>
      </c>
      <c r="L205" s="20">
        <v>37138.509999999995</v>
      </c>
      <c r="M205" s="20">
        <v>32138.51</v>
      </c>
      <c r="N205" s="20">
        <v>32138.51</v>
      </c>
      <c r="O205" s="20">
        <f>H205-L205</f>
        <v>-37138.509999999995</v>
      </c>
      <c r="P205" s="20" t="e">
        <f>#REF!-M205</f>
        <v>#REF!</v>
      </c>
      <c r="Q205" s="20" t="e">
        <f>#REF!-N205</f>
        <v>#REF!</v>
      </c>
      <c r="R205" s="17" t="str">
        <f t="shared" si="19"/>
        <v>71 1 00 11010000</v>
      </c>
    </row>
    <row r="206" spans="1:18" s="16" customFormat="1" ht="15.75">
      <c r="A206" s="14"/>
      <c r="B206" s="132" t="s">
        <v>138</v>
      </c>
      <c r="C206" s="109" t="s">
        <v>64</v>
      </c>
      <c r="D206" s="108" t="s">
        <v>11</v>
      </c>
      <c r="E206" s="108" t="s">
        <v>51</v>
      </c>
      <c r="F206" s="108" t="s">
        <v>186</v>
      </c>
      <c r="G206" s="108" t="s">
        <v>139</v>
      </c>
      <c r="H206" s="126">
        <f>SUM(H207:H209)</f>
        <v>0</v>
      </c>
      <c r="L206" s="20">
        <v>12661.96</v>
      </c>
      <c r="M206" s="20">
        <v>12661.96</v>
      </c>
      <c r="N206" s="20">
        <v>12661.96</v>
      </c>
      <c r="O206" s="20">
        <f>H206-L206</f>
        <v>-12661.96</v>
      </c>
      <c r="P206" s="20" t="e">
        <f>#REF!-M206</f>
        <v>#REF!</v>
      </c>
      <c r="Q206" s="20" t="e">
        <f>#REF!-N206</f>
        <v>#REF!</v>
      </c>
      <c r="R206" s="17" t="str">
        <f t="shared" si="19"/>
        <v>71 1 00 11010110</v>
      </c>
    </row>
    <row r="207" spans="1:18" s="23" customFormat="1" ht="15.75">
      <c r="A207" s="21"/>
      <c r="B207" s="127" t="s">
        <v>140</v>
      </c>
      <c r="C207" s="109" t="s">
        <v>64</v>
      </c>
      <c r="D207" s="108" t="s">
        <v>11</v>
      </c>
      <c r="E207" s="108" t="s">
        <v>51</v>
      </c>
      <c r="F207" s="108" t="s">
        <v>186</v>
      </c>
      <c r="G207" s="108" t="s">
        <v>141</v>
      </c>
      <c r="H207" s="126"/>
      <c r="L207" s="22"/>
      <c r="M207" s="22"/>
      <c r="N207" s="22"/>
      <c r="O207" s="22"/>
      <c r="P207" s="22"/>
      <c r="Q207" s="22"/>
      <c r="R207" s="24"/>
    </row>
    <row r="208" spans="1:18" s="23" customFormat="1" ht="31.5">
      <c r="A208" s="21"/>
      <c r="B208" s="127" t="s">
        <v>142</v>
      </c>
      <c r="C208" s="109" t="s">
        <v>64</v>
      </c>
      <c r="D208" s="108" t="s">
        <v>11</v>
      </c>
      <c r="E208" s="108" t="s">
        <v>51</v>
      </c>
      <c r="F208" s="108" t="s">
        <v>186</v>
      </c>
      <c r="G208" s="108" t="s">
        <v>143</v>
      </c>
      <c r="H208" s="126"/>
      <c r="L208" s="22"/>
      <c r="M208" s="22"/>
      <c r="N208" s="22"/>
      <c r="O208" s="22"/>
      <c r="P208" s="22"/>
      <c r="Q208" s="22"/>
      <c r="R208" s="24"/>
    </row>
    <row r="209" spans="1:18" s="23" customFormat="1" ht="63">
      <c r="A209" s="21"/>
      <c r="B209" s="127" t="s">
        <v>144</v>
      </c>
      <c r="C209" s="109" t="s">
        <v>64</v>
      </c>
      <c r="D209" s="108" t="s">
        <v>11</v>
      </c>
      <c r="E209" s="108" t="s">
        <v>51</v>
      </c>
      <c r="F209" s="108" t="s">
        <v>186</v>
      </c>
      <c r="G209" s="108" t="s">
        <v>145</v>
      </c>
      <c r="H209" s="126"/>
      <c r="L209" s="22"/>
      <c r="M209" s="22"/>
      <c r="N209" s="22"/>
      <c r="O209" s="22"/>
      <c r="P209" s="22"/>
      <c r="Q209" s="22"/>
      <c r="R209" s="24"/>
    </row>
    <row r="210" spans="1:18" s="16" customFormat="1" ht="31.5">
      <c r="A210" s="14"/>
      <c r="B210" s="125" t="s">
        <v>28</v>
      </c>
      <c r="C210" s="109" t="s">
        <v>64</v>
      </c>
      <c r="D210" s="108" t="s">
        <v>11</v>
      </c>
      <c r="E210" s="108" t="s">
        <v>51</v>
      </c>
      <c r="F210" s="108" t="s">
        <v>186</v>
      </c>
      <c r="G210" s="108" t="s">
        <v>29</v>
      </c>
      <c r="H210" s="126">
        <f>H211</f>
        <v>0</v>
      </c>
      <c r="L210" s="20">
        <v>24082.02</v>
      </c>
      <c r="M210" s="20">
        <v>19082.02</v>
      </c>
      <c r="N210" s="20">
        <v>19082.02</v>
      </c>
      <c r="O210" s="20">
        <f>H210-L210</f>
        <v>-24082.02</v>
      </c>
      <c r="P210" s="20" t="e">
        <f>#REF!-M210</f>
        <v>#REF!</v>
      </c>
      <c r="Q210" s="20" t="e">
        <f>#REF!-N210</f>
        <v>#REF!</v>
      </c>
      <c r="R210" s="17" t="str">
        <f t="shared" si="19"/>
        <v>71 1 00 11010240</v>
      </c>
    </row>
    <row r="211" spans="1:18" s="16" customFormat="1" ht="15.75">
      <c r="A211" s="14"/>
      <c r="B211" s="125" t="s">
        <v>30</v>
      </c>
      <c r="C211" s="109" t="s">
        <v>64</v>
      </c>
      <c r="D211" s="108" t="s">
        <v>11</v>
      </c>
      <c r="E211" s="108" t="s">
        <v>51</v>
      </c>
      <c r="F211" s="108" t="s">
        <v>186</v>
      </c>
      <c r="G211" s="108" t="s">
        <v>31</v>
      </c>
      <c r="H211" s="126"/>
      <c r="L211" s="20"/>
      <c r="M211" s="20"/>
      <c r="N211" s="20"/>
      <c r="O211" s="20"/>
      <c r="P211" s="20"/>
      <c r="Q211" s="20"/>
      <c r="R211" s="17"/>
    </row>
    <row r="212" spans="1:18" s="16" customFormat="1" ht="15.75">
      <c r="A212" s="14"/>
      <c r="B212" s="125" t="s">
        <v>32</v>
      </c>
      <c r="C212" s="109" t="s">
        <v>64</v>
      </c>
      <c r="D212" s="108" t="s">
        <v>11</v>
      </c>
      <c r="E212" s="108" t="s">
        <v>51</v>
      </c>
      <c r="F212" s="108" t="s">
        <v>186</v>
      </c>
      <c r="G212" s="108" t="s">
        <v>33</v>
      </c>
      <c r="H212" s="126">
        <f>SUM(H213:H215)</f>
        <v>0</v>
      </c>
      <c r="L212" s="20">
        <v>394.53</v>
      </c>
      <c r="M212" s="20">
        <v>394.53</v>
      </c>
      <c r="N212" s="20">
        <v>394.53</v>
      </c>
      <c r="O212" s="20">
        <f>H212-L212</f>
        <v>-394.53</v>
      </c>
      <c r="P212" s="20" t="e">
        <f>#REF!-M212</f>
        <v>#REF!</v>
      </c>
      <c r="Q212" s="20" t="e">
        <f>#REF!-N212</f>
        <v>#REF!</v>
      </c>
      <c r="R212" s="17" t="str">
        <f t="shared" si="19"/>
        <v>71 1 00 11010850</v>
      </c>
    </row>
    <row r="213" spans="1:18" s="23" customFormat="1" ht="31.5">
      <c r="A213" s="21"/>
      <c r="B213" s="127" t="s">
        <v>34</v>
      </c>
      <c r="C213" s="109" t="s">
        <v>64</v>
      </c>
      <c r="D213" s="108" t="s">
        <v>11</v>
      </c>
      <c r="E213" s="108" t="s">
        <v>51</v>
      </c>
      <c r="F213" s="108" t="s">
        <v>186</v>
      </c>
      <c r="G213" s="108" t="s">
        <v>35</v>
      </c>
      <c r="H213" s="126"/>
      <c r="L213" s="22"/>
      <c r="M213" s="22"/>
      <c r="N213" s="22"/>
      <c r="O213" s="22"/>
      <c r="P213" s="22"/>
      <c r="Q213" s="22"/>
      <c r="R213" s="24"/>
    </row>
    <row r="214" spans="1:18" s="23" customFormat="1" ht="15.75">
      <c r="A214" s="21"/>
      <c r="B214" s="127" t="s">
        <v>36</v>
      </c>
      <c r="C214" s="109" t="s">
        <v>64</v>
      </c>
      <c r="D214" s="108" t="s">
        <v>11</v>
      </c>
      <c r="E214" s="108" t="s">
        <v>51</v>
      </c>
      <c r="F214" s="108" t="s">
        <v>186</v>
      </c>
      <c r="G214" s="108" t="s">
        <v>37</v>
      </c>
      <c r="H214" s="126"/>
      <c r="L214" s="22"/>
      <c r="M214" s="22"/>
      <c r="N214" s="22"/>
      <c r="O214" s="22"/>
      <c r="P214" s="22"/>
      <c r="Q214" s="22"/>
      <c r="R214" s="24"/>
    </row>
    <row r="215" spans="1:18" s="23" customFormat="1" ht="15.75">
      <c r="A215" s="21"/>
      <c r="B215" s="127" t="s">
        <v>77</v>
      </c>
      <c r="C215" s="109" t="s">
        <v>64</v>
      </c>
      <c r="D215" s="108" t="s">
        <v>11</v>
      </c>
      <c r="E215" s="108" t="s">
        <v>51</v>
      </c>
      <c r="F215" s="108" t="s">
        <v>186</v>
      </c>
      <c r="G215" s="108" t="s">
        <v>78</v>
      </c>
      <c r="H215" s="126"/>
      <c r="L215" s="22"/>
      <c r="M215" s="22"/>
      <c r="N215" s="22"/>
      <c r="O215" s="22"/>
      <c r="P215" s="22"/>
      <c r="Q215" s="22"/>
      <c r="R215" s="24"/>
    </row>
    <row r="216" spans="1:18" s="16" customFormat="1" ht="31.5">
      <c r="A216" s="14"/>
      <c r="B216" s="129" t="s">
        <v>187</v>
      </c>
      <c r="C216" s="130" t="s">
        <v>64</v>
      </c>
      <c r="D216" s="131" t="s">
        <v>11</v>
      </c>
      <c r="E216" s="131" t="s">
        <v>51</v>
      </c>
      <c r="F216" s="131" t="s">
        <v>188</v>
      </c>
      <c r="G216" s="131" t="s">
        <v>9</v>
      </c>
      <c r="H216" s="126">
        <f>H217</f>
        <v>0</v>
      </c>
      <c r="L216" s="20">
        <v>200</v>
      </c>
      <c r="M216" s="20">
        <v>200</v>
      </c>
      <c r="N216" s="20">
        <v>200</v>
      </c>
      <c r="O216" s="20">
        <f>H216-L216</f>
        <v>-200</v>
      </c>
      <c r="P216" s="20" t="e">
        <f>#REF!-M216</f>
        <v>#REF!</v>
      </c>
      <c r="Q216" s="20" t="e">
        <f>#REF!-N216</f>
        <v>#REF!</v>
      </c>
      <c r="R216" s="17" t="str">
        <f t="shared" si="19"/>
        <v>71 1 00 20050000</v>
      </c>
    </row>
    <row r="217" spans="1:18" s="16" customFormat="1" ht="15.75">
      <c r="A217" s="14"/>
      <c r="B217" s="125" t="s">
        <v>189</v>
      </c>
      <c r="C217" s="130" t="s">
        <v>64</v>
      </c>
      <c r="D217" s="131" t="s">
        <v>11</v>
      </c>
      <c r="E217" s="131" t="s">
        <v>51</v>
      </c>
      <c r="F217" s="131" t="s">
        <v>188</v>
      </c>
      <c r="G217" s="131" t="s">
        <v>190</v>
      </c>
      <c r="H217" s="126">
        <f>H218</f>
        <v>0</v>
      </c>
      <c r="L217" s="20">
        <v>200</v>
      </c>
      <c r="M217" s="20">
        <v>200</v>
      </c>
      <c r="N217" s="20">
        <v>200</v>
      </c>
      <c r="O217" s="20">
        <f>H217-L217</f>
        <v>-200</v>
      </c>
      <c r="P217" s="20" t="e">
        <f>#REF!-M217</f>
        <v>#REF!</v>
      </c>
      <c r="Q217" s="20" t="e">
        <f>#REF!-N217</f>
        <v>#REF!</v>
      </c>
      <c r="R217" s="17" t="str">
        <f t="shared" si="19"/>
        <v>71 1 00 20050830</v>
      </c>
    </row>
    <row r="218" spans="1:18" s="16" customFormat="1" ht="47.25">
      <c r="A218" s="14"/>
      <c r="B218" s="129" t="s">
        <v>191</v>
      </c>
      <c r="C218" s="130" t="s">
        <v>64</v>
      </c>
      <c r="D218" s="131" t="s">
        <v>11</v>
      </c>
      <c r="E218" s="131" t="s">
        <v>51</v>
      </c>
      <c r="F218" s="131" t="s">
        <v>188</v>
      </c>
      <c r="G218" s="131" t="s">
        <v>192</v>
      </c>
      <c r="H218" s="126"/>
      <c r="L218" s="20"/>
      <c r="M218" s="20"/>
      <c r="N218" s="20"/>
      <c r="O218" s="20"/>
      <c r="P218" s="20"/>
      <c r="Q218" s="20"/>
      <c r="R218" s="17"/>
    </row>
    <row r="219" spans="1:18" s="16" customFormat="1" ht="63">
      <c r="A219" s="14"/>
      <c r="B219" s="125" t="s">
        <v>87</v>
      </c>
      <c r="C219" s="130" t="s">
        <v>64</v>
      </c>
      <c r="D219" s="131" t="s">
        <v>11</v>
      </c>
      <c r="E219" s="131" t="s">
        <v>51</v>
      </c>
      <c r="F219" s="131" t="s">
        <v>88</v>
      </c>
      <c r="G219" s="131" t="s">
        <v>9</v>
      </c>
      <c r="H219" s="126">
        <f>H220</f>
        <v>0</v>
      </c>
      <c r="L219" s="20">
        <v>7404.69</v>
      </c>
      <c r="M219" s="20">
        <v>7404.69</v>
      </c>
      <c r="N219" s="20">
        <v>7404.69</v>
      </c>
      <c r="O219" s="20">
        <f>H219-L219</f>
        <v>-7404.69</v>
      </c>
      <c r="P219" s="20" t="e">
        <f>#REF!-M219</f>
        <v>#REF!</v>
      </c>
      <c r="Q219" s="20" t="e">
        <f>#REF!-N219</f>
        <v>#REF!</v>
      </c>
      <c r="R219" s="17" t="str">
        <f t="shared" si="19"/>
        <v>98 0 00 00000000</v>
      </c>
    </row>
    <row r="220" spans="1:18" s="16" customFormat="1" ht="15.75">
      <c r="A220" s="14"/>
      <c r="B220" s="125" t="s">
        <v>89</v>
      </c>
      <c r="C220" s="130" t="s">
        <v>64</v>
      </c>
      <c r="D220" s="131" t="s">
        <v>11</v>
      </c>
      <c r="E220" s="131" t="s">
        <v>51</v>
      </c>
      <c r="F220" s="131" t="s">
        <v>90</v>
      </c>
      <c r="G220" s="131" t="s">
        <v>9</v>
      </c>
      <c r="H220" s="126">
        <f t="shared" ref="H220" si="20">H221</f>
        <v>0</v>
      </c>
      <c r="L220" s="20">
        <v>7404.69</v>
      </c>
      <c r="M220" s="20">
        <v>7404.69</v>
      </c>
      <c r="N220" s="20">
        <v>7404.69</v>
      </c>
      <c r="O220" s="20">
        <f>H220-L220</f>
        <v>-7404.69</v>
      </c>
      <c r="P220" s="20" t="e">
        <f>#REF!-M220</f>
        <v>#REF!</v>
      </c>
      <c r="Q220" s="20" t="e">
        <f>#REF!-N220</f>
        <v>#REF!</v>
      </c>
      <c r="R220" s="17" t="str">
        <f t="shared" si="19"/>
        <v>98 1 00 00000000</v>
      </c>
    </row>
    <row r="221" spans="1:18" s="16" customFormat="1" ht="63">
      <c r="A221" s="14" t="s">
        <v>80</v>
      </c>
      <c r="B221" s="129" t="s">
        <v>193</v>
      </c>
      <c r="C221" s="130" t="s">
        <v>64</v>
      </c>
      <c r="D221" s="131" t="s">
        <v>11</v>
      </c>
      <c r="E221" s="131" t="s">
        <v>51</v>
      </c>
      <c r="F221" s="131" t="s">
        <v>194</v>
      </c>
      <c r="G221" s="131" t="s">
        <v>9</v>
      </c>
      <c r="H221" s="126">
        <f>SUM(H222:H222)</f>
        <v>0</v>
      </c>
      <c r="L221" s="20">
        <v>7404.69</v>
      </c>
      <c r="M221" s="20">
        <v>7404.69</v>
      </c>
      <c r="N221" s="20">
        <v>7404.69</v>
      </c>
      <c r="O221" s="20">
        <f>H221-L221</f>
        <v>-7404.69</v>
      </c>
      <c r="P221" s="20" t="e">
        <f>#REF!-M221</f>
        <v>#REF!</v>
      </c>
      <c r="Q221" s="20" t="e">
        <f>#REF!-N221</f>
        <v>#REF!</v>
      </c>
      <c r="R221" s="17" t="str">
        <f t="shared" si="19"/>
        <v>98 1 00 76610000</v>
      </c>
    </row>
    <row r="222" spans="1:18" s="16" customFormat="1" ht="31.5">
      <c r="A222" s="14"/>
      <c r="B222" s="127" t="s">
        <v>20</v>
      </c>
      <c r="C222" s="130" t="s">
        <v>64</v>
      </c>
      <c r="D222" s="131" t="s">
        <v>11</v>
      </c>
      <c r="E222" s="131" t="s">
        <v>51</v>
      </c>
      <c r="F222" s="131" t="s">
        <v>194</v>
      </c>
      <c r="G222" s="131" t="s">
        <v>21</v>
      </c>
      <c r="H222" s="126">
        <f>SUM(H223:H224)</f>
        <v>0</v>
      </c>
      <c r="L222" s="20">
        <v>7404.69</v>
      </c>
      <c r="M222" s="20">
        <v>7404.69</v>
      </c>
      <c r="N222" s="20">
        <v>7404.69</v>
      </c>
      <c r="O222" s="20">
        <f>H222-L222</f>
        <v>-7404.69</v>
      </c>
      <c r="P222" s="20" t="e">
        <f>#REF!-M222</f>
        <v>#REF!</v>
      </c>
      <c r="Q222" s="20" t="e">
        <f>#REF!-N222</f>
        <v>#REF!</v>
      </c>
      <c r="R222" s="17" t="str">
        <f t="shared" si="19"/>
        <v>98 1 00 76610120</v>
      </c>
    </row>
    <row r="223" spans="1:18" s="23" customFormat="1" ht="31.5">
      <c r="A223" s="21"/>
      <c r="B223" s="127" t="s">
        <v>40</v>
      </c>
      <c r="C223" s="130" t="s">
        <v>64</v>
      </c>
      <c r="D223" s="131" t="s">
        <v>11</v>
      </c>
      <c r="E223" s="131" t="s">
        <v>51</v>
      </c>
      <c r="F223" s="131" t="s">
        <v>194</v>
      </c>
      <c r="G223" s="108" t="s">
        <v>41</v>
      </c>
      <c r="H223" s="126"/>
      <c r="L223" s="22"/>
      <c r="M223" s="22"/>
      <c r="N223" s="22"/>
      <c r="O223" s="22"/>
      <c r="P223" s="22"/>
      <c r="Q223" s="22"/>
      <c r="R223" s="24"/>
    </row>
    <row r="224" spans="1:18" s="23" customFormat="1" ht="63">
      <c r="A224" s="21"/>
      <c r="B224" s="127" t="s">
        <v>26</v>
      </c>
      <c r="C224" s="130" t="s">
        <v>64</v>
      </c>
      <c r="D224" s="131" t="s">
        <v>11</v>
      </c>
      <c r="E224" s="131" t="s">
        <v>51</v>
      </c>
      <c r="F224" s="131" t="s">
        <v>194</v>
      </c>
      <c r="G224" s="108" t="s">
        <v>27</v>
      </c>
      <c r="H224" s="126"/>
      <c r="L224" s="22"/>
      <c r="M224" s="22"/>
      <c r="N224" s="22"/>
      <c r="O224" s="22"/>
      <c r="P224" s="22"/>
      <c r="Q224" s="22"/>
      <c r="R224" s="24"/>
    </row>
    <row r="225" spans="1:18" s="16" customFormat="1" ht="15.75">
      <c r="A225" s="14"/>
      <c r="B225" s="117" t="s">
        <v>195</v>
      </c>
      <c r="C225" s="118" t="s">
        <v>64</v>
      </c>
      <c r="D225" s="119" t="s">
        <v>73</v>
      </c>
      <c r="E225" s="119" t="s">
        <v>7</v>
      </c>
      <c r="F225" s="119" t="s">
        <v>8</v>
      </c>
      <c r="G225" s="119" t="s">
        <v>9</v>
      </c>
      <c r="H225" s="120">
        <f t="shared" ref="H225:H226" si="21">H226</f>
        <v>0</v>
      </c>
      <c r="L225" s="18">
        <v>11547.5</v>
      </c>
      <c r="M225" s="18">
        <v>11547.5</v>
      </c>
      <c r="N225" s="18">
        <v>11547.5</v>
      </c>
      <c r="O225" s="18">
        <f t="shared" ref="O225:O231" si="22">H225-L225</f>
        <v>-11547.5</v>
      </c>
      <c r="P225" s="18" t="e">
        <f>#REF!-M225</f>
        <v>#REF!</v>
      </c>
      <c r="Q225" s="18" t="e">
        <f>#REF!-N225</f>
        <v>#REF!</v>
      </c>
      <c r="R225" s="17" t="str">
        <f t="shared" si="19"/>
        <v>00 0 00 00000000</v>
      </c>
    </row>
    <row r="226" spans="1:18" s="16" customFormat="1" ht="15.75">
      <c r="A226" s="14"/>
      <c r="B226" s="121" t="s">
        <v>196</v>
      </c>
      <c r="C226" s="122" t="s">
        <v>64</v>
      </c>
      <c r="D226" s="123" t="s">
        <v>73</v>
      </c>
      <c r="E226" s="123" t="s">
        <v>57</v>
      </c>
      <c r="F226" s="123" t="s">
        <v>8</v>
      </c>
      <c r="G226" s="123" t="s">
        <v>9</v>
      </c>
      <c r="H226" s="124">
        <f t="shared" si="21"/>
        <v>0</v>
      </c>
      <c r="L226" s="19">
        <v>11547.5</v>
      </c>
      <c r="M226" s="19">
        <v>11547.5</v>
      </c>
      <c r="N226" s="19">
        <v>11547.5</v>
      </c>
      <c r="O226" s="19">
        <f t="shared" si="22"/>
        <v>-11547.5</v>
      </c>
      <c r="P226" s="19" t="e">
        <f>#REF!-M226</f>
        <v>#REF!</v>
      </c>
      <c r="Q226" s="19" t="e">
        <f>#REF!-N226</f>
        <v>#REF!</v>
      </c>
      <c r="R226" s="17" t="str">
        <f t="shared" si="19"/>
        <v>00 0 00 00000000</v>
      </c>
    </row>
    <row r="227" spans="1:18" s="16" customFormat="1" ht="31.5">
      <c r="A227" s="14"/>
      <c r="B227" s="129" t="s">
        <v>94</v>
      </c>
      <c r="C227" s="109" t="s">
        <v>64</v>
      </c>
      <c r="D227" s="108" t="s">
        <v>73</v>
      </c>
      <c r="E227" s="108" t="s">
        <v>57</v>
      </c>
      <c r="F227" s="108" t="s">
        <v>95</v>
      </c>
      <c r="G227" s="108" t="s">
        <v>9</v>
      </c>
      <c r="H227" s="126">
        <f>H228+H244</f>
        <v>0</v>
      </c>
      <c r="L227" s="20">
        <v>11547.5</v>
      </c>
      <c r="M227" s="20">
        <v>11547.5</v>
      </c>
      <c r="N227" s="20">
        <v>11547.5</v>
      </c>
      <c r="O227" s="20">
        <f t="shared" si="22"/>
        <v>-11547.5</v>
      </c>
      <c r="P227" s="20" t="e">
        <f>#REF!-M227</f>
        <v>#REF!</v>
      </c>
      <c r="Q227" s="20" t="e">
        <f>#REF!-N227</f>
        <v>#REF!</v>
      </c>
      <c r="R227" s="17" t="str">
        <f t="shared" si="19"/>
        <v>12 0 00 00000000</v>
      </c>
    </row>
    <row r="228" spans="1:18" s="16" customFormat="1" ht="31.5">
      <c r="A228" s="14"/>
      <c r="B228" s="129" t="s">
        <v>197</v>
      </c>
      <c r="C228" s="109" t="s">
        <v>64</v>
      </c>
      <c r="D228" s="108" t="s">
        <v>73</v>
      </c>
      <c r="E228" s="108" t="s">
        <v>57</v>
      </c>
      <c r="F228" s="108" t="s">
        <v>198</v>
      </c>
      <c r="G228" s="108" t="s">
        <v>9</v>
      </c>
      <c r="H228" s="126">
        <f>H229+H234+H240</f>
        <v>0</v>
      </c>
      <c r="L228" s="20">
        <v>8210</v>
      </c>
      <c r="M228" s="20">
        <v>8210</v>
      </c>
      <c r="N228" s="20">
        <v>8210</v>
      </c>
      <c r="O228" s="20">
        <f t="shared" si="22"/>
        <v>-8210</v>
      </c>
      <c r="P228" s="20" t="e">
        <f>#REF!-M228</f>
        <v>#REF!</v>
      </c>
      <c r="Q228" s="20" t="e">
        <f>#REF!-N228</f>
        <v>#REF!</v>
      </c>
      <c r="R228" s="17" t="str">
        <f t="shared" si="19"/>
        <v>12 1 00 00000000</v>
      </c>
    </row>
    <row r="229" spans="1:18" s="16" customFormat="1" ht="47.25">
      <c r="A229" s="14"/>
      <c r="B229" s="129" t="s">
        <v>199</v>
      </c>
      <c r="C229" s="109" t="s">
        <v>64</v>
      </c>
      <c r="D229" s="108" t="s">
        <v>73</v>
      </c>
      <c r="E229" s="108" t="s">
        <v>57</v>
      </c>
      <c r="F229" s="108" t="s">
        <v>200</v>
      </c>
      <c r="G229" s="108" t="s">
        <v>9</v>
      </c>
      <c r="H229" s="126">
        <f t="shared" ref="H229:H230" si="23">H230</f>
        <v>0</v>
      </c>
      <c r="L229" s="20">
        <v>5000</v>
      </c>
      <c r="M229" s="20">
        <v>5000</v>
      </c>
      <c r="N229" s="20">
        <v>5000</v>
      </c>
      <c r="O229" s="20">
        <f t="shared" si="22"/>
        <v>-5000</v>
      </c>
      <c r="P229" s="20" t="e">
        <f>#REF!-M229</f>
        <v>#REF!</v>
      </c>
      <c r="Q229" s="20" t="e">
        <f>#REF!-N229</f>
        <v>#REF!</v>
      </c>
      <c r="R229" s="17" t="str">
        <f t="shared" si="19"/>
        <v>12 1 01 00000000</v>
      </c>
    </row>
    <row r="230" spans="1:18" s="16" customFormat="1" ht="47.25">
      <c r="A230" s="14"/>
      <c r="B230" s="129" t="s">
        <v>201</v>
      </c>
      <c r="C230" s="109" t="s">
        <v>64</v>
      </c>
      <c r="D230" s="108" t="s">
        <v>73</v>
      </c>
      <c r="E230" s="108" t="s">
        <v>57</v>
      </c>
      <c r="F230" s="108" t="s">
        <v>202</v>
      </c>
      <c r="G230" s="108" t="s">
        <v>9</v>
      </c>
      <c r="H230" s="126">
        <f t="shared" si="23"/>
        <v>0</v>
      </c>
      <c r="L230" s="20">
        <v>5000</v>
      </c>
      <c r="M230" s="20">
        <v>5000</v>
      </c>
      <c r="N230" s="20">
        <v>5000</v>
      </c>
      <c r="O230" s="20">
        <f t="shared" si="22"/>
        <v>-5000</v>
      </c>
      <c r="P230" s="20" t="e">
        <f>#REF!-M230</f>
        <v>#REF!</v>
      </c>
      <c r="Q230" s="20" t="e">
        <f>#REF!-N230</f>
        <v>#REF!</v>
      </c>
      <c r="R230" s="17" t="str">
        <f t="shared" si="19"/>
        <v>12 1 01 60130000</v>
      </c>
    </row>
    <row r="231" spans="1:18" s="16" customFormat="1" ht="63">
      <c r="A231" s="14"/>
      <c r="B231" s="129" t="s">
        <v>203</v>
      </c>
      <c r="C231" s="109" t="s">
        <v>64</v>
      </c>
      <c r="D231" s="108" t="s">
        <v>73</v>
      </c>
      <c r="E231" s="108" t="s">
        <v>57</v>
      </c>
      <c r="F231" s="108" t="s">
        <v>202</v>
      </c>
      <c r="G231" s="108" t="s">
        <v>204</v>
      </c>
      <c r="H231" s="126">
        <f>SUM(H232:H233)</f>
        <v>0</v>
      </c>
      <c r="L231" s="20">
        <v>5000</v>
      </c>
      <c r="M231" s="20">
        <v>5000</v>
      </c>
      <c r="N231" s="20">
        <v>5000</v>
      </c>
      <c r="O231" s="20">
        <f t="shared" si="22"/>
        <v>-5000</v>
      </c>
      <c r="P231" s="20" t="e">
        <f>#REF!-M231</f>
        <v>#REF!</v>
      </c>
      <c r="Q231" s="20" t="e">
        <f>#REF!-N231</f>
        <v>#REF!</v>
      </c>
      <c r="R231" s="17" t="str">
        <f t="shared" si="19"/>
        <v>12 1 01 60130810</v>
      </c>
    </row>
    <row r="232" spans="1:18" s="23" customFormat="1" ht="63">
      <c r="A232" s="21"/>
      <c r="B232" s="127" t="s">
        <v>205</v>
      </c>
      <c r="C232" s="109" t="s">
        <v>64</v>
      </c>
      <c r="D232" s="108" t="s">
        <v>73</v>
      </c>
      <c r="E232" s="108" t="s">
        <v>57</v>
      </c>
      <c r="F232" s="108" t="s">
        <v>202</v>
      </c>
      <c r="G232" s="108" t="s">
        <v>206</v>
      </c>
      <c r="H232" s="126"/>
      <c r="L232" s="22"/>
      <c r="M232" s="22"/>
      <c r="N232" s="22"/>
      <c r="O232" s="22"/>
      <c r="P232" s="22"/>
      <c r="Q232" s="22"/>
      <c r="R232" s="24"/>
    </row>
    <row r="233" spans="1:18" s="23" customFormat="1" ht="110.25">
      <c r="A233" s="21"/>
      <c r="B233" s="127" t="s">
        <v>207</v>
      </c>
      <c r="C233" s="109" t="s">
        <v>64</v>
      </c>
      <c r="D233" s="108" t="s">
        <v>73</v>
      </c>
      <c r="E233" s="108" t="s">
        <v>57</v>
      </c>
      <c r="F233" s="108" t="s">
        <v>202</v>
      </c>
      <c r="G233" s="108" t="s">
        <v>208</v>
      </c>
      <c r="H233" s="126"/>
      <c r="L233" s="22"/>
      <c r="M233" s="22"/>
      <c r="N233" s="22"/>
      <c r="O233" s="22"/>
      <c r="P233" s="22"/>
      <c r="Q233" s="22"/>
      <c r="R233" s="24"/>
    </row>
    <row r="234" spans="1:18" s="16" customFormat="1" ht="63">
      <c r="A234" s="14"/>
      <c r="B234" s="129" t="s">
        <v>209</v>
      </c>
      <c r="C234" s="109" t="s">
        <v>64</v>
      </c>
      <c r="D234" s="108" t="s">
        <v>73</v>
      </c>
      <c r="E234" s="108" t="s">
        <v>57</v>
      </c>
      <c r="F234" s="108" t="s">
        <v>210</v>
      </c>
      <c r="G234" s="108" t="s">
        <v>9</v>
      </c>
      <c r="H234" s="126">
        <f t="shared" ref="H234" si="24">H235</f>
        <v>0</v>
      </c>
      <c r="L234" s="20">
        <v>2550</v>
      </c>
      <c r="M234" s="20">
        <v>2550</v>
      </c>
      <c r="N234" s="20">
        <v>2550</v>
      </c>
      <c r="O234" s="20">
        <f>H234-L234</f>
        <v>-2550</v>
      </c>
      <c r="P234" s="20" t="e">
        <f>#REF!-M234</f>
        <v>#REF!</v>
      </c>
      <c r="Q234" s="20" t="e">
        <f>#REF!-N234</f>
        <v>#REF!</v>
      </c>
      <c r="R234" s="17" t="str">
        <f t="shared" si="19"/>
        <v>12 1 02 00000000</v>
      </c>
    </row>
    <row r="235" spans="1:18" s="16" customFormat="1" ht="47.25">
      <c r="A235" s="14"/>
      <c r="B235" s="129" t="s">
        <v>211</v>
      </c>
      <c r="C235" s="109" t="s">
        <v>64</v>
      </c>
      <c r="D235" s="108" t="s">
        <v>73</v>
      </c>
      <c r="E235" s="108" t="s">
        <v>57</v>
      </c>
      <c r="F235" s="108" t="s">
        <v>212</v>
      </c>
      <c r="G235" s="108" t="s">
        <v>9</v>
      </c>
      <c r="H235" s="126">
        <f>H236+H238</f>
        <v>0</v>
      </c>
      <c r="L235" s="20">
        <v>2550</v>
      </c>
      <c r="M235" s="20">
        <v>2550</v>
      </c>
      <c r="N235" s="20">
        <v>2550</v>
      </c>
      <c r="O235" s="20">
        <f>H235-L235</f>
        <v>-2550</v>
      </c>
      <c r="P235" s="20" t="e">
        <f>#REF!-M235</f>
        <v>#REF!</v>
      </c>
      <c r="Q235" s="20" t="e">
        <f>#REF!-N235</f>
        <v>#REF!</v>
      </c>
      <c r="R235" s="17" t="str">
        <f t="shared" si="19"/>
        <v>12 1 02 20480000</v>
      </c>
    </row>
    <row r="236" spans="1:18" s="16" customFormat="1" ht="31.5">
      <c r="A236" s="14"/>
      <c r="B236" s="125" t="s">
        <v>28</v>
      </c>
      <c r="C236" s="109" t="s">
        <v>64</v>
      </c>
      <c r="D236" s="108" t="s">
        <v>73</v>
      </c>
      <c r="E236" s="108" t="s">
        <v>57</v>
      </c>
      <c r="F236" s="108" t="s">
        <v>212</v>
      </c>
      <c r="G236" s="108" t="s">
        <v>29</v>
      </c>
      <c r="H236" s="126">
        <f>H237</f>
        <v>0</v>
      </c>
      <c r="L236" s="20">
        <v>150</v>
      </c>
      <c r="M236" s="20">
        <v>150</v>
      </c>
      <c r="N236" s="20">
        <v>150</v>
      </c>
      <c r="O236" s="20">
        <f>H236-L236</f>
        <v>-150</v>
      </c>
      <c r="P236" s="20" t="e">
        <f>#REF!-M236</f>
        <v>#REF!</v>
      </c>
      <c r="Q236" s="20" t="e">
        <f>#REF!-N236</f>
        <v>#REF!</v>
      </c>
      <c r="R236" s="17" t="str">
        <f t="shared" si="19"/>
        <v>12 1 02 20480240</v>
      </c>
    </row>
    <row r="237" spans="1:18" s="16" customFormat="1" ht="15.75">
      <c r="A237" s="14"/>
      <c r="B237" s="125" t="s">
        <v>30</v>
      </c>
      <c r="C237" s="109" t="s">
        <v>64</v>
      </c>
      <c r="D237" s="108" t="s">
        <v>73</v>
      </c>
      <c r="E237" s="108" t="s">
        <v>57</v>
      </c>
      <c r="F237" s="108" t="s">
        <v>212</v>
      </c>
      <c r="G237" s="108" t="s">
        <v>31</v>
      </c>
      <c r="H237" s="126"/>
      <c r="L237" s="20"/>
      <c r="M237" s="20"/>
      <c r="N237" s="20"/>
      <c r="O237" s="20"/>
      <c r="P237" s="20"/>
      <c r="Q237" s="20"/>
      <c r="R237" s="17"/>
    </row>
    <row r="238" spans="1:18" s="16" customFormat="1" ht="47.25">
      <c r="A238" s="14"/>
      <c r="B238" s="137" t="s">
        <v>182</v>
      </c>
      <c r="C238" s="109" t="s">
        <v>64</v>
      </c>
      <c r="D238" s="108" t="s">
        <v>73</v>
      </c>
      <c r="E238" s="108" t="s">
        <v>57</v>
      </c>
      <c r="F238" s="108" t="s">
        <v>212</v>
      </c>
      <c r="G238" s="108" t="s">
        <v>183</v>
      </c>
      <c r="H238" s="126">
        <f>H239</f>
        <v>0</v>
      </c>
      <c r="L238" s="20">
        <v>2400</v>
      </c>
      <c r="M238" s="20">
        <v>2400</v>
      </c>
      <c r="N238" s="20">
        <v>2400</v>
      </c>
      <c r="O238" s="20">
        <f>H238-L238</f>
        <v>-2400</v>
      </c>
      <c r="P238" s="20" t="e">
        <f>#REF!-M238</f>
        <v>#REF!</v>
      </c>
      <c r="Q238" s="20" t="e">
        <f>#REF!-N238</f>
        <v>#REF!</v>
      </c>
      <c r="R238" s="17" t="str">
        <f t="shared" si="19"/>
        <v>12 1 02 20480630</v>
      </c>
    </row>
    <row r="239" spans="1:18" s="16" customFormat="1" ht="47.25">
      <c r="A239" s="14"/>
      <c r="B239" s="125" t="s">
        <v>213</v>
      </c>
      <c r="C239" s="109" t="s">
        <v>64</v>
      </c>
      <c r="D239" s="108" t="s">
        <v>73</v>
      </c>
      <c r="E239" s="108" t="s">
        <v>57</v>
      </c>
      <c r="F239" s="108" t="s">
        <v>212</v>
      </c>
      <c r="G239" s="108" t="s">
        <v>214</v>
      </c>
      <c r="H239" s="126"/>
      <c r="L239" s="20"/>
      <c r="M239" s="20"/>
      <c r="N239" s="20"/>
      <c r="O239" s="20"/>
      <c r="P239" s="20"/>
      <c r="Q239" s="20"/>
      <c r="R239" s="17" t="str">
        <f t="shared" si="19"/>
        <v>12 1 02 20480634</v>
      </c>
    </row>
    <row r="240" spans="1:18" s="16" customFormat="1" ht="63">
      <c r="A240" s="14"/>
      <c r="B240" s="129" t="s">
        <v>215</v>
      </c>
      <c r="C240" s="109" t="s">
        <v>64</v>
      </c>
      <c r="D240" s="108" t="s">
        <v>73</v>
      </c>
      <c r="E240" s="108" t="s">
        <v>57</v>
      </c>
      <c r="F240" s="108" t="s">
        <v>216</v>
      </c>
      <c r="G240" s="108" t="s">
        <v>9</v>
      </c>
      <c r="H240" s="126">
        <f t="shared" ref="H240:H241" si="25">H241</f>
        <v>0</v>
      </c>
      <c r="L240" s="20">
        <v>660</v>
      </c>
      <c r="M240" s="20">
        <v>660</v>
      </c>
      <c r="N240" s="20">
        <v>660</v>
      </c>
      <c r="O240" s="20">
        <f>H240-L240</f>
        <v>-660</v>
      </c>
      <c r="P240" s="20" t="e">
        <f>#REF!-M240</f>
        <v>#REF!</v>
      </c>
      <c r="Q240" s="20" t="e">
        <f>#REF!-N240</f>
        <v>#REF!</v>
      </c>
      <c r="R240" s="17" t="str">
        <f t="shared" si="19"/>
        <v>12 1 03 00000000</v>
      </c>
    </row>
    <row r="241" spans="1:18" s="16" customFormat="1" ht="47.25">
      <c r="A241" s="14"/>
      <c r="B241" s="129" t="s">
        <v>211</v>
      </c>
      <c r="C241" s="109" t="s">
        <v>64</v>
      </c>
      <c r="D241" s="108" t="s">
        <v>73</v>
      </c>
      <c r="E241" s="108" t="s">
        <v>57</v>
      </c>
      <c r="F241" s="108" t="s">
        <v>217</v>
      </c>
      <c r="G241" s="108" t="s">
        <v>9</v>
      </c>
      <c r="H241" s="126">
        <f t="shared" si="25"/>
        <v>0</v>
      </c>
      <c r="L241" s="20">
        <v>660</v>
      </c>
      <c r="M241" s="20">
        <v>660</v>
      </c>
      <c r="N241" s="20">
        <v>660</v>
      </c>
      <c r="O241" s="20">
        <f>H241-L241</f>
        <v>-660</v>
      </c>
      <c r="P241" s="20" t="e">
        <f>#REF!-M241</f>
        <v>#REF!</v>
      </c>
      <c r="Q241" s="20" t="e">
        <f>#REF!-N241</f>
        <v>#REF!</v>
      </c>
      <c r="R241" s="17" t="str">
        <f t="shared" si="19"/>
        <v>12 1 03 20480000</v>
      </c>
    </row>
    <row r="242" spans="1:18" s="16" customFormat="1" ht="31.5">
      <c r="A242" s="14"/>
      <c r="B242" s="125" t="s">
        <v>28</v>
      </c>
      <c r="C242" s="109" t="s">
        <v>64</v>
      </c>
      <c r="D242" s="108" t="s">
        <v>73</v>
      </c>
      <c r="E242" s="108" t="s">
        <v>57</v>
      </c>
      <c r="F242" s="108" t="s">
        <v>217</v>
      </c>
      <c r="G242" s="108" t="s">
        <v>29</v>
      </c>
      <c r="H242" s="126">
        <f>H243</f>
        <v>0</v>
      </c>
      <c r="L242" s="20">
        <v>660</v>
      </c>
      <c r="M242" s="20">
        <v>660</v>
      </c>
      <c r="N242" s="20">
        <v>660</v>
      </c>
      <c r="O242" s="20">
        <f>H242-L242</f>
        <v>-660</v>
      </c>
      <c r="P242" s="20" t="e">
        <f>#REF!-M242</f>
        <v>#REF!</v>
      </c>
      <c r="Q242" s="20" t="e">
        <f>#REF!-N242</f>
        <v>#REF!</v>
      </c>
      <c r="R242" s="17" t="str">
        <f t="shared" si="19"/>
        <v>12 1 03 20480240</v>
      </c>
    </row>
    <row r="243" spans="1:18" s="16" customFormat="1" ht="15.75">
      <c r="A243" s="14"/>
      <c r="B243" s="125" t="s">
        <v>30</v>
      </c>
      <c r="C243" s="109" t="s">
        <v>64</v>
      </c>
      <c r="D243" s="108" t="s">
        <v>73</v>
      </c>
      <c r="E243" s="108" t="s">
        <v>57</v>
      </c>
      <c r="F243" s="108" t="s">
        <v>217</v>
      </c>
      <c r="G243" s="108" t="s">
        <v>31</v>
      </c>
      <c r="H243" s="126"/>
      <c r="L243" s="20"/>
      <c r="M243" s="20"/>
      <c r="N243" s="20"/>
      <c r="O243" s="20"/>
      <c r="P243" s="20"/>
      <c r="Q243" s="20"/>
      <c r="R243" s="17" t="str">
        <f t="shared" si="19"/>
        <v>12 1 03 20480244</v>
      </c>
    </row>
    <row r="244" spans="1:18" s="16" customFormat="1" ht="31.5">
      <c r="A244" s="14"/>
      <c r="B244" s="125" t="s">
        <v>96</v>
      </c>
      <c r="C244" s="109" t="s">
        <v>64</v>
      </c>
      <c r="D244" s="108" t="s">
        <v>73</v>
      </c>
      <c r="E244" s="108" t="s">
        <v>57</v>
      </c>
      <c r="F244" s="108" t="s">
        <v>97</v>
      </c>
      <c r="G244" s="108" t="s">
        <v>9</v>
      </c>
      <c r="H244" s="126">
        <f>H249+H245</f>
        <v>0</v>
      </c>
      <c r="L244" s="20">
        <v>3337.5</v>
      </c>
      <c r="M244" s="20">
        <v>3337.5</v>
      </c>
      <c r="N244" s="20">
        <v>3337.5</v>
      </c>
      <c r="O244" s="20">
        <f>H244-L244</f>
        <v>-3337.5</v>
      </c>
      <c r="P244" s="20" t="e">
        <f>#REF!-M244</f>
        <v>#REF!</v>
      </c>
      <c r="Q244" s="20" t="e">
        <f>#REF!-N244</f>
        <v>#REF!</v>
      </c>
      <c r="R244" s="17" t="str">
        <f t="shared" si="19"/>
        <v>12 2 00 00000000</v>
      </c>
    </row>
    <row r="245" spans="1:18" s="16" customFormat="1" ht="31.5">
      <c r="A245" s="14"/>
      <c r="B245" s="129" t="s">
        <v>218</v>
      </c>
      <c r="C245" s="109" t="s">
        <v>64</v>
      </c>
      <c r="D245" s="108" t="s">
        <v>73</v>
      </c>
      <c r="E245" s="108" t="s">
        <v>57</v>
      </c>
      <c r="F245" s="108" t="s">
        <v>219</v>
      </c>
      <c r="G245" s="108" t="s">
        <v>9</v>
      </c>
      <c r="H245" s="126">
        <f>H246</f>
        <v>0</v>
      </c>
      <c r="L245" s="20">
        <v>1150</v>
      </c>
      <c r="M245" s="20">
        <v>1150</v>
      </c>
      <c r="N245" s="20">
        <v>1150</v>
      </c>
      <c r="O245" s="20">
        <f>H245-L245</f>
        <v>-1150</v>
      </c>
      <c r="P245" s="20" t="e">
        <f>#REF!-M245</f>
        <v>#REF!</v>
      </c>
      <c r="Q245" s="20" t="e">
        <f>#REF!-N245</f>
        <v>#REF!</v>
      </c>
      <c r="R245" s="17" t="str">
        <f t="shared" si="19"/>
        <v>12 2 01 00000000</v>
      </c>
    </row>
    <row r="246" spans="1:18" s="16" customFormat="1" ht="31.5">
      <c r="A246" s="14"/>
      <c r="B246" s="129" t="s">
        <v>220</v>
      </c>
      <c r="C246" s="109" t="s">
        <v>64</v>
      </c>
      <c r="D246" s="108" t="s">
        <v>73</v>
      </c>
      <c r="E246" s="108" t="s">
        <v>57</v>
      </c>
      <c r="F246" s="108" t="s">
        <v>221</v>
      </c>
      <c r="G246" s="108" t="s">
        <v>9</v>
      </c>
      <c r="H246" s="126">
        <f>H247</f>
        <v>0</v>
      </c>
      <c r="L246" s="20">
        <v>1150</v>
      </c>
      <c r="M246" s="20">
        <v>1150</v>
      </c>
      <c r="N246" s="20">
        <v>1150</v>
      </c>
      <c r="O246" s="20">
        <f>H246-L246</f>
        <v>-1150</v>
      </c>
      <c r="P246" s="20" t="e">
        <f>#REF!-M246</f>
        <v>#REF!</v>
      </c>
      <c r="Q246" s="20" t="e">
        <f>#REF!-N246</f>
        <v>#REF!</v>
      </c>
      <c r="R246" s="17" t="str">
        <f t="shared" si="19"/>
        <v>12 2 01 20650000</v>
      </c>
    </row>
    <row r="247" spans="1:18" s="16" customFormat="1" ht="31.5">
      <c r="A247" s="14"/>
      <c r="B247" s="125" t="s">
        <v>28</v>
      </c>
      <c r="C247" s="109" t="s">
        <v>64</v>
      </c>
      <c r="D247" s="108" t="s">
        <v>73</v>
      </c>
      <c r="E247" s="108" t="s">
        <v>57</v>
      </c>
      <c r="F247" s="108" t="s">
        <v>221</v>
      </c>
      <c r="G247" s="108" t="s">
        <v>29</v>
      </c>
      <c r="H247" s="126">
        <f>H248</f>
        <v>0</v>
      </c>
      <c r="L247" s="20">
        <v>1150</v>
      </c>
      <c r="M247" s="20">
        <v>1150</v>
      </c>
      <c r="N247" s="20">
        <v>1150</v>
      </c>
      <c r="O247" s="20">
        <f>H247-L247</f>
        <v>-1150</v>
      </c>
      <c r="P247" s="20" t="e">
        <f>#REF!-M247</f>
        <v>#REF!</v>
      </c>
      <c r="Q247" s="20" t="e">
        <f>#REF!-N247</f>
        <v>#REF!</v>
      </c>
      <c r="R247" s="17" t="str">
        <f t="shared" si="19"/>
        <v>12 2 01 20650240</v>
      </c>
    </row>
    <row r="248" spans="1:18" s="16" customFormat="1" ht="15.75">
      <c r="A248" s="14"/>
      <c r="B248" s="125" t="s">
        <v>30</v>
      </c>
      <c r="C248" s="109" t="s">
        <v>64</v>
      </c>
      <c r="D248" s="108" t="s">
        <v>73</v>
      </c>
      <c r="E248" s="108" t="s">
        <v>57</v>
      </c>
      <c r="F248" s="108" t="s">
        <v>221</v>
      </c>
      <c r="G248" s="108" t="s">
        <v>31</v>
      </c>
      <c r="H248" s="126"/>
      <c r="L248" s="20"/>
      <c r="M248" s="20"/>
      <c r="N248" s="20"/>
      <c r="O248" s="20"/>
      <c r="P248" s="20"/>
      <c r="Q248" s="20"/>
      <c r="R248" s="17" t="str">
        <f t="shared" si="19"/>
        <v>12 2 01 20650244</v>
      </c>
    </row>
    <row r="249" spans="1:18" s="16" customFormat="1" ht="31.5">
      <c r="A249" s="14"/>
      <c r="B249" s="125" t="s">
        <v>222</v>
      </c>
      <c r="C249" s="109" t="s">
        <v>64</v>
      </c>
      <c r="D249" s="108" t="s">
        <v>73</v>
      </c>
      <c r="E249" s="108" t="s">
        <v>57</v>
      </c>
      <c r="F249" s="108" t="s">
        <v>223</v>
      </c>
      <c r="G249" s="108" t="s">
        <v>9</v>
      </c>
      <c r="H249" s="126">
        <f t="shared" ref="H249" si="26">H250</f>
        <v>0</v>
      </c>
      <c r="L249" s="20">
        <v>2187.5</v>
      </c>
      <c r="M249" s="20">
        <v>2187.5</v>
      </c>
      <c r="N249" s="20">
        <v>2187.5</v>
      </c>
      <c r="O249" s="20">
        <f>H249-L249</f>
        <v>-2187.5</v>
      </c>
      <c r="P249" s="20" t="e">
        <f>#REF!-M249</f>
        <v>#REF!</v>
      </c>
      <c r="Q249" s="20" t="e">
        <f>#REF!-N249</f>
        <v>#REF!</v>
      </c>
      <c r="R249" s="17" t="str">
        <f t="shared" si="19"/>
        <v>12 2 02 00000000</v>
      </c>
    </row>
    <row r="250" spans="1:18" s="16" customFormat="1" ht="47.25">
      <c r="A250" s="14"/>
      <c r="B250" s="129" t="s">
        <v>224</v>
      </c>
      <c r="C250" s="109" t="s">
        <v>64</v>
      </c>
      <c r="D250" s="108" t="s">
        <v>73</v>
      </c>
      <c r="E250" s="108" t="s">
        <v>57</v>
      </c>
      <c r="F250" s="108" t="s">
        <v>225</v>
      </c>
      <c r="G250" s="108" t="s">
        <v>9</v>
      </c>
      <c r="H250" s="126">
        <f>H251+H253</f>
        <v>0</v>
      </c>
      <c r="L250" s="20">
        <v>2187.5</v>
      </c>
      <c r="M250" s="20">
        <v>2187.5</v>
      </c>
      <c r="N250" s="20">
        <v>2187.5</v>
      </c>
      <c r="O250" s="20">
        <f>H250-L250</f>
        <v>-2187.5</v>
      </c>
      <c r="P250" s="20" t="e">
        <f>#REF!-M250</f>
        <v>#REF!</v>
      </c>
      <c r="Q250" s="20" t="e">
        <f>#REF!-N250</f>
        <v>#REF!</v>
      </c>
      <c r="R250" s="17" t="str">
        <f t="shared" si="19"/>
        <v>12 2 02 20640000</v>
      </c>
    </row>
    <row r="251" spans="1:18" s="16" customFormat="1" ht="31.5">
      <c r="A251" s="14"/>
      <c r="B251" s="125" t="s">
        <v>28</v>
      </c>
      <c r="C251" s="109" t="s">
        <v>64</v>
      </c>
      <c r="D251" s="108" t="s">
        <v>73</v>
      </c>
      <c r="E251" s="108" t="s">
        <v>57</v>
      </c>
      <c r="F251" s="108" t="s">
        <v>225</v>
      </c>
      <c r="G251" s="108" t="s">
        <v>29</v>
      </c>
      <c r="H251" s="126">
        <f>H252</f>
        <v>0</v>
      </c>
      <c r="L251" s="20">
        <v>2087.5</v>
      </c>
      <c r="M251" s="20">
        <v>2087.5</v>
      </c>
      <c r="N251" s="20">
        <v>2087.5</v>
      </c>
      <c r="O251" s="20">
        <f>H251-L251</f>
        <v>-2087.5</v>
      </c>
      <c r="P251" s="20" t="e">
        <f>#REF!-M251</f>
        <v>#REF!</v>
      </c>
      <c r="Q251" s="20" t="e">
        <f>#REF!-N251</f>
        <v>#REF!</v>
      </c>
      <c r="R251" s="17" t="str">
        <f t="shared" si="19"/>
        <v>12 2 02 20640240</v>
      </c>
    </row>
    <row r="252" spans="1:18" s="16" customFormat="1" ht="15.75">
      <c r="A252" s="14"/>
      <c r="B252" s="125" t="s">
        <v>30</v>
      </c>
      <c r="C252" s="109" t="s">
        <v>64</v>
      </c>
      <c r="D252" s="108" t="s">
        <v>73</v>
      </c>
      <c r="E252" s="108" t="s">
        <v>57</v>
      </c>
      <c r="F252" s="108" t="s">
        <v>225</v>
      </c>
      <c r="G252" s="108" t="s">
        <v>31</v>
      </c>
      <c r="H252" s="126"/>
      <c r="L252" s="20"/>
      <c r="M252" s="20"/>
      <c r="N252" s="20"/>
      <c r="O252" s="20"/>
      <c r="P252" s="20"/>
      <c r="Q252" s="20"/>
      <c r="R252" s="17" t="str">
        <f t="shared" si="19"/>
        <v>12 2 02 20640244</v>
      </c>
    </row>
    <row r="253" spans="1:18" s="16" customFormat="1" ht="63">
      <c r="A253" s="14"/>
      <c r="B253" s="125" t="s">
        <v>203</v>
      </c>
      <c r="C253" s="109" t="s">
        <v>64</v>
      </c>
      <c r="D253" s="108" t="s">
        <v>73</v>
      </c>
      <c r="E253" s="108" t="s">
        <v>57</v>
      </c>
      <c r="F253" s="108" t="s">
        <v>225</v>
      </c>
      <c r="G253" s="108" t="s">
        <v>204</v>
      </c>
      <c r="H253" s="126">
        <f>H254</f>
        <v>0</v>
      </c>
      <c r="L253" s="20">
        <v>100</v>
      </c>
      <c r="M253" s="20">
        <v>100</v>
      </c>
      <c r="N253" s="20">
        <v>100</v>
      </c>
      <c r="O253" s="20">
        <f>H253-L253</f>
        <v>-100</v>
      </c>
      <c r="P253" s="20" t="e">
        <f>#REF!-M253</f>
        <v>#REF!</v>
      </c>
      <c r="Q253" s="20" t="e">
        <f>#REF!-N253</f>
        <v>#REF!</v>
      </c>
      <c r="R253" s="17" t="str">
        <f t="shared" si="19"/>
        <v>12 2 02 20640810</v>
      </c>
    </row>
    <row r="254" spans="1:18" s="23" customFormat="1" ht="110.25">
      <c r="A254" s="21"/>
      <c r="B254" s="127" t="s">
        <v>226</v>
      </c>
      <c r="C254" s="109" t="s">
        <v>64</v>
      </c>
      <c r="D254" s="108" t="s">
        <v>73</v>
      </c>
      <c r="E254" s="108" t="s">
        <v>57</v>
      </c>
      <c r="F254" s="108" t="s">
        <v>225</v>
      </c>
      <c r="G254" s="108" t="s">
        <v>227</v>
      </c>
      <c r="H254" s="126"/>
      <c r="L254" s="22"/>
      <c r="M254" s="22"/>
      <c r="N254" s="22"/>
      <c r="O254" s="22"/>
      <c r="P254" s="22"/>
      <c r="Q254" s="22"/>
      <c r="R254" s="24" t="str">
        <f t="shared" si="19"/>
        <v>12 2 02 20640813</v>
      </c>
    </row>
    <row r="255" spans="1:18" s="16" customFormat="1" ht="15.75">
      <c r="A255" s="14"/>
      <c r="B255" s="117" t="s">
        <v>228</v>
      </c>
      <c r="C255" s="118" t="s">
        <v>64</v>
      </c>
      <c r="D255" s="119" t="s">
        <v>229</v>
      </c>
      <c r="E255" s="119" t="s">
        <v>7</v>
      </c>
      <c r="F255" s="119" t="s">
        <v>8</v>
      </c>
      <c r="G255" s="119" t="s">
        <v>9</v>
      </c>
      <c r="H255" s="120">
        <f t="shared" ref="H255:H260" si="27">H256</f>
        <v>0</v>
      </c>
      <c r="L255" s="18">
        <v>160</v>
      </c>
      <c r="M255" s="18">
        <v>160</v>
      </c>
      <c r="N255" s="18">
        <v>160</v>
      </c>
      <c r="O255" s="18">
        <f t="shared" ref="O255:O261" si="28">H255-L255</f>
        <v>-160</v>
      </c>
      <c r="P255" s="18" t="e">
        <f>#REF!-M255</f>
        <v>#REF!</v>
      </c>
      <c r="Q255" s="18" t="e">
        <f>#REF!-N255</f>
        <v>#REF!</v>
      </c>
      <c r="R255" s="17" t="str">
        <f t="shared" si="19"/>
        <v>00 0 00 00000000</v>
      </c>
    </row>
    <row r="256" spans="1:18" s="16" customFormat="1" ht="31.5">
      <c r="A256" s="14"/>
      <c r="B256" s="121" t="s">
        <v>230</v>
      </c>
      <c r="C256" s="122" t="s">
        <v>64</v>
      </c>
      <c r="D256" s="123" t="s">
        <v>229</v>
      </c>
      <c r="E256" s="123" t="s">
        <v>86</v>
      </c>
      <c r="F256" s="123" t="s">
        <v>8</v>
      </c>
      <c r="G256" s="123" t="s">
        <v>9</v>
      </c>
      <c r="H256" s="124">
        <f t="shared" si="27"/>
        <v>0</v>
      </c>
      <c r="L256" s="19">
        <v>160</v>
      </c>
      <c r="M256" s="19">
        <v>160</v>
      </c>
      <c r="N256" s="19">
        <v>160</v>
      </c>
      <c r="O256" s="19">
        <f t="shared" si="28"/>
        <v>-160</v>
      </c>
      <c r="P256" s="19" t="e">
        <f>#REF!-M256</f>
        <v>#REF!</v>
      </c>
      <c r="Q256" s="19" t="e">
        <f>#REF!-N256</f>
        <v>#REF!</v>
      </c>
      <c r="R256" s="17" t="str">
        <f t="shared" si="19"/>
        <v>00 0 00 00000000</v>
      </c>
    </row>
    <row r="257" spans="1:18" s="16" customFormat="1" ht="47.25">
      <c r="A257" s="14"/>
      <c r="B257" s="129" t="s">
        <v>103</v>
      </c>
      <c r="C257" s="109" t="s">
        <v>64</v>
      </c>
      <c r="D257" s="108" t="s">
        <v>229</v>
      </c>
      <c r="E257" s="108" t="s">
        <v>86</v>
      </c>
      <c r="F257" s="108" t="s">
        <v>104</v>
      </c>
      <c r="G257" s="108" t="s">
        <v>9</v>
      </c>
      <c r="H257" s="126">
        <f t="shared" si="27"/>
        <v>0</v>
      </c>
      <c r="L257" s="20">
        <v>160</v>
      </c>
      <c r="M257" s="20">
        <v>160</v>
      </c>
      <c r="N257" s="20">
        <v>160</v>
      </c>
      <c r="O257" s="20">
        <f t="shared" si="28"/>
        <v>-160</v>
      </c>
      <c r="P257" s="20" t="e">
        <f>#REF!-M257</f>
        <v>#REF!</v>
      </c>
      <c r="Q257" s="20" t="e">
        <f>#REF!-N257</f>
        <v>#REF!</v>
      </c>
      <c r="R257" s="17" t="str">
        <f t="shared" si="19"/>
        <v>13 0 00 00000000</v>
      </c>
    </row>
    <row r="258" spans="1:18" s="16" customFormat="1" ht="31.5">
      <c r="A258" s="14"/>
      <c r="B258" s="129" t="s">
        <v>231</v>
      </c>
      <c r="C258" s="109" t="s">
        <v>64</v>
      </c>
      <c r="D258" s="108" t="s">
        <v>229</v>
      </c>
      <c r="E258" s="108" t="s">
        <v>86</v>
      </c>
      <c r="F258" s="108" t="s">
        <v>232</v>
      </c>
      <c r="G258" s="108" t="s">
        <v>9</v>
      </c>
      <c r="H258" s="126">
        <f t="shared" si="27"/>
        <v>0</v>
      </c>
      <c r="L258" s="20">
        <v>160</v>
      </c>
      <c r="M258" s="20">
        <v>160</v>
      </c>
      <c r="N258" s="20">
        <v>160</v>
      </c>
      <c r="O258" s="20">
        <f t="shared" si="28"/>
        <v>-160</v>
      </c>
      <c r="P258" s="20" t="e">
        <f>#REF!-M258</f>
        <v>#REF!</v>
      </c>
      <c r="Q258" s="20" t="e">
        <f>#REF!-N258</f>
        <v>#REF!</v>
      </c>
      <c r="R258" s="17" t="str">
        <f t="shared" si="19"/>
        <v>13 1 00 00000000</v>
      </c>
    </row>
    <row r="259" spans="1:18" s="16" customFormat="1" ht="47.25">
      <c r="A259" s="14"/>
      <c r="B259" s="129" t="s">
        <v>233</v>
      </c>
      <c r="C259" s="109" t="s">
        <v>64</v>
      </c>
      <c r="D259" s="108" t="s">
        <v>229</v>
      </c>
      <c r="E259" s="108" t="s">
        <v>86</v>
      </c>
      <c r="F259" s="108" t="s">
        <v>234</v>
      </c>
      <c r="G259" s="108" t="s">
        <v>9</v>
      </c>
      <c r="H259" s="126">
        <f t="shared" si="27"/>
        <v>0</v>
      </c>
      <c r="L259" s="20">
        <v>160</v>
      </c>
      <c r="M259" s="20">
        <v>160</v>
      </c>
      <c r="N259" s="20">
        <v>160</v>
      </c>
      <c r="O259" s="20">
        <f t="shared" si="28"/>
        <v>-160</v>
      </c>
      <c r="P259" s="20" t="e">
        <f>#REF!-M259</f>
        <v>#REF!</v>
      </c>
      <c r="Q259" s="20" t="e">
        <f>#REF!-N259</f>
        <v>#REF!</v>
      </c>
      <c r="R259" s="17" t="str">
        <f t="shared" si="19"/>
        <v>13 1 01 00000000</v>
      </c>
    </row>
    <row r="260" spans="1:18" s="16" customFormat="1" ht="47.25">
      <c r="A260" s="14"/>
      <c r="B260" s="129" t="s">
        <v>235</v>
      </c>
      <c r="C260" s="109" t="s">
        <v>64</v>
      </c>
      <c r="D260" s="108" t="s">
        <v>229</v>
      </c>
      <c r="E260" s="108" t="s">
        <v>86</v>
      </c>
      <c r="F260" s="108" t="s">
        <v>236</v>
      </c>
      <c r="G260" s="108" t="s">
        <v>9</v>
      </c>
      <c r="H260" s="126">
        <f t="shared" si="27"/>
        <v>0</v>
      </c>
      <c r="L260" s="20">
        <v>160</v>
      </c>
      <c r="M260" s="20">
        <v>160</v>
      </c>
      <c r="N260" s="20">
        <v>160</v>
      </c>
      <c r="O260" s="20">
        <f t="shared" si="28"/>
        <v>-160</v>
      </c>
      <c r="P260" s="20" t="e">
        <f>#REF!-M260</f>
        <v>#REF!</v>
      </c>
      <c r="Q260" s="20" t="e">
        <f>#REF!-N260</f>
        <v>#REF!</v>
      </c>
      <c r="R260" s="17" t="str">
        <f t="shared" si="19"/>
        <v>13 1 01 20450000</v>
      </c>
    </row>
    <row r="261" spans="1:18" s="16" customFormat="1" ht="31.5">
      <c r="A261" s="14"/>
      <c r="B261" s="125" t="s">
        <v>28</v>
      </c>
      <c r="C261" s="109" t="s">
        <v>64</v>
      </c>
      <c r="D261" s="108" t="s">
        <v>229</v>
      </c>
      <c r="E261" s="108" t="s">
        <v>86</v>
      </c>
      <c r="F261" s="108" t="s">
        <v>236</v>
      </c>
      <c r="G261" s="108" t="s">
        <v>29</v>
      </c>
      <c r="H261" s="126">
        <f>H262</f>
        <v>0</v>
      </c>
      <c r="L261" s="20">
        <v>160</v>
      </c>
      <c r="M261" s="20">
        <v>160</v>
      </c>
      <c r="N261" s="20">
        <v>160</v>
      </c>
      <c r="O261" s="20">
        <f t="shared" si="28"/>
        <v>-160</v>
      </c>
      <c r="P261" s="20" t="e">
        <f>#REF!-M261</f>
        <v>#REF!</v>
      </c>
      <c r="Q261" s="20" t="e">
        <f>#REF!-N261</f>
        <v>#REF!</v>
      </c>
      <c r="R261" s="17" t="str">
        <f t="shared" si="19"/>
        <v>13 1 01 20450240</v>
      </c>
    </row>
    <row r="262" spans="1:18" s="16" customFormat="1" ht="15.75">
      <c r="A262" s="14"/>
      <c r="B262" s="125" t="s">
        <v>30</v>
      </c>
      <c r="C262" s="109" t="s">
        <v>64</v>
      </c>
      <c r="D262" s="108" t="s">
        <v>229</v>
      </c>
      <c r="E262" s="108" t="s">
        <v>86</v>
      </c>
      <c r="F262" s="108" t="s">
        <v>236</v>
      </c>
      <c r="G262" s="108" t="s">
        <v>31</v>
      </c>
      <c r="H262" s="126"/>
      <c r="L262" s="20"/>
      <c r="M262" s="20"/>
      <c r="N262" s="20"/>
      <c r="O262" s="20"/>
      <c r="P262" s="20"/>
      <c r="Q262" s="20"/>
      <c r="R262" s="17" t="str">
        <f t="shared" si="19"/>
        <v>13 1 01 20450244</v>
      </c>
    </row>
    <row r="263" spans="1:18" s="16" customFormat="1" ht="15.75">
      <c r="A263" s="14"/>
      <c r="B263" s="117" t="s">
        <v>237</v>
      </c>
      <c r="C263" s="118" t="s">
        <v>64</v>
      </c>
      <c r="D263" s="119" t="s">
        <v>238</v>
      </c>
      <c r="E263" s="119" t="s">
        <v>7</v>
      </c>
      <c r="F263" s="119" t="s">
        <v>8</v>
      </c>
      <c r="G263" s="119" t="s">
        <v>9</v>
      </c>
      <c r="H263" s="120">
        <f t="shared" ref="H263:H267" si="29">H264</f>
        <v>0</v>
      </c>
      <c r="L263" s="18">
        <v>1911</v>
      </c>
      <c r="M263" s="18">
        <v>1911</v>
      </c>
      <c r="N263" s="18">
        <v>1911</v>
      </c>
      <c r="O263" s="18">
        <f t="shared" ref="O263:O269" si="30">H263-L263</f>
        <v>-1911</v>
      </c>
      <c r="P263" s="18" t="e">
        <f>#REF!-M263</f>
        <v>#REF!</v>
      </c>
      <c r="Q263" s="18" t="e">
        <f>#REF!-N263</f>
        <v>#REF!</v>
      </c>
      <c r="R263" s="17" t="str">
        <f t="shared" si="19"/>
        <v>00 0 00 00000000</v>
      </c>
    </row>
    <row r="264" spans="1:18" s="16" customFormat="1" ht="15.75">
      <c r="A264" s="14"/>
      <c r="B264" s="121" t="s">
        <v>239</v>
      </c>
      <c r="C264" s="122" t="s">
        <v>64</v>
      </c>
      <c r="D264" s="123" t="s">
        <v>238</v>
      </c>
      <c r="E264" s="123" t="s">
        <v>11</v>
      </c>
      <c r="F264" s="123" t="s">
        <v>8</v>
      </c>
      <c r="G264" s="123" t="s">
        <v>9</v>
      </c>
      <c r="H264" s="124">
        <f t="shared" si="29"/>
        <v>0</v>
      </c>
      <c r="L264" s="19">
        <v>1911</v>
      </c>
      <c r="M264" s="19">
        <v>1911</v>
      </c>
      <c r="N264" s="19">
        <v>1911</v>
      </c>
      <c r="O264" s="19">
        <f t="shared" si="30"/>
        <v>-1911</v>
      </c>
      <c r="P264" s="19" t="e">
        <f>#REF!-M264</f>
        <v>#REF!</v>
      </c>
      <c r="Q264" s="19" t="e">
        <f>#REF!-N264</f>
        <v>#REF!</v>
      </c>
      <c r="R264" s="17" t="str">
        <f t="shared" si="19"/>
        <v>00 0 00 00000000</v>
      </c>
    </row>
    <row r="265" spans="1:18" s="16" customFormat="1" ht="31.5">
      <c r="A265" s="14"/>
      <c r="B265" s="125" t="s">
        <v>240</v>
      </c>
      <c r="C265" s="109" t="s">
        <v>64</v>
      </c>
      <c r="D265" s="108" t="s">
        <v>238</v>
      </c>
      <c r="E265" s="108" t="s">
        <v>11</v>
      </c>
      <c r="F265" s="108" t="s">
        <v>241</v>
      </c>
      <c r="G265" s="108" t="s">
        <v>9</v>
      </c>
      <c r="H265" s="126">
        <f t="shared" si="29"/>
        <v>0</v>
      </c>
      <c r="L265" s="20">
        <v>1911</v>
      </c>
      <c r="M265" s="20">
        <v>1911</v>
      </c>
      <c r="N265" s="20">
        <v>1911</v>
      </c>
      <c r="O265" s="20">
        <f t="shared" si="30"/>
        <v>-1911</v>
      </c>
      <c r="P265" s="20" t="e">
        <f>#REF!-M265</f>
        <v>#REF!</v>
      </c>
      <c r="Q265" s="20" t="e">
        <f>#REF!-N265</f>
        <v>#REF!</v>
      </c>
      <c r="R265" s="17" t="str">
        <f t="shared" si="19"/>
        <v>07 0 00 00000000</v>
      </c>
    </row>
    <row r="266" spans="1:18" s="16" customFormat="1" ht="78.75">
      <c r="A266" s="14"/>
      <c r="B266" s="129" t="s">
        <v>242</v>
      </c>
      <c r="C266" s="109" t="s">
        <v>64</v>
      </c>
      <c r="D266" s="108" t="s">
        <v>238</v>
      </c>
      <c r="E266" s="108" t="s">
        <v>11</v>
      </c>
      <c r="F266" s="108" t="s">
        <v>243</v>
      </c>
      <c r="G266" s="108" t="s">
        <v>9</v>
      </c>
      <c r="H266" s="126">
        <f t="shared" si="29"/>
        <v>0</v>
      </c>
      <c r="L266" s="20">
        <v>1911</v>
      </c>
      <c r="M266" s="20">
        <v>1911</v>
      </c>
      <c r="N266" s="20">
        <v>1911</v>
      </c>
      <c r="O266" s="20">
        <f t="shared" si="30"/>
        <v>-1911</v>
      </c>
      <c r="P266" s="20" t="e">
        <f>#REF!-M266</f>
        <v>#REF!</v>
      </c>
      <c r="Q266" s="20" t="e">
        <f>#REF!-N266</f>
        <v>#REF!</v>
      </c>
      <c r="R266" s="17" t="str">
        <f t="shared" si="19"/>
        <v>07 1 00 00000000</v>
      </c>
    </row>
    <row r="267" spans="1:18" s="16" customFormat="1" ht="110.25">
      <c r="A267" s="14"/>
      <c r="B267" s="129" t="s">
        <v>244</v>
      </c>
      <c r="C267" s="109" t="s">
        <v>64</v>
      </c>
      <c r="D267" s="108" t="s">
        <v>238</v>
      </c>
      <c r="E267" s="108" t="s">
        <v>11</v>
      </c>
      <c r="F267" s="108" t="s">
        <v>245</v>
      </c>
      <c r="G267" s="108" t="s">
        <v>9</v>
      </c>
      <c r="H267" s="126">
        <f t="shared" si="29"/>
        <v>0</v>
      </c>
      <c r="L267" s="20">
        <v>1911</v>
      </c>
      <c r="M267" s="20">
        <v>1911</v>
      </c>
      <c r="N267" s="20">
        <v>1911</v>
      </c>
      <c r="O267" s="20">
        <f t="shared" si="30"/>
        <v>-1911</v>
      </c>
      <c r="P267" s="20" t="e">
        <f>#REF!-M267</f>
        <v>#REF!</v>
      </c>
      <c r="Q267" s="20" t="e">
        <f>#REF!-N267</f>
        <v>#REF!</v>
      </c>
      <c r="R267" s="17" t="str">
        <f t="shared" si="19"/>
        <v>07 1 01 00000000</v>
      </c>
    </row>
    <row r="268" spans="1:18" s="16" customFormat="1" ht="31.5">
      <c r="A268" s="14"/>
      <c r="B268" s="129" t="s">
        <v>246</v>
      </c>
      <c r="C268" s="109" t="s">
        <v>64</v>
      </c>
      <c r="D268" s="108" t="s">
        <v>238</v>
      </c>
      <c r="E268" s="108" t="s">
        <v>11</v>
      </c>
      <c r="F268" s="108" t="s">
        <v>247</v>
      </c>
      <c r="G268" s="108" t="s">
        <v>9</v>
      </c>
      <c r="H268" s="126">
        <f>H269</f>
        <v>0</v>
      </c>
      <c r="L268" s="20">
        <v>1911</v>
      </c>
      <c r="M268" s="20">
        <v>1911</v>
      </c>
      <c r="N268" s="20">
        <v>1911</v>
      </c>
      <c r="O268" s="20">
        <f t="shared" si="30"/>
        <v>-1911</v>
      </c>
      <c r="P268" s="20" t="e">
        <f>#REF!-M268</f>
        <v>#REF!</v>
      </c>
      <c r="Q268" s="20" t="e">
        <f>#REF!-N268</f>
        <v>#REF!</v>
      </c>
      <c r="R268" s="17" t="str">
        <f t="shared" si="19"/>
        <v>07 1 01 20060000</v>
      </c>
    </row>
    <row r="269" spans="1:18" s="16" customFormat="1" ht="31.5">
      <c r="A269" s="14"/>
      <c r="B269" s="125" t="s">
        <v>28</v>
      </c>
      <c r="C269" s="109" t="s">
        <v>64</v>
      </c>
      <c r="D269" s="108" t="s">
        <v>238</v>
      </c>
      <c r="E269" s="108" t="s">
        <v>11</v>
      </c>
      <c r="F269" s="108" t="s">
        <v>247</v>
      </c>
      <c r="G269" s="108" t="s">
        <v>29</v>
      </c>
      <c r="H269" s="126">
        <f>H270</f>
        <v>0</v>
      </c>
      <c r="L269" s="20">
        <v>1911</v>
      </c>
      <c r="M269" s="20">
        <v>1911</v>
      </c>
      <c r="N269" s="20">
        <v>1911</v>
      </c>
      <c r="O269" s="20">
        <f t="shared" si="30"/>
        <v>-1911</v>
      </c>
      <c r="P269" s="20" t="e">
        <f>#REF!-M269</f>
        <v>#REF!</v>
      </c>
      <c r="Q269" s="20" t="e">
        <f>#REF!-N269</f>
        <v>#REF!</v>
      </c>
      <c r="R269" s="17" t="str">
        <f t="shared" si="19"/>
        <v>07 1 01 20060240</v>
      </c>
    </row>
    <row r="270" spans="1:18" s="16" customFormat="1" ht="15.75">
      <c r="A270" s="14"/>
      <c r="B270" s="125" t="s">
        <v>30</v>
      </c>
      <c r="C270" s="109" t="s">
        <v>64</v>
      </c>
      <c r="D270" s="108" t="s">
        <v>238</v>
      </c>
      <c r="E270" s="108" t="s">
        <v>11</v>
      </c>
      <c r="F270" s="108" t="s">
        <v>247</v>
      </c>
      <c r="G270" s="108" t="s">
        <v>31</v>
      </c>
      <c r="H270" s="126"/>
      <c r="L270" s="20"/>
      <c r="M270" s="20"/>
      <c r="N270" s="20"/>
      <c r="O270" s="20"/>
      <c r="P270" s="20"/>
      <c r="Q270" s="20"/>
      <c r="R270" s="17" t="str">
        <f t="shared" si="19"/>
        <v>07 1 01 20060244</v>
      </c>
    </row>
    <row r="271" spans="1:18" s="6" customFormat="1" ht="15.75">
      <c r="A271" s="1"/>
      <c r="B271" s="117" t="s">
        <v>56</v>
      </c>
      <c r="C271" s="118" t="s">
        <v>64</v>
      </c>
      <c r="D271" s="119" t="s">
        <v>57</v>
      </c>
      <c r="E271" s="119" t="s">
        <v>7</v>
      </c>
      <c r="F271" s="119" t="s">
        <v>8</v>
      </c>
      <c r="G271" s="119" t="s">
        <v>9</v>
      </c>
      <c r="H271" s="120">
        <f>H279+H272</f>
        <v>0</v>
      </c>
      <c r="L271" s="18">
        <v>20457.5</v>
      </c>
      <c r="M271" s="18">
        <v>20457.5</v>
      </c>
      <c r="N271" s="18">
        <v>20457.5</v>
      </c>
      <c r="O271" s="18">
        <f t="shared" ref="O271:O277" si="31">H271-L271</f>
        <v>-20457.5</v>
      </c>
      <c r="P271" s="18" t="e">
        <f>#REF!-M271</f>
        <v>#REF!</v>
      </c>
      <c r="Q271" s="18" t="e">
        <f>#REF!-N271</f>
        <v>#REF!</v>
      </c>
      <c r="R271" s="17" t="str">
        <f t="shared" si="19"/>
        <v>00 0 00 00000000</v>
      </c>
    </row>
    <row r="272" spans="1:18" s="6" customFormat="1" ht="15.75">
      <c r="A272" s="1"/>
      <c r="B272" s="121" t="s">
        <v>58</v>
      </c>
      <c r="C272" s="122" t="s">
        <v>64</v>
      </c>
      <c r="D272" s="123" t="s">
        <v>57</v>
      </c>
      <c r="E272" s="123" t="s">
        <v>11</v>
      </c>
      <c r="F272" s="123" t="s">
        <v>8</v>
      </c>
      <c r="G272" s="123" t="s">
        <v>9</v>
      </c>
      <c r="H272" s="124">
        <f t="shared" ref="H272:H277" si="32">H273</f>
        <v>0</v>
      </c>
      <c r="L272" s="19">
        <v>5900.5</v>
      </c>
      <c r="M272" s="19">
        <v>5900.5</v>
      </c>
      <c r="N272" s="19">
        <v>5900.5</v>
      </c>
      <c r="O272" s="19">
        <f t="shared" si="31"/>
        <v>-5900.5</v>
      </c>
      <c r="P272" s="19" t="e">
        <f>#REF!-M272</f>
        <v>#REF!</v>
      </c>
      <c r="Q272" s="19" t="e">
        <f>#REF!-N272</f>
        <v>#REF!</v>
      </c>
      <c r="R272" s="17" t="str">
        <f t="shared" si="19"/>
        <v>00 0 00 00000000</v>
      </c>
    </row>
    <row r="273" spans="1:18" s="6" customFormat="1" ht="63">
      <c r="A273" s="1"/>
      <c r="B273" s="129" t="s">
        <v>111</v>
      </c>
      <c r="C273" s="109" t="s">
        <v>64</v>
      </c>
      <c r="D273" s="108" t="s">
        <v>57</v>
      </c>
      <c r="E273" s="108" t="s">
        <v>11</v>
      </c>
      <c r="F273" s="108" t="s">
        <v>112</v>
      </c>
      <c r="G273" s="108" t="s">
        <v>9</v>
      </c>
      <c r="H273" s="126">
        <f t="shared" si="32"/>
        <v>0</v>
      </c>
      <c r="L273" s="20">
        <v>5900.5</v>
      </c>
      <c r="M273" s="20">
        <v>5900.5</v>
      </c>
      <c r="N273" s="20">
        <v>5900.5</v>
      </c>
      <c r="O273" s="20">
        <f t="shared" si="31"/>
        <v>-5900.5</v>
      </c>
      <c r="P273" s="20" t="e">
        <f>#REF!-M273</f>
        <v>#REF!</v>
      </c>
      <c r="Q273" s="20" t="e">
        <f>#REF!-N273</f>
        <v>#REF!</v>
      </c>
      <c r="R273" s="17" t="str">
        <f t="shared" si="19"/>
        <v>14 0 00 00000000</v>
      </c>
    </row>
    <row r="274" spans="1:18" s="6" customFormat="1" ht="31.5">
      <c r="A274" s="1"/>
      <c r="B274" s="129" t="s">
        <v>113</v>
      </c>
      <c r="C274" s="109" t="s">
        <v>64</v>
      </c>
      <c r="D274" s="108" t="s">
        <v>57</v>
      </c>
      <c r="E274" s="108" t="s">
        <v>11</v>
      </c>
      <c r="F274" s="108" t="s">
        <v>114</v>
      </c>
      <c r="G274" s="108" t="s">
        <v>9</v>
      </c>
      <c r="H274" s="126">
        <f t="shared" si="32"/>
        <v>0</v>
      </c>
      <c r="L274" s="20">
        <v>5900.5</v>
      </c>
      <c r="M274" s="20">
        <v>5900.5</v>
      </c>
      <c r="N274" s="20">
        <v>5900.5</v>
      </c>
      <c r="O274" s="20">
        <f t="shared" si="31"/>
        <v>-5900.5</v>
      </c>
      <c r="P274" s="20" t="e">
        <f>#REF!-M274</f>
        <v>#REF!</v>
      </c>
      <c r="Q274" s="20" t="e">
        <f>#REF!-N274</f>
        <v>#REF!</v>
      </c>
      <c r="R274" s="17" t="str">
        <f t="shared" si="19"/>
        <v>14 1 00 00000000</v>
      </c>
    </row>
    <row r="275" spans="1:18" s="6" customFormat="1" ht="63">
      <c r="A275" s="1"/>
      <c r="B275" s="129" t="s">
        <v>248</v>
      </c>
      <c r="C275" s="109" t="s">
        <v>64</v>
      </c>
      <c r="D275" s="108" t="s">
        <v>57</v>
      </c>
      <c r="E275" s="108" t="s">
        <v>11</v>
      </c>
      <c r="F275" s="108" t="s">
        <v>249</v>
      </c>
      <c r="G275" s="108" t="s">
        <v>9</v>
      </c>
      <c r="H275" s="126">
        <f t="shared" si="32"/>
        <v>0</v>
      </c>
      <c r="L275" s="20">
        <v>5900.5</v>
      </c>
      <c r="M275" s="20">
        <v>5900.5</v>
      </c>
      <c r="N275" s="20">
        <v>5900.5</v>
      </c>
      <c r="O275" s="20">
        <f t="shared" si="31"/>
        <v>-5900.5</v>
      </c>
      <c r="P275" s="20" t="e">
        <f>#REF!-M275</f>
        <v>#REF!</v>
      </c>
      <c r="Q275" s="20" t="e">
        <f>#REF!-N275</f>
        <v>#REF!</v>
      </c>
      <c r="R275" s="17" t="str">
        <f t="shared" si="19"/>
        <v>14 1 03 00000000</v>
      </c>
    </row>
    <row r="276" spans="1:18" s="6" customFormat="1" ht="31.5">
      <c r="A276" s="1"/>
      <c r="B276" s="129" t="s">
        <v>59</v>
      </c>
      <c r="C276" s="109" t="s">
        <v>64</v>
      </c>
      <c r="D276" s="108" t="s">
        <v>57</v>
      </c>
      <c r="E276" s="108" t="s">
        <v>11</v>
      </c>
      <c r="F276" s="108" t="s">
        <v>250</v>
      </c>
      <c r="G276" s="108" t="s">
        <v>9</v>
      </c>
      <c r="H276" s="126">
        <f t="shared" si="32"/>
        <v>0</v>
      </c>
      <c r="L276" s="20">
        <v>5900.5</v>
      </c>
      <c r="M276" s="20">
        <v>5900.5</v>
      </c>
      <c r="N276" s="20">
        <v>5900.5</v>
      </c>
      <c r="O276" s="20">
        <f t="shared" si="31"/>
        <v>-5900.5</v>
      </c>
      <c r="P276" s="20" t="e">
        <f>#REF!-M276</f>
        <v>#REF!</v>
      </c>
      <c r="Q276" s="20" t="e">
        <f>#REF!-N276</f>
        <v>#REF!</v>
      </c>
      <c r="R276" s="17" t="str">
        <f t="shared" si="19"/>
        <v>14 1 03 98710000</v>
      </c>
    </row>
    <row r="277" spans="1:18" s="6" customFormat="1" ht="31.5">
      <c r="A277" s="1"/>
      <c r="B277" s="125" t="s">
        <v>28</v>
      </c>
      <c r="C277" s="109" t="s">
        <v>64</v>
      </c>
      <c r="D277" s="108" t="s">
        <v>57</v>
      </c>
      <c r="E277" s="108" t="s">
        <v>11</v>
      </c>
      <c r="F277" s="108" t="s">
        <v>250</v>
      </c>
      <c r="G277" s="108" t="s">
        <v>29</v>
      </c>
      <c r="H277" s="126">
        <f t="shared" si="32"/>
        <v>0</v>
      </c>
      <c r="L277" s="20">
        <v>5900.5</v>
      </c>
      <c r="M277" s="20">
        <v>5900.5</v>
      </c>
      <c r="N277" s="20">
        <v>5900.5</v>
      </c>
      <c r="O277" s="20">
        <f t="shared" si="31"/>
        <v>-5900.5</v>
      </c>
      <c r="P277" s="20" t="e">
        <f>#REF!-M277</f>
        <v>#REF!</v>
      </c>
      <c r="Q277" s="20" t="e">
        <f>#REF!-N277</f>
        <v>#REF!</v>
      </c>
      <c r="R277" s="17" t="str">
        <f t="shared" si="19"/>
        <v>14 1 03 98710240</v>
      </c>
    </row>
    <row r="278" spans="1:18" s="6" customFormat="1" ht="15.75">
      <c r="A278" s="1"/>
      <c r="B278" s="125" t="s">
        <v>30</v>
      </c>
      <c r="C278" s="109" t="s">
        <v>64</v>
      </c>
      <c r="D278" s="108" t="s">
        <v>57</v>
      </c>
      <c r="E278" s="108" t="s">
        <v>11</v>
      </c>
      <c r="F278" s="108" t="s">
        <v>250</v>
      </c>
      <c r="G278" s="108" t="s">
        <v>31</v>
      </c>
      <c r="H278" s="126"/>
      <c r="L278" s="20"/>
      <c r="M278" s="20"/>
      <c r="N278" s="20"/>
      <c r="O278" s="20"/>
      <c r="P278" s="20"/>
      <c r="Q278" s="20"/>
      <c r="R278" s="17" t="str">
        <f t="shared" si="19"/>
        <v>14 1 03 98710244</v>
      </c>
    </row>
    <row r="279" spans="1:18" s="6" customFormat="1" ht="15.75">
      <c r="A279" s="1"/>
      <c r="B279" s="121" t="s">
        <v>61</v>
      </c>
      <c r="C279" s="122" t="s">
        <v>64</v>
      </c>
      <c r="D279" s="123" t="s">
        <v>57</v>
      </c>
      <c r="E279" s="123" t="s">
        <v>62</v>
      </c>
      <c r="F279" s="123" t="s">
        <v>8</v>
      </c>
      <c r="G279" s="123" t="s">
        <v>9</v>
      </c>
      <c r="H279" s="124">
        <f t="shared" ref="H279:H287" si="33">H280</f>
        <v>0</v>
      </c>
      <c r="L279" s="19">
        <v>14557</v>
      </c>
      <c r="M279" s="19">
        <v>14557</v>
      </c>
      <c r="N279" s="19">
        <v>14557</v>
      </c>
      <c r="O279" s="19">
        <f t="shared" ref="O279:O284" si="34">H279-L279</f>
        <v>-14557</v>
      </c>
      <c r="P279" s="19" t="e">
        <f>#REF!-M279</f>
        <v>#REF!</v>
      </c>
      <c r="Q279" s="19" t="e">
        <f>#REF!-N279</f>
        <v>#REF!</v>
      </c>
      <c r="R279" s="17" t="str">
        <f t="shared" si="19"/>
        <v>00 0 00 00000000</v>
      </c>
    </row>
    <row r="280" spans="1:18" s="16" customFormat="1" ht="63">
      <c r="A280" s="14"/>
      <c r="B280" s="129" t="s">
        <v>111</v>
      </c>
      <c r="C280" s="109" t="s">
        <v>64</v>
      </c>
      <c r="D280" s="108" t="s">
        <v>57</v>
      </c>
      <c r="E280" s="108" t="s">
        <v>62</v>
      </c>
      <c r="F280" s="108" t="s">
        <v>112</v>
      </c>
      <c r="G280" s="108" t="s">
        <v>9</v>
      </c>
      <c r="H280" s="126">
        <f t="shared" si="33"/>
        <v>0</v>
      </c>
      <c r="L280" s="20">
        <v>14557</v>
      </c>
      <c r="M280" s="20">
        <v>14557</v>
      </c>
      <c r="N280" s="20">
        <v>14557</v>
      </c>
      <c r="O280" s="20">
        <f t="shared" si="34"/>
        <v>-14557</v>
      </c>
      <c r="P280" s="20" t="e">
        <f>#REF!-M280</f>
        <v>#REF!</v>
      </c>
      <c r="Q280" s="20" t="e">
        <f>#REF!-N280</f>
        <v>#REF!</v>
      </c>
      <c r="R280" s="17" t="str">
        <f t="shared" si="19"/>
        <v>14 0 00 00000000</v>
      </c>
    </row>
    <row r="281" spans="1:18" s="16" customFormat="1" ht="31.5">
      <c r="A281" s="14"/>
      <c r="B281" s="129" t="s">
        <v>113</v>
      </c>
      <c r="C281" s="109" t="s">
        <v>64</v>
      </c>
      <c r="D281" s="108" t="s">
        <v>57</v>
      </c>
      <c r="E281" s="108" t="s">
        <v>62</v>
      </c>
      <c r="F281" s="108" t="s">
        <v>114</v>
      </c>
      <c r="G281" s="108" t="s">
        <v>9</v>
      </c>
      <c r="H281" s="126">
        <f>H286+H282</f>
        <v>0</v>
      </c>
      <c r="L281" s="20">
        <v>14557</v>
      </c>
      <c r="M281" s="20">
        <v>14557</v>
      </c>
      <c r="N281" s="20">
        <v>14557</v>
      </c>
      <c r="O281" s="20">
        <f t="shared" si="34"/>
        <v>-14557</v>
      </c>
      <c r="P281" s="20" t="e">
        <f>#REF!-M281</f>
        <v>#REF!</v>
      </c>
      <c r="Q281" s="20" t="e">
        <f>#REF!-N281</f>
        <v>#REF!</v>
      </c>
      <c r="R281" s="17" t="str">
        <f t="shared" si="19"/>
        <v>14 1 00 00000000</v>
      </c>
    </row>
    <row r="282" spans="1:18" s="6" customFormat="1" ht="63">
      <c r="A282" s="1"/>
      <c r="B282" s="129" t="s">
        <v>248</v>
      </c>
      <c r="C282" s="109" t="s">
        <v>64</v>
      </c>
      <c r="D282" s="108" t="s">
        <v>57</v>
      </c>
      <c r="E282" s="108" t="s">
        <v>62</v>
      </c>
      <c r="F282" s="108" t="s">
        <v>249</v>
      </c>
      <c r="G282" s="108" t="s">
        <v>9</v>
      </c>
      <c r="H282" s="126">
        <f>H283</f>
        <v>0</v>
      </c>
      <c r="L282" s="20">
        <v>1190</v>
      </c>
      <c r="M282" s="20">
        <v>1190</v>
      </c>
      <c r="N282" s="20">
        <v>1190</v>
      </c>
      <c r="O282" s="20">
        <f t="shared" si="34"/>
        <v>-1190</v>
      </c>
      <c r="P282" s="20" t="e">
        <f>#REF!-M282</f>
        <v>#REF!</v>
      </c>
      <c r="Q282" s="20" t="e">
        <f>#REF!-N282</f>
        <v>#REF!</v>
      </c>
      <c r="R282" s="17" t="str">
        <f t="shared" si="19"/>
        <v>14 1 03 00000000</v>
      </c>
    </row>
    <row r="283" spans="1:18" s="6" customFormat="1" ht="31.5">
      <c r="A283" s="1"/>
      <c r="B283" s="129" t="s">
        <v>59</v>
      </c>
      <c r="C283" s="109" t="s">
        <v>64</v>
      </c>
      <c r="D283" s="108" t="s">
        <v>57</v>
      </c>
      <c r="E283" s="108" t="s">
        <v>62</v>
      </c>
      <c r="F283" s="108" t="s">
        <v>250</v>
      </c>
      <c r="G283" s="108" t="s">
        <v>9</v>
      </c>
      <c r="H283" s="126">
        <f>H284</f>
        <v>0</v>
      </c>
      <c r="L283" s="20">
        <v>1190</v>
      </c>
      <c r="M283" s="20">
        <v>1190</v>
      </c>
      <c r="N283" s="20">
        <v>1190</v>
      </c>
      <c r="O283" s="20">
        <f t="shared" si="34"/>
        <v>-1190</v>
      </c>
      <c r="P283" s="20" t="e">
        <f>#REF!-M283</f>
        <v>#REF!</v>
      </c>
      <c r="Q283" s="20" t="e">
        <f>#REF!-N283</f>
        <v>#REF!</v>
      </c>
      <c r="R283" s="17" t="str">
        <f t="shared" si="19"/>
        <v>14 1 03 98710000</v>
      </c>
    </row>
    <row r="284" spans="1:18" s="6" customFormat="1" ht="31.5">
      <c r="A284" s="1"/>
      <c r="B284" s="125" t="s">
        <v>28</v>
      </c>
      <c r="C284" s="109" t="s">
        <v>64</v>
      </c>
      <c r="D284" s="108" t="s">
        <v>57</v>
      </c>
      <c r="E284" s="108" t="s">
        <v>62</v>
      </c>
      <c r="F284" s="108" t="s">
        <v>250</v>
      </c>
      <c r="G284" s="108" t="s">
        <v>29</v>
      </c>
      <c r="H284" s="126">
        <f>H285</f>
        <v>0</v>
      </c>
      <c r="L284" s="20">
        <v>1190</v>
      </c>
      <c r="M284" s="20">
        <v>1190</v>
      </c>
      <c r="N284" s="20">
        <v>1190</v>
      </c>
      <c r="O284" s="20">
        <f t="shared" si="34"/>
        <v>-1190</v>
      </c>
      <c r="P284" s="20" t="e">
        <f>#REF!-M284</f>
        <v>#REF!</v>
      </c>
      <c r="Q284" s="20" t="e">
        <f>#REF!-N284</f>
        <v>#REF!</v>
      </c>
      <c r="R284" s="17" t="str">
        <f t="shared" si="19"/>
        <v>14 1 03 98710240</v>
      </c>
    </row>
    <row r="285" spans="1:18" s="6" customFormat="1" ht="15.75">
      <c r="A285" s="1"/>
      <c r="B285" s="125" t="s">
        <v>30</v>
      </c>
      <c r="C285" s="109" t="s">
        <v>64</v>
      </c>
      <c r="D285" s="108" t="s">
        <v>57</v>
      </c>
      <c r="E285" s="108" t="s">
        <v>62</v>
      </c>
      <c r="F285" s="108" t="s">
        <v>250</v>
      </c>
      <c r="G285" s="108" t="s">
        <v>31</v>
      </c>
      <c r="H285" s="126"/>
      <c r="L285" s="20"/>
      <c r="M285" s="20"/>
      <c r="N285" s="20"/>
      <c r="O285" s="20"/>
      <c r="P285" s="20"/>
      <c r="Q285" s="20"/>
      <c r="R285" s="17" t="str">
        <f t="shared" si="19"/>
        <v>14 1 03 98710244</v>
      </c>
    </row>
    <row r="286" spans="1:18" s="16" customFormat="1" ht="47.25">
      <c r="A286" s="14"/>
      <c r="B286" s="129" t="s">
        <v>251</v>
      </c>
      <c r="C286" s="109" t="s">
        <v>64</v>
      </c>
      <c r="D286" s="108" t="s">
        <v>57</v>
      </c>
      <c r="E286" s="108" t="s">
        <v>62</v>
      </c>
      <c r="F286" s="108" t="s">
        <v>252</v>
      </c>
      <c r="G286" s="108" t="s">
        <v>9</v>
      </c>
      <c r="H286" s="126">
        <f>H287</f>
        <v>0</v>
      </c>
      <c r="L286" s="20">
        <v>13367</v>
      </c>
      <c r="M286" s="20">
        <v>13367</v>
      </c>
      <c r="N286" s="20">
        <v>13367</v>
      </c>
      <c r="O286" s="20">
        <f>H286-L286</f>
        <v>-13367</v>
      </c>
      <c r="P286" s="20" t="e">
        <f>#REF!-M286</f>
        <v>#REF!</v>
      </c>
      <c r="Q286" s="20" t="e">
        <f>#REF!-N286</f>
        <v>#REF!</v>
      </c>
      <c r="R286" s="17" t="str">
        <f t="shared" si="19"/>
        <v>14 1 04 00000000</v>
      </c>
    </row>
    <row r="287" spans="1:18" s="16" customFormat="1" ht="47.25">
      <c r="A287" s="14"/>
      <c r="B287" s="129" t="s">
        <v>253</v>
      </c>
      <c r="C287" s="109" t="s">
        <v>64</v>
      </c>
      <c r="D287" s="108" t="s">
        <v>57</v>
      </c>
      <c r="E287" s="108" t="s">
        <v>62</v>
      </c>
      <c r="F287" s="108" t="s">
        <v>254</v>
      </c>
      <c r="G287" s="108" t="s">
        <v>9</v>
      </c>
      <c r="H287" s="126">
        <f t="shared" si="33"/>
        <v>0</v>
      </c>
      <c r="L287" s="20">
        <v>13367</v>
      </c>
      <c r="M287" s="20">
        <v>13367</v>
      </c>
      <c r="N287" s="20">
        <v>13367</v>
      </c>
      <c r="O287" s="20">
        <f>H287-L287</f>
        <v>-13367</v>
      </c>
      <c r="P287" s="20" t="e">
        <f>#REF!-M287</f>
        <v>#REF!</v>
      </c>
      <c r="Q287" s="20" t="e">
        <f>#REF!-N287</f>
        <v>#REF!</v>
      </c>
      <c r="R287" s="17" t="str">
        <f t="shared" si="19"/>
        <v>14 1 04 98720000</v>
      </c>
    </row>
    <row r="288" spans="1:18" s="16" customFormat="1" ht="63">
      <c r="A288" s="14"/>
      <c r="B288" s="129" t="s">
        <v>203</v>
      </c>
      <c r="C288" s="109" t="s">
        <v>64</v>
      </c>
      <c r="D288" s="108" t="s">
        <v>57</v>
      </c>
      <c r="E288" s="108" t="s">
        <v>62</v>
      </c>
      <c r="F288" s="108" t="s">
        <v>254</v>
      </c>
      <c r="G288" s="108" t="s">
        <v>204</v>
      </c>
      <c r="H288" s="126">
        <f>H289</f>
        <v>0</v>
      </c>
      <c r="L288" s="20">
        <v>13367</v>
      </c>
      <c r="M288" s="20">
        <v>13367</v>
      </c>
      <c r="N288" s="20">
        <v>13367</v>
      </c>
      <c r="O288" s="20">
        <f>H288-L288</f>
        <v>-13367</v>
      </c>
      <c r="P288" s="20" t="e">
        <f>#REF!-M288</f>
        <v>#REF!</v>
      </c>
      <c r="Q288" s="20" t="e">
        <f>#REF!-N288</f>
        <v>#REF!</v>
      </c>
      <c r="R288" s="17" t="str">
        <f t="shared" si="19"/>
        <v>14 1 04 98720810</v>
      </c>
    </row>
    <row r="289" spans="1:18" s="23" customFormat="1" ht="63">
      <c r="A289" s="21"/>
      <c r="B289" s="127" t="s">
        <v>205</v>
      </c>
      <c r="C289" s="109" t="s">
        <v>64</v>
      </c>
      <c r="D289" s="108" t="s">
        <v>57</v>
      </c>
      <c r="E289" s="108" t="s">
        <v>62</v>
      </c>
      <c r="F289" s="108" t="s">
        <v>254</v>
      </c>
      <c r="G289" s="108" t="s">
        <v>206</v>
      </c>
      <c r="H289" s="126"/>
      <c r="L289" s="22"/>
      <c r="M289" s="22"/>
      <c r="N289" s="22"/>
      <c r="O289" s="22"/>
      <c r="P289" s="22"/>
      <c r="Q289" s="22"/>
      <c r="R289" s="24" t="str">
        <f t="shared" si="19"/>
        <v>14 1 04 98720811</v>
      </c>
    </row>
    <row r="290" spans="1:18" s="16" customFormat="1" ht="15.75">
      <c r="A290" s="14"/>
      <c r="B290" s="129"/>
      <c r="C290" s="109"/>
      <c r="D290" s="108"/>
      <c r="E290" s="108"/>
      <c r="F290" s="108"/>
      <c r="G290" s="108"/>
      <c r="H290" s="126"/>
      <c r="L290" s="20"/>
      <c r="M290" s="20"/>
      <c r="N290" s="20"/>
      <c r="O290" s="20">
        <f t="shared" ref="O290:O298" si="35">H290-L290</f>
        <v>0</v>
      </c>
      <c r="P290" s="20" t="e">
        <f>#REF!-M290</f>
        <v>#REF!</v>
      </c>
      <c r="Q290" s="20" t="e">
        <f>#REF!-N290</f>
        <v>#REF!</v>
      </c>
      <c r="R290" s="17" t="str">
        <f t="shared" ref="R290:R385" si="36">CONCATENATE(F290,G290)</f>
        <v/>
      </c>
    </row>
    <row r="291" spans="1:18" s="29" customFormat="1" ht="31.5">
      <c r="A291" s="28"/>
      <c r="B291" s="67" t="s">
        <v>255</v>
      </c>
      <c r="C291" s="116" t="s">
        <v>256</v>
      </c>
      <c r="D291" s="69" t="s">
        <v>7</v>
      </c>
      <c r="E291" s="69" t="s">
        <v>7</v>
      </c>
      <c r="F291" s="69" t="s">
        <v>8</v>
      </c>
      <c r="G291" s="69" t="s">
        <v>9</v>
      </c>
      <c r="H291" s="70">
        <f>H292+H339+H359+H373</f>
        <v>0</v>
      </c>
      <c r="L291" s="25">
        <v>134380.66</v>
      </c>
      <c r="M291" s="25">
        <v>78249.05</v>
      </c>
      <c r="N291" s="25">
        <v>83049.05</v>
      </c>
      <c r="O291" s="25">
        <f t="shared" si="35"/>
        <v>-134380.66</v>
      </c>
      <c r="P291" s="25" t="e">
        <f>#REF!-M291</f>
        <v>#REF!</v>
      </c>
      <c r="Q291" s="25" t="e">
        <f>#REF!-N291</f>
        <v>#REF!</v>
      </c>
      <c r="R291" s="17" t="str">
        <f t="shared" si="36"/>
        <v>00 0 00 00000000</v>
      </c>
    </row>
    <row r="292" spans="1:18" s="29" customFormat="1" ht="15.75">
      <c r="A292" s="28"/>
      <c r="B292" s="117" t="s">
        <v>10</v>
      </c>
      <c r="C292" s="118" t="s">
        <v>256</v>
      </c>
      <c r="D292" s="119" t="s">
        <v>11</v>
      </c>
      <c r="E292" s="119" t="s">
        <v>7</v>
      </c>
      <c r="F292" s="119" t="s">
        <v>8</v>
      </c>
      <c r="G292" s="119" t="s">
        <v>9</v>
      </c>
      <c r="H292" s="120">
        <f>H293</f>
        <v>0</v>
      </c>
      <c r="L292" s="18">
        <v>79225.42</v>
      </c>
      <c r="M292" s="18">
        <v>74852.42</v>
      </c>
      <c r="N292" s="18">
        <v>74852.42</v>
      </c>
      <c r="O292" s="18">
        <f t="shared" si="35"/>
        <v>-79225.42</v>
      </c>
      <c r="P292" s="18" t="e">
        <f>#REF!-M292</f>
        <v>#REF!</v>
      </c>
      <c r="Q292" s="18" t="e">
        <f>#REF!-N292</f>
        <v>#REF!</v>
      </c>
      <c r="R292" s="17" t="str">
        <f t="shared" si="36"/>
        <v>00 0 00 00000000</v>
      </c>
    </row>
    <row r="293" spans="1:18" s="29" customFormat="1" ht="15.75">
      <c r="A293" s="28"/>
      <c r="B293" s="121" t="s">
        <v>50</v>
      </c>
      <c r="C293" s="122" t="s">
        <v>256</v>
      </c>
      <c r="D293" s="123" t="s">
        <v>11</v>
      </c>
      <c r="E293" s="123" t="s">
        <v>51</v>
      </c>
      <c r="F293" s="123" t="s">
        <v>8</v>
      </c>
      <c r="G293" s="123" t="s">
        <v>9</v>
      </c>
      <c r="H293" s="124">
        <f>H294+H318+H312+H334</f>
        <v>0</v>
      </c>
      <c r="L293" s="19">
        <v>79225.42</v>
      </c>
      <c r="M293" s="19">
        <v>74852.42</v>
      </c>
      <c r="N293" s="19">
        <v>74852.42</v>
      </c>
      <c r="O293" s="19">
        <f t="shared" si="35"/>
        <v>-79225.42</v>
      </c>
      <c r="P293" s="19" t="e">
        <f>#REF!-M293</f>
        <v>#REF!</v>
      </c>
      <c r="Q293" s="19" t="e">
        <f>#REF!-N293</f>
        <v>#REF!</v>
      </c>
      <c r="R293" s="17" t="str">
        <f t="shared" si="36"/>
        <v>00 0 00 00000000</v>
      </c>
    </row>
    <row r="294" spans="1:18" s="29" customFormat="1" ht="63">
      <c r="A294" s="28"/>
      <c r="B294" s="132" t="s">
        <v>257</v>
      </c>
      <c r="C294" s="109" t="s">
        <v>256</v>
      </c>
      <c r="D294" s="108" t="s">
        <v>11</v>
      </c>
      <c r="E294" s="108" t="s">
        <v>51</v>
      </c>
      <c r="F294" s="108" t="s">
        <v>258</v>
      </c>
      <c r="G294" s="108" t="s">
        <v>9</v>
      </c>
      <c r="H294" s="126">
        <f>H295</f>
        <v>0</v>
      </c>
      <c r="L294" s="20">
        <v>5342.96</v>
      </c>
      <c r="M294" s="20">
        <v>5342.96</v>
      </c>
      <c r="N294" s="20">
        <v>5342.96</v>
      </c>
      <c r="O294" s="20">
        <f t="shared" si="35"/>
        <v>-5342.96</v>
      </c>
      <c r="P294" s="20" t="e">
        <f>#REF!-M294</f>
        <v>#REF!</v>
      </c>
      <c r="Q294" s="20" t="e">
        <f>#REF!-N294</f>
        <v>#REF!</v>
      </c>
      <c r="R294" s="17" t="str">
        <f t="shared" si="36"/>
        <v>11 0 00 00000000</v>
      </c>
    </row>
    <row r="295" spans="1:18" s="29" customFormat="1" ht="63">
      <c r="A295" s="28"/>
      <c r="B295" s="132" t="s">
        <v>259</v>
      </c>
      <c r="C295" s="109" t="s">
        <v>256</v>
      </c>
      <c r="D295" s="108" t="s">
        <v>11</v>
      </c>
      <c r="E295" s="108" t="s">
        <v>51</v>
      </c>
      <c r="F295" s="108" t="s">
        <v>260</v>
      </c>
      <c r="G295" s="108" t="s">
        <v>9</v>
      </c>
      <c r="H295" s="126">
        <f>H296+H308</f>
        <v>0</v>
      </c>
      <c r="L295" s="20">
        <v>5342.96</v>
      </c>
      <c r="M295" s="20">
        <v>5342.96</v>
      </c>
      <c r="N295" s="20">
        <v>5342.96</v>
      </c>
      <c r="O295" s="20">
        <f t="shared" si="35"/>
        <v>-5342.96</v>
      </c>
      <c r="P295" s="20" t="e">
        <f>#REF!-M295</f>
        <v>#REF!</v>
      </c>
      <c r="Q295" s="20" t="e">
        <f>#REF!-N295</f>
        <v>#REF!</v>
      </c>
      <c r="R295" s="17" t="str">
        <f t="shared" si="36"/>
        <v>11 Б 00 00000000</v>
      </c>
    </row>
    <row r="296" spans="1:18" s="29" customFormat="1" ht="47.25">
      <c r="A296" s="28"/>
      <c r="B296" s="125" t="s">
        <v>261</v>
      </c>
      <c r="C296" s="109" t="s">
        <v>256</v>
      </c>
      <c r="D296" s="108" t="s">
        <v>11</v>
      </c>
      <c r="E296" s="108" t="s">
        <v>51</v>
      </c>
      <c r="F296" s="108" t="s">
        <v>262</v>
      </c>
      <c r="G296" s="108" t="s">
        <v>9</v>
      </c>
      <c r="H296" s="126">
        <f>H297+H302+H305</f>
        <v>0</v>
      </c>
      <c r="L296" s="20">
        <v>4770.92</v>
      </c>
      <c r="M296" s="20">
        <v>4770.92</v>
      </c>
      <c r="N296" s="20">
        <v>4770.92</v>
      </c>
      <c r="O296" s="20">
        <f t="shared" si="35"/>
        <v>-4770.92</v>
      </c>
      <c r="P296" s="20" t="e">
        <f>#REF!-M296</f>
        <v>#REF!</v>
      </c>
      <c r="Q296" s="20" t="e">
        <f>#REF!-N296</f>
        <v>#REF!</v>
      </c>
      <c r="R296" s="17" t="str">
        <f t="shared" si="36"/>
        <v>11 Б 01 00000000</v>
      </c>
    </row>
    <row r="297" spans="1:18" s="29" customFormat="1" ht="78.75">
      <c r="A297" s="28"/>
      <c r="B297" s="125" t="s">
        <v>263</v>
      </c>
      <c r="C297" s="109" t="s">
        <v>256</v>
      </c>
      <c r="D297" s="108" t="s">
        <v>11</v>
      </c>
      <c r="E297" s="108" t="s">
        <v>51</v>
      </c>
      <c r="F297" s="108" t="s">
        <v>264</v>
      </c>
      <c r="G297" s="108" t="s">
        <v>9</v>
      </c>
      <c r="H297" s="126">
        <f>H298+H300</f>
        <v>0</v>
      </c>
      <c r="L297" s="20">
        <v>1261</v>
      </c>
      <c r="M297" s="20">
        <v>1261</v>
      </c>
      <c r="N297" s="20">
        <v>1261</v>
      </c>
      <c r="O297" s="20">
        <f t="shared" si="35"/>
        <v>-1261</v>
      </c>
      <c r="P297" s="20" t="e">
        <f>#REF!-M297</f>
        <v>#REF!</v>
      </c>
      <c r="Q297" s="20" t="e">
        <f>#REF!-N297</f>
        <v>#REF!</v>
      </c>
      <c r="R297" s="17" t="str">
        <f t="shared" si="36"/>
        <v>11 Б 01 20030000</v>
      </c>
    </row>
    <row r="298" spans="1:18" s="29" customFormat="1" ht="31.5">
      <c r="A298" s="28"/>
      <c r="B298" s="125" t="s">
        <v>28</v>
      </c>
      <c r="C298" s="109" t="s">
        <v>256</v>
      </c>
      <c r="D298" s="108" t="s">
        <v>11</v>
      </c>
      <c r="E298" s="108" t="s">
        <v>51</v>
      </c>
      <c r="F298" s="108" t="s">
        <v>264</v>
      </c>
      <c r="G298" s="108" t="s">
        <v>29</v>
      </c>
      <c r="H298" s="126">
        <f>H299</f>
        <v>0</v>
      </c>
      <c r="L298" s="20">
        <v>1250</v>
      </c>
      <c r="M298" s="20">
        <v>1250</v>
      </c>
      <c r="N298" s="20">
        <v>1250</v>
      </c>
      <c r="O298" s="20">
        <f t="shared" si="35"/>
        <v>-1250</v>
      </c>
      <c r="P298" s="20" t="e">
        <f>#REF!-M298</f>
        <v>#REF!</v>
      </c>
      <c r="Q298" s="20" t="e">
        <f>#REF!-N298</f>
        <v>#REF!</v>
      </c>
      <c r="R298" s="17" t="str">
        <f t="shared" si="36"/>
        <v>11 Б 01 20030240</v>
      </c>
    </row>
    <row r="299" spans="1:18" s="29" customFormat="1" ht="15.75">
      <c r="A299" s="28"/>
      <c r="B299" s="125" t="s">
        <v>30</v>
      </c>
      <c r="C299" s="109" t="s">
        <v>256</v>
      </c>
      <c r="D299" s="108" t="s">
        <v>11</v>
      </c>
      <c r="E299" s="108" t="s">
        <v>51</v>
      </c>
      <c r="F299" s="108" t="s">
        <v>264</v>
      </c>
      <c r="G299" s="108" t="s">
        <v>31</v>
      </c>
      <c r="H299" s="126"/>
      <c r="L299" s="20"/>
      <c r="M299" s="20"/>
      <c r="N299" s="20"/>
      <c r="O299" s="20"/>
      <c r="P299" s="20"/>
      <c r="Q299" s="20"/>
      <c r="R299" s="17" t="str">
        <f t="shared" si="36"/>
        <v>11 Б 01 20030244</v>
      </c>
    </row>
    <row r="300" spans="1:18" s="29" customFormat="1" ht="15.75">
      <c r="A300" s="28"/>
      <c r="B300" s="125" t="s">
        <v>32</v>
      </c>
      <c r="C300" s="109" t="s">
        <v>256</v>
      </c>
      <c r="D300" s="108" t="s">
        <v>11</v>
      </c>
      <c r="E300" s="108" t="s">
        <v>51</v>
      </c>
      <c r="F300" s="108" t="s">
        <v>264</v>
      </c>
      <c r="G300" s="108" t="s">
        <v>33</v>
      </c>
      <c r="H300" s="126">
        <f>H301</f>
        <v>0</v>
      </c>
      <c r="L300" s="20">
        <v>11</v>
      </c>
      <c r="M300" s="20">
        <v>11</v>
      </c>
      <c r="N300" s="20">
        <v>11</v>
      </c>
      <c r="O300" s="20">
        <f>H300-L300</f>
        <v>-11</v>
      </c>
      <c r="P300" s="20" t="e">
        <f>#REF!-M300</f>
        <v>#REF!</v>
      </c>
      <c r="Q300" s="20" t="e">
        <f>#REF!-N300</f>
        <v>#REF!</v>
      </c>
      <c r="R300" s="17" t="str">
        <f t="shared" si="36"/>
        <v>11 Б 01 20030850</v>
      </c>
    </row>
    <row r="301" spans="1:18" s="31" customFormat="1" ht="15.75">
      <c r="A301" s="30"/>
      <c r="B301" s="127" t="s">
        <v>36</v>
      </c>
      <c r="C301" s="109" t="s">
        <v>256</v>
      </c>
      <c r="D301" s="108" t="s">
        <v>11</v>
      </c>
      <c r="E301" s="108" t="s">
        <v>51</v>
      </c>
      <c r="F301" s="108" t="s">
        <v>264</v>
      </c>
      <c r="G301" s="108" t="s">
        <v>37</v>
      </c>
      <c r="H301" s="126"/>
      <c r="L301" s="22"/>
      <c r="M301" s="22"/>
      <c r="N301" s="22"/>
      <c r="O301" s="22"/>
      <c r="P301" s="22"/>
      <c r="Q301" s="22"/>
      <c r="R301" s="24"/>
    </row>
    <row r="302" spans="1:18" s="29" customFormat="1" ht="31.5">
      <c r="A302" s="28"/>
      <c r="B302" s="125" t="s">
        <v>265</v>
      </c>
      <c r="C302" s="109" t="s">
        <v>256</v>
      </c>
      <c r="D302" s="108" t="s">
        <v>11</v>
      </c>
      <c r="E302" s="108" t="s">
        <v>51</v>
      </c>
      <c r="F302" s="108" t="s">
        <v>266</v>
      </c>
      <c r="G302" s="108" t="s">
        <v>9</v>
      </c>
      <c r="H302" s="126">
        <f>H303</f>
        <v>0</v>
      </c>
      <c r="L302" s="20">
        <v>1703.92</v>
      </c>
      <c r="M302" s="20">
        <v>1703.92</v>
      </c>
      <c r="N302" s="20">
        <v>1703.92</v>
      </c>
      <c r="O302" s="20">
        <f>H302-L302</f>
        <v>-1703.92</v>
      </c>
      <c r="P302" s="20" t="e">
        <f>#REF!-M302</f>
        <v>#REF!</v>
      </c>
      <c r="Q302" s="20" t="e">
        <f>#REF!-N302</f>
        <v>#REF!</v>
      </c>
      <c r="R302" s="17" t="str">
        <f t="shared" si="36"/>
        <v>11 Б 01 20070000</v>
      </c>
    </row>
    <row r="303" spans="1:18" s="29" customFormat="1" ht="31.5">
      <c r="A303" s="28"/>
      <c r="B303" s="125" t="s">
        <v>28</v>
      </c>
      <c r="C303" s="109" t="s">
        <v>256</v>
      </c>
      <c r="D303" s="108" t="s">
        <v>11</v>
      </c>
      <c r="E303" s="108" t="s">
        <v>51</v>
      </c>
      <c r="F303" s="108" t="s">
        <v>266</v>
      </c>
      <c r="G303" s="108" t="s">
        <v>29</v>
      </c>
      <c r="H303" s="126">
        <f>H304</f>
        <v>0</v>
      </c>
      <c r="L303" s="20">
        <v>1703.92</v>
      </c>
      <c r="M303" s="20">
        <v>1703.92</v>
      </c>
      <c r="N303" s="20">
        <v>1703.92</v>
      </c>
      <c r="O303" s="20">
        <f>H303-L303</f>
        <v>-1703.92</v>
      </c>
      <c r="P303" s="20" t="e">
        <f>#REF!-M303</f>
        <v>#REF!</v>
      </c>
      <c r="Q303" s="20" t="e">
        <f>#REF!-N303</f>
        <v>#REF!</v>
      </c>
      <c r="R303" s="17" t="str">
        <f t="shared" si="36"/>
        <v>11 Б 01 20070240</v>
      </c>
    </row>
    <row r="304" spans="1:18" s="29" customFormat="1" ht="15.75">
      <c r="A304" s="28"/>
      <c r="B304" s="125" t="s">
        <v>30</v>
      </c>
      <c r="C304" s="109" t="s">
        <v>256</v>
      </c>
      <c r="D304" s="108" t="s">
        <v>11</v>
      </c>
      <c r="E304" s="108" t="s">
        <v>51</v>
      </c>
      <c r="F304" s="108" t="s">
        <v>266</v>
      </c>
      <c r="G304" s="108" t="s">
        <v>31</v>
      </c>
      <c r="H304" s="126"/>
      <c r="L304" s="20"/>
      <c r="M304" s="20"/>
      <c r="N304" s="20"/>
      <c r="O304" s="20"/>
      <c r="P304" s="20"/>
      <c r="Q304" s="20"/>
      <c r="R304" s="17"/>
    </row>
    <row r="305" spans="1:18" s="29" customFormat="1" ht="31.5">
      <c r="A305" s="28"/>
      <c r="B305" s="125" t="s">
        <v>267</v>
      </c>
      <c r="C305" s="109" t="s">
        <v>256</v>
      </c>
      <c r="D305" s="108" t="s">
        <v>11</v>
      </c>
      <c r="E305" s="108" t="s">
        <v>51</v>
      </c>
      <c r="F305" s="108" t="s">
        <v>268</v>
      </c>
      <c r="G305" s="108" t="s">
        <v>9</v>
      </c>
      <c r="H305" s="126">
        <f>H306</f>
        <v>0</v>
      </c>
      <c r="L305" s="20">
        <v>1806</v>
      </c>
      <c r="M305" s="20">
        <v>1806</v>
      </c>
      <c r="N305" s="20">
        <v>1806</v>
      </c>
      <c r="O305" s="20">
        <f>H305-L305</f>
        <v>-1806</v>
      </c>
      <c r="P305" s="20" t="e">
        <f>#REF!-M305</f>
        <v>#REF!</v>
      </c>
      <c r="Q305" s="20" t="e">
        <f>#REF!-N305</f>
        <v>#REF!</v>
      </c>
      <c r="R305" s="17" t="str">
        <f t="shared" si="36"/>
        <v>11 Б 01 21120000</v>
      </c>
    </row>
    <row r="306" spans="1:18" s="29" customFormat="1" ht="31.5">
      <c r="A306" s="28"/>
      <c r="B306" s="125" t="s">
        <v>28</v>
      </c>
      <c r="C306" s="109" t="s">
        <v>256</v>
      </c>
      <c r="D306" s="108" t="s">
        <v>11</v>
      </c>
      <c r="E306" s="108" t="s">
        <v>51</v>
      </c>
      <c r="F306" s="108" t="s">
        <v>268</v>
      </c>
      <c r="G306" s="108" t="s">
        <v>29</v>
      </c>
      <c r="H306" s="126">
        <f>H307</f>
        <v>0</v>
      </c>
      <c r="L306" s="20">
        <v>1806</v>
      </c>
      <c r="M306" s="20">
        <v>1806</v>
      </c>
      <c r="N306" s="20">
        <v>1806</v>
      </c>
      <c r="O306" s="20">
        <f>H306-L306</f>
        <v>-1806</v>
      </c>
      <c r="P306" s="20" t="e">
        <f>#REF!-M306</f>
        <v>#REF!</v>
      </c>
      <c r="Q306" s="20" t="e">
        <f>#REF!-N306</f>
        <v>#REF!</v>
      </c>
      <c r="R306" s="17" t="str">
        <f t="shared" si="36"/>
        <v>11 Б 01 21120240</v>
      </c>
    </row>
    <row r="307" spans="1:18" s="29" customFormat="1" ht="15.75">
      <c r="A307" s="28"/>
      <c r="B307" s="125" t="s">
        <v>30</v>
      </c>
      <c r="C307" s="109" t="s">
        <v>256</v>
      </c>
      <c r="D307" s="108" t="s">
        <v>11</v>
      </c>
      <c r="E307" s="108" t="s">
        <v>51</v>
      </c>
      <c r="F307" s="108" t="s">
        <v>268</v>
      </c>
      <c r="G307" s="108" t="s">
        <v>31</v>
      </c>
      <c r="H307" s="126"/>
      <c r="L307" s="20"/>
      <c r="M307" s="20"/>
      <c r="N307" s="20"/>
      <c r="O307" s="20"/>
      <c r="P307" s="20"/>
      <c r="Q307" s="20"/>
      <c r="R307" s="17" t="str">
        <f t="shared" si="36"/>
        <v>11 Б 01 21120244</v>
      </c>
    </row>
    <row r="308" spans="1:18" s="29" customFormat="1" ht="78.75">
      <c r="A308" s="28"/>
      <c r="B308" s="138" t="s">
        <v>269</v>
      </c>
      <c r="C308" s="109" t="s">
        <v>256</v>
      </c>
      <c r="D308" s="108" t="s">
        <v>11</v>
      </c>
      <c r="E308" s="108" t="s">
        <v>51</v>
      </c>
      <c r="F308" s="108" t="s">
        <v>270</v>
      </c>
      <c r="G308" s="108" t="s">
        <v>9</v>
      </c>
      <c r="H308" s="126">
        <f t="shared" ref="H308:H309" si="37">H309</f>
        <v>0</v>
      </c>
      <c r="L308" s="20">
        <v>572.04</v>
      </c>
      <c r="M308" s="20">
        <v>572.04</v>
      </c>
      <c r="N308" s="20">
        <v>572.04</v>
      </c>
      <c r="O308" s="20">
        <f>H308-L308</f>
        <v>-572.04</v>
      </c>
      <c r="P308" s="20" t="e">
        <f>#REF!-M308</f>
        <v>#REF!</v>
      </c>
      <c r="Q308" s="20" t="e">
        <f>#REF!-N308</f>
        <v>#REF!</v>
      </c>
      <c r="R308" s="17" t="str">
        <f t="shared" si="36"/>
        <v>11 Б 03 00000000</v>
      </c>
    </row>
    <row r="309" spans="1:18" s="29" customFormat="1" ht="78.75">
      <c r="A309" s="28"/>
      <c r="B309" s="125" t="s">
        <v>271</v>
      </c>
      <c r="C309" s="109" t="s">
        <v>256</v>
      </c>
      <c r="D309" s="108" t="s">
        <v>11</v>
      </c>
      <c r="E309" s="108" t="s">
        <v>51</v>
      </c>
      <c r="F309" s="108" t="s">
        <v>272</v>
      </c>
      <c r="G309" s="108" t="s">
        <v>9</v>
      </c>
      <c r="H309" s="126">
        <f t="shared" si="37"/>
        <v>0</v>
      </c>
      <c r="L309" s="20">
        <v>572.04</v>
      </c>
      <c r="M309" s="20">
        <v>572.04</v>
      </c>
      <c r="N309" s="20">
        <v>572.04</v>
      </c>
      <c r="O309" s="20">
        <f>H309-L309</f>
        <v>-572.04</v>
      </c>
      <c r="P309" s="20" t="e">
        <f>#REF!-M309</f>
        <v>#REF!</v>
      </c>
      <c r="Q309" s="20" t="e">
        <f>#REF!-N309</f>
        <v>#REF!</v>
      </c>
      <c r="R309" s="17" t="str">
        <f t="shared" si="36"/>
        <v>11 Б 03 20340000</v>
      </c>
    </row>
    <row r="310" spans="1:18" s="29" customFormat="1" ht="31.5">
      <c r="A310" s="28"/>
      <c r="B310" s="125" t="s">
        <v>28</v>
      </c>
      <c r="C310" s="109" t="s">
        <v>256</v>
      </c>
      <c r="D310" s="108" t="s">
        <v>11</v>
      </c>
      <c r="E310" s="108" t="s">
        <v>51</v>
      </c>
      <c r="F310" s="108" t="s">
        <v>272</v>
      </c>
      <c r="G310" s="108" t="s">
        <v>29</v>
      </c>
      <c r="H310" s="126">
        <f>H311</f>
        <v>0</v>
      </c>
      <c r="L310" s="20">
        <v>572.04</v>
      </c>
      <c r="M310" s="20">
        <v>572.04</v>
      </c>
      <c r="N310" s="20">
        <v>572.04</v>
      </c>
      <c r="O310" s="20">
        <f>H310-L310</f>
        <v>-572.04</v>
      </c>
      <c r="P310" s="20" t="e">
        <f>#REF!-M310</f>
        <v>#REF!</v>
      </c>
      <c r="Q310" s="20" t="e">
        <f>#REF!-N310</f>
        <v>#REF!</v>
      </c>
      <c r="R310" s="17" t="str">
        <f t="shared" si="36"/>
        <v>11 Б 03 20340240</v>
      </c>
    </row>
    <row r="311" spans="1:18" s="29" customFormat="1" ht="15.75">
      <c r="A311" s="28"/>
      <c r="B311" s="125" t="s">
        <v>30</v>
      </c>
      <c r="C311" s="109" t="s">
        <v>256</v>
      </c>
      <c r="D311" s="108" t="s">
        <v>11</v>
      </c>
      <c r="E311" s="108" t="s">
        <v>51</v>
      </c>
      <c r="F311" s="108" t="s">
        <v>272</v>
      </c>
      <c r="G311" s="108" t="s">
        <v>31</v>
      </c>
      <c r="H311" s="126"/>
      <c r="L311" s="20"/>
      <c r="M311" s="20"/>
      <c r="N311" s="20"/>
      <c r="O311" s="20"/>
      <c r="P311" s="20"/>
      <c r="Q311" s="20"/>
      <c r="R311" s="17" t="str">
        <f t="shared" si="36"/>
        <v>11 Б 03 20340244</v>
      </c>
    </row>
    <row r="312" spans="1:18" s="16" customFormat="1" ht="47.25">
      <c r="A312" s="14"/>
      <c r="B312" s="127" t="s">
        <v>146</v>
      </c>
      <c r="C312" s="109" t="s">
        <v>256</v>
      </c>
      <c r="D312" s="130" t="s">
        <v>11</v>
      </c>
      <c r="E312" s="130">
        <v>13</v>
      </c>
      <c r="F312" s="130" t="s">
        <v>147</v>
      </c>
      <c r="G312" s="130" t="s">
        <v>9</v>
      </c>
      <c r="H312" s="134">
        <f>H313</f>
        <v>0</v>
      </c>
      <c r="L312" s="27">
        <v>3000</v>
      </c>
      <c r="M312" s="27">
        <v>0</v>
      </c>
      <c r="N312" s="27">
        <v>0</v>
      </c>
      <c r="O312" s="27">
        <f>H312-L312</f>
        <v>-3000</v>
      </c>
      <c r="P312" s="27" t="e">
        <f>#REF!-M312</f>
        <v>#REF!</v>
      </c>
      <c r="Q312" s="27" t="e">
        <f>#REF!-N312</f>
        <v>#REF!</v>
      </c>
      <c r="R312" s="17" t="str">
        <f t="shared" si="36"/>
        <v>15 0 00 00000000</v>
      </c>
    </row>
    <row r="313" spans="1:18" s="16" customFormat="1" ht="15.75">
      <c r="A313" s="14"/>
      <c r="B313" s="125" t="s">
        <v>148</v>
      </c>
      <c r="C313" s="109" t="s">
        <v>256</v>
      </c>
      <c r="D313" s="130" t="s">
        <v>11</v>
      </c>
      <c r="E313" s="130">
        <v>13</v>
      </c>
      <c r="F313" s="130" t="s">
        <v>149</v>
      </c>
      <c r="G313" s="130" t="s">
        <v>9</v>
      </c>
      <c r="H313" s="134">
        <f>H314</f>
        <v>0</v>
      </c>
      <c r="L313" s="27">
        <v>3000</v>
      </c>
      <c r="M313" s="27">
        <v>0</v>
      </c>
      <c r="N313" s="27">
        <v>0</v>
      </c>
      <c r="O313" s="27">
        <f>H313-L313</f>
        <v>-3000</v>
      </c>
      <c r="P313" s="27" t="e">
        <f>#REF!-M313</f>
        <v>#REF!</v>
      </c>
      <c r="Q313" s="27" t="e">
        <f>#REF!-N313</f>
        <v>#REF!</v>
      </c>
      <c r="R313" s="17" t="str">
        <f t="shared" si="36"/>
        <v>15 1 00 00000000</v>
      </c>
    </row>
    <row r="314" spans="1:18" s="16" customFormat="1" ht="47.25">
      <c r="A314" s="14"/>
      <c r="B314" s="135" t="s">
        <v>273</v>
      </c>
      <c r="C314" s="109" t="s">
        <v>256</v>
      </c>
      <c r="D314" s="130" t="s">
        <v>11</v>
      </c>
      <c r="E314" s="130">
        <v>13</v>
      </c>
      <c r="F314" s="130" t="s">
        <v>274</v>
      </c>
      <c r="G314" s="130" t="s">
        <v>9</v>
      </c>
      <c r="H314" s="134">
        <f>H315</f>
        <v>0</v>
      </c>
      <c r="L314" s="27">
        <v>3000</v>
      </c>
      <c r="M314" s="27">
        <v>0</v>
      </c>
      <c r="N314" s="27">
        <v>0</v>
      </c>
      <c r="O314" s="27">
        <f>H314-L314</f>
        <v>-3000</v>
      </c>
      <c r="P314" s="27" t="e">
        <f>#REF!-M314</f>
        <v>#REF!</v>
      </c>
      <c r="Q314" s="27" t="e">
        <f>#REF!-N314</f>
        <v>#REF!</v>
      </c>
      <c r="R314" s="17" t="str">
        <f t="shared" si="36"/>
        <v>15 1 02 00000000</v>
      </c>
    </row>
    <row r="315" spans="1:18" s="16" customFormat="1" ht="47.25">
      <c r="A315" s="14"/>
      <c r="B315" s="135" t="s">
        <v>152</v>
      </c>
      <c r="C315" s="109" t="s">
        <v>256</v>
      </c>
      <c r="D315" s="130" t="s">
        <v>11</v>
      </c>
      <c r="E315" s="130">
        <v>13</v>
      </c>
      <c r="F315" s="130" t="s">
        <v>275</v>
      </c>
      <c r="G315" s="130" t="s">
        <v>9</v>
      </c>
      <c r="H315" s="134">
        <f t="shared" ref="H315" si="38">H316</f>
        <v>0</v>
      </c>
      <c r="L315" s="27">
        <v>3000</v>
      </c>
      <c r="M315" s="27">
        <v>0</v>
      </c>
      <c r="N315" s="27">
        <v>0</v>
      </c>
      <c r="O315" s="27">
        <f>H315-L315</f>
        <v>-3000</v>
      </c>
      <c r="P315" s="27" t="e">
        <f>#REF!-M315</f>
        <v>#REF!</v>
      </c>
      <c r="Q315" s="27" t="e">
        <f>#REF!-N315</f>
        <v>#REF!</v>
      </c>
      <c r="R315" s="17" t="str">
        <f t="shared" si="36"/>
        <v>15 1 02 20350000</v>
      </c>
    </row>
    <row r="316" spans="1:18" s="16" customFormat="1" ht="31.5">
      <c r="A316" s="14"/>
      <c r="B316" s="135" t="s">
        <v>28</v>
      </c>
      <c r="C316" s="109" t="s">
        <v>256</v>
      </c>
      <c r="D316" s="130" t="s">
        <v>11</v>
      </c>
      <c r="E316" s="130">
        <v>13</v>
      </c>
      <c r="F316" s="130" t="s">
        <v>275</v>
      </c>
      <c r="G316" s="130" t="s">
        <v>29</v>
      </c>
      <c r="H316" s="126">
        <f>H317</f>
        <v>0</v>
      </c>
      <c r="L316" s="20">
        <v>3000</v>
      </c>
      <c r="M316" s="20">
        <v>0</v>
      </c>
      <c r="N316" s="20">
        <v>0</v>
      </c>
      <c r="O316" s="20">
        <f>H316-L316</f>
        <v>-3000</v>
      </c>
      <c r="P316" s="20" t="e">
        <f>#REF!-M316</f>
        <v>#REF!</v>
      </c>
      <c r="Q316" s="20" t="e">
        <f>#REF!-N316</f>
        <v>#REF!</v>
      </c>
      <c r="R316" s="17" t="str">
        <f t="shared" si="36"/>
        <v>15 1 02 20350240</v>
      </c>
    </row>
    <row r="317" spans="1:18" s="16" customFormat="1" ht="15.75">
      <c r="A317" s="14"/>
      <c r="B317" s="125" t="s">
        <v>30</v>
      </c>
      <c r="C317" s="109" t="s">
        <v>256</v>
      </c>
      <c r="D317" s="130" t="s">
        <v>11</v>
      </c>
      <c r="E317" s="130">
        <v>13</v>
      </c>
      <c r="F317" s="130" t="s">
        <v>275</v>
      </c>
      <c r="G317" s="130" t="s">
        <v>31</v>
      </c>
      <c r="H317" s="126"/>
      <c r="L317" s="20"/>
      <c r="M317" s="20"/>
      <c r="N317" s="20"/>
      <c r="O317" s="20"/>
      <c r="P317" s="20"/>
      <c r="Q317" s="20"/>
      <c r="R317" s="17" t="str">
        <f t="shared" si="36"/>
        <v>15 1 02 20350244</v>
      </c>
    </row>
    <row r="318" spans="1:18" s="29" customFormat="1" ht="31.5">
      <c r="A318" s="28"/>
      <c r="B318" s="125" t="s">
        <v>276</v>
      </c>
      <c r="C318" s="109" t="s">
        <v>256</v>
      </c>
      <c r="D318" s="108" t="s">
        <v>11</v>
      </c>
      <c r="E318" s="108" t="s">
        <v>51</v>
      </c>
      <c r="F318" s="108" t="s">
        <v>277</v>
      </c>
      <c r="G318" s="108" t="s">
        <v>9</v>
      </c>
      <c r="H318" s="126">
        <f>H319</f>
        <v>0</v>
      </c>
      <c r="L318" s="20">
        <v>70614.459999999992</v>
      </c>
      <c r="M318" s="20">
        <v>69509.459999999992</v>
      </c>
      <c r="N318" s="20">
        <v>69509.459999999992</v>
      </c>
      <c r="O318" s="20">
        <f>H318-L318</f>
        <v>-70614.459999999992</v>
      </c>
      <c r="P318" s="20" t="e">
        <f>#REF!-M318</f>
        <v>#REF!</v>
      </c>
      <c r="Q318" s="20" t="e">
        <f>#REF!-N318</f>
        <v>#REF!</v>
      </c>
      <c r="R318" s="17" t="str">
        <f t="shared" si="36"/>
        <v>72 0 00 00000000</v>
      </c>
    </row>
    <row r="319" spans="1:18" s="29" customFormat="1" ht="47.25">
      <c r="A319" s="28"/>
      <c r="B319" s="125" t="s">
        <v>278</v>
      </c>
      <c r="C319" s="109" t="s">
        <v>256</v>
      </c>
      <c r="D319" s="108" t="s">
        <v>11</v>
      </c>
      <c r="E319" s="108" t="s">
        <v>51</v>
      </c>
      <c r="F319" s="108" t="s">
        <v>279</v>
      </c>
      <c r="G319" s="108" t="s">
        <v>9</v>
      </c>
      <c r="H319" s="126">
        <f>H330+H320</f>
        <v>0</v>
      </c>
      <c r="L319" s="20">
        <v>70614.459999999992</v>
      </c>
      <c r="M319" s="20">
        <v>69509.459999999992</v>
      </c>
      <c r="N319" s="20">
        <v>69509.459999999992</v>
      </c>
      <c r="O319" s="20">
        <f>H319-L319</f>
        <v>-70614.459999999992</v>
      </c>
      <c r="P319" s="20" t="e">
        <f>#REF!-M319</f>
        <v>#REF!</v>
      </c>
      <c r="Q319" s="20" t="e">
        <f>#REF!-N319</f>
        <v>#REF!</v>
      </c>
      <c r="R319" s="17" t="str">
        <f t="shared" si="36"/>
        <v>72 1 00 00000000</v>
      </c>
    </row>
    <row r="320" spans="1:18" s="29" customFormat="1" ht="31.5">
      <c r="A320" s="28"/>
      <c r="B320" s="125" t="s">
        <v>18</v>
      </c>
      <c r="C320" s="109" t="s">
        <v>256</v>
      </c>
      <c r="D320" s="108" t="s">
        <v>11</v>
      </c>
      <c r="E320" s="108" t="s">
        <v>51</v>
      </c>
      <c r="F320" s="108" t="s">
        <v>280</v>
      </c>
      <c r="G320" s="108" t="s">
        <v>9</v>
      </c>
      <c r="H320" s="126">
        <f>H321+H324+H326</f>
        <v>0</v>
      </c>
      <c r="L320" s="20">
        <v>11702.940000000002</v>
      </c>
      <c r="M320" s="20">
        <v>10597.939999999999</v>
      </c>
      <c r="N320" s="20">
        <v>10597.939999999999</v>
      </c>
      <c r="O320" s="20">
        <f>H320-L320</f>
        <v>-11702.940000000002</v>
      </c>
      <c r="P320" s="20" t="e">
        <f>#REF!-M320</f>
        <v>#REF!</v>
      </c>
      <c r="Q320" s="20" t="e">
        <f>#REF!-N320</f>
        <v>#REF!</v>
      </c>
      <c r="R320" s="17" t="str">
        <f t="shared" si="36"/>
        <v>72 1 00 10010000</v>
      </c>
    </row>
    <row r="321" spans="1:18" s="29" customFormat="1" ht="31.5">
      <c r="A321" s="28"/>
      <c r="B321" s="127" t="s">
        <v>20</v>
      </c>
      <c r="C321" s="109" t="s">
        <v>256</v>
      </c>
      <c r="D321" s="108" t="s">
        <v>11</v>
      </c>
      <c r="E321" s="108" t="s">
        <v>51</v>
      </c>
      <c r="F321" s="108" t="s">
        <v>280</v>
      </c>
      <c r="G321" s="108" t="s">
        <v>21</v>
      </c>
      <c r="H321" s="126">
        <f>SUM(H322:H323)</f>
        <v>0</v>
      </c>
      <c r="L321" s="20">
        <v>1571.79</v>
      </c>
      <c r="M321" s="20">
        <v>1571.79</v>
      </c>
      <c r="N321" s="20">
        <v>1571.79</v>
      </c>
      <c r="O321" s="20">
        <f>H321-L321</f>
        <v>-1571.79</v>
      </c>
      <c r="P321" s="20" t="e">
        <f>#REF!-M321</f>
        <v>#REF!</v>
      </c>
      <c r="Q321" s="20" t="e">
        <f>#REF!-N321</f>
        <v>#REF!</v>
      </c>
      <c r="R321" s="17" t="str">
        <f t="shared" si="36"/>
        <v>72 1 00 10010120</v>
      </c>
    </row>
    <row r="322" spans="1:18" s="31" customFormat="1" ht="47.25">
      <c r="A322" s="30"/>
      <c r="B322" s="127" t="s">
        <v>22</v>
      </c>
      <c r="C322" s="109" t="s">
        <v>256</v>
      </c>
      <c r="D322" s="108" t="s">
        <v>11</v>
      </c>
      <c r="E322" s="108" t="s">
        <v>51</v>
      </c>
      <c r="F322" s="108" t="s">
        <v>280</v>
      </c>
      <c r="G322" s="108" t="s">
        <v>23</v>
      </c>
      <c r="H322" s="126"/>
      <c r="L322" s="22"/>
      <c r="M322" s="22"/>
      <c r="N322" s="22"/>
      <c r="O322" s="22"/>
      <c r="P322" s="22"/>
      <c r="Q322" s="22"/>
      <c r="R322" s="24"/>
    </row>
    <row r="323" spans="1:18" s="31" customFormat="1" ht="63">
      <c r="A323" s="30"/>
      <c r="B323" s="127" t="s">
        <v>26</v>
      </c>
      <c r="C323" s="109" t="s">
        <v>256</v>
      </c>
      <c r="D323" s="108" t="s">
        <v>11</v>
      </c>
      <c r="E323" s="108" t="s">
        <v>51</v>
      </c>
      <c r="F323" s="108" t="s">
        <v>280</v>
      </c>
      <c r="G323" s="108" t="s">
        <v>27</v>
      </c>
      <c r="H323" s="126"/>
      <c r="L323" s="22"/>
      <c r="M323" s="22"/>
      <c r="N323" s="22"/>
      <c r="O323" s="22"/>
      <c r="P323" s="22"/>
      <c r="Q323" s="22"/>
      <c r="R323" s="24"/>
    </row>
    <row r="324" spans="1:18" s="29" customFormat="1" ht="31.5">
      <c r="A324" s="28"/>
      <c r="B324" s="125" t="s">
        <v>28</v>
      </c>
      <c r="C324" s="109" t="s">
        <v>256</v>
      </c>
      <c r="D324" s="108" t="s">
        <v>11</v>
      </c>
      <c r="E324" s="108" t="s">
        <v>51</v>
      </c>
      <c r="F324" s="108" t="s">
        <v>280</v>
      </c>
      <c r="G324" s="108" t="s">
        <v>29</v>
      </c>
      <c r="H324" s="126">
        <f>H325</f>
        <v>0</v>
      </c>
      <c r="L324" s="20">
        <v>10021.450000000001</v>
      </c>
      <c r="M324" s="20">
        <v>8947.15</v>
      </c>
      <c r="N324" s="20">
        <v>8947.15</v>
      </c>
      <c r="O324" s="20">
        <f>H324-L324</f>
        <v>-10021.450000000001</v>
      </c>
      <c r="P324" s="20" t="e">
        <f>#REF!-M324</f>
        <v>#REF!</v>
      </c>
      <c r="Q324" s="20" t="e">
        <f>#REF!-N324</f>
        <v>#REF!</v>
      </c>
      <c r="R324" s="17" t="str">
        <f t="shared" si="36"/>
        <v>72 1 00 10010240</v>
      </c>
    </row>
    <row r="325" spans="1:18" s="29" customFormat="1" ht="15.75">
      <c r="A325" s="28"/>
      <c r="B325" s="125" t="s">
        <v>30</v>
      </c>
      <c r="C325" s="109" t="s">
        <v>256</v>
      </c>
      <c r="D325" s="108" t="s">
        <v>11</v>
      </c>
      <c r="E325" s="108" t="s">
        <v>51</v>
      </c>
      <c r="F325" s="108" t="s">
        <v>280</v>
      </c>
      <c r="G325" s="108" t="s">
        <v>31</v>
      </c>
      <c r="H325" s="126"/>
      <c r="L325" s="20"/>
      <c r="M325" s="20"/>
      <c r="N325" s="20"/>
      <c r="O325" s="20"/>
      <c r="P325" s="20"/>
      <c r="Q325" s="20"/>
      <c r="R325" s="17"/>
    </row>
    <row r="326" spans="1:18" s="29" customFormat="1" ht="15.75">
      <c r="A326" s="28"/>
      <c r="B326" s="125" t="s">
        <v>32</v>
      </c>
      <c r="C326" s="109" t="s">
        <v>256</v>
      </c>
      <c r="D326" s="108" t="s">
        <v>11</v>
      </c>
      <c r="E326" s="108" t="s">
        <v>51</v>
      </c>
      <c r="F326" s="108" t="s">
        <v>280</v>
      </c>
      <c r="G326" s="108" t="s">
        <v>33</v>
      </c>
      <c r="H326" s="126">
        <f>SUM(H327:H329)</f>
        <v>0</v>
      </c>
      <c r="L326" s="20">
        <v>109.7</v>
      </c>
      <c r="M326" s="20">
        <v>79</v>
      </c>
      <c r="N326" s="20">
        <v>79</v>
      </c>
      <c r="O326" s="20">
        <f>H326-L326</f>
        <v>-109.7</v>
      </c>
      <c r="P326" s="20" t="e">
        <f>#REF!-M326</f>
        <v>#REF!</v>
      </c>
      <c r="Q326" s="20" t="e">
        <f>#REF!-N326</f>
        <v>#REF!</v>
      </c>
      <c r="R326" s="17" t="str">
        <f t="shared" si="36"/>
        <v>72 1 00 10010850</v>
      </c>
    </row>
    <row r="327" spans="1:18" s="31" customFormat="1" ht="31.5">
      <c r="A327" s="30"/>
      <c r="B327" s="127" t="s">
        <v>34</v>
      </c>
      <c r="C327" s="109" t="s">
        <v>256</v>
      </c>
      <c r="D327" s="108" t="s">
        <v>11</v>
      </c>
      <c r="E327" s="108" t="s">
        <v>51</v>
      </c>
      <c r="F327" s="108" t="s">
        <v>280</v>
      </c>
      <c r="G327" s="108" t="s">
        <v>35</v>
      </c>
      <c r="H327" s="126"/>
      <c r="L327" s="22"/>
      <c r="M327" s="22"/>
      <c r="N327" s="22"/>
      <c r="O327" s="22"/>
      <c r="P327" s="22"/>
      <c r="Q327" s="22"/>
      <c r="R327" s="24"/>
    </row>
    <row r="328" spans="1:18" s="31" customFormat="1" ht="15.75">
      <c r="A328" s="30"/>
      <c r="B328" s="127" t="s">
        <v>36</v>
      </c>
      <c r="C328" s="109" t="s">
        <v>256</v>
      </c>
      <c r="D328" s="108" t="s">
        <v>11</v>
      </c>
      <c r="E328" s="108" t="s">
        <v>51</v>
      </c>
      <c r="F328" s="108" t="s">
        <v>280</v>
      </c>
      <c r="G328" s="108" t="s">
        <v>37</v>
      </c>
      <c r="H328" s="126"/>
      <c r="L328" s="22"/>
      <c r="M328" s="22"/>
      <c r="N328" s="22"/>
      <c r="O328" s="22"/>
      <c r="P328" s="22"/>
      <c r="Q328" s="22"/>
      <c r="R328" s="24"/>
    </row>
    <row r="329" spans="1:18" s="31" customFormat="1" ht="15.75">
      <c r="A329" s="30"/>
      <c r="B329" s="127" t="s">
        <v>77</v>
      </c>
      <c r="C329" s="109" t="s">
        <v>256</v>
      </c>
      <c r="D329" s="108" t="s">
        <v>11</v>
      </c>
      <c r="E329" s="108" t="s">
        <v>51</v>
      </c>
      <c r="F329" s="108" t="s">
        <v>280</v>
      </c>
      <c r="G329" s="108" t="s">
        <v>78</v>
      </c>
      <c r="H329" s="126"/>
      <c r="L329" s="22"/>
      <c r="M329" s="22"/>
      <c r="N329" s="22"/>
      <c r="O329" s="22"/>
      <c r="P329" s="22"/>
      <c r="Q329" s="22"/>
      <c r="R329" s="24"/>
    </row>
    <row r="330" spans="1:18" s="29" customFormat="1" ht="31.5">
      <c r="A330" s="28"/>
      <c r="B330" s="125" t="s">
        <v>38</v>
      </c>
      <c r="C330" s="109" t="s">
        <v>256</v>
      </c>
      <c r="D330" s="108" t="s">
        <v>11</v>
      </c>
      <c r="E330" s="108" t="s">
        <v>51</v>
      </c>
      <c r="F330" s="108" t="s">
        <v>281</v>
      </c>
      <c r="G330" s="108" t="s">
        <v>9</v>
      </c>
      <c r="H330" s="126">
        <f>SUM(H331:H331)</f>
        <v>0</v>
      </c>
      <c r="L330" s="20">
        <v>58911.519999999997</v>
      </c>
      <c r="M330" s="20">
        <v>58911.519999999997</v>
      </c>
      <c r="N330" s="20">
        <v>58911.519999999997</v>
      </c>
      <c r="O330" s="20">
        <f>H330-L330</f>
        <v>-58911.519999999997</v>
      </c>
      <c r="P330" s="20" t="e">
        <f>#REF!-M330</f>
        <v>#REF!</v>
      </c>
      <c r="Q330" s="20" t="e">
        <f>#REF!-N330</f>
        <v>#REF!</v>
      </c>
      <c r="R330" s="17" t="str">
        <f t="shared" si="36"/>
        <v>72 1 00 10020000</v>
      </c>
    </row>
    <row r="331" spans="1:18" s="29" customFormat="1" ht="31.5">
      <c r="A331" s="28"/>
      <c r="B331" s="127" t="s">
        <v>20</v>
      </c>
      <c r="C331" s="109" t="s">
        <v>256</v>
      </c>
      <c r="D331" s="108" t="s">
        <v>11</v>
      </c>
      <c r="E331" s="108" t="s">
        <v>51</v>
      </c>
      <c r="F331" s="108" t="s">
        <v>281</v>
      </c>
      <c r="G331" s="108" t="s">
        <v>21</v>
      </c>
      <c r="H331" s="126">
        <f>SUM(H332:H333)</f>
        <v>0</v>
      </c>
      <c r="L331" s="20">
        <v>58911.519999999997</v>
      </c>
      <c r="M331" s="20">
        <v>58911.519999999997</v>
      </c>
      <c r="N331" s="20">
        <v>58911.519999999997</v>
      </c>
      <c r="O331" s="20">
        <f>H331-L331</f>
        <v>-58911.519999999997</v>
      </c>
      <c r="P331" s="20" t="e">
        <f>#REF!-M331</f>
        <v>#REF!</v>
      </c>
      <c r="Q331" s="20" t="e">
        <f>#REF!-N331</f>
        <v>#REF!</v>
      </c>
      <c r="R331" s="17" t="str">
        <f t="shared" si="36"/>
        <v>72 1 00 10020120</v>
      </c>
    </row>
    <row r="332" spans="1:18" s="31" customFormat="1" ht="31.5">
      <c r="A332" s="30"/>
      <c r="B332" s="127" t="s">
        <v>40</v>
      </c>
      <c r="C332" s="109" t="s">
        <v>256</v>
      </c>
      <c r="D332" s="108" t="s">
        <v>11</v>
      </c>
      <c r="E332" s="108" t="s">
        <v>51</v>
      </c>
      <c r="F332" s="108" t="s">
        <v>281</v>
      </c>
      <c r="G332" s="108" t="s">
        <v>41</v>
      </c>
      <c r="H332" s="126"/>
      <c r="L332" s="22"/>
      <c r="M332" s="22"/>
      <c r="N332" s="22"/>
      <c r="O332" s="22"/>
      <c r="P332" s="22"/>
      <c r="Q332" s="22"/>
      <c r="R332" s="24"/>
    </row>
    <row r="333" spans="1:18" s="31" customFormat="1" ht="63">
      <c r="A333" s="30"/>
      <c r="B333" s="127" t="s">
        <v>26</v>
      </c>
      <c r="C333" s="109" t="s">
        <v>256</v>
      </c>
      <c r="D333" s="108" t="s">
        <v>11</v>
      </c>
      <c r="E333" s="108" t="s">
        <v>51</v>
      </c>
      <c r="F333" s="108" t="s">
        <v>281</v>
      </c>
      <c r="G333" s="108" t="s">
        <v>27</v>
      </c>
      <c r="H333" s="126"/>
      <c r="L333" s="22"/>
      <c r="M333" s="22"/>
      <c r="N333" s="22"/>
      <c r="O333" s="22"/>
      <c r="P333" s="22"/>
      <c r="Q333" s="22"/>
      <c r="R333" s="24"/>
    </row>
    <row r="334" spans="1:18" s="29" customFormat="1" ht="63">
      <c r="A334" s="28"/>
      <c r="B334" s="138" t="s">
        <v>87</v>
      </c>
      <c r="C334" s="109" t="s">
        <v>256</v>
      </c>
      <c r="D334" s="108" t="s">
        <v>11</v>
      </c>
      <c r="E334" s="108" t="s">
        <v>51</v>
      </c>
      <c r="F334" s="108" t="s">
        <v>88</v>
      </c>
      <c r="G334" s="108" t="s">
        <v>9</v>
      </c>
      <c r="H334" s="126">
        <f>H335</f>
        <v>0</v>
      </c>
      <c r="L334" s="20">
        <v>268</v>
      </c>
      <c r="M334" s="20">
        <v>0</v>
      </c>
      <c r="N334" s="20">
        <v>0</v>
      </c>
      <c r="O334" s="20">
        <f>H334-L334</f>
        <v>-268</v>
      </c>
      <c r="P334" s="20" t="e">
        <f>#REF!-M334</f>
        <v>#REF!</v>
      </c>
      <c r="Q334" s="20" t="e">
        <f>#REF!-N334</f>
        <v>#REF!</v>
      </c>
      <c r="R334" s="17" t="str">
        <f t="shared" si="36"/>
        <v>98 0 00 00000000</v>
      </c>
    </row>
    <row r="335" spans="1:18" s="29" customFormat="1" ht="15.75">
      <c r="A335" s="28"/>
      <c r="B335" s="138" t="s">
        <v>89</v>
      </c>
      <c r="C335" s="109" t="s">
        <v>256</v>
      </c>
      <c r="D335" s="108" t="s">
        <v>11</v>
      </c>
      <c r="E335" s="108" t="s">
        <v>51</v>
      </c>
      <c r="F335" s="108" t="s">
        <v>90</v>
      </c>
      <c r="G335" s="108" t="s">
        <v>9</v>
      </c>
      <c r="H335" s="126">
        <f>H336</f>
        <v>0</v>
      </c>
      <c r="L335" s="20">
        <v>268</v>
      </c>
      <c r="M335" s="20">
        <v>0</v>
      </c>
      <c r="N335" s="20">
        <v>0</v>
      </c>
      <c r="O335" s="20">
        <f>H335-L335</f>
        <v>-268</v>
      </c>
      <c r="P335" s="20" t="e">
        <f>#REF!-M335</f>
        <v>#REF!</v>
      </c>
      <c r="Q335" s="20" t="e">
        <f>#REF!-N335</f>
        <v>#REF!</v>
      </c>
      <c r="R335" s="17" t="str">
        <f t="shared" si="36"/>
        <v>98 1 00 00000000</v>
      </c>
    </row>
    <row r="336" spans="1:18" s="29" customFormat="1" ht="31.5">
      <c r="A336" s="28"/>
      <c r="B336" s="138" t="s">
        <v>282</v>
      </c>
      <c r="C336" s="109" t="s">
        <v>256</v>
      </c>
      <c r="D336" s="108" t="s">
        <v>11</v>
      </c>
      <c r="E336" s="108" t="s">
        <v>51</v>
      </c>
      <c r="F336" s="108" t="s">
        <v>283</v>
      </c>
      <c r="G336" s="108" t="s">
        <v>9</v>
      </c>
      <c r="H336" s="126">
        <f>H337</f>
        <v>0</v>
      </c>
      <c r="L336" s="20">
        <v>268</v>
      </c>
      <c r="M336" s="20">
        <v>0</v>
      </c>
      <c r="N336" s="20">
        <v>0</v>
      </c>
      <c r="O336" s="20">
        <f>H336-L336</f>
        <v>-268</v>
      </c>
      <c r="P336" s="20" t="e">
        <f>#REF!-M336</f>
        <v>#REF!</v>
      </c>
      <c r="Q336" s="20" t="e">
        <f>#REF!-N336</f>
        <v>#REF!</v>
      </c>
      <c r="R336" s="17" t="str">
        <f t="shared" si="36"/>
        <v>98 1 00 21350000</v>
      </c>
    </row>
    <row r="337" spans="1:18" s="29" customFormat="1" ht="15.75">
      <c r="A337" s="28"/>
      <c r="B337" s="138" t="s">
        <v>189</v>
      </c>
      <c r="C337" s="109" t="s">
        <v>256</v>
      </c>
      <c r="D337" s="108" t="s">
        <v>11</v>
      </c>
      <c r="E337" s="108" t="s">
        <v>51</v>
      </c>
      <c r="F337" s="108" t="s">
        <v>283</v>
      </c>
      <c r="G337" s="108" t="s">
        <v>190</v>
      </c>
      <c r="H337" s="126">
        <f>H338</f>
        <v>0</v>
      </c>
      <c r="L337" s="20">
        <v>268</v>
      </c>
      <c r="M337" s="20">
        <v>0</v>
      </c>
      <c r="N337" s="20">
        <v>0</v>
      </c>
      <c r="O337" s="20">
        <f>H337-L337</f>
        <v>-268</v>
      </c>
      <c r="P337" s="20" t="e">
        <f>#REF!-M337</f>
        <v>#REF!</v>
      </c>
      <c r="Q337" s="20" t="e">
        <f>#REF!-N337</f>
        <v>#REF!</v>
      </c>
      <c r="R337" s="17" t="str">
        <f t="shared" si="36"/>
        <v>98 1 00 21350830</v>
      </c>
    </row>
    <row r="338" spans="1:18" s="29" customFormat="1" ht="47.25">
      <c r="A338" s="28"/>
      <c r="B338" s="138" t="s">
        <v>191</v>
      </c>
      <c r="C338" s="109" t="s">
        <v>256</v>
      </c>
      <c r="D338" s="108" t="s">
        <v>11</v>
      </c>
      <c r="E338" s="108" t="s">
        <v>51</v>
      </c>
      <c r="F338" s="108" t="s">
        <v>283</v>
      </c>
      <c r="G338" s="108" t="s">
        <v>192</v>
      </c>
      <c r="H338" s="126"/>
      <c r="L338" s="20"/>
      <c r="M338" s="20"/>
      <c r="N338" s="20"/>
      <c r="O338" s="20"/>
      <c r="P338" s="20"/>
      <c r="Q338" s="20"/>
      <c r="R338" s="17"/>
    </row>
    <row r="339" spans="1:18" s="29" customFormat="1" ht="15.75">
      <c r="A339" s="28"/>
      <c r="B339" s="117" t="s">
        <v>195</v>
      </c>
      <c r="C339" s="118" t="s">
        <v>256</v>
      </c>
      <c r="D339" s="119" t="s">
        <v>73</v>
      </c>
      <c r="E339" s="119" t="s">
        <v>7</v>
      </c>
      <c r="F339" s="119" t="s">
        <v>8</v>
      </c>
      <c r="G339" s="119" t="s">
        <v>9</v>
      </c>
      <c r="H339" s="120">
        <f>H340</f>
        <v>0</v>
      </c>
      <c r="L339" s="18">
        <v>43269.74</v>
      </c>
      <c r="M339" s="18">
        <v>792</v>
      </c>
      <c r="N339" s="18">
        <v>792</v>
      </c>
      <c r="O339" s="18">
        <f t="shared" ref="O339:O345" si="39">H339-L339</f>
        <v>-43269.74</v>
      </c>
      <c r="P339" s="18" t="e">
        <f>#REF!-M339</f>
        <v>#REF!</v>
      </c>
      <c r="Q339" s="18" t="e">
        <f>#REF!-N339</f>
        <v>#REF!</v>
      </c>
      <c r="R339" s="17" t="str">
        <f t="shared" si="36"/>
        <v>00 0 00 00000000</v>
      </c>
    </row>
    <row r="340" spans="1:18" s="29" customFormat="1" ht="15.75">
      <c r="A340" s="28"/>
      <c r="B340" s="121" t="s">
        <v>284</v>
      </c>
      <c r="C340" s="122" t="s">
        <v>256</v>
      </c>
      <c r="D340" s="123" t="s">
        <v>73</v>
      </c>
      <c r="E340" s="123" t="s">
        <v>57</v>
      </c>
      <c r="F340" s="139" t="s">
        <v>8</v>
      </c>
      <c r="G340" s="139" t="s">
        <v>9</v>
      </c>
      <c r="H340" s="124">
        <f>H341+H353+H347</f>
        <v>0</v>
      </c>
      <c r="L340" s="19">
        <v>43269.74</v>
      </c>
      <c r="M340" s="19">
        <v>792</v>
      </c>
      <c r="N340" s="19">
        <v>792</v>
      </c>
      <c r="O340" s="19">
        <f t="shared" si="39"/>
        <v>-43269.74</v>
      </c>
      <c r="P340" s="19" t="e">
        <f>#REF!-M340</f>
        <v>#REF!</v>
      </c>
      <c r="Q340" s="19" t="e">
        <f>#REF!-N340</f>
        <v>#REF!</v>
      </c>
      <c r="R340" s="17" t="str">
        <f t="shared" si="36"/>
        <v>00 0 00 00000000</v>
      </c>
    </row>
    <row r="341" spans="1:18" s="29" customFormat="1" ht="63">
      <c r="A341" s="28"/>
      <c r="B341" s="135" t="s">
        <v>285</v>
      </c>
      <c r="C341" s="109" t="s">
        <v>256</v>
      </c>
      <c r="D341" s="108" t="s">
        <v>73</v>
      </c>
      <c r="E341" s="108" t="s">
        <v>57</v>
      </c>
      <c r="F341" s="108" t="s">
        <v>286</v>
      </c>
      <c r="G341" s="108" t="s">
        <v>9</v>
      </c>
      <c r="H341" s="126">
        <f t="shared" ref="H341:H343" si="40">H342</f>
        <v>0</v>
      </c>
      <c r="L341" s="20">
        <v>180</v>
      </c>
      <c r="M341" s="20">
        <v>180</v>
      </c>
      <c r="N341" s="20">
        <v>180</v>
      </c>
      <c r="O341" s="20">
        <f t="shared" si="39"/>
        <v>-180</v>
      </c>
      <c r="P341" s="20" t="e">
        <f>#REF!-M341</f>
        <v>#REF!</v>
      </c>
      <c r="Q341" s="20" t="e">
        <f>#REF!-N341</f>
        <v>#REF!</v>
      </c>
      <c r="R341" s="17" t="str">
        <f t="shared" si="36"/>
        <v>02 0 00 00000000</v>
      </c>
    </row>
    <row r="342" spans="1:18" s="29" customFormat="1" ht="78.75">
      <c r="A342" s="28"/>
      <c r="B342" s="125" t="s">
        <v>287</v>
      </c>
      <c r="C342" s="109" t="s">
        <v>256</v>
      </c>
      <c r="D342" s="108" t="s">
        <v>73</v>
      </c>
      <c r="E342" s="108" t="s">
        <v>57</v>
      </c>
      <c r="F342" s="108" t="s">
        <v>288</v>
      </c>
      <c r="G342" s="108" t="s">
        <v>9</v>
      </c>
      <c r="H342" s="126">
        <f t="shared" si="40"/>
        <v>0</v>
      </c>
      <c r="L342" s="20">
        <v>180</v>
      </c>
      <c r="M342" s="20">
        <v>180</v>
      </c>
      <c r="N342" s="20">
        <v>180</v>
      </c>
      <c r="O342" s="20">
        <f t="shared" si="39"/>
        <v>-180</v>
      </c>
      <c r="P342" s="20" t="e">
        <f>#REF!-M342</f>
        <v>#REF!</v>
      </c>
      <c r="Q342" s="20" t="e">
        <f>#REF!-N342</f>
        <v>#REF!</v>
      </c>
      <c r="R342" s="17" t="str">
        <f t="shared" si="36"/>
        <v>02 Б 00 00000000</v>
      </c>
    </row>
    <row r="343" spans="1:18" s="29" customFormat="1" ht="78.75">
      <c r="A343" s="28"/>
      <c r="B343" s="125" t="s">
        <v>289</v>
      </c>
      <c r="C343" s="109" t="s">
        <v>256</v>
      </c>
      <c r="D343" s="108" t="s">
        <v>73</v>
      </c>
      <c r="E343" s="108" t="s">
        <v>57</v>
      </c>
      <c r="F343" s="108" t="s">
        <v>290</v>
      </c>
      <c r="G343" s="108" t="s">
        <v>9</v>
      </c>
      <c r="H343" s="126">
        <f t="shared" si="40"/>
        <v>0</v>
      </c>
      <c r="L343" s="20">
        <v>180</v>
      </c>
      <c r="M343" s="20">
        <v>180</v>
      </c>
      <c r="N343" s="20">
        <v>180</v>
      </c>
      <c r="O343" s="20">
        <f t="shared" si="39"/>
        <v>-180</v>
      </c>
      <c r="P343" s="20" t="e">
        <f>#REF!-M343</f>
        <v>#REF!</v>
      </c>
      <c r="Q343" s="20" t="e">
        <f>#REF!-N343</f>
        <v>#REF!</v>
      </c>
      <c r="R343" s="17" t="str">
        <f t="shared" si="36"/>
        <v>02 Б 01 00000000</v>
      </c>
    </row>
    <row r="344" spans="1:18" s="29" customFormat="1" ht="78.75">
      <c r="A344" s="28"/>
      <c r="B344" s="125" t="s">
        <v>291</v>
      </c>
      <c r="C344" s="109" t="s">
        <v>256</v>
      </c>
      <c r="D344" s="108" t="s">
        <v>73</v>
      </c>
      <c r="E344" s="108" t="s">
        <v>57</v>
      </c>
      <c r="F344" s="108" t="s">
        <v>292</v>
      </c>
      <c r="G344" s="108" t="s">
        <v>9</v>
      </c>
      <c r="H344" s="126">
        <f>H345</f>
        <v>0</v>
      </c>
      <c r="L344" s="20">
        <v>180</v>
      </c>
      <c r="M344" s="20">
        <v>180</v>
      </c>
      <c r="N344" s="20">
        <v>180</v>
      </c>
      <c r="O344" s="20">
        <f t="shared" si="39"/>
        <v>-180</v>
      </c>
      <c r="P344" s="20" t="e">
        <f>#REF!-M344</f>
        <v>#REF!</v>
      </c>
      <c r="Q344" s="20" t="e">
        <f>#REF!-N344</f>
        <v>#REF!</v>
      </c>
      <c r="R344" s="17" t="str">
        <f t="shared" si="36"/>
        <v>02 Б 01 20160000</v>
      </c>
    </row>
    <row r="345" spans="1:18" s="29" customFormat="1" ht="31.5">
      <c r="A345" s="28"/>
      <c r="B345" s="125" t="s">
        <v>28</v>
      </c>
      <c r="C345" s="109" t="s">
        <v>256</v>
      </c>
      <c r="D345" s="108" t="s">
        <v>73</v>
      </c>
      <c r="E345" s="108" t="s">
        <v>57</v>
      </c>
      <c r="F345" s="108" t="s">
        <v>292</v>
      </c>
      <c r="G345" s="108" t="s">
        <v>29</v>
      </c>
      <c r="H345" s="126">
        <f>H346</f>
        <v>0</v>
      </c>
      <c r="L345" s="20">
        <v>180</v>
      </c>
      <c r="M345" s="20">
        <v>180</v>
      </c>
      <c r="N345" s="20">
        <v>180</v>
      </c>
      <c r="O345" s="20">
        <f t="shared" si="39"/>
        <v>-180</v>
      </c>
      <c r="P345" s="20" t="e">
        <f>#REF!-M345</f>
        <v>#REF!</v>
      </c>
      <c r="Q345" s="20" t="e">
        <f>#REF!-N345</f>
        <v>#REF!</v>
      </c>
      <c r="R345" s="17" t="str">
        <f t="shared" si="36"/>
        <v>02 Б 01 20160240</v>
      </c>
    </row>
    <row r="346" spans="1:18" s="29" customFormat="1" ht="15.75">
      <c r="A346" s="28"/>
      <c r="B346" s="125" t="s">
        <v>30</v>
      </c>
      <c r="C346" s="109" t="s">
        <v>256</v>
      </c>
      <c r="D346" s="108" t="s">
        <v>73</v>
      </c>
      <c r="E346" s="108" t="s">
        <v>57</v>
      </c>
      <c r="F346" s="108" t="s">
        <v>292</v>
      </c>
      <c r="G346" s="108" t="s">
        <v>31</v>
      </c>
      <c r="H346" s="126"/>
      <c r="L346" s="20"/>
      <c r="M346" s="20"/>
      <c r="N346" s="20"/>
      <c r="O346" s="20"/>
      <c r="P346" s="20"/>
      <c r="Q346" s="20"/>
      <c r="R346" s="17" t="str">
        <f t="shared" si="36"/>
        <v>02 Б 01 20160244</v>
      </c>
    </row>
    <row r="347" spans="1:18" s="29" customFormat="1" ht="63">
      <c r="A347" s="28"/>
      <c r="B347" s="127" t="s">
        <v>293</v>
      </c>
      <c r="C347" s="109" t="s">
        <v>256</v>
      </c>
      <c r="D347" s="108" t="s">
        <v>73</v>
      </c>
      <c r="E347" s="108" t="s">
        <v>57</v>
      </c>
      <c r="F347" s="108" t="s">
        <v>294</v>
      </c>
      <c r="G347" s="108" t="s">
        <v>9</v>
      </c>
      <c r="H347" s="126">
        <f t="shared" ref="H347:H350" si="41">H348</f>
        <v>0</v>
      </c>
      <c r="L347" s="20">
        <v>42477.74</v>
      </c>
      <c r="M347" s="20">
        <v>0</v>
      </c>
      <c r="N347" s="20">
        <v>0</v>
      </c>
      <c r="O347" s="20">
        <f>H347-L347</f>
        <v>-42477.74</v>
      </c>
      <c r="P347" s="20" t="e">
        <f>#REF!-M347</f>
        <v>#REF!</v>
      </c>
      <c r="Q347" s="20" t="e">
        <f>#REF!-N347</f>
        <v>#REF!</v>
      </c>
      <c r="R347" s="17" t="str">
        <f t="shared" si="36"/>
        <v>04 0 00 00000000</v>
      </c>
    </row>
    <row r="348" spans="1:18" s="29" customFormat="1" ht="63">
      <c r="A348" s="28"/>
      <c r="B348" s="140" t="s">
        <v>295</v>
      </c>
      <c r="C348" s="109" t="s">
        <v>256</v>
      </c>
      <c r="D348" s="108" t="s">
        <v>73</v>
      </c>
      <c r="E348" s="108" t="s">
        <v>57</v>
      </c>
      <c r="F348" s="108" t="s">
        <v>296</v>
      </c>
      <c r="G348" s="108" t="s">
        <v>9</v>
      </c>
      <c r="H348" s="126">
        <f t="shared" si="41"/>
        <v>0</v>
      </c>
      <c r="L348" s="20">
        <v>42477.74</v>
      </c>
      <c r="M348" s="20">
        <v>0</v>
      </c>
      <c r="N348" s="20">
        <v>0</v>
      </c>
      <c r="O348" s="20">
        <f>H348-L348</f>
        <v>-42477.74</v>
      </c>
      <c r="P348" s="20" t="e">
        <f>#REF!-M348</f>
        <v>#REF!</v>
      </c>
      <c r="Q348" s="20" t="e">
        <f>#REF!-N348</f>
        <v>#REF!</v>
      </c>
      <c r="R348" s="17" t="str">
        <f t="shared" si="36"/>
        <v>04 2 00 00000000</v>
      </c>
    </row>
    <row r="349" spans="1:18" s="29" customFormat="1" ht="63">
      <c r="A349" s="28"/>
      <c r="B349" s="125" t="s">
        <v>297</v>
      </c>
      <c r="C349" s="109" t="s">
        <v>256</v>
      </c>
      <c r="D349" s="108" t="s">
        <v>73</v>
      </c>
      <c r="E349" s="108" t="s">
        <v>57</v>
      </c>
      <c r="F349" s="108" t="s">
        <v>298</v>
      </c>
      <c r="G349" s="108" t="s">
        <v>9</v>
      </c>
      <c r="H349" s="126">
        <f t="shared" si="41"/>
        <v>0</v>
      </c>
      <c r="L349" s="20">
        <v>42477.74</v>
      </c>
      <c r="M349" s="20">
        <v>0</v>
      </c>
      <c r="N349" s="20">
        <v>0</v>
      </c>
      <c r="O349" s="20">
        <f>H349-L349</f>
        <v>-42477.74</v>
      </c>
      <c r="P349" s="20" t="e">
        <f>#REF!-M349</f>
        <v>#REF!</v>
      </c>
      <c r="Q349" s="20" t="e">
        <f>#REF!-N349</f>
        <v>#REF!</v>
      </c>
      <c r="R349" s="17" t="str">
        <f t="shared" si="36"/>
        <v>04 2 02 00000000</v>
      </c>
    </row>
    <row r="350" spans="1:18" s="29" customFormat="1" ht="15.75">
      <c r="A350" s="28"/>
      <c r="B350" s="125" t="s">
        <v>299</v>
      </c>
      <c r="C350" s="109" t="s">
        <v>256</v>
      </c>
      <c r="D350" s="108" t="s">
        <v>73</v>
      </c>
      <c r="E350" s="108" t="s">
        <v>57</v>
      </c>
      <c r="F350" s="108" t="s">
        <v>300</v>
      </c>
      <c r="G350" s="108" t="s">
        <v>9</v>
      </c>
      <c r="H350" s="126">
        <f t="shared" si="41"/>
        <v>0</v>
      </c>
      <c r="L350" s="20">
        <v>42477.74</v>
      </c>
      <c r="M350" s="20">
        <v>0</v>
      </c>
      <c r="N350" s="20">
        <v>0</v>
      </c>
      <c r="O350" s="20">
        <f>H350-L350</f>
        <v>-42477.74</v>
      </c>
      <c r="P350" s="20" t="e">
        <f>#REF!-M350</f>
        <v>#REF!</v>
      </c>
      <c r="Q350" s="20" t="e">
        <f>#REF!-N350</f>
        <v>#REF!</v>
      </c>
      <c r="R350" s="17" t="str">
        <f t="shared" si="36"/>
        <v>04 2 02 21470000</v>
      </c>
    </row>
    <row r="351" spans="1:18" s="29" customFormat="1" ht="31.5">
      <c r="A351" s="28"/>
      <c r="B351" s="125" t="s">
        <v>28</v>
      </c>
      <c r="C351" s="109" t="s">
        <v>256</v>
      </c>
      <c r="D351" s="108" t="s">
        <v>73</v>
      </c>
      <c r="E351" s="108" t="s">
        <v>57</v>
      </c>
      <c r="F351" s="108" t="s">
        <v>300</v>
      </c>
      <c r="G351" s="108" t="s">
        <v>29</v>
      </c>
      <c r="H351" s="126">
        <f>H352</f>
        <v>0</v>
      </c>
      <c r="L351" s="20">
        <v>42477.74</v>
      </c>
      <c r="M351" s="20">
        <v>0</v>
      </c>
      <c r="N351" s="20">
        <v>0</v>
      </c>
      <c r="O351" s="20">
        <f>H351-L351</f>
        <v>-42477.74</v>
      </c>
      <c r="P351" s="20" t="e">
        <f>#REF!-M351</f>
        <v>#REF!</v>
      </c>
      <c r="Q351" s="20" t="e">
        <f>#REF!-N351</f>
        <v>#REF!</v>
      </c>
      <c r="R351" s="17" t="str">
        <f t="shared" si="36"/>
        <v>04 2 02 21470240</v>
      </c>
    </row>
    <row r="352" spans="1:18" s="29" customFormat="1" ht="15.75">
      <c r="A352" s="28"/>
      <c r="B352" s="125" t="s">
        <v>30</v>
      </c>
      <c r="C352" s="109" t="s">
        <v>256</v>
      </c>
      <c r="D352" s="108" t="s">
        <v>73</v>
      </c>
      <c r="E352" s="108" t="s">
        <v>57</v>
      </c>
      <c r="F352" s="108" t="s">
        <v>300</v>
      </c>
      <c r="G352" s="108" t="s">
        <v>31</v>
      </c>
      <c r="H352" s="126"/>
      <c r="L352" s="20"/>
      <c r="M352" s="20"/>
      <c r="N352" s="20"/>
      <c r="O352" s="20"/>
      <c r="P352" s="20"/>
      <c r="Q352" s="20"/>
      <c r="R352" s="17" t="str">
        <f t="shared" si="36"/>
        <v>04 2 02 21470244</v>
      </c>
    </row>
    <row r="353" spans="1:18" s="29" customFormat="1" ht="63">
      <c r="A353" s="28"/>
      <c r="B353" s="132" t="s">
        <v>257</v>
      </c>
      <c r="C353" s="109" t="s">
        <v>256</v>
      </c>
      <c r="D353" s="108" t="s">
        <v>73</v>
      </c>
      <c r="E353" s="108" t="s">
        <v>57</v>
      </c>
      <c r="F353" s="108" t="s">
        <v>258</v>
      </c>
      <c r="G353" s="108" t="s">
        <v>9</v>
      </c>
      <c r="H353" s="126">
        <f t="shared" ref="H353:H354" si="42">H354</f>
        <v>0</v>
      </c>
      <c r="L353" s="20">
        <v>612</v>
      </c>
      <c r="M353" s="20">
        <v>612</v>
      </c>
      <c r="N353" s="20">
        <v>612</v>
      </c>
      <c r="O353" s="20">
        <f>H353-L353</f>
        <v>-612</v>
      </c>
      <c r="P353" s="20" t="e">
        <f>#REF!-M353</f>
        <v>#REF!</v>
      </c>
      <c r="Q353" s="20" t="e">
        <f>#REF!-N353</f>
        <v>#REF!</v>
      </c>
      <c r="R353" s="17" t="str">
        <f t="shared" si="36"/>
        <v>11 0 00 00000000</v>
      </c>
    </row>
    <row r="354" spans="1:18" s="29" customFormat="1" ht="63">
      <c r="A354" s="28"/>
      <c r="B354" s="132" t="s">
        <v>259</v>
      </c>
      <c r="C354" s="109" t="s">
        <v>256</v>
      </c>
      <c r="D354" s="108" t="s">
        <v>73</v>
      </c>
      <c r="E354" s="108" t="s">
        <v>57</v>
      </c>
      <c r="F354" s="108" t="s">
        <v>260</v>
      </c>
      <c r="G354" s="108" t="s">
        <v>9</v>
      </c>
      <c r="H354" s="126">
        <f t="shared" si="42"/>
        <v>0</v>
      </c>
      <c r="L354" s="20">
        <v>612</v>
      </c>
      <c r="M354" s="20">
        <v>612</v>
      </c>
      <c r="N354" s="20">
        <v>612</v>
      </c>
      <c r="O354" s="20">
        <f>H354-L354</f>
        <v>-612</v>
      </c>
      <c r="P354" s="20" t="e">
        <f>#REF!-M354</f>
        <v>#REF!</v>
      </c>
      <c r="Q354" s="20" t="e">
        <f>#REF!-N354</f>
        <v>#REF!</v>
      </c>
      <c r="R354" s="17" t="str">
        <f t="shared" si="36"/>
        <v>11 Б 00 00000000</v>
      </c>
    </row>
    <row r="355" spans="1:18" s="29" customFormat="1" ht="47.25">
      <c r="A355" s="28"/>
      <c r="B355" s="125" t="s">
        <v>301</v>
      </c>
      <c r="C355" s="109" t="s">
        <v>256</v>
      </c>
      <c r="D355" s="108" t="s">
        <v>73</v>
      </c>
      <c r="E355" s="108" t="s">
        <v>57</v>
      </c>
      <c r="F355" s="108" t="s">
        <v>302</v>
      </c>
      <c r="G355" s="108" t="s">
        <v>9</v>
      </c>
      <c r="H355" s="126">
        <f>H356</f>
        <v>0</v>
      </c>
      <c r="L355" s="20">
        <v>612</v>
      </c>
      <c r="M355" s="20">
        <v>612</v>
      </c>
      <c r="N355" s="20">
        <v>612</v>
      </c>
      <c r="O355" s="20">
        <f>H355-L355</f>
        <v>-612</v>
      </c>
      <c r="P355" s="20" t="e">
        <f>#REF!-M355</f>
        <v>#REF!</v>
      </c>
      <c r="Q355" s="20" t="e">
        <f>#REF!-N355</f>
        <v>#REF!</v>
      </c>
      <c r="R355" s="17" t="str">
        <f t="shared" si="36"/>
        <v>11 Б 02 00000000</v>
      </c>
    </row>
    <row r="356" spans="1:18" s="29" customFormat="1" ht="63">
      <c r="A356" s="28"/>
      <c r="B356" s="125" t="s">
        <v>303</v>
      </c>
      <c r="C356" s="109" t="s">
        <v>256</v>
      </c>
      <c r="D356" s="108" t="s">
        <v>73</v>
      </c>
      <c r="E356" s="108" t="s">
        <v>57</v>
      </c>
      <c r="F356" s="108" t="s">
        <v>304</v>
      </c>
      <c r="G356" s="108" t="s">
        <v>9</v>
      </c>
      <c r="H356" s="126">
        <f>H357</f>
        <v>0</v>
      </c>
      <c r="L356" s="20">
        <v>612</v>
      </c>
      <c r="M356" s="20">
        <v>612</v>
      </c>
      <c r="N356" s="20">
        <v>612</v>
      </c>
      <c r="O356" s="20">
        <f>H356-L356</f>
        <v>-612</v>
      </c>
      <c r="P356" s="20" t="e">
        <f>#REF!-M356</f>
        <v>#REF!</v>
      </c>
      <c r="Q356" s="20" t="e">
        <f>#REF!-N356</f>
        <v>#REF!</v>
      </c>
      <c r="R356" s="17" t="str">
        <f t="shared" si="36"/>
        <v>11 Б 02 20180000</v>
      </c>
    </row>
    <row r="357" spans="1:18" s="29" customFormat="1" ht="31.5">
      <c r="A357" s="28"/>
      <c r="B357" s="125" t="s">
        <v>28</v>
      </c>
      <c r="C357" s="109" t="s">
        <v>256</v>
      </c>
      <c r="D357" s="108" t="s">
        <v>73</v>
      </c>
      <c r="E357" s="108" t="s">
        <v>57</v>
      </c>
      <c r="F357" s="108" t="s">
        <v>304</v>
      </c>
      <c r="G357" s="108" t="s">
        <v>29</v>
      </c>
      <c r="H357" s="126">
        <f>H358</f>
        <v>0</v>
      </c>
      <c r="L357" s="20">
        <v>612</v>
      </c>
      <c r="M357" s="20">
        <v>612</v>
      </c>
      <c r="N357" s="20">
        <v>612</v>
      </c>
      <c r="O357" s="20">
        <f>H357-L357</f>
        <v>-612</v>
      </c>
      <c r="P357" s="20" t="e">
        <f>#REF!-M357</f>
        <v>#REF!</v>
      </c>
      <c r="Q357" s="20" t="e">
        <f>#REF!-N357</f>
        <v>#REF!</v>
      </c>
      <c r="R357" s="17" t="str">
        <f t="shared" si="36"/>
        <v>11 Б 02 20180240</v>
      </c>
    </row>
    <row r="358" spans="1:18" s="29" customFormat="1" ht="15.75">
      <c r="A358" s="28"/>
      <c r="B358" s="125" t="s">
        <v>30</v>
      </c>
      <c r="C358" s="109" t="s">
        <v>256</v>
      </c>
      <c r="D358" s="108" t="s">
        <v>73</v>
      </c>
      <c r="E358" s="108" t="s">
        <v>57</v>
      </c>
      <c r="F358" s="108" t="s">
        <v>304</v>
      </c>
      <c r="G358" s="108" t="s">
        <v>31</v>
      </c>
      <c r="H358" s="126"/>
      <c r="L358" s="20"/>
      <c r="M358" s="20"/>
      <c r="N358" s="20"/>
      <c r="O358" s="20"/>
      <c r="P358" s="20"/>
      <c r="Q358" s="20"/>
      <c r="R358" s="17" t="str">
        <f t="shared" si="36"/>
        <v>11 Б 02 20180244</v>
      </c>
    </row>
    <row r="359" spans="1:18" s="16" customFormat="1" ht="15.75">
      <c r="A359" s="14"/>
      <c r="B359" s="117" t="s">
        <v>305</v>
      </c>
      <c r="C359" s="118" t="s">
        <v>256</v>
      </c>
      <c r="D359" s="119" t="s">
        <v>86</v>
      </c>
      <c r="E359" s="119" t="s">
        <v>7</v>
      </c>
      <c r="F359" s="119" t="s">
        <v>8</v>
      </c>
      <c r="G359" s="119" t="s">
        <v>9</v>
      </c>
      <c r="H359" s="120">
        <f>H367+H360</f>
        <v>0</v>
      </c>
      <c r="L359" s="18">
        <v>9280.8700000000008</v>
      </c>
      <c r="M359" s="18">
        <v>0</v>
      </c>
      <c r="N359" s="18">
        <v>0</v>
      </c>
      <c r="O359" s="20">
        <f t="shared" ref="O359:O365" si="43">H359-L359</f>
        <v>-9280.8700000000008</v>
      </c>
      <c r="P359" s="20" t="e">
        <f>#REF!-M359</f>
        <v>#REF!</v>
      </c>
      <c r="Q359" s="20" t="e">
        <f>#REF!-N359</f>
        <v>#REF!</v>
      </c>
      <c r="R359" s="17" t="str">
        <f t="shared" si="36"/>
        <v>00 0 00 00000000</v>
      </c>
    </row>
    <row r="360" spans="1:18" s="16" customFormat="1" ht="15.75">
      <c r="A360" s="14"/>
      <c r="B360" s="121" t="s">
        <v>306</v>
      </c>
      <c r="C360" s="122" t="s">
        <v>256</v>
      </c>
      <c r="D360" s="123" t="s">
        <v>86</v>
      </c>
      <c r="E360" s="123" t="s">
        <v>13</v>
      </c>
      <c r="F360" s="123" t="s">
        <v>8</v>
      </c>
      <c r="G360" s="123" t="s">
        <v>9</v>
      </c>
      <c r="H360" s="124">
        <f>H361</f>
        <v>0</v>
      </c>
      <c r="L360" s="19">
        <v>7522.26</v>
      </c>
      <c r="M360" s="19">
        <v>0</v>
      </c>
      <c r="N360" s="19">
        <v>0</v>
      </c>
      <c r="O360" s="19">
        <f t="shared" si="43"/>
        <v>-7522.26</v>
      </c>
      <c r="P360" s="19" t="e">
        <f>#REF!-M360</f>
        <v>#REF!</v>
      </c>
      <c r="Q360" s="19" t="e">
        <f>#REF!-N360</f>
        <v>#REF!</v>
      </c>
      <c r="R360" s="17" t="str">
        <f t="shared" si="36"/>
        <v>00 0 00 00000000</v>
      </c>
    </row>
    <row r="361" spans="1:18" s="16" customFormat="1" ht="63">
      <c r="A361" s="14"/>
      <c r="B361" s="125" t="s">
        <v>293</v>
      </c>
      <c r="C361" s="108" t="s">
        <v>256</v>
      </c>
      <c r="D361" s="108" t="s">
        <v>86</v>
      </c>
      <c r="E361" s="108" t="s">
        <v>13</v>
      </c>
      <c r="F361" s="108" t="s">
        <v>294</v>
      </c>
      <c r="G361" s="108" t="s">
        <v>9</v>
      </c>
      <c r="H361" s="141">
        <f>H362</f>
        <v>0</v>
      </c>
      <c r="L361" s="32">
        <v>7522.26</v>
      </c>
      <c r="M361" s="32">
        <v>0</v>
      </c>
      <c r="N361" s="32">
        <v>0</v>
      </c>
      <c r="O361" s="32">
        <f t="shared" si="43"/>
        <v>-7522.26</v>
      </c>
      <c r="P361" s="32" t="e">
        <f>#REF!-M361</f>
        <v>#REF!</v>
      </c>
      <c r="Q361" s="32" t="e">
        <f>#REF!-N361</f>
        <v>#REF!</v>
      </c>
      <c r="R361" s="17" t="str">
        <f t="shared" si="36"/>
        <v>04 0 00 00000000</v>
      </c>
    </row>
    <row r="362" spans="1:18" s="16" customFormat="1" ht="31.5">
      <c r="A362" s="14"/>
      <c r="B362" s="125" t="s">
        <v>307</v>
      </c>
      <c r="C362" s="108" t="s">
        <v>256</v>
      </c>
      <c r="D362" s="108" t="s">
        <v>86</v>
      </c>
      <c r="E362" s="108" t="s">
        <v>13</v>
      </c>
      <c r="F362" s="108" t="s">
        <v>308</v>
      </c>
      <c r="G362" s="108" t="s">
        <v>9</v>
      </c>
      <c r="H362" s="141">
        <f t="shared" ref="H362:H364" si="44">H363</f>
        <v>0</v>
      </c>
      <c r="L362" s="32">
        <v>7522.26</v>
      </c>
      <c r="M362" s="32">
        <v>0</v>
      </c>
      <c r="N362" s="32">
        <v>0</v>
      </c>
      <c r="O362" s="32">
        <f t="shared" si="43"/>
        <v>-7522.26</v>
      </c>
      <c r="P362" s="32" t="e">
        <f>#REF!-M362</f>
        <v>#REF!</v>
      </c>
      <c r="Q362" s="32" t="e">
        <f>#REF!-N362</f>
        <v>#REF!</v>
      </c>
      <c r="R362" s="17" t="str">
        <f t="shared" si="36"/>
        <v>04 3 00 00000000</v>
      </c>
    </row>
    <row r="363" spans="1:18" s="29" customFormat="1" ht="31.5">
      <c r="A363" s="28"/>
      <c r="B363" s="138" t="s">
        <v>309</v>
      </c>
      <c r="C363" s="109" t="s">
        <v>256</v>
      </c>
      <c r="D363" s="108" t="s">
        <v>86</v>
      </c>
      <c r="E363" s="108" t="s">
        <v>13</v>
      </c>
      <c r="F363" s="142" t="s">
        <v>310</v>
      </c>
      <c r="G363" s="108" t="s">
        <v>9</v>
      </c>
      <c r="H363" s="126">
        <f t="shared" si="44"/>
        <v>0</v>
      </c>
      <c r="L363" s="20">
        <v>7522.26</v>
      </c>
      <c r="M363" s="20">
        <v>0</v>
      </c>
      <c r="N363" s="20">
        <v>0</v>
      </c>
      <c r="O363" s="20">
        <f t="shared" si="43"/>
        <v>-7522.26</v>
      </c>
      <c r="P363" s="20" t="e">
        <f>#REF!-M363</f>
        <v>#REF!</v>
      </c>
      <c r="Q363" s="20" t="e">
        <f>#REF!-N363</f>
        <v>#REF!</v>
      </c>
      <c r="R363" s="17" t="str">
        <f t="shared" si="36"/>
        <v>04 3 04 00000000</v>
      </c>
    </row>
    <row r="364" spans="1:18" s="29" customFormat="1" ht="31.5">
      <c r="A364" s="28"/>
      <c r="B364" s="125" t="s">
        <v>311</v>
      </c>
      <c r="C364" s="109" t="s">
        <v>256</v>
      </c>
      <c r="D364" s="108" t="s">
        <v>86</v>
      </c>
      <c r="E364" s="108" t="s">
        <v>13</v>
      </c>
      <c r="F364" s="108" t="s">
        <v>312</v>
      </c>
      <c r="G364" s="108" t="s">
        <v>9</v>
      </c>
      <c r="H364" s="126">
        <f t="shared" si="44"/>
        <v>0</v>
      </c>
      <c r="L364" s="20">
        <v>7522.26</v>
      </c>
      <c r="M364" s="20">
        <v>0</v>
      </c>
      <c r="N364" s="20">
        <v>0</v>
      </c>
      <c r="O364" s="20">
        <f t="shared" si="43"/>
        <v>-7522.26</v>
      </c>
      <c r="P364" s="20" t="e">
        <f>#REF!-M364</f>
        <v>#REF!</v>
      </c>
      <c r="Q364" s="20" t="e">
        <f>#REF!-N364</f>
        <v>#REF!</v>
      </c>
      <c r="R364" s="17" t="str">
        <f t="shared" si="36"/>
        <v>04 3 04 21510000</v>
      </c>
    </row>
    <row r="365" spans="1:18" s="29" customFormat="1" ht="31.5">
      <c r="A365" s="28"/>
      <c r="B365" s="125" t="s">
        <v>28</v>
      </c>
      <c r="C365" s="109" t="s">
        <v>256</v>
      </c>
      <c r="D365" s="108" t="s">
        <v>86</v>
      </c>
      <c r="E365" s="108" t="s">
        <v>13</v>
      </c>
      <c r="F365" s="108" t="s">
        <v>312</v>
      </c>
      <c r="G365" s="108" t="s">
        <v>29</v>
      </c>
      <c r="H365" s="126">
        <f>H366</f>
        <v>0</v>
      </c>
      <c r="L365" s="20">
        <v>7522.26</v>
      </c>
      <c r="M365" s="20">
        <v>0</v>
      </c>
      <c r="N365" s="20">
        <v>0</v>
      </c>
      <c r="O365" s="20">
        <f t="shared" si="43"/>
        <v>-7522.26</v>
      </c>
      <c r="P365" s="20" t="e">
        <f>#REF!-M365</f>
        <v>#REF!</v>
      </c>
      <c r="Q365" s="20" t="e">
        <f>#REF!-N365</f>
        <v>#REF!</v>
      </c>
      <c r="R365" s="17" t="str">
        <f t="shared" si="36"/>
        <v>04 3 04 21510240</v>
      </c>
    </row>
    <row r="366" spans="1:18" s="29" customFormat="1" ht="15.75">
      <c r="A366" s="28"/>
      <c r="B366" s="125" t="s">
        <v>30</v>
      </c>
      <c r="C366" s="109" t="s">
        <v>256</v>
      </c>
      <c r="D366" s="108" t="s">
        <v>86</v>
      </c>
      <c r="E366" s="108" t="s">
        <v>13</v>
      </c>
      <c r="F366" s="108" t="s">
        <v>312</v>
      </c>
      <c r="G366" s="108" t="s">
        <v>31</v>
      </c>
      <c r="H366" s="126"/>
      <c r="L366" s="20"/>
      <c r="M366" s="20"/>
      <c r="N366" s="20"/>
      <c r="O366" s="20"/>
      <c r="P366" s="20"/>
      <c r="Q366" s="20"/>
      <c r="R366" s="17" t="str">
        <f t="shared" si="36"/>
        <v>04 3 04 21510244</v>
      </c>
    </row>
    <row r="367" spans="1:18" s="16" customFormat="1" ht="31.5">
      <c r="A367" s="14"/>
      <c r="B367" s="121" t="s">
        <v>313</v>
      </c>
      <c r="C367" s="122" t="s">
        <v>256</v>
      </c>
      <c r="D367" s="123" t="s">
        <v>86</v>
      </c>
      <c r="E367" s="123" t="s">
        <v>86</v>
      </c>
      <c r="F367" s="123" t="s">
        <v>8</v>
      </c>
      <c r="G367" s="123" t="s">
        <v>9</v>
      </c>
      <c r="H367" s="124">
        <f>H368</f>
        <v>0</v>
      </c>
      <c r="L367" s="19">
        <v>1758.61</v>
      </c>
      <c r="M367" s="19">
        <v>0</v>
      </c>
      <c r="N367" s="19">
        <v>0</v>
      </c>
      <c r="O367" s="19">
        <f>H367-L367</f>
        <v>-1758.61</v>
      </c>
      <c r="P367" s="19" t="e">
        <f>#REF!-M367</f>
        <v>#REF!</v>
      </c>
      <c r="Q367" s="19" t="e">
        <f>#REF!-N367</f>
        <v>#REF!</v>
      </c>
      <c r="R367" s="17" t="str">
        <f t="shared" si="36"/>
        <v>00 0 00 00000000</v>
      </c>
    </row>
    <row r="368" spans="1:18" s="29" customFormat="1" ht="63">
      <c r="A368" s="28"/>
      <c r="B368" s="138" t="s">
        <v>87</v>
      </c>
      <c r="C368" s="109" t="s">
        <v>256</v>
      </c>
      <c r="D368" s="108" t="s">
        <v>86</v>
      </c>
      <c r="E368" s="108" t="s">
        <v>86</v>
      </c>
      <c r="F368" s="108" t="s">
        <v>88</v>
      </c>
      <c r="G368" s="108" t="s">
        <v>9</v>
      </c>
      <c r="H368" s="126">
        <f>H369</f>
        <v>0</v>
      </c>
      <c r="L368" s="20">
        <v>1758.61</v>
      </c>
      <c r="M368" s="20">
        <v>0</v>
      </c>
      <c r="N368" s="20">
        <v>0</v>
      </c>
      <c r="O368" s="20">
        <f>H368-L368</f>
        <v>-1758.61</v>
      </c>
      <c r="P368" s="20" t="e">
        <f>#REF!-M368</f>
        <v>#REF!</v>
      </c>
      <c r="Q368" s="20" t="e">
        <f>#REF!-N368</f>
        <v>#REF!</v>
      </c>
      <c r="R368" s="17" t="str">
        <f t="shared" si="36"/>
        <v>98 0 00 00000000</v>
      </c>
    </row>
    <row r="369" spans="1:18" s="29" customFormat="1" ht="15.75">
      <c r="A369" s="28"/>
      <c r="B369" s="138" t="s">
        <v>89</v>
      </c>
      <c r="C369" s="109" t="s">
        <v>256</v>
      </c>
      <c r="D369" s="108" t="s">
        <v>86</v>
      </c>
      <c r="E369" s="108" t="s">
        <v>86</v>
      </c>
      <c r="F369" s="108" t="s">
        <v>90</v>
      </c>
      <c r="G369" s="108" t="s">
        <v>9</v>
      </c>
      <c r="H369" s="126">
        <f>H370</f>
        <v>0</v>
      </c>
      <c r="L369" s="20">
        <v>1758.61</v>
      </c>
      <c r="M369" s="20">
        <v>0</v>
      </c>
      <c r="N369" s="20">
        <v>0</v>
      </c>
      <c r="O369" s="20">
        <f>H369-L369</f>
        <v>-1758.61</v>
      </c>
      <c r="P369" s="20" t="e">
        <f>#REF!-M369</f>
        <v>#REF!</v>
      </c>
      <c r="Q369" s="20" t="e">
        <f>#REF!-N369</f>
        <v>#REF!</v>
      </c>
      <c r="R369" s="17" t="str">
        <f t="shared" si="36"/>
        <v>98 1 00 00000000</v>
      </c>
    </row>
    <row r="370" spans="1:18" s="29" customFormat="1" ht="47.25">
      <c r="A370" s="28"/>
      <c r="B370" s="125" t="s">
        <v>314</v>
      </c>
      <c r="C370" s="109" t="s">
        <v>256</v>
      </c>
      <c r="D370" s="108" t="s">
        <v>86</v>
      </c>
      <c r="E370" s="108" t="s">
        <v>86</v>
      </c>
      <c r="F370" s="108" t="s">
        <v>315</v>
      </c>
      <c r="G370" s="108" t="s">
        <v>9</v>
      </c>
      <c r="H370" s="126">
        <f>H371</f>
        <v>0</v>
      </c>
      <c r="L370" s="20">
        <v>1758.61</v>
      </c>
      <c r="M370" s="20">
        <v>0</v>
      </c>
      <c r="N370" s="20">
        <v>0</v>
      </c>
      <c r="O370" s="20">
        <f>H370-L370</f>
        <v>-1758.61</v>
      </c>
      <c r="P370" s="20" t="e">
        <f>#REF!-M370</f>
        <v>#REF!</v>
      </c>
      <c r="Q370" s="20" t="e">
        <f>#REF!-N370</f>
        <v>#REF!</v>
      </c>
      <c r="R370" s="17" t="str">
        <f t="shared" si="36"/>
        <v>98 1 00 20950000</v>
      </c>
    </row>
    <row r="371" spans="1:18" s="29" customFormat="1" ht="31.5">
      <c r="A371" s="28"/>
      <c r="B371" s="125" t="s">
        <v>28</v>
      </c>
      <c r="C371" s="109" t="s">
        <v>256</v>
      </c>
      <c r="D371" s="108" t="s">
        <v>86</v>
      </c>
      <c r="E371" s="108" t="s">
        <v>86</v>
      </c>
      <c r="F371" s="108" t="s">
        <v>315</v>
      </c>
      <c r="G371" s="108" t="s">
        <v>29</v>
      </c>
      <c r="H371" s="126">
        <f>H372</f>
        <v>0</v>
      </c>
      <c r="L371" s="20">
        <v>1758.61</v>
      </c>
      <c r="M371" s="20">
        <v>0</v>
      </c>
      <c r="N371" s="20">
        <v>0</v>
      </c>
      <c r="O371" s="20">
        <f>H371-L371</f>
        <v>-1758.61</v>
      </c>
      <c r="P371" s="20" t="e">
        <f>#REF!-M371</f>
        <v>#REF!</v>
      </c>
      <c r="Q371" s="20" t="e">
        <f>#REF!-N371</f>
        <v>#REF!</v>
      </c>
      <c r="R371" s="17" t="str">
        <f t="shared" si="36"/>
        <v>98 1 00 20950240</v>
      </c>
    </row>
    <row r="372" spans="1:18" s="29" customFormat="1" ht="15.75">
      <c r="A372" s="28"/>
      <c r="B372" s="125" t="s">
        <v>30</v>
      </c>
      <c r="C372" s="109" t="s">
        <v>256</v>
      </c>
      <c r="D372" s="108" t="s">
        <v>86</v>
      </c>
      <c r="E372" s="108" t="s">
        <v>86</v>
      </c>
      <c r="F372" s="108" t="s">
        <v>315</v>
      </c>
      <c r="G372" s="108" t="s">
        <v>31</v>
      </c>
      <c r="H372" s="126"/>
      <c r="L372" s="20"/>
      <c r="M372" s="20"/>
      <c r="N372" s="20"/>
      <c r="O372" s="20"/>
      <c r="P372" s="20"/>
      <c r="Q372" s="20"/>
      <c r="R372" s="17" t="str">
        <f t="shared" si="36"/>
        <v>98 1 00 20950244</v>
      </c>
    </row>
    <row r="373" spans="1:18" s="29" customFormat="1" ht="15.75">
      <c r="A373" s="28"/>
      <c r="B373" s="117" t="s">
        <v>316</v>
      </c>
      <c r="C373" s="118" t="s">
        <v>256</v>
      </c>
      <c r="D373" s="119" t="s">
        <v>317</v>
      </c>
      <c r="E373" s="119" t="s">
        <v>7</v>
      </c>
      <c r="F373" s="119" t="s">
        <v>8</v>
      </c>
      <c r="G373" s="119" t="s">
        <v>9</v>
      </c>
      <c r="H373" s="120">
        <f>H374</f>
        <v>0</v>
      </c>
      <c r="L373" s="18">
        <v>2604.63</v>
      </c>
      <c r="M373" s="18">
        <v>2604.63</v>
      </c>
      <c r="N373" s="18">
        <v>7404.63</v>
      </c>
      <c r="O373" s="18">
        <f t="shared" ref="O373:O379" si="45">H373-L373</f>
        <v>-2604.63</v>
      </c>
      <c r="P373" s="18" t="e">
        <f>#REF!-M373</f>
        <v>#REF!</v>
      </c>
      <c r="Q373" s="18" t="e">
        <f>#REF!-N373</f>
        <v>#REF!</v>
      </c>
      <c r="R373" s="17" t="str">
        <f t="shared" si="36"/>
        <v>00 0 00 00000000</v>
      </c>
    </row>
    <row r="374" spans="1:18" s="29" customFormat="1" ht="15.75">
      <c r="A374" s="28"/>
      <c r="B374" s="121" t="s">
        <v>318</v>
      </c>
      <c r="C374" s="122" t="s">
        <v>256</v>
      </c>
      <c r="D374" s="123">
        <v>10</v>
      </c>
      <c r="E374" s="123" t="s">
        <v>13</v>
      </c>
      <c r="F374" s="123" t="s">
        <v>8</v>
      </c>
      <c r="G374" s="123" t="s">
        <v>9</v>
      </c>
      <c r="H374" s="124">
        <f>H375</f>
        <v>0</v>
      </c>
      <c r="L374" s="19">
        <v>2604.63</v>
      </c>
      <c r="M374" s="19">
        <v>2604.63</v>
      </c>
      <c r="N374" s="19">
        <v>7404.63</v>
      </c>
      <c r="O374" s="19">
        <f t="shared" si="45"/>
        <v>-2604.63</v>
      </c>
      <c r="P374" s="19" t="e">
        <f>#REF!-M374</f>
        <v>#REF!</v>
      </c>
      <c r="Q374" s="19" t="e">
        <f>#REF!-N374</f>
        <v>#REF!</v>
      </c>
      <c r="R374" s="17" t="str">
        <f t="shared" si="36"/>
        <v>00 0 00 00000000</v>
      </c>
    </row>
    <row r="375" spans="1:18" s="29" customFormat="1" ht="31.5">
      <c r="A375" s="28"/>
      <c r="B375" s="125" t="s">
        <v>319</v>
      </c>
      <c r="C375" s="131" t="s">
        <v>256</v>
      </c>
      <c r="D375" s="131" t="s">
        <v>317</v>
      </c>
      <c r="E375" s="131" t="s">
        <v>13</v>
      </c>
      <c r="F375" s="131" t="s">
        <v>320</v>
      </c>
      <c r="G375" s="131" t="s">
        <v>9</v>
      </c>
      <c r="H375" s="105">
        <f t="shared" ref="H375" si="46">H376</f>
        <v>0</v>
      </c>
      <c r="L375" s="26">
        <v>2604.63</v>
      </c>
      <c r="M375" s="26">
        <v>2604.63</v>
      </c>
      <c r="N375" s="26">
        <v>7404.63</v>
      </c>
      <c r="O375" s="26">
        <f t="shared" si="45"/>
        <v>-2604.63</v>
      </c>
      <c r="P375" s="26" t="e">
        <f>#REF!-M375</f>
        <v>#REF!</v>
      </c>
      <c r="Q375" s="26" t="e">
        <f>#REF!-N375</f>
        <v>#REF!</v>
      </c>
      <c r="R375" s="17" t="str">
        <f t="shared" si="36"/>
        <v>06 0 00 00000000</v>
      </c>
    </row>
    <row r="376" spans="1:18" s="29" customFormat="1" ht="47.25">
      <c r="A376" s="28"/>
      <c r="B376" s="129" t="s">
        <v>321</v>
      </c>
      <c r="C376" s="131" t="s">
        <v>256</v>
      </c>
      <c r="D376" s="131" t="s">
        <v>317</v>
      </c>
      <c r="E376" s="131" t="s">
        <v>13</v>
      </c>
      <c r="F376" s="131" t="s">
        <v>322</v>
      </c>
      <c r="G376" s="131" t="s">
        <v>9</v>
      </c>
      <c r="H376" s="105">
        <f>H377</f>
        <v>0</v>
      </c>
      <c r="L376" s="26">
        <v>2604.63</v>
      </c>
      <c r="M376" s="26">
        <v>2604.63</v>
      </c>
      <c r="N376" s="26">
        <v>7404.63</v>
      </c>
      <c r="O376" s="26">
        <f t="shared" si="45"/>
        <v>-2604.63</v>
      </c>
      <c r="P376" s="26" t="e">
        <f>#REF!-M376</f>
        <v>#REF!</v>
      </c>
      <c r="Q376" s="26" t="e">
        <f>#REF!-N376</f>
        <v>#REF!</v>
      </c>
      <c r="R376" s="17" t="str">
        <f t="shared" si="36"/>
        <v>06 Б 00 00000000</v>
      </c>
    </row>
    <row r="377" spans="1:18" s="29" customFormat="1" ht="31.5">
      <c r="A377" s="28"/>
      <c r="B377" s="129" t="s">
        <v>323</v>
      </c>
      <c r="C377" s="131" t="s">
        <v>256</v>
      </c>
      <c r="D377" s="131" t="s">
        <v>317</v>
      </c>
      <c r="E377" s="131" t="s">
        <v>13</v>
      </c>
      <c r="F377" s="131" t="s">
        <v>324</v>
      </c>
      <c r="G377" s="131" t="s">
        <v>9</v>
      </c>
      <c r="H377" s="105">
        <f>H378</f>
        <v>0</v>
      </c>
      <c r="L377" s="26">
        <v>2604.63</v>
      </c>
      <c r="M377" s="26">
        <v>2604.63</v>
      </c>
      <c r="N377" s="26">
        <v>7404.63</v>
      </c>
      <c r="O377" s="26">
        <f t="shared" si="45"/>
        <v>-2604.63</v>
      </c>
      <c r="P377" s="26" t="e">
        <f>#REF!-M377</f>
        <v>#REF!</v>
      </c>
      <c r="Q377" s="26" t="e">
        <f>#REF!-N377</f>
        <v>#REF!</v>
      </c>
      <c r="R377" s="17" t="str">
        <f t="shared" si="36"/>
        <v>06 Б 01 00000000</v>
      </c>
    </row>
    <row r="378" spans="1:18" s="29" customFormat="1" ht="31.5">
      <c r="A378" s="28"/>
      <c r="B378" s="125" t="s">
        <v>325</v>
      </c>
      <c r="C378" s="131" t="s">
        <v>256</v>
      </c>
      <c r="D378" s="131" t="s">
        <v>317</v>
      </c>
      <c r="E378" s="131" t="s">
        <v>13</v>
      </c>
      <c r="F378" s="131" t="s">
        <v>326</v>
      </c>
      <c r="G378" s="131" t="s">
        <v>9</v>
      </c>
      <c r="H378" s="105">
        <f>H379</f>
        <v>0</v>
      </c>
      <c r="L378" s="26">
        <v>2604.63</v>
      </c>
      <c r="M378" s="26">
        <v>2604.63</v>
      </c>
      <c r="N378" s="26">
        <v>7404.63</v>
      </c>
      <c r="O378" s="26">
        <f t="shared" si="45"/>
        <v>-2604.63</v>
      </c>
      <c r="P378" s="26" t="e">
        <f>#REF!-M378</f>
        <v>#REF!</v>
      </c>
      <c r="Q378" s="26" t="e">
        <f>#REF!-N378</f>
        <v>#REF!</v>
      </c>
      <c r="R378" s="17" t="str">
        <f t="shared" si="36"/>
        <v>06 Б 01 L0200000</v>
      </c>
    </row>
    <row r="379" spans="1:18" s="29" customFormat="1" ht="31.5">
      <c r="A379" s="28"/>
      <c r="B379" s="132" t="s">
        <v>327</v>
      </c>
      <c r="C379" s="131" t="s">
        <v>256</v>
      </c>
      <c r="D379" s="131" t="s">
        <v>317</v>
      </c>
      <c r="E379" s="131" t="s">
        <v>13</v>
      </c>
      <c r="F379" s="131" t="s">
        <v>326</v>
      </c>
      <c r="G379" s="131" t="s">
        <v>328</v>
      </c>
      <c r="H379" s="126">
        <f>H380</f>
        <v>0</v>
      </c>
      <c r="L379" s="26">
        <v>2604.63</v>
      </c>
      <c r="M379" s="26">
        <v>2604.63</v>
      </c>
      <c r="N379" s="26">
        <v>7404.63</v>
      </c>
      <c r="O379" s="26">
        <f t="shared" si="45"/>
        <v>-2604.63</v>
      </c>
      <c r="P379" s="26" t="e">
        <f>#REF!-M379</f>
        <v>#REF!</v>
      </c>
      <c r="Q379" s="26" t="e">
        <f>#REF!-N379</f>
        <v>#REF!</v>
      </c>
      <c r="R379" s="17" t="str">
        <f t="shared" si="36"/>
        <v>06 Б 01 L0200320</v>
      </c>
    </row>
    <row r="380" spans="1:18" s="29" customFormat="1" ht="15.75">
      <c r="A380" s="28"/>
      <c r="B380" s="127" t="s">
        <v>329</v>
      </c>
      <c r="C380" s="108" t="s">
        <v>256</v>
      </c>
      <c r="D380" s="108" t="s">
        <v>317</v>
      </c>
      <c r="E380" s="108" t="s">
        <v>13</v>
      </c>
      <c r="F380" s="108" t="s">
        <v>326</v>
      </c>
      <c r="G380" s="108" t="s">
        <v>330</v>
      </c>
      <c r="H380" s="126"/>
      <c r="L380" s="20"/>
      <c r="M380" s="20"/>
      <c r="N380" s="20"/>
      <c r="O380" s="20"/>
      <c r="P380" s="20"/>
      <c r="Q380" s="20"/>
      <c r="R380" s="17" t="str">
        <f t="shared" si="36"/>
        <v>06 Б 01 L0200322</v>
      </c>
    </row>
    <row r="381" spans="1:18" s="29" customFormat="1" ht="15.75">
      <c r="A381" s="28"/>
      <c r="B381" s="125"/>
      <c r="C381" s="109"/>
      <c r="D381" s="108"/>
      <c r="E381" s="108"/>
      <c r="F381" s="108"/>
      <c r="G381" s="108"/>
      <c r="H381" s="126"/>
      <c r="L381" s="20"/>
      <c r="M381" s="20"/>
      <c r="N381" s="20"/>
      <c r="O381" s="20">
        <f t="shared" ref="O381:O388" si="47">H381-L381</f>
        <v>0</v>
      </c>
      <c r="P381" s="20" t="e">
        <f>#REF!-M381</f>
        <v>#REF!</v>
      </c>
      <c r="Q381" s="20" t="e">
        <f>#REF!-N381</f>
        <v>#REF!</v>
      </c>
      <c r="R381" s="17" t="str">
        <f t="shared" si="36"/>
        <v/>
      </c>
    </row>
    <row r="382" spans="1:18" s="29" customFormat="1" ht="31.5">
      <c r="A382" s="28"/>
      <c r="B382" s="67" t="s">
        <v>331</v>
      </c>
      <c r="C382" s="116" t="s">
        <v>332</v>
      </c>
      <c r="D382" s="69" t="s">
        <v>7</v>
      </c>
      <c r="E382" s="69" t="s">
        <v>7</v>
      </c>
      <c r="F382" s="69" t="s">
        <v>8</v>
      </c>
      <c r="G382" s="69" t="s">
        <v>9</v>
      </c>
      <c r="H382" s="70">
        <f>H383+H421</f>
        <v>0</v>
      </c>
      <c r="L382" s="25">
        <v>285569.14</v>
      </c>
      <c r="M382" s="25">
        <v>377029.52</v>
      </c>
      <c r="N382" s="25">
        <v>438474.61</v>
      </c>
      <c r="O382" s="25">
        <f t="shared" si="47"/>
        <v>-285569.14</v>
      </c>
      <c r="P382" s="25" t="e">
        <f>#REF!-M382</f>
        <v>#REF!</v>
      </c>
      <c r="Q382" s="25" t="e">
        <f>#REF!-N382</f>
        <v>#REF!</v>
      </c>
      <c r="R382" s="17" t="str">
        <f t="shared" si="36"/>
        <v>00 0 00 00000000</v>
      </c>
    </row>
    <row r="383" spans="1:18" s="29" customFormat="1" ht="15.75">
      <c r="A383" s="28"/>
      <c r="B383" s="117" t="s">
        <v>10</v>
      </c>
      <c r="C383" s="118" t="s">
        <v>332</v>
      </c>
      <c r="D383" s="119" t="s">
        <v>11</v>
      </c>
      <c r="E383" s="119" t="s">
        <v>7</v>
      </c>
      <c r="F383" s="119" t="s">
        <v>8</v>
      </c>
      <c r="G383" s="119" t="s">
        <v>9</v>
      </c>
      <c r="H383" s="120">
        <f>H384+H401+H406</f>
        <v>0</v>
      </c>
      <c r="L383" s="18">
        <v>110854.14</v>
      </c>
      <c r="M383" s="18">
        <v>153659.52000000002</v>
      </c>
      <c r="N383" s="18">
        <v>176536.61</v>
      </c>
      <c r="O383" s="18">
        <f t="shared" si="47"/>
        <v>-110854.14</v>
      </c>
      <c r="P383" s="18" t="e">
        <f>#REF!-M383</f>
        <v>#REF!</v>
      </c>
      <c r="Q383" s="18" t="e">
        <f>#REF!-N383</f>
        <v>#REF!</v>
      </c>
      <c r="R383" s="17" t="str">
        <f t="shared" si="36"/>
        <v>00 0 00 00000000</v>
      </c>
    </row>
    <row r="384" spans="1:18" s="29" customFormat="1" ht="47.25">
      <c r="A384" s="28"/>
      <c r="B384" s="121" t="s">
        <v>333</v>
      </c>
      <c r="C384" s="122" t="s">
        <v>332</v>
      </c>
      <c r="D384" s="123" t="s">
        <v>11</v>
      </c>
      <c r="E384" s="123" t="s">
        <v>334</v>
      </c>
      <c r="F384" s="123" t="s">
        <v>8</v>
      </c>
      <c r="G384" s="123" t="s">
        <v>9</v>
      </c>
      <c r="H384" s="124">
        <f t="shared" ref="H384:H385" si="48">H385</f>
        <v>0</v>
      </c>
      <c r="L384" s="19">
        <v>45844.87</v>
      </c>
      <c r="M384" s="19">
        <v>44344.87</v>
      </c>
      <c r="N384" s="19">
        <v>44344.87</v>
      </c>
      <c r="O384" s="19">
        <f t="shared" si="47"/>
        <v>-45844.87</v>
      </c>
      <c r="P384" s="19" t="e">
        <f>#REF!-M384</f>
        <v>#REF!</v>
      </c>
      <c r="Q384" s="19" t="e">
        <f>#REF!-N384</f>
        <v>#REF!</v>
      </c>
      <c r="R384" s="17" t="str">
        <f t="shared" si="36"/>
        <v>00 0 00 00000000</v>
      </c>
    </row>
    <row r="385" spans="1:18" s="29" customFormat="1" ht="31.5">
      <c r="A385" s="28"/>
      <c r="B385" s="143" t="s">
        <v>335</v>
      </c>
      <c r="C385" s="109" t="s">
        <v>332</v>
      </c>
      <c r="D385" s="108" t="s">
        <v>11</v>
      </c>
      <c r="E385" s="108" t="s">
        <v>334</v>
      </c>
      <c r="F385" s="108" t="s">
        <v>336</v>
      </c>
      <c r="G385" s="108" t="s">
        <v>9</v>
      </c>
      <c r="H385" s="126">
        <f t="shared" si="48"/>
        <v>0</v>
      </c>
      <c r="L385" s="20">
        <v>45844.87</v>
      </c>
      <c r="M385" s="20">
        <v>44344.87</v>
      </c>
      <c r="N385" s="20">
        <v>44344.87</v>
      </c>
      <c r="O385" s="20">
        <f t="shared" si="47"/>
        <v>-45844.87</v>
      </c>
      <c r="P385" s="20" t="e">
        <f>#REF!-M385</f>
        <v>#REF!</v>
      </c>
      <c r="Q385" s="20" t="e">
        <f>#REF!-N385</f>
        <v>#REF!</v>
      </c>
      <c r="R385" s="17" t="str">
        <f t="shared" si="36"/>
        <v>73 0 00 00000000</v>
      </c>
    </row>
    <row r="386" spans="1:18" s="29" customFormat="1" ht="47.25">
      <c r="A386" s="28"/>
      <c r="B386" s="143" t="s">
        <v>337</v>
      </c>
      <c r="C386" s="109" t="s">
        <v>332</v>
      </c>
      <c r="D386" s="108" t="s">
        <v>11</v>
      </c>
      <c r="E386" s="108" t="s">
        <v>334</v>
      </c>
      <c r="F386" s="108" t="s">
        <v>338</v>
      </c>
      <c r="G386" s="108" t="s">
        <v>9</v>
      </c>
      <c r="H386" s="126">
        <f>H387+H397</f>
        <v>0</v>
      </c>
      <c r="L386" s="20">
        <v>45844.87</v>
      </c>
      <c r="M386" s="20">
        <v>44344.87</v>
      </c>
      <c r="N386" s="20">
        <v>44344.87</v>
      </c>
      <c r="O386" s="20">
        <f t="shared" si="47"/>
        <v>-45844.87</v>
      </c>
      <c r="P386" s="20" t="e">
        <f>#REF!-M386</f>
        <v>#REF!</v>
      </c>
      <c r="Q386" s="20" t="e">
        <f>#REF!-N386</f>
        <v>#REF!</v>
      </c>
      <c r="R386" s="17" t="str">
        <f t="shared" ref="R386:R473" si="49">CONCATENATE(F386,G386)</f>
        <v>73 1 00 00000000</v>
      </c>
    </row>
    <row r="387" spans="1:18" s="29" customFormat="1" ht="31.5">
      <c r="A387" s="28"/>
      <c r="B387" s="144" t="s">
        <v>18</v>
      </c>
      <c r="C387" s="109" t="s">
        <v>332</v>
      </c>
      <c r="D387" s="108" t="s">
        <v>11</v>
      </c>
      <c r="E387" s="108" t="s">
        <v>334</v>
      </c>
      <c r="F387" s="108" t="s">
        <v>339</v>
      </c>
      <c r="G387" s="108" t="s">
        <v>9</v>
      </c>
      <c r="H387" s="126">
        <f>H388+H391+H393</f>
        <v>0</v>
      </c>
      <c r="L387" s="20">
        <v>6243.8</v>
      </c>
      <c r="M387" s="20">
        <v>4743.8</v>
      </c>
      <c r="N387" s="20">
        <v>4743.8</v>
      </c>
      <c r="O387" s="20">
        <f t="shared" si="47"/>
        <v>-6243.8</v>
      </c>
      <c r="P387" s="20" t="e">
        <f>#REF!-M387</f>
        <v>#REF!</v>
      </c>
      <c r="Q387" s="20" t="e">
        <f>#REF!-N387</f>
        <v>#REF!</v>
      </c>
      <c r="R387" s="17" t="str">
        <f t="shared" si="49"/>
        <v>73 1 00 10010000</v>
      </c>
    </row>
    <row r="388" spans="1:18" s="29" customFormat="1" ht="31.5">
      <c r="A388" s="28"/>
      <c r="B388" s="127" t="s">
        <v>20</v>
      </c>
      <c r="C388" s="109" t="s">
        <v>332</v>
      </c>
      <c r="D388" s="108" t="s">
        <v>11</v>
      </c>
      <c r="E388" s="108" t="s">
        <v>334</v>
      </c>
      <c r="F388" s="108" t="s">
        <v>339</v>
      </c>
      <c r="G388" s="108" t="s">
        <v>21</v>
      </c>
      <c r="H388" s="126">
        <f>SUM(H389:H390)</f>
        <v>0</v>
      </c>
      <c r="L388" s="20">
        <v>1291.3399999999999</v>
      </c>
      <c r="M388" s="20">
        <v>1291.3399999999999</v>
      </c>
      <c r="N388" s="20">
        <v>1291.3399999999999</v>
      </c>
      <c r="O388" s="20">
        <f t="shared" si="47"/>
        <v>-1291.3399999999999</v>
      </c>
      <c r="P388" s="20" t="e">
        <f>#REF!-M388</f>
        <v>#REF!</v>
      </c>
      <c r="Q388" s="20" t="e">
        <f>#REF!-N388</f>
        <v>#REF!</v>
      </c>
      <c r="R388" s="17" t="str">
        <f t="shared" si="49"/>
        <v>73 1 00 10010120</v>
      </c>
    </row>
    <row r="389" spans="1:18" s="31" customFormat="1" ht="47.25">
      <c r="A389" s="30"/>
      <c r="B389" s="127" t="s">
        <v>22</v>
      </c>
      <c r="C389" s="109" t="s">
        <v>332</v>
      </c>
      <c r="D389" s="108" t="s">
        <v>11</v>
      </c>
      <c r="E389" s="108" t="s">
        <v>334</v>
      </c>
      <c r="F389" s="108" t="s">
        <v>339</v>
      </c>
      <c r="G389" s="108" t="s">
        <v>23</v>
      </c>
      <c r="H389" s="126"/>
      <c r="L389" s="22"/>
      <c r="M389" s="22"/>
      <c r="N389" s="22"/>
      <c r="O389" s="22"/>
      <c r="P389" s="22"/>
      <c r="Q389" s="22"/>
      <c r="R389" s="24"/>
    </row>
    <row r="390" spans="1:18" s="31" customFormat="1" ht="63">
      <c r="A390" s="30"/>
      <c r="B390" s="127" t="s">
        <v>26</v>
      </c>
      <c r="C390" s="109" t="s">
        <v>332</v>
      </c>
      <c r="D390" s="108" t="s">
        <v>11</v>
      </c>
      <c r="E390" s="108" t="s">
        <v>334</v>
      </c>
      <c r="F390" s="108" t="s">
        <v>339</v>
      </c>
      <c r="G390" s="108" t="s">
        <v>27</v>
      </c>
      <c r="H390" s="126"/>
      <c r="L390" s="22"/>
      <c r="M390" s="22"/>
      <c r="N390" s="22"/>
      <c r="O390" s="22"/>
      <c r="P390" s="22"/>
      <c r="Q390" s="22"/>
      <c r="R390" s="24"/>
    </row>
    <row r="391" spans="1:18" s="29" customFormat="1" ht="31.5">
      <c r="A391" s="28"/>
      <c r="B391" s="125" t="s">
        <v>28</v>
      </c>
      <c r="C391" s="109" t="s">
        <v>332</v>
      </c>
      <c r="D391" s="108" t="s">
        <v>11</v>
      </c>
      <c r="E391" s="108" t="s">
        <v>334</v>
      </c>
      <c r="F391" s="108" t="s">
        <v>339</v>
      </c>
      <c r="G391" s="108" t="s">
        <v>29</v>
      </c>
      <c r="H391" s="126">
        <f>H392</f>
        <v>0</v>
      </c>
      <c r="L391" s="20">
        <v>4891.99</v>
      </c>
      <c r="M391" s="20">
        <v>3391.99</v>
      </c>
      <c r="N391" s="20">
        <v>3391.99</v>
      </c>
      <c r="O391" s="20">
        <f>H391-L391</f>
        <v>-4891.99</v>
      </c>
      <c r="P391" s="20" t="e">
        <f>#REF!-M391</f>
        <v>#REF!</v>
      </c>
      <c r="Q391" s="20" t="e">
        <f>#REF!-N391</f>
        <v>#REF!</v>
      </c>
      <c r="R391" s="17" t="str">
        <f t="shared" si="49"/>
        <v>73 1 00 10010240</v>
      </c>
    </row>
    <row r="392" spans="1:18" s="29" customFormat="1" ht="15.75">
      <c r="A392" s="28"/>
      <c r="B392" s="125" t="s">
        <v>30</v>
      </c>
      <c r="C392" s="109" t="s">
        <v>332</v>
      </c>
      <c r="D392" s="108" t="s">
        <v>11</v>
      </c>
      <c r="E392" s="108" t="s">
        <v>334</v>
      </c>
      <c r="F392" s="108" t="s">
        <v>339</v>
      </c>
      <c r="G392" s="108" t="s">
        <v>31</v>
      </c>
      <c r="H392" s="126"/>
      <c r="L392" s="20"/>
      <c r="M392" s="20"/>
      <c r="N392" s="20"/>
      <c r="O392" s="20"/>
      <c r="P392" s="20"/>
      <c r="Q392" s="20"/>
      <c r="R392" s="17"/>
    </row>
    <row r="393" spans="1:18" s="29" customFormat="1" ht="15.75">
      <c r="A393" s="28"/>
      <c r="B393" s="125" t="s">
        <v>32</v>
      </c>
      <c r="C393" s="109" t="s">
        <v>332</v>
      </c>
      <c r="D393" s="108" t="s">
        <v>11</v>
      </c>
      <c r="E393" s="108" t="s">
        <v>334</v>
      </c>
      <c r="F393" s="108" t="s">
        <v>339</v>
      </c>
      <c r="G393" s="108" t="s">
        <v>33</v>
      </c>
      <c r="H393" s="126">
        <f>SUM(H394:H396)</f>
        <v>0</v>
      </c>
      <c r="L393" s="20">
        <v>60.47</v>
      </c>
      <c r="M393" s="20">
        <v>60.47</v>
      </c>
      <c r="N393" s="20">
        <v>60.47</v>
      </c>
      <c r="O393" s="20">
        <f>H393-L393</f>
        <v>-60.47</v>
      </c>
      <c r="P393" s="20" t="e">
        <f>#REF!-M393</f>
        <v>#REF!</v>
      </c>
      <c r="Q393" s="20" t="e">
        <f>#REF!-N393</f>
        <v>#REF!</v>
      </c>
      <c r="R393" s="17" t="str">
        <f t="shared" si="49"/>
        <v>73 1 00 10010850</v>
      </c>
    </row>
    <row r="394" spans="1:18" s="31" customFormat="1" ht="31.5">
      <c r="A394" s="30"/>
      <c r="B394" s="127" t="s">
        <v>34</v>
      </c>
      <c r="C394" s="109" t="s">
        <v>332</v>
      </c>
      <c r="D394" s="108" t="s">
        <v>11</v>
      </c>
      <c r="E394" s="108" t="s">
        <v>334</v>
      </c>
      <c r="F394" s="108" t="s">
        <v>339</v>
      </c>
      <c r="G394" s="108" t="s">
        <v>35</v>
      </c>
      <c r="H394" s="126"/>
      <c r="L394" s="22"/>
      <c r="M394" s="22"/>
      <c r="N394" s="22"/>
      <c r="O394" s="22"/>
      <c r="P394" s="22"/>
      <c r="Q394" s="22"/>
      <c r="R394" s="24"/>
    </row>
    <row r="395" spans="1:18" s="31" customFormat="1" ht="15.75">
      <c r="A395" s="30"/>
      <c r="B395" s="127" t="s">
        <v>36</v>
      </c>
      <c r="C395" s="109" t="s">
        <v>332</v>
      </c>
      <c r="D395" s="108" t="s">
        <v>11</v>
      </c>
      <c r="E395" s="108" t="s">
        <v>334</v>
      </c>
      <c r="F395" s="108" t="s">
        <v>339</v>
      </c>
      <c r="G395" s="108" t="s">
        <v>37</v>
      </c>
      <c r="H395" s="126"/>
      <c r="L395" s="22"/>
      <c r="M395" s="22"/>
      <c r="N395" s="22"/>
      <c r="O395" s="22"/>
      <c r="P395" s="22"/>
      <c r="Q395" s="22"/>
      <c r="R395" s="24"/>
    </row>
    <row r="396" spans="1:18" s="31" customFormat="1" ht="15.75">
      <c r="A396" s="30"/>
      <c r="B396" s="127" t="s">
        <v>77</v>
      </c>
      <c r="C396" s="109" t="s">
        <v>332</v>
      </c>
      <c r="D396" s="108" t="s">
        <v>11</v>
      </c>
      <c r="E396" s="108" t="s">
        <v>334</v>
      </c>
      <c r="F396" s="108" t="s">
        <v>339</v>
      </c>
      <c r="G396" s="108" t="s">
        <v>78</v>
      </c>
      <c r="H396" s="126"/>
      <c r="L396" s="22"/>
      <c r="M396" s="22"/>
      <c r="N396" s="22"/>
      <c r="O396" s="22"/>
      <c r="P396" s="22"/>
      <c r="Q396" s="22"/>
      <c r="R396" s="24"/>
    </row>
    <row r="397" spans="1:18" s="29" customFormat="1" ht="31.5">
      <c r="A397" s="28"/>
      <c r="B397" s="144" t="s">
        <v>38</v>
      </c>
      <c r="C397" s="109" t="s">
        <v>332</v>
      </c>
      <c r="D397" s="108" t="s">
        <v>11</v>
      </c>
      <c r="E397" s="108" t="s">
        <v>334</v>
      </c>
      <c r="F397" s="108" t="s">
        <v>340</v>
      </c>
      <c r="G397" s="108" t="s">
        <v>9</v>
      </c>
      <c r="H397" s="126">
        <f>H398</f>
        <v>0</v>
      </c>
      <c r="L397" s="20">
        <v>39601.07</v>
      </c>
      <c r="M397" s="20">
        <v>39601.07</v>
      </c>
      <c r="N397" s="20">
        <v>39601.07</v>
      </c>
      <c r="O397" s="20">
        <f>H397-L397</f>
        <v>-39601.07</v>
      </c>
      <c r="P397" s="20" t="e">
        <f>#REF!-M397</f>
        <v>#REF!</v>
      </c>
      <c r="Q397" s="20" t="e">
        <f>#REF!-N397</f>
        <v>#REF!</v>
      </c>
      <c r="R397" s="17" t="str">
        <f t="shared" si="49"/>
        <v>73 1 00 10020000</v>
      </c>
    </row>
    <row r="398" spans="1:18" s="29" customFormat="1" ht="31.5">
      <c r="A398" s="28"/>
      <c r="B398" s="127" t="s">
        <v>20</v>
      </c>
      <c r="C398" s="109" t="s">
        <v>332</v>
      </c>
      <c r="D398" s="108" t="s">
        <v>11</v>
      </c>
      <c r="E398" s="108" t="s">
        <v>334</v>
      </c>
      <c r="F398" s="108" t="s">
        <v>340</v>
      </c>
      <c r="G398" s="108" t="s">
        <v>21</v>
      </c>
      <c r="H398" s="126">
        <f>SUM(H399:H400)</f>
        <v>0</v>
      </c>
      <c r="L398" s="20">
        <v>39601.07</v>
      </c>
      <c r="M398" s="20">
        <v>39601.07</v>
      </c>
      <c r="N398" s="20">
        <v>39601.07</v>
      </c>
      <c r="O398" s="20">
        <f>H398-L398</f>
        <v>-39601.07</v>
      </c>
      <c r="P398" s="20" t="e">
        <f>#REF!-M398</f>
        <v>#REF!</v>
      </c>
      <c r="Q398" s="20" t="e">
        <f>#REF!-N398</f>
        <v>#REF!</v>
      </c>
      <c r="R398" s="17" t="str">
        <f t="shared" si="49"/>
        <v>73 1 00 10020120</v>
      </c>
    </row>
    <row r="399" spans="1:18" s="31" customFormat="1" ht="31.5">
      <c r="A399" s="30"/>
      <c r="B399" s="127" t="s">
        <v>40</v>
      </c>
      <c r="C399" s="109" t="s">
        <v>332</v>
      </c>
      <c r="D399" s="108" t="s">
        <v>11</v>
      </c>
      <c r="E399" s="108" t="s">
        <v>334</v>
      </c>
      <c r="F399" s="108" t="s">
        <v>340</v>
      </c>
      <c r="G399" s="108" t="s">
        <v>41</v>
      </c>
      <c r="H399" s="126"/>
      <c r="L399" s="22"/>
      <c r="M399" s="22"/>
      <c r="N399" s="22"/>
      <c r="O399" s="22"/>
      <c r="P399" s="22"/>
      <c r="Q399" s="22"/>
      <c r="R399" s="24"/>
    </row>
    <row r="400" spans="1:18" s="31" customFormat="1" ht="63">
      <c r="A400" s="30"/>
      <c r="B400" s="127" t="s">
        <v>26</v>
      </c>
      <c r="C400" s="109" t="s">
        <v>332</v>
      </c>
      <c r="D400" s="108" t="s">
        <v>11</v>
      </c>
      <c r="E400" s="108" t="s">
        <v>334</v>
      </c>
      <c r="F400" s="108" t="s">
        <v>340</v>
      </c>
      <c r="G400" s="108" t="s">
        <v>27</v>
      </c>
      <c r="H400" s="126"/>
      <c r="L400" s="22"/>
      <c r="M400" s="22"/>
      <c r="N400" s="22"/>
      <c r="O400" s="22"/>
      <c r="P400" s="22"/>
      <c r="Q400" s="22"/>
      <c r="R400" s="24"/>
    </row>
    <row r="401" spans="1:18" s="29" customFormat="1" ht="15.75">
      <c r="A401" s="28"/>
      <c r="B401" s="121" t="s">
        <v>341</v>
      </c>
      <c r="C401" s="122" t="s">
        <v>332</v>
      </c>
      <c r="D401" s="123" t="s">
        <v>11</v>
      </c>
      <c r="E401" s="123" t="s">
        <v>342</v>
      </c>
      <c r="F401" s="123" t="s">
        <v>8</v>
      </c>
      <c r="G401" s="123" t="s">
        <v>343</v>
      </c>
      <c r="H401" s="124">
        <f>H402</f>
        <v>0</v>
      </c>
      <c r="L401" s="19">
        <v>12775.54</v>
      </c>
      <c r="M401" s="19">
        <v>12775.54</v>
      </c>
      <c r="N401" s="19">
        <v>12775.54</v>
      </c>
      <c r="O401" s="19">
        <f t="shared" ref="O401:O411" si="50">H401-L401</f>
        <v>-12775.54</v>
      </c>
      <c r="P401" s="19" t="e">
        <f>#REF!-M401</f>
        <v>#REF!</v>
      </c>
      <c r="Q401" s="19" t="e">
        <f>#REF!-N401</f>
        <v>#REF!</v>
      </c>
      <c r="R401" s="17" t="str">
        <f t="shared" si="49"/>
        <v xml:space="preserve">00 0 00 00000000 </v>
      </c>
    </row>
    <row r="402" spans="1:18" s="29" customFormat="1" ht="63">
      <c r="A402" s="28"/>
      <c r="B402" s="125" t="s">
        <v>87</v>
      </c>
      <c r="C402" s="109" t="s">
        <v>332</v>
      </c>
      <c r="D402" s="108" t="s">
        <v>11</v>
      </c>
      <c r="E402" s="108" t="s">
        <v>342</v>
      </c>
      <c r="F402" s="108" t="s">
        <v>88</v>
      </c>
      <c r="G402" s="108" t="s">
        <v>9</v>
      </c>
      <c r="H402" s="126">
        <f>H403</f>
        <v>0</v>
      </c>
      <c r="L402" s="20">
        <v>12775.54</v>
      </c>
      <c r="M402" s="20">
        <v>12775.54</v>
      </c>
      <c r="N402" s="20">
        <v>12775.54</v>
      </c>
      <c r="O402" s="20">
        <f t="shared" si="50"/>
        <v>-12775.54</v>
      </c>
      <c r="P402" s="20" t="e">
        <f>#REF!-M402</f>
        <v>#REF!</v>
      </c>
      <c r="Q402" s="20" t="e">
        <f>#REF!-N402</f>
        <v>#REF!</v>
      </c>
      <c r="R402" s="17" t="str">
        <f t="shared" si="49"/>
        <v>98 0 00 00000000</v>
      </c>
    </row>
    <row r="403" spans="1:18" s="29" customFormat="1" ht="15.75">
      <c r="A403" s="28"/>
      <c r="B403" s="125" t="s">
        <v>89</v>
      </c>
      <c r="C403" s="109" t="s">
        <v>332</v>
      </c>
      <c r="D403" s="108" t="s">
        <v>11</v>
      </c>
      <c r="E403" s="108" t="s">
        <v>342</v>
      </c>
      <c r="F403" s="108" t="s">
        <v>90</v>
      </c>
      <c r="G403" s="108" t="s">
        <v>9</v>
      </c>
      <c r="H403" s="126">
        <f>H404</f>
        <v>0</v>
      </c>
      <c r="L403" s="20">
        <v>12775.54</v>
      </c>
      <c r="M403" s="20">
        <v>12775.54</v>
      </c>
      <c r="N403" s="20">
        <v>12775.54</v>
      </c>
      <c r="O403" s="20">
        <f t="shared" si="50"/>
        <v>-12775.54</v>
      </c>
      <c r="P403" s="20" t="e">
        <f>#REF!-M403</f>
        <v>#REF!</v>
      </c>
      <c r="Q403" s="20" t="e">
        <f>#REF!-N403</f>
        <v>#REF!</v>
      </c>
      <c r="R403" s="17" t="str">
        <f t="shared" si="49"/>
        <v>98 1 00 00000000</v>
      </c>
    </row>
    <row r="404" spans="1:18" s="29" customFormat="1" ht="15.75">
      <c r="A404" s="28"/>
      <c r="B404" s="125" t="s">
        <v>344</v>
      </c>
      <c r="C404" s="109" t="s">
        <v>332</v>
      </c>
      <c r="D404" s="108" t="s">
        <v>11</v>
      </c>
      <c r="E404" s="108" t="s">
        <v>342</v>
      </c>
      <c r="F404" s="108" t="s">
        <v>345</v>
      </c>
      <c r="G404" s="108" t="s">
        <v>9</v>
      </c>
      <c r="H404" s="126">
        <f>H405</f>
        <v>0</v>
      </c>
      <c r="L404" s="20">
        <v>12775.54</v>
      </c>
      <c r="M404" s="20">
        <v>12775.54</v>
      </c>
      <c r="N404" s="20">
        <v>12775.54</v>
      </c>
      <c r="O404" s="20">
        <f t="shared" si="50"/>
        <v>-12775.54</v>
      </c>
      <c r="P404" s="20" t="e">
        <f>#REF!-M404</f>
        <v>#REF!</v>
      </c>
      <c r="Q404" s="20" t="e">
        <f>#REF!-N404</f>
        <v>#REF!</v>
      </c>
      <c r="R404" s="17" t="str">
        <f t="shared" si="49"/>
        <v>98 1 00 20020000</v>
      </c>
    </row>
    <row r="405" spans="1:18" s="29" customFormat="1" ht="15.75">
      <c r="A405" s="28"/>
      <c r="B405" s="125" t="s">
        <v>346</v>
      </c>
      <c r="C405" s="109" t="s">
        <v>332</v>
      </c>
      <c r="D405" s="108" t="s">
        <v>11</v>
      </c>
      <c r="E405" s="108" t="s">
        <v>342</v>
      </c>
      <c r="F405" s="108" t="s">
        <v>345</v>
      </c>
      <c r="G405" s="108" t="s">
        <v>347</v>
      </c>
      <c r="H405" s="126"/>
      <c r="L405" s="20">
        <v>12775.54</v>
      </c>
      <c r="M405" s="20">
        <v>12775.54</v>
      </c>
      <c r="N405" s="20">
        <v>12775.54</v>
      </c>
      <c r="O405" s="20">
        <f t="shared" si="50"/>
        <v>-12775.54</v>
      </c>
      <c r="P405" s="20" t="e">
        <f>#REF!-M405</f>
        <v>#REF!</v>
      </c>
      <c r="Q405" s="20" t="e">
        <f>#REF!-N405</f>
        <v>#REF!</v>
      </c>
      <c r="R405" s="17" t="str">
        <f t="shared" si="49"/>
        <v>98 1 00 20020870</v>
      </c>
    </row>
    <row r="406" spans="1:18" s="29" customFormat="1" ht="15.75">
      <c r="A406" s="28"/>
      <c r="B406" s="121" t="s">
        <v>50</v>
      </c>
      <c r="C406" s="122" t="s">
        <v>332</v>
      </c>
      <c r="D406" s="123" t="s">
        <v>11</v>
      </c>
      <c r="E406" s="123" t="s">
        <v>51</v>
      </c>
      <c r="F406" s="123" t="s">
        <v>8</v>
      </c>
      <c r="G406" s="123" t="s">
        <v>9</v>
      </c>
      <c r="H406" s="124">
        <f>H413+H407</f>
        <v>0</v>
      </c>
      <c r="L406" s="19">
        <v>52233.729999999996</v>
      </c>
      <c r="M406" s="19">
        <v>96539.11</v>
      </c>
      <c r="N406" s="19">
        <v>119416.2</v>
      </c>
      <c r="O406" s="19">
        <f t="shared" si="50"/>
        <v>-52233.729999999996</v>
      </c>
      <c r="P406" s="19" t="e">
        <f>#REF!-M406</f>
        <v>#REF!</v>
      </c>
      <c r="Q406" s="19" t="e">
        <f>#REF!-N406</f>
        <v>#REF!</v>
      </c>
      <c r="R406" s="17" t="str">
        <f t="shared" si="49"/>
        <v>00 0 00 00000000</v>
      </c>
    </row>
    <row r="407" spans="1:18" s="29" customFormat="1" ht="47.25">
      <c r="A407" s="28"/>
      <c r="B407" s="127" t="s">
        <v>348</v>
      </c>
      <c r="C407" s="109" t="s">
        <v>332</v>
      </c>
      <c r="D407" s="108" t="s">
        <v>11</v>
      </c>
      <c r="E407" s="108" t="s">
        <v>51</v>
      </c>
      <c r="F407" s="108" t="s">
        <v>349</v>
      </c>
      <c r="G407" s="108" t="s">
        <v>9</v>
      </c>
      <c r="H407" s="126">
        <f t="shared" ref="H407:H410" si="51">H408</f>
        <v>0</v>
      </c>
      <c r="L407" s="20">
        <v>3544.42</v>
      </c>
      <c r="M407" s="20">
        <v>9744.42</v>
      </c>
      <c r="N407" s="20">
        <v>9744.42</v>
      </c>
      <c r="O407" s="20">
        <f t="shared" si="50"/>
        <v>-3544.42</v>
      </c>
      <c r="P407" s="20" t="e">
        <f>#REF!-M407</f>
        <v>#REF!</v>
      </c>
      <c r="Q407" s="20" t="e">
        <f>#REF!-N407</f>
        <v>#REF!</v>
      </c>
      <c r="R407" s="17" t="str">
        <f t="shared" si="49"/>
        <v>10 0 00 00000000</v>
      </c>
    </row>
    <row r="408" spans="1:18" s="29" customFormat="1" ht="47.25">
      <c r="A408" s="28"/>
      <c r="B408" s="127" t="s">
        <v>350</v>
      </c>
      <c r="C408" s="109" t="s">
        <v>332</v>
      </c>
      <c r="D408" s="108" t="s">
        <v>11</v>
      </c>
      <c r="E408" s="108" t="s">
        <v>51</v>
      </c>
      <c r="F408" s="108" t="s">
        <v>351</v>
      </c>
      <c r="G408" s="108" t="s">
        <v>9</v>
      </c>
      <c r="H408" s="126">
        <f t="shared" si="51"/>
        <v>0</v>
      </c>
      <c r="L408" s="20">
        <v>3544.42</v>
      </c>
      <c r="M408" s="20">
        <v>9744.42</v>
      </c>
      <c r="N408" s="20">
        <v>9744.42</v>
      </c>
      <c r="O408" s="20">
        <f t="shared" si="50"/>
        <v>-3544.42</v>
      </c>
      <c r="P408" s="20" t="e">
        <f>#REF!-M408</f>
        <v>#REF!</v>
      </c>
      <c r="Q408" s="20" t="e">
        <f>#REF!-N408</f>
        <v>#REF!</v>
      </c>
      <c r="R408" s="17" t="str">
        <f t="shared" si="49"/>
        <v>10 Б 00 00000000</v>
      </c>
    </row>
    <row r="409" spans="1:18" s="29" customFormat="1" ht="78.75">
      <c r="A409" s="28"/>
      <c r="B409" s="127" t="s">
        <v>352</v>
      </c>
      <c r="C409" s="109" t="s">
        <v>332</v>
      </c>
      <c r="D409" s="108" t="s">
        <v>11</v>
      </c>
      <c r="E409" s="108" t="s">
        <v>51</v>
      </c>
      <c r="F409" s="108" t="s">
        <v>353</v>
      </c>
      <c r="G409" s="108" t="s">
        <v>9</v>
      </c>
      <c r="H409" s="126">
        <f t="shared" si="51"/>
        <v>0</v>
      </c>
      <c r="L409" s="20">
        <v>3544.42</v>
      </c>
      <c r="M409" s="20">
        <v>9744.42</v>
      </c>
      <c r="N409" s="20">
        <v>9744.42</v>
      </c>
      <c r="O409" s="20">
        <f t="shared" si="50"/>
        <v>-3544.42</v>
      </c>
      <c r="P409" s="20" t="e">
        <f>#REF!-M409</f>
        <v>#REF!</v>
      </c>
      <c r="Q409" s="20" t="e">
        <f>#REF!-N409</f>
        <v>#REF!</v>
      </c>
      <c r="R409" s="17" t="str">
        <f t="shared" si="49"/>
        <v>10 Б 01 00000000</v>
      </c>
    </row>
    <row r="410" spans="1:18" s="29" customFormat="1" ht="31.5">
      <c r="A410" s="28"/>
      <c r="B410" s="125" t="s">
        <v>187</v>
      </c>
      <c r="C410" s="109" t="s">
        <v>332</v>
      </c>
      <c r="D410" s="108" t="s">
        <v>11</v>
      </c>
      <c r="E410" s="108" t="s">
        <v>51</v>
      </c>
      <c r="F410" s="108" t="s">
        <v>354</v>
      </c>
      <c r="G410" s="108" t="s">
        <v>9</v>
      </c>
      <c r="H410" s="126">
        <f t="shared" si="51"/>
        <v>0</v>
      </c>
      <c r="L410" s="20">
        <v>3544.42</v>
      </c>
      <c r="M410" s="20">
        <v>9744.42</v>
      </c>
      <c r="N410" s="20">
        <v>9744.42</v>
      </c>
      <c r="O410" s="20">
        <f t="shared" si="50"/>
        <v>-3544.42</v>
      </c>
      <c r="P410" s="20" t="e">
        <f>#REF!-M410</f>
        <v>#REF!</v>
      </c>
      <c r="Q410" s="20" t="e">
        <f>#REF!-N410</f>
        <v>#REF!</v>
      </c>
      <c r="R410" s="17" t="str">
        <f t="shared" si="49"/>
        <v>10 Б 01 20050000</v>
      </c>
    </row>
    <row r="411" spans="1:18" s="29" customFormat="1" ht="15.75">
      <c r="A411" s="28"/>
      <c r="B411" s="125" t="s">
        <v>189</v>
      </c>
      <c r="C411" s="109" t="s">
        <v>332</v>
      </c>
      <c r="D411" s="108" t="s">
        <v>11</v>
      </c>
      <c r="E411" s="108" t="s">
        <v>51</v>
      </c>
      <c r="F411" s="108" t="s">
        <v>354</v>
      </c>
      <c r="G411" s="108" t="s">
        <v>190</v>
      </c>
      <c r="H411" s="126">
        <f>H412</f>
        <v>0</v>
      </c>
      <c r="L411" s="20">
        <v>3544.42</v>
      </c>
      <c r="M411" s="20">
        <v>9744.42</v>
      </c>
      <c r="N411" s="20">
        <v>9744.42</v>
      </c>
      <c r="O411" s="20">
        <f t="shared" si="50"/>
        <v>-3544.42</v>
      </c>
      <c r="P411" s="20" t="e">
        <f>#REF!-M411</f>
        <v>#REF!</v>
      </c>
      <c r="Q411" s="20" t="e">
        <f>#REF!-N411</f>
        <v>#REF!</v>
      </c>
      <c r="R411" s="17" t="str">
        <f t="shared" si="49"/>
        <v>10 Б 01 20050830</v>
      </c>
    </row>
    <row r="412" spans="1:18" s="29" customFormat="1" ht="47.25">
      <c r="A412" s="28"/>
      <c r="B412" s="125" t="s">
        <v>191</v>
      </c>
      <c r="C412" s="109" t="s">
        <v>332</v>
      </c>
      <c r="D412" s="108" t="s">
        <v>11</v>
      </c>
      <c r="E412" s="108" t="s">
        <v>51</v>
      </c>
      <c r="F412" s="108" t="s">
        <v>354</v>
      </c>
      <c r="G412" s="108" t="s">
        <v>192</v>
      </c>
      <c r="H412" s="126"/>
      <c r="L412" s="20"/>
      <c r="M412" s="20"/>
      <c r="N412" s="20"/>
      <c r="O412" s="20"/>
      <c r="P412" s="20"/>
      <c r="Q412" s="20"/>
      <c r="R412" s="17" t="str">
        <f t="shared" si="49"/>
        <v>10 Б 01 20050831</v>
      </c>
    </row>
    <row r="413" spans="1:18" s="29" customFormat="1" ht="63">
      <c r="A413" s="28"/>
      <c r="B413" s="125" t="s">
        <v>87</v>
      </c>
      <c r="C413" s="109" t="s">
        <v>332</v>
      </c>
      <c r="D413" s="108" t="s">
        <v>11</v>
      </c>
      <c r="E413" s="108" t="s">
        <v>51</v>
      </c>
      <c r="F413" s="108" t="s">
        <v>88</v>
      </c>
      <c r="G413" s="108" t="s">
        <v>9</v>
      </c>
      <c r="H413" s="126">
        <f>H414</f>
        <v>0</v>
      </c>
      <c r="L413" s="20">
        <v>48689.31</v>
      </c>
      <c r="M413" s="20">
        <v>86794.69</v>
      </c>
      <c r="N413" s="20">
        <v>109671.78</v>
      </c>
      <c r="O413" s="20">
        <f t="shared" ref="O413:O436" si="52">H413-L413</f>
        <v>-48689.31</v>
      </c>
      <c r="P413" s="20" t="e">
        <f>#REF!-M413</f>
        <v>#REF!</v>
      </c>
      <c r="Q413" s="20" t="e">
        <f>#REF!-N413</f>
        <v>#REF!</v>
      </c>
      <c r="R413" s="17" t="str">
        <f t="shared" si="49"/>
        <v>98 0 00 00000000</v>
      </c>
    </row>
    <row r="414" spans="1:18" s="29" customFormat="1" ht="15.75">
      <c r="A414" s="28"/>
      <c r="B414" s="125" t="s">
        <v>89</v>
      </c>
      <c r="C414" s="109" t="s">
        <v>332</v>
      </c>
      <c r="D414" s="108" t="s">
        <v>11</v>
      </c>
      <c r="E414" s="108" t="s">
        <v>51</v>
      </c>
      <c r="F414" s="108" t="s">
        <v>90</v>
      </c>
      <c r="G414" s="108" t="s">
        <v>9</v>
      </c>
      <c r="H414" s="126">
        <f>H415+H417+H419</f>
        <v>0</v>
      </c>
      <c r="L414" s="20">
        <v>48689.31</v>
      </c>
      <c r="M414" s="20">
        <v>86794.69</v>
      </c>
      <c r="N414" s="20">
        <v>109671.78</v>
      </c>
      <c r="O414" s="20">
        <f t="shared" si="52"/>
        <v>-48689.31</v>
      </c>
      <c r="P414" s="20" t="e">
        <f>#REF!-M414</f>
        <v>#REF!</v>
      </c>
      <c r="Q414" s="20" t="e">
        <f>#REF!-N414</f>
        <v>#REF!</v>
      </c>
      <c r="R414" s="17" t="str">
        <f t="shared" si="49"/>
        <v>98 1 00 00000000</v>
      </c>
    </row>
    <row r="415" spans="1:18" s="29" customFormat="1" ht="47.25">
      <c r="A415" s="28"/>
      <c r="B415" s="125" t="s">
        <v>355</v>
      </c>
      <c r="C415" s="109" t="s">
        <v>332</v>
      </c>
      <c r="D415" s="108" t="s">
        <v>11</v>
      </c>
      <c r="E415" s="108" t="s">
        <v>51</v>
      </c>
      <c r="F415" s="108" t="s">
        <v>356</v>
      </c>
      <c r="G415" s="108" t="s">
        <v>9</v>
      </c>
      <c r="H415" s="126">
        <f>H416</f>
        <v>0</v>
      </c>
      <c r="L415" s="20">
        <v>2000</v>
      </c>
      <c r="M415" s="20">
        <v>2000</v>
      </c>
      <c r="N415" s="20">
        <v>2000</v>
      </c>
      <c r="O415" s="20">
        <f t="shared" si="52"/>
        <v>-2000</v>
      </c>
      <c r="P415" s="20" t="e">
        <f>#REF!-M415</f>
        <v>#REF!</v>
      </c>
      <c r="Q415" s="20" t="e">
        <f>#REF!-N415</f>
        <v>#REF!</v>
      </c>
      <c r="R415" s="17" t="str">
        <f t="shared" si="49"/>
        <v>98 1 00 10050000</v>
      </c>
    </row>
    <row r="416" spans="1:18" s="29" customFormat="1" ht="15.75">
      <c r="A416" s="28"/>
      <c r="B416" s="129" t="s">
        <v>357</v>
      </c>
      <c r="C416" s="109" t="s">
        <v>332</v>
      </c>
      <c r="D416" s="108" t="s">
        <v>11</v>
      </c>
      <c r="E416" s="108" t="s">
        <v>51</v>
      </c>
      <c r="F416" s="108" t="s">
        <v>356</v>
      </c>
      <c r="G416" s="108" t="s">
        <v>358</v>
      </c>
      <c r="H416" s="126"/>
      <c r="L416" s="20">
        <v>2000</v>
      </c>
      <c r="M416" s="20">
        <v>2000</v>
      </c>
      <c r="N416" s="20">
        <v>2000</v>
      </c>
      <c r="O416" s="20">
        <f t="shared" si="52"/>
        <v>-2000</v>
      </c>
      <c r="P416" s="20" t="e">
        <f>#REF!-M416</f>
        <v>#REF!</v>
      </c>
      <c r="Q416" s="20" t="e">
        <f>#REF!-N416</f>
        <v>#REF!</v>
      </c>
      <c r="R416" s="17" t="str">
        <f t="shared" si="49"/>
        <v>98 1 00 10050880</v>
      </c>
    </row>
    <row r="417" spans="1:18" s="29" customFormat="1" ht="63">
      <c r="A417" s="28"/>
      <c r="B417" s="135" t="s">
        <v>359</v>
      </c>
      <c r="C417" s="109" t="s">
        <v>332</v>
      </c>
      <c r="D417" s="108" t="s">
        <v>11</v>
      </c>
      <c r="E417" s="108" t="s">
        <v>51</v>
      </c>
      <c r="F417" s="108" t="s">
        <v>360</v>
      </c>
      <c r="G417" s="108" t="s">
        <v>9</v>
      </c>
      <c r="H417" s="126">
        <f>H418</f>
        <v>0</v>
      </c>
      <c r="L417" s="20">
        <v>33189.31</v>
      </c>
      <c r="M417" s="20">
        <v>68381</v>
      </c>
      <c r="N417" s="20">
        <v>74187.88</v>
      </c>
      <c r="O417" s="20">
        <f t="shared" si="52"/>
        <v>-33189.31</v>
      </c>
      <c r="P417" s="20" t="e">
        <f>#REF!-M417</f>
        <v>#REF!</v>
      </c>
      <c r="Q417" s="20" t="e">
        <f>#REF!-N417</f>
        <v>#REF!</v>
      </c>
      <c r="R417" s="17" t="str">
        <f t="shared" si="49"/>
        <v>98 1 00 21440000</v>
      </c>
    </row>
    <row r="418" spans="1:18" s="29" customFormat="1" ht="15.75">
      <c r="A418" s="28"/>
      <c r="B418" s="129" t="s">
        <v>357</v>
      </c>
      <c r="C418" s="109" t="s">
        <v>332</v>
      </c>
      <c r="D418" s="108" t="s">
        <v>11</v>
      </c>
      <c r="E418" s="108" t="s">
        <v>51</v>
      </c>
      <c r="F418" s="108" t="s">
        <v>360</v>
      </c>
      <c r="G418" s="108" t="s">
        <v>358</v>
      </c>
      <c r="H418" s="126"/>
      <c r="L418" s="20">
        <v>33189.31</v>
      </c>
      <c r="M418" s="20">
        <v>68381</v>
      </c>
      <c r="N418" s="20">
        <v>74187.88</v>
      </c>
      <c r="O418" s="20">
        <f t="shared" si="52"/>
        <v>-33189.31</v>
      </c>
      <c r="P418" s="20" t="e">
        <f>#REF!-M418</f>
        <v>#REF!</v>
      </c>
      <c r="Q418" s="20" t="e">
        <f>#REF!-N418</f>
        <v>#REF!</v>
      </c>
      <c r="R418" s="17" t="str">
        <f t="shared" si="49"/>
        <v>98 1 00 21440880</v>
      </c>
    </row>
    <row r="419" spans="1:18" s="29" customFormat="1" ht="47.25">
      <c r="A419" s="28"/>
      <c r="B419" s="129" t="s">
        <v>361</v>
      </c>
      <c r="C419" s="109" t="s">
        <v>332</v>
      </c>
      <c r="D419" s="108" t="s">
        <v>11</v>
      </c>
      <c r="E419" s="108" t="s">
        <v>51</v>
      </c>
      <c r="F419" s="108" t="s">
        <v>362</v>
      </c>
      <c r="G419" s="108" t="s">
        <v>9</v>
      </c>
      <c r="H419" s="126">
        <f>H420</f>
        <v>0</v>
      </c>
      <c r="L419" s="20">
        <v>13500</v>
      </c>
      <c r="M419" s="20">
        <v>0</v>
      </c>
      <c r="N419" s="20">
        <v>0</v>
      </c>
      <c r="O419" s="20">
        <f t="shared" si="52"/>
        <v>-13500</v>
      </c>
      <c r="P419" s="20" t="e">
        <f>#REF!-M419</f>
        <v>#REF!</v>
      </c>
      <c r="Q419" s="20" t="e">
        <f>#REF!-N419</f>
        <v>#REF!</v>
      </c>
      <c r="R419" s="17" t="str">
        <f t="shared" si="49"/>
        <v>98 1 00 S6420000</v>
      </c>
    </row>
    <row r="420" spans="1:18" s="29" customFormat="1" ht="15.75">
      <c r="A420" s="28"/>
      <c r="B420" s="129" t="s">
        <v>357</v>
      </c>
      <c r="C420" s="109" t="s">
        <v>332</v>
      </c>
      <c r="D420" s="108" t="s">
        <v>11</v>
      </c>
      <c r="E420" s="108" t="s">
        <v>51</v>
      </c>
      <c r="F420" s="108" t="s">
        <v>362</v>
      </c>
      <c r="G420" s="108" t="s">
        <v>358</v>
      </c>
      <c r="H420" s="126"/>
      <c r="L420" s="20">
        <v>13500</v>
      </c>
      <c r="M420" s="20">
        <v>0</v>
      </c>
      <c r="N420" s="20">
        <v>0</v>
      </c>
      <c r="O420" s="20">
        <f t="shared" si="52"/>
        <v>-13500</v>
      </c>
      <c r="P420" s="20" t="e">
        <f>#REF!-M420</f>
        <v>#REF!</v>
      </c>
      <c r="Q420" s="20" t="e">
        <f>#REF!-N420</f>
        <v>#REF!</v>
      </c>
      <c r="R420" s="17" t="str">
        <f t="shared" si="49"/>
        <v>98 1 00 S6420880</v>
      </c>
    </row>
    <row r="421" spans="1:18" s="29" customFormat="1" ht="31.5">
      <c r="A421" s="28"/>
      <c r="B421" s="117" t="s">
        <v>363</v>
      </c>
      <c r="C421" s="118" t="s">
        <v>332</v>
      </c>
      <c r="D421" s="119" t="s">
        <v>51</v>
      </c>
      <c r="E421" s="119" t="s">
        <v>7</v>
      </c>
      <c r="F421" s="119" t="s">
        <v>8</v>
      </c>
      <c r="G421" s="119" t="s">
        <v>9</v>
      </c>
      <c r="H421" s="120">
        <f t="shared" ref="H421:H426" si="53">H422</f>
        <v>0</v>
      </c>
      <c r="L421" s="18">
        <v>174715</v>
      </c>
      <c r="M421" s="18">
        <v>223370</v>
      </c>
      <c r="N421" s="18">
        <v>261938</v>
      </c>
      <c r="O421" s="18">
        <f t="shared" si="52"/>
        <v>-174715</v>
      </c>
      <c r="P421" s="18" t="e">
        <f>#REF!-M421</f>
        <v>#REF!</v>
      </c>
      <c r="Q421" s="18" t="e">
        <f>#REF!-N421</f>
        <v>#REF!</v>
      </c>
      <c r="R421" s="17" t="str">
        <f t="shared" si="49"/>
        <v>00 0 00 00000000</v>
      </c>
    </row>
    <row r="422" spans="1:18" s="29" customFormat="1" ht="31.5">
      <c r="A422" s="28"/>
      <c r="B422" s="121" t="s">
        <v>364</v>
      </c>
      <c r="C422" s="122" t="s">
        <v>332</v>
      </c>
      <c r="D422" s="123" t="s">
        <v>51</v>
      </c>
      <c r="E422" s="123" t="s">
        <v>11</v>
      </c>
      <c r="F422" s="123" t="s">
        <v>8</v>
      </c>
      <c r="G422" s="123" t="s">
        <v>9</v>
      </c>
      <c r="H422" s="124">
        <f t="shared" si="53"/>
        <v>0</v>
      </c>
      <c r="L422" s="19">
        <v>174715</v>
      </c>
      <c r="M422" s="19">
        <v>223370</v>
      </c>
      <c r="N422" s="19">
        <v>261938</v>
      </c>
      <c r="O422" s="19">
        <f t="shared" si="52"/>
        <v>-174715</v>
      </c>
      <c r="P422" s="19" t="e">
        <f>#REF!-M422</f>
        <v>#REF!</v>
      </c>
      <c r="Q422" s="19" t="e">
        <f>#REF!-N422</f>
        <v>#REF!</v>
      </c>
      <c r="R422" s="17" t="str">
        <f t="shared" si="49"/>
        <v>00 0 00 00000000</v>
      </c>
    </row>
    <row r="423" spans="1:18" s="29" customFormat="1" ht="47.25">
      <c r="A423" s="28"/>
      <c r="B423" s="127" t="s">
        <v>348</v>
      </c>
      <c r="C423" s="109" t="s">
        <v>332</v>
      </c>
      <c r="D423" s="108" t="s">
        <v>51</v>
      </c>
      <c r="E423" s="108" t="s">
        <v>11</v>
      </c>
      <c r="F423" s="108" t="s">
        <v>349</v>
      </c>
      <c r="G423" s="108" t="s">
        <v>9</v>
      </c>
      <c r="H423" s="126">
        <f t="shared" si="53"/>
        <v>0</v>
      </c>
      <c r="L423" s="20">
        <v>174715</v>
      </c>
      <c r="M423" s="20">
        <v>223370</v>
      </c>
      <c r="N423" s="20">
        <v>261938</v>
      </c>
      <c r="O423" s="20">
        <f t="shared" si="52"/>
        <v>-174715</v>
      </c>
      <c r="P423" s="20" t="e">
        <f>#REF!-M423</f>
        <v>#REF!</v>
      </c>
      <c r="Q423" s="20" t="e">
        <f>#REF!-N423</f>
        <v>#REF!</v>
      </c>
      <c r="R423" s="17" t="str">
        <f t="shared" si="49"/>
        <v>10 0 00 00000000</v>
      </c>
    </row>
    <row r="424" spans="1:18" s="29" customFormat="1" ht="47.25">
      <c r="A424" s="28"/>
      <c r="B424" s="127" t="s">
        <v>350</v>
      </c>
      <c r="C424" s="109" t="s">
        <v>332</v>
      </c>
      <c r="D424" s="108" t="s">
        <v>51</v>
      </c>
      <c r="E424" s="108" t="s">
        <v>11</v>
      </c>
      <c r="F424" s="108" t="s">
        <v>351</v>
      </c>
      <c r="G424" s="108" t="s">
        <v>9</v>
      </c>
      <c r="H424" s="126">
        <f t="shared" si="53"/>
        <v>0</v>
      </c>
      <c r="L424" s="20">
        <v>174715</v>
      </c>
      <c r="M424" s="20">
        <v>223370</v>
      </c>
      <c r="N424" s="20">
        <v>261938</v>
      </c>
      <c r="O424" s="20">
        <f t="shared" si="52"/>
        <v>-174715</v>
      </c>
      <c r="P424" s="20" t="e">
        <f>#REF!-M424</f>
        <v>#REF!</v>
      </c>
      <c r="Q424" s="20" t="e">
        <f>#REF!-N424</f>
        <v>#REF!</v>
      </c>
      <c r="R424" s="17" t="str">
        <f t="shared" si="49"/>
        <v>10 Б 00 00000000</v>
      </c>
    </row>
    <row r="425" spans="1:18" s="29" customFormat="1" ht="63">
      <c r="A425" s="28"/>
      <c r="B425" s="127" t="s">
        <v>365</v>
      </c>
      <c r="C425" s="109" t="s">
        <v>332</v>
      </c>
      <c r="D425" s="108" t="s">
        <v>51</v>
      </c>
      <c r="E425" s="108" t="s">
        <v>11</v>
      </c>
      <c r="F425" s="108" t="s">
        <v>366</v>
      </c>
      <c r="G425" s="108" t="s">
        <v>9</v>
      </c>
      <c r="H425" s="126">
        <f t="shared" si="53"/>
        <v>0</v>
      </c>
      <c r="L425" s="20">
        <v>174715</v>
      </c>
      <c r="M425" s="20">
        <v>223370</v>
      </c>
      <c r="N425" s="20">
        <v>261938</v>
      </c>
      <c r="O425" s="20">
        <f t="shared" si="52"/>
        <v>-174715</v>
      </c>
      <c r="P425" s="20" t="e">
        <f>#REF!-M425</f>
        <v>#REF!</v>
      </c>
      <c r="Q425" s="20" t="e">
        <f>#REF!-N425</f>
        <v>#REF!</v>
      </c>
      <c r="R425" s="17" t="str">
        <f t="shared" si="49"/>
        <v>10 Б 02 00000000</v>
      </c>
    </row>
    <row r="426" spans="1:18" s="29" customFormat="1" ht="31.5">
      <c r="A426" s="28"/>
      <c r="B426" s="127" t="s">
        <v>367</v>
      </c>
      <c r="C426" s="109" t="s">
        <v>332</v>
      </c>
      <c r="D426" s="108" t="s">
        <v>51</v>
      </c>
      <c r="E426" s="108" t="s">
        <v>11</v>
      </c>
      <c r="F426" s="108" t="s">
        <v>368</v>
      </c>
      <c r="G426" s="108" t="s">
        <v>9</v>
      </c>
      <c r="H426" s="126">
        <f t="shared" si="53"/>
        <v>0</v>
      </c>
      <c r="L426" s="20">
        <v>174715</v>
      </c>
      <c r="M426" s="20">
        <v>223370</v>
      </c>
      <c r="N426" s="20">
        <v>261938</v>
      </c>
      <c r="O426" s="20">
        <f t="shared" si="52"/>
        <v>-174715</v>
      </c>
      <c r="P426" s="20" t="e">
        <f>#REF!-M426</f>
        <v>#REF!</v>
      </c>
      <c r="Q426" s="20" t="e">
        <f>#REF!-N426</f>
        <v>#REF!</v>
      </c>
      <c r="R426" s="17" t="str">
        <f t="shared" si="49"/>
        <v>10 Б 02 20010000</v>
      </c>
    </row>
    <row r="427" spans="1:18" s="29" customFormat="1" ht="15.75">
      <c r="A427" s="28"/>
      <c r="B427" s="127" t="s">
        <v>369</v>
      </c>
      <c r="C427" s="109" t="s">
        <v>332</v>
      </c>
      <c r="D427" s="108" t="s">
        <v>51</v>
      </c>
      <c r="E427" s="108" t="s">
        <v>11</v>
      </c>
      <c r="F427" s="108" t="s">
        <v>368</v>
      </c>
      <c r="G427" s="108" t="s">
        <v>370</v>
      </c>
      <c r="H427" s="126"/>
      <c r="L427" s="20">
        <v>174715</v>
      </c>
      <c r="M427" s="20">
        <v>223370</v>
      </c>
      <c r="N427" s="20">
        <v>261938</v>
      </c>
      <c r="O427" s="20">
        <f t="shared" si="52"/>
        <v>-174715</v>
      </c>
      <c r="P427" s="20" t="e">
        <f>#REF!-M427</f>
        <v>#REF!</v>
      </c>
      <c r="Q427" s="20" t="e">
        <f>#REF!-N427</f>
        <v>#REF!</v>
      </c>
      <c r="R427" s="17" t="str">
        <f t="shared" si="49"/>
        <v>10 Б 02 20010730</v>
      </c>
    </row>
    <row r="428" spans="1:18" s="29" customFormat="1" ht="15.75">
      <c r="A428" s="28"/>
      <c r="B428" s="127"/>
      <c r="C428" s="109"/>
      <c r="D428" s="108"/>
      <c r="E428" s="108"/>
      <c r="F428" s="108"/>
      <c r="G428" s="108"/>
      <c r="H428" s="126"/>
      <c r="L428" s="20"/>
      <c r="M428" s="20"/>
      <c r="N428" s="20"/>
      <c r="O428" s="20">
        <f t="shared" si="52"/>
        <v>0</v>
      </c>
      <c r="P428" s="20" t="e">
        <f>#REF!-M428</f>
        <v>#REF!</v>
      </c>
      <c r="Q428" s="20" t="e">
        <f>#REF!-N428</f>
        <v>#REF!</v>
      </c>
      <c r="R428" s="17" t="str">
        <f t="shared" si="49"/>
        <v/>
      </c>
    </row>
    <row r="429" spans="1:18" s="16" customFormat="1" ht="31.5">
      <c r="A429" s="14"/>
      <c r="B429" s="67" t="s">
        <v>371</v>
      </c>
      <c r="C429" s="116" t="s">
        <v>372</v>
      </c>
      <c r="D429" s="69" t="s">
        <v>7</v>
      </c>
      <c r="E429" s="69" t="s">
        <v>7</v>
      </c>
      <c r="F429" s="69" t="s">
        <v>8</v>
      </c>
      <c r="G429" s="69" t="s">
        <v>9</v>
      </c>
      <c r="H429" s="70">
        <f>H430+H462+H454</f>
        <v>0</v>
      </c>
      <c r="L429" s="25">
        <v>32190.38</v>
      </c>
      <c r="M429" s="25">
        <v>32190.38</v>
      </c>
      <c r="N429" s="25">
        <v>32190.38</v>
      </c>
      <c r="O429" s="25">
        <f t="shared" si="52"/>
        <v>-32190.38</v>
      </c>
      <c r="P429" s="25" t="e">
        <f>#REF!-M429</f>
        <v>#REF!</v>
      </c>
      <c r="Q429" s="25" t="e">
        <f>#REF!-N429</f>
        <v>#REF!</v>
      </c>
      <c r="R429" s="17" t="str">
        <f t="shared" si="49"/>
        <v>00 0 00 00000000</v>
      </c>
    </row>
    <row r="430" spans="1:18" s="34" customFormat="1" ht="15.75">
      <c r="A430" s="33"/>
      <c r="B430" s="117" t="s">
        <v>10</v>
      </c>
      <c r="C430" s="118" t="s">
        <v>372</v>
      </c>
      <c r="D430" s="119" t="s">
        <v>11</v>
      </c>
      <c r="E430" s="119" t="s">
        <v>7</v>
      </c>
      <c r="F430" s="119" t="s">
        <v>8</v>
      </c>
      <c r="G430" s="119" t="s">
        <v>9</v>
      </c>
      <c r="H430" s="120">
        <f t="shared" ref="H430:H438" si="54">H431</f>
        <v>0</v>
      </c>
      <c r="L430" s="18">
        <v>28843.86</v>
      </c>
      <c r="M430" s="18">
        <v>28843.86</v>
      </c>
      <c r="N430" s="18">
        <v>28843.86</v>
      </c>
      <c r="O430" s="18">
        <f t="shared" si="52"/>
        <v>-28843.86</v>
      </c>
      <c r="P430" s="18" t="e">
        <f>#REF!-M430</f>
        <v>#REF!</v>
      </c>
      <c r="Q430" s="18" t="e">
        <f>#REF!-N430</f>
        <v>#REF!</v>
      </c>
      <c r="R430" s="17" t="str">
        <f t="shared" si="49"/>
        <v>00 0 00 00000000</v>
      </c>
    </row>
    <row r="431" spans="1:18" s="23" customFormat="1" ht="15.75">
      <c r="A431" s="21"/>
      <c r="B431" s="121" t="s">
        <v>50</v>
      </c>
      <c r="C431" s="122" t="s">
        <v>372</v>
      </c>
      <c r="D431" s="123" t="s">
        <v>11</v>
      </c>
      <c r="E431" s="123" t="s">
        <v>51</v>
      </c>
      <c r="F431" s="123" t="s">
        <v>8</v>
      </c>
      <c r="G431" s="123" t="s">
        <v>9</v>
      </c>
      <c r="H431" s="124">
        <f>H438+H432</f>
        <v>0</v>
      </c>
      <c r="L431" s="19">
        <v>28843.86</v>
      </c>
      <c r="M431" s="19">
        <v>28843.86</v>
      </c>
      <c r="N431" s="19">
        <v>28843.86</v>
      </c>
      <c r="O431" s="19">
        <f t="shared" si="52"/>
        <v>-28843.86</v>
      </c>
      <c r="P431" s="19" t="e">
        <f>#REF!-M431</f>
        <v>#REF!</v>
      </c>
      <c r="Q431" s="19" t="e">
        <f>#REF!-N431</f>
        <v>#REF!</v>
      </c>
      <c r="R431" s="17" t="str">
        <f t="shared" si="49"/>
        <v>00 0 00 00000000</v>
      </c>
    </row>
    <row r="432" spans="1:18" s="16" customFormat="1" ht="47.25">
      <c r="A432" s="14"/>
      <c r="B432" s="125" t="s">
        <v>146</v>
      </c>
      <c r="C432" s="109" t="s">
        <v>372</v>
      </c>
      <c r="D432" s="108" t="s">
        <v>11</v>
      </c>
      <c r="E432" s="108" t="s">
        <v>51</v>
      </c>
      <c r="F432" s="108" t="s">
        <v>147</v>
      </c>
      <c r="G432" s="108" t="s">
        <v>9</v>
      </c>
      <c r="H432" s="126">
        <f t="shared" ref="H432:H435" si="55">H433</f>
        <v>0</v>
      </c>
      <c r="L432" s="20">
        <v>7.6499999999999995</v>
      </c>
      <c r="M432" s="20">
        <v>7.6499999999999995</v>
      </c>
      <c r="N432" s="20">
        <v>7.6499999999999995</v>
      </c>
      <c r="O432" s="20">
        <f t="shared" si="52"/>
        <v>-7.6499999999999995</v>
      </c>
      <c r="P432" s="20" t="e">
        <f>#REF!-M432</f>
        <v>#REF!</v>
      </c>
      <c r="Q432" s="20" t="e">
        <f>#REF!-N432</f>
        <v>#REF!</v>
      </c>
      <c r="R432" s="17" t="str">
        <f t="shared" si="49"/>
        <v>15 0 00 00000000</v>
      </c>
    </row>
    <row r="433" spans="1:18" s="16" customFormat="1" ht="31.5">
      <c r="A433" s="14"/>
      <c r="B433" s="125" t="s">
        <v>373</v>
      </c>
      <c r="C433" s="109" t="s">
        <v>372</v>
      </c>
      <c r="D433" s="108" t="s">
        <v>11</v>
      </c>
      <c r="E433" s="108" t="s">
        <v>51</v>
      </c>
      <c r="F433" s="108" t="s">
        <v>169</v>
      </c>
      <c r="G433" s="108" t="s">
        <v>9</v>
      </c>
      <c r="H433" s="126">
        <f t="shared" si="55"/>
        <v>0</v>
      </c>
      <c r="L433" s="20">
        <v>7.6499999999999995</v>
      </c>
      <c r="M433" s="20">
        <v>7.6499999999999995</v>
      </c>
      <c r="N433" s="20">
        <v>7.6499999999999995</v>
      </c>
      <c r="O433" s="20">
        <f t="shared" si="52"/>
        <v>-7.6499999999999995</v>
      </c>
      <c r="P433" s="20" t="e">
        <f>#REF!-M433</f>
        <v>#REF!</v>
      </c>
      <c r="Q433" s="20" t="e">
        <f>#REF!-N433</f>
        <v>#REF!</v>
      </c>
      <c r="R433" s="17" t="str">
        <f t="shared" si="49"/>
        <v>15 3 00 00000000</v>
      </c>
    </row>
    <row r="434" spans="1:18" s="16" customFormat="1" ht="31.5">
      <c r="A434" s="14"/>
      <c r="B434" s="125" t="s">
        <v>374</v>
      </c>
      <c r="C434" s="109" t="s">
        <v>372</v>
      </c>
      <c r="D434" s="108" t="s">
        <v>11</v>
      </c>
      <c r="E434" s="108" t="s">
        <v>51</v>
      </c>
      <c r="F434" s="108" t="s">
        <v>375</v>
      </c>
      <c r="G434" s="108" t="s">
        <v>9</v>
      </c>
      <c r="H434" s="126">
        <f t="shared" si="55"/>
        <v>0</v>
      </c>
      <c r="L434" s="20">
        <v>7.6499999999999995</v>
      </c>
      <c r="M434" s="20">
        <v>7.6499999999999995</v>
      </c>
      <c r="N434" s="20">
        <v>7.6499999999999995</v>
      </c>
      <c r="O434" s="20">
        <f t="shared" si="52"/>
        <v>-7.6499999999999995</v>
      </c>
      <c r="P434" s="20" t="e">
        <f>#REF!-M434</f>
        <v>#REF!</v>
      </c>
      <c r="Q434" s="20" t="e">
        <f>#REF!-N434</f>
        <v>#REF!</v>
      </c>
      <c r="R434" s="17" t="str">
        <f t="shared" si="49"/>
        <v>15 3 01 00000000</v>
      </c>
    </row>
    <row r="435" spans="1:18" s="16" customFormat="1" ht="31.5">
      <c r="A435" s="14"/>
      <c r="B435" s="125" t="s">
        <v>376</v>
      </c>
      <c r="C435" s="109" t="s">
        <v>372</v>
      </c>
      <c r="D435" s="108" t="s">
        <v>11</v>
      </c>
      <c r="E435" s="108" t="s">
        <v>51</v>
      </c>
      <c r="F435" s="108" t="s">
        <v>377</v>
      </c>
      <c r="G435" s="108" t="s">
        <v>9</v>
      </c>
      <c r="H435" s="126">
        <f t="shared" si="55"/>
        <v>0</v>
      </c>
      <c r="L435" s="20">
        <v>7.6499999999999995</v>
      </c>
      <c r="M435" s="20">
        <v>7.6499999999999995</v>
      </c>
      <c r="N435" s="20">
        <v>7.6499999999999995</v>
      </c>
      <c r="O435" s="20">
        <f t="shared" si="52"/>
        <v>-7.6499999999999995</v>
      </c>
      <c r="P435" s="20" t="e">
        <f>#REF!-M435</f>
        <v>#REF!</v>
      </c>
      <c r="Q435" s="20" t="e">
        <f>#REF!-N435</f>
        <v>#REF!</v>
      </c>
      <c r="R435" s="17" t="str">
        <f t="shared" si="49"/>
        <v>15 3 01 20660000</v>
      </c>
    </row>
    <row r="436" spans="1:18" s="16" customFormat="1" ht="31.5">
      <c r="A436" s="14"/>
      <c r="B436" s="125" t="s">
        <v>28</v>
      </c>
      <c r="C436" s="109" t="s">
        <v>372</v>
      </c>
      <c r="D436" s="108" t="s">
        <v>11</v>
      </c>
      <c r="E436" s="108" t="s">
        <v>51</v>
      </c>
      <c r="F436" s="108" t="s">
        <v>377</v>
      </c>
      <c r="G436" s="108" t="s">
        <v>29</v>
      </c>
      <c r="H436" s="126">
        <f>H437</f>
        <v>0</v>
      </c>
      <c r="L436" s="20">
        <v>7.6499999999999995</v>
      </c>
      <c r="M436" s="20">
        <v>7.6499999999999995</v>
      </c>
      <c r="N436" s="20">
        <v>7.6499999999999995</v>
      </c>
      <c r="O436" s="20">
        <f t="shared" si="52"/>
        <v>-7.6499999999999995</v>
      </c>
      <c r="P436" s="20" t="e">
        <f>#REF!-M436</f>
        <v>#REF!</v>
      </c>
      <c r="Q436" s="20" t="e">
        <f>#REF!-N436</f>
        <v>#REF!</v>
      </c>
      <c r="R436" s="17" t="str">
        <f t="shared" si="49"/>
        <v>15 3 01 20660240</v>
      </c>
    </row>
    <row r="437" spans="1:18" s="16" customFormat="1" ht="15.75">
      <c r="A437" s="14"/>
      <c r="B437" s="125" t="s">
        <v>30</v>
      </c>
      <c r="C437" s="109" t="s">
        <v>372</v>
      </c>
      <c r="D437" s="108" t="s">
        <v>11</v>
      </c>
      <c r="E437" s="108" t="s">
        <v>51</v>
      </c>
      <c r="F437" s="108" t="s">
        <v>377</v>
      </c>
      <c r="G437" s="108" t="s">
        <v>31</v>
      </c>
      <c r="H437" s="126"/>
      <c r="L437" s="20"/>
      <c r="M437" s="20"/>
      <c r="N437" s="20"/>
      <c r="O437" s="20"/>
      <c r="P437" s="20"/>
      <c r="Q437" s="20"/>
      <c r="R437" s="17" t="str">
        <f t="shared" si="49"/>
        <v>15 3 01 20660244</v>
      </c>
    </row>
    <row r="438" spans="1:18" s="16" customFormat="1" ht="31.5">
      <c r="A438" s="14"/>
      <c r="B438" s="125" t="s">
        <v>378</v>
      </c>
      <c r="C438" s="109" t="s">
        <v>372</v>
      </c>
      <c r="D438" s="108" t="s">
        <v>11</v>
      </c>
      <c r="E438" s="108" t="s">
        <v>51</v>
      </c>
      <c r="F438" s="108" t="s">
        <v>379</v>
      </c>
      <c r="G438" s="108" t="s">
        <v>9</v>
      </c>
      <c r="H438" s="126">
        <f t="shared" si="54"/>
        <v>0</v>
      </c>
      <c r="L438" s="20">
        <v>28836.21</v>
      </c>
      <c r="M438" s="20">
        <v>28836.21</v>
      </c>
      <c r="N438" s="20">
        <v>28836.21</v>
      </c>
      <c r="O438" s="20">
        <f>H438-L438</f>
        <v>-28836.21</v>
      </c>
      <c r="P438" s="20" t="e">
        <f>#REF!-M438</f>
        <v>#REF!</v>
      </c>
      <c r="Q438" s="20" t="e">
        <f>#REF!-N438</f>
        <v>#REF!</v>
      </c>
      <c r="R438" s="17" t="str">
        <f t="shared" si="49"/>
        <v>74 0 00 00000000</v>
      </c>
    </row>
    <row r="439" spans="1:18" s="16" customFormat="1" ht="47.25">
      <c r="A439" s="14"/>
      <c r="B439" s="125" t="s">
        <v>380</v>
      </c>
      <c r="C439" s="109" t="s">
        <v>372</v>
      </c>
      <c r="D439" s="108" t="s">
        <v>11</v>
      </c>
      <c r="E439" s="108" t="s">
        <v>51</v>
      </c>
      <c r="F439" s="108" t="s">
        <v>381</v>
      </c>
      <c r="G439" s="108" t="s">
        <v>9</v>
      </c>
      <c r="H439" s="126">
        <f>H440+H450</f>
        <v>0</v>
      </c>
      <c r="L439" s="20">
        <v>28836.21</v>
      </c>
      <c r="M439" s="20">
        <v>28836.21</v>
      </c>
      <c r="N439" s="20">
        <v>28836.21</v>
      </c>
      <c r="O439" s="20">
        <f>H439-L439</f>
        <v>-28836.21</v>
      </c>
      <c r="P439" s="20" t="e">
        <f>#REF!-M439</f>
        <v>#REF!</v>
      </c>
      <c r="Q439" s="20" t="e">
        <f>#REF!-N439</f>
        <v>#REF!</v>
      </c>
      <c r="R439" s="17" t="str">
        <f t="shared" si="49"/>
        <v>74 1 00 00000000</v>
      </c>
    </row>
    <row r="440" spans="1:18" s="16" customFormat="1" ht="31.5">
      <c r="A440" s="14"/>
      <c r="B440" s="125" t="s">
        <v>18</v>
      </c>
      <c r="C440" s="109" t="s">
        <v>372</v>
      </c>
      <c r="D440" s="108" t="s">
        <v>11</v>
      </c>
      <c r="E440" s="108" t="s">
        <v>51</v>
      </c>
      <c r="F440" s="108" t="s">
        <v>382</v>
      </c>
      <c r="G440" s="108" t="s">
        <v>9</v>
      </c>
      <c r="H440" s="126">
        <f>H441+H444+H446</f>
        <v>0</v>
      </c>
      <c r="L440" s="20">
        <v>3616.1699999999996</v>
      </c>
      <c r="M440" s="20">
        <v>3616.1699999999996</v>
      </c>
      <c r="N440" s="20">
        <v>3616.1699999999996</v>
      </c>
      <c r="O440" s="20">
        <f>H440-L440</f>
        <v>-3616.1699999999996</v>
      </c>
      <c r="P440" s="20" t="e">
        <f>#REF!-M440</f>
        <v>#REF!</v>
      </c>
      <c r="Q440" s="20" t="e">
        <f>#REF!-N440</f>
        <v>#REF!</v>
      </c>
      <c r="R440" s="17" t="str">
        <f t="shared" si="49"/>
        <v>74 1 00 10010000</v>
      </c>
    </row>
    <row r="441" spans="1:18" s="16" customFormat="1" ht="31.5">
      <c r="A441" s="14"/>
      <c r="B441" s="127" t="s">
        <v>20</v>
      </c>
      <c r="C441" s="109" t="s">
        <v>372</v>
      </c>
      <c r="D441" s="108" t="s">
        <v>11</v>
      </c>
      <c r="E441" s="108" t="s">
        <v>51</v>
      </c>
      <c r="F441" s="108" t="s">
        <v>382</v>
      </c>
      <c r="G441" s="108" t="s">
        <v>21</v>
      </c>
      <c r="H441" s="126">
        <f>SUM(H442:H443)</f>
        <v>0</v>
      </c>
      <c r="L441" s="20">
        <v>757.89</v>
      </c>
      <c r="M441" s="20">
        <v>757.89</v>
      </c>
      <c r="N441" s="20">
        <v>757.89</v>
      </c>
      <c r="O441" s="20">
        <f>H441-L441</f>
        <v>-757.89</v>
      </c>
      <c r="P441" s="20" t="e">
        <f>#REF!-M441</f>
        <v>#REF!</v>
      </c>
      <c r="Q441" s="20" t="e">
        <f>#REF!-N441</f>
        <v>#REF!</v>
      </c>
      <c r="R441" s="17" t="str">
        <f t="shared" si="49"/>
        <v>74 1 00 10010120</v>
      </c>
    </row>
    <row r="442" spans="1:18" s="23" customFormat="1" ht="47.25">
      <c r="A442" s="21"/>
      <c r="B442" s="127" t="s">
        <v>22</v>
      </c>
      <c r="C442" s="109" t="s">
        <v>372</v>
      </c>
      <c r="D442" s="108" t="s">
        <v>11</v>
      </c>
      <c r="E442" s="108" t="s">
        <v>51</v>
      </c>
      <c r="F442" s="108" t="s">
        <v>382</v>
      </c>
      <c r="G442" s="108" t="s">
        <v>23</v>
      </c>
      <c r="H442" s="126"/>
      <c r="L442" s="22"/>
      <c r="M442" s="22"/>
      <c r="N442" s="22"/>
      <c r="O442" s="22"/>
      <c r="P442" s="22"/>
      <c r="Q442" s="22"/>
      <c r="R442" s="24"/>
    </row>
    <row r="443" spans="1:18" s="23" customFormat="1" ht="63">
      <c r="A443" s="21"/>
      <c r="B443" s="127" t="s">
        <v>26</v>
      </c>
      <c r="C443" s="109" t="s">
        <v>372</v>
      </c>
      <c r="D443" s="108" t="s">
        <v>11</v>
      </c>
      <c r="E443" s="108" t="s">
        <v>51</v>
      </c>
      <c r="F443" s="108" t="s">
        <v>382</v>
      </c>
      <c r="G443" s="108" t="s">
        <v>27</v>
      </c>
      <c r="H443" s="126"/>
      <c r="L443" s="22"/>
      <c r="M443" s="22"/>
      <c r="N443" s="22"/>
      <c r="O443" s="22"/>
      <c r="P443" s="22"/>
      <c r="Q443" s="22"/>
      <c r="R443" s="24"/>
    </row>
    <row r="444" spans="1:18" s="16" customFormat="1" ht="31.5">
      <c r="A444" s="14"/>
      <c r="B444" s="125" t="s">
        <v>28</v>
      </c>
      <c r="C444" s="109" t="s">
        <v>372</v>
      </c>
      <c r="D444" s="108" t="s">
        <v>11</v>
      </c>
      <c r="E444" s="108" t="s">
        <v>51</v>
      </c>
      <c r="F444" s="108" t="s">
        <v>382</v>
      </c>
      <c r="G444" s="108" t="s">
        <v>29</v>
      </c>
      <c r="H444" s="126">
        <f>H445</f>
        <v>0</v>
      </c>
      <c r="L444" s="20">
        <v>2842.3199999999997</v>
      </c>
      <c r="M444" s="20">
        <v>2842.3199999999997</v>
      </c>
      <c r="N444" s="20">
        <v>2842.3199999999997</v>
      </c>
      <c r="O444" s="20">
        <f>H444-L444</f>
        <v>-2842.3199999999997</v>
      </c>
      <c r="P444" s="20" t="e">
        <f>#REF!-M444</f>
        <v>#REF!</v>
      </c>
      <c r="Q444" s="20" t="e">
        <f>#REF!-N444</f>
        <v>#REF!</v>
      </c>
      <c r="R444" s="17" t="str">
        <f t="shared" si="49"/>
        <v>74 1 00 10010240</v>
      </c>
    </row>
    <row r="445" spans="1:18" s="16" customFormat="1" ht="15.75">
      <c r="A445" s="14"/>
      <c r="B445" s="125" t="s">
        <v>30</v>
      </c>
      <c r="C445" s="109" t="s">
        <v>372</v>
      </c>
      <c r="D445" s="108" t="s">
        <v>11</v>
      </c>
      <c r="E445" s="108" t="s">
        <v>51</v>
      </c>
      <c r="F445" s="108" t="s">
        <v>382</v>
      </c>
      <c r="G445" s="108" t="s">
        <v>31</v>
      </c>
      <c r="H445" s="126"/>
      <c r="L445" s="20"/>
      <c r="M445" s="20"/>
      <c r="N445" s="20"/>
      <c r="O445" s="20"/>
      <c r="P445" s="20"/>
      <c r="Q445" s="20"/>
      <c r="R445" s="17"/>
    </row>
    <row r="446" spans="1:18" s="16" customFormat="1" ht="15.75">
      <c r="A446" s="14"/>
      <c r="B446" s="125" t="s">
        <v>32</v>
      </c>
      <c r="C446" s="109" t="s">
        <v>372</v>
      </c>
      <c r="D446" s="108" t="s">
        <v>11</v>
      </c>
      <c r="E446" s="108" t="s">
        <v>51</v>
      </c>
      <c r="F446" s="108" t="s">
        <v>382</v>
      </c>
      <c r="G446" s="108" t="s">
        <v>33</v>
      </c>
      <c r="H446" s="126">
        <f>SUM(H447:H449)</f>
        <v>0</v>
      </c>
      <c r="L446" s="20">
        <v>15.96</v>
      </c>
      <c r="M446" s="20">
        <v>15.96</v>
      </c>
      <c r="N446" s="20">
        <v>15.96</v>
      </c>
      <c r="O446" s="20">
        <f>H446-L446</f>
        <v>-15.96</v>
      </c>
      <c r="P446" s="20" t="e">
        <f>#REF!-M446</f>
        <v>#REF!</v>
      </c>
      <c r="Q446" s="20" t="e">
        <f>#REF!-N446</f>
        <v>#REF!</v>
      </c>
      <c r="R446" s="17" t="str">
        <f t="shared" si="49"/>
        <v>74 1 00 10010850</v>
      </c>
    </row>
    <row r="447" spans="1:18" s="23" customFormat="1" ht="31.5">
      <c r="A447" s="21"/>
      <c r="B447" s="127" t="s">
        <v>34</v>
      </c>
      <c r="C447" s="109" t="s">
        <v>372</v>
      </c>
      <c r="D447" s="108" t="s">
        <v>11</v>
      </c>
      <c r="E447" s="108" t="s">
        <v>51</v>
      </c>
      <c r="F447" s="108" t="s">
        <v>382</v>
      </c>
      <c r="G447" s="108" t="s">
        <v>35</v>
      </c>
      <c r="H447" s="126"/>
      <c r="L447" s="22"/>
      <c r="M447" s="22"/>
      <c r="N447" s="22"/>
      <c r="O447" s="22"/>
      <c r="P447" s="22"/>
      <c r="Q447" s="22"/>
      <c r="R447" s="24"/>
    </row>
    <row r="448" spans="1:18" s="23" customFormat="1" ht="15.75">
      <c r="A448" s="21"/>
      <c r="B448" s="127" t="s">
        <v>36</v>
      </c>
      <c r="C448" s="109" t="s">
        <v>372</v>
      </c>
      <c r="D448" s="108" t="s">
        <v>11</v>
      </c>
      <c r="E448" s="108" t="s">
        <v>51</v>
      </c>
      <c r="F448" s="108" t="s">
        <v>382</v>
      </c>
      <c r="G448" s="108" t="s">
        <v>37</v>
      </c>
      <c r="H448" s="126"/>
      <c r="L448" s="22"/>
      <c r="M448" s="22"/>
      <c r="N448" s="22"/>
      <c r="O448" s="22"/>
      <c r="P448" s="22"/>
      <c r="Q448" s="22"/>
      <c r="R448" s="24"/>
    </row>
    <row r="449" spans="1:18" s="23" customFormat="1" ht="15.75">
      <c r="A449" s="21"/>
      <c r="B449" s="127" t="s">
        <v>77</v>
      </c>
      <c r="C449" s="109" t="s">
        <v>372</v>
      </c>
      <c r="D449" s="108" t="s">
        <v>11</v>
      </c>
      <c r="E449" s="108" t="s">
        <v>51</v>
      </c>
      <c r="F449" s="108" t="s">
        <v>382</v>
      </c>
      <c r="G449" s="108" t="s">
        <v>78</v>
      </c>
      <c r="H449" s="126"/>
      <c r="L449" s="22"/>
      <c r="M449" s="22"/>
      <c r="N449" s="22"/>
      <c r="O449" s="22"/>
      <c r="P449" s="22"/>
      <c r="Q449" s="22"/>
      <c r="R449" s="24"/>
    </row>
    <row r="450" spans="1:18" s="16" customFormat="1" ht="31.5">
      <c r="A450" s="14"/>
      <c r="B450" s="125" t="s">
        <v>38</v>
      </c>
      <c r="C450" s="109" t="s">
        <v>372</v>
      </c>
      <c r="D450" s="108" t="s">
        <v>11</v>
      </c>
      <c r="E450" s="108" t="s">
        <v>51</v>
      </c>
      <c r="F450" s="108" t="s">
        <v>383</v>
      </c>
      <c r="G450" s="108" t="s">
        <v>9</v>
      </c>
      <c r="H450" s="126">
        <f>H451</f>
        <v>0</v>
      </c>
      <c r="L450" s="20">
        <v>25220.04</v>
      </c>
      <c r="M450" s="20">
        <v>25220.04</v>
      </c>
      <c r="N450" s="20">
        <v>25220.04</v>
      </c>
      <c r="O450" s="20">
        <f>H450-L450</f>
        <v>-25220.04</v>
      </c>
      <c r="P450" s="20" t="e">
        <f>#REF!-M450</f>
        <v>#REF!</v>
      </c>
      <c r="Q450" s="20" t="e">
        <f>#REF!-N450</f>
        <v>#REF!</v>
      </c>
      <c r="R450" s="17" t="str">
        <f t="shared" si="49"/>
        <v>74 1 00 10020000</v>
      </c>
    </row>
    <row r="451" spans="1:18" s="16" customFormat="1" ht="31.5">
      <c r="A451" s="14"/>
      <c r="B451" s="127" t="s">
        <v>20</v>
      </c>
      <c r="C451" s="109" t="s">
        <v>372</v>
      </c>
      <c r="D451" s="108" t="s">
        <v>11</v>
      </c>
      <c r="E451" s="108" t="s">
        <v>51</v>
      </c>
      <c r="F451" s="108" t="s">
        <v>383</v>
      </c>
      <c r="G451" s="108" t="s">
        <v>21</v>
      </c>
      <c r="H451" s="126">
        <f>SUM(H452:H453)</f>
        <v>0</v>
      </c>
      <c r="L451" s="20">
        <v>25220.04</v>
      </c>
      <c r="M451" s="20">
        <v>25220.04</v>
      </c>
      <c r="N451" s="20">
        <v>25220.04</v>
      </c>
      <c r="O451" s="20">
        <f>H451-L451</f>
        <v>-25220.04</v>
      </c>
      <c r="P451" s="20" t="e">
        <f>#REF!-M451</f>
        <v>#REF!</v>
      </c>
      <c r="Q451" s="20" t="e">
        <f>#REF!-N451</f>
        <v>#REF!</v>
      </c>
      <c r="R451" s="17" t="str">
        <f t="shared" si="49"/>
        <v>74 1 00 10020120</v>
      </c>
    </row>
    <row r="452" spans="1:18" s="23" customFormat="1" ht="31.5">
      <c r="A452" s="21"/>
      <c r="B452" s="127" t="s">
        <v>40</v>
      </c>
      <c r="C452" s="109" t="s">
        <v>372</v>
      </c>
      <c r="D452" s="108" t="s">
        <v>11</v>
      </c>
      <c r="E452" s="108" t="s">
        <v>51</v>
      </c>
      <c r="F452" s="108" t="s">
        <v>383</v>
      </c>
      <c r="G452" s="108" t="s">
        <v>41</v>
      </c>
      <c r="H452" s="126"/>
      <c r="L452" s="22"/>
      <c r="M452" s="22"/>
      <c r="N452" s="22"/>
      <c r="O452" s="22"/>
      <c r="P452" s="22"/>
      <c r="Q452" s="22"/>
      <c r="R452" s="24"/>
    </row>
    <row r="453" spans="1:18" s="23" customFormat="1" ht="63">
      <c r="A453" s="21"/>
      <c r="B453" s="127" t="s">
        <v>26</v>
      </c>
      <c r="C453" s="109" t="s">
        <v>372</v>
      </c>
      <c r="D453" s="108" t="s">
        <v>11</v>
      </c>
      <c r="E453" s="108" t="s">
        <v>51</v>
      </c>
      <c r="F453" s="108" t="s">
        <v>383</v>
      </c>
      <c r="G453" s="108" t="s">
        <v>27</v>
      </c>
      <c r="H453" s="126"/>
      <c r="L453" s="22"/>
      <c r="M453" s="22"/>
      <c r="N453" s="22"/>
      <c r="O453" s="22"/>
      <c r="P453" s="22"/>
      <c r="Q453" s="22"/>
      <c r="R453" s="24"/>
    </row>
    <row r="454" spans="1:18" s="16" customFormat="1" ht="15.75">
      <c r="A454" s="14"/>
      <c r="B454" s="117" t="s">
        <v>237</v>
      </c>
      <c r="C454" s="118" t="s">
        <v>372</v>
      </c>
      <c r="D454" s="119" t="s">
        <v>238</v>
      </c>
      <c r="E454" s="119" t="s">
        <v>7</v>
      </c>
      <c r="F454" s="119" t="s">
        <v>8</v>
      </c>
      <c r="G454" s="119" t="s">
        <v>9</v>
      </c>
      <c r="H454" s="120">
        <f t="shared" ref="H454:H458" si="56">H455</f>
        <v>0</v>
      </c>
      <c r="L454" s="18">
        <v>1096.2</v>
      </c>
      <c r="M454" s="18">
        <v>1096.2</v>
      </c>
      <c r="N454" s="18">
        <v>1096.2</v>
      </c>
      <c r="O454" s="18">
        <f t="shared" ref="O454:O460" si="57">H454-L454</f>
        <v>-1096.2</v>
      </c>
      <c r="P454" s="18" t="e">
        <f>#REF!-M454</f>
        <v>#REF!</v>
      </c>
      <c r="Q454" s="18" t="e">
        <f>#REF!-N454</f>
        <v>#REF!</v>
      </c>
      <c r="R454" s="17" t="str">
        <f t="shared" si="49"/>
        <v>00 0 00 00000000</v>
      </c>
    </row>
    <row r="455" spans="1:18" s="16" customFormat="1" ht="15.75">
      <c r="A455" s="14"/>
      <c r="B455" s="121" t="s">
        <v>239</v>
      </c>
      <c r="C455" s="122" t="s">
        <v>372</v>
      </c>
      <c r="D455" s="123" t="s">
        <v>238</v>
      </c>
      <c r="E455" s="123" t="s">
        <v>11</v>
      </c>
      <c r="F455" s="123" t="s">
        <v>8</v>
      </c>
      <c r="G455" s="123" t="s">
        <v>9</v>
      </c>
      <c r="H455" s="124">
        <f t="shared" si="56"/>
        <v>0</v>
      </c>
      <c r="L455" s="19">
        <v>1096.2</v>
      </c>
      <c r="M455" s="19">
        <v>1096.2</v>
      </c>
      <c r="N455" s="19">
        <v>1096.2</v>
      </c>
      <c r="O455" s="19">
        <f t="shared" si="57"/>
        <v>-1096.2</v>
      </c>
      <c r="P455" s="19" t="e">
        <f>#REF!-M455</f>
        <v>#REF!</v>
      </c>
      <c r="Q455" s="19" t="e">
        <f>#REF!-N455</f>
        <v>#REF!</v>
      </c>
      <c r="R455" s="17" t="str">
        <f t="shared" si="49"/>
        <v>00 0 00 00000000</v>
      </c>
    </row>
    <row r="456" spans="1:18" s="16" customFormat="1" ht="31.5">
      <c r="A456" s="14"/>
      <c r="B456" s="125" t="s">
        <v>240</v>
      </c>
      <c r="C456" s="130" t="s">
        <v>372</v>
      </c>
      <c r="D456" s="131" t="s">
        <v>238</v>
      </c>
      <c r="E456" s="131" t="s">
        <v>11</v>
      </c>
      <c r="F456" s="131" t="s">
        <v>241</v>
      </c>
      <c r="G456" s="131" t="s">
        <v>9</v>
      </c>
      <c r="H456" s="105">
        <f t="shared" si="56"/>
        <v>0</v>
      </c>
      <c r="L456" s="26">
        <v>1096.2</v>
      </c>
      <c r="M456" s="26">
        <v>1096.2</v>
      </c>
      <c r="N456" s="26">
        <v>1096.2</v>
      </c>
      <c r="O456" s="26">
        <f t="shared" si="57"/>
        <v>-1096.2</v>
      </c>
      <c r="P456" s="26" t="e">
        <f>#REF!-M456</f>
        <v>#REF!</v>
      </c>
      <c r="Q456" s="26" t="e">
        <f>#REF!-N456</f>
        <v>#REF!</v>
      </c>
      <c r="R456" s="17" t="str">
        <f t="shared" si="49"/>
        <v>07 0 00 00000000</v>
      </c>
    </row>
    <row r="457" spans="1:18" s="16" customFormat="1" ht="78.75">
      <c r="A457" s="14"/>
      <c r="B457" s="125" t="s">
        <v>384</v>
      </c>
      <c r="C457" s="130" t="s">
        <v>372</v>
      </c>
      <c r="D457" s="131" t="s">
        <v>238</v>
      </c>
      <c r="E457" s="131" t="s">
        <v>11</v>
      </c>
      <c r="F457" s="131" t="s">
        <v>243</v>
      </c>
      <c r="G457" s="131" t="s">
        <v>9</v>
      </c>
      <c r="H457" s="105">
        <f t="shared" si="56"/>
        <v>0</v>
      </c>
      <c r="L457" s="26">
        <v>1096.2</v>
      </c>
      <c r="M457" s="26">
        <v>1096.2</v>
      </c>
      <c r="N457" s="26">
        <v>1096.2</v>
      </c>
      <c r="O457" s="26">
        <f t="shared" si="57"/>
        <v>-1096.2</v>
      </c>
      <c r="P457" s="26" t="e">
        <f>#REF!-M457</f>
        <v>#REF!</v>
      </c>
      <c r="Q457" s="26" t="e">
        <f>#REF!-N457</f>
        <v>#REF!</v>
      </c>
      <c r="R457" s="17" t="str">
        <f t="shared" si="49"/>
        <v>07 1 00 00000000</v>
      </c>
    </row>
    <row r="458" spans="1:18" s="16" customFormat="1" ht="110.25">
      <c r="A458" s="14"/>
      <c r="B458" s="125" t="s">
        <v>244</v>
      </c>
      <c r="C458" s="130" t="s">
        <v>372</v>
      </c>
      <c r="D458" s="131" t="s">
        <v>238</v>
      </c>
      <c r="E458" s="131" t="s">
        <v>11</v>
      </c>
      <c r="F458" s="131" t="s">
        <v>245</v>
      </c>
      <c r="G458" s="131" t="s">
        <v>9</v>
      </c>
      <c r="H458" s="105">
        <f t="shared" si="56"/>
        <v>0</v>
      </c>
      <c r="L458" s="26">
        <v>1096.2</v>
      </c>
      <c r="M458" s="26">
        <v>1096.2</v>
      </c>
      <c r="N458" s="26">
        <v>1096.2</v>
      </c>
      <c r="O458" s="26">
        <f t="shared" si="57"/>
        <v>-1096.2</v>
      </c>
      <c r="P458" s="26" t="e">
        <f>#REF!-M458</f>
        <v>#REF!</v>
      </c>
      <c r="Q458" s="26" t="e">
        <f>#REF!-N458</f>
        <v>#REF!</v>
      </c>
      <c r="R458" s="17" t="str">
        <f t="shared" si="49"/>
        <v>07 1 01 00000000</v>
      </c>
    </row>
    <row r="459" spans="1:18" s="16" customFormat="1" ht="31.5">
      <c r="A459" s="14"/>
      <c r="B459" s="125" t="s">
        <v>246</v>
      </c>
      <c r="C459" s="130" t="s">
        <v>372</v>
      </c>
      <c r="D459" s="131" t="s">
        <v>238</v>
      </c>
      <c r="E459" s="131" t="s">
        <v>11</v>
      </c>
      <c r="F459" s="131" t="s">
        <v>247</v>
      </c>
      <c r="G459" s="131" t="s">
        <v>9</v>
      </c>
      <c r="H459" s="105">
        <f>H460</f>
        <v>0</v>
      </c>
      <c r="L459" s="26">
        <v>1096.2</v>
      </c>
      <c r="M459" s="26">
        <v>1096.2</v>
      </c>
      <c r="N459" s="26">
        <v>1096.2</v>
      </c>
      <c r="O459" s="26">
        <f t="shared" si="57"/>
        <v>-1096.2</v>
      </c>
      <c r="P459" s="26" t="e">
        <f>#REF!-M459</f>
        <v>#REF!</v>
      </c>
      <c r="Q459" s="26" t="e">
        <f>#REF!-N459</f>
        <v>#REF!</v>
      </c>
      <c r="R459" s="17" t="str">
        <f t="shared" si="49"/>
        <v>07 1 01 20060000</v>
      </c>
    </row>
    <row r="460" spans="1:18" s="16" customFormat="1" ht="31.5">
      <c r="A460" s="14"/>
      <c r="B460" s="125" t="s">
        <v>28</v>
      </c>
      <c r="C460" s="130" t="s">
        <v>372</v>
      </c>
      <c r="D460" s="131" t="s">
        <v>238</v>
      </c>
      <c r="E460" s="131" t="s">
        <v>11</v>
      </c>
      <c r="F460" s="131" t="s">
        <v>247</v>
      </c>
      <c r="G460" s="131" t="s">
        <v>29</v>
      </c>
      <c r="H460" s="126">
        <f>H461</f>
        <v>0</v>
      </c>
      <c r="L460" s="20">
        <v>1096.2</v>
      </c>
      <c r="M460" s="20">
        <v>1096.2</v>
      </c>
      <c r="N460" s="20">
        <v>1096.2</v>
      </c>
      <c r="O460" s="20">
        <f t="shared" si="57"/>
        <v>-1096.2</v>
      </c>
      <c r="P460" s="20" t="e">
        <f>#REF!-M460</f>
        <v>#REF!</v>
      </c>
      <c r="Q460" s="20" t="e">
        <f>#REF!-N460</f>
        <v>#REF!</v>
      </c>
      <c r="R460" s="17" t="str">
        <f t="shared" si="49"/>
        <v>07 1 01 20060240</v>
      </c>
    </row>
    <row r="461" spans="1:18" s="16" customFormat="1" ht="15.75">
      <c r="A461" s="14"/>
      <c r="B461" s="125" t="s">
        <v>30</v>
      </c>
      <c r="C461" s="130" t="s">
        <v>372</v>
      </c>
      <c r="D461" s="131" t="s">
        <v>238</v>
      </c>
      <c r="E461" s="131" t="s">
        <v>11</v>
      </c>
      <c r="F461" s="131" t="s">
        <v>247</v>
      </c>
      <c r="G461" s="131" t="s">
        <v>31</v>
      </c>
      <c r="H461" s="126"/>
      <c r="L461" s="20"/>
      <c r="M461" s="20"/>
      <c r="N461" s="20"/>
      <c r="O461" s="20"/>
      <c r="P461" s="20"/>
      <c r="Q461" s="20"/>
      <c r="R461" s="17" t="str">
        <f t="shared" si="49"/>
        <v>07 1 01 20060244</v>
      </c>
    </row>
    <row r="462" spans="1:18" s="34" customFormat="1" ht="15.75">
      <c r="A462" s="33"/>
      <c r="B462" s="117" t="s">
        <v>316</v>
      </c>
      <c r="C462" s="118" t="s">
        <v>372</v>
      </c>
      <c r="D462" s="119" t="s">
        <v>317</v>
      </c>
      <c r="E462" s="119" t="s">
        <v>7</v>
      </c>
      <c r="F462" s="119" t="s">
        <v>8</v>
      </c>
      <c r="G462" s="119" t="s">
        <v>9</v>
      </c>
      <c r="H462" s="120">
        <f t="shared" ref="H462:H467" si="58">H463</f>
        <v>0</v>
      </c>
      <c r="L462" s="18">
        <v>2250.3200000000002</v>
      </c>
      <c r="M462" s="18">
        <v>2250.3200000000002</v>
      </c>
      <c r="N462" s="18">
        <v>2250.3200000000002</v>
      </c>
      <c r="O462" s="18">
        <f t="shared" ref="O462:O468" si="59">H462-L462</f>
        <v>-2250.3200000000002</v>
      </c>
      <c r="P462" s="18" t="e">
        <f>#REF!-M462</f>
        <v>#REF!</v>
      </c>
      <c r="Q462" s="18" t="e">
        <f>#REF!-N462</f>
        <v>#REF!</v>
      </c>
      <c r="R462" s="17" t="str">
        <f t="shared" si="49"/>
        <v>00 0 00 00000000</v>
      </c>
    </row>
    <row r="463" spans="1:18" s="23" customFormat="1" ht="15.75">
      <c r="A463" s="21"/>
      <c r="B463" s="121" t="s">
        <v>318</v>
      </c>
      <c r="C463" s="122" t="s">
        <v>372</v>
      </c>
      <c r="D463" s="123" t="s">
        <v>317</v>
      </c>
      <c r="E463" s="123" t="s">
        <v>13</v>
      </c>
      <c r="F463" s="123" t="s">
        <v>8</v>
      </c>
      <c r="G463" s="123" t="s">
        <v>9</v>
      </c>
      <c r="H463" s="124">
        <f t="shared" si="58"/>
        <v>0</v>
      </c>
      <c r="L463" s="19">
        <v>2250.3200000000002</v>
      </c>
      <c r="M463" s="19">
        <v>2250.3200000000002</v>
      </c>
      <c r="N463" s="19">
        <v>2250.3200000000002</v>
      </c>
      <c r="O463" s="19">
        <f t="shared" si="59"/>
        <v>-2250.3200000000002</v>
      </c>
      <c r="P463" s="19" t="e">
        <f>#REF!-M463</f>
        <v>#REF!</v>
      </c>
      <c r="Q463" s="19" t="e">
        <f>#REF!-N463</f>
        <v>#REF!</v>
      </c>
      <c r="R463" s="17" t="str">
        <f t="shared" si="49"/>
        <v>00 0 00 00000000</v>
      </c>
    </row>
    <row r="464" spans="1:18" s="16" customFormat="1" ht="31.5">
      <c r="A464" s="14"/>
      <c r="B464" s="135" t="s">
        <v>385</v>
      </c>
      <c r="C464" s="109" t="s">
        <v>372</v>
      </c>
      <c r="D464" s="108" t="s">
        <v>317</v>
      </c>
      <c r="E464" s="108" t="s">
        <v>13</v>
      </c>
      <c r="F464" s="108" t="s">
        <v>386</v>
      </c>
      <c r="G464" s="108" t="s">
        <v>9</v>
      </c>
      <c r="H464" s="126">
        <f t="shared" si="58"/>
        <v>0</v>
      </c>
      <c r="L464" s="20">
        <v>2250.3200000000002</v>
      </c>
      <c r="M464" s="20">
        <v>2250.3200000000002</v>
      </c>
      <c r="N464" s="20">
        <v>2250.3200000000002</v>
      </c>
      <c r="O464" s="20">
        <f t="shared" si="59"/>
        <v>-2250.3200000000002</v>
      </c>
      <c r="P464" s="20" t="e">
        <f>#REF!-M464</f>
        <v>#REF!</v>
      </c>
      <c r="Q464" s="20" t="e">
        <f>#REF!-N464</f>
        <v>#REF!</v>
      </c>
      <c r="R464" s="17" t="str">
        <f t="shared" si="49"/>
        <v>03 0 00 00000000</v>
      </c>
    </row>
    <row r="465" spans="1:18" s="16" customFormat="1" ht="63">
      <c r="A465" s="14"/>
      <c r="B465" s="135" t="s">
        <v>387</v>
      </c>
      <c r="C465" s="109" t="s">
        <v>372</v>
      </c>
      <c r="D465" s="108" t="s">
        <v>317</v>
      </c>
      <c r="E465" s="108" t="s">
        <v>13</v>
      </c>
      <c r="F465" s="108" t="s">
        <v>388</v>
      </c>
      <c r="G465" s="108" t="s">
        <v>9</v>
      </c>
      <c r="H465" s="126">
        <f t="shared" si="58"/>
        <v>0</v>
      </c>
      <c r="L465" s="20">
        <v>2250.3200000000002</v>
      </c>
      <c r="M465" s="20">
        <v>2250.3200000000002</v>
      </c>
      <c r="N465" s="20">
        <v>2250.3200000000002</v>
      </c>
      <c r="O465" s="20">
        <f t="shared" si="59"/>
        <v>-2250.3200000000002</v>
      </c>
      <c r="P465" s="20" t="e">
        <f>#REF!-M465</f>
        <v>#REF!</v>
      </c>
      <c r="Q465" s="20" t="e">
        <f>#REF!-N465</f>
        <v>#REF!</v>
      </c>
      <c r="R465" s="17" t="str">
        <f t="shared" si="49"/>
        <v>03 2 00 00000000</v>
      </c>
    </row>
    <row r="466" spans="1:18" s="16" customFormat="1" ht="47.25">
      <c r="A466" s="14"/>
      <c r="B466" s="125" t="s">
        <v>389</v>
      </c>
      <c r="C466" s="109" t="s">
        <v>372</v>
      </c>
      <c r="D466" s="108" t="s">
        <v>317</v>
      </c>
      <c r="E466" s="108" t="s">
        <v>13</v>
      </c>
      <c r="F466" s="108" t="s">
        <v>390</v>
      </c>
      <c r="G466" s="108" t="s">
        <v>9</v>
      </c>
      <c r="H466" s="126">
        <f t="shared" si="58"/>
        <v>0</v>
      </c>
      <c r="L466" s="20">
        <v>2250.3200000000002</v>
      </c>
      <c r="M466" s="20">
        <v>2250.3200000000002</v>
      </c>
      <c r="N466" s="20">
        <v>2250.3200000000002</v>
      </c>
      <c r="O466" s="20">
        <f t="shared" si="59"/>
        <v>-2250.3200000000002</v>
      </c>
      <c r="P466" s="20" t="e">
        <f>#REF!-M466</f>
        <v>#REF!</v>
      </c>
      <c r="Q466" s="20" t="e">
        <f>#REF!-N466</f>
        <v>#REF!</v>
      </c>
      <c r="R466" s="17" t="str">
        <f t="shared" si="49"/>
        <v>03 2 02 00000000</v>
      </c>
    </row>
    <row r="467" spans="1:18" s="16" customFormat="1" ht="31.5">
      <c r="A467" s="14"/>
      <c r="B467" s="125" t="s">
        <v>391</v>
      </c>
      <c r="C467" s="109" t="s">
        <v>372</v>
      </c>
      <c r="D467" s="108" t="s">
        <v>317</v>
      </c>
      <c r="E467" s="108" t="s">
        <v>13</v>
      </c>
      <c r="F467" s="108" t="s">
        <v>392</v>
      </c>
      <c r="G467" s="108" t="s">
        <v>9</v>
      </c>
      <c r="H467" s="126">
        <f t="shared" si="58"/>
        <v>0</v>
      </c>
      <c r="L467" s="20">
        <v>2250.3200000000002</v>
      </c>
      <c r="M467" s="20">
        <v>2250.3200000000002</v>
      </c>
      <c r="N467" s="20">
        <v>2250.3200000000002</v>
      </c>
      <c r="O467" s="20">
        <f t="shared" si="59"/>
        <v>-2250.3200000000002</v>
      </c>
      <c r="P467" s="20" t="e">
        <f>#REF!-M467</f>
        <v>#REF!</v>
      </c>
      <c r="Q467" s="20" t="e">
        <f>#REF!-N467</f>
        <v>#REF!</v>
      </c>
      <c r="R467" s="17" t="str">
        <f t="shared" si="49"/>
        <v>03 2 02 80240000</v>
      </c>
    </row>
    <row r="468" spans="1:18" s="16" customFormat="1" ht="63">
      <c r="A468" s="14"/>
      <c r="B468" s="129" t="s">
        <v>203</v>
      </c>
      <c r="C468" s="109" t="s">
        <v>372</v>
      </c>
      <c r="D468" s="108" t="s">
        <v>317</v>
      </c>
      <c r="E468" s="108" t="s">
        <v>13</v>
      </c>
      <c r="F468" s="108" t="s">
        <v>392</v>
      </c>
      <c r="G468" s="108" t="s">
        <v>204</v>
      </c>
      <c r="H468" s="126">
        <f>H469</f>
        <v>0</v>
      </c>
      <c r="L468" s="20">
        <v>2250.3200000000002</v>
      </c>
      <c r="M468" s="20">
        <v>2250.3200000000002</v>
      </c>
      <c r="N468" s="20">
        <v>2250.3200000000002</v>
      </c>
      <c r="O468" s="20">
        <f t="shared" si="59"/>
        <v>-2250.3200000000002</v>
      </c>
      <c r="P468" s="20" t="e">
        <f>#REF!-M468</f>
        <v>#REF!</v>
      </c>
      <c r="Q468" s="20" t="e">
        <f>#REF!-N468</f>
        <v>#REF!</v>
      </c>
      <c r="R468" s="17" t="str">
        <f t="shared" si="49"/>
        <v>03 2 02 80240810</v>
      </c>
    </row>
    <row r="469" spans="1:18" s="16" customFormat="1" ht="63">
      <c r="A469" s="14"/>
      <c r="B469" s="125" t="s">
        <v>205</v>
      </c>
      <c r="C469" s="109" t="s">
        <v>372</v>
      </c>
      <c r="D469" s="108" t="s">
        <v>317</v>
      </c>
      <c r="E469" s="108" t="s">
        <v>13</v>
      </c>
      <c r="F469" s="108" t="s">
        <v>392</v>
      </c>
      <c r="G469" s="108" t="s">
        <v>206</v>
      </c>
      <c r="H469" s="126"/>
      <c r="L469" s="20"/>
      <c r="M469" s="20"/>
      <c r="N469" s="20"/>
      <c r="O469" s="20"/>
      <c r="P469" s="20"/>
      <c r="Q469" s="20"/>
      <c r="R469" s="17" t="str">
        <f t="shared" si="49"/>
        <v>03 2 02 80240811</v>
      </c>
    </row>
    <row r="470" spans="1:18" s="16" customFormat="1" ht="15.75">
      <c r="A470" s="14"/>
      <c r="B470" s="129"/>
      <c r="C470" s="109"/>
      <c r="D470" s="108"/>
      <c r="E470" s="108"/>
      <c r="F470" s="108"/>
      <c r="G470" s="108"/>
      <c r="H470" s="126"/>
      <c r="L470" s="20"/>
      <c r="M470" s="20"/>
      <c r="N470" s="20"/>
      <c r="O470" s="20">
        <f t="shared" ref="O470:O478" si="60">H470-L470</f>
        <v>0</v>
      </c>
      <c r="P470" s="20" t="e">
        <f>#REF!-M470</f>
        <v>#REF!</v>
      </c>
      <c r="Q470" s="20" t="e">
        <f>#REF!-N470</f>
        <v>#REF!</v>
      </c>
      <c r="R470" s="17" t="str">
        <f t="shared" si="49"/>
        <v/>
      </c>
    </row>
    <row r="471" spans="1:18" s="17" customFormat="1" ht="31.5">
      <c r="A471" s="14"/>
      <c r="B471" s="67" t="s">
        <v>393</v>
      </c>
      <c r="C471" s="116" t="s">
        <v>394</v>
      </c>
      <c r="D471" s="69" t="s">
        <v>7</v>
      </c>
      <c r="E471" s="69" t="s">
        <v>7</v>
      </c>
      <c r="F471" s="69" t="s">
        <v>8</v>
      </c>
      <c r="G471" s="69" t="s">
        <v>9</v>
      </c>
      <c r="H471" s="70">
        <f>H472+H685</f>
        <v>0</v>
      </c>
      <c r="L471" s="25">
        <v>3591355.8200000003</v>
      </c>
      <c r="M471" s="25">
        <v>3544735.11</v>
      </c>
      <c r="N471" s="25">
        <v>3539794.3999999994</v>
      </c>
      <c r="O471" s="25">
        <f t="shared" si="60"/>
        <v>-3591355.8200000003</v>
      </c>
      <c r="P471" s="25" t="e">
        <f>#REF!-M471</f>
        <v>#REF!</v>
      </c>
      <c r="Q471" s="25" t="e">
        <f>#REF!-N471</f>
        <v>#REF!</v>
      </c>
      <c r="R471" s="17" t="str">
        <f t="shared" si="49"/>
        <v>00 0 00 00000000</v>
      </c>
    </row>
    <row r="472" spans="1:18" s="17" customFormat="1" ht="15.75">
      <c r="A472" s="14"/>
      <c r="B472" s="117" t="s">
        <v>228</v>
      </c>
      <c r="C472" s="118" t="s">
        <v>394</v>
      </c>
      <c r="D472" s="119" t="s">
        <v>229</v>
      </c>
      <c r="E472" s="119" t="s">
        <v>7</v>
      </c>
      <c r="F472" s="119" t="s">
        <v>8</v>
      </c>
      <c r="G472" s="119" t="s">
        <v>9</v>
      </c>
      <c r="H472" s="120">
        <f>H473+H514+H618+H634+H581</f>
        <v>0</v>
      </c>
      <c r="L472" s="18">
        <v>3460800.93</v>
      </c>
      <c r="M472" s="18">
        <v>3414180.2199999997</v>
      </c>
      <c r="N472" s="18">
        <v>3409239.5099999993</v>
      </c>
      <c r="O472" s="18">
        <f t="shared" si="60"/>
        <v>-3460800.93</v>
      </c>
      <c r="P472" s="18" t="e">
        <f>#REF!-M472</f>
        <v>#REF!</v>
      </c>
      <c r="Q472" s="18" t="e">
        <f>#REF!-N472</f>
        <v>#REF!</v>
      </c>
      <c r="R472" s="17" t="str">
        <f t="shared" si="49"/>
        <v>00 0 00 00000000</v>
      </c>
    </row>
    <row r="473" spans="1:18" s="17" customFormat="1" ht="15.75">
      <c r="A473" s="14"/>
      <c r="B473" s="121" t="s">
        <v>395</v>
      </c>
      <c r="C473" s="122" t="s">
        <v>394</v>
      </c>
      <c r="D473" s="123" t="s">
        <v>229</v>
      </c>
      <c r="E473" s="123" t="s">
        <v>11</v>
      </c>
      <c r="F473" s="123" t="s">
        <v>8</v>
      </c>
      <c r="G473" s="123" t="s">
        <v>9</v>
      </c>
      <c r="H473" s="124">
        <f>H474+H500+H508+H494</f>
        <v>0</v>
      </c>
      <c r="L473" s="19">
        <v>1467483.43</v>
      </c>
      <c r="M473" s="19">
        <v>1477974.55</v>
      </c>
      <c r="N473" s="19">
        <v>1470182.6999999997</v>
      </c>
      <c r="O473" s="19">
        <f t="shared" si="60"/>
        <v>-1467483.43</v>
      </c>
      <c r="P473" s="19" t="e">
        <f>#REF!-M473</f>
        <v>#REF!</v>
      </c>
      <c r="Q473" s="19" t="e">
        <f>#REF!-N473</f>
        <v>#REF!</v>
      </c>
      <c r="R473" s="17" t="str">
        <f t="shared" si="49"/>
        <v>00 0 00 00000000</v>
      </c>
    </row>
    <row r="474" spans="1:18" s="17" customFormat="1" ht="31.5">
      <c r="A474" s="14"/>
      <c r="B474" s="132" t="s">
        <v>396</v>
      </c>
      <c r="C474" s="109" t="s">
        <v>394</v>
      </c>
      <c r="D474" s="108" t="s">
        <v>229</v>
      </c>
      <c r="E474" s="108" t="s">
        <v>11</v>
      </c>
      <c r="F474" s="108" t="s">
        <v>397</v>
      </c>
      <c r="G474" s="108" t="s">
        <v>9</v>
      </c>
      <c r="H474" s="126">
        <f>H475</f>
        <v>0</v>
      </c>
      <c r="L474" s="20">
        <v>1457551.92</v>
      </c>
      <c r="M474" s="20">
        <v>1451343.04</v>
      </c>
      <c r="N474" s="20">
        <v>1463801.1899999997</v>
      </c>
      <c r="O474" s="20">
        <f t="shared" si="60"/>
        <v>-1457551.92</v>
      </c>
      <c r="P474" s="20" t="e">
        <f>#REF!-M474</f>
        <v>#REF!</v>
      </c>
      <c r="Q474" s="20" t="e">
        <f>#REF!-N474</f>
        <v>#REF!</v>
      </c>
      <c r="R474" s="17" t="str">
        <f t="shared" ref="R474:R570" si="61">CONCATENATE(F474,G474)</f>
        <v>01 0 00 00000000</v>
      </c>
    </row>
    <row r="475" spans="1:18" s="17" customFormat="1" ht="31.5">
      <c r="A475" s="14"/>
      <c r="B475" s="132" t="s">
        <v>398</v>
      </c>
      <c r="C475" s="109" t="s">
        <v>394</v>
      </c>
      <c r="D475" s="108" t="s">
        <v>229</v>
      </c>
      <c r="E475" s="108" t="s">
        <v>11</v>
      </c>
      <c r="F475" s="108" t="s">
        <v>399</v>
      </c>
      <c r="G475" s="108" t="s">
        <v>9</v>
      </c>
      <c r="H475" s="126">
        <f>H476+H490</f>
        <v>0</v>
      </c>
      <c r="L475" s="20">
        <v>1457551.92</v>
      </c>
      <c r="M475" s="20">
        <v>1451343.04</v>
      </c>
      <c r="N475" s="20">
        <v>1463801.1899999997</v>
      </c>
      <c r="O475" s="20">
        <f t="shared" si="60"/>
        <v>-1457551.92</v>
      </c>
      <c r="P475" s="20" t="e">
        <f>#REF!-M475</f>
        <v>#REF!</v>
      </c>
      <c r="Q475" s="20" t="e">
        <f>#REF!-N475</f>
        <v>#REF!</v>
      </c>
      <c r="R475" s="17" t="str">
        <f t="shared" si="61"/>
        <v>01 1 00 00000000</v>
      </c>
    </row>
    <row r="476" spans="1:18" s="17" customFormat="1" ht="47.25">
      <c r="A476" s="14"/>
      <c r="B476" s="132" t="s">
        <v>400</v>
      </c>
      <c r="C476" s="109" t="s">
        <v>394</v>
      </c>
      <c r="D476" s="108" t="s">
        <v>229</v>
      </c>
      <c r="E476" s="108" t="s">
        <v>11</v>
      </c>
      <c r="F476" s="108" t="s">
        <v>401</v>
      </c>
      <c r="G476" s="108" t="s">
        <v>9</v>
      </c>
      <c r="H476" s="126">
        <f>H477+H483</f>
        <v>0</v>
      </c>
      <c r="L476" s="20">
        <v>1425828.23</v>
      </c>
      <c r="M476" s="20">
        <v>1437812.3800000001</v>
      </c>
      <c r="N476" s="20">
        <v>1450270.5299999998</v>
      </c>
      <c r="O476" s="20">
        <f t="shared" si="60"/>
        <v>-1425828.23</v>
      </c>
      <c r="P476" s="20" t="e">
        <f>#REF!-M476</f>
        <v>#REF!</v>
      </c>
      <c r="Q476" s="20" t="e">
        <f>#REF!-N476</f>
        <v>#REF!</v>
      </c>
      <c r="R476" s="17" t="str">
        <f t="shared" si="61"/>
        <v>01 1 01 00000000</v>
      </c>
    </row>
    <row r="477" spans="1:18" s="17" customFormat="1" ht="31.5">
      <c r="A477" s="14"/>
      <c r="B477" s="132" t="s">
        <v>136</v>
      </c>
      <c r="C477" s="109" t="s">
        <v>394</v>
      </c>
      <c r="D477" s="108" t="s">
        <v>229</v>
      </c>
      <c r="E477" s="108" t="s">
        <v>11</v>
      </c>
      <c r="F477" s="108" t="s">
        <v>402</v>
      </c>
      <c r="G477" s="108" t="s">
        <v>9</v>
      </c>
      <c r="H477" s="126">
        <f>H478+H481</f>
        <v>0</v>
      </c>
      <c r="L477" s="20">
        <v>690348.79</v>
      </c>
      <c r="M477" s="20">
        <v>690348.79</v>
      </c>
      <c r="N477" s="20">
        <v>690348.79</v>
      </c>
      <c r="O477" s="20">
        <f t="shared" si="60"/>
        <v>-690348.79</v>
      </c>
      <c r="P477" s="20" t="e">
        <f>#REF!-M477</f>
        <v>#REF!</v>
      </c>
      <c r="Q477" s="20" t="e">
        <f>#REF!-N477</f>
        <v>#REF!</v>
      </c>
      <c r="R477" s="17" t="str">
        <f t="shared" si="61"/>
        <v>01 1 01 11010000</v>
      </c>
    </row>
    <row r="478" spans="1:18" s="17" customFormat="1" ht="15.75">
      <c r="A478" s="14"/>
      <c r="B478" s="132" t="s">
        <v>403</v>
      </c>
      <c r="C478" s="109" t="s">
        <v>394</v>
      </c>
      <c r="D478" s="108" t="s">
        <v>229</v>
      </c>
      <c r="E478" s="108" t="s">
        <v>11</v>
      </c>
      <c r="F478" s="108" t="s">
        <v>402</v>
      </c>
      <c r="G478" s="108" t="s">
        <v>404</v>
      </c>
      <c r="H478" s="126">
        <f>SUM(H479:H480)</f>
        <v>0</v>
      </c>
      <c r="L478" s="20">
        <v>660072.98</v>
      </c>
      <c r="M478" s="20">
        <v>660072.98</v>
      </c>
      <c r="N478" s="20">
        <v>660072.98</v>
      </c>
      <c r="O478" s="20">
        <f t="shared" si="60"/>
        <v>-660072.98</v>
      </c>
      <c r="P478" s="20" t="e">
        <f>#REF!-M478</f>
        <v>#REF!</v>
      </c>
      <c r="Q478" s="20" t="e">
        <f>#REF!-N478</f>
        <v>#REF!</v>
      </c>
      <c r="R478" s="17" t="str">
        <f t="shared" si="61"/>
        <v>01 1 01 11010610</v>
      </c>
    </row>
    <row r="479" spans="1:18" s="24" customFormat="1" ht="63">
      <c r="A479" s="21"/>
      <c r="B479" s="127" t="s">
        <v>405</v>
      </c>
      <c r="C479" s="109" t="s">
        <v>394</v>
      </c>
      <c r="D479" s="108" t="s">
        <v>229</v>
      </c>
      <c r="E479" s="108" t="s">
        <v>11</v>
      </c>
      <c r="F479" s="108" t="s">
        <v>402</v>
      </c>
      <c r="G479" s="108" t="s">
        <v>406</v>
      </c>
      <c r="H479" s="126"/>
      <c r="L479" s="22"/>
      <c r="M479" s="22"/>
      <c r="N479" s="22"/>
      <c r="O479" s="22"/>
      <c r="P479" s="22"/>
      <c r="Q479" s="22"/>
    </row>
    <row r="480" spans="1:18" s="24" customFormat="1" ht="15.75">
      <c r="A480" s="21"/>
      <c r="B480" s="127" t="s">
        <v>407</v>
      </c>
      <c r="C480" s="109" t="s">
        <v>394</v>
      </c>
      <c r="D480" s="108" t="s">
        <v>229</v>
      </c>
      <c r="E480" s="108" t="s">
        <v>11</v>
      </c>
      <c r="F480" s="108" t="s">
        <v>402</v>
      </c>
      <c r="G480" s="108" t="s">
        <v>408</v>
      </c>
      <c r="H480" s="126"/>
      <c r="L480" s="22"/>
      <c r="M480" s="22"/>
      <c r="N480" s="22"/>
      <c r="O480" s="22"/>
      <c r="P480" s="22"/>
      <c r="Q480" s="22"/>
    </row>
    <row r="481" spans="1:18" s="17" customFormat="1" ht="15.75">
      <c r="A481" s="14"/>
      <c r="B481" s="132" t="s">
        <v>409</v>
      </c>
      <c r="C481" s="109" t="s">
        <v>394</v>
      </c>
      <c r="D481" s="108" t="s">
        <v>229</v>
      </c>
      <c r="E481" s="108" t="s">
        <v>11</v>
      </c>
      <c r="F481" s="108" t="s">
        <v>402</v>
      </c>
      <c r="G481" s="108" t="s">
        <v>410</v>
      </c>
      <c r="H481" s="126">
        <f>H482</f>
        <v>0</v>
      </c>
      <c r="L481" s="20">
        <v>30275.81</v>
      </c>
      <c r="M481" s="20">
        <v>30275.81</v>
      </c>
      <c r="N481" s="20">
        <v>30275.81</v>
      </c>
      <c r="O481" s="20">
        <f>H481-L481</f>
        <v>-30275.81</v>
      </c>
      <c r="P481" s="20" t="e">
        <f>#REF!-M481</f>
        <v>#REF!</v>
      </c>
      <c r="Q481" s="20" t="e">
        <f>#REF!-N481</f>
        <v>#REF!</v>
      </c>
      <c r="R481" s="17" t="str">
        <f t="shared" si="61"/>
        <v>01 1 01 11010620</v>
      </c>
    </row>
    <row r="482" spans="1:18" s="24" customFormat="1" ht="63">
      <c r="A482" s="21"/>
      <c r="B482" s="127" t="s">
        <v>411</v>
      </c>
      <c r="C482" s="109" t="s">
        <v>394</v>
      </c>
      <c r="D482" s="108" t="s">
        <v>229</v>
      </c>
      <c r="E482" s="108" t="s">
        <v>11</v>
      </c>
      <c r="F482" s="108" t="s">
        <v>402</v>
      </c>
      <c r="G482" s="108" t="s">
        <v>412</v>
      </c>
      <c r="H482" s="126"/>
      <c r="L482" s="22"/>
      <c r="M482" s="22"/>
      <c r="N482" s="22"/>
      <c r="O482" s="22"/>
      <c r="P482" s="22"/>
      <c r="Q482" s="22"/>
    </row>
    <row r="483" spans="1:18" s="17" customFormat="1" ht="110.25">
      <c r="A483" s="14" t="s">
        <v>80</v>
      </c>
      <c r="B483" s="125" t="s">
        <v>413</v>
      </c>
      <c r="C483" s="109" t="s">
        <v>394</v>
      </c>
      <c r="D483" s="108" t="s">
        <v>229</v>
      </c>
      <c r="E483" s="108" t="s">
        <v>11</v>
      </c>
      <c r="F483" s="108" t="s">
        <v>414</v>
      </c>
      <c r="G483" s="108" t="s">
        <v>9</v>
      </c>
      <c r="H483" s="126">
        <f>H484+H486+H488</f>
        <v>0</v>
      </c>
      <c r="L483" s="20">
        <v>735479.44</v>
      </c>
      <c r="M483" s="20">
        <v>747463.59000000008</v>
      </c>
      <c r="N483" s="20">
        <v>759921.73999999987</v>
      </c>
      <c r="O483" s="20">
        <f>H483-L483</f>
        <v>-735479.44</v>
      </c>
      <c r="P483" s="20" t="e">
        <f>#REF!-M483</f>
        <v>#REF!</v>
      </c>
      <c r="Q483" s="20" t="e">
        <f>#REF!-N483</f>
        <v>#REF!</v>
      </c>
      <c r="R483" s="17" t="str">
        <f t="shared" si="61"/>
        <v>01 1 01 77170000</v>
      </c>
    </row>
    <row r="484" spans="1:18" s="17" customFormat="1" ht="15.75">
      <c r="A484" s="14"/>
      <c r="B484" s="132" t="s">
        <v>403</v>
      </c>
      <c r="C484" s="109" t="s">
        <v>394</v>
      </c>
      <c r="D484" s="108" t="s">
        <v>229</v>
      </c>
      <c r="E484" s="108" t="s">
        <v>11</v>
      </c>
      <c r="F484" s="108" t="s">
        <v>414</v>
      </c>
      <c r="G484" s="108" t="s">
        <v>404</v>
      </c>
      <c r="H484" s="126">
        <f>H485</f>
        <v>0</v>
      </c>
      <c r="L484" s="20">
        <v>697969.32</v>
      </c>
      <c r="M484" s="20">
        <v>709342.29</v>
      </c>
      <c r="N484" s="20">
        <v>721037.94</v>
      </c>
      <c r="O484" s="20">
        <f>H484-L484</f>
        <v>-697969.32</v>
      </c>
      <c r="P484" s="20" t="e">
        <f>#REF!-M484</f>
        <v>#REF!</v>
      </c>
      <c r="Q484" s="20" t="e">
        <f>#REF!-N484</f>
        <v>#REF!</v>
      </c>
      <c r="R484" s="17" t="str">
        <f t="shared" si="61"/>
        <v>01 1 01 77170610</v>
      </c>
    </row>
    <row r="485" spans="1:18" s="24" customFormat="1" ht="63">
      <c r="A485" s="21"/>
      <c r="B485" s="127" t="s">
        <v>405</v>
      </c>
      <c r="C485" s="109" t="s">
        <v>394</v>
      </c>
      <c r="D485" s="108" t="s">
        <v>229</v>
      </c>
      <c r="E485" s="108" t="s">
        <v>11</v>
      </c>
      <c r="F485" s="108" t="s">
        <v>414</v>
      </c>
      <c r="G485" s="108" t="s">
        <v>406</v>
      </c>
      <c r="H485" s="126"/>
      <c r="L485" s="22"/>
      <c r="M485" s="22"/>
      <c r="N485" s="22"/>
      <c r="O485" s="22"/>
      <c r="P485" s="22"/>
      <c r="Q485" s="22"/>
    </row>
    <row r="486" spans="1:18" s="17" customFormat="1" ht="15.75">
      <c r="A486" s="14"/>
      <c r="B486" s="132" t="s">
        <v>409</v>
      </c>
      <c r="C486" s="109" t="s">
        <v>394</v>
      </c>
      <c r="D486" s="108" t="s">
        <v>229</v>
      </c>
      <c r="E486" s="108" t="s">
        <v>11</v>
      </c>
      <c r="F486" s="108" t="s">
        <v>414</v>
      </c>
      <c r="G486" s="108" t="s">
        <v>410</v>
      </c>
      <c r="H486" s="126">
        <f>H487</f>
        <v>0</v>
      </c>
      <c r="L486" s="20">
        <v>32582.5</v>
      </c>
      <c r="M486" s="20">
        <v>33113.4</v>
      </c>
      <c r="N486" s="20">
        <v>33775.699999999997</v>
      </c>
      <c r="O486" s="20">
        <f>H486-L486</f>
        <v>-32582.5</v>
      </c>
      <c r="P486" s="20" t="e">
        <f>#REF!-M486</f>
        <v>#REF!</v>
      </c>
      <c r="Q486" s="20" t="e">
        <f>#REF!-N486</f>
        <v>#REF!</v>
      </c>
      <c r="R486" s="17" t="str">
        <f t="shared" si="61"/>
        <v>01 1 01 77170620</v>
      </c>
    </row>
    <row r="487" spans="1:18" s="24" customFormat="1" ht="63">
      <c r="A487" s="21"/>
      <c r="B487" s="127" t="s">
        <v>411</v>
      </c>
      <c r="C487" s="109" t="s">
        <v>394</v>
      </c>
      <c r="D487" s="108" t="s">
        <v>229</v>
      </c>
      <c r="E487" s="108" t="s">
        <v>11</v>
      </c>
      <c r="F487" s="108" t="s">
        <v>414</v>
      </c>
      <c r="G487" s="108" t="s">
        <v>412</v>
      </c>
      <c r="H487" s="126"/>
      <c r="L487" s="22"/>
      <c r="M487" s="22"/>
      <c r="N487" s="22"/>
      <c r="O487" s="22"/>
      <c r="P487" s="22"/>
      <c r="Q487" s="22"/>
    </row>
    <row r="488" spans="1:18" s="17" customFormat="1" ht="47.25">
      <c r="A488" s="14"/>
      <c r="B488" s="125" t="s">
        <v>182</v>
      </c>
      <c r="C488" s="109" t="s">
        <v>394</v>
      </c>
      <c r="D488" s="108" t="s">
        <v>229</v>
      </c>
      <c r="E488" s="108" t="s">
        <v>11</v>
      </c>
      <c r="F488" s="108" t="s">
        <v>414</v>
      </c>
      <c r="G488" s="108" t="s">
        <v>183</v>
      </c>
      <c r="H488" s="126">
        <f>H489</f>
        <v>0</v>
      </c>
      <c r="L488" s="20">
        <v>4927.62</v>
      </c>
      <c r="M488" s="20">
        <v>5007.8999999999996</v>
      </c>
      <c r="N488" s="20">
        <v>5108.1000000000004</v>
      </c>
      <c r="O488" s="20">
        <f>H488-L488</f>
        <v>-4927.62</v>
      </c>
      <c r="P488" s="20" t="e">
        <f>#REF!-M488</f>
        <v>#REF!</v>
      </c>
      <c r="Q488" s="20" t="e">
        <f>#REF!-N488</f>
        <v>#REF!</v>
      </c>
      <c r="R488" s="17" t="str">
        <f t="shared" si="61"/>
        <v>01 1 01 77170630</v>
      </c>
    </row>
    <row r="489" spans="1:18" s="24" customFormat="1" ht="94.5">
      <c r="A489" s="21"/>
      <c r="B489" s="127" t="s">
        <v>1038</v>
      </c>
      <c r="C489" s="109" t="s">
        <v>394</v>
      </c>
      <c r="D489" s="108" t="s">
        <v>229</v>
      </c>
      <c r="E489" s="108" t="s">
        <v>11</v>
      </c>
      <c r="F489" s="108" t="s">
        <v>414</v>
      </c>
      <c r="G489" s="108" t="s">
        <v>416</v>
      </c>
      <c r="H489" s="126"/>
      <c r="L489" s="22"/>
      <c r="M489" s="22"/>
      <c r="N489" s="22"/>
      <c r="O489" s="22"/>
      <c r="P489" s="22"/>
      <c r="Q489" s="22"/>
    </row>
    <row r="490" spans="1:18" s="17" customFormat="1" ht="78.75">
      <c r="A490" s="14"/>
      <c r="B490" s="125" t="s">
        <v>417</v>
      </c>
      <c r="C490" s="109" t="s">
        <v>394</v>
      </c>
      <c r="D490" s="108" t="s">
        <v>229</v>
      </c>
      <c r="E490" s="108" t="s">
        <v>11</v>
      </c>
      <c r="F490" s="108" t="s">
        <v>418</v>
      </c>
      <c r="G490" s="108" t="s">
        <v>9</v>
      </c>
      <c r="H490" s="126">
        <f>H491</f>
        <v>0</v>
      </c>
      <c r="L490" s="20">
        <v>31723.69</v>
      </c>
      <c r="M490" s="20">
        <v>13530.66</v>
      </c>
      <c r="N490" s="20">
        <v>13530.66</v>
      </c>
      <c r="O490" s="20">
        <f>H490-L490</f>
        <v>-31723.69</v>
      </c>
      <c r="P490" s="20" t="e">
        <f>#REF!-M490</f>
        <v>#REF!</v>
      </c>
      <c r="Q490" s="20" t="e">
        <f>#REF!-N490</f>
        <v>#REF!</v>
      </c>
      <c r="R490" s="17" t="str">
        <f t="shared" si="61"/>
        <v>01 1 06 00000000</v>
      </c>
    </row>
    <row r="491" spans="1:18" s="17" customFormat="1" ht="31.5">
      <c r="A491" s="14"/>
      <c r="B491" s="132" t="s">
        <v>136</v>
      </c>
      <c r="C491" s="109" t="s">
        <v>394</v>
      </c>
      <c r="D491" s="108" t="s">
        <v>229</v>
      </c>
      <c r="E491" s="108" t="s">
        <v>11</v>
      </c>
      <c r="F491" s="108" t="s">
        <v>419</v>
      </c>
      <c r="G491" s="108" t="s">
        <v>9</v>
      </c>
      <c r="H491" s="126">
        <f>H492</f>
        <v>0</v>
      </c>
      <c r="L491" s="20">
        <v>31723.69</v>
      </c>
      <c r="M491" s="20">
        <v>13530.66</v>
      </c>
      <c r="N491" s="20">
        <v>13530.66</v>
      </c>
      <c r="O491" s="20">
        <f>H491-L491</f>
        <v>-31723.69</v>
      </c>
      <c r="P491" s="20" t="e">
        <f>#REF!-M491</f>
        <v>#REF!</v>
      </c>
      <c r="Q491" s="20" t="e">
        <f>#REF!-N491</f>
        <v>#REF!</v>
      </c>
      <c r="R491" s="17" t="str">
        <f t="shared" si="61"/>
        <v>01 1 06 11010000</v>
      </c>
    </row>
    <row r="492" spans="1:18" s="17" customFormat="1" ht="15.75">
      <c r="A492" s="14"/>
      <c r="B492" s="132" t="s">
        <v>403</v>
      </c>
      <c r="C492" s="109" t="s">
        <v>394</v>
      </c>
      <c r="D492" s="108" t="s">
        <v>229</v>
      </c>
      <c r="E492" s="108" t="s">
        <v>11</v>
      </c>
      <c r="F492" s="108" t="s">
        <v>419</v>
      </c>
      <c r="G492" s="108" t="s">
        <v>404</v>
      </c>
      <c r="H492" s="126">
        <f>H493</f>
        <v>0</v>
      </c>
      <c r="L492" s="20">
        <v>31723.69</v>
      </c>
      <c r="M492" s="20">
        <v>13530.66</v>
      </c>
      <c r="N492" s="20">
        <v>13530.66</v>
      </c>
      <c r="O492" s="20">
        <f>H492-L492</f>
        <v>-31723.69</v>
      </c>
      <c r="P492" s="20" t="e">
        <f>#REF!-M492</f>
        <v>#REF!</v>
      </c>
      <c r="Q492" s="20" t="e">
        <f>#REF!-N492</f>
        <v>#REF!</v>
      </c>
      <c r="R492" s="17" t="str">
        <f t="shared" si="61"/>
        <v>01 1 06 11010610</v>
      </c>
    </row>
    <row r="493" spans="1:18" s="24" customFormat="1" ht="15.75">
      <c r="A493" s="21"/>
      <c r="B493" s="127" t="s">
        <v>407</v>
      </c>
      <c r="C493" s="109" t="s">
        <v>394</v>
      </c>
      <c r="D493" s="108" t="s">
        <v>229</v>
      </c>
      <c r="E493" s="108" t="s">
        <v>11</v>
      </c>
      <c r="F493" s="108" t="s">
        <v>419</v>
      </c>
      <c r="G493" s="108" t="s">
        <v>408</v>
      </c>
      <c r="H493" s="126"/>
      <c r="L493" s="22"/>
      <c r="M493" s="22"/>
      <c r="N493" s="22"/>
      <c r="O493" s="22"/>
      <c r="P493" s="22"/>
      <c r="Q493" s="22"/>
    </row>
    <row r="494" spans="1:18" s="17" customFormat="1" ht="47.25">
      <c r="A494" s="14"/>
      <c r="B494" s="132" t="s">
        <v>146</v>
      </c>
      <c r="C494" s="109" t="s">
        <v>394</v>
      </c>
      <c r="D494" s="108" t="s">
        <v>229</v>
      </c>
      <c r="E494" s="108" t="s">
        <v>11</v>
      </c>
      <c r="F494" s="108" t="s">
        <v>147</v>
      </c>
      <c r="G494" s="108" t="s">
        <v>9</v>
      </c>
      <c r="H494" s="126">
        <f>H495</f>
        <v>0</v>
      </c>
      <c r="L494" s="20">
        <v>3550</v>
      </c>
      <c r="M494" s="20">
        <v>20250</v>
      </c>
      <c r="N494" s="20">
        <v>0</v>
      </c>
      <c r="O494" s="20">
        <f>H494-L494</f>
        <v>-3550</v>
      </c>
      <c r="P494" s="20" t="e">
        <f>#REF!-M494</f>
        <v>#REF!</v>
      </c>
      <c r="Q494" s="20" t="e">
        <f>#REF!-N494</f>
        <v>#REF!</v>
      </c>
      <c r="R494" s="17" t="str">
        <f t="shared" si="61"/>
        <v>15 0 00 00000000</v>
      </c>
    </row>
    <row r="495" spans="1:18" s="17" customFormat="1" ht="15.75">
      <c r="A495" s="14"/>
      <c r="B495" s="132" t="s">
        <v>148</v>
      </c>
      <c r="C495" s="109" t="s">
        <v>394</v>
      </c>
      <c r="D495" s="108" t="s">
        <v>229</v>
      </c>
      <c r="E495" s="108" t="s">
        <v>11</v>
      </c>
      <c r="F495" s="108" t="s">
        <v>149</v>
      </c>
      <c r="G495" s="108" t="s">
        <v>9</v>
      </c>
      <c r="H495" s="126">
        <f>H496</f>
        <v>0</v>
      </c>
      <c r="L495" s="20">
        <v>3550</v>
      </c>
      <c r="M495" s="20">
        <v>20250</v>
      </c>
      <c r="N495" s="20">
        <v>0</v>
      </c>
      <c r="O495" s="20">
        <f>H495-L495</f>
        <v>-3550</v>
      </c>
      <c r="P495" s="20" t="e">
        <f>#REF!-M495</f>
        <v>#REF!</v>
      </c>
      <c r="Q495" s="20" t="e">
        <f>#REF!-N495</f>
        <v>#REF!</v>
      </c>
      <c r="R495" s="17" t="str">
        <f t="shared" si="61"/>
        <v>15 1 00 00000000</v>
      </c>
    </row>
    <row r="496" spans="1:18" s="17" customFormat="1" ht="47.25">
      <c r="A496" s="14"/>
      <c r="B496" s="135" t="s">
        <v>273</v>
      </c>
      <c r="C496" s="109" t="s">
        <v>394</v>
      </c>
      <c r="D496" s="108" t="s">
        <v>229</v>
      </c>
      <c r="E496" s="108" t="s">
        <v>11</v>
      </c>
      <c r="F496" s="108" t="s">
        <v>274</v>
      </c>
      <c r="G496" s="108" t="s">
        <v>9</v>
      </c>
      <c r="H496" s="126">
        <f>H497</f>
        <v>0</v>
      </c>
      <c r="L496" s="20">
        <v>3550</v>
      </c>
      <c r="M496" s="20">
        <v>20250</v>
      </c>
      <c r="N496" s="20">
        <v>0</v>
      </c>
      <c r="O496" s="20">
        <f>H496-L496</f>
        <v>-3550</v>
      </c>
      <c r="P496" s="20" t="e">
        <f>#REF!-M496</f>
        <v>#REF!</v>
      </c>
      <c r="Q496" s="20" t="e">
        <f>#REF!-N496</f>
        <v>#REF!</v>
      </c>
      <c r="R496" s="17" t="str">
        <f t="shared" si="61"/>
        <v>15 1 02 00000000</v>
      </c>
    </row>
    <row r="497" spans="1:18" s="17" customFormat="1" ht="47.25">
      <c r="A497" s="14"/>
      <c r="B497" s="132" t="s">
        <v>152</v>
      </c>
      <c r="C497" s="109" t="s">
        <v>394</v>
      </c>
      <c r="D497" s="108" t="s">
        <v>229</v>
      </c>
      <c r="E497" s="108" t="s">
        <v>11</v>
      </c>
      <c r="F497" s="108" t="s">
        <v>275</v>
      </c>
      <c r="G497" s="108" t="s">
        <v>9</v>
      </c>
      <c r="H497" s="126">
        <f>H498</f>
        <v>0</v>
      </c>
      <c r="L497" s="20">
        <v>3550</v>
      </c>
      <c r="M497" s="20">
        <v>20250</v>
      </c>
      <c r="N497" s="20">
        <v>0</v>
      </c>
      <c r="O497" s="20">
        <f>H497-L497</f>
        <v>-3550</v>
      </c>
      <c r="P497" s="20" t="e">
        <f>#REF!-M497</f>
        <v>#REF!</v>
      </c>
      <c r="Q497" s="20" t="e">
        <f>#REF!-N497</f>
        <v>#REF!</v>
      </c>
      <c r="R497" s="17" t="str">
        <f t="shared" si="61"/>
        <v>15 1 02 20350000</v>
      </c>
    </row>
    <row r="498" spans="1:18" s="17" customFormat="1" ht="15.75">
      <c r="A498" s="14"/>
      <c r="B498" s="132" t="s">
        <v>403</v>
      </c>
      <c r="C498" s="109" t="s">
        <v>394</v>
      </c>
      <c r="D498" s="108" t="s">
        <v>229</v>
      </c>
      <c r="E498" s="108" t="s">
        <v>11</v>
      </c>
      <c r="F498" s="108" t="s">
        <v>275</v>
      </c>
      <c r="G498" s="108" t="s">
        <v>404</v>
      </c>
      <c r="H498" s="126">
        <f>H499</f>
        <v>0</v>
      </c>
      <c r="L498" s="20">
        <v>3550</v>
      </c>
      <c r="M498" s="20">
        <v>20250</v>
      </c>
      <c r="N498" s="20">
        <v>0</v>
      </c>
      <c r="O498" s="20">
        <f>H498-L498</f>
        <v>-3550</v>
      </c>
      <c r="P498" s="20" t="e">
        <f>#REF!-M498</f>
        <v>#REF!</v>
      </c>
      <c r="Q498" s="20" t="e">
        <f>#REF!-N498</f>
        <v>#REF!</v>
      </c>
      <c r="R498" s="17" t="str">
        <f t="shared" si="61"/>
        <v>15 1 02 20350610</v>
      </c>
    </row>
    <row r="499" spans="1:18" s="24" customFormat="1" ht="15.75">
      <c r="A499" s="21"/>
      <c r="B499" s="127" t="s">
        <v>407</v>
      </c>
      <c r="C499" s="109" t="s">
        <v>394</v>
      </c>
      <c r="D499" s="108" t="s">
        <v>229</v>
      </c>
      <c r="E499" s="108" t="s">
        <v>11</v>
      </c>
      <c r="F499" s="108" t="s">
        <v>275</v>
      </c>
      <c r="G499" s="108" t="s">
        <v>408</v>
      </c>
      <c r="H499" s="126"/>
      <c r="L499" s="22"/>
      <c r="M499" s="22"/>
      <c r="N499" s="22"/>
      <c r="O499" s="22"/>
      <c r="P499" s="22"/>
      <c r="Q499" s="22"/>
    </row>
    <row r="500" spans="1:18" s="17" customFormat="1" ht="94.5">
      <c r="A500" s="14"/>
      <c r="B500" s="125" t="s">
        <v>420</v>
      </c>
      <c r="C500" s="109" t="s">
        <v>394</v>
      </c>
      <c r="D500" s="108" t="s">
        <v>229</v>
      </c>
      <c r="E500" s="108" t="s">
        <v>11</v>
      </c>
      <c r="F500" s="108" t="s">
        <v>421</v>
      </c>
      <c r="G500" s="108" t="s">
        <v>9</v>
      </c>
      <c r="H500" s="126">
        <f t="shared" ref="H500:H502" si="62">H501</f>
        <v>0</v>
      </c>
      <c r="L500" s="20">
        <v>3842.64</v>
      </c>
      <c r="M500" s="20">
        <v>3842.64</v>
      </c>
      <c r="N500" s="20">
        <v>3842.64</v>
      </c>
      <c r="O500" s="20">
        <f>H500-L500</f>
        <v>-3842.64</v>
      </c>
      <c r="P500" s="20" t="e">
        <f>#REF!-M500</f>
        <v>#REF!</v>
      </c>
      <c r="Q500" s="20" t="e">
        <f>#REF!-N500</f>
        <v>#REF!</v>
      </c>
      <c r="R500" s="17" t="str">
        <f t="shared" si="61"/>
        <v>16 0 00 00000000</v>
      </c>
    </row>
    <row r="501" spans="1:18" s="17" customFormat="1" ht="31.5">
      <c r="A501" s="14"/>
      <c r="B501" s="125" t="s">
        <v>422</v>
      </c>
      <c r="C501" s="109" t="s">
        <v>394</v>
      </c>
      <c r="D501" s="108" t="s">
        <v>229</v>
      </c>
      <c r="E501" s="108" t="s">
        <v>11</v>
      </c>
      <c r="F501" s="108" t="s">
        <v>423</v>
      </c>
      <c r="G501" s="108" t="s">
        <v>9</v>
      </c>
      <c r="H501" s="126">
        <f t="shared" si="62"/>
        <v>0</v>
      </c>
      <c r="L501" s="20">
        <v>3842.64</v>
      </c>
      <c r="M501" s="20">
        <v>3842.64</v>
      </c>
      <c r="N501" s="20">
        <v>3842.64</v>
      </c>
      <c r="O501" s="20">
        <f>H501-L501</f>
        <v>-3842.64</v>
      </c>
      <c r="P501" s="20" t="e">
        <f>#REF!-M501</f>
        <v>#REF!</v>
      </c>
      <c r="Q501" s="20" t="e">
        <f>#REF!-N501</f>
        <v>#REF!</v>
      </c>
      <c r="R501" s="17" t="str">
        <f t="shared" si="61"/>
        <v>16 2 00 00000000</v>
      </c>
    </row>
    <row r="502" spans="1:18" s="17" customFormat="1" ht="47.25">
      <c r="A502" s="14"/>
      <c r="B502" s="125" t="s">
        <v>424</v>
      </c>
      <c r="C502" s="109" t="s">
        <v>394</v>
      </c>
      <c r="D502" s="108" t="s">
        <v>229</v>
      </c>
      <c r="E502" s="108" t="s">
        <v>11</v>
      </c>
      <c r="F502" s="108" t="s">
        <v>425</v>
      </c>
      <c r="G502" s="108" t="s">
        <v>9</v>
      </c>
      <c r="H502" s="126">
        <f t="shared" si="62"/>
        <v>0</v>
      </c>
      <c r="L502" s="20">
        <v>3842.64</v>
      </c>
      <c r="M502" s="20">
        <v>3842.64</v>
      </c>
      <c r="N502" s="20">
        <v>3842.64</v>
      </c>
      <c r="O502" s="20">
        <f>H502-L502</f>
        <v>-3842.64</v>
      </c>
      <c r="P502" s="20" t="e">
        <f>#REF!-M502</f>
        <v>#REF!</v>
      </c>
      <c r="Q502" s="20" t="e">
        <f>#REF!-N502</f>
        <v>#REF!</v>
      </c>
      <c r="R502" s="17" t="str">
        <f t="shared" si="61"/>
        <v>16 2 02 00000000</v>
      </c>
    </row>
    <row r="503" spans="1:18" s="17" customFormat="1" ht="47.25">
      <c r="A503" s="14"/>
      <c r="B503" s="125" t="s">
        <v>426</v>
      </c>
      <c r="C503" s="109" t="s">
        <v>394</v>
      </c>
      <c r="D503" s="108" t="s">
        <v>229</v>
      </c>
      <c r="E503" s="108" t="s">
        <v>11</v>
      </c>
      <c r="F503" s="108" t="s">
        <v>427</v>
      </c>
      <c r="G503" s="108" t="s">
        <v>9</v>
      </c>
      <c r="H503" s="126">
        <f>H504+H506</f>
        <v>0</v>
      </c>
      <c r="L503" s="20">
        <v>3842.64</v>
      </c>
      <c r="M503" s="20">
        <v>3842.64</v>
      </c>
      <c r="N503" s="20">
        <v>3842.64</v>
      </c>
      <c r="O503" s="20">
        <f>H503-L503</f>
        <v>-3842.64</v>
      </c>
      <c r="P503" s="20" t="e">
        <f>#REF!-M503</f>
        <v>#REF!</v>
      </c>
      <c r="Q503" s="20" t="e">
        <f>#REF!-N503</f>
        <v>#REF!</v>
      </c>
      <c r="R503" s="17" t="str">
        <f t="shared" si="61"/>
        <v>16 2 02 20550000</v>
      </c>
    </row>
    <row r="504" spans="1:18" s="17" customFormat="1" ht="15.75">
      <c r="A504" s="14"/>
      <c r="B504" s="132" t="s">
        <v>403</v>
      </c>
      <c r="C504" s="109" t="s">
        <v>394</v>
      </c>
      <c r="D504" s="108" t="s">
        <v>229</v>
      </c>
      <c r="E504" s="108" t="s">
        <v>11</v>
      </c>
      <c r="F504" s="108" t="s">
        <v>427</v>
      </c>
      <c r="G504" s="108" t="s">
        <v>404</v>
      </c>
      <c r="H504" s="126">
        <f>H505</f>
        <v>0</v>
      </c>
      <c r="L504" s="20">
        <v>3744.14</v>
      </c>
      <c r="M504" s="20">
        <v>3744.14</v>
      </c>
      <c r="N504" s="20">
        <v>3744.14</v>
      </c>
      <c r="O504" s="20">
        <f>H504-L504</f>
        <v>-3744.14</v>
      </c>
      <c r="P504" s="20" t="e">
        <f>#REF!-M504</f>
        <v>#REF!</v>
      </c>
      <c r="Q504" s="20" t="e">
        <f>#REF!-N504</f>
        <v>#REF!</v>
      </c>
      <c r="R504" s="17" t="str">
        <f t="shared" si="61"/>
        <v>16 2 02 20550610</v>
      </c>
    </row>
    <row r="505" spans="1:18" s="24" customFormat="1" ht="15.75">
      <c r="A505" s="21"/>
      <c r="B505" s="127" t="s">
        <v>407</v>
      </c>
      <c r="C505" s="109" t="s">
        <v>394</v>
      </c>
      <c r="D505" s="108" t="s">
        <v>229</v>
      </c>
      <c r="E505" s="108" t="s">
        <v>11</v>
      </c>
      <c r="F505" s="108" t="s">
        <v>427</v>
      </c>
      <c r="G505" s="108" t="s">
        <v>408</v>
      </c>
      <c r="H505" s="126"/>
      <c r="L505" s="22"/>
      <c r="M505" s="22"/>
      <c r="N505" s="22"/>
      <c r="O505" s="22"/>
      <c r="P505" s="22"/>
      <c r="Q505" s="22"/>
    </row>
    <row r="506" spans="1:18" s="17" customFormat="1" ht="15.75">
      <c r="A506" s="14"/>
      <c r="B506" s="132" t="s">
        <v>409</v>
      </c>
      <c r="C506" s="109" t="s">
        <v>394</v>
      </c>
      <c r="D506" s="108" t="s">
        <v>229</v>
      </c>
      <c r="E506" s="108" t="s">
        <v>11</v>
      </c>
      <c r="F506" s="108" t="s">
        <v>427</v>
      </c>
      <c r="G506" s="108" t="s">
        <v>410</v>
      </c>
      <c r="H506" s="126">
        <f>H507</f>
        <v>0</v>
      </c>
      <c r="L506" s="20">
        <v>98.5</v>
      </c>
      <c r="M506" s="20">
        <v>98.5</v>
      </c>
      <c r="N506" s="20">
        <v>98.5</v>
      </c>
      <c r="O506" s="20">
        <f>H506-L506</f>
        <v>-98.5</v>
      </c>
      <c r="P506" s="20" t="e">
        <f>#REF!-M506</f>
        <v>#REF!</v>
      </c>
      <c r="Q506" s="20" t="e">
        <f>#REF!-N506</f>
        <v>#REF!</v>
      </c>
      <c r="R506" s="17" t="str">
        <f t="shared" si="61"/>
        <v>16 2 02 20550620</v>
      </c>
    </row>
    <row r="507" spans="1:18" s="24" customFormat="1" ht="15.75">
      <c r="A507" s="21"/>
      <c r="B507" s="127" t="s">
        <v>428</v>
      </c>
      <c r="C507" s="109" t="s">
        <v>394</v>
      </c>
      <c r="D507" s="108" t="s">
        <v>229</v>
      </c>
      <c r="E507" s="108" t="s">
        <v>11</v>
      </c>
      <c r="F507" s="108" t="s">
        <v>427</v>
      </c>
      <c r="G507" s="108" t="s">
        <v>429</v>
      </c>
      <c r="H507" s="126"/>
      <c r="L507" s="22"/>
      <c r="M507" s="22"/>
      <c r="N507" s="22"/>
      <c r="O507" s="22"/>
      <c r="P507" s="22"/>
      <c r="Q507" s="22"/>
    </row>
    <row r="508" spans="1:18" s="17" customFormat="1" ht="47.25">
      <c r="A508" s="14"/>
      <c r="B508" s="125" t="s">
        <v>430</v>
      </c>
      <c r="C508" s="109" t="s">
        <v>394</v>
      </c>
      <c r="D508" s="108" t="s">
        <v>229</v>
      </c>
      <c r="E508" s="108" t="s">
        <v>11</v>
      </c>
      <c r="F508" s="108" t="s">
        <v>431</v>
      </c>
      <c r="G508" s="108" t="s">
        <v>9</v>
      </c>
      <c r="H508" s="126">
        <f t="shared" ref="H508:H509" si="63">H509</f>
        <v>0</v>
      </c>
      <c r="L508" s="20">
        <v>2538.87</v>
      </c>
      <c r="M508" s="20">
        <v>2538.87</v>
      </c>
      <c r="N508" s="20">
        <v>2538.87</v>
      </c>
      <c r="O508" s="20">
        <f>H508-L508</f>
        <v>-2538.87</v>
      </c>
      <c r="P508" s="20" t="e">
        <f>#REF!-M508</f>
        <v>#REF!</v>
      </c>
      <c r="Q508" s="20" t="e">
        <f>#REF!-N508</f>
        <v>#REF!</v>
      </c>
      <c r="R508" s="17" t="str">
        <f t="shared" si="61"/>
        <v>17 0 00 00000000</v>
      </c>
    </row>
    <row r="509" spans="1:18" s="17" customFormat="1" ht="47.25">
      <c r="A509" s="14"/>
      <c r="B509" s="129" t="s">
        <v>432</v>
      </c>
      <c r="C509" s="109" t="s">
        <v>394</v>
      </c>
      <c r="D509" s="108" t="s">
        <v>229</v>
      </c>
      <c r="E509" s="108" t="s">
        <v>11</v>
      </c>
      <c r="F509" s="108" t="s">
        <v>433</v>
      </c>
      <c r="G509" s="108" t="s">
        <v>9</v>
      </c>
      <c r="H509" s="126">
        <f t="shared" si="63"/>
        <v>0</v>
      </c>
      <c r="L509" s="20">
        <v>2538.87</v>
      </c>
      <c r="M509" s="20">
        <v>2538.87</v>
      </c>
      <c r="N509" s="20">
        <v>2538.87</v>
      </c>
      <c r="O509" s="20">
        <f>H509-L509</f>
        <v>-2538.87</v>
      </c>
      <c r="P509" s="20" t="e">
        <f>#REF!-M509</f>
        <v>#REF!</v>
      </c>
      <c r="Q509" s="20" t="e">
        <f>#REF!-N509</f>
        <v>#REF!</v>
      </c>
      <c r="R509" s="17" t="str">
        <f t="shared" si="61"/>
        <v>17 Б 00 00000000</v>
      </c>
    </row>
    <row r="510" spans="1:18" s="17" customFormat="1" ht="31.5">
      <c r="A510" s="14"/>
      <c r="B510" s="125" t="s">
        <v>434</v>
      </c>
      <c r="C510" s="109" t="s">
        <v>394</v>
      </c>
      <c r="D510" s="108" t="s">
        <v>229</v>
      </c>
      <c r="E510" s="108" t="s">
        <v>11</v>
      </c>
      <c r="F510" s="108" t="s">
        <v>435</v>
      </c>
      <c r="G510" s="108" t="s">
        <v>9</v>
      </c>
      <c r="H510" s="126">
        <f>H512</f>
        <v>0</v>
      </c>
      <c r="L510" s="20">
        <v>2538.87</v>
      </c>
      <c r="M510" s="20">
        <v>2538.87</v>
      </c>
      <c r="N510" s="20">
        <v>2538.87</v>
      </c>
      <c r="O510" s="20">
        <f>H510-L510</f>
        <v>-2538.87</v>
      </c>
      <c r="P510" s="20" t="e">
        <f>#REF!-M510</f>
        <v>#REF!</v>
      </c>
      <c r="Q510" s="20" t="e">
        <f>#REF!-N510</f>
        <v>#REF!</v>
      </c>
      <c r="R510" s="17" t="str">
        <f t="shared" si="61"/>
        <v>17 Б 01 00000000</v>
      </c>
    </row>
    <row r="511" spans="1:18" s="17" customFormat="1" ht="47.25">
      <c r="A511" s="14"/>
      <c r="B511" s="132" t="s">
        <v>436</v>
      </c>
      <c r="C511" s="109" t="s">
        <v>394</v>
      </c>
      <c r="D511" s="108" t="s">
        <v>229</v>
      </c>
      <c r="E511" s="108" t="s">
        <v>11</v>
      </c>
      <c r="F511" s="108" t="s">
        <v>437</v>
      </c>
      <c r="G511" s="108" t="s">
        <v>9</v>
      </c>
      <c r="H511" s="126">
        <f>H512</f>
        <v>0</v>
      </c>
      <c r="L511" s="20">
        <v>2538.87</v>
      </c>
      <c r="M511" s="20">
        <v>2538.87</v>
      </c>
      <c r="N511" s="20">
        <v>2538.87</v>
      </c>
      <c r="O511" s="20">
        <f>H511-L511</f>
        <v>-2538.87</v>
      </c>
      <c r="P511" s="20" t="e">
        <f>#REF!-M511</f>
        <v>#REF!</v>
      </c>
      <c r="Q511" s="20" t="e">
        <f>#REF!-N511</f>
        <v>#REF!</v>
      </c>
      <c r="R511" s="17" t="str">
        <f t="shared" si="61"/>
        <v>17 Б 01 20490000</v>
      </c>
    </row>
    <row r="512" spans="1:18" s="17" customFormat="1" ht="15.75">
      <c r="A512" s="14"/>
      <c r="B512" s="132" t="s">
        <v>403</v>
      </c>
      <c r="C512" s="109" t="s">
        <v>394</v>
      </c>
      <c r="D512" s="108" t="s">
        <v>229</v>
      </c>
      <c r="E512" s="108" t="s">
        <v>11</v>
      </c>
      <c r="F512" s="108" t="s">
        <v>437</v>
      </c>
      <c r="G512" s="108" t="s">
        <v>404</v>
      </c>
      <c r="H512" s="126">
        <f>H513</f>
        <v>0</v>
      </c>
      <c r="L512" s="20">
        <v>2538.87</v>
      </c>
      <c r="M512" s="20">
        <v>2538.87</v>
      </c>
      <c r="N512" s="20">
        <v>2538.87</v>
      </c>
      <c r="O512" s="20">
        <f>H512-L512</f>
        <v>-2538.87</v>
      </c>
      <c r="P512" s="20" t="e">
        <f>#REF!-M512</f>
        <v>#REF!</v>
      </c>
      <c r="Q512" s="20" t="e">
        <f>#REF!-N512</f>
        <v>#REF!</v>
      </c>
      <c r="R512" s="17" t="str">
        <f t="shared" si="61"/>
        <v>17 Б 01 20490610</v>
      </c>
    </row>
    <row r="513" spans="1:18" s="24" customFormat="1" ht="15.75">
      <c r="A513" s="21"/>
      <c r="B513" s="127" t="s">
        <v>407</v>
      </c>
      <c r="C513" s="109" t="s">
        <v>394</v>
      </c>
      <c r="D513" s="108" t="s">
        <v>229</v>
      </c>
      <c r="E513" s="108" t="s">
        <v>11</v>
      </c>
      <c r="F513" s="108" t="s">
        <v>437</v>
      </c>
      <c r="G513" s="108" t="s">
        <v>408</v>
      </c>
      <c r="H513" s="126"/>
      <c r="L513" s="22"/>
      <c r="M513" s="22"/>
      <c r="N513" s="22"/>
      <c r="O513" s="22"/>
      <c r="P513" s="22"/>
      <c r="Q513" s="22"/>
    </row>
    <row r="514" spans="1:18" s="17" customFormat="1" ht="15.75">
      <c r="A514" s="14"/>
      <c r="B514" s="121" t="s">
        <v>438</v>
      </c>
      <c r="C514" s="122" t="s">
        <v>394</v>
      </c>
      <c r="D514" s="123" t="s">
        <v>229</v>
      </c>
      <c r="E514" s="123" t="s">
        <v>62</v>
      </c>
      <c r="F514" s="123" t="s">
        <v>8</v>
      </c>
      <c r="G514" s="123" t="s">
        <v>9</v>
      </c>
      <c r="H514" s="124">
        <f>H515+H545+H561+H575+H569</f>
        <v>0</v>
      </c>
      <c r="L514" s="19">
        <v>1725231.0400000003</v>
      </c>
      <c r="M514" s="19">
        <v>1670357.1300000001</v>
      </c>
      <c r="N514" s="19">
        <v>1673208.27</v>
      </c>
      <c r="O514" s="19">
        <f t="shared" ref="O514:O519" si="64">H514-L514</f>
        <v>-1725231.0400000003</v>
      </c>
      <c r="P514" s="19" t="e">
        <f>#REF!-M514</f>
        <v>#REF!</v>
      </c>
      <c r="Q514" s="19" t="e">
        <f>#REF!-N514</f>
        <v>#REF!</v>
      </c>
      <c r="R514" s="17" t="str">
        <f t="shared" si="61"/>
        <v>00 0 00 00000000</v>
      </c>
    </row>
    <row r="515" spans="1:18" s="17" customFormat="1" ht="31.5">
      <c r="A515" s="14"/>
      <c r="B515" s="132" t="s">
        <v>396</v>
      </c>
      <c r="C515" s="109" t="s">
        <v>394</v>
      </c>
      <c r="D515" s="108" t="s">
        <v>229</v>
      </c>
      <c r="E515" s="108" t="s">
        <v>62</v>
      </c>
      <c r="F515" s="108" t="s">
        <v>397</v>
      </c>
      <c r="G515" s="108" t="s">
        <v>9</v>
      </c>
      <c r="H515" s="126">
        <f>H516+H540</f>
        <v>0</v>
      </c>
      <c r="L515" s="20">
        <v>1706232.36</v>
      </c>
      <c r="M515" s="20">
        <v>1662278.45</v>
      </c>
      <c r="N515" s="20">
        <v>1665909.5899999999</v>
      </c>
      <c r="O515" s="20">
        <f t="shared" si="64"/>
        <v>-1706232.36</v>
      </c>
      <c r="P515" s="20" t="e">
        <f>#REF!-M515</f>
        <v>#REF!</v>
      </c>
      <c r="Q515" s="20" t="e">
        <f>#REF!-N515</f>
        <v>#REF!</v>
      </c>
      <c r="R515" s="17" t="str">
        <f t="shared" si="61"/>
        <v>01 0 00 00000000</v>
      </c>
    </row>
    <row r="516" spans="1:18" s="17" customFormat="1" ht="31.5">
      <c r="A516" s="14"/>
      <c r="B516" s="132" t="s">
        <v>398</v>
      </c>
      <c r="C516" s="109" t="s">
        <v>394</v>
      </c>
      <c r="D516" s="108" t="s">
        <v>229</v>
      </c>
      <c r="E516" s="108" t="s">
        <v>62</v>
      </c>
      <c r="F516" s="108" t="s">
        <v>399</v>
      </c>
      <c r="G516" s="108" t="s">
        <v>9</v>
      </c>
      <c r="H516" s="126">
        <f>H517+H534</f>
        <v>0</v>
      </c>
      <c r="L516" s="20">
        <v>1702512.36</v>
      </c>
      <c r="M516" s="20">
        <v>1655458.8299999998</v>
      </c>
      <c r="N516" s="20">
        <v>1665909.5899999999</v>
      </c>
      <c r="O516" s="20">
        <f t="shared" si="64"/>
        <v>-1702512.36</v>
      </c>
      <c r="P516" s="20" t="e">
        <f>#REF!-M516</f>
        <v>#REF!</v>
      </c>
      <c r="Q516" s="20" t="e">
        <f>#REF!-N516</f>
        <v>#REF!</v>
      </c>
      <c r="R516" s="17" t="str">
        <f t="shared" si="61"/>
        <v>01 1 00 00000000</v>
      </c>
    </row>
    <row r="517" spans="1:18" s="17" customFormat="1" ht="63">
      <c r="A517" s="14"/>
      <c r="B517" s="132" t="s">
        <v>439</v>
      </c>
      <c r="C517" s="109" t="s">
        <v>394</v>
      </c>
      <c r="D517" s="108" t="s">
        <v>229</v>
      </c>
      <c r="E517" s="108" t="s">
        <v>62</v>
      </c>
      <c r="F517" s="108" t="s">
        <v>440</v>
      </c>
      <c r="G517" s="108" t="s">
        <v>9</v>
      </c>
      <c r="H517" s="126">
        <f>H518+H527</f>
        <v>0</v>
      </c>
      <c r="L517" s="20">
        <v>1643131.26</v>
      </c>
      <c r="M517" s="20">
        <v>1651458.8299999998</v>
      </c>
      <c r="N517" s="20">
        <v>1661909.5899999999</v>
      </c>
      <c r="O517" s="20">
        <f t="shared" si="64"/>
        <v>-1643131.26</v>
      </c>
      <c r="P517" s="20" t="e">
        <f>#REF!-M517</f>
        <v>#REF!</v>
      </c>
      <c r="Q517" s="20" t="e">
        <f>#REF!-N517</f>
        <v>#REF!</v>
      </c>
      <c r="R517" s="17" t="str">
        <f t="shared" si="61"/>
        <v>01 1 02 00000000</v>
      </c>
    </row>
    <row r="518" spans="1:18" s="17" customFormat="1" ht="31.5">
      <c r="A518" s="14"/>
      <c r="B518" s="132" t="s">
        <v>136</v>
      </c>
      <c r="C518" s="109" t="s">
        <v>394</v>
      </c>
      <c r="D518" s="108" t="s">
        <v>229</v>
      </c>
      <c r="E518" s="108" t="s">
        <v>62</v>
      </c>
      <c r="F518" s="108" t="s">
        <v>441</v>
      </c>
      <c r="G518" s="108" t="s">
        <v>9</v>
      </c>
      <c r="H518" s="126">
        <f>H519+H522+H525</f>
        <v>0</v>
      </c>
      <c r="L518" s="20">
        <v>571162.1399999999</v>
      </c>
      <c r="M518" s="20">
        <v>569815.42999999993</v>
      </c>
      <c r="N518" s="20">
        <v>569815.42999999993</v>
      </c>
      <c r="O518" s="20">
        <f t="shared" si="64"/>
        <v>-571162.1399999999</v>
      </c>
      <c r="P518" s="20" t="e">
        <f>#REF!-M518</f>
        <v>#REF!</v>
      </c>
      <c r="Q518" s="20" t="e">
        <f>#REF!-N518</f>
        <v>#REF!</v>
      </c>
      <c r="R518" s="17" t="str">
        <f t="shared" si="61"/>
        <v>01 1 02 11010000</v>
      </c>
    </row>
    <row r="519" spans="1:18" s="17" customFormat="1" ht="15.75">
      <c r="A519" s="14"/>
      <c r="B519" s="132" t="s">
        <v>403</v>
      </c>
      <c r="C519" s="109" t="s">
        <v>394</v>
      </c>
      <c r="D519" s="108" t="s">
        <v>229</v>
      </c>
      <c r="E519" s="108" t="s">
        <v>62</v>
      </c>
      <c r="F519" s="108" t="s">
        <v>441</v>
      </c>
      <c r="G519" s="108" t="s">
        <v>404</v>
      </c>
      <c r="H519" s="126">
        <f>SUM(H520:H521)</f>
        <v>0</v>
      </c>
      <c r="L519" s="20">
        <v>527917.66999999993</v>
      </c>
      <c r="M519" s="20">
        <v>526570.96</v>
      </c>
      <c r="N519" s="20">
        <v>526570.96</v>
      </c>
      <c r="O519" s="20">
        <f t="shared" si="64"/>
        <v>-527917.66999999993</v>
      </c>
      <c r="P519" s="20" t="e">
        <f>#REF!-M519</f>
        <v>#REF!</v>
      </c>
      <c r="Q519" s="20" t="e">
        <f>#REF!-N519</f>
        <v>#REF!</v>
      </c>
      <c r="R519" s="17" t="str">
        <f t="shared" si="61"/>
        <v>01 1 02 11010610</v>
      </c>
    </row>
    <row r="520" spans="1:18" s="24" customFormat="1" ht="63">
      <c r="A520" s="21"/>
      <c r="B520" s="127" t="s">
        <v>405</v>
      </c>
      <c r="C520" s="109" t="s">
        <v>394</v>
      </c>
      <c r="D520" s="108" t="s">
        <v>229</v>
      </c>
      <c r="E520" s="108" t="s">
        <v>62</v>
      </c>
      <c r="F520" s="108" t="s">
        <v>441</v>
      </c>
      <c r="G520" s="108" t="s">
        <v>406</v>
      </c>
      <c r="H520" s="126"/>
      <c r="L520" s="22"/>
      <c r="M520" s="22"/>
      <c r="N520" s="22"/>
      <c r="O520" s="22"/>
      <c r="P520" s="22"/>
      <c r="Q520" s="22"/>
    </row>
    <row r="521" spans="1:18" s="24" customFormat="1" ht="15.75">
      <c r="A521" s="21"/>
      <c r="B521" s="127" t="s">
        <v>407</v>
      </c>
      <c r="C521" s="109" t="s">
        <v>394</v>
      </c>
      <c r="D521" s="108" t="s">
        <v>229</v>
      </c>
      <c r="E521" s="108" t="s">
        <v>62</v>
      </c>
      <c r="F521" s="108" t="s">
        <v>441</v>
      </c>
      <c r="G521" s="108" t="s">
        <v>408</v>
      </c>
      <c r="H521" s="126"/>
      <c r="L521" s="22"/>
      <c r="M521" s="22"/>
      <c r="N521" s="22"/>
      <c r="O521" s="22"/>
      <c r="P521" s="22"/>
      <c r="Q521" s="22"/>
    </row>
    <row r="522" spans="1:18" s="17" customFormat="1" ht="15.75">
      <c r="A522" s="14"/>
      <c r="B522" s="132" t="s">
        <v>409</v>
      </c>
      <c r="C522" s="109" t="s">
        <v>394</v>
      </c>
      <c r="D522" s="108" t="s">
        <v>229</v>
      </c>
      <c r="E522" s="108" t="s">
        <v>62</v>
      </c>
      <c r="F522" s="108" t="s">
        <v>441</v>
      </c>
      <c r="G522" s="108" t="s">
        <v>410</v>
      </c>
      <c r="H522" s="126">
        <f>SUM(H523:H524)</f>
        <v>0</v>
      </c>
      <c r="L522" s="20">
        <v>40167.490000000005</v>
      </c>
      <c r="M522" s="20">
        <v>40167.490000000005</v>
      </c>
      <c r="N522" s="20">
        <v>40167.490000000005</v>
      </c>
      <c r="O522" s="20">
        <f>H522-L522</f>
        <v>-40167.490000000005</v>
      </c>
      <c r="P522" s="20" t="e">
        <f>#REF!-M522</f>
        <v>#REF!</v>
      </c>
      <c r="Q522" s="20" t="e">
        <f>#REF!-N522</f>
        <v>#REF!</v>
      </c>
      <c r="R522" s="17" t="str">
        <f t="shared" si="61"/>
        <v>01 1 02 11010620</v>
      </c>
    </row>
    <row r="523" spans="1:18" s="24" customFormat="1" ht="63">
      <c r="A523" s="21"/>
      <c r="B523" s="127" t="s">
        <v>411</v>
      </c>
      <c r="C523" s="109" t="s">
        <v>394</v>
      </c>
      <c r="D523" s="108" t="s">
        <v>229</v>
      </c>
      <c r="E523" s="108" t="s">
        <v>62</v>
      </c>
      <c r="F523" s="108" t="s">
        <v>441</v>
      </c>
      <c r="G523" s="108" t="s">
        <v>412</v>
      </c>
      <c r="H523" s="126"/>
      <c r="L523" s="22"/>
      <c r="M523" s="22"/>
      <c r="N523" s="22"/>
      <c r="O523" s="22"/>
      <c r="P523" s="22"/>
      <c r="Q523" s="22"/>
    </row>
    <row r="524" spans="1:18" s="24" customFormat="1" ht="15.75">
      <c r="A524" s="21"/>
      <c r="B524" s="127" t="s">
        <v>428</v>
      </c>
      <c r="C524" s="109" t="s">
        <v>394</v>
      </c>
      <c r="D524" s="108" t="s">
        <v>229</v>
      </c>
      <c r="E524" s="108" t="s">
        <v>62</v>
      </c>
      <c r="F524" s="108" t="s">
        <v>441</v>
      </c>
      <c r="G524" s="108" t="s">
        <v>429</v>
      </c>
      <c r="H524" s="126"/>
      <c r="L524" s="22"/>
      <c r="M524" s="22"/>
      <c r="N524" s="22"/>
      <c r="O524" s="22"/>
      <c r="P524" s="22"/>
      <c r="Q524" s="22"/>
    </row>
    <row r="525" spans="1:18" s="17" customFormat="1" ht="47.25">
      <c r="A525" s="14"/>
      <c r="B525" s="125" t="s">
        <v>182</v>
      </c>
      <c r="C525" s="109" t="s">
        <v>394</v>
      </c>
      <c r="D525" s="108" t="s">
        <v>229</v>
      </c>
      <c r="E525" s="108" t="s">
        <v>62</v>
      </c>
      <c r="F525" s="108" t="s">
        <v>441</v>
      </c>
      <c r="G525" s="108" t="s">
        <v>183</v>
      </c>
      <c r="H525" s="126">
        <f>H526</f>
        <v>0</v>
      </c>
      <c r="L525" s="20">
        <v>3076.98</v>
      </c>
      <c r="M525" s="20">
        <v>3076.98</v>
      </c>
      <c r="N525" s="20">
        <v>3076.98</v>
      </c>
      <c r="O525" s="20">
        <f>H525-L525</f>
        <v>-3076.98</v>
      </c>
      <c r="P525" s="20" t="e">
        <f>#REF!-M525</f>
        <v>#REF!</v>
      </c>
      <c r="Q525" s="20" t="e">
        <f>#REF!-N525</f>
        <v>#REF!</v>
      </c>
      <c r="R525" s="17" t="str">
        <f t="shared" si="61"/>
        <v>01 1 02 11010630</v>
      </c>
    </row>
    <row r="526" spans="1:18" s="24" customFormat="1" ht="94.5">
      <c r="A526" s="21"/>
      <c r="B526" s="127" t="s">
        <v>1038</v>
      </c>
      <c r="C526" s="109" t="s">
        <v>394</v>
      </c>
      <c r="D526" s="108" t="s">
        <v>229</v>
      </c>
      <c r="E526" s="108" t="s">
        <v>62</v>
      </c>
      <c r="F526" s="108" t="s">
        <v>441</v>
      </c>
      <c r="G526" s="108" t="s">
        <v>416</v>
      </c>
      <c r="H526" s="126"/>
      <c r="L526" s="22"/>
      <c r="M526" s="22"/>
      <c r="N526" s="22"/>
      <c r="O526" s="22"/>
      <c r="P526" s="22"/>
      <c r="Q526" s="22"/>
    </row>
    <row r="527" spans="1:18" s="17" customFormat="1" ht="173.25">
      <c r="A527" s="14" t="s">
        <v>80</v>
      </c>
      <c r="B527" s="127" t="s">
        <v>442</v>
      </c>
      <c r="C527" s="109" t="s">
        <v>394</v>
      </c>
      <c r="D527" s="108" t="s">
        <v>229</v>
      </c>
      <c r="E527" s="108" t="s">
        <v>62</v>
      </c>
      <c r="F527" s="108" t="s">
        <v>443</v>
      </c>
      <c r="G527" s="108" t="s">
        <v>9</v>
      </c>
      <c r="H527" s="126">
        <f>H528+H530+H532</f>
        <v>0</v>
      </c>
      <c r="L527" s="20">
        <v>1071969.1200000001</v>
      </c>
      <c r="M527" s="20">
        <v>1081643.3999999999</v>
      </c>
      <c r="N527" s="20">
        <v>1092094.1599999999</v>
      </c>
      <c r="O527" s="20">
        <f>H527-L527</f>
        <v>-1071969.1200000001</v>
      </c>
      <c r="P527" s="20" t="e">
        <f>#REF!-M527</f>
        <v>#REF!</v>
      </c>
      <c r="Q527" s="20" t="e">
        <f>#REF!-N527</f>
        <v>#REF!</v>
      </c>
      <c r="R527" s="17" t="str">
        <f t="shared" si="61"/>
        <v>01 1 02 77160000</v>
      </c>
    </row>
    <row r="528" spans="1:18" s="17" customFormat="1" ht="15.75">
      <c r="A528" s="14"/>
      <c r="B528" s="132" t="s">
        <v>403</v>
      </c>
      <c r="C528" s="109" t="s">
        <v>394</v>
      </c>
      <c r="D528" s="108" t="s">
        <v>229</v>
      </c>
      <c r="E528" s="108" t="s">
        <v>62</v>
      </c>
      <c r="F528" s="108" t="s">
        <v>443</v>
      </c>
      <c r="G528" s="108" t="s">
        <v>404</v>
      </c>
      <c r="H528" s="126">
        <f>H529</f>
        <v>0</v>
      </c>
      <c r="L528" s="20">
        <v>953042.9</v>
      </c>
      <c r="M528" s="20">
        <v>961646.5</v>
      </c>
      <c r="N528" s="20">
        <v>971150.7</v>
      </c>
      <c r="O528" s="20">
        <f>H528-L528</f>
        <v>-953042.9</v>
      </c>
      <c r="P528" s="20" t="e">
        <f>#REF!-M528</f>
        <v>#REF!</v>
      </c>
      <c r="Q528" s="20" t="e">
        <f>#REF!-N528</f>
        <v>#REF!</v>
      </c>
      <c r="R528" s="17" t="str">
        <f t="shared" si="61"/>
        <v>01 1 02 77160610</v>
      </c>
    </row>
    <row r="529" spans="1:18" s="24" customFormat="1" ht="63">
      <c r="A529" s="21"/>
      <c r="B529" s="127" t="s">
        <v>405</v>
      </c>
      <c r="C529" s="109" t="s">
        <v>394</v>
      </c>
      <c r="D529" s="108" t="s">
        <v>229</v>
      </c>
      <c r="E529" s="108" t="s">
        <v>62</v>
      </c>
      <c r="F529" s="108" t="s">
        <v>443</v>
      </c>
      <c r="G529" s="108" t="s">
        <v>406</v>
      </c>
      <c r="H529" s="126"/>
      <c r="L529" s="22"/>
      <c r="M529" s="22"/>
      <c r="N529" s="22"/>
      <c r="O529" s="22"/>
      <c r="P529" s="22"/>
      <c r="Q529" s="22"/>
    </row>
    <row r="530" spans="1:18" s="17" customFormat="1" ht="15.75">
      <c r="A530" s="14"/>
      <c r="B530" s="132" t="s">
        <v>409</v>
      </c>
      <c r="C530" s="109" t="s">
        <v>394</v>
      </c>
      <c r="D530" s="108" t="s">
        <v>229</v>
      </c>
      <c r="E530" s="108" t="s">
        <v>62</v>
      </c>
      <c r="F530" s="108" t="s">
        <v>443</v>
      </c>
      <c r="G530" s="108" t="s">
        <v>410</v>
      </c>
      <c r="H530" s="126">
        <f>H531</f>
        <v>0</v>
      </c>
      <c r="L530" s="20">
        <v>114194.38</v>
      </c>
      <c r="M530" s="20">
        <v>115222.5</v>
      </c>
      <c r="N530" s="20">
        <v>116121.72</v>
      </c>
      <c r="O530" s="20">
        <f>H530-L530</f>
        <v>-114194.38</v>
      </c>
      <c r="P530" s="20" t="e">
        <f>#REF!-M530</f>
        <v>#REF!</v>
      </c>
      <c r="Q530" s="20" t="e">
        <f>#REF!-N530</f>
        <v>#REF!</v>
      </c>
      <c r="R530" s="17" t="str">
        <f t="shared" si="61"/>
        <v>01 1 02 77160620</v>
      </c>
    </row>
    <row r="531" spans="1:18" s="24" customFormat="1" ht="63">
      <c r="A531" s="21"/>
      <c r="B531" s="127" t="s">
        <v>411</v>
      </c>
      <c r="C531" s="109" t="s">
        <v>394</v>
      </c>
      <c r="D531" s="108" t="s">
        <v>229</v>
      </c>
      <c r="E531" s="108" t="s">
        <v>62</v>
      </c>
      <c r="F531" s="108" t="s">
        <v>443</v>
      </c>
      <c r="G531" s="108" t="s">
        <v>412</v>
      </c>
      <c r="H531" s="126"/>
      <c r="L531" s="22"/>
      <c r="M531" s="22"/>
      <c r="N531" s="22"/>
      <c r="O531" s="22"/>
      <c r="P531" s="22"/>
      <c r="Q531" s="22"/>
    </row>
    <row r="532" spans="1:18" s="17" customFormat="1" ht="47.25">
      <c r="A532" s="14"/>
      <c r="B532" s="125" t="s">
        <v>182</v>
      </c>
      <c r="C532" s="109" t="s">
        <v>394</v>
      </c>
      <c r="D532" s="108" t="s">
        <v>229</v>
      </c>
      <c r="E532" s="108" t="s">
        <v>62</v>
      </c>
      <c r="F532" s="108" t="s">
        <v>443</v>
      </c>
      <c r="G532" s="108" t="s">
        <v>183</v>
      </c>
      <c r="H532" s="126">
        <f>H533</f>
        <v>0</v>
      </c>
      <c r="L532" s="20">
        <v>4731.84</v>
      </c>
      <c r="M532" s="20">
        <v>4774.3999999999996</v>
      </c>
      <c r="N532" s="20">
        <v>4821.74</v>
      </c>
      <c r="O532" s="20">
        <f>H532-L532</f>
        <v>-4731.84</v>
      </c>
      <c r="P532" s="20" t="e">
        <f>#REF!-M532</f>
        <v>#REF!</v>
      </c>
      <c r="Q532" s="20" t="e">
        <f>#REF!-N532</f>
        <v>#REF!</v>
      </c>
      <c r="R532" s="17" t="str">
        <f t="shared" si="61"/>
        <v>01 1 02 77160630</v>
      </c>
    </row>
    <row r="533" spans="1:18" s="24" customFormat="1" ht="94.5">
      <c r="A533" s="21"/>
      <c r="B533" s="127" t="s">
        <v>1038</v>
      </c>
      <c r="C533" s="109" t="s">
        <v>394</v>
      </c>
      <c r="D533" s="108" t="s">
        <v>229</v>
      </c>
      <c r="E533" s="108" t="s">
        <v>62</v>
      </c>
      <c r="F533" s="108" t="s">
        <v>443</v>
      </c>
      <c r="G533" s="108" t="s">
        <v>416</v>
      </c>
      <c r="H533" s="126"/>
      <c r="L533" s="22"/>
      <c r="M533" s="22"/>
      <c r="N533" s="22"/>
      <c r="O533" s="22"/>
      <c r="P533" s="22"/>
      <c r="Q533" s="22"/>
    </row>
    <row r="534" spans="1:18" s="17" customFormat="1" ht="78.75">
      <c r="A534" s="14"/>
      <c r="B534" s="125" t="s">
        <v>417</v>
      </c>
      <c r="C534" s="109" t="s">
        <v>394</v>
      </c>
      <c r="D534" s="108" t="s">
        <v>229</v>
      </c>
      <c r="E534" s="108" t="s">
        <v>62</v>
      </c>
      <c r="F534" s="108" t="s">
        <v>418</v>
      </c>
      <c r="G534" s="108" t="s">
        <v>9</v>
      </c>
      <c r="H534" s="126">
        <f>H535</f>
        <v>0</v>
      </c>
      <c r="L534" s="20">
        <v>59381.100000000006</v>
      </c>
      <c r="M534" s="20">
        <v>4000</v>
      </c>
      <c r="N534" s="20">
        <v>4000</v>
      </c>
      <c r="O534" s="20">
        <f>H534-L534</f>
        <v>-59381.100000000006</v>
      </c>
      <c r="P534" s="20" t="e">
        <f>#REF!-M534</f>
        <v>#REF!</v>
      </c>
      <c r="Q534" s="20" t="e">
        <f>#REF!-N534</f>
        <v>#REF!</v>
      </c>
      <c r="R534" s="17" t="str">
        <f t="shared" si="61"/>
        <v>01 1 06 00000000</v>
      </c>
    </row>
    <row r="535" spans="1:18" s="17" customFormat="1" ht="31.5">
      <c r="A535" s="14"/>
      <c r="B535" s="132" t="s">
        <v>136</v>
      </c>
      <c r="C535" s="109" t="s">
        <v>394</v>
      </c>
      <c r="D535" s="108" t="s">
        <v>229</v>
      </c>
      <c r="E535" s="108" t="s">
        <v>62</v>
      </c>
      <c r="F535" s="108" t="s">
        <v>419</v>
      </c>
      <c r="G535" s="108" t="s">
        <v>9</v>
      </c>
      <c r="H535" s="126">
        <f>H536+H538</f>
        <v>0</v>
      </c>
      <c r="L535" s="20">
        <v>59381.100000000006</v>
      </c>
      <c r="M535" s="20">
        <v>4000</v>
      </c>
      <c r="N535" s="20">
        <v>4000</v>
      </c>
      <c r="O535" s="20">
        <f>H535-L535</f>
        <v>-59381.100000000006</v>
      </c>
      <c r="P535" s="20" t="e">
        <f>#REF!-M535</f>
        <v>#REF!</v>
      </c>
      <c r="Q535" s="20" t="e">
        <f>#REF!-N535</f>
        <v>#REF!</v>
      </c>
      <c r="R535" s="17" t="str">
        <f t="shared" si="61"/>
        <v>01 1 06 11010000</v>
      </c>
    </row>
    <row r="536" spans="1:18" s="17" customFormat="1" ht="15.75">
      <c r="A536" s="14"/>
      <c r="B536" s="132" t="s">
        <v>403</v>
      </c>
      <c r="C536" s="109" t="s">
        <v>394</v>
      </c>
      <c r="D536" s="108" t="s">
        <v>229</v>
      </c>
      <c r="E536" s="108" t="s">
        <v>62</v>
      </c>
      <c r="F536" s="108" t="s">
        <v>419</v>
      </c>
      <c r="G536" s="108" t="s">
        <v>404</v>
      </c>
      <c r="H536" s="126">
        <f>H537</f>
        <v>0</v>
      </c>
      <c r="L536" s="20">
        <v>53539.33</v>
      </c>
      <c r="M536" s="20">
        <v>4000</v>
      </c>
      <c r="N536" s="20">
        <v>4000</v>
      </c>
      <c r="O536" s="20">
        <f>H536-L536</f>
        <v>-53539.33</v>
      </c>
      <c r="P536" s="20" t="e">
        <f>#REF!-M536</f>
        <v>#REF!</v>
      </c>
      <c r="Q536" s="20" t="e">
        <f>#REF!-N536</f>
        <v>#REF!</v>
      </c>
      <c r="R536" s="17" t="str">
        <f t="shared" si="61"/>
        <v>01 1 06 11010610</v>
      </c>
    </row>
    <row r="537" spans="1:18" s="24" customFormat="1" ht="15.75">
      <c r="A537" s="21"/>
      <c r="B537" s="127" t="s">
        <v>407</v>
      </c>
      <c r="C537" s="109" t="s">
        <v>394</v>
      </c>
      <c r="D537" s="108" t="s">
        <v>229</v>
      </c>
      <c r="E537" s="108" t="s">
        <v>62</v>
      </c>
      <c r="F537" s="108" t="s">
        <v>419</v>
      </c>
      <c r="G537" s="108" t="s">
        <v>408</v>
      </c>
      <c r="H537" s="126"/>
      <c r="L537" s="22"/>
      <c r="M537" s="22"/>
      <c r="N537" s="22"/>
      <c r="O537" s="22"/>
      <c r="P537" s="22"/>
      <c r="Q537" s="22"/>
    </row>
    <row r="538" spans="1:18" s="17" customFormat="1" ht="15.75">
      <c r="A538" s="14"/>
      <c r="B538" s="132" t="s">
        <v>409</v>
      </c>
      <c r="C538" s="109" t="s">
        <v>394</v>
      </c>
      <c r="D538" s="108" t="s">
        <v>229</v>
      </c>
      <c r="E538" s="108" t="s">
        <v>62</v>
      </c>
      <c r="F538" s="108" t="s">
        <v>419</v>
      </c>
      <c r="G538" s="108" t="s">
        <v>410</v>
      </c>
      <c r="H538" s="126">
        <f>H539</f>
        <v>0</v>
      </c>
      <c r="L538" s="20">
        <v>5841.77</v>
      </c>
      <c r="M538" s="20">
        <v>0</v>
      </c>
      <c r="N538" s="20">
        <v>0</v>
      </c>
      <c r="O538" s="20">
        <f>H538-L538</f>
        <v>-5841.77</v>
      </c>
      <c r="P538" s="20" t="e">
        <f>#REF!-M538</f>
        <v>#REF!</v>
      </c>
      <c r="Q538" s="20" t="e">
        <f>#REF!-N538</f>
        <v>#REF!</v>
      </c>
      <c r="R538" s="17" t="str">
        <f t="shared" si="61"/>
        <v>01 1 06 11010620</v>
      </c>
    </row>
    <row r="539" spans="1:18" s="24" customFormat="1" ht="15.75">
      <c r="A539" s="21"/>
      <c r="B539" s="127" t="s">
        <v>428</v>
      </c>
      <c r="C539" s="109" t="s">
        <v>394</v>
      </c>
      <c r="D539" s="108" t="s">
        <v>229</v>
      </c>
      <c r="E539" s="108" t="s">
        <v>62</v>
      </c>
      <c r="F539" s="108" t="s">
        <v>419</v>
      </c>
      <c r="G539" s="108" t="s">
        <v>429</v>
      </c>
      <c r="H539" s="126"/>
      <c r="L539" s="22"/>
      <c r="M539" s="22"/>
      <c r="N539" s="22"/>
      <c r="O539" s="22"/>
      <c r="P539" s="22"/>
      <c r="Q539" s="22"/>
    </row>
    <row r="540" spans="1:18" s="17" customFormat="1" ht="47.25">
      <c r="A540" s="14"/>
      <c r="B540" s="132" t="s">
        <v>444</v>
      </c>
      <c r="C540" s="109" t="s">
        <v>394</v>
      </c>
      <c r="D540" s="108" t="s">
        <v>229</v>
      </c>
      <c r="E540" s="108" t="s">
        <v>62</v>
      </c>
      <c r="F540" s="108" t="s">
        <v>445</v>
      </c>
      <c r="G540" s="108" t="s">
        <v>9</v>
      </c>
      <c r="H540" s="126">
        <f>H541</f>
        <v>0</v>
      </c>
      <c r="L540" s="20">
        <v>3720</v>
      </c>
      <c r="M540" s="20">
        <v>6819.62</v>
      </c>
      <c r="N540" s="20">
        <v>0</v>
      </c>
      <c r="O540" s="20">
        <f>H540-L540</f>
        <v>-3720</v>
      </c>
      <c r="P540" s="20" t="e">
        <f>#REF!-M540</f>
        <v>#REF!</v>
      </c>
      <c r="Q540" s="20" t="e">
        <f>#REF!-N540</f>
        <v>#REF!</v>
      </c>
      <c r="R540" s="17" t="str">
        <f t="shared" si="61"/>
        <v>01 2 00 00000000</v>
      </c>
    </row>
    <row r="541" spans="1:18" s="17" customFormat="1" ht="63">
      <c r="A541" s="14"/>
      <c r="B541" s="132" t="s">
        <v>446</v>
      </c>
      <c r="C541" s="109" t="s">
        <v>394</v>
      </c>
      <c r="D541" s="108" t="s">
        <v>229</v>
      </c>
      <c r="E541" s="108" t="s">
        <v>62</v>
      </c>
      <c r="F541" s="108" t="s">
        <v>447</v>
      </c>
      <c r="G541" s="108" t="s">
        <v>9</v>
      </c>
      <c r="H541" s="126">
        <f>H542</f>
        <v>0</v>
      </c>
      <c r="L541" s="20">
        <v>3720</v>
      </c>
      <c r="M541" s="20">
        <v>6819.62</v>
      </c>
      <c r="N541" s="20">
        <v>0</v>
      </c>
      <c r="O541" s="20">
        <f>H541-L541</f>
        <v>-3720</v>
      </c>
      <c r="P541" s="20" t="e">
        <f>#REF!-M541</f>
        <v>#REF!</v>
      </c>
      <c r="Q541" s="20" t="e">
        <f>#REF!-N541</f>
        <v>#REF!</v>
      </c>
      <c r="R541" s="17" t="str">
        <f t="shared" si="61"/>
        <v>01 2 01 00000000</v>
      </c>
    </row>
    <row r="542" spans="1:18" s="17" customFormat="1" ht="47.25">
      <c r="A542" s="14"/>
      <c r="B542" s="132" t="s">
        <v>448</v>
      </c>
      <c r="C542" s="109" t="s">
        <v>394</v>
      </c>
      <c r="D542" s="108" t="s">
        <v>229</v>
      </c>
      <c r="E542" s="108" t="s">
        <v>62</v>
      </c>
      <c r="F542" s="108" t="s">
        <v>449</v>
      </c>
      <c r="G542" s="108" t="s">
        <v>9</v>
      </c>
      <c r="H542" s="126">
        <f>H543</f>
        <v>0</v>
      </c>
      <c r="L542" s="20">
        <v>3720</v>
      </c>
      <c r="M542" s="20">
        <v>6819.62</v>
      </c>
      <c r="N542" s="20">
        <v>0</v>
      </c>
      <c r="O542" s="20">
        <f>H542-L542</f>
        <v>-3720</v>
      </c>
      <c r="P542" s="20" t="e">
        <f>#REF!-M542</f>
        <v>#REF!</v>
      </c>
      <c r="Q542" s="20" t="e">
        <f>#REF!-N542</f>
        <v>#REF!</v>
      </c>
      <c r="R542" s="17" t="str">
        <f t="shared" si="61"/>
        <v>01 2 01 40010000</v>
      </c>
    </row>
    <row r="543" spans="1:18" s="17" customFormat="1" ht="126">
      <c r="A543" s="14"/>
      <c r="B543" s="132" t="s">
        <v>450</v>
      </c>
      <c r="C543" s="109" t="s">
        <v>394</v>
      </c>
      <c r="D543" s="108" t="s">
        <v>229</v>
      </c>
      <c r="E543" s="108" t="s">
        <v>62</v>
      </c>
      <c r="F543" s="108" t="s">
        <v>449</v>
      </c>
      <c r="G543" s="108" t="s">
        <v>451</v>
      </c>
      <c r="H543" s="126">
        <f>H544</f>
        <v>0</v>
      </c>
      <c r="L543" s="20">
        <v>3720</v>
      </c>
      <c r="M543" s="20">
        <v>6819.62</v>
      </c>
      <c r="N543" s="20">
        <v>0</v>
      </c>
      <c r="O543" s="20">
        <f>H543-L543</f>
        <v>-3720</v>
      </c>
      <c r="P543" s="20" t="e">
        <f>#REF!-M543</f>
        <v>#REF!</v>
      </c>
      <c r="Q543" s="20" t="e">
        <f>#REF!-N543</f>
        <v>#REF!</v>
      </c>
      <c r="R543" s="17" t="str">
        <f t="shared" si="61"/>
        <v>01 2 01 40010460</v>
      </c>
    </row>
    <row r="544" spans="1:18" s="24" customFormat="1" ht="63">
      <c r="A544" s="21"/>
      <c r="B544" s="127" t="s">
        <v>452</v>
      </c>
      <c r="C544" s="109" t="s">
        <v>394</v>
      </c>
      <c r="D544" s="108" t="s">
        <v>229</v>
      </c>
      <c r="E544" s="108" t="s">
        <v>62</v>
      </c>
      <c r="F544" s="108" t="s">
        <v>449</v>
      </c>
      <c r="G544" s="108" t="s">
        <v>453</v>
      </c>
      <c r="H544" s="126"/>
      <c r="L544" s="22"/>
      <c r="M544" s="22"/>
      <c r="N544" s="22"/>
      <c r="O544" s="22"/>
      <c r="P544" s="22"/>
      <c r="Q544" s="22"/>
      <c r="R544" s="24" t="str">
        <f t="shared" si="61"/>
        <v>01 2 01 40010465</v>
      </c>
    </row>
    <row r="545" spans="1:18" s="17" customFormat="1" ht="47.25">
      <c r="A545" s="14"/>
      <c r="B545" s="127" t="s">
        <v>146</v>
      </c>
      <c r="C545" s="109" t="s">
        <v>394</v>
      </c>
      <c r="D545" s="108" t="s">
        <v>229</v>
      </c>
      <c r="E545" s="108" t="s">
        <v>62</v>
      </c>
      <c r="F545" s="108" t="s">
        <v>147</v>
      </c>
      <c r="G545" s="108" t="s">
        <v>9</v>
      </c>
      <c r="H545" s="126">
        <f>H551+H556+H546</f>
        <v>0</v>
      </c>
      <c r="L545" s="20">
        <v>13591.95</v>
      </c>
      <c r="M545" s="20">
        <v>2671.95</v>
      </c>
      <c r="N545" s="20">
        <v>1891.95</v>
      </c>
      <c r="O545" s="20">
        <f>H545-L545</f>
        <v>-13591.95</v>
      </c>
      <c r="P545" s="20" t="e">
        <f>#REF!-M545</f>
        <v>#REF!</v>
      </c>
      <c r="Q545" s="20" t="e">
        <f>#REF!-N545</f>
        <v>#REF!</v>
      </c>
      <c r="R545" s="17" t="str">
        <f t="shared" si="61"/>
        <v>15 0 00 00000000</v>
      </c>
    </row>
    <row r="546" spans="1:18" s="17" customFormat="1" ht="15.75">
      <c r="A546" s="14"/>
      <c r="B546" s="132" t="s">
        <v>148</v>
      </c>
      <c r="C546" s="109" t="s">
        <v>394</v>
      </c>
      <c r="D546" s="108" t="s">
        <v>229</v>
      </c>
      <c r="E546" s="108" t="s">
        <v>62</v>
      </c>
      <c r="F546" s="108" t="s">
        <v>149</v>
      </c>
      <c r="G546" s="108" t="s">
        <v>9</v>
      </c>
      <c r="H546" s="126">
        <f>H547</f>
        <v>0</v>
      </c>
      <c r="L546" s="20">
        <v>11700</v>
      </c>
      <c r="M546" s="20">
        <v>780</v>
      </c>
      <c r="N546" s="20">
        <v>0</v>
      </c>
      <c r="O546" s="20">
        <f>H546-L546</f>
        <v>-11700</v>
      </c>
      <c r="P546" s="20" t="e">
        <f>#REF!-M546</f>
        <v>#REF!</v>
      </c>
      <c r="Q546" s="20" t="e">
        <f>#REF!-N546</f>
        <v>#REF!</v>
      </c>
      <c r="R546" s="17" t="str">
        <f t="shared" si="61"/>
        <v>15 1 00 00000000</v>
      </c>
    </row>
    <row r="547" spans="1:18" s="17" customFormat="1" ht="47.25">
      <c r="A547" s="14"/>
      <c r="B547" s="135" t="s">
        <v>273</v>
      </c>
      <c r="C547" s="109" t="s">
        <v>394</v>
      </c>
      <c r="D547" s="108" t="s">
        <v>229</v>
      </c>
      <c r="E547" s="108" t="s">
        <v>62</v>
      </c>
      <c r="F547" s="108" t="s">
        <v>274</v>
      </c>
      <c r="G547" s="108" t="s">
        <v>9</v>
      </c>
      <c r="H547" s="126">
        <f>H548</f>
        <v>0</v>
      </c>
      <c r="L547" s="20">
        <v>11700</v>
      </c>
      <c r="M547" s="20">
        <v>780</v>
      </c>
      <c r="N547" s="20">
        <v>0</v>
      </c>
      <c r="O547" s="20">
        <f>H547-L547</f>
        <v>-11700</v>
      </c>
      <c r="P547" s="20" t="e">
        <f>#REF!-M547</f>
        <v>#REF!</v>
      </c>
      <c r="Q547" s="20" t="e">
        <f>#REF!-N547</f>
        <v>#REF!</v>
      </c>
      <c r="R547" s="17" t="str">
        <f t="shared" si="61"/>
        <v>15 1 02 00000000</v>
      </c>
    </row>
    <row r="548" spans="1:18" s="17" customFormat="1" ht="47.25">
      <c r="A548" s="14"/>
      <c r="B548" s="132" t="s">
        <v>152</v>
      </c>
      <c r="C548" s="109" t="s">
        <v>394</v>
      </c>
      <c r="D548" s="108" t="s">
        <v>229</v>
      </c>
      <c r="E548" s="108" t="s">
        <v>62</v>
      </c>
      <c r="F548" s="108" t="s">
        <v>275</v>
      </c>
      <c r="G548" s="108" t="s">
        <v>9</v>
      </c>
      <c r="H548" s="126">
        <f>H549</f>
        <v>0</v>
      </c>
      <c r="L548" s="20">
        <v>11700</v>
      </c>
      <c r="M548" s="20">
        <v>780</v>
      </c>
      <c r="N548" s="20">
        <v>0</v>
      </c>
      <c r="O548" s="20">
        <f>H548-L548</f>
        <v>-11700</v>
      </c>
      <c r="P548" s="20" t="e">
        <f>#REF!-M548</f>
        <v>#REF!</v>
      </c>
      <c r="Q548" s="20" t="e">
        <f>#REF!-N548</f>
        <v>#REF!</v>
      </c>
      <c r="R548" s="17" t="str">
        <f t="shared" si="61"/>
        <v>15 1 02 20350000</v>
      </c>
    </row>
    <row r="549" spans="1:18" s="17" customFormat="1" ht="15.75">
      <c r="A549" s="14"/>
      <c r="B549" s="132" t="s">
        <v>403</v>
      </c>
      <c r="C549" s="109" t="s">
        <v>394</v>
      </c>
      <c r="D549" s="108" t="s">
        <v>229</v>
      </c>
      <c r="E549" s="108" t="s">
        <v>62</v>
      </c>
      <c r="F549" s="108" t="s">
        <v>275</v>
      </c>
      <c r="G549" s="108" t="s">
        <v>404</v>
      </c>
      <c r="H549" s="126">
        <f>H550</f>
        <v>0</v>
      </c>
      <c r="L549" s="20">
        <v>11700</v>
      </c>
      <c r="M549" s="20">
        <v>780</v>
      </c>
      <c r="N549" s="20">
        <v>0</v>
      </c>
      <c r="O549" s="20">
        <f>H549-L549</f>
        <v>-11700</v>
      </c>
      <c r="P549" s="20" t="e">
        <f>#REF!-M549</f>
        <v>#REF!</v>
      </c>
      <c r="Q549" s="20" t="e">
        <f>#REF!-N549</f>
        <v>#REF!</v>
      </c>
      <c r="R549" s="17" t="str">
        <f t="shared" si="61"/>
        <v>15 1 02 20350610</v>
      </c>
    </row>
    <row r="550" spans="1:18" s="24" customFormat="1" ht="15.75">
      <c r="A550" s="21"/>
      <c r="B550" s="127" t="s">
        <v>407</v>
      </c>
      <c r="C550" s="109" t="s">
        <v>394</v>
      </c>
      <c r="D550" s="108" t="s">
        <v>229</v>
      </c>
      <c r="E550" s="108" t="s">
        <v>62</v>
      </c>
      <c r="F550" s="108" t="s">
        <v>275</v>
      </c>
      <c r="G550" s="108" t="s">
        <v>408</v>
      </c>
      <c r="H550" s="126"/>
      <c r="L550" s="22"/>
      <c r="M550" s="22"/>
      <c r="N550" s="22"/>
      <c r="O550" s="22"/>
      <c r="P550" s="22"/>
      <c r="Q550" s="22"/>
    </row>
    <row r="551" spans="1:18" s="17" customFormat="1" ht="15.75">
      <c r="A551" s="14"/>
      <c r="B551" s="127" t="s">
        <v>154</v>
      </c>
      <c r="C551" s="109" t="s">
        <v>394</v>
      </c>
      <c r="D551" s="108" t="s">
        <v>229</v>
      </c>
      <c r="E551" s="108" t="s">
        <v>62</v>
      </c>
      <c r="F551" s="108" t="s">
        <v>155</v>
      </c>
      <c r="G551" s="108" t="s">
        <v>9</v>
      </c>
      <c r="H551" s="126">
        <f t="shared" ref="H551:H553" si="65">H552</f>
        <v>0</v>
      </c>
      <c r="L551" s="20">
        <v>217.15</v>
      </c>
      <c r="M551" s="20">
        <v>217.15</v>
      </c>
      <c r="N551" s="20">
        <v>217.15</v>
      </c>
      <c r="O551" s="20">
        <f>H551-L551</f>
        <v>-217.15</v>
      </c>
      <c r="P551" s="20" t="e">
        <f>#REF!-M551</f>
        <v>#REF!</v>
      </c>
      <c r="Q551" s="20" t="e">
        <f>#REF!-N551</f>
        <v>#REF!</v>
      </c>
      <c r="R551" s="17" t="str">
        <f t="shared" si="61"/>
        <v>15 2 00 00000000</v>
      </c>
    </row>
    <row r="552" spans="1:18" s="17" customFormat="1" ht="47.25">
      <c r="A552" s="14"/>
      <c r="B552" s="127" t="s">
        <v>160</v>
      </c>
      <c r="C552" s="109" t="s">
        <v>394</v>
      </c>
      <c r="D552" s="108" t="s">
        <v>229</v>
      </c>
      <c r="E552" s="108" t="s">
        <v>62</v>
      </c>
      <c r="F552" s="108" t="s">
        <v>161</v>
      </c>
      <c r="G552" s="108" t="s">
        <v>9</v>
      </c>
      <c r="H552" s="126">
        <f t="shared" si="65"/>
        <v>0</v>
      </c>
      <c r="L552" s="20">
        <v>217.15</v>
      </c>
      <c r="M552" s="20">
        <v>217.15</v>
      </c>
      <c r="N552" s="20">
        <v>217.15</v>
      </c>
      <c r="O552" s="20">
        <f>H552-L552</f>
        <v>-217.15</v>
      </c>
      <c r="P552" s="20" t="e">
        <f>#REF!-M552</f>
        <v>#REF!</v>
      </c>
      <c r="Q552" s="20" t="e">
        <f>#REF!-N552</f>
        <v>#REF!</v>
      </c>
      <c r="R552" s="17" t="str">
        <f t="shared" si="61"/>
        <v>15 2 02 00000000</v>
      </c>
    </row>
    <row r="553" spans="1:18" s="17" customFormat="1" ht="78.75">
      <c r="A553" s="14"/>
      <c r="B553" s="129" t="s">
        <v>158</v>
      </c>
      <c r="C553" s="109" t="s">
        <v>394</v>
      </c>
      <c r="D553" s="108" t="s">
        <v>229</v>
      </c>
      <c r="E553" s="108" t="s">
        <v>62</v>
      </c>
      <c r="F553" s="108" t="s">
        <v>162</v>
      </c>
      <c r="G553" s="108" t="s">
        <v>9</v>
      </c>
      <c r="H553" s="126">
        <f t="shared" si="65"/>
        <v>0</v>
      </c>
      <c r="L553" s="20">
        <v>217.15</v>
      </c>
      <c r="M553" s="20">
        <v>217.15</v>
      </c>
      <c r="N553" s="20">
        <v>217.15</v>
      </c>
      <c r="O553" s="20">
        <f>H553-L553</f>
        <v>-217.15</v>
      </c>
      <c r="P553" s="20" t="e">
        <f>#REF!-M553</f>
        <v>#REF!</v>
      </c>
      <c r="Q553" s="20" t="e">
        <f>#REF!-N553</f>
        <v>#REF!</v>
      </c>
      <c r="R553" s="17" t="str">
        <f t="shared" si="61"/>
        <v>15 2 02 20370000</v>
      </c>
    </row>
    <row r="554" spans="1:18" s="17" customFormat="1" ht="15.75">
      <c r="A554" s="14"/>
      <c r="B554" s="132" t="s">
        <v>403</v>
      </c>
      <c r="C554" s="109" t="s">
        <v>394</v>
      </c>
      <c r="D554" s="108" t="s">
        <v>229</v>
      </c>
      <c r="E554" s="108" t="s">
        <v>62</v>
      </c>
      <c r="F554" s="108" t="s">
        <v>162</v>
      </c>
      <c r="G554" s="108" t="s">
        <v>404</v>
      </c>
      <c r="H554" s="126">
        <f>H555</f>
        <v>0</v>
      </c>
      <c r="L554" s="20">
        <v>217.15</v>
      </c>
      <c r="M554" s="20">
        <v>217.15</v>
      </c>
      <c r="N554" s="20">
        <v>217.15</v>
      </c>
      <c r="O554" s="20">
        <f>H554-L554</f>
        <v>-217.15</v>
      </c>
      <c r="P554" s="20" t="e">
        <f>#REF!-M554</f>
        <v>#REF!</v>
      </c>
      <c r="Q554" s="20" t="e">
        <f>#REF!-N554</f>
        <v>#REF!</v>
      </c>
      <c r="R554" s="17" t="str">
        <f t="shared" si="61"/>
        <v>15 2 02 20370610</v>
      </c>
    </row>
    <row r="555" spans="1:18" s="24" customFormat="1" ht="15.75">
      <c r="A555" s="21"/>
      <c r="B555" s="127" t="s">
        <v>407</v>
      </c>
      <c r="C555" s="109" t="s">
        <v>394</v>
      </c>
      <c r="D555" s="108" t="s">
        <v>229</v>
      </c>
      <c r="E555" s="108" t="s">
        <v>62</v>
      </c>
      <c r="F555" s="108" t="s">
        <v>162</v>
      </c>
      <c r="G555" s="108" t="s">
        <v>408</v>
      </c>
      <c r="H555" s="126"/>
      <c r="L555" s="22"/>
      <c r="M555" s="22"/>
      <c r="N555" s="22"/>
      <c r="O555" s="22"/>
      <c r="P555" s="22"/>
      <c r="Q555" s="22"/>
    </row>
    <row r="556" spans="1:18" s="17" customFormat="1" ht="31.5">
      <c r="A556" s="14"/>
      <c r="B556" s="125" t="s">
        <v>168</v>
      </c>
      <c r="C556" s="109" t="s">
        <v>394</v>
      </c>
      <c r="D556" s="108" t="s">
        <v>229</v>
      </c>
      <c r="E556" s="108" t="s">
        <v>62</v>
      </c>
      <c r="F556" s="108" t="s">
        <v>169</v>
      </c>
      <c r="G556" s="108" t="s">
        <v>9</v>
      </c>
      <c r="H556" s="126">
        <f t="shared" ref="H556:H558" si="66">H557</f>
        <v>0</v>
      </c>
      <c r="L556" s="20">
        <v>1674.8</v>
      </c>
      <c r="M556" s="20">
        <v>1674.8</v>
      </c>
      <c r="N556" s="20">
        <v>1674.8</v>
      </c>
      <c r="O556" s="20">
        <f>H556-L556</f>
        <v>-1674.8</v>
      </c>
      <c r="P556" s="20" t="e">
        <f>#REF!-M556</f>
        <v>#REF!</v>
      </c>
      <c r="Q556" s="20" t="e">
        <f>#REF!-N556</f>
        <v>#REF!</v>
      </c>
      <c r="R556" s="17" t="str">
        <f t="shared" si="61"/>
        <v>15 3 00 00000000</v>
      </c>
    </row>
    <row r="557" spans="1:18" s="17" customFormat="1" ht="31.5">
      <c r="A557" s="14"/>
      <c r="B557" s="125" t="s">
        <v>374</v>
      </c>
      <c r="C557" s="109" t="s">
        <v>394</v>
      </c>
      <c r="D557" s="108" t="s">
        <v>229</v>
      </c>
      <c r="E557" s="108" t="s">
        <v>62</v>
      </c>
      <c r="F557" s="108" t="s">
        <v>375</v>
      </c>
      <c r="G557" s="108" t="s">
        <v>9</v>
      </c>
      <c r="H557" s="126">
        <f t="shared" si="66"/>
        <v>0</v>
      </c>
      <c r="L557" s="20">
        <v>1674.8</v>
      </c>
      <c r="M557" s="20">
        <v>1674.8</v>
      </c>
      <c r="N557" s="20">
        <v>1674.8</v>
      </c>
      <c r="O557" s="20">
        <f>H557-L557</f>
        <v>-1674.8</v>
      </c>
      <c r="P557" s="20" t="e">
        <f>#REF!-M557</f>
        <v>#REF!</v>
      </c>
      <c r="Q557" s="20" t="e">
        <f>#REF!-N557</f>
        <v>#REF!</v>
      </c>
      <c r="R557" s="17" t="str">
        <f t="shared" si="61"/>
        <v>15 3 01 00000000</v>
      </c>
    </row>
    <row r="558" spans="1:18" s="17" customFormat="1" ht="31.5">
      <c r="A558" s="14"/>
      <c r="B558" s="125" t="s">
        <v>376</v>
      </c>
      <c r="C558" s="109" t="s">
        <v>394</v>
      </c>
      <c r="D558" s="108" t="s">
        <v>229</v>
      </c>
      <c r="E558" s="108" t="s">
        <v>62</v>
      </c>
      <c r="F558" s="108" t="s">
        <v>377</v>
      </c>
      <c r="G558" s="108" t="s">
        <v>9</v>
      </c>
      <c r="H558" s="126">
        <f t="shared" si="66"/>
        <v>0</v>
      </c>
      <c r="L558" s="20">
        <v>1674.8</v>
      </c>
      <c r="M558" s="20">
        <v>1674.8</v>
      </c>
      <c r="N558" s="20">
        <v>1674.8</v>
      </c>
      <c r="O558" s="20">
        <f>H558-L558</f>
        <v>-1674.8</v>
      </c>
      <c r="P558" s="20" t="e">
        <f>#REF!-M558</f>
        <v>#REF!</v>
      </c>
      <c r="Q558" s="20" t="e">
        <f>#REF!-N558</f>
        <v>#REF!</v>
      </c>
      <c r="R558" s="17" t="str">
        <f t="shared" si="61"/>
        <v>15 3 01 20660000</v>
      </c>
    </row>
    <row r="559" spans="1:18" s="17" customFormat="1" ht="15.75">
      <c r="A559" s="14"/>
      <c r="B559" s="132" t="s">
        <v>403</v>
      </c>
      <c r="C559" s="109" t="s">
        <v>394</v>
      </c>
      <c r="D559" s="108" t="s">
        <v>229</v>
      </c>
      <c r="E559" s="108" t="s">
        <v>62</v>
      </c>
      <c r="F559" s="108" t="s">
        <v>377</v>
      </c>
      <c r="G559" s="108" t="s">
        <v>404</v>
      </c>
      <c r="H559" s="126">
        <f>H560</f>
        <v>0</v>
      </c>
      <c r="L559" s="20">
        <v>1674.8</v>
      </c>
      <c r="M559" s="20">
        <v>1674.8</v>
      </c>
      <c r="N559" s="20">
        <v>1674.8</v>
      </c>
      <c r="O559" s="20">
        <f>H559-L559</f>
        <v>-1674.8</v>
      </c>
      <c r="P559" s="20" t="e">
        <f>#REF!-M559</f>
        <v>#REF!</v>
      </c>
      <c r="Q559" s="20" t="e">
        <f>#REF!-N559</f>
        <v>#REF!</v>
      </c>
      <c r="R559" s="17" t="str">
        <f t="shared" si="61"/>
        <v>15 3 01 20660610</v>
      </c>
    </row>
    <row r="560" spans="1:18" s="24" customFormat="1" ht="15.75">
      <c r="A560" s="21"/>
      <c r="B560" s="127" t="s">
        <v>407</v>
      </c>
      <c r="C560" s="109" t="s">
        <v>394</v>
      </c>
      <c r="D560" s="108" t="s">
        <v>229</v>
      </c>
      <c r="E560" s="108" t="s">
        <v>62</v>
      </c>
      <c r="F560" s="108" t="s">
        <v>377</v>
      </c>
      <c r="G560" s="108" t="s">
        <v>408</v>
      </c>
      <c r="H560" s="126"/>
      <c r="L560" s="22"/>
      <c r="M560" s="22"/>
      <c r="N560" s="22"/>
      <c r="O560" s="22"/>
      <c r="P560" s="22"/>
      <c r="Q560" s="22"/>
    </row>
    <row r="561" spans="1:18" s="17" customFormat="1" ht="94.5">
      <c r="A561" s="14"/>
      <c r="B561" s="125" t="s">
        <v>420</v>
      </c>
      <c r="C561" s="109" t="s">
        <v>394</v>
      </c>
      <c r="D561" s="108" t="s">
        <v>229</v>
      </c>
      <c r="E561" s="108" t="s">
        <v>62</v>
      </c>
      <c r="F561" s="108" t="s">
        <v>421</v>
      </c>
      <c r="G561" s="108" t="s">
        <v>9</v>
      </c>
      <c r="H561" s="126">
        <f t="shared" ref="H561:H563" si="67">H562</f>
        <v>0</v>
      </c>
      <c r="L561" s="20">
        <v>2776.06</v>
      </c>
      <c r="M561" s="20">
        <v>2776.06</v>
      </c>
      <c r="N561" s="20">
        <v>2776.06</v>
      </c>
      <c r="O561" s="20">
        <f>H561-L561</f>
        <v>-2776.06</v>
      </c>
      <c r="P561" s="20" t="e">
        <f>#REF!-M561</f>
        <v>#REF!</v>
      </c>
      <c r="Q561" s="20" t="e">
        <f>#REF!-N561</f>
        <v>#REF!</v>
      </c>
      <c r="R561" s="17" t="str">
        <f t="shared" si="61"/>
        <v>16 0 00 00000000</v>
      </c>
    </row>
    <row r="562" spans="1:18" s="17" customFormat="1" ht="31.5">
      <c r="A562" s="14"/>
      <c r="B562" s="125" t="s">
        <v>422</v>
      </c>
      <c r="C562" s="109" t="s">
        <v>394</v>
      </c>
      <c r="D562" s="108" t="s">
        <v>229</v>
      </c>
      <c r="E562" s="108" t="s">
        <v>62</v>
      </c>
      <c r="F562" s="108" t="s">
        <v>423</v>
      </c>
      <c r="G562" s="108" t="s">
        <v>9</v>
      </c>
      <c r="H562" s="126">
        <f t="shared" si="67"/>
        <v>0</v>
      </c>
      <c r="L562" s="20">
        <v>2776.06</v>
      </c>
      <c r="M562" s="20">
        <v>2776.06</v>
      </c>
      <c r="N562" s="20">
        <v>2776.06</v>
      </c>
      <c r="O562" s="20">
        <f>H562-L562</f>
        <v>-2776.06</v>
      </c>
      <c r="P562" s="20" t="e">
        <f>#REF!-M562</f>
        <v>#REF!</v>
      </c>
      <c r="Q562" s="20" t="e">
        <f>#REF!-N562</f>
        <v>#REF!</v>
      </c>
      <c r="R562" s="17" t="str">
        <f t="shared" si="61"/>
        <v>16 2 00 00000000</v>
      </c>
    </row>
    <row r="563" spans="1:18" s="17" customFormat="1" ht="47.25">
      <c r="A563" s="14"/>
      <c r="B563" s="125" t="s">
        <v>424</v>
      </c>
      <c r="C563" s="109" t="s">
        <v>394</v>
      </c>
      <c r="D563" s="108" t="s">
        <v>229</v>
      </c>
      <c r="E563" s="108" t="s">
        <v>62</v>
      </c>
      <c r="F563" s="108" t="s">
        <v>425</v>
      </c>
      <c r="G563" s="108" t="s">
        <v>9</v>
      </c>
      <c r="H563" s="126">
        <f t="shared" si="67"/>
        <v>0</v>
      </c>
      <c r="L563" s="20">
        <v>2776.06</v>
      </c>
      <c r="M563" s="20">
        <v>2776.06</v>
      </c>
      <c r="N563" s="20">
        <v>2776.06</v>
      </c>
      <c r="O563" s="20">
        <f>H563-L563</f>
        <v>-2776.06</v>
      </c>
      <c r="P563" s="20" t="e">
        <f>#REF!-M563</f>
        <v>#REF!</v>
      </c>
      <c r="Q563" s="20" t="e">
        <f>#REF!-N563</f>
        <v>#REF!</v>
      </c>
      <c r="R563" s="17" t="str">
        <f t="shared" si="61"/>
        <v>16 2 02 00000000</v>
      </c>
    </row>
    <row r="564" spans="1:18" s="17" customFormat="1" ht="47.25">
      <c r="A564" s="14"/>
      <c r="B564" s="125" t="s">
        <v>426</v>
      </c>
      <c r="C564" s="109" t="s">
        <v>394</v>
      </c>
      <c r="D564" s="108" t="s">
        <v>229</v>
      </c>
      <c r="E564" s="108" t="s">
        <v>62</v>
      </c>
      <c r="F564" s="108" t="s">
        <v>427</v>
      </c>
      <c r="G564" s="108" t="s">
        <v>9</v>
      </c>
      <c r="H564" s="126">
        <f>H565+H567</f>
        <v>0</v>
      </c>
      <c r="L564" s="20">
        <v>2776.06</v>
      </c>
      <c r="M564" s="20">
        <v>2776.06</v>
      </c>
      <c r="N564" s="20">
        <v>2776.06</v>
      </c>
      <c r="O564" s="20">
        <f>H564-L564</f>
        <v>-2776.06</v>
      </c>
      <c r="P564" s="20" t="e">
        <f>#REF!-M564</f>
        <v>#REF!</v>
      </c>
      <c r="Q564" s="20" t="e">
        <f>#REF!-N564</f>
        <v>#REF!</v>
      </c>
      <c r="R564" s="17" t="str">
        <f t="shared" si="61"/>
        <v>16 2 02 20550000</v>
      </c>
    </row>
    <row r="565" spans="1:18" s="17" customFormat="1" ht="15.75">
      <c r="A565" s="14"/>
      <c r="B565" s="132" t="s">
        <v>403</v>
      </c>
      <c r="C565" s="109" t="s">
        <v>394</v>
      </c>
      <c r="D565" s="108" t="s">
        <v>229</v>
      </c>
      <c r="E565" s="108" t="s">
        <v>62</v>
      </c>
      <c r="F565" s="108" t="s">
        <v>427</v>
      </c>
      <c r="G565" s="108" t="s">
        <v>404</v>
      </c>
      <c r="H565" s="126">
        <f>H566</f>
        <v>0</v>
      </c>
      <c r="L565" s="20">
        <v>2627.36</v>
      </c>
      <c r="M565" s="20">
        <v>2627.36</v>
      </c>
      <c r="N565" s="20">
        <v>2627.36</v>
      </c>
      <c r="O565" s="20">
        <f>H565-L565</f>
        <v>-2627.36</v>
      </c>
      <c r="P565" s="20" t="e">
        <f>#REF!-M565</f>
        <v>#REF!</v>
      </c>
      <c r="Q565" s="20" t="e">
        <f>#REF!-N565</f>
        <v>#REF!</v>
      </c>
      <c r="R565" s="17" t="str">
        <f t="shared" si="61"/>
        <v>16 2 02 20550610</v>
      </c>
    </row>
    <row r="566" spans="1:18" s="24" customFormat="1" ht="15.75">
      <c r="A566" s="21"/>
      <c r="B566" s="127" t="s">
        <v>407</v>
      </c>
      <c r="C566" s="109" t="s">
        <v>394</v>
      </c>
      <c r="D566" s="108" t="s">
        <v>229</v>
      </c>
      <c r="E566" s="108" t="s">
        <v>62</v>
      </c>
      <c r="F566" s="108" t="s">
        <v>427</v>
      </c>
      <c r="G566" s="108" t="s">
        <v>408</v>
      </c>
      <c r="H566" s="126"/>
      <c r="L566" s="22"/>
      <c r="M566" s="22"/>
      <c r="N566" s="22"/>
      <c r="O566" s="22"/>
      <c r="P566" s="22"/>
      <c r="Q566" s="22"/>
    </row>
    <row r="567" spans="1:18" s="17" customFormat="1" ht="15.75">
      <c r="A567" s="14"/>
      <c r="B567" s="132" t="s">
        <v>409</v>
      </c>
      <c r="C567" s="109" t="s">
        <v>394</v>
      </c>
      <c r="D567" s="108" t="s">
        <v>229</v>
      </c>
      <c r="E567" s="108" t="s">
        <v>62</v>
      </c>
      <c r="F567" s="108" t="s">
        <v>427</v>
      </c>
      <c r="G567" s="108" t="s">
        <v>410</v>
      </c>
      <c r="H567" s="126">
        <f>H568</f>
        <v>0</v>
      </c>
      <c r="L567" s="20">
        <v>148.69999999999999</v>
      </c>
      <c r="M567" s="20">
        <v>148.69999999999999</v>
      </c>
      <c r="N567" s="20">
        <v>148.69999999999999</v>
      </c>
      <c r="O567" s="20">
        <f>H567-L567</f>
        <v>-148.69999999999999</v>
      </c>
      <c r="P567" s="20" t="e">
        <f>#REF!-M567</f>
        <v>#REF!</v>
      </c>
      <c r="Q567" s="20" t="e">
        <f>#REF!-N567</f>
        <v>#REF!</v>
      </c>
      <c r="R567" s="17" t="str">
        <f t="shared" si="61"/>
        <v>16 2 02 20550620</v>
      </c>
    </row>
    <row r="568" spans="1:18" s="24" customFormat="1" ht="15.75">
      <c r="A568" s="21"/>
      <c r="B568" s="127" t="s">
        <v>428</v>
      </c>
      <c r="C568" s="109" t="s">
        <v>394</v>
      </c>
      <c r="D568" s="108" t="s">
        <v>229</v>
      </c>
      <c r="E568" s="108" t="s">
        <v>62</v>
      </c>
      <c r="F568" s="108" t="s">
        <v>427</v>
      </c>
      <c r="G568" s="108" t="s">
        <v>429</v>
      </c>
      <c r="H568" s="126"/>
      <c r="L568" s="22"/>
      <c r="M568" s="22"/>
      <c r="N568" s="22"/>
      <c r="O568" s="22"/>
      <c r="P568" s="22"/>
      <c r="Q568" s="22"/>
    </row>
    <row r="569" spans="1:18" s="17" customFormat="1" ht="47.25">
      <c r="A569" s="14"/>
      <c r="B569" s="125" t="s">
        <v>430</v>
      </c>
      <c r="C569" s="109" t="s">
        <v>394</v>
      </c>
      <c r="D569" s="108" t="s">
        <v>229</v>
      </c>
      <c r="E569" s="108" t="s">
        <v>62</v>
      </c>
      <c r="F569" s="108" t="s">
        <v>431</v>
      </c>
      <c r="G569" s="108" t="s">
        <v>9</v>
      </c>
      <c r="H569" s="126">
        <f t="shared" ref="H569:H570" si="68">H570</f>
        <v>0</v>
      </c>
      <c r="L569" s="20">
        <v>2538.87</v>
      </c>
      <c r="M569" s="20">
        <v>2538.87</v>
      </c>
      <c r="N569" s="20">
        <v>2538.87</v>
      </c>
      <c r="O569" s="20">
        <f>H569-L569</f>
        <v>-2538.87</v>
      </c>
      <c r="P569" s="20" t="e">
        <f>#REF!-M569</f>
        <v>#REF!</v>
      </c>
      <c r="Q569" s="20" t="e">
        <f>#REF!-N569</f>
        <v>#REF!</v>
      </c>
      <c r="R569" s="17" t="str">
        <f t="shared" si="61"/>
        <v>17 0 00 00000000</v>
      </c>
    </row>
    <row r="570" spans="1:18" s="17" customFormat="1" ht="47.25">
      <c r="A570" s="14"/>
      <c r="B570" s="129" t="s">
        <v>432</v>
      </c>
      <c r="C570" s="109" t="s">
        <v>394</v>
      </c>
      <c r="D570" s="108" t="s">
        <v>229</v>
      </c>
      <c r="E570" s="108" t="s">
        <v>62</v>
      </c>
      <c r="F570" s="108" t="s">
        <v>433</v>
      </c>
      <c r="G570" s="108" t="s">
        <v>9</v>
      </c>
      <c r="H570" s="126">
        <f t="shared" si="68"/>
        <v>0</v>
      </c>
      <c r="L570" s="20">
        <v>2538.87</v>
      </c>
      <c r="M570" s="20">
        <v>2538.87</v>
      </c>
      <c r="N570" s="20">
        <v>2538.87</v>
      </c>
      <c r="O570" s="20">
        <f>H570-L570</f>
        <v>-2538.87</v>
      </c>
      <c r="P570" s="20" t="e">
        <f>#REF!-M570</f>
        <v>#REF!</v>
      </c>
      <c r="Q570" s="20" t="e">
        <f>#REF!-N570</f>
        <v>#REF!</v>
      </c>
      <c r="R570" s="17" t="str">
        <f t="shared" si="61"/>
        <v>17 Б 00 00000000</v>
      </c>
    </row>
    <row r="571" spans="1:18" s="17" customFormat="1" ht="31.5">
      <c r="A571" s="14"/>
      <c r="B571" s="125" t="s">
        <v>434</v>
      </c>
      <c r="C571" s="109" t="s">
        <v>394</v>
      </c>
      <c r="D571" s="108" t="s">
        <v>229</v>
      </c>
      <c r="E571" s="108" t="s">
        <v>62</v>
      </c>
      <c r="F571" s="108" t="s">
        <v>435</v>
      </c>
      <c r="G571" s="108" t="s">
        <v>9</v>
      </c>
      <c r="H571" s="126">
        <f>H573</f>
        <v>0</v>
      </c>
      <c r="L571" s="20">
        <v>2538.87</v>
      </c>
      <c r="M571" s="20">
        <v>2538.87</v>
      </c>
      <c r="N571" s="20">
        <v>2538.87</v>
      </c>
      <c r="O571" s="20">
        <f>H571-L571</f>
        <v>-2538.87</v>
      </c>
      <c r="P571" s="20" t="e">
        <f>#REF!-M571</f>
        <v>#REF!</v>
      </c>
      <c r="Q571" s="20" t="e">
        <f>#REF!-N571</f>
        <v>#REF!</v>
      </c>
      <c r="R571" s="17" t="str">
        <f t="shared" ref="R571:R656" si="69">CONCATENATE(F571,G571)</f>
        <v>17 Б 01 00000000</v>
      </c>
    </row>
    <row r="572" spans="1:18" s="17" customFormat="1" ht="47.25">
      <c r="A572" s="14"/>
      <c r="B572" s="132" t="s">
        <v>436</v>
      </c>
      <c r="C572" s="109" t="s">
        <v>394</v>
      </c>
      <c r="D572" s="108" t="s">
        <v>229</v>
      </c>
      <c r="E572" s="108" t="s">
        <v>62</v>
      </c>
      <c r="F572" s="108" t="s">
        <v>437</v>
      </c>
      <c r="G572" s="108" t="s">
        <v>9</v>
      </c>
      <c r="H572" s="126">
        <f>H573</f>
        <v>0</v>
      </c>
      <c r="L572" s="20">
        <v>2538.87</v>
      </c>
      <c r="M572" s="20">
        <v>2538.87</v>
      </c>
      <c r="N572" s="20">
        <v>2538.87</v>
      </c>
      <c r="O572" s="20">
        <f>H572-L572</f>
        <v>-2538.87</v>
      </c>
      <c r="P572" s="20" t="e">
        <f>#REF!-M572</f>
        <v>#REF!</v>
      </c>
      <c r="Q572" s="20" t="e">
        <f>#REF!-N572</f>
        <v>#REF!</v>
      </c>
      <c r="R572" s="17" t="str">
        <f t="shared" si="69"/>
        <v>17 Б 01 20490000</v>
      </c>
    </row>
    <row r="573" spans="1:18" s="17" customFormat="1" ht="15.75">
      <c r="A573" s="14"/>
      <c r="B573" s="132" t="s">
        <v>403</v>
      </c>
      <c r="C573" s="109" t="s">
        <v>394</v>
      </c>
      <c r="D573" s="108" t="s">
        <v>229</v>
      </c>
      <c r="E573" s="108" t="s">
        <v>62</v>
      </c>
      <c r="F573" s="108" t="s">
        <v>437</v>
      </c>
      <c r="G573" s="108" t="s">
        <v>404</v>
      </c>
      <c r="H573" s="126">
        <f>H574</f>
        <v>0</v>
      </c>
      <c r="L573" s="20">
        <v>2538.87</v>
      </c>
      <c r="M573" s="20">
        <v>2538.87</v>
      </c>
      <c r="N573" s="20">
        <v>2538.87</v>
      </c>
      <c r="O573" s="20">
        <f>H573-L573</f>
        <v>-2538.87</v>
      </c>
      <c r="P573" s="20" t="e">
        <f>#REF!-M573</f>
        <v>#REF!</v>
      </c>
      <c r="Q573" s="20" t="e">
        <f>#REF!-N573</f>
        <v>#REF!</v>
      </c>
      <c r="R573" s="17" t="str">
        <f t="shared" si="69"/>
        <v>17 Б 01 20490610</v>
      </c>
    </row>
    <row r="574" spans="1:18" s="24" customFormat="1" ht="15.75">
      <c r="A574" s="21"/>
      <c r="B574" s="127" t="s">
        <v>407</v>
      </c>
      <c r="C574" s="109" t="s">
        <v>394</v>
      </c>
      <c r="D574" s="108" t="s">
        <v>229</v>
      </c>
      <c r="E574" s="108" t="s">
        <v>62</v>
      </c>
      <c r="F574" s="108" t="s">
        <v>437</v>
      </c>
      <c r="G574" s="108" t="s">
        <v>408</v>
      </c>
      <c r="H574" s="126"/>
      <c r="L574" s="22"/>
      <c r="M574" s="22"/>
      <c r="N574" s="22"/>
      <c r="O574" s="22"/>
      <c r="P574" s="22"/>
      <c r="Q574" s="22"/>
    </row>
    <row r="575" spans="1:18" s="17" customFormat="1" ht="31.5">
      <c r="A575" s="14"/>
      <c r="B575" s="132" t="s">
        <v>174</v>
      </c>
      <c r="C575" s="109" t="s">
        <v>394</v>
      </c>
      <c r="D575" s="108" t="s">
        <v>229</v>
      </c>
      <c r="E575" s="108" t="s">
        <v>62</v>
      </c>
      <c r="F575" s="108" t="s">
        <v>175</v>
      </c>
      <c r="G575" s="108" t="s">
        <v>9</v>
      </c>
      <c r="H575" s="126">
        <f t="shared" ref="H575:H578" si="70">H576</f>
        <v>0</v>
      </c>
      <c r="L575" s="20">
        <v>91.8</v>
      </c>
      <c r="M575" s="20">
        <v>91.8</v>
      </c>
      <c r="N575" s="20">
        <v>91.8</v>
      </c>
      <c r="O575" s="20">
        <f>H575-L575</f>
        <v>-91.8</v>
      </c>
      <c r="P575" s="20" t="e">
        <f>#REF!-M575</f>
        <v>#REF!</v>
      </c>
      <c r="Q575" s="20" t="e">
        <f>#REF!-N575</f>
        <v>#REF!</v>
      </c>
      <c r="R575" s="17" t="str">
        <f t="shared" si="69"/>
        <v>18 0 00 00000000</v>
      </c>
    </row>
    <row r="576" spans="1:18" s="17" customFormat="1" ht="31.5">
      <c r="A576" s="14"/>
      <c r="B576" s="132" t="s">
        <v>176</v>
      </c>
      <c r="C576" s="109" t="s">
        <v>394</v>
      </c>
      <c r="D576" s="108" t="s">
        <v>229</v>
      </c>
      <c r="E576" s="108" t="s">
        <v>62</v>
      </c>
      <c r="F576" s="108" t="s">
        <v>177</v>
      </c>
      <c r="G576" s="108" t="s">
        <v>9</v>
      </c>
      <c r="H576" s="126">
        <f t="shared" si="70"/>
        <v>0</v>
      </c>
      <c r="L576" s="20">
        <v>91.8</v>
      </c>
      <c r="M576" s="20">
        <v>91.8</v>
      </c>
      <c r="N576" s="20">
        <v>91.8</v>
      </c>
      <c r="O576" s="20">
        <f>H576-L576</f>
        <v>-91.8</v>
      </c>
      <c r="P576" s="20" t="e">
        <f>#REF!-M576</f>
        <v>#REF!</v>
      </c>
      <c r="Q576" s="20" t="e">
        <f>#REF!-N576</f>
        <v>#REF!</v>
      </c>
      <c r="R576" s="17" t="str">
        <f t="shared" si="69"/>
        <v>18 Б 00 00000000</v>
      </c>
    </row>
    <row r="577" spans="1:18" s="17" customFormat="1" ht="78.75">
      <c r="A577" s="14"/>
      <c r="B577" s="125" t="s">
        <v>454</v>
      </c>
      <c r="C577" s="109" t="s">
        <v>394</v>
      </c>
      <c r="D577" s="108" t="s">
        <v>229</v>
      </c>
      <c r="E577" s="108" t="s">
        <v>62</v>
      </c>
      <c r="F577" s="108" t="s">
        <v>455</v>
      </c>
      <c r="G577" s="108" t="s">
        <v>9</v>
      </c>
      <c r="H577" s="126">
        <f t="shared" si="70"/>
        <v>0</v>
      </c>
      <c r="L577" s="20">
        <v>91.8</v>
      </c>
      <c r="M577" s="20">
        <v>91.8</v>
      </c>
      <c r="N577" s="20">
        <v>91.8</v>
      </c>
      <c r="O577" s="20">
        <f>H577-L577</f>
        <v>-91.8</v>
      </c>
      <c r="P577" s="20" t="e">
        <f>#REF!-M577</f>
        <v>#REF!</v>
      </c>
      <c r="Q577" s="20" t="e">
        <f>#REF!-N577</f>
        <v>#REF!</v>
      </c>
      <c r="R577" s="17" t="str">
        <f t="shared" si="69"/>
        <v>18 Б 02 00000000</v>
      </c>
    </row>
    <row r="578" spans="1:18" s="17" customFormat="1" ht="47.25">
      <c r="A578" s="14"/>
      <c r="B578" s="125" t="s">
        <v>456</v>
      </c>
      <c r="C578" s="109" t="s">
        <v>394</v>
      </c>
      <c r="D578" s="108" t="s">
        <v>229</v>
      </c>
      <c r="E578" s="108" t="s">
        <v>62</v>
      </c>
      <c r="F578" s="108" t="s">
        <v>457</v>
      </c>
      <c r="G578" s="108" t="s">
        <v>9</v>
      </c>
      <c r="H578" s="126">
        <f t="shared" si="70"/>
        <v>0</v>
      </c>
      <c r="L578" s="20">
        <v>91.8</v>
      </c>
      <c r="M578" s="20">
        <v>91.8</v>
      </c>
      <c r="N578" s="20">
        <v>91.8</v>
      </c>
      <c r="O578" s="20">
        <f>H578-L578</f>
        <v>-91.8</v>
      </c>
      <c r="P578" s="20" t="e">
        <f>#REF!-M578</f>
        <v>#REF!</v>
      </c>
      <c r="Q578" s="20" t="e">
        <f>#REF!-N578</f>
        <v>#REF!</v>
      </c>
      <c r="R578" s="17" t="str">
        <f t="shared" si="69"/>
        <v>18 Б 02 20360000</v>
      </c>
    </row>
    <row r="579" spans="1:18" s="17" customFormat="1" ht="15.75">
      <c r="A579" s="14"/>
      <c r="B579" s="132" t="s">
        <v>403</v>
      </c>
      <c r="C579" s="109" t="s">
        <v>394</v>
      </c>
      <c r="D579" s="108" t="s">
        <v>229</v>
      </c>
      <c r="E579" s="108" t="s">
        <v>62</v>
      </c>
      <c r="F579" s="108" t="s">
        <v>457</v>
      </c>
      <c r="G579" s="108" t="s">
        <v>404</v>
      </c>
      <c r="H579" s="126">
        <f>H580</f>
        <v>0</v>
      </c>
      <c r="L579" s="20">
        <v>91.8</v>
      </c>
      <c r="M579" s="20">
        <v>91.8</v>
      </c>
      <c r="N579" s="20">
        <v>91.8</v>
      </c>
      <c r="O579" s="20">
        <f>H579-L579</f>
        <v>-91.8</v>
      </c>
      <c r="P579" s="20" t="e">
        <f>#REF!-M579</f>
        <v>#REF!</v>
      </c>
      <c r="Q579" s="20" t="e">
        <f>#REF!-N579</f>
        <v>#REF!</v>
      </c>
      <c r="R579" s="17" t="str">
        <f t="shared" si="69"/>
        <v>18 Б 02 20360610</v>
      </c>
    </row>
    <row r="580" spans="1:18" s="24" customFormat="1" ht="15.75">
      <c r="A580" s="21"/>
      <c r="B580" s="127" t="s">
        <v>407</v>
      </c>
      <c r="C580" s="109" t="s">
        <v>394</v>
      </c>
      <c r="D580" s="108" t="s">
        <v>229</v>
      </c>
      <c r="E580" s="108" t="s">
        <v>62</v>
      </c>
      <c r="F580" s="108" t="s">
        <v>457</v>
      </c>
      <c r="G580" s="108" t="s">
        <v>408</v>
      </c>
      <c r="H580" s="126"/>
      <c r="L580" s="22"/>
      <c r="M580" s="22"/>
      <c r="N580" s="22"/>
      <c r="O580" s="22"/>
      <c r="P580" s="22"/>
      <c r="Q580" s="22"/>
    </row>
    <row r="581" spans="1:18" s="17" customFormat="1" ht="15.75">
      <c r="A581" s="14"/>
      <c r="B581" s="121" t="s">
        <v>458</v>
      </c>
      <c r="C581" s="122" t="s">
        <v>394</v>
      </c>
      <c r="D581" s="123" t="s">
        <v>229</v>
      </c>
      <c r="E581" s="123" t="s">
        <v>13</v>
      </c>
      <c r="F581" s="123" t="s">
        <v>8</v>
      </c>
      <c r="G581" s="123" t="s">
        <v>9</v>
      </c>
      <c r="H581" s="124">
        <f>H582+H610+H594</f>
        <v>0</v>
      </c>
      <c r="L581" s="19">
        <v>198508.06</v>
      </c>
      <c r="M581" s="19">
        <v>196366.84</v>
      </c>
      <c r="N581" s="19">
        <v>196366.84</v>
      </c>
      <c r="O581" s="19">
        <f t="shared" ref="O581:O586" si="71">H581-L581</f>
        <v>-198508.06</v>
      </c>
      <c r="P581" s="19" t="e">
        <f>#REF!-M581</f>
        <v>#REF!</v>
      </c>
      <c r="Q581" s="19" t="e">
        <f>#REF!-N581</f>
        <v>#REF!</v>
      </c>
      <c r="R581" s="17" t="str">
        <f t="shared" si="69"/>
        <v>00 0 00 00000000</v>
      </c>
    </row>
    <row r="582" spans="1:18" s="17" customFormat="1" ht="31.5">
      <c r="A582" s="14"/>
      <c r="B582" s="132" t="s">
        <v>396</v>
      </c>
      <c r="C582" s="109" t="s">
        <v>394</v>
      </c>
      <c r="D582" s="108" t="s">
        <v>229</v>
      </c>
      <c r="E582" s="108" t="s">
        <v>13</v>
      </c>
      <c r="F582" s="108" t="s">
        <v>397</v>
      </c>
      <c r="G582" s="108" t="s">
        <v>9</v>
      </c>
      <c r="H582" s="126">
        <f>H583</f>
        <v>0</v>
      </c>
      <c r="L582" s="20">
        <v>197128.16</v>
      </c>
      <c r="M582" s="20">
        <v>195886.94</v>
      </c>
      <c r="N582" s="20">
        <v>195886.94</v>
      </c>
      <c r="O582" s="20">
        <f t="shared" si="71"/>
        <v>-197128.16</v>
      </c>
      <c r="P582" s="20" t="e">
        <f>#REF!-M582</f>
        <v>#REF!</v>
      </c>
      <c r="Q582" s="20" t="e">
        <f>#REF!-N582</f>
        <v>#REF!</v>
      </c>
      <c r="R582" s="17" t="str">
        <f t="shared" si="69"/>
        <v>01 0 00 00000000</v>
      </c>
    </row>
    <row r="583" spans="1:18" s="17" customFormat="1" ht="31.5">
      <c r="A583" s="14"/>
      <c r="B583" s="132" t="s">
        <v>398</v>
      </c>
      <c r="C583" s="109" t="s">
        <v>394</v>
      </c>
      <c r="D583" s="108" t="s">
        <v>229</v>
      </c>
      <c r="E583" s="108" t="s">
        <v>13</v>
      </c>
      <c r="F583" s="108" t="s">
        <v>399</v>
      </c>
      <c r="G583" s="108" t="s">
        <v>9</v>
      </c>
      <c r="H583" s="126">
        <f>H584+H590</f>
        <v>0</v>
      </c>
      <c r="L583" s="20">
        <v>197128.16</v>
      </c>
      <c r="M583" s="20">
        <v>195886.94</v>
      </c>
      <c r="N583" s="20">
        <v>195886.94</v>
      </c>
      <c r="O583" s="20">
        <f t="shared" si="71"/>
        <v>-197128.16</v>
      </c>
      <c r="P583" s="20" t="e">
        <f>#REF!-M583</f>
        <v>#REF!</v>
      </c>
      <c r="Q583" s="20" t="e">
        <f>#REF!-N583</f>
        <v>#REF!</v>
      </c>
      <c r="R583" s="17" t="str">
        <f t="shared" si="69"/>
        <v>01 1 00 00000000</v>
      </c>
    </row>
    <row r="584" spans="1:18" s="17" customFormat="1" ht="47.25">
      <c r="A584" s="14"/>
      <c r="B584" s="129" t="s">
        <v>459</v>
      </c>
      <c r="C584" s="130" t="s">
        <v>394</v>
      </c>
      <c r="D584" s="131" t="s">
        <v>229</v>
      </c>
      <c r="E584" s="131" t="s">
        <v>13</v>
      </c>
      <c r="F584" s="131" t="s">
        <v>460</v>
      </c>
      <c r="G584" s="131" t="s">
        <v>9</v>
      </c>
      <c r="H584" s="105">
        <f>H585</f>
        <v>0</v>
      </c>
      <c r="L584" s="26">
        <v>196878.16</v>
      </c>
      <c r="M584" s="26">
        <v>195886.94</v>
      </c>
      <c r="N584" s="26">
        <v>195886.94</v>
      </c>
      <c r="O584" s="26">
        <f t="shared" si="71"/>
        <v>-196878.16</v>
      </c>
      <c r="P584" s="26" t="e">
        <f>#REF!-M584</f>
        <v>#REF!</v>
      </c>
      <c r="Q584" s="26" t="e">
        <f>#REF!-N584</f>
        <v>#REF!</v>
      </c>
      <c r="R584" s="17" t="str">
        <f t="shared" si="69"/>
        <v>01 1 03 00000000</v>
      </c>
    </row>
    <row r="585" spans="1:18" s="17" customFormat="1" ht="31.5">
      <c r="A585" s="14"/>
      <c r="B585" s="140" t="s">
        <v>136</v>
      </c>
      <c r="C585" s="130" t="s">
        <v>394</v>
      </c>
      <c r="D585" s="131" t="s">
        <v>229</v>
      </c>
      <c r="E585" s="131" t="s">
        <v>13</v>
      </c>
      <c r="F585" s="131" t="s">
        <v>461</v>
      </c>
      <c r="G585" s="131" t="s">
        <v>9</v>
      </c>
      <c r="H585" s="105">
        <f>H586+H588</f>
        <v>0</v>
      </c>
      <c r="L585" s="26">
        <v>196878.16</v>
      </c>
      <c r="M585" s="26">
        <v>195886.94</v>
      </c>
      <c r="N585" s="26">
        <v>195886.94</v>
      </c>
      <c r="O585" s="26">
        <f t="shared" si="71"/>
        <v>-196878.16</v>
      </c>
      <c r="P585" s="26" t="e">
        <f>#REF!-M585</f>
        <v>#REF!</v>
      </c>
      <c r="Q585" s="26" t="e">
        <f>#REF!-N585</f>
        <v>#REF!</v>
      </c>
      <c r="R585" s="17" t="str">
        <f t="shared" si="69"/>
        <v>01 1 03 11010000</v>
      </c>
    </row>
    <row r="586" spans="1:18" s="17" customFormat="1" ht="15.75">
      <c r="A586" s="14"/>
      <c r="B586" s="140" t="s">
        <v>403</v>
      </c>
      <c r="C586" s="130" t="s">
        <v>394</v>
      </c>
      <c r="D586" s="131" t="s">
        <v>229</v>
      </c>
      <c r="E586" s="131" t="s">
        <v>13</v>
      </c>
      <c r="F586" s="131" t="s">
        <v>461</v>
      </c>
      <c r="G586" s="131" t="s">
        <v>404</v>
      </c>
      <c r="H586" s="126">
        <f>H587</f>
        <v>0</v>
      </c>
      <c r="L586" s="20">
        <v>177710.54</v>
      </c>
      <c r="M586" s="20">
        <v>176969.32</v>
      </c>
      <c r="N586" s="20">
        <v>176969.32</v>
      </c>
      <c r="O586" s="20">
        <f t="shared" si="71"/>
        <v>-177710.54</v>
      </c>
      <c r="P586" s="20" t="e">
        <f>#REF!-M586</f>
        <v>#REF!</v>
      </c>
      <c r="Q586" s="20" t="e">
        <f>#REF!-N586</f>
        <v>#REF!</v>
      </c>
      <c r="R586" s="17" t="str">
        <f t="shared" si="69"/>
        <v>01 1 03 11010610</v>
      </c>
    </row>
    <row r="587" spans="1:18" s="24" customFormat="1" ht="63">
      <c r="A587" s="21"/>
      <c r="B587" s="127" t="s">
        <v>405</v>
      </c>
      <c r="C587" s="130" t="s">
        <v>394</v>
      </c>
      <c r="D587" s="131" t="s">
        <v>229</v>
      </c>
      <c r="E587" s="131" t="s">
        <v>13</v>
      </c>
      <c r="F587" s="131" t="s">
        <v>461</v>
      </c>
      <c r="G587" s="108" t="s">
        <v>406</v>
      </c>
      <c r="H587" s="126"/>
      <c r="L587" s="22"/>
      <c r="M587" s="22"/>
      <c r="N587" s="22"/>
      <c r="O587" s="22"/>
      <c r="P587" s="22"/>
      <c r="Q587" s="22"/>
    </row>
    <row r="588" spans="1:18" s="17" customFormat="1" ht="15.75">
      <c r="A588" s="14"/>
      <c r="B588" s="140" t="s">
        <v>409</v>
      </c>
      <c r="C588" s="130" t="s">
        <v>394</v>
      </c>
      <c r="D588" s="131" t="s">
        <v>229</v>
      </c>
      <c r="E588" s="131" t="s">
        <v>13</v>
      </c>
      <c r="F588" s="131" t="s">
        <v>461</v>
      </c>
      <c r="G588" s="131" t="s">
        <v>410</v>
      </c>
      <c r="H588" s="126">
        <f>H589</f>
        <v>0</v>
      </c>
      <c r="L588" s="20">
        <v>19167.62</v>
      </c>
      <c r="M588" s="20">
        <v>18917.62</v>
      </c>
      <c r="N588" s="20">
        <v>18917.62</v>
      </c>
      <c r="O588" s="20">
        <f>H588-L588</f>
        <v>-19167.62</v>
      </c>
      <c r="P588" s="20" t="e">
        <f>#REF!-M588</f>
        <v>#REF!</v>
      </c>
      <c r="Q588" s="20" t="e">
        <f>#REF!-N588</f>
        <v>#REF!</v>
      </c>
      <c r="R588" s="17" t="str">
        <f t="shared" si="69"/>
        <v>01 1 03 11010620</v>
      </c>
    </row>
    <row r="589" spans="1:18" s="24" customFormat="1" ht="63">
      <c r="A589" s="21"/>
      <c r="B589" s="127" t="s">
        <v>411</v>
      </c>
      <c r="C589" s="130" t="s">
        <v>394</v>
      </c>
      <c r="D589" s="131" t="s">
        <v>229</v>
      </c>
      <c r="E589" s="131" t="s">
        <v>13</v>
      </c>
      <c r="F589" s="131" t="s">
        <v>461</v>
      </c>
      <c r="G589" s="108" t="s">
        <v>412</v>
      </c>
      <c r="H589" s="126"/>
      <c r="L589" s="22"/>
      <c r="M589" s="22"/>
      <c r="N589" s="22"/>
      <c r="O589" s="22"/>
      <c r="P589" s="22"/>
      <c r="Q589" s="22"/>
    </row>
    <row r="590" spans="1:18" s="17" customFormat="1" ht="78.75">
      <c r="A590" s="14"/>
      <c r="B590" s="125" t="s">
        <v>417</v>
      </c>
      <c r="C590" s="109" t="s">
        <v>394</v>
      </c>
      <c r="D590" s="108" t="s">
        <v>229</v>
      </c>
      <c r="E590" s="131" t="s">
        <v>13</v>
      </c>
      <c r="F590" s="108" t="s">
        <v>418</v>
      </c>
      <c r="G590" s="108" t="s">
        <v>9</v>
      </c>
      <c r="H590" s="126">
        <f>H591</f>
        <v>0</v>
      </c>
      <c r="L590" s="20">
        <v>250</v>
      </c>
      <c r="M590" s="20">
        <v>0</v>
      </c>
      <c r="N590" s="20">
        <v>0</v>
      </c>
      <c r="O590" s="20">
        <f>H590-L590</f>
        <v>-250</v>
      </c>
      <c r="P590" s="20" t="e">
        <f>#REF!-M590</f>
        <v>#REF!</v>
      </c>
      <c r="Q590" s="20" t="e">
        <f>#REF!-N590</f>
        <v>#REF!</v>
      </c>
      <c r="R590" s="17" t="str">
        <f t="shared" si="69"/>
        <v>01 1 06 00000000</v>
      </c>
    </row>
    <row r="591" spans="1:18" s="17" customFormat="1" ht="47.25">
      <c r="A591" s="14"/>
      <c r="B591" s="132" t="s">
        <v>462</v>
      </c>
      <c r="C591" s="109" t="s">
        <v>394</v>
      </c>
      <c r="D591" s="108" t="s">
        <v>229</v>
      </c>
      <c r="E591" s="131" t="s">
        <v>13</v>
      </c>
      <c r="F591" s="108" t="s">
        <v>463</v>
      </c>
      <c r="G591" s="108" t="s">
        <v>9</v>
      </c>
      <c r="H591" s="126">
        <f>H592</f>
        <v>0</v>
      </c>
      <c r="L591" s="20">
        <v>250</v>
      </c>
      <c r="M591" s="20">
        <v>0</v>
      </c>
      <c r="N591" s="20">
        <v>0</v>
      </c>
      <c r="O591" s="20">
        <f>H591-L591</f>
        <v>-250</v>
      </c>
      <c r="P591" s="20" t="e">
        <f>#REF!-M591</f>
        <v>#REF!</v>
      </c>
      <c r="Q591" s="20" t="e">
        <f>#REF!-N591</f>
        <v>#REF!</v>
      </c>
      <c r="R591" s="17" t="str">
        <f t="shared" si="69"/>
        <v>01 1 06 S6690000</v>
      </c>
    </row>
    <row r="592" spans="1:18" s="17" customFormat="1" ht="15.75">
      <c r="A592" s="14"/>
      <c r="B592" s="132" t="s">
        <v>403</v>
      </c>
      <c r="C592" s="109" t="s">
        <v>394</v>
      </c>
      <c r="D592" s="108" t="s">
        <v>229</v>
      </c>
      <c r="E592" s="131" t="s">
        <v>13</v>
      </c>
      <c r="F592" s="108" t="s">
        <v>463</v>
      </c>
      <c r="G592" s="108" t="s">
        <v>404</v>
      </c>
      <c r="H592" s="126">
        <f>H593</f>
        <v>0</v>
      </c>
      <c r="L592" s="20">
        <v>250</v>
      </c>
      <c r="M592" s="20">
        <v>0</v>
      </c>
      <c r="N592" s="20">
        <v>0</v>
      </c>
      <c r="O592" s="20">
        <f>H592-L592</f>
        <v>-250</v>
      </c>
      <c r="P592" s="20" t="e">
        <f>#REF!-M592</f>
        <v>#REF!</v>
      </c>
      <c r="Q592" s="20" t="e">
        <f>#REF!-N592</f>
        <v>#REF!</v>
      </c>
      <c r="R592" s="17" t="str">
        <f t="shared" si="69"/>
        <v>01 1 06 S6690610</v>
      </c>
    </row>
    <row r="593" spans="1:18" s="24" customFormat="1" ht="15.75">
      <c r="A593" s="21"/>
      <c r="B593" s="127" t="s">
        <v>407</v>
      </c>
      <c r="C593" s="109" t="s">
        <v>394</v>
      </c>
      <c r="D593" s="108" t="s">
        <v>229</v>
      </c>
      <c r="E593" s="131" t="s">
        <v>13</v>
      </c>
      <c r="F593" s="108" t="s">
        <v>463</v>
      </c>
      <c r="G593" s="108" t="s">
        <v>408</v>
      </c>
      <c r="H593" s="126"/>
      <c r="L593" s="22"/>
      <c r="M593" s="22"/>
      <c r="N593" s="22"/>
      <c r="O593" s="22"/>
      <c r="P593" s="22"/>
      <c r="Q593" s="22"/>
    </row>
    <row r="594" spans="1:18" s="17" customFormat="1" ht="47.25">
      <c r="A594" s="14"/>
      <c r="B594" s="127" t="s">
        <v>146</v>
      </c>
      <c r="C594" s="109" t="s">
        <v>394</v>
      </c>
      <c r="D594" s="108" t="s">
        <v>229</v>
      </c>
      <c r="E594" s="131" t="s">
        <v>13</v>
      </c>
      <c r="F594" s="108" t="s">
        <v>147</v>
      </c>
      <c r="G594" s="108" t="s">
        <v>9</v>
      </c>
      <c r="H594" s="126">
        <f>H605+H600+H595</f>
        <v>0</v>
      </c>
      <c r="L594" s="20">
        <v>1020</v>
      </c>
      <c r="M594" s="20">
        <v>120</v>
      </c>
      <c r="N594" s="20">
        <v>120</v>
      </c>
      <c r="O594" s="20">
        <f>H594-L594</f>
        <v>-1020</v>
      </c>
      <c r="P594" s="20" t="e">
        <f>#REF!-M594</f>
        <v>#REF!</v>
      </c>
      <c r="Q594" s="20" t="e">
        <f>#REF!-N594</f>
        <v>#REF!</v>
      </c>
      <c r="R594" s="17" t="str">
        <f t="shared" si="69"/>
        <v>15 0 00 00000000</v>
      </c>
    </row>
    <row r="595" spans="1:18" s="17" customFormat="1" ht="15.75">
      <c r="A595" s="14"/>
      <c r="B595" s="132" t="s">
        <v>148</v>
      </c>
      <c r="C595" s="109" t="s">
        <v>394</v>
      </c>
      <c r="D595" s="108" t="s">
        <v>229</v>
      </c>
      <c r="E595" s="131" t="s">
        <v>13</v>
      </c>
      <c r="F595" s="108" t="s">
        <v>149</v>
      </c>
      <c r="G595" s="108" t="s">
        <v>9</v>
      </c>
      <c r="H595" s="126">
        <f>H596</f>
        <v>0</v>
      </c>
      <c r="L595" s="20">
        <v>900</v>
      </c>
      <c r="M595" s="20">
        <v>0</v>
      </c>
      <c r="N595" s="20">
        <v>0</v>
      </c>
      <c r="O595" s="20">
        <f>H595-L595</f>
        <v>-900</v>
      </c>
      <c r="P595" s="20" t="e">
        <f>#REF!-M595</f>
        <v>#REF!</v>
      </c>
      <c r="Q595" s="20" t="e">
        <f>#REF!-N595</f>
        <v>#REF!</v>
      </c>
      <c r="R595" s="17" t="str">
        <f t="shared" si="69"/>
        <v>15 1 00 00000000</v>
      </c>
    </row>
    <row r="596" spans="1:18" s="17" customFormat="1" ht="47.25">
      <c r="A596" s="14"/>
      <c r="B596" s="135" t="s">
        <v>273</v>
      </c>
      <c r="C596" s="109" t="s">
        <v>394</v>
      </c>
      <c r="D596" s="108" t="s">
        <v>229</v>
      </c>
      <c r="E596" s="131" t="s">
        <v>13</v>
      </c>
      <c r="F596" s="108" t="s">
        <v>274</v>
      </c>
      <c r="G596" s="108" t="s">
        <v>9</v>
      </c>
      <c r="H596" s="126">
        <f>H597</f>
        <v>0</v>
      </c>
      <c r="L596" s="20">
        <v>900</v>
      </c>
      <c r="M596" s="20">
        <v>0</v>
      </c>
      <c r="N596" s="20">
        <v>0</v>
      </c>
      <c r="O596" s="20">
        <f>H596-L596</f>
        <v>-900</v>
      </c>
      <c r="P596" s="20" t="e">
        <f>#REF!-M596</f>
        <v>#REF!</v>
      </c>
      <c r="Q596" s="20" t="e">
        <f>#REF!-N596</f>
        <v>#REF!</v>
      </c>
      <c r="R596" s="17" t="str">
        <f t="shared" si="69"/>
        <v>15 1 02 00000000</v>
      </c>
    </row>
    <row r="597" spans="1:18" s="17" customFormat="1" ht="47.25">
      <c r="A597" s="14"/>
      <c r="B597" s="132" t="s">
        <v>152</v>
      </c>
      <c r="C597" s="109" t="s">
        <v>394</v>
      </c>
      <c r="D597" s="108" t="s">
        <v>229</v>
      </c>
      <c r="E597" s="131" t="s">
        <v>13</v>
      </c>
      <c r="F597" s="108" t="s">
        <v>275</v>
      </c>
      <c r="G597" s="108" t="s">
        <v>9</v>
      </c>
      <c r="H597" s="126">
        <f>H598</f>
        <v>0</v>
      </c>
      <c r="L597" s="20">
        <v>900</v>
      </c>
      <c r="M597" s="20">
        <v>0</v>
      </c>
      <c r="N597" s="20">
        <v>0</v>
      </c>
      <c r="O597" s="20">
        <f>H597-L597</f>
        <v>-900</v>
      </c>
      <c r="P597" s="20" t="e">
        <f>#REF!-M597</f>
        <v>#REF!</v>
      </c>
      <c r="Q597" s="20" t="e">
        <f>#REF!-N597</f>
        <v>#REF!</v>
      </c>
      <c r="R597" s="17" t="str">
        <f t="shared" si="69"/>
        <v>15 1 02 20350000</v>
      </c>
    </row>
    <row r="598" spans="1:18" s="17" customFormat="1" ht="15.75">
      <c r="A598" s="14"/>
      <c r="B598" s="132" t="s">
        <v>403</v>
      </c>
      <c r="C598" s="109" t="s">
        <v>394</v>
      </c>
      <c r="D598" s="108" t="s">
        <v>229</v>
      </c>
      <c r="E598" s="131" t="s">
        <v>13</v>
      </c>
      <c r="F598" s="108" t="s">
        <v>275</v>
      </c>
      <c r="G598" s="108" t="s">
        <v>404</v>
      </c>
      <c r="H598" s="126">
        <f>H599</f>
        <v>0</v>
      </c>
      <c r="L598" s="20">
        <v>900</v>
      </c>
      <c r="M598" s="20">
        <v>0</v>
      </c>
      <c r="N598" s="20">
        <v>0</v>
      </c>
      <c r="O598" s="20">
        <f>H598-L598</f>
        <v>-900</v>
      </c>
      <c r="P598" s="20" t="e">
        <f>#REF!-M598</f>
        <v>#REF!</v>
      </c>
      <c r="Q598" s="20" t="e">
        <f>#REF!-N598</f>
        <v>#REF!</v>
      </c>
      <c r="R598" s="17" t="str">
        <f t="shared" si="69"/>
        <v>15 1 02 20350610</v>
      </c>
    </row>
    <row r="599" spans="1:18" s="24" customFormat="1" ht="15.75">
      <c r="A599" s="21"/>
      <c r="B599" s="127" t="s">
        <v>407</v>
      </c>
      <c r="C599" s="109" t="s">
        <v>394</v>
      </c>
      <c r="D599" s="108" t="s">
        <v>229</v>
      </c>
      <c r="E599" s="131" t="s">
        <v>13</v>
      </c>
      <c r="F599" s="108" t="s">
        <v>275</v>
      </c>
      <c r="G599" s="108" t="s">
        <v>408</v>
      </c>
      <c r="H599" s="126"/>
      <c r="L599" s="22"/>
      <c r="M599" s="22"/>
      <c r="N599" s="22"/>
      <c r="O599" s="22"/>
      <c r="P599" s="22"/>
      <c r="Q599" s="22"/>
    </row>
    <row r="600" spans="1:18" s="17" customFormat="1" ht="15.75">
      <c r="A600" s="14"/>
      <c r="B600" s="127" t="s">
        <v>154</v>
      </c>
      <c r="C600" s="109" t="s">
        <v>394</v>
      </c>
      <c r="D600" s="108" t="s">
        <v>229</v>
      </c>
      <c r="E600" s="131" t="s">
        <v>13</v>
      </c>
      <c r="F600" s="108" t="s">
        <v>155</v>
      </c>
      <c r="G600" s="108" t="s">
        <v>9</v>
      </c>
      <c r="H600" s="126">
        <f>H601</f>
        <v>0</v>
      </c>
      <c r="L600" s="20">
        <v>20</v>
      </c>
      <c r="M600" s="20">
        <v>20</v>
      </c>
      <c r="N600" s="20">
        <v>20</v>
      </c>
      <c r="O600" s="20">
        <f>H600-L600</f>
        <v>-20</v>
      </c>
      <c r="P600" s="20" t="e">
        <f>#REF!-M600</f>
        <v>#REF!</v>
      </c>
      <c r="Q600" s="20" t="e">
        <f>#REF!-N600</f>
        <v>#REF!</v>
      </c>
      <c r="R600" s="17" t="str">
        <f t="shared" si="69"/>
        <v>15 2 00 00000000</v>
      </c>
    </row>
    <row r="601" spans="1:18" s="17" customFormat="1" ht="47.25">
      <c r="A601" s="14"/>
      <c r="B601" s="127" t="s">
        <v>160</v>
      </c>
      <c r="C601" s="109" t="s">
        <v>394</v>
      </c>
      <c r="D601" s="108" t="s">
        <v>229</v>
      </c>
      <c r="E601" s="131" t="s">
        <v>13</v>
      </c>
      <c r="F601" s="108" t="s">
        <v>161</v>
      </c>
      <c r="G601" s="108" t="s">
        <v>9</v>
      </c>
      <c r="H601" s="126">
        <f>H602</f>
        <v>0</v>
      </c>
      <c r="L601" s="20">
        <v>20</v>
      </c>
      <c r="M601" s="20">
        <v>20</v>
      </c>
      <c r="N601" s="20">
        <v>20</v>
      </c>
      <c r="O601" s="20">
        <f>H601-L601</f>
        <v>-20</v>
      </c>
      <c r="P601" s="20" t="e">
        <f>#REF!-M601</f>
        <v>#REF!</v>
      </c>
      <c r="Q601" s="20" t="e">
        <f>#REF!-N601</f>
        <v>#REF!</v>
      </c>
      <c r="R601" s="17" t="str">
        <f t="shared" si="69"/>
        <v>15 2 02 00000000</v>
      </c>
    </row>
    <row r="602" spans="1:18" s="17" customFormat="1" ht="78.75">
      <c r="A602" s="14"/>
      <c r="B602" s="129" t="s">
        <v>158</v>
      </c>
      <c r="C602" s="109" t="s">
        <v>394</v>
      </c>
      <c r="D602" s="108" t="s">
        <v>229</v>
      </c>
      <c r="E602" s="131" t="s">
        <v>13</v>
      </c>
      <c r="F602" s="108" t="s">
        <v>162</v>
      </c>
      <c r="G602" s="108" t="s">
        <v>9</v>
      </c>
      <c r="H602" s="126">
        <f>H603</f>
        <v>0</v>
      </c>
      <c r="L602" s="20">
        <v>20</v>
      </c>
      <c r="M602" s="20">
        <v>20</v>
      </c>
      <c r="N602" s="20">
        <v>20</v>
      </c>
      <c r="O602" s="20">
        <f>H602-L602</f>
        <v>-20</v>
      </c>
      <c r="P602" s="20" t="e">
        <f>#REF!-M602</f>
        <v>#REF!</v>
      </c>
      <c r="Q602" s="20" t="e">
        <f>#REF!-N602</f>
        <v>#REF!</v>
      </c>
      <c r="R602" s="17" t="str">
        <f t="shared" si="69"/>
        <v>15 2 02 20370000</v>
      </c>
    </row>
    <row r="603" spans="1:18" s="17" customFormat="1" ht="15.75">
      <c r="A603" s="14"/>
      <c r="B603" s="132" t="s">
        <v>403</v>
      </c>
      <c r="C603" s="109" t="s">
        <v>394</v>
      </c>
      <c r="D603" s="108" t="s">
        <v>229</v>
      </c>
      <c r="E603" s="131" t="s">
        <v>13</v>
      </c>
      <c r="F603" s="108" t="s">
        <v>162</v>
      </c>
      <c r="G603" s="108" t="s">
        <v>404</v>
      </c>
      <c r="H603" s="126">
        <f>H604</f>
        <v>0</v>
      </c>
      <c r="L603" s="20">
        <v>20</v>
      </c>
      <c r="M603" s="20">
        <v>20</v>
      </c>
      <c r="N603" s="20">
        <v>20</v>
      </c>
      <c r="O603" s="20">
        <f>H603-L603</f>
        <v>-20</v>
      </c>
      <c r="P603" s="20" t="e">
        <f>#REF!-M603</f>
        <v>#REF!</v>
      </c>
      <c r="Q603" s="20" t="e">
        <f>#REF!-N603</f>
        <v>#REF!</v>
      </c>
      <c r="R603" s="17" t="str">
        <f t="shared" si="69"/>
        <v>15 2 02 20370610</v>
      </c>
    </row>
    <row r="604" spans="1:18" s="24" customFormat="1" ht="15.75">
      <c r="A604" s="21"/>
      <c r="B604" s="127" t="s">
        <v>407</v>
      </c>
      <c r="C604" s="109" t="s">
        <v>394</v>
      </c>
      <c r="D604" s="108" t="s">
        <v>229</v>
      </c>
      <c r="E604" s="131" t="s">
        <v>13</v>
      </c>
      <c r="F604" s="108" t="s">
        <v>162</v>
      </c>
      <c r="G604" s="108" t="s">
        <v>408</v>
      </c>
      <c r="H604" s="126"/>
      <c r="L604" s="22"/>
      <c r="M604" s="22"/>
      <c r="N604" s="22"/>
      <c r="O604" s="22"/>
      <c r="P604" s="22"/>
      <c r="Q604" s="22"/>
    </row>
    <row r="605" spans="1:18" s="17" customFormat="1" ht="31.5">
      <c r="A605" s="14"/>
      <c r="B605" s="125" t="s">
        <v>168</v>
      </c>
      <c r="C605" s="109" t="s">
        <v>394</v>
      </c>
      <c r="D605" s="108" t="s">
        <v>229</v>
      </c>
      <c r="E605" s="131" t="s">
        <v>13</v>
      </c>
      <c r="F605" s="108" t="s">
        <v>169</v>
      </c>
      <c r="G605" s="108" t="s">
        <v>9</v>
      </c>
      <c r="H605" s="126">
        <f>H606</f>
        <v>0</v>
      </c>
      <c r="L605" s="20">
        <v>100</v>
      </c>
      <c r="M605" s="20">
        <v>100</v>
      </c>
      <c r="N605" s="20">
        <v>100</v>
      </c>
      <c r="O605" s="20">
        <f>H605-L605</f>
        <v>-100</v>
      </c>
      <c r="P605" s="20" t="e">
        <f>#REF!-M605</f>
        <v>#REF!</v>
      </c>
      <c r="Q605" s="20" t="e">
        <f>#REF!-N605</f>
        <v>#REF!</v>
      </c>
      <c r="R605" s="17" t="str">
        <f t="shared" si="69"/>
        <v>15 3 00 00000000</v>
      </c>
    </row>
    <row r="606" spans="1:18" s="17" customFormat="1" ht="31.5">
      <c r="A606" s="14"/>
      <c r="B606" s="125" t="s">
        <v>374</v>
      </c>
      <c r="C606" s="109" t="s">
        <v>394</v>
      </c>
      <c r="D606" s="108" t="s">
        <v>229</v>
      </c>
      <c r="E606" s="131" t="s">
        <v>13</v>
      </c>
      <c r="F606" s="108" t="s">
        <v>375</v>
      </c>
      <c r="G606" s="108" t="s">
        <v>9</v>
      </c>
      <c r="H606" s="126">
        <f>H607</f>
        <v>0</v>
      </c>
      <c r="L606" s="20">
        <v>100</v>
      </c>
      <c r="M606" s="20">
        <v>100</v>
      </c>
      <c r="N606" s="20">
        <v>100</v>
      </c>
      <c r="O606" s="20">
        <f>H606-L606</f>
        <v>-100</v>
      </c>
      <c r="P606" s="20" t="e">
        <f>#REF!-M606</f>
        <v>#REF!</v>
      </c>
      <c r="Q606" s="20" t="e">
        <f>#REF!-N606</f>
        <v>#REF!</v>
      </c>
      <c r="R606" s="17" t="str">
        <f t="shared" si="69"/>
        <v>15 3 01 00000000</v>
      </c>
    </row>
    <row r="607" spans="1:18" s="17" customFormat="1" ht="31.5">
      <c r="A607" s="14"/>
      <c r="B607" s="125" t="s">
        <v>376</v>
      </c>
      <c r="C607" s="109" t="s">
        <v>394</v>
      </c>
      <c r="D607" s="108" t="s">
        <v>229</v>
      </c>
      <c r="E607" s="131" t="s">
        <v>13</v>
      </c>
      <c r="F607" s="108" t="s">
        <v>377</v>
      </c>
      <c r="G607" s="108" t="s">
        <v>9</v>
      </c>
      <c r="H607" s="126">
        <f>H608</f>
        <v>0</v>
      </c>
      <c r="L607" s="20">
        <v>100</v>
      </c>
      <c r="M607" s="20">
        <v>100</v>
      </c>
      <c r="N607" s="20">
        <v>100</v>
      </c>
      <c r="O607" s="20">
        <f>H607-L607</f>
        <v>-100</v>
      </c>
      <c r="P607" s="20" t="e">
        <f>#REF!-M607</f>
        <v>#REF!</v>
      </c>
      <c r="Q607" s="20" t="e">
        <f>#REF!-N607</f>
        <v>#REF!</v>
      </c>
      <c r="R607" s="17" t="str">
        <f t="shared" si="69"/>
        <v>15 3 01 20660000</v>
      </c>
    </row>
    <row r="608" spans="1:18" s="17" customFormat="1" ht="15.75">
      <c r="A608" s="14"/>
      <c r="B608" s="132" t="s">
        <v>403</v>
      </c>
      <c r="C608" s="109" t="s">
        <v>394</v>
      </c>
      <c r="D608" s="108" t="s">
        <v>229</v>
      </c>
      <c r="E608" s="131" t="s">
        <v>13</v>
      </c>
      <c r="F608" s="108" t="s">
        <v>377</v>
      </c>
      <c r="G608" s="108" t="s">
        <v>404</v>
      </c>
      <c r="H608" s="126">
        <f>H609</f>
        <v>0</v>
      </c>
      <c r="L608" s="20">
        <v>100</v>
      </c>
      <c r="M608" s="20">
        <v>100</v>
      </c>
      <c r="N608" s="20">
        <v>100</v>
      </c>
      <c r="O608" s="20">
        <f>H608-L608</f>
        <v>-100</v>
      </c>
      <c r="P608" s="20" t="e">
        <f>#REF!-M608</f>
        <v>#REF!</v>
      </c>
      <c r="Q608" s="20" t="e">
        <f>#REF!-N608</f>
        <v>#REF!</v>
      </c>
      <c r="R608" s="17" t="str">
        <f t="shared" si="69"/>
        <v>15 3 01 20660610</v>
      </c>
    </row>
    <row r="609" spans="1:18" s="24" customFormat="1" ht="15.75">
      <c r="A609" s="21"/>
      <c r="B609" s="127" t="s">
        <v>407</v>
      </c>
      <c r="C609" s="109" t="s">
        <v>394</v>
      </c>
      <c r="D609" s="108" t="s">
        <v>229</v>
      </c>
      <c r="E609" s="131" t="s">
        <v>13</v>
      </c>
      <c r="F609" s="108" t="s">
        <v>377</v>
      </c>
      <c r="G609" s="108" t="s">
        <v>408</v>
      </c>
      <c r="H609" s="126"/>
      <c r="L609" s="22"/>
      <c r="M609" s="22"/>
      <c r="N609" s="22"/>
      <c r="O609" s="22"/>
      <c r="P609" s="22"/>
      <c r="Q609" s="22"/>
    </row>
    <row r="610" spans="1:18" s="17" customFormat="1" ht="94.5">
      <c r="A610" s="14"/>
      <c r="B610" s="125" t="s">
        <v>420</v>
      </c>
      <c r="C610" s="109" t="s">
        <v>394</v>
      </c>
      <c r="D610" s="131" t="s">
        <v>229</v>
      </c>
      <c r="E610" s="131" t="s">
        <v>13</v>
      </c>
      <c r="F610" s="108" t="s">
        <v>421</v>
      </c>
      <c r="G610" s="108" t="s">
        <v>9</v>
      </c>
      <c r="H610" s="126">
        <f t="shared" ref="H610:H612" si="72">H611</f>
        <v>0</v>
      </c>
      <c r="L610" s="20">
        <v>359.90000000000003</v>
      </c>
      <c r="M610" s="20">
        <v>359.90000000000003</v>
      </c>
      <c r="N610" s="20">
        <v>359.90000000000003</v>
      </c>
      <c r="O610" s="20">
        <f>H610-L610</f>
        <v>-359.90000000000003</v>
      </c>
      <c r="P610" s="20" t="e">
        <f>#REF!-M610</f>
        <v>#REF!</v>
      </c>
      <c r="Q610" s="20" t="e">
        <f>#REF!-N610</f>
        <v>#REF!</v>
      </c>
      <c r="R610" s="17" t="str">
        <f t="shared" si="69"/>
        <v>16 0 00 00000000</v>
      </c>
    </row>
    <row r="611" spans="1:18" s="17" customFormat="1" ht="31.5">
      <c r="A611" s="14"/>
      <c r="B611" s="125" t="s">
        <v>422</v>
      </c>
      <c r="C611" s="109" t="s">
        <v>394</v>
      </c>
      <c r="D611" s="131" t="s">
        <v>229</v>
      </c>
      <c r="E611" s="131" t="s">
        <v>13</v>
      </c>
      <c r="F611" s="108" t="s">
        <v>423</v>
      </c>
      <c r="G611" s="108" t="s">
        <v>9</v>
      </c>
      <c r="H611" s="126">
        <f t="shared" si="72"/>
        <v>0</v>
      </c>
      <c r="L611" s="20">
        <v>359.90000000000003</v>
      </c>
      <c r="M611" s="20">
        <v>359.90000000000003</v>
      </c>
      <c r="N611" s="20">
        <v>359.90000000000003</v>
      </c>
      <c r="O611" s="20">
        <f>H611-L611</f>
        <v>-359.90000000000003</v>
      </c>
      <c r="P611" s="20" t="e">
        <f>#REF!-M611</f>
        <v>#REF!</v>
      </c>
      <c r="Q611" s="20" t="e">
        <f>#REF!-N611</f>
        <v>#REF!</v>
      </c>
      <c r="R611" s="17" t="str">
        <f t="shared" si="69"/>
        <v>16 2 00 00000000</v>
      </c>
    </row>
    <row r="612" spans="1:18" s="17" customFormat="1" ht="47.25">
      <c r="A612" s="14"/>
      <c r="B612" s="125" t="s">
        <v>424</v>
      </c>
      <c r="C612" s="109" t="s">
        <v>394</v>
      </c>
      <c r="D612" s="131" t="s">
        <v>229</v>
      </c>
      <c r="E612" s="131" t="s">
        <v>13</v>
      </c>
      <c r="F612" s="108" t="s">
        <v>425</v>
      </c>
      <c r="G612" s="108" t="s">
        <v>9</v>
      </c>
      <c r="H612" s="126">
        <f t="shared" si="72"/>
        <v>0</v>
      </c>
      <c r="L612" s="20">
        <v>359.90000000000003</v>
      </c>
      <c r="M612" s="20">
        <v>359.90000000000003</v>
      </c>
      <c r="N612" s="20">
        <v>359.90000000000003</v>
      </c>
      <c r="O612" s="20">
        <f>H612-L612</f>
        <v>-359.90000000000003</v>
      </c>
      <c r="P612" s="20" t="e">
        <f>#REF!-M612</f>
        <v>#REF!</v>
      </c>
      <c r="Q612" s="20" t="e">
        <f>#REF!-N612</f>
        <v>#REF!</v>
      </c>
      <c r="R612" s="17" t="str">
        <f t="shared" si="69"/>
        <v>16 2 02 00000000</v>
      </c>
    </row>
    <row r="613" spans="1:18" s="17" customFormat="1" ht="47.25">
      <c r="A613" s="14"/>
      <c r="B613" s="125" t="s">
        <v>426</v>
      </c>
      <c r="C613" s="109" t="s">
        <v>394</v>
      </c>
      <c r="D613" s="131" t="s">
        <v>229</v>
      </c>
      <c r="E613" s="131" t="s">
        <v>13</v>
      </c>
      <c r="F613" s="108" t="s">
        <v>427</v>
      </c>
      <c r="G613" s="108" t="s">
        <v>9</v>
      </c>
      <c r="H613" s="126">
        <f>H614+H616</f>
        <v>0</v>
      </c>
      <c r="L613" s="20">
        <v>359.90000000000003</v>
      </c>
      <c r="M613" s="20">
        <v>359.90000000000003</v>
      </c>
      <c r="N613" s="20">
        <v>359.90000000000003</v>
      </c>
      <c r="O613" s="20">
        <f>H613-L613</f>
        <v>-359.90000000000003</v>
      </c>
      <c r="P613" s="20" t="e">
        <f>#REF!-M613</f>
        <v>#REF!</v>
      </c>
      <c r="Q613" s="20" t="e">
        <f>#REF!-N613</f>
        <v>#REF!</v>
      </c>
      <c r="R613" s="17" t="str">
        <f t="shared" si="69"/>
        <v>16 2 02 20550000</v>
      </c>
    </row>
    <row r="614" spans="1:18" s="17" customFormat="1" ht="15.75">
      <c r="A614" s="14"/>
      <c r="B614" s="140" t="s">
        <v>403</v>
      </c>
      <c r="C614" s="109" t="s">
        <v>394</v>
      </c>
      <c r="D614" s="131" t="s">
        <v>229</v>
      </c>
      <c r="E614" s="131" t="s">
        <v>13</v>
      </c>
      <c r="F614" s="108" t="s">
        <v>427</v>
      </c>
      <c r="G614" s="108" t="s">
        <v>404</v>
      </c>
      <c r="H614" s="126">
        <f>H615</f>
        <v>0</v>
      </c>
      <c r="L614" s="20">
        <v>301.3</v>
      </c>
      <c r="M614" s="20">
        <v>301.3</v>
      </c>
      <c r="N614" s="20">
        <v>301.3</v>
      </c>
      <c r="O614" s="20">
        <f>H614-L614</f>
        <v>-301.3</v>
      </c>
      <c r="P614" s="20" t="e">
        <f>#REF!-M614</f>
        <v>#REF!</v>
      </c>
      <c r="Q614" s="20" t="e">
        <f>#REF!-N614</f>
        <v>#REF!</v>
      </c>
      <c r="R614" s="17" t="str">
        <f t="shared" si="69"/>
        <v>16 2 02 20550610</v>
      </c>
    </row>
    <row r="615" spans="1:18" s="24" customFormat="1" ht="15.75">
      <c r="A615" s="21"/>
      <c r="B615" s="127" t="s">
        <v>407</v>
      </c>
      <c r="C615" s="109" t="s">
        <v>394</v>
      </c>
      <c r="D615" s="131" t="s">
        <v>229</v>
      </c>
      <c r="E615" s="131" t="s">
        <v>13</v>
      </c>
      <c r="F615" s="108" t="s">
        <v>427</v>
      </c>
      <c r="G615" s="108" t="s">
        <v>408</v>
      </c>
      <c r="H615" s="126"/>
      <c r="L615" s="22"/>
      <c r="M615" s="22"/>
      <c r="N615" s="22"/>
      <c r="O615" s="22"/>
      <c r="P615" s="22"/>
      <c r="Q615" s="22"/>
    </row>
    <row r="616" spans="1:18" s="17" customFormat="1" ht="15.75">
      <c r="A616" s="14"/>
      <c r="B616" s="132" t="s">
        <v>409</v>
      </c>
      <c r="C616" s="109" t="s">
        <v>394</v>
      </c>
      <c r="D616" s="131" t="s">
        <v>229</v>
      </c>
      <c r="E616" s="131" t="s">
        <v>13</v>
      </c>
      <c r="F616" s="108" t="s">
        <v>427</v>
      </c>
      <c r="G616" s="108" t="s">
        <v>410</v>
      </c>
      <c r="H616" s="126">
        <f>H617</f>
        <v>0</v>
      </c>
      <c r="L616" s="20">
        <v>58.6</v>
      </c>
      <c r="M616" s="20">
        <v>58.6</v>
      </c>
      <c r="N616" s="20">
        <v>58.6</v>
      </c>
      <c r="O616" s="20">
        <f>H616-L616</f>
        <v>-58.6</v>
      </c>
      <c r="P616" s="20" t="e">
        <f>#REF!-M616</f>
        <v>#REF!</v>
      </c>
      <c r="Q616" s="20" t="e">
        <f>#REF!-N616</f>
        <v>#REF!</v>
      </c>
      <c r="R616" s="17" t="str">
        <f t="shared" si="69"/>
        <v>16 2 02 20550620</v>
      </c>
    </row>
    <row r="617" spans="1:18" s="24" customFormat="1" ht="15.75">
      <c r="A617" s="21"/>
      <c r="B617" s="127" t="s">
        <v>428</v>
      </c>
      <c r="C617" s="109" t="s">
        <v>394</v>
      </c>
      <c r="D617" s="131" t="s">
        <v>229</v>
      </c>
      <c r="E617" s="131" t="s">
        <v>13</v>
      </c>
      <c r="F617" s="108" t="s">
        <v>427</v>
      </c>
      <c r="G617" s="108" t="s">
        <v>429</v>
      </c>
      <c r="H617" s="126"/>
      <c r="L617" s="22"/>
      <c r="M617" s="22"/>
      <c r="N617" s="22"/>
      <c r="O617" s="22"/>
      <c r="P617" s="22"/>
      <c r="Q617" s="22"/>
    </row>
    <row r="618" spans="1:18" s="17" customFormat="1" ht="15.75">
      <c r="A618" s="14"/>
      <c r="B618" s="121" t="s">
        <v>464</v>
      </c>
      <c r="C618" s="122" t="s">
        <v>394</v>
      </c>
      <c r="D618" s="123" t="s">
        <v>229</v>
      </c>
      <c r="E618" s="123" t="s">
        <v>229</v>
      </c>
      <c r="F618" s="123" t="s">
        <v>8</v>
      </c>
      <c r="G618" s="123" t="s">
        <v>9</v>
      </c>
      <c r="H618" s="124">
        <f>H619+H628</f>
        <v>0</v>
      </c>
      <c r="L618" s="19">
        <v>24978.05</v>
      </c>
      <c r="M618" s="19">
        <v>24978.05</v>
      </c>
      <c r="N618" s="19">
        <v>24978.05</v>
      </c>
      <c r="O618" s="19">
        <f t="shared" ref="O618:O623" si="73">H618-L618</f>
        <v>-24978.05</v>
      </c>
      <c r="P618" s="19" t="e">
        <f>#REF!-M618</f>
        <v>#REF!</v>
      </c>
      <c r="Q618" s="19" t="e">
        <f>#REF!-N618</f>
        <v>#REF!</v>
      </c>
      <c r="R618" s="17" t="str">
        <f t="shared" si="69"/>
        <v>00 0 00 00000000</v>
      </c>
    </row>
    <row r="619" spans="1:18" s="17" customFormat="1" ht="31.5">
      <c r="A619" s="14"/>
      <c r="B619" s="132" t="s">
        <v>396</v>
      </c>
      <c r="C619" s="109" t="s">
        <v>394</v>
      </c>
      <c r="D619" s="108" t="s">
        <v>229</v>
      </c>
      <c r="E619" s="108" t="s">
        <v>229</v>
      </c>
      <c r="F619" s="108" t="s">
        <v>397</v>
      </c>
      <c r="G619" s="108" t="s">
        <v>9</v>
      </c>
      <c r="H619" s="126">
        <f t="shared" ref="H619:H620" si="74">H620</f>
        <v>0</v>
      </c>
      <c r="L619" s="20">
        <v>24932.85</v>
      </c>
      <c r="M619" s="20">
        <v>24932.85</v>
      </c>
      <c r="N619" s="20">
        <v>24932.85</v>
      </c>
      <c r="O619" s="20">
        <f t="shared" si="73"/>
        <v>-24932.85</v>
      </c>
      <c r="P619" s="20" t="e">
        <f>#REF!-M619</f>
        <v>#REF!</v>
      </c>
      <c r="Q619" s="20" t="e">
        <f>#REF!-N619</f>
        <v>#REF!</v>
      </c>
      <c r="R619" s="17" t="str">
        <f t="shared" si="69"/>
        <v>01 0 00 00000000</v>
      </c>
    </row>
    <row r="620" spans="1:18" s="17" customFormat="1" ht="31.5">
      <c r="A620" s="14"/>
      <c r="B620" s="132" t="s">
        <v>398</v>
      </c>
      <c r="C620" s="109" t="s">
        <v>394</v>
      </c>
      <c r="D620" s="108" t="s">
        <v>229</v>
      </c>
      <c r="E620" s="108" t="s">
        <v>229</v>
      </c>
      <c r="F620" s="108" t="s">
        <v>399</v>
      </c>
      <c r="G620" s="108" t="s">
        <v>9</v>
      </c>
      <c r="H620" s="126">
        <f t="shared" si="74"/>
        <v>0</v>
      </c>
      <c r="L620" s="20">
        <v>24932.85</v>
      </c>
      <c r="M620" s="20">
        <v>24932.85</v>
      </c>
      <c r="N620" s="20">
        <v>24932.85</v>
      </c>
      <c r="O620" s="20">
        <f t="shared" si="73"/>
        <v>-24932.85</v>
      </c>
      <c r="P620" s="20" t="e">
        <f>#REF!-M620</f>
        <v>#REF!</v>
      </c>
      <c r="Q620" s="20" t="e">
        <f>#REF!-N620</f>
        <v>#REF!</v>
      </c>
      <c r="R620" s="17" t="str">
        <f t="shared" si="69"/>
        <v>01 1 00 00000000</v>
      </c>
    </row>
    <row r="621" spans="1:18" s="17" customFormat="1" ht="31.5">
      <c r="A621" s="14"/>
      <c r="B621" s="132" t="s">
        <v>465</v>
      </c>
      <c r="C621" s="109" t="s">
        <v>394</v>
      </c>
      <c r="D621" s="108" t="s">
        <v>229</v>
      </c>
      <c r="E621" s="108" t="s">
        <v>229</v>
      </c>
      <c r="F621" s="108" t="s">
        <v>466</v>
      </c>
      <c r="G621" s="108" t="s">
        <v>9</v>
      </c>
      <c r="H621" s="126">
        <f>H622+H625</f>
        <v>0</v>
      </c>
      <c r="L621" s="20">
        <v>24932.85</v>
      </c>
      <c r="M621" s="20">
        <v>24932.85</v>
      </c>
      <c r="N621" s="20">
        <v>24932.85</v>
      </c>
      <c r="O621" s="20">
        <f t="shared" si="73"/>
        <v>-24932.85</v>
      </c>
      <c r="P621" s="20" t="e">
        <f>#REF!-M621</f>
        <v>#REF!</v>
      </c>
      <c r="Q621" s="20" t="e">
        <f>#REF!-N621</f>
        <v>#REF!</v>
      </c>
      <c r="R621" s="17" t="str">
        <f t="shared" si="69"/>
        <v>01 1 04 00000000</v>
      </c>
    </row>
    <row r="622" spans="1:18" s="17" customFormat="1" ht="31.5">
      <c r="A622" s="14"/>
      <c r="B622" s="132" t="s">
        <v>136</v>
      </c>
      <c r="C622" s="109" t="s">
        <v>394</v>
      </c>
      <c r="D622" s="108" t="s">
        <v>229</v>
      </c>
      <c r="E622" s="108" t="s">
        <v>229</v>
      </c>
      <c r="F622" s="108" t="s">
        <v>467</v>
      </c>
      <c r="G622" s="108" t="s">
        <v>9</v>
      </c>
      <c r="H622" s="126">
        <f>H623</f>
        <v>0</v>
      </c>
      <c r="L622" s="20">
        <v>7065.48</v>
      </c>
      <c r="M622" s="20">
        <v>7065.48</v>
      </c>
      <c r="N622" s="20">
        <v>7065.48</v>
      </c>
      <c r="O622" s="20">
        <f t="shared" si="73"/>
        <v>-7065.48</v>
      </c>
      <c r="P622" s="20" t="e">
        <f>#REF!-M622</f>
        <v>#REF!</v>
      </c>
      <c r="Q622" s="20" t="e">
        <f>#REF!-N622</f>
        <v>#REF!</v>
      </c>
      <c r="R622" s="17" t="str">
        <f t="shared" si="69"/>
        <v>01 1 04 11010000</v>
      </c>
    </row>
    <row r="623" spans="1:18" s="17" customFormat="1" ht="15.75">
      <c r="A623" s="14"/>
      <c r="B623" s="132" t="s">
        <v>409</v>
      </c>
      <c r="C623" s="109" t="s">
        <v>394</v>
      </c>
      <c r="D623" s="108" t="s">
        <v>229</v>
      </c>
      <c r="E623" s="108" t="s">
        <v>229</v>
      </c>
      <c r="F623" s="108" t="s">
        <v>467</v>
      </c>
      <c r="G623" s="108" t="s">
        <v>410</v>
      </c>
      <c r="H623" s="126">
        <f>H624</f>
        <v>0</v>
      </c>
      <c r="L623" s="20">
        <v>7065.48</v>
      </c>
      <c r="M623" s="20">
        <v>7065.48</v>
      </c>
      <c r="N623" s="20">
        <v>7065.48</v>
      </c>
      <c r="O623" s="20">
        <f t="shared" si="73"/>
        <v>-7065.48</v>
      </c>
      <c r="P623" s="20" t="e">
        <f>#REF!-M623</f>
        <v>#REF!</v>
      </c>
      <c r="Q623" s="20" t="e">
        <f>#REF!-N623</f>
        <v>#REF!</v>
      </c>
      <c r="R623" s="17" t="str">
        <f t="shared" si="69"/>
        <v>01 1 04 11010620</v>
      </c>
    </row>
    <row r="624" spans="1:18" s="24" customFormat="1" ht="63">
      <c r="A624" s="21"/>
      <c r="B624" s="127" t="s">
        <v>411</v>
      </c>
      <c r="C624" s="109" t="s">
        <v>394</v>
      </c>
      <c r="D624" s="108" t="s">
        <v>229</v>
      </c>
      <c r="E624" s="108" t="s">
        <v>229</v>
      </c>
      <c r="F624" s="108" t="s">
        <v>467</v>
      </c>
      <c r="G624" s="108" t="s">
        <v>412</v>
      </c>
      <c r="H624" s="126"/>
      <c r="L624" s="22"/>
      <c r="M624" s="22"/>
      <c r="N624" s="22"/>
      <c r="O624" s="22"/>
      <c r="P624" s="22"/>
      <c r="Q624" s="22"/>
    </row>
    <row r="625" spans="1:18" s="17" customFormat="1" ht="31.5">
      <c r="A625" s="14"/>
      <c r="B625" s="125" t="s">
        <v>468</v>
      </c>
      <c r="C625" s="109" t="s">
        <v>394</v>
      </c>
      <c r="D625" s="108" t="s">
        <v>229</v>
      </c>
      <c r="E625" s="108" t="s">
        <v>229</v>
      </c>
      <c r="F625" s="108" t="s">
        <v>469</v>
      </c>
      <c r="G625" s="108" t="s">
        <v>9</v>
      </c>
      <c r="H625" s="126">
        <f>H626</f>
        <v>0</v>
      </c>
      <c r="L625" s="20">
        <v>17867.37</v>
      </c>
      <c r="M625" s="20">
        <v>17867.37</v>
      </c>
      <c r="N625" s="20">
        <v>17867.37</v>
      </c>
      <c r="O625" s="20">
        <f>H625-L625</f>
        <v>-17867.37</v>
      </c>
      <c r="P625" s="20" t="e">
        <f>#REF!-M625</f>
        <v>#REF!</v>
      </c>
      <c r="Q625" s="20" t="e">
        <f>#REF!-N625</f>
        <v>#REF!</v>
      </c>
      <c r="R625" s="17" t="str">
        <f t="shared" si="69"/>
        <v>01 1 04 20330000</v>
      </c>
    </row>
    <row r="626" spans="1:18" s="17" customFormat="1" ht="15.75">
      <c r="A626" s="14"/>
      <c r="B626" s="132" t="s">
        <v>403</v>
      </c>
      <c r="C626" s="109" t="s">
        <v>394</v>
      </c>
      <c r="D626" s="108" t="s">
        <v>229</v>
      </c>
      <c r="E626" s="108" t="s">
        <v>229</v>
      </c>
      <c r="F626" s="108" t="s">
        <v>469</v>
      </c>
      <c r="G626" s="108" t="s">
        <v>404</v>
      </c>
      <c r="H626" s="126">
        <f>H627</f>
        <v>0</v>
      </c>
      <c r="L626" s="20">
        <v>17867.37</v>
      </c>
      <c r="M626" s="20">
        <v>17867.37</v>
      </c>
      <c r="N626" s="20">
        <v>17867.37</v>
      </c>
      <c r="O626" s="20">
        <f>H626-L626</f>
        <v>-17867.37</v>
      </c>
      <c r="P626" s="20" t="e">
        <f>#REF!-M626</f>
        <v>#REF!</v>
      </c>
      <c r="Q626" s="20" t="e">
        <f>#REF!-N626</f>
        <v>#REF!</v>
      </c>
      <c r="R626" s="17" t="str">
        <f t="shared" si="69"/>
        <v>01 1 04 20330610</v>
      </c>
    </row>
    <row r="627" spans="1:18" s="24" customFormat="1" ht="15.75">
      <c r="A627" s="21"/>
      <c r="B627" s="127" t="s">
        <v>407</v>
      </c>
      <c r="C627" s="109" t="s">
        <v>394</v>
      </c>
      <c r="D627" s="108" t="s">
        <v>229</v>
      </c>
      <c r="E627" s="108" t="s">
        <v>229</v>
      </c>
      <c r="F627" s="108" t="s">
        <v>469</v>
      </c>
      <c r="G627" s="108" t="s">
        <v>408</v>
      </c>
      <c r="H627" s="126"/>
      <c r="L627" s="22"/>
      <c r="M627" s="22"/>
      <c r="N627" s="22"/>
      <c r="O627" s="22"/>
      <c r="P627" s="22"/>
      <c r="Q627" s="22"/>
    </row>
    <row r="628" spans="1:18" s="17" customFormat="1" ht="94.5">
      <c r="A628" s="14"/>
      <c r="B628" s="125" t="s">
        <v>420</v>
      </c>
      <c r="C628" s="109" t="s">
        <v>394</v>
      </c>
      <c r="D628" s="108" t="s">
        <v>229</v>
      </c>
      <c r="E628" s="108" t="s">
        <v>229</v>
      </c>
      <c r="F628" s="108" t="s">
        <v>421</v>
      </c>
      <c r="G628" s="108" t="s">
        <v>9</v>
      </c>
      <c r="H628" s="126">
        <f t="shared" ref="H628:H631" si="75">H629</f>
        <v>0</v>
      </c>
      <c r="L628" s="20">
        <v>45.2</v>
      </c>
      <c r="M628" s="20">
        <v>45.2</v>
      </c>
      <c r="N628" s="20">
        <v>45.2</v>
      </c>
      <c r="O628" s="20">
        <f>H628-L628</f>
        <v>-45.2</v>
      </c>
      <c r="P628" s="20" t="e">
        <f>#REF!-M628</f>
        <v>#REF!</v>
      </c>
      <c r="Q628" s="20" t="e">
        <f>#REF!-N628</f>
        <v>#REF!</v>
      </c>
      <c r="R628" s="17" t="str">
        <f t="shared" si="69"/>
        <v>16 0 00 00000000</v>
      </c>
    </row>
    <row r="629" spans="1:18" s="17" customFormat="1" ht="31.5">
      <c r="A629" s="14"/>
      <c r="B629" s="125" t="s">
        <v>422</v>
      </c>
      <c r="C629" s="109" t="s">
        <v>394</v>
      </c>
      <c r="D629" s="108" t="s">
        <v>229</v>
      </c>
      <c r="E629" s="108" t="s">
        <v>229</v>
      </c>
      <c r="F629" s="108" t="s">
        <v>423</v>
      </c>
      <c r="G629" s="108" t="s">
        <v>9</v>
      </c>
      <c r="H629" s="126">
        <f t="shared" si="75"/>
        <v>0</v>
      </c>
      <c r="L629" s="20">
        <v>45.2</v>
      </c>
      <c r="M629" s="20">
        <v>45.2</v>
      </c>
      <c r="N629" s="20">
        <v>45.2</v>
      </c>
      <c r="O629" s="20">
        <f>H629-L629</f>
        <v>-45.2</v>
      </c>
      <c r="P629" s="20" t="e">
        <f>#REF!-M629</f>
        <v>#REF!</v>
      </c>
      <c r="Q629" s="20" t="e">
        <f>#REF!-N629</f>
        <v>#REF!</v>
      </c>
      <c r="R629" s="17" t="str">
        <f t="shared" si="69"/>
        <v>16 2 00 00000000</v>
      </c>
    </row>
    <row r="630" spans="1:18" s="17" customFormat="1" ht="47.25">
      <c r="A630" s="14"/>
      <c r="B630" s="125" t="s">
        <v>424</v>
      </c>
      <c r="C630" s="109" t="s">
        <v>394</v>
      </c>
      <c r="D630" s="108" t="s">
        <v>229</v>
      </c>
      <c r="E630" s="108" t="s">
        <v>229</v>
      </c>
      <c r="F630" s="108" t="s">
        <v>425</v>
      </c>
      <c r="G630" s="108" t="s">
        <v>9</v>
      </c>
      <c r="H630" s="126">
        <f t="shared" si="75"/>
        <v>0</v>
      </c>
      <c r="L630" s="20">
        <v>45.2</v>
      </c>
      <c r="M630" s="20">
        <v>45.2</v>
      </c>
      <c r="N630" s="20">
        <v>45.2</v>
      </c>
      <c r="O630" s="20">
        <f>H630-L630</f>
        <v>-45.2</v>
      </c>
      <c r="P630" s="20" t="e">
        <f>#REF!-M630</f>
        <v>#REF!</v>
      </c>
      <c r="Q630" s="20" t="e">
        <f>#REF!-N630</f>
        <v>#REF!</v>
      </c>
      <c r="R630" s="17" t="str">
        <f t="shared" si="69"/>
        <v>16 2 02 00000000</v>
      </c>
    </row>
    <row r="631" spans="1:18" s="17" customFormat="1" ht="47.25">
      <c r="A631" s="14"/>
      <c r="B631" s="125" t="s">
        <v>426</v>
      </c>
      <c r="C631" s="109" t="s">
        <v>394</v>
      </c>
      <c r="D631" s="108" t="s">
        <v>229</v>
      </c>
      <c r="E631" s="108" t="s">
        <v>229</v>
      </c>
      <c r="F631" s="108" t="s">
        <v>427</v>
      </c>
      <c r="G631" s="108" t="s">
        <v>9</v>
      </c>
      <c r="H631" s="126">
        <f t="shared" si="75"/>
        <v>0</v>
      </c>
      <c r="L631" s="20">
        <v>45.2</v>
      </c>
      <c r="M631" s="20">
        <v>45.2</v>
      </c>
      <c r="N631" s="20">
        <v>45.2</v>
      </c>
      <c r="O631" s="20">
        <f>H631-L631</f>
        <v>-45.2</v>
      </c>
      <c r="P631" s="20" t="e">
        <f>#REF!-M631</f>
        <v>#REF!</v>
      </c>
      <c r="Q631" s="20" t="e">
        <f>#REF!-N631</f>
        <v>#REF!</v>
      </c>
      <c r="R631" s="17" t="str">
        <f t="shared" si="69"/>
        <v>16 2 02 20550000</v>
      </c>
    </row>
    <row r="632" spans="1:18" s="17" customFormat="1" ht="15.75">
      <c r="A632" s="14"/>
      <c r="B632" s="132" t="s">
        <v>409</v>
      </c>
      <c r="C632" s="109" t="s">
        <v>394</v>
      </c>
      <c r="D632" s="108" t="s">
        <v>229</v>
      </c>
      <c r="E632" s="108" t="s">
        <v>229</v>
      </c>
      <c r="F632" s="108" t="s">
        <v>427</v>
      </c>
      <c r="G632" s="108" t="s">
        <v>410</v>
      </c>
      <c r="H632" s="126">
        <f>H633</f>
        <v>0</v>
      </c>
      <c r="L632" s="20">
        <v>45.2</v>
      </c>
      <c r="M632" s="20">
        <v>45.2</v>
      </c>
      <c r="N632" s="20">
        <v>45.2</v>
      </c>
      <c r="O632" s="20">
        <f>H632-L632</f>
        <v>-45.2</v>
      </c>
      <c r="P632" s="20" t="e">
        <f>#REF!-M632</f>
        <v>#REF!</v>
      </c>
      <c r="Q632" s="20" t="e">
        <f>#REF!-N632</f>
        <v>#REF!</v>
      </c>
      <c r="R632" s="17" t="str">
        <f t="shared" si="69"/>
        <v>16 2 02 20550620</v>
      </c>
    </row>
    <row r="633" spans="1:18" s="24" customFormat="1" ht="15.75">
      <c r="A633" s="21"/>
      <c r="B633" s="127" t="s">
        <v>428</v>
      </c>
      <c r="C633" s="109" t="s">
        <v>394</v>
      </c>
      <c r="D633" s="108" t="s">
        <v>229</v>
      </c>
      <c r="E633" s="108" t="s">
        <v>229</v>
      </c>
      <c r="F633" s="108" t="s">
        <v>427</v>
      </c>
      <c r="G633" s="108" t="s">
        <v>429</v>
      </c>
      <c r="H633" s="126"/>
      <c r="L633" s="22"/>
      <c r="M633" s="22"/>
      <c r="N633" s="22"/>
      <c r="O633" s="22"/>
      <c r="P633" s="22"/>
      <c r="Q633" s="22"/>
    </row>
    <row r="634" spans="1:18" s="17" customFormat="1" ht="15.75">
      <c r="A634" s="14"/>
      <c r="B634" s="121" t="s">
        <v>470</v>
      </c>
      <c r="C634" s="122" t="s">
        <v>394</v>
      </c>
      <c r="D634" s="123" t="s">
        <v>229</v>
      </c>
      <c r="E634" s="123" t="s">
        <v>471</v>
      </c>
      <c r="F634" s="123" t="s">
        <v>8</v>
      </c>
      <c r="G634" s="123" t="s">
        <v>9</v>
      </c>
      <c r="H634" s="124">
        <f>H635+H649+H655</f>
        <v>0</v>
      </c>
      <c r="L634" s="19">
        <v>44600.35</v>
      </c>
      <c r="M634" s="19">
        <v>44503.65</v>
      </c>
      <c r="N634" s="19">
        <v>44503.65</v>
      </c>
      <c r="O634" s="19">
        <f t="shared" ref="O634:O639" si="76">H634-L634</f>
        <v>-44600.35</v>
      </c>
      <c r="P634" s="19" t="e">
        <f>#REF!-M634</f>
        <v>#REF!</v>
      </c>
      <c r="Q634" s="19" t="e">
        <f>#REF!-N634</f>
        <v>#REF!</v>
      </c>
      <c r="R634" s="17" t="str">
        <f t="shared" si="69"/>
        <v>00 0 00 00000000</v>
      </c>
    </row>
    <row r="635" spans="1:18" s="17" customFormat="1" ht="31.5">
      <c r="A635" s="14"/>
      <c r="B635" s="132" t="s">
        <v>396</v>
      </c>
      <c r="C635" s="109" t="s">
        <v>394</v>
      </c>
      <c r="D635" s="108" t="s">
        <v>229</v>
      </c>
      <c r="E635" s="108" t="s">
        <v>471</v>
      </c>
      <c r="F635" s="108" t="s">
        <v>397</v>
      </c>
      <c r="G635" s="108" t="s">
        <v>9</v>
      </c>
      <c r="H635" s="126">
        <f>H636</f>
        <v>0</v>
      </c>
      <c r="L635" s="20">
        <v>12029.32</v>
      </c>
      <c r="M635" s="20">
        <v>12029.32</v>
      </c>
      <c r="N635" s="20">
        <v>12029.32</v>
      </c>
      <c r="O635" s="20">
        <f t="shared" si="76"/>
        <v>-12029.32</v>
      </c>
      <c r="P635" s="20" t="e">
        <f>#REF!-M635</f>
        <v>#REF!</v>
      </c>
      <c r="Q635" s="20" t="e">
        <f>#REF!-N635</f>
        <v>#REF!</v>
      </c>
      <c r="R635" s="17" t="str">
        <f t="shared" si="69"/>
        <v>01 0 00 00000000</v>
      </c>
    </row>
    <row r="636" spans="1:18" s="17" customFormat="1" ht="31.5">
      <c r="A636" s="14"/>
      <c r="B636" s="132" t="s">
        <v>398</v>
      </c>
      <c r="C636" s="109" t="s">
        <v>394</v>
      </c>
      <c r="D636" s="108" t="s">
        <v>229</v>
      </c>
      <c r="E636" s="108" t="s">
        <v>471</v>
      </c>
      <c r="F636" s="108" t="s">
        <v>399</v>
      </c>
      <c r="G636" s="108" t="s">
        <v>9</v>
      </c>
      <c r="H636" s="126">
        <f>H637+H645</f>
        <v>0</v>
      </c>
      <c r="L636" s="20">
        <v>12029.32</v>
      </c>
      <c r="M636" s="20">
        <v>12029.32</v>
      </c>
      <c r="N636" s="20">
        <v>12029.32</v>
      </c>
      <c r="O636" s="20">
        <f t="shared" si="76"/>
        <v>-12029.32</v>
      </c>
      <c r="P636" s="20" t="e">
        <f>#REF!-M636</f>
        <v>#REF!</v>
      </c>
      <c r="Q636" s="20" t="e">
        <f>#REF!-N636</f>
        <v>#REF!</v>
      </c>
      <c r="R636" s="17" t="str">
        <f t="shared" si="69"/>
        <v>01 1 00 00000000</v>
      </c>
    </row>
    <row r="637" spans="1:18" s="17" customFormat="1" ht="63">
      <c r="A637" s="14"/>
      <c r="B637" s="132" t="s">
        <v>472</v>
      </c>
      <c r="C637" s="109" t="s">
        <v>394</v>
      </c>
      <c r="D637" s="108" t="s">
        <v>229</v>
      </c>
      <c r="E637" s="108" t="s">
        <v>471</v>
      </c>
      <c r="F637" s="108" t="s">
        <v>473</v>
      </c>
      <c r="G637" s="108" t="s">
        <v>9</v>
      </c>
      <c r="H637" s="126">
        <f>H638</f>
        <v>0</v>
      </c>
      <c r="L637" s="20">
        <v>5078.79</v>
      </c>
      <c r="M637" s="20">
        <v>5078.79</v>
      </c>
      <c r="N637" s="20">
        <v>5078.79</v>
      </c>
      <c r="O637" s="20">
        <f t="shared" si="76"/>
        <v>-5078.79</v>
      </c>
      <c r="P637" s="20" t="e">
        <f>#REF!-M637</f>
        <v>#REF!</v>
      </c>
      <c r="Q637" s="20" t="e">
        <f>#REF!-N637</f>
        <v>#REF!</v>
      </c>
      <c r="R637" s="17" t="str">
        <f t="shared" si="69"/>
        <v>01 1 05 00000000</v>
      </c>
    </row>
    <row r="638" spans="1:18" s="17" customFormat="1" ht="31.5">
      <c r="A638" s="14"/>
      <c r="B638" s="132" t="s">
        <v>474</v>
      </c>
      <c r="C638" s="109" t="s">
        <v>394</v>
      </c>
      <c r="D638" s="108" t="s">
        <v>229</v>
      </c>
      <c r="E638" s="108" t="s">
        <v>471</v>
      </c>
      <c r="F638" s="108" t="s">
        <v>475</v>
      </c>
      <c r="G638" s="108" t="s">
        <v>9</v>
      </c>
      <c r="H638" s="126">
        <f>H639+H641+H643</f>
        <v>0</v>
      </c>
      <c r="L638" s="20">
        <v>5078.79</v>
      </c>
      <c r="M638" s="20">
        <v>5078.79</v>
      </c>
      <c r="N638" s="20">
        <v>5078.79</v>
      </c>
      <c r="O638" s="20">
        <f t="shared" si="76"/>
        <v>-5078.79</v>
      </c>
      <c r="P638" s="20" t="e">
        <f>#REF!-M638</f>
        <v>#REF!</v>
      </c>
      <c r="Q638" s="20" t="e">
        <f>#REF!-N638</f>
        <v>#REF!</v>
      </c>
      <c r="R638" s="17" t="str">
        <f t="shared" si="69"/>
        <v>01 1 05 20240000</v>
      </c>
    </row>
    <row r="639" spans="1:18" s="17" customFormat="1" ht="31.5">
      <c r="A639" s="14"/>
      <c r="B639" s="125" t="s">
        <v>28</v>
      </c>
      <c r="C639" s="109" t="s">
        <v>394</v>
      </c>
      <c r="D639" s="108" t="s">
        <v>229</v>
      </c>
      <c r="E639" s="108" t="s">
        <v>471</v>
      </c>
      <c r="F639" s="108" t="s">
        <v>475</v>
      </c>
      <c r="G639" s="108" t="s">
        <v>29</v>
      </c>
      <c r="H639" s="126">
        <f>H640</f>
        <v>0</v>
      </c>
      <c r="L639" s="20">
        <v>200</v>
      </c>
      <c r="M639" s="20">
        <v>200</v>
      </c>
      <c r="N639" s="20">
        <v>200</v>
      </c>
      <c r="O639" s="20">
        <f t="shared" si="76"/>
        <v>-200</v>
      </c>
      <c r="P639" s="20" t="e">
        <f>#REF!-M639</f>
        <v>#REF!</v>
      </c>
      <c r="Q639" s="20" t="e">
        <f>#REF!-N639</f>
        <v>#REF!</v>
      </c>
      <c r="R639" s="17" t="str">
        <f t="shared" si="69"/>
        <v>01 1 05 20240240</v>
      </c>
    </row>
    <row r="640" spans="1:18" s="17" customFormat="1" ht="15.75">
      <c r="A640" s="14"/>
      <c r="B640" s="125" t="s">
        <v>30</v>
      </c>
      <c r="C640" s="109" t="s">
        <v>394</v>
      </c>
      <c r="D640" s="108" t="s">
        <v>229</v>
      </c>
      <c r="E640" s="108" t="s">
        <v>471</v>
      </c>
      <c r="F640" s="108" t="s">
        <v>475</v>
      </c>
      <c r="G640" s="108" t="s">
        <v>31</v>
      </c>
      <c r="H640" s="126"/>
      <c r="L640" s="20"/>
      <c r="M640" s="20"/>
      <c r="N640" s="20"/>
      <c r="O640" s="20"/>
      <c r="P640" s="20"/>
      <c r="Q640" s="20"/>
      <c r="R640" s="17" t="str">
        <f t="shared" si="69"/>
        <v>01 1 05 20240244</v>
      </c>
    </row>
    <row r="641" spans="1:18" s="17" customFormat="1" ht="15.75">
      <c r="A641" s="14"/>
      <c r="B641" s="132" t="s">
        <v>403</v>
      </c>
      <c r="C641" s="109" t="s">
        <v>394</v>
      </c>
      <c r="D641" s="108" t="s">
        <v>229</v>
      </c>
      <c r="E641" s="108" t="s">
        <v>471</v>
      </c>
      <c r="F641" s="108" t="s">
        <v>475</v>
      </c>
      <c r="G641" s="108" t="s">
        <v>404</v>
      </c>
      <c r="H641" s="126">
        <f>H642</f>
        <v>0</v>
      </c>
      <c r="L641" s="20">
        <v>4533.5</v>
      </c>
      <c r="M641" s="20">
        <v>4533.5</v>
      </c>
      <c r="N641" s="20">
        <v>4533.5</v>
      </c>
      <c r="O641" s="20">
        <f>H641-L641</f>
        <v>-4533.5</v>
      </c>
      <c r="P641" s="20" t="e">
        <f>#REF!-M641</f>
        <v>#REF!</v>
      </c>
      <c r="Q641" s="20" t="e">
        <f>#REF!-N641</f>
        <v>#REF!</v>
      </c>
      <c r="R641" s="17" t="str">
        <f t="shared" si="69"/>
        <v>01 1 05 20240610</v>
      </c>
    </row>
    <row r="642" spans="1:18" s="24" customFormat="1" ht="15.75">
      <c r="A642" s="21"/>
      <c r="B642" s="127" t="s">
        <v>407</v>
      </c>
      <c r="C642" s="109" t="s">
        <v>394</v>
      </c>
      <c r="D642" s="108" t="s">
        <v>229</v>
      </c>
      <c r="E642" s="108" t="s">
        <v>471</v>
      </c>
      <c r="F642" s="108" t="s">
        <v>475</v>
      </c>
      <c r="G642" s="108" t="s">
        <v>408</v>
      </c>
      <c r="H642" s="126"/>
      <c r="L642" s="22"/>
      <c r="M642" s="22"/>
      <c r="N642" s="22"/>
      <c r="O642" s="22"/>
      <c r="P642" s="22"/>
      <c r="Q642" s="22"/>
    </row>
    <row r="643" spans="1:18" s="17" customFormat="1" ht="15.75">
      <c r="A643" s="14"/>
      <c r="B643" s="132" t="s">
        <v>409</v>
      </c>
      <c r="C643" s="109" t="s">
        <v>394</v>
      </c>
      <c r="D643" s="108" t="s">
        <v>229</v>
      </c>
      <c r="E643" s="108" t="s">
        <v>471</v>
      </c>
      <c r="F643" s="108" t="s">
        <v>475</v>
      </c>
      <c r="G643" s="108" t="s">
        <v>410</v>
      </c>
      <c r="H643" s="126">
        <f>H644</f>
        <v>0</v>
      </c>
      <c r="L643" s="20">
        <v>345.29</v>
      </c>
      <c r="M643" s="20">
        <v>345.29</v>
      </c>
      <c r="N643" s="20">
        <v>345.29</v>
      </c>
      <c r="O643" s="20">
        <f>H643-L643</f>
        <v>-345.29</v>
      </c>
      <c r="P643" s="20" t="e">
        <f>#REF!-M643</f>
        <v>#REF!</v>
      </c>
      <c r="Q643" s="20" t="e">
        <f>#REF!-N643</f>
        <v>#REF!</v>
      </c>
      <c r="R643" s="17" t="str">
        <f t="shared" si="69"/>
        <v>01 1 05 20240620</v>
      </c>
    </row>
    <row r="644" spans="1:18" s="24" customFormat="1" ht="15.75">
      <c r="A644" s="21"/>
      <c r="B644" s="127" t="s">
        <v>428</v>
      </c>
      <c r="C644" s="109" t="s">
        <v>394</v>
      </c>
      <c r="D644" s="108" t="s">
        <v>229</v>
      </c>
      <c r="E644" s="108" t="s">
        <v>471</v>
      </c>
      <c r="F644" s="108" t="s">
        <v>475</v>
      </c>
      <c r="G644" s="108" t="s">
        <v>429</v>
      </c>
      <c r="H644" s="126"/>
      <c r="L644" s="22"/>
      <c r="M644" s="22"/>
      <c r="N644" s="22"/>
      <c r="O644" s="22"/>
      <c r="P644" s="22"/>
      <c r="Q644" s="22"/>
    </row>
    <row r="645" spans="1:18" s="17" customFormat="1" ht="31.5">
      <c r="A645" s="14"/>
      <c r="B645" s="129" t="s">
        <v>476</v>
      </c>
      <c r="C645" s="130" t="s">
        <v>394</v>
      </c>
      <c r="D645" s="131" t="s">
        <v>229</v>
      </c>
      <c r="E645" s="131" t="s">
        <v>471</v>
      </c>
      <c r="F645" s="131" t="s">
        <v>477</v>
      </c>
      <c r="G645" s="131" t="s">
        <v>9</v>
      </c>
      <c r="H645" s="105">
        <f>H646</f>
        <v>0</v>
      </c>
      <c r="L645" s="26">
        <v>6950.5300000000007</v>
      </c>
      <c r="M645" s="26">
        <v>6950.5300000000007</v>
      </c>
      <c r="N645" s="26">
        <v>6950.5300000000007</v>
      </c>
      <c r="O645" s="26">
        <f>H645-L645</f>
        <v>-6950.5300000000007</v>
      </c>
      <c r="P645" s="26" t="e">
        <f>#REF!-M645</f>
        <v>#REF!</v>
      </c>
      <c r="Q645" s="26" t="e">
        <f>#REF!-N645</f>
        <v>#REF!</v>
      </c>
      <c r="R645" s="17" t="str">
        <f t="shared" si="69"/>
        <v>01 1 08 00000000</v>
      </c>
    </row>
    <row r="646" spans="1:18" s="17" customFormat="1" ht="31.5">
      <c r="A646" s="14"/>
      <c r="B646" s="140" t="s">
        <v>136</v>
      </c>
      <c r="C646" s="130" t="s">
        <v>394</v>
      </c>
      <c r="D646" s="131" t="s">
        <v>229</v>
      </c>
      <c r="E646" s="131" t="s">
        <v>471</v>
      </c>
      <c r="F646" s="131" t="s">
        <v>478</v>
      </c>
      <c r="G646" s="131" t="s">
        <v>9</v>
      </c>
      <c r="H646" s="105">
        <f>SUM(H647:H647)</f>
        <v>0</v>
      </c>
      <c r="L646" s="26">
        <v>6950.5300000000007</v>
      </c>
      <c r="M646" s="26">
        <v>6950.5300000000007</v>
      </c>
      <c r="N646" s="26">
        <v>6950.5300000000007</v>
      </c>
      <c r="O646" s="26">
        <f>H646-L646</f>
        <v>-6950.5300000000007</v>
      </c>
      <c r="P646" s="26" t="e">
        <f>#REF!-M646</f>
        <v>#REF!</v>
      </c>
      <c r="Q646" s="26" t="e">
        <f>#REF!-N646</f>
        <v>#REF!</v>
      </c>
      <c r="R646" s="17" t="str">
        <f t="shared" si="69"/>
        <v>01 1 08 11010000</v>
      </c>
    </row>
    <row r="647" spans="1:18" s="17" customFormat="1" ht="15.75">
      <c r="A647" s="14"/>
      <c r="B647" s="140" t="s">
        <v>403</v>
      </c>
      <c r="C647" s="130" t="s">
        <v>394</v>
      </c>
      <c r="D647" s="131" t="s">
        <v>229</v>
      </c>
      <c r="E647" s="131" t="s">
        <v>471</v>
      </c>
      <c r="F647" s="131" t="s">
        <v>478</v>
      </c>
      <c r="G647" s="131" t="s">
        <v>404</v>
      </c>
      <c r="H647" s="126">
        <f>H648</f>
        <v>0</v>
      </c>
      <c r="L647" s="20">
        <v>6950.5300000000007</v>
      </c>
      <c r="M647" s="20">
        <v>6950.5300000000007</v>
      </c>
      <c r="N647" s="20">
        <v>6950.5300000000007</v>
      </c>
      <c r="O647" s="20">
        <f>H647-L647</f>
        <v>-6950.5300000000007</v>
      </c>
      <c r="P647" s="20" t="e">
        <f>#REF!-M647</f>
        <v>#REF!</v>
      </c>
      <c r="Q647" s="20" t="e">
        <f>#REF!-N647</f>
        <v>#REF!</v>
      </c>
      <c r="R647" s="17" t="str">
        <f t="shared" si="69"/>
        <v>01 1 08 11010610</v>
      </c>
    </row>
    <row r="648" spans="1:18" s="24" customFormat="1" ht="63">
      <c r="A648" s="21"/>
      <c r="B648" s="127" t="s">
        <v>405</v>
      </c>
      <c r="C648" s="130" t="s">
        <v>394</v>
      </c>
      <c r="D648" s="131" t="s">
        <v>229</v>
      </c>
      <c r="E648" s="131" t="s">
        <v>471</v>
      </c>
      <c r="F648" s="131" t="s">
        <v>478</v>
      </c>
      <c r="G648" s="108" t="s">
        <v>406</v>
      </c>
      <c r="H648" s="126"/>
      <c r="L648" s="22"/>
      <c r="M648" s="22"/>
      <c r="N648" s="22"/>
      <c r="O648" s="22"/>
      <c r="P648" s="22"/>
      <c r="Q648" s="22"/>
    </row>
    <row r="649" spans="1:18" s="17" customFormat="1" ht="94.5">
      <c r="A649" s="14"/>
      <c r="B649" s="125" t="s">
        <v>420</v>
      </c>
      <c r="C649" s="109" t="s">
        <v>394</v>
      </c>
      <c r="D649" s="108" t="s">
        <v>229</v>
      </c>
      <c r="E649" s="108" t="s">
        <v>471</v>
      </c>
      <c r="F649" s="108" t="s">
        <v>421</v>
      </c>
      <c r="G649" s="108" t="s">
        <v>9</v>
      </c>
      <c r="H649" s="126">
        <f t="shared" ref="H649:H652" si="77">H650</f>
        <v>0</v>
      </c>
      <c r="L649" s="20">
        <v>58.6</v>
      </c>
      <c r="M649" s="20">
        <v>58.6</v>
      </c>
      <c r="N649" s="20">
        <v>58.6</v>
      </c>
      <c r="O649" s="20">
        <f>H649-L649</f>
        <v>-58.6</v>
      </c>
      <c r="P649" s="20" t="e">
        <f>#REF!-M649</f>
        <v>#REF!</v>
      </c>
      <c r="Q649" s="20" t="e">
        <f>#REF!-N649</f>
        <v>#REF!</v>
      </c>
      <c r="R649" s="17" t="str">
        <f t="shared" si="69"/>
        <v>16 0 00 00000000</v>
      </c>
    </row>
    <row r="650" spans="1:18" s="17" customFormat="1" ht="31.5">
      <c r="A650" s="14"/>
      <c r="B650" s="125" t="s">
        <v>422</v>
      </c>
      <c r="C650" s="109" t="s">
        <v>394</v>
      </c>
      <c r="D650" s="108" t="s">
        <v>229</v>
      </c>
      <c r="E650" s="108" t="s">
        <v>471</v>
      </c>
      <c r="F650" s="108" t="s">
        <v>423</v>
      </c>
      <c r="G650" s="108" t="s">
        <v>9</v>
      </c>
      <c r="H650" s="126">
        <f t="shared" si="77"/>
        <v>0</v>
      </c>
      <c r="L650" s="20">
        <v>58.6</v>
      </c>
      <c r="M650" s="20">
        <v>58.6</v>
      </c>
      <c r="N650" s="20">
        <v>58.6</v>
      </c>
      <c r="O650" s="20">
        <f>H650-L650</f>
        <v>-58.6</v>
      </c>
      <c r="P650" s="20" t="e">
        <f>#REF!-M650</f>
        <v>#REF!</v>
      </c>
      <c r="Q650" s="20" t="e">
        <f>#REF!-N650</f>
        <v>#REF!</v>
      </c>
      <c r="R650" s="17" t="str">
        <f t="shared" si="69"/>
        <v>16 2 00 00000000</v>
      </c>
    </row>
    <row r="651" spans="1:18" s="17" customFormat="1" ht="47.25">
      <c r="A651" s="14"/>
      <c r="B651" s="125" t="s">
        <v>424</v>
      </c>
      <c r="C651" s="109" t="s">
        <v>394</v>
      </c>
      <c r="D651" s="108" t="s">
        <v>229</v>
      </c>
      <c r="E651" s="108" t="s">
        <v>471</v>
      </c>
      <c r="F651" s="108" t="s">
        <v>425</v>
      </c>
      <c r="G651" s="108" t="s">
        <v>9</v>
      </c>
      <c r="H651" s="126">
        <f t="shared" si="77"/>
        <v>0</v>
      </c>
      <c r="L651" s="20">
        <v>58.6</v>
      </c>
      <c r="M651" s="20">
        <v>58.6</v>
      </c>
      <c r="N651" s="20">
        <v>58.6</v>
      </c>
      <c r="O651" s="20">
        <f>H651-L651</f>
        <v>-58.6</v>
      </c>
      <c r="P651" s="20" t="e">
        <f>#REF!-M651</f>
        <v>#REF!</v>
      </c>
      <c r="Q651" s="20" t="e">
        <f>#REF!-N651</f>
        <v>#REF!</v>
      </c>
      <c r="R651" s="17" t="str">
        <f t="shared" si="69"/>
        <v>16 2 02 00000000</v>
      </c>
    </row>
    <row r="652" spans="1:18" s="17" customFormat="1" ht="47.25">
      <c r="A652" s="14"/>
      <c r="B652" s="125" t="s">
        <v>426</v>
      </c>
      <c r="C652" s="109" t="s">
        <v>394</v>
      </c>
      <c r="D652" s="108" t="s">
        <v>229</v>
      </c>
      <c r="E652" s="108" t="s">
        <v>471</v>
      </c>
      <c r="F652" s="108" t="s">
        <v>427</v>
      </c>
      <c r="G652" s="108" t="s">
        <v>9</v>
      </c>
      <c r="H652" s="126">
        <f t="shared" si="77"/>
        <v>0</v>
      </c>
      <c r="L652" s="20">
        <v>58.6</v>
      </c>
      <c r="M652" s="20">
        <v>58.6</v>
      </c>
      <c r="N652" s="20">
        <v>58.6</v>
      </c>
      <c r="O652" s="20">
        <f>H652-L652</f>
        <v>-58.6</v>
      </c>
      <c r="P652" s="20" t="e">
        <f>#REF!-M652</f>
        <v>#REF!</v>
      </c>
      <c r="Q652" s="20" t="e">
        <f>#REF!-N652</f>
        <v>#REF!</v>
      </c>
      <c r="R652" s="17" t="str">
        <f t="shared" si="69"/>
        <v>16 2 02 20550000</v>
      </c>
    </row>
    <row r="653" spans="1:18" s="17" customFormat="1" ht="15.75">
      <c r="A653" s="14"/>
      <c r="B653" s="132" t="s">
        <v>403</v>
      </c>
      <c r="C653" s="109" t="s">
        <v>394</v>
      </c>
      <c r="D653" s="108" t="s">
        <v>229</v>
      </c>
      <c r="E653" s="108" t="s">
        <v>471</v>
      </c>
      <c r="F653" s="108" t="s">
        <v>427</v>
      </c>
      <c r="G653" s="108" t="s">
        <v>404</v>
      </c>
      <c r="H653" s="126">
        <f>H654</f>
        <v>0</v>
      </c>
      <c r="L653" s="20">
        <v>58.6</v>
      </c>
      <c r="M653" s="20">
        <v>58.6</v>
      </c>
      <c r="N653" s="20">
        <v>58.6</v>
      </c>
      <c r="O653" s="20">
        <f>H653-L653</f>
        <v>-58.6</v>
      </c>
      <c r="P653" s="20" t="e">
        <f>#REF!-M653</f>
        <v>#REF!</v>
      </c>
      <c r="Q653" s="20" t="e">
        <f>#REF!-N653</f>
        <v>#REF!</v>
      </c>
      <c r="R653" s="17" t="str">
        <f t="shared" si="69"/>
        <v>16 2 02 20550610</v>
      </c>
    </row>
    <row r="654" spans="1:18" s="24" customFormat="1" ht="15.75">
      <c r="A654" s="21"/>
      <c r="B654" s="127" t="s">
        <v>407</v>
      </c>
      <c r="C654" s="109" t="s">
        <v>394</v>
      </c>
      <c r="D654" s="108" t="s">
        <v>229</v>
      </c>
      <c r="E654" s="108" t="s">
        <v>471</v>
      </c>
      <c r="F654" s="108" t="s">
        <v>427</v>
      </c>
      <c r="G654" s="108" t="s">
        <v>408</v>
      </c>
      <c r="H654" s="126"/>
      <c r="L654" s="22"/>
      <c r="M654" s="22"/>
      <c r="N654" s="22"/>
      <c r="O654" s="22"/>
      <c r="P654" s="22"/>
      <c r="Q654" s="22"/>
    </row>
    <row r="655" spans="1:18" s="17" customFormat="1" ht="31.5">
      <c r="A655" s="14"/>
      <c r="B655" s="125" t="s">
        <v>479</v>
      </c>
      <c r="C655" s="109" t="s">
        <v>394</v>
      </c>
      <c r="D655" s="108" t="s">
        <v>229</v>
      </c>
      <c r="E655" s="108" t="s">
        <v>471</v>
      </c>
      <c r="F655" s="108" t="s">
        <v>480</v>
      </c>
      <c r="G655" s="108" t="s">
        <v>9</v>
      </c>
      <c r="H655" s="126">
        <f>H656</f>
        <v>0</v>
      </c>
      <c r="L655" s="20">
        <v>32512.43</v>
      </c>
      <c r="M655" s="20">
        <v>32415.73</v>
      </c>
      <c r="N655" s="20">
        <v>32415.73</v>
      </c>
      <c r="O655" s="20">
        <f>H655-L655</f>
        <v>-32512.43</v>
      </c>
      <c r="P655" s="20" t="e">
        <f>#REF!-M655</f>
        <v>#REF!</v>
      </c>
      <c r="Q655" s="20" t="e">
        <f>#REF!-N655</f>
        <v>#REF!</v>
      </c>
      <c r="R655" s="17" t="str">
        <f t="shared" si="69"/>
        <v>75 0 00 00000000</v>
      </c>
    </row>
    <row r="656" spans="1:18" s="17" customFormat="1" ht="47.25">
      <c r="A656" s="14"/>
      <c r="B656" s="125" t="s">
        <v>481</v>
      </c>
      <c r="C656" s="109" t="s">
        <v>394</v>
      </c>
      <c r="D656" s="108" t="s">
        <v>229</v>
      </c>
      <c r="E656" s="108" t="s">
        <v>471</v>
      </c>
      <c r="F656" s="108" t="s">
        <v>482</v>
      </c>
      <c r="G656" s="108" t="s">
        <v>9</v>
      </c>
      <c r="H656" s="126">
        <f>H657+H667+H677+H671</f>
        <v>0</v>
      </c>
      <c r="L656" s="20">
        <v>32512.43</v>
      </c>
      <c r="M656" s="20">
        <v>32415.73</v>
      </c>
      <c r="N656" s="20">
        <v>32415.73</v>
      </c>
      <c r="O656" s="20">
        <f>H656-L656</f>
        <v>-32512.43</v>
      </c>
      <c r="P656" s="20" t="e">
        <f>#REF!-M656</f>
        <v>#REF!</v>
      </c>
      <c r="Q656" s="20" t="e">
        <f>#REF!-N656</f>
        <v>#REF!</v>
      </c>
      <c r="R656" s="17" t="str">
        <f t="shared" si="69"/>
        <v>75 1 00 00000000</v>
      </c>
    </row>
    <row r="657" spans="1:18" s="17" customFormat="1" ht="31.5">
      <c r="A657" s="14"/>
      <c r="B657" s="125" t="s">
        <v>18</v>
      </c>
      <c r="C657" s="109" t="s">
        <v>394</v>
      </c>
      <c r="D657" s="108" t="s">
        <v>229</v>
      </c>
      <c r="E657" s="108" t="s">
        <v>471</v>
      </c>
      <c r="F657" s="108" t="s">
        <v>483</v>
      </c>
      <c r="G657" s="108" t="s">
        <v>9</v>
      </c>
      <c r="H657" s="126">
        <f>H658+H661+H663</f>
        <v>0</v>
      </c>
      <c r="L657" s="20">
        <v>2420.89</v>
      </c>
      <c r="M657" s="20">
        <v>2420.89</v>
      </c>
      <c r="N657" s="20">
        <v>2420.89</v>
      </c>
      <c r="O657" s="20">
        <f>H657-L657</f>
        <v>-2420.89</v>
      </c>
      <c r="P657" s="20" t="e">
        <f>#REF!-M657</f>
        <v>#REF!</v>
      </c>
      <c r="Q657" s="20" t="e">
        <f>#REF!-N657</f>
        <v>#REF!</v>
      </c>
      <c r="R657" s="17" t="str">
        <f t="shared" ref="R657:R756" si="78">CONCATENATE(F657,G657)</f>
        <v>75 1 00 10010000</v>
      </c>
    </row>
    <row r="658" spans="1:18" s="17" customFormat="1" ht="31.5">
      <c r="A658" s="14"/>
      <c r="B658" s="125" t="s">
        <v>484</v>
      </c>
      <c r="C658" s="109" t="s">
        <v>394</v>
      </c>
      <c r="D658" s="108" t="s">
        <v>229</v>
      </c>
      <c r="E658" s="108" t="s">
        <v>471</v>
      </c>
      <c r="F658" s="108" t="s">
        <v>483</v>
      </c>
      <c r="G658" s="108" t="s">
        <v>21</v>
      </c>
      <c r="H658" s="126">
        <f>SUM(H659:H660)</f>
        <v>0</v>
      </c>
      <c r="L658" s="20">
        <v>677.24</v>
      </c>
      <c r="M658" s="20">
        <v>677.24</v>
      </c>
      <c r="N658" s="20">
        <v>677.24</v>
      </c>
      <c r="O658" s="20">
        <f>H658-L658</f>
        <v>-677.24</v>
      </c>
      <c r="P658" s="20" t="e">
        <f>#REF!-M658</f>
        <v>#REF!</v>
      </c>
      <c r="Q658" s="20" t="e">
        <f>#REF!-N658</f>
        <v>#REF!</v>
      </c>
      <c r="R658" s="17" t="str">
        <f t="shared" si="78"/>
        <v>75 1 00 10010120</v>
      </c>
    </row>
    <row r="659" spans="1:18" s="24" customFormat="1" ht="47.25">
      <c r="A659" s="21"/>
      <c r="B659" s="127" t="s">
        <v>22</v>
      </c>
      <c r="C659" s="109" t="s">
        <v>394</v>
      </c>
      <c r="D659" s="108" t="s">
        <v>229</v>
      </c>
      <c r="E659" s="108" t="s">
        <v>471</v>
      </c>
      <c r="F659" s="108" t="s">
        <v>483</v>
      </c>
      <c r="G659" s="108" t="s">
        <v>23</v>
      </c>
      <c r="H659" s="126"/>
      <c r="L659" s="22"/>
      <c r="M659" s="22"/>
      <c r="N659" s="22"/>
      <c r="O659" s="22"/>
      <c r="P659" s="22"/>
      <c r="Q659" s="22"/>
    </row>
    <row r="660" spans="1:18" s="24" customFormat="1" ht="63">
      <c r="A660" s="21"/>
      <c r="B660" s="127" t="s">
        <v>26</v>
      </c>
      <c r="C660" s="109" t="s">
        <v>394</v>
      </c>
      <c r="D660" s="108" t="s">
        <v>229</v>
      </c>
      <c r="E660" s="108" t="s">
        <v>471</v>
      </c>
      <c r="F660" s="108" t="s">
        <v>483</v>
      </c>
      <c r="G660" s="108" t="s">
        <v>27</v>
      </c>
      <c r="H660" s="126"/>
      <c r="L660" s="22"/>
      <c r="M660" s="22"/>
      <c r="N660" s="22"/>
      <c r="O660" s="22"/>
      <c r="P660" s="22"/>
      <c r="Q660" s="22"/>
    </row>
    <row r="661" spans="1:18" s="17" customFormat="1" ht="31.5">
      <c r="A661" s="14"/>
      <c r="B661" s="125" t="s">
        <v>28</v>
      </c>
      <c r="C661" s="109" t="s">
        <v>394</v>
      </c>
      <c r="D661" s="108" t="s">
        <v>229</v>
      </c>
      <c r="E661" s="108" t="s">
        <v>471</v>
      </c>
      <c r="F661" s="108" t="s">
        <v>483</v>
      </c>
      <c r="G661" s="108" t="s">
        <v>29</v>
      </c>
      <c r="H661" s="126">
        <f>H662</f>
        <v>0</v>
      </c>
      <c r="L661" s="20">
        <v>1690.51</v>
      </c>
      <c r="M661" s="20">
        <v>1690.51</v>
      </c>
      <c r="N661" s="20">
        <v>1690.51</v>
      </c>
      <c r="O661" s="20">
        <f>H661-L661</f>
        <v>-1690.51</v>
      </c>
      <c r="P661" s="20" t="e">
        <f>#REF!-M661</f>
        <v>#REF!</v>
      </c>
      <c r="Q661" s="20" t="e">
        <f>#REF!-N661</f>
        <v>#REF!</v>
      </c>
      <c r="R661" s="17" t="str">
        <f t="shared" si="78"/>
        <v>75 1 00 10010240</v>
      </c>
    </row>
    <row r="662" spans="1:18" s="17" customFormat="1" ht="15.75">
      <c r="A662" s="14"/>
      <c r="B662" s="125" t="s">
        <v>30</v>
      </c>
      <c r="C662" s="109" t="s">
        <v>394</v>
      </c>
      <c r="D662" s="108" t="s">
        <v>229</v>
      </c>
      <c r="E662" s="108" t="s">
        <v>471</v>
      </c>
      <c r="F662" s="108" t="s">
        <v>483</v>
      </c>
      <c r="G662" s="108" t="s">
        <v>31</v>
      </c>
      <c r="H662" s="126"/>
      <c r="L662" s="20"/>
      <c r="M662" s="20"/>
      <c r="N662" s="20"/>
      <c r="O662" s="20"/>
      <c r="P662" s="20"/>
      <c r="Q662" s="20"/>
    </row>
    <row r="663" spans="1:18" s="17" customFormat="1" ht="15.75">
      <c r="A663" s="14"/>
      <c r="B663" s="125" t="s">
        <v>32</v>
      </c>
      <c r="C663" s="109" t="s">
        <v>394</v>
      </c>
      <c r="D663" s="108" t="s">
        <v>229</v>
      </c>
      <c r="E663" s="108" t="s">
        <v>471</v>
      </c>
      <c r="F663" s="108" t="s">
        <v>483</v>
      </c>
      <c r="G663" s="108" t="s">
        <v>33</v>
      </c>
      <c r="H663" s="126">
        <f>SUM(H664:H666)</f>
        <v>0</v>
      </c>
      <c r="L663" s="20">
        <v>53.14</v>
      </c>
      <c r="M663" s="20">
        <v>53.14</v>
      </c>
      <c r="N663" s="20">
        <v>53.14</v>
      </c>
      <c r="O663" s="20">
        <f>H663-L663</f>
        <v>-53.14</v>
      </c>
      <c r="P663" s="20" t="e">
        <f>#REF!-M663</f>
        <v>#REF!</v>
      </c>
      <c r="Q663" s="20" t="e">
        <f>#REF!-N663</f>
        <v>#REF!</v>
      </c>
      <c r="R663" s="17" t="str">
        <f t="shared" si="78"/>
        <v>75 1 00 10010850</v>
      </c>
    </row>
    <row r="664" spans="1:18" s="24" customFormat="1" ht="31.5">
      <c r="A664" s="21"/>
      <c r="B664" s="127" t="s">
        <v>34</v>
      </c>
      <c r="C664" s="109" t="s">
        <v>394</v>
      </c>
      <c r="D664" s="108" t="s">
        <v>229</v>
      </c>
      <c r="E664" s="108" t="s">
        <v>471</v>
      </c>
      <c r="F664" s="108" t="s">
        <v>483</v>
      </c>
      <c r="G664" s="108" t="s">
        <v>35</v>
      </c>
      <c r="H664" s="126"/>
      <c r="L664" s="22"/>
      <c r="M664" s="22"/>
      <c r="N664" s="22"/>
      <c r="O664" s="22"/>
      <c r="P664" s="22"/>
      <c r="Q664" s="22"/>
    </row>
    <row r="665" spans="1:18" s="24" customFormat="1" ht="15.75">
      <c r="A665" s="21"/>
      <c r="B665" s="127" t="s">
        <v>36</v>
      </c>
      <c r="C665" s="109" t="s">
        <v>394</v>
      </c>
      <c r="D665" s="108" t="s">
        <v>229</v>
      </c>
      <c r="E665" s="108" t="s">
        <v>471</v>
      </c>
      <c r="F665" s="108" t="s">
        <v>483</v>
      </c>
      <c r="G665" s="108" t="s">
        <v>37</v>
      </c>
      <c r="H665" s="126"/>
      <c r="L665" s="22"/>
      <c r="M665" s="22"/>
      <c r="N665" s="22"/>
      <c r="O665" s="22"/>
      <c r="P665" s="22"/>
      <c r="Q665" s="22"/>
    </row>
    <row r="666" spans="1:18" s="24" customFormat="1" ht="15.75">
      <c r="A666" s="21"/>
      <c r="B666" s="127" t="s">
        <v>77</v>
      </c>
      <c r="C666" s="109" t="s">
        <v>394</v>
      </c>
      <c r="D666" s="108" t="s">
        <v>229</v>
      </c>
      <c r="E666" s="108" t="s">
        <v>471</v>
      </c>
      <c r="F666" s="108" t="s">
        <v>483</v>
      </c>
      <c r="G666" s="108" t="s">
        <v>78</v>
      </c>
      <c r="H666" s="126"/>
      <c r="L666" s="22"/>
      <c r="M666" s="22"/>
      <c r="N666" s="22"/>
      <c r="O666" s="22"/>
      <c r="P666" s="22"/>
      <c r="Q666" s="22"/>
    </row>
    <row r="667" spans="1:18" s="17" customFormat="1" ht="31.5">
      <c r="A667" s="14"/>
      <c r="B667" s="125" t="s">
        <v>38</v>
      </c>
      <c r="C667" s="109" t="s">
        <v>394</v>
      </c>
      <c r="D667" s="108" t="s">
        <v>229</v>
      </c>
      <c r="E667" s="108" t="s">
        <v>471</v>
      </c>
      <c r="F667" s="108" t="s">
        <v>485</v>
      </c>
      <c r="G667" s="108" t="s">
        <v>9</v>
      </c>
      <c r="H667" s="126">
        <f>H668</f>
        <v>0</v>
      </c>
      <c r="L667" s="20">
        <v>21313.48</v>
      </c>
      <c r="M667" s="20">
        <v>21313.48</v>
      </c>
      <c r="N667" s="20">
        <v>21313.48</v>
      </c>
      <c r="O667" s="20">
        <f>H667-L667</f>
        <v>-21313.48</v>
      </c>
      <c r="P667" s="20" t="e">
        <f>#REF!-M667</f>
        <v>#REF!</v>
      </c>
      <c r="Q667" s="20" t="e">
        <f>#REF!-N667</f>
        <v>#REF!</v>
      </c>
      <c r="R667" s="17" t="str">
        <f t="shared" si="78"/>
        <v>75 1 00 10020000</v>
      </c>
    </row>
    <row r="668" spans="1:18" s="17" customFormat="1" ht="31.5">
      <c r="A668" s="14"/>
      <c r="B668" s="125" t="s">
        <v>484</v>
      </c>
      <c r="C668" s="109" t="s">
        <v>394</v>
      </c>
      <c r="D668" s="108" t="s">
        <v>229</v>
      </c>
      <c r="E668" s="108" t="s">
        <v>471</v>
      </c>
      <c r="F668" s="108" t="s">
        <v>485</v>
      </c>
      <c r="G668" s="108" t="s">
        <v>21</v>
      </c>
      <c r="H668" s="126">
        <f>SUM(H669:H670)</f>
        <v>0</v>
      </c>
      <c r="L668" s="20">
        <v>21313.48</v>
      </c>
      <c r="M668" s="20">
        <v>21313.48</v>
      </c>
      <c r="N668" s="20">
        <v>21313.48</v>
      </c>
      <c r="O668" s="20">
        <f>H668-L668</f>
        <v>-21313.48</v>
      </c>
      <c r="P668" s="20" t="e">
        <f>#REF!-M668</f>
        <v>#REF!</v>
      </c>
      <c r="Q668" s="20" t="e">
        <f>#REF!-N668</f>
        <v>#REF!</v>
      </c>
      <c r="R668" s="17" t="str">
        <f t="shared" si="78"/>
        <v>75 1 00 10020120</v>
      </c>
    </row>
    <row r="669" spans="1:18" s="24" customFormat="1" ht="31.5">
      <c r="A669" s="21"/>
      <c r="B669" s="127" t="s">
        <v>40</v>
      </c>
      <c r="C669" s="109" t="s">
        <v>394</v>
      </c>
      <c r="D669" s="108" t="s">
        <v>229</v>
      </c>
      <c r="E669" s="108" t="s">
        <v>471</v>
      </c>
      <c r="F669" s="108" t="s">
        <v>485</v>
      </c>
      <c r="G669" s="108" t="s">
        <v>41</v>
      </c>
      <c r="H669" s="126"/>
      <c r="L669" s="22"/>
      <c r="M669" s="22"/>
      <c r="N669" s="22"/>
      <c r="O669" s="22"/>
      <c r="P669" s="22"/>
      <c r="Q669" s="22"/>
    </row>
    <row r="670" spans="1:18" s="24" customFormat="1" ht="63">
      <c r="A670" s="21"/>
      <c r="B670" s="127" t="s">
        <v>26</v>
      </c>
      <c r="C670" s="109" t="s">
        <v>394</v>
      </c>
      <c r="D670" s="108" t="s">
        <v>229</v>
      </c>
      <c r="E670" s="108" t="s">
        <v>471</v>
      </c>
      <c r="F670" s="108" t="s">
        <v>485</v>
      </c>
      <c r="G670" s="108" t="s">
        <v>27</v>
      </c>
      <c r="H670" s="126"/>
      <c r="L670" s="22"/>
      <c r="M670" s="22"/>
      <c r="N670" s="22"/>
      <c r="O670" s="22"/>
      <c r="P670" s="22"/>
      <c r="Q670" s="22"/>
    </row>
    <row r="671" spans="1:18" s="17" customFormat="1" ht="31.5">
      <c r="A671" s="14"/>
      <c r="B671" s="138" t="s">
        <v>136</v>
      </c>
      <c r="C671" s="109" t="s">
        <v>394</v>
      </c>
      <c r="D671" s="108" t="s">
        <v>229</v>
      </c>
      <c r="E671" s="108" t="s">
        <v>471</v>
      </c>
      <c r="F671" s="108" t="s">
        <v>486</v>
      </c>
      <c r="G671" s="108" t="s">
        <v>9</v>
      </c>
      <c r="H671" s="126">
        <f>H672+H675</f>
        <v>0</v>
      </c>
      <c r="L671" s="20">
        <v>6806.64</v>
      </c>
      <c r="M671" s="20">
        <v>6709.94</v>
      </c>
      <c r="N671" s="20">
        <v>6709.94</v>
      </c>
      <c r="O671" s="20">
        <f>H671-L671</f>
        <v>-6806.64</v>
      </c>
      <c r="P671" s="20" t="e">
        <f>#REF!-M671</f>
        <v>#REF!</v>
      </c>
      <c r="Q671" s="20" t="e">
        <f>#REF!-N671</f>
        <v>#REF!</v>
      </c>
      <c r="R671" s="17" t="str">
        <f t="shared" si="78"/>
        <v>75 1 00 11010000</v>
      </c>
    </row>
    <row r="672" spans="1:18" s="17" customFormat="1" ht="15.75">
      <c r="A672" s="14"/>
      <c r="B672" s="137" t="s">
        <v>138</v>
      </c>
      <c r="C672" s="109" t="s">
        <v>394</v>
      </c>
      <c r="D672" s="108" t="s">
        <v>229</v>
      </c>
      <c r="E672" s="108" t="s">
        <v>471</v>
      </c>
      <c r="F672" s="108" t="s">
        <v>486</v>
      </c>
      <c r="G672" s="108" t="s">
        <v>139</v>
      </c>
      <c r="H672" s="126">
        <f>SUM(H673:H674)</f>
        <v>0</v>
      </c>
      <c r="L672" s="20">
        <v>5943.04</v>
      </c>
      <c r="M672" s="20">
        <v>6483.32</v>
      </c>
      <c r="N672" s="20">
        <v>6483.32</v>
      </c>
      <c r="O672" s="20">
        <f>H672-L672</f>
        <v>-5943.04</v>
      </c>
      <c r="P672" s="20" t="e">
        <f>#REF!-M672</f>
        <v>#REF!</v>
      </c>
      <c r="Q672" s="20" t="e">
        <f>#REF!-N672</f>
        <v>#REF!</v>
      </c>
      <c r="R672" s="17" t="str">
        <f t="shared" si="78"/>
        <v>75 1 00 11010110</v>
      </c>
    </row>
    <row r="673" spans="1:18" s="24" customFormat="1" ht="15.75">
      <c r="A673" s="21"/>
      <c r="B673" s="127" t="s">
        <v>140</v>
      </c>
      <c r="C673" s="109" t="s">
        <v>394</v>
      </c>
      <c r="D673" s="108" t="s">
        <v>229</v>
      </c>
      <c r="E673" s="108" t="s">
        <v>471</v>
      </c>
      <c r="F673" s="108" t="s">
        <v>486</v>
      </c>
      <c r="G673" s="108" t="s">
        <v>141</v>
      </c>
      <c r="H673" s="126"/>
      <c r="L673" s="22"/>
      <c r="M673" s="22"/>
      <c r="N673" s="22"/>
      <c r="O673" s="22"/>
      <c r="P673" s="22"/>
      <c r="Q673" s="22"/>
    </row>
    <row r="674" spans="1:18" s="24" customFormat="1" ht="47.25">
      <c r="A674" s="21"/>
      <c r="B674" s="127" t="s">
        <v>487</v>
      </c>
      <c r="C674" s="109" t="s">
        <v>394</v>
      </c>
      <c r="D674" s="108" t="s">
        <v>229</v>
      </c>
      <c r="E674" s="108" t="s">
        <v>471</v>
      </c>
      <c r="F674" s="108" t="s">
        <v>486</v>
      </c>
      <c r="G674" s="108" t="s">
        <v>145</v>
      </c>
      <c r="H674" s="126"/>
      <c r="L674" s="22"/>
      <c r="M674" s="22"/>
      <c r="N674" s="22"/>
      <c r="O674" s="22"/>
      <c r="P674" s="22"/>
      <c r="Q674" s="22"/>
    </row>
    <row r="675" spans="1:18" s="17" customFormat="1" ht="31.5">
      <c r="A675" s="14"/>
      <c r="B675" s="125" t="s">
        <v>28</v>
      </c>
      <c r="C675" s="109" t="s">
        <v>394</v>
      </c>
      <c r="D675" s="108" t="s">
        <v>229</v>
      </c>
      <c r="E675" s="108" t="s">
        <v>471</v>
      </c>
      <c r="F675" s="108" t="s">
        <v>486</v>
      </c>
      <c r="G675" s="108" t="s">
        <v>29</v>
      </c>
      <c r="H675" s="126">
        <f>H676</f>
        <v>0</v>
      </c>
      <c r="L675" s="20">
        <v>863.6</v>
      </c>
      <c r="M675" s="20">
        <v>226.62</v>
      </c>
      <c r="N675" s="20">
        <v>226.62</v>
      </c>
      <c r="O675" s="20">
        <f>H675-L675</f>
        <v>-863.6</v>
      </c>
      <c r="P675" s="20" t="e">
        <f>#REF!-M675</f>
        <v>#REF!</v>
      </c>
      <c r="Q675" s="20" t="e">
        <f>#REF!-N675</f>
        <v>#REF!</v>
      </c>
      <c r="R675" s="17" t="str">
        <f t="shared" si="78"/>
        <v>75 1 00 11010240</v>
      </c>
    </row>
    <row r="676" spans="1:18" s="17" customFormat="1" ht="15.75">
      <c r="A676" s="14"/>
      <c r="B676" s="125" t="s">
        <v>30</v>
      </c>
      <c r="C676" s="109" t="s">
        <v>394</v>
      </c>
      <c r="D676" s="108" t="s">
        <v>229</v>
      </c>
      <c r="E676" s="108" t="s">
        <v>471</v>
      </c>
      <c r="F676" s="108" t="s">
        <v>486</v>
      </c>
      <c r="G676" s="108" t="s">
        <v>31</v>
      </c>
      <c r="H676" s="126"/>
      <c r="L676" s="20"/>
      <c r="M676" s="20"/>
      <c r="N676" s="20"/>
      <c r="O676" s="20"/>
      <c r="P676" s="20"/>
      <c r="Q676" s="20"/>
    </row>
    <row r="677" spans="1:18" s="17" customFormat="1" ht="63">
      <c r="A677" s="14" t="s">
        <v>80</v>
      </c>
      <c r="B677" s="125" t="s">
        <v>488</v>
      </c>
      <c r="C677" s="109" t="s">
        <v>394</v>
      </c>
      <c r="D677" s="108" t="s">
        <v>229</v>
      </c>
      <c r="E677" s="108" t="s">
        <v>471</v>
      </c>
      <c r="F677" s="108" t="s">
        <v>489</v>
      </c>
      <c r="G677" s="108" t="s">
        <v>9</v>
      </c>
      <c r="H677" s="126">
        <f>H678+H682</f>
        <v>0</v>
      </c>
      <c r="L677" s="20">
        <v>1971.42</v>
      </c>
      <c r="M677" s="20">
        <v>1971.42</v>
      </c>
      <c r="N677" s="20">
        <v>1971.42</v>
      </c>
      <c r="O677" s="20">
        <f>H677-L677</f>
        <v>-1971.42</v>
      </c>
      <c r="P677" s="20" t="e">
        <f>#REF!-M677</f>
        <v>#REF!</v>
      </c>
      <c r="Q677" s="20" t="e">
        <f>#REF!-N677</f>
        <v>#REF!</v>
      </c>
      <c r="R677" s="17" t="str">
        <f t="shared" si="78"/>
        <v>75 1 00 76200000</v>
      </c>
    </row>
    <row r="678" spans="1:18" s="17" customFormat="1" ht="31.5">
      <c r="A678" s="14"/>
      <c r="B678" s="125" t="s">
        <v>484</v>
      </c>
      <c r="C678" s="109" t="s">
        <v>394</v>
      </c>
      <c r="D678" s="108" t="s">
        <v>229</v>
      </c>
      <c r="E678" s="108" t="s">
        <v>471</v>
      </c>
      <c r="F678" s="108" t="s">
        <v>489</v>
      </c>
      <c r="G678" s="108" t="s">
        <v>21</v>
      </c>
      <c r="H678" s="126">
        <f>SUM(H679:H681)</f>
        <v>0</v>
      </c>
      <c r="L678" s="20">
        <v>1951.93</v>
      </c>
      <c r="M678" s="20">
        <v>1951.93</v>
      </c>
      <c r="N678" s="20">
        <v>1951.93</v>
      </c>
      <c r="O678" s="20">
        <f>H678-L678</f>
        <v>-1951.93</v>
      </c>
      <c r="P678" s="20" t="e">
        <f>#REF!-M678</f>
        <v>#REF!</v>
      </c>
      <c r="Q678" s="20" t="e">
        <f>#REF!-N678</f>
        <v>#REF!</v>
      </c>
      <c r="R678" s="17" t="str">
        <f t="shared" si="78"/>
        <v>75 1 00 76200120</v>
      </c>
    </row>
    <row r="679" spans="1:18" s="17" customFormat="1" ht="31.5">
      <c r="A679" s="14"/>
      <c r="B679" s="127" t="s">
        <v>40</v>
      </c>
      <c r="C679" s="109" t="s">
        <v>394</v>
      </c>
      <c r="D679" s="108" t="s">
        <v>229</v>
      </c>
      <c r="E679" s="108" t="s">
        <v>471</v>
      </c>
      <c r="F679" s="108" t="s">
        <v>489</v>
      </c>
      <c r="G679" s="108" t="s">
        <v>41</v>
      </c>
      <c r="H679" s="126"/>
      <c r="L679" s="20"/>
      <c r="M679" s="20"/>
      <c r="N679" s="20"/>
      <c r="O679" s="20"/>
      <c r="P679" s="20"/>
      <c r="Q679" s="20"/>
    </row>
    <row r="680" spans="1:18" s="24" customFormat="1" ht="47.25">
      <c r="A680" s="21"/>
      <c r="B680" s="127" t="s">
        <v>22</v>
      </c>
      <c r="C680" s="109" t="s">
        <v>394</v>
      </c>
      <c r="D680" s="108" t="s">
        <v>229</v>
      </c>
      <c r="E680" s="108" t="s">
        <v>471</v>
      </c>
      <c r="F680" s="108" t="s">
        <v>489</v>
      </c>
      <c r="G680" s="108" t="s">
        <v>23</v>
      </c>
      <c r="H680" s="126"/>
      <c r="L680" s="22"/>
      <c r="M680" s="22"/>
      <c r="N680" s="22"/>
      <c r="O680" s="22"/>
      <c r="P680" s="22"/>
      <c r="Q680" s="22"/>
    </row>
    <row r="681" spans="1:18" s="24" customFormat="1" ht="63">
      <c r="A681" s="21"/>
      <c r="B681" s="127" t="s">
        <v>26</v>
      </c>
      <c r="C681" s="109" t="s">
        <v>394</v>
      </c>
      <c r="D681" s="108" t="s">
        <v>229</v>
      </c>
      <c r="E681" s="108" t="s">
        <v>471</v>
      </c>
      <c r="F681" s="108" t="s">
        <v>489</v>
      </c>
      <c r="G681" s="108" t="s">
        <v>27</v>
      </c>
      <c r="H681" s="126"/>
      <c r="L681" s="22"/>
      <c r="M681" s="22"/>
      <c r="N681" s="22"/>
      <c r="O681" s="22"/>
      <c r="P681" s="22"/>
      <c r="Q681" s="22"/>
    </row>
    <row r="682" spans="1:18" s="17" customFormat="1" ht="31.5">
      <c r="A682" s="14"/>
      <c r="B682" s="125" t="s">
        <v>28</v>
      </c>
      <c r="C682" s="109" t="s">
        <v>394</v>
      </c>
      <c r="D682" s="108" t="s">
        <v>229</v>
      </c>
      <c r="E682" s="108" t="s">
        <v>471</v>
      </c>
      <c r="F682" s="108" t="s">
        <v>489</v>
      </c>
      <c r="G682" s="108" t="s">
        <v>29</v>
      </c>
      <c r="H682" s="126">
        <f>H683</f>
        <v>0</v>
      </c>
      <c r="L682" s="20">
        <v>19.489999999999998</v>
      </c>
      <c r="M682" s="20">
        <v>19.489999999999998</v>
      </c>
      <c r="N682" s="20">
        <v>19.489999999999998</v>
      </c>
      <c r="O682" s="20">
        <f>H682-L682</f>
        <v>-19.489999999999998</v>
      </c>
      <c r="P682" s="20" t="e">
        <f>#REF!-M682</f>
        <v>#REF!</v>
      </c>
      <c r="Q682" s="20" t="e">
        <f>#REF!-N682</f>
        <v>#REF!</v>
      </c>
      <c r="R682" s="17" t="str">
        <f t="shared" si="78"/>
        <v>75 1 00 76200240</v>
      </c>
    </row>
    <row r="683" spans="1:18" s="17" customFormat="1" ht="15.75">
      <c r="A683" s="14"/>
      <c r="B683" s="125" t="s">
        <v>30</v>
      </c>
      <c r="C683" s="109" t="s">
        <v>394</v>
      </c>
      <c r="D683" s="108" t="s">
        <v>229</v>
      </c>
      <c r="E683" s="108" t="s">
        <v>471</v>
      </c>
      <c r="F683" s="108" t="s">
        <v>489</v>
      </c>
      <c r="G683" s="108" t="s">
        <v>31</v>
      </c>
      <c r="H683" s="126"/>
      <c r="L683" s="20"/>
      <c r="M683" s="20"/>
      <c r="N683" s="20"/>
      <c r="O683" s="20"/>
      <c r="P683" s="20"/>
      <c r="Q683" s="20"/>
    </row>
    <row r="684" spans="1:18" s="17" customFormat="1" ht="15.75">
      <c r="A684" s="14"/>
      <c r="B684" s="117" t="s">
        <v>316</v>
      </c>
      <c r="C684" s="118" t="s">
        <v>394</v>
      </c>
      <c r="D684" s="119" t="s">
        <v>317</v>
      </c>
      <c r="E684" s="119" t="s">
        <v>7</v>
      </c>
      <c r="F684" s="119" t="s">
        <v>8</v>
      </c>
      <c r="G684" s="119" t="s">
        <v>9</v>
      </c>
      <c r="H684" s="120">
        <f t="shared" ref="H684:H686" si="79">H685</f>
        <v>0</v>
      </c>
      <c r="L684" s="18">
        <v>130554.89</v>
      </c>
      <c r="M684" s="18">
        <v>130554.89</v>
      </c>
      <c r="N684" s="18">
        <v>130554.89</v>
      </c>
      <c r="O684" s="18">
        <f t="shared" ref="O684:O690" si="80">H684-L684</f>
        <v>-130554.89</v>
      </c>
      <c r="P684" s="18" t="e">
        <f>#REF!-M684</f>
        <v>#REF!</v>
      </c>
      <c r="Q684" s="18" t="e">
        <f>#REF!-N684</f>
        <v>#REF!</v>
      </c>
      <c r="R684" s="17" t="str">
        <f t="shared" si="78"/>
        <v>00 0 00 00000000</v>
      </c>
    </row>
    <row r="685" spans="1:18" s="17" customFormat="1" ht="15.75">
      <c r="A685" s="14"/>
      <c r="B685" s="121" t="s">
        <v>490</v>
      </c>
      <c r="C685" s="122" t="s">
        <v>394</v>
      </c>
      <c r="D685" s="123" t="s">
        <v>317</v>
      </c>
      <c r="E685" s="123" t="s">
        <v>73</v>
      </c>
      <c r="F685" s="123" t="s">
        <v>8</v>
      </c>
      <c r="G685" s="123" t="s">
        <v>9</v>
      </c>
      <c r="H685" s="124">
        <f t="shared" si="79"/>
        <v>0</v>
      </c>
      <c r="L685" s="19">
        <v>130554.89</v>
      </c>
      <c r="M685" s="19">
        <v>130554.89</v>
      </c>
      <c r="N685" s="19">
        <v>130554.89</v>
      </c>
      <c r="O685" s="19">
        <f t="shared" si="80"/>
        <v>-130554.89</v>
      </c>
      <c r="P685" s="19" t="e">
        <f>#REF!-M685</f>
        <v>#REF!</v>
      </c>
      <c r="Q685" s="19" t="e">
        <f>#REF!-N685</f>
        <v>#REF!</v>
      </c>
      <c r="R685" s="17" t="str">
        <f t="shared" si="78"/>
        <v>00 0 00 00000000</v>
      </c>
    </row>
    <row r="686" spans="1:18" s="17" customFormat="1" ht="31.5">
      <c r="A686" s="14"/>
      <c r="B686" s="132" t="s">
        <v>396</v>
      </c>
      <c r="C686" s="109" t="s">
        <v>394</v>
      </c>
      <c r="D686" s="108" t="s">
        <v>317</v>
      </c>
      <c r="E686" s="108" t="s">
        <v>73</v>
      </c>
      <c r="F686" s="108" t="s">
        <v>397</v>
      </c>
      <c r="G686" s="108" t="s">
        <v>9</v>
      </c>
      <c r="H686" s="126">
        <f t="shared" si="79"/>
        <v>0</v>
      </c>
      <c r="L686" s="20">
        <v>130554.89</v>
      </c>
      <c r="M686" s="20">
        <v>130554.89</v>
      </c>
      <c r="N686" s="20">
        <v>130554.89</v>
      </c>
      <c r="O686" s="20">
        <f t="shared" si="80"/>
        <v>-130554.89</v>
      </c>
      <c r="P686" s="20" t="e">
        <f>#REF!-M686</f>
        <v>#REF!</v>
      </c>
      <c r="Q686" s="20" t="e">
        <f>#REF!-N686</f>
        <v>#REF!</v>
      </c>
      <c r="R686" s="17" t="str">
        <f t="shared" si="78"/>
        <v>01 0 00 00000000</v>
      </c>
    </row>
    <row r="687" spans="1:18" s="17" customFormat="1" ht="31.5">
      <c r="A687" s="14"/>
      <c r="B687" s="132" t="s">
        <v>398</v>
      </c>
      <c r="C687" s="109" t="s">
        <v>394</v>
      </c>
      <c r="D687" s="108" t="s">
        <v>317</v>
      </c>
      <c r="E687" s="108" t="s">
        <v>73</v>
      </c>
      <c r="F687" s="108" t="s">
        <v>399</v>
      </c>
      <c r="G687" s="108" t="s">
        <v>9</v>
      </c>
      <c r="H687" s="126">
        <f>H688+H694</f>
        <v>0</v>
      </c>
      <c r="L687" s="20">
        <v>130554.89</v>
      </c>
      <c r="M687" s="20">
        <v>130554.89</v>
      </c>
      <c r="N687" s="20">
        <v>130554.89</v>
      </c>
      <c r="O687" s="20">
        <f t="shared" si="80"/>
        <v>-130554.89</v>
      </c>
      <c r="P687" s="20" t="e">
        <f>#REF!-M687</f>
        <v>#REF!</v>
      </c>
      <c r="Q687" s="20" t="e">
        <f>#REF!-N687</f>
        <v>#REF!</v>
      </c>
      <c r="R687" s="17" t="str">
        <f t="shared" si="78"/>
        <v>01 1 00 00000000</v>
      </c>
    </row>
    <row r="688" spans="1:18" s="17" customFormat="1" ht="47.25">
      <c r="A688" s="14"/>
      <c r="B688" s="132" t="s">
        <v>400</v>
      </c>
      <c r="C688" s="109" t="s">
        <v>394</v>
      </c>
      <c r="D688" s="108" t="s">
        <v>317</v>
      </c>
      <c r="E688" s="108" t="s">
        <v>73</v>
      </c>
      <c r="F688" s="108" t="s">
        <v>401</v>
      </c>
      <c r="G688" s="108" t="s">
        <v>9</v>
      </c>
      <c r="H688" s="126">
        <f>H689</f>
        <v>0</v>
      </c>
      <c r="L688" s="20">
        <v>83933.4</v>
      </c>
      <c r="M688" s="20">
        <v>83933.4</v>
      </c>
      <c r="N688" s="20">
        <v>83933.4</v>
      </c>
      <c r="O688" s="20">
        <f t="shared" si="80"/>
        <v>-83933.4</v>
      </c>
      <c r="P688" s="20" t="e">
        <f>#REF!-M688</f>
        <v>#REF!</v>
      </c>
      <c r="Q688" s="20" t="e">
        <f>#REF!-N688</f>
        <v>#REF!</v>
      </c>
      <c r="R688" s="17" t="str">
        <f t="shared" si="78"/>
        <v>01 1 01 00000000</v>
      </c>
    </row>
    <row r="689" spans="1:18" s="17" customFormat="1" ht="78.75">
      <c r="A689" s="14" t="s">
        <v>80</v>
      </c>
      <c r="B689" s="132" t="s">
        <v>491</v>
      </c>
      <c r="C689" s="109" t="s">
        <v>394</v>
      </c>
      <c r="D689" s="108" t="s">
        <v>317</v>
      </c>
      <c r="E689" s="108" t="s">
        <v>73</v>
      </c>
      <c r="F689" s="108" t="s">
        <v>492</v>
      </c>
      <c r="G689" s="108" t="s">
        <v>9</v>
      </c>
      <c r="H689" s="126">
        <f>H690+H692</f>
        <v>0</v>
      </c>
      <c r="L689" s="20">
        <v>83933.4</v>
      </c>
      <c r="M689" s="20">
        <v>83933.4</v>
      </c>
      <c r="N689" s="20">
        <v>83933.4</v>
      </c>
      <c r="O689" s="20">
        <f t="shared" si="80"/>
        <v>-83933.4</v>
      </c>
      <c r="P689" s="20" t="e">
        <f>#REF!-M689</f>
        <v>#REF!</v>
      </c>
      <c r="Q689" s="20" t="e">
        <f>#REF!-N689</f>
        <v>#REF!</v>
      </c>
      <c r="R689" s="17" t="str">
        <f t="shared" si="78"/>
        <v>01 1 01 76140000</v>
      </c>
    </row>
    <row r="690" spans="1:18" s="17" customFormat="1" ht="31.5">
      <c r="A690" s="14"/>
      <c r="B690" s="125" t="s">
        <v>28</v>
      </c>
      <c r="C690" s="109" t="s">
        <v>394</v>
      </c>
      <c r="D690" s="108" t="s">
        <v>317</v>
      </c>
      <c r="E690" s="108" t="s">
        <v>73</v>
      </c>
      <c r="F690" s="108" t="s">
        <v>492</v>
      </c>
      <c r="G690" s="108" t="s">
        <v>29</v>
      </c>
      <c r="H690" s="126">
        <f>H691</f>
        <v>0</v>
      </c>
      <c r="L690" s="20">
        <v>1259</v>
      </c>
      <c r="M690" s="20">
        <v>1259</v>
      </c>
      <c r="N690" s="20">
        <v>1259</v>
      </c>
      <c r="O690" s="20">
        <f t="shared" si="80"/>
        <v>-1259</v>
      </c>
      <c r="P690" s="20" t="e">
        <f>#REF!-M690</f>
        <v>#REF!</v>
      </c>
      <c r="Q690" s="20" t="e">
        <f>#REF!-N690</f>
        <v>#REF!</v>
      </c>
      <c r="R690" s="17" t="str">
        <f t="shared" si="78"/>
        <v>01 1 01 76140240</v>
      </c>
    </row>
    <row r="691" spans="1:18" s="17" customFormat="1" ht="15.75">
      <c r="A691" s="14"/>
      <c r="B691" s="125" t="s">
        <v>30</v>
      </c>
      <c r="C691" s="109" t="s">
        <v>394</v>
      </c>
      <c r="D691" s="108" t="s">
        <v>317</v>
      </c>
      <c r="E691" s="108" t="s">
        <v>73</v>
      </c>
      <c r="F691" s="108" t="s">
        <v>492</v>
      </c>
      <c r="G691" s="108" t="s">
        <v>31</v>
      </c>
      <c r="H691" s="126"/>
      <c r="L691" s="20"/>
      <c r="M691" s="20"/>
      <c r="N691" s="20"/>
      <c r="O691" s="20"/>
      <c r="P691" s="20"/>
      <c r="Q691" s="20"/>
      <c r="R691" s="17" t="str">
        <f t="shared" si="78"/>
        <v>01 1 01 76140244</v>
      </c>
    </row>
    <row r="692" spans="1:18" s="17" customFormat="1" ht="31.5">
      <c r="A692" s="14"/>
      <c r="B692" s="132" t="s">
        <v>493</v>
      </c>
      <c r="C692" s="109" t="s">
        <v>394</v>
      </c>
      <c r="D692" s="108" t="s">
        <v>317</v>
      </c>
      <c r="E692" s="108" t="s">
        <v>73</v>
      </c>
      <c r="F692" s="108" t="s">
        <v>492</v>
      </c>
      <c r="G692" s="108" t="s">
        <v>494</v>
      </c>
      <c r="H692" s="126">
        <f>H693</f>
        <v>0</v>
      </c>
      <c r="L692" s="20">
        <v>82674.399999999994</v>
      </c>
      <c r="M692" s="20">
        <v>82674.399999999994</v>
      </c>
      <c r="N692" s="20">
        <v>82674.399999999994</v>
      </c>
      <c r="O692" s="20">
        <f>H692-L692</f>
        <v>-82674.399999999994</v>
      </c>
      <c r="P692" s="20" t="e">
        <f>#REF!-M692</f>
        <v>#REF!</v>
      </c>
      <c r="Q692" s="20" t="e">
        <f>#REF!-N692</f>
        <v>#REF!</v>
      </c>
      <c r="R692" s="17" t="str">
        <f t="shared" si="78"/>
        <v>01 1 01 76140310</v>
      </c>
    </row>
    <row r="693" spans="1:18" s="17" customFormat="1" ht="31.5">
      <c r="A693" s="14"/>
      <c r="B693" s="127" t="s">
        <v>495</v>
      </c>
      <c r="C693" s="109" t="s">
        <v>394</v>
      </c>
      <c r="D693" s="108" t="s">
        <v>317</v>
      </c>
      <c r="E693" s="108" t="s">
        <v>73</v>
      </c>
      <c r="F693" s="108" t="s">
        <v>492</v>
      </c>
      <c r="G693" s="108" t="s">
        <v>496</v>
      </c>
      <c r="H693" s="126"/>
      <c r="L693" s="20"/>
      <c r="M693" s="20"/>
      <c r="N693" s="20"/>
      <c r="O693" s="20"/>
      <c r="P693" s="20"/>
      <c r="Q693" s="20"/>
    </row>
    <row r="694" spans="1:18" s="17" customFormat="1" ht="47.25">
      <c r="A694" s="14" t="s">
        <v>80</v>
      </c>
      <c r="B694" s="132" t="s">
        <v>497</v>
      </c>
      <c r="C694" s="109" t="s">
        <v>394</v>
      </c>
      <c r="D694" s="108" t="s">
        <v>317</v>
      </c>
      <c r="E694" s="108" t="s">
        <v>73</v>
      </c>
      <c r="F694" s="108" t="s">
        <v>498</v>
      </c>
      <c r="G694" s="108" t="s">
        <v>9</v>
      </c>
      <c r="H694" s="126">
        <f>H695+H698+H701+H704</f>
        <v>0</v>
      </c>
      <c r="L694" s="20">
        <v>46621.490000000005</v>
      </c>
      <c r="M694" s="20">
        <v>46621.490000000005</v>
      </c>
      <c r="N694" s="20">
        <v>46621.490000000005</v>
      </c>
      <c r="O694" s="20">
        <f>H694-L694</f>
        <v>-46621.490000000005</v>
      </c>
      <c r="P694" s="20" t="e">
        <f>#REF!-M694</f>
        <v>#REF!</v>
      </c>
      <c r="Q694" s="20" t="e">
        <f>#REF!-N694</f>
        <v>#REF!</v>
      </c>
      <c r="R694" s="17" t="str">
        <f t="shared" si="78"/>
        <v>01 1 07 00000000</v>
      </c>
    </row>
    <row r="695" spans="1:18" s="17" customFormat="1" ht="31.5">
      <c r="A695" s="14"/>
      <c r="B695" s="132" t="s">
        <v>499</v>
      </c>
      <c r="C695" s="109" t="s">
        <v>394</v>
      </c>
      <c r="D695" s="108" t="s">
        <v>317</v>
      </c>
      <c r="E695" s="108" t="s">
        <v>73</v>
      </c>
      <c r="F695" s="108" t="s">
        <v>500</v>
      </c>
      <c r="G695" s="108" t="s">
        <v>9</v>
      </c>
      <c r="H695" s="126">
        <f>H696</f>
        <v>0</v>
      </c>
      <c r="L695" s="20">
        <v>28714.45</v>
      </c>
      <c r="M695" s="20">
        <v>28714.45</v>
      </c>
      <c r="N695" s="20">
        <v>28714.45</v>
      </c>
      <c r="O695" s="20">
        <f>H695-L695</f>
        <v>-28714.45</v>
      </c>
      <c r="P695" s="20" t="e">
        <f>#REF!-M695</f>
        <v>#REF!</v>
      </c>
      <c r="Q695" s="20" t="e">
        <f>#REF!-N695</f>
        <v>#REF!</v>
      </c>
      <c r="R695" s="17" t="str">
        <f t="shared" si="78"/>
        <v>01 1 07 78110000</v>
      </c>
    </row>
    <row r="696" spans="1:18" s="17" customFormat="1" ht="31.5">
      <c r="A696" s="14"/>
      <c r="B696" s="132" t="s">
        <v>327</v>
      </c>
      <c r="C696" s="109" t="s">
        <v>394</v>
      </c>
      <c r="D696" s="108" t="s">
        <v>317</v>
      </c>
      <c r="E696" s="108" t="s">
        <v>73</v>
      </c>
      <c r="F696" s="108" t="s">
        <v>500</v>
      </c>
      <c r="G696" s="108" t="s">
        <v>328</v>
      </c>
      <c r="H696" s="126">
        <f>H697</f>
        <v>0</v>
      </c>
      <c r="L696" s="20">
        <v>28714.45</v>
      </c>
      <c r="M696" s="20">
        <v>28714.45</v>
      </c>
      <c r="N696" s="20">
        <v>28714.45</v>
      </c>
      <c r="O696" s="20">
        <f>H696-L696</f>
        <v>-28714.45</v>
      </c>
      <c r="P696" s="20" t="e">
        <f>#REF!-M696</f>
        <v>#REF!</v>
      </c>
      <c r="Q696" s="20" t="e">
        <f>#REF!-N696</f>
        <v>#REF!</v>
      </c>
      <c r="R696" s="17" t="str">
        <f t="shared" si="78"/>
        <v>01 1 07 78110320</v>
      </c>
    </row>
    <row r="697" spans="1:18" s="17" customFormat="1" ht="31.5">
      <c r="A697" s="14"/>
      <c r="B697" s="125" t="s">
        <v>501</v>
      </c>
      <c r="C697" s="109" t="s">
        <v>394</v>
      </c>
      <c r="D697" s="108" t="s">
        <v>317</v>
      </c>
      <c r="E697" s="108" t="s">
        <v>73</v>
      </c>
      <c r="F697" s="108" t="s">
        <v>500</v>
      </c>
      <c r="G697" s="108" t="s">
        <v>502</v>
      </c>
      <c r="H697" s="126"/>
      <c r="L697" s="20"/>
      <c r="M697" s="20"/>
      <c r="N697" s="20"/>
      <c r="O697" s="20"/>
      <c r="P697" s="20"/>
      <c r="Q697" s="20"/>
    </row>
    <row r="698" spans="1:18" s="17" customFormat="1" ht="78.75">
      <c r="A698" s="14"/>
      <c r="B698" s="125" t="s">
        <v>503</v>
      </c>
      <c r="C698" s="109" t="s">
        <v>394</v>
      </c>
      <c r="D698" s="108" t="s">
        <v>317</v>
      </c>
      <c r="E698" s="108" t="s">
        <v>73</v>
      </c>
      <c r="F698" s="108" t="s">
        <v>504</v>
      </c>
      <c r="G698" s="108" t="s">
        <v>9</v>
      </c>
      <c r="H698" s="126">
        <f>H699</f>
        <v>0</v>
      </c>
      <c r="L698" s="20">
        <v>1642.42</v>
      </c>
      <c r="M698" s="20">
        <v>1642.42</v>
      </c>
      <c r="N698" s="20">
        <v>1642.42</v>
      </c>
      <c r="O698" s="20">
        <f>H698-L698</f>
        <v>-1642.42</v>
      </c>
      <c r="P698" s="20" t="e">
        <f>#REF!-M698</f>
        <v>#REF!</v>
      </c>
      <c r="Q698" s="20" t="e">
        <f>#REF!-N698</f>
        <v>#REF!</v>
      </c>
      <c r="R698" s="17" t="str">
        <f t="shared" si="78"/>
        <v>01 1 07 78120000</v>
      </c>
    </row>
    <row r="699" spans="1:18" s="17" customFormat="1" ht="31.5">
      <c r="A699" s="14"/>
      <c r="B699" s="132" t="s">
        <v>327</v>
      </c>
      <c r="C699" s="109" t="s">
        <v>394</v>
      </c>
      <c r="D699" s="108" t="s">
        <v>317</v>
      </c>
      <c r="E699" s="108" t="s">
        <v>73</v>
      </c>
      <c r="F699" s="108" t="s">
        <v>504</v>
      </c>
      <c r="G699" s="108" t="s">
        <v>328</v>
      </c>
      <c r="H699" s="126">
        <f>H700</f>
        <v>0</v>
      </c>
      <c r="L699" s="20">
        <v>1642.42</v>
      </c>
      <c r="M699" s="20">
        <v>1642.42</v>
      </c>
      <c r="N699" s="20">
        <v>1642.42</v>
      </c>
      <c r="O699" s="20">
        <f>H699-L699</f>
        <v>-1642.42</v>
      </c>
      <c r="P699" s="20" t="e">
        <f>#REF!-M699</f>
        <v>#REF!</v>
      </c>
      <c r="Q699" s="20" t="e">
        <f>#REF!-N699</f>
        <v>#REF!</v>
      </c>
      <c r="R699" s="17" t="str">
        <f t="shared" si="78"/>
        <v>01 1 07 78120320</v>
      </c>
    </row>
    <row r="700" spans="1:18" s="17" customFormat="1" ht="31.5">
      <c r="A700" s="14"/>
      <c r="B700" s="125" t="s">
        <v>501</v>
      </c>
      <c r="C700" s="109" t="s">
        <v>394</v>
      </c>
      <c r="D700" s="108" t="s">
        <v>317</v>
      </c>
      <c r="E700" s="108" t="s">
        <v>73</v>
      </c>
      <c r="F700" s="108" t="s">
        <v>504</v>
      </c>
      <c r="G700" s="108" t="s">
        <v>502</v>
      </c>
      <c r="H700" s="126"/>
      <c r="L700" s="20"/>
      <c r="M700" s="20"/>
      <c r="N700" s="20"/>
      <c r="O700" s="20"/>
      <c r="P700" s="20"/>
      <c r="Q700" s="20"/>
    </row>
    <row r="701" spans="1:18" s="17" customFormat="1" ht="63">
      <c r="A701" s="14"/>
      <c r="B701" s="125" t="s">
        <v>505</v>
      </c>
      <c r="C701" s="109" t="s">
        <v>394</v>
      </c>
      <c r="D701" s="108" t="s">
        <v>317</v>
      </c>
      <c r="E701" s="108" t="s">
        <v>73</v>
      </c>
      <c r="F701" s="108" t="s">
        <v>506</v>
      </c>
      <c r="G701" s="108" t="s">
        <v>9</v>
      </c>
      <c r="H701" s="126">
        <f>H702</f>
        <v>0</v>
      </c>
      <c r="L701" s="20">
        <v>12987.12</v>
      </c>
      <c r="M701" s="20">
        <v>12987.12</v>
      </c>
      <c r="N701" s="20">
        <v>12987.12</v>
      </c>
      <c r="O701" s="20">
        <f>H701-L701</f>
        <v>-12987.12</v>
      </c>
      <c r="P701" s="20" t="e">
        <f>#REF!-M701</f>
        <v>#REF!</v>
      </c>
      <c r="Q701" s="20" t="e">
        <f>#REF!-N701</f>
        <v>#REF!</v>
      </c>
      <c r="R701" s="17" t="str">
        <f t="shared" si="78"/>
        <v>01 1 07 78130000</v>
      </c>
    </row>
    <row r="702" spans="1:18" s="17" customFormat="1" ht="31.5">
      <c r="A702" s="14"/>
      <c r="B702" s="132" t="s">
        <v>327</v>
      </c>
      <c r="C702" s="109" t="s">
        <v>394</v>
      </c>
      <c r="D702" s="108" t="s">
        <v>317</v>
      </c>
      <c r="E702" s="108" t="s">
        <v>73</v>
      </c>
      <c r="F702" s="108" t="s">
        <v>506</v>
      </c>
      <c r="G702" s="108" t="s">
        <v>328</v>
      </c>
      <c r="H702" s="126">
        <f>H703</f>
        <v>0</v>
      </c>
      <c r="L702" s="20">
        <v>12987.12</v>
      </c>
      <c r="M702" s="20">
        <v>12987.12</v>
      </c>
      <c r="N702" s="20">
        <v>12987.12</v>
      </c>
      <c r="O702" s="20">
        <f>H702-L702</f>
        <v>-12987.12</v>
      </c>
      <c r="P702" s="20" t="e">
        <f>#REF!-M702</f>
        <v>#REF!</v>
      </c>
      <c r="Q702" s="20" t="e">
        <f>#REF!-N702</f>
        <v>#REF!</v>
      </c>
      <c r="R702" s="17" t="str">
        <f t="shared" si="78"/>
        <v>01 1 07 78130320</v>
      </c>
    </row>
    <row r="703" spans="1:18" s="17" customFormat="1" ht="31.5">
      <c r="A703" s="14"/>
      <c r="B703" s="125" t="s">
        <v>501</v>
      </c>
      <c r="C703" s="109" t="s">
        <v>394</v>
      </c>
      <c r="D703" s="108" t="s">
        <v>317</v>
      </c>
      <c r="E703" s="108" t="s">
        <v>73</v>
      </c>
      <c r="F703" s="108" t="s">
        <v>506</v>
      </c>
      <c r="G703" s="108" t="s">
        <v>502</v>
      </c>
      <c r="H703" s="126"/>
      <c r="L703" s="20"/>
      <c r="M703" s="20"/>
      <c r="N703" s="20"/>
      <c r="O703" s="20"/>
      <c r="P703" s="20"/>
      <c r="Q703" s="20"/>
    </row>
    <row r="704" spans="1:18" s="17" customFormat="1" ht="31.5">
      <c r="A704" s="14"/>
      <c r="B704" s="125" t="s">
        <v>507</v>
      </c>
      <c r="C704" s="109" t="s">
        <v>394</v>
      </c>
      <c r="D704" s="108" t="s">
        <v>317</v>
      </c>
      <c r="E704" s="108" t="s">
        <v>73</v>
      </c>
      <c r="F704" s="108" t="s">
        <v>508</v>
      </c>
      <c r="G704" s="108" t="s">
        <v>9</v>
      </c>
      <c r="H704" s="126">
        <f>H705</f>
        <v>0</v>
      </c>
      <c r="L704" s="20">
        <v>3277.5</v>
      </c>
      <c r="M704" s="20">
        <v>3277.5</v>
      </c>
      <c r="N704" s="20">
        <v>3277.5</v>
      </c>
      <c r="O704" s="20">
        <f>H704-L704</f>
        <v>-3277.5</v>
      </c>
      <c r="P704" s="20" t="e">
        <f>#REF!-M704</f>
        <v>#REF!</v>
      </c>
      <c r="Q704" s="20" t="e">
        <f>#REF!-N704</f>
        <v>#REF!</v>
      </c>
      <c r="R704" s="17" t="str">
        <f t="shared" si="78"/>
        <v>01 1 07 78140000</v>
      </c>
    </row>
    <row r="705" spans="1:18" s="17" customFormat="1" ht="31.5">
      <c r="A705" s="14"/>
      <c r="B705" s="132" t="s">
        <v>327</v>
      </c>
      <c r="C705" s="109" t="s">
        <v>394</v>
      </c>
      <c r="D705" s="108" t="s">
        <v>317</v>
      </c>
      <c r="E705" s="108" t="s">
        <v>73</v>
      </c>
      <c r="F705" s="108" t="s">
        <v>508</v>
      </c>
      <c r="G705" s="108" t="s">
        <v>328</v>
      </c>
      <c r="H705" s="126">
        <f>H706</f>
        <v>0</v>
      </c>
      <c r="L705" s="20">
        <v>3277.5</v>
      </c>
      <c r="M705" s="20">
        <v>3277.5</v>
      </c>
      <c r="N705" s="20">
        <v>3277.5</v>
      </c>
      <c r="O705" s="20">
        <f>H705-L705</f>
        <v>-3277.5</v>
      </c>
      <c r="P705" s="20" t="e">
        <f>#REF!-M705</f>
        <v>#REF!</v>
      </c>
      <c r="Q705" s="20" t="e">
        <f>#REF!-N705</f>
        <v>#REF!</v>
      </c>
      <c r="R705" s="17" t="str">
        <f t="shared" si="78"/>
        <v>01 1 07 78140320</v>
      </c>
    </row>
    <row r="706" spans="1:18" s="24" customFormat="1" ht="31.5">
      <c r="A706" s="21"/>
      <c r="B706" s="125" t="s">
        <v>501</v>
      </c>
      <c r="C706" s="109" t="s">
        <v>394</v>
      </c>
      <c r="D706" s="108" t="s">
        <v>317</v>
      </c>
      <c r="E706" s="108" t="s">
        <v>73</v>
      </c>
      <c r="F706" s="108" t="s">
        <v>508</v>
      </c>
      <c r="G706" s="108" t="s">
        <v>502</v>
      </c>
      <c r="H706" s="126"/>
      <c r="L706" s="22"/>
      <c r="M706" s="22"/>
      <c r="N706" s="22"/>
      <c r="O706" s="22"/>
      <c r="P706" s="22"/>
      <c r="Q706" s="22"/>
    </row>
    <row r="707" spans="1:18" s="17" customFormat="1" ht="15.75">
      <c r="A707" s="14"/>
      <c r="B707" s="132"/>
      <c r="C707" s="109"/>
      <c r="D707" s="108"/>
      <c r="E707" s="108"/>
      <c r="F707" s="108"/>
      <c r="G707" s="108"/>
      <c r="H707" s="126"/>
      <c r="L707" s="20"/>
      <c r="M707" s="20"/>
      <c r="N707" s="20"/>
      <c r="O707" s="20">
        <f t="shared" ref="O707:O714" si="81">H707-L707</f>
        <v>0</v>
      </c>
      <c r="P707" s="20" t="e">
        <f>#REF!-M707</f>
        <v>#REF!</v>
      </c>
      <c r="Q707" s="20" t="e">
        <f>#REF!-N707</f>
        <v>#REF!</v>
      </c>
      <c r="R707" s="17" t="str">
        <f t="shared" si="78"/>
        <v/>
      </c>
    </row>
    <row r="708" spans="1:18" s="16" customFormat="1" ht="31.5">
      <c r="A708" s="14"/>
      <c r="B708" s="67" t="s">
        <v>509</v>
      </c>
      <c r="C708" s="116" t="s">
        <v>510</v>
      </c>
      <c r="D708" s="69" t="s">
        <v>7</v>
      </c>
      <c r="E708" s="69" t="s">
        <v>7</v>
      </c>
      <c r="F708" s="69" t="s">
        <v>8</v>
      </c>
      <c r="G708" s="69" t="s">
        <v>9</v>
      </c>
      <c r="H708" s="70">
        <f>H709+H721+H816</f>
        <v>0</v>
      </c>
      <c r="L708" s="25">
        <v>347859.82999999996</v>
      </c>
      <c r="M708" s="25">
        <v>338559.18</v>
      </c>
      <c r="N708" s="25">
        <v>338559.18</v>
      </c>
      <c r="O708" s="25">
        <f t="shared" si="81"/>
        <v>-347859.82999999996</v>
      </c>
      <c r="P708" s="25" t="e">
        <f>#REF!-M708</f>
        <v>#REF!</v>
      </c>
      <c r="Q708" s="25" t="e">
        <f>#REF!-N708</f>
        <v>#REF!</v>
      </c>
      <c r="R708" s="17" t="str">
        <f t="shared" si="78"/>
        <v>00 0 00 00000000</v>
      </c>
    </row>
    <row r="709" spans="1:18" s="16" customFormat="1" ht="15.75">
      <c r="A709" s="14"/>
      <c r="B709" s="117" t="s">
        <v>10</v>
      </c>
      <c r="C709" s="118" t="s">
        <v>510</v>
      </c>
      <c r="D709" s="119" t="s">
        <v>11</v>
      </c>
      <c r="E709" s="119" t="s">
        <v>7</v>
      </c>
      <c r="F709" s="119" t="s">
        <v>8</v>
      </c>
      <c r="G709" s="119" t="s">
        <v>9</v>
      </c>
      <c r="H709" s="120">
        <f t="shared" ref="H709:H712" si="82">H710</f>
        <v>0</v>
      </c>
      <c r="L709" s="18">
        <v>1386.7</v>
      </c>
      <c r="M709" s="18">
        <v>1386.7</v>
      </c>
      <c r="N709" s="18">
        <v>1386.7</v>
      </c>
      <c r="O709" s="18">
        <f t="shared" si="81"/>
        <v>-1386.7</v>
      </c>
      <c r="P709" s="18" t="e">
        <f>#REF!-M709</f>
        <v>#REF!</v>
      </c>
      <c r="Q709" s="18" t="e">
        <f>#REF!-N709</f>
        <v>#REF!</v>
      </c>
      <c r="R709" s="17" t="str">
        <f t="shared" si="78"/>
        <v>00 0 00 00000000</v>
      </c>
    </row>
    <row r="710" spans="1:18" s="16" customFormat="1" ht="15.75">
      <c r="A710" s="14"/>
      <c r="B710" s="121" t="s">
        <v>50</v>
      </c>
      <c r="C710" s="122" t="s">
        <v>510</v>
      </c>
      <c r="D710" s="123" t="s">
        <v>11</v>
      </c>
      <c r="E710" s="123" t="s">
        <v>51</v>
      </c>
      <c r="F710" s="123" t="s">
        <v>8</v>
      </c>
      <c r="G710" s="123" t="s">
        <v>9</v>
      </c>
      <c r="H710" s="124">
        <f t="shared" si="82"/>
        <v>0</v>
      </c>
      <c r="L710" s="19">
        <v>1386.7</v>
      </c>
      <c r="M710" s="19">
        <v>1386.7</v>
      </c>
      <c r="N710" s="19">
        <v>1386.7</v>
      </c>
      <c r="O710" s="19">
        <f t="shared" si="81"/>
        <v>-1386.7</v>
      </c>
      <c r="P710" s="19" t="e">
        <f>#REF!-M710</f>
        <v>#REF!</v>
      </c>
      <c r="Q710" s="19" t="e">
        <f>#REF!-N710</f>
        <v>#REF!</v>
      </c>
      <c r="R710" s="17" t="str">
        <f t="shared" si="78"/>
        <v>00 0 00 00000000</v>
      </c>
    </row>
    <row r="711" spans="1:18" s="16" customFormat="1" ht="63">
      <c r="A711" s="14"/>
      <c r="B711" s="125" t="s">
        <v>87</v>
      </c>
      <c r="C711" s="109" t="s">
        <v>510</v>
      </c>
      <c r="D711" s="108" t="s">
        <v>11</v>
      </c>
      <c r="E711" s="108" t="s">
        <v>51</v>
      </c>
      <c r="F711" s="108" t="s">
        <v>88</v>
      </c>
      <c r="G711" s="108" t="s">
        <v>9</v>
      </c>
      <c r="H711" s="126">
        <f t="shared" si="82"/>
        <v>0</v>
      </c>
      <c r="L711" s="20">
        <v>1386.7</v>
      </c>
      <c r="M711" s="20">
        <v>1386.7</v>
      </c>
      <c r="N711" s="20">
        <v>1386.7</v>
      </c>
      <c r="O711" s="20">
        <f t="shared" si="81"/>
        <v>-1386.7</v>
      </c>
      <c r="P711" s="20" t="e">
        <f>#REF!-M711</f>
        <v>#REF!</v>
      </c>
      <c r="Q711" s="20" t="e">
        <f>#REF!-N711</f>
        <v>#REF!</v>
      </c>
      <c r="R711" s="17" t="str">
        <f t="shared" si="78"/>
        <v>98 0 00 00000000</v>
      </c>
    </row>
    <row r="712" spans="1:18" s="16" customFormat="1" ht="15.75">
      <c r="A712" s="14"/>
      <c r="B712" s="125" t="s">
        <v>89</v>
      </c>
      <c r="C712" s="109" t="s">
        <v>510</v>
      </c>
      <c r="D712" s="108" t="s">
        <v>11</v>
      </c>
      <c r="E712" s="108" t="s">
        <v>51</v>
      </c>
      <c r="F712" s="108" t="s">
        <v>90</v>
      </c>
      <c r="G712" s="108" t="s">
        <v>9</v>
      </c>
      <c r="H712" s="126">
        <f t="shared" si="82"/>
        <v>0</v>
      </c>
      <c r="L712" s="20">
        <v>1386.7</v>
      </c>
      <c r="M712" s="20">
        <v>1386.7</v>
      </c>
      <c r="N712" s="20">
        <v>1386.7</v>
      </c>
      <c r="O712" s="20">
        <f t="shared" si="81"/>
        <v>-1386.7</v>
      </c>
      <c r="P712" s="20" t="e">
        <f>#REF!-M712</f>
        <v>#REF!</v>
      </c>
      <c r="Q712" s="20" t="e">
        <f>#REF!-N712</f>
        <v>#REF!</v>
      </c>
      <c r="R712" s="17" t="str">
        <f t="shared" si="78"/>
        <v>98 1 00 00000000</v>
      </c>
    </row>
    <row r="713" spans="1:18" s="16" customFormat="1" ht="31.5">
      <c r="A713" s="14"/>
      <c r="B713" s="125" t="s">
        <v>511</v>
      </c>
      <c r="C713" s="109" t="s">
        <v>510</v>
      </c>
      <c r="D713" s="108" t="s">
        <v>11</v>
      </c>
      <c r="E713" s="108" t="s">
        <v>51</v>
      </c>
      <c r="F713" s="108" t="s">
        <v>512</v>
      </c>
      <c r="G713" s="108" t="s">
        <v>9</v>
      </c>
      <c r="H713" s="126">
        <f>H714+H716+H717+H719</f>
        <v>0</v>
      </c>
      <c r="L713" s="20">
        <v>1386.7</v>
      </c>
      <c r="M713" s="20">
        <v>1386.7</v>
      </c>
      <c r="N713" s="20">
        <v>1386.7</v>
      </c>
      <c r="O713" s="20">
        <f t="shared" si="81"/>
        <v>-1386.7</v>
      </c>
      <c r="P713" s="20" t="e">
        <f>#REF!-M713</f>
        <v>#REF!</v>
      </c>
      <c r="Q713" s="20" t="e">
        <f>#REF!-N713</f>
        <v>#REF!</v>
      </c>
      <c r="R713" s="17" t="str">
        <f t="shared" si="78"/>
        <v>98 1 00 20110000</v>
      </c>
    </row>
    <row r="714" spans="1:18" s="16" customFormat="1" ht="31.5">
      <c r="A714" s="14"/>
      <c r="B714" s="125" t="s">
        <v>28</v>
      </c>
      <c r="C714" s="109" t="s">
        <v>510</v>
      </c>
      <c r="D714" s="108" t="s">
        <v>11</v>
      </c>
      <c r="E714" s="108" t="s">
        <v>51</v>
      </c>
      <c r="F714" s="108" t="s">
        <v>512</v>
      </c>
      <c r="G714" s="108" t="s">
        <v>29</v>
      </c>
      <c r="H714" s="126">
        <f>H715</f>
        <v>0</v>
      </c>
      <c r="L714" s="20">
        <v>1058.3</v>
      </c>
      <c r="M714" s="20">
        <v>1058.3</v>
      </c>
      <c r="N714" s="20">
        <v>1058.3</v>
      </c>
      <c r="O714" s="20">
        <f t="shared" si="81"/>
        <v>-1058.3</v>
      </c>
      <c r="P714" s="20" t="e">
        <f>#REF!-M714</f>
        <v>#REF!</v>
      </c>
      <c r="Q714" s="20" t="e">
        <f>#REF!-N714</f>
        <v>#REF!</v>
      </c>
      <c r="R714" s="17" t="str">
        <f t="shared" si="78"/>
        <v>98 1 00 20110240</v>
      </c>
    </row>
    <row r="715" spans="1:18" s="16" customFormat="1" ht="15.75">
      <c r="A715" s="14"/>
      <c r="B715" s="125" t="s">
        <v>30</v>
      </c>
      <c r="C715" s="109" t="s">
        <v>510</v>
      </c>
      <c r="D715" s="108" t="s">
        <v>11</v>
      </c>
      <c r="E715" s="108" t="s">
        <v>51</v>
      </c>
      <c r="F715" s="108" t="s">
        <v>512</v>
      </c>
      <c r="G715" s="108" t="s">
        <v>31</v>
      </c>
      <c r="H715" s="126"/>
      <c r="L715" s="20"/>
      <c r="M715" s="20"/>
      <c r="N715" s="20"/>
      <c r="O715" s="20"/>
      <c r="P715" s="20"/>
      <c r="Q715" s="20"/>
      <c r="R715" s="17" t="str">
        <f t="shared" si="78"/>
        <v>98 1 00 20110244</v>
      </c>
    </row>
    <row r="716" spans="1:18" s="16" customFormat="1" ht="15.75">
      <c r="A716" s="14"/>
      <c r="B716" s="125" t="s">
        <v>513</v>
      </c>
      <c r="C716" s="109" t="s">
        <v>510</v>
      </c>
      <c r="D716" s="108" t="s">
        <v>11</v>
      </c>
      <c r="E716" s="108" t="s">
        <v>51</v>
      </c>
      <c r="F716" s="108" t="s">
        <v>512</v>
      </c>
      <c r="G716" s="108" t="s">
        <v>514</v>
      </c>
      <c r="H716" s="126"/>
      <c r="L716" s="20">
        <v>26.4</v>
      </c>
      <c r="M716" s="20">
        <v>26.4</v>
      </c>
      <c r="N716" s="20">
        <v>26.4</v>
      </c>
      <c r="O716" s="20">
        <f>H716-L716</f>
        <v>-26.4</v>
      </c>
      <c r="P716" s="20" t="e">
        <f>#REF!-M716</f>
        <v>#REF!</v>
      </c>
      <c r="Q716" s="20" t="e">
        <f>#REF!-N716</f>
        <v>#REF!</v>
      </c>
      <c r="R716" s="17" t="str">
        <f t="shared" si="78"/>
        <v>98 1 00 20110360</v>
      </c>
    </row>
    <row r="717" spans="1:18" s="16" customFormat="1" ht="15.75">
      <c r="A717" s="14"/>
      <c r="B717" s="125" t="s">
        <v>32</v>
      </c>
      <c r="C717" s="109" t="s">
        <v>510</v>
      </c>
      <c r="D717" s="108" t="s">
        <v>11</v>
      </c>
      <c r="E717" s="108" t="s">
        <v>51</v>
      </c>
      <c r="F717" s="108" t="s">
        <v>512</v>
      </c>
      <c r="G717" s="108" t="s">
        <v>33</v>
      </c>
      <c r="H717" s="126">
        <f>H718</f>
        <v>0</v>
      </c>
      <c r="L717" s="20">
        <v>42</v>
      </c>
      <c r="M717" s="20">
        <v>42</v>
      </c>
      <c r="N717" s="20">
        <v>42</v>
      </c>
      <c r="O717" s="20">
        <f>H717-L717</f>
        <v>-42</v>
      </c>
      <c r="P717" s="20" t="e">
        <f>#REF!-M717</f>
        <v>#REF!</v>
      </c>
      <c r="Q717" s="20" t="e">
        <f>#REF!-N717</f>
        <v>#REF!</v>
      </c>
      <c r="R717" s="17" t="str">
        <f t="shared" si="78"/>
        <v>98 1 00 20110850</v>
      </c>
    </row>
    <row r="718" spans="1:18" s="23" customFormat="1" ht="15.75">
      <c r="A718" s="21"/>
      <c r="B718" s="127" t="s">
        <v>77</v>
      </c>
      <c r="C718" s="109" t="s">
        <v>510</v>
      </c>
      <c r="D718" s="108" t="s">
        <v>11</v>
      </c>
      <c r="E718" s="108" t="s">
        <v>51</v>
      </c>
      <c r="F718" s="108" t="s">
        <v>512</v>
      </c>
      <c r="G718" s="108" t="s">
        <v>78</v>
      </c>
      <c r="H718" s="126"/>
      <c r="L718" s="22"/>
      <c r="M718" s="22"/>
      <c r="N718" s="22"/>
      <c r="O718" s="22"/>
      <c r="P718" s="22"/>
      <c r="Q718" s="22"/>
      <c r="R718" s="24"/>
    </row>
    <row r="719" spans="1:18" s="16" customFormat="1" ht="31.5">
      <c r="A719" s="14"/>
      <c r="B719" s="125" t="s">
        <v>515</v>
      </c>
      <c r="C719" s="109" t="s">
        <v>510</v>
      </c>
      <c r="D719" s="108" t="s">
        <v>11</v>
      </c>
      <c r="E719" s="108" t="s">
        <v>51</v>
      </c>
      <c r="F719" s="108" t="s">
        <v>512</v>
      </c>
      <c r="G719" s="108" t="s">
        <v>516</v>
      </c>
      <c r="H719" s="126">
        <f>H720</f>
        <v>0</v>
      </c>
      <c r="L719" s="20">
        <v>260</v>
      </c>
      <c r="M719" s="20">
        <v>260</v>
      </c>
      <c r="N719" s="20">
        <v>260</v>
      </c>
      <c r="O719" s="20">
        <f>H719-L719</f>
        <v>-260</v>
      </c>
      <c r="P719" s="20" t="e">
        <f>#REF!-M719</f>
        <v>#REF!</v>
      </c>
      <c r="Q719" s="20" t="e">
        <f>#REF!-N719</f>
        <v>#REF!</v>
      </c>
      <c r="R719" s="17" t="str">
        <f t="shared" si="78"/>
        <v>98 1 00 20110860</v>
      </c>
    </row>
    <row r="720" spans="1:18" s="16" customFormat="1" ht="15.75">
      <c r="A720" s="14"/>
      <c r="B720" s="127" t="s">
        <v>517</v>
      </c>
      <c r="C720" s="109" t="s">
        <v>510</v>
      </c>
      <c r="D720" s="108" t="s">
        <v>11</v>
      </c>
      <c r="E720" s="108" t="s">
        <v>51</v>
      </c>
      <c r="F720" s="108" t="s">
        <v>512</v>
      </c>
      <c r="G720" s="108" t="s">
        <v>518</v>
      </c>
      <c r="H720" s="126"/>
      <c r="L720" s="20"/>
      <c r="M720" s="20"/>
      <c r="N720" s="20"/>
      <c r="O720" s="20"/>
      <c r="P720" s="20"/>
      <c r="Q720" s="20"/>
      <c r="R720" s="17"/>
    </row>
    <row r="721" spans="1:18" s="16" customFormat="1" ht="15.75">
      <c r="A721" s="14"/>
      <c r="B721" s="117" t="s">
        <v>228</v>
      </c>
      <c r="C721" s="118" t="s">
        <v>510</v>
      </c>
      <c r="D721" s="119" t="s">
        <v>229</v>
      </c>
      <c r="E721" s="119" t="s">
        <v>7</v>
      </c>
      <c r="F721" s="119" t="s">
        <v>8</v>
      </c>
      <c r="G721" s="119" t="s">
        <v>9</v>
      </c>
      <c r="H721" s="120">
        <f>H722+H773</f>
        <v>0</v>
      </c>
      <c r="L721" s="18">
        <v>151254.91</v>
      </c>
      <c r="M721" s="18">
        <v>141348.04999999999</v>
      </c>
      <c r="N721" s="18">
        <v>140686.62</v>
      </c>
      <c r="O721" s="18">
        <f t="shared" ref="O721:O727" si="83">H721-L721</f>
        <v>-151254.91</v>
      </c>
      <c r="P721" s="18" t="e">
        <f>#REF!-M721</f>
        <v>#REF!</v>
      </c>
      <c r="Q721" s="18" t="e">
        <f>#REF!-N721</f>
        <v>#REF!</v>
      </c>
      <c r="R721" s="17" t="str">
        <f t="shared" si="78"/>
        <v>00 0 00 00000000</v>
      </c>
    </row>
    <row r="722" spans="1:18" s="16" customFormat="1" ht="15.75">
      <c r="A722" s="14"/>
      <c r="B722" s="121" t="s">
        <v>458</v>
      </c>
      <c r="C722" s="122" t="s">
        <v>510</v>
      </c>
      <c r="D722" s="123" t="s">
        <v>229</v>
      </c>
      <c r="E722" s="123" t="s">
        <v>13</v>
      </c>
      <c r="F722" s="123" t="s">
        <v>8</v>
      </c>
      <c r="G722" s="123" t="s">
        <v>9</v>
      </c>
      <c r="H722" s="124">
        <f>H723+H752+H760+H766</f>
        <v>0</v>
      </c>
      <c r="L722" s="19">
        <v>141211.71</v>
      </c>
      <c r="M722" s="19">
        <v>131694.84999999998</v>
      </c>
      <c r="N722" s="19">
        <v>131033.42</v>
      </c>
      <c r="O722" s="19">
        <f t="shared" si="83"/>
        <v>-141211.71</v>
      </c>
      <c r="P722" s="19" t="e">
        <f>#REF!-M722</f>
        <v>#REF!</v>
      </c>
      <c r="Q722" s="19" t="e">
        <f>#REF!-N722</f>
        <v>#REF!</v>
      </c>
      <c r="R722" s="17" t="str">
        <f t="shared" si="78"/>
        <v>00 0 00 00000000</v>
      </c>
    </row>
    <row r="723" spans="1:18" s="16" customFormat="1" ht="31.5">
      <c r="A723" s="14"/>
      <c r="B723" s="125" t="s">
        <v>240</v>
      </c>
      <c r="C723" s="109" t="s">
        <v>510</v>
      </c>
      <c r="D723" s="108" t="s">
        <v>229</v>
      </c>
      <c r="E723" s="108" t="s">
        <v>13</v>
      </c>
      <c r="F723" s="108" t="s">
        <v>241</v>
      </c>
      <c r="G723" s="108" t="s">
        <v>9</v>
      </c>
      <c r="H723" s="126">
        <f>H724+H731</f>
        <v>0</v>
      </c>
      <c r="L723" s="20">
        <v>140126.66</v>
      </c>
      <c r="M723" s="20">
        <v>130609.79999999999</v>
      </c>
      <c r="N723" s="20">
        <v>129948.37</v>
      </c>
      <c r="O723" s="20">
        <f t="shared" si="83"/>
        <v>-140126.66</v>
      </c>
      <c r="P723" s="20" t="e">
        <f>#REF!-M723</f>
        <v>#REF!</v>
      </c>
      <c r="Q723" s="20" t="e">
        <f>#REF!-N723</f>
        <v>#REF!</v>
      </c>
      <c r="R723" s="17" t="str">
        <f t="shared" si="78"/>
        <v>07 0 00 00000000</v>
      </c>
    </row>
    <row r="724" spans="1:18" s="16" customFormat="1" ht="78.75">
      <c r="A724" s="14"/>
      <c r="B724" s="125" t="s">
        <v>242</v>
      </c>
      <c r="C724" s="109" t="s">
        <v>510</v>
      </c>
      <c r="D724" s="108" t="s">
        <v>229</v>
      </c>
      <c r="E724" s="108" t="s">
        <v>13</v>
      </c>
      <c r="F724" s="108" t="s">
        <v>243</v>
      </c>
      <c r="G724" s="108" t="s">
        <v>9</v>
      </c>
      <c r="H724" s="126">
        <f t="shared" ref="H724:H725" si="84">H725</f>
        <v>0</v>
      </c>
      <c r="L724" s="20">
        <v>361.5</v>
      </c>
      <c r="M724" s="20">
        <v>361.5</v>
      </c>
      <c r="N724" s="20">
        <v>361.5</v>
      </c>
      <c r="O724" s="20">
        <f t="shared" si="83"/>
        <v>-361.5</v>
      </c>
      <c r="P724" s="20" t="e">
        <f>#REF!-M724</f>
        <v>#REF!</v>
      </c>
      <c r="Q724" s="20" t="e">
        <f>#REF!-N724</f>
        <v>#REF!</v>
      </c>
      <c r="R724" s="17" t="str">
        <f t="shared" si="78"/>
        <v>07 1 00 00000000</v>
      </c>
    </row>
    <row r="725" spans="1:18" s="16" customFormat="1" ht="110.25">
      <c r="A725" s="14"/>
      <c r="B725" s="125" t="s">
        <v>244</v>
      </c>
      <c r="C725" s="109" t="s">
        <v>510</v>
      </c>
      <c r="D725" s="108" t="s">
        <v>229</v>
      </c>
      <c r="E725" s="108" t="s">
        <v>13</v>
      </c>
      <c r="F725" s="108" t="s">
        <v>245</v>
      </c>
      <c r="G725" s="108" t="s">
        <v>9</v>
      </c>
      <c r="H725" s="126">
        <f t="shared" si="84"/>
        <v>0</v>
      </c>
      <c r="L725" s="20">
        <v>361.5</v>
      </c>
      <c r="M725" s="20">
        <v>361.5</v>
      </c>
      <c r="N725" s="20">
        <v>361.5</v>
      </c>
      <c r="O725" s="20">
        <f t="shared" si="83"/>
        <v>-361.5</v>
      </c>
      <c r="P725" s="20" t="e">
        <f>#REF!-M725</f>
        <v>#REF!</v>
      </c>
      <c r="Q725" s="20" t="e">
        <f>#REF!-N725</f>
        <v>#REF!</v>
      </c>
      <c r="R725" s="17" t="str">
        <f t="shared" si="78"/>
        <v>07 1 01 00000000</v>
      </c>
    </row>
    <row r="726" spans="1:18" s="16" customFormat="1" ht="31.5">
      <c r="A726" s="14"/>
      <c r="B726" s="125" t="s">
        <v>246</v>
      </c>
      <c r="C726" s="109" t="s">
        <v>510</v>
      </c>
      <c r="D726" s="108" t="s">
        <v>229</v>
      </c>
      <c r="E726" s="108" t="s">
        <v>13</v>
      </c>
      <c r="F726" s="108" t="s">
        <v>247</v>
      </c>
      <c r="G726" s="108" t="s">
        <v>9</v>
      </c>
      <c r="H726" s="126">
        <f>H727+H729</f>
        <v>0</v>
      </c>
      <c r="L726" s="20">
        <v>361.5</v>
      </c>
      <c r="M726" s="20">
        <v>361.5</v>
      </c>
      <c r="N726" s="20">
        <v>361.5</v>
      </c>
      <c r="O726" s="20">
        <f t="shared" si="83"/>
        <v>-361.5</v>
      </c>
      <c r="P726" s="20" t="e">
        <f>#REF!-M726</f>
        <v>#REF!</v>
      </c>
      <c r="Q726" s="20" t="e">
        <f>#REF!-N726</f>
        <v>#REF!</v>
      </c>
      <c r="R726" s="17" t="str">
        <f t="shared" si="78"/>
        <v>07 1 01 20060000</v>
      </c>
    </row>
    <row r="727" spans="1:18" s="16" customFormat="1" ht="15.75">
      <c r="A727" s="14"/>
      <c r="B727" s="132" t="s">
        <v>403</v>
      </c>
      <c r="C727" s="109" t="s">
        <v>510</v>
      </c>
      <c r="D727" s="108" t="s">
        <v>229</v>
      </c>
      <c r="E727" s="108" t="s">
        <v>13</v>
      </c>
      <c r="F727" s="108" t="s">
        <v>247</v>
      </c>
      <c r="G727" s="108" t="s">
        <v>404</v>
      </c>
      <c r="H727" s="126">
        <f>H728</f>
        <v>0</v>
      </c>
      <c r="L727" s="20">
        <v>296.5</v>
      </c>
      <c r="M727" s="20">
        <v>296.5</v>
      </c>
      <c r="N727" s="20">
        <v>296.5</v>
      </c>
      <c r="O727" s="20">
        <f t="shared" si="83"/>
        <v>-296.5</v>
      </c>
      <c r="P727" s="20" t="e">
        <f>#REF!-M727</f>
        <v>#REF!</v>
      </c>
      <c r="Q727" s="20" t="e">
        <f>#REF!-N727</f>
        <v>#REF!</v>
      </c>
      <c r="R727" s="17" t="str">
        <f t="shared" si="78"/>
        <v>07 1 01 20060610</v>
      </c>
    </row>
    <row r="728" spans="1:18" s="23" customFormat="1" ht="63">
      <c r="A728" s="21"/>
      <c r="B728" s="127" t="s">
        <v>405</v>
      </c>
      <c r="C728" s="109" t="s">
        <v>510</v>
      </c>
      <c r="D728" s="108" t="s">
        <v>229</v>
      </c>
      <c r="E728" s="108" t="s">
        <v>13</v>
      </c>
      <c r="F728" s="108" t="s">
        <v>247</v>
      </c>
      <c r="G728" s="108" t="s">
        <v>406</v>
      </c>
      <c r="H728" s="126"/>
      <c r="L728" s="22"/>
      <c r="M728" s="22"/>
      <c r="N728" s="22"/>
      <c r="O728" s="22"/>
      <c r="P728" s="22"/>
      <c r="Q728" s="22"/>
      <c r="R728" s="24"/>
    </row>
    <row r="729" spans="1:18" s="16" customFormat="1" ht="15.75">
      <c r="A729" s="14"/>
      <c r="B729" s="140" t="s">
        <v>409</v>
      </c>
      <c r="C729" s="109" t="s">
        <v>510</v>
      </c>
      <c r="D729" s="108" t="s">
        <v>229</v>
      </c>
      <c r="E729" s="108" t="s">
        <v>13</v>
      </c>
      <c r="F729" s="108" t="s">
        <v>247</v>
      </c>
      <c r="G729" s="108" t="s">
        <v>410</v>
      </c>
      <c r="H729" s="126">
        <f>H730</f>
        <v>0</v>
      </c>
      <c r="L729" s="20">
        <v>65</v>
      </c>
      <c r="M729" s="20">
        <v>65</v>
      </c>
      <c r="N729" s="20">
        <v>65</v>
      </c>
      <c r="O729" s="20">
        <f>H729-L729</f>
        <v>-65</v>
      </c>
      <c r="P729" s="20" t="e">
        <f>#REF!-M729</f>
        <v>#REF!</v>
      </c>
      <c r="Q729" s="20" t="e">
        <f>#REF!-N729</f>
        <v>#REF!</v>
      </c>
      <c r="R729" s="17" t="str">
        <f t="shared" si="78"/>
        <v>07 1 01 20060620</v>
      </c>
    </row>
    <row r="730" spans="1:18" s="23" customFormat="1" ht="63">
      <c r="A730" s="21"/>
      <c r="B730" s="127" t="s">
        <v>411</v>
      </c>
      <c r="C730" s="109" t="s">
        <v>510</v>
      </c>
      <c r="D730" s="108" t="s">
        <v>229</v>
      </c>
      <c r="E730" s="108" t="s">
        <v>13</v>
      </c>
      <c r="F730" s="108" t="s">
        <v>247</v>
      </c>
      <c r="G730" s="108" t="s">
        <v>412</v>
      </c>
      <c r="H730" s="126"/>
      <c r="L730" s="22"/>
      <c r="M730" s="22"/>
      <c r="N730" s="22"/>
      <c r="O730" s="22"/>
      <c r="P730" s="22"/>
      <c r="Q730" s="22"/>
      <c r="R730" s="24"/>
    </row>
    <row r="731" spans="1:18" s="16" customFormat="1" ht="15.75">
      <c r="A731" s="14"/>
      <c r="B731" s="125" t="s">
        <v>519</v>
      </c>
      <c r="C731" s="109" t="s">
        <v>510</v>
      </c>
      <c r="D731" s="108" t="s">
        <v>229</v>
      </c>
      <c r="E731" s="108" t="s">
        <v>13</v>
      </c>
      <c r="F731" s="108" t="s">
        <v>520</v>
      </c>
      <c r="G731" s="108" t="s">
        <v>9</v>
      </c>
      <c r="H731" s="126">
        <f>H732+H738+H742+H748</f>
        <v>0</v>
      </c>
      <c r="L731" s="20">
        <v>139765.16</v>
      </c>
      <c r="M731" s="20">
        <v>130248.29999999999</v>
      </c>
      <c r="N731" s="20">
        <v>129586.87</v>
      </c>
      <c r="O731" s="20">
        <f>H731-L731</f>
        <v>-139765.16</v>
      </c>
      <c r="P731" s="20" t="e">
        <f>#REF!-M731</f>
        <v>#REF!</v>
      </c>
      <c r="Q731" s="20" t="e">
        <f>#REF!-N731</f>
        <v>#REF!</v>
      </c>
      <c r="R731" s="17" t="str">
        <f t="shared" si="78"/>
        <v>07 2 00 00000000</v>
      </c>
    </row>
    <row r="732" spans="1:18" s="16" customFormat="1" ht="63">
      <c r="A732" s="14"/>
      <c r="B732" s="125" t="s">
        <v>521</v>
      </c>
      <c r="C732" s="109" t="s">
        <v>510</v>
      </c>
      <c r="D732" s="108" t="s">
        <v>229</v>
      </c>
      <c r="E732" s="108" t="s">
        <v>13</v>
      </c>
      <c r="F732" s="108" t="s">
        <v>522</v>
      </c>
      <c r="G732" s="108" t="s">
        <v>9</v>
      </c>
      <c r="H732" s="126">
        <f>H733</f>
        <v>0</v>
      </c>
      <c r="L732" s="20">
        <v>137429.12</v>
      </c>
      <c r="M732" s="20">
        <v>129218.47</v>
      </c>
      <c r="N732" s="20">
        <v>129218.47</v>
      </c>
      <c r="O732" s="20">
        <f>H732-L732</f>
        <v>-137429.12</v>
      </c>
      <c r="P732" s="20" t="e">
        <f>#REF!-M732</f>
        <v>#REF!</v>
      </c>
      <c r="Q732" s="20" t="e">
        <f>#REF!-N732</f>
        <v>#REF!</v>
      </c>
      <c r="R732" s="17" t="str">
        <f t="shared" si="78"/>
        <v>07 2 01 00000000</v>
      </c>
    </row>
    <row r="733" spans="1:18" s="16" customFormat="1" ht="31.5">
      <c r="A733" s="14"/>
      <c r="B733" s="125" t="s">
        <v>136</v>
      </c>
      <c r="C733" s="109" t="s">
        <v>510</v>
      </c>
      <c r="D733" s="108" t="s">
        <v>229</v>
      </c>
      <c r="E733" s="108" t="s">
        <v>13</v>
      </c>
      <c r="F733" s="108" t="s">
        <v>523</v>
      </c>
      <c r="G733" s="108" t="s">
        <v>9</v>
      </c>
      <c r="H733" s="126">
        <f>H734+H736</f>
        <v>0</v>
      </c>
      <c r="L733" s="20">
        <v>137429.12</v>
      </c>
      <c r="M733" s="20">
        <v>129218.47</v>
      </c>
      <c r="N733" s="20">
        <v>129218.47</v>
      </c>
      <c r="O733" s="20">
        <f>H733-L733</f>
        <v>-137429.12</v>
      </c>
      <c r="P733" s="20" t="e">
        <f>#REF!-M733</f>
        <v>#REF!</v>
      </c>
      <c r="Q733" s="20" t="e">
        <f>#REF!-N733</f>
        <v>#REF!</v>
      </c>
      <c r="R733" s="17" t="str">
        <f t="shared" si="78"/>
        <v>07 2 01 11010000</v>
      </c>
    </row>
    <row r="734" spans="1:18" s="16" customFormat="1" ht="15.75">
      <c r="A734" s="14"/>
      <c r="B734" s="125" t="s">
        <v>403</v>
      </c>
      <c r="C734" s="109" t="s">
        <v>510</v>
      </c>
      <c r="D734" s="108" t="s">
        <v>229</v>
      </c>
      <c r="E734" s="108" t="s">
        <v>13</v>
      </c>
      <c r="F734" s="108" t="s">
        <v>523</v>
      </c>
      <c r="G734" s="108" t="s">
        <v>404</v>
      </c>
      <c r="H734" s="126">
        <f>H735</f>
        <v>0</v>
      </c>
      <c r="L734" s="20">
        <v>121624.62</v>
      </c>
      <c r="M734" s="20">
        <v>114674.89</v>
      </c>
      <c r="N734" s="20">
        <v>114674.89</v>
      </c>
      <c r="O734" s="20">
        <f>H734-L734</f>
        <v>-121624.62</v>
      </c>
      <c r="P734" s="20" t="e">
        <f>#REF!-M734</f>
        <v>#REF!</v>
      </c>
      <c r="Q734" s="20" t="e">
        <f>#REF!-N734</f>
        <v>#REF!</v>
      </c>
      <c r="R734" s="17" t="str">
        <f t="shared" si="78"/>
        <v>07 2 01 11010610</v>
      </c>
    </row>
    <row r="735" spans="1:18" s="23" customFormat="1" ht="63">
      <c r="A735" s="21"/>
      <c r="B735" s="127" t="s">
        <v>405</v>
      </c>
      <c r="C735" s="109" t="s">
        <v>510</v>
      </c>
      <c r="D735" s="108" t="s">
        <v>229</v>
      </c>
      <c r="E735" s="108" t="s">
        <v>13</v>
      </c>
      <c r="F735" s="108" t="s">
        <v>523</v>
      </c>
      <c r="G735" s="108" t="s">
        <v>406</v>
      </c>
      <c r="H735" s="126"/>
      <c r="L735" s="22"/>
      <c r="M735" s="22"/>
      <c r="N735" s="22"/>
      <c r="O735" s="22"/>
      <c r="P735" s="22"/>
      <c r="Q735" s="22"/>
      <c r="R735" s="24"/>
    </row>
    <row r="736" spans="1:18" s="17" customFormat="1" ht="15.75">
      <c r="A736" s="14"/>
      <c r="B736" s="125" t="s">
        <v>409</v>
      </c>
      <c r="C736" s="109" t="s">
        <v>510</v>
      </c>
      <c r="D736" s="108" t="s">
        <v>229</v>
      </c>
      <c r="E736" s="108" t="s">
        <v>13</v>
      </c>
      <c r="F736" s="108" t="s">
        <v>523</v>
      </c>
      <c r="G736" s="108" t="s">
        <v>410</v>
      </c>
      <c r="H736" s="126">
        <f>H737</f>
        <v>0</v>
      </c>
      <c r="L736" s="20">
        <v>15804.5</v>
      </c>
      <c r="M736" s="20">
        <v>14543.58</v>
      </c>
      <c r="N736" s="20">
        <v>14543.58</v>
      </c>
      <c r="O736" s="20">
        <f>H736-L736</f>
        <v>-15804.5</v>
      </c>
      <c r="P736" s="20" t="e">
        <f>#REF!-M736</f>
        <v>#REF!</v>
      </c>
      <c r="Q736" s="20" t="e">
        <f>#REF!-N736</f>
        <v>#REF!</v>
      </c>
      <c r="R736" s="17" t="str">
        <f t="shared" si="78"/>
        <v>07 2 01 11010620</v>
      </c>
    </row>
    <row r="737" spans="1:18" s="24" customFormat="1" ht="63">
      <c r="A737" s="21"/>
      <c r="B737" s="127" t="s">
        <v>411</v>
      </c>
      <c r="C737" s="109" t="s">
        <v>510</v>
      </c>
      <c r="D737" s="108" t="s">
        <v>229</v>
      </c>
      <c r="E737" s="108" t="s">
        <v>13</v>
      </c>
      <c r="F737" s="108" t="s">
        <v>523</v>
      </c>
      <c r="G737" s="108" t="s">
        <v>412</v>
      </c>
      <c r="H737" s="126"/>
      <c r="L737" s="22"/>
      <c r="M737" s="22"/>
      <c r="N737" s="22"/>
      <c r="O737" s="22"/>
      <c r="P737" s="22"/>
      <c r="Q737" s="22"/>
    </row>
    <row r="738" spans="1:18" s="16" customFormat="1" ht="126">
      <c r="A738" s="14"/>
      <c r="B738" s="132" t="s">
        <v>528</v>
      </c>
      <c r="C738" s="109" t="s">
        <v>510</v>
      </c>
      <c r="D738" s="108" t="s">
        <v>229</v>
      </c>
      <c r="E738" s="108" t="s">
        <v>13</v>
      </c>
      <c r="F738" s="108" t="s">
        <v>529</v>
      </c>
      <c r="G738" s="108" t="s">
        <v>9</v>
      </c>
      <c r="H738" s="126">
        <f t="shared" ref="H738:H739" si="85">H739</f>
        <v>0</v>
      </c>
      <c r="L738" s="20">
        <v>955.2</v>
      </c>
      <c r="M738" s="20">
        <v>150</v>
      </c>
      <c r="N738" s="20">
        <v>150</v>
      </c>
      <c r="O738" s="20">
        <f>H738-L738</f>
        <v>-955.2</v>
      </c>
      <c r="P738" s="20" t="e">
        <f>#REF!-M738</f>
        <v>#REF!</v>
      </c>
      <c r="Q738" s="20" t="e">
        <f>#REF!-N738</f>
        <v>#REF!</v>
      </c>
      <c r="R738" s="17" t="str">
        <f t="shared" si="78"/>
        <v>07 2 08 00000000</v>
      </c>
    </row>
    <row r="739" spans="1:18" s="16" customFormat="1" ht="126">
      <c r="A739" s="14"/>
      <c r="B739" s="125" t="s">
        <v>530</v>
      </c>
      <c r="C739" s="109" t="s">
        <v>510</v>
      </c>
      <c r="D739" s="108" t="s">
        <v>229</v>
      </c>
      <c r="E739" s="108" t="s">
        <v>13</v>
      </c>
      <c r="F739" s="108" t="s">
        <v>531</v>
      </c>
      <c r="G739" s="108" t="s">
        <v>9</v>
      </c>
      <c r="H739" s="126">
        <f t="shared" si="85"/>
        <v>0</v>
      </c>
      <c r="L739" s="20">
        <v>955.2</v>
      </c>
      <c r="M739" s="20">
        <v>150</v>
      </c>
      <c r="N739" s="20">
        <v>150</v>
      </c>
      <c r="O739" s="20">
        <f>H739-L739</f>
        <v>-955.2</v>
      </c>
      <c r="P739" s="20" t="e">
        <f>#REF!-M739</f>
        <v>#REF!</v>
      </c>
      <c r="Q739" s="20" t="e">
        <f>#REF!-N739</f>
        <v>#REF!</v>
      </c>
      <c r="R739" s="17" t="str">
        <f t="shared" si="78"/>
        <v>07 2 08 21230000</v>
      </c>
    </row>
    <row r="740" spans="1:18" s="16" customFormat="1" ht="15.75">
      <c r="A740" s="14"/>
      <c r="B740" s="132" t="s">
        <v>403</v>
      </c>
      <c r="C740" s="109" t="s">
        <v>510</v>
      </c>
      <c r="D740" s="108" t="s">
        <v>229</v>
      </c>
      <c r="E740" s="108" t="s">
        <v>13</v>
      </c>
      <c r="F740" s="108" t="s">
        <v>531</v>
      </c>
      <c r="G740" s="108" t="s">
        <v>404</v>
      </c>
      <c r="H740" s="126">
        <f>H741</f>
        <v>0</v>
      </c>
      <c r="L740" s="20">
        <v>955.2</v>
      </c>
      <c r="M740" s="20">
        <v>150</v>
      </c>
      <c r="N740" s="20">
        <v>150</v>
      </c>
      <c r="O740" s="20">
        <f>H740-L740</f>
        <v>-955.2</v>
      </c>
      <c r="P740" s="20" t="e">
        <f>#REF!-M740</f>
        <v>#REF!</v>
      </c>
      <c r="Q740" s="20" t="e">
        <f>#REF!-N740</f>
        <v>#REF!</v>
      </c>
      <c r="R740" s="17" t="str">
        <f t="shared" si="78"/>
        <v>07 2 08 21230610</v>
      </c>
    </row>
    <row r="741" spans="1:18" s="23" customFormat="1" ht="15.75">
      <c r="A741" s="21"/>
      <c r="B741" s="127" t="s">
        <v>407</v>
      </c>
      <c r="C741" s="109" t="s">
        <v>510</v>
      </c>
      <c r="D741" s="108" t="s">
        <v>229</v>
      </c>
      <c r="E741" s="108" t="s">
        <v>13</v>
      </c>
      <c r="F741" s="108" t="s">
        <v>531</v>
      </c>
      <c r="G741" s="108" t="s">
        <v>408</v>
      </c>
      <c r="H741" s="126"/>
      <c r="L741" s="22"/>
      <c r="M741" s="22"/>
      <c r="N741" s="22"/>
      <c r="O741" s="22"/>
      <c r="P741" s="22"/>
      <c r="Q741" s="22"/>
      <c r="R741" s="24"/>
    </row>
    <row r="742" spans="1:18" s="16" customFormat="1" ht="47.25">
      <c r="A742" s="14"/>
      <c r="B742" s="132" t="s">
        <v>532</v>
      </c>
      <c r="C742" s="109" t="s">
        <v>510</v>
      </c>
      <c r="D742" s="108" t="s">
        <v>229</v>
      </c>
      <c r="E742" s="108" t="s">
        <v>13</v>
      </c>
      <c r="F742" s="108" t="s">
        <v>533</v>
      </c>
      <c r="G742" s="108" t="s">
        <v>9</v>
      </c>
      <c r="H742" s="126">
        <f>H743</f>
        <v>0</v>
      </c>
      <c r="L742" s="20">
        <v>218.4</v>
      </c>
      <c r="M742" s="20">
        <v>218.4</v>
      </c>
      <c r="N742" s="20">
        <v>218.4</v>
      </c>
      <c r="O742" s="20">
        <f>H742-L742</f>
        <v>-218.4</v>
      </c>
      <c r="P742" s="20" t="e">
        <f>#REF!-M742</f>
        <v>#REF!</v>
      </c>
      <c r="Q742" s="20" t="e">
        <f>#REF!-N742</f>
        <v>#REF!</v>
      </c>
      <c r="R742" s="17" t="str">
        <f t="shared" si="78"/>
        <v>07 2 09 00000000</v>
      </c>
    </row>
    <row r="743" spans="1:18" s="16" customFormat="1" ht="47.25">
      <c r="A743" s="14"/>
      <c r="B743" s="132" t="s">
        <v>534</v>
      </c>
      <c r="C743" s="109" t="s">
        <v>510</v>
      </c>
      <c r="D743" s="108" t="s">
        <v>229</v>
      </c>
      <c r="E743" s="108" t="s">
        <v>13</v>
      </c>
      <c r="F743" s="108" t="s">
        <v>535</v>
      </c>
      <c r="G743" s="108" t="s">
        <v>9</v>
      </c>
      <c r="H743" s="126">
        <f>H744+H746</f>
        <v>0</v>
      </c>
      <c r="L743" s="20">
        <v>218.4</v>
      </c>
      <c r="M743" s="20">
        <v>218.4</v>
      </c>
      <c r="N743" s="20">
        <v>218.4</v>
      </c>
      <c r="O743" s="20">
        <f>H743-L743</f>
        <v>-218.4</v>
      </c>
      <c r="P743" s="20" t="e">
        <f>#REF!-M743</f>
        <v>#REF!</v>
      </c>
      <c r="Q743" s="20" t="e">
        <f>#REF!-N743</f>
        <v>#REF!</v>
      </c>
      <c r="R743" s="17" t="str">
        <f t="shared" si="78"/>
        <v>07 2 09 21280000</v>
      </c>
    </row>
    <row r="744" spans="1:18" s="16" customFormat="1" ht="15.75">
      <c r="A744" s="14"/>
      <c r="B744" s="132" t="s">
        <v>403</v>
      </c>
      <c r="C744" s="109" t="s">
        <v>510</v>
      </c>
      <c r="D744" s="108" t="s">
        <v>229</v>
      </c>
      <c r="E744" s="108" t="s">
        <v>13</v>
      </c>
      <c r="F744" s="108" t="s">
        <v>535</v>
      </c>
      <c r="G744" s="108" t="s">
        <v>404</v>
      </c>
      <c r="H744" s="126">
        <f>H745</f>
        <v>0</v>
      </c>
      <c r="L744" s="20">
        <v>163.80000000000001</v>
      </c>
      <c r="M744" s="20">
        <v>163.80000000000001</v>
      </c>
      <c r="N744" s="20">
        <v>163.80000000000001</v>
      </c>
      <c r="O744" s="20">
        <f>H744-L744</f>
        <v>-163.80000000000001</v>
      </c>
      <c r="P744" s="20" t="e">
        <f>#REF!-M744</f>
        <v>#REF!</v>
      </c>
      <c r="Q744" s="20" t="e">
        <f>#REF!-N744</f>
        <v>#REF!</v>
      </c>
      <c r="R744" s="17" t="str">
        <f t="shared" si="78"/>
        <v>07 2 09 21280610</v>
      </c>
    </row>
    <row r="745" spans="1:18" s="23" customFormat="1" ht="15.75">
      <c r="A745" s="21"/>
      <c r="B745" s="127" t="s">
        <v>407</v>
      </c>
      <c r="C745" s="109" t="s">
        <v>510</v>
      </c>
      <c r="D745" s="108" t="s">
        <v>229</v>
      </c>
      <c r="E745" s="108" t="s">
        <v>13</v>
      </c>
      <c r="F745" s="108" t="s">
        <v>535</v>
      </c>
      <c r="G745" s="108" t="s">
        <v>408</v>
      </c>
      <c r="H745" s="126"/>
      <c r="L745" s="22"/>
      <c r="M745" s="22"/>
      <c r="N745" s="22"/>
      <c r="O745" s="22"/>
      <c r="P745" s="22"/>
      <c r="Q745" s="22"/>
      <c r="R745" s="24"/>
    </row>
    <row r="746" spans="1:18" s="16" customFormat="1" ht="15.75">
      <c r="A746" s="14"/>
      <c r="B746" s="132" t="s">
        <v>409</v>
      </c>
      <c r="C746" s="109" t="s">
        <v>510</v>
      </c>
      <c r="D746" s="108" t="s">
        <v>229</v>
      </c>
      <c r="E746" s="108" t="s">
        <v>13</v>
      </c>
      <c r="F746" s="108" t="s">
        <v>535</v>
      </c>
      <c r="G746" s="108" t="s">
        <v>410</v>
      </c>
      <c r="H746" s="126">
        <f>H747</f>
        <v>0</v>
      </c>
      <c r="L746" s="20">
        <v>54.6</v>
      </c>
      <c r="M746" s="20">
        <v>54.6</v>
      </c>
      <c r="N746" s="20">
        <v>54.6</v>
      </c>
      <c r="O746" s="20">
        <f>H746-L746</f>
        <v>-54.6</v>
      </c>
      <c r="P746" s="20" t="e">
        <f>#REF!-M746</f>
        <v>#REF!</v>
      </c>
      <c r="Q746" s="20" t="e">
        <f>#REF!-N746</f>
        <v>#REF!</v>
      </c>
      <c r="R746" s="17" t="str">
        <f t="shared" si="78"/>
        <v>07 2 09 21280620</v>
      </c>
    </row>
    <row r="747" spans="1:18" s="23" customFormat="1" ht="15.75">
      <c r="A747" s="21"/>
      <c r="B747" s="127" t="s">
        <v>428</v>
      </c>
      <c r="C747" s="109" t="s">
        <v>510</v>
      </c>
      <c r="D747" s="108" t="s">
        <v>229</v>
      </c>
      <c r="E747" s="108" t="s">
        <v>13</v>
      </c>
      <c r="F747" s="108" t="s">
        <v>535</v>
      </c>
      <c r="G747" s="108" t="s">
        <v>429</v>
      </c>
      <c r="H747" s="126"/>
      <c r="L747" s="22"/>
      <c r="M747" s="22"/>
      <c r="N747" s="22"/>
      <c r="O747" s="22"/>
      <c r="P747" s="22"/>
      <c r="Q747" s="22"/>
      <c r="R747" s="24"/>
    </row>
    <row r="748" spans="1:18" s="16" customFormat="1" ht="78.75">
      <c r="A748" s="14"/>
      <c r="B748" s="132" t="s">
        <v>536</v>
      </c>
      <c r="C748" s="109" t="s">
        <v>510</v>
      </c>
      <c r="D748" s="108" t="s">
        <v>229</v>
      </c>
      <c r="E748" s="108" t="s">
        <v>13</v>
      </c>
      <c r="F748" s="108" t="s">
        <v>537</v>
      </c>
      <c r="G748" s="108" t="s">
        <v>9</v>
      </c>
      <c r="H748" s="126">
        <f>H749</f>
        <v>0</v>
      </c>
      <c r="L748" s="20">
        <v>1162.44</v>
      </c>
      <c r="M748" s="20">
        <v>0</v>
      </c>
      <c r="N748" s="20">
        <v>0</v>
      </c>
      <c r="O748" s="20">
        <f>H748-L748</f>
        <v>-1162.44</v>
      </c>
      <c r="P748" s="20" t="e">
        <f>#REF!-M748</f>
        <v>#REF!</v>
      </c>
      <c r="Q748" s="20" t="e">
        <f>#REF!-N748</f>
        <v>#REF!</v>
      </c>
      <c r="R748" s="17" t="str">
        <f t="shared" si="78"/>
        <v>07 2 12 00000000</v>
      </c>
    </row>
    <row r="749" spans="1:18" s="16" customFormat="1" ht="47.25">
      <c r="A749" s="14"/>
      <c r="B749" s="138" t="s">
        <v>538</v>
      </c>
      <c r="C749" s="109" t="s">
        <v>510</v>
      </c>
      <c r="D749" s="108" t="s">
        <v>229</v>
      </c>
      <c r="E749" s="108" t="s">
        <v>13</v>
      </c>
      <c r="F749" s="108" t="s">
        <v>539</v>
      </c>
      <c r="G749" s="108" t="s">
        <v>9</v>
      </c>
      <c r="H749" s="126">
        <f>H750</f>
        <v>0</v>
      </c>
      <c r="L749" s="20">
        <v>1162.44</v>
      </c>
      <c r="M749" s="20">
        <v>0</v>
      </c>
      <c r="N749" s="20">
        <v>0</v>
      </c>
      <c r="O749" s="20">
        <f>H749-L749</f>
        <v>-1162.44</v>
      </c>
      <c r="P749" s="20" t="e">
        <f>#REF!-M749</f>
        <v>#REF!</v>
      </c>
      <c r="Q749" s="20" t="e">
        <f>#REF!-N749</f>
        <v>#REF!</v>
      </c>
      <c r="R749" s="17" t="str">
        <f t="shared" si="78"/>
        <v>07 2 12 21430000</v>
      </c>
    </row>
    <row r="750" spans="1:18" s="16" customFormat="1" ht="15.75">
      <c r="A750" s="14"/>
      <c r="B750" s="132" t="s">
        <v>409</v>
      </c>
      <c r="C750" s="109" t="s">
        <v>510</v>
      </c>
      <c r="D750" s="108" t="s">
        <v>229</v>
      </c>
      <c r="E750" s="108" t="s">
        <v>13</v>
      </c>
      <c r="F750" s="108" t="s">
        <v>539</v>
      </c>
      <c r="G750" s="108" t="s">
        <v>410</v>
      </c>
      <c r="H750" s="126">
        <f>H751</f>
        <v>0</v>
      </c>
      <c r="L750" s="20">
        <v>1162.44</v>
      </c>
      <c r="M750" s="20">
        <v>0</v>
      </c>
      <c r="N750" s="20">
        <v>0</v>
      </c>
      <c r="O750" s="20">
        <f>H750-L750</f>
        <v>-1162.44</v>
      </c>
      <c r="P750" s="20" t="e">
        <f>#REF!-M750</f>
        <v>#REF!</v>
      </c>
      <c r="Q750" s="20" t="e">
        <f>#REF!-N750</f>
        <v>#REF!</v>
      </c>
      <c r="R750" s="17" t="str">
        <f t="shared" si="78"/>
        <v>07 2 12 21430620</v>
      </c>
    </row>
    <row r="751" spans="1:18" s="23" customFormat="1" ht="15.75">
      <c r="A751" s="21"/>
      <c r="B751" s="127" t="s">
        <v>428</v>
      </c>
      <c r="C751" s="109" t="s">
        <v>510</v>
      </c>
      <c r="D751" s="108" t="s">
        <v>229</v>
      </c>
      <c r="E751" s="108" t="s">
        <v>13</v>
      </c>
      <c r="F751" s="108" t="s">
        <v>539</v>
      </c>
      <c r="G751" s="108" t="s">
        <v>429</v>
      </c>
      <c r="H751" s="126"/>
      <c r="L751" s="22"/>
      <c r="M751" s="22"/>
      <c r="N751" s="22"/>
      <c r="O751" s="22"/>
      <c r="P751" s="22"/>
      <c r="Q751" s="22"/>
      <c r="R751" s="24"/>
    </row>
    <row r="752" spans="1:18" s="16" customFormat="1" ht="94.5">
      <c r="A752" s="14"/>
      <c r="B752" s="125" t="s">
        <v>420</v>
      </c>
      <c r="C752" s="109" t="s">
        <v>510</v>
      </c>
      <c r="D752" s="108" t="s">
        <v>229</v>
      </c>
      <c r="E752" s="108" t="s">
        <v>13</v>
      </c>
      <c r="F752" s="108" t="s">
        <v>421</v>
      </c>
      <c r="G752" s="108" t="s">
        <v>9</v>
      </c>
      <c r="H752" s="126">
        <f t="shared" ref="H752:H754" si="86">H753</f>
        <v>0</v>
      </c>
      <c r="L752" s="20">
        <v>392.8</v>
      </c>
      <c r="M752" s="20">
        <v>392.8</v>
      </c>
      <c r="N752" s="20">
        <v>392.8</v>
      </c>
      <c r="O752" s="20">
        <f>H752-L752</f>
        <v>-392.8</v>
      </c>
      <c r="P752" s="20" t="e">
        <f>#REF!-M752</f>
        <v>#REF!</v>
      </c>
      <c r="Q752" s="20" t="e">
        <f>#REF!-N752</f>
        <v>#REF!</v>
      </c>
      <c r="R752" s="17" t="str">
        <f t="shared" si="78"/>
        <v>16 0 00 00000000</v>
      </c>
    </row>
    <row r="753" spans="1:18" s="16" customFormat="1" ht="31.5">
      <c r="A753" s="14"/>
      <c r="B753" s="125" t="s">
        <v>422</v>
      </c>
      <c r="C753" s="109" t="s">
        <v>510</v>
      </c>
      <c r="D753" s="108" t="s">
        <v>229</v>
      </c>
      <c r="E753" s="108" t="s">
        <v>13</v>
      </c>
      <c r="F753" s="108" t="s">
        <v>423</v>
      </c>
      <c r="G753" s="108" t="s">
        <v>9</v>
      </c>
      <c r="H753" s="126">
        <f t="shared" si="86"/>
        <v>0</v>
      </c>
      <c r="L753" s="20">
        <v>392.8</v>
      </c>
      <c r="M753" s="20">
        <v>392.8</v>
      </c>
      <c r="N753" s="20">
        <v>392.8</v>
      </c>
      <c r="O753" s="20">
        <f>H753-L753</f>
        <v>-392.8</v>
      </c>
      <c r="P753" s="20" t="e">
        <f>#REF!-M753</f>
        <v>#REF!</v>
      </c>
      <c r="Q753" s="20" t="e">
        <f>#REF!-N753</f>
        <v>#REF!</v>
      </c>
      <c r="R753" s="17" t="str">
        <f t="shared" si="78"/>
        <v>16 2 00 00000000</v>
      </c>
    </row>
    <row r="754" spans="1:18" s="16" customFormat="1" ht="47.25">
      <c r="A754" s="14"/>
      <c r="B754" s="125" t="s">
        <v>424</v>
      </c>
      <c r="C754" s="109" t="s">
        <v>510</v>
      </c>
      <c r="D754" s="108" t="s">
        <v>229</v>
      </c>
      <c r="E754" s="108" t="s">
        <v>13</v>
      </c>
      <c r="F754" s="108" t="s">
        <v>425</v>
      </c>
      <c r="G754" s="108" t="s">
        <v>9</v>
      </c>
      <c r="H754" s="126">
        <f t="shared" si="86"/>
        <v>0</v>
      </c>
      <c r="L754" s="20">
        <v>392.8</v>
      </c>
      <c r="M754" s="20">
        <v>392.8</v>
      </c>
      <c r="N754" s="20">
        <v>392.8</v>
      </c>
      <c r="O754" s="20">
        <f>H754-L754</f>
        <v>-392.8</v>
      </c>
      <c r="P754" s="20" t="e">
        <f>#REF!-M754</f>
        <v>#REF!</v>
      </c>
      <c r="Q754" s="20" t="e">
        <f>#REF!-N754</f>
        <v>#REF!</v>
      </c>
      <c r="R754" s="17" t="str">
        <f t="shared" si="78"/>
        <v>16 2 02 00000000</v>
      </c>
    </row>
    <row r="755" spans="1:18" s="16" customFormat="1" ht="47.25">
      <c r="A755" s="14"/>
      <c r="B755" s="125" t="s">
        <v>426</v>
      </c>
      <c r="C755" s="109" t="s">
        <v>510</v>
      </c>
      <c r="D755" s="108" t="s">
        <v>229</v>
      </c>
      <c r="E755" s="108" t="s">
        <v>13</v>
      </c>
      <c r="F755" s="108" t="s">
        <v>427</v>
      </c>
      <c r="G755" s="108" t="s">
        <v>9</v>
      </c>
      <c r="H755" s="126">
        <f>H756+H758</f>
        <v>0</v>
      </c>
      <c r="L755" s="20">
        <v>392.8</v>
      </c>
      <c r="M755" s="20">
        <v>392.8</v>
      </c>
      <c r="N755" s="20">
        <v>392.8</v>
      </c>
      <c r="O755" s="20">
        <f>H755-L755</f>
        <v>-392.8</v>
      </c>
      <c r="P755" s="20" t="e">
        <f>#REF!-M755</f>
        <v>#REF!</v>
      </c>
      <c r="Q755" s="20" t="e">
        <f>#REF!-N755</f>
        <v>#REF!</v>
      </c>
      <c r="R755" s="17" t="str">
        <f t="shared" si="78"/>
        <v>16 2 02 20550000</v>
      </c>
    </row>
    <row r="756" spans="1:18" s="16" customFormat="1" ht="15.75">
      <c r="A756" s="14"/>
      <c r="B756" s="132" t="s">
        <v>403</v>
      </c>
      <c r="C756" s="109" t="s">
        <v>510</v>
      </c>
      <c r="D756" s="108" t="s">
        <v>229</v>
      </c>
      <c r="E756" s="108" t="s">
        <v>13</v>
      </c>
      <c r="F756" s="108" t="s">
        <v>427</v>
      </c>
      <c r="G756" s="108" t="s">
        <v>404</v>
      </c>
      <c r="H756" s="126">
        <f>H757</f>
        <v>0</v>
      </c>
      <c r="L756" s="20">
        <v>344.8</v>
      </c>
      <c r="M756" s="20">
        <v>344.8</v>
      </c>
      <c r="N756" s="20">
        <v>344.8</v>
      </c>
      <c r="O756" s="20">
        <f>H756-L756</f>
        <v>-344.8</v>
      </c>
      <c r="P756" s="20" t="e">
        <f>#REF!-M756</f>
        <v>#REF!</v>
      </c>
      <c r="Q756" s="20" t="e">
        <f>#REF!-N756</f>
        <v>#REF!</v>
      </c>
      <c r="R756" s="17" t="str">
        <f t="shared" si="78"/>
        <v>16 2 02 20550610</v>
      </c>
    </row>
    <row r="757" spans="1:18" s="16" customFormat="1" ht="15.75">
      <c r="A757" s="14"/>
      <c r="B757" s="127" t="s">
        <v>407</v>
      </c>
      <c r="C757" s="109" t="s">
        <v>510</v>
      </c>
      <c r="D757" s="108" t="s">
        <v>229</v>
      </c>
      <c r="E757" s="108" t="s">
        <v>13</v>
      </c>
      <c r="F757" s="108" t="s">
        <v>427</v>
      </c>
      <c r="G757" s="108" t="s">
        <v>408</v>
      </c>
      <c r="H757" s="126"/>
      <c r="L757" s="20"/>
      <c r="M757" s="20"/>
      <c r="N757" s="20"/>
      <c r="O757" s="20"/>
      <c r="P757" s="20"/>
      <c r="Q757" s="20"/>
      <c r="R757" s="17"/>
    </row>
    <row r="758" spans="1:18" s="17" customFormat="1" ht="15.75">
      <c r="A758" s="14"/>
      <c r="B758" s="132" t="s">
        <v>409</v>
      </c>
      <c r="C758" s="109" t="s">
        <v>510</v>
      </c>
      <c r="D758" s="108" t="s">
        <v>229</v>
      </c>
      <c r="E758" s="108" t="s">
        <v>13</v>
      </c>
      <c r="F758" s="108" t="s">
        <v>427</v>
      </c>
      <c r="G758" s="108" t="s">
        <v>410</v>
      </c>
      <c r="H758" s="126">
        <f>H759</f>
        <v>0</v>
      </c>
      <c r="L758" s="20">
        <v>48</v>
      </c>
      <c r="M758" s="20">
        <v>48</v>
      </c>
      <c r="N758" s="20">
        <v>48</v>
      </c>
      <c r="O758" s="20">
        <f>H758-L758</f>
        <v>-48</v>
      </c>
      <c r="P758" s="20" t="e">
        <f>#REF!-M758</f>
        <v>#REF!</v>
      </c>
      <c r="Q758" s="20" t="e">
        <f>#REF!-N758</f>
        <v>#REF!</v>
      </c>
      <c r="R758" s="17" t="str">
        <f t="shared" ref="R758:R852" si="87">CONCATENATE(F758,G758)</f>
        <v>16 2 02 20550620</v>
      </c>
    </row>
    <row r="759" spans="1:18" s="24" customFormat="1" ht="15.75">
      <c r="A759" s="21"/>
      <c r="B759" s="127" t="s">
        <v>428</v>
      </c>
      <c r="C759" s="109" t="s">
        <v>510</v>
      </c>
      <c r="D759" s="108" t="s">
        <v>229</v>
      </c>
      <c r="E759" s="108" t="s">
        <v>13</v>
      </c>
      <c r="F759" s="108" t="s">
        <v>427</v>
      </c>
      <c r="G759" s="108" t="s">
        <v>429</v>
      </c>
      <c r="H759" s="126"/>
      <c r="L759" s="22"/>
      <c r="M759" s="22"/>
      <c r="N759" s="22"/>
      <c r="O759" s="22"/>
      <c r="P759" s="22"/>
      <c r="Q759" s="22"/>
    </row>
    <row r="760" spans="1:18" s="17" customFormat="1" ht="47.25">
      <c r="A760" s="14"/>
      <c r="B760" s="125" t="s">
        <v>430</v>
      </c>
      <c r="C760" s="109" t="s">
        <v>510</v>
      </c>
      <c r="D760" s="108" t="s">
        <v>229</v>
      </c>
      <c r="E760" s="108" t="s">
        <v>13</v>
      </c>
      <c r="F760" s="108" t="s">
        <v>431</v>
      </c>
      <c r="G760" s="108" t="s">
        <v>9</v>
      </c>
      <c r="H760" s="126">
        <f t="shared" ref="H760:H763" si="88">H761</f>
        <v>0</v>
      </c>
      <c r="L760" s="20">
        <v>692.25</v>
      </c>
      <c r="M760" s="20">
        <v>692.25</v>
      </c>
      <c r="N760" s="20">
        <v>692.25</v>
      </c>
      <c r="O760" s="20">
        <f>H760-L760</f>
        <v>-692.25</v>
      </c>
      <c r="P760" s="20" t="e">
        <f>#REF!-M760</f>
        <v>#REF!</v>
      </c>
      <c r="Q760" s="20" t="e">
        <f>#REF!-N760</f>
        <v>#REF!</v>
      </c>
      <c r="R760" s="17" t="str">
        <f t="shared" si="87"/>
        <v>17 0 00 00000000</v>
      </c>
    </row>
    <row r="761" spans="1:18" s="17" customFormat="1" ht="47.25">
      <c r="A761" s="14"/>
      <c r="B761" s="129" t="s">
        <v>432</v>
      </c>
      <c r="C761" s="109" t="s">
        <v>510</v>
      </c>
      <c r="D761" s="108" t="s">
        <v>229</v>
      </c>
      <c r="E761" s="108" t="s">
        <v>13</v>
      </c>
      <c r="F761" s="108" t="s">
        <v>433</v>
      </c>
      <c r="G761" s="108" t="s">
        <v>9</v>
      </c>
      <c r="H761" s="126">
        <f t="shared" si="88"/>
        <v>0</v>
      </c>
      <c r="L761" s="20">
        <v>692.25</v>
      </c>
      <c r="M761" s="20">
        <v>692.25</v>
      </c>
      <c r="N761" s="20">
        <v>692.25</v>
      </c>
      <c r="O761" s="20">
        <f>H761-L761</f>
        <v>-692.25</v>
      </c>
      <c r="P761" s="20" t="e">
        <f>#REF!-M761</f>
        <v>#REF!</v>
      </c>
      <c r="Q761" s="20" t="e">
        <f>#REF!-N761</f>
        <v>#REF!</v>
      </c>
      <c r="R761" s="17" t="str">
        <f t="shared" si="87"/>
        <v>17 Б 00 00000000</v>
      </c>
    </row>
    <row r="762" spans="1:18" s="17" customFormat="1" ht="31.5">
      <c r="A762" s="14"/>
      <c r="B762" s="125" t="s">
        <v>434</v>
      </c>
      <c r="C762" s="109" t="s">
        <v>510</v>
      </c>
      <c r="D762" s="108" t="s">
        <v>229</v>
      </c>
      <c r="E762" s="108" t="s">
        <v>13</v>
      </c>
      <c r="F762" s="108" t="s">
        <v>435</v>
      </c>
      <c r="G762" s="108" t="s">
        <v>9</v>
      </c>
      <c r="H762" s="126">
        <f t="shared" si="88"/>
        <v>0</v>
      </c>
      <c r="L762" s="20">
        <v>692.25</v>
      </c>
      <c r="M762" s="20">
        <v>692.25</v>
      </c>
      <c r="N762" s="20">
        <v>692.25</v>
      </c>
      <c r="O762" s="20">
        <f>H762-L762</f>
        <v>-692.25</v>
      </c>
      <c r="P762" s="20" t="e">
        <f>#REF!-M762</f>
        <v>#REF!</v>
      </c>
      <c r="Q762" s="20" t="e">
        <f>#REF!-N762</f>
        <v>#REF!</v>
      </c>
      <c r="R762" s="17" t="str">
        <f t="shared" si="87"/>
        <v>17 Б 01 00000000</v>
      </c>
    </row>
    <row r="763" spans="1:18" s="17" customFormat="1" ht="47.25">
      <c r="A763" s="14"/>
      <c r="B763" s="132" t="s">
        <v>436</v>
      </c>
      <c r="C763" s="109" t="s">
        <v>510</v>
      </c>
      <c r="D763" s="108" t="s">
        <v>229</v>
      </c>
      <c r="E763" s="108" t="s">
        <v>13</v>
      </c>
      <c r="F763" s="108" t="s">
        <v>437</v>
      </c>
      <c r="G763" s="108" t="s">
        <v>9</v>
      </c>
      <c r="H763" s="126">
        <f t="shared" si="88"/>
        <v>0</v>
      </c>
      <c r="L763" s="20">
        <v>692.25</v>
      </c>
      <c r="M763" s="20">
        <v>692.25</v>
      </c>
      <c r="N763" s="20">
        <v>692.25</v>
      </c>
      <c r="O763" s="20">
        <f>H763-L763</f>
        <v>-692.25</v>
      </c>
      <c r="P763" s="20" t="e">
        <f>#REF!-M763</f>
        <v>#REF!</v>
      </c>
      <c r="Q763" s="20" t="e">
        <f>#REF!-N763</f>
        <v>#REF!</v>
      </c>
      <c r="R763" s="17" t="str">
        <f t="shared" si="87"/>
        <v>17 Б 01 20490000</v>
      </c>
    </row>
    <row r="764" spans="1:18" s="17" customFormat="1" ht="15.75">
      <c r="A764" s="14"/>
      <c r="B764" s="132" t="s">
        <v>409</v>
      </c>
      <c r="C764" s="109" t="s">
        <v>510</v>
      </c>
      <c r="D764" s="108" t="s">
        <v>229</v>
      </c>
      <c r="E764" s="108" t="s">
        <v>13</v>
      </c>
      <c r="F764" s="108" t="s">
        <v>437</v>
      </c>
      <c r="G764" s="108" t="s">
        <v>410</v>
      </c>
      <c r="H764" s="126">
        <f>H765</f>
        <v>0</v>
      </c>
      <c r="L764" s="20">
        <v>692.25</v>
      </c>
      <c r="M764" s="20">
        <v>692.25</v>
      </c>
      <c r="N764" s="20">
        <v>692.25</v>
      </c>
      <c r="O764" s="20">
        <f>H764-L764</f>
        <v>-692.25</v>
      </c>
      <c r="P764" s="20" t="e">
        <f>#REF!-M764</f>
        <v>#REF!</v>
      </c>
      <c r="Q764" s="20" t="e">
        <f>#REF!-N764</f>
        <v>#REF!</v>
      </c>
      <c r="R764" s="17" t="str">
        <f t="shared" si="87"/>
        <v>17 Б 01 20490620</v>
      </c>
    </row>
    <row r="765" spans="1:18" s="24" customFormat="1" ht="15.75">
      <c r="A765" s="21"/>
      <c r="B765" s="127" t="s">
        <v>428</v>
      </c>
      <c r="C765" s="109" t="s">
        <v>510</v>
      </c>
      <c r="D765" s="108" t="s">
        <v>229</v>
      </c>
      <c r="E765" s="108" t="s">
        <v>13</v>
      </c>
      <c r="F765" s="108" t="s">
        <v>437</v>
      </c>
      <c r="G765" s="108" t="s">
        <v>429</v>
      </c>
      <c r="H765" s="126"/>
      <c r="L765" s="22"/>
      <c r="M765" s="22"/>
      <c r="N765" s="22"/>
      <c r="O765" s="22"/>
      <c r="P765" s="22"/>
      <c r="Q765" s="22"/>
    </row>
    <row r="766" spans="1:18" s="17" customFormat="1" ht="63">
      <c r="A766" s="14"/>
      <c r="B766" s="125" t="s">
        <v>87</v>
      </c>
      <c r="C766" s="109" t="s">
        <v>510</v>
      </c>
      <c r="D766" s="108" t="s">
        <v>229</v>
      </c>
      <c r="E766" s="108" t="s">
        <v>13</v>
      </c>
      <c r="F766" s="108" t="s">
        <v>88</v>
      </c>
      <c r="G766" s="108" t="s">
        <v>9</v>
      </c>
      <c r="H766" s="126">
        <f>H767</f>
        <v>0</v>
      </c>
      <c r="L766" s="20"/>
      <c r="M766" s="20"/>
      <c r="N766" s="20"/>
      <c r="O766" s="20">
        <f>H766-L766</f>
        <v>0</v>
      </c>
      <c r="P766" s="20" t="e">
        <f>#REF!-M766</f>
        <v>#REF!</v>
      </c>
      <c r="Q766" s="20" t="e">
        <f>#REF!-N766</f>
        <v>#REF!</v>
      </c>
      <c r="R766" s="17" t="str">
        <f t="shared" si="87"/>
        <v>98 0 00 00000000</v>
      </c>
    </row>
    <row r="767" spans="1:18" s="17" customFormat="1" ht="15.75">
      <c r="A767" s="14"/>
      <c r="B767" s="125" t="s">
        <v>89</v>
      </c>
      <c r="C767" s="109" t="s">
        <v>510</v>
      </c>
      <c r="D767" s="108" t="s">
        <v>229</v>
      </c>
      <c r="E767" s="108" t="s">
        <v>13</v>
      </c>
      <c r="F767" s="108" t="s">
        <v>90</v>
      </c>
      <c r="G767" s="108" t="s">
        <v>9</v>
      </c>
      <c r="H767" s="126">
        <f>H768</f>
        <v>0</v>
      </c>
      <c r="L767" s="20"/>
      <c r="M767" s="20"/>
      <c r="N767" s="20"/>
      <c r="O767" s="20">
        <f>H767-L767</f>
        <v>0</v>
      </c>
      <c r="P767" s="20" t="e">
        <f>#REF!-M767</f>
        <v>#REF!</v>
      </c>
      <c r="Q767" s="20" t="e">
        <f>#REF!-N767</f>
        <v>#REF!</v>
      </c>
      <c r="R767" s="17" t="str">
        <f t="shared" si="87"/>
        <v>98 1 00 00000000</v>
      </c>
    </row>
    <row r="768" spans="1:18" s="17" customFormat="1" ht="157.5">
      <c r="A768" s="14"/>
      <c r="B768" s="125" t="s">
        <v>540</v>
      </c>
      <c r="C768" s="109" t="s">
        <v>510</v>
      </c>
      <c r="D768" s="108" t="s">
        <v>229</v>
      </c>
      <c r="E768" s="108" t="s">
        <v>13</v>
      </c>
      <c r="F768" s="108" t="s">
        <v>541</v>
      </c>
      <c r="G768" s="108" t="s">
        <v>9</v>
      </c>
      <c r="H768" s="126">
        <f>H769+H771</f>
        <v>0</v>
      </c>
      <c r="L768" s="20"/>
      <c r="M768" s="20"/>
      <c r="N768" s="20"/>
      <c r="O768" s="20">
        <f>H768-L768</f>
        <v>0</v>
      </c>
      <c r="P768" s="20" t="e">
        <f>#REF!-M768</f>
        <v>#REF!</v>
      </c>
      <c r="Q768" s="20" t="e">
        <f>#REF!-N768</f>
        <v>#REF!</v>
      </c>
      <c r="R768" s="17" t="str">
        <f t="shared" si="87"/>
        <v>98 1 00 21530000</v>
      </c>
    </row>
    <row r="769" spans="1:18" s="17" customFormat="1" ht="15.75">
      <c r="A769" s="14"/>
      <c r="B769" s="132" t="s">
        <v>403</v>
      </c>
      <c r="C769" s="109" t="s">
        <v>510</v>
      </c>
      <c r="D769" s="108" t="s">
        <v>229</v>
      </c>
      <c r="E769" s="108" t="s">
        <v>13</v>
      </c>
      <c r="F769" s="108" t="s">
        <v>541</v>
      </c>
      <c r="G769" s="108" t="s">
        <v>404</v>
      </c>
      <c r="H769" s="126">
        <f>H770</f>
        <v>0</v>
      </c>
      <c r="L769" s="20"/>
      <c r="M769" s="20"/>
      <c r="N769" s="20"/>
      <c r="O769" s="20">
        <f>H769-L769</f>
        <v>0</v>
      </c>
      <c r="P769" s="20" t="e">
        <f>#REF!-M769</f>
        <v>#REF!</v>
      </c>
      <c r="Q769" s="20" t="e">
        <f>#REF!-N769</f>
        <v>#REF!</v>
      </c>
      <c r="R769" s="17" t="str">
        <f t="shared" si="87"/>
        <v>98 1 00 21530610</v>
      </c>
    </row>
    <row r="770" spans="1:18" s="24" customFormat="1" ht="15.75">
      <c r="A770" s="21"/>
      <c r="B770" s="127" t="s">
        <v>407</v>
      </c>
      <c r="C770" s="109" t="s">
        <v>510</v>
      </c>
      <c r="D770" s="108" t="s">
        <v>229</v>
      </c>
      <c r="E770" s="108" t="s">
        <v>13</v>
      </c>
      <c r="F770" s="108" t="s">
        <v>541</v>
      </c>
      <c r="G770" s="108" t="s">
        <v>408</v>
      </c>
      <c r="H770" s="126"/>
      <c r="L770" s="22"/>
      <c r="M770" s="22"/>
      <c r="N770" s="22"/>
      <c r="O770" s="22"/>
      <c r="P770" s="22"/>
      <c r="Q770" s="22"/>
    </row>
    <row r="771" spans="1:18" s="17" customFormat="1" ht="15.75">
      <c r="A771" s="14"/>
      <c r="B771" s="132" t="s">
        <v>409</v>
      </c>
      <c r="C771" s="109" t="s">
        <v>510</v>
      </c>
      <c r="D771" s="108" t="s">
        <v>229</v>
      </c>
      <c r="E771" s="108" t="s">
        <v>13</v>
      </c>
      <c r="F771" s="108" t="s">
        <v>541</v>
      </c>
      <c r="G771" s="108" t="s">
        <v>410</v>
      </c>
      <c r="H771" s="126">
        <f>H772</f>
        <v>0</v>
      </c>
      <c r="L771" s="20"/>
      <c r="M771" s="20"/>
      <c r="N771" s="20"/>
      <c r="O771" s="20">
        <f>H771-L771</f>
        <v>0</v>
      </c>
      <c r="P771" s="20" t="e">
        <f>#REF!-M771</f>
        <v>#REF!</v>
      </c>
      <c r="Q771" s="20" t="e">
        <f>#REF!-N771</f>
        <v>#REF!</v>
      </c>
      <c r="R771" s="17" t="str">
        <f t="shared" si="87"/>
        <v>98 1 00 21530620</v>
      </c>
    </row>
    <row r="772" spans="1:18" s="24" customFormat="1" ht="15.75">
      <c r="A772" s="21"/>
      <c r="B772" s="127" t="s">
        <v>428</v>
      </c>
      <c r="C772" s="109" t="s">
        <v>510</v>
      </c>
      <c r="D772" s="108" t="s">
        <v>229</v>
      </c>
      <c r="E772" s="108" t="s">
        <v>13</v>
      </c>
      <c r="F772" s="108" t="s">
        <v>541</v>
      </c>
      <c r="G772" s="108" t="s">
        <v>429</v>
      </c>
      <c r="H772" s="126"/>
      <c r="L772" s="22"/>
      <c r="M772" s="22"/>
      <c r="N772" s="22"/>
      <c r="O772" s="22"/>
      <c r="P772" s="22"/>
      <c r="Q772" s="22"/>
    </row>
    <row r="773" spans="1:18" s="17" customFormat="1" ht="15.75">
      <c r="A773" s="14"/>
      <c r="B773" s="121" t="s">
        <v>464</v>
      </c>
      <c r="C773" s="122" t="s">
        <v>510</v>
      </c>
      <c r="D773" s="123" t="s">
        <v>229</v>
      </c>
      <c r="E773" s="123" t="s">
        <v>229</v>
      </c>
      <c r="F773" s="123" t="s">
        <v>8</v>
      </c>
      <c r="G773" s="123" t="s">
        <v>9</v>
      </c>
      <c r="H773" s="124">
        <f>H780+H774+H810</f>
        <v>0</v>
      </c>
      <c r="L773" s="19">
        <v>10043.200000000001</v>
      </c>
      <c r="M773" s="19">
        <v>9653.2000000000007</v>
      </c>
      <c r="N773" s="19">
        <v>9653.2000000000007</v>
      </c>
      <c r="O773" s="19">
        <f t="shared" ref="O773:O778" si="89">H773-L773</f>
        <v>-10043.200000000001</v>
      </c>
      <c r="P773" s="19" t="e">
        <f>#REF!-M773</f>
        <v>#REF!</v>
      </c>
      <c r="Q773" s="19" t="e">
        <f>#REF!-N773</f>
        <v>#REF!</v>
      </c>
      <c r="R773" s="17" t="str">
        <f t="shared" si="87"/>
        <v>00 0 00 00000000</v>
      </c>
    </row>
    <row r="774" spans="1:18" s="17" customFormat="1" ht="63">
      <c r="A774" s="14"/>
      <c r="B774" s="127" t="s">
        <v>293</v>
      </c>
      <c r="C774" s="109" t="s">
        <v>510</v>
      </c>
      <c r="D774" s="108" t="s">
        <v>229</v>
      </c>
      <c r="E774" s="108" t="s">
        <v>229</v>
      </c>
      <c r="F774" s="108" t="s">
        <v>294</v>
      </c>
      <c r="G774" s="108" t="s">
        <v>9</v>
      </c>
      <c r="H774" s="126">
        <f t="shared" ref="H774:H777" si="90">H775</f>
        <v>0</v>
      </c>
      <c r="L774" s="20">
        <v>187.5</v>
      </c>
      <c r="M774" s="20">
        <v>187.5</v>
      </c>
      <c r="N774" s="20">
        <v>187.5</v>
      </c>
      <c r="O774" s="20">
        <f t="shared" si="89"/>
        <v>-187.5</v>
      </c>
      <c r="P774" s="20" t="e">
        <f>#REF!-M774</f>
        <v>#REF!</v>
      </c>
      <c r="Q774" s="20" t="e">
        <f>#REF!-N774</f>
        <v>#REF!</v>
      </c>
      <c r="R774" s="17" t="str">
        <f t="shared" si="87"/>
        <v>04 0 00 00000000</v>
      </c>
    </row>
    <row r="775" spans="1:18" s="17" customFormat="1" ht="31.5">
      <c r="A775" s="14"/>
      <c r="B775" s="125" t="s">
        <v>307</v>
      </c>
      <c r="C775" s="109" t="s">
        <v>510</v>
      </c>
      <c r="D775" s="108" t="s">
        <v>229</v>
      </c>
      <c r="E775" s="108" t="s">
        <v>229</v>
      </c>
      <c r="F775" s="108" t="s">
        <v>308</v>
      </c>
      <c r="G775" s="108" t="s">
        <v>9</v>
      </c>
      <c r="H775" s="126">
        <f t="shared" si="90"/>
        <v>0</v>
      </c>
      <c r="L775" s="20">
        <v>187.5</v>
      </c>
      <c r="M775" s="20">
        <v>187.5</v>
      </c>
      <c r="N775" s="20">
        <v>187.5</v>
      </c>
      <c r="O775" s="20">
        <f t="shared" si="89"/>
        <v>-187.5</v>
      </c>
      <c r="P775" s="20" t="e">
        <f>#REF!-M775</f>
        <v>#REF!</v>
      </c>
      <c r="Q775" s="20" t="e">
        <f>#REF!-N775</f>
        <v>#REF!</v>
      </c>
      <c r="R775" s="17" t="str">
        <f t="shared" si="87"/>
        <v>04 3 00 00000000</v>
      </c>
    </row>
    <row r="776" spans="1:18" s="17" customFormat="1" ht="31.5">
      <c r="A776" s="14"/>
      <c r="B776" s="138" t="s">
        <v>309</v>
      </c>
      <c r="C776" s="109" t="s">
        <v>510</v>
      </c>
      <c r="D776" s="108" t="s">
        <v>229</v>
      </c>
      <c r="E776" s="108" t="s">
        <v>229</v>
      </c>
      <c r="F776" s="108" t="s">
        <v>310</v>
      </c>
      <c r="G776" s="108" t="s">
        <v>9</v>
      </c>
      <c r="H776" s="126">
        <f t="shared" si="90"/>
        <v>0</v>
      </c>
      <c r="L776" s="20">
        <v>187.5</v>
      </c>
      <c r="M776" s="20">
        <v>187.5</v>
      </c>
      <c r="N776" s="20">
        <v>187.5</v>
      </c>
      <c r="O776" s="20">
        <f t="shared" si="89"/>
        <v>-187.5</v>
      </c>
      <c r="P776" s="20" t="e">
        <f>#REF!-M776</f>
        <v>#REF!</v>
      </c>
      <c r="Q776" s="20" t="e">
        <f>#REF!-N776</f>
        <v>#REF!</v>
      </c>
      <c r="R776" s="17" t="str">
        <f t="shared" si="87"/>
        <v>04 3 04 00000000</v>
      </c>
    </row>
    <row r="777" spans="1:18" s="17" customFormat="1" ht="31.5">
      <c r="A777" s="14"/>
      <c r="B777" s="127" t="s">
        <v>542</v>
      </c>
      <c r="C777" s="109" t="s">
        <v>510</v>
      </c>
      <c r="D777" s="108" t="s">
        <v>229</v>
      </c>
      <c r="E777" s="108" t="s">
        <v>229</v>
      </c>
      <c r="F777" s="108" t="s">
        <v>543</v>
      </c>
      <c r="G777" s="108" t="s">
        <v>9</v>
      </c>
      <c r="H777" s="126">
        <f t="shared" si="90"/>
        <v>0</v>
      </c>
      <c r="L777" s="20">
        <v>187.5</v>
      </c>
      <c r="M777" s="20">
        <v>187.5</v>
      </c>
      <c r="N777" s="20">
        <v>187.5</v>
      </c>
      <c r="O777" s="20">
        <f t="shared" si="89"/>
        <v>-187.5</v>
      </c>
      <c r="P777" s="20" t="e">
        <f>#REF!-M777</f>
        <v>#REF!</v>
      </c>
      <c r="Q777" s="20" t="e">
        <f>#REF!-N777</f>
        <v>#REF!</v>
      </c>
      <c r="R777" s="17" t="str">
        <f t="shared" si="87"/>
        <v>04 3 04 20300000</v>
      </c>
    </row>
    <row r="778" spans="1:18" s="17" customFormat="1" ht="31.5">
      <c r="A778" s="14"/>
      <c r="B778" s="125" t="s">
        <v>28</v>
      </c>
      <c r="C778" s="109" t="s">
        <v>510</v>
      </c>
      <c r="D778" s="108" t="s">
        <v>229</v>
      </c>
      <c r="E778" s="108" t="s">
        <v>229</v>
      </c>
      <c r="F778" s="108" t="s">
        <v>543</v>
      </c>
      <c r="G778" s="108" t="s">
        <v>29</v>
      </c>
      <c r="H778" s="126">
        <f>H779</f>
        <v>0</v>
      </c>
      <c r="L778" s="20">
        <v>187.5</v>
      </c>
      <c r="M778" s="20">
        <v>187.5</v>
      </c>
      <c r="N778" s="20">
        <v>187.5</v>
      </c>
      <c r="O778" s="20">
        <f t="shared" si="89"/>
        <v>-187.5</v>
      </c>
      <c r="P778" s="20" t="e">
        <f>#REF!-M778</f>
        <v>#REF!</v>
      </c>
      <c r="Q778" s="20" t="e">
        <f>#REF!-N778</f>
        <v>#REF!</v>
      </c>
      <c r="R778" s="17" t="str">
        <f t="shared" si="87"/>
        <v>04 3 04 20300240</v>
      </c>
    </row>
    <row r="779" spans="1:18" s="17" customFormat="1" ht="15.75">
      <c r="A779" s="14"/>
      <c r="B779" s="125" t="s">
        <v>30</v>
      </c>
      <c r="C779" s="109" t="s">
        <v>510</v>
      </c>
      <c r="D779" s="108" t="s">
        <v>229</v>
      </c>
      <c r="E779" s="108" t="s">
        <v>229</v>
      </c>
      <c r="F779" s="108" t="s">
        <v>543</v>
      </c>
      <c r="G779" s="108" t="s">
        <v>31</v>
      </c>
      <c r="H779" s="126"/>
      <c r="L779" s="20"/>
      <c r="M779" s="20"/>
      <c r="N779" s="20"/>
      <c r="O779" s="20"/>
      <c r="P779" s="20"/>
      <c r="Q779" s="20"/>
      <c r="R779" s="17" t="str">
        <f t="shared" si="87"/>
        <v>04 3 04 20300244</v>
      </c>
    </row>
    <row r="780" spans="1:18" s="17" customFormat="1" ht="31.5">
      <c r="A780" s="14"/>
      <c r="B780" s="145" t="s">
        <v>544</v>
      </c>
      <c r="C780" s="109" t="s">
        <v>510</v>
      </c>
      <c r="D780" s="108" t="s">
        <v>229</v>
      </c>
      <c r="E780" s="108" t="s">
        <v>229</v>
      </c>
      <c r="F780" s="108" t="s">
        <v>545</v>
      </c>
      <c r="G780" s="108" t="s">
        <v>9</v>
      </c>
      <c r="H780" s="126">
        <f>H781</f>
        <v>0</v>
      </c>
      <c r="L780" s="20">
        <v>9465.7000000000007</v>
      </c>
      <c r="M780" s="20">
        <v>9465.7000000000007</v>
      </c>
      <c r="N780" s="20">
        <v>9465.7000000000007</v>
      </c>
      <c r="O780" s="20">
        <f>H780-L780</f>
        <v>-9465.7000000000007</v>
      </c>
      <c r="P780" s="20" t="e">
        <f>#REF!-M780</f>
        <v>#REF!</v>
      </c>
      <c r="Q780" s="20" t="e">
        <f>#REF!-N780</f>
        <v>#REF!</v>
      </c>
      <c r="R780" s="17" t="str">
        <f t="shared" si="87"/>
        <v>09 0 00 00000000</v>
      </c>
    </row>
    <row r="781" spans="1:18" s="17" customFormat="1" ht="31.5">
      <c r="A781" s="14"/>
      <c r="B781" s="145" t="s">
        <v>546</v>
      </c>
      <c r="C781" s="109" t="s">
        <v>510</v>
      </c>
      <c r="D781" s="108" t="s">
        <v>229</v>
      </c>
      <c r="E781" s="108" t="s">
        <v>229</v>
      </c>
      <c r="F781" s="108" t="s">
        <v>547</v>
      </c>
      <c r="G781" s="108" t="s">
        <v>9</v>
      </c>
      <c r="H781" s="126">
        <f>H782+H786+H794+H798+H802+H806</f>
        <v>0</v>
      </c>
      <c r="L781" s="20">
        <v>9465.7000000000007</v>
      </c>
      <c r="M781" s="20">
        <v>9465.7000000000007</v>
      </c>
      <c r="N781" s="20">
        <v>9465.7000000000007</v>
      </c>
      <c r="O781" s="20">
        <f>H781-L781</f>
        <v>-9465.7000000000007</v>
      </c>
      <c r="P781" s="20" t="e">
        <f>#REF!-M781</f>
        <v>#REF!</v>
      </c>
      <c r="Q781" s="20" t="e">
        <f>#REF!-N781</f>
        <v>#REF!</v>
      </c>
      <c r="R781" s="17" t="str">
        <f t="shared" si="87"/>
        <v>09 Б 00 00000000</v>
      </c>
    </row>
    <row r="782" spans="1:18" s="17" customFormat="1" ht="47.25">
      <c r="A782" s="14"/>
      <c r="B782" s="127" t="s">
        <v>548</v>
      </c>
      <c r="C782" s="109" t="s">
        <v>510</v>
      </c>
      <c r="D782" s="108" t="s">
        <v>229</v>
      </c>
      <c r="E782" s="108" t="s">
        <v>229</v>
      </c>
      <c r="F782" s="108" t="s">
        <v>549</v>
      </c>
      <c r="G782" s="108" t="s">
        <v>9</v>
      </c>
      <c r="H782" s="126">
        <f t="shared" ref="H782:H783" si="91">H783</f>
        <v>0</v>
      </c>
      <c r="L782" s="20">
        <v>779</v>
      </c>
      <c r="M782" s="20">
        <v>779</v>
      </c>
      <c r="N782" s="20">
        <v>779</v>
      </c>
      <c r="O782" s="20">
        <f>H782-L782</f>
        <v>-779</v>
      </c>
      <c r="P782" s="20" t="e">
        <f>#REF!-M782</f>
        <v>#REF!</v>
      </c>
      <c r="Q782" s="20" t="e">
        <f>#REF!-N782</f>
        <v>#REF!</v>
      </c>
      <c r="R782" s="17" t="str">
        <f t="shared" si="87"/>
        <v>09 Б 01 00000000</v>
      </c>
    </row>
    <row r="783" spans="1:18" s="17" customFormat="1" ht="63">
      <c r="A783" s="14"/>
      <c r="B783" s="125" t="s">
        <v>550</v>
      </c>
      <c r="C783" s="109" t="s">
        <v>510</v>
      </c>
      <c r="D783" s="108" t="s">
        <v>229</v>
      </c>
      <c r="E783" s="108" t="s">
        <v>229</v>
      </c>
      <c r="F783" s="108" t="s">
        <v>551</v>
      </c>
      <c r="G783" s="108" t="s">
        <v>9</v>
      </c>
      <c r="H783" s="126">
        <f t="shared" si="91"/>
        <v>0</v>
      </c>
      <c r="L783" s="20">
        <v>779</v>
      </c>
      <c r="M783" s="20">
        <v>779</v>
      </c>
      <c r="N783" s="20">
        <v>779</v>
      </c>
      <c r="O783" s="20">
        <f>H783-L783</f>
        <v>-779</v>
      </c>
      <c r="P783" s="20" t="e">
        <f>#REF!-M783</f>
        <v>#REF!</v>
      </c>
      <c r="Q783" s="20" t="e">
        <f>#REF!-N783</f>
        <v>#REF!</v>
      </c>
      <c r="R783" s="17" t="str">
        <f t="shared" si="87"/>
        <v>09 Б 01 20460000</v>
      </c>
    </row>
    <row r="784" spans="1:18" s="17" customFormat="1" ht="15.75">
      <c r="A784" s="14"/>
      <c r="B784" s="132" t="s">
        <v>403</v>
      </c>
      <c r="C784" s="109" t="s">
        <v>510</v>
      </c>
      <c r="D784" s="108" t="s">
        <v>229</v>
      </c>
      <c r="E784" s="108" t="s">
        <v>229</v>
      </c>
      <c r="F784" s="108" t="s">
        <v>551</v>
      </c>
      <c r="G784" s="108" t="s">
        <v>404</v>
      </c>
      <c r="H784" s="126">
        <f>H785</f>
        <v>0</v>
      </c>
      <c r="L784" s="20">
        <v>779</v>
      </c>
      <c r="M784" s="20">
        <v>779</v>
      </c>
      <c r="N784" s="20">
        <v>779</v>
      </c>
      <c r="O784" s="20">
        <f>H784-L784</f>
        <v>-779</v>
      </c>
      <c r="P784" s="20" t="e">
        <f>#REF!-M784</f>
        <v>#REF!</v>
      </c>
      <c r="Q784" s="20" t="e">
        <f>#REF!-N784</f>
        <v>#REF!</v>
      </c>
      <c r="R784" s="17" t="str">
        <f t="shared" si="87"/>
        <v>09 Б 01 20460610</v>
      </c>
    </row>
    <row r="785" spans="1:18" s="24" customFormat="1" ht="63">
      <c r="A785" s="21"/>
      <c r="B785" s="127" t="s">
        <v>405</v>
      </c>
      <c r="C785" s="109" t="s">
        <v>510</v>
      </c>
      <c r="D785" s="108" t="s">
        <v>229</v>
      </c>
      <c r="E785" s="108" t="s">
        <v>229</v>
      </c>
      <c r="F785" s="108" t="s">
        <v>551</v>
      </c>
      <c r="G785" s="108" t="s">
        <v>406</v>
      </c>
      <c r="H785" s="126"/>
      <c r="L785" s="22"/>
      <c r="M785" s="22"/>
      <c r="N785" s="22"/>
      <c r="O785" s="22"/>
      <c r="P785" s="22"/>
      <c r="Q785" s="22"/>
    </row>
    <row r="786" spans="1:18" s="17" customFormat="1" ht="47.25">
      <c r="A786" s="14"/>
      <c r="B786" s="127" t="s">
        <v>552</v>
      </c>
      <c r="C786" s="109" t="s">
        <v>510</v>
      </c>
      <c r="D786" s="108" t="s">
        <v>229</v>
      </c>
      <c r="E786" s="108" t="s">
        <v>229</v>
      </c>
      <c r="F786" s="108" t="s">
        <v>553</v>
      </c>
      <c r="G786" s="108" t="s">
        <v>9</v>
      </c>
      <c r="H786" s="126">
        <f>H787</f>
        <v>0</v>
      </c>
      <c r="L786" s="20">
        <v>4764.5</v>
      </c>
      <c r="M786" s="20">
        <v>4764.5</v>
      </c>
      <c r="N786" s="20">
        <v>4764.5</v>
      </c>
      <c r="O786" s="20">
        <f>H786-L786</f>
        <v>-4764.5</v>
      </c>
      <c r="P786" s="20" t="e">
        <f>#REF!-M786</f>
        <v>#REF!</v>
      </c>
      <c r="Q786" s="20" t="e">
        <f>#REF!-N786</f>
        <v>#REF!</v>
      </c>
      <c r="R786" s="17" t="str">
        <f t="shared" si="87"/>
        <v>09 Б 02 00000000</v>
      </c>
    </row>
    <row r="787" spans="1:18" s="17" customFormat="1" ht="63">
      <c r="A787" s="14"/>
      <c r="B787" s="125" t="s">
        <v>550</v>
      </c>
      <c r="C787" s="109" t="s">
        <v>510</v>
      </c>
      <c r="D787" s="108" t="s">
        <v>229</v>
      </c>
      <c r="E787" s="108" t="s">
        <v>229</v>
      </c>
      <c r="F787" s="108" t="s">
        <v>554</v>
      </c>
      <c r="G787" s="108" t="s">
        <v>9</v>
      </c>
      <c r="H787" s="126">
        <f>H788+H792+H791+H790</f>
        <v>0</v>
      </c>
      <c r="L787" s="20">
        <v>4764.5</v>
      </c>
      <c r="M787" s="20">
        <v>4764.5</v>
      </c>
      <c r="N787" s="20">
        <v>4764.5</v>
      </c>
      <c r="O787" s="20">
        <f>H787-L787</f>
        <v>-4764.5</v>
      </c>
      <c r="P787" s="20" t="e">
        <f>#REF!-M787</f>
        <v>#REF!</v>
      </c>
      <c r="Q787" s="20" t="e">
        <f>#REF!-N787</f>
        <v>#REF!</v>
      </c>
      <c r="R787" s="17" t="str">
        <f t="shared" si="87"/>
        <v>09 Б 02 20460000</v>
      </c>
    </row>
    <row r="788" spans="1:18" s="17" customFormat="1" ht="31.5">
      <c r="A788" s="14"/>
      <c r="B788" s="125" t="s">
        <v>28</v>
      </c>
      <c r="C788" s="109" t="s">
        <v>510</v>
      </c>
      <c r="D788" s="108" t="s">
        <v>229</v>
      </c>
      <c r="E788" s="108" t="s">
        <v>229</v>
      </c>
      <c r="F788" s="108" t="s">
        <v>554</v>
      </c>
      <c r="G788" s="108" t="s">
        <v>29</v>
      </c>
      <c r="H788" s="126">
        <f>H789</f>
        <v>0</v>
      </c>
      <c r="L788" s="20">
        <v>549.5</v>
      </c>
      <c r="M788" s="20">
        <v>549.5</v>
      </c>
      <c r="N788" s="20">
        <v>549.5</v>
      </c>
      <c r="O788" s="20">
        <f>H788-L788</f>
        <v>-549.5</v>
      </c>
      <c r="P788" s="20" t="e">
        <f>#REF!-M788</f>
        <v>#REF!</v>
      </c>
      <c r="Q788" s="20" t="e">
        <f>#REF!-N788</f>
        <v>#REF!</v>
      </c>
      <c r="R788" s="17" t="str">
        <f t="shared" si="87"/>
        <v>09 Б 02 20460240</v>
      </c>
    </row>
    <row r="789" spans="1:18" s="17" customFormat="1" ht="15.75">
      <c r="A789" s="14"/>
      <c r="B789" s="125" t="s">
        <v>30</v>
      </c>
      <c r="C789" s="109" t="s">
        <v>510</v>
      </c>
      <c r="D789" s="108" t="s">
        <v>229</v>
      </c>
      <c r="E789" s="108" t="s">
        <v>229</v>
      </c>
      <c r="F789" s="108" t="s">
        <v>554</v>
      </c>
      <c r="G789" s="108" t="s">
        <v>31</v>
      </c>
      <c r="H789" s="126"/>
      <c r="L789" s="20"/>
      <c r="M789" s="20"/>
      <c r="N789" s="20"/>
      <c r="O789" s="20"/>
      <c r="P789" s="20"/>
      <c r="Q789" s="20"/>
      <c r="R789" s="17" t="str">
        <f t="shared" si="87"/>
        <v>09 Б 02 20460244</v>
      </c>
    </row>
    <row r="790" spans="1:18" s="17" customFormat="1" ht="15.75">
      <c r="A790" s="14"/>
      <c r="B790" s="125" t="s">
        <v>555</v>
      </c>
      <c r="C790" s="109" t="s">
        <v>510</v>
      </c>
      <c r="D790" s="108" t="s">
        <v>229</v>
      </c>
      <c r="E790" s="108" t="s">
        <v>229</v>
      </c>
      <c r="F790" s="108" t="s">
        <v>554</v>
      </c>
      <c r="G790" s="108" t="s">
        <v>556</v>
      </c>
      <c r="H790" s="126"/>
      <c r="L790" s="20">
        <v>2835</v>
      </c>
      <c r="M790" s="20">
        <v>2835</v>
      </c>
      <c r="N790" s="20">
        <v>2835</v>
      </c>
      <c r="O790" s="20">
        <f>H790-L790</f>
        <v>-2835</v>
      </c>
      <c r="P790" s="20" t="e">
        <f>#REF!-M790</f>
        <v>#REF!</v>
      </c>
      <c r="Q790" s="20" t="e">
        <f>#REF!-N790</f>
        <v>#REF!</v>
      </c>
      <c r="R790" s="17" t="str">
        <f t="shared" si="87"/>
        <v>09 Б 02 20460340</v>
      </c>
    </row>
    <row r="791" spans="1:18" s="17" customFormat="1" ht="15.75">
      <c r="A791" s="14"/>
      <c r="B791" s="125" t="s">
        <v>163</v>
      </c>
      <c r="C791" s="109" t="s">
        <v>510</v>
      </c>
      <c r="D791" s="108" t="s">
        <v>229</v>
      </c>
      <c r="E791" s="108" t="s">
        <v>229</v>
      </c>
      <c r="F791" s="108" t="s">
        <v>554</v>
      </c>
      <c r="G791" s="108" t="s">
        <v>164</v>
      </c>
      <c r="H791" s="126"/>
      <c r="L791" s="20">
        <v>250</v>
      </c>
      <c r="M791" s="20">
        <v>250</v>
      </c>
      <c r="N791" s="20">
        <v>250</v>
      </c>
      <c r="O791" s="20">
        <f>H791-L791</f>
        <v>-250</v>
      </c>
      <c r="P791" s="20" t="e">
        <f>#REF!-M791</f>
        <v>#REF!</v>
      </c>
      <c r="Q791" s="20" t="e">
        <f>#REF!-N791</f>
        <v>#REF!</v>
      </c>
      <c r="R791" s="17" t="str">
        <f t="shared" si="87"/>
        <v>09 Б 02 20460350</v>
      </c>
    </row>
    <row r="792" spans="1:18" s="17" customFormat="1" ht="15.75">
      <c r="A792" s="14"/>
      <c r="B792" s="132" t="s">
        <v>403</v>
      </c>
      <c r="C792" s="109" t="s">
        <v>510</v>
      </c>
      <c r="D792" s="108" t="s">
        <v>229</v>
      </c>
      <c r="E792" s="108" t="s">
        <v>229</v>
      </c>
      <c r="F792" s="108" t="s">
        <v>554</v>
      </c>
      <c r="G792" s="108" t="s">
        <v>404</v>
      </c>
      <c r="H792" s="126">
        <f>H793</f>
        <v>0</v>
      </c>
      <c r="L792" s="20">
        <v>1130</v>
      </c>
      <c r="M792" s="20">
        <v>1130</v>
      </c>
      <c r="N792" s="20">
        <v>1130</v>
      </c>
      <c r="O792" s="20">
        <f>H792-L792</f>
        <v>-1130</v>
      </c>
      <c r="P792" s="20" t="e">
        <f>#REF!-M792</f>
        <v>#REF!</v>
      </c>
      <c r="Q792" s="20" t="e">
        <f>#REF!-N792</f>
        <v>#REF!</v>
      </c>
      <c r="R792" s="17" t="str">
        <f t="shared" si="87"/>
        <v>09 Б 02 20460610</v>
      </c>
    </row>
    <row r="793" spans="1:18" s="24" customFormat="1" ht="63">
      <c r="A793" s="21"/>
      <c r="B793" s="127" t="s">
        <v>405</v>
      </c>
      <c r="C793" s="109" t="s">
        <v>510</v>
      </c>
      <c r="D793" s="108" t="s">
        <v>229</v>
      </c>
      <c r="E793" s="108" t="s">
        <v>229</v>
      </c>
      <c r="F793" s="108" t="s">
        <v>554</v>
      </c>
      <c r="G793" s="108" t="s">
        <v>406</v>
      </c>
      <c r="H793" s="126"/>
      <c r="L793" s="22"/>
      <c r="M793" s="22"/>
      <c r="N793" s="22"/>
      <c r="O793" s="22"/>
      <c r="P793" s="22"/>
      <c r="Q793" s="22"/>
    </row>
    <row r="794" spans="1:18" s="17" customFormat="1" ht="31.5">
      <c r="A794" s="14"/>
      <c r="B794" s="127" t="s">
        <v>557</v>
      </c>
      <c r="C794" s="109" t="s">
        <v>510</v>
      </c>
      <c r="D794" s="108" t="s">
        <v>229</v>
      </c>
      <c r="E794" s="108" t="s">
        <v>229</v>
      </c>
      <c r="F794" s="108" t="s">
        <v>558</v>
      </c>
      <c r="G794" s="108" t="s">
        <v>9</v>
      </c>
      <c r="H794" s="126">
        <f t="shared" ref="H794:H795" si="92">H795</f>
        <v>0</v>
      </c>
      <c r="L794" s="20">
        <v>180</v>
      </c>
      <c r="M794" s="20">
        <v>180</v>
      </c>
      <c r="N794" s="20">
        <v>180</v>
      </c>
      <c r="O794" s="20">
        <f>H794-L794</f>
        <v>-180</v>
      </c>
      <c r="P794" s="20" t="e">
        <f>#REF!-M794</f>
        <v>#REF!</v>
      </c>
      <c r="Q794" s="20" t="e">
        <f>#REF!-N794</f>
        <v>#REF!</v>
      </c>
      <c r="R794" s="17" t="str">
        <f t="shared" si="87"/>
        <v>09 Б 03 00000000</v>
      </c>
    </row>
    <row r="795" spans="1:18" s="17" customFormat="1" ht="63">
      <c r="A795" s="14"/>
      <c r="B795" s="125" t="s">
        <v>550</v>
      </c>
      <c r="C795" s="109" t="s">
        <v>510</v>
      </c>
      <c r="D795" s="108" t="s">
        <v>229</v>
      </c>
      <c r="E795" s="108" t="s">
        <v>229</v>
      </c>
      <c r="F795" s="108" t="s">
        <v>559</v>
      </c>
      <c r="G795" s="108" t="s">
        <v>9</v>
      </c>
      <c r="H795" s="126">
        <f t="shared" si="92"/>
        <v>0</v>
      </c>
      <c r="L795" s="20">
        <v>180</v>
      </c>
      <c r="M795" s="20">
        <v>180</v>
      </c>
      <c r="N795" s="20">
        <v>180</v>
      </c>
      <c r="O795" s="20">
        <f>H795-L795</f>
        <v>-180</v>
      </c>
      <c r="P795" s="20" t="e">
        <f>#REF!-M795</f>
        <v>#REF!</v>
      </c>
      <c r="Q795" s="20" t="e">
        <f>#REF!-N795</f>
        <v>#REF!</v>
      </c>
      <c r="R795" s="17" t="str">
        <f t="shared" si="87"/>
        <v>09 Б 03 20460000</v>
      </c>
    </row>
    <row r="796" spans="1:18" s="17" customFormat="1" ht="15.75">
      <c r="A796" s="14"/>
      <c r="B796" s="132" t="s">
        <v>403</v>
      </c>
      <c r="C796" s="109" t="s">
        <v>510</v>
      </c>
      <c r="D796" s="108" t="s">
        <v>229</v>
      </c>
      <c r="E796" s="108" t="s">
        <v>229</v>
      </c>
      <c r="F796" s="108" t="s">
        <v>559</v>
      </c>
      <c r="G796" s="108" t="s">
        <v>404</v>
      </c>
      <c r="H796" s="126">
        <f>H797</f>
        <v>0</v>
      </c>
      <c r="L796" s="20">
        <v>180</v>
      </c>
      <c r="M796" s="20">
        <v>180</v>
      </c>
      <c r="N796" s="20">
        <v>180</v>
      </c>
      <c r="O796" s="20">
        <f>H796-L796</f>
        <v>-180</v>
      </c>
      <c r="P796" s="20" t="e">
        <f>#REF!-M796</f>
        <v>#REF!</v>
      </c>
      <c r="Q796" s="20" t="e">
        <f>#REF!-N796</f>
        <v>#REF!</v>
      </c>
      <c r="R796" s="17" t="str">
        <f t="shared" si="87"/>
        <v>09 Б 03 20460610</v>
      </c>
    </row>
    <row r="797" spans="1:18" s="24" customFormat="1" ht="63">
      <c r="A797" s="21"/>
      <c r="B797" s="127" t="s">
        <v>405</v>
      </c>
      <c r="C797" s="109" t="s">
        <v>510</v>
      </c>
      <c r="D797" s="108" t="s">
        <v>229</v>
      </c>
      <c r="E797" s="108" t="s">
        <v>229</v>
      </c>
      <c r="F797" s="108" t="s">
        <v>559</v>
      </c>
      <c r="G797" s="108" t="s">
        <v>406</v>
      </c>
      <c r="H797" s="126"/>
      <c r="L797" s="22"/>
      <c r="M797" s="22"/>
      <c r="N797" s="22"/>
      <c r="O797" s="22"/>
      <c r="P797" s="22"/>
      <c r="Q797" s="22"/>
    </row>
    <row r="798" spans="1:18" s="17" customFormat="1" ht="47.25">
      <c r="A798" s="14"/>
      <c r="B798" s="127" t="s">
        <v>560</v>
      </c>
      <c r="C798" s="109" t="s">
        <v>510</v>
      </c>
      <c r="D798" s="108" t="s">
        <v>229</v>
      </c>
      <c r="E798" s="108" t="s">
        <v>229</v>
      </c>
      <c r="F798" s="108" t="s">
        <v>561</v>
      </c>
      <c r="G798" s="108" t="s">
        <v>9</v>
      </c>
      <c r="H798" s="126">
        <f t="shared" ref="H798:H799" si="93">H799</f>
        <v>0</v>
      </c>
      <c r="L798" s="20">
        <v>310</v>
      </c>
      <c r="M798" s="20">
        <v>310</v>
      </c>
      <c r="N798" s="20">
        <v>310</v>
      </c>
      <c r="O798" s="20">
        <f>H798-L798</f>
        <v>-310</v>
      </c>
      <c r="P798" s="20" t="e">
        <f>#REF!-M798</f>
        <v>#REF!</v>
      </c>
      <c r="Q798" s="20" t="e">
        <f>#REF!-N798</f>
        <v>#REF!</v>
      </c>
      <c r="R798" s="17" t="str">
        <f t="shared" si="87"/>
        <v>09 Б 04 00000000</v>
      </c>
    </row>
    <row r="799" spans="1:18" s="17" customFormat="1" ht="63">
      <c r="A799" s="14"/>
      <c r="B799" s="125" t="s">
        <v>550</v>
      </c>
      <c r="C799" s="109" t="s">
        <v>510</v>
      </c>
      <c r="D799" s="108" t="s">
        <v>229</v>
      </c>
      <c r="E799" s="108" t="s">
        <v>229</v>
      </c>
      <c r="F799" s="108" t="s">
        <v>562</v>
      </c>
      <c r="G799" s="108" t="s">
        <v>9</v>
      </c>
      <c r="H799" s="126">
        <f t="shared" si="93"/>
        <v>0</v>
      </c>
      <c r="L799" s="20">
        <v>310</v>
      </c>
      <c r="M799" s="20">
        <v>310</v>
      </c>
      <c r="N799" s="20">
        <v>310</v>
      </c>
      <c r="O799" s="20">
        <f>H799-L799</f>
        <v>-310</v>
      </c>
      <c r="P799" s="20" t="e">
        <f>#REF!-M799</f>
        <v>#REF!</v>
      </c>
      <c r="Q799" s="20" t="e">
        <f>#REF!-N799</f>
        <v>#REF!</v>
      </c>
      <c r="R799" s="17" t="str">
        <f t="shared" si="87"/>
        <v>09 Б 04 20460000</v>
      </c>
    </row>
    <row r="800" spans="1:18" s="17" customFormat="1" ht="15.75">
      <c r="A800" s="14"/>
      <c r="B800" s="132" t="s">
        <v>403</v>
      </c>
      <c r="C800" s="109" t="s">
        <v>510</v>
      </c>
      <c r="D800" s="108" t="s">
        <v>229</v>
      </c>
      <c r="E800" s="108" t="s">
        <v>229</v>
      </c>
      <c r="F800" s="108" t="s">
        <v>562</v>
      </c>
      <c r="G800" s="108" t="s">
        <v>404</v>
      </c>
      <c r="H800" s="126">
        <f>H801</f>
        <v>0</v>
      </c>
      <c r="L800" s="20">
        <v>310</v>
      </c>
      <c r="M800" s="20">
        <v>310</v>
      </c>
      <c r="N800" s="20">
        <v>310</v>
      </c>
      <c r="O800" s="20">
        <f>H800-L800</f>
        <v>-310</v>
      </c>
      <c r="P800" s="20" t="e">
        <f>#REF!-M800</f>
        <v>#REF!</v>
      </c>
      <c r="Q800" s="20" t="e">
        <f>#REF!-N800</f>
        <v>#REF!</v>
      </c>
      <c r="R800" s="17" t="str">
        <f t="shared" si="87"/>
        <v>09 Б 04 20460610</v>
      </c>
    </row>
    <row r="801" spans="1:18" s="24" customFormat="1" ht="63">
      <c r="A801" s="21"/>
      <c r="B801" s="127" t="s">
        <v>405</v>
      </c>
      <c r="C801" s="109" t="s">
        <v>510</v>
      </c>
      <c r="D801" s="108" t="s">
        <v>229</v>
      </c>
      <c r="E801" s="108" t="s">
        <v>229</v>
      </c>
      <c r="F801" s="108" t="s">
        <v>562</v>
      </c>
      <c r="G801" s="108" t="s">
        <v>406</v>
      </c>
      <c r="H801" s="126"/>
      <c r="L801" s="22"/>
      <c r="M801" s="22"/>
      <c r="N801" s="22"/>
      <c r="O801" s="22"/>
      <c r="P801" s="22"/>
      <c r="Q801" s="22"/>
    </row>
    <row r="802" spans="1:18" s="17" customFormat="1" ht="47.25">
      <c r="A802" s="14"/>
      <c r="B802" s="127" t="s">
        <v>563</v>
      </c>
      <c r="C802" s="109" t="s">
        <v>510</v>
      </c>
      <c r="D802" s="108" t="s">
        <v>229</v>
      </c>
      <c r="E802" s="108" t="s">
        <v>229</v>
      </c>
      <c r="F802" s="108" t="s">
        <v>564</v>
      </c>
      <c r="G802" s="108" t="s">
        <v>9</v>
      </c>
      <c r="H802" s="126">
        <f t="shared" ref="H802:H803" si="94">H803</f>
        <v>0</v>
      </c>
      <c r="L802" s="20">
        <v>25.54</v>
      </c>
      <c r="M802" s="20">
        <v>25.54</v>
      </c>
      <c r="N802" s="20">
        <v>25.54</v>
      </c>
      <c r="O802" s="20">
        <f>H802-L802</f>
        <v>-25.54</v>
      </c>
      <c r="P802" s="20" t="e">
        <f>#REF!-M802</f>
        <v>#REF!</v>
      </c>
      <c r="Q802" s="20" t="e">
        <f>#REF!-N802</f>
        <v>#REF!</v>
      </c>
      <c r="R802" s="17" t="str">
        <f t="shared" si="87"/>
        <v>09 Б 05 00000000</v>
      </c>
    </row>
    <row r="803" spans="1:18" s="17" customFormat="1" ht="63">
      <c r="A803" s="14"/>
      <c r="B803" s="125" t="s">
        <v>550</v>
      </c>
      <c r="C803" s="109" t="s">
        <v>510</v>
      </c>
      <c r="D803" s="108" t="s">
        <v>229</v>
      </c>
      <c r="E803" s="108" t="s">
        <v>229</v>
      </c>
      <c r="F803" s="108" t="s">
        <v>565</v>
      </c>
      <c r="G803" s="108" t="s">
        <v>9</v>
      </c>
      <c r="H803" s="126">
        <f t="shared" si="94"/>
        <v>0</v>
      </c>
      <c r="L803" s="20">
        <v>25.54</v>
      </c>
      <c r="M803" s="20">
        <v>25.54</v>
      </c>
      <c r="N803" s="20">
        <v>25.54</v>
      </c>
      <c r="O803" s="20">
        <f>H803-L803</f>
        <v>-25.54</v>
      </c>
      <c r="P803" s="20" t="e">
        <f>#REF!-M803</f>
        <v>#REF!</v>
      </c>
      <c r="Q803" s="20" t="e">
        <f>#REF!-N803</f>
        <v>#REF!</v>
      </c>
      <c r="R803" s="17" t="str">
        <f t="shared" si="87"/>
        <v>09 Б 05 20460000</v>
      </c>
    </row>
    <row r="804" spans="1:18" s="17" customFormat="1" ht="15.75">
      <c r="A804" s="14"/>
      <c r="B804" s="132" t="s">
        <v>403</v>
      </c>
      <c r="C804" s="109" t="s">
        <v>510</v>
      </c>
      <c r="D804" s="108" t="s">
        <v>229</v>
      </c>
      <c r="E804" s="108" t="s">
        <v>229</v>
      </c>
      <c r="F804" s="108" t="s">
        <v>565</v>
      </c>
      <c r="G804" s="108" t="s">
        <v>404</v>
      </c>
      <c r="H804" s="126">
        <f>H805</f>
        <v>0</v>
      </c>
      <c r="L804" s="20">
        <v>25.54</v>
      </c>
      <c r="M804" s="20">
        <v>25.54</v>
      </c>
      <c r="N804" s="20">
        <v>25.54</v>
      </c>
      <c r="O804" s="20">
        <f>H804-L804</f>
        <v>-25.54</v>
      </c>
      <c r="P804" s="20" t="e">
        <f>#REF!-M804</f>
        <v>#REF!</v>
      </c>
      <c r="Q804" s="20" t="e">
        <f>#REF!-N804</f>
        <v>#REF!</v>
      </c>
      <c r="R804" s="17" t="str">
        <f t="shared" si="87"/>
        <v>09 Б 05 20460610</v>
      </c>
    </row>
    <row r="805" spans="1:18" s="24" customFormat="1" ht="63">
      <c r="A805" s="21"/>
      <c r="B805" s="127" t="s">
        <v>405</v>
      </c>
      <c r="C805" s="109" t="s">
        <v>510</v>
      </c>
      <c r="D805" s="108" t="s">
        <v>229</v>
      </c>
      <c r="E805" s="108" t="s">
        <v>229</v>
      </c>
      <c r="F805" s="108" t="s">
        <v>565</v>
      </c>
      <c r="G805" s="108" t="s">
        <v>406</v>
      </c>
      <c r="H805" s="126"/>
      <c r="L805" s="22"/>
      <c r="M805" s="22"/>
      <c r="N805" s="22"/>
      <c r="O805" s="22"/>
      <c r="P805" s="22"/>
      <c r="Q805" s="22"/>
    </row>
    <row r="806" spans="1:18" s="17" customFormat="1" ht="47.25">
      <c r="A806" s="14"/>
      <c r="B806" s="127" t="s">
        <v>566</v>
      </c>
      <c r="C806" s="109" t="s">
        <v>510</v>
      </c>
      <c r="D806" s="108" t="s">
        <v>229</v>
      </c>
      <c r="E806" s="108" t="s">
        <v>229</v>
      </c>
      <c r="F806" s="108" t="s">
        <v>567</v>
      </c>
      <c r="G806" s="108" t="s">
        <v>9</v>
      </c>
      <c r="H806" s="126">
        <f t="shared" ref="H806:H807" si="95">H807</f>
        <v>0</v>
      </c>
      <c r="L806" s="20">
        <v>3406.66</v>
      </c>
      <c r="M806" s="20">
        <v>3406.66</v>
      </c>
      <c r="N806" s="20">
        <v>3406.66</v>
      </c>
      <c r="O806" s="20">
        <f>H806-L806</f>
        <v>-3406.66</v>
      </c>
      <c r="P806" s="20" t="e">
        <f>#REF!-M806</f>
        <v>#REF!</v>
      </c>
      <c r="Q806" s="20" t="e">
        <f>#REF!-N806</f>
        <v>#REF!</v>
      </c>
      <c r="R806" s="17" t="str">
        <f t="shared" si="87"/>
        <v>09 Б 06 00000000</v>
      </c>
    </row>
    <row r="807" spans="1:18" s="17" customFormat="1" ht="31.5">
      <c r="A807" s="14"/>
      <c r="B807" s="127" t="s">
        <v>136</v>
      </c>
      <c r="C807" s="109" t="s">
        <v>510</v>
      </c>
      <c r="D807" s="108" t="s">
        <v>229</v>
      </c>
      <c r="E807" s="108" t="s">
        <v>229</v>
      </c>
      <c r="F807" s="108" t="s">
        <v>568</v>
      </c>
      <c r="G807" s="108" t="s">
        <v>9</v>
      </c>
      <c r="H807" s="126">
        <f t="shared" si="95"/>
        <v>0</v>
      </c>
      <c r="L807" s="20">
        <v>3406.66</v>
      </c>
      <c r="M807" s="20">
        <v>3406.66</v>
      </c>
      <c r="N807" s="20">
        <v>3406.66</v>
      </c>
      <c r="O807" s="20">
        <f>H807-L807</f>
        <v>-3406.66</v>
      </c>
      <c r="P807" s="20" t="e">
        <f>#REF!-M807</f>
        <v>#REF!</v>
      </c>
      <c r="Q807" s="20" t="e">
        <f>#REF!-N807</f>
        <v>#REF!</v>
      </c>
      <c r="R807" s="17" t="str">
        <f t="shared" si="87"/>
        <v>09 Б 06 11010000</v>
      </c>
    </row>
    <row r="808" spans="1:18" s="17" customFormat="1" ht="15.75">
      <c r="A808" s="14"/>
      <c r="B808" s="132" t="s">
        <v>403</v>
      </c>
      <c r="C808" s="109" t="s">
        <v>510</v>
      </c>
      <c r="D808" s="108" t="s">
        <v>229</v>
      </c>
      <c r="E808" s="108" t="s">
        <v>229</v>
      </c>
      <c r="F808" s="108" t="s">
        <v>568</v>
      </c>
      <c r="G808" s="108" t="s">
        <v>404</v>
      </c>
      <c r="H808" s="126">
        <f>H809</f>
        <v>0</v>
      </c>
      <c r="L808" s="20">
        <v>3406.66</v>
      </c>
      <c r="M808" s="20">
        <v>3406.66</v>
      </c>
      <c r="N808" s="20">
        <v>3406.66</v>
      </c>
      <c r="O808" s="20">
        <f>H808-L808</f>
        <v>-3406.66</v>
      </c>
      <c r="P808" s="20" t="e">
        <f>#REF!-M808</f>
        <v>#REF!</v>
      </c>
      <c r="Q808" s="20" t="e">
        <f>#REF!-N808</f>
        <v>#REF!</v>
      </c>
      <c r="R808" s="17" t="str">
        <f t="shared" si="87"/>
        <v>09 Б 06 11010610</v>
      </c>
    </row>
    <row r="809" spans="1:18" s="24" customFormat="1" ht="63">
      <c r="A809" s="21"/>
      <c r="B809" s="127" t="s">
        <v>405</v>
      </c>
      <c r="C809" s="109" t="s">
        <v>510</v>
      </c>
      <c r="D809" s="108" t="s">
        <v>229</v>
      </c>
      <c r="E809" s="108" t="s">
        <v>229</v>
      </c>
      <c r="F809" s="108" t="s">
        <v>568</v>
      </c>
      <c r="G809" s="108" t="s">
        <v>406</v>
      </c>
      <c r="H809" s="126"/>
      <c r="L809" s="22"/>
      <c r="M809" s="22"/>
      <c r="N809" s="22"/>
      <c r="O809" s="22"/>
      <c r="P809" s="22"/>
      <c r="Q809" s="22"/>
    </row>
    <row r="810" spans="1:18" s="16" customFormat="1" ht="47.25">
      <c r="A810" s="14"/>
      <c r="B810" s="127" t="s">
        <v>146</v>
      </c>
      <c r="C810" s="109" t="s">
        <v>510</v>
      </c>
      <c r="D810" s="108" t="s">
        <v>229</v>
      </c>
      <c r="E810" s="108" t="s">
        <v>229</v>
      </c>
      <c r="F810" s="130" t="s">
        <v>147</v>
      </c>
      <c r="G810" s="130" t="s">
        <v>9</v>
      </c>
      <c r="H810" s="134">
        <f>H811</f>
        <v>0</v>
      </c>
      <c r="L810" s="27">
        <v>390</v>
      </c>
      <c r="M810" s="27">
        <v>0</v>
      </c>
      <c r="N810" s="27">
        <v>0</v>
      </c>
      <c r="O810" s="27">
        <f>H810-L810</f>
        <v>-390</v>
      </c>
      <c r="P810" s="27" t="e">
        <f>#REF!-M810</f>
        <v>#REF!</v>
      </c>
      <c r="Q810" s="27" t="e">
        <f>#REF!-N810</f>
        <v>#REF!</v>
      </c>
      <c r="R810" s="17" t="str">
        <f t="shared" ref="R810:R814" si="96">CONCATENATE(F810,G810)</f>
        <v>15 0 00 00000000</v>
      </c>
    </row>
    <row r="811" spans="1:18" s="16" customFormat="1" ht="15.75">
      <c r="A811" s="14"/>
      <c r="B811" s="125" t="s">
        <v>148</v>
      </c>
      <c r="C811" s="109" t="s">
        <v>510</v>
      </c>
      <c r="D811" s="108" t="s">
        <v>229</v>
      </c>
      <c r="E811" s="108" t="s">
        <v>229</v>
      </c>
      <c r="F811" s="130" t="s">
        <v>149</v>
      </c>
      <c r="G811" s="130" t="s">
        <v>9</v>
      </c>
      <c r="H811" s="134">
        <f>H812</f>
        <v>0</v>
      </c>
      <c r="L811" s="27">
        <v>390</v>
      </c>
      <c r="M811" s="27">
        <v>0</v>
      </c>
      <c r="N811" s="27">
        <v>0</v>
      </c>
      <c r="O811" s="27">
        <f>H811-L811</f>
        <v>-390</v>
      </c>
      <c r="P811" s="27" t="e">
        <f>#REF!-M811</f>
        <v>#REF!</v>
      </c>
      <c r="Q811" s="27" t="e">
        <f>#REF!-N811</f>
        <v>#REF!</v>
      </c>
      <c r="R811" s="17" t="str">
        <f t="shared" si="96"/>
        <v>15 1 00 00000000</v>
      </c>
    </row>
    <row r="812" spans="1:18" s="16" customFormat="1" ht="78.75">
      <c r="A812" s="14"/>
      <c r="B812" s="129" t="s">
        <v>150</v>
      </c>
      <c r="C812" s="109" t="s">
        <v>510</v>
      </c>
      <c r="D812" s="108" t="s">
        <v>229</v>
      </c>
      <c r="E812" s="108" t="s">
        <v>229</v>
      </c>
      <c r="F812" s="109" t="s">
        <v>151</v>
      </c>
      <c r="G812" s="130" t="s">
        <v>9</v>
      </c>
      <c r="H812" s="134">
        <f>H813</f>
        <v>0</v>
      </c>
      <c r="L812" s="27">
        <v>390</v>
      </c>
      <c r="M812" s="27">
        <v>0</v>
      </c>
      <c r="N812" s="27">
        <v>0</v>
      </c>
      <c r="O812" s="27">
        <f>H812-L812</f>
        <v>-390</v>
      </c>
      <c r="P812" s="27" t="e">
        <f>#REF!-M812</f>
        <v>#REF!</v>
      </c>
      <c r="Q812" s="27" t="e">
        <f>#REF!-N812</f>
        <v>#REF!</v>
      </c>
      <c r="R812" s="17" t="str">
        <f t="shared" si="96"/>
        <v>15 1 01 00000000</v>
      </c>
    </row>
    <row r="813" spans="1:18" s="16" customFormat="1" ht="47.25">
      <c r="A813" s="14"/>
      <c r="B813" s="129" t="s">
        <v>152</v>
      </c>
      <c r="C813" s="109" t="s">
        <v>510</v>
      </c>
      <c r="D813" s="108" t="s">
        <v>229</v>
      </c>
      <c r="E813" s="108" t="s">
        <v>229</v>
      </c>
      <c r="F813" s="109" t="s">
        <v>153</v>
      </c>
      <c r="G813" s="130" t="s">
        <v>9</v>
      </c>
      <c r="H813" s="134">
        <f>SUM(H814:H814)</f>
        <v>0</v>
      </c>
      <c r="L813" s="27">
        <v>390</v>
      </c>
      <c r="M813" s="27">
        <v>0</v>
      </c>
      <c r="N813" s="27">
        <v>0</v>
      </c>
      <c r="O813" s="27">
        <f>H813-L813</f>
        <v>-390</v>
      </c>
      <c r="P813" s="27" t="e">
        <f>#REF!-M813</f>
        <v>#REF!</v>
      </c>
      <c r="Q813" s="27" t="e">
        <f>#REF!-N813</f>
        <v>#REF!</v>
      </c>
      <c r="R813" s="17" t="str">
        <f t="shared" si="96"/>
        <v>15 1 01 20350000</v>
      </c>
    </row>
    <row r="814" spans="1:18" s="16" customFormat="1" ht="15.75">
      <c r="A814" s="14"/>
      <c r="B814" s="132" t="s">
        <v>403</v>
      </c>
      <c r="C814" s="109" t="s">
        <v>510</v>
      </c>
      <c r="D814" s="108" t="s">
        <v>229</v>
      </c>
      <c r="E814" s="108" t="s">
        <v>229</v>
      </c>
      <c r="F814" s="109" t="s">
        <v>153</v>
      </c>
      <c r="G814" s="130" t="s">
        <v>404</v>
      </c>
      <c r="H814" s="126">
        <f>H815</f>
        <v>0</v>
      </c>
      <c r="L814" s="20">
        <v>390</v>
      </c>
      <c r="M814" s="20">
        <v>0</v>
      </c>
      <c r="N814" s="20">
        <v>0</v>
      </c>
      <c r="O814" s="20">
        <f>H814-L814</f>
        <v>-390</v>
      </c>
      <c r="P814" s="20" t="e">
        <f>#REF!-M814</f>
        <v>#REF!</v>
      </c>
      <c r="Q814" s="20" t="e">
        <f>#REF!-N814</f>
        <v>#REF!</v>
      </c>
      <c r="R814" s="17" t="str">
        <f t="shared" si="96"/>
        <v>15 1 01 20350610</v>
      </c>
    </row>
    <row r="815" spans="1:18" s="23" customFormat="1" ht="15.75">
      <c r="A815" s="21"/>
      <c r="B815" s="127" t="s">
        <v>407</v>
      </c>
      <c r="C815" s="109" t="s">
        <v>510</v>
      </c>
      <c r="D815" s="108" t="s">
        <v>229</v>
      </c>
      <c r="E815" s="108" t="s">
        <v>229</v>
      </c>
      <c r="F815" s="109" t="s">
        <v>153</v>
      </c>
      <c r="G815" s="109" t="s">
        <v>408</v>
      </c>
      <c r="H815" s="126"/>
      <c r="L815" s="22"/>
      <c r="M815" s="22"/>
      <c r="N815" s="22"/>
      <c r="O815" s="22"/>
      <c r="P815" s="22"/>
      <c r="Q815" s="22"/>
      <c r="R815" s="24"/>
    </row>
    <row r="816" spans="1:18" s="16" customFormat="1" ht="15.75">
      <c r="A816" s="14"/>
      <c r="B816" s="117" t="s">
        <v>569</v>
      </c>
      <c r="C816" s="118" t="s">
        <v>510</v>
      </c>
      <c r="D816" s="119" t="s">
        <v>238</v>
      </c>
      <c r="E816" s="119" t="s">
        <v>7</v>
      </c>
      <c r="F816" s="119" t="s">
        <v>8</v>
      </c>
      <c r="G816" s="119" t="s">
        <v>9</v>
      </c>
      <c r="H816" s="120">
        <f>H817+H880</f>
        <v>0</v>
      </c>
      <c r="L816" s="18">
        <v>195218.21999999997</v>
      </c>
      <c r="M816" s="18">
        <v>195824.43</v>
      </c>
      <c r="N816" s="18">
        <v>196485.86</v>
      </c>
      <c r="O816" s="18">
        <f t="shared" ref="O816:O822" si="97">H816-L816</f>
        <v>-195218.21999999997</v>
      </c>
      <c r="P816" s="18" t="e">
        <f>#REF!-M816</f>
        <v>#REF!</v>
      </c>
      <c r="Q816" s="18" t="e">
        <f>#REF!-N816</f>
        <v>#REF!</v>
      </c>
      <c r="R816" s="17" t="str">
        <f t="shared" si="87"/>
        <v>00 0 00 00000000</v>
      </c>
    </row>
    <row r="817" spans="1:18" s="16" customFormat="1" ht="15.75">
      <c r="A817" s="14"/>
      <c r="B817" s="121" t="s">
        <v>239</v>
      </c>
      <c r="C817" s="122" t="s">
        <v>510</v>
      </c>
      <c r="D817" s="123" t="s">
        <v>238</v>
      </c>
      <c r="E817" s="123" t="s">
        <v>11</v>
      </c>
      <c r="F817" s="123" t="s">
        <v>8</v>
      </c>
      <c r="G817" s="123" t="s">
        <v>9</v>
      </c>
      <c r="H817" s="124">
        <f>H818+H868+H862+H874</f>
        <v>0</v>
      </c>
      <c r="L817" s="19">
        <v>181607.75999999998</v>
      </c>
      <c r="M817" s="19">
        <v>182213.97</v>
      </c>
      <c r="N817" s="19">
        <v>182875.4</v>
      </c>
      <c r="O817" s="19">
        <f t="shared" si="97"/>
        <v>-181607.75999999998</v>
      </c>
      <c r="P817" s="19" t="e">
        <f>#REF!-M817</f>
        <v>#REF!</v>
      </c>
      <c r="Q817" s="19" t="e">
        <f>#REF!-N817</f>
        <v>#REF!</v>
      </c>
      <c r="R817" s="17" t="str">
        <f t="shared" si="87"/>
        <v>00 0 00 00000000</v>
      </c>
    </row>
    <row r="818" spans="1:18" s="16" customFormat="1" ht="31.5">
      <c r="A818" s="14"/>
      <c r="B818" s="125" t="s">
        <v>240</v>
      </c>
      <c r="C818" s="109" t="s">
        <v>510</v>
      </c>
      <c r="D818" s="108" t="s">
        <v>238</v>
      </c>
      <c r="E818" s="108" t="s">
        <v>11</v>
      </c>
      <c r="F818" s="108" t="s">
        <v>241</v>
      </c>
      <c r="G818" s="108" t="s">
        <v>9</v>
      </c>
      <c r="H818" s="126">
        <f>H819+H826</f>
        <v>0</v>
      </c>
      <c r="L818" s="20">
        <v>180779.58</v>
      </c>
      <c r="M818" s="20">
        <v>181385.79</v>
      </c>
      <c r="N818" s="20">
        <v>182047.22</v>
      </c>
      <c r="O818" s="20">
        <f t="shared" si="97"/>
        <v>-180779.58</v>
      </c>
      <c r="P818" s="20" t="e">
        <f>#REF!-M818</f>
        <v>#REF!</v>
      </c>
      <c r="Q818" s="20" t="e">
        <f>#REF!-N818</f>
        <v>#REF!</v>
      </c>
      <c r="R818" s="17" t="str">
        <f t="shared" si="87"/>
        <v>07 0 00 00000000</v>
      </c>
    </row>
    <row r="819" spans="1:18" s="16" customFormat="1" ht="78.75">
      <c r="A819" s="14"/>
      <c r="B819" s="125" t="s">
        <v>242</v>
      </c>
      <c r="C819" s="109" t="s">
        <v>510</v>
      </c>
      <c r="D819" s="108" t="s">
        <v>238</v>
      </c>
      <c r="E819" s="108" t="s">
        <v>11</v>
      </c>
      <c r="F819" s="108" t="s">
        <v>243</v>
      </c>
      <c r="G819" s="108" t="s">
        <v>9</v>
      </c>
      <c r="H819" s="126">
        <f t="shared" ref="H819:H820" si="98">H820</f>
        <v>0</v>
      </c>
      <c r="L819" s="20">
        <v>5644</v>
      </c>
      <c r="M819" s="20">
        <v>5644</v>
      </c>
      <c r="N819" s="20">
        <v>5644</v>
      </c>
      <c r="O819" s="20">
        <f t="shared" si="97"/>
        <v>-5644</v>
      </c>
      <c r="P819" s="20" t="e">
        <f>#REF!-M819</f>
        <v>#REF!</v>
      </c>
      <c r="Q819" s="20" t="e">
        <f>#REF!-N819</f>
        <v>#REF!</v>
      </c>
      <c r="R819" s="17" t="str">
        <f t="shared" si="87"/>
        <v>07 1 00 00000000</v>
      </c>
    </row>
    <row r="820" spans="1:18" s="16" customFormat="1" ht="110.25">
      <c r="A820" s="14"/>
      <c r="B820" s="125" t="s">
        <v>244</v>
      </c>
      <c r="C820" s="109" t="s">
        <v>510</v>
      </c>
      <c r="D820" s="108" t="s">
        <v>238</v>
      </c>
      <c r="E820" s="108" t="s">
        <v>11</v>
      </c>
      <c r="F820" s="108" t="s">
        <v>245</v>
      </c>
      <c r="G820" s="108" t="s">
        <v>9</v>
      </c>
      <c r="H820" s="126">
        <f t="shared" si="98"/>
        <v>0</v>
      </c>
      <c r="L820" s="20">
        <v>5644</v>
      </c>
      <c r="M820" s="20">
        <v>5644</v>
      </c>
      <c r="N820" s="20">
        <v>5644</v>
      </c>
      <c r="O820" s="20">
        <f t="shared" si="97"/>
        <v>-5644</v>
      </c>
      <c r="P820" s="20" t="e">
        <f>#REF!-M820</f>
        <v>#REF!</v>
      </c>
      <c r="Q820" s="20" t="e">
        <f>#REF!-N820</f>
        <v>#REF!</v>
      </c>
      <c r="R820" s="17" t="str">
        <f t="shared" si="87"/>
        <v>07 1 01 00000000</v>
      </c>
    </row>
    <row r="821" spans="1:18" s="16" customFormat="1" ht="31.5">
      <c r="A821" s="14"/>
      <c r="B821" s="125" t="s">
        <v>246</v>
      </c>
      <c r="C821" s="109" t="s">
        <v>510</v>
      </c>
      <c r="D821" s="108" t="s">
        <v>238</v>
      </c>
      <c r="E821" s="108" t="s">
        <v>11</v>
      </c>
      <c r="F821" s="108" t="s">
        <v>247</v>
      </c>
      <c r="G821" s="108" t="s">
        <v>9</v>
      </c>
      <c r="H821" s="126">
        <f>H822+H824</f>
        <v>0</v>
      </c>
      <c r="L821" s="20">
        <v>5644</v>
      </c>
      <c r="M821" s="20">
        <v>5644</v>
      </c>
      <c r="N821" s="20">
        <v>5644</v>
      </c>
      <c r="O821" s="20">
        <f t="shared" si="97"/>
        <v>-5644</v>
      </c>
      <c r="P821" s="20" t="e">
        <f>#REF!-M821</f>
        <v>#REF!</v>
      </c>
      <c r="Q821" s="20" t="e">
        <f>#REF!-N821</f>
        <v>#REF!</v>
      </c>
      <c r="R821" s="17" t="str">
        <f t="shared" si="87"/>
        <v>07 1 01 20060000</v>
      </c>
    </row>
    <row r="822" spans="1:18" s="16" customFormat="1" ht="15.75">
      <c r="A822" s="14"/>
      <c r="B822" s="132" t="s">
        <v>403</v>
      </c>
      <c r="C822" s="109" t="s">
        <v>510</v>
      </c>
      <c r="D822" s="108" t="s">
        <v>238</v>
      </c>
      <c r="E822" s="108" t="s">
        <v>11</v>
      </c>
      <c r="F822" s="108" t="s">
        <v>247</v>
      </c>
      <c r="G822" s="108" t="s">
        <v>404</v>
      </c>
      <c r="H822" s="126">
        <f>H823</f>
        <v>0</v>
      </c>
      <c r="L822" s="20">
        <v>3172.5</v>
      </c>
      <c r="M822" s="20">
        <v>3172.5</v>
      </c>
      <c r="N822" s="20">
        <v>3172.5</v>
      </c>
      <c r="O822" s="20">
        <f t="shared" si="97"/>
        <v>-3172.5</v>
      </c>
      <c r="P822" s="20" t="e">
        <f>#REF!-M822</f>
        <v>#REF!</v>
      </c>
      <c r="Q822" s="20" t="e">
        <f>#REF!-N822</f>
        <v>#REF!</v>
      </c>
      <c r="R822" s="17" t="str">
        <f t="shared" si="87"/>
        <v>07 1 01 20060610</v>
      </c>
    </row>
    <row r="823" spans="1:18" s="23" customFormat="1" ht="63">
      <c r="A823" s="21"/>
      <c r="B823" s="127" t="s">
        <v>405</v>
      </c>
      <c r="C823" s="109" t="s">
        <v>510</v>
      </c>
      <c r="D823" s="108" t="s">
        <v>238</v>
      </c>
      <c r="E823" s="108" t="s">
        <v>11</v>
      </c>
      <c r="F823" s="108" t="s">
        <v>247</v>
      </c>
      <c r="G823" s="108" t="s">
        <v>406</v>
      </c>
      <c r="H823" s="126"/>
      <c r="L823" s="22"/>
      <c r="M823" s="22"/>
      <c r="N823" s="22"/>
      <c r="O823" s="22"/>
      <c r="P823" s="22"/>
      <c r="Q823" s="22"/>
      <c r="R823" s="24"/>
    </row>
    <row r="824" spans="1:18" s="16" customFormat="1" ht="15.75">
      <c r="A824" s="14"/>
      <c r="B824" s="132" t="s">
        <v>409</v>
      </c>
      <c r="C824" s="109" t="s">
        <v>510</v>
      </c>
      <c r="D824" s="108" t="s">
        <v>238</v>
      </c>
      <c r="E824" s="108" t="s">
        <v>11</v>
      </c>
      <c r="F824" s="108" t="s">
        <v>247</v>
      </c>
      <c r="G824" s="108" t="s">
        <v>410</v>
      </c>
      <c r="H824" s="126">
        <f>H825</f>
        <v>0</v>
      </c>
      <c r="L824" s="20">
        <v>2471.5</v>
      </c>
      <c r="M824" s="20">
        <v>2471.5</v>
      </c>
      <c r="N824" s="20">
        <v>2471.5</v>
      </c>
      <c r="O824" s="20">
        <f>H824-L824</f>
        <v>-2471.5</v>
      </c>
      <c r="P824" s="20" t="e">
        <f>#REF!-M824</f>
        <v>#REF!</v>
      </c>
      <c r="Q824" s="20" t="e">
        <f>#REF!-N824</f>
        <v>#REF!</v>
      </c>
      <c r="R824" s="17" t="str">
        <f t="shared" si="87"/>
        <v>07 1 01 20060620</v>
      </c>
    </row>
    <row r="825" spans="1:18" s="23" customFormat="1" ht="63">
      <c r="A825" s="21"/>
      <c r="B825" s="127" t="s">
        <v>411</v>
      </c>
      <c r="C825" s="109" t="s">
        <v>510</v>
      </c>
      <c r="D825" s="108" t="s">
        <v>238</v>
      </c>
      <c r="E825" s="108" t="s">
        <v>11</v>
      </c>
      <c r="F825" s="108" t="s">
        <v>247</v>
      </c>
      <c r="G825" s="108" t="s">
        <v>412</v>
      </c>
      <c r="H825" s="126"/>
      <c r="L825" s="22"/>
      <c r="M825" s="22"/>
      <c r="N825" s="22"/>
      <c r="O825" s="22"/>
      <c r="P825" s="22"/>
      <c r="Q825" s="22"/>
      <c r="R825" s="24"/>
    </row>
    <row r="826" spans="1:18" s="16" customFormat="1" ht="15.75">
      <c r="A826" s="14"/>
      <c r="B826" s="125" t="s">
        <v>519</v>
      </c>
      <c r="C826" s="109" t="s">
        <v>510</v>
      </c>
      <c r="D826" s="108" t="s">
        <v>238</v>
      </c>
      <c r="E826" s="108" t="s">
        <v>11</v>
      </c>
      <c r="F826" s="108" t="s">
        <v>520</v>
      </c>
      <c r="G826" s="108" t="s">
        <v>9</v>
      </c>
      <c r="H826" s="126">
        <f>H827+H833+H837+H844+H854+H850+H858</f>
        <v>0</v>
      </c>
      <c r="L826" s="20">
        <v>175135.58</v>
      </c>
      <c r="M826" s="20">
        <v>175741.79</v>
      </c>
      <c r="N826" s="20">
        <v>176403.22</v>
      </c>
      <c r="O826" s="20">
        <f>H826-L826</f>
        <v>-175135.58</v>
      </c>
      <c r="P826" s="20" t="e">
        <f>#REF!-M826</f>
        <v>#REF!</v>
      </c>
      <c r="Q826" s="20" t="e">
        <f>#REF!-N826</f>
        <v>#REF!</v>
      </c>
      <c r="R826" s="17" t="str">
        <f t="shared" si="87"/>
        <v>07 2 00 00000000</v>
      </c>
    </row>
    <row r="827" spans="1:18" s="16" customFormat="1" ht="47.25">
      <c r="A827" s="14"/>
      <c r="B827" s="125" t="s">
        <v>570</v>
      </c>
      <c r="C827" s="109" t="s">
        <v>510</v>
      </c>
      <c r="D827" s="108" t="s">
        <v>238</v>
      </c>
      <c r="E827" s="108" t="s">
        <v>11</v>
      </c>
      <c r="F827" s="108" t="s">
        <v>571</v>
      </c>
      <c r="G827" s="108" t="s">
        <v>9</v>
      </c>
      <c r="H827" s="126">
        <f>H828</f>
        <v>0</v>
      </c>
      <c r="L827" s="20">
        <v>61284.66</v>
      </c>
      <c r="M827" s="20">
        <v>61284.66</v>
      </c>
      <c r="N827" s="20">
        <v>61284.66</v>
      </c>
      <c r="O827" s="20">
        <f>H827-L827</f>
        <v>-61284.66</v>
      </c>
      <c r="P827" s="20" t="e">
        <f>#REF!-M827</f>
        <v>#REF!</v>
      </c>
      <c r="Q827" s="20" t="e">
        <f>#REF!-N827</f>
        <v>#REF!</v>
      </c>
      <c r="R827" s="17" t="str">
        <f t="shared" si="87"/>
        <v>07 2 02 00000000</v>
      </c>
    </row>
    <row r="828" spans="1:18" s="16" customFormat="1" ht="31.5">
      <c r="A828" s="14"/>
      <c r="B828" s="125" t="s">
        <v>136</v>
      </c>
      <c r="C828" s="109" t="s">
        <v>510</v>
      </c>
      <c r="D828" s="108" t="s">
        <v>238</v>
      </c>
      <c r="E828" s="108" t="s">
        <v>11</v>
      </c>
      <c r="F828" s="108" t="s">
        <v>572</v>
      </c>
      <c r="G828" s="108" t="s">
        <v>9</v>
      </c>
      <c r="H828" s="126">
        <f>H829+H831</f>
        <v>0</v>
      </c>
      <c r="L828" s="20">
        <v>61284.66</v>
      </c>
      <c r="M828" s="20">
        <v>61284.66</v>
      </c>
      <c r="N828" s="20">
        <v>61284.66</v>
      </c>
      <c r="O828" s="20">
        <f>H828-L828</f>
        <v>-61284.66</v>
      </c>
      <c r="P828" s="20" t="e">
        <f>#REF!-M828</f>
        <v>#REF!</v>
      </c>
      <c r="Q828" s="20" t="e">
        <f>#REF!-N828</f>
        <v>#REF!</v>
      </c>
      <c r="R828" s="17" t="str">
        <f t="shared" si="87"/>
        <v>07 2 02 11010000</v>
      </c>
    </row>
    <row r="829" spans="1:18" s="16" customFormat="1" ht="15.75">
      <c r="A829" s="14"/>
      <c r="B829" s="132" t="s">
        <v>403</v>
      </c>
      <c r="C829" s="109" t="s">
        <v>510</v>
      </c>
      <c r="D829" s="108" t="s">
        <v>238</v>
      </c>
      <c r="E829" s="108" t="s">
        <v>11</v>
      </c>
      <c r="F829" s="108" t="s">
        <v>572</v>
      </c>
      <c r="G829" s="108" t="s">
        <v>404</v>
      </c>
      <c r="H829" s="126">
        <f>H830</f>
        <v>0</v>
      </c>
      <c r="L829" s="20">
        <v>40143.19</v>
      </c>
      <c r="M829" s="20">
        <v>40143.19</v>
      </c>
      <c r="N829" s="20">
        <v>40143.19</v>
      </c>
      <c r="O829" s="20">
        <f>H829-L829</f>
        <v>-40143.19</v>
      </c>
      <c r="P829" s="20" t="e">
        <f>#REF!-M829</f>
        <v>#REF!</v>
      </c>
      <c r="Q829" s="20" t="e">
        <f>#REF!-N829</f>
        <v>#REF!</v>
      </c>
      <c r="R829" s="17" t="str">
        <f t="shared" si="87"/>
        <v>07 2 02 11010610</v>
      </c>
    </row>
    <row r="830" spans="1:18" s="23" customFormat="1" ht="63">
      <c r="A830" s="21"/>
      <c r="B830" s="127" t="s">
        <v>405</v>
      </c>
      <c r="C830" s="109" t="s">
        <v>510</v>
      </c>
      <c r="D830" s="108" t="s">
        <v>238</v>
      </c>
      <c r="E830" s="108" t="s">
        <v>11</v>
      </c>
      <c r="F830" s="108" t="s">
        <v>572</v>
      </c>
      <c r="G830" s="108" t="s">
        <v>406</v>
      </c>
      <c r="H830" s="126"/>
      <c r="L830" s="22"/>
      <c r="M830" s="22"/>
      <c r="N830" s="22"/>
      <c r="O830" s="22"/>
      <c r="P830" s="22"/>
      <c r="Q830" s="22"/>
      <c r="R830" s="24"/>
    </row>
    <row r="831" spans="1:18" s="16" customFormat="1" ht="15.75">
      <c r="A831" s="14"/>
      <c r="B831" s="132" t="s">
        <v>409</v>
      </c>
      <c r="C831" s="109" t="s">
        <v>510</v>
      </c>
      <c r="D831" s="108" t="s">
        <v>238</v>
      </c>
      <c r="E831" s="108" t="s">
        <v>11</v>
      </c>
      <c r="F831" s="108" t="s">
        <v>572</v>
      </c>
      <c r="G831" s="108" t="s">
        <v>410</v>
      </c>
      <c r="H831" s="126">
        <f>H832</f>
        <v>0</v>
      </c>
      <c r="L831" s="20">
        <v>21141.47</v>
      </c>
      <c r="M831" s="20">
        <v>21141.47</v>
      </c>
      <c r="N831" s="20">
        <v>21141.47</v>
      </c>
      <c r="O831" s="20">
        <f>H831-L831</f>
        <v>-21141.47</v>
      </c>
      <c r="P831" s="20" t="e">
        <f>#REF!-M831</f>
        <v>#REF!</v>
      </c>
      <c r="Q831" s="20" t="e">
        <f>#REF!-N831</f>
        <v>#REF!</v>
      </c>
      <c r="R831" s="17" t="str">
        <f t="shared" si="87"/>
        <v>07 2 02 11010620</v>
      </c>
    </row>
    <row r="832" spans="1:18" s="23" customFormat="1" ht="63">
      <c r="A832" s="21"/>
      <c r="B832" s="127" t="s">
        <v>411</v>
      </c>
      <c r="C832" s="109" t="s">
        <v>510</v>
      </c>
      <c r="D832" s="108" t="s">
        <v>238</v>
      </c>
      <c r="E832" s="108" t="s">
        <v>11</v>
      </c>
      <c r="F832" s="108" t="s">
        <v>572</v>
      </c>
      <c r="G832" s="108" t="s">
        <v>412</v>
      </c>
      <c r="H832" s="126"/>
      <c r="L832" s="22"/>
      <c r="M832" s="22"/>
      <c r="N832" s="22"/>
      <c r="O832" s="22"/>
      <c r="P832" s="22"/>
      <c r="Q832" s="22"/>
      <c r="R832" s="24"/>
    </row>
    <row r="833" spans="1:18" s="16" customFormat="1" ht="47.25">
      <c r="A833" s="14"/>
      <c r="B833" s="125" t="s">
        <v>573</v>
      </c>
      <c r="C833" s="109" t="s">
        <v>510</v>
      </c>
      <c r="D833" s="108" t="s">
        <v>238</v>
      </c>
      <c r="E833" s="108" t="s">
        <v>11</v>
      </c>
      <c r="F833" s="108" t="s">
        <v>574</v>
      </c>
      <c r="G833" s="108" t="s">
        <v>9</v>
      </c>
      <c r="H833" s="126">
        <f>H834</f>
        <v>0</v>
      </c>
      <c r="L833" s="20">
        <v>3557.02</v>
      </c>
      <c r="M833" s="20">
        <v>3557.02</v>
      </c>
      <c r="N833" s="20">
        <v>3557.02</v>
      </c>
      <c r="O833" s="20">
        <f>H833-L833</f>
        <v>-3557.02</v>
      </c>
      <c r="P833" s="20" t="e">
        <f>#REF!-M833</f>
        <v>#REF!</v>
      </c>
      <c r="Q833" s="20" t="e">
        <f>#REF!-N833</f>
        <v>#REF!</v>
      </c>
      <c r="R833" s="17" t="str">
        <f t="shared" si="87"/>
        <v>07 2 03 00000000</v>
      </c>
    </row>
    <row r="834" spans="1:18" s="16" customFormat="1" ht="31.5">
      <c r="A834" s="14"/>
      <c r="B834" s="125" t="s">
        <v>136</v>
      </c>
      <c r="C834" s="109" t="s">
        <v>510</v>
      </c>
      <c r="D834" s="108" t="s">
        <v>238</v>
      </c>
      <c r="E834" s="108" t="s">
        <v>11</v>
      </c>
      <c r="F834" s="108" t="s">
        <v>575</v>
      </c>
      <c r="G834" s="108" t="s">
        <v>9</v>
      </c>
      <c r="H834" s="126">
        <f t="shared" ref="H834" si="99">H835</f>
        <v>0</v>
      </c>
      <c r="L834" s="20">
        <v>3557.02</v>
      </c>
      <c r="M834" s="20">
        <v>3557.02</v>
      </c>
      <c r="N834" s="20">
        <v>3557.02</v>
      </c>
      <c r="O834" s="20">
        <f>H834-L834</f>
        <v>-3557.02</v>
      </c>
      <c r="P834" s="20" t="e">
        <f>#REF!-M834</f>
        <v>#REF!</v>
      </c>
      <c r="Q834" s="20" t="e">
        <f>#REF!-N834</f>
        <v>#REF!</v>
      </c>
      <c r="R834" s="17" t="str">
        <f t="shared" si="87"/>
        <v>07 2 03 11010000</v>
      </c>
    </row>
    <row r="835" spans="1:18" s="16" customFormat="1" ht="15.75">
      <c r="A835" s="14"/>
      <c r="B835" s="132" t="s">
        <v>403</v>
      </c>
      <c r="C835" s="109" t="s">
        <v>510</v>
      </c>
      <c r="D835" s="108" t="s">
        <v>238</v>
      </c>
      <c r="E835" s="108" t="s">
        <v>11</v>
      </c>
      <c r="F835" s="108" t="s">
        <v>575</v>
      </c>
      <c r="G835" s="108" t="s">
        <v>404</v>
      </c>
      <c r="H835" s="126">
        <f>H836</f>
        <v>0</v>
      </c>
      <c r="L835" s="20">
        <v>3557.02</v>
      </c>
      <c r="M835" s="20">
        <v>3557.02</v>
      </c>
      <c r="N835" s="20">
        <v>3557.02</v>
      </c>
      <c r="O835" s="20">
        <f>H835-L835</f>
        <v>-3557.02</v>
      </c>
      <c r="P835" s="20" t="e">
        <f>#REF!-M835</f>
        <v>#REF!</v>
      </c>
      <c r="Q835" s="20" t="e">
        <f>#REF!-N835</f>
        <v>#REF!</v>
      </c>
      <c r="R835" s="17" t="str">
        <f t="shared" si="87"/>
        <v>07 2 03 11010610</v>
      </c>
    </row>
    <row r="836" spans="1:18" s="23" customFormat="1" ht="63">
      <c r="A836" s="21"/>
      <c r="B836" s="127" t="s">
        <v>405</v>
      </c>
      <c r="C836" s="109" t="s">
        <v>510</v>
      </c>
      <c r="D836" s="108" t="s">
        <v>238</v>
      </c>
      <c r="E836" s="108" t="s">
        <v>11</v>
      </c>
      <c r="F836" s="108" t="s">
        <v>575</v>
      </c>
      <c r="G836" s="108" t="s">
        <v>406</v>
      </c>
      <c r="H836" s="126"/>
      <c r="L836" s="22"/>
      <c r="M836" s="22"/>
      <c r="N836" s="22"/>
      <c r="O836" s="22"/>
      <c r="P836" s="22"/>
      <c r="Q836" s="22"/>
      <c r="R836" s="24"/>
    </row>
    <row r="837" spans="1:18" s="16" customFormat="1" ht="47.25">
      <c r="A837" s="14"/>
      <c r="B837" s="125" t="s">
        <v>576</v>
      </c>
      <c r="C837" s="109" t="s">
        <v>510</v>
      </c>
      <c r="D837" s="108" t="s">
        <v>238</v>
      </c>
      <c r="E837" s="108" t="s">
        <v>11</v>
      </c>
      <c r="F837" s="108" t="s">
        <v>577</v>
      </c>
      <c r="G837" s="108" t="s">
        <v>9</v>
      </c>
      <c r="H837" s="126">
        <f>H838+H841</f>
        <v>0</v>
      </c>
      <c r="L837" s="20">
        <v>50161.369999999995</v>
      </c>
      <c r="M837" s="20">
        <v>50816.57</v>
      </c>
      <c r="N837" s="20">
        <v>50816.57</v>
      </c>
      <c r="O837" s="20">
        <f>H837-L837</f>
        <v>-50161.369999999995</v>
      </c>
      <c r="P837" s="20" t="e">
        <f>#REF!-M837</f>
        <v>#REF!</v>
      </c>
      <c r="Q837" s="20" t="e">
        <f>#REF!-N837</f>
        <v>#REF!</v>
      </c>
      <c r="R837" s="17" t="str">
        <f t="shared" si="87"/>
        <v>07 2 04 00000000</v>
      </c>
    </row>
    <row r="838" spans="1:18" s="16" customFormat="1" ht="31.5">
      <c r="A838" s="14"/>
      <c r="B838" s="125" t="s">
        <v>136</v>
      </c>
      <c r="C838" s="109" t="s">
        <v>510</v>
      </c>
      <c r="D838" s="108" t="s">
        <v>238</v>
      </c>
      <c r="E838" s="108" t="s">
        <v>11</v>
      </c>
      <c r="F838" s="108" t="s">
        <v>578</v>
      </c>
      <c r="G838" s="108" t="s">
        <v>9</v>
      </c>
      <c r="H838" s="126">
        <f>H839</f>
        <v>0</v>
      </c>
      <c r="L838" s="20">
        <v>49039.27</v>
      </c>
      <c r="M838" s="20">
        <v>49039.27</v>
      </c>
      <c r="N838" s="20">
        <v>49039.27</v>
      </c>
      <c r="O838" s="20">
        <f>H838-L838</f>
        <v>-49039.27</v>
      </c>
      <c r="P838" s="20" t="e">
        <f>#REF!-M838</f>
        <v>#REF!</v>
      </c>
      <c r="Q838" s="20" t="e">
        <f>#REF!-N838</f>
        <v>#REF!</v>
      </c>
      <c r="R838" s="17" t="str">
        <f t="shared" si="87"/>
        <v>07 2 04 11010000</v>
      </c>
    </row>
    <row r="839" spans="1:18" s="16" customFormat="1" ht="15.75">
      <c r="A839" s="14"/>
      <c r="B839" s="132" t="s">
        <v>403</v>
      </c>
      <c r="C839" s="109" t="s">
        <v>510</v>
      </c>
      <c r="D839" s="108" t="s">
        <v>238</v>
      </c>
      <c r="E839" s="108" t="s">
        <v>11</v>
      </c>
      <c r="F839" s="108" t="s">
        <v>578</v>
      </c>
      <c r="G839" s="108" t="s">
        <v>404</v>
      </c>
      <c r="H839" s="126">
        <f>H840</f>
        <v>0</v>
      </c>
      <c r="L839" s="20">
        <v>49039.27</v>
      </c>
      <c r="M839" s="20">
        <v>49039.27</v>
      </c>
      <c r="N839" s="20">
        <v>49039.27</v>
      </c>
      <c r="O839" s="20">
        <f>H839-L839</f>
        <v>-49039.27</v>
      </c>
      <c r="P839" s="20" t="e">
        <f>#REF!-M839</f>
        <v>#REF!</v>
      </c>
      <c r="Q839" s="20" t="e">
        <f>#REF!-N839</f>
        <v>#REF!</v>
      </c>
      <c r="R839" s="17" t="str">
        <f t="shared" si="87"/>
        <v>07 2 04 11010610</v>
      </c>
    </row>
    <row r="840" spans="1:18" s="23" customFormat="1" ht="63">
      <c r="A840" s="21"/>
      <c r="B840" s="127" t="s">
        <v>405</v>
      </c>
      <c r="C840" s="109" t="s">
        <v>510</v>
      </c>
      <c r="D840" s="108" t="s">
        <v>238</v>
      </c>
      <c r="E840" s="108" t="s">
        <v>11</v>
      </c>
      <c r="F840" s="108" t="s">
        <v>578</v>
      </c>
      <c r="G840" s="108" t="s">
        <v>406</v>
      </c>
      <c r="H840" s="126"/>
      <c r="L840" s="22"/>
      <c r="M840" s="22"/>
      <c r="N840" s="22"/>
      <c r="O840" s="22"/>
      <c r="P840" s="22"/>
      <c r="Q840" s="22"/>
      <c r="R840" s="24"/>
    </row>
    <row r="841" spans="1:18" s="16" customFormat="1" ht="47.25">
      <c r="A841" s="14"/>
      <c r="B841" s="132" t="s">
        <v>579</v>
      </c>
      <c r="C841" s="109" t="s">
        <v>510</v>
      </c>
      <c r="D841" s="108" t="s">
        <v>238</v>
      </c>
      <c r="E841" s="108" t="s">
        <v>11</v>
      </c>
      <c r="F841" s="108" t="s">
        <v>580</v>
      </c>
      <c r="G841" s="108" t="s">
        <v>9</v>
      </c>
      <c r="H841" s="126">
        <f>H842</f>
        <v>0</v>
      </c>
      <c r="L841" s="20">
        <v>1122.0999999999999</v>
      </c>
      <c r="M841" s="20">
        <v>1777.3</v>
      </c>
      <c r="N841" s="20">
        <v>1777.3</v>
      </c>
      <c r="O841" s="20">
        <f>H841-L841</f>
        <v>-1122.0999999999999</v>
      </c>
      <c r="P841" s="20" t="e">
        <f>#REF!-M841</f>
        <v>#REF!</v>
      </c>
      <c r="Q841" s="20" t="e">
        <f>#REF!-N841</f>
        <v>#REF!</v>
      </c>
      <c r="R841" s="17" t="str">
        <f t="shared" si="87"/>
        <v>07 2 04 L5194000</v>
      </c>
    </row>
    <row r="842" spans="1:18" s="16" customFormat="1" ht="15.75">
      <c r="A842" s="14"/>
      <c r="B842" s="132" t="s">
        <v>403</v>
      </c>
      <c r="C842" s="109" t="s">
        <v>510</v>
      </c>
      <c r="D842" s="108" t="s">
        <v>238</v>
      </c>
      <c r="E842" s="108" t="s">
        <v>11</v>
      </c>
      <c r="F842" s="108" t="s">
        <v>580</v>
      </c>
      <c r="G842" s="108" t="s">
        <v>404</v>
      </c>
      <c r="H842" s="126">
        <f>H843</f>
        <v>0</v>
      </c>
      <c r="L842" s="20">
        <v>1122.0999999999999</v>
      </c>
      <c r="M842" s="20">
        <v>1777.3</v>
      </c>
      <c r="N842" s="20">
        <v>1777.3</v>
      </c>
      <c r="O842" s="20">
        <f>H842-L842</f>
        <v>-1122.0999999999999</v>
      </c>
      <c r="P842" s="20" t="e">
        <f>#REF!-M842</f>
        <v>#REF!</v>
      </c>
      <c r="Q842" s="20" t="e">
        <f>#REF!-N842</f>
        <v>#REF!</v>
      </c>
      <c r="R842" s="17" t="str">
        <f t="shared" si="87"/>
        <v>07 2 04 L5194610</v>
      </c>
    </row>
    <row r="843" spans="1:18" s="16" customFormat="1" ht="63">
      <c r="A843" s="14"/>
      <c r="B843" s="127" t="s">
        <v>405</v>
      </c>
      <c r="C843" s="109" t="s">
        <v>510</v>
      </c>
      <c r="D843" s="108" t="s">
        <v>238</v>
      </c>
      <c r="E843" s="108" t="s">
        <v>11</v>
      </c>
      <c r="F843" s="108" t="s">
        <v>580</v>
      </c>
      <c r="G843" s="108" t="s">
        <v>406</v>
      </c>
      <c r="H843" s="126"/>
      <c r="L843" s="20"/>
      <c r="M843" s="20"/>
      <c r="N843" s="20"/>
      <c r="O843" s="20"/>
      <c r="P843" s="20"/>
      <c r="Q843" s="20"/>
      <c r="R843" s="17"/>
    </row>
    <row r="844" spans="1:18" s="16" customFormat="1" ht="47.25">
      <c r="A844" s="14"/>
      <c r="B844" s="125" t="s">
        <v>581</v>
      </c>
      <c r="C844" s="109" t="s">
        <v>510</v>
      </c>
      <c r="D844" s="108" t="s">
        <v>238</v>
      </c>
      <c r="E844" s="108" t="s">
        <v>11</v>
      </c>
      <c r="F844" s="108" t="s">
        <v>582</v>
      </c>
      <c r="G844" s="108" t="s">
        <v>9</v>
      </c>
      <c r="H844" s="126">
        <f>H845</f>
        <v>0</v>
      </c>
      <c r="L844" s="20">
        <v>57181.409999999996</v>
      </c>
      <c r="M844" s="20">
        <v>57181.409999999996</v>
      </c>
      <c r="N844" s="20">
        <v>57181.409999999996</v>
      </c>
      <c r="O844" s="20">
        <f>H844-L844</f>
        <v>-57181.409999999996</v>
      </c>
      <c r="P844" s="20" t="e">
        <f>#REF!-M844</f>
        <v>#REF!</v>
      </c>
      <c r="Q844" s="20" t="e">
        <f>#REF!-N844</f>
        <v>#REF!</v>
      </c>
      <c r="R844" s="17" t="str">
        <f t="shared" si="87"/>
        <v>07 2 05 00000000</v>
      </c>
    </row>
    <row r="845" spans="1:18" s="16" customFormat="1" ht="31.5">
      <c r="A845" s="14"/>
      <c r="B845" s="125" t="s">
        <v>136</v>
      </c>
      <c r="C845" s="109" t="s">
        <v>510</v>
      </c>
      <c r="D845" s="108" t="s">
        <v>238</v>
      </c>
      <c r="E845" s="108" t="s">
        <v>11</v>
      </c>
      <c r="F845" s="108" t="s">
        <v>583</v>
      </c>
      <c r="G845" s="108" t="s">
        <v>9</v>
      </c>
      <c r="H845" s="126">
        <f>H846+H848</f>
        <v>0</v>
      </c>
      <c r="L845" s="20">
        <v>57181.409999999996</v>
      </c>
      <c r="M845" s="20">
        <v>57181.409999999996</v>
      </c>
      <c r="N845" s="20">
        <v>57181.409999999996</v>
      </c>
      <c r="O845" s="20">
        <f>H845-L845</f>
        <v>-57181.409999999996</v>
      </c>
      <c r="P845" s="20" t="e">
        <f>#REF!-M845</f>
        <v>#REF!</v>
      </c>
      <c r="Q845" s="20" t="e">
        <f>#REF!-N845</f>
        <v>#REF!</v>
      </c>
      <c r="R845" s="17" t="str">
        <f t="shared" si="87"/>
        <v>07 2 05 11010000</v>
      </c>
    </row>
    <row r="846" spans="1:18" s="16" customFormat="1" ht="15.75">
      <c r="A846" s="14"/>
      <c r="B846" s="132" t="s">
        <v>403</v>
      </c>
      <c r="C846" s="109" t="s">
        <v>510</v>
      </c>
      <c r="D846" s="108" t="s">
        <v>238</v>
      </c>
      <c r="E846" s="108" t="s">
        <v>11</v>
      </c>
      <c r="F846" s="108" t="s">
        <v>583</v>
      </c>
      <c r="G846" s="108" t="s">
        <v>404</v>
      </c>
      <c r="H846" s="126">
        <f>H847</f>
        <v>0</v>
      </c>
      <c r="L846" s="20">
        <v>46565.7</v>
      </c>
      <c r="M846" s="20">
        <v>46565.7</v>
      </c>
      <c r="N846" s="20">
        <v>46565.7</v>
      </c>
      <c r="O846" s="20">
        <f>H846-L846</f>
        <v>-46565.7</v>
      </c>
      <c r="P846" s="20" t="e">
        <f>#REF!-M846</f>
        <v>#REF!</v>
      </c>
      <c r="Q846" s="20" t="e">
        <f>#REF!-N846</f>
        <v>#REF!</v>
      </c>
      <c r="R846" s="17" t="str">
        <f t="shared" si="87"/>
        <v>07 2 05 11010610</v>
      </c>
    </row>
    <row r="847" spans="1:18" s="23" customFormat="1" ht="63">
      <c r="A847" s="21"/>
      <c r="B847" s="127" t="s">
        <v>405</v>
      </c>
      <c r="C847" s="109" t="s">
        <v>510</v>
      </c>
      <c r="D847" s="108" t="s">
        <v>238</v>
      </c>
      <c r="E847" s="108" t="s">
        <v>11</v>
      </c>
      <c r="F847" s="108" t="s">
        <v>583</v>
      </c>
      <c r="G847" s="108" t="s">
        <v>406</v>
      </c>
      <c r="H847" s="126"/>
      <c r="L847" s="22"/>
      <c r="M847" s="22"/>
      <c r="N847" s="22"/>
      <c r="O847" s="22"/>
      <c r="P847" s="22"/>
      <c r="Q847" s="22"/>
      <c r="R847" s="24"/>
    </row>
    <row r="848" spans="1:18" s="16" customFormat="1" ht="15.75">
      <c r="A848" s="14"/>
      <c r="B848" s="132" t="s">
        <v>409</v>
      </c>
      <c r="C848" s="109" t="s">
        <v>510</v>
      </c>
      <c r="D848" s="108" t="s">
        <v>238</v>
      </c>
      <c r="E848" s="108" t="s">
        <v>11</v>
      </c>
      <c r="F848" s="108" t="s">
        <v>583</v>
      </c>
      <c r="G848" s="108" t="s">
        <v>410</v>
      </c>
      <c r="H848" s="126">
        <f>H849</f>
        <v>0</v>
      </c>
      <c r="L848" s="20">
        <v>10615.71</v>
      </c>
      <c r="M848" s="20">
        <v>10615.71</v>
      </c>
      <c r="N848" s="20">
        <v>10615.71</v>
      </c>
      <c r="O848" s="20">
        <f>H848-L848</f>
        <v>-10615.71</v>
      </c>
      <c r="P848" s="20" t="e">
        <f>#REF!-M848</f>
        <v>#REF!</v>
      </c>
      <c r="Q848" s="20" t="e">
        <f>#REF!-N848</f>
        <v>#REF!</v>
      </c>
      <c r="R848" s="17" t="str">
        <f t="shared" si="87"/>
        <v>07 2 05 11010620</v>
      </c>
    </row>
    <row r="849" spans="1:18" s="23" customFormat="1" ht="63">
      <c r="A849" s="21"/>
      <c r="B849" s="127" t="s">
        <v>411</v>
      </c>
      <c r="C849" s="109" t="s">
        <v>510</v>
      </c>
      <c r="D849" s="108" t="s">
        <v>238</v>
      </c>
      <c r="E849" s="108" t="s">
        <v>11</v>
      </c>
      <c r="F849" s="108" t="s">
        <v>583</v>
      </c>
      <c r="G849" s="108" t="s">
        <v>412</v>
      </c>
      <c r="H849" s="126"/>
      <c r="L849" s="22"/>
      <c r="M849" s="22"/>
      <c r="N849" s="22"/>
      <c r="O849" s="22"/>
      <c r="P849" s="22"/>
      <c r="Q849" s="22"/>
      <c r="R849" s="24"/>
    </row>
    <row r="850" spans="1:18" s="16" customFormat="1" ht="63">
      <c r="A850" s="14"/>
      <c r="B850" s="125" t="s">
        <v>524</v>
      </c>
      <c r="C850" s="109" t="s">
        <v>510</v>
      </c>
      <c r="D850" s="108" t="s">
        <v>238</v>
      </c>
      <c r="E850" s="108" t="s">
        <v>11</v>
      </c>
      <c r="F850" s="108" t="s">
        <v>525</v>
      </c>
      <c r="G850" s="108" t="s">
        <v>9</v>
      </c>
      <c r="H850" s="126">
        <f t="shared" ref="H850:H851" si="100">H851</f>
        <v>0</v>
      </c>
      <c r="L850" s="20">
        <v>1034.08</v>
      </c>
      <c r="M850" s="20">
        <v>1934.53</v>
      </c>
      <c r="N850" s="20">
        <v>2595.96</v>
      </c>
      <c r="O850" s="20">
        <f>H850-L850</f>
        <v>-1034.08</v>
      </c>
      <c r="P850" s="20" t="e">
        <f>#REF!-M850</f>
        <v>#REF!</v>
      </c>
      <c r="Q850" s="20" t="e">
        <f>#REF!-N850</f>
        <v>#REF!</v>
      </c>
      <c r="R850" s="17" t="str">
        <f t="shared" si="87"/>
        <v>07 2 06 00000000</v>
      </c>
    </row>
    <row r="851" spans="1:18" s="16" customFormat="1" ht="47.25">
      <c r="A851" s="14"/>
      <c r="B851" s="125" t="s">
        <v>526</v>
      </c>
      <c r="C851" s="109" t="s">
        <v>510</v>
      </c>
      <c r="D851" s="108" t="s">
        <v>238</v>
      </c>
      <c r="E851" s="108" t="s">
        <v>11</v>
      </c>
      <c r="F851" s="108" t="s">
        <v>527</v>
      </c>
      <c r="G851" s="108" t="s">
        <v>9</v>
      </c>
      <c r="H851" s="126">
        <f t="shared" si="100"/>
        <v>0</v>
      </c>
      <c r="L851" s="20">
        <v>1034.08</v>
      </c>
      <c r="M851" s="20">
        <v>1934.53</v>
      </c>
      <c r="N851" s="20">
        <v>2595.96</v>
      </c>
      <c r="O851" s="20">
        <f>H851-L851</f>
        <v>-1034.08</v>
      </c>
      <c r="P851" s="20" t="e">
        <f>#REF!-M851</f>
        <v>#REF!</v>
      </c>
      <c r="Q851" s="20" t="e">
        <f>#REF!-N851</f>
        <v>#REF!</v>
      </c>
      <c r="R851" s="17" t="str">
        <f t="shared" si="87"/>
        <v>07 2 06 20400000</v>
      </c>
    </row>
    <row r="852" spans="1:18" s="16" customFormat="1" ht="15.75">
      <c r="A852" s="14"/>
      <c r="B852" s="132" t="s">
        <v>403</v>
      </c>
      <c r="C852" s="109" t="s">
        <v>510</v>
      </c>
      <c r="D852" s="108" t="s">
        <v>238</v>
      </c>
      <c r="E852" s="108" t="s">
        <v>11</v>
      </c>
      <c r="F852" s="108" t="s">
        <v>527</v>
      </c>
      <c r="G852" s="108" t="s">
        <v>404</v>
      </c>
      <c r="H852" s="126">
        <f>H853</f>
        <v>0</v>
      </c>
      <c r="L852" s="20">
        <v>1034.08</v>
      </c>
      <c r="M852" s="20">
        <v>1934.53</v>
      </c>
      <c r="N852" s="20">
        <v>2595.96</v>
      </c>
      <c r="O852" s="20">
        <f>H852-L852</f>
        <v>-1034.08</v>
      </c>
      <c r="P852" s="20" t="e">
        <f>#REF!-M852</f>
        <v>#REF!</v>
      </c>
      <c r="Q852" s="20" t="e">
        <f>#REF!-N852</f>
        <v>#REF!</v>
      </c>
      <c r="R852" s="17" t="str">
        <f t="shared" si="87"/>
        <v>07 2 06 20400610</v>
      </c>
    </row>
    <row r="853" spans="1:18" s="23" customFormat="1" ht="15.75">
      <c r="A853" s="21"/>
      <c r="B853" s="127" t="s">
        <v>407</v>
      </c>
      <c r="C853" s="109" t="s">
        <v>510</v>
      </c>
      <c r="D853" s="108" t="s">
        <v>238</v>
      </c>
      <c r="E853" s="108" t="s">
        <v>11</v>
      </c>
      <c r="F853" s="108" t="s">
        <v>527</v>
      </c>
      <c r="G853" s="108" t="s">
        <v>408</v>
      </c>
      <c r="H853" s="126"/>
      <c r="L853" s="22"/>
      <c r="M853" s="22"/>
      <c r="N853" s="22"/>
      <c r="O853" s="22"/>
      <c r="P853" s="22"/>
      <c r="Q853" s="22"/>
      <c r="R853" s="24"/>
    </row>
    <row r="854" spans="1:18" s="16" customFormat="1" ht="47.25">
      <c r="A854" s="14"/>
      <c r="B854" s="132" t="s">
        <v>532</v>
      </c>
      <c r="C854" s="109" t="s">
        <v>510</v>
      </c>
      <c r="D854" s="108" t="s">
        <v>238</v>
      </c>
      <c r="E854" s="108" t="s">
        <v>11</v>
      </c>
      <c r="F854" s="108" t="s">
        <v>533</v>
      </c>
      <c r="G854" s="108" t="s">
        <v>9</v>
      </c>
      <c r="H854" s="126">
        <f t="shared" ref="H854:H855" si="101">H855</f>
        <v>0</v>
      </c>
      <c r="L854" s="20">
        <v>817.6</v>
      </c>
      <c r="M854" s="20">
        <v>817.6</v>
      </c>
      <c r="N854" s="20">
        <v>817.6</v>
      </c>
      <c r="O854" s="20">
        <f>H854-L854</f>
        <v>-817.6</v>
      </c>
      <c r="P854" s="20" t="e">
        <f>#REF!-M854</f>
        <v>#REF!</v>
      </c>
      <c r="Q854" s="20" t="e">
        <f>#REF!-N854</f>
        <v>#REF!</v>
      </c>
      <c r="R854" s="17" t="str">
        <f t="shared" ref="R854:R929" si="102">CONCATENATE(F854,G854)</f>
        <v>07 2 09 00000000</v>
      </c>
    </row>
    <row r="855" spans="1:18" s="16" customFormat="1" ht="47.25">
      <c r="A855" s="14"/>
      <c r="B855" s="132" t="s">
        <v>534</v>
      </c>
      <c r="C855" s="109" t="s">
        <v>510</v>
      </c>
      <c r="D855" s="108" t="s">
        <v>238</v>
      </c>
      <c r="E855" s="108" t="s">
        <v>11</v>
      </c>
      <c r="F855" s="108" t="s">
        <v>535</v>
      </c>
      <c r="G855" s="108" t="s">
        <v>9</v>
      </c>
      <c r="H855" s="126">
        <f t="shared" si="101"/>
        <v>0</v>
      </c>
      <c r="L855" s="20">
        <v>817.6</v>
      </c>
      <c r="M855" s="20">
        <v>817.6</v>
      </c>
      <c r="N855" s="20">
        <v>817.6</v>
      </c>
      <c r="O855" s="20">
        <f>H855-L855</f>
        <v>-817.6</v>
      </c>
      <c r="P855" s="20" t="e">
        <f>#REF!-M855</f>
        <v>#REF!</v>
      </c>
      <c r="Q855" s="20" t="e">
        <f>#REF!-N855</f>
        <v>#REF!</v>
      </c>
      <c r="R855" s="17" t="str">
        <f t="shared" si="102"/>
        <v>07 2 09 21280000</v>
      </c>
    </row>
    <row r="856" spans="1:18" s="16" customFormat="1" ht="15.75">
      <c r="A856" s="14"/>
      <c r="B856" s="132" t="s">
        <v>403</v>
      </c>
      <c r="C856" s="109" t="s">
        <v>510</v>
      </c>
      <c r="D856" s="108" t="s">
        <v>238</v>
      </c>
      <c r="E856" s="108" t="s">
        <v>11</v>
      </c>
      <c r="F856" s="108" t="s">
        <v>535</v>
      </c>
      <c r="G856" s="108" t="s">
        <v>404</v>
      </c>
      <c r="H856" s="126">
        <f>H857</f>
        <v>0</v>
      </c>
      <c r="L856" s="20">
        <v>817.6</v>
      </c>
      <c r="M856" s="20">
        <v>817.6</v>
      </c>
      <c r="N856" s="20">
        <v>817.6</v>
      </c>
      <c r="O856" s="20">
        <f>H856-L856</f>
        <v>-817.6</v>
      </c>
      <c r="P856" s="20" t="e">
        <f>#REF!-M856</f>
        <v>#REF!</v>
      </c>
      <c r="Q856" s="20" t="e">
        <f>#REF!-N856</f>
        <v>#REF!</v>
      </c>
      <c r="R856" s="17" t="str">
        <f t="shared" si="102"/>
        <v>07 2 09 21280610</v>
      </c>
    </row>
    <row r="857" spans="1:18" s="23" customFormat="1" ht="15.75">
      <c r="A857" s="21"/>
      <c r="B857" s="127" t="s">
        <v>407</v>
      </c>
      <c r="C857" s="109" t="s">
        <v>510</v>
      </c>
      <c r="D857" s="108" t="s">
        <v>238</v>
      </c>
      <c r="E857" s="108" t="s">
        <v>11</v>
      </c>
      <c r="F857" s="108" t="s">
        <v>535</v>
      </c>
      <c r="G857" s="108" t="s">
        <v>408</v>
      </c>
      <c r="H857" s="126"/>
      <c r="L857" s="22"/>
      <c r="M857" s="22"/>
      <c r="N857" s="22"/>
      <c r="O857" s="22"/>
      <c r="P857" s="22"/>
      <c r="Q857" s="22"/>
      <c r="R857" s="24"/>
    </row>
    <row r="858" spans="1:18" s="16" customFormat="1" ht="78.75">
      <c r="A858" s="14"/>
      <c r="B858" s="132" t="s">
        <v>536</v>
      </c>
      <c r="C858" s="109" t="s">
        <v>510</v>
      </c>
      <c r="D858" s="108" t="s">
        <v>238</v>
      </c>
      <c r="E858" s="108" t="s">
        <v>11</v>
      </c>
      <c r="F858" s="108" t="s">
        <v>537</v>
      </c>
      <c r="G858" s="108" t="s">
        <v>9</v>
      </c>
      <c r="H858" s="126">
        <f>H859</f>
        <v>0</v>
      </c>
      <c r="L858" s="20">
        <v>1099.44</v>
      </c>
      <c r="M858" s="20">
        <v>0</v>
      </c>
      <c r="N858" s="20">
        <v>0</v>
      </c>
      <c r="O858" s="20">
        <f>H858-L858</f>
        <v>-1099.44</v>
      </c>
      <c r="P858" s="20" t="e">
        <f>#REF!-M858</f>
        <v>#REF!</v>
      </c>
      <c r="Q858" s="20" t="e">
        <f>#REF!-N858</f>
        <v>#REF!</v>
      </c>
      <c r="R858" s="17" t="str">
        <f t="shared" si="102"/>
        <v>07 2 12 00000000</v>
      </c>
    </row>
    <row r="859" spans="1:18" s="16" customFormat="1" ht="47.25">
      <c r="A859" s="14"/>
      <c r="B859" s="138" t="s">
        <v>538</v>
      </c>
      <c r="C859" s="109" t="s">
        <v>510</v>
      </c>
      <c r="D859" s="108" t="s">
        <v>238</v>
      </c>
      <c r="E859" s="108" t="s">
        <v>11</v>
      </c>
      <c r="F859" s="108" t="s">
        <v>539</v>
      </c>
      <c r="G859" s="108" t="s">
        <v>9</v>
      </c>
      <c r="H859" s="126">
        <f>H860</f>
        <v>0</v>
      </c>
      <c r="L859" s="20">
        <v>1099.44</v>
      </c>
      <c r="M859" s="20">
        <v>0</v>
      </c>
      <c r="N859" s="20">
        <v>0</v>
      </c>
      <c r="O859" s="20">
        <f>H859-L859</f>
        <v>-1099.44</v>
      </c>
      <c r="P859" s="20" t="e">
        <f>#REF!-M859</f>
        <v>#REF!</v>
      </c>
      <c r="Q859" s="20" t="e">
        <f>#REF!-N859</f>
        <v>#REF!</v>
      </c>
      <c r="R859" s="17" t="str">
        <f t="shared" si="102"/>
        <v>07 2 12 21430000</v>
      </c>
    </row>
    <row r="860" spans="1:18" s="16" customFormat="1" ht="15.75">
      <c r="A860" s="14"/>
      <c r="B860" s="132" t="s">
        <v>403</v>
      </c>
      <c r="C860" s="109" t="s">
        <v>510</v>
      </c>
      <c r="D860" s="108" t="s">
        <v>238</v>
      </c>
      <c r="E860" s="108" t="s">
        <v>11</v>
      </c>
      <c r="F860" s="108" t="s">
        <v>539</v>
      </c>
      <c r="G860" s="108" t="s">
        <v>404</v>
      </c>
      <c r="H860" s="126">
        <f>H861</f>
        <v>0</v>
      </c>
      <c r="L860" s="20">
        <v>1099.44</v>
      </c>
      <c r="M860" s="20">
        <v>0</v>
      </c>
      <c r="N860" s="20">
        <v>0</v>
      </c>
      <c r="O860" s="20">
        <f>H860-L860</f>
        <v>-1099.44</v>
      </c>
      <c r="P860" s="20" t="e">
        <f>#REF!-M860</f>
        <v>#REF!</v>
      </c>
      <c r="Q860" s="20" t="e">
        <f>#REF!-N860</f>
        <v>#REF!</v>
      </c>
      <c r="R860" s="17" t="str">
        <f t="shared" si="102"/>
        <v>07 2 12 21430610</v>
      </c>
    </row>
    <row r="861" spans="1:18" s="23" customFormat="1" ht="15.75">
      <c r="A861" s="21"/>
      <c r="B861" s="127" t="s">
        <v>407</v>
      </c>
      <c r="C861" s="109" t="s">
        <v>510</v>
      </c>
      <c r="D861" s="108" t="s">
        <v>238</v>
      </c>
      <c r="E861" s="108" t="s">
        <v>11</v>
      </c>
      <c r="F861" s="108" t="s">
        <v>539</v>
      </c>
      <c r="G861" s="108" t="s">
        <v>408</v>
      </c>
      <c r="H861" s="126"/>
      <c r="L861" s="22"/>
      <c r="M861" s="22"/>
      <c r="N861" s="22"/>
      <c r="O861" s="22"/>
      <c r="P861" s="22"/>
      <c r="Q861" s="22"/>
      <c r="R861" s="24"/>
    </row>
    <row r="862" spans="1:18" s="16" customFormat="1" ht="47.25">
      <c r="A862" s="14"/>
      <c r="B862" s="127" t="s">
        <v>146</v>
      </c>
      <c r="C862" s="109" t="s">
        <v>510</v>
      </c>
      <c r="D862" s="108" t="s">
        <v>238</v>
      </c>
      <c r="E862" s="108" t="s">
        <v>11</v>
      </c>
      <c r="F862" s="130" t="s">
        <v>147</v>
      </c>
      <c r="G862" s="130" t="s">
        <v>9</v>
      </c>
      <c r="H862" s="134">
        <f>H863</f>
        <v>0</v>
      </c>
      <c r="L862" s="27">
        <v>76.5</v>
      </c>
      <c r="M862" s="27">
        <v>76.5</v>
      </c>
      <c r="N862" s="27">
        <v>76.5</v>
      </c>
      <c r="O862" s="27">
        <f>H862-L862</f>
        <v>-76.5</v>
      </c>
      <c r="P862" s="27" t="e">
        <f>#REF!-M862</f>
        <v>#REF!</v>
      </c>
      <c r="Q862" s="27" t="e">
        <f>#REF!-N862</f>
        <v>#REF!</v>
      </c>
      <c r="R862" s="17" t="str">
        <f t="shared" si="102"/>
        <v>15 0 00 00000000</v>
      </c>
    </row>
    <row r="863" spans="1:18" s="16" customFormat="1" ht="15.75">
      <c r="A863" s="14"/>
      <c r="B863" s="125" t="s">
        <v>148</v>
      </c>
      <c r="C863" s="109" t="s">
        <v>510</v>
      </c>
      <c r="D863" s="108" t="s">
        <v>238</v>
      </c>
      <c r="E863" s="108" t="s">
        <v>11</v>
      </c>
      <c r="F863" s="130" t="s">
        <v>149</v>
      </c>
      <c r="G863" s="130" t="s">
        <v>9</v>
      </c>
      <c r="H863" s="134">
        <f>H864</f>
        <v>0</v>
      </c>
      <c r="L863" s="27">
        <v>76.5</v>
      </c>
      <c r="M863" s="27">
        <v>76.5</v>
      </c>
      <c r="N863" s="27">
        <v>76.5</v>
      </c>
      <c r="O863" s="27">
        <f>H863-L863</f>
        <v>-76.5</v>
      </c>
      <c r="P863" s="27" t="e">
        <f>#REF!-M863</f>
        <v>#REF!</v>
      </c>
      <c r="Q863" s="27" t="e">
        <f>#REF!-N863</f>
        <v>#REF!</v>
      </c>
      <c r="R863" s="17" t="str">
        <f t="shared" si="102"/>
        <v>15 1 00 00000000</v>
      </c>
    </row>
    <row r="864" spans="1:18" s="16" customFormat="1" ht="78.75">
      <c r="A864" s="14"/>
      <c r="B864" s="129" t="s">
        <v>150</v>
      </c>
      <c r="C864" s="109" t="s">
        <v>510</v>
      </c>
      <c r="D864" s="108" t="s">
        <v>238</v>
      </c>
      <c r="E864" s="108" t="s">
        <v>11</v>
      </c>
      <c r="F864" s="109" t="s">
        <v>151</v>
      </c>
      <c r="G864" s="130" t="s">
        <v>9</v>
      </c>
      <c r="H864" s="134">
        <f>H865</f>
        <v>0</v>
      </c>
      <c r="L864" s="27">
        <v>76.5</v>
      </c>
      <c r="M864" s="27">
        <v>76.5</v>
      </c>
      <c r="N864" s="27">
        <v>76.5</v>
      </c>
      <c r="O864" s="27">
        <f>H864-L864</f>
        <v>-76.5</v>
      </c>
      <c r="P864" s="27" t="e">
        <f>#REF!-M864</f>
        <v>#REF!</v>
      </c>
      <c r="Q864" s="27" t="e">
        <f>#REF!-N864</f>
        <v>#REF!</v>
      </c>
      <c r="R864" s="17" t="str">
        <f t="shared" si="102"/>
        <v>15 1 01 00000000</v>
      </c>
    </row>
    <row r="865" spans="1:18" s="16" customFormat="1" ht="47.25">
      <c r="A865" s="14"/>
      <c r="B865" s="129" t="s">
        <v>152</v>
      </c>
      <c r="C865" s="109" t="s">
        <v>510</v>
      </c>
      <c r="D865" s="108" t="s">
        <v>238</v>
      </c>
      <c r="E865" s="108" t="s">
        <v>11</v>
      </c>
      <c r="F865" s="109" t="s">
        <v>153</v>
      </c>
      <c r="G865" s="130" t="s">
        <v>9</v>
      </c>
      <c r="H865" s="134">
        <f>SUM(H866:H866)</f>
        <v>0</v>
      </c>
      <c r="L865" s="27">
        <v>76.5</v>
      </c>
      <c r="M865" s="27">
        <v>76.5</v>
      </c>
      <c r="N865" s="27">
        <v>76.5</v>
      </c>
      <c r="O865" s="27">
        <f>H865-L865</f>
        <v>-76.5</v>
      </c>
      <c r="P865" s="27" t="e">
        <f>#REF!-M865</f>
        <v>#REF!</v>
      </c>
      <c r="Q865" s="27" t="e">
        <f>#REF!-N865</f>
        <v>#REF!</v>
      </c>
      <c r="R865" s="17" t="str">
        <f t="shared" si="102"/>
        <v>15 1 01 20350000</v>
      </c>
    </row>
    <row r="866" spans="1:18" s="16" customFormat="1" ht="15.75">
      <c r="A866" s="14"/>
      <c r="B866" s="132" t="s">
        <v>403</v>
      </c>
      <c r="C866" s="109" t="s">
        <v>510</v>
      </c>
      <c r="D866" s="108" t="s">
        <v>238</v>
      </c>
      <c r="E866" s="108" t="s">
        <v>11</v>
      </c>
      <c r="F866" s="109" t="s">
        <v>153</v>
      </c>
      <c r="G866" s="130" t="s">
        <v>404</v>
      </c>
      <c r="H866" s="126">
        <f>H867</f>
        <v>0</v>
      </c>
      <c r="L866" s="20">
        <v>76.5</v>
      </c>
      <c r="M866" s="20">
        <v>76.5</v>
      </c>
      <c r="N866" s="20">
        <v>76.5</v>
      </c>
      <c r="O866" s="20">
        <f>H866-L866</f>
        <v>-76.5</v>
      </c>
      <c r="P866" s="20" t="e">
        <f>#REF!-M866</f>
        <v>#REF!</v>
      </c>
      <c r="Q866" s="20" t="e">
        <f>#REF!-N866</f>
        <v>#REF!</v>
      </c>
      <c r="R866" s="17" t="str">
        <f t="shared" si="102"/>
        <v>15 1 01 20350610</v>
      </c>
    </row>
    <row r="867" spans="1:18" s="23" customFormat="1" ht="15.75">
      <c r="A867" s="21"/>
      <c r="B867" s="127" t="s">
        <v>407</v>
      </c>
      <c r="C867" s="109" t="s">
        <v>510</v>
      </c>
      <c r="D867" s="108" t="s">
        <v>238</v>
      </c>
      <c r="E867" s="108" t="s">
        <v>11</v>
      </c>
      <c r="F867" s="109" t="s">
        <v>153</v>
      </c>
      <c r="G867" s="109" t="s">
        <v>408</v>
      </c>
      <c r="H867" s="126"/>
      <c r="L867" s="22"/>
      <c r="M867" s="22"/>
      <c r="N867" s="22"/>
      <c r="O867" s="22"/>
      <c r="P867" s="22"/>
      <c r="Q867" s="22"/>
      <c r="R867" s="24"/>
    </row>
    <row r="868" spans="1:18" s="16" customFormat="1" ht="94.5">
      <c r="A868" s="14"/>
      <c r="B868" s="125" t="s">
        <v>420</v>
      </c>
      <c r="C868" s="109" t="s">
        <v>510</v>
      </c>
      <c r="D868" s="108" t="s">
        <v>238</v>
      </c>
      <c r="E868" s="108" t="s">
        <v>11</v>
      </c>
      <c r="F868" s="108" t="s">
        <v>421</v>
      </c>
      <c r="G868" s="108" t="s">
        <v>9</v>
      </c>
      <c r="H868" s="126">
        <f t="shared" ref="H868:H871" si="103">H869</f>
        <v>0</v>
      </c>
      <c r="L868" s="20">
        <v>547.85</v>
      </c>
      <c r="M868" s="20">
        <v>547.85</v>
      </c>
      <c r="N868" s="20">
        <v>547.85</v>
      </c>
      <c r="O868" s="20">
        <f>H868-L868</f>
        <v>-547.85</v>
      </c>
      <c r="P868" s="20" t="e">
        <f>#REF!-M868</f>
        <v>#REF!</v>
      </c>
      <c r="Q868" s="20" t="e">
        <f>#REF!-N868</f>
        <v>#REF!</v>
      </c>
      <c r="R868" s="17" t="str">
        <f t="shared" si="102"/>
        <v>16 0 00 00000000</v>
      </c>
    </row>
    <row r="869" spans="1:18" s="16" customFormat="1" ht="31.5">
      <c r="A869" s="14"/>
      <c r="B869" s="125" t="s">
        <v>422</v>
      </c>
      <c r="C869" s="109" t="s">
        <v>510</v>
      </c>
      <c r="D869" s="108" t="s">
        <v>238</v>
      </c>
      <c r="E869" s="108" t="s">
        <v>11</v>
      </c>
      <c r="F869" s="108" t="s">
        <v>423</v>
      </c>
      <c r="G869" s="108" t="s">
        <v>9</v>
      </c>
      <c r="H869" s="126">
        <f t="shared" si="103"/>
        <v>0</v>
      </c>
      <c r="L869" s="20">
        <v>547.85</v>
      </c>
      <c r="M869" s="20">
        <v>547.85</v>
      </c>
      <c r="N869" s="20">
        <v>547.85</v>
      </c>
      <c r="O869" s="20">
        <f>H869-L869</f>
        <v>-547.85</v>
      </c>
      <c r="P869" s="20" t="e">
        <f>#REF!-M869</f>
        <v>#REF!</v>
      </c>
      <c r="Q869" s="20" t="e">
        <f>#REF!-N869</f>
        <v>#REF!</v>
      </c>
      <c r="R869" s="17" t="str">
        <f t="shared" si="102"/>
        <v>16 2 00 00000000</v>
      </c>
    </row>
    <row r="870" spans="1:18" s="16" customFormat="1" ht="47.25">
      <c r="A870" s="14"/>
      <c r="B870" s="125" t="s">
        <v>424</v>
      </c>
      <c r="C870" s="109" t="s">
        <v>510</v>
      </c>
      <c r="D870" s="108" t="s">
        <v>238</v>
      </c>
      <c r="E870" s="108" t="s">
        <v>11</v>
      </c>
      <c r="F870" s="108" t="s">
        <v>425</v>
      </c>
      <c r="G870" s="108" t="s">
        <v>9</v>
      </c>
      <c r="H870" s="126">
        <f t="shared" si="103"/>
        <v>0</v>
      </c>
      <c r="L870" s="20">
        <v>547.85</v>
      </c>
      <c r="M870" s="20">
        <v>547.85</v>
      </c>
      <c r="N870" s="20">
        <v>547.85</v>
      </c>
      <c r="O870" s="20">
        <f>H870-L870</f>
        <v>-547.85</v>
      </c>
      <c r="P870" s="20" t="e">
        <f>#REF!-M870</f>
        <v>#REF!</v>
      </c>
      <c r="Q870" s="20" t="e">
        <f>#REF!-N870</f>
        <v>#REF!</v>
      </c>
      <c r="R870" s="17" t="str">
        <f t="shared" si="102"/>
        <v>16 2 02 00000000</v>
      </c>
    </row>
    <row r="871" spans="1:18" s="16" customFormat="1" ht="47.25">
      <c r="A871" s="14"/>
      <c r="B871" s="125" t="s">
        <v>426</v>
      </c>
      <c r="C871" s="109" t="s">
        <v>510</v>
      </c>
      <c r="D871" s="108" t="s">
        <v>238</v>
      </c>
      <c r="E871" s="108" t="s">
        <v>11</v>
      </c>
      <c r="F871" s="108" t="s">
        <v>427</v>
      </c>
      <c r="G871" s="108" t="s">
        <v>9</v>
      </c>
      <c r="H871" s="126">
        <f t="shared" si="103"/>
        <v>0</v>
      </c>
      <c r="L871" s="20">
        <v>547.85</v>
      </c>
      <c r="M871" s="20">
        <v>547.85</v>
      </c>
      <c r="N871" s="20">
        <v>547.85</v>
      </c>
      <c r="O871" s="20">
        <f>H871-L871</f>
        <v>-547.85</v>
      </c>
      <c r="P871" s="20" t="e">
        <f>#REF!-M871</f>
        <v>#REF!</v>
      </c>
      <c r="Q871" s="20" t="e">
        <f>#REF!-N871</f>
        <v>#REF!</v>
      </c>
      <c r="R871" s="17" t="str">
        <f t="shared" si="102"/>
        <v>16 2 02 20550000</v>
      </c>
    </row>
    <row r="872" spans="1:18" s="16" customFormat="1" ht="15.75">
      <c r="A872" s="14"/>
      <c r="B872" s="132" t="s">
        <v>403</v>
      </c>
      <c r="C872" s="109" t="s">
        <v>510</v>
      </c>
      <c r="D872" s="108" t="s">
        <v>238</v>
      </c>
      <c r="E872" s="108" t="s">
        <v>11</v>
      </c>
      <c r="F872" s="108" t="s">
        <v>427</v>
      </c>
      <c r="G872" s="108" t="s">
        <v>404</v>
      </c>
      <c r="H872" s="126">
        <f>H873</f>
        <v>0</v>
      </c>
      <c r="L872" s="20">
        <v>547.85</v>
      </c>
      <c r="M872" s="20">
        <v>547.85</v>
      </c>
      <c r="N872" s="20">
        <v>547.85</v>
      </c>
      <c r="O872" s="20">
        <f>H872-L872</f>
        <v>-547.85</v>
      </c>
      <c r="P872" s="20" t="e">
        <f>#REF!-M872</f>
        <v>#REF!</v>
      </c>
      <c r="Q872" s="20" t="e">
        <f>#REF!-N872</f>
        <v>#REF!</v>
      </c>
      <c r="R872" s="17" t="str">
        <f t="shared" si="102"/>
        <v>16 2 02 20550610</v>
      </c>
    </row>
    <row r="873" spans="1:18" s="23" customFormat="1" ht="15.75">
      <c r="A873" s="21"/>
      <c r="B873" s="127" t="s">
        <v>407</v>
      </c>
      <c r="C873" s="109" t="s">
        <v>510</v>
      </c>
      <c r="D873" s="108" t="s">
        <v>238</v>
      </c>
      <c r="E873" s="108" t="s">
        <v>11</v>
      </c>
      <c r="F873" s="108" t="s">
        <v>427</v>
      </c>
      <c r="G873" s="108" t="s">
        <v>408</v>
      </c>
      <c r="H873" s="126"/>
      <c r="L873" s="22"/>
      <c r="M873" s="22"/>
      <c r="N873" s="22"/>
      <c r="O873" s="22"/>
      <c r="P873" s="22"/>
      <c r="Q873" s="22"/>
      <c r="R873" s="24"/>
    </row>
    <row r="874" spans="1:18" s="16" customFormat="1" ht="47.25">
      <c r="A874" s="14"/>
      <c r="B874" s="125" t="s">
        <v>430</v>
      </c>
      <c r="C874" s="109" t="s">
        <v>510</v>
      </c>
      <c r="D874" s="108" t="s">
        <v>238</v>
      </c>
      <c r="E874" s="108" t="s">
        <v>11</v>
      </c>
      <c r="F874" s="108" t="s">
        <v>431</v>
      </c>
      <c r="G874" s="108" t="s">
        <v>9</v>
      </c>
      <c r="H874" s="126">
        <f>H875</f>
        <v>0</v>
      </c>
      <c r="L874" s="20">
        <v>203.83</v>
      </c>
      <c r="M874" s="20">
        <v>203.83</v>
      </c>
      <c r="N874" s="20">
        <v>203.83</v>
      </c>
      <c r="O874" s="20">
        <f>H874-L874</f>
        <v>-203.83</v>
      </c>
      <c r="P874" s="20" t="e">
        <f>#REF!-M874</f>
        <v>#REF!</v>
      </c>
      <c r="Q874" s="20" t="e">
        <f>#REF!-N874</f>
        <v>#REF!</v>
      </c>
      <c r="R874" s="17" t="str">
        <f t="shared" si="102"/>
        <v>17 0 00 00000000</v>
      </c>
    </row>
    <row r="875" spans="1:18" s="16" customFormat="1" ht="47.25">
      <c r="A875" s="14"/>
      <c r="B875" s="125" t="s">
        <v>432</v>
      </c>
      <c r="C875" s="109" t="s">
        <v>510</v>
      </c>
      <c r="D875" s="108" t="s">
        <v>238</v>
      </c>
      <c r="E875" s="108" t="s">
        <v>11</v>
      </c>
      <c r="F875" s="108" t="s">
        <v>433</v>
      </c>
      <c r="G875" s="108" t="s">
        <v>9</v>
      </c>
      <c r="H875" s="126">
        <f>H876</f>
        <v>0</v>
      </c>
      <c r="L875" s="20">
        <v>203.83</v>
      </c>
      <c r="M875" s="20">
        <v>203.83</v>
      </c>
      <c r="N875" s="20">
        <v>203.83</v>
      </c>
      <c r="O875" s="20">
        <f>H875-L875</f>
        <v>-203.83</v>
      </c>
      <c r="P875" s="20" t="e">
        <f>#REF!-M875</f>
        <v>#REF!</v>
      </c>
      <c r="Q875" s="20" t="e">
        <f>#REF!-N875</f>
        <v>#REF!</v>
      </c>
      <c r="R875" s="17" t="str">
        <f t="shared" si="102"/>
        <v>17 Б 00 00000000</v>
      </c>
    </row>
    <row r="876" spans="1:18" s="16" customFormat="1" ht="31.5">
      <c r="A876" s="14"/>
      <c r="B876" s="125" t="s">
        <v>434</v>
      </c>
      <c r="C876" s="109" t="s">
        <v>510</v>
      </c>
      <c r="D876" s="108" t="s">
        <v>238</v>
      </c>
      <c r="E876" s="108" t="s">
        <v>11</v>
      </c>
      <c r="F876" s="108" t="s">
        <v>435</v>
      </c>
      <c r="G876" s="108" t="s">
        <v>9</v>
      </c>
      <c r="H876" s="126">
        <f>H877</f>
        <v>0</v>
      </c>
      <c r="L876" s="20">
        <v>203.83</v>
      </c>
      <c r="M876" s="20">
        <v>203.83</v>
      </c>
      <c r="N876" s="20">
        <v>203.83</v>
      </c>
      <c r="O876" s="20">
        <f>H876-L876</f>
        <v>-203.83</v>
      </c>
      <c r="P876" s="20" t="e">
        <f>#REF!-M876</f>
        <v>#REF!</v>
      </c>
      <c r="Q876" s="20" t="e">
        <f>#REF!-N876</f>
        <v>#REF!</v>
      </c>
      <c r="R876" s="17" t="str">
        <f t="shared" si="102"/>
        <v>17 Б 01 00000000</v>
      </c>
    </row>
    <row r="877" spans="1:18" s="16" customFormat="1" ht="47.25">
      <c r="A877" s="14"/>
      <c r="B877" s="132" t="s">
        <v>436</v>
      </c>
      <c r="C877" s="109" t="s">
        <v>510</v>
      </c>
      <c r="D877" s="108" t="s">
        <v>238</v>
      </c>
      <c r="E877" s="108" t="s">
        <v>11</v>
      </c>
      <c r="F877" s="108" t="s">
        <v>437</v>
      </c>
      <c r="G877" s="108" t="s">
        <v>9</v>
      </c>
      <c r="H877" s="126">
        <f>H878</f>
        <v>0</v>
      </c>
      <c r="L877" s="20">
        <v>203.83</v>
      </c>
      <c r="M877" s="20">
        <v>203.83</v>
      </c>
      <c r="N877" s="20">
        <v>203.83</v>
      </c>
      <c r="O877" s="20">
        <f>H877-L877</f>
        <v>-203.83</v>
      </c>
      <c r="P877" s="20" t="e">
        <f>#REF!-M877</f>
        <v>#REF!</v>
      </c>
      <c r="Q877" s="20" t="e">
        <f>#REF!-N877</f>
        <v>#REF!</v>
      </c>
      <c r="R877" s="17" t="str">
        <f t="shared" si="102"/>
        <v>17 Б 01 20490000</v>
      </c>
    </row>
    <row r="878" spans="1:18" s="16" customFormat="1" ht="15.75">
      <c r="A878" s="14"/>
      <c r="B878" s="125" t="s">
        <v>403</v>
      </c>
      <c r="C878" s="109" t="s">
        <v>510</v>
      </c>
      <c r="D878" s="108" t="s">
        <v>238</v>
      </c>
      <c r="E878" s="108" t="s">
        <v>11</v>
      </c>
      <c r="F878" s="108" t="s">
        <v>437</v>
      </c>
      <c r="G878" s="108" t="s">
        <v>404</v>
      </c>
      <c r="H878" s="126">
        <f>H879</f>
        <v>0</v>
      </c>
      <c r="L878" s="20">
        <v>203.83</v>
      </c>
      <c r="M878" s="20">
        <v>203.83</v>
      </c>
      <c r="N878" s="20">
        <v>203.83</v>
      </c>
      <c r="O878" s="20">
        <f>H878-L878</f>
        <v>-203.83</v>
      </c>
      <c r="P878" s="20" t="e">
        <f>#REF!-M878</f>
        <v>#REF!</v>
      </c>
      <c r="Q878" s="20" t="e">
        <f>#REF!-N878</f>
        <v>#REF!</v>
      </c>
      <c r="R878" s="17" t="str">
        <f t="shared" si="102"/>
        <v>17 Б 01 20490610</v>
      </c>
    </row>
    <row r="879" spans="1:18" s="23" customFormat="1" ht="15.75">
      <c r="A879" s="21"/>
      <c r="B879" s="127" t="s">
        <v>407</v>
      </c>
      <c r="C879" s="109" t="s">
        <v>510</v>
      </c>
      <c r="D879" s="108" t="s">
        <v>238</v>
      </c>
      <c r="E879" s="108" t="s">
        <v>11</v>
      </c>
      <c r="F879" s="108" t="s">
        <v>437</v>
      </c>
      <c r="G879" s="108" t="s">
        <v>408</v>
      </c>
      <c r="H879" s="126"/>
      <c r="L879" s="22"/>
      <c r="M879" s="22"/>
      <c r="N879" s="22"/>
      <c r="O879" s="22"/>
      <c r="P879" s="22"/>
      <c r="Q879" s="22"/>
      <c r="R879" s="24"/>
    </row>
    <row r="880" spans="1:18" s="16" customFormat="1" ht="15.75">
      <c r="A880" s="14"/>
      <c r="B880" s="121" t="s">
        <v>584</v>
      </c>
      <c r="C880" s="122" t="s">
        <v>510</v>
      </c>
      <c r="D880" s="123" t="s">
        <v>238</v>
      </c>
      <c r="E880" s="123" t="s">
        <v>73</v>
      </c>
      <c r="F880" s="123" t="s">
        <v>8</v>
      </c>
      <c r="G880" s="123" t="s">
        <v>9</v>
      </c>
      <c r="H880" s="124">
        <f>H881</f>
        <v>0</v>
      </c>
      <c r="L880" s="19">
        <v>13610.46</v>
      </c>
      <c r="M880" s="19">
        <v>13610.46</v>
      </c>
      <c r="N880" s="19">
        <v>13610.46</v>
      </c>
      <c r="O880" s="19">
        <f>H880-L880</f>
        <v>-13610.46</v>
      </c>
      <c r="P880" s="19" t="e">
        <f>#REF!-M880</f>
        <v>#REF!</v>
      </c>
      <c r="Q880" s="19" t="e">
        <f>#REF!-N880</f>
        <v>#REF!</v>
      </c>
      <c r="R880" s="17" t="str">
        <f t="shared" si="102"/>
        <v>00 0 00 00000000</v>
      </c>
    </row>
    <row r="881" spans="1:18" s="16" customFormat="1" ht="47.25">
      <c r="A881" s="14"/>
      <c r="B881" s="125" t="s">
        <v>585</v>
      </c>
      <c r="C881" s="109" t="s">
        <v>510</v>
      </c>
      <c r="D881" s="108" t="s">
        <v>238</v>
      </c>
      <c r="E881" s="108" t="s">
        <v>73</v>
      </c>
      <c r="F881" s="108" t="s">
        <v>586</v>
      </c>
      <c r="G881" s="108" t="s">
        <v>9</v>
      </c>
      <c r="H881" s="126">
        <f>H882+H897</f>
        <v>0</v>
      </c>
      <c r="L881" s="20">
        <v>13610.46</v>
      </c>
      <c r="M881" s="20">
        <v>13610.46</v>
      </c>
      <c r="N881" s="20">
        <v>13610.46</v>
      </c>
      <c r="O881" s="20">
        <f>H881-L881</f>
        <v>-13610.46</v>
      </c>
      <c r="P881" s="20" t="e">
        <f>#REF!-M881</f>
        <v>#REF!</v>
      </c>
      <c r="Q881" s="20" t="e">
        <f>#REF!-N881</f>
        <v>#REF!</v>
      </c>
      <c r="R881" s="17" t="str">
        <f t="shared" si="102"/>
        <v>76 0 00 00000000</v>
      </c>
    </row>
    <row r="882" spans="1:18" s="16" customFormat="1" ht="47.25">
      <c r="A882" s="14"/>
      <c r="B882" s="125" t="s">
        <v>587</v>
      </c>
      <c r="C882" s="109" t="s">
        <v>510</v>
      </c>
      <c r="D882" s="108" t="s">
        <v>238</v>
      </c>
      <c r="E882" s="108" t="s">
        <v>73</v>
      </c>
      <c r="F882" s="108" t="s">
        <v>588</v>
      </c>
      <c r="G882" s="108" t="s">
        <v>9</v>
      </c>
      <c r="H882" s="126">
        <f>H883+H893</f>
        <v>0</v>
      </c>
      <c r="L882" s="20">
        <v>13450.46</v>
      </c>
      <c r="M882" s="20">
        <v>13450.46</v>
      </c>
      <c r="N882" s="20">
        <v>13450.46</v>
      </c>
      <c r="O882" s="20">
        <f>H882-L882</f>
        <v>-13450.46</v>
      </c>
      <c r="P882" s="20" t="e">
        <f>#REF!-M882</f>
        <v>#REF!</v>
      </c>
      <c r="Q882" s="20" t="e">
        <f>#REF!-N882</f>
        <v>#REF!</v>
      </c>
      <c r="R882" s="17" t="str">
        <f t="shared" si="102"/>
        <v>76 1 00 00000000</v>
      </c>
    </row>
    <row r="883" spans="1:18" s="16" customFormat="1" ht="31.5">
      <c r="A883" s="14"/>
      <c r="B883" s="125" t="s">
        <v>18</v>
      </c>
      <c r="C883" s="109" t="s">
        <v>510</v>
      </c>
      <c r="D883" s="108" t="s">
        <v>238</v>
      </c>
      <c r="E883" s="108" t="s">
        <v>73</v>
      </c>
      <c r="F883" s="108" t="s">
        <v>589</v>
      </c>
      <c r="G883" s="108" t="s">
        <v>9</v>
      </c>
      <c r="H883" s="126">
        <f>H884+H887+H889</f>
        <v>0</v>
      </c>
      <c r="L883" s="20">
        <v>1480.34</v>
      </c>
      <c r="M883" s="20">
        <v>1480.34</v>
      </c>
      <c r="N883" s="20">
        <v>1480.34</v>
      </c>
      <c r="O883" s="20">
        <f>H883-L883</f>
        <v>-1480.34</v>
      </c>
      <c r="P883" s="20" t="e">
        <f>#REF!-M883</f>
        <v>#REF!</v>
      </c>
      <c r="Q883" s="20" t="e">
        <f>#REF!-N883</f>
        <v>#REF!</v>
      </c>
      <c r="R883" s="17" t="str">
        <f t="shared" si="102"/>
        <v>76 1 00 10010000</v>
      </c>
    </row>
    <row r="884" spans="1:18" s="16" customFormat="1" ht="31.5">
      <c r="A884" s="14"/>
      <c r="B884" s="127" t="s">
        <v>20</v>
      </c>
      <c r="C884" s="109" t="s">
        <v>510</v>
      </c>
      <c r="D884" s="108" t="s">
        <v>238</v>
      </c>
      <c r="E884" s="108" t="s">
        <v>73</v>
      </c>
      <c r="F884" s="108" t="s">
        <v>589</v>
      </c>
      <c r="G884" s="108" t="s">
        <v>21</v>
      </c>
      <c r="H884" s="126">
        <f>SUM(H885:H886)</f>
        <v>0</v>
      </c>
      <c r="L884" s="20">
        <v>357.33</v>
      </c>
      <c r="M884" s="20">
        <v>357.33</v>
      </c>
      <c r="N884" s="20">
        <v>357.33</v>
      </c>
      <c r="O884" s="20">
        <f>H884-L884</f>
        <v>-357.33</v>
      </c>
      <c r="P884" s="20" t="e">
        <f>#REF!-M884</f>
        <v>#REF!</v>
      </c>
      <c r="Q884" s="20" t="e">
        <f>#REF!-N884</f>
        <v>#REF!</v>
      </c>
      <c r="R884" s="17" t="str">
        <f t="shared" si="102"/>
        <v>76 1 00 10010120</v>
      </c>
    </row>
    <row r="885" spans="1:18" s="23" customFormat="1" ht="47.25">
      <c r="A885" s="21"/>
      <c r="B885" s="127" t="s">
        <v>22</v>
      </c>
      <c r="C885" s="109" t="s">
        <v>510</v>
      </c>
      <c r="D885" s="108" t="s">
        <v>238</v>
      </c>
      <c r="E885" s="108" t="s">
        <v>73</v>
      </c>
      <c r="F885" s="108" t="s">
        <v>589</v>
      </c>
      <c r="G885" s="108" t="s">
        <v>23</v>
      </c>
      <c r="H885" s="126"/>
      <c r="L885" s="22"/>
      <c r="M885" s="22"/>
      <c r="N885" s="22"/>
      <c r="O885" s="22"/>
      <c r="P885" s="22"/>
      <c r="Q885" s="22"/>
      <c r="R885" s="24"/>
    </row>
    <row r="886" spans="1:18" s="23" customFormat="1" ht="63">
      <c r="A886" s="21"/>
      <c r="B886" s="127" t="s">
        <v>26</v>
      </c>
      <c r="C886" s="109" t="s">
        <v>510</v>
      </c>
      <c r="D886" s="108" t="s">
        <v>238</v>
      </c>
      <c r="E886" s="108" t="s">
        <v>73</v>
      </c>
      <c r="F886" s="108" t="s">
        <v>589</v>
      </c>
      <c r="G886" s="108" t="s">
        <v>27</v>
      </c>
      <c r="H886" s="126"/>
      <c r="L886" s="22"/>
      <c r="M886" s="22"/>
      <c r="N886" s="22"/>
      <c r="O886" s="22"/>
      <c r="P886" s="22"/>
      <c r="Q886" s="22"/>
      <c r="R886" s="24"/>
    </row>
    <row r="887" spans="1:18" s="16" customFormat="1" ht="31.5">
      <c r="A887" s="14"/>
      <c r="B887" s="125" t="s">
        <v>28</v>
      </c>
      <c r="C887" s="109" t="s">
        <v>510</v>
      </c>
      <c r="D887" s="108" t="s">
        <v>238</v>
      </c>
      <c r="E887" s="108" t="s">
        <v>73</v>
      </c>
      <c r="F887" s="108" t="s">
        <v>589</v>
      </c>
      <c r="G887" s="108" t="s">
        <v>29</v>
      </c>
      <c r="H887" s="126">
        <f>H888</f>
        <v>0</v>
      </c>
      <c r="L887" s="20">
        <v>941.81</v>
      </c>
      <c r="M887" s="20">
        <v>941.81</v>
      </c>
      <c r="N887" s="20">
        <v>941.81</v>
      </c>
      <c r="O887" s="20">
        <f>H887-L887</f>
        <v>-941.81</v>
      </c>
      <c r="P887" s="20" t="e">
        <f>#REF!-M887</f>
        <v>#REF!</v>
      </c>
      <c r="Q887" s="20" t="e">
        <f>#REF!-N887</f>
        <v>#REF!</v>
      </c>
      <c r="R887" s="17" t="str">
        <f t="shared" si="102"/>
        <v>76 1 00 10010240</v>
      </c>
    </row>
    <row r="888" spans="1:18" s="16" customFormat="1" ht="15.75">
      <c r="A888" s="14"/>
      <c r="B888" s="125" t="s">
        <v>30</v>
      </c>
      <c r="C888" s="109" t="s">
        <v>510</v>
      </c>
      <c r="D888" s="108" t="s">
        <v>238</v>
      </c>
      <c r="E888" s="108" t="s">
        <v>73</v>
      </c>
      <c r="F888" s="108" t="s">
        <v>589</v>
      </c>
      <c r="G888" s="108" t="s">
        <v>31</v>
      </c>
      <c r="H888" s="126"/>
      <c r="L888" s="20"/>
      <c r="M888" s="20"/>
      <c r="N888" s="20"/>
      <c r="O888" s="20"/>
      <c r="P888" s="20"/>
      <c r="Q888" s="20"/>
      <c r="R888" s="17"/>
    </row>
    <row r="889" spans="1:18" s="16" customFormat="1" ht="15.75">
      <c r="A889" s="14"/>
      <c r="B889" s="125" t="s">
        <v>32</v>
      </c>
      <c r="C889" s="109" t="s">
        <v>510</v>
      </c>
      <c r="D889" s="108" t="s">
        <v>238</v>
      </c>
      <c r="E889" s="108" t="s">
        <v>73</v>
      </c>
      <c r="F889" s="108" t="s">
        <v>589</v>
      </c>
      <c r="G889" s="108" t="s">
        <v>33</v>
      </c>
      <c r="H889" s="126">
        <f>SUM(H890:H892)</f>
        <v>0</v>
      </c>
      <c r="L889" s="20">
        <v>181.2</v>
      </c>
      <c r="M889" s="20">
        <v>181.2</v>
      </c>
      <c r="N889" s="20">
        <v>181.2</v>
      </c>
      <c r="O889" s="20">
        <f>H889-L889</f>
        <v>-181.2</v>
      </c>
      <c r="P889" s="20" t="e">
        <f>#REF!-M889</f>
        <v>#REF!</v>
      </c>
      <c r="Q889" s="20" t="e">
        <f>#REF!-N889</f>
        <v>#REF!</v>
      </c>
      <c r="R889" s="17" t="str">
        <f t="shared" si="102"/>
        <v>76 1 00 10010850</v>
      </c>
    </row>
    <row r="890" spans="1:18" s="23" customFormat="1" ht="31.5">
      <c r="A890" s="21"/>
      <c r="B890" s="127" t="s">
        <v>34</v>
      </c>
      <c r="C890" s="109" t="s">
        <v>510</v>
      </c>
      <c r="D890" s="108" t="s">
        <v>238</v>
      </c>
      <c r="E890" s="108" t="s">
        <v>73</v>
      </c>
      <c r="F890" s="108" t="s">
        <v>589</v>
      </c>
      <c r="G890" s="108" t="s">
        <v>35</v>
      </c>
      <c r="H890" s="126"/>
      <c r="L890" s="22"/>
      <c r="M890" s="22"/>
      <c r="N890" s="22"/>
      <c r="O890" s="22"/>
      <c r="P890" s="22"/>
      <c r="Q890" s="22"/>
      <c r="R890" s="24"/>
    </row>
    <row r="891" spans="1:18" s="23" customFormat="1" ht="15.75">
      <c r="A891" s="21"/>
      <c r="B891" s="127" t="s">
        <v>36</v>
      </c>
      <c r="C891" s="109" t="s">
        <v>510</v>
      </c>
      <c r="D891" s="108" t="s">
        <v>238</v>
      </c>
      <c r="E891" s="108" t="s">
        <v>73</v>
      </c>
      <c r="F891" s="108" t="s">
        <v>589</v>
      </c>
      <c r="G891" s="108" t="s">
        <v>37</v>
      </c>
      <c r="H891" s="126"/>
      <c r="L891" s="22"/>
      <c r="M891" s="22"/>
      <c r="N891" s="22"/>
      <c r="O891" s="22"/>
      <c r="P891" s="22"/>
      <c r="Q891" s="22"/>
      <c r="R891" s="24"/>
    </row>
    <row r="892" spans="1:18" s="23" customFormat="1" ht="15.75">
      <c r="A892" s="21"/>
      <c r="B892" s="127" t="s">
        <v>77</v>
      </c>
      <c r="C892" s="109" t="s">
        <v>510</v>
      </c>
      <c r="D892" s="108" t="s">
        <v>238</v>
      </c>
      <c r="E892" s="108" t="s">
        <v>73</v>
      </c>
      <c r="F892" s="108" t="s">
        <v>589</v>
      </c>
      <c r="G892" s="108" t="s">
        <v>78</v>
      </c>
      <c r="H892" s="126"/>
      <c r="L892" s="22"/>
      <c r="M892" s="22"/>
      <c r="N892" s="22"/>
      <c r="O892" s="22"/>
      <c r="P892" s="22"/>
      <c r="Q892" s="22"/>
      <c r="R892" s="24"/>
    </row>
    <row r="893" spans="1:18" s="16" customFormat="1" ht="31.5">
      <c r="A893" s="14"/>
      <c r="B893" s="125" t="s">
        <v>38</v>
      </c>
      <c r="C893" s="109" t="s">
        <v>510</v>
      </c>
      <c r="D893" s="108" t="s">
        <v>238</v>
      </c>
      <c r="E893" s="108" t="s">
        <v>73</v>
      </c>
      <c r="F893" s="108" t="s">
        <v>590</v>
      </c>
      <c r="G893" s="108" t="s">
        <v>9</v>
      </c>
      <c r="H893" s="126">
        <f>H894</f>
        <v>0</v>
      </c>
      <c r="L893" s="20">
        <v>11970.119999999999</v>
      </c>
      <c r="M893" s="20">
        <v>11970.119999999999</v>
      </c>
      <c r="N893" s="20">
        <v>11970.119999999999</v>
      </c>
      <c r="O893" s="20">
        <f>H893-L893</f>
        <v>-11970.119999999999</v>
      </c>
      <c r="P893" s="20" t="e">
        <f>#REF!-M893</f>
        <v>#REF!</v>
      </c>
      <c r="Q893" s="20" t="e">
        <f>#REF!-N893</f>
        <v>#REF!</v>
      </c>
      <c r="R893" s="17" t="str">
        <f t="shared" si="102"/>
        <v>76 1 00 10020000</v>
      </c>
    </row>
    <row r="894" spans="1:18" s="16" customFormat="1" ht="31.5">
      <c r="A894" s="14"/>
      <c r="B894" s="127" t="s">
        <v>20</v>
      </c>
      <c r="C894" s="109" t="s">
        <v>510</v>
      </c>
      <c r="D894" s="108" t="s">
        <v>238</v>
      </c>
      <c r="E894" s="108" t="s">
        <v>73</v>
      </c>
      <c r="F894" s="108" t="s">
        <v>590</v>
      </c>
      <c r="G894" s="108" t="s">
        <v>21</v>
      </c>
      <c r="H894" s="126">
        <f>SUM(H895:H896)</f>
        <v>0</v>
      </c>
      <c r="L894" s="20">
        <v>11970.119999999999</v>
      </c>
      <c r="M894" s="20">
        <v>11970.119999999999</v>
      </c>
      <c r="N894" s="20">
        <v>11970.119999999999</v>
      </c>
      <c r="O894" s="20">
        <f>H894-L894</f>
        <v>-11970.119999999999</v>
      </c>
      <c r="P894" s="20" t="e">
        <f>#REF!-M894</f>
        <v>#REF!</v>
      </c>
      <c r="Q894" s="20" t="e">
        <f>#REF!-N894</f>
        <v>#REF!</v>
      </c>
      <c r="R894" s="17" t="str">
        <f t="shared" si="102"/>
        <v>76 1 00 10020120</v>
      </c>
    </row>
    <row r="895" spans="1:18" s="23" customFormat="1" ht="31.5">
      <c r="A895" s="21"/>
      <c r="B895" s="127" t="s">
        <v>40</v>
      </c>
      <c r="C895" s="109" t="s">
        <v>510</v>
      </c>
      <c r="D895" s="108" t="s">
        <v>238</v>
      </c>
      <c r="E895" s="108" t="s">
        <v>73</v>
      </c>
      <c r="F895" s="108" t="s">
        <v>590</v>
      </c>
      <c r="G895" s="108" t="s">
        <v>41</v>
      </c>
      <c r="H895" s="126"/>
      <c r="L895" s="22"/>
      <c r="M895" s="22"/>
      <c r="N895" s="22"/>
      <c r="O895" s="22"/>
      <c r="P895" s="22"/>
      <c r="Q895" s="22"/>
      <c r="R895" s="24"/>
    </row>
    <row r="896" spans="1:18" s="23" customFormat="1" ht="63">
      <c r="A896" s="21"/>
      <c r="B896" s="127" t="s">
        <v>26</v>
      </c>
      <c r="C896" s="109" t="s">
        <v>510</v>
      </c>
      <c r="D896" s="108" t="s">
        <v>238</v>
      </c>
      <c r="E896" s="108" t="s">
        <v>73</v>
      </c>
      <c r="F896" s="108" t="s">
        <v>590</v>
      </c>
      <c r="G896" s="108" t="s">
        <v>27</v>
      </c>
      <c r="H896" s="126"/>
      <c r="L896" s="22"/>
      <c r="M896" s="22"/>
      <c r="N896" s="22"/>
      <c r="O896" s="22"/>
      <c r="P896" s="22"/>
      <c r="Q896" s="22"/>
      <c r="R896" s="24"/>
    </row>
    <row r="897" spans="1:18" s="16" customFormat="1" ht="15.75">
      <c r="A897" s="14"/>
      <c r="B897" s="127" t="s">
        <v>52</v>
      </c>
      <c r="C897" s="109" t="s">
        <v>510</v>
      </c>
      <c r="D897" s="108" t="s">
        <v>238</v>
      </c>
      <c r="E897" s="108" t="s">
        <v>73</v>
      </c>
      <c r="F897" s="108" t="s">
        <v>591</v>
      </c>
      <c r="G897" s="108" t="s">
        <v>9</v>
      </c>
      <c r="H897" s="126">
        <f t="shared" ref="H897:H898" si="104">H898</f>
        <v>0</v>
      </c>
      <c r="L897" s="20">
        <v>160</v>
      </c>
      <c r="M897" s="20">
        <v>160</v>
      </c>
      <c r="N897" s="20">
        <v>160</v>
      </c>
      <c r="O897" s="20">
        <f>H897-L897</f>
        <v>-160</v>
      </c>
      <c r="P897" s="20" t="e">
        <f>#REF!-M897</f>
        <v>#REF!</v>
      </c>
      <c r="Q897" s="20" t="e">
        <f>#REF!-N897</f>
        <v>#REF!</v>
      </c>
      <c r="R897" s="17" t="str">
        <f t="shared" si="102"/>
        <v>76 2 00 00000000</v>
      </c>
    </row>
    <row r="898" spans="1:18" s="16" customFormat="1" ht="47.25">
      <c r="A898" s="14"/>
      <c r="B898" s="125" t="s">
        <v>592</v>
      </c>
      <c r="C898" s="109" t="s">
        <v>510</v>
      </c>
      <c r="D898" s="108" t="s">
        <v>238</v>
      </c>
      <c r="E898" s="108" t="s">
        <v>73</v>
      </c>
      <c r="F898" s="108" t="s">
        <v>593</v>
      </c>
      <c r="G898" s="108" t="s">
        <v>9</v>
      </c>
      <c r="H898" s="126">
        <f t="shared" si="104"/>
        <v>0</v>
      </c>
      <c r="L898" s="20">
        <v>160</v>
      </c>
      <c r="M898" s="20">
        <v>160</v>
      </c>
      <c r="N898" s="20">
        <v>160</v>
      </c>
      <c r="O898" s="20">
        <f>H898-L898</f>
        <v>-160</v>
      </c>
      <c r="P898" s="20" t="e">
        <f>#REF!-M898</f>
        <v>#REF!</v>
      </c>
      <c r="Q898" s="20" t="e">
        <f>#REF!-N898</f>
        <v>#REF!</v>
      </c>
      <c r="R898" s="17" t="str">
        <f t="shared" si="102"/>
        <v>76 2 00 20250000</v>
      </c>
    </row>
    <row r="899" spans="1:18" s="16" customFormat="1" ht="31.5">
      <c r="A899" s="14"/>
      <c r="B899" s="125" t="s">
        <v>28</v>
      </c>
      <c r="C899" s="109" t="s">
        <v>510</v>
      </c>
      <c r="D899" s="108" t="s">
        <v>238</v>
      </c>
      <c r="E899" s="108" t="s">
        <v>73</v>
      </c>
      <c r="F899" s="108" t="s">
        <v>593</v>
      </c>
      <c r="G899" s="108" t="s">
        <v>29</v>
      </c>
      <c r="H899" s="126">
        <f>H900</f>
        <v>0</v>
      </c>
      <c r="L899" s="20">
        <v>160</v>
      </c>
      <c r="M899" s="20">
        <v>160</v>
      </c>
      <c r="N899" s="20">
        <v>160</v>
      </c>
      <c r="O899" s="20">
        <f>H899-L899</f>
        <v>-160</v>
      </c>
      <c r="P899" s="20" t="e">
        <f>#REF!-M899</f>
        <v>#REF!</v>
      </c>
      <c r="Q899" s="20" t="e">
        <f>#REF!-N899</f>
        <v>#REF!</v>
      </c>
      <c r="R899" s="17" t="str">
        <f t="shared" si="102"/>
        <v>76 2 00 20250240</v>
      </c>
    </row>
    <row r="900" spans="1:18" s="16" customFormat="1" ht="15.75">
      <c r="A900" s="14"/>
      <c r="B900" s="125" t="s">
        <v>30</v>
      </c>
      <c r="C900" s="109" t="s">
        <v>510</v>
      </c>
      <c r="D900" s="108" t="s">
        <v>238</v>
      </c>
      <c r="E900" s="108" t="s">
        <v>73</v>
      </c>
      <c r="F900" s="108" t="s">
        <v>593</v>
      </c>
      <c r="G900" s="108" t="s">
        <v>31</v>
      </c>
      <c r="H900" s="126"/>
      <c r="L900" s="20"/>
      <c r="M900" s="20"/>
      <c r="N900" s="20"/>
      <c r="O900" s="20"/>
      <c r="P900" s="20"/>
      <c r="Q900" s="20"/>
      <c r="R900" s="17"/>
    </row>
    <row r="901" spans="1:18" s="16" customFormat="1" ht="15.75">
      <c r="A901" s="14"/>
      <c r="B901" s="125"/>
      <c r="C901" s="109"/>
      <c r="D901" s="108"/>
      <c r="E901" s="108"/>
      <c r="F901" s="108"/>
      <c r="G901" s="108"/>
      <c r="H901" s="126"/>
      <c r="L901" s="20"/>
      <c r="M901" s="20"/>
      <c r="N901" s="20"/>
      <c r="O901" s="20">
        <f t="shared" ref="O901:O909" si="105">H901-L901</f>
        <v>0</v>
      </c>
      <c r="P901" s="20" t="e">
        <f>#REF!-M901</f>
        <v>#REF!</v>
      </c>
      <c r="Q901" s="20" t="e">
        <f>#REF!-N901</f>
        <v>#REF!</v>
      </c>
      <c r="R901" s="17" t="str">
        <f t="shared" si="102"/>
        <v/>
      </c>
    </row>
    <row r="902" spans="1:18" s="13" customFormat="1" ht="31.5">
      <c r="A902" s="1"/>
      <c r="B902" s="67" t="s">
        <v>594</v>
      </c>
      <c r="C902" s="116" t="s">
        <v>595</v>
      </c>
      <c r="D902" s="69" t="s">
        <v>7</v>
      </c>
      <c r="E902" s="69" t="s">
        <v>7</v>
      </c>
      <c r="F902" s="69" t="s">
        <v>8</v>
      </c>
      <c r="G902" s="69" t="s">
        <v>9</v>
      </c>
      <c r="H902" s="146" t="e">
        <f>H919+H903+H911</f>
        <v>#REF!</v>
      </c>
      <c r="L902" s="35">
        <v>1878909.89</v>
      </c>
      <c r="M902" s="35">
        <v>1942584.3200000001</v>
      </c>
      <c r="N902" s="35">
        <v>1992223.5200000003</v>
      </c>
      <c r="O902" s="35" t="e">
        <f t="shared" si="105"/>
        <v>#REF!</v>
      </c>
      <c r="P902" s="35" t="e">
        <f>#REF!-M902</f>
        <v>#REF!</v>
      </c>
      <c r="Q902" s="35" t="e">
        <f>#REF!-N902</f>
        <v>#REF!</v>
      </c>
      <c r="R902" s="17" t="str">
        <f t="shared" si="102"/>
        <v>00 0 00 00000000</v>
      </c>
    </row>
    <row r="903" spans="1:18" s="29" customFormat="1" ht="15.75">
      <c r="A903" s="28"/>
      <c r="B903" s="117" t="s">
        <v>10</v>
      </c>
      <c r="C903" s="118" t="s">
        <v>595</v>
      </c>
      <c r="D903" s="119" t="s">
        <v>11</v>
      </c>
      <c r="E903" s="119" t="s">
        <v>7</v>
      </c>
      <c r="F903" s="119" t="s">
        <v>8</v>
      </c>
      <c r="G903" s="119" t="s">
        <v>9</v>
      </c>
      <c r="H903" s="120">
        <f t="shared" ref="H903:H908" si="106">H904</f>
        <v>0</v>
      </c>
      <c r="L903" s="18">
        <v>6.98</v>
      </c>
      <c r="M903" s="18">
        <v>6.98</v>
      </c>
      <c r="N903" s="18">
        <v>6.98</v>
      </c>
      <c r="O903" s="18">
        <f t="shared" si="105"/>
        <v>-6.98</v>
      </c>
      <c r="P903" s="18" t="e">
        <f>#REF!-M903</f>
        <v>#REF!</v>
      </c>
      <c r="Q903" s="18" t="e">
        <f>#REF!-N903</f>
        <v>#REF!</v>
      </c>
      <c r="R903" s="17" t="str">
        <f t="shared" si="102"/>
        <v>00 0 00 00000000</v>
      </c>
    </row>
    <row r="904" spans="1:18" s="29" customFormat="1" ht="15.75">
      <c r="A904" s="28"/>
      <c r="B904" s="121" t="s">
        <v>50</v>
      </c>
      <c r="C904" s="122" t="s">
        <v>595</v>
      </c>
      <c r="D904" s="123" t="s">
        <v>11</v>
      </c>
      <c r="E904" s="123" t="s">
        <v>51</v>
      </c>
      <c r="F904" s="123" t="s">
        <v>8</v>
      </c>
      <c r="G904" s="123" t="s">
        <v>9</v>
      </c>
      <c r="H904" s="124">
        <f>H905</f>
        <v>0</v>
      </c>
      <c r="L904" s="19">
        <v>6.98</v>
      </c>
      <c r="M904" s="19">
        <v>6.98</v>
      </c>
      <c r="N904" s="19">
        <v>6.98</v>
      </c>
      <c r="O904" s="19">
        <f t="shared" si="105"/>
        <v>-6.98</v>
      </c>
      <c r="P904" s="19" t="e">
        <f>#REF!-M904</f>
        <v>#REF!</v>
      </c>
      <c r="Q904" s="19" t="e">
        <f>#REF!-N904</f>
        <v>#REF!</v>
      </c>
      <c r="R904" s="17" t="str">
        <f t="shared" si="102"/>
        <v>00 0 00 00000000</v>
      </c>
    </row>
    <row r="905" spans="1:18" s="29" customFormat="1" ht="63">
      <c r="A905" s="28"/>
      <c r="B905" s="132" t="s">
        <v>257</v>
      </c>
      <c r="C905" s="109" t="s">
        <v>595</v>
      </c>
      <c r="D905" s="108" t="s">
        <v>11</v>
      </c>
      <c r="E905" s="108" t="s">
        <v>51</v>
      </c>
      <c r="F905" s="108" t="s">
        <v>258</v>
      </c>
      <c r="G905" s="108" t="s">
        <v>9</v>
      </c>
      <c r="H905" s="126">
        <f t="shared" si="106"/>
        <v>0</v>
      </c>
      <c r="L905" s="20">
        <v>6.98</v>
      </c>
      <c r="M905" s="20">
        <v>6.98</v>
      </c>
      <c r="N905" s="20">
        <v>6.98</v>
      </c>
      <c r="O905" s="20">
        <f t="shared" si="105"/>
        <v>-6.98</v>
      </c>
      <c r="P905" s="20" t="e">
        <f>#REF!-M905</f>
        <v>#REF!</v>
      </c>
      <c r="Q905" s="20" t="e">
        <f>#REF!-N905</f>
        <v>#REF!</v>
      </c>
      <c r="R905" s="17" t="str">
        <f t="shared" si="102"/>
        <v>11 0 00 00000000</v>
      </c>
    </row>
    <row r="906" spans="1:18" s="29" customFormat="1" ht="63">
      <c r="A906" s="28"/>
      <c r="B906" s="132" t="s">
        <v>259</v>
      </c>
      <c r="C906" s="109" t="s">
        <v>595</v>
      </c>
      <c r="D906" s="108" t="s">
        <v>11</v>
      </c>
      <c r="E906" s="108" t="s">
        <v>51</v>
      </c>
      <c r="F906" s="108" t="s">
        <v>260</v>
      </c>
      <c r="G906" s="108" t="s">
        <v>9</v>
      </c>
      <c r="H906" s="126">
        <f t="shared" si="106"/>
        <v>0</v>
      </c>
      <c r="L906" s="20">
        <v>6.98</v>
      </c>
      <c r="M906" s="20">
        <v>6.98</v>
      </c>
      <c r="N906" s="20">
        <v>6.98</v>
      </c>
      <c r="O906" s="20">
        <f t="shared" si="105"/>
        <v>-6.98</v>
      </c>
      <c r="P906" s="20" t="e">
        <f>#REF!-M906</f>
        <v>#REF!</v>
      </c>
      <c r="Q906" s="20" t="e">
        <f>#REF!-N906</f>
        <v>#REF!</v>
      </c>
      <c r="R906" s="17" t="str">
        <f t="shared" si="102"/>
        <v>11 Б 00 00000000</v>
      </c>
    </row>
    <row r="907" spans="1:18" s="29" customFormat="1" ht="47.25">
      <c r="A907" s="28"/>
      <c r="B907" s="125" t="s">
        <v>261</v>
      </c>
      <c r="C907" s="109" t="s">
        <v>595</v>
      </c>
      <c r="D907" s="108" t="s">
        <v>11</v>
      </c>
      <c r="E907" s="108" t="s">
        <v>51</v>
      </c>
      <c r="F907" s="108" t="s">
        <v>262</v>
      </c>
      <c r="G907" s="108" t="s">
        <v>9</v>
      </c>
      <c r="H907" s="126">
        <f t="shared" si="106"/>
        <v>0</v>
      </c>
      <c r="L907" s="20">
        <v>6.98</v>
      </c>
      <c r="M907" s="20">
        <v>6.98</v>
      </c>
      <c r="N907" s="20">
        <v>6.98</v>
      </c>
      <c r="O907" s="20">
        <f t="shared" si="105"/>
        <v>-6.98</v>
      </c>
      <c r="P907" s="20" t="e">
        <f>#REF!-M907</f>
        <v>#REF!</v>
      </c>
      <c r="Q907" s="20" t="e">
        <f>#REF!-N907</f>
        <v>#REF!</v>
      </c>
      <c r="R907" s="17" t="str">
        <f t="shared" si="102"/>
        <v>11 Б 01 00000000</v>
      </c>
    </row>
    <row r="908" spans="1:18" s="13" customFormat="1" ht="31.5">
      <c r="A908" s="1"/>
      <c r="B908" s="125" t="s">
        <v>267</v>
      </c>
      <c r="C908" s="109" t="s">
        <v>595</v>
      </c>
      <c r="D908" s="108" t="s">
        <v>11</v>
      </c>
      <c r="E908" s="108" t="s">
        <v>51</v>
      </c>
      <c r="F908" s="108" t="s">
        <v>268</v>
      </c>
      <c r="G908" s="108" t="s">
        <v>9</v>
      </c>
      <c r="H908" s="126">
        <f t="shared" si="106"/>
        <v>0</v>
      </c>
      <c r="L908" s="20">
        <v>6.98</v>
      </c>
      <c r="M908" s="20">
        <v>6.98</v>
      </c>
      <c r="N908" s="20">
        <v>6.98</v>
      </c>
      <c r="O908" s="20">
        <f t="shared" si="105"/>
        <v>-6.98</v>
      </c>
      <c r="P908" s="20" t="e">
        <f>#REF!-M908</f>
        <v>#REF!</v>
      </c>
      <c r="Q908" s="20" t="e">
        <f>#REF!-N908</f>
        <v>#REF!</v>
      </c>
      <c r="R908" s="17" t="str">
        <f t="shared" si="102"/>
        <v>11 Б 01 21120000</v>
      </c>
    </row>
    <row r="909" spans="1:18" s="13" customFormat="1" ht="31.5">
      <c r="A909" s="1"/>
      <c r="B909" s="125" t="s">
        <v>28</v>
      </c>
      <c r="C909" s="109" t="s">
        <v>595</v>
      </c>
      <c r="D909" s="108" t="s">
        <v>11</v>
      </c>
      <c r="E909" s="108" t="s">
        <v>51</v>
      </c>
      <c r="F909" s="108" t="s">
        <v>268</v>
      </c>
      <c r="G909" s="108" t="s">
        <v>29</v>
      </c>
      <c r="H909" s="126">
        <f>H910</f>
        <v>0</v>
      </c>
      <c r="L909" s="20">
        <v>6.98</v>
      </c>
      <c r="M909" s="20">
        <v>6.98</v>
      </c>
      <c r="N909" s="20">
        <v>6.98</v>
      </c>
      <c r="O909" s="20">
        <f t="shared" si="105"/>
        <v>-6.98</v>
      </c>
      <c r="P909" s="20" t="e">
        <f>#REF!-M909</f>
        <v>#REF!</v>
      </c>
      <c r="Q909" s="20" t="e">
        <f>#REF!-N909</f>
        <v>#REF!</v>
      </c>
      <c r="R909" s="17" t="str">
        <f t="shared" si="102"/>
        <v>11 Б 01 21120240</v>
      </c>
    </row>
    <row r="910" spans="1:18" s="13" customFormat="1" ht="15.75">
      <c r="A910" s="1"/>
      <c r="B910" s="125" t="s">
        <v>30</v>
      </c>
      <c r="C910" s="109" t="s">
        <v>595</v>
      </c>
      <c r="D910" s="108" t="s">
        <v>11</v>
      </c>
      <c r="E910" s="108" t="s">
        <v>51</v>
      </c>
      <c r="F910" s="108" t="s">
        <v>268</v>
      </c>
      <c r="G910" s="108" t="s">
        <v>31</v>
      </c>
      <c r="H910" s="126"/>
      <c r="L910" s="20"/>
      <c r="M910" s="20"/>
      <c r="N910" s="20"/>
      <c r="O910" s="20"/>
      <c r="P910" s="20"/>
      <c r="Q910" s="20"/>
      <c r="R910" s="17" t="str">
        <f t="shared" si="102"/>
        <v>11 Б 01 21120244</v>
      </c>
    </row>
    <row r="911" spans="1:18" s="13" customFormat="1" ht="15.75">
      <c r="A911" s="1"/>
      <c r="B911" s="117" t="s">
        <v>569</v>
      </c>
      <c r="C911" s="118" t="s">
        <v>595</v>
      </c>
      <c r="D911" s="119" t="s">
        <v>238</v>
      </c>
      <c r="E911" s="119" t="s">
        <v>7</v>
      </c>
      <c r="F911" s="119" t="s">
        <v>8</v>
      </c>
      <c r="G911" s="119" t="s">
        <v>9</v>
      </c>
      <c r="H911" s="120">
        <f>H912</f>
        <v>0</v>
      </c>
      <c r="L911" s="18">
        <v>2704.98</v>
      </c>
      <c r="M911" s="18">
        <v>2704.98</v>
      </c>
      <c r="N911" s="18">
        <v>2704.98</v>
      </c>
      <c r="O911" s="18">
        <f t="shared" ref="O911:O917" si="107">H911-L911</f>
        <v>-2704.98</v>
      </c>
      <c r="P911" s="18" t="e">
        <f>#REF!-M911</f>
        <v>#REF!</v>
      </c>
      <c r="Q911" s="18" t="e">
        <f>#REF!-N911</f>
        <v>#REF!</v>
      </c>
      <c r="R911" s="17" t="str">
        <f t="shared" si="102"/>
        <v>00 0 00 00000000</v>
      </c>
    </row>
    <row r="912" spans="1:18" s="13" customFormat="1" ht="15.75">
      <c r="A912" s="1"/>
      <c r="B912" s="121" t="s">
        <v>239</v>
      </c>
      <c r="C912" s="122" t="s">
        <v>595</v>
      </c>
      <c r="D912" s="123" t="s">
        <v>238</v>
      </c>
      <c r="E912" s="123" t="s">
        <v>11</v>
      </c>
      <c r="F912" s="123" t="s">
        <v>8</v>
      </c>
      <c r="G912" s="123" t="s">
        <v>9</v>
      </c>
      <c r="H912" s="124">
        <f>H913</f>
        <v>0</v>
      </c>
      <c r="L912" s="19">
        <v>2704.98</v>
      </c>
      <c r="M912" s="19">
        <v>2704.98</v>
      </c>
      <c r="N912" s="19">
        <v>2704.98</v>
      </c>
      <c r="O912" s="19">
        <f t="shared" si="107"/>
        <v>-2704.98</v>
      </c>
      <c r="P912" s="19" t="e">
        <f>#REF!-M912</f>
        <v>#REF!</v>
      </c>
      <c r="Q912" s="19" t="e">
        <f>#REF!-N912</f>
        <v>#REF!</v>
      </c>
      <c r="R912" s="17" t="str">
        <f t="shared" si="102"/>
        <v>00 0 00 00000000</v>
      </c>
    </row>
    <row r="913" spans="1:18" s="13" customFormat="1" ht="31.5">
      <c r="A913" s="1"/>
      <c r="B913" s="125" t="s">
        <v>240</v>
      </c>
      <c r="C913" s="109" t="s">
        <v>595</v>
      </c>
      <c r="D913" s="108" t="s">
        <v>238</v>
      </c>
      <c r="E913" s="108" t="s">
        <v>11</v>
      </c>
      <c r="F913" s="131" t="s">
        <v>241</v>
      </c>
      <c r="G913" s="108" t="s">
        <v>9</v>
      </c>
      <c r="H913" s="126">
        <f>H914</f>
        <v>0</v>
      </c>
      <c r="L913" s="20">
        <v>2704.98</v>
      </c>
      <c r="M913" s="20">
        <v>2704.98</v>
      </c>
      <c r="N913" s="20">
        <v>2704.98</v>
      </c>
      <c r="O913" s="20">
        <f t="shared" si="107"/>
        <v>-2704.98</v>
      </c>
      <c r="P913" s="20" t="e">
        <f>#REF!-M913</f>
        <v>#REF!</v>
      </c>
      <c r="Q913" s="20" t="e">
        <f>#REF!-N913</f>
        <v>#REF!</v>
      </c>
      <c r="R913" s="17" t="str">
        <f t="shared" si="102"/>
        <v>07 0 00 00000000</v>
      </c>
    </row>
    <row r="914" spans="1:18" s="13" customFormat="1" ht="78.75">
      <c r="A914" s="1"/>
      <c r="B914" s="125" t="s">
        <v>384</v>
      </c>
      <c r="C914" s="109" t="s">
        <v>595</v>
      </c>
      <c r="D914" s="108" t="s">
        <v>238</v>
      </c>
      <c r="E914" s="108" t="s">
        <v>11</v>
      </c>
      <c r="F914" s="131" t="s">
        <v>243</v>
      </c>
      <c r="G914" s="108" t="s">
        <v>9</v>
      </c>
      <c r="H914" s="126">
        <f t="shared" ref="H914:H916" si="108">H915</f>
        <v>0</v>
      </c>
      <c r="L914" s="20">
        <v>2704.98</v>
      </c>
      <c r="M914" s="20">
        <v>2704.98</v>
      </c>
      <c r="N914" s="20">
        <v>2704.98</v>
      </c>
      <c r="O914" s="20">
        <f t="shared" si="107"/>
        <v>-2704.98</v>
      </c>
      <c r="P914" s="20" t="e">
        <f>#REF!-M914</f>
        <v>#REF!</v>
      </c>
      <c r="Q914" s="20" t="e">
        <f>#REF!-N914</f>
        <v>#REF!</v>
      </c>
      <c r="R914" s="17" t="str">
        <f t="shared" si="102"/>
        <v>07 1 00 00000000</v>
      </c>
    </row>
    <row r="915" spans="1:18" s="13" customFormat="1" ht="110.25">
      <c r="A915" s="1"/>
      <c r="B915" s="125" t="s">
        <v>244</v>
      </c>
      <c r="C915" s="109" t="s">
        <v>595</v>
      </c>
      <c r="D915" s="108" t="s">
        <v>238</v>
      </c>
      <c r="E915" s="108" t="s">
        <v>11</v>
      </c>
      <c r="F915" s="131" t="s">
        <v>245</v>
      </c>
      <c r="G915" s="108" t="s">
        <v>9</v>
      </c>
      <c r="H915" s="126">
        <f t="shared" si="108"/>
        <v>0</v>
      </c>
      <c r="L915" s="20">
        <v>2704.98</v>
      </c>
      <c r="M915" s="20">
        <v>2704.98</v>
      </c>
      <c r="N915" s="20">
        <v>2704.98</v>
      </c>
      <c r="O915" s="20">
        <f t="shared" si="107"/>
        <v>-2704.98</v>
      </c>
      <c r="P915" s="20" t="e">
        <f>#REF!-M915</f>
        <v>#REF!</v>
      </c>
      <c r="Q915" s="20" t="e">
        <f>#REF!-N915</f>
        <v>#REF!</v>
      </c>
      <c r="R915" s="17" t="str">
        <f t="shared" si="102"/>
        <v>07 1 01 00000000</v>
      </c>
    </row>
    <row r="916" spans="1:18" s="13" customFormat="1" ht="31.5">
      <c r="A916" s="1"/>
      <c r="B916" s="125" t="s">
        <v>246</v>
      </c>
      <c r="C916" s="109" t="s">
        <v>595</v>
      </c>
      <c r="D916" s="108" t="s">
        <v>238</v>
      </c>
      <c r="E916" s="108" t="s">
        <v>11</v>
      </c>
      <c r="F916" s="131" t="s">
        <v>247</v>
      </c>
      <c r="G916" s="108" t="s">
        <v>9</v>
      </c>
      <c r="H916" s="126">
        <f t="shared" si="108"/>
        <v>0</v>
      </c>
      <c r="L916" s="20">
        <v>2704.98</v>
      </c>
      <c r="M916" s="20">
        <v>2704.98</v>
      </c>
      <c r="N916" s="20">
        <v>2704.98</v>
      </c>
      <c r="O916" s="20">
        <f t="shared" si="107"/>
        <v>-2704.98</v>
      </c>
      <c r="P916" s="20" t="e">
        <f>#REF!-M916</f>
        <v>#REF!</v>
      </c>
      <c r="Q916" s="20" t="e">
        <f>#REF!-N916</f>
        <v>#REF!</v>
      </c>
      <c r="R916" s="17" t="str">
        <f t="shared" si="102"/>
        <v>07 1 01 20060000</v>
      </c>
    </row>
    <row r="917" spans="1:18" s="13" customFormat="1" ht="31.5">
      <c r="A917" s="1"/>
      <c r="B917" s="127" t="s">
        <v>28</v>
      </c>
      <c r="C917" s="109" t="s">
        <v>595</v>
      </c>
      <c r="D917" s="108" t="s">
        <v>238</v>
      </c>
      <c r="E917" s="108" t="s">
        <v>11</v>
      </c>
      <c r="F917" s="131" t="s">
        <v>247</v>
      </c>
      <c r="G917" s="108" t="s">
        <v>29</v>
      </c>
      <c r="H917" s="126">
        <f>H918</f>
        <v>0</v>
      </c>
      <c r="L917" s="20">
        <v>2704.98</v>
      </c>
      <c r="M917" s="20">
        <v>2704.98</v>
      </c>
      <c r="N917" s="20">
        <v>2704.98</v>
      </c>
      <c r="O917" s="20">
        <f t="shared" si="107"/>
        <v>-2704.98</v>
      </c>
      <c r="P917" s="20" t="e">
        <f>#REF!-M917</f>
        <v>#REF!</v>
      </c>
      <c r="Q917" s="20" t="e">
        <f>#REF!-N917</f>
        <v>#REF!</v>
      </c>
      <c r="R917" s="17" t="str">
        <f t="shared" si="102"/>
        <v>07 1 01 20060240</v>
      </c>
    </row>
    <row r="918" spans="1:18" s="13" customFormat="1" ht="15.75">
      <c r="A918" s="1"/>
      <c r="B918" s="125" t="s">
        <v>30</v>
      </c>
      <c r="C918" s="109" t="s">
        <v>595</v>
      </c>
      <c r="D918" s="108" t="s">
        <v>238</v>
      </c>
      <c r="E918" s="108" t="s">
        <v>11</v>
      </c>
      <c r="F918" s="131" t="s">
        <v>247</v>
      </c>
      <c r="G918" s="108" t="s">
        <v>31</v>
      </c>
      <c r="H918" s="126"/>
      <c r="L918" s="20"/>
      <c r="M918" s="20"/>
      <c r="N918" s="20"/>
      <c r="O918" s="20"/>
      <c r="P918" s="20"/>
      <c r="Q918" s="20"/>
      <c r="R918" s="17" t="str">
        <f t="shared" si="102"/>
        <v>07 1 01 20060244</v>
      </c>
    </row>
    <row r="919" spans="1:18" s="17" customFormat="1" ht="15.75">
      <c r="A919" s="14"/>
      <c r="B919" s="117" t="s">
        <v>316</v>
      </c>
      <c r="C919" s="118" t="s">
        <v>595</v>
      </c>
      <c r="D919" s="119" t="s">
        <v>317</v>
      </c>
      <c r="E919" s="119" t="s">
        <v>7</v>
      </c>
      <c r="F919" s="119" t="s">
        <v>8</v>
      </c>
      <c r="G919" s="119" t="s">
        <v>9</v>
      </c>
      <c r="H919" s="120" t="e">
        <f>H920+H1053+H1063</f>
        <v>#REF!</v>
      </c>
      <c r="L919" s="18">
        <v>1876197.93</v>
      </c>
      <c r="M919" s="18">
        <v>1939872.36</v>
      </c>
      <c r="N919" s="18">
        <v>1989511.5600000003</v>
      </c>
      <c r="O919" s="18" t="e">
        <f t="shared" ref="O919:O925" si="109">H919-L919</f>
        <v>#REF!</v>
      </c>
      <c r="P919" s="18" t="e">
        <f>#REF!-M919</f>
        <v>#REF!</v>
      </c>
      <c r="Q919" s="18" t="e">
        <f>#REF!-N919</f>
        <v>#REF!</v>
      </c>
      <c r="R919" s="17" t="str">
        <f t="shared" si="102"/>
        <v>00 0 00 00000000</v>
      </c>
    </row>
    <row r="920" spans="1:18" s="17" customFormat="1" ht="15.75">
      <c r="A920" s="14"/>
      <c r="B920" s="121" t="s">
        <v>318</v>
      </c>
      <c r="C920" s="122" t="s">
        <v>595</v>
      </c>
      <c r="D920" s="123" t="s">
        <v>317</v>
      </c>
      <c r="E920" s="123" t="s">
        <v>13</v>
      </c>
      <c r="F920" s="123" t="s">
        <v>8</v>
      </c>
      <c r="G920" s="123" t="s">
        <v>9</v>
      </c>
      <c r="H920" s="124">
        <f>H921</f>
        <v>0</v>
      </c>
      <c r="L920" s="19">
        <v>1547791.57</v>
      </c>
      <c r="M920" s="19">
        <v>1611474.33</v>
      </c>
      <c r="N920" s="19">
        <v>1661075.4700000004</v>
      </c>
      <c r="O920" s="19">
        <f t="shared" si="109"/>
        <v>-1547791.57</v>
      </c>
      <c r="P920" s="19" t="e">
        <f>#REF!-M920</f>
        <v>#REF!</v>
      </c>
      <c r="Q920" s="19" t="e">
        <f>#REF!-N920</f>
        <v>#REF!</v>
      </c>
      <c r="R920" s="17" t="str">
        <f t="shared" si="102"/>
        <v>00 0 00 00000000</v>
      </c>
    </row>
    <row r="921" spans="1:18" s="17" customFormat="1" ht="31.5">
      <c r="A921" s="14"/>
      <c r="B921" s="135" t="s">
        <v>385</v>
      </c>
      <c r="C921" s="109" t="s">
        <v>595</v>
      </c>
      <c r="D921" s="108" t="s">
        <v>317</v>
      </c>
      <c r="E921" s="108" t="s">
        <v>13</v>
      </c>
      <c r="F921" s="108" t="s">
        <v>386</v>
      </c>
      <c r="G921" s="108" t="s">
        <v>9</v>
      </c>
      <c r="H921" s="126">
        <f>H922+H998+H1048</f>
        <v>0</v>
      </c>
      <c r="L921" s="36">
        <v>1547791.57</v>
      </c>
      <c r="M921" s="36">
        <v>1611474.33</v>
      </c>
      <c r="N921" s="36">
        <v>1661075.4700000004</v>
      </c>
      <c r="O921" s="36">
        <f t="shared" si="109"/>
        <v>-1547791.57</v>
      </c>
      <c r="P921" s="36" t="e">
        <f>#REF!-M921</f>
        <v>#REF!</v>
      </c>
      <c r="Q921" s="36" t="e">
        <f>#REF!-N921</f>
        <v>#REF!</v>
      </c>
      <c r="R921" s="17" t="str">
        <f t="shared" si="102"/>
        <v>03 0 00 00000000</v>
      </c>
    </row>
    <row r="922" spans="1:18" s="17" customFormat="1" ht="47.25">
      <c r="A922" s="14"/>
      <c r="B922" s="147" t="s">
        <v>596</v>
      </c>
      <c r="C922" s="109" t="s">
        <v>595</v>
      </c>
      <c r="D922" s="108" t="s">
        <v>317</v>
      </c>
      <c r="E922" s="108" t="s">
        <v>13</v>
      </c>
      <c r="F922" s="108" t="s">
        <v>597</v>
      </c>
      <c r="G922" s="108" t="s">
        <v>9</v>
      </c>
      <c r="H922" s="126">
        <f>H923+H977</f>
        <v>0</v>
      </c>
      <c r="L922" s="36">
        <v>1524462.33</v>
      </c>
      <c r="M922" s="36">
        <v>1588079.09</v>
      </c>
      <c r="N922" s="36">
        <v>1607633.8800000004</v>
      </c>
      <c r="O922" s="36">
        <f t="shared" si="109"/>
        <v>-1524462.33</v>
      </c>
      <c r="P922" s="36" t="e">
        <f>#REF!-M922</f>
        <v>#REF!</v>
      </c>
      <c r="Q922" s="36" t="e">
        <f>#REF!-N922</f>
        <v>#REF!</v>
      </c>
      <c r="R922" s="17" t="str">
        <f t="shared" si="102"/>
        <v>03 1 00 00000 000</v>
      </c>
    </row>
    <row r="923" spans="1:18" s="17" customFormat="1" ht="47.25">
      <c r="A923" s="14" t="s">
        <v>598</v>
      </c>
      <c r="B923" s="148" t="s">
        <v>599</v>
      </c>
      <c r="C923" s="109" t="s">
        <v>595</v>
      </c>
      <c r="D923" s="108" t="s">
        <v>317</v>
      </c>
      <c r="E923" s="108" t="s">
        <v>13</v>
      </c>
      <c r="F923" s="108" t="s">
        <v>600</v>
      </c>
      <c r="G923" s="108" t="s">
        <v>9</v>
      </c>
      <c r="H923" s="126">
        <f>H924+H929+H934+H939+H947+H952+H957+H962+H967+H972+H942</f>
        <v>0</v>
      </c>
      <c r="L923" s="37">
        <v>1289482.9700000002</v>
      </c>
      <c r="M923" s="37">
        <v>1342429.75</v>
      </c>
      <c r="N923" s="37">
        <v>1346620.0200000003</v>
      </c>
      <c r="O923" s="37">
        <f t="shared" si="109"/>
        <v>-1289482.9700000002</v>
      </c>
      <c r="P923" s="37" t="e">
        <f>#REF!-M923</f>
        <v>#REF!</v>
      </c>
      <c r="Q923" s="37" t="e">
        <f>#REF!-N923</f>
        <v>#REF!</v>
      </c>
      <c r="R923" s="17" t="str">
        <f t="shared" si="102"/>
        <v>03 1 01 00000 000</v>
      </c>
    </row>
    <row r="924" spans="1:18" s="17" customFormat="1" ht="31.5">
      <c r="A924" s="14"/>
      <c r="B924" s="135" t="s">
        <v>601</v>
      </c>
      <c r="C924" s="109" t="s">
        <v>595</v>
      </c>
      <c r="D924" s="108" t="s">
        <v>317</v>
      </c>
      <c r="E924" s="108" t="s">
        <v>13</v>
      </c>
      <c r="F924" s="108" t="s">
        <v>602</v>
      </c>
      <c r="G924" s="108" t="s">
        <v>9</v>
      </c>
      <c r="H924" s="126">
        <f>H925+H927</f>
        <v>0</v>
      </c>
      <c r="L924" s="37">
        <v>15217.199999999999</v>
      </c>
      <c r="M924" s="37">
        <v>15825.1</v>
      </c>
      <c r="N924" s="37">
        <v>16463.5</v>
      </c>
      <c r="O924" s="37">
        <f t="shared" si="109"/>
        <v>-15217.199999999999</v>
      </c>
      <c r="P924" s="37" t="e">
        <f>#REF!-M924</f>
        <v>#REF!</v>
      </c>
      <c r="Q924" s="37" t="e">
        <f>#REF!-N924</f>
        <v>#REF!</v>
      </c>
      <c r="R924" s="17" t="str">
        <f t="shared" si="102"/>
        <v>03 1 01 52200000</v>
      </c>
    </row>
    <row r="925" spans="1:18" s="17" customFormat="1" ht="31.5">
      <c r="A925" s="14"/>
      <c r="B925" s="125" t="s">
        <v>28</v>
      </c>
      <c r="C925" s="109" t="s">
        <v>595</v>
      </c>
      <c r="D925" s="108" t="s">
        <v>317</v>
      </c>
      <c r="E925" s="108" t="s">
        <v>13</v>
      </c>
      <c r="F925" s="108" t="s">
        <v>602</v>
      </c>
      <c r="G925" s="108" t="s">
        <v>29</v>
      </c>
      <c r="H925" s="126">
        <f>H926</f>
        <v>0</v>
      </c>
      <c r="L925" s="37">
        <v>224.88</v>
      </c>
      <c r="M925" s="37">
        <v>233.87</v>
      </c>
      <c r="N925" s="37">
        <v>243.3</v>
      </c>
      <c r="O925" s="37">
        <f t="shared" si="109"/>
        <v>-224.88</v>
      </c>
      <c r="P925" s="37" t="e">
        <f>#REF!-M925</f>
        <v>#REF!</v>
      </c>
      <c r="Q925" s="37" t="e">
        <f>#REF!-N925</f>
        <v>#REF!</v>
      </c>
      <c r="R925" s="17" t="str">
        <f t="shared" si="102"/>
        <v>03 1 01 52200240</v>
      </c>
    </row>
    <row r="926" spans="1:18" s="17" customFormat="1" ht="15.75">
      <c r="A926" s="14"/>
      <c r="B926" s="125" t="s">
        <v>30</v>
      </c>
      <c r="C926" s="109" t="s">
        <v>595</v>
      </c>
      <c r="D926" s="108" t="s">
        <v>317</v>
      </c>
      <c r="E926" s="108" t="s">
        <v>13</v>
      </c>
      <c r="F926" s="108" t="s">
        <v>602</v>
      </c>
      <c r="G926" s="108" t="s">
        <v>31</v>
      </c>
      <c r="H926" s="126"/>
      <c r="L926" s="37"/>
      <c r="M926" s="37"/>
      <c r="N926" s="37"/>
      <c r="O926" s="37"/>
      <c r="P926" s="37"/>
      <c r="Q926" s="37"/>
      <c r="R926" s="17" t="str">
        <f t="shared" si="102"/>
        <v>03 1 01 52200244</v>
      </c>
    </row>
    <row r="927" spans="1:18" s="17" customFormat="1" ht="31.5">
      <c r="A927" s="14"/>
      <c r="B927" s="132" t="s">
        <v>493</v>
      </c>
      <c r="C927" s="109" t="s">
        <v>595</v>
      </c>
      <c r="D927" s="108" t="s">
        <v>317</v>
      </c>
      <c r="E927" s="108" t="s">
        <v>13</v>
      </c>
      <c r="F927" s="108" t="s">
        <v>602</v>
      </c>
      <c r="G927" s="108" t="s">
        <v>494</v>
      </c>
      <c r="H927" s="126">
        <f>H928</f>
        <v>0</v>
      </c>
      <c r="L927" s="37">
        <v>14992.32</v>
      </c>
      <c r="M927" s="37">
        <v>15591.23</v>
      </c>
      <c r="N927" s="37">
        <v>16220.2</v>
      </c>
      <c r="O927" s="37">
        <f>H927-L927</f>
        <v>-14992.32</v>
      </c>
      <c r="P927" s="37" t="e">
        <f>#REF!-M927</f>
        <v>#REF!</v>
      </c>
      <c r="Q927" s="37" t="e">
        <f>#REF!-N927</f>
        <v>#REF!</v>
      </c>
      <c r="R927" s="17" t="str">
        <f t="shared" si="102"/>
        <v>03 1 01 52200310</v>
      </c>
    </row>
    <row r="928" spans="1:18" s="24" customFormat="1" ht="31.5">
      <c r="A928" s="21"/>
      <c r="B928" s="127" t="s">
        <v>495</v>
      </c>
      <c r="C928" s="109" t="s">
        <v>595</v>
      </c>
      <c r="D928" s="108" t="s">
        <v>317</v>
      </c>
      <c r="E928" s="108" t="s">
        <v>13</v>
      </c>
      <c r="F928" s="108" t="s">
        <v>602</v>
      </c>
      <c r="G928" s="108" t="s">
        <v>496</v>
      </c>
      <c r="H928" s="126"/>
      <c r="L928" s="38"/>
      <c r="M928" s="38"/>
      <c r="N928" s="38"/>
      <c r="O928" s="38"/>
      <c r="P928" s="38"/>
      <c r="Q928" s="38"/>
      <c r="R928" s="24" t="str">
        <f t="shared" si="102"/>
        <v>03 1 01 52200313</v>
      </c>
    </row>
    <row r="929" spans="1:18" s="17" customFormat="1" ht="47.25">
      <c r="A929" s="14"/>
      <c r="B929" s="135" t="s">
        <v>603</v>
      </c>
      <c r="C929" s="109" t="s">
        <v>595</v>
      </c>
      <c r="D929" s="108" t="s">
        <v>317</v>
      </c>
      <c r="E929" s="108" t="s">
        <v>13</v>
      </c>
      <c r="F929" s="108" t="s">
        <v>604</v>
      </c>
      <c r="G929" s="108" t="s">
        <v>9</v>
      </c>
      <c r="H929" s="126">
        <f>H930+H932</f>
        <v>0</v>
      </c>
      <c r="L929" s="37">
        <v>335846.3</v>
      </c>
      <c r="M929" s="37">
        <v>342847.89999999997</v>
      </c>
      <c r="N929" s="37">
        <v>342746.10000000003</v>
      </c>
      <c r="O929" s="37">
        <f>H929-L929</f>
        <v>-335846.3</v>
      </c>
      <c r="P929" s="37" t="e">
        <f>#REF!-M929</f>
        <v>#REF!</v>
      </c>
      <c r="Q929" s="37" t="e">
        <f>#REF!-N929</f>
        <v>#REF!</v>
      </c>
      <c r="R929" s="17" t="str">
        <f t="shared" si="102"/>
        <v>03 1 01 52500000</v>
      </c>
    </row>
    <row r="930" spans="1:18" s="17" customFormat="1" ht="31.5">
      <c r="A930" s="14"/>
      <c r="B930" s="125" t="s">
        <v>28</v>
      </c>
      <c r="C930" s="109" t="s">
        <v>595</v>
      </c>
      <c r="D930" s="108" t="s">
        <v>317</v>
      </c>
      <c r="E930" s="108" t="s">
        <v>13</v>
      </c>
      <c r="F930" s="108" t="s">
        <v>604</v>
      </c>
      <c r="G930" s="108" t="s">
        <v>29</v>
      </c>
      <c r="H930" s="126">
        <f>H931</f>
        <v>0</v>
      </c>
      <c r="L930" s="37">
        <v>2454.87</v>
      </c>
      <c r="M930" s="37">
        <v>2558.35</v>
      </c>
      <c r="N930" s="37">
        <v>2556.84</v>
      </c>
      <c r="O930" s="37">
        <f>H930-L930</f>
        <v>-2454.87</v>
      </c>
      <c r="P930" s="37" t="e">
        <f>#REF!-M930</f>
        <v>#REF!</v>
      </c>
      <c r="Q930" s="37" t="e">
        <f>#REF!-N930</f>
        <v>#REF!</v>
      </c>
      <c r="R930" s="17" t="str">
        <f t="shared" ref="R930:R1015" si="110">CONCATENATE(F930,G930)</f>
        <v>03 1 01 52500240</v>
      </c>
    </row>
    <row r="931" spans="1:18" s="17" customFormat="1" ht="15.75">
      <c r="A931" s="14"/>
      <c r="B931" s="125" t="s">
        <v>30</v>
      </c>
      <c r="C931" s="109" t="s">
        <v>595</v>
      </c>
      <c r="D931" s="108" t="s">
        <v>317</v>
      </c>
      <c r="E931" s="108" t="s">
        <v>13</v>
      </c>
      <c r="F931" s="108" t="s">
        <v>604</v>
      </c>
      <c r="G931" s="108" t="s">
        <v>31</v>
      </c>
      <c r="H931" s="126"/>
      <c r="L931" s="37"/>
      <c r="M931" s="37"/>
      <c r="N931" s="37"/>
      <c r="O931" s="37"/>
      <c r="P931" s="37"/>
      <c r="Q931" s="37"/>
      <c r="R931" s="17" t="str">
        <f t="shared" si="110"/>
        <v>03 1 01 52500244</v>
      </c>
    </row>
    <row r="932" spans="1:18" s="17" customFormat="1" ht="31.5">
      <c r="A932" s="14"/>
      <c r="B932" s="132" t="s">
        <v>493</v>
      </c>
      <c r="C932" s="109" t="s">
        <v>595</v>
      </c>
      <c r="D932" s="108" t="s">
        <v>317</v>
      </c>
      <c r="E932" s="108" t="s">
        <v>13</v>
      </c>
      <c r="F932" s="108" t="s">
        <v>604</v>
      </c>
      <c r="G932" s="108" t="s">
        <v>494</v>
      </c>
      <c r="H932" s="126">
        <f>H933</f>
        <v>0</v>
      </c>
      <c r="L932" s="37">
        <v>333391.43</v>
      </c>
      <c r="M932" s="37">
        <v>340289.55</v>
      </c>
      <c r="N932" s="37">
        <v>340189.26</v>
      </c>
      <c r="O932" s="37">
        <f>H932-L932</f>
        <v>-333391.43</v>
      </c>
      <c r="P932" s="37" t="e">
        <f>#REF!-M932</f>
        <v>#REF!</v>
      </c>
      <c r="Q932" s="37" t="e">
        <f>#REF!-N932</f>
        <v>#REF!</v>
      </c>
      <c r="R932" s="17" t="str">
        <f t="shared" si="110"/>
        <v>03 1 01 52500310</v>
      </c>
    </row>
    <row r="933" spans="1:18" s="17" customFormat="1" ht="31.5">
      <c r="A933" s="14"/>
      <c r="B933" s="127" t="s">
        <v>495</v>
      </c>
      <c r="C933" s="109" t="s">
        <v>595</v>
      </c>
      <c r="D933" s="108" t="s">
        <v>317</v>
      </c>
      <c r="E933" s="108" t="s">
        <v>13</v>
      </c>
      <c r="F933" s="108" t="s">
        <v>604</v>
      </c>
      <c r="G933" s="108" t="s">
        <v>496</v>
      </c>
      <c r="H933" s="126"/>
      <c r="L933" s="37"/>
      <c r="M933" s="37"/>
      <c r="N933" s="37"/>
      <c r="O933" s="37"/>
      <c r="P933" s="37"/>
      <c r="Q933" s="37"/>
      <c r="R933" s="17" t="str">
        <f t="shared" si="110"/>
        <v>03 1 01 52500313</v>
      </c>
    </row>
    <row r="934" spans="1:18" s="17" customFormat="1" ht="173.25">
      <c r="A934" s="14"/>
      <c r="B934" s="137" t="s">
        <v>605</v>
      </c>
      <c r="C934" s="109" t="s">
        <v>595</v>
      </c>
      <c r="D934" s="108" t="s">
        <v>317</v>
      </c>
      <c r="E934" s="108" t="s">
        <v>13</v>
      </c>
      <c r="F934" s="108" t="s">
        <v>606</v>
      </c>
      <c r="G934" s="108" t="s">
        <v>9</v>
      </c>
      <c r="H934" s="126">
        <f>H935+H937</f>
        <v>0</v>
      </c>
      <c r="L934" s="37">
        <v>107.80000000000001</v>
      </c>
      <c r="M934" s="37">
        <v>74.900000000000006</v>
      </c>
      <c r="N934" s="37">
        <v>74.900000000000006</v>
      </c>
      <c r="O934" s="37">
        <f>H934-L934</f>
        <v>-107.80000000000001</v>
      </c>
      <c r="P934" s="37" t="e">
        <f>#REF!-M934</f>
        <v>#REF!</v>
      </c>
      <c r="Q934" s="37" t="e">
        <f>#REF!-N934</f>
        <v>#REF!</v>
      </c>
      <c r="R934" s="17" t="str">
        <f t="shared" si="110"/>
        <v>03 1 01 52800000</v>
      </c>
    </row>
    <row r="935" spans="1:18" s="17" customFormat="1" ht="31.5">
      <c r="A935" s="14"/>
      <c r="B935" s="125" t="s">
        <v>28</v>
      </c>
      <c r="C935" s="109" t="s">
        <v>595</v>
      </c>
      <c r="D935" s="108" t="s">
        <v>317</v>
      </c>
      <c r="E935" s="108" t="s">
        <v>13</v>
      </c>
      <c r="F935" s="108" t="s">
        <v>606</v>
      </c>
      <c r="G935" s="108" t="s">
        <v>29</v>
      </c>
      <c r="H935" s="126">
        <f>H936</f>
        <v>0</v>
      </c>
      <c r="L935" s="37">
        <v>1.43</v>
      </c>
      <c r="M935" s="37">
        <v>1</v>
      </c>
      <c r="N935" s="37">
        <v>1</v>
      </c>
      <c r="O935" s="37">
        <f>H935-L935</f>
        <v>-1.43</v>
      </c>
      <c r="P935" s="37" t="e">
        <f>#REF!-M935</f>
        <v>#REF!</v>
      </c>
      <c r="Q935" s="37" t="e">
        <f>#REF!-N935</f>
        <v>#REF!</v>
      </c>
      <c r="R935" s="17" t="str">
        <f t="shared" si="110"/>
        <v>03 1 01 52800240</v>
      </c>
    </row>
    <row r="936" spans="1:18" s="17" customFormat="1" ht="15.75">
      <c r="A936" s="14"/>
      <c r="B936" s="125" t="s">
        <v>30</v>
      </c>
      <c r="C936" s="109" t="s">
        <v>595</v>
      </c>
      <c r="D936" s="108" t="s">
        <v>317</v>
      </c>
      <c r="E936" s="108" t="s">
        <v>13</v>
      </c>
      <c r="F936" s="108" t="s">
        <v>606</v>
      </c>
      <c r="G936" s="108" t="s">
        <v>31</v>
      </c>
      <c r="H936" s="126"/>
      <c r="L936" s="37"/>
      <c r="M936" s="37"/>
      <c r="N936" s="37"/>
      <c r="O936" s="37"/>
      <c r="P936" s="37"/>
      <c r="Q936" s="37"/>
      <c r="R936" s="17" t="str">
        <f t="shared" si="110"/>
        <v>03 1 01 52800244</v>
      </c>
    </row>
    <row r="937" spans="1:18" s="17" customFormat="1" ht="31.5">
      <c r="A937" s="14"/>
      <c r="B937" s="132" t="s">
        <v>493</v>
      </c>
      <c r="C937" s="109" t="s">
        <v>595</v>
      </c>
      <c r="D937" s="108" t="s">
        <v>317</v>
      </c>
      <c r="E937" s="108" t="s">
        <v>13</v>
      </c>
      <c r="F937" s="108" t="s">
        <v>606</v>
      </c>
      <c r="G937" s="108" t="s">
        <v>494</v>
      </c>
      <c r="H937" s="126">
        <f>H938</f>
        <v>0</v>
      </c>
      <c r="L937" s="37">
        <v>106.37</v>
      </c>
      <c r="M937" s="37">
        <v>73.900000000000006</v>
      </c>
      <c r="N937" s="37">
        <v>73.900000000000006</v>
      </c>
      <c r="O937" s="37">
        <f>H937-L937</f>
        <v>-106.37</v>
      </c>
      <c r="P937" s="37" t="e">
        <f>#REF!-M937</f>
        <v>#REF!</v>
      </c>
      <c r="Q937" s="37" t="e">
        <f>#REF!-N937</f>
        <v>#REF!</v>
      </c>
      <c r="R937" s="17" t="str">
        <f t="shared" si="110"/>
        <v>03 1 01 52800310</v>
      </c>
    </row>
    <row r="938" spans="1:18" s="17" customFormat="1" ht="31.5">
      <c r="A938" s="14"/>
      <c r="B938" s="127" t="s">
        <v>495</v>
      </c>
      <c r="C938" s="109" t="s">
        <v>595</v>
      </c>
      <c r="D938" s="108" t="s">
        <v>317</v>
      </c>
      <c r="E938" s="108" t="s">
        <v>13</v>
      </c>
      <c r="F938" s="108" t="s">
        <v>606</v>
      </c>
      <c r="G938" s="108" t="s">
        <v>496</v>
      </c>
      <c r="H938" s="126"/>
      <c r="L938" s="37"/>
      <c r="M938" s="37"/>
      <c r="N938" s="37"/>
      <c r="O938" s="37"/>
      <c r="P938" s="37"/>
      <c r="Q938" s="37"/>
    </row>
    <row r="939" spans="1:18" s="17" customFormat="1" ht="47.25">
      <c r="A939" s="14"/>
      <c r="B939" s="149" t="s">
        <v>607</v>
      </c>
      <c r="C939" s="109" t="s">
        <v>595</v>
      </c>
      <c r="D939" s="108" t="s">
        <v>317</v>
      </c>
      <c r="E939" s="108" t="s">
        <v>13</v>
      </c>
      <c r="F939" s="108" t="s">
        <v>608</v>
      </c>
      <c r="G939" s="108" t="s">
        <v>9</v>
      </c>
      <c r="H939" s="126">
        <f>H940</f>
        <v>0</v>
      </c>
      <c r="L939" s="37">
        <v>7961.36</v>
      </c>
      <c r="M939" s="37">
        <v>7961.36</v>
      </c>
      <c r="N939" s="37">
        <v>7961.36</v>
      </c>
      <c r="O939" s="37">
        <f>H939-L939</f>
        <v>-7961.36</v>
      </c>
      <c r="P939" s="37" t="e">
        <f>#REF!-M939</f>
        <v>#REF!</v>
      </c>
      <c r="Q939" s="37" t="e">
        <f>#REF!-N939</f>
        <v>#REF!</v>
      </c>
      <c r="R939" s="17" t="str">
        <f t="shared" si="110"/>
        <v>03 1 01 76240000</v>
      </c>
    </row>
    <row r="940" spans="1:18" s="17" customFormat="1" ht="31.5">
      <c r="A940" s="14"/>
      <c r="B940" s="132" t="s">
        <v>493</v>
      </c>
      <c r="C940" s="109" t="s">
        <v>595</v>
      </c>
      <c r="D940" s="108" t="s">
        <v>317</v>
      </c>
      <c r="E940" s="108" t="s">
        <v>13</v>
      </c>
      <c r="F940" s="108" t="s">
        <v>608</v>
      </c>
      <c r="G940" s="108" t="s">
        <v>494</v>
      </c>
      <c r="H940" s="126">
        <f>H941</f>
        <v>0</v>
      </c>
      <c r="L940" s="37">
        <v>7961.36</v>
      </c>
      <c r="M940" s="37">
        <v>7961.36</v>
      </c>
      <c r="N940" s="37">
        <v>7961.36</v>
      </c>
      <c r="O940" s="37">
        <f>H940-L940</f>
        <v>-7961.36</v>
      </c>
      <c r="P940" s="37" t="e">
        <f>#REF!-M940</f>
        <v>#REF!</v>
      </c>
      <c r="Q940" s="37" t="e">
        <f>#REF!-N940</f>
        <v>#REF!</v>
      </c>
      <c r="R940" s="17" t="str">
        <f t="shared" si="110"/>
        <v>03 1 01 76240310</v>
      </c>
    </row>
    <row r="941" spans="1:18" s="17" customFormat="1" ht="31.5">
      <c r="A941" s="14"/>
      <c r="B941" s="127" t="s">
        <v>495</v>
      </c>
      <c r="C941" s="109" t="s">
        <v>595</v>
      </c>
      <c r="D941" s="108" t="s">
        <v>317</v>
      </c>
      <c r="E941" s="108" t="s">
        <v>13</v>
      </c>
      <c r="F941" s="108" t="s">
        <v>608</v>
      </c>
      <c r="G941" s="108" t="s">
        <v>496</v>
      </c>
      <c r="H941" s="126"/>
      <c r="L941" s="37"/>
      <c r="M941" s="37"/>
      <c r="N941" s="37"/>
      <c r="O941" s="37"/>
      <c r="P941" s="37"/>
      <c r="Q941" s="37"/>
      <c r="R941" s="17" t="str">
        <f t="shared" si="110"/>
        <v>03 1 01 76240313</v>
      </c>
    </row>
    <row r="942" spans="1:18" s="17" customFormat="1" ht="63">
      <c r="A942" s="14"/>
      <c r="B942" s="132" t="s">
        <v>609</v>
      </c>
      <c r="C942" s="109" t="s">
        <v>595</v>
      </c>
      <c r="D942" s="108" t="s">
        <v>317</v>
      </c>
      <c r="E942" s="108" t="s">
        <v>13</v>
      </c>
      <c r="F942" s="108" t="s">
        <v>610</v>
      </c>
      <c r="G942" s="108" t="s">
        <v>9</v>
      </c>
      <c r="H942" s="126">
        <f>H943+H945</f>
        <v>0</v>
      </c>
      <c r="L942" s="20">
        <v>4551.87</v>
      </c>
      <c r="M942" s="20">
        <v>4551.87</v>
      </c>
      <c r="N942" s="20">
        <v>4551.87</v>
      </c>
      <c r="O942" s="20">
        <f>H942-L942</f>
        <v>-4551.87</v>
      </c>
      <c r="P942" s="20" t="e">
        <f>#REF!-M942</f>
        <v>#REF!</v>
      </c>
      <c r="Q942" s="20" t="e">
        <f>#REF!-N942</f>
        <v>#REF!</v>
      </c>
      <c r="R942" s="17" t="str">
        <f t="shared" si="110"/>
        <v>03 1 01 77220 000</v>
      </c>
    </row>
    <row r="943" spans="1:18" s="17" customFormat="1" ht="31.5">
      <c r="A943" s="14"/>
      <c r="B943" s="132" t="s">
        <v>28</v>
      </c>
      <c r="C943" s="109" t="s">
        <v>595</v>
      </c>
      <c r="D943" s="108" t="s">
        <v>317</v>
      </c>
      <c r="E943" s="108" t="s">
        <v>13</v>
      </c>
      <c r="F943" s="108" t="s">
        <v>610</v>
      </c>
      <c r="G943" s="108" t="s">
        <v>29</v>
      </c>
      <c r="H943" s="126">
        <f>H944</f>
        <v>0</v>
      </c>
      <c r="L943" s="20">
        <v>50</v>
      </c>
      <c r="M943" s="20">
        <v>50</v>
      </c>
      <c r="N943" s="20">
        <v>50</v>
      </c>
      <c r="O943" s="20">
        <f>H943-L943</f>
        <v>-50</v>
      </c>
      <c r="P943" s="20" t="e">
        <f>#REF!-M943</f>
        <v>#REF!</v>
      </c>
      <c r="Q943" s="20" t="e">
        <f>#REF!-N943</f>
        <v>#REF!</v>
      </c>
      <c r="R943" s="17" t="str">
        <f t="shared" si="110"/>
        <v>03 1 01 77220 240</v>
      </c>
    </row>
    <row r="944" spans="1:18" s="17" customFormat="1" ht="15.75">
      <c r="A944" s="14"/>
      <c r="B944" s="125" t="s">
        <v>30</v>
      </c>
      <c r="C944" s="109" t="s">
        <v>595</v>
      </c>
      <c r="D944" s="108" t="s">
        <v>317</v>
      </c>
      <c r="E944" s="108" t="s">
        <v>13</v>
      </c>
      <c r="F944" s="108" t="s">
        <v>610</v>
      </c>
      <c r="G944" s="108" t="s">
        <v>31</v>
      </c>
      <c r="H944" s="126"/>
      <c r="L944" s="20"/>
      <c r="M944" s="20"/>
      <c r="N944" s="20"/>
      <c r="O944" s="20"/>
      <c r="P944" s="20"/>
      <c r="Q944" s="20"/>
      <c r="R944" s="17" t="str">
        <f t="shared" si="110"/>
        <v>03 1 01 77220 244</v>
      </c>
    </row>
    <row r="945" spans="1:18" s="17" customFormat="1" ht="31.5">
      <c r="A945" s="14"/>
      <c r="B945" s="132" t="s">
        <v>493</v>
      </c>
      <c r="C945" s="109" t="s">
        <v>595</v>
      </c>
      <c r="D945" s="108" t="s">
        <v>317</v>
      </c>
      <c r="E945" s="108" t="s">
        <v>13</v>
      </c>
      <c r="F945" s="108" t="s">
        <v>610</v>
      </c>
      <c r="G945" s="108" t="s">
        <v>494</v>
      </c>
      <c r="H945" s="126">
        <f>H946</f>
        <v>0</v>
      </c>
      <c r="L945" s="20">
        <v>4501.87</v>
      </c>
      <c r="M945" s="20">
        <v>4501.87</v>
      </c>
      <c r="N945" s="20">
        <v>4501.87</v>
      </c>
      <c r="O945" s="20">
        <f>H945-L945</f>
        <v>-4501.87</v>
      </c>
      <c r="P945" s="20" t="e">
        <f>#REF!-M945</f>
        <v>#REF!</v>
      </c>
      <c r="Q945" s="20" t="e">
        <f>#REF!-N945</f>
        <v>#REF!</v>
      </c>
      <c r="R945" s="17" t="str">
        <f t="shared" si="110"/>
        <v>03 1 01 77220 310</v>
      </c>
    </row>
    <row r="946" spans="1:18" s="17" customFormat="1" ht="31.5">
      <c r="A946" s="14"/>
      <c r="B946" s="127" t="s">
        <v>495</v>
      </c>
      <c r="C946" s="109" t="s">
        <v>595</v>
      </c>
      <c r="D946" s="108" t="s">
        <v>317</v>
      </c>
      <c r="E946" s="108" t="s">
        <v>13</v>
      </c>
      <c r="F946" s="108" t="s">
        <v>610</v>
      </c>
      <c r="G946" s="108" t="s">
        <v>496</v>
      </c>
      <c r="H946" s="126"/>
      <c r="L946" s="20"/>
      <c r="M946" s="20"/>
      <c r="N946" s="20"/>
      <c r="O946" s="20"/>
      <c r="P946" s="20"/>
      <c r="Q946" s="20"/>
      <c r="R946" s="17" t="str">
        <f t="shared" si="110"/>
        <v>03 1 01 77220 313</v>
      </c>
    </row>
    <row r="947" spans="1:18" s="17" customFormat="1" ht="110.25">
      <c r="A947" s="14"/>
      <c r="B947" s="149" t="s">
        <v>611</v>
      </c>
      <c r="C947" s="109" t="s">
        <v>595</v>
      </c>
      <c r="D947" s="108" t="s">
        <v>317</v>
      </c>
      <c r="E947" s="108" t="s">
        <v>13</v>
      </c>
      <c r="F947" s="108" t="s">
        <v>612</v>
      </c>
      <c r="G947" s="108" t="s">
        <v>9</v>
      </c>
      <c r="H947" s="126">
        <f>H948+H950</f>
        <v>0</v>
      </c>
      <c r="L947" s="37">
        <v>362001.94</v>
      </c>
      <c r="M947" s="37">
        <v>363794.9</v>
      </c>
      <c r="N947" s="37">
        <v>365617.96</v>
      </c>
      <c r="O947" s="37">
        <f>H947-L947</f>
        <v>-362001.94</v>
      </c>
      <c r="P947" s="37" t="e">
        <f>#REF!-M947</f>
        <v>#REF!</v>
      </c>
      <c r="Q947" s="37" t="e">
        <f>#REF!-N947</f>
        <v>#REF!</v>
      </c>
      <c r="R947" s="17" t="str">
        <f t="shared" si="110"/>
        <v>03 1 01 78210000</v>
      </c>
    </row>
    <row r="948" spans="1:18" s="17" customFormat="1" ht="31.5">
      <c r="A948" s="14"/>
      <c r="B948" s="125" t="s">
        <v>28</v>
      </c>
      <c r="C948" s="109" t="s">
        <v>595</v>
      </c>
      <c r="D948" s="108" t="s">
        <v>317</v>
      </c>
      <c r="E948" s="108" t="s">
        <v>13</v>
      </c>
      <c r="F948" s="108" t="s">
        <v>612</v>
      </c>
      <c r="G948" s="108" t="s">
        <v>29</v>
      </c>
      <c r="H948" s="126">
        <f>H949</f>
        <v>0</v>
      </c>
      <c r="L948" s="37">
        <v>5280</v>
      </c>
      <c r="M948" s="37">
        <v>5280</v>
      </c>
      <c r="N948" s="37">
        <v>5280</v>
      </c>
      <c r="O948" s="37">
        <f>H948-L948</f>
        <v>-5280</v>
      </c>
      <c r="P948" s="37" t="e">
        <f>#REF!-M948</f>
        <v>#REF!</v>
      </c>
      <c r="Q948" s="37" t="e">
        <f>#REF!-N948</f>
        <v>#REF!</v>
      </c>
      <c r="R948" s="17" t="str">
        <f t="shared" si="110"/>
        <v>03 1 01 78210240</v>
      </c>
    </row>
    <row r="949" spans="1:18" s="17" customFormat="1" ht="15.75">
      <c r="A949" s="14"/>
      <c r="B949" s="125" t="s">
        <v>30</v>
      </c>
      <c r="C949" s="109" t="s">
        <v>595</v>
      </c>
      <c r="D949" s="108" t="s">
        <v>317</v>
      </c>
      <c r="E949" s="108" t="s">
        <v>13</v>
      </c>
      <c r="F949" s="108" t="s">
        <v>612</v>
      </c>
      <c r="G949" s="108" t="s">
        <v>31</v>
      </c>
      <c r="H949" s="126"/>
      <c r="L949" s="37"/>
      <c r="M949" s="37"/>
      <c r="N949" s="37"/>
      <c r="O949" s="37"/>
      <c r="P949" s="37"/>
      <c r="Q949" s="37"/>
      <c r="R949" s="17" t="str">
        <f t="shared" si="110"/>
        <v>03 1 01 78210244</v>
      </c>
    </row>
    <row r="950" spans="1:18" s="17" customFormat="1" ht="31.5">
      <c r="A950" s="14"/>
      <c r="B950" s="132" t="s">
        <v>493</v>
      </c>
      <c r="C950" s="109" t="s">
        <v>595</v>
      </c>
      <c r="D950" s="108" t="s">
        <v>317</v>
      </c>
      <c r="E950" s="108" t="s">
        <v>13</v>
      </c>
      <c r="F950" s="108" t="s">
        <v>612</v>
      </c>
      <c r="G950" s="108" t="s">
        <v>494</v>
      </c>
      <c r="H950" s="126">
        <f>H951</f>
        <v>0</v>
      </c>
      <c r="L950" s="37">
        <v>356721.94</v>
      </c>
      <c r="M950" s="37">
        <v>358514.9</v>
      </c>
      <c r="N950" s="37">
        <v>360337.96</v>
      </c>
      <c r="O950" s="37">
        <f>H950-L950</f>
        <v>-356721.94</v>
      </c>
      <c r="P950" s="37" t="e">
        <f>#REF!-M950</f>
        <v>#REF!</v>
      </c>
      <c r="Q950" s="37" t="e">
        <f>#REF!-N950</f>
        <v>#REF!</v>
      </c>
      <c r="R950" s="17" t="str">
        <f t="shared" si="110"/>
        <v>03 1 01 78210310</v>
      </c>
    </row>
    <row r="951" spans="1:18" s="17" customFormat="1" ht="31.5">
      <c r="A951" s="14"/>
      <c r="B951" s="127" t="s">
        <v>495</v>
      </c>
      <c r="C951" s="109" t="s">
        <v>595</v>
      </c>
      <c r="D951" s="108" t="s">
        <v>317</v>
      </c>
      <c r="E951" s="108" t="s">
        <v>13</v>
      </c>
      <c r="F951" s="108" t="s">
        <v>612</v>
      </c>
      <c r="G951" s="108" t="s">
        <v>496</v>
      </c>
      <c r="H951" s="126"/>
      <c r="L951" s="37"/>
      <c r="M951" s="37"/>
      <c r="N951" s="37"/>
      <c r="O951" s="37"/>
      <c r="P951" s="37"/>
      <c r="Q951" s="37"/>
      <c r="R951" s="17" t="str">
        <f t="shared" si="110"/>
        <v>03 1 01 78210313</v>
      </c>
    </row>
    <row r="952" spans="1:18" s="17" customFormat="1" ht="47.25">
      <c r="A952" s="14"/>
      <c r="B952" s="132" t="s">
        <v>613</v>
      </c>
      <c r="C952" s="109" t="s">
        <v>595</v>
      </c>
      <c r="D952" s="108" t="s">
        <v>317</v>
      </c>
      <c r="E952" s="108" t="s">
        <v>13</v>
      </c>
      <c r="F952" s="108" t="s">
        <v>614</v>
      </c>
      <c r="G952" s="108" t="s">
        <v>9</v>
      </c>
      <c r="H952" s="126">
        <f>H953+H955</f>
        <v>0</v>
      </c>
      <c r="L952" s="37">
        <v>264670.36</v>
      </c>
      <c r="M952" s="37">
        <v>264670.36</v>
      </c>
      <c r="N952" s="37">
        <v>264670.36</v>
      </c>
      <c r="O952" s="37">
        <f>H952-L952</f>
        <v>-264670.36</v>
      </c>
      <c r="P952" s="37" t="e">
        <f>#REF!-M952</f>
        <v>#REF!</v>
      </c>
      <c r="Q952" s="37" t="e">
        <f>#REF!-N952</f>
        <v>#REF!</v>
      </c>
      <c r="R952" s="17" t="str">
        <f t="shared" si="110"/>
        <v>03 1 01 78220000</v>
      </c>
    </row>
    <row r="953" spans="1:18" s="17" customFormat="1" ht="31.5">
      <c r="A953" s="14"/>
      <c r="B953" s="132" t="s">
        <v>28</v>
      </c>
      <c r="C953" s="109" t="s">
        <v>595</v>
      </c>
      <c r="D953" s="108" t="s">
        <v>317</v>
      </c>
      <c r="E953" s="108" t="s">
        <v>13</v>
      </c>
      <c r="F953" s="108" t="s">
        <v>614</v>
      </c>
      <c r="G953" s="108" t="s">
        <v>29</v>
      </c>
      <c r="H953" s="126">
        <f>H954</f>
        <v>0</v>
      </c>
      <c r="L953" s="37">
        <v>3840</v>
      </c>
      <c r="M953" s="37">
        <v>3840</v>
      </c>
      <c r="N953" s="37">
        <v>3840</v>
      </c>
      <c r="O953" s="37">
        <f>H953-L953</f>
        <v>-3840</v>
      </c>
      <c r="P953" s="37" t="e">
        <f>#REF!-M953</f>
        <v>#REF!</v>
      </c>
      <c r="Q953" s="37" t="e">
        <f>#REF!-N953</f>
        <v>#REF!</v>
      </c>
      <c r="R953" s="17" t="str">
        <f t="shared" si="110"/>
        <v>03 1 01 78220240</v>
      </c>
    </row>
    <row r="954" spans="1:18" s="17" customFormat="1" ht="15.75">
      <c r="A954" s="14"/>
      <c r="B954" s="125" t="s">
        <v>30</v>
      </c>
      <c r="C954" s="109" t="s">
        <v>595</v>
      </c>
      <c r="D954" s="108" t="s">
        <v>317</v>
      </c>
      <c r="E954" s="108" t="s">
        <v>13</v>
      </c>
      <c r="F954" s="108" t="s">
        <v>614</v>
      </c>
      <c r="G954" s="108" t="s">
        <v>31</v>
      </c>
      <c r="H954" s="126"/>
      <c r="L954" s="37"/>
      <c r="M954" s="37"/>
      <c r="N954" s="37"/>
      <c r="O954" s="37"/>
      <c r="P954" s="37"/>
      <c r="Q954" s="37"/>
      <c r="R954" s="17" t="str">
        <f t="shared" si="110"/>
        <v>03 1 01 78220244</v>
      </c>
    </row>
    <row r="955" spans="1:18" s="17" customFormat="1" ht="31.5">
      <c r="A955" s="14"/>
      <c r="B955" s="132" t="s">
        <v>493</v>
      </c>
      <c r="C955" s="109" t="s">
        <v>595</v>
      </c>
      <c r="D955" s="108" t="s">
        <v>317</v>
      </c>
      <c r="E955" s="108" t="s">
        <v>13</v>
      </c>
      <c r="F955" s="108" t="s">
        <v>614</v>
      </c>
      <c r="G955" s="108" t="s">
        <v>494</v>
      </c>
      <c r="H955" s="126">
        <f>H956</f>
        <v>0</v>
      </c>
      <c r="L955" s="37">
        <v>260830.36</v>
      </c>
      <c r="M955" s="37">
        <v>260830.36</v>
      </c>
      <c r="N955" s="37">
        <v>260830.36</v>
      </c>
      <c r="O955" s="37">
        <f>H955-L955</f>
        <v>-260830.36</v>
      </c>
      <c r="P955" s="37" t="e">
        <f>#REF!-M955</f>
        <v>#REF!</v>
      </c>
      <c r="Q955" s="37" t="e">
        <f>#REF!-N955</f>
        <v>#REF!</v>
      </c>
      <c r="R955" s="17" t="str">
        <f t="shared" si="110"/>
        <v>03 1 01 78220310</v>
      </c>
    </row>
    <row r="956" spans="1:18" s="17" customFormat="1" ht="31.5">
      <c r="A956" s="14"/>
      <c r="B956" s="127" t="s">
        <v>495</v>
      </c>
      <c r="C956" s="109" t="s">
        <v>595</v>
      </c>
      <c r="D956" s="108" t="s">
        <v>317</v>
      </c>
      <c r="E956" s="108" t="s">
        <v>13</v>
      </c>
      <c r="F956" s="108" t="s">
        <v>614</v>
      </c>
      <c r="G956" s="108" t="s">
        <v>496</v>
      </c>
      <c r="H956" s="126"/>
      <c r="L956" s="37"/>
      <c r="M956" s="37"/>
      <c r="N956" s="37"/>
      <c r="O956" s="37"/>
      <c r="P956" s="37"/>
      <c r="Q956" s="37"/>
      <c r="R956" s="17" t="str">
        <f t="shared" si="110"/>
        <v>03 1 01 78220313</v>
      </c>
    </row>
    <row r="957" spans="1:18" s="17" customFormat="1" ht="47.25">
      <c r="A957" s="14"/>
      <c r="B957" s="149" t="s">
        <v>615</v>
      </c>
      <c r="C957" s="109" t="s">
        <v>595</v>
      </c>
      <c r="D957" s="108" t="s">
        <v>317</v>
      </c>
      <c r="E957" s="108" t="s">
        <v>13</v>
      </c>
      <c r="F957" s="108" t="s">
        <v>616</v>
      </c>
      <c r="G957" s="108" t="s">
        <v>9</v>
      </c>
      <c r="H957" s="126">
        <f>H958+H960</f>
        <v>0</v>
      </c>
      <c r="L957" s="37">
        <v>6066.83</v>
      </c>
      <c r="M957" s="37">
        <v>5877.65</v>
      </c>
      <c r="N957" s="37">
        <v>5705.66</v>
      </c>
      <c r="O957" s="37">
        <f>H957-L957</f>
        <v>-6066.83</v>
      </c>
      <c r="P957" s="37" t="e">
        <f>#REF!-M957</f>
        <v>#REF!</v>
      </c>
      <c r="Q957" s="37" t="e">
        <f>#REF!-N957</f>
        <v>#REF!</v>
      </c>
      <c r="R957" s="17" t="str">
        <f t="shared" si="110"/>
        <v>03 1 01 78230000</v>
      </c>
    </row>
    <row r="958" spans="1:18" s="17" customFormat="1" ht="31.5">
      <c r="A958" s="14"/>
      <c r="B958" s="125" t="s">
        <v>28</v>
      </c>
      <c r="C958" s="109" t="s">
        <v>595</v>
      </c>
      <c r="D958" s="108" t="s">
        <v>317</v>
      </c>
      <c r="E958" s="108" t="s">
        <v>13</v>
      </c>
      <c r="F958" s="108" t="s">
        <v>616</v>
      </c>
      <c r="G958" s="108" t="s">
        <v>29</v>
      </c>
      <c r="H958" s="126">
        <f>H959</f>
        <v>0</v>
      </c>
      <c r="L958" s="37">
        <v>94.8</v>
      </c>
      <c r="M958" s="37">
        <v>86</v>
      </c>
      <c r="N958" s="37">
        <v>84.8</v>
      </c>
      <c r="O958" s="37">
        <f>H958-L958</f>
        <v>-94.8</v>
      </c>
      <c r="P958" s="37" t="e">
        <f>#REF!-M958</f>
        <v>#REF!</v>
      </c>
      <c r="Q958" s="37" t="e">
        <f>#REF!-N958</f>
        <v>#REF!</v>
      </c>
      <c r="R958" s="17" t="str">
        <f t="shared" si="110"/>
        <v>03 1 01 78230240</v>
      </c>
    </row>
    <row r="959" spans="1:18" s="17" customFormat="1" ht="15.75">
      <c r="A959" s="14"/>
      <c r="B959" s="125" t="s">
        <v>30</v>
      </c>
      <c r="C959" s="109" t="s">
        <v>595</v>
      </c>
      <c r="D959" s="108" t="s">
        <v>317</v>
      </c>
      <c r="E959" s="108" t="s">
        <v>13</v>
      </c>
      <c r="F959" s="108" t="s">
        <v>616</v>
      </c>
      <c r="G959" s="108" t="s">
        <v>31</v>
      </c>
      <c r="H959" s="126"/>
      <c r="L959" s="37"/>
      <c r="M959" s="37"/>
      <c r="N959" s="37"/>
      <c r="O959" s="37"/>
      <c r="P959" s="37"/>
      <c r="Q959" s="37"/>
      <c r="R959" s="17" t="str">
        <f t="shared" si="110"/>
        <v>03 1 01 78230244</v>
      </c>
    </row>
    <row r="960" spans="1:18" s="17" customFormat="1" ht="31.5">
      <c r="A960" s="14"/>
      <c r="B960" s="132" t="s">
        <v>493</v>
      </c>
      <c r="C960" s="109" t="s">
        <v>595</v>
      </c>
      <c r="D960" s="108" t="s">
        <v>317</v>
      </c>
      <c r="E960" s="108" t="s">
        <v>13</v>
      </c>
      <c r="F960" s="108" t="s">
        <v>616</v>
      </c>
      <c r="G960" s="108" t="s">
        <v>494</v>
      </c>
      <c r="H960" s="126">
        <f>H961</f>
        <v>0</v>
      </c>
      <c r="L960" s="37">
        <v>5972.03</v>
      </c>
      <c r="M960" s="37">
        <v>5791.65</v>
      </c>
      <c r="N960" s="37">
        <v>5620.86</v>
      </c>
      <c r="O960" s="37">
        <f>H960-L960</f>
        <v>-5972.03</v>
      </c>
      <c r="P960" s="37" t="e">
        <f>#REF!-M960</f>
        <v>#REF!</v>
      </c>
      <c r="Q960" s="37" t="e">
        <f>#REF!-N960</f>
        <v>#REF!</v>
      </c>
      <c r="R960" s="17" t="str">
        <f t="shared" si="110"/>
        <v>03 1 01 78230310</v>
      </c>
    </row>
    <row r="961" spans="1:18" s="17" customFormat="1" ht="31.5">
      <c r="A961" s="14"/>
      <c r="B961" s="127" t="s">
        <v>495</v>
      </c>
      <c r="C961" s="109" t="s">
        <v>595</v>
      </c>
      <c r="D961" s="108" t="s">
        <v>317</v>
      </c>
      <c r="E961" s="108" t="s">
        <v>13</v>
      </c>
      <c r="F961" s="108" t="s">
        <v>616</v>
      </c>
      <c r="G961" s="108" t="s">
        <v>496</v>
      </c>
      <c r="H961" s="126"/>
      <c r="L961" s="37"/>
      <c r="M961" s="37"/>
      <c r="N961" s="37"/>
      <c r="O961" s="37"/>
      <c r="P961" s="37"/>
      <c r="Q961" s="37"/>
      <c r="R961" s="17" t="str">
        <f t="shared" si="110"/>
        <v>03 1 01 78230313</v>
      </c>
    </row>
    <row r="962" spans="1:18" s="17" customFormat="1" ht="47.25">
      <c r="A962" s="14"/>
      <c r="B962" s="149" t="s">
        <v>617</v>
      </c>
      <c r="C962" s="109" t="s">
        <v>595</v>
      </c>
      <c r="D962" s="108" t="s">
        <v>317</v>
      </c>
      <c r="E962" s="108" t="s">
        <v>13</v>
      </c>
      <c r="F962" s="108" t="s">
        <v>618</v>
      </c>
      <c r="G962" s="108" t="s">
        <v>9</v>
      </c>
      <c r="H962" s="126">
        <f>H963+H965</f>
        <v>0</v>
      </c>
      <c r="L962" s="37">
        <v>178.05</v>
      </c>
      <c r="M962" s="37">
        <v>178.05</v>
      </c>
      <c r="N962" s="37">
        <v>178.05</v>
      </c>
      <c r="O962" s="37">
        <f>H962-L962</f>
        <v>-178.05</v>
      </c>
      <c r="P962" s="37" t="e">
        <f>#REF!-M962</f>
        <v>#REF!</v>
      </c>
      <c r="Q962" s="37" t="e">
        <f>#REF!-N962</f>
        <v>#REF!</v>
      </c>
      <c r="R962" s="17" t="str">
        <f t="shared" si="110"/>
        <v>03 1 01 78240000</v>
      </c>
    </row>
    <row r="963" spans="1:18" s="17" customFormat="1" ht="31.5">
      <c r="A963" s="14"/>
      <c r="B963" s="125" t="s">
        <v>28</v>
      </c>
      <c r="C963" s="109" t="s">
        <v>595</v>
      </c>
      <c r="D963" s="108" t="s">
        <v>317</v>
      </c>
      <c r="E963" s="108" t="s">
        <v>13</v>
      </c>
      <c r="F963" s="108" t="s">
        <v>618</v>
      </c>
      <c r="G963" s="108" t="s">
        <v>29</v>
      </c>
      <c r="H963" s="126">
        <f>H964</f>
        <v>0</v>
      </c>
      <c r="L963" s="37">
        <v>0.84</v>
      </c>
      <c r="M963" s="37">
        <v>0.84</v>
      </c>
      <c r="N963" s="37">
        <v>0.84</v>
      </c>
      <c r="O963" s="37">
        <f>H963-L963</f>
        <v>-0.84</v>
      </c>
      <c r="P963" s="37" t="e">
        <f>#REF!-M963</f>
        <v>#REF!</v>
      </c>
      <c r="Q963" s="37" t="e">
        <f>#REF!-N963</f>
        <v>#REF!</v>
      </c>
      <c r="R963" s="17" t="str">
        <f t="shared" si="110"/>
        <v>03 1 01 78240240</v>
      </c>
    </row>
    <row r="964" spans="1:18" s="17" customFormat="1" ht="15.75">
      <c r="A964" s="14"/>
      <c r="B964" s="125" t="s">
        <v>30</v>
      </c>
      <c r="C964" s="109" t="s">
        <v>595</v>
      </c>
      <c r="D964" s="108" t="s">
        <v>317</v>
      </c>
      <c r="E964" s="108" t="s">
        <v>13</v>
      </c>
      <c r="F964" s="108" t="s">
        <v>618</v>
      </c>
      <c r="G964" s="108" t="s">
        <v>31</v>
      </c>
      <c r="H964" s="126"/>
      <c r="L964" s="37"/>
      <c r="M964" s="37"/>
      <c r="N964" s="37"/>
      <c r="O964" s="37"/>
      <c r="P964" s="37"/>
      <c r="Q964" s="37"/>
      <c r="R964" s="17" t="str">
        <f t="shared" si="110"/>
        <v>03 1 01 78240244</v>
      </c>
    </row>
    <row r="965" spans="1:18" s="17" customFormat="1" ht="31.5">
      <c r="A965" s="14"/>
      <c r="B965" s="132" t="s">
        <v>493</v>
      </c>
      <c r="C965" s="109" t="s">
        <v>595</v>
      </c>
      <c r="D965" s="108" t="s">
        <v>317</v>
      </c>
      <c r="E965" s="108" t="s">
        <v>13</v>
      </c>
      <c r="F965" s="108" t="s">
        <v>618</v>
      </c>
      <c r="G965" s="108" t="s">
        <v>494</v>
      </c>
      <c r="H965" s="126">
        <f>H966</f>
        <v>0</v>
      </c>
      <c r="L965" s="37">
        <v>177.21</v>
      </c>
      <c r="M965" s="37">
        <v>177.21</v>
      </c>
      <c r="N965" s="37">
        <v>177.21</v>
      </c>
      <c r="O965" s="37">
        <f>H965-L965</f>
        <v>-177.21</v>
      </c>
      <c r="P965" s="37" t="e">
        <f>#REF!-M965</f>
        <v>#REF!</v>
      </c>
      <c r="Q965" s="37" t="e">
        <f>#REF!-N965</f>
        <v>#REF!</v>
      </c>
      <c r="R965" s="17" t="str">
        <f t="shared" si="110"/>
        <v>03 1 01 78240310</v>
      </c>
    </row>
    <row r="966" spans="1:18" s="17" customFormat="1" ht="31.5">
      <c r="A966" s="14"/>
      <c r="B966" s="127" t="s">
        <v>495</v>
      </c>
      <c r="C966" s="109" t="s">
        <v>595</v>
      </c>
      <c r="D966" s="108" t="s">
        <v>317</v>
      </c>
      <c r="E966" s="108" t="s">
        <v>13</v>
      </c>
      <c r="F966" s="108" t="s">
        <v>618</v>
      </c>
      <c r="G966" s="108" t="s">
        <v>496</v>
      </c>
      <c r="H966" s="126"/>
      <c r="L966" s="37"/>
      <c r="M966" s="37"/>
      <c r="N966" s="37"/>
      <c r="O966" s="37"/>
      <c r="P966" s="37"/>
      <c r="Q966" s="37"/>
      <c r="R966" s="17" t="str">
        <f t="shared" si="110"/>
        <v>03 1 01 78240313</v>
      </c>
    </row>
    <row r="967" spans="1:18" s="17" customFormat="1" ht="31.5">
      <c r="A967" s="14"/>
      <c r="B967" s="149" t="s">
        <v>619</v>
      </c>
      <c r="C967" s="109" t="s">
        <v>595</v>
      </c>
      <c r="D967" s="108" t="s">
        <v>317</v>
      </c>
      <c r="E967" s="108" t="s">
        <v>13</v>
      </c>
      <c r="F967" s="108" t="s">
        <v>620</v>
      </c>
      <c r="G967" s="108" t="s">
        <v>9</v>
      </c>
      <c r="H967" s="126">
        <f>H968+H970</f>
        <v>0</v>
      </c>
      <c r="L967" s="37">
        <v>614.26</v>
      </c>
      <c r="M967" s="37">
        <v>614.26</v>
      </c>
      <c r="N967" s="37">
        <v>614.26</v>
      </c>
      <c r="O967" s="37">
        <f>H967-L967</f>
        <v>-614.26</v>
      </c>
      <c r="P967" s="37" t="e">
        <f>#REF!-M967</f>
        <v>#REF!</v>
      </c>
      <c r="Q967" s="37" t="e">
        <f>#REF!-N967</f>
        <v>#REF!</v>
      </c>
      <c r="R967" s="17" t="str">
        <f t="shared" si="110"/>
        <v>03 1 01 78250000</v>
      </c>
    </row>
    <row r="968" spans="1:18" s="17" customFormat="1" ht="31.5">
      <c r="A968" s="14"/>
      <c r="B968" s="125" t="s">
        <v>28</v>
      </c>
      <c r="C968" s="109" t="s">
        <v>595</v>
      </c>
      <c r="D968" s="108" t="s">
        <v>317</v>
      </c>
      <c r="E968" s="108" t="s">
        <v>13</v>
      </c>
      <c r="F968" s="108" t="s">
        <v>620</v>
      </c>
      <c r="G968" s="108" t="s">
        <v>29</v>
      </c>
      <c r="H968" s="126">
        <f>H969</f>
        <v>0</v>
      </c>
      <c r="L968" s="37">
        <v>8.4</v>
      </c>
      <c r="M968" s="37">
        <v>8.4</v>
      </c>
      <c r="N968" s="37">
        <v>8.4</v>
      </c>
      <c r="O968" s="37">
        <f>H968-L968</f>
        <v>-8.4</v>
      </c>
      <c r="P968" s="37" t="e">
        <f>#REF!-M968</f>
        <v>#REF!</v>
      </c>
      <c r="Q968" s="37" t="e">
        <f>#REF!-N968</f>
        <v>#REF!</v>
      </c>
      <c r="R968" s="17" t="str">
        <f t="shared" si="110"/>
        <v>03 1 01 78250240</v>
      </c>
    </row>
    <row r="969" spans="1:18" s="17" customFormat="1" ht="15.75">
      <c r="A969" s="14"/>
      <c r="B969" s="125" t="s">
        <v>30</v>
      </c>
      <c r="C969" s="109" t="s">
        <v>595</v>
      </c>
      <c r="D969" s="108" t="s">
        <v>317</v>
      </c>
      <c r="E969" s="108" t="s">
        <v>13</v>
      </c>
      <c r="F969" s="108" t="s">
        <v>620</v>
      </c>
      <c r="G969" s="108" t="s">
        <v>31</v>
      </c>
      <c r="H969" s="126"/>
      <c r="L969" s="37"/>
      <c r="M969" s="37"/>
      <c r="N969" s="37"/>
      <c r="O969" s="37"/>
      <c r="P969" s="37"/>
      <c r="Q969" s="37"/>
      <c r="R969" s="17" t="str">
        <f t="shared" si="110"/>
        <v>03 1 01 78250244</v>
      </c>
    </row>
    <row r="970" spans="1:18" s="17" customFormat="1" ht="31.5">
      <c r="A970" s="14"/>
      <c r="B970" s="132" t="s">
        <v>493</v>
      </c>
      <c r="C970" s="109" t="s">
        <v>595</v>
      </c>
      <c r="D970" s="108" t="s">
        <v>317</v>
      </c>
      <c r="E970" s="108" t="s">
        <v>13</v>
      </c>
      <c r="F970" s="108" t="s">
        <v>620</v>
      </c>
      <c r="G970" s="108" t="s">
        <v>494</v>
      </c>
      <c r="H970" s="126">
        <f>H971</f>
        <v>0</v>
      </c>
      <c r="L970" s="37">
        <v>605.86</v>
      </c>
      <c r="M970" s="37">
        <v>605.86</v>
      </c>
      <c r="N970" s="37">
        <v>605.86</v>
      </c>
      <c r="O970" s="37">
        <f>H970-L970</f>
        <v>-605.86</v>
      </c>
      <c r="P970" s="37" t="e">
        <f>#REF!-M970</f>
        <v>#REF!</v>
      </c>
      <c r="Q970" s="37" t="e">
        <f>#REF!-N970</f>
        <v>#REF!</v>
      </c>
      <c r="R970" s="17" t="str">
        <f t="shared" si="110"/>
        <v>03 1 01 78250310</v>
      </c>
    </row>
    <row r="971" spans="1:18" s="17" customFormat="1" ht="31.5">
      <c r="A971" s="14"/>
      <c r="B971" s="127" t="s">
        <v>495</v>
      </c>
      <c r="C971" s="109" t="s">
        <v>595</v>
      </c>
      <c r="D971" s="108" t="s">
        <v>317</v>
      </c>
      <c r="E971" s="108" t="s">
        <v>13</v>
      </c>
      <c r="F971" s="108" t="s">
        <v>620</v>
      </c>
      <c r="G971" s="108" t="s">
        <v>496</v>
      </c>
      <c r="H971" s="126"/>
      <c r="L971" s="37"/>
      <c r="M971" s="37"/>
      <c r="N971" s="37"/>
      <c r="O971" s="37"/>
      <c r="P971" s="37"/>
      <c r="Q971" s="37"/>
      <c r="R971" s="17" t="str">
        <f t="shared" si="110"/>
        <v>03 1 01 78250313</v>
      </c>
    </row>
    <row r="972" spans="1:18" s="17" customFormat="1" ht="31.5">
      <c r="A972" s="14"/>
      <c r="B972" s="149" t="s">
        <v>621</v>
      </c>
      <c r="C972" s="109" t="s">
        <v>595</v>
      </c>
      <c r="D972" s="108" t="s">
        <v>317</v>
      </c>
      <c r="E972" s="108" t="s">
        <v>13</v>
      </c>
      <c r="F972" s="108" t="s">
        <v>622</v>
      </c>
      <c r="G972" s="108" t="s">
        <v>9</v>
      </c>
      <c r="H972" s="126">
        <f>H973+H975</f>
        <v>0</v>
      </c>
      <c r="L972" s="37">
        <v>292267</v>
      </c>
      <c r="M972" s="37">
        <v>336033.4</v>
      </c>
      <c r="N972" s="37">
        <v>338036</v>
      </c>
      <c r="O972" s="37">
        <f>H972-L972</f>
        <v>-292267</v>
      </c>
      <c r="P972" s="37" t="e">
        <f>#REF!-M972</f>
        <v>#REF!</v>
      </c>
      <c r="Q972" s="37" t="e">
        <f>#REF!-N972</f>
        <v>#REF!</v>
      </c>
      <c r="R972" s="17" t="str">
        <f t="shared" si="110"/>
        <v>03 1 01 78260000</v>
      </c>
    </row>
    <row r="973" spans="1:18" s="17" customFormat="1" ht="31.5">
      <c r="A973" s="14"/>
      <c r="B973" s="125" t="s">
        <v>28</v>
      </c>
      <c r="C973" s="109" t="s">
        <v>595</v>
      </c>
      <c r="D973" s="108" t="s">
        <v>317</v>
      </c>
      <c r="E973" s="108" t="s">
        <v>13</v>
      </c>
      <c r="F973" s="108" t="s">
        <v>622</v>
      </c>
      <c r="G973" s="108" t="s">
        <v>29</v>
      </c>
      <c r="H973" s="126">
        <f>H974</f>
        <v>0</v>
      </c>
      <c r="L973" s="37">
        <v>4032.4</v>
      </c>
      <c r="M973" s="37">
        <v>4532.3999999999996</v>
      </c>
      <c r="N973" s="37">
        <v>4632.3999999999996</v>
      </c>
      <c r="O973" s="37">
        <f>H973-L973</f>
        <v>-4032.4</v>
      </c>
      <c r="P973" s="37" t="e">
        <f>#REF!-M973</f>
        <v>#REF!</v>
      </c>
      <c r="Q973" s="37" t="e">
        <f>#REF!-N973</f>
        <v>#REF!</v>
      </c>
      <c r="R973" s="17" t="str">
        <f t="shared" si="110"/>
        <v>03 1 01 78260240</v>
      </c>
    </row>
    <row r="974" spans="1:18" s="17" customFormat="1" ht="15.75">
      <c r="A974" s="14"/>
      <c r="B974" s="125" t="s">
        <v>30</v>
      </c>
      <c r="C974" s="109" t="s">
        <v>595</v>
      </c>
      <c r="D974" s="108" t="s">
        <v>317</v>
      </c>
      <c r="E974" s="108" t="s">
        <v>13</v>
      </c>
      <c r="F974" s="108" t="s">
        <v>622</v>
      </c>
      <c r="G974" s="108" t="s">
        <v>31</v>
      </c>
      <c r="H974" s="126"/>
      <c r="L974" s="37"/>
      <c r="M974" s="37"/>
      <c r="N974" s="37"/>
      <c r="O974" s="37"/>
      <c r="P974" s="37"/>
      <c r="Q974" s="37"/>
      <c r="R974" s="17" t="str">
        <f t="shared" si="110"/>
        <v>03 1 01 78260244</v>
      </c>
    </row>
    <row r="975" spans="1:18" s="17" customFormat="1" ht="31.5">
      <c r="A975" s="14"/>
      <c r="B975" s="132" t="s">
        <v>493</v>
      </c>
      <c r="C975" s="109" t="s">
        <v>595</v>
      </c>
      <c r="D975" s="108" t="s">
        <v>317</v>
      </c>
      <c r="E975" s="108" t="s">
        <v>13</v>
      </c>
      <c r="F975" s="108" t="s">
        <v>622</v>
      </c>
      <c r="G975" s="108" t="s">
        <v>494</v>
      </c>
      <c r="H975" s="126">
        <f>H976</f>
        <v>0</v>
      </c>
      <c r="L975" s="37">
        <v>288234.59999999998</v>
      </c>
      <c r="M975" s="37">
        <v>331501</v>
      </c>
      <c r="N975" s="37">
        <v>333403.59999999998</v>
      </c>
      <c r="O975" s="37">
        <f>H975-L975</f>
        <v>-288234.59999999998</v>
      </c>
      <c r="P975" s="37" t="e">
        <f>#REF!-M975</f>
        <v>#REF!</v>
      </c>
      <c r="Q975" s="37" t="e">
        <f>#REF!-N975</f>
        <v>#REF!</v>
      </c>
      <c r="R975" s="17" t="str">
        <f t="shared" si="110"/>
        <v>03 1 01 78260310</v>
      </c>
    </row>
    <row r="976" spans="1:18" s="17" customFormat="1" ht="31.5">
      <c r="A976" s="14"/>
      <c r="B976" s="127" t="s">
        <v>495</v>
      </c>
      <c r="C976" s="109" t="s">
        <v>595</v>
      </c>
      <c r="D976" s="108" t="s">
        <v>317</v>
      </c>
      <c r="E976" s="108" t="s">
        <v>13</v>
      </c>
      <c r="F976" s="108" t="s">
        <v>622</v>
      </c>
      <c r="G976" s="108" t="s">
        <v>496</v>
      </c>
      <c r="H976" s="126"/>
      <c r="L976" s="37"/>
      <c r="M976" s="37"/>
      <c r="N976" s="37"/>
      <c r="O976" s="37"/>
      <c r="P976" s="37"/>
      <c r="Q976" s="37"/>
      <c r="R976" s="17" t="str">
        <f t="shared" si="110"/>
        <v>03 1 01 78260313</v>
      </c>
    </row>
    <row r="977" spans="1:18" s="17" customFormat="1" ht="31.5">
      <c r="A977" s="14" t="s">
        <v>598</v>
      </c>
      <c r="B977" s="148" t="s">
        <v>623</v>
      </c>
      <c r="C977" s="109" t="s">
        <v>595</v>
      </c>
      <c r="D977" s="108" t="s">
        <v>317</v>
      </c>
      <c r="E977" s="108" t="s">
        <v>13</v>
      </c>
      <c r="F977" s="108" t="s">
        <v>624</v>
      </c>
      <c r="G977" s="108" t="s">
        <v>9</v>
      </c>
      <c r="H977" s="126">
        <f>H978+H993+H983+H988</f>
        <v>0</v>
      </c>
      <c r="L977" s="36">
        <v>234979.36</v>
      </c>
      <c r="M977" s="36">
        <v>245649.34000000003</v>
      </c>
      <c r="N977" s="36">
        <v>261013.86</v>
      </c>
      <c r="O977" s="36">
        <f>H977-L977</f>
        <v>-234979.36</v>
      </c>
      <c r="P977" s="36" t="e">
        <f>#REF!-M977</f>
        <v>#REF!</v>
      </c>
      <c r="Q977" s="36" t="e">
        <f>#REF!-N977</f>
        <v>#REF!</v>
      </c>
      <c r="R977" s="17" t="str">
        <f t="shared" si="110"/>
        <v>03 1 02 00000000</v>
      </c>
    </row>
    <row r="978" spans="1:18" s="17" customFormat="1" ht="94.5">
      <c r="A978" s="14"/>
      <c r="B978" s="149" t="s">
        <v>625</v>
      </c>
      <c r="C978" s="109" t="s">
        <v>595</v>
      </c>
      <c r="D978" s="108" t="s">
        <v>317</v>
      </c>
      <c r="E978" s="108" t="s">
        <v>13</v>
      </c>
      <c r="F978" s="108" t="s">
        <v>626</v>
      </c>
      <c r="G978" s="108" t="s">
        <v>9</v>
      </c>
      <c r="H978" s="126">
        <f>H981+H979</f>
        <v>0</v>
      </c>
      <c r="L978" s="37">
        <v>188631.6</v>
      </c>
      <c r="M978" s="37">
        <v>194738.30000000002</v>
      </c>
      <c r="N978" s="37">
        <v>202950.5</v>
      </c>
      <c r="O978" s="37">
        <f>H978-L978</f>
        <v>-188631.6</v>
      </c>
      <c r="P978" s="37" t="e">
        <f>#REF!-M978</f>
        <v>#REF!</v>
      </c>
      <c r="Q978" s="37" t="e">
        <f>#REF!-N978</f>
        <v>#REF!</v>
      </c>
      <c r="R978" s="17" t="str">
        <f t="shared" si="110"/>
        <v>03 1 02 53800000</v>
      </c>
    </row>
    <row r="979" spans="1:18" s="17" customFormat="1" ht="31.5">
      <c r="A979" s="14"/>
      <c r="B979" s="125" t="s">
        <v>28</v>
      </c>
      <c r="C979" s="109" t="s">
        <v>595</v>
      </c>
      <c r="D979" s="108" t="s">
        <v>317</v>
      </c>
      <c r="E979" s="108" t="s">
        <v>13</v>
      </c>
      <c r="F979" s="108" t="s">
        <v>626</v>
      </c>
      <c r="G979" s="108" t="s">
        <v>29</v>
      </c>
      <c r="H979" s="126">
        <f>H980</f>
        <v>0</v>
      </c>
      <c r="L979" s="37">
        <v>2787.66</v>
      </c>
      <c r="M979" s="37">
        <v>2877.91</v>
      </c>
      <c r="N979" s="37">
        <v>2999.27</v>
      </c>
      <c r="O979" s="37">
        <f>H979-L979</f>
        <v>-2787.66</v>
      </c>
      <c r="P979" s="37" t="e">
        <f>#REF!-M979</f>
        <v>#REF!</v>
      </c>
      <c r="Q979" s="37" t="e">
        <f>#REF!-N979</f>
        <v>#REF!</v>
      </c>
      <c r="R979" s="17" t="str">
        <f t="shared" si="110"/>
        <v>03 1 02 53800240</v>
      </c>
    </row>
    <row r="980" spans="1:18" s="17" customFormat="1" ht="15.75">
      <c r="A980" s="14"/>
      <c r="B980" s="125" t="s">
        <v>30</v>
      </c>
      <c r="C980" s="109" t="s">
        <v>595</v>
      </c>
      <c r="D980" s="108" t="s">
        <v>317</v>
      </c>
      <c r="E980" s="108" t="s">
        <v>13</v>
      </c>
      <c r="F980" s="108" t="s">
        <v>626</v>
      </c>
      <c r="G980" s="108" t="s">
        <v>31</v>
      </c>
      <c r="H980" s="126"/>
      <c r="L980" s="37"/>
      <c r="M980" s="37"/>
      <c r="N980" s="37"/>
      <c r="O980" s="37"/>
      <c r="P980" s="37"/>
      <c r="Q980" s="37"/>
      <c r="R980" s="17" t="str">
        <f t="shared" si="110"/>
        <v>03 1 02 53800244</v>
      </c>
    </row>
    <row r="981" spans="1:18" s="17" customFormat="1" ht="31.5">
      <c r="A981" s="14"/>
      <c r="B981" s="132" t="s">
        <v>493</v>
      </c>
      <c r="C981" s="109" t="s">
        <v>595</v>
      </c>
      <c r="D981" s="108" t="s">
        <v>317</v>
      </c>
      <c r="E981" s="108" t="s">
        <v>13</v>
      </c>
      <c r="F981" s="108" t="s">
        <v>626</v>
      </c>
      <c r="G981" s="108" t="s">
        <v>494</v>
      </c>
      <c r="H981" s="126">
        <f>H982</f>
        <v>0</v>
      </c>
      <c r="L981" s="37">
        <v>185843.94</v>
      </c>
      <c r="M981" s="37">
        <v>191860.39</v>
      </c>
      <c r="N981" s="37">
        <v>199951.23</v>
      </c>
      <c r="O981" s="37">
        <f>H981-L981</f>
        <v>-185843.94</v>
      </c>
      <c r="P981" s="37" t="e">
        <f>#REF!-M981</f>
        <v>#REF!</v>
      </c>
      <c r="Q981" s="37" t="e">
        <f>#REF!-N981</f>
        <v>#REF!</v>
      </c>
      <c r="R981" s="17" t="str">
        <f t="shared" si="110"/>
        <v>03 1 02 53800310</v>
      </c>
    </row>
    <row r="982" spans="1:18" s="17" customFormat="1" ht="31.5">
      <c r="A982" s="14"/>
      <c r="B982" s="127" t="s">
        <v>495</v>
      </c>
      <c r="C982" s="109" t="s">
        <v>595</v>
      </c>
      <c r="D982" s="108" t="s">
        <v>317</v>
      </c>
      <c r="E982" s="108" t="s">
        <v>13</v>
      </c>
      <c r="F982" s="108" t="s">
        <v>626</v>
      </c>
      <c r="G982" s="108" t="s">
        <v>496</v>
      </c>
      <c r="H982" s="126"/>
      <c r="L982" s="37"/>
      <c r="M982" s="37"/>
      <c r="N982" s="37"/>
      <c r="O982" s="37"/>
      <c r="P982" s="37"/>
      <c r="Q982" s="37"/>
      <c r="R982" s="17" t="str">
        <f t="shared" si="110"/>
        <v>03 1 02 53800313</v>
      </c>
    </row>
    <row r="983" spans="1:18" s="17" customFormat="1" ht="31.5">
      <c r="A983" s="14"/>
      <c r="B983" s="149" t="s">
        <v>627</v>
      </c>
      <c r="C983" s="109" t="s">
        <v>595</v>
      </c>
      <c r="D983" s="108" t="s">
        <v>317</v>
      </c>
      <c r="E983" s="108" t="s">
        <v>13</v>
      </c>
      <c r="F983" s="108" t="s">
        <v>628</v>
      </c>
      <c r="G983" s="108" t="s">
        <v>9</v>
      </c>
      <c r="H983" s="126">
        <f>H984+H986</f>
        <v>0</v>
      </c>
      <c r="L983" s="37">
        <v>284.65000000000003</v>
      </c>
      <c r="M983" s="37">
        <v>284.65000000000003</v>
      </c>
      <c r="N983" s="37">
        <v>284.65000000000003</v>
      </c>
      <c r="O983" s="37">
        <f>H983-L983</f>
        <v>-284.65000000000003</v>
      </c>
      <c r="P983" s="37" t="e">
        <f>#REF!-M983</f>
        <v>#REF!</v>
      </c>
      <c r="Q983" s="37" t="e">
        <f>#REF!-N983</f>
        <v>#REF!</v>
      </c>
      <c r="R983" s="17" t="str">
        <f t="shared" si="110"/>
        <v>03 1 02 76260000</v>
      </c>
    </row>
    <row r="984" spans="1:18" s="17" customFormat="1" ht="31.5">
      <c r="A984" s="14"/>
      <c r="B984" s="125" t="s">
        <v>28</v>
      </c>
      <c r="C984" s="109" t="s">
        <v>595</v>
      </c>
      <c r="D984" s="108" t="s">
        <v>317</v>
      </c>
      <c r="E984" s="108" t="s">
        <v>13</v>
      </c>
      <c r="F984" s="108" t="s">
        <v>628</v>
      </c>
      <c r="G984" s="108" t="s">
        <v>29</v>
      </c>
      <c r="H984" s="126">
        <f>H985</f>
        <v>0</v>
      </c>
      <c r="L984" s="37">
        <v>3.79</v>
      </c>
      <c r="M984" s="37">
        <v>3.79</v>
      </c>
      <c r="N984" s="37">
        <v>3.79</v>
      </c>
      <c r="O984" s="37">
        <f>H984-L984</f>
        <v>-3.79</v>
      </c>
      <c r="P984" s="37" t="e">
        <f>#REF!-M984</f>
        <v>#REF!</v>
      </c>
      <c r="Q984" s="37" t="e">
        <f>#REF!-N984</f>
        <v>#REF!</v>
      </c>
      <c r="R984" s="17" t="str">
        <f t="shared" si="110"/>
        <v>03 1 02 76260240</v>
      </c>
    </row>
    <row r="985" spans="1:18" s="17" customFormat="1" ht="15.75">
      <c r="A985" s="14"/>
      <c r="B985" s="125" t="s">
        <v>30</v>
      </c>
      <c r="C985" s="109" t="s">
        <v>595</v>
      </c>
      <c r="D985" s="108" t="s">
        <v>317</v>
      </c>
      <c r="E985" s="108" t="s">
        <v>13</v>
      </c>
      <c r="F985" s="108" t="s">
        <v>628</v>
      </c>
      <c r="G985" s="108" t="s">
        <v>31</v>
      </c>
      <c r="H985" s="126"/>
      <c r="L985" s="37"/>
      <c r="M985" s="37"/>
      <c r="N985" s="37"/>
      <c r="O985" s="37"/>
      <c r="P985" s="37"/>
      <c r="Q985" s="37"/>
      <c r="R985" s="17" t="str">
        <f t="shared" si="110"/>
        <v>03 1 02 76260244</v>
      </c>
    </row>
    <row r="986" spans="1:18" s="17" customFormat="1" ht="31.5">
      <c r="A986" s="14"/>
      <c r="B986" s="132" t="s">
        <v>493</v>
      </c>
      <c r="C986" s="109" t="s">
        <v>595</v>
      </c>
      <c r="D986" s="108" t="s">
        <v>317</v>
      </c>
      <c r="E986" s="108" t="s">
        <v>13</v>
      </c>
      <c r="F986" s="108" t="s">
        <v>628</v>
      </c>
      <c r="G986" s="108" t="s">
        <v>494</v>
      </c>
      <c r="H986" s="126">
        <f>H987</f>
        <v>0</v>
      </c>
      <c r="L986" s="37">
        <v>280.86</v>
      </c>
      <c r="M986" s="37">
        <v>280.86</v>
      </c>
      <c r="N986" s="37">
        <v>280.86</v>
      </c>
      <c r="O986" s="37">
        <f>H986-L986</f>
        <v>-280.86</v>
      </c>
      <c r="P986" s="37" t="e">
        <f>#REF!-M986</f>
        <v>#REF!</v>
      </c>
      <c r="Q986" s="37" t="e">
        <f>#REF!-N986</f>
        <v>#REF!</v>
      </c>
      <c r="R986" s="17" t="str">
        <f t="shared" si="110"/>
        <v>03 1 02 76260310</v>
      </c>
    </row>
    <row r="987" spans="1:18" s="17" customFormat="1" ht="31.5">
      <c r="A987" s="14"/>
      <c r="B987" s="127" t="s">
        <v>495</v>
      </c>
      <c r="C987" s="109" t="s">
        <v>595</v>
      </c>
      <c r="D987" s="108" t="s">
        <v>317</v>
      </c>
      <c r="E987" s="108" t="s">
        <v>13</v>
      </c>
      <c r="F987" s="108" t="s">
        <v>628</v>
      </c>
      <c r="G987" s="108" t="s">
        <v>496</v>
      </c>
      <c r="H987" s="126"/>
      <c r="L987" s="37"/>
      <c r="M987" s="37"/>
      <c r="N987" s="37"/>
      <c r="O987" s="37"/>
      <c r="P987" s="37"/>
      <c r="Q987" s="37"/>
      <c r="R987" s="17" t="str">
        <f t="shared" si="110"/>
        <v>03 1 02 76260313</v>
      </c>
    </row>
    <row r="988" spans="1:18" s="17" customFormat="1" ht="94.5">
      <c r="A988" s="14"/>
      <c r="B988" s="150" t="s">
        <v>629</v>
      </c>
      <c r="C988" s="130" t="s">
        <v>595</v>
      </c>
      <c r="D988" s="131" t="s">
        <v>317</v>
      </c>
      <c r="E988" s="131" t="s">
        <v>13</v>
      </c>
      <c r="F988" s="131" t="s">
        <v>630</v>
      </c>
      <c r="G988" s="131" t="s">
        <v>9</v>
      </c>
      <c r="H988" s="126">
        <f>H991+H989</f>
        <v>0</v>
      </c>
      <c r="L988" s="36">
        <v>2933.28</v>
      </c>
      <c r="M988" s="36">
        <v>2933.28</v>
      </c>
      <c r="N988" s="36">
        <v>2933.28</v>
      </c>
      <c r="O988" s="36">
        <f>H988-L988</f>
        <v>-2933.28</v>
      </c>
      <c r="P988" s="36" t="e">
        <f>#REF!-M988</f>
        <v>#REF!</v>
      </c>
      <c r="Q988" s="36" t="e">
        <f>#REF!-N988</f>
        <v>#REF!</v>
      </c>
      <c r="R988" s="17" t="str">
        <f t="shared" si="110"/>
        <v>03 1 02 77190000</v>
      </c>
    </row>
    <row r="989" spans="1:18" s="17" customFormat="1" ht="31.5">
      <c r="A989" s="14"/>
      <c r="B989" s="125" t="s">
        <v>28</v>
      </c>
      <c r="C989" s="130" t="s">
        <v>595</v>
      </c>
      <c r="D989" s="131" t="s">
        <v>317</v>
      </c>
      <c r="E989" s="131" t="s">
        <v>13</v>
      </c>
      <c r="F989" s="131" t="s">
        <v>630</v>
      </c>
      <c r="G989" s="131" t="s">
        <v>29</v>
      </c>
      <c r="H989" s="126">
        <f>H990</f>
        <v>0</v>
      </c>
      <c r="L989" s="37">
        <v>39.07</v>
      </c>
      <c r="M989" s="37">
        <v>39.07</v>
      </c>
      <c r="N989" s="37">
        <v>39.07</v>
      </c>
      <c r="O989" s="37">
        <f>H989-L989</f>
        <v>-39.07</v>
      </c>
      <c r="P989" s="37" t="e">
        <f>#REF!-M989</f>
        <v>#REF!</v>
      </c>
      <c r="Q989" s="37" t="e">
        <f>#REF!-N989</f>
        <v>#REF!</v>
      </c>
      <c r="R989" s="17" t="str">
        <f t="shared" si="110"/>
        <v>03 1 02 77190240</v>
      </c>
    </row>
    <row r="990" spans="1:18" s="17" customFormat="1" ht="15.75">
      <c r="A990" s="14"/>
      <c r="B990" s="125" t="s">
        <v>30</v>
      </c>
      <c r="C990" s="130" t="s">
        <v>595</v>
      </c>
      <c r="D990" s="131" t="s">
        <v>317</v>
      </c>
      <c r="E990" s="131" t="s">
        <v>13</v>
      </c>
      <c r="F990" s="131" t="s">
        <v>630</v>
      </c>
      <c r="G990" s="131" t="s">
        <v>31</v>
      </c>
      <c r="H990" s="126"/>
      <c r="L990" s="37"/>
      <c r="M990" s="37"/>
      <c r="N990" s="37"/>
      <c r="O990" s="37"/>
      <c r="P990" s="37"/>
      <c r="Q990" s="37"/>
      <c r="R990" s="17" t="str">
        <f t="shared" si="110"/>
        <v>03 1 02 77190244</v>
      </c>
    </row>
    <row r="991" spans="1:18" s="17" customFormat="1" ht="31.5">
      <c r="A991" s="14"/>
      <c r="B991" s="140" t="s">
        <v>493</v>
      </c>
      <c r="C991" s="130" t="s">
        <v>595</v>
      </c>
      <c r="D991" s="131" t="s">
        <v>317</v>
      </c>
      <c r="E991" s="131" t="s">
        <v>13</v>
      </c>
      <c r="F991" s="131" t="s">
        <v>630</v>
      </c>
      <c r="G991" s="131" t="s">
        <v>494</v>
      </c>
      <c r="H991" s="126">
        <f>H992</f>
        <v>0</v>
      </c>
      <c r="L991" s="37">
        <v>2894.21</v>
      </c>
      <c r="M991" s="37">
        <v>2894.21</v>
      </c>
      <c r="N991" s="37">
        <v>2894.21</v>
      </c>
      <c r="O991" s="37">
        <f>H991-L991</f>
        <v>-2894.21</v>
      </c>
      <c r="P991" s="37" t="e">
        <f>#REF!-M991</f>
        <v>#REF!</v>
      </c>
      <c r="Q991" s="37" t="e">
        <f>#REF!-N991</f>
        <v>#REF!</v>
      </c>
      <c r="R991" s="17" t="str">
        <f t="shared" si="110"/>
        <v>03 1 02 77190310</v>
      </c>
    </row>
    <row r="992" spans="1:18" s="17" customFormat="1" ht="31.5">
      <c r="A992" s="14"/>
      <c r="B992" s="127" t="s">
        <v>495</v>
      </c>
      <c r="C992" s="130" t="s">
        <v>595</v>
      </c>
      <c r="D992" s="131" t="s">
        <v>317</v>
      </c>
      <c r="E992" s="131" t="s">
        <v>13</v>
      </c>
      <c r="F992" s="131" t="s">
        <v>630</v>
      </c>
      <c r="G992" s="131" t="s">
        <v>496</v>
      </c>
      <c r="H992" s="126"/>
      <c r="L992" s="37"/>
      <c r="M992" s="37"/>
      <c r="N992" s="37"/>
      <c r="O992" s="37"/>
      <c r="P992" s="37"/>
      <c r="Q992" s="37"/>
      <c r="R992" s="17" t="str">
        <f t="shared" si="110"/>
        <v>03 1 02 77190313</v>
      </c>
    </row>
    <row r="993" spans="1:18" s="17" customFormat="1" ht="47.25">
      <c r="A993" s="14"/>
      <c r="B993" s="150" t="s">
        <v>631</v>
      </c>
      <c r="C993" s="109" t="s">
        <v>595</v>
      </c>
      <c r="D993" s="108" t="s">
        <v>317</v>
      </c>
      <c r="E993" s="108" t="s">
        <v>13</v>
      </c>
      <c r="F993" s="108" t="s">
        <v>632</v>
      </c>
      <c r="G993" s="108" t="s">
        <v>9</v>
      </c>
      <c r="H993" s="126">
        <f>H994+H996</f>
        <v>0</v>
      </c>
      <c r="L993" s="37">
        <v>43129.83</v>
      </c>
      <c r="M993" s="37">
        <v>47693.11</v>
      </c>
      <c r="N993" s="37">
        <v>54845.43</v>
      </c>
      <c r="O993" s="37">
        <f>H993-L993</f>
        <v>-43129.83</v>
      </c>
      <c r="P993" s="37" t="e">
        <f>#REF!-M993</f>
        <v>#REF!</v>
      </c>
      <c r="Q993" s="37" t="e">
        <f>#REF!-N993</f>
        <v>#REF!</v>
      </c>
      <c r="R993" s="17" t="str">
        <f t="shared" si="110"/>
        <v>03 1 02 78280000</v>
      </c>
    </row>
    <row r="994" spans="1:18" s="17" customFormat="1" ht="31.5">
      <c r="A994" s="14"/>
      <c r="B994" s="125" t="s">
        <v>28</v>
      </c>
      <c r="C994" s="109" t="s">
        <v>595</v>
      </c>
      <c r="D994" s="108" t="s">
        <v>317</v>
      </c>
      <c r="E994" s="108" t="s">
        <v>13</v>
      </c>
      <c r="F994" s="108" t="s">
        <v>632</v>
      </c>
      <c r="G994" s="108" t="s">
        <v>29</v>
      </c>
      <c r="H994" s="126">
        <f>H995</f>
        <v>0</v>
      </c>
      <c r="L994" s="37">
        <v>516.66999999999996</v>
      </c>
      <c r="M994" s="37">
        <v>582.41</v>
      </c>
      <c r="N994" s="37">
        <v>662.53</v>
      </c>
      <c r="O994" s="37">
        <f>H994-L994</f>
        <v>-516.66999999999996</v>
      </c>
      <c r="P994" s="37" t="e">
        <f>#REF!-M994</f>
        <v>#REF!</v>
      </c>
      <c r="Q994" s="37" t="e">
        <f>#REF!-N994</f>
        <v>#REF!</v>
      </c>
      <c r="R994" s="17" t="str">
        <f t="shared" si="110"/>
        <v>03 1 02 78280240</v>
      </c>
    </row>
    <row r="995" spans="1:18" s="17" customFormat="1" ht="15.75">
      <c r="A995" s="14"/>
      <c r="B995" s="125" t="s">
        <v>30</v>
      </c>
      <c r="C995" s="109" t="s">
        <v>595</v>
      </c>
      <c r="D995" s="108" t="s">
        <v>317</v>
      </c>
      <c r="E995" s="108" t="s">
        <v>13</v>
      </c>
      <c r="F995" s="108" t="s">
        <v>632</v>
      </c>
      <c r="G995" s="108" t="s">
        <v>31</v>
      </c>
      <c r="H995" s="126"/>
      <c r="L995" s="37"/>
      <c r="M995" s="37"/>
      <c r="N995" s="37"/>
      <c r="O995" s="37"/>
      <c r="P995" s="37"/>
      <c r="Q995" s="37"/>
      <c r="R995" s="17" t="str">
        <f t="shared" si="110"/>
        <v>03 1 02 78280244</v>
      </c>
    </row>
    <row r="996" spans="1:18" s="17" customFormat="1" ht="31.5">
      <c r="A996" s="14"/>
      <c r="B996" s="132" t="s">
        <v>493</v>
      </c>
      <c r="C996" s="109" t="s">
        <v>595</v>
      </c>
      <c r="D996" s="108" t="s">
        <v>317</v>
      </c>
      <c r="E996" s="108" t="s">
        <v>13</v>
      </c>
      <c r="F996" s="108" t="s">
        <v>632</v>
      </c>
      <c r="G996" s="108" t="s">
        <v>494</v>
      </c>
      <c r="H996" s="126">
        <f>H997</f>
        <v>0</v>
      </c>
      <c r="L996" s="37">
        <v>42613.16</v>
      </c>
      <c r="M996" s="37">
        <v>47110.7</v>
      </c>
      <c r="N996" s="37">
        <v>54182.9</v>
      </c>
      <c r="O996" s="37">
        <f>H996-L996</f>
        <v>-42613.16</v>
      </c>
      <c r="P996" s="37" t="e">
        <f>#REF!-M996</f>
        <v>#REF!</v>
      </c>
      <c r="Q996" s="37" t="e">
        <f>#REF!-N996</f>
        <v>#REF!</v>
      </c>
      <c r="R996" s="17" t="str">
        <f t="shared" si="110"/>
        <v>03 1 02 78280310</v>
      </c>
    </row>
    <row r="997" spans="1:18" s="17" customFormat="1" ht="31.5">
      <c r="A997" s="14"/>
      <c r="B997" s="127" t="s">
        <v>495</v>
      </c>
      <c r="C997" s="109" t="s">
        <v>595</v>
      </c>
      <c r="D997" s="108" t="s">
        <v>317</v>
      </c>
      <c r="E997" s="108" t="s">
        <v>13</v>
      </c>
      <c r="F997" s="108" t="s">
        <v>632</v>
      </c>
      <c r="G997" s="108" t="s">
        <v>496</v>
      </c>
      <c r="H997" s="126"/>
      <c r="L997" s="37"/>
      <c r="M997" s="37"/>
      <c r="N997" s="37"/>
      <c r="O997" s="37"/>
      <c r="P997" s="37"/>
      <c r="Q997" s="37"/>
      <c r="R997" s="17" t="str">
        <f t="shared" si="110"/>
        <v>03 1 02 78280313</v>
      </c>
    </row>
    <row r="998" spans="1:18" s="17" customFormat="1" ht="63">
      <c r="A998" s="14"/>
      <c r="B998" s="132" t="s">
        <v>387</v>
      </c>
      <c r="C998" s="109" t="s">
        <v>595</v>
      </c>
      <c r="D998" s="108" t="s">
        <v>317</v>
      </c>
      <c r="E998" s="108" t="s">
        <v>13</v>
      </c>
      <c r="F998" s="108" t="s">
        <v>388</v>
      </c>
      <c r="G998" s="108" t="s">
        <v>9</v>
      </c>
      <c r="H998" s="126">
        <f>H999+H1036+H1040+H1044</f>
        <v>0</v>
      </c>
      <c r="L998" s="37">
        <v>20720.739999999998</v>
      </c>
      <c r="M998" s="37">
        <v>20786.739999999998</v>
      </c>
      <c r="N998" s="37">
        <v>50833.09</v>
      </c>
      <c r="O998" s="37">
        <f>H998-L998</f>
        <v>-20720.739999999998</v>
      </c>
      <c r="P998" s="37" t="e">
        <f>#REF!-M998</f>
        <v>#REF!</v>
      </c>
      <c r="Q998" s="37" t="e">
        <f>#REF!-N998</f>
        <v>#REF!</v>
      </c>
      <c r="R998" s="17" t="str">
        <f t="shared" si="110"/>
        <v>03 2 00 00000000</v>
      </c>
    </row>
    <row r="999" spans="1:18" s="17" customFormat="1" ht="47.25">
      <c r="A999" s="14"/>
      <c r="B999" s="148" t="s">
        <v>633</v>
      </c>
      <c r="C999" s="109" t="s">
        <v>595</v>
      </c>
      <c r="D999" s="108" t="s">
        <v>317</v>
      </c>
      <c r="E999" s="108" t="s">
        <v>13</v>
      </c>
      <c r="F999" s="108" t="s">
        <v>634</v>
      </c>
      <c r="G999" s="108" t="s">
        <v>9</v>
      </c>
      <c r="H999" s="126">
        <f>H1000+H1003+H1009+H1012+H1015+H1018+H1024+H1027+H1030+H1033+H1006+H1021</f>
        <v>0</v>
      </c>
      <c r="L999" s="37">
        <v>20539.739999999998</v>
      </c>
      <c r="M999" s="37">
        <v>20605.739999999998</v>
      </c>
      <c r="N999" s="37">
        <v>50652.09</v>
      </c>
      <c r="O999" s="37">
        <f>H999-L999</f>
        <v>-20539.739999999998</v>
      </c>
      <c r="P999" s="37" t="e">
        <f>#REF!-M999</f>
        <v>#REF!</v>
      </c>
      <c r="Q999" s="37" t="e">
        <f>#REF!-N999</f>
        <v>#REF!</v>
      </c>
      <c r="R999" s="17" t="str">
        <f t="shared" si="110"/>
        <v>03 2 01 00000000</v>
      </c>
    </row>
    <row r="1000" spans="1:18" s="17" customFormat="1" ht="63">
      <c r="A1000" s="14"/>
      <c r="B1000" s="149" t="s">
        <v>635</v>
      </c>
      <c r="C1000" s="109" t="s">
        <v>595</v>
      </c>
      <c r="D1000" s="108" t="s">
        <v>317</v>
      </c>
      <c r="E1000" s="108" t="s">
        <v>13</v>
      </c>
      <c r="F1000" s="108" t="s">
        <v>636</v>
      </c>
      <c r="G1000" s="108" t="s">
        <v>9</v>
      </c>
      <c r="H1000" s="126">
        <f>H1001</f>
        <v>0</v>
      </c>
      <c r="L1000" s="37">
        <v>6350</v>
      </c>
      <c r="M1000" s="37">
        <v>6350</v>
      </c>
      <c r="N1000" s="37">
        <v>6350</v>
      </c>
      <c r="O1000" s="37">
        <f>H1000-L1000</f>
        <v>-6350</v>
      </c>
      <c r="P1000" s="37" t="e">
        <f>#REF!-M1000</f>
        <v>#REF!</v>
      </c>
      <c r="Q1000" s="37" t="e">
        <f>#REF!-N1000</f>
        <v>#REF!</v>
      </c>
      <c r="R1000" s="17" t="str">
        <f t="shared" si="110"/>
        <v>03 2 01 80030000</v>
      </c>
    </row>
    <row r="1001" spans="1:18" s="17" customFormat="1" ht="31.5">
      <c r="A1001" s="14"/>
      <c r="B1001" s="132" t="s">
        <v>493</v>
      </c>
      <c r="C1001" s="109" t="s">
        <v>595</v>
      </c>
      <c r="D1001" s="108" t="s">
        <v>317</v>
      </c>
      <c r="E1001" s="108" t="s">
        <v>13</v>
      </c>
      <c r="F1001" s="108" t="s">
        <v>636</v>
      </c>
      <c r="G1001" s="108" t="s">
        <v>494</v>
      </c>
      <c r="H1001" s="126">
        <f>H1002</f>
        <v>0</v>
      </c>
      <c r="L1001" s="37">
        <v>6350</v>
      </c>
      <c r="M1001" s="37">
        <v>6350</v>
      </c>
      <c r="N1001" s="37">
        <v>6350</v>
      </c>
      <c r="O1001" s="37">
        <f>H1001-L1001</f>
        <v>-6350</v>
      </c>
      <c r="P1001" s="37" t="e">
        <f>#REF!-M1001</f>
        <v>#REF!</v>
      </c>
      <c r="Q1001" s="37" t="e">
        <f>#REF!-N1001</f>
        <v>#REF!</v>
      </c>
      <c r="R1001" s="17" t="str">
        <f t="shared" si="110"/>
        <v>03 2 01 80030310</v>
      </c>
    </row>
    <row r="1002" spans="1:18" s="17" customFormat="1" ht="31.5">
      <c r="A1002" s="14"/>
      <c r="B1002" s="127" t="s">
        <v>495</v>
      </c>
      <c r="C1002" s="109" t="s">
        <v>595</v>
      </c>
      <c r="D1002" s="108" t="s">
        <v>317</v>
      </c>
      <c r="E1002" s="108" t="s">
        <v>13</v>
      </c>
      <c r="F1002" s="108" t="s">
        <v>636</v>
      </c>
      <c r="G1002" s="108" t="s">
        <v>496</v>
      </c>
      <c r="H1002" s="126"/>
      <c r="L1002" s="37"/>
      <c r="M1002" s="37"/>
      <c r="N1002" s="37"/>
      <c r="O1002" s="37"/>
      <c r="P1002" s="37"/>
      <c r="Q1002" s="37"/>
    </row>
    <row r="1003" spans="1:18" s="17" customFormat="1" ht="63">
      <c r="A1003" s="14"/>
      <c r="B1003" s="149" t="s">
        <v>637</v>
      </c>
      <c r="C1003" s="109" t="s">
        <v>595</v>
      </c>
      <c r="D1003" s="108" t="s">
        <v>317</v>
      </c>
      <c r="E1003" s="108" t="s">
        <v>13</v>
      </c>
      <c r="F1003" s="108" t="s">
        <v>638</v>
      </c>
      <c r="G1003" s="108" t="s">
        <v>9</v>
      </c>
      <c r="H1003" s="126">
        <f>H1004</f>
        <v>0</v>
      </c>
      <c r="L1003" s="37">
        <v>694.28</v>
      </c>
      <c r="M1003" s="37">
        <v>694.28</v>
      </c>
      <c r="N1003" s="37">
        <v>694.28</v>
      </c>
      <c r="O1003" s="37">
        <f>H1003-L1003</f>
        <v>-694.28</v>
      </c>
      <c r="P1003" s="37" t="e">
        <f>#REF!-M1003</f>
        <v>#REF!</v>
      </c>
      <c r="Q1003" s="37" t="e">
        <f>#REF!-N1003</f>
        <v>#REF!</v>
      </c>
      <c r="R1003" s="17" t="str">
        <f t="shared" si="110"/>
        <v>03 2 01 80070000</v>
      </c>
    </row>
    <row r="1004" spans="1:18" s="17" customFormat="1" ht="31.5">
      <c r="A1004" s="14"/>
      <c r="B1004" s="132" t="s">
        <v>493</v>
      </c>
      <c r="C1004" s="109" t="s">
        <v>595</v>
      </c>
      <c r="D1004" s="108" t="s">
        <v>317</v>
      </c>
      <c r="E1004" s="108" t="s">
        <v>13</v>
      </c>
      <c r="F1004" s="108" t="s">
        <v>638</v>
      </c>
      <c r="G1004" s="108" t="s">
        <v>494</v>
      </c>
      <c r="H1004" s="126">
        <f>H1005</f>
        <v>0</v>
      </c>
      <c r="L1004" s="37">
        <v>694.28</v>
      </c>
      <c r="M1004" s="37">
        <v>694.28</v>
      </c>
      <c r="N1004" s="37">
        <v>694.28</v>
      </c>
      <c r="O1004" s="37">
        <f>H1004-L1004</f>
        <v>-694.28</v>
      </c>
      <c r="P1004" s="37" t="e">
        <f>#REF!-M1004</f>
        <v>#REF!</v>
      </c>
      <c r="Q1004" s="37" t="e">
        <f>#REF!-N1004</f>
        <v>#REF!</v>
      </c>
      <c r="R1004" s="17" t="str">
        <f t="shared" si="110"/>
        <v>03 2 01 80070310</v>
      </c>
    </row>
    <row r="1005" spans="1:18" s="17" customFormat="1" ht="31.5">
      <c r="A1005" s="14"/>
      <c r="B1005" s="127" t="s">
        <v>495</v>
      </c>
      <c r="C1005" s="109" t="s">
        <v>595</v>
      </c>
      <c r="D1005" s="108" t="s">
        <v>317</v>
      </c>
      <c r="E1005" s="108" t="s">
        <v>13</v>
      </c>
      <c r="F1005" s="108" t="s">
        <v>638</v>
      </c>
      <c r="G1005" s="108" t="s">
        <v>496</v>
      </c>
      <c r="H1005" s="126"/>
      <c r="L1005" s="37"/>
      <c r="M1005" s="37"/>
      <c r="N1005" s="37"/>
      <c r="O1005" s="37"/>
      <c r="P1005" s="37"/>
      <c r="Q1005" s="37"/>
      <c r="R1005" s="17" t="str">
        <f t="shared" si="110"/>
        <v>03 2 01 80070313</v>
      </c>
    </row>
    <row r="1006" spans="1:18" s="17" customFormat="1" ht="31.5">
      <c r="A1006" s="14"/>
      <c r="B1006" s="149" t="s">
        <v>639</v>
      </c>
      <c r="C1006" s="109" t="s">
        <v>595</v>
      </c>
      <c r="D1006" s="108" t="s">
        <v>317</v>
      </c>
      <c r="E1006" s="108" t="s">
        <v>13</v>
      </c>
      <c r="F1006" s="108" t="s">
        <v>640</v>
      </c>
      <c r="G1006" s="108" t="s">
        <v>9</v>
      </c>
      <c r="H1006" s="126">
        <f>H1007</f>
        <v>0</v>
      </c>
      <c r="L1006" s="37">
        <v>1664</v>
      </c>
      <c r="M1006" s="37">
        <v>1730</v>
      </c>
      <c r="N1006" s="37">
        <v>1944.35</v>
      </c>
      <c r="O1006" s="37">
        <f>H1006-L1006</f>
        <v>-1664</v>
      </c>
      <c r="P1006" s="37" t="e">
        <f>#REF!-M1006</f>
        <v>#REF!</v>
      </c>
      <c r="Q1006" s="37" t="e">
        <f>#REF!-N1006</f>
        <v>#REF!</v>
      </c>
      <c r="R1006" s="17" t="str">
        <f t="shared" si="110"/>
        <v>03 2 01 80080000</v>
      </c>
    </row>
    <row r="1007" spans="1:18" s="17" customFormat="1" ht="31.5">
      <c r="A1007" s="14"/>
      <c r="B1007" s="132" t="s">
        <v>493</v>
      </c>
      <c r="C1007" s="109" t="s">
        <v>595</v>
      </c>
      <c r="D1007" s="108" t="s">
        <v>317</v>
      </c>
      <c r="E1007" s="108" t="s">
        <v>13</v>
      </c>
      <c r="F1007" s="108" t="s">
        <v>640</v>
      </c>
      <c r="G1007" s="108" t="s">
        <v>494</v>
      </c>
      <c r="H1007" s="126">
        <f>H1008</f>
        <v>0</v>
      </c>
      <c r="L1007" s="37">
        <v>1664</v>
      </c>
      <c r="M1007" s="37">
        <v>1730</v>
      </c>
      <c r="N1007" s="37">
        <v>1944.35</v>
      </c>
      <c r="O1007" s="37">
        <f>H1007-L1007</f>
        <v>-1664</v>
      </c>
      <c r="P1007" s="37" t="e">
        <f>#REF!-M1007</f>
        <v>#REF!</v>
      </c>
      <c r="Q1007" s="37" t="e">
        <f>#REF!-N1007</f>
        <v>#REF!</v>
      </c>
      <c r="R1007" s="17" t="str">
        <f t="shared" si="110"/>
        <v>03 2 01 80080310</v>
      </c>
    </row>
    <row r="1008" spans="1:18" s="17" customFormat="1" ht="31.5">
      <c r="A1008" s="14"/>
      <c r="B1008" s="127" t="s">
        <v>495</v>
      </c>
      <c r="C1008" s="109" t="s">
        <v>595</v>
      </c>
      <c r="D1008" s="108" t="s">
        <v>317</v>
      </c>
      <c r="E1008" s="108" t="s">
        <v>13</v>
      </c>
      <c r="F1008" s="108" t="s">
        <v>640</v>
      </c>
      <c r="G1008" s="108" t="s">
        <v>496</v>
      </c>
      <c r="H1008" s="126"/>
      <c r="L1008" s="37"/>
      <c r="M1008" s="37"/>
      <c r="N1008" s="37"/>
      <c r="O1008" s="37"/>
      <c r="P1008" s="37"/>
      <c r="Q1008" s="37"/>
    </row>
    <row r="1009" spans="1:18" s="17" customFormat="1" ht="31.5">
      <c r="A1009" s="14"/>
      <c r="B1009" s="149" t="s">
        <v>641</v>
      </c>
      <c r="C1009" s="109" t="s">
        <v>595</v>
      </c>
      <c r="D1009" s="108" t="s">
        <v>317</v>
      </c>
      <c r="E1009" s="108" t="s">
        <v>13</v>
      </c>
      <c r="F1009" s="108" t="s">
        <v>642</v>
      </c>
      <c r="G1009" s="108" t="s">
        <v>9</v>
      </c>
      <c r="H1009" s="126">
        <f>H1010</f>
        <v>0</v>
      </c>
      <c r="L1009" s="37">
        <v>5718</v>
      </c>
      <c r="M1009" s="37">
        <v>5718</v>
      </c>
      <c r="N1009" s="37">
        <v>5718</v>
      </c>
      <c r="O1009" s="37">
        <f>H1009-L1009</f>
        <v>-5718</v>
      </c>
      <c r="P1009" s="37" t="e">
        <f>#REF!-M1009</f>
        <v>#REF!</v>
      </c>
      <c r="Q1009" s="37" t="e">
        <f>#REF!-N1009</f>
        <v>#REF!</v>
      </c>
      <c r="R1009" s="17" t="str">
        <f t="shared" si="110"/>
        <v>03 2 01 80100000</v>
      </c>
    </row>
    <row r="1010" spans="1:18" s="17" customFormat="1" ht="31.5">
      <c r="A1010" s="14"/>
      <c r="B1010" s="132" t="s">
        <v>493</v>
      </c>
      <c r="C1010" s="109" t="s">
        <v>595</v>
      </c>
      <c r="D1010" s="108" t="s">
        <v>317</v>
      </c>
      <c r="E1010" s="108" t="s">
        <v>13</v>
      </c>
      <c r="F1010" s="108" t="s">
        <v>642</v>
      </c>
      <c r="G1010" s="108" t="s">
        <v>494</v>
      </c>
      <c r="H1010" s="126">
        <f>H1011</f>
        <v>0</v>
      </c>
      <c r="L1010" s="37">
        <v>5718</v>
      </c>
      <c r="M1010" s="37">
        <v>5718</v>
      </c>
      <c r="N1010" s="37">
        <v>5718</v>
      </c>
      <c r="O1010" s="37">
        <f>H1010-L1010</f>
        <v>-5718</v>
      </c>
      <c r="P1010" s="37" t="e">
        <f>#REF!-M1010</f>
        <v>#REF!</v>
      </c>
      <c r="Q1010" s="37" t="e">
        <f>#REF!-N1010</f>
        <v>#REF!</v>
      </c>
      <c r="R1010" s="17" t="str">
        <f t="shared" si="110"/>
        <v>03 2 01 80100310</v>
      </c>
    </row>
    <row r="1011" spans="1:18" s="17" customFormat="1" ht="31.5">
      <c r="A1011" s="14"/>
      <c r="B1011" s="127" t="s">
        <v>495</v>
      </c>
      <c r="C1011" s="109" t="s">
        <v>595</v>
      </c>
      <c r="D1011" s="108" t="s">
        <v>317</v>
      </c>
      <c r="E1011" s="108" t="s">
        <v>13</v>
      </c>
      <c r="F1011" s="108" t="s">
        <v>642</v>
      </c>
      <c r="G1011" s="108" t="s">
        <v>496</v>
      </c>
      <c r="H1011" s="126"/>
      <c r="L1011" s="37"/>
      <c r="M1011" s="37"/>
      <c r="N1011" s="37"/>
      <c r="O1011" s="37"/>
      <c r="P1011" s="37"/>
      <c r="Q1011" s="37"/>
      <c r="R1011" s="17" t="str">
        <f t="shared" si="110"/>
        <v>03 2 01 80100313</v>
      </c>
    </row>
    <row r="1012" spans="1:18" s="17" customFormat="1" ht="47.25">
      <c r="A1012" s="14"/>
      <c r="B1012" s="149" t="s">
        <v>643</v>
      </c>
      <c r="C1012" s="109" t="s">
        <v>595</v>
      </c>
      <c r="D1012" s="108" t="s">
        <v>317</v>
      </c>
      <c r="E1012" s="108" t="s">
        <v>13</v>
      </c>
      <c r="F1012" s="108" t="s">
        <v>644</v>
      </c>
      <c r="G1012" s="108" t="s">
        <v>9</v>
      </c>
      <c r="H1012" s="126">
        <f>H1013</f>
        <v>0</v>
      </c>
      <c r="L1012" s="37">
        <v>1080</v>
      </c>
      <c r="M1012" s="37">
        <v>1080</v>
      </c>
      <c r="N1012" s="37">
        <v>1080</v>
      </c>
      <c r="O1012" s="37">
        <f>H1012-L1012</f>
        <v>-1080</v>
      </c>
      <c r="P1012" s="37" t="e">
        <f>#REF!-M1012</f>
        <v>#REF!</v>
      </c>
      <c r="Q1012" s="37" t="e">
        <f>#REF!-N1012</f>
        <v>#REF!</v>
      </c>
      <c r="R1012" s="17" t="str">
        <f t="shared" si="110"/>
        <v>03 2 01 80110000</v>
      </c>
    </row>
    <row r="1013" spans="1:18" s="17" customFormat="1" ht="31.5">
      <c r="A1013" s="14"/>
      <c r="B1013" s="132" t="s">
        <v>493</v>
      </c>
      <c r="C1013" s="109" t="s">
        <v>595</v>
      </c>
      <c r="D1013" s="108" t="s">
        <v>317</v>
      </c>
      <c r="E1013" s="108" t="s">
        <v>13</v>
      </c>
      <c r="F1013" s="108" t="s">
        <v>644</v>
      </c>
      <c r="G1013" s="108" t="s">
        <v>494</v>
      </c>
      <c r="H1013" s="126">
        <f>H1014</f>
        <v>0</v>
      </c>
      <c r="L1013" s="37">
        <v>1080</v>
      </c>
      <c r="M1013" s="37">
        <v>1080</v>
      </c>
      <c r="N1013" s="37">
        <v>1080</v>
      </c>
      <c r="O1013" s="37">
        <f>H1013-L1013</f>
        <v>-1080</v>
      </c>
      <c r="P1013" s="37" t="e">
        <f>#REF!-M1013</f>
        <v>#REF!</v>
      </c>
      <c r="Q1013" s="37" t="e">
        <f>#REF!-N1013</f>
        <v>#REF!</v>
      </c>
      <c r="R1013" s="17" t="str">
        <f t="shared" si="110"/>
        <v>03 2 01 80110310</v>
      </c>
    </row>
    <row r="1014" spans="1:18" s="17" customFormat="1" ht="31.5">
      <c r="A1014" s="14"/>
      <c r="B1014" s="127" t="s">
        <v>495</v>
      </c>
      <c r="C1014" s="109" t="s">
        <v>595</v>
      </c>
      <c r="D1014" s="108" t="s">
        <v>317</v>
      </c>
      <c r="E1014" s="108" t="s">
        <v>13</v>
      </c>
      <c r="F1014" s="108" t="s">
        <v>644</v>
      </c>
      <c r="G1014" s="108" t="s">
        <v>496</v>
      </c>
      <c r="H1014" s="126"/>
      <c r="L1014" s="37"/>
      <c r="M1014" s="37"/>
      <c r="N1014" s="37"/>
      <c r="O1014" s="37"/>
      <c r="P1014" s="37"/>
      <c r="Q1014" s="37"/>
      <c r="R1014" s="17" t="str">
        <f t="shared" si="110"/>
        <v>03 2 01 80110313</v>
      </c>
    </row>
    <row r="1015" spans="1:18" s="17" customFormat="1" ht="157.5">
      <c r="A1015" s="14"/>
      <c r="B1015" s="149" t="s">
        <v>645</v>
      </c>
      <c r="C1015" s="109" t="s">
        <v>595</v>
      </c>
      <c r="D1015" s="108" t="s">
        <v>317</v>
      </c>
      <c r="E1015" s="108" t="s">
        <v>13</v>
      </c>
      <c r="F1015" s="108" t="s">
        <v>646</v>
      </c>
      <c r="G1015" s="108" t="s">
        <v>9</v>
      </c>
      <c r="H1015" s="126">
        <f>H1016</f>
        <v>0</v>
      </c>
      <c r="L1015" s="37">
        <v>1025.46</v>
      </c>
      <c r="M1015" s="37">
        <v>1025.46</v>
      </c>
      <c r="N1015" s="37">
        <v>1025.46</v>
      </c>
      <c r="O1015" s="37">
        <f>H1015-L1015</f>
        <v>-1025.46</v>
      </c>
      <c r="P1015" s="37" t="e">
        <f>#REF!-M1015</f>
        <v>#REF!</v>
      </c>
      <c r="Q1015" s="37" t="e">
        <f>#REF!-N1015</f>
        <v>#REF!</v>
      </c>
      <c r="R1015" s="17" t="str">
        <f t="shared" si="110"/>
        <v>03 2 01 80120000</v>
      </c>
    </row>
    <row r="1016" spans="1:18" s="17" customFormat="1" ht="31.5">
      <c r="A1016" s="14"/>
      <c r="B1016" s="132" t="s">
        <v>493</v>
      </c>
      <c r="C1016" s="109" t="s">
        <v>595</v>
      </c>
      <c r="D1016" s="108" t="s">
        <v>317</v>
      </c>
      <c r="E1016" s="108" t="s">
        <v>13</v>
      </c>
      <c r="F1016" s="108" t="s">
        <v>646</v>
      </c>
      <c r="G1016" s="108" t="s">
        <v>494</v>
      </c>
      <c r="H1016" s="126">
        <f>H1017</f>
        <v>0</v>
      </c>
      <c r="L1016" s="37">
        <v>1025.46</v>
      </c>
      <c r="M1016" s="37">
        <v>1025.46</v>
      </c>
      <c r="N1016" s="37">
        <v>1025.46</v>
      </c>
      <c r="O1016" s="37">
        <f>H1016-L1016</f>
        <v>-1025.46</v>
      </c>
      <c r="P1016" s="37" t="e">
        <f>#REF!-M1016</f>
        <v>#REF!</v>
      </c>
      <c r="Q1016" s="37" t="e">
        <f>#REF!-N1016</f>
        <v>#REF!</v>
      </c>
      <c r="R1016" s="17" t="str">
        <f t="shared" ref="R1016:R1109" si="111">CONCATENATE(F1016,G1016)</f>
        <v>03 2 01 80120310</v>
      </c>
    </row>
    <row r="1017" spans="1:18" s="17" customFormat="1" ht="31.5">
      <c r="A1017" s="14"/>
      <c r="B1017" s="127" t="s">
        <v>495</v>
      </c>
      <c r="C1017" s="109" t="s">
        <v>595</v>
      </c>
      <c r="D1017" s="108" t="s">
        <v>317</v>
      </c>
      <c r="E1017" s="108" t="s">
        <v>13</v>
      </c>
      <c r="F1017" s="108" t="s">
        <v>646</v>
      </c>
      <c r="G1017" s="108" t="s">
        <v>496</v>
      </c>
      <c r="H1017" s="126"/>
      <c r="L1017" s="37"/>
      <c r="M1017" s="37"/>
      <c r="N1017" s="37"/>
      <c r="O1017" s="37"/>
      <c r="P1017" s="37"/>
      <c r="Q1017" s="37"/>
      <c r="R1017" s="17" t="str">
        <f t="shared" si="111"/>
        <v>03 2 01 80120313</v>
      </c>
    </row>
    <row r="1018" spans="1:18" s="17" customFormat="1" ht="47.25">
      <c r="A1018" s="14"/>
      <c r="B1018" s="149" t="s">
        <v>647</v>
      </c>
      <c r="C1018" s="109" t="s">
        <v>595</v>
      </c>
      <c r="D1018" s="108" t="s">
        <v>317</v>
      </c>
      <c r="E1018" s="108" t="s">
        <v>13</v>
      </c>
      <c r="F1018" s="108" t="s">
        <v>648</v>
      </c>
      <c r="G1018" s="108" t="s">
        <v>9</v>
      </c>
      <c r="H1018" s="126">
        <f>H1019</f>
        <v>0</v>
      </c>
      <c r="L1018" s="37">
        <v>714</v>
      </c>
      <c r="M1018" s="37">
        <v>714</v>
      </c>
      <c r="N1018" s="37">
        <v>714</v>
      </c>
      <c r="O1018" s="37">
        <f>H1018-L1018</f>
        <v>-714</v>
      </c>
      <c r="P1018" s="37" t="e">
        <f>#REF!-M1018</f>
        <v>#REF!</v>
      </c>
      <c r="Q1018" s="37" t="e">
        <f>#REF!-N1018</f>
        <v>#REF!</v>
      </c>
      <c r="R1018" s="17" t="str">
        <f t="shared" si="111"/>
        <v>03 2 01 80140000</v>
      </c>
    </row>
    <row r="1019" spans="1:18" s="17" customFormat="1" ht="31.5">
      <c r="A1019" s="14"/>
      <c r="B1019" s="132" t="s">
        <v>493</v>
      </c>
      <c r="C1019" s="109" t="s">
        <v>595</v>
      </c>
      <c r="D1019" s="108" t="s">
        <v>317</v>
      </c>
      <c r="E1019" s="108" t="s">
        <v>13</v>
      </c>
      <c r="F1019" s="108" t="s">
        <v>648</v>
      </c>
      <c r="G1019" s="108" t="s">
        <v>494</v>
      </c>
      <c r="H1019" s="126">
        <f>H1020</f>
        <v>0</v>
      </c>
      <c r="L1019" s="37">
        <v>714</v>
      </c>
      <c r="M1019" s="37">
        <v>714</v>
      </c>
      <c r="N1019" s="37">
        <v>714</v>
      </c>
      <c r="O1019" s="37">
        <f>H1019-L1019</f>
        <v>-714</v>
      </c>
      <c r="P1019" s="37" t="e">
        <f>#REF!-M1019</f>
        <v>#REF!</v>
      </c>
      <c r="Q1019" s="37" t="e">
        <f>#REF!-N1019</f>
        <v>#REF!</v>
      </c>
      <c r="R1019" s="17" t="str">
        <f t="shared" si="111"/>
        <v>03 2 01 80140310</v>
      </c>
    </row>
    <row r="1020" spans="1:18" s="17" customFormat="1" ht="31.5">
      <c r="A1020" s="14"/>
      <c r="B1020" s="127" t="s">
        <v>495</v>
      </c>
      <c r="C1020" s="109" t="s">
        <v>595</v>
      </c>
      <c r="D1020" s="108" t="s">
        <v>317</v>
      </c>
      <c r="E1020" s="108" t="s">
        <v>13</v>
      </c>
      <c r="F1020" s="108" t="s">
        <v>648</v>
      </c>
      <c r="G1020" s="108" t="s">
        <v>496</v>
      </c>
      <c r="H1020" s="126"/>
      <c r="L1020" s="37"/>
      <c r="M1020" s="37"/>
      <c r="N1020" s="37"/>
      <c r="O1020" s="37"/>
      <c r="P1020" s="37"/>
      <c r="Q1020" s="37"/>
    </row>
    <row r="1021" spans="1:18" s="17" customFormat="1" ht="78.75">
      <c r="A1021" s="14"/>
      <c r="B1021" s="149" t="s">
        <v>649</v>
      </c>
      <c r="C1021" s="109" t="s">
        <v>595</v>
      </c>
      <c r="D1021" s="108" t="s">
        <v>317</v>
      </c>
      <c r="E1021" s="108" t="s">
        <v>13</v>
      </c>
      <c r="F1021" s="108" t="s">
        <v>650</v>
      </c>
      <c r="G1021" s="108" t="s">
        <v>9</v>
      </c>
      <c r="H1021" s="126">
        <f>H1022</f>
        <v>0</v>
      </c>
      <c r="L1021" s="37">
        <v>300</v>
      </c>
      <c r="M1021" s="37">
        <v>300</v>
      </c>
      <c r="N1021" s="37">
        <v>300</v>
      </c>
      <c r="O1021" s="37">
        <f>H1021-L1021</f>
        <v>-300</v>
      </c>
      <c r="P1021" s="37" t="e">
        <f>#REF!-M1021</f>
        <v>#REF!</v>
      </c>
      <c r="Q1021" s="37" t="e">
        <f>#REF!-N1021</f>
        <v>#REF!</v>
      </c>
      <c r="R1021" s="17" t="str">
        <f t="shared" si="111"/>
        <v>03 2 01 80150000</v>
      </c>
    </row>
    <row r="1022" spans="1:18" s="17" customFormat="1" ht="31.5">
      <c r="A1022" s="14"/>
      <c r="B1022" s="132" t="s">
        <v>493</v>
      </c>
      <c r="C1022" s="109" t="s">
        <v>595</v>
      </c>
      <c r="D1022" s="108" t="s">
        <v>317</v>
      </c>
      <c r="E1022" s="108" t="s">
        <v>13</v>
      </c>
      <c r="F1022" s="108" t="s">
        <v>650</v>
      </c>
      <c r="G1022" s="108" t="s">
        <v>494</v>
      </c>
      <c r="H1022" s="126">
        <f>H1023</f>
        <v>0</v>
      </c>
      <c r="L1022" s="37">
        <v>300</v>
      </c>
      <c r="M1022" s="37">
        <v>300</v>
      </c>
      <c r="N1022" s="37">
        <v>300</v>
      </c>
      <c r="O1022" s="37">
        <f>H1022-L1022</f>
        <v>-300</v>
      </c>
      <c r="P1022" s="37" t="e">
        <f>#REF!-M1022</f>
        <v>#REF!</v>
      </c>
      <c r="Q1022" s="37" t="e">
        <f>#REF!-N1022</f>
        <v>#REF!</v>
      </c>
      <c r="R1022" s="17" t="str">
        <f t="shared" si="111"/>
        <v>03 2 01 80150310</v>
      </c>
    </row>
    <row r="1023" spans="1:18" s="17" customFormat="1" ht="31.5">
      <c r="A1023" s="14"/>
      <c r="B1023" s="127" t="s">
        <v>495</v>
      </c>
      <c r="C1023" s="109" t="s">
        <v>595</v>
      </c>
      <c r="D1023" s="108" t="s">
        <v>317</v>
      </c>
      <c r="E1023" s="108" t="s">
        <v>13</v>
      </c>
      <c r="F1023" s="108" t="s">
        <v>650</v>
      </c>
      <c r="G1023" s="108" t="s">
        <v>496</v>
      </c>
      <c r="H1023" s="126"/>
      <c r="L1023" s="37"/>
      <c r="M1023" s="37"/>
      <c r="N1023" s="37"/>
      <c r="O1023" s="37"/>
      <c r="P1023" s="37"/>
      <c r="Q1023" s="37"/>
    </row>
    <row r="1024" spans="1:18" s="17" customFormat="1" ht="31.5">
      <c r="A1024" s="14"/>
      <c r="B1024" s="149" t="s">
        <v>651</v>
      </c>
      <c r="C1024" s="109" t="s">
        <v>595</v>
      </c>
      <c r="D1024" s="108" t="s">
        <v>317</v>
      </c>
      <c r="E1024" s="108" t="s">
        <v>13</v>
      </c>
      <c r="F1024" s="108" t="s">
        <v>652</v>
      </c>
      <c r="G1024" s="108" t="s">
        <v>9</v>
      </c>
      <c r="H1024" s="126">
        <f>H1025</f>
        <v>0</v>
      </c>
      <c r="L1024" s="37">
        <v>1020</v>
      </c>
      <c r="M1024" s="37">
        <v>1020</v>
      </c>
      <c r="N1024" s="37">
        <v>1020</v>
      </c>
      <c r="O1024" s="37">
        <f>H1024-L1024</f>
        <v>-1020</v>
      </c>
      <c r="P1024" s="37" t="e">
        <f>#REF!-M1024</f>
        <v>#REF!</v>
      </c>
      <c r="Q1024" s="37" t="e">
        <f>#REF!-N1024</f>
        <v>#REF!</v>
      </c>
      <c r="R1024" s="17" t="str">
        <f t="shared" si="111"/>
        <v>03 2 01 80160000</v>
      </c>
    </row>
    <row r="1025" spans="1:18" s="17" customFormat="1" ht="31.5">
      <c r="A1025" s="14"/>
      <c r="B1025" s="132" t="s">
        <v>493</v>
      </c>
      <c r="C1025" s="109" t="s">
        <v>595</v>
      </c>
      <c r="D1025" s="108" t="s">
        <v>317</v>
      </c>
      <c r="E1025" s="108" t="s">
        <v>13</v>
      </c>
      <c r="F1025" s="108" t="s">
        <v>652</v>
      </c>
      <c r="G1025" s="108" t="s">
        <v>494</v>
      </c>
      <c r="H1025" s="126">
        <f>H1026</f>
        <v>0</v>
      </c>
      <c r="L1025" s="37">
        <v>1020</v>
      </c>
      <c r="M1025" s="37">
        <v>1020</v>
      </c>
      <c r="N1025" s="37">
        <v>1020</v>
      </c>
      <c r="O1025" s="37">
        <f>H1025-L1025</f>
        <v>-1020</v>
      </c>
      <c r="P1025" s="37" t="e">
        <f>#REF!-M1025</f>
        <v>#REF!</v>
      </c>
      <c r="Q1025" s="37" t="e">
        <f>#REF!-N1025</f>
        <v>#REF!</v>
      </c>
      <c r="R1025" s="17" t="str">
        <f t="shared" si="111"/>
        <v>03 2 01 80160310</v>
      </c>
    </row>
    <row r="1026" spans="1:18" s="17" customFormat="1" ht="31.5">
      <c r="A1026" s="14"/>
      <c r="B1026" s="127" t="s">
        <v>495</v>
      </c>
      <c r="C1026" s="109" t="s">
        <v>595</v>
      </c>
      <c r="D1026" s="108" t="s">
        <v>317</v>
      </c>
      <c r="E1026" s="108" t="s">
        <v>13</v>
      </c>
      <c r="F1026" s="108" t="s">
        <v>652</v>
      </c>
      <c r="G1026" s="108" t="s">
        <v>496</v>
      </c>
      <c r="H1026" s="126"/>
      <c r="L1026" s="37"/>
      <c r="M1026" s="37"/>
      <c r="N1026" s="37"/>
      <c r="O1026" s="37"/>
      <c r="P1026" s="37"/>
      <c r="Q1026" s="37"/>
    </row>
    <row r="1027" spans="1:18" s="4" customFormat="1" ht="31.5">
      <c r="A1027" s="1"/>
      <c r="B1027" s="149" t="s">
        <v>653</v>
      </c>
      <c r="C1027" s="109" t="s">
        <v>595</v>
      </c>
      <c r="D1027" s="108" t="s">
        <v>317</v>
      </c>
      <c r="E1027" s="108" t="s">
        <v>13</v>
      </c>
      <c r="F1027" s="108" t="s">
        <v>654</v>
      </c>
      <c r="G1027" s="108" t="s">
        <v>9</v>
      </c>
      <c r="H1027" s="126">
        <f>H1028</f>
        <v>0</v>
      </c>
      <c r="L1027" s="37">
        <v>1854</v>
      </c>
      <c r="M1027" s="37">
        <v>1854</v>
      </c>
      <c r="N1027" s="37">
        <v>1854</v>
      </c>
      <c r="O1027" s="37">
        <f>H1027-L1027</f>
        <v>-1854</v>
      </c>
      <c r="P1027" s="37" t="e">
        <f>#REF!-M1027</f>
        <v>#REF!</v>
      </c>
      <c r="Q1027" s="37" t="e">
        <f>#REF!-N1027</f>
        <v>#REF!</v>
      </c>
      <c r="R1027" s="17" t="str">
        <f t="shared" si="111"/>
        <v>03 2 01 80180000</v>
      </c>
    </row>
    <row r="1028" spans="1:18" s="4" customFormat="1" ht="31.5">
      <c r="A1028" s="1"/>
      <c r="B1028" s="132" t="s">
        <v>493</v>
      </c>
      <c r="C1028" s="109" t="s">
        <v>595</v>
      </c>
      <c r="D1028" s="108" t="s">
        <v>317</v>
      </c>
      <c r="E1028" s="108" t="s">
        <v>13</v>
      </c>
      <c r="F1028" s="108" t="s">
        <v>654</v>
      </c>
      <c r="G1028" s="108" t="s">
        <v>494</v>
      </c>
      <c r="H1028" s="126">
        <f>H1029</f>
        <v>0</v>
      </c>
      <c r="L1028" s="37">
        <v>1854</v>
      </c>
      <c r="M1028" s="37">
        <v>1854</v>
      </c>
      <c r="N1028" s="37">
        <v>1854</v>
      </c>
      <c r="O1028" s="37">
        <f>H1028-L1028</f>
        <v>-1854</v>
      </c>
      <c r="P1028" s="37" t="e">
        <f>#REF!-M1028</f>
        <v>#REF!</v>
      </c>
      <c r="Q1028" s="37" t="e">
        <f>#REF!-N1028</f>
        <v>#REF!</v>
      </c>
      <c r="R1028" s="17" t="str">
        <f t="shared" si="111"/>
        <v>03 2 01 80180310</v>
      </c>
    </row>
    <row r="1029" spans="1:18" s="4" customFormat="1" ht="31.5">
      <c r="A1029" s="1"/>
      <c r="B1029" s="127" t="s">
        <v>495</v>
      </c>
      <c r="C1029" s="109" t="s">
        <v>595</v>
      </c>
      <c r="D1029" s="108" t="s">
        <v>317</v>
      </c>
      <c r="E1029" s="108" t="s">
        <v>13</v>
      </c>
      <c r="F1029" s="108" t="s">
        <v>654</v>
      </c>
      <c r="G1029" s="108" t="s">
        <v>496</v>
      </c>
      <c r="H1029" s="126"/>
      <c r="L1029" s="37"/>
      <c r="M1029" s="37"/>
      <c r="N1029" s="37"/>
      <c r="O1029" s="37"/>
      <c r="P1029" s="37"/>
      <c r="Q1029" s="37"/>
      <c r="R1029" s="17"/>
    </row>
    <row r="1030" spans="1:18" s="4" customFormat="1" ht="31.5">
      <c r="A1030" s="1"/>
      <c r="B1030" s="149" t="s">
        <v>655</v>
      </c>
      <c r="C1030" s="109" t="s">
        <v>595</v>
      </c>
      <c r="D1030" s="108" t="s">
        <v>317</v>
      </c>
      <c r="E1030" s="108" t="s">
        <v>13</v>
      </c>
      <c r="F1030" s="108" t="s">
        <v>656</v>
      </c>
      <c r="G1030" s="108" t="s">
        <v>9</v>
      </c>
      <c r="H1030" s="126">
        <f>H1031</f>
        <v>0</v>
      </c>
      <c r="L1030" s="37">
        <v>20</v>
      </c>
      <c r="M1030" s="37">
        <v>20</v>
      </c>
      <c r="N1030" s="37">
        <v>20</v>
      </c>
      <c r="O1030" s="37">
        <f>H1030-L1030</f>
        <v>-20</v>
      </c>
      <c r="P1030" s="37" t="e">
        <f>#REF!-M1030</f>
        <v>#REF!</v>
      </c>
      <c r="Q1030" s="37" t="e">
        <f>#REF!-N1030</f>
        <v>#REF!</v>
      </c>
      <c r="R1030" s="17" t="str">
        <f t="shared" si="111"/>
        <v>03 2 01 80190000</v>
      </c>
    </row>
    <row r="1031" spans="1:18" s="4" customFormat="1" ht="31.5">
      <c r="A1031" s="1"/>
      <c r="B1031" s="132" t="s">
        <v>493</v>
      </c>
      <c r="C1031" s="109" t="s">
        <v>595</v>
      </c>
      <c r="D1031" s="108" t="s">
        <v>317</v>
      </c>
      <c r="E1031" s="108" t="s">
        <v>13</v>
      </c>
      <c r="F1031" s="108" t="s">
        <v>656</v>
      </c>
      <c r="G1031" s="108" t="s">
        <v>494</v>
      </c>
      <c r="H1031" s="126">
        <f>H1032</f>
        <v>0</v>
      </c>
      <c r="L1031" s="37">
        <v>20</v>
      </c>
      <c r="M1031" s="37">
        <v>20</v>
      </c>
      <c r="N1031" s="37">
        <v>20</v>
      </c>
      <c r="O1031" s="37">
        <f>H1031-L1031</f>
        <v>-20</v>
      </c>
      <c r="P1031" s="37" t="e">
        <f>#REF!-M1031</f>
        <v>#REF!</v>
      </c>
      <c r="Q1031" s="37" t="e">
        <f>#REF!-N1031</f>
        <v>#REF!</v>
      </c>
      <c r="R1031" s="17" t="str">
        <f t="shared" si="111"/>
        <v>03 2 01 80190310</v>
      </c>
    </row>
    <row r="1032" spans="1:18" s="4" customFormat="1" ht="31.5">
      <c r="A1032" s="1"/>
      <c r="B1032" s="127" t="s">
        <v>495</v>
      </c>
      <c r="C1032" s="109" t="s">
        <v>595</v>
      </c>
      <c r="D1032" s="108" t="s">
        <v>317</v>
      </c>
      <c r="E1032" s="108" t="s">
        <v>13</v>
      </c>
      <c r="F1032" s="108" t="s">
        <v>656</v>
      </c>
      <c r="G1032" s="108" t="s">
        <v>496</v>
      </c>
      <c r="H1032" s="126"/>
      <c r="L1032" s="37"/>
      <c r="M1032" s="37"/>
      <c r="N1032" s="37"/>
      <c r="O1032" s="37"/>
      <c r="P1032" s="37"/>
      <c r="Q1032" s="37"/>
      <c r="R1032" s="17"/>
    </row>
    <row r="1033" spans="1:18" s="4" customFormat="1" ht="78.75">
      <c r="A1033" s="1"/>
      <c r="B1033" s="149" t="s">
        <v>657</v>
      </c>
      <c r="C1033" s="109" t="s">
        <v>595</v>
      </c>
      <c r="D1033" s="108" t="s">
        <v>317</v>
      </c>
      <c r="E1033" s="108" t="s">
        <v>13</v>
      </c>
      <c r="F1033" s="108" t="s">
        <v>658</v>
      </c>
      <c r="G1033" s="108" t="s">
        <v>9</v>
      </c>
      <c r="H1033" s="126">
        <f>H1034</f>
        <v>0</v>
      </c>
      <c r="L1033" s="39">
        <v>100</v>
      </c>
      <c r="M1033" s="39">
        <v>100</v>
      </c>
      <c r="N1033" s="39">
        <v>100</v>
      </c>
      <c r="O1033" s="39">
        <f>H1033-L1033</f>
        <v>-100</v>
      </c>
      <c r="P1033" s="39" t="e">
        <f>#REF!-M1033</f>
        <v>#REF!</v>
      </c>
      <c r="Q1033" s="39" t="e">
        <f>#REF!-N1033</f>
        <v>#REF!</v>
      </c>
      <c r="R1033" s="17" t="str">
        <f t="shared" si="111"/>
        <v>03 2 01 80210000</v>
      </c>
    </row>
    <row r="1034" spans="1:18" s="4" customFormat="1" ht="31.5">
      <c r="A1034" s="1"/>
      <c r="B1034" s="132" t="s">
        <v>493</v>
      </c>
      <c r="C1034" s="109" t="s">
        <v>595</v>
      </c>
      <c r="D1034" s="108" t="s">
        <v>317</v>
      </c>
      <c r="E1034" s="108" t="s">
        <v>13</v>
      </c>
      <c r="F1034" s="108" t="s">
        <v>658</v>
      </c>
      <c r="G1034" s="108" t="s">
        <v>494</v>
      </c>
      <c r="H1034" s="126">
        <f>H1035</f>
        <v>0</v>
      </c>
      <c r="L1034" s="37">
        <v>100</v>
      </c>
      <c r="M1034" s="37">
        <v>100</v>
      </c>
      <c r="N1034" s="37">
        <v>100</v>
      </c>
      <c r="O1034" s="37">
        <f>H1034-L1034</f>
        <v>-100</v>
      </c>
      <c r="P1034" s="37" t="e">
        <f>#REF!-M1034</f>
        <v>#REF!</v>
      </c>
      <c r="Q1034" s="37" t="e">
        <f>#REF!-N1034</f>
        <v>#REF!</v>
      </c>
      <c r="R1034" s="17" t="str">
        <f t="shared" si="111"/>
        <v>03 2 01 80210310</v>
      </c>
    </row>
    <row r="1035" spans="1:18" s="4" customFormat="1" ht="31.5">
      <c r="A1035" s="1"/>
      <c r="B1035" s="127" t="s">
        <v>495</v>
      </c>
      <c r="C1035" s="109" t="s">
        <v>595</v>
      </c>
      <c r="D1035" s="108" t="s">
        <v>317</v>
      </c>
      <c r="E1035" s="108" t="s">
        <v>13</v>
      </c>
      <c r="F1035" s="108" t="s">
        <v>658</v>
      </c>
      <c r="G1035" s="108" t="s">
        <v>496</v>
      </c>
      <c r="H1035" s="126"/>
      <c r="L1035" s="37"/>
      <c r="M1035" s="37"/>
      <c r="N1035" s="37"/>
      <c r="O1035" s="37"/>
      <c r="P1035" s="37"/>
      <c r="Q1035" s="37"/>
      <c r="R1035" s="17"/>
    </row>
    <row r="1036" spans="1:18" s="4" customFormat="1" ht="31.5">
      <c r="A1036" s="1"/>
      <c r="B1036" s="149" t="s">
        <v>659</v>
      </c>
      <c r="C1036" s="109" t="s">
        <v>595</v>
      </c>
      <c r="D1036" s="108" t="s">
        <v>317</v>
      </c>
      <c r="E1036" s="108" t="s">
        <v>13</v>
      </c>
      <c r="F1036" s="108" t="s">
        <v>660</v>
      </c>
      <c r="G1036" s="108" t="s">
        <v>9</v>
      </c>
      <c r="H1036" s="126">
        <f>H1037</f>
        <v>0</v>
      </c>
      <c r="L1036" s="39">
        <v>81</v>
      </c>
      <c r="M1036" s="39">
        <v>81</v>
      </c>
      <c r="N1036" s="39">
        <v>81</v>
      </c>
      <c r="O1036" s="39">
        <f>H1036-L1036</f>
        <v>-81</v>
      </c>
      <c r="P1036" s="39" t="e">
        <f>#REF!-M1036</f>
        <v>#REF!</v>
      </c>
      <c r="Q1036" s="39" t="e">
        <f>#REF!-N1036</f>
        <v>#REF!</v>
      </c>
      <c r="R1036" s="17" t="str">
        <f t="shared" si="111"/>
        <v>03 2 05 00000000</v>
      </c>
    </row>
    <row r="1037" spans="1:18" s="4" customFormat="1" ht="31.5">
      <c r="A1037" s="1"/>
      <c r="B1037" s="135" t="s">
        <v>661</v>
      </c>
      <c r="C1037" s="109" t="s">
        <v>595</v>
      </c>
      <c r="D1037" s="108" t="s">
        <v>317</v>
      </c>
      <c r="E1037" s="108" t="s">
        <v>13</v>
      </c>
      <c r="F1037" s="108" t="s">
        <v>662</v>
      </c>
      <c r="G1037" s="108" t="s">
        <v>9</v>
      </c>
      <c r="H1037" s="126">
        <f>SUM(H1038:H1038)</f>
        <v>0</v>
      </c>
      <c r="L1037" s="39">
        <v>81</v>
      </c>
      <c r="M1037" s="39">
        <v>81</v>
      </c>
      <c r="N1037" s="39">
        <v>81</v>
      </c>
      <c r="O1037" s="39">
        <f>H1037-L1037</f>
        <v>-81</v>
      </c>
      <c r="P1037" s="39" t="e">
        <f>#REF!-M1037</f>
        <v>#REF!</v>
      </c>
      <c r="Q1037" s="39" t="e">
        <f>#REF!-N1037</f>
        <v>#REF!</v>
      </c>
      <c r="R1037" s="17" t="str">
        <f t="shared" si="111"/>
        <v>03 2 05 20500000</v>
      </c>
    </row>
    <row r="1038" spans="1:18" s="4" customFormat="1" ht="31.5">
      <c r="A1038" s="1"/>
      <c r="B1038" s="132" t="s">
        <v>327</v>
      </c>
      <c r="C1038" s="109" t="s">
        <v>595</v>
      </c>
      <c r="D1038" s="108" t="s">
        <v>317</v>
      </c>
      <c r="E1038" s="108" t="s">
        <v>13</v>
      </c>
      <c r="F1038" s="108" t="s">
        <v>662</v>
      </c>
      <c r="G1038" s="108" t="s">
        <v>328</v>
      </c>
      <c r="H1038" s="126">
        <f>H1039</f>
        <v>0</v>
      </c>
      <c r="L1038" s="37">
        <v>81</v>
      </c>
      <c r="M1038" s="37">
        <v>81</v>
      </c>
      <c r="N1038" s="37">
        <v>81</v>
      </c>
      <c r="O1038" s="37">
        <f>H1038-L1038</f>
        <v>-81</v>
      </c>
      <c r="P1038" s="37" t="e">
        <f>#REF!-M1038</f>
        <v>#REF!</v>
      </c>
      <c r="Q1038" s="37" t="e">
        <f>#REF!-N1038</f>
        <v>#REF!</v>
      </c>
      <c r="R1038" s="17" t="str">
        <f t="shared" si="111"/>
        <v>03 2 05 20500320</v>
      </c>
    </row>
    <row r="1039" spans="1:18" s="41" customFormat="1" ht="31.5">
      <c r="A1039" s="40"/>
      <c r="B1039" s="127" t="s">
        <v>501</v>
      </c>
      <c r="C1039" s="109" t="s">
        <v>595</v>
      </c>
      <c r="D1039" s="108" t="s">
        <v>317</v>
      </c>
      <c r="E1039" s="108" t="s">
        <v>13</v>
      </c>
      <c r="F1039" s="108" t="s">
        <v>662</v>
      </c>
      <c r="G1039" s="108" t="s">
        <v>502</v>
      </c>
      <c r="H1039" s="126"/>
      <c r="L1039" s="38"/>
      <c r="M1039" s="38"/>
      <c r="N1039" s="38"/>
      <c r="O1039" s="38"/>
      <c r="P1039" s="38"/>
      <c r="Q1039" s="38"/>
      <c r="R1039" s="24"/>
    </row>
    <row r="1040" spans="1:18" s="4" customFormat="1" ht="31.5">
      <c r="A1040" s="1"/>
      <c r="B1040" s="149" t="s">
        <v>663</v>
      </c>
      <c r="C1040" s="109" t="s">
        <v>595</v>
      </c>
      <c r="D1040" s="108" t="s">
        <v>317</v>
      </c>
      <c r="E1040" s="108" t="s">
        <v>13</v>
      </c>
      <c r="F1040" s="108" t="s">
        <v>664</v>
      </c>
      <c r="G1040" s="108" t="s">
        <v>9</v>
      </c>
      <c r="H1040" s="126">
        <f>H1041</f>
        <v>0</v>
      </c>
      <c r="L1040" s="39">
        <v>25</v>
      </c>
      <c r="M1040" s="39">
        <v>25</v>
      </c>
      <c r="N1040" s="39">
        <v>25</v>
      </c>
      <c r="O1040" s="39">
        <f>H1040-L1040</f>
        <v>-25</v>
      </c>
      <c r="P1040" s="39" t="e">
        <f>#REF!-M1040</f>
        <v>#REF!</v>
      </c>
      <c r="Q1040" s="39" t="e">
        <f>#REF!-N1040</f>
        <v>#REF!</v>
      </c>
      <c r="R1040" s="17" t="str">
        <f t="shared" si="111"/>
        <v>03 2 06 00000000</v>
      </c>
    </row>
    <row r="1041" spans="1:18" s="4" customFormat="1" ht="63">
      <c r="A1041" s="1"/>
      <c r="B1041" s="135" t="s">
        <v>665</v>
      </c>
      <c r="C1041" s="109" t="s">
        <v>595</v>
      </c>
      <c r="D1041" s="108" t="s">
        <v>317</v>
      </c>
      <c r="E1041" s="108" t="s">
        <v>13</v>
      </c>
      <c r="F1041" s="108" t="s">
        <v>666</v>
      </c>
      <c r="G1041" s="108" t="s">
        <v>9</v>
      </c>
      <c r="H1041" s="126">
        <f>H1042</f>
        <v>0</v>
      </c>
      <c r="L1041" s="39">
        <v>25</v>
      </c>
      <c r="M1041" s="39">
        <v>25</v>
      </c>
      <c r="N1041" s="39">
        <v>25</v>
      </c>
      <c r="O1041" s="39">
        <f>H1041-L1041</f>
        <v>-25</v>
      </c>
      <c r="P1041" s="39" t="e">
        <f>#REF!-M1041</f>
        <v>#REF!</v>
      </c>
      <c r="Q1041" s="39" t="e">
        <f>#REF!-N1041</f>
        <v>#REF!</v>
      </c>
      <c r="R1041" s="17" t="str">
        <f t="shared" si="111"/>
        <v>03 2 06 20520000</v>
      </c>
    </row>
    <row r="1042" spans="1:18" s="4" customFormat="1" ht="31.5">
      <c r="A1042" s="1"/>
      <c r="B1042" s="125" t="s">
        <v>28</v>
      </c>
      <c r="C1042" s="109" t="s">
        <v>595</v>
      </c>
      <c r="D1042" s="108" t="s">
        <v>317</v>
      </c>
      <c r="E1042" s="108" t="s">
        <v>13</v>
      </c>
      <c r="F1042" s="108" t="s">
        <v>666</v>
      </c>
      <c r="G1042" s="108" t="s">
        <v>29</v>
      </c>
      <c r="H1042" s="126">
        <f>H1043</f>
        <v>0</v>
      </c>
      <c r="L1042" s="37">
        <v>25</v>
      </c>
      <c r="M1042" s="37">
        <v>25</v>
      </c>
      <c r="N1042" s="37">
        <v>25</v>
      </c>
      <c r="O1042" s="37">
        <f>H1042-L1042</f>
        <v>-25</v>
      </c>
      <c r="P1042" s="37" t="e">
        <f>#REF!-M1042</f>
        <v>#REF!</v>
      </c>
      <c r="Q1042" s="37" t="e">
        <f>#REF!-N1042</f>
        <v>#REF!</v>
      </c>
      <c r="R1042" s="17" t="str">
        <f t="shared" si="111"/>
        <v>03 2 06 20520240</v>
      </c>
    </row>
    <row r="1043" spans="1:18" s="4" customFormat="1" ht="15.75">
      <c r="A1043" s="1"/>
      <c r="B1043" s="125" t="s">
        <v>30</v>
      </c>
      <c r="C1043" s="109" t="s">
        <v>595</v>
      </c>
      <c r="D1043" s="108" t="s">
        <v>317</v>
      </c>
      <c r="E1043" s="108" t="s">
        <v>13</v>
      </c>
      <c r="F1043" s="108" t="s">
        <v>666</v>
      </c>
      <c r="G1043" s="108" t="s">
        <v>31</v>
      </c>
      <c r="H1043" s="126"/>
      <c r="L1043" s="37"/>
      <c r="M1043" s="37"/>
      <c r="N1043" s="37"/>
      <c r="O1043" s="37"/>
      <c r="P1043" s="37"/>
      <c r="Q1043" s="37"/>
      <c r="R1043" s="17"/>
    </row>
    <row r="1044" spans="1:18" s="4" customFormat="1" ht="31.5">
      <c r="A1044" s="1"/>
      <c r="B1044" s="125" t="s">
        <v>667</v>
      </c>
      <c r="C1044" s="109" t="s">
        <v>595</v>
      </c>
      <c r="D1044" s="108" t="s">
        <v>317</v>
      </c>
      <c r="E1044" s="108" t="s">
        <v>13</v>
      </c>
      <c r="F1044" s="108" t="s">
        <v>668</v>
      </c>
      <c r="G1044" s="108" t="s">
        <v>9</v>
      </c>
      <c r="H1044" s="126">
        <f>H1045</f>
        <v>0</v>
      </c>
      <c r="L1044" s="37">
        <v>75</v>
      </c>
      <c r="M1044" s="37">
        <v>75</v>
      </c>
      <c r="N1044" s="37">
        <v>75</v>
      </c>
      <c r="O1044" s="37">
        <f>H1044-L1044</f>
        <v>-75</v>
      </c>
      <c r="P1044" s="37" t="e">
        <f>#REF!-M1044</f>
        <v>#REF!</v>
      </c>
      <c r="Q1044" s="37" t="e">
        <f>#REF!-N1044</f>
        <v>#REF!</v>
      </c>
      <c r="R1044" s="17" t="str">
        <f t="shared" si="111"/>
        <v>03 2 08 00000000</v>
      </c>
    </row>
    <row r="1045" spans="1:18" s="4" customFormat="1" ht="31.5">
      <c r="A1045" s="1"/>
      <c r="B1045" s="135" t="s">
        <v>669</v>
      </c>
      <c r="C1045" s="109" t="s">
        <v>595</v>
      </c>
      <c r="D1045" s="108" t="s">
        <v>317</v>
      </c>
      <c r="E1045" s="108" t="s">
        <v>13</v>
      </c>
      <c r="F1045" s="108" t="s">
        <v>670</v>
      </c>
      <c r="G1045" s="108" t="s">
        <v>9</v>
      </c>
      <c r="H1045" s="126">
        <f t="shared" ref="H1045" si="112">H1046</f>
        <v>0</v>
      </c>
      <c r="L1045" s="39">
        <v>75</v>
      </c>
      <c r="M1045" s="39">
        <v>75</v>
      </c>
      <c r="N1045" s="39">
        <v>75</v>
      </c>
      <c r="O1045" s="39">
        <f>H1045-L1045</f>
        <v>-75</v>
      </c>
      <c r="P1045" s="39" t="e">
        <f>#REF!-M1045</f>
        <v>#REF!</v>
      </c>
      <c r="Q1045" s="39" t="e">
        <f>#REF!-N1045</f>
        <v>#REF!</v>
      </c>
      <c r="R1045" s="17" t="str">
        <f t="shared" si="111"/>
        <v>03 2 08 20510000</v>
      </c>
    </row>
    <row r="1046" spans="1:18" s="4" customFormat="1" ht="31.5">
      <c r="A1046" s="1"/>
      <c r="B1046" s="125" t="s">
        <v>28</v>
      </c>
      <c r="C1046" s="109" t="s">
        <v>595</v>
      </c>
      <c r="D1046" s="108" t="s">
        <v>317</v>
      </c>
      <c r="E1046" s="108" t="s">
        <v>13</v>
      </c>
      <c r="F1046" s="108" t="s">
        <v>670</v>
      </c>
      <c r="G1046" s="108" t="s">
        <v>29</v>
      </c>
      <c r="H1046" s="126">
        <f>H1047</f>
        <v>0</v>
      </c>
      <c r="L1046" s="37">
        <v>75</v>
      </c>
      <c r="M1046" s="37">
        <v>75</v>
      </c>
      <c r="N1046" s="37">
        <v>75</v>
      </c>
      <c r="O1046" s="37">
        <f>H1046-L1046</f>
        <v>-75</v>
      </c>
      <c r="P1046" s="37" t="e">
        <f>#REF!-M1046</f>
        <v>#REF!</v>
      </c>
      <c r="Q1046" s="37" t="e">
        <f>#REF!-N1046</f>
        <v>#REF!</v>
      </c>
      <c r="R1046" s="17" t="str">
        <f t="shared" si="111"/>
        <v>03 2 08 20510240</v>
      </c>
    </row>
    <row r="1047" spans="1:18" s="4" customFormat="1" ht="15.75">
      <c r="A1047" s="1"/>
      <c r="B1047" s="125" t="s">
        <v>30</v>
      </c>
      <c r="C1047" s="109" t="s">
        <v>595</v>
      </c>
      <c r="D1047" s="108" t="s">
        <v>317</v>
      </c>
      <c r="E1047" s="108" t="s">
        <v>13</v>
      </c>
      <c r="F1047" s="108" t="s">
        <v>670</v>
      </c>
      <c r="G1047" s="108" t="s">
        <v>31</v>
      </c>
      <c r="H1047" s="126"/>
      <c r="L1047" s="37"/>
      <c r="M1047" s="37"/>
      <c r="N1047" s="37"/>
      <c r="O1047" s="37"/>
      <c r="P1047" s="37"/>
      <c r="Q1047" s="37"/>
      <c r="R1047" s="17"/>
    </row>
    <row r="1048" spans="1:18" s="4" customFormat="1" ht="15.75">
      <c r="A1048" s="1"/>
      <c r="B1048" s="135" t="s">
        <v>671</v>
      </c>
      <c r="C1048" s="109" t="s">
        <v>595</v>
      </c>
      <c r="D1048" s="108" t="s">
        <v>317</v>
      </c>
      <c r="E1048" s="108" t="s">
        <v>13</v>
      </c>
      <c r="F1048" s="108" t="s">
        <v>672</v>
      </c>
      <c r="G1048" s="108" t="s">
        <v>9</v>
      </c>
      <c r="H1048" s="126">
        <f t="shared" ref="H1048:H1050" si="113">H1049</f>
        <v>0</v>
      </c>
      <c r="L1048" s="39">
        <v>2608.5</v>
      </c>
      <c r="M1048" s="39">
        <v>2608.5</v>
      </c>
      <c r="N1048" s="39">
        <v>2608.5</v>
      </c>
      <c r="O1048" s="39">
        <f>H1048-L1048</f>
        <v>-2608.5</v>
      </c>
      <c r="P1048" s="39" t="e">
        <f>#REF!-M1048</f>
        <v>#REF!</v>
      </c>
      <c r="Q1048" s="39" t="e">
        <f>#REF!-N1048</f>
        <v>#REF!</v>
      </c>
      <c r="R1048" s="17" t="str">
        <f t="shared" si="111"/>
        <v>03 3 00 00000000</v>
      </c>
    </row>
    <row r="1049" spans="1:18" s="4" customFormat="1" ht="47.25">
      <c r="A1049" s="1"/>
      <c r="B1049" s="147" t="s">
        <v>673</v>
      </c>
      <c r="C1049" s="109" t="s">
        <v>595</v>
      </c>
      <c r="D1049" s="108" t="s">
        <v>317</v>
      </c>
      <c r="E1049" s="108" t="s">
        <v>13</v>
      </c>
      <c r="F1049" s="108" t="s">
        <v>674</v>
      </c>
      <c r="G1049" s="108" t="s">
        <v>9</v>
      </c>
      <c r="H1049" s="126">
        <f t="shared" si="113"/>
        <v>0</v>
      </c>
      <c r="L1049" s="39">
        <v>2608.5</v>
      </c>
      <c r="M1049" s="39">
        <v>2608.5</v>
      </c>
      <c r="N1049" s="39">
        <v>2608.5</v>
      </c>
      <c r="O1049" s="39">
        <f>H1049-L1049</f>
        <v>-2608.5</v>
      </c>
      <c r="P1049" s="39" t="e">
        <f>#REF!-M1049</f>
        <v>#REF!</v>
      </c>
      <c r="Q1049" s="39" t="e">
        <f>#REF!-N1049</f>
        <v>#REF!</v>
      </c>
      <c r="R1049" s="17" t="str">
        <f t="shared" si="111"/>
        <v>03 3 01 00000000</v>
      </c>
    </row>
    <row r="1050" spans="1:18" s="4" customFormat="1" ht="47.25">
      <c r="A1050" s="1"/>
      <c r="B1050" s="135" t="s">
        <v>675</v>
      </c>
      <c r="C1050" s="109" t="s">
        <v>595</v>
      </c>
      <c r="D1050" s="108" t="s">
        <v>317</v>
      </c>
      <c r="E1050" s="108" t="s">
        <v>13</v>
      </c>
      <c r="F1050" s="108" t="s">
        <v>676</v>
      </c>
      <c r="G1050" s="108" t="s">
        <v>9</v>
      </c>
      <c r="H1050" s="126">
        <f t="shared" si="113"/>
        <v>0</v>
      </c>
      <c r="L1050" s="39">
        <v>2608.5</v>
      </c>
      <c r="M1050" s="39">
        <v>2608.5</v>
      </c>
      <c r="N1050" s="39">
        <v>2608.5</v>
      </c>
      <c r="O1050" s="39">
        <f>H1050-L1050</f>
        <v>-2608.5</v>
      </c>
      <c r="P1050" s="39" t="e">
        <f>#REF!-M1050</f>
        <v>#REF!</v>
      </c>
      <c r="Q1050" s="39" t="e">
        <f>#REF!-N1050</f>
        <v>#REF!</v>
      </c>
      <c r="R1050" s="17" t="str">
        <f t="shared" si="111"/>
        <v>03 3 01 20530000</v>
      </c>
    </row>
    <row r="1051" spans="1:18" s="4" customFormat="1" ht="31.5">
      <c r="A1051" s="1"/>
      <c r="B1051" s="132" t="s">
        <v>327</v>
      </c>
      <c r="C1051" s="109" t="s">
        <v>595</v>
      </c>
      <c r="D1051" s="108" t="s">
        <v>317</v>
      </c>
      <c r="E1051" s="108" t="s">
        <v>13</v>
      </c>
      <c r="F1051" s="108" t="s">
        <v>676</v>
      </c>
      <c r="G1051" s="108" t="s">
        <v>328</v>
      </c>
      <c r="H1051" s="126">
        <f>H1052</f>
        <v>0</v>
      </c>
      <c r="L1051" s="37">
        <v>2608.5</v>
      </c>
      <c r="M1051" s="37">
        <v>2608.5</v>
      </c>
      <c r="N1051" s="37">
        <v>2608.5</v>
      </c>
      <c r="O1051" s="37">
        <f>H1051-L1051</f>
        <v>-2608.5</v>
      </c>
      <c r="P1051" s="37" t="e">
        <f>#REF!-M1051</f>
        <v>#REF!</v>
      </c>
      <c r="Q1051" s="37" t="e">
        <f>#REF!-N1051</f>
        <v>#REF!</v>
      </c>
      <c r="R1051" s="17" t="str">
        <f t="shared" si="111"/>
        <v>03 3 01 20530320</v>
      </c>
    </row>
    <row r="1052" spans="1:18" s="4" customFormat="1" ht="31.5">
      <c r="A1052" s="1"/>
      <c r="B1052" s="125" t="s">
        <v>501</v>
      </c>
      <c r="C1052" s="109" t="s">
        <v>595</v>
      </c>
      <c r="D1052" s="108" t="s">
        <v>317</v>
      </c>
      <c r="E1052" s="108" t="s">
        <v>13</v>
      </c>
      <c r="F1052" s="108" t="s">
        <v>676</v>
      </c>
      <c r="G1052" s="108" t="s">
        <v>502</v>
      </c>
      <c r="H1052" s="126"/>
      <c r="L1052" s="37"/>
      <c r="M1052" s="37"/>
      <c r="N1052" s="37"/>
      <c r="O1052" s="37"/>
      <c r="P1052" s="37"/>
      <c r="Q1052" s="37"/>
      <c r="R1052" s="17"/>
    </row>
    <row r="1053" spans="1:18" s="43" customFormat="1" ht="15.75">
      <c r="A1053" s="42"/>
      <c r="B1053" s="121" t="s">
        <v>490</v>
      </c>
      <c r="C1053" s="122" t="s">
        <v>595</v>
      </c>
      <c r="D1053" s="123" t="s">
        <v>317</v>
      </c>
      <c r="E1053" s="123" t="s">
        <v>73</v>
      </c>
      <c r="F1053" s="123" t="s">
        <v>8</v>
      </c>
      <c r="G1053" s="123" t="s">
        <v>9</v>
      </c>
      <c r="H1053" s="124">
        <f t="shared" ref="H1053:H1055" si="114">H1054</f>
        <v>0</v>
      </c>
      <c r="L1053" s="19">
        <v>260400.43</v>
      </c>
      <c r="M1053" s="19">
        <v>260400.43</v>
      </c>
      <c r="N1053" s="19">
        <v>260400.43</v>
      </c>
      <c r="O1053" s="19">
        <f t="shared" ref="O1053:O1058" si="115">H1053-L1053</f>
        <v>-260400.43</v>
      </c>
      <c r="P1053" s="19" t="e">
        <f>#REF!-M1053</f>
        <v>#REF!</v>
      </c>
      <c r="Q1053" s="19" t="e">
        <f>#REF!-N1053</f>
        <v>#REF!</v>
      </c>
      <c r="R1053" s="17" t="str">
        <f t="shared" si="111"/>
        <v>00 0 00 00000000</v>
      </c>
    </row>
    <row r="1054" spans="1:18" s="43" customFormat="1" ht="31.5">
      <c r="A1054" s="42"/>
      <c r="B1054" s="135" t="s">
        <v>385</v>
      </c>
      <c r="C1054" s="109" t="s">
        <v>595</v>
      </c>
      <c r="D1054" s="108" t="s">
        <v>317</v>
      </c>
      <c r="E1054" s="108" t="s">
        <v>73</v>
      </c>
      <c r="F1054" s="108" t="s">
        <v>386</v>
      </c>
      <c r="G1054" s="108" t="s">
        <v>9</v>
      </c>
      <c r="H1054" s="151">
        <f t="shared" si="114"/>
        <v>0</v>
      </c>
      <c r="L1054" s="39">
        <v>260400.43</v>
      </c>
      <c r="M1054" s="39">
        <v>260400.43</v>
      </c>
      <c r="N1054" s="39">
        <v>260400.43</v>
      </c>
      <c r="O1054" s="39">
        <f t="shared" si="115"/>
        <v>-260400.43</v>
      </c>
      <c r="P1054" s="39" t="e">
        <f>#REF!-M1054</f>
        <v>#REF!</v>
      </c>
      <c r="Q1054" s="39" t="e">
        <f>#REF!-N1054</f>
        <v>#REF!</v>
      </c>
      <c r="R1054" s="17" t="str">
        <f t="shared" si="111"/>
        <v>03 0 00 00000000</v>
      </c>
    </row>
    <row r="1055" spans="1:18" s="43" customFormat="1" ht="47.25">
      <c r="A1055" s="42"/>
      <c r="B1055" s="147" t="s">
        <v>596</v>
      </c>
      <c r="C1055" s="109" t="s">
        <v>595</v>
      </c>
      <c r="D1055" s="108" t="s">
        <v>317</v>
      </c>
      <c r="E1055" s="108" t="s">
        <v>73</v>
      </c>
      <c r="F1055" s="108" t="s">
        <v>597</v>
      </c>
      <c r="G1055" s="108" t="s">
        <v>9</v>
      </c>
      <c r="H1055" s="151">
        <f t="shared" si="114"/>
        <v>0</v>
      </c>
      <c r="L1055" s="39">
        <v>260400.43</v>
      </c>
      <c r="M1055" s="39">
        <v>260400.43</v>
      </c>
      <c r="N1055" s="39">
        <v>260400.43</v>
      </c>
      <c r="O1055" s="39">
        <f t="shared" si="115"/>
        <v>-260400.43</v>
      </c>
      <c r="P1055" s="39" t="e">
        <f>#REF!-M1055</f>
        <v>#REF!</v>
      </c>
      <c r="Q1055" s="39" t="e">
        <f>#REF!-N1055</f>
        <v>#REF!</v>
      </c>
      <c r="R1055" s="17" t="str">
        <f t="shared" si="111"/>
        <v>03 1 00 00000 000</v>
      </c>
    </row>
    <row r="1056" spans="1:18" s="17" customFormat="1" ht="31.5">
      <c r="A1056" s="14"/>
      <c r="B1056" s="148" t="s">
        <v>623</v>
      </c>
      <c r="C1056" s="109" t="s">
        <v>595</v>
      </c>
      <c r="D1056" s="108" t="s">
        <v>317</v>
      </c>
      <c r="E1056" s="108" t="s">
        <v>73</v>
      </c>
      <c r="F1056" s="108" t="s">
        <v>624</v>
      </c>
      <c r="G1056" s="108" t="s">
        <v>9</v>
      </c>
      <c r="H1056" s="152">
        <f>H1060+H1057</f>
        <v>0</v>
      </c>
      <c r="L1056" s="37">
        <v>260400.43</v>
      </c>
      <c r="M1056" s="37">
        <v>260400.43</v>
      </c>
      <c r="N1056" s="37">
        <v>260400.43</v>
      </c>
      <c r="O1056" s="37">
        <f t="shared" si="115"/>
        <v>-260400.43</v>
      </c>
      <c r="P1056" s="37" t="e">
        <f>#REF!-M1056</f>
        <v>#REF!</v>
      </c>
      <c r="Q1056" s="37" t="e">
        <f>#REF!-N1056</f>
        <v>#REF!</v>
      </c>
      <c r="R1056" s="17" t="str">
        <f t="shared" si="111"/>
        <v>03 1 02 00000000</v>
      </c>
    </row>
    <row r="1057" spans="1:18" s="17" customFormat="1" ht="15.75">
      <c r="A1057" s="14"/>
      <c r="B1057" s="149" t="s">
        <v>677</v>
      </c>
      <c r="C1057" s="109" t="s">
        <v>595</v>
      </c>
      <c r="D1057" s="108" t="s">
        <v>317</v>
      </c>
      <c r="E1057" s="108" t="s">
        <v>73</v>
      </c>
      <c r="F1057" s="108" t="s">
        <v>678</v>
      </c>
      <c r="G1057" s="108" t="s">
        <v>9</v>
      </c>
      <c r="H1057" s="152">
        <f>H1058</f>
        <v>0</v>
      </c>
      <c r="L1057" s="37">
        <v>122664.88</v>
      </c>
      <c r="M1057" s="37">
        <v>122664.88</v>
      </c>
      <c r="N1057" s="37">
        <v>122664.88</v>
      </c>
      <c r="O1057" s="37">
        <f t="shared" si="115"/>
        <v>-122664.88</v>
      </c>
      <c r="P1057" s="37" t="e">
        <f>#REF!-M1057</f>
        <v>#REF!</v>
      </c>
      <c r="Q1057" s="37" t="e">
        <f>#REF!-N1057</f>
        <v>#REF!</v>
      </c>
      <c r="R1057" s="17" t="str">
        <f t="shared" si="111"/>
        <v>03 1 02 76270000</v>
      </c>
    </row>
    <row r="1058" spans="1:18" s="17" customFormat="1" ht="31.5">
      <c r="A1058" s="14"/>
      <c r="B1058" s="132" t="s">
        <v>493</v>
      </c>
      <c r="C1058" s="109" t="s">
        <v>595</v>
      </c>
      <c r="D1058" s="108" t="s">
        <v>317</v>
      </c>
      <c r="E1058" s="108" t="s">
        <v>73</v>
      </c>
      <c r="F1058" s="108" t="s">
        <v>678</v>
      </c>
      <c r="G1058" s="108" t="s">
        <v>494</v>
      </c>
      <c r="H1058" s="126">
        <f>H1059</f>
        <v>0</v>
      </c>
      <c r="L1058" s="37">
        <v>122664.88</v>
      </c>
      <c r="M1058" s="37">
        <v>122664.88</v>
      </c>
      <c r="N1058" s="37">
        <v>122664.88</v>
      </c>
      <c r="O1058" s="37">
        <f t="shared" si="115"/>
        <v>-122664.88</v>
      </c>
      <c r="P1058" s="37" t="e">
        <f>#REF!-M1058</f>
        <v>#REF!</v>
      </c>
      <c r="Q1058" s="37" t="e">
        <f>#REF!-N1058</f>
        <v>#REF!</v>
      </c>
      <c r="R1058" s="17" t="str">
        <f t="shared" si="111"/>
        <v>03 1 02 76270310</v>
      </c>
    </row>
    <row r="1059" spans="1:18" s="17" customFormat="1" ht="31.5">
      <c r="A1059" s="14"/>
      <c r="B1059" s="127" t="s">
        <v>495</v>
      </c>
      <c r="C1059" s="109" t="s">
        <v>595</v>
      </c>
      <c r="D1059" s="108" t="s">
        <v>317</v>
      </c>
      <c r="E1059" s="108" t="s">
        <v>73</v>
      </c>
      <c r="F1059" s="108" t="s">
        <v>678</v>
      </c>
      <c r="G1059" s="108" t="s">
        <v>496</v>
      </c>
      <c r="H1059" s="126"/>
      <c r="L1059" s="37"/>
      <c r="M1059" s="37"/>
      <c r="N1059" s="37"/>
      <c r="O1059" s="37"/>
      <c r="P1059" s="37"/>
      <c r="Q1059" s="37"/>
    </row>
    <row r="1060" spans="1:18" s="17" customFormat="1" ht="78.75">
      <c r="A1060" s="14" t="s">
        <v>80</v>
      </c>
      <c r="B1060" s="149" t="s">
        <v>679</v>
      </c>
      <c r="C1060" s="109" t="s">
        <v>595</v>
      </c>
      <c r="D1060" s="108" t="s">
        <v>317</v>
      </c>
      <c r="E1060" s="108" t="s">
        <v>73</v>
      </c>
      <c r="F1060" s="108" t="s">
        <v>680</v>
      </c>
      <c r="G1060" s="108" t="s">
        <v>9</v>
      </c>
      <c r="H1060" s="152">
        <f>H1061</f>
        <v>0</v>
      </c>
      <c r="L1060" s="37">
        <v>137735.54999999999</v>
      </c>
      <c r="M1060" s="37">
        <v>137735.54999999999</v>
      </c>
      <c r="N1060" s="37">
        <v>137735.54999999999</v>
      </c>
      <c r="O1060" s="37">
        <f>H1060-L1060</f>
        <v>-137735.54999999999</v>
      </c>
      <c r="P1060" s="37" t="e">
        <f>#REF!-M1060</f>
        <v>#REF!</v>
      </c>
      <c r="Q1060" s="37" t="e">
        <f>#REF!-N1060</f>
        <v>#REF!</v>
      </c>
      <c r="R1060" s="17" t="str">
        <f>CONCATENATE(F1060,G1060)</f>
        <v>03 1 02 R0840000</v>
      </c>
    </row>
    <row r="1061" spans="1:18" s="17" customFormat="1" ht="31.5">
      <c r="A1061" s="14"/>
      <c r="B1061" s="132" t="s">
        <v>493</v>
      </c>
      <c r="C1061" s="109" t="s">
        <v>595</v>
      </c>
      <c r="D1061" s="108" t="s">
        <v>317</v>
      </c>
      <c r="E1061" s="108" t="s">
        <v>73</v>
      </c>
      <c r="F1061" s="108" t="s">
        <v>680</v>
      </c>
      <c r="G1061" s="108" t="s">
        <v>494</v>
      </c>
      <c r="H1061" s="126">
        <f>H1062</f>
        <v>0</v>
      </c>
      <c r="L1061" s="37">
        <v>137735.54999999999</v>
      </c>
      <c r="M1061" s="37">
        <v>137735.54999999999</v>
      </c>
      <c r="N1061" s="37">
        <v>137735.54999999999</v>
      </c>
      <c r="O1061" s="37">
        <f>H1061-L1061</f>
        <v>-137735.54999999999</v>
      </c>
      <c r="P1061" s="37" t="e">
        <f>#REF!-M1061</f>
        <v>#REF!</v>
      </c>
      <c r="Q1061" s="37" t="e">
        <f>#REF!-N1061</f>
        <v>#REF!</v>
      </c>
      <c r="R1061" s="17" t="str">
        <f>CONCATENATE(F1061,G1061)</f>
        <v>03 1 02 R0840310</v>
      </c>
    </row>
    <row r="1062" spans="1:18" s="17" customFormat="1" ht="31.5">
      <c r="A1062" s="14"/>
      <c r="B1062" s="127" t="s">
        <v>495</v>
      </c>
      <c r="C1062" s="109" t="s">
        <v>595</v>
      </c>
      <c r="D1062" s="108" t="s">
        <v>317</v>
      </c>
      <c r="E1062" s="108" t="s">
        <v>73</v>
      </c>
      <c r="F1062" s="108" t="s">
        <v>680</v>
      </c>
      <c r="G1062" s="108" t="s">
        <v>496</v>
      </c>
      <c r="H1062" s="126"/>
      <c r="L1062" s="37"/>
      <c r="M1062" s="37"/>
      <c r="N1062" s="37"/>
      <c r="O1062" s="37"/>
      <c r="P1062" s="37"/>
      <c r="Q1062" s="37"/>
    </row>
    <row r="1063" spans="1:18" s="45" customFormat="1" ht="15.75">
      <c r="A1063" s="44"/>
      <c r="B1063" s="121" t="s">
        <v>681</v>
      </c>
      <c r="C1063" s="122" t="s">
        <v>595</v>
      </c>
      <c r="D1063" s="123" t="s">
        <v>317</v>
      </c>
      <c r="E1063" s="123" t="s">
        <v>334</v>
      </c>
      <c r="F1063" s="123" t="s">
        <v>8</v>
      </c>
      <c r="G1063" s="123" t="s">
        <v>9</v>
      </c>
      <c r="H1063" s="124" t="e">
        <f>H1064+H1087</f>
        <v>#REF!</v>
      </c>
      <c r="L1063" s="19">
        <v>68005.930000000008</v>
      </c>
      <c r="M1063" s="19">
        <v>67997.600000000006</v>
      </c>
      <c r="N1063" s="19">
        <v>68035.66</v>
      </c>
      <c r="O1063" s="19" t="e">
        <f t="shared" ref="O1063:O1068" si="116">H1063-L1063</f>
        <v>#REF!</v>
      </c>
      <c r="P1063" s="19" t="e">
        <f>#REF!-M1063</f>
        <v>#REF!</v>
      </c>
      <c r="Q1063" s="19" t="e">
        <f>#REF!-N1063</f>
        <v>#REF!</v>
      </c>
      <c r="R1063" s="17" t="str">
        <f t="shared" si="111"/>
        <v>00 0 00 00000000</v>
      </c>
    </row>
    <row r="1064" spans="1:18" s="17" customFormat="1" ht="31.5">
      <c r="A1064" s="14"/>
      <c r="B1064" s="135" t="s">
        <v>385</v>
      </c>
      <c r="C1064" s="109" t="s">
        <v>595</v>
      </c>
      <c r="D1064" s="108" t="s">
        <v>317</v>
      </c>
      <c r="E1064" s="108" t="s">
        <v>334</v>
      </c>
      <c r="F1064" s="108" t="s">
        <v>386</v>
      </c>
      <c r="G1064" s="108" t="s">
        <v>9</v>
      </c>
      <c r="H1064" s="152" t="e">
        <f>H1071+H1076+H1065</f>
        <v>#REF!</v>
      </c>
      <c r="L1064" s="37">
        <v>5561.92</v>
      </c>
      <c r="M1064" s="37">
        <v>5561.92</v>
      </c>
      <c r="N1064" s="37">
        <v>5561.92</v>
      </c>
      <c r="O1064" s="37" t="e">
        <f t="shared" si="116"/>
        <v>#REF!</v>
      </c>
      <c r="P1064" s="37" t="e">
        <f>#REF!-M1064</f>
        <v>#REF!</v>
      </c>
      <c r="Q1064" s="37" t="e">
        <f>#REF!-N1064</f>
        <v>#REF!</v>
      </c>
      <c r="R1064" s="17" t="str">
        <f t="shared" si="111"/>
        <v>03 0 00 00000000</v>
      </c>
    </row>
    <row r="1065" spans="1:18" s="4" customFormat="1" ht="47.25">
      <c r="A1065" s="1" t="s">
        <v>682</v>
      </c>
      <c r="B1065" s="147" t="s">
        <v>596</v>
      </c>
      <c r="C1065" s="109" t="s">
        <v>595</v>
      </c>
      <c r="D1065" s="108" t="s">
        <v>317</v>
      </c>
      <c r="E1065" s="108" t="s">
        <v>334</v>
      </c>
      <c r="F1065" s="108" t="s">
        <v>597</v>
      </c>
      <c r="G1065" s="108" t="s">
        <v>9</v>
      </c>
      <c r="H1065" s="152">
        <f>H1066</f>
        <v>0</v>
      </c>
      <c r="L1065" s="37">
        <v>2546</v>
      </c>
      <c r="M1065" s="37">
        <v>2546</v>
      </c>
      <c r="N1065" s="37">
        <v>2546</v>
      </c>
      <c r="O1065" s="37">
        <f t="shared" si="116"/>
        <v>-2546</v>
      </c>
      <c r="P1065" s="37" t="e">
        <f>#REF!-M1065</f>
        <v>#REF!</v>
      </c>
      <c r="Q1065" s="37" t="e">
        <f>#REF!-N1065</f>
        <v>#REF!</v>
      </c>
      <c r="R1065" s="17" t="str">
        <f>CONCATENATE(F1065,G1065)</f>
        <v>03 1 00 00000 000</v>
      </c>
    </row>
    <row r="1066" spans="1:18" s="4" customFormat="1" ht="47.25">
      <c r="A1066" s="1"/>
      <c r="B1066" s="148" t="s">
        <v>599</v>
      </c>
      <c r="C1066" s="109" t="s">
        <v>595</v>
      </c>
      <c r="D1066" s="108" t="s">
        <v>317</v>
      </c>
      <c r="E1066" s="108" t="s">
        <v>334</v>
      </c>
      <c r="F1066" s="108" t="s">
        <v>600</v>
      </c>
      <c r="G1066" s="108" t="s">
        <v>9</v>
      </c>
      <c r="H1066" s="152">
        <f>H1067</f>
        <v>0</v>
      </c>
      <c r="L1066" s="37">
        <v>2546</v>
      </c>
      <c r="M1066" s="37">
        <v>2546</v>
      </c>
      <c r="N1066" s="37">
        <v>2546</v>
      </c>
      <c r="O1066" s="37">
        <f t="shared" si="116"/>
        <v>-2546</v>
      </c>
      <c r="P1066" s="37" t="e">
        <f>#REF!-M1066</f>
        <v>#REF!</v>
      </c>
      <c r="Q1066" s="37" t="e">
        <f>#REF!-N1066</f>
        <v>#REF!</v>
      </c>
      <c r="R1066" s="17" t="str">
        <f>CONCATENATE(F1066,G1066)</f>
        <v>03 1 01 00000 000</v>
      </c>
    </row>
    <row r="1067" spans="1:18" s="4" customFormat="1" ht="47.25">
      <c r="A1067" s="1"/>
      <c r="B1067" s="135" t="s">
        <v>603</v>
      </c>
      <c r="C1067" s="109" t="s">
        <v>595</v>
      </c>
      <c r="D1067" s="108" t="s">
        <v>317</v>
      </c>
      <c r="E1067" s="108" t="s">
        <v>334</v>
      </c>
      <c r="F1067" s="108" t="s">
        <v>604</v>
      </c>
      <c r="G1067" s="108" t="s">
        <v>9</v>
      </c>
      <c r="H1067" s="152">
        <f>H1068</f>
        <v>0</v>
      </c>
      <c r="L1067" s="37">
        <v>2546</v>
      </c>
      <c r="M1067" s="37">
        <v>2546</v>
      </c>
      <c r="N1067" s="37">
        <v>2546</v>
      </c>
      <c r="O1067" s="37">
        <f t="shared" si="116"/>
        <v>-2546</v>
      </c>
      <c r="P1067" s="37" t="e">
        <f>#REF!-M1067</f>
        <v>#REF!</v>
      </c>
      <c r="Q1067" s="37" t="e">
        <f>#REF!-N1067</f>
        <v>#REF!</v>
      </c>
      <c r="R1067" s="17" t="str">
        <f>CONCATENATE(F1067,G1067)</f>
        <v>03 1 01 52500000</v>
      </c>
    </row>
    <row r="1068" spans="1:18" s="4" customFormat="1" ht="31.5">
      <c r="A1068" s="1"/>
      <c r="B1068" s="125" t="s">
        <v>20</v>
      </c>
      <c r="C1068" s="109" t="s">
        <v>595</v>
      </c>
      <c r="D1068" s="108" t="s">
        <v>317</v>
      </c>
      <c r="E1068" s="108" t="s">
        <v>334</v>
      </c>
      <c r="F1068" s="108" t="s">
        <v>604</v>
      </c>
      <c r="G1068" s="108" t="s">
        <v>21</v>
      </c>
      <c r="H1068" s="126">
        <f>SUM(H1069:H1070)</f>
        <v>0</v>
      </c>
      <c r="L1068" s="37">
        <v>2546</v>
      </c>
      <c r="M1068" s="37">
        <v>2546</v>
      </c>
      <c r="N1068" s="37">
        <v>2546</v>
      </c>
      <c r="O1068" s="37">
        <f t="shared" si="116"/>
        <v>-2546</v>
      </c>
      <c r="P1068" s="37" t="e">
        <f>#REF!-M1068</f>
        <v>#REF!</v>
      </c>
      <c r="Q1068" s="37" t="e">
        <f>#REF!-N1068</f>
        <v>#REF!</v>
      </c>
      <c r="R1068" s="17" t="str">
        <f>CONCATENATE(F1068,G1068)</f>
        <v>03 1 01 52500120</v>
      </c>
    </row>
    <row r="1069" spans="1:18" s="41" customFormat="1" ht="31.5">
      <c r="A1069" s="40"/>
      <c r="B1069" s="127" t="s">
        <v>40</v>
      </c>
      <c r="C1069" s="109" t="s">
        <v>595</v>
      </c>
      <c r="D1069" s="108" t="s">
        <v>317</v>
      </c>
      <c r="E1069" s="108" t="s">
        <v>334</v>
      </c>
      <c r="F1069" s="108" t="s">
        <v>604</v>
      </c>
      <c r="G1069" s="108" t="s">
        <v>41</v>
      </c>
      <c r="H1069" s="126"/>
      <c r="L1069" s="38"/>
      <c r="M1069" s="38"/>
      <c r="N1069" s="38"/>
      <c r="O1069" s="38"/>
      <c r="P1069" s="38"/>
      <c r="Q1069" s="38"/>
      <c r="R1069" s="24"/>
    </row>
    <row r="1070" spans="1:18" s="41" customFormat="1" ht="63">
      <c r="A1070" s="40"/>
      <c r="B1070" s="127" t="s">
        <v>26</v>
      </c>
      <c r="C1070" s="109" t="s">
        <v>595</v>
      </c>
      <c r="D1070" s="108" t="s">
        <v>317</v>
      </c>
      <c r="E1070" s="108" t="s">
        <v>334</v>
      </c>
      <c r="F1070" s="108" t="s">
        <v>604</v>
      </c>
      <c r="G1070" s="108" t="s">
        <v>27</v>
      </c>
      <c r="H1070" s="126"/>
      <c r="L1070" s="38"/>
      <c r="M1070" s="38"/>
      <c r="N1070" s="38"/>
      <c r="O1070" s="38"/>
      <c r="P1070" s="38"/>
      <c r="Q1070" s="38"/>
      <c r="R1070" s="24"/>
    </row>
    <row r="1071" spans="1:18" s="4" customFormat="1" ht="63">
      <c r="A1071" s="1"/>
      <c r="B1071" s="135" t="s">
        <v>387</v>
      </c>
      <c r="C1071" s="109" t="s">
        <v>595</v>
      </c>
      <c r="D1071" s="108" t="s">
        <v>317</v>
      </c>
      <c r="E1071" s="108" t="s">
        <v>334</v>
      </c>
      <c r="F1071" s="108" t="s">
        <v>388</v>
      </c>
      <c r="G1071" s="108" t="s">
        <v>9</v>
      </c>
      <c r="H1071" s="151">
        <f t="shared" ref="H1071:H1073" si="117">H1072</f>
        <v>0</v>
      </c>
      <c r="L1071" s="39">
        <v>1160.51</v>
      </c>
      <c r="M1071" s="39">
        <v>1160.51</v>
      </c>
      <c r="N1071" s="39">
        <v>1160.51</v>
      </c>
      <c r="O1071" s="39">
        <f>H1071-L1071</f>
        <v>-1160.51</v>
      </c>
      <c r="P1071" s="39" t="e">
        <f>#REF!-M1071</f>
        <v>#REF!</v>
      </c>
      <c r="Q1071" s="39" t="e">
        <f>#REF!-N1071</f>
        <v>#REF!</v>
      </c>
      <c r="R1071" s="17" t="str">
        <f t="shared" si="111"/>
        <v>03 2 00 00000000</v>
      </c>
    </row>
    <row r="1072" spans="1:18" s="4" customFormat="1" ht="31.5">
      <c r="A1072" s="1"/>
      <c r="B1072" s="135" t="s">
        <v>683</v>
      </c>
      <c r="C1072" s="109" t="s">
        <v>595</v>
      </c>
      <c r="D1072" s="108" t="s">
        <v>317</v>
      </c>
      <c r="E1072" s="108" t="s">
        <v>334</v>
      </c>
      <c r="F1072" s="108" t="s">
        <v>684</v>
      </c>
      <c r="G1072" s="108" t="s">
        <v>9</v>
      </c>
      <c r="H1072" s="151">
        <f t="shared" si="117"/>
        <v>0</v>
      </c>
      <c r="L1072" s="39">
        <v>1160.51</v>
      </c>
      <c r="M1072" s="39">
        <v>1160.51</v>
      </c>
      <c r="N1072" s="39">
        <v>1160.51</v>
      </c>
      <c r="O1072" s="39">
        <f>H1072-L1072</f>
        <v>-1160.51</v>
      </c>
      <c r="P1072" s="39" t="e">
        <f>#REF!-M1072</f>
        <v>#REF!</v>
      </c>
      <c r="Q1072" s="39" t="e">
        <f>#REF!-N1072</f>
        <v>#REF!</v>
      </c>
      <c r="R1072" s="17" t="str">
        <f t="shared" si="111"/>
        <v>03 2 07 00000000</v>
      </c>
    </row>
    <row r="1073" spans="1:18" s="4" customFormat="1" ht="31.5">
      <c r="A1073" s="1"/>
      <c r="B1073" s="135" t="s">
        <v>685</v>
      </c>
      <c r="C1073" s="109" t="s">
        <v>595</v>
      </c>
      <c r="D1073" s="108" t="s">
        <v>317</v>
      </c>
      <c r="E1073" s="108" t="s">
        <v>334</v>
      </c>
      <c r="F1073" s="108" t="s">
        <v>686</v>
      </c>
      <c r="G1073" s="108" t="s">
        <v>9</v>
      </c>
      <c r="H1073" s="151">
        <f t="shared" si="117"/>
        <v>0</v>
      </c>
      <c r="L1073" s="39">
        <v>1160.51</v>
      </c>
      <c r="M1073" s="39">
        <v>1160.51</v>
      </c>
      <c r="N1073" s="39">
        <v>1160.51</v>
      </c>
      <c r="O1073" s="39">
        <f>H1073-L1073</f>
        <v>-1160.51</v>
      </c>
      <c r="P1073" s="39" t="e">
        <f>#REF!-M1073</f>
        <v>#REF!</v>
      </c>
      <c r="Q1073" s="39" t="e">
        <f>#REF!-N1073</f>
        <v>#REF!</v>
      </c>
      <c r="R1073" s="17" t="str">
        <f t="shared" si="111"/>
        <v>03 2 07 60040000</v>
      </c>
    </row>
    <row r="1074" spans="1:18" s="4" customFormat="1" ht="47.25">
      <c r="A1074" s="1"/>
      <c r="B1074" s="135" t="s">
        <v>182</v>
      </c>
      <c r="C1074" s="109" t="s">
        <v>595</v>
      </c>
      <c r="D1074" s="108" t="s">
        <v>317</v>
      </c>
      <c r="E1074" s="108" t="s">
        <v>334</v>
      </c>
      <c r="F1074" s="108" t="s">
        <v>686</v>
      </c>
      <c r="G1074" s="108" t="s">
        <v>183</v>
      </c>
      <c r="H1074" s="126">
        <f>H1075</f>
        <v>0</v>
      </c>
      <c r="L1074" s="37">
        <v>1160.51</v>
      </c>
      <c r="M1074" s="37">
        <v>1160.51</v>
      </c>
      <c r="N1074" s="37">
        <v>1160.51</v>
      </c>
      <c r="O1074" s="37">
        <f>H1074-L1074</f>
        <v>-1160.51</v>
      </c>
      <c r="P1074" s="37" t="e">
        <f>#REF!-M1074</f>
        <v>#REF!</v>
      </c>
      <c r="Q1074" s="37" t="e">
        <f>#REF!-N1074</f>
        <v>#REF!</v>
      </c>
      <c r="R1074" s="17" t="str">
        <f t="shared" si="111"/>
        <v>03 2 07 60040630</v>
      </c>
    </row>
    <row r="1075" spans="1:18" s="4" customFormat="1" ht="94.5">
      <c r="A1075" s="1"/>
      <c r="B1075" s="127" t="s">
        <v>1038</v>
      </c>
      <c r="C1075" s="109" t="s">
        <v>595</v>
      </c>
      <c r="D1075" s="108" t="s">
        <v>317</v>
      </c>
      <c r="E1075" s="108" t="s">
        <v>334</v>
      </c>
      <c r="F1075" s="108" t="s">
        <v>686</v>
      </c>
      <c r="G1075" s="108" t="s">
        <v>416</v>
      </c>
      <c r="H1075" s="126"/>
      <c r="L1075" s="37"/>
      <c r="M1075" s="37"/>
      <c r="N1075" s="37"/>
      <c r="O1075" s="37"/>
      <c r="P1075" s="37"/>
      <c r="Q1075" s="37"/>
      <c r="R1075" s="17"/>
    </row>
    <row r="1076" spans="1:18" s="4" customFormat="1" ht="15.75">
      <c r="A1076" s="1"/>
      <c r="B1076" s="135" t="s">
        <v>671</v>
      </c>
      <c r="C1076" s="109" t="s">
        <v>595</v>
      </c>
      <c r="D1076" s="108" t="s">
        <v>317</v>
      </c>
      <c r="E1076" s="108" t="s">
        <v>334</v>
      </c>
      <c r="F1076" s="108" t="s">
        <v>672</v>
      </c>
      <c r="G1076" s="108" t="s">
        <v>9</v>
      </c>
      <c r="H1076" s="152" t="e">
        <f>H1077</f>
        <v>#REF!</v>
      </c>
      <c r="L1076" s="37">
        <v>1855.4099999999999</v>
      </c>
      <c r="M1076" s="37">
        <v>1855.4099999999999</v>
      </c>
      <c r="N1076" s="37">
        <v>1855.4099999999999</v>
      </c>
      <c r="O1076" s="37" t="e">
        <f>H1076-L1076</f>
        <v>#REF!</v>
      </c>
      <c r="P1076" s="37" t="e">
        <f>#REF!-M1076</f>
        <v>#REF!</v>
      </c>
      <c r="Q1076" s="37" t="e">
        <f>#REF!-N1076</f>
        <v>#REF!</v>
      </c>
      <c r="R1076" s="17" t="str">
        <f t="shared" si="111"/>
        <v>03 3 00 00000000</v>
      </c>
    </row>
    <row r="1077" spans="1:18" s="4" customFormat="1" ht="47.25">
      <c r="A1077" s="1"/>
      <c r="B1077" s="135" t="s">
        <v>673</v>
      </c>
      <c r="C1077" s="109" t="s">
        <v>595</v>
      </c>
      <c r="D1077" s="108" t="s">
        <v>317</v>
      </c>
      <c r="E1077" s="108" t="s">
        <v>334</v>
      </c>
      <c r="F1077" s="108" t="s">
        <v>674</v>
      </c>
      <c r="G1077" s="108" t="s">
        <v>9</v>
      </c>
      <c r="H1077" s="152" t="e">
        <f>H1078+H1084</f>
        <v>#REF!</v>
      </c>
      <c r="L1077" s="37">
        <v>1855.4099999999999</v>
      </c>
      <c r="M1077" s="37">
        <v>1855.4099999999999</v>
      </c>
      <c r="N1077" s="37">
        <v>1855.4099999999999</v>
      </c>
      <c r="O1077" s="37" t="e">
        <f>H1077-L1077</f>
        <v>#REF!</v>
      </c>
      <c r="P1077" s="37" t="e">
        <f>#REF!-M1077</f>
        <v>#REF!</v>
      </c>
      <c r="Q1077" s="37" t="e">
        <f>#REF!-N1077</f>
        <v>#REF!</v>
      </c>
      <c r="R1077" s="17" t="str">
        <f t="shared" si="111"/>
        <v>03 3 01 00000000</v>
      </c>
    </row>
    <row r="1078" spans="1:18" s="4" customFormat="1" ht="47.25">
      <c r="A1078" s="1"/>
      <c r="B1078" s="135" t="s">
        <v>675</v>
      </c>
      <c r="C1078" s="109" t="s">
        <v>595</v>
      </c>
      <c r="D1078" s="108" t="s">
        <v>317</v>
      </c>
      <c r="E1078" s="108" t="s">
        <v>334</v>
      </c>
      <c r="F1078" s="108" t="s">
        <v>676</v>
      </c>
      <c r="G1078" s="108" t="s">
        <v>9</v>
      </c>
      <c r="H1078" s="152" t="e">
        <f>H1079+H1081</f>
        <v>#REF!</v>
      </c>
      <c r="L1078" s="37">
        <v>103.55</v>
      </c>
      <c r="M1078" s="37">
        <v>103.55</v>
      </c>
      <c r="N1078" s="37">
        <v>103.55</v>
      </c>
      <c r="O1078" s="37" t="e">
        <f>H1078-L1078</f>
        <v>#REF!</v>
      </c>
      <c r="P1078" s="37" t="e">
        <f>#REF!-M1078</f>
        <v>#REF!</v>
      </c>
      <c r="Q1078" s="37" t="e">
        <f>#REF!-N1078</f>
        <v>#REF!</v>
      </c>
      <c r="R1078" s="17" t="str">
        <f t="shared" si="111"/>
        <v>03 3 01 20530000</v>
      </c>
    </row>
    <row r="1079" spans="1:18" s="4" customFormat="1" ht="31.5">
      <c r="A1079" s="1"/>
      <c r="B1079" s="125" t="s">
        <v>28</v>
      </c>
      <c r="C1079" s="109" t="s">
        <v>595</v>
      </c>
      <c r="D1079" s="108" t="s">
        <v>317</v>
      </c>
      <c r="E1079" s="108" t="s">
        <v>334</v>
      </c>
      <c r="F1079" s="108" t="s">
        <v>676</v>
      </c>
      <c r="G1079" s="108" t="s">
        <v>29</v>
      </c>
      <c r="H1079" s="126">
        <f>H1080</f>
        <v>0</v>
      </c>
      <c r="L1079" s="37">
        <v>68.69</v>
      </c>
      <c r="M1079" s="37">
        <v>68.69</v>
      </c>
      <c r="N1079" s="37">
        <v>68.69</v>
      </c>
      <c r="O1079" s="37">
        <f>H1079-L1079</f>
        <v>-68.69</v>
      </c>
      <c r="P1079" s="37" t="e">
        <f>#REF!-M1079</f>
        <v>#REF!</v>
      </c>
      <c r="Q1079" s="37" t="e">
        <f>#REF!-N1079</f>
        <v>#REF!</v>
      </c>
      <c r="R1079" s="17" t="str">
        <f t="shared" si="111"/>
        <v>03 3 01 20530240</v>
      </c>
    </row>
    <row r="1080" spans="1:18" s="4" customFormat="1" ht="15.75">
      <c r="A1080" s="1"/>
      <c r="B1080" s="125" t="s">
        <v>30</v>
      </c>
      <c r="C1080" s="109" t="s">
        <v>595</v>
      </c>
      <c r="D1080" s="108" t="s">
        <v>317</v>
      </c>
      <c r="E1080" s="108" t="s">
        <v>334</v>
      </c>
      <c r="F1080" s="108" t="s">
        <v>676</v>
      </c>
      <c r="G1080" s="108" t="s">
        <v>31</v>
      </c>
      <c r="H1080" s="126"/>
      <c r="L1080" s="37"/>
      <c r="M1080" s="37"/>
      <c r="N1080" s="37"/>
      <c r="O1080" s="37"/>
      <c r="P1080" s="37"/>
      <c r="Q1080" s="37"/>
      <c r="R1080" s="17"/>
    </row>
    <row r="1081" spans="1:18" s="4" customFormat="1" ht="15.75">
      <c r="A1081" s="1"/>
      <c r="B1081" s="125" t="s">
        <v>32</v>
      </c>
      <c r="C1081" s="109" t="s">
        <v>595</v>
      </c>
      <c r="D1081" s="108" t="s">
        <v>317</v>
      </c>
      <c r="E1081" s="108" t="s">
        <v>334</v>
      </c>
      <c r="F1081" s="108" t="s">
        <v>676</v>
      </c>
      <c r="G1081" s="108" t="s">
        <v>33</v>
      </c>
      <c r="H1081" s="126" t="e">
        <f>ROUND(#REF!*1000,2)</f>
        <v>#REF!</v>
      </c>
      <c r="L1081" s="37">
        <v>34.86</v>
      </c>
      <c r="M1081" s="37">
        <v>34.86</v>
      </c>
      <c r="N1081" s="37">
        <v>34.86</v>
      </c>
      <c r="O1081" s="37" t="e">
        <f>H1081-L1081</f>
        <v>#REF!</v>
      </c>
      <c r="P1081" s="37" t="e">
        <f>#REF!-M1081</f>
        <v>#REF!</v>
      </c>
      <c r="Q1081" s="37" t="e">
        <f>#REF!-N1081</f>
        <v>#REF!</v>
      </c>
      <c r="R1081" s="17" t="str">
        <f t="shared" si="111"/>
        <v>03 3 01 20530850</v>
      </c>
    </row>
    <row r="1082" spans="1:18" s="4" customFormat="1" ht="31.5">
      <c r="A1082" s="1"/>
      <c r="B1082" s="127" t="s">
        <v>34</v>
      </c>
      <c r="C1082" s="109" t="s">
        <v>595</v>
      </c>
      <c r="D1082" s="108" t="s">
        <v>317</v>
      </c>
      <c r="E1082" s="108" t="s">
        <v>334</v>
      </c>
      <c r="F1082" s="108" t="s">
        <v>676</v>
      </c>
      <c r="G1082" s="108" t="s">
        <v>35</v>
      </c>
      <c r="H1082" s="126"/>
      <c r="L1082" s="37"/>
      <c r="M1082" s="37"/>
      <c r="N1082" s="37"/>
      <c r="O1082" s="37"/>
      <c r="P1082" s="37"/>
      <c r="Q1082" s="37"/>
      <c r="R1082" s="17"/>
    </row>
    <row r="1083" spans="1:18" s="4" customFormat="1" ht="15.75">
      <c r="A1083" s="1"/>
      <c r="B1083" s="127" t="s">
        <v>36</v>
      </c>
      <c r="C1083" s="109" t="s">
        <v>595</v>
      </c>
      <c r="D1083" s="108" t="s">
        <v>317</v>
      </c>
      <c r="E1083" s="108" t="s">
        <v>334</v>
      </c>
      <c r="F1083" s="108" t="s">
        <v>676</v>
      </c>
      <c r="G1083" s="108" t="s">
        <v>37</v>
      </c>
      <c r="H1083" s="126"/>
      <c r="L1083" s="37"/>
      <c r="M1083" s="37"/>
      <c r="N1083" s="37"/>
      <c r="O1083" s="37"/>
      <c r="P1083" s="37"/>
      <c r="Q1083" s="37"/>
      <c r="R1083" s="17"/>
    </row>
    <row r="1084" spans="1:18" s="4" customFormat="1" ht="47.25">
      <c r="A1084" s="1"/>
      <c r="B1084" s="135" t="s">
        <v>687</v>
      </c>
      <c r="C1084" s="109" t="s">
        <v>595</v>
      </c>
      <c r="D1084" s="108" t="s">
        <v>317</v>
      </c>
      <c r="E1084" s="108" t="s">
        <v>334</v>
      </c>
      <c r="F1084" s="108" t="s">
        <v>688</v>
      </c>
      <c r="G1084" s="108" t="s">
        <v>9</v>
      </c>
      <c r="H1084" s="152">
        <f>H1085</f>
        <v>0</v>
      </c>
      <c r="L1084" s="37">
        <v>1751.86</v>
      </c>
      <c r="M1084" s="37">
        <v>1751.86</v>
      </c>
      <c r="N1084" s="37">
        <v>1751.86</v>
      </c>
      <c r="O1084" s="37">
        <f>H1084-L1084</f>
        <v>-1751.86</v>
      </c>
      <c r="P1084" s="37" t="e">
        <f>#REF!-M1084</f>
        <v>#REF!</v>
      </c>
      <c r="Q1084" s="37" t="e">
        <f>#REF!-N1084</f>
        <v>#REF!</v>
      </c>
      <c r="R1084" s="17" t="str">
        <f t="shared" si="111"/>
        <v>03 3 01 S0270000</v>
      </c>
    </row>
    <row r="1085" spans="1:18" s="4" customFormat="1" ht="31.5">
      <c r="A1085" s="1"/>
      <c r="B1085" s="135" t="s">
        <v>28</v>
      </c>
      <c r="C1085" s="109" t="s">
        <v>595</v>
      </c>
      <c r="D1085" s="108" t="s">
        <v>317</v>
      </c>
      <c r="E1085" s="108" t="s">
        <v>334</v>
      </c>
      <c r="F1085" s="108" t="s">
        <v>688</v>
      </c>
      <c r="G1085" s="108" t="s">
        <v>29</v>
      </c>
      <c r="H1085" s="126">
        <f>H1086</f>
        <v>0</v>
      </c>
      <c r="L1085" s="37">
        <v>1751.86</v>
      </c>
      <c r="M1085" s="37">
        <v>1751.86</v>
      </c>
      <c r="N1085" s="37">
        <v>1751.86</v>
      </c>
      <c r="O1085" s="37">
        <f>H1085-L1085</f>
        <v>-1751.86</v>
      </c>
      <c r="P1085" s="37" t="e">
        <f>#REF!-M1085</f>
        <v>#REF!</v>
      </c>
      <c r="Q1085" s="37" t="e">
        <f>#REF!-N1085</f>
        <v>#REF!</v>
      </c>
      <c r="R1085" s="17" t="str">
        <f t="shared" si="111"/>
        <v>03 3 01 S0270240</v>
      </c>
    </row>
    <row r="1086" spans="1:18" s="4" customFormat="1" ht="15.75">
      <c r="A1086" s="1"/>
      <c r="B1086" s="125" t="s">
        <v>30</v>
      </c>
      <c r="C1086" s="109" t="s">
        <v>595</v>
      </c>
      <c r="D1086" s="108" t="s">
        <v>317</v>
      </c>
      <c r="E1086" s="108" t="s">
        <v>334</v>
      </c>
      <c r="F1086" s="108" t="s">
        <v>688</v>
      </c>
      <c r="G1086" s="108" t="s">
        <v>31</v>
      </c>
      <c r="H1086" s="126"/>
      <c r="L1086" s="37"/>
      <c r="M1086" s="37"/>
      <c r="N1086" s="37"/>
      <c r="O1086" s="37"/>
      <c r="P1086" s="37"/>
      <c r="Q1086" s="37"/>
      <c r="R1086" s="17"/>
    </row>
    <row r="1087" spans="1:18" s="4" customFormat="1" ht="47.25">
      <c r="A1087" s="1"/>
      <c r="B1087" s="147" t="s">
        <v>689</v>
      </c>
      <c r="C1087" s="109" t="s">
        <v>595</v>
      </c>
      <c r="D1087" s="108" t="s">
        <v>317</v>
      </c>
      <c r="E1087" s="108" t="s">
        <v>334</v>
      </c>
      <c r="F1087" s="109" t="s">
        <v>690</v>
      </c>
      <c r="G1087" s="108" t="s">
        <v>9</v>
      </c>
      <c r="H1087" s="151">
        <f>H1088</f>
        <v>0</v>
      </c>
      <c r="L1087" s="39">
        <v>62444.01</v>
      </c>
      <c r="M1087" s="39">
        <v>62435.68</v>
      </c>
      <c r="N1087" s="39">
        <v>62473.740000000005</v>
      </c>
      <c r="O1087" s="39">
        <f>H1087-L1087</f>
        <v>-62444.01</v>
      </c>
      <c r="P1087" s="39" t="e">
        <f>#REF!-M1087</f>
        <v>#REF!</v>
      </c>
      <c r="Q1087" s="39" t="e">
        <f>#REF!-N1087</f>
        <v>#REF!</v>
      </c>
      <c r="R1087" s="17" t="str">
        <f t="shared" si="111"/>
        <v>77 0 00 00000000</v>
      </c>
    </row>
    <row r="1088" spans="1:18" s="4" customFormat="1" ht="47.25">
      <c r="A1088" s="1"/>
      <c r="B1088" s="147" t="s">
        <v>691</v>
      </c>
      <c r="C1088" s="109" t="s">
        <v>595</v>
      </c>
      <c r="D1088" s="108" t="s">
        <v>317</v>
      </c>
      <c r="E1088" s="108" t="s">
        <v>334</v>
      </c>
      <c r="F1088" s="109" t="s">
        <v>692</v>
      </c>
      <c r="G1088" s="108" t="s">
        <v>9</v>
      </c>
      <c r="H1088" s="151">
        <f>H1089+H1097+H1101+H1108</f>
        <v>0</v>
      </c>
      <c r="L1088" s="39">
        <v>62444.01</v>
      </c>
      <c r="M1088" s="39">
        <v>62435.68</v>
      </c>
      <c r="N1088" s="39">
        <v>62473.740000000005</v>
      </c>
      <c r="O1088" s="39">
        <f>H1088-L1088</f>
        <v>-62444.01</v>
      </c>
      <c r="P1088" s="39" t="e">
        <f>#REF!-M1088</f>
        <v>#REF!</v>
      </c>
      <c r="Q1088" s="39" t="e">
        <f>#REF!-N1088</f>
        <v>#REF!</v>
      </c>
      <c r="R1088" s="17" t="str">
        <f t="shared" si="111"/>
        <v>77 1 00 00000000</v>
      </c>
    </row>
    <row r="1089" spans="1:18" s="4" customFormat="1" ht="31.5">
      <c r="A1089" s="1"/>
      <c r="B1089" s="153" t="s">
        <v>18</v>
      </c>
      <c r="C1089" s="109" t="s">
        <v>595</v>
      </c>
      <c r="D1089" s="108" t="s">
        <v>317</v>
      </c>
      <c r="E1089" s="108" t="s">
        <v>334</v>
      </c>
      <c r="F1089" s="154" t="s">
        <v>693</v>
      </c>
      <c r="G1089" s="108" t="s">
        <v>9</v>
      </c>
      <c r="H1089" s="151">
        <f>H1090+H1093+H1095</f>
        <v>0</v>
      </c>
      <c r="L1089" s="39">
        <v>1377.6100000000001</v>
      </c>
      <c r="M1089" s="39">
        <v>1138.6100000000001</v>
      </c>
      <c r="N1089" s="39">
        <v>1138.6100000000001</v>
      </c>
      <c r="O1089" s="39">
        <f>H1089-L1089</f>
        <v>-1377.6100000000001</v>
      </c>
      <c r="P1089" s="39" t="e">
        <f>#REF!-M1089</f>
        <v>#REF!</v>
      </c>
      <c r="Q1089" s="39" t="e">
        <f>#REF!-N1089</f>
        <v>#REF!</v>
      </c>
      <c r="R1089" s="17" t="str">
        <f t="shared" si="111"/>
        <v>77 1 00 10010000</v>
      </c>
    </row>
    <row r="1090" spans="1:18" s="4" customFormat="1" ht="31.5">
      <c r="A1090" s="1"/>
      <c r="B1090" s="127" t="s">
        <v>20</v>
      </c>
      <c r="C1090" s="109" t="s">
        <v>595</v>
      </c>
      <c r="D1090" s="108" t="s">
        <v>317</v>
      </c>
      <c r="E1090" s="108" t="s">
        <v>334</v>
      </c>
      <c r="F1090" s="154" t="s">
        <v>693</v>
      </c>
      <c r="G1090" s="108" t="s">
        <v>21</v>
      </c>
      <c r="H1090" s="126">
        <f>SUM(H1091:H1092)</f>
        <v>0</v>
      </c>
      <c r="L1090" s="37">
        <v>144.04</v>
      </c>
      <c r="M1090" s="37">
        <v>144.04</v>
      </c>
      <c r="N1090" s="37">
        <v>144.04</v>
      </c>
      <c r="O1090" s="37">
        <f>H1090-L1090</f>
        <v>-144.04</v>
      </c>
      <c r="P1090" s="37" t="e">
        <f>#REF!-M1090</f>
        <v>#REF!</v>
      </c>
      <c r="Q1090" s="37" t="e">
        <f>#REF!-N1090</f>
        <v>#REF!</v>
      </c>
      <c r="R1090" s="17" t="str">
        <f t="shared" si="111"/>
        <v>77 1 00 10010120</v>
      </c>
    </row>
    <row r="1091" spans="1:18" s="41" customFormat="1" ht="47.25">
      <c r="A1091" s="40"/>
      <c r="B1091" s="127" t="s">
        <v>22</v>
      </c>
      <c r="C1091" s="109" t="s">
        <v>595</v>
      </c>
      <c r="D1091" s="108" t="s">
        <v>317</v>
      </c>
      <c r="E1091" s="108" t="s">
        <v>334</v>
      </c>
      <c r="F1091" s="154" t="s">
        <v>693</v>
      </c>
      <c r="G1091" s="108" t="s">
        <v>23</v>
      </c>
      <c r="H1091" s="126"/>
      <c r="L1091" s="38"/>
      <c r="M1091" s="38"/>
      <c r="N1091" s="38"/>
      <c r="O1091" s="38"/>
      <c r="P1091" s="38"/>
      <c r="Q1091" s="38"/>
      <c r="R1091" s="24"/>
    </row>
    <row r="1092" spans="1:18" s="41" customFormat="1" ht="63">
      <c r="A1092" s="40"/>
      <c r="B1092" s="127" t="s">
        <v>26</v>
      </c>
      <c r="C1092" s="109" t="s">
        <v>595</v>
      </c>
      <c r="D1092" s="108" t="s">
        <v>317</v>
      </c>
      <c r="E1092" s="108" t="s">
        <v>334</v>
      </c>
      <c r="F1092" s="154" t="s">
        <v>693</v>
      </c>
      <c r="G1092" s="108" t="s">
        <v>27</v>
      </c>
      <c r="H1092" s="126"/>
      <c r="L1092" s="38"/>
      <c r="M1092" s="38"/>
      <c r="N1092" s="38"/>
      <c r="O1092" s="38"/>
      <c r="P1092" s="38"/>
      <c r="Q1092" s="38"/>
      <c r="R1092" s="24"/>
    </row>
    <row r="1093" spans="1:18" s="4" customFormat="1" ht="31.5">
      <c r="A1093" s="1"/>
      <c r="B1093" s="125" t="s">
        <v>28</v>
      </c>
      <c r="C1093" s="109" t="s">
        <v>595</v>
      </c>
      <c r="D1093" s="108" t="s">
        <v>317</v>
      </c>
      <c r="E1093" s="108" t="s">
        <v>334</v>
      </c>
      <c r="F1093" s="154" t="s">
        <v>693</v>
      </c>
      <c r="G1093" s="108" t="s">
        <v>29</v>
      </c>
      <c r="H1093" s="126">
        <f>H1094</f>
        <v>0</v>
      </c>
      <c r="L1093" s="37">
        <v>1231.6300000000001</v>
      </c>
      <c r="M1093" s="37">
        <v>992.63</v>
      </c>
      <c r="N1093" s="37">
        <v>992.63</v>
      </c>
      <c r="O1093" s="37">
        <f>H1093-L1093</f>
        <v>-1231.6300000000001</v>
      </c>
      <c r="P1093" s="37" t="e">
        <f>#REF!-M1093</f>
        <v>#REF!</v>
      </c>
      <c r="Q1093" s="37" t="e">
        <f>#REF!-N1093</f>
        <v>#REF!</v>
      </c>
      <c r="R1093" s="17" t="str">
        <f t="shared" si="111"/>
        <v>77 1 00 10010240</v>
      </c>
    </row>
    <row r="1094" spans="1:18" s="4" customFormat="1" ht="15.75">
      <c r="A1094" s="1"/>
      <c r="B1094" s="125" t="s">
        <v>30</v>
      </c>
      <c r="C1094" s="109" t="s">
        <v>595</v>
      </c>
      <c r="D1094" s="108" t="s">
        <v>317</v>
      </c>
      <c r="E1094" s="108" t="s">
        <v>334</v>
      </c>
      <c r="F1094" s="154" t="s">
        <v>693</v>
      </c>
      <c r="G1094" s="108" t="s">
        <v>31</v>
      </c>
      <c r="H1094" s="126"/>
      <c r="L1094" s="37"/>
      <c r="M1094" s="37"/>
      <c r="N1094" s="37"/>
      <c r="O1094" s="37"/>
      <c r="P1094" s="37"/>
      <c r="Q1094" s="37"/>
      <c r="R1094" s="17"/>
    </row>
    <row r="1095" spans="1:18" s="4" customFormat="1" ht="15.75">
      <c r="A1095" s="1"/>
      <c r="B1095" s="125" t="s">
        <v>32</v>
      </c>
      <c r="C1095" s="109" t="s">
        <v>595</v>
      </c>
      <c r="D1095" s="108" t="s">
        <v>317</v>
      </c>
      <c r="E1095" s="108" t="s">
        <v>334</v>
      </c>
      <c r="F1095" s="154" t="s">
        <v>693</v>
      </c>
      <c r="G1095" s="108" t="s">
        <v>33</v>
      </c>
      <c r="H1095" s="126">
        <f>H1096</f>
        <v>0</v>
      </c>
      <c r="L1095" s="37">
        <v>1.94</v>
      </c>
      <c r="M1095" s="37">
        <v>1.94</v>
      </c>
      <c r="N1095" s="37">
        <v>1.94</v>
      </c>
      <c r="O1095" s="37">
        <f>H1095-L1095</f>
        <v>-1.94</v>
      </c>
      <c r="P1095" s="37" t="e">
        <f>#REF!-M1095</f>
        <v>#REF!</v>
      </c>
      <c r="Q1095" s="37" t="e">
        <f>#REF!-N1095</f>
        <v>#REF!</v>
      </c>
      <c r="R1095" s="17" t="str">
        <f t="shared" si="111"/>
        <v>77 1 00 10010850</v>
      </c>
    </row>
    <row r="1096" spans="1:18" s="41" customFormat="1" ht="15.75">
      <c r="A1096" s="40"/>
      <c r="B1096" s="127" t="s">
        <v>36</v>
      </c>
      <c r="C1096" s="109" t="s">
        <v>595</v>
      </c>
      <c r="D1096" s="108" t="s">
        <v>317</v>
      </c>
      <c r="E1096" s="108" t="s">
        <v>334</v>
      </c>
      <c r="F1096" s="154" t="s">
        <v>693</v>
      </c>
      <c r="G1096" s="108" t="s">
        <v>37</v>
      </c>
      <c r="H1096" s="126"/>
      <c r="L1096" s="38"/>
      <c r="M1096" s="38"/>
      <c r="N1096" s="38"/>
      <c r="O1096" s="38"/>
      <c r="P1096" s="38"/>
      <c r="Q1096" s="38"/>
      <c r="R1096" s="24"/>
    </row>
    <row r="1097" spans="1:18" s="4" customFormat="1" ht="31.5">
      <c r="A1097" s="1"/>
      <c r="B1097" s="153" t="s">
        <v>38</v>
      </c>
      <c r="C1097" s="109" t="s">
        <v>595</v>
      </c>
      <c r="D1097" s="108" t="s">
        <v>317</v>
      </c>
      <c r="E1097" s="108" t="s">
        <v>334</v>
      </c>
      <c r="F1097" s="154" t="s">
        <v>694</v>
      </c>
      <c r="G1097" s="108" t="s">
        <v>9</v>
      </c>
      <c r="H1097" s="151">
        <f>H1098</f>
        <v>0</v>
      </c>
      <c r="L1097" s="39">
        <v>6126.9500000000007</v>
      </c>
      <c r="M1097" s="39">
        <v>6126.9500000000007</v>
      </c>
      <c r="N1097" s="39">
        <v>6126.9500000000007</v>
      </c>
      <c r="O1097" s="39">
        <f>H1097-L1097</f>
        <v>-6126.9500000000007</v>
      </c>
      <c r="P1097" s="39" t="e">
        <f>#REF!-M1097</f>
        <v>#REF!</v>
      </c>
      <c r="Q1097" s="39" t="e">
        <f>#REF!-N1097</f>
        <v>#REF!</v>
      </c>
      <c r="R1097" s="17" t="str">
        <f t="shared" si="111"/>
        <v>77 1 00 10020000</v>
      </c>
    </row>
    <row r="1098" spans="1:18" s="4" customFormat="1" ht="31.5">
      <c r="A1098" s="1"/>
      <c r="B1098" s="127" t="s">
        <v>20</v>
      </c>
      <c r="C1098" s="109" t="s">
        <v>595</v>
      </c>
      <c r="D1098" s="108" t="s">
        <v>317</v>
      </c>
      <c r="E1098" s="108" t="s">
        <v>334</v>
      </c>
      <c r="F1098" s="154" t="s">
        <v>694</v>
      </c>
      <c r="G1098" s="108" t="s">
        <v>21</v>
      </c>
      <c r="H1098" s="126">
        <f>SUM(H1099:H1100)</f>
        <v>0</v>
      </c>
      <c r="L1098" s="37">
        <v>6126.9500000000007</v>
      </c>
      <c r="M1098" s="37">
        <v>6126.9500000000007</v>
      </c>
      <c r="N1098" s="37">
        <v>6126.9500000000007</v>
      </c>
      <c r="O1098" s="37">
        <f>H1098-L1098</f>
        <v>-6126.9500000000007</v>
      </c>
      <c r="P1098" s="37" t="e">
        <f>#REF!-M1098</f>
        <v>#REF!</v>
      </c>
      <c r="Q1098" s="37" t="e">
        <f>#REF!-N1098</f>
        <v>#REF!</v>
      </c>
      <c r="R1098" s="17" t="str">
        <f t="shared" si="111"/>
        <v>77 1 00 10020120</v>
      </c>
    </row>
    <row r="1099" spans="1:18" s="41" customFormat="1" ht="31.5">
      <c r="A1099" s="40"/>
      <c r="B1099" s="127" t="s">
        <v>40</v>
      </c>
      <c r="C1099" s="109" t="s">
        <v>595</v>
      </c>
      <c r="D1099" s="108" t="s">
        <v>317</v>
      </c>
      <c r="E1099" s="108" t="s">
        <v>334</v>
      </c>
      <c r="F1099" s="154" t="s">
        <v>694</v>
      </c>
      <c r="G1099" s="108" t="s">
        <v>41</v>
      </c>
      <c r="H1099" s="126"/>
      <c r="L1099" s="38"/>
      <c r="M1099" s="38"/>
      <c r="N1099" s="38"/>
      <c r="O1099" s="38"/>
      <c r="P1099" s="38"/>
      <c r="Q1099" s="38"/>
      <c r="R1099" s="24"/>
    </row>
    <row r="1100" spans="1:18" s="41" customFormat="1" ht="63">
      <c r="A1100" s="40"/>
      <c r="B1100" s="127" t="s">
        <v>26</v>
      </c>
      <c r="C1100" s="109" t="s">
        <v>595</v>
      </c>
      <c r="D1100" s="108" t="s">
        <v>317</v>
      </c>
      <c r="E1100" s="108" t="s">
        <v>334</v>
      </c>
      <c r="F1100" s="154" t="s">
        <v>694</v>
      </c>
      <c r="G1100" s="108" t="s">
        <v>27</v>
      </c>
      <c r="H1100" s="126"/>
      <c r="L1100" s="38"/>
      <c r="M1100" s="38"/>
      <c r="N1100" s="38"/>
      <c r="O1100" s="38"/>
      <c r="P1100" s="38"/>
      <c r="Q1100" s="38"/>
      <c r="R1100" s="24"/>
    </row>
    <row r="1101" spans="1:18" s="4" customFormat="1" ht="63">
      <c r="A1101" s="1" t="s">
        <v>80</v>
      </c>
      <c r="B1101" s="153" t="s">
        <v>695</v>
      </c>
      <c r="C1101" s="109" t="s">
        <v>595</v>
      </c>
      <c r="D1101" s="108" t="s">
        <v>317</v>
      </c>
      <c r="E1101" s="108" t="s">
        <v>334</v>
      </c>
      <c r="F1101" s="154" t="s">
        <v>696</v>
      </c>
      <c r="G1101" s="108" t="s">
        <v>9</v>
      </c>
      <c r="H1101" s="151">
        <f t="shared" ref="H1101" si="118">H1102+H1106</f>
        <v>0</v>
      </c>
      <c r="L1101" s="39">
        <v>1396.91</v>
      </c>
      <c r="M1101" s="39">
        <v>1396.91</v>
      </c>
      <c r="N1101" s="39">
        <v>1396.91</v>
      </c>
      <c r="O1101" s="39">
        <f>H1101-L1101</f>
        <v>-1396.91</v>
      </c>
      <c r="P1101" s="39" t="e">
        <f>#REF!-M1101</f>
        <v>#REF!</v>
      </c>
      <c r="Q1101" s="39" t="e">
        <f>#REF!-N1101</f>
        <v>#REF!</v>
      </c>
      <c r="R1101" s="17" t="str">
        <f t="shared" si="111"/>
        <v>77 1 00 76100000</v>
      </c>
    </row>
    <row r="1102" spans="1:18" s="4" customFormat="1" ht="31.5">
      <c r="A1102" s="1"/>
      <c r="B1102" s="127" t="s">
        <v>20</v>
      </c>
      <c r="C1102" s="109" t="s">
        <v>595</v>
      </c>
      <c r="D1102" s="108" t="s">
        <v>317</v>
      </c>
      <c r="E1102" s="108" t="s">
        <v>334</v>
      </c>
      <c r="F1102" s="154" t="s">
        <v>696</v>
      </c>
      <c r="G1102" s="108" t="s">
        <v>21</v>
      </c>
      <c r="H1102" s="126">
        <f>SUM(H1103:H1105)</f>
        <v>0</v>
      </c>
      <c r="L1102" s="37">
        <v>1193.94</v>
      </c>
      <c r="M1102" s="37">
        <v>1193.94</v>
      </c>
      <c r="N1102" s="37">
        <v>1193.94</v>
      </c>
      <c r="O1102" s="37">
        <f>H1102-L1102</f>
        <v>-1193.94</v>
      </c>
      <c r="P1102" s="37" t="e">
        <f>#REF!-M1102</f>
        <v>#REF!</v>
      </c>
      <c r="Q1102" s="37" t="e">
        <f>#REF!-N1102</f>
        <v>#REF!</v>
      </c>
      <c r="R1102" s="17" t="str">
        <f t="shared" si="111"/>
        <v>77 1 00 76100120</v>
      </c>
    </row>
    <row r="1103" spans="1:18" s="41" customFormat="1" ht="31.5">
      <c r="A1103" s="40"/>
      <c r="B1103" s="127" t="s">
        <v>40</v>
      </c>
      <c r="C1103" s="109" t="s">
        <v>595</v>
      </c>
      <c r="D1103" s="108" t="s">
        <v>317</v>
      </c>
      <c r="E1103" s="108" t="s">
        <v>334</v>
      </c>
      <c r="F1103" s="154" t="s">
        <v>696</v>
      </c>
      <c r="G1103" s="108" t="s">
        <v>41</v>
      </c>
      <c r="H1103" s="126"/>
      <c r="L1103" s="38"/>
      <c r="M1103" s="38"/>
      <c r="N1103" s="38"/>
      <c r="O1103" s="38"/>
      <c r="P1103" s="38"/>
      <c r="Q1103" s="38"/>
      <c r="R1103" s="24"/>
    </row>
    <row r="1104" spans="1:18" s="41" customFormat="1" ht="47.25">
      <c r="A1104" s="40"/>
      <c r="B1104" s="127" t="s">
        <v>22</v>
      </c>
      <c r="C1104" s="109" t="s">
        <v>595</v>
      </c>
      <c r="D1104" s="108" t="s">
        <v>317</v>
      </c>
      <c r="E1104" s="108" t="s">
        <v>334</v>
      </c>
      <c r="F1104" s="154" t="s">
        <v>696</v>
      </c>
      <c r="G1104" s="108" t="s">
        <v>23</v>
      </c>
      <c r="H1104" s="126"/>
      <c r="L1104" s="38"/>
      <c r="M1104" s="38"/>
      <c r="N1104" s="38"/>
      <c r="O1104" s="38"/>
      <c r="P1104" s="38"/>
      <c r="Q1104" s="38"/>
      <c r="R1104" s="24"/>
    </row>
    <row r="1105" spans="1:18" s="41" customFormat="1" ht="63">
      <c r="A1105" s="40"/>
      <c r="B1105" s="127" t="s">
        <v>26</v>
      </c>
      <c r="C1105" s="109" t="s">
        <v>595</v>
      </c>
      <c r="D1105" s="108" t="s">
        <v>317</v>
      </c>
      <c r="E1105" s="108" t="s">
        <v>334</v>
      </c>
      <c r="F1105" s="154" t="s">
        <v>696</v>
      </c>
      <c r="G1105" s="108" t="s">
        <v>27</v>
      </c>
      <c r="H1105" s="126"/>
      <c r="L1105" s="38"/>
      <c r="M1105" s="38"/>
      <c r="N1105" s="38"/>
      <c r="O1105" s="38"/>
      <c r="P1105" s="38"/>
      <c r="Q1105" s="38"/>
      <c r="R1105" s="24"/>
    </row>
    <row r="1106" spans="1:18" s="4" customFormat="1" ht="31.5">
      <c r="A1106" s="1"/>
      <c r="B1106" s="125" t="s">
        <v>28</v>
      </c>
      <c r="C1106" s="109" t="s">
        <v>595</v>
      </c>
      <c r="D1106" s="108" t="s">
        <v>317</v>
      </c>
      <c r="E1106" s="108" t="s">
        <v>334</v>
      </c>
      <c r="F1106" s="154" t="s">
        <v>696</v>
      </c>
      <c r="G1106" s="108" t="s">
        <v>29</v>
      </c>
      <c r="H1106" s="126">
        <f>H1107</f>
        <v>0</v>
      </c>
      <c r="L1106" s="37">
        <v>202.97</v>
      </c>
      <c r="M1106" s="37">
        <v>202.97</v>
      </c>
      <c r="N1106" s="37">
        <v>202.97</v>
      </c>
      <c r="O1106" s="37">
        <f>H1106-L1106</f>
        <v>-202.97</v>
      </c>
      <c r="P1106" s="37" t="e">
        <f>#REF!-M1106</f>
        <v>#REF!</v>
      </c>
      <c r="Q1106" s="37" t="e">
        <f>#REF!-N1106</f>
        <v>#REF!</v>
      </c>
      <c r="R1106" s="17" t="str">
        <f t="shared" si="111"/>
        <v>77 1 00 76100240</v>
      </c>
    </row>
    <row r="1107" spans="1:18" s="4" customFormat="1" ht="15.75">
      <c r="A1107" s="1"/>
      <c r="B1107" s="125" t="s">
        <v>30</v>
      </c>
      <c r="C1107" s="109" t="s">
        <v>595</v>
      </c>
      <c r="D1107" s="108" t="s">
        <v>317</v>
      </c>
      <c r="E1107" s="108" t="s">
        <v>334</v>
      </c>
      <c r="F1107" s="154" t="s">
        <v>696</v>
      </c>
      <c r="G1107" s="108" t="s">
        <v>31</v>
      </c>
      <c r="H1107" s="126"/>
      <c r="L1107" s="37"/>
      <c r="M1107" s="37"/>
      <c r="N1107" s="37"/>
      <c r="O1107" s="37"/>
      <c r="P1107" s="37"/>
      <c r="Q1107" s="37"/>
      <c r="R1107" s="17"/>
    </row>
    <row r="1108" spans="1:18" s="4" customFormat="1" ht="63">
      <c r="A1108" s="1" t="s">
        <v>80</v>
      </c>
      <c r="B1108" s="153" t="s">
        <v>697</v>
      </c>
      <c r="C1108" s="109" t="s">
        <v>595</v>
      </c>
      <c r="D1108" s="108" t="s">
        <v>317</v>
      </c>
      <c r="E1108" s="108" t="s">
        <v>334</v>
      </c>
      <c r="F1108" s="154" t="s">
        <v>698</v>
      </c>
      <c r="G1108" s="108" t="s">
        <v>9</v>
      </c>
      <c r="H1108" s="151">
        <f>H1109+H1113+H1115</f>
        <v>0</v>
      </c>
      <c r="L1108" s="39">
        <v>53542.54</v>
      </c>
      <c r="M1108" s="39">
        <v>53773.21</v>
      </c>
      <c r="N1108" s="39">
        <v>53811.270000000004</v>
      </c>
      <c r="O1108" s="39">
        <f>H1108-L1108</f>
        <v>-53542.54</v>
      </c>
      <c r="P1108" s="39" t="e">
        <f>#REF!-M1108</f>
        <v>#REF!</v>
      </c>
      <c r="Q1108" s="39" t="e">
        <f>#REF!-N1108</f>
        <v>#REF!</v>
      </c>
      <c r="R1108" s="17" t="str">
        <f t="shared" si="111"/>
        <v>77 1 00 76210000</v>
      </c>
    </row>
    <row r="1109" spans="1:18" s="4" customFormat="1" ht="31.5">
      <c r="A1109" s="1"/>
      <c r="B1109" s="127" t="s">
        <v>20</v>
      </c>
      <c r="C1109" s="109" t="s">
        <v>595</v>
      </c>
      <c r="D1109" s="108" t="s">
        <v>317</v>
      </c>
      <c r="E1109" s="108" t="s">
        <v>334</v>
      </c>
      <c r="F1109" s="154" t="s">
        <v>698</v>
      </c>
      <c r="G1109" s="108" t="s">
        <v>21</v>
      </c>
      <c r="H1109" s="126">
        <f>SUM(H1110:H1112)</f>
        <v>0</v>
      </c>
      <c r="L1109" s="37">
        <v>52040.04</v>
      </c>
      <c r="M1109" s="37">
        <v>52140.04</v>
      </c>
      <c r="N1109" s="37">
        <v>52140.04</v>
      </c>
      <c r="O1109" s="37">
        <f>H1109-L1109</f>
        <v>-52040.04</v>
      </c>
      <c r="P1109" s="37" t="e">
        <f>#REF!-M1109</f>
        <v>#REF!</v>
      </c>
      <c r="Q1109" s="37" t="e">
        <f>#REF!-N1109</f>
        <v>#REF!</v>
      </c>
      <c r="R1109" s="17" t="str">
        <f t="shared" si="111"/>
        <v>77 1 00 76210120</v>
      </c>
    </row>
    <row r="1110" spans="1:18" s="41" customFormat="1" ht="31.5">
      <c r="A1110" s="40"/>
      <c r="B1110" s="127" t="s">
        <v>40</v>
      </c>
      <c r="C1110" s="109" t="s">
        <v>595</v>
      </c>
      <c r="D1110" s="108" t="s">
        <v>317</v>
      </c>
      <c r="E1110" s="108" t="s">
        <v>334</v>
      </c>
      <c r="F1110" s="154" t="s">
        <v>698</v>
      </c>
      <c r="G1110" s="108" t="s">
        <v>41</v>
      </c>
      <c r="H1110" s="126"/>
      <c r="L1110" s="38"/>
      <c r="M1110" s="38"/>
      <c r="N1110" s="38"/>
      <c r="O1110" s="38"/>
      <c r="P1110" s="38"/>
      <c r="Q1110" s="38"/>
      <c r="R1110" s="24"/>
    </row>
    <row r="1111" spans="1:18" s="41" customFormat="1" ht="47.25">
      <c r="A1111" s="40"/>
      <c r="B1111" s="127" t="s">
        <v>22</v>
      </c>
      <c r="C1111" s="109" t="s">
        <v>595</v>
      </c>
      <c r="D1111" s="108" t="s">
        <v>317</v>
      </c>
      <c r="E1111" s="108" t="s">
        <v>334</v>
      </c>
      <c r="F1111" s="154" t="s">
        <v>698</v>
      </c>
      <c r="G1111" s="108" t="s">
        <v>23</v>
      </c>
      <c r="H1111" s="126"/>
      <c r="L1111" s="38"/>
      <c r="M1111" s="38"/>
      <c r="N1111" s="38"/>
      <c r="O1111" s="38"/>
      <c r="P1111" s="38"/>
      <c r="Q1111" s="38"/>
      <c r="R1111" s="24"/>
    </row>
    <row r="1112" spans="1:18" s="41" customFormat="1" ht="63">
      <c r="A1112" s="40"/>
      <c r="B1112" s="127" t="s">
        <v>26</v>
      </c>
      <c r="C1112" s="109" t="s">
        <v>595</v>
      </c>
      <c r="D1112" s="108" t="s">
        <v>317</v>
      </c>
      <c r="E1112" s="108" t="s">
        <v>334</v>
      </c>
      <c r="F1112" s="154" t="s">
        <v>698</v>
      </c>
      <c r="G1112" s="108" t="s">
        <v>27</v>
      </c>
      <c r="H1112" s="126"/>
      <c r="L1112" s="38"/>
      <c r="M1112" s="38"/>
      <c r="N1112" s="38"/>
      <c r="O1112" s="38"/>
      <c r="P1112" s="38"/>
      <c r="Q1112" s="38"/>
      <c r="R1112" s="24"/>
    </row>
    <row r="1113" spans="1:18" s="4" customFormat="1" ht="31.5">
      <c r="A1113" s="1"/>
      <c r="B1113" s="125" t="s">
        <v>28</v>
      </c>
      <c r="C1113" s="109" t="s">
        <v>595</v>
      </c>
      <c r="D1113" s="108" t="s">
        <v>317</v>
      </c>
      <c r="E1113" s="108" t="s">
        <v>334</v>
      </c>
      <c r="F1113" s="154" t="s">
        <v>698</v>
      </c>
      <c r="G1113" s="108" t="s">
        <v>29</v>
      </c>
      <c r="H1113" s="126">
        <f>H1114</f>
        <v>0</v>
      </c>
      <c r="L1113" s="37">
        <v>1400</v>
      </c>
      <c r="M1113" s="37">
        <v>1530.67</v>
      </c>
      <c r="N1113" s="37">
        <v>1568.73</v>
      </c>
      <c r="O1113" s="37">
        <f>H1113-L1113</f>
        <v>-1400</v>
      </c>
      <c r="P1113" s="37" t="e">
        <f>#REF!-M1113</f>
        <v>#REF!</v>
      </c>
      <c r="Q1113" s="37" t="e">
        <f>#REF!-N1113</f>
        <v>#REF!</v>
      </c>
      <c r="R1113" s="17" t="str">
        <f t="shared" ref="R1113:R1184" si="119">CONCATENATE(F1113,G1113)</f>
        <v>77 1 00 76210240</v>
      </c>
    </row>
    <row r="1114" spans="1:18" s="4" customFormat="1" ht="15.75">
      <c r="A1114" s="1"/>
      <c r="B1114" s="125" t="s">
        <v>30</v>
      </c>
      <c r="C1114" s="109" t="s">
        <v>595</v>
      </c>
      <c r="D1114" s="108" t="s">
        <v>317</v>
      </c>
      <c r="E1114" s="108" t="s">
        <v>334</v>
      </c>
      <c r="F1114" s="154" t="s">
        <v>698</v>
      </c>
      <c r="G1114" s="108" t="s">
        <v>31</v>
      </c>
      <c r="H1114" s="126"/>
      <c r="L1114" s="37"/>
      <c r="M1114" s="37"/>
      <c r="N1114" s="37"/>
      <c r="O1114" s="37"/>
      <c r="P1114" s="37"/>
      <c r="Q1114" s="37"/>
      <c r="R1114" s="17"/>
    </row>
    <row r="1115" spans="1:18" s="4" customFormat="1" ht="15.75">
      <c r="A1115" s="1"/>
      <c r="B1115" s="125" t="s">
        <v>32</v>
      </c>
      <c r="C1115" s="109" t="s">
        <v>595</v>
      </c>
      <c r="D1115" s="108" t="s">
        <v>317</v>
      </c>
      <c r="E1115" s="108" t="s">
        <v>334</v>
      </c>
      <c r="F1115" s="154" t="s">
        <v>698</v>
      </c>
      <c r="G1115" s="108" t="s">
        <v>33</v>
      </c>
      <c r="H1115" s="126">
        <f>SUM(H1116:H1117)</f>
        <v>0</v>
      </c>
      <c r="L1115" s="37">
        <v>102.5</v>
      </c>
      <c r="M1115" s="37">
        <v>102.5</v>
      </c>
      <c r="N1115" s="37">
        <v>102.5</v>
      </c>
      <c r="O1115" s="37">
        <f>H1115-L1115</f>
        <v>-102.5</v>
      </c>
      <c r="P1115" s="37" t="e">
        <f>#REF!-M1115</f>
        <v>#REF!</v>
      </c>
      <c r="Q1115" s="37" t="e">
        <f>#REF!-N1115</f>
        <v>#REF!</v>
      </c>
      <c r="R1115" s="17" t="str">
        <f t="shared" si="119"/>
        <v>77 1 00 76210850</v>
      </c>
    </row>
    <row r="1116" spans="1:18" s="41" customFormat="1" ht="31.5">
      <c r="A1116" s="40"/>
      <c r="B1116" s="127" t="s">
        <v>34</v>
      </c>
      <c r="C1116" s="109" t="s">
        <v>595</v>
      </c>
      <c r="D1116" s="108" t="s">
        <v>317</v>
      </c>
      <c r="E1116" s="108" t="s">
        <v>334</v>
      </c>
      <c r="F1116" s="154" t="s">
        <v>698</v>
      </c>
      <c r="G1116" s="108" t="s">
        <v>35</v>
      </c>
      <c r="H1116" s="126"/>
      <c r="L1116" s="38"/>
      <c r="M1116" s="38"/>
      <c r="N1116" s="38"/>
      <c r="O1116" s="38"/>
      <c r="P1116" s="38"/>
      <c r="Q1116" s="38"/>
      <c r="R1116" s="24"/>
    </row>
    <row r="1117" spans="1:18" s="41" customFormat="1" ht="15.75">
      <c r="A1117" s="40"/>
      <c r="B1117" s="127" t="s">
        <v>36</v>
      </c>
      <c r="C1117" s="109" t="s">
        <v>595</v>
      </c>
      <c r="D1117" s="108" t="s">
        <v>317</v>
      </c>
      <c r="E1117" s="108" t="s">
        <v>334</v>
      </c>
      <c r="F1117" s="154" t="s">
        <v>698</v>
      </c>
      <c r="G1117" s="108" t="s">
        <v>37</v>
      </c>
      <c r="H1117" s="126"/>
      <c r="L1117" s="38"/>
      <c r="M1117" s="38"/>
      <c r="N1117" s="38"/>
      <c r="O1117" s="38"/>
      <c r="P1117" s="38"/>
      <c r="Q1117" s="38"/>
      <c r="R1117" s="24"/>
    </row>
    <row r="1118" spans="1:18" s="4" customFormat="1" ht="15.75">
      <c r="A1118" s="1"/>
      <c r="B1118" s="125"/>
      <c r="C1118" s="109"/>
      <c r="D1118" s="108"/>
      <c r="E1118" s="108"/>
      <c r="F1118" s="154"/>
      <c r="G1118" s="108"/>
      <c r="H1118" s="152"/>
      <c r="L1118" s="37"/>
      <c r="M1118" s="37"/>
      <c r="N1118" s="37"/>
      <c r="O1118" s="37">
        <f t="shared" ref="O1118:O1126" si="120">H1118-L1118</f>
        <v>0</v>
      </c>
      <c r="P1118" s="37" t="e">
        <f>#REF!-M1118</f>
        <v>#REF!</v>
      </c>
      <c r="Q1118" s="37" t="e">
        <f>#REF!-N1118</f>
        <v>#REF!</v>
      </c>
      <c r="R1118" s="17" t="str">
        <f t="shared" si="119"/>
        <v/>
      </c>
    </row>
    <row r="1119" spans="1:18" s="16" customFormat="1" ht="31.5">
      <c r="A1119" s="14"/>
      <c r="B1119" s="67" t="s">
        <v>699</v>
      </c>
      <c r="C1119" s="116" t="s">
        <v>406</v>
      </c>
      <c r="D1119" s="69" t="s">
        <v>7</v>
      </c>
      <c r="E1119" s="69" t="s">
        <v>7</v>
      </c>
      <c r="F1119" s="69" t="s">
        <v>8</v>
      </c>
      <c r="G1119" s="69" t="s">
        <v>9</v>
      </c>
      <c r="H1119" s="70">
        <f>H1120+H1134</f>
        <v>0</v>
      </c>
      <c r="L1119" s="25">
        <v>189408.93999999997</v>
      </c>
      <c r="M1119" s="25">
        <v>186094.75999999998</v>
      </c>
      <c r="N1119" s="25">
        <v>186094.75999999998</v>
      </c>
      <c r="O1119" s="25">
        <f t="shared" si="120"/>
        <v>-189408.93999999997</v>
      </c>
      <c r="P1119" s="25" t="e">
        <f>#REF!-M1119</f>
        <v>#REF!</v>
      </c>
      <c r="Q1119" s="25" t="e">
        <f>#REF!-N1119</f>
        <v>#REF!</v>
      </c>
      <c r="R1119" s="17" t="str">
        <f t="shared" si="119"/>
        <v>00 0 00 00000000</v>
      </c>
    </row>
    <row r="1120" spans="1:18" s="16" customFormat="1" ht="15.75">
      <c r="A1120" s="14"/>
      <c r="B1120" s="117" t="s">
        <v>228</v>
      </c>
      <c r="C1120" s="118" t="s">
        <v>406</v>
      </c>
      <c r="D1120" s="119" t="s">
        <v>229</v>
      </c>
      <c r="E1120" s="119" t="s">
        <v>7</v>
      </c>
      <c r="F1120" s="119" t="s">
        <v>8</v>
      </c>
      <c r="G1120" s="119" t="s">
        <v>9</v>
      </c>
      <c r="H1120" s="120">
        <f>H1121</f>
        <v>0</v>
      </c>
      <c r="L1120" s="18">
        <v>153120.24999999997</v>
      </c>
      <c r="M1120" s="18">
        <v>151306.06999999998</v>
      </c>
      <c r="N1120" s="18">
        <v>151306.06999999998</v>
      </c>
      <c r="O1120" s="18">
        <f t="shared" si="120"/>
        <v>-153120.24999999997</v>
      </c>
      <c r="P1120" s="18" t="e">
        <f>#REF!-M1120</f>
        <v>#REF!</v>
      </c>
      <c r="Q1120" s="18" t="e">
        <f>#REF!-N1120</f>
        <v>#REF!</v>
      </c>
      <c r="R1120" s="17" t="str">
        <f t="shared" si="119"/>
        <v>00 0 00 00000000</v>
      </c>
    </row>
    <row r="1121" spans="1:18" s="16" customFormat="1" ht="15.75">
      <c r="A1121" s="14"/>
      <c r="B1121" s="121" t="s">
        <v>458</v>
      </c>
      <c r="C1121" s="122" t="s">
        <v>406</v>
      </c>
      <c r="D1121" s="123" t="s">
        <v>229</v>
      </c>
      <c r="E1121" s="123" t="s">
        <v>13</v>
      </c>
      <c r="F1121" s="123" t="s">
        <v>8</v>
      </c>
      <c r="G1121" s="123" t="s">
        <v>9</v>
      </c>
      <c r="H1121" s="124">
        <f>H1122+H1128</f>
        <v>0</v>
      </c>
      <c r="L1121" s="19">
        <v>153120.24999999997</v>
      </c>
      <c r="M1121" s="19">
        <v>151306.06999999998</v>
      </c>
      <c r="N1121" s="19">
        <v>151306.06999999998</v>
      </c>
      <c r="O1121" s="19">
        <f t="shared" si="120"/>
        <v>-153120.24999999997</v>
      </c>
      <c r="P1121" s="19" t="e">
        <f>#REF!-M1121</f>
        <v>#REF!</v>
      </c>
      <c r="Q1121" s="19" t="e">
        <f>#REF!-N1121</f>
        <v>#REF!</v>
      </c>
      <c r="R1121" s="17" t="str">
        <f t="shared" si="119"/>
        <v>00 0 00 00000000</v>
      </c>
    </row>
    <row r="1122" spans="1:18" s="16" customFormat="1" ht="31.5">
      <c r="A1122" s="14"/>
      <c r="B1122" s="125" t="s">
        <v>700</v>
      </c>
      <c r="C1122" s="109" t="s">
        <v>406</v>
      </c>
      <c r="D1122" s="108" t="s">
        <v>229</v>
      </c>
      <c r="E1122" s="108" t="s">
        <v>13</v>
      </c>
      <c r="F1122" s="108" t="s">
        <v>701</v>
      </c>
      <c r="G1122" s="108" t="s">
        <v>9</v>
      </c>
      <c r="H1122" s="126">
        <f t="shared" ref="H1122:H1125" si="121">H1123</f>
        <v>0</v>
      </c>
      <c r="L1122" s="20">
        <v>152886.69999999998</v>
      </c>
      <c r="M1122" s="20">
        <v>151072.51999999999</v>
      </c>
      <c r="N1122" s="20">
        <v>151072.51999999999</v>
      </c>
      <c r="O1122" s="20">
        <f t="shared" si="120"/>
        <v>-152886.69999999998</v>
      </c>
      <c r="P1122" s="20" t="e">
        <f>#REF!-M1122</f>
        <v>#REF!</v>
      </c>
      <c r="Q1122" s="20" t="e">
        <f>#REF!-N1122</f>
        <v>#REF!</v>
      </c>
      <c r="R1122" s="17" t="str">
        <f t="shared" si="119"/>
        <v>08 0 00 00000000</v>
      </c>
    </row>
    <row r="1123" spans="1:18" s="16" customFormat="1" ht="47.25">
      <c r="A1123" s="14"/>
      <c r="B1123" s="125" t="s">
        <v>702</v>
      </c>
      <c r="C1123" s="109" t="s">
        <v>406</v>
      </c>
      <c r="D1123" s="108" t="s">
        <v>229</v>
      </c>
      <c r="E1123" s="108" t="s">
        <v>13</v>
      </c>
      <c r="F1123" s="108" t="s">
        <v>703</v>
      </c>
      <c r="G1123" s="108" t="s">
        <v>9</v>
      </c>
      <c r="H1123" s="126">
        <f t="shared" si="121"/>
        <v>0</v>
      </c>
      <c r="L1123" s="20">
        <v>152886.69999999998</v>
      </c>
      <c r="M1123" s="20">
        <v>151072.51999999999</v>
      </c>
      <c r="N1123" s="20">
        <v>151072.51999999999</v>
      </c>
      <c r="O1123" s="20">
        <f t="shared" si="120"/>
        <v>-152886.69999999998</v>
      </c>
      <c r="P1123" s="20" t="e">
        <f>#REF!-M1123</f>
        <v>#REF!</v>
      </c>
      <c r="Q1123" s="20" t="e">
        <f>#REF!-N1123</f>
        <v>#REF!</v>
      </c>
      <c r="R1123" s="17" t="str">
        <f t="shared" si="119"/>
        <v>08 1 00 00000000</v>
      </c>
    </row>
    <row r="1124" spans="1:18" s="16" customFormat="1" ht="63">
      <c r="A1124" s="14"/>
      <c r="B1124" s="125" t="s">
        <v>704</v>
      </c>
      <c r="C1124" s="109" t="s">
        <v>406</v>
      </c>
      <c r="D1124" s="108" t="s">
        <v>229</v>
      </c>
      <c r="E1124" s="108" t="s">
        <v>13</v>
      </c>
      <c r="F1124" s="108" t="s">
        <v>705</v>
      </c>
      <c r="G1124" s="108" t="s">
        <v>9</v>
      </c>
      <c r="H1124" s="126">
        <f>H1125</f>
        <v>0</v>
      </c>
      <c r="L1124" s="20">
        <v>152886.69999999998</v>
      </c>
      <c r="M1124" s="20">
        <v>151072.51999999999</v>
      </c>
      <c r="N1124" s="20">
        <v>151072.51999999999</v>
      </c>
      <c r="O1124" s="20">
        <f t="shared" si="120"/>
        <v>-152886.69999999998</v>
      </c>
      <c r="P1124" s="20" t="e">
        <f>#REF!-M1124</f>
        <v>#REF!</v>
      </c>
      <c r="Q1124" s="20" t="e">
        <f>#REF!-N1124</f>
        <v>#REF!</v>
      </c>
      <c r="R1124" s="17" t="str">
        <f t="shared" si="119"/>
        <v>08 1 01 00000000</v>
      </c>
    </row>
    <row r="1125" spans="1:18" s="16" customFormat="1" ht="31.5">
      <c r="A1125" s="14"/>
      <c r="B1125" s="127" t="s">
        <v>136</v>
      </c>
      <c r="C1125" s="109" t="s">
        <v>406</v>
      </c>
      <c r="D1125" s="108" t="s">
        <v>229</v>
      </c>
      <c r="E1125" s="108" t="s">
        <v>13</v>
      </c>
      <c r="F1125" s="108" t="s">
        <v>706</v>
      </c>
      <c r="G1125" s="108" t="s">
        <v>9</v>
      </c>
      <c r="H1125" s="126">
        <f t="shared" si="121"/>
        <v>0</v>
      </c>
      <c r="L1125" s="20">
        <v>152886.69999999998</v>
      </c>
      <c r="M1125" s="20">
        <v>151072.51999999999</v>
      </c>
      <c r="N1125" s="20">
        <v>151072.51999999999</v>
      </c>
      <c r="O1125" s="20">
        <f t="shared" si="120"/>
        <v>-152886.69999999998</v>
      </c>
      <c r="P1125" s="20" t="e">
        <f>#REF!-M1125</f>
        <v>#REF!</v>
      </c>
      <c r="Q1125" s="20" t="e">
        <f>#REF!-N1125</f>
        <v>#REF!</v>
      </c>
      <c r="R1125" s="17" t="str">
        <f t="shared" si="119"/>
        <v>08 1 01 11010000</v>
      </c>
    </row>
    <row r="1126" spans="1:18" s="16" customFormat="1" ht="15.75">
      <c r="A1126" s="14"/>
      <c r="B1126" s="132" t="s">
        <v>403</v>
      </c>
      <c r="C1126" s="109" t="s">
        <v>406</v>
      </c>
      <c r="D1126" s="108" t="s">
        <v>229</v>
      </c>
      <c r="E1126" s="108" t="s">
        <v>13</v>
      </c>
      <c r="F1126" s="108" t="s">
        <v>706</v>
      </c>
      <c r="G1126" s="108" t="s">
        <v>404</v>
      </c>
      <c r="H1126" s="126">
        <f>H1127</f>
        <v>0</v>
      </c>
      <c r="L1126" s="20">
        <v>152886.69999999998</v>
      </c>
      <c r="M1126" s="20">
        <v>151072.51999999999</v>
      </c>
      <c r="N1126" s="20">
        <v>151072.51999999999</v>
      </c>
      <c r="O1126" s="20">
        <f t="shared" si="120"/>
        <v>-152886.69999999998</v>
      </c>
      <c r="P1126" s="20" t="e">
        <f>#REF!-M1126</f>
        <v>#REF!</v>
      </c>
      <c r="Q1126" s="20" t="e">
        <f>#REF!-N1126</f>
        <v>#REF!</v>
      </c>
      <c r="R1126" s="17" t="str">
        <f t="shared" si="119"/>
        <v>08 1 01 11010610</v>
      </c>
    </row>
    <row r="1127" spans="1:18" s="23" customFormat="1" ht="63">
      <c r="A1127" s="21"/>
      <c r="B1127" s="127" t="s">
        <v>405</v>
      </c>
      <c r="C1127" s="109" t="s">
        <v>406</v>
      </c>
      <c r="D1127" s="108" t="s">
        <v>229</v>
      </c>
      <c r="E1127" s="108" t="s">
        <v>13</v>
      </c>
      <c r="F1127" s="108" t="s">
        <v>706</v>
      </c>
      <c r="G1127" s="108" t="s">
        <v>406</v>
      </c>
      <c r="H1127" s="126"/>
      <c r="L1127" s="22"/>
      <c r="M1127" s="22"/>
      <c r="N1127" s="22"/>
      <c r="O1127" s="22"/>
      <c r="P1127" s="22"/>
      <c r="Q1127" s="22"/>
      <c r="R1127" s="24"/>
    </row>
    <row r="1128" spans="1:18" s="16" customFormat="1" ht="94.5">
      <c r="A1128" s="14"/>
      <c r="B1128" s="125" t="s">
        <v>420</v>
      </c>
      <c r="C1128" s="109" t="s">
        <v>406</v>
      </c>
      <c r="D1128" s="108" t="s">
        <v>229</v>
      </c>
      <c r="E1128" s="108" t="s">
        <v>13</v>
      </c>
      <c r="F1128" s="108" t="s">
        <v>421</v>
      </c>
      <c r="G1128" s="108" t="s">
        <v>9</v>
      </c>
      <c r="H1128" s="126">
        <f t="shared" ref="H1128:H1131" si="122">H1129</f>
        <v>0</v>
      </c>
      <c r="L1128" s="20">
        <v>233.55</v>
      </c>
      <c r="M1128" s="20">
        <v>233.55</v>
      </c>
      <c r="N1128" s="20">
        <v>233.55</v>
      </c>
      <c r="O1128" s="20">
        <f>H1128-L1128</f>
        <v>-233.55</v>
      </c>
      <c r="P1128" s="20" t="e">
        <f>#REF!-M1128</f>
        <v>#REF!</v>
      </c>
      <c r="Q1128" s="20" t="e">
        <f>#REF!-N1128</f>
        <v>#REF!</v>
      </c>
      <c r="R1128" s="17" t="str">
        <f t="shared" si="119"/>
        <v>16 0 00 00000000</v>
      </c>
    </row>
    <row r="1129" spans="1:18" s="16" customFormat="1" ht="31.5">
      <c r="A1129" s="14"/>
      <c r="B1129" s="125" t="s">
        <v>422</v>
      </c>
      <c r="C1129" s="109" t="s">
        <v>406</v>
      </c>
      <c r="D1129" s="108" t="s">
        <v>229</v>
      </c>
      <c r="E1129" s="108" t="s">
        <v>13</v>
      </c>
      <c r="F1129" s="108" t="s">
        <v>423</v>
      </c>
      <c r="G1129" s="108" t="s">
        <v>9</v>
      </c>
      <c r="H1129" s="126">
        <f t="shared" si="122"/>
        <v>0</v>
      </c>
      <c r="L1129" s="20">
        <v>233.55</v>
      </c>
      <c r="M1129" s="20">
        <v>233.55</v>
      </c>
      <c r="N1129" s="20">
        <v>233.55</v>
      </c>
      <c r="O1129" s="20">
        <f>H1129-L1129</f>
        <v>-233.55</v>
      </c>
      <c r="P1129" s="20" t="e">
        <f>#REF!-M1129</f>
        <v>#REF!</v>
      </c>
      <c r="Q1129" s="20" t="e">
        <f>#REF!-N1129</f>
        <v>#REF!</v>
      </c>
      <c r="R1129" s="17" t="str">
        <f t="shared" si="119"/>
        <v>16 2 00 00000000</v>
      </c>
    </row>
    <row r="1130" spans="1:18" s="16" customFormat="1" ht="47.25">
      <c r="A1130" s="14"/>
      <c r="B1130" s="125" t="s">
        <v>424</v>
      </c>
      <c r="C1130" s="109" t="s">
        <v>406</v>
      </c>
      <c r="D1130" s="108" t="s">
        <v>229</v>
      </c>
      <c r="E1130" s="108" t="s">
        <v>13</v>
      </c>
      <c r="F1130" s="108" t="s">
        <v>425</v>
      </c>
      <c r="G1130" s="108" t="s">
        <v>9</v>
      </c>
      <c r="H1130" s="126">
        <f t="shared" si="122"/>
        <v>0</v>
      </c>
      <c r="L1130" s="20">
        <v>233.55</v>
      </c>
      <c r="M1130" s="20">
        <v>233.55</v>
      </c>
      <c r="N1130" s="20">
        <v>233.55</v>
      </c>
      <c r="O1130" s="20">
        <f>H1130-L1130</f>
        <v>-233.55</v>
      </c>
      <c r="P1130" s="20" t="e">
        <f>#REF!-M1130</f>
        <v>#REF!</v>
      </c>
      <c r="Q1130" s="20" t="e">
        <f>#REF!-N1130</f>
        <v>#REF!</v>
      </c>
      <c r="R1130" s="17" t="str">
        <f t="shared" si="119"/>
        <v>16 2 02 00000000</v>
      </c>
    </row>
    <row r="1131" spans="1:18" s="16" customFormat="1" ht="47.25">
      <c r="A1131" s="14"/>
      <c r="B1131" s="125" t="s">
        <v>426</v>
      </c>
      <c r="C1131" s="109" t="s">
        <v>406</v>
      </c>
      <c r="D1131" s="108" t="s">
        <v>229</v>
      </c>
      <c r="E1131" s="108" t="s">
        <v>13</v>
      </c>
      <c r="F1131" s="108" t="s">
        <v>427</v>
      </c>
      <c r="G1131" s="108" t="s">
        <v>9</v>
      </c>
      <c r="H1131" s="126">
        <f t="shared" si="122"/>
        <v>0</v>
      </c>
      <c r="L1131" s="20">
        <v>233.55</v>
      </c>
      <c r="M1131" s="20">
        <v>233.55</v>
      </c>
      <c r="N1131" s="20">
        <v>233.55</v>
      </c>
      <c r="O1131" s="20">
        <f>H1131-L1131</f>
        <v>-233.55</v>
      </c>
      <c r="P1131" s="20" t="e">
        <f>#REF!-M1131</f>
        <v>#REF!</v>
      </c>
      <c r="Q1131" s="20" t="e">
        <f>#REF!-N1131</f>
        <v>#REF!</v>
      </c>
      <c r="R1131" s="17" t="str">
        <f t="shared" si="119"/>
        <v>16 2 02 20550000</v>
      </c>
    </row>
    <row r="1132" spans="1:18" s="16" customFormat="1" ht="15.75">
      <c r="A1132" s="14"/>
      <c r="B1132" s="132" t="s">
        <v>403</v>
      </c>
      <c r="C1132" s="109" t="s">
        <v>406</v>
      </c>
      <c r="D1132" s="108" t="s">
        <v>229</v>
      </c>
      <c r="E1132" s="108" t="s">
        <v>13</v>
      </c>
      <c r="F1132" s="108" t="s">
        <v>427</v>
      </c>
      <c r="G1132" s="108" t="s">
        <v>404</v>
      </c>
      <c r="H1132" s="126">
        <f>H1133</f>
        <v>0</v>
      </c>
      <c r="L1132" s="20">
        <v>233.55</v>
      </c>
      <c r="M1132" s="20">
        <v>233.55</v>
      </c>
      <c r="N1132" s="20">
        <v>233.55</v>
      </c>
      <c r="O1132" s="20">
        <f>H1132-L1132</f>
        <v>-233.55</v>
      </c>
      <c r="P1132" s="20" t="e">
        <f>#REF!-M1132</f>
        <v>#REF!</v>
      </c>
      <c r="Q1132" s="20" t="e">
        <f>#REF!-N1132</f>
        <v>#REF!</v>
      </c>
      <c r="R1132" s="17" t="str">
        <f t="shared" si="119"/>
        <v>16 2 02 20550610</v>
      </c>
    </row>
    <row r="1133" spans="1:18" s="16" customFormat="1" ht="15.75">
      <c r="A1133" s="14"/>
      <c r="B1133" s="127" t="s">
        <v>407</v>
      </c>
      <c r="C1133" s="109" t="s">
        <v>406</v>
      </c>
      <c r="D1133" s="108" t="s">
        <v>229</v>
      </c>
      <c r="E1133" s="108" t="s">
        <v>13</v>
      </c>
      <c r="F1133" s="108" t="s">
        <v>427</v>
      </c>
      <c r="G1133" s="108" t="s">
        <v>408</v>
      </c>
      <c r="H1133" s="126"/>
      <c r="L1133" s="20"/>
      <c r="M1133" s="20"/>
      <c r="N1133" s="20"/>
      <c r="O1133" s="20"/>
      <c r="P1133" s="20"/>
      <c r="Q1133" s="20"/>
      <c r="R1133" s="17"/>
    </row>
    <row r="1134" spans="1:18" s="16" customFormat="1" ht="15.75">
      <c r="A1134" s="14"/>
      <c r="B1134" s="117" t="s">
        <v>707</v>
      </c>
      <c r="C1134" s="118" t="s">
        <v>406</v>
      </c>
      <c r="D1134" s="119" t="s">
        <v>342</v>
      </c>
      <c r="E1134" s="119" t="s">
        <v>7</v>
      </c>
      <c r="F1134" s="119" t="s">
        <v>8</v>
      </c>
      <c r="G1134" s="119" t="s">
        <v>9</v>
      </c>
      <c r="H1134" s="120">
        <f>H1135+H1142+H1164+H1171</f>
        <v>0</v>
      </c>
      <c r="L1134" s="18">
        <v>36288.69</v>
      </c>
      <c r="M1134" s="18">
        <v>34788.69</v>
      </c>
      <c r="N1134" s="18">
        <v>34788.69</v>
      </c>
      <c r="O1134" s="18">
        <f t="shared" ref="O1134:O1140" si="123">H1134-L1134</f>
        <v>-36288.69</v>
      </c>
      <c r="P1134" s="18" t="e">
        <f>#REF!-M1134</f>
        <v>#REF!</v>
      </c>
      <c r="Q1134" s="18" t="e">
        <f>#REF!-N1134</f>
        <v>#REF!</v>
      </c>
      <c r="R1134" s="17" t="str">
        <f t="shared" si="119"/>
        <v>00 0 00 00000000</v>
      </c>
    </row>
    <row r="1135" spans="1:18" s="16" customFormat="1" ht="15.75">
      <c r="A1135" s="14"/>
      <c r="B1135" s="121" t="s">
        <v>708</v>
      </c>
      <c r="C1135" s="122" t="s">
        <v>406</v>
      </c>
      <c r="D1135" s="123" t="s">
        <v>342</v>
      </c>
      <c r="E1135" s="123" t="s">
        <v>11</v>
      </c>
      <c r="F1135" s="123" t="s">
        <v>8</v>
      </c>
      <c r="G1135" s="123" t="s">
        <v>9</v>
      </c>
      <c r="H1135" s="124">
        <f t="shared" ref="H1135:H1139" si="124">H1136</f>
        <v>0</v>
      </c>
      <c r="L1135" s="19">
        <v>2903.54</v>
      </c>
      <c r="M1135" s="19">
        <v>2903.54</v>
      </c>
      <c r="N1135" s="19">
        <v>2903.54</v>
      </c>
      <c r="O1135" s="19">
        <f t="shared" si="123"/>
        <v>-2903.54</v>
      </c>
      <c r="P1135" s="19" t="e">
        <f>#REF!-M1135</f>
        <v>#REF!</v>
      </c>
      <c r="Q1135" s="19" t="e">
        <f>#REF!-N1135</f>
        <v>#REF!</v>
      </c>
      <c r="R1135" s="17" t="str">
        <f t="shared" si="119"/>
        <v>00 0 00 00000000</v>
      </c>
    </row>
    <row r="1136" spans="1:18" s="16" customFormat="1" ht="31.5">
      <c r="A1136" s="14"/>
      <c r="B1136" s="125" t="s">
        <v>700</v>
      </c>
      <c r="C1136" s="109" t="s">
        <v>406</v>
      </c>
      <c r="D1136" s="108" t="s">
        <v>342</v>
      </c>
      <c r="E1136" s="108" t="s">
        <v>11</v>
      </c>
      <c r="F1136" s="108" t="s">
        <v>701</v>
      </c>
      <c r="G1136" s="108" t="s">
        <v>9</v>
      </c>
      <c r="H1136" s="126">
        <f t="shared" si="124"/>
        <v>0</v>
      </c>
      <c r="L1136" s="20">
        <v>2903.54</v>
      </c>
      <c r="M1136" s="20">
        <v>2903.54</v>
      </c>
      <c r="N1136" s="20">
        <v>2903.54</v>
      </c>
      <c r="O1136" s="20">
        <f t="shared" si="123"/>
        <v>-2903.54</v>
      </c>
      <c r="P1136" s="20" t="e">
        <f>#REF!-M1136</f>
        <v>#REF!</v>
      </c>
      <c r="Q1136" s="20" t="e">
        <f>#REF!-N1136</f>
        <v>#REF!</v>
      </c>
      <c r="R1136" s="17" t="str">
        <f t="shared" si="119"/>
        <v>08 0 00 00000000</v>
      </c>
    </row>
    <row r="1137" spans="1:18" s="16" customFormat="1" ht="47.25">
      <c r="A1137" s="14"/>
      <c r="B1137" s="125" t="s">
        <v>702</v>
      </c>
      <c r="C1137" s="109" t="s">
        <v>406</v>
      </c>
      <c r="D1137" s="108" t="s">
        <v>342</v>
      </c>
      <c r="E1137" s="108" t="s">
        <v>11</v>
      </c>
      <c r="F1137" s="108" t="s">
        <v>703</v>
      </c>
      <c r="G1137" s="108" t="s">
        <v>9</v>
      </c>
      <c r="H1137" s="126">
        <f>H1138</f>
        <v>0</v>
      </c>
      <c r="L1137" s="20">
        <v>2903.54</v>
      </c>
      <c r="M1137" s="20">
        <v>2903.54</v>
      </c>
      <c r="N1137" s="20">
        <v>2903.54</v>
      </c>
      <c r="O1137" s="20">
        <f t="shared" si="123"/>
        <v>-2903.54</v>
      </c>
      <c r="P1137" s="20" t="e">
        <f>#REF!-M1137</f>
        <v>#REF!</v>
      </c>
      <c r="Q1137" s="20" t="e">
        <f>#REF!-N1137</f>
        <v>#REF!</v>
      </c>
      <c r="R1137" s="17" t="str">
        <f t="shared" si="119"/>
        <v>08 1 00 00000000</v>
      </c>
    </row>
    <row r="1138" spans="1:18" s="16" customFormat="1" ht="31.5">
      <c r="A1138" s="14"/>
      <c r="B1138" s="129" t="s">
        <v>709</v>
      </c>
      <c r="C1138" s="130" t="s">
        <v>406</v>
      </c>
      <c r="D1138" s="131" t="s">
        <v>342</v>
      </c>
      <c r="E1138" s="131" t="s">
        <v>11</v>
      </c>
      <c r="F1138" s="131" t="s">
        <v>710</v>
      </c>
      <c r="G1138" s="131" t="s">
        <v>9</v>
      </c>
      <c r="H1138" s="105">
        <f>H1139</f>
        <v>0</v>
      </c>
      <c r="L1138" s="26">
        <v>2903.54</v>
      </c>
      <c r="M1138" s="26">
        <v>2903.54</v>
      </c>
      <c r="N1138" s="26">
        <v>2903.54</v>
      </c>
      <c r="O1138" s="26">
        <f t="shared" si="123"/>
        <v>-2903.54</v>
      </c>
      <c r="P1138" s="26" t="e">
        <f>#REF!-M1138</f>
        <v>#REF!</v>
      </c>
      <c r="Q1138" s="26" t="e">
        <f>#REF!-N1138</f>
        <v>#REF!</v>
      </c>
      <c r="R1138" s="17" t="str">
        <f t="shared" si="119"/>
        <v>08 1 02 00000000</v>
      </c>
    </row>
    <row r="1139" spans="1:18" s="16" customFormat="1" ht="31.5">
      <c r="A1139" s="14"/>
      <c r="B1139" s="127" t="s">
        <v>136</v>
      </c>
      <c r="C1139" s="130" t="s">
        <v>406</v>
      </c>
      <c r="D1139" s="131" t="s">
        <v>342</v>
      </c>
      <c r="E1139" s="131" t="s">
        <v>11</v>
      </c>
      <c r="F1139" s="131" t="s">
        <v>711</v>
      </c>
      <c r="G1139" s="131" t="s">
        <v>9</v>
      </c>
      <c r="H1139" s="105">
        <f t="shared" si="124"/>
        <v>0</v>
      </c>
      <c r="L1139" s="26">
        <v>2903.54</v>
      </c>
      <c r="M1139" s="26">
        <v>2903.54</v>
      </c>
      <c r="N1139" s="26">
        <v>2903.54</v>
      </c>
      <c r="O1139" s="26">
        <f t="shared" si="123"/>
        <v>-2903.54</v>
      </c>
      <c r="P1139" s="26" t="e">
        <f>#REF!-M1139</f>
        <v>#REF!</v>
      </c>
      <c r="Q1139" s="26" t="e">
        <f>#REF!-N1139</f>
        <v>#REF!</v>
      </c>
      <c r="R1139" s="17" t="str">
        <f t="shared" si="119"/>
        <v>08 1 02 11010000</v>
      </c>
    </row>
    <row r="1140" spans="1:18" s="16" customFormat="1" ht="15.75">
      <c r="A1140" s="14"/>
      <c r="B1140" s="132" t="s">
        <v>403</v>
      </c>
      <c r="C1140" s="130" t="s">
        <v>406</v>
      </c>
      <c r="D1140" s="131" t="s">
        <v>342</v>
      </c>
      <c r="E1140" s="131" t="s">
        <v>11</v>
      </c>
      <c r="F1140" s="131" t="s">
        <v>711</v>
      </c>
      <c r="G1140" s="131" t="s">
        <v>404</v>
      </c>
      <c r="H1140" s="126">
        <f>H1141</f>
        <v>0</v>
      </c>
      <c r="L1140" s="20">
        <v>2903.54</v>
      </c>
      <c r="M1140" s="20">
        <v>2903.54</v>
      </c>
      <c r="N1140" s="20">
        <v>2903.54</v>
      </c>
      <c r="O1140" s="20">
        <f t="shared" si="123"/>
        <v>-2903.54</v>
      </c>
      <c r="P1140" s="20" t="e">
        <f>#REF!-M1140</f>
        <v>#REF!</v>
      </c>
      <c r="Q1140" s="20" t="e">
        <f>#REF!-N1140</f>
        <v>#REF!</v>
      </c>
      <c r="R1140" s="17" t="str">
        <f t="shared" si="119"/>
        <v>08 1 02 11010610</v>
      </c>
    </row>
    <row r="1141" spans="1:18" s="23" customFormat="1" ht="63">
      <c r="A1141" s="21"/>
      <c r="B1141" s="127" t="s">
        <v>405</v>
      </c>
      <c r="C1141" s="130" t="s">
        <v>406</v>
      </c>
      <c r="D1141" s="131" t="s">
        <v>342</v>
      </c>
      <c r="E1141" s="131" t="s">
        <v>11</v>
      </c>
      <c r="F1141" s="131" t="s">
        <v>711</v>
      </c>
      <c r="G1141" s="108" t="s">
        <v>406</v>
      </c>
      <c r="H1141" s="126"/>
      <c r="L1141" s="22"/>
      <c r="M1141" s="22"/>
      <c r="N1141" s="22"/>
      <c r="O1141" s="22"/>
      <c r="P1141" s="22"/>
      <c r="Q1141" s="22"/>
      <c r="R1141" s="24"/>
    </row>
    <row r="1142" spans="1:18" s="16" customFormat="1" ht="15.75">
      <c r="A1142" s="14"/>
      <c r="B1142" s="121" t="s">
        <v>712</v>
      </c>
      <c r="C1142" s="122" t="s">
        <v>406</v>
      </c>
      <c r="D1142" s="123" t="s">
        <v>342</v>
      </c>
      <c r="E1142" s="123" t="s">
        <v>62</v>
      </c>
      <c r="F1142" s="123" t="s">
        <v>8</v>
      </c>
      <c r="G1142" s="123" t="s">
        <v>9</v>
      </c>
      <c r="H1142" s="124">
        <f>H1143</f>
        <v>0</v>
      </c>
      <c r="L1142" s="19">
        <v>14924</v>
      </c>
      <c r="M1142" s="19">
        <v>14924</v>
      </c>
      <c r="N1142" s="19">
        <v>14924</v>
      </c>
      <c r="O1142" s="19">
        <f t="shared" ref="O1142:O1147" si="125">H1142-L1142</f>
        <v>-14924</v>
      </c>
      <c r="P1142" s="19" t="e">
        <f>#REF!-M1142</f>
        <v>#REF!</v>
      </c>
      <c r="Q1142" s="19" t="e">
        <f>#REF!-N1142</f>
        <v>#REF!</v>
      </c>
      <c r="R1142" s="17" t="str">
        <f t="shared" si="119"/>
        <v>00 0 00 00000000</v>
      </c>
    </row>
    <row r="1143" spans="1:18" s="16" customFormat="1" ht="31.5">
      <c r="A1143" s="14"/>
      <c r="B1143" s="125" t="s">
        <v>700</v>
      </c>
      <c r="C1143" s="109" t="s">
        <v>406</v>
      </c>
      <c r="D1143" s="108" t="s">
        <v>342</v>
      </c>
      <c r="E1143" s="108" t="s">
        <v>62</v>
      </c>
      <c r="F1143" s="108" t="s">
        <v>701</v>
      </c>
      <c r="G1143" s="108" t="s">
        <v>9</v>
      </c>
      <c r="H1143" s="126">
        <f>H1144+H1149</f>
        <v>0</v>
      </c>
      <c r="L1143" s="20">
        <v>14924</v>
      </c>
      <c r="M1143" s="20">
        <v>14924</v>
      </c>
      <c r="N1143" s="20">
        <v>14924</v>
      </c>
      <c r="O1143" s="20">
        <f t="shared" si="125"/>
        <v>-14924</v>
      </c>
      <c r="P1143" s="20" t="e">
        <f>#REF!-M1143</f>
        <v>#REF!</v>
      </c>
      <c r="Q1143" s="20" t="e">
        <f>#REF!-N1143</f>
        <v>#REF!</v>
      </c>
      <c r="R1143" s="17" t="str">
        <f t="shared" si="119"/>
        <v>08 0 00 00000000</v>
      </c>
    </row>
    <row r="1144" spans="1:18" s="16" customFormat="1" ht="47.25">
      <c r="A1144" s="14"/>
      <c r="B1144" s="125" t="s">
        <v>702</v>
      </c>
      <c r="C1144" s="109" t="s">
        <v>406</v>
      </c>
      <c r="D1144" s="108" t="s">
        <v>342</v>
      </c>
      <c r="E1144" s="108" t="s">
        <v>62</v>
      </c>
      <c r="F1144" s="108" t="s">
        <v>703</v>
      </c>
      <c r="G1144" s="108" t="s">
        <v>9</v>
      </c>
      <c r="H1144" s="126">
        <f t="shared" ref="H1144" si="126">H1145</f>
        <v>0</v>
      </c>
      <c r="L1144" s="20">
        <v>9606.5</v>
      </c>
      <c r="M1144" s="20">
        <v>9606.5</v>
      </c>
      <c r="N1144" s="20">
        <v>9606.5</v>
      </c>
      <c r="O1144" s="20">
        <f t="shared" si="125"/>
        <v>-9606.5</v>
      </c>
      <c r="P1144" s="20" t="e">
        <f>#REF!-M1144</f>
        <v>#REF!</v>
      </c>
      <c r="Q1144" s="20" t="e">
        <f>#REF!-N1144</f>
        <v>#REF!</v>
      </c>
      <c r="R1144" s="17" t="str">
        <f t="shared" si="119"/>
        <v>08 1 00 00000000</v>
      </c>
    </row>
    <row r="1145" spans="1:18" s="16" customFormat="1" ht="94.5">
      <c r="A1145" s="14"/>
      <c r="B1145" s="125" t="s">
        <v>713</v>
      </c>
      <c r="C1145" s="109" t="s">
        <v>406</v>
      </c>
      <c r="D1145" s="108" t="s">
        <v>342</v>
      </c>
      <c r="E1145" s="108" t="s">
        <v>62</v>
      </c>
      <c r="F1145" s="108" t="s">
        <v>714</v>
      </c>
      <c r="G1145" s="108" t="s">
        <v>9</v>
      </c>
      <c r="H1145" s="126">
        <f>H1146</f>
        <v>0</v>
      </c>
      <c r="L1145" s="20">
        <v>9606.5</v>
      </c>
      <c r="M1145" s="20">
        <v>9606.5</v>
      </c>
      <c r="N1145" s="20">
        <v>9606.5</v>
      </c>
      <c r="O1145" s="20">
        <f t="shared" si="125"/>
        <v>-9606.5</v>
      </c>
      <c r="P1145" s="20" t="e">
        <f>#REF!-M1145</f>
        <v>#REF!</v>
      </c>
      <c r="Q1145" s="20" t="e">
        <f>#REF!-N1145</f>
        <v>#REF!</v>
      </c>
      <c r="R1145" s="17" t="str">
        <f t="shared" si="119"/>
        <v>08 1 03 00000000</v>
      </c>
    </row>
    <row r="1146" spans="1:18" s="16" customFormat="1" ht="31.5">
      <c r="A1146" s="14"/>
      <c r="B1146" s="127" t="s">
        <v>136</v>
      </c>
      <c r="C1146" s="130" t="s">
        <v>406</v>
      </c>
      <c r="D1146" s="108" t="s">
        <v>342</v>
      </c>
      <c r="E1146" s="108" t="s">
        <v>62</v>
      </c>
      <c r="F1146" s="131" t="s">
        <v>715</v>
      </c>
      <c r="G1146" s="131" t="s">
        <v>9</v>
      </c>
      <c r="H1146" s="105">
        <f t="shared" ref="H1146" si="127">H1147</f>
        <v>0</v>
      </c>
      <c r="L1146" s="26">
        <v>9606.5</v>
      </c>
      <c r="M1146" s="26">
        <v>9606.5</v>
      </c>
      <c r="N1146" s="26">
        <v>9606.5</v>
      </c>
      <c r="O1146" s="26">
        <f t="shared" si="125"/>
        <v>-9606.5</v>
      </c>
      <c r="P1146" s="26" t="e">
        <f>#REF!-M1146</f>
        <v>#REF!</v>
      </c>
      <c r="Q1146" s="26" t="e">
        <f>#REF!-N1146</f>
        <v>#REF!</v>
      </c>
      <c r="R1146" s="17" t="str">
        <f t="shared" si="119"/>
        <v>08 1 03 11010000</v>
      </c>
    </row>
    <row r="1147" spans="1:18" s="16" customFormat="1" ht="15.75">
      <c r="A1147" s="14"/>
      <c r="B1147" s="132" t="s">
        <v>403</v>
      </c>
      <c r="C1147" s="130" t="s">
        <v>406</v>
      </c>
      <c r="D1147" s="108" t="s">
        <v>342</v>
      </c>
      <c r="E1147" s="108" t="s">
        <v>62</v>
      </c>
      <c r="F1147" s="131" t="s">
        <v>715</v>
      </c>
      <c r="G1147" s="131" t="s">
        <v>404</v>
      </c>
      <c r="H1147" s="126">
        <f>H1148</f>
        <v>0</v>
      </c>
      <c r="L1147" s="20">
        <v>9606.5</v>
      </c>
      <c r="M1147" s="20">
        <v>9606.5</v>
      </c>
      <c r="N1147" s="20">
        <v>9606.5</v>
      </c>
      <c r="O1147" s="20">
        <f t="shared" si="125"/>
        <v>-9606.5</v>
      </c>
      <c r="P1147" s="20" t="e">
        <f>#REF!-M1147</f>
        <v>#REF!</v>
      </c>
      <c r="Q1147" s="20" t="e">
        <f>#REF!-N1147</f>
        <v>#REF!</v>
      </c>
      <c r="R1147" s="17" t="str">
        <f t="shared" si="119"/>
        <v>08 1 03 11010610</v>
      </c>
    </row>
    <row r="1148" spans="1:18" s="23" customFormat="1" ht="63">
      <c r="A1148" s="21"/>
      <c r="B1148" s="127" t="s">
        <v>405</v>
      </c>
      <c r="C1148" s="130" t="s">
        <v>406</v>
      </c>
      <c r="D1148" s="108" t="s">
        <v>342</v>
      </c>
      <c r="E1148" s="108" t="s">
        <v>62</v>
      </c>
      <c r="F1148" s="131" t="s">
        <v>715</v>
      </c>
      <c r="G1148" s="108" t="s">
        <v>406</v>
      </c>
      <c r="H1148" s="126"/>
      <c r="L1148" s="22"/>
      <c r="M1148" s="22"/>
      <c r="N1148" s="22"/>
      <c r="O1148" s="22"/>
      <c r="P1148" s="22"/>
      <c r="Q1148" s="22"/>
      <c r="R1148" s="24"/>
    </row>
    <row r="1149" spans="1:18" s="16" customFormat="1" ht="47.25">
      <c r="A1149" s="14"/>
      <c r="B1149" s="125" t="s">
        <v>716</v>
      </c>
      <c r="C1149" s="109" t="s">
        <v>406</v>
      </c>
      <c r="D1149" s="108" t="s">
        <v>342</v>
      </c>
      <c r="E1149" s="108" t="s">
        <v>62</v>
      </c>
      <c r="F1149" s="108" t="s">
        <v>717</v>
      </c>
      <c r="G1149" s="108" t="s">
        <v>9</v>
      </c>
      <c r="H1149" s="126">
        <f>H1150+H1156+H1160</f>
        <v>0</v>
      </c>
      <c r="L1149" s="20">
        <v>5317.5</v>
      </c>
      <c r="M1149" s="20">
        <v>5317.5</v>
      </c>
      <c r="N1149" s="20">
        <v>5317.5</v>
      </c>
      <c r="O1149" s="20">
        <f>H1149-L1149</f>
        <v>-5317.5</v>
      </c>
      <c r="P1149" s="20" t="e">
        <f>#REF!-M1149</f>
        <v>#REF!</v>
      </c>
      <c r="Q1149" s="20" t="e">
        <f>#REF!-N1149</f>
        <v>#REF!</v>
      </c>
      <c r="R1149" s="17" t="str">
        <f t="shared" si="119"/>
        <v>08 2 00 00000000</v>
      </c>
    </row>
    <row r="1150" spans="1:18" s="16" customFormat="1" ht="47.25">
      <c r="A1150" s="14"/>
      <c r="B1150" s="125" t="s">
        <v>718</v>
      </c>
      <c r="C1150" s="109" t="s">
        <v>406</v>
      </c>
      <c r="D1150" s="108" t="s">
        <v>342</v>
      </c>
      <c r="E1150" s="108" t="s">
        <v>62</v>
      </c>
      <c r="F1150" s="108" t="s">
        <v>719</v>
      </c>
      <c r="G1150" s="108" t="s">
        <v>9</v>
      </c>
      <c r="H1150" s="126">
        <f>H1151</f>
        <v>0</v>
      </c>
      <c r="L1150" s="20">
        <v>5250</v>
      </c>
      <c r="M1150" s="20">
        <v>5250</v>
      </c>
      <c r="N1150" s="20">
        <v>5250</v>
      </c>
      <c r="O1150" s="20">
        <f>H1150-L1150</f>
        <v>-5250</v>
      </c>
      <c r="P1150" s="20" t="e">
        <f>#REF!-M1150</f>
        <v>#REF!</v>
      </c>
      <c r="Q1150" s="20" t="e">
        <f>#REF!-N1150</f>
        <v>#REF!</v>
      </c>
      <c r="R1150" s="17" t="str">
        <f t="shared" si="119"/>
        <v>08 2 01 00000000</v>
      </c>
    </row>
    <row r="1151" spans="1:18" s="16" customFormat="1" ht="31.5">
      <c r="A1151" s="14"/>
      <c r="B1151" s="125" t="s">
        <v>720</v>
      </c>
      <c r="C1151" s="109" t="s">
        <v>406</v>
      </c>
      <c r="D1151" s="108" t="s">
        <v>342</v>
      </c>
      <c r="E1151" s="108" t="s">
        <v>62</v>
      </c>
      <c r="F1151" s="108" t="s">
        <v>721</v>
      </c>
      <c r="G1151" s="108" t="s">
        <v>9</v>
      </c>
      <c r="H1151" s="126">
        <f>H1154+H1152</f>
        <v>0</v>
      </c>
      <c r="L1151" s="20">
        <v>5250</v>
      </c>
      <c r="M1151" s="20">
        <v>5250</v>
      </c>
      <c r="N1151" s="20">
        <v>5250</v>
      </c>
      <c r="O1151" s="20">
        <f>H1151-L1151</f>
        <v>-5250</v>
      </c>
      <c r="P1151" s="20" t="e">
        <f>#REF!-M1151</f>
        <v>#REF!</v>
      </c>
      <c r="Q1151" s="20" t="e">
        <f>#REF!-N1151</f>
        <v>#REF!</v>
      </c>
      <c r="R1151" s="17" t="str">
        <f t="shared" si="119"/>
        <v>08 2 01 20420000</v>
      </c>
    </row>
    <row r="1152" spans="1:18" s="16" customFormat="1" ht="15.75">
      <c r="A1152" s="14"/>
      <c r="B1152" s="125" t="s">
        <v>138</v>
      </c>
      <c r="C1152" s="109" t="s">
        <v>406</v>
      </c>
      <c r="D1152" s="108" t="s">
        <v>342</v>
      </c>
      <c r="E1152" s="108" t="s">
        <v>62</v>
      </c>
      <c r="F1152" s="108" t="s">
        <v>721</v>
      </c>
      <c r="G1152" s="108" t="s">
        <v>139</v>
      </c>
      <c r="H1152" s="126">
        <f>H1153</f>
        <v>0</v>
      </c>
      <c r="L1152" s="20">
        <v>3250</v>
      </c>
      <c r="M1152" s="20">
        <v>3250</v>
      </c>
      <c r="N1152" s="20">
        <v>3250</v>
      </c>
      <c r="O1152" s="20">
        <f>H1152-L1152</f>
        <v>-3250</v>
      </c>
      <c r="P1152" s="20" t="e">
        <f>#REF!-M1152</f>
        <v>#REF!</v>
      </c>
      <c r="Q1152" s="20" t="e">
        <f>#REF!-N1152</f>
        <v>#REF!</v>
      </c>
      <c r="R1152" s="17" t="str">
        <f t="shared" si="119"/>
        <v>08 2 01 20420110</v>
      </c>
    </row>
    <row r="1153" spans="1:18" s="23" customFormat="1" ht="63">
      <c r="A1153" s="21"/>
      <c r="B1153" s="127" t="s">
        <v>144</v>
      </c>
      <c r="C1153" s="109" t="s">
        <v>406</v>
      </c>
      <c r="D1153" s="108" t="s">
        <v>342</v>
      </c>
      <c r="E1153" s="108" t="s">
        <v>62</v>
      </c>
      <c r="F1153" s="108" t="s">
        <v>721</v>
      </c>
      <c r="G1153" s="108" t="s">
        <v>722</v>
      </c>
      <c r="H1153" s="126"/>
      <c r="L1153" s="22"/>
      <c r="M1153" s="22"/>
      <c r="N1153" s="22"/>
      <c r="O1153" s="22"/>
      <c r="P1153" s="22"/>
      <c r="Q1153" s="22"/>
      <c r="R1153" s="24"/>
    </row>
    <row r="1154" spans="1:18" s="16" customFormat="1" ht="31.5">
      <c r="A1154" s="14"/>
      <c r="B1154" s="125" t="s">
        <v>28</v>
      </c>
      <c r="C1154" s="109" t="s">
        <v>406</v>
      </c>
      <c r="D1154" s="108" t="s">
        <v>342</v>
      </c>
      <c r="E1154" s="108" t="s">
        <v>62</v>
      </c>
      <c r="F1154" s="108" t="s">
        <v>721</v>
      </c>
      <c r="G1154" s="108" t="s">
        <v>29</v>
      </c>
      <c r="H1154" s="126">
        <f>H1155</f>
        <v>0</v>
      </c>
      <c r="L1154" s="20">
        <v>2000</v>
      </c>
      <c r="M1154" s="20">
        <v>2000</v>
      </c>
      <c r="N1154" s="20">
        <v>2000</v>
      </c>
      <c r="O1154" s="20">
        <f>H1154-L1154</f>
        <v>-2000</v>
      </c>
      <c r="P1154" s="20" t="e">
        <f>#REF!-M1154</f>
        <v>#REF!</v>
      </c>
      <c r="Q1154" s="20" t="e">
        <f>#REF!-N1154</f>
        <v>#REF!</v>
      </c>
      <c r="R1154" s="17" t="str">
        <f t="shared" si="119"/>
        <v>08 2 01 20420240</v>
      </c>
    </row>
    <row r="1155" spans="1:18" s="16" customFormat="1" ht="15.75">
      <c r="A1155" s="14"/>
      <c r="B1155" s="125" t="s">
        <v>30</v>
      </c>
      <c r="C1155" s="109" t="s">
        <v>406</v>
      </c>
      <c r="D1155" s="108" t="s">
        <v>342</v>
      </c>
      <c r="E1155" s="108" t="s">
        <v>62</v>
      </c>
      <c r="F1155" s="108" t="s">
        <v>721</v>
      </c>
      <c r="G1155" s="108" t="s">
        <v>31</v>
      </c>
      <c r="H1155" s="126"/>
      <c r="L1155" s="20"/>
      <c r="M1155" s="20"/>
      <c r="N1155" s="20"/>
      <c r="O1155" s="20"/>
      <c r="P1155" s="20"/>
      <c r="Q1155" s="20"/>
      <c r="R1155" s="17"/>
    </row>
    <row r="1156" spans="1:18" s="16" customFormat="1" ht="47.25">
      <c r="A1156" s="14"/>
      <c r="B1156" s="140" t="s">
        <v>723</v>
      </c>
      <c r="C1156" s="109" t="s">
        <v>406</v>
      </c>
      <c r="D1156" s="108" t="s">
        <v>342</v>
      </c>
      <c r="E1156" s="108" t="s">
        <v>62</v>
      </c>
      <c r="F1156" s="108" t="s">
        <v>724</v>
      </c>
      <c r="G1156" s="108" t="s">
        <v>9</v>
      </c>
      <c r="H1156" s="126">
        <f>H1157</f>
        <v>0</v>
      </c>
      <c r="L1156" s="20">
        <v>11.25</v>
      </c>
      <c r="M1156" s="20">
        <v>11.25</v>
      </c>
      <c r="N1156" s="20">
        <v>11.25</v>
      </c>
      <c r="O1156" s="20">
        <f>H1156-L1156</f>
        <v>-11.25</v>
      </c>
      <c r="P1156" s="20" t="e">
        <f>#REF!-M1156</f>
        <v>#REF!</v>
      </c>
      <c r="Q1156" s="20" t="e">
        <f>#REF!-N1156</f>
        <v>#REF!</v>
      </c>
      <c r="R1156" s="17" t="str">
        <f t="shared" si="119"/>
        <v>08 2 02 00000000</v>
      </c>
    </row>
    <row r="1157" spans="1:18" s="16" customFormat="1" ht="15.75">
      <c r="A1157" s="14"/>
      <c r="B1157" s="127" t="s">
        <v>725</v>
      </c>
      <c r="C1157" s="109" t="s">
        <v>406</v>
      </c>
      <c r="D1157" s="108" t="s">
        <v>342</v>
      </c>
      <c r="E1157" s="108" t="s">
        <v>62</v>
      </c>
      <c r="F1157" s="108" t="s">
        <v>726</v>
      </c>
      <c r="G1157" s="108" t="s">
        <v>9</v>
      </c>
      <c r="H1157" s="126">
        <f>H1158</f>
        <v>0</v>
      </c>
      <c r="L1157" s="20">
        <v>11.25</v>
      </c>
      <c r="M1157" s="20">
        <v>11.25</v>
      </c>
      <c r="N1157" s="20">
        <v>11.25</v>
      </c>
      <c r="O1157" s="20">
        <f>H1157-L1157</f>
        <v>-11.25</v>
      </c>
      <c r="P1157" s="20" t="e">
        <f>#REF!-M1157</f>
        <v>#REF!</v>
      </c>
      <c r="Q1157" s="20" t="e">
        <f>#REF!-N1157</f>
        <v>#REF!</v>
      </c>
      <c r="R1157" s="17" t="str">
        <f t="shared" si="119"/>
        <v>08 2 02 20440000</v>
      </c>
    </row>
    <row r="1158" spans="1:18" s="16" customFormat="1" ht="31.5">
      <c r="A1158" s="14"/>
      <c r="B1158" s="125" t="s">
        <v>28</v>
      </c>
      <c r="C1158" s="109" t="s">
        <v>406</v>
      </c>
      <c r="D1158" s="108" t="s">
        <v>342</v>
      </c>
      <c r="E1158" s="108" t="s">
        <v>62</v>
      </c>
      <c r="F1158" s="108" t="s">
        <v>726</v>
      </c>
      <c r="G1158" s="108" t="s">
        <v>29</v>
      </c>
      <c r="H1158" s="126">
        <f>H1159</f>
        <v>0</v>
      </c>
      <c r="L1158" s="20">
        <v>11.25</v>
      </c>
      <c r="M1158" s="20">
        <v>11.25</v>
      </c>
      <c r="N1158" s="20">
        <v>11.25</v>
      </c>
      <c r="O1158" s="20">
        <f>H1158-L1158</f>
        <v>-11.25</v>
      </c>
      <c r="P1158" s="20" t="e">
        <f>#REF!-M1158</f>
        <v>#REF!</v>
      </c>
      <c r="Q1158" s="20" t="e">
        <f>#REF!-N1158</f>
        <v>#REF!</v>
      </c>
      <c r="R1158" s="17" t="str">
        <f t="shared" si="119"/>
        <v>08 2 02 20440240</v>
      </c>
    </row>
    <row r="1159" spans="1:18" s="16" customFormat="1" ht="15.75">
      <c r="A1159" s="14"/>
      <c r="B1159" s="125" t="s">
        <v>30</v>
      </c>
      <c r="C1159" s="109" t="s">
        <v>406</v>
      </c>
      <c r="D1159" s="108" t="s">
        <v>342</v>
      </c>
      <c r="E1159" s="108" t="s">
        <v>62</v>
      </c>
      <c r="F1159" s="108" t="s">
        <v>726</v>
      </c>
      <c r="G1159" s="108" t="s">
        <v>31</v>
      </c>
      <c r="H1159" s="126"/>
      <c r="L1159" s="20"/>
      <c r="M1159" s="20"/>
      <c r="N1159" s="20"/>
      <c r="O1159" s="20"/>
      <c r="P1159" s="20"/>
      <c r="Q1159" s="20"/>
      <c r="R1159" s="17"/>
    </row>
    <row r="1160" spans="1:18" s="16" customFormat="1" ht="63">
      <c r="A1160" s="14"/>
      <c r="B1160" s="140" t="s">
        <v>727</v>
      </c>
      <c r="C1160" s="109" t="s">
        <v>406</v>
      </c>
      <c r="D1160" s="108" t="s">
        <v>342</v>
      </c>
      <c r="E1160" s="108" t="s">
        <v>62</v>
      </c>
      <c r="F1160" s="108" t="s">
        <v>728</v>
      </c>
      <c r="G1160" s="108" t="s">
        <v>9</v>
      </c>
      <c r="H1160" s="126">
        <f t="shared" ref="H1160" si="128">H1161</f>
        <v>0</v>
      </c>
      <c r="L1160" s="20">
        <v>56.25</v>
      </c>
      <c r="M1160" s="20">
        <v>56.25</v>
      </c>
      <c r="N1160" s="20">
        <v>56.25</v>
      </c>
      <c r="O1160" s="20">
        <f>H1160-L1160</f>
        <v>-56.25</v>
      </c>
      <c r="P1160" s="20" t="e">
        <f>#REF!-M1160</f>
        <v>#REF!</v>
      </c>
      <c r="Q1160" s="20" t="e">
        <f>#REF!-N1160</f>
        <v>#REF!</v>
      </c>
      <c r="R1160" s="17" t="str">
        <f t="shared" si="119"/>
        <v>08 2 03 00000000</v>
      </c>
    </row>
    <row r="1161" spans="1:18" s="16" customFormat="1" ht="31.5">
      <c r="A1161" s="14"/>
      <c r="B1161" s="127" t="s">
        <v>729</v>
      </c>
      <c r="C1161" s="109" t="s">
        <v>406</v>
      </c>
      <c r="D1161" s="108" t="s">
        <v>342</v>
      </c>
      <c r="E1161" s="108" t="s">
        <v>62</v>
      </c>
      <c r="F1161" s="108" t="s">
        <v>730</v>
      </c>
      <c r="G1161" s="108" t="s">
        <v>9</v>
      </c>
      <c r="H1161" s="126">
        <f>H1162</f>
        <v>0</v>
      </c>
      <c r="L1161" s="20">
        <v>56.25</v>
      </c>
      <c r="M1161" s="20">
        <v>56.25</v>
      </c>
      <c r="N1161" s="20">
        <v>56.25</v>
      </c>
      <c r="O1161" s="20">
        <f>H1161-L1161</f>
        <v>-56.25</v>
      </c>
      <c r="P1161" s="20" t="e">
        <f>#REF!-M1161</f>
        <v>#REF!</v>
      </c>
      <c r="Q1161" s="20" t="e">
        <f>#REF!-N1161</f>
        <v>#REF!</v>
      </c>
      <c r="R1161" s="17" t="str">
        <f t="shared" si="119"/>
        <v>08 2 03 21060000</v>
      </c>
    </row>
    <row r="1162" spans="1:18" s="16" customFormat="1" ht="31.5">
      <c r="A1162" s="14"/>
      <c r="B1162" s="125" t="s">
        <v>28</v>
      </c>
      <c r="C1162" s="109" t="s">
        <v>406</v>
      </c>
      <c r="D1162" s="108" t="s">
        <v>342</v>
      </c>
      <c r="E1162" s="108" t="s">
        <v>62</v>
      </c>
      <c r="F1162" s="108" t="s">
        <v>730</v>
      </c>
      <c r="G1162" s="108" t="s">
        <v>29</v>
      </c>
      <c r="H1162" s="126">
        <f>H1163</f>
        <v>0</v>
      </c>
      <c r="L1162" s="20">
        <v>56.25</v>
      </c>
      <c r="M1162" s="20">
        <v>56.25</v>
      </c>
      <c r="N1162" s="20">
        <v>56.25</v>
      </c>
      <c r="O1162" s="20">
        <f>H1162-L1162</f>
        <v>-56.25</v>
      </c>
      <c r="P1162" s="20" t="e">
        <f>#REF!-M1162</f>
        <v>#REF!</v>
      </c>
      <c r="Q1162" s="20" t="e">
        <f>#REF!-N1162</f>
        <v>#REF!</v>
      </c>
      <c r="R1162" s="17" t="str">
        <f t="shared" si="119"/>
        <v>08 2 03 21060240</v>
      </c>
    </row>
    <row r="1163" spans="1:18" s="16" customFormat="1" ht="15.75">
      <c r="A1163" s="14"/>
      <c r="B1163" s="125" t="s">
        <v>30</v>
      </c>
      <c r="C1163" s="109" t="s">
        <v>406</v>
      </c>
      <c r="D1163" s="108" t="s">
        <v>342</v>
      </c>
      <c r="E1163" s="108" t="s">
        <v>62</v>
      </c>
      <c r="F1163" s="108" t="s">
        <v>730</v>
      </c>
      <c r="G1163" s="108" t="s">
        <v>31</v>
      </c>
      <c r="H1163" s="126"/>
      <c r="L1163" s="20"/>
      <c r="M1163" s="20"/>
      <c r="N1163" s="20"/>
      <c r="O1163" s="20"/>
      <c r="P1163" s="20"/>
      <c r="Q1163" s="20"/>
      <c r="R1163" s="17"/>
    </row>
    <row r="1164" spans="1:18" s="16" customFormat="1" ht="15.75">
      <c r="A1164" s="14"/>
      <c r="B1164" s="121" t="s">
        <v>731</v>
      </c>
      <c r="C1164" s="122" t="s">
        <v>406</v>
      </c>
      <c r="D1164" s="123" t="s">
        <v>342</v>
      </c>
      <c r="E1164" s="123" t="s">
        <v>13</v>
      </c>
      <c r="F1164" s="123" t="s">
        <v>8</v>
      </c>
      <c r="G1164" s="123" t="s">
        <v>9</v>
      </c>
      <c r="H1164" s="124">
        <f>H1165</f>
        <v>0</v>
      </c>
      <c r="L1164" s="19">
        <v>1500</v>
      </c>
      <c r="M1164" s="19">
        <v>0</v>
      </c>
      <c r="N1164" s="19">
        <v>0</v>
      </c>
      <c r="O1164" s="19">
        <f t="shared" ref="O1164:O1169" si="129">H1164-L1164</f>
        <v>-1500</v>
      </c>
      <c r="P1164" s="19" t="e">
        <f>#REF!-M1164</f>
        <v>#REF!</v>
      </c>
      <c r="Q1164" s="19" t="e">
        <f>#REF!-N1164</f>
        <v>#REF!</v>
      </c>
      <c r="R1164" s="17" t="str">
        <f t="shared" si="119"/>
        <v>00 0 00 00000000</v>
      </c>
    </row>
    <row r="1165" spans="1:18" s="16" customFormat="1" ht="31.5">
      <c r="A1165" s="14"/>
      <c r="B1165" s="125" t="s">
        <v>700</v>
      </c>
      <c r="C1165" s="109" t="s">
        <v>406</v>
      </c>
      <c r="D1165" s="108" t="s">
        <v>342</v>
      </c>
      <c r="E1165" s="108" t="s">
        <v>13</v>
      </c>
      <c r="F1165" s="108" t="s">
        <v>701</v>
      </c>
      <c r="G1165" s="108" t="s">
        <v>9</v>
      </c>
      <c r="H1165" s="126">
        <f t="shared" ref="H1165:H1168" si="130">H1166</f>
        <v>0</v>
      </c>
      <c r="L1165" s="20">
        <v>1500</v>
      </c>
      <c r="M1165" s="20">
        <v>0</v>
      </c>
      <c r="N1165" s="20">
        <v>0</v>
      </c>
      <c r="O1165" s="20">
        <f t="shared" si="129"/>
        <v>-1500</v>
      </c>
      <c r="P1165" s="20" t="e">
        <f>#REF!-M1165</f>
        <v>#REF!</v>
      </c>
      <c r="Q1165" s="20" t="e">
        <f>#REF!-N1165</f>
        <v>#REF!</v>
      </c>
      <c r="R1165" s="17" t="str">
        <f t="shared" si="119"/>
        <v>08 0 00 00000000</v>
      </c>
    </row>
    <row r="1166" spans="1:18" s="16" customFormat="1" ht="47.25">
      <c r="A1166" s="14"/>
      <c r="B1166" s="125" t="s">
        <v>716</v>
      </c>
      <c r="C1166" s="109" t="s">
        <v>406</v>
      </c>
      <c r="D1166" s="108" t="s">
        <v>342</v>
      </c>
      <c r="E1166" s="108" t="s">
        <v>13</v>
      </c>
      <c r="F1166" s="108" t="s">
        <v>717</v>
      </c>
      <c r="G1166" s="108" t="s">
        <v>9</v>
      </c>
      <c r="H1166" s="126">
        <f>H1167</f>
        <v>0</v>
      </c>
      <c r="L1166" s="20">
        <v>1500</v>
      </c>
      <c r="M1166" s="20">
        <v>0</v>
      </c>
      <c r="N1166" s="20">
        <v>0</v>
      </c>
      <c r="O1166" s="20">
        <f t="shared" si="129"/>
        <v>-1500</v>
      </c>
      <c r="P1166" s="20" t="e">
        <f>#REF!-M1166</f>
        <v>#REF!</v>
      </c>
      <c r="Q1166" s="20" t="e">
        <f>#REF!-N1166</f>
        <v>#REF!</v>
      </c>
      <c r="R1166" s="17" t="str">
        <f t="shared" si="119"/>
        <v>08 2 00 00000000</v>
      </c>
    </row>
    <row r="1167" spans="1:18" s="16" customFormat="1" ht="63">
      <c r="A1167" s="14"/>
      <c r="B1167" s="125" t="s">
        <v>732</v>
      </c>
      <c r="C1167" s="109" t="s">
        <v>406</v>
      </c>
      <c r="D1167" s="108" t="s">
        <v>342</v>
      </c>
      <c r="E1167" s="108" t="s">
        <v>13</v>
      </c>
      <c r="F1167" s="108" t="s">
        <v>733</v>
      </c>
      <c r="G1167" s="108" t="s">
        <v>9</v>
      </c>
      <c r="H1167" s="126">
        <f>H1168</f>
        <v>0</v>
      </c>
      <c r="L1167" s="20">
        <v>1500</v>
      </c>
      <c r="M1167" s="20">
        <v>0</v>
      </c>
      <c r="N1167" s="20">
        <v>0</v>
      </c>
      <c r="O1167" s="20">
        <f t="shared" si="129"/>
        <v>-1500</v>
      </c>
      <c r="P1167" s="20" t="e">
        <f>#REF!-M1167</f>
        <v>#REF!</v>
      </c>
      <c r="Q1167" s="20" t="e">
        <f>#REF!-N1167</f>
        <v>#REF!</v>
      </c>
      <c r="R1167" s="17" t="str">
        <f t="shared" si="119"/>
        <v>08 2 04 00000000</v>
      </c>
    </row>
    <row r="1168" spans="1:18" s="16" customFormat="1" ht="78.75">
      <c r="A1168" s="14"/>
      <c r="B1168" s="125" t="s">
        <v>734</v>
      </c>
      <c r="C1168" s="109" t="s">
        <v>406</v>
      </c>
      <c r="D1168" s="108" t="s">
        <v>342</v>
      </c>
      <c r="E1168" s="108" t="s">
        <v>13</v>
      </c>
      <c r="F1168" s="108" t="s">
        <v>735</v>
      </c>
      <c r="G1168" s="108" t="s">
        <v>9</v>
      </c>
      <c r="H1168" s="126">
        <f t="shared" si="130"/>
        <v>0</v>
      </c>
      <c r="L1168" s="20">
        <v>1500</v>
      </c>
      <c r="M1168" s="20">
        <v>0</v>
      </c>
      <c r="N1168" s="20">
        <v>0</v>
      </c>
      <c r="O1168" s="20">
        <f t="shared" si="129"/>
        <v>-1500</v>
      </c>
      <c r="P1168" s="20" t="e">
        <f>#REF!-M1168</f>
        <v>#REF!</v>
      </c>
      <c r="Q1168" s="20" t="e">
        <f>#REF!-N1168</f>
        <v>#REF!</v>
      </c>
      <c r="R1168" s="17" t="str">
        <f t="shared" si="119"/>
        <v>08 2 04 60120000</v>
      </c>
    </row>
    <row r="1169" spans="1:18" s="16" customFormat="1" ht="47.25">
      <c r="A1169" s="14"/>
      <c r="B1169" s="125" t="s">
        <v>182</v>
      </c>
      <c r="C1169" s="109" t="s">
        <v>406</v>
      </c>
      <c r="D1169" s="108" t="s">
        <v>342</v>
      </c>
      <c r="E1169" s="108" t="s">
        <v>13</v>
      </c>
      <c r="F1169" s="108" t="s">
        <v>735</v>
      </c>
      <c r="G1169" s="108" t="s">
        <v>183</v>
      </c>
      <c r="H1169" s="126">
        <f>H1170</f>
        <v>0</v>
      </c>
      <c r="L1169" s="20">
        <v>1500</v>
      </c>
      <c r="M1169" s="20">
        <v>0</v>
      </c>
      <c r="N1169" s="20">
        <v>0</v>
      </c>
      <c r="O1169" s="20">
        <f t="shared" si="129"/>
        <v>-1500</v>
      </c>
      <c r="P1169" s="20" t="e">
        <f>#REF!-M1169</f>
        <v>#REF!</v>
      </c>
      <c r="Q1169" s="20" t="e">
        <f>#REF!-N1169</f>
        <v>#REF!</v>
      </c>
      <c r="R1169" s="17" t="str">
        <f t="shared" si="119"/>
        <v>08 2 04 60120630</v>
      </c>
    </row>
    <row r="1170" spans="1:18" s="16" customFormat="1" ht="47.25">
      <c r="A1170" s="14"/>
      <c r="B1170" s="125" t="s">
        <v>736</v>
      </c>
      <c r="C1170" s="109" t="s">
        <v>406</v>
      </c>
      <c r="D1170" s="108" t="s">
        <v>342</v>
      </c>
      <c r="E1170" s="108" t="s">
        <v>13</v>
      </c>
      <c r="F1170" s="108" t="s">
        <v>735</v>
      </c>
      <c r="G1170" s="108" t="s">
        <v>214</v>
      </c>
      <c r="H1170" s="126"/>
      <c r="L1170" s="20"/>
      <c r="M1170" s="20"/>
      <c r="N1170" s="20"/>
      <c r="O1170" s="20"/>
      <c r="P1170" s="20"/>
      <c r="Q1170" s="20"/>
      <c r="R1170" s="17"/>
    </row>
    <row r="1171" spans="1:18" s="16" customFormat="1" ht="31.5">
      <c r="A1171" s="14"/>
      <c r="B1171" s="121" t="s">
        <v>737</v>
      </c>
      <c r="C1171" s="122" t="s">
        <v>406</v>
      </c>
      <c r="D1171" s="123" t="s">
        <v>342</v>
      </c>
      <c r="E1171" s="123" t="s">
        <v>86</v>
      </c>
      <c r="F1171" s="123" t="s">
        <v>8</v>
      </c>
      <c r="G1171" s="123" t="s">
        <v>9</v>
      </c>
      <c r="H1171" s="124">
        <f t="shared" ref="H1171" si="131">H1172</f>
        <v>0</v>
      </c>
      <c r="L1171" s="19">
        <v>16961.150000000001</v>
      </c>
      <c r="M1171" s="19">
        <v>16961.150000000001</v>
      </c>
      <c r="N1171" s="19">
        <v>16961.150000000001</v>
      </c>
      <c r="O1171" s="19">
        <f>H1171-L1171</f>
        <v>-16961.150000000001</v>
      </c>
      <c r="P1171" s="19" t="e">
        <f>#REF!-M1171</f>
        <v>#REF!</v>
      </c>
      <c r="Q1171" s="19" t="e">
        <f>#REF!-N1171</f>
        <v>#REF!</v>
      </c>
      <c r="R1171" s="17" t="str">
        <f t="shared" si="119"/>
        <v>00 0 00 00000000</v>
      </c>
    </row>
    <row r="1172" spans="1:18" s="16" customFormat="1" ht="31.5">
      <c r="A1172" s="14"/>
      <c r="B1172" s="125" t="s">
        <v>738</v>
      </c>
      <c r="C1172" s="109" t="s">
        <v>406</v>
      </c>
      <c r="D1172" s="108" t="s">
        <v>342</v>
      </c>
      <c r="E1172" s="108" t="s">
        <v>86</v>
      </c>
      <c r="F1172" s="108" t="s">
        <v>739</v>
      </c>
      <c r="G1172" s="108" t="s">
        <v>9</v>
      </c>
      <c r="H1172" s="126">
        <f>H1173</f>
        <v>0</v>
      </c>
      <c r="L1172" s="20">
        <v>16961.150000000001</v>
      </c>
      <c r="M1172" s="20">
        <v>16961.150000000001</v>
      </c>
      <c r="N1172" s="20">
        <v>16961.150000000001</v>
      </c>
      <c r="O1172" s="20">
        <f>H1172-L1172</f>
        <v>-16961.150000000001</v>
      </c>
      <c r="P1172" s="20" t="e">
        <f>#REF!-M1172</f>
        <v>#REF!</v>
      </c>
      <c r="Q1172" s="20" t="e">
        <f>#REF!-N1172</f>
        <v>#REF!</v>
      </c>
      <c r="R1172" s="17" t="str">
        <f t="shared" si="119"/>
        <v>78 0 00 00000000</v>
      </c>
    </row>
    <row r="1173" spans="1:18" s="16" customFormat="1" ht="47.25">
      <c r="A1173" s="14"/>
      <c r="B1173" s="125" t="s">
        <v>740</v>
      </c>
      <c r="C1173" s="109" t="s">
        <v>406</v>
      </c>
      <c r="D1173" s="108" t="s">
        <v>342</v>
      </c>
      <c r="E1173" s="108" t="s">
        <v>86</v>
      </c>
      <c r="F1173" s="108" t="s">
        <v>741</v>
      </c>
      <c r="G1173" s="108" t="s">
        <v>9</v>
      </c>
      <c r="H1173" s="126">
        <f>H1174+H1183+H1187</f>
        <v>0</v>
      </c>
      <c r="L1173" s="20">
        <v>16961.150000000001</v>
      </c>
      <c r="M1173" s="20">
        <v>16961.150000000001</v>
      </c>
      <c r="N1173" s="20">
        <v>16961.150000000001</v>
      </c>
      <c r="O1173" s="20">
        <f>H1173-L1173</f>
        <v>-16961.150000000001</v>
      </c>
      <c r="P1173" s="20" t="e">
        <f>#REF!-M1173</f>
        <v>#REF!</v>
      </c>
      <c r="Q1173" s="20" t="e">
        <f>#REF!-N1173</f>
        <v>#REF!</v>
      </c>
      <c r="R1173" s="17" t="str">
        <f t="shared" si="119"/>
        <v>78 1 00 00000000</v>
      </c>
    </row>
    <row r="1174" spans="1:18" s="16" customFormat="1" ht="31.5">
      <c r="A1174" s="14"/>
      <c r="B1174" s="125" t="s">
        <v>18</v>
      </c>
      <c r="C1174" s="109" t="s">
        <v>406</v>
      </c>
      <c r="D1174" s="108" t="s">
        <v>342</v>
      </c>
      <c r="E1174" s="108" t="s">
        <v>86</v>
      </c>
      <c r="F1174" s="108" t="s">
        <v>742</v>
      </c>
      <c r="G1174" s="108" t="s">
        <v>9</v>
      </c>
      <c r="H1174" s="126">
        <f>H1175+H1178+H1180</f>
        <v>0</v>
      </c>
      <c r="L1174" s="20">
        <v>778.21</v>
      </c>
      <c r="M1174" s="20">
        <v>778.21</v>
      </c>
      <c r="N1174" s="20">
        <v>778.21</v>
      </c>
      <c r="O1174" s="20">
        <f>H1174-L1174</f>
        <v>-778.21</v>
      </c>
      <c r="P1174" s="20" t="e">
        <f>#REF!-M1174</f>
        <v>#REF!</v>
      </c>
      <c r="Q1174" s="20" t="e">
        <f>#REF!-N1174</f>
        <v>#REF!</v>
      </c>
      <c r="R1174" s="17" t="str">
        <f t="shared" si="119"/>
        <v>78 1 00 10010000</v>
      </c>
    </row>
    <row r="1175" spans="1:18" s="16" customFormat="1" ht="31.5">
      <c r="A1175" s="14"/>
      <c r="B1175" s="127" t="s">
        <v>20</v>
      </c>
      <c r="C1175" s="109" t="s">
        <v>406</v>
      </c>
      <c r="D1175" s="108" t="s">
        <v>342</v>
      </c>
      <c r="E1175" s="108" t="s">
        <v>86</v>
      </c>
      <c r="F1175" s="108" t="s">
        <v>742</v>
      </c>
      <c r="G1175" s="108" t="s">
        <v>21</v>
      </c>
      <c r="H1175" s="126">
        <f>SUM(H1176:H1177)</f>
        <v>0</v>
      </c>
      <c r="L1175" s="20">
        <v>202.21</v>
      </c>
      <c r="M1175" s="20">
        <v>202.21</v>
      </c>
      <c r="N1175" s="20">
        <v>202.21</v>
      </c>
      <c r="O1175" s="20">
        <f>H1175-L1175</f>
        <v>-202.21</v>
      </c>
      <c r="P1175" s="20" t="e">
        <f>#REF!-M1175</f>
        <v>#REF!</v>
      </c>
      <c r="Q1175" s="20" t="e">
        <f>#REF!-N1175</f>
        <v>#REF!</v>
      </c>
      <c r="R1175" s="17" t="str">
        <f t="shared" si="119"/>
        <v>78 1 00 10010120</v>
      </c>
    </row>
    <row r="1176" spans="1:18" s="23" customFormat="1" ht="47.25">
      <c r="A1176" s="21"/>
      <c r="B1176" s="127" t="s">
        <v>22</v>
      </c>
      <c r="C1176" s="109" t="s">
        <v>406</v>
      </c>
      <c r="D1176" s="108" t="s">
        <v>342</v>
      </c>
      <c r="E1176" s="108" t="s">
        <v>86</v>
      </c>
      <c r="F1176" s="108" t="s">
        <v>742</v>
      </c>
      <c r="G1176" s="108" t="s">
        <v>23</v>
      </c>
      <c r="H1176" s="126"/>
      <c r="L1176" s="22"/>
      <c r="M1176" s="22"/>
      <c r="N1176" s="22"/>
      <c r="O1176" s="22"/>
      <c r="P1176" s="22"/>
      <c r="Q1176" s="22"/>
      <c r="R1176" s="24"/>
    </row>
    <row r="1177" spans="1:18" s="23" customFormat="1" ht="63">
      <c r="A1177" s="21"/>
      <c r="B1177" s="127" t="s">
        <v>26</v>
      </c>
      <c r="C1177" s="109" t="s">
        <v>406</v>
      </c>
      <c r="D1177" s="108" t="s">
        <v>342</v>
      </c>
      <c r="E1177" s="108" t="s">
        <v>86</v>
      </c>
      <c r="F1177" s="108" t="s">
        <v>742</v>
      </c>
      <c r="G1177" s="108" t="s">
        <v>27</v>
      </c>
      <c r="H1177" s="126"/>
      <c r="L1177" s="22"/>
      <c r="M1177" s="22"/>
      <c r="N1177" s="22"/>
      <c r="O1177" s="22"/>
      <c r="P1177" s="22"/>
      <c r="Q1177" s="22"/>
      <c r="R1177" s="24"/>
    </row>
    <row r="1178" spans="1:18" s="16" customFormat="1" ht="31.5">
      <c r="A1178" s="14"/>
      <c r="B1178" s="125" t="s">
        <v>28</v>
      </c>
      <c r="C1178" s="109" t="s">
        <v>406</v>
      </c>
      <c r="D1178" s="108" t="s">
        <v>342</v>
      </c>
      <c r="E1178" s="108" t="s">
        <v>86</v>
      </c>
      <c r="F1178" s="108" t="s">
        <v>742</v>
      </c>
      <c r="G1178" s="108" t="s">
        <v>29</v>
      </c>
      <c r="H1178" s="126">
        <f>H1179</f>
        <v>0</v>
      </c>
      <c r="L1178" s="20">
        <v>568</v>
      </c>
      <c r="M1178" s="20">
        <v>568</v>
      </c>
      <c r="N1178" s="20">
        <v>568</v>
      </c>
      <c r="O1178" s="20">
        <f>H1178-L1178</f>
        <v>-568</v>
      </c>
      <c r="P1178" s="20" t="e">
        <f>#REF!-M1178</f>
        <v>#REF!</v>
      </c>
      <c r="Q1178" s="20" t="e">
        <f>#REF!-N1178</f>
        <v>#REF!</v>
      </c>
      <c r="R1178" s="17" t="str">
        <f t="shared" si="119"/>
        <v>78 1 00 10010240</v>
      </c>
    </row>
    <row r="1179" spans="1:18" s="16" customFormat="1" ht="15.75">
      <c r="A1179" s="14"/>
      <c r="B1179" s="125" t="s">
        <v>30</v>
      </c>
      <c r="C1179" s="109" t="s">
        <v>406</v>
      </c>
      <c r="D1179" s="108" t="s">
        <v>342</v>
      </c>
      <c r="E1179" s="108" t="s">
        <v>86</v>
      </c>
      <c r="F1179" s="108" t="s">
        <v>742</v>
      </c>
      <c r="G1179" s="108" t="s">
        <v>31</v>
      </c>
      <c r="H1179" s="126"/>
      <c r="L1179" s="20"/>
      <c r="M1179" s="20"/>
      <c r="N1179" s="20"/>
      <c r="O1179" s="20"/>
      <c r="P1179" s="20"/>
      <c r="Q1179" s="20"/>
      <c r="R1179" s="17"/>
    </row>
    <row r="1180" spans="1:18" s="16" customFormat="1" ht="15.75">
      <c r="A1180" s="14"/>
      <c r="B1180" s="125" t="s">
        <v>32</v>
      </c>
      <c r="C1180" s="109" t="s">
        <v>406</v>
      </c>
      <c r="D1180" s="108" t="s">
        <v>342</v>
      </c>
      <c r="E1180" s="108" t="s">
        <v>86</v>
      </c>
      <c r="F1180" s="108" t="s">
        <v>742</v>
      </c>
      <c r="G1180" s="108" t="s">
        <v>33</v>
      </c>
      <c r="H1180" s="126">
        <f>SUM(H1181:H1182)</f>
        <v>0</v>
      </c>
      <c r="L1180" s="20">
        <v>8</v>
      </c>
      <c r="M1180" s="20">
        <v>8</v>
      </c>
      <c r="N1180" s="20">
        <v>8</v>
      </c>
      <c r="O1180" s="20">
        <f>H1180-L1180</f>
        <v>-8</v>
      </c>
      <c r="P1180" s="20" t="e">
        <f>#REF!-M1180</f>
        <v>#REF!</v>
      </c>
      <c r="Q1180" s="20" t="e">
        <f>#REF!-N1180</f>
        <v>#REF!</v>
      </c>
      <c r="R1180" s="17" t="str">
        <f t="shared" si="119"/>
        <v>78 1 00 10010850</v>
      </c>
    </row>
    <row r="1181" spans="1:18" s="23" customFormat="1" ht="31.5">
      <c r="A1181" s="21"/>
      <c r="B1181" s="127" t="s">
        <v>34</v>
      </c>
      <c r="C1181" s="109" t="s">
        <v>406</v>
      </c>
      <c r="D1181" s="108" t="s">
        <v>342</v>
      </c>
      <c r="E1181" s="108" t="s">
        <v>86</v>
      </c>
      <c r="F1181" s="108" t="s">
        <v>742</v>
      </c>
      <c r="G1181" s="108" t="s">
        <v>35</v>
      </c>
      <c r="H1181" s="126"/>
      <c r="L1181" s="22"/>
      <c r="M1181" s="22"/>
      <c r="N1181" s="22"/>
      <c r="O1181" s="22"/>
      <c r="P1181" s="22"/>
      <c r="Q1181" s="22"/>
      <c r="R1181" s="24"/>
    </row>
    <row r="1182" spans="1:18" s="23" customFormat="1" ht="15.75">
      <c r="A1182" s="21"/>
      <c r="B1182" s="127" t="s">
        <v>36</v>
      </c>
      <c r="C1182" s="109" t="s">
        <v>406</v>
      </c>
      <c r="D1182" s="108" t="s">
        <v>342</v>
      </c>
      <c r="E1182" s="108" t="s">
        <v>86</v>
      </c>
      <c r="F1182" s="108" t="s">
        <v>742</v>
      </c>
      <c r="G1182" s="108" t="s">
        <v>37</v>
      </c>
      <c r="H1182" s="126"/>
      <c r="L1182" s="22"/>
      <c r="M1182" s="22"/>
      <c r="N1182" s="22"/>
      <c r="O1182" s="22"/>
      <c r="P1182" s="22"/>
      <c r="Q1182" s="22"/>
      <c r="R1182" s="24"/>
    </row>
    <row r="1183" spans="1:18" s="16" customFormat="1" ht="31.5">
      <c r="A1183" s="14"/>
      <c r="B1183" s="125" t="s">
        <v>38</v>
      </c>
      <c r="C1183" s="109" t="s">
        <v>406</v>
      </c>
      <c r="D1183" s="108" t="s">
        <v>342</v>
      </c>
      <c r="E1183" s="108" t="s">
        <v>86</v>
      </c>
      <c r="F1183" s="108" t="s">
        <v>743</v>
      </c>
      <c r="G1183" s="108" t="s">
        <v>9</v>
      </c>
      <c r="H1183" s="126">
        <f>H1184</f>
        <v>0</v>
      </c>
      <c r="L1183" s="20">
        <v>7074.5400000000009</v>
      </c>
      <c r="M1183" s="20">
        <v>7074.5400000000009</v>
      </c>
      <c r="N1183" s="20">
        <v>7074.5400000000009</v>
      </c>
      <c r="O1183" s="20">
        <f>H1183-L1183</f>
        <v>-7074.5400000000009</v>
      </c>
      <c r="P1183" s="20" t="e">
        <f>#REF!-M1183</f>
        <v>#REF!</v>
      </c>
      <c r="Q1183" s="20" t="e">
        <f>#REF!-N1183</f>
        <v>#REF!</v>
      </c>
      <c r="R1183" s="17" t="str">
        <f t="shared" si="119"/>
        <v>78 1 00 10020000</v>
      </c>
    </row>
    <row r="1184" spans="1:18" s="16" customFormat="1" ht="31.5">
      <c r="A1184" s="14"/>
      <c r="B1184" s="127" t="s">
        <v>20</v>
      </c>
      <c r="C1184" s="109" t="s">
        <v>406</v>
      </c>
      <c r="D1184" s="108" t="s">
        <v>342</v>
      </c>
      <c r="E1184" s="108" t="s">
        <v>86</v>
      </c>
      <c r="F1184" s="108" t="s">
        <v>743</v>
      </c>
      <c r="G1184" s="108" t="s">
        <v>21</v>
      </c>
      <c r="H1184" s="126">
        <f>SUM(H1185:H1186)</f>
        <v>0</v>
      </c>
      <c r="L1184" s="20">
        <v>7074.5400000000009</v>
      </c>
      <c r="M1184" s="20">
        <v>7074.5400000000009</v>
      </c>
      <c r="N1184" s="20">
        <v>7074.5400000000009</v>
      </c>
      <c r="O1184" s="20">
        <f>H1184-L1184</f>
        <v>-7074.5400000000009</v>
      </c>
      <c r="P1184" s="20" t="e">
        <f>#REF!-M1184</f>
        <v>#REF!</v>
      </c>
      <c r="Q1184" s="20" t="e">
        <f>#REF!-N1184</f>
        <v>#REF!</v>
      </c>
      <c r="R1184" s="17" t="str">
        <f t="shared" si="119"/>
        <v>78 1 00 10020120</v>
      </c>
    </row>
    <row r="1185" spans="1:18" s="23" customFormat="1" ht="31.5">
      <c r="A1185" s="21"/>
      <c r="B1185" s="127" t="s">
        <v>40</v>
      </c>
      <c r="C1185" s="109" t="s">
        <v>406</v>
      </c>
      <c r="D1185" s="108" t="s">
        <v>342</v>
      </c>
      <c r="E1185" s="108" t="s">
        <v>86</v>
      </c>
      <c r="F1185" s="108" t="s">
        <v>743</v>
      </c>
      <c r="G1185" s="108" t="s">
        <v>41</v>
      </c>
      <c r="H1185" s="126"/>
      <c r="L1185" s="22"/>
      <c r="M1185" s="22"/>
      <c r="N1185" s="22"/>
      <c r="O1185" s="22"/>
      <c r="P1185" s="22"/>
      <c r="Q1185" s="22"/>
      <c r="R1185" s="24"/>
    </row>
    <row r="1186" spans="1:18" s="23" customFormat="1" ht="63">
      <c r="A1186" s="21"/>
      <c r="B1186" s="127" t="s">
        <v>26</v>
      </c>
      <c r="C1186" s="109" t="s">
        <v>406</v>
      </c>
      <c r="D1186" s="108" t="s">
        <v>342</v>
      </c>
      <c r="E1186" s="108" t="s">
        <v>86</v>
      </c>
      <c r="F1186" s="108" t="s">
        <v>743</v>
      </c>
      <c r="G1186" s="108" t="s">
        <v>27</v>
      </c>
      <c r="H1186" s="126"/>
      <c r="L1186" s="22"/>
      <c r="M1186" s="22"/>
      <c r="N1186" s="22"/>
      <c r="O1186" s="22"/>
      <c r="P1186" s="22"/>
      <c r="Q1186" s="22"/>
      <c r="R1186" s="24"/>
    </row>
    <row r="1187" spans="1:18" s="16" customFormat="1" ht="31.5">
      <c r="A1187" s="14"/>
      <c r="B1187" s="138" t="s">
        <v>136</v>
      </c>
      <c r="C1187" s="109" t="s">
        <v>406</v>
      </c>
      <c r="D1187" s="108" t="s">
        <v>342</v>
      </c>
      <c r="E1187" s="108" t="s">
        <v>86</v>
      </c>
      <c r="F1187" s="142" t="s">
        <v>744</v>
      </c>
      <c r="G1187" s="142" t="s">
        <v>9</v>
      </c>
      <c r="H1187" s="126">
        <f>H1188+H1191</f>
        <v>0</v>
      </c>
      <c r="L1187" s="20">
        <v>9108.4</v>
      </c>
      <c r="M1187" s="20">
        <v>9108.4</v>
      </c>
      <c r="N1187" s="20">
        <v>9108.4</v>
      </c>
      <c r="O1187" s="20">
        <f>H1187-L1187</f>
        <v>-9108.4</v>
      </c>
      <c r="P1187" s="20" t="e">
        <f>#REF!-M1187</f>
        <v>#REF!</v>
      </c>
      <c r="Q1187" s="20" t="e">
        <f>#REF!-N1187</f>
        <v>#REF!</v>
      </c>
      <c r="R1187" s="17" t="str">
        <f t="shared" ref="R1187:R1281" si="132">CONCATENATE(F1187,G1187)</f>
        <v>78 1 00 11010000</v>
      </c>
    </row>
    <row r="1188" spans="1:18" s="16" customFormat="1" ht="15.75">
      <c r="A1188" s="14"/>
      <c r="B1188" s="137" t="s">
        <v>138</v>
      </c>
      <c r="C1188" s="109" t="s">
        <v>406</v>
      </c>
      <c r="D1188" s="108" t="s">
        <v>342</v>
      </c>
      <c r="E1188" s="108" t="s">
        <v>86</v>
      </c>
      <c r="F1188" s="142" t="s">
        <v>744</v>
      </c>
      <c r="G1188" s="142" t="s">
        <v>139</v>
      </c>
      <c r="H1188" s="126">
        <f>SUM(H1189:H1190)</f>
        <v>0</v>
      </c>
      <c r="L1188" s="20">
        <v>7968.4</v>
      </c>
      <c r="M1188" s="20">
        <v>7968.4</v>
      </c>
      <c r="N1188" s="20">
        <v>7968.4</v>
      </c>
      <c r="O1188" s="20">
        <f>H1188-L1188</f>
        <v>-7968.4</v>
      </c>
      <c r="P1188" s="20" t="e">
        <f>#REF!-M1188</f>
        <v>#REF!</v>
      </c>
      <c r="Q1188" s="20" t="e">
        <f>#REF!-N1188</f>
        <v>#REF!</v>
      </c>
      <c r="R1188" s="17" t="str">
        <f t="shared" si="132"/>
        <v>78 1 00 11010110</v>
      </c>
    </row>
    <row r="1189" spans="1:18" s="23" customFormat="1" ht="15.75">
      <c r="A1189" s="21"/>
      <c r="B1189" s="127" t="s">
        <v>140</v>
      </c>
      <c r="C1189" s="109" t="s">
        <v>406</v>
      </c>
      <c r="D1189" s="108" t="s">
        <v>342</v>
      </c>
      <c r="E1189" s="108" t="s">
        <v>86</v>
      </c>
      <c r="F1189" s="142" t="s">
        <v>744</v>
      </c>
      <c r="G1189" s="142" t="s">
        <v>141</v>
      </c>
      <c r="H1189" s="126"/>
      <c r="L1189" s="22"/>
      <c r="M1189" s="22"/>
      <c r="N1189" s="22"/>
      <c r="O1189" s="22"/>
      <c r="P1189" s="22"/>
      <c r="Q1189" s="22"/>
      <c r="R1189" s="24"/>
    </row>
    <row r="1190" spans="1:18" s="23" customFormat="1" ht="47.25">
      <c r="A1190" s="21"/>
      <c r="B1190" s="127" t="s">
        <v>487</v>
      </c>
      <c r="C1190" s="109" t="s">
        <v>406</v>
      </c>
      <c r="D1190" s="108" t="s">
        <v>342</v>
      </c>
      <c r="E1190" s="108" t="s">
        <v>86</v>
      </c>
      <c r="F1190" s="142" t="s">
        <v>744</v>
      </c>
      <c r="G1190" s="142" t="s">
        <v>145</v>
      </c>
      <c r="H1190" s="126"/>
      <c r="L1190" s="22"/>
      <c r="M1190" s="22"/>
      <c r="N1190" s="22"/>
      <c r="O1190" s="22"/>
      <c r="P1190" s="22"/>
      <c r="Q1190" s="22"/>
      <c r="R1190" s="24"/>
    </row>
    <row r="1191" spans="1:18" s="16" customFormat="1" ht="31.5">
      <c r="A1191" s="14"/>
      <c r="B1191" s="125" t="s">
        <v>28</v>
      </c>
      <c r="C1191" s="109" t="s">
        <v>406</v>
      </c>
      <c r="D1191" s="108" t="s">
        <v>342</v>
      </c>
      <c r="E1191" s="108" t="s">
        <v>86</v>
      </c>
      <c r="F1191" s="142" t="s">
        <v>744</v>
      </c>
      <c r="G1191" s="142" t="s">
        <v>29</v>
      </c>
      <c r="H1191" s="126">
        <f>H1192</f>
        <v>0</v>
      </c>
      <c r="L1191" s="20">
        <v>1140</v>
      </c>
      <c r="M1191" s="20">
        <v>1140</v>
      </c>
      <c r="N1191" s="20">
        <v>1140</v>
      </c>
      <c r="O1191" s="20">
        <f>H1191-L1191</f>
        <v>-1140</v>
      </c>
      <c r="P1191" s="20" t="e">
        <f>#REF!-M1191</f>
        <v>#REF!</v>
      </c>
      <c r="Q1191" s="20" t="e">
        <f>#REF!-N1191</f>
        <v>#REF!</v>
      </c>
      <c r="R1191" s="17" t="str">
        <f t="shared" si="132"/>
        <v>78 1 00 11010240</v>
      </c>
    </row>
    <row r="1192" spans="1:18" s="16" customFormat="1" ht="15.75">
      <c r="A1192" s="14"/>
      <c r="B1192" s="125" t="s">
        <v>30</v>
      </c>
      <c r="C1192" s="109" t="s">
        <v>406</v>
      </c>
      <c r="D1192" s="108" t="s">
        <v>342</v>
      </c>
      <c r="E1192" s="108" t="s">
        <v>86</v>
      </c>
      <c r="F1192" s="142" t="s">
        <v>744</v>
      </c>
      <c r="G1192" s="142" t="s">
        <v>31</v>
      </c>
      <c r="H1192" s="126"/>
      <c r="L1192" s="20"/>
      <c r="M1192" s="20"/>
      <c r="N1192" s="20"/>
      <c r="O1192" s="20"/>
      <c r="P1192" s="20"/>
      <c r="Q1192" s="20"/>
      <c r="R1192" s="17"/>
    </row>
    <row r="1193" spans="1:18" s="16" customFormat="1" ht="15.75">
      <c r="A1193" s="14"/>
      <c r="B1193" s="127"/>
      <c r="C1193" s="109"/>
      <c r="D1193" s="108"/>
      <c r="E1193" s="108"/>
      <c r="F1193" s="108"/>
      <c r="G1193" s="108"/>
      <c r="H1193" s="126"/>
      <c r="L1193" s="20"/>
      <c r="M1193" s="20"/>
      <c r="N1193" s="20"/>
      <c r="O1193" s="20">
        <f t="shared" ref="O1193:O1200" si="133">H1193-L1193</f>
        <v>0</v>
      </c>
      <c r="P1193" s="20" t="e">
        <f>#REF!-M1193</f>
        <v>#REF!</v>
      </c>
      <c r="Q1193" s="20" t="e">
        <f>#REF!-N1193</f>
        <v>#REF!</v>
      </c>
      <c r="R1193" s="17" t="str">
        <f t="shared" si="132"/>
        <v/>
      </c>
    </row>
    <row r="1194" spans="1:18" s="16" customFormat="1" ht="31.5">
      <c r="A1194" s="14"/>
      <c r="B1194" s="67" t="s">
        <v>745</v>
      </c>
      <c r="C1194" s="116" t="s">
        <v>746</v>
      </c>
      <c r="D1194" s="69" t="s">
        <v>7</v>
      </c>
      <c r="E1194" s="69" t="s">
        <v>7</v>
      </c>
      <c r="F1194" s="69" t="s">
        <v>8</v>
      </c>
      <c r="G1194" s="69" t="s">
        <v>9</v>
      </c>
      <c r="H1194" s="70">
        <f>H1195+H1237+H1248+H1275</f>
        <v>0</v>
      </c>
      <c r="L1194" s="25">
        <v>136890.37999999998</v>
      </c>
      <c r="M1194" s="25">
        <v>136743.88999999998</v>
      </c>
      <c r="N1194" s="25">
        <v>144115.65</v>
      </c>
      <c r="O1194" s="25">
        <f t="shared" si="133"/>
        <v>-136890.37999999998</v>
      </c>
      <c r="P1194" s="25" t="e">
        <f>#REF!-M1194</f>
        <v>#REF!</v>
      </c>
      <c r="Q1194" s="25" t="e">
        <f>#REF!-N1194</f>
        <v>#REF!</v>
      </c>
      <c r="R1194" s="17" t="str">
        <f t="shared" si="132"/>
        <v>00 0 00 00000000</v>
      </c>
    </row>
    <row r="1195" spans="1:18" s="16" customFormat="1" ht="15.75">
      <c r="A1195" s="14"/>
      <c r="B1195" s="117" t="s">
        <v>10</v>
      </c>
      <c r="C1195" s="118" t="s">
        <v>746</v>
      </c>
      <c r="D1195" s="119" t="s">
        <v>11</v>
      </c>
      <c r="E1195" s="119" t="s">
        <v>7</v>
      </c>
      <c r="F1195" s="119" t="s">
        <v>8</v>
      </c>
      <c r="G1195" s="119" t="s">
        <v>9</v>
      </c>
      <c r="H1195" s="120">
        <f>H1196+H1222</f>
        <v>0</v>
      </c>
      <c r="L1195" s="18">
        <v>35074.359999999993</v>
      </c>
      <c r="M1195" s="18">
        <v>33719.359999999993</v>
      </c>
      <c r="N1195" s="18">
        <v>33719.359999999993</v>
      </c>
      <c r="O1195" s="18">
        <f t="shared" si="133"/>
        <v>-35074.359999999993</v>
      </c>
      <c r="P1195" s="18" t="e">
        <f>#REF!-M1195</f>
        <v>#REF!</v>
      </c>
      <c r="Q1195" s="18" t="e">
        <f>#REF!-N1195</f>
        <v>#REF!</v>
      </c>
      <c r="R1195" s="17" t="str">
        <f t="shared" si="132"/>
        <v>00 0 00 00000000</v>
      </c>
    </row>
    <row r="1196" spans="1:18" s="16" customFormat="1" ht="63">
      <c r="A1196" s="14"/>
      <c r="B1196" s="121" t="s">
        <v>72</v>
      </c>
      <c r="C1196" s="122" t="s">
        <v>746</v>
      </c>
      <c r="D1196" s="123" t="s">
        <v>11</v>
      </c>
      <c r="E1196" s="123" t="s">
        <v>73</v>
      </c>
      <c r="F1196" s="123" t="s">
        <v>8</v>
      </c>
      <c r="G1196" s="123" t="s">
        <v>9</v>
      </c>
      <c r="H1196" s="124">
        <f t="shared" ref="H1196:H1197" si="134">H1197</f>
        <v>0</v>
      </c>
      <c r="L1196" s="19">
        <v>33329.159999999996</v>
      </c>
      <c r="M1196" s="19">
        <v>33329.159999999996</v>
      </c>
      <c r="N1196" s="19">
        <v>33329.159999999996</v>
      </c>
      <c r="O1196" s="19">
        <f t="shared" si="133"/>
        <v>-33329.159999999996</v>
      </c>
      <c r="P1196" s="19" t="e">
        <f>#REF!-M1196</f>
        <v>#REF!</v>
      </c>
      <c r="Q1196" s="19" t="e">
        <f>#REF!-N1196</f>
        <v>#REF!</v>
      </c>
      <c r="R1196" s="17" t="str">
        <f t="shared" si="132"/>
        <v>00 0 00 00000000</v>
      </c>
    </row>
    <row r="1197" spans="1:18" s="16" customFormat="1" ht="31.5">
      <c r="A1197" s="14"/>
      <c r="B1197" s="140" t="s">
        <v>747</v>
      </c>
      <c r="C1197" s="130" t="s">
        <v>746</v>
      </c>
      <c r="D1197" s="131" t="s">
        <v>11</v>
      </c>
      <c r="E1197" s="131" t="s">
        <v>73</v>
      </c>
      <c r="F1197" s="131" t="s">
        <v>748</v>
      </c>
      <c r="G1197" s="131" t="s">
        <v>9</v>
      </c>
      <c r="H1197" s="105">
        <f t="shared" si="134"/>
        <v>0</v>
      </c>
      <c r="L1197" s="26">
        <v>33329.159999999996</v>
      </c>
      <c r="M1197" s="26">
        <v>33329.159999999996</v>
      </c>
      <c r="N1197" s="26">
        <v>33329.159999999996</v>
      </c>
      <c r="O1197" s="26">
        <f t="shared" si="133"/>
        <v>-33329.159999999996</v>
      </c>
      <c r="P1197" s="26" t="e">
        <f>#REF!-M1197</f>
        <v>#REF!</v>
      </c>
      <c r="Q1197" s="26" t="e">
        <f>#REF!-N1197</f>
        <v>#REF!</v>
      </c>
      <c r="R1197" s="17" t="str">
        <f t="shared" si="132"/>
        <v>80 0 00 00000000</v>
      </c>
    </row>
    <row r="1198" spans="1:18" s="16" customFormat="1" ht="47.25">
      <c r="A1198" s="14"/>
      <c r="B1198" s="140" t="s">
        <v>749</v>
      </c>
      <c r="C1198" s="130" t="s">
        <v>746</v>
      </c>
      <c r="D1198" s="131" t="s">
        <v>11</v>
      </c>
      <c r="E1198" s="131" t="s">
        <v>73</v>
      </c>
      <c r="F1198" s="131" t="s">
        <v>750</v>
      </c>
      <c r="G1198" s="131" t="s">
        <v>9</v>
      </c>
      <c r="H1198" s="105">
        <f>H1199+H1208+H1212+H1219</f>
        <v>0</v>
      </c>
      <c r="L1198" s="26">
        <v>33329.159999999996</v>
      </c>
      <c r="M1198" s="26">
        <v>33329.159999999996</v>
      </c>
      <c r="N1198" s="26">
        <v>33329.159999999996</v>
      </c>
      <c r="O1198" s="26">
        <f t="shared" si="133"/>
        <v>-33329.159999999996</v>
      </c>
      <c r="P1198" s="26" t="e">
        <f>#REF!-M1198</f>
        <v>#REF!</v>
      </c>
      <c r="Q1198" s="26" t="e">
        <f>#REF!-N1198</f>
        <v>#REF!</v>
      </c>
      <c r="R1198" s="17" t="str">
        <f t="shared" si="132"/>
        <v>80 1 00 00000000</v>
      </c>
    </row>
    <row r="1199" spans="1:18" s="16" customFormat="1" ht="31.5">
      <c r="A1199" s="14"/>
      <c r="B1199" s="125" t="s">
        <v>18</v>
      </c>
      <c r="C1199" s="130" t="s">
        <v>746</v>
      </c>
      <c r="D1199" s="131" t="s">
        <v>11</v>
      </c>
      <c r="E1199" s="131" t="s">
        <v>73</v>
      </c>
      <c r="F1199" s="131" t="s">
        <v>751</v>
      </c>
      <c r="G1199" s="131" t="s">
        <v>9</v>
      </c>
      <c r="H1199" s="105">
        <f>H1200+H1203+H1205</f>
        <v>0</v>
      </c>
      <c r="L1199" s="26">
        <v>4038.21</v>
      </c>
      <c r="M1199" s="26">
        <v>4038.21</v>
      </c>
      <c r="N1199" s="26">
        <v>4038.21</v>
      </c>
      <c r="O1199" s="26">
        <f t="shared" si="133"/>
        <v>-4038.21</v>
      </c>
      <c r="P1199" s="26" t="e">
        <f>#REF!-M1199</f>
        <v>#REF!</v>
      </c>
      <c r="Q1199" s="26" t="e">
        <f>#REF!-N1199</f>
        <v>#REF!</v>
      </c>
      <c r="R1199" s="17" t="str">
        <f t="shared" si="132"/>
        <v>80 1 00 10010000</v>
      </c>
    </row>
    <row r="1200" spans="1:18" s="16" customFormat="1" ht="31.5">
      <c r="A1200" s="14"/>
      <c r="B1200" s="127" t="s">
        <v>20</v>
      </c>
      <c r="C1200" s="130" t="s">
        <v>746</v>
      </c>
      <c r="D1200" s="131" t="s">
        <v>11</v>
      </c>
      <c r="E1200" s="131" t="s">
        <v>73</v>
      </c>
      <c r="F1200" s="131" t="s">
        <v>751</v>
      </c>
      <c r="G1200" s="131" t="s">
        <v>21</v>
      </c>
      <c r="H1200" s="126">
        <f>SUM(H1201:H1202)</f>
        <v>0</v>
      </c>
      <c r="L1200" s="26">
        <v>620.46</v>
      </c>
      <c r="M1200" s="26">
        <v>620.46</v>
      </c>
      <c r="N1200" s="26">
        <v>620.46</v>
      </c>
      <c r="O1200" s="26">
        <f t="shared" si="133"/>
        <v>-620.46</v>
      </c>
      <c r="P1200" s="26" t="e">
        <f>#REF!-M1200</f>
        <v>#REF!</v>
      </c>
      <c r="Q1200" s="26" t="e">
        <f>#REF!-N1200</f>
        <v>#REF!</v>
      </c>
      <c r="R1200" s="17" t="str">
        <f t="shared" si="132"/>
        <v>80 1 00 10010120</v>
      </c>
    </row>
    <row r="1201" spans="1:18" s="23" customFormat="1" ht="47.25">
      <c r="A1201" s="21"/>
      <c r="B1201" s="127" t="s">
        <v>22</v>
      </c>
      <c r="C1201" s="130" t="s">
        <v>746</v>
      </c>
      <c r="D1201" s="131" t="s">
        <v>11</v>
      </c>
      <c r="E1201" s="131" t="s">
        <v>73</v>
      </c>
      <c r="F1201" s="131" t="s">
        <v>751</v>
      </c>
      <c r="G1201" s="108" t="s">
        <v>23</v>
      </c>
      <c r="H1201" s="126"/>
      <c r="L1201" s="22"/>
      <c r="M1201" s="22"/>
      <c r="N1201" s="22"/>
      <c r="O1201" s="22"/>
      <c r="P1201" s="22"/>
      <c r="Q1201" s="22"/>
      <c r="R1201" s="24"/>
    </row>
    <row r="1202" spans="1:18" s="23" customFormat="1" ht="63">
      <c r="A1202" s="21"/>
      <c r="B1202" s="127" t="s">
        <v>26</v>
      </c>
      <c r="C1202" s="130" t="s">
        <v>746</v>
      </c>
      <c r="D1202" s="131" t="s">
        <v>11</v>
      </c>
      <c r="E1202" s="131" t="s">
        <v>73</v>
      </c>
      <c r="F1202" s="131" t="s">
        <v>751</v>
      </c>
      <c r="G1202" s="108" t="s">
        <v>27</v>
      </c>
      <c r="H1202" s="126"/>
      <c r="L1202" s="22"/>
      <c r="M1202" s="22"/>
      <c r="N1202" s="22"/>
      <c r="O1202" s="22"/>
      <c r="P1202" s="22"/>
      <c r="Q1202" s="22"/>
      <c r="R1202" s="24"/>
    </row>
    <row r="1203" spans="1:18" s="16" customFormat="1" ht="31.5">
      <c r="A1203" s="14"/>
      <c r="B1203" s="125" t="s">
        <v>28</v>
      </c>
      <c r="C1203" s="130" t="s">
        <v>746</v>
      </c>
      <c r="D1203" s="131" t="s">
        <v>11</v>
      </c>
      <c r="E1203" s="131" t="s">
        <v>73</v>
      </c>
      <c r="F1203" s="131" t="s">
        <v>751</v>
      </c>
      <c r="G1203" s="131" t="s">
        <v>29</v>
      </c>
      <c r="H1203" s="126">
        <f>H1204</f>
        <v>0</v>
      </c>
      <c r="L1203" s="26">
        <v>3320.75</v>
      </c>
      <c r="M1203" s="26">
        <v>3320.75</v>
      </c>
      <c r="N1203" s="26">
        <v>3320.75</v>
      </c>
      <c r="O1203" s="26">
        <f>H1203-L1203</f>
        <v>-3320.75</v>
      </c>
      <c r="P1203" s="26" t="e">
        <f>#REF!-M1203</f>
        <v>#REF!</v>
      </c>
      <c r="Q1203" s="26" t="e">
        <f>#REF!-N1203</f>
        <v>#REF!</v>
      </c>
      <c r="R1203" s="17" t="str">
        <f t="shared" si="132"/>
        <v>80 1 00 10010240</v>
      </c>
    </row>
    <row r="1204" spans="1:18" s="16" customFormat="1" ht="15.75">
      <c r="A1204" s="14"/>
      <c r="B1204" s="125" t="s">
        <v>30</v>
      </c>
      <c r="C1204" s="130" t="s">
        <v>746</v>
      </c>
      <c r="D1204" s="131" t="s">
        <v>11</v>
      </c>
      <c r="E1204" s="131" t="s">
        <v>73</v>
      </c>
      <c r="F1204" s="131" t="s">
        <v>751</v>
      </c>
      <c r="G1204" s="131" t="s">
        <v>31</v>
      </c>
      <c r="H1204" s="126"/>
      <c r="L1204" s="26"/>
      <c r="M1204" s="26"/>
      <c r="N1204" s="26"/>
      <c r="O1204" s="26"/>
      <c r="P1204" s="26"/>
      <c r="Q1204" s="26"/>
      <c r="R1204" s="17"/>
    </row>
    <row r="1205" spans="1:18" s="16" customFormat="1" ht="15.75">
      <c r="A1205" s="14"/>
      <c r="B1205" s="125" t="s">
        <v>32</v>
      </c>
      <c r="C1205" s="130" t="s">
        <v>746</v>
      </c>
      <c r="D1205" s="131" t="s">
        <v>11</v>
      </c>
      <c r="E1205" s="131" t="s">
        <v>73</v>
      </c>
      <c r="F1205" s="131" t="s">
        <v>751</v>
      </c>
      <c r="G1205" s="131" t="s">
        <v>33</v>
      </c>
      <c r="H1205" s="126">
        <f>SUM(H1206:H1207)</f>
        <v>0</v>
      </c>
      <c r="L1205" s="26">
        <v>97</v>
      </c>
      <c r="M1205" s="26">
        <v>97</v>
      </c>
      <c r="N1205" s="26">
        <v>97</v>
      </c>
      <c r="O1205" s="26">
        <f>H1205-L1205</f>
        <v>-97</v>
      </c>
      <c r="P1205" s="26" t="e">
        <f>#REF!-M1205</f>
        <v>#REF!</v>
      </c>
      <c r="Q1205" s="26" t="e">
        <f>#REF!-N1205</f>
        <v>#REF!</v>
      </c>
      <c r="R1205" s="17" t="str">
        <f t="shared" si="132"/>
        <v>80 1 00 10010850</v>
      </c>
    </row>
    <row r="1206" spans="1:18" s="23" customFormat="1" ht="31.5">
      <c r="A1206" s="21"/>
      <c r="B1206" s="127" t="s">
        <v>34</v>
      </c>
      <c r="C1206" s="130" t="s">
        <v>746</v>
      </c>
      <c r="D1206" s="131" t="s">
        <v>11</v>
      </c>
      <c r="E1206" s="131" t="s">
        <v>73</v>
      </c>
      <c r="F1206" s="131" t="s">
        <v>751</v>
      </c>
      <c r="G1206" s="108" t="s">
        <v>35</v>
      </c>
      <c r="H1206" s="126"/>
      <c r="L1206" s="22"/>
      <c r="M1206" s="22"/>
      <c r="N1206" s="22"/>
      <c r="O1206" s="22"/>
      <c r="P1206" s="22"/>
      <c r="Q1206" s="22"/>
      <c r="R1206" s="24"/>
    </row>
    <row r="1207" spans="1:18" s="23" customFormat="1" ht="15.75">
      <c r="A1207" s="21"/>
      <c r="B1207" s="127" t="s">
        <v>36</v>
      </c>
      <c r="C1207" s="130" t="s">
        <v>746</v>
      </c>
      <c r="D1207" s="131" t="s">
        <v>11</v>
      </c>
      <c r="E1207" s="131" t="s">
        <v>73</v>
      </c>
      <c r="F1207" s="131" t="s">
        <v>751</v>
      </c>
      <c r="G1207" s="108" t="s">
        <v>37</v>
      </c>
      <c r="H1207" s="126"/>
      <c r="L1207" s="22"/>
      <c r="M1207" s="22"/>
      <c r="N1207" s="22"/>
      <c r="O1207" s="22"/>
      <c r="P1207" s="22"/>
      <c r="Q1207" s="22"/>
      <c r="R1207" s="24"/>
    </row>
    <row r="1208" spans="1:18" s="16" customFormat="1" ht="31.5">
      <c r="A1208" s="14"/>
      <c r="B1208" s="125" t="s">
        <v>38</v>
      </c>
      <c r="C1208" s="130" t="s">
        <v>746</v>
      </c>
      <c r="D1208" s="131" t="s">
        <v>11</v>
      </c>
      <c r="E1208" s="131" t="s">
        <v>73</v>
      </c>
      <c r="F1208" s="131" t="s">
        <v>752</v>
      </c>
      <c r="G1208" s="131" t="s">
        <v>9</v>
      </c>
      <c r="H1208" s="126">
        <f>H1209</f>
        <v>0</v>
      </c>
      <c r="L1208" s="20">
        <v>28172.3</v>
      </c>
      <c r="M1208" s="20">
        <v>28172.3</v>
      </c>
      <c r="N1208" s="20">
        <v>28172.3</v>
      </c>
      <c r="O1208" s="20">
        <f>H1208-L1208</f>
        <v>-28172.3</v>
      </c>
      <c r="P1208" s="20" t="e">
        <f>#REF!-M1208</f>
        <v>#REF!</v>
      </c>
      <c r="Q1208" s="20" t="e">
        <f>#REF!-N1208</f>
        <v>#REF!</v>
      </c>
      <c r="R1208" s="17" t="str">
        <f t="shared" si="132"/>
        <v>80 1 00 10020000</v>
      </c>
    </row>
    <row r="1209" spans="1:18" s="16" customFormat="1" ht="31.5">
      <c r="A1209" s="14"/>
      <c r="B1209" s="127" t="s">
        <v>20</v>
      </c>
      <c r="C1209" s="130" t="s">
        <v>746</v>
      </c>
      <c r="D1209" s="131" t="s">
        <v>11</v>
      </c>
      <c r="E1209" s="131" t="s">
        <v>73</v>
      </c>
      <c r="F1209" s="131" t="s">
        <v>752</v>
      </c>
      <c r="G1209" s="131" t="s">
        <v>21</v>
      </c>
      <c r="H1209" s="126">
        <f>SUM(H1210:H1211)</f>
        <v>0</v>
      </c>
      <c r="L1209" s="20">
        <v>28172.3</v>
      </c>
      <c r="M1209" s="20">
        <v>28172.3</v>
      </c>
      <c r="N1209" s="20">
        <v>28172.3</v>
      </c>
      <c r="O1209" s="20">
        <f>H1209-L1209</f>
        <v>-28172.3</v>
      </c>
      <c r="P1209" s="20" t="e">
        <f>#REF!-M1209</f>
        <v>#REF!</v>
      </c>
      <c r="Q1209" s="20" t="e">
        <f>#REF!-N1209</f>
        <v>#REF!</v>
      </c>
      <c r="R1209" s="17" t="str">
        <f t="shared" si="132"/>
        <v>80 1 00 10020120</v>
      </c>
    </row>
    <row r="1210" spans="1:18" s="23" customFormat="1" ht="31.5">
      <c r="A1210" s="21"/>
      <c r="B1210" s="127" t="s">
        <v>40</v>
      </c>
      <c r="C1210" s="130" t="s">
        <v>746</v>
      </c>
      <c r="D1210" s="131" t="s">
        <v>11</v>
      </c>
      <c r="E1210" s="131" t="s">
        <v>73</v>
      </c>
      <c r="F1210" s="131" t="s">
        <v>752</v>
      </c>
      <c r="G1210" s="108" t="s">
        <v>41</v>
      </c>
      <c r="H1210" s="126"/>
      <c r="L1210" s="22"/>
      <c r="M1210" s="22"/>
      <c r="N1210" s="22"/>
      <c r="O1210" s="22"/>
      <c r="P1210" s="22"/>
      <c r="Q1210" s="22"/>
      <c r="R1210" s="24"/>
    </row>
    <row r="1211" spans="1:18" s="23" customFormat="1" ht="63">
      <c r="A1211" s="21"/>
      <c r="B1211" s="127" t="s">
        <v>26</v>
      </c>
      <c r="C1211" s="130" t="s">
        <v>746</v>
      </c>
      <c r="D1211" s="131" t="s">
        <v>11</v>
      </c>
      <c r="E1211" s="131" t="s">
        <v>73</v>
      </c>
      <c r="F1211" s="131" t="s">
        <v>752</v>
      </c>
      <c r="G1211" s="108" t="s">
        <v>27</v>
      </c>
      <c r="H1211" s="126"/>
      <c r="L1211" s="22"/>
      <c r="M1211" s="22"/>
      <c r="N1211" s="22"/>
      <c r="O1211" s="22"/>
      <c r="P1211" s="22"/>
      <c r="Q1211" s="22"/>
      <c r="R1211" s="24"/>
    </row>
    <row r="1212" spans="1:18" s="16" customFormat="1" ht="63">
      <c r="A1212" s="14" t="s">
        <v>80</v>
      </c>
      <c r="B1212" s="150" t="s">
        <v>488</v>
      </c>
      <c r="C1212" s="130" t="s">
        <v>746</v>
      </c>
      <c r="D1212" s="131" t="s">
        <v>11</v>
      </c>
      <c r="E1212" s="131" t="s">
        <v>73</v>
      </c>
      <c r="F1212" s="131" t="s">
        <v>753</v>
      </c>
      <c r="G1212" s="131" t="s">
        <v>9</v>
      </c>
      <c r="H1212" s="126">
        <f>H1213+H1217</f>
        <v>0</v>
      </c>
      <c r="L1212" s="20">
        <v>1047.75</v>
      </c>
      <c r="M1212" s="20">
        <v>1047.75</v>
      </c>
      <c r="N1212" s="20">
        <v>1047.75</v>
      </c>
      <c r="O1212" s="20">
        <f>H1212-L1212</f>
        <v>-1047.75</v>
      </c>
      <c r="P1212" s="20" t="e">
        <f>#REF!-M1212</f>
        <v>#REF!</v>
      </c>
      <c r="Q1212" s="20" t="e">
        <f>#REF!-N1212</f>
        <v>#REF!</v>
      </c>
      <c r="R1212" s="17" t="str">
        <f t="shared" si="132"/>
        <v>80 1 00 76200000</v>
      </c>
    </row>
    <row r="1213" spans="1:18" s="16" customFormat="1" ht="31.5">
      <c r="A1213" s="14"/>
      <c r="B1213" s="129" t="s">
        <v>20</v>
      </c>
      <c r="C1213" s="130" t="s">
        <v>746</v>
      </c>
      <c r="D1213" s="131" t="s">
        <v>11</v>
      </c>
      <c r="E1213" s="131" t="s">
        <v>73</v>
      </c>
      <c r="F1213" s="131" t="s">
        <v>753</v>
      </c>
      <c r="G1213" s="131" t="s">
        <v>21</v>
      </c>
      <c r="H1213" s="126">
        <f>SUM(H1214:H1216)</f>
        <v>0</v>
      </c>
      <c r="L1213" s="26">
        <v>989.33</v>
      </c>
      <c r="M1213" s="26">
        <v>989.33</v>
      </c>
      <c r="N1213" s="26">
        <v>989.33</v>
      </c>
      <c r="O1213" s="26">
        <f>H1213-L1213</f>
        <v>-989.33</v>
      </c>
      <c r="P1213" s="26" t="e">
        <f>#REF!-M1213</f>
        <v>#REF!</v>
      </c>
      <c r="Q1213" s="26" t="e">
        <f>#REF!-N1213</f>
        <v>#REF!</v>
      </c>
      <c r="R1213" s="17" t="str">
        <f t="shared" si="132"/>
        <v>80 1 00 76200120</v>
      </c>
    </row>
    <row r="1214" spans="1:18" s="23" customFormat="1" ht="31.5">
      <c r="A1214" s="21"/>
      <c r="B1214" s="127" t="s">
        <v>40</v>
      </c>
      <c r="C1214" s="130" t="s">
        <v>746</v>
      </c>
      <c r="D1214" s="131" t="s">
        <v>11</v>
      </c>
      <c r="E1214" s="131" t="s">
        <v>73</v>
      </c>
      <c r="F1214" s="131" t="s">
        <v>753</v>
      </c>
      <c r="G1214" s="108" t="s">
        <v>41</v>
      </c>
      <c r="H1214" s="126"/>
      <c r="L1214" s="22"/>
      <c r="M1214" s="22"/>
      <c r="N1214" s="22"/>
      <c r="O1214" s="22"/>
      <c r="P1214" s="22"/>
      <c r="Q1214" s="22"/>
      <c r="R1214" s="24"/>
    </row>
    <row r="1215" spans="1:18" s="23" customFormat="1" ht="47.25">
      <c r="A1215" s="21"/>
      <c r="B1215" s="127" t="s">
        <v>22</v>
      </c>
      <c r="C1215" s="130" t="s">
        <v>746</v>
      </c>
      <c r="D1215" s="131" t="s">
        <v>11</v>
      </c>
      <c r="E1215" s="131" t="s">
        <v>73</v>
      </c>
      <c r="F1215" s="131" t="s">
        <v>753</v>
      </c>
      <c r="G1215" s="108" t="s">
        <v>23</v>
      </c>
      <c r="H1215" s="126"/>
      <c r="L1215" s="22"/>
      <c r="M1215" s="22"/>
      <c r="N1215" s="22"/>
      <c r="O1215" s="22"/>
      <c r="P1215" s="22"/>
      <c r="Q1215" s="22"/>
      <c r="R1215" s="24"/>
    </row>
    <row r="1216" spans="1:18" s="23" customFormat="1" ht="63">
      <c r="A1216" s="21"/>
      <c r="B1216" s="127" t="s">
        <v>26</v>
      </c>
      <c r="C1216" s="130" t="s">
        <v>746</v>
      </c>
      <c r="D1216" s="131" t="s">
        <v>11</v>
      </c>
      <c r="E1216" s="131" t="s">
        <v>73</v>
      </c>
      <c r="F1216" s="131" t="s">
        <v>753</v>
      </c>
      <c r="G1216" s="108" t="s">
        <v>27</v>
      </c>
      <c r="H1216" s="126"/>
      <c r="L1216" s="22"/>
      <c r="M1216" s="22"/>
      <c r="N1216" s="22"/>
      <c r="O1216" s="22"/>
      <c r="P1216" s="22"/>
      <c r="Q1216" s="22"/>
      <c r="R1216" s="24"/>
    </row>
    <row r="1217" spans="1:18" s="16" customFormat="1" ht="31.5">
      <c r="A1217" s="14"/>
      <c r="B1217" s="125" t="s">
        <v>28</v>
      </c>
      <c r="C1217" s="130" t="s">
        <v>746</v>
      </c>
      <c r="D1217" s="131" t="s">
        <v>11</v>
      </c>
      <c r="E1217" s="131" t="s">
        <v>73</v>
      </c>
      <c r="F1217" s="131" t="s">
        <v>753</v>
      </c>
      <c r="G1217" s="131" t="s">
        <v>29</v>
      </c>
      <c r="H1217" s="126">
        <f>H1218</f>
        <v>0</v>
      </c>
      <c r="L1217" s="26">
        <v>58.42</v>
      </c>
      <c r="M1217" s="26">
        <v>58.42</v>
      </c>
      <c r="N1217" s="26">
        <v>58.42</v>
      </c>
      <c r="O1217" s="26">
        <f>H1217-L1217</f>
        <v>-58.42</v>
      </c>
      <c r="P1217" s="26" t="e">
        <f>#REF!-M1217</f>
        <v>#REF!</v>
      </c>
      <c r="Q1217" s="26" t="e">
        <f>#REF!-N1217</f>
        <v>#REF!</v>
      </c>
      <c r="R1217" s="17" t="str">
        <f t="shared" si="132"/>
        <v>80 1 00 76200240</v>
      </c>
    </row>
    <row r="1218" spans="1:18" s="16" customFormat="1" ht="15.75">
      <c r="A1218" s="14"/>
      <c r="B1218" s="125" t="s">
        <v>30</v>
      </c>
      <c r="C1218" s="130" t="s">
        <v>746</v>
      </c>
      <c r="D1218" s="131" t="s">
        <v>11</v>
      </c>
      <c r="E1218" s="131" t="s">
        <v>73</v>
      </c>
      <c r="F1218" s="131" t="s">
        <v>753</v>
      </c>
      <c r="G1218" s="131" t="s">
        <v>31</v>
      </c>
      <c r="H1218" s="126"/>
      <c r="L1218" s="26"/>
      <c r="M1218" s="26"/>
      <c r="N1218" s="26"/>
      <c r="O1218" s="26"/>
      <c r="P1218" s="26"/>
      <c r="Q1218" s="26"/>
      <c r="R1218" s="17"/>
    </row>
    <row r="1219" spans="1:18" s="16" customFormat="1" ht="63">
      <c r="A1219" s="14" t="s">
        <v>80</v>
      </c>
      <c r="B1219" s="129" t="s">
        <v>754</v>
      </c>
      <c r="C1219" s="130" t="s">
        <v>746</v>
      </c>
      <c r="D1219" s="131" t="s">
        <v>11</v>
      </c>
      <c r="E1219" s="131" t="s">
        <v>73</v>
      </c>
      <c r="F1219" s="131" t="s">
        <v>755</v>
      </c>
      <c r="G1219" s="131" t="s">
        <v>9</v>
      </c>
      <c r="H1219" s="105">
        <f>H1220</f>
        <v>0</v>
      </c>
      <c r="L1219" s="26">
        <v>70.900000000000006</v>
      </c>
      <c r="M1219" s="26">
        <v>70.900000000000006</v>
      </c>
      <c r="N1219" s="26">
        <v>70.900000000000006</v>
      </c>
      <c r="O1219" s="26">
        <f>H1219-L1219</f>
        <v>-70.900000000000006</v>
      </c>
      <c r="P1219" s="26" t="e">
        <f>#REF!-M1219</f>
        <v>#REF!</v>
      </c>
      <c r="Q1219" s="26" t="e">
        <f>#REF!-N1219</f>
        <v>#REF!</v>
      </c>
      <c r="R1219" s="17" t="str">
        <f t="shared" si="132"/>
        <v>80 1 00 76360000</v>
      </c>
    </row>
    <row r="1220" spans="1:18" s="16" customFormat="1" ht="31.5">
      <c r="A1220" s="14"/>
      <c r="B1220" s="125" t="s">
        <v>28</v>
      </c>
      <c r="C1220" s="130" t="s">
        <v>746</v>
      </c>
      <c r="D1220" s="131" t="s">
        <v>11</v>
      </c>
      <c r="E1220" s="131" t="s">
        <v>73</v>
      </c>
      <c r="F1220" s="131" t="s">
        <v>755</v>
      </c>
      <c r="G1220" s="131" t="s">
        <v>29</v>
      </c>
      <c r="H1220" s="126">
        <f>H1221</f>
        <v>0</v>
      </c>
      <c r="L1220" s="26">
        <v>70.900000000000006</v>
      </c>
      <c r="M1220" s="26">
        <v>70.900000000000006</v>
      </c>
      <c r="N1220" s="26">
        <v>70.900000000000006</v>
      </c>
      <c r="O1220" s="26">
        <f>H1220-L1220</f>
        <v>-70.900000000000006</v>
      </c>
      <c r="P1220" s="26" t="e">
        <f>#REF!-M1220</f>
        <v>#REF!</v>
      </c>
      <c r="Q1220" s="26" t="e">
        <f>#REF!-N1220</f>
        <v>#REF!</v>
      </c>
      <c r="R1220" s="17" t="str">
        <f t="shared" si="132"/>
        <v>80 1 00 76360240</v>
      </c>
    </row>
    <row r="1221" spans="1:18" s="16" customFormat="1" ht="15.75">
      <c r="A1221" s="14"/>
      <c r="B1221" s="125" t="s">
        <v>30</v>
      </c>
      <c r="C1221" s="130" t="s">
        <v>746</v>
      </c>
      <c r="D1221" s="131" t="s">
        <v>11</v>
      </c>
      <c r="E1221" s="131" t="s">
        <v>73</v>
      </c>
      <c r="F1221" s="131" t="s">
        <v>755</v>
      </c>
      <c r="G1221" s="131" t="s">
        <v>31</v>
      </c>
      <c r="H1221" s="126"/>
      <c r="L1221" s="26"/>
      <c r="M1221" s="26"/>
      <c r="N1221" s="26"/>
      <c r="O1221" s="26"/>
      <c r="P1221" s="26"/>
      <c r="Q1221" s="26"/>
      <c r="R1221" s="17"/>
    </row>
    <row r="1222" spans="1:18" s="16" customFormat="1" ht="15.75">
      <c r="A1222" s="14"/>
      <c r="B1222" s="121" t="s">
        <v>50</v>
      </c>
      <c r="C1222" s="122" t="s">
        <v>746</v>
      </c>
      <c r="D1222" s="123" t="s">
        <v>11</v>
      </c>
      <c r="E1222" s="123" t="s">
        <v>51</v>
      </c>
      <c r="F1222" s="123" t="s">
        <v>8</v>
      </c>
      <c r="G1222" s="123" t="s">
        <v>9</v>
      </c>
      <c r="H1222" s="124">
        <f>H1223+H1232</f>
        <v>0</v>
      </c>
      <c r="L1222" s="19">
        <v>1745.2</v>
      </c>
      <c r="M1222" s="19">
        <v>390.2</v>
      </c>
      <c r="N1222" s="19">
        <v>390.2</v>
      </c>
      <c r="O1222" s="19">
        <f t="shared" ref="O1222:O1227" si="135">H1222-L1222</f>
        <v>-1745.2</v>
      </c>
      <c r="P1222" s="19" t="e">
        <f>#REF!-M1222</f>
        <v>#REF!</v>
      </c>
      <c r="Q1222" s="19" t="e">
        <f>#REF!-N1222</f>
        <v>#REF!</v>
      </c>
      <c r="R1222" s="17" t="str">
        <f t="shared" si="132"/>
        <v>00 0 00 00000000</v>
      </c>
    </row>
    <row r="1223" spans="1:18" s="16" customFormat="1" ht="63">
      <c r="A1223" s="14"/>
      <c r="B1223" s="132" t="s">
        <v>257</v>
      </c>
      <c r="C1223" s="130" t="s">
        <v>746</v>
      </c>
      <c r="D1223" s="131" t="s">
        <v>11</v>
      </c>
      <c r="E1223" s="131" t="s">
        <v>51</v>
      </c>
      <c r="F1223" s="131" t="s">
        <v>258</v>
      </c>
      <c r="G1223" s="131" t="s">
        <v>9</v>
      </c>
      <c r="H1223" s="105">
        <f t="shared" ref="H1223:H1226" si="136">H1224</f>
        <v>0</v>
      </c>
      <c r="L1223" s="26">
        <v>390.2</v>
      </c>
      <c r="M1223" s="26">
        <v>390.2</v>
      </c>
      <c r="N1223" s="26">
        <v>390.2</v>
      </c>
      <c r="O1223" s="26">
        <f t="shared" si="135"/>
        <v>-390.2</v>
      </c>
      <c r="P1223" s="26" t="e">
        <f>#REF!-M1223</f>
        <v>#REF!</v>
      </c>
      <c r="Q1223" s="26" t="e">
        <f>#REF!-N1223</f>
        <v>#REF!</v>
      </c>
      <c r="R1223" s="17" t="str">
        <f t="shared" si="132"/>
        <v>11 0 00 00000000</v>
      </c>
    </row>
    <row r="1224" spans="1:18" s="16" customFormat="1" ht="63">
      <c r="A1224" s="14"/>
      <c r="B1224" s="132" t="s">
        <v>259</v>
      </c>
      <c r="C1224" s="109" t="s">
        <v>746</v>
      </c>
      <c r="D1224" s="131" t="s">
        <v>11</v>
      </c>
      <c r="E1224" s="131" t="s">
        <v>51</v>
      </c>
      <c r="F1224" s="131" t="s">
        <v>260</v>
      </c>
      <c r="G1224" s="131" t="s">
        <v>9</v>
      </c>
      <c r="H1224" s="105">
        <f t="shared" si="136"/>
        <v>0</v>
      </c>
      <c r="L1224" s="26">
        <v>390.2</v>
      </c>
      <c r="M1224" s="26">
        <v>390.2</v>
      </c>
      <c r="N1224" s="26">
        <v>390.2</v>
      </c>
      <c r="O1224" s="26">
        <f t="shared" si="135"/>
        <v>-390.2</v>
      </c>
      <c r="P1224" s="26" t="e">
        <f>#REF!-M1224</f>
        <v>#REF!</v>
      </c>
      <c r="Q1224" s="26" t="e">
        <f>#REF!-N1224</f>
        <v>#REF!</v>
      </c>
      <c r="R1224" s="17" t="str">
        <f t="shared" si="132"/>
        <v>11 Б 00 00000000</v>
      </c>
    </row>
    <row r="1225" spans="1:18" s="16" customFormat="1" ht="47.25">
      <c r="A1225" s="14"/>
      <c r="B1225" s="125" t="s">
        <v>261</v>
      </c>
      <c r="C1225" s="109" t="s">
        <v>746</v>
      </c>
      <c r="D1225" s="131" t="s">
        <v>11</v>
      </c>
      <c r="E1225" s="131" t="s">
        <v>51</v>
      </c>
      <c r="F1225" s="131" t="s">
        <v>262</v>
      </c>
      <c r="G1225" s="131" t="s">
        <v>9</v>
      </c>
      <c r="H1225" s="105">
        <f>H1226+H1229</f>
        <v>0</v>
      </c>
      <c r="L1225" s="26">
        <v>390.2</v>
      </c>
      <c r="M1225" s="26">
        <v>390.2</v>
      </c>
      <c r="N1225" s="26">
        <v>390.2</v>
      </c>
      <c r="O1225" s="26">
        <f t="shared" si="135"/>
        <v>-390.2</v>
      </c>
      <c r="P1225" s="26" t="e">
        <f>#REF!-M1225</f>
        <v>#REF!</v>
      </c>
      <c r="Q1225" s="26" t="e">
        <f>#REF!-N1225</f>
        <v>#REF!</v>
      </c>
      <c r="R1225" s="17" t="str">
        <f t="shared" si="132"/>
        <v>11 Б 01 00000000</v>
      </c>
    </row>
    <row r="1226" spans="1:18" s="16" customFormat="1" ht="31.5">
      <c r="A1226" s="14"/>
      <c r="B1226" s="125" t="s">
        <v>756</v>
      </c>
      <c r="C1226" s="109" t="s">
        <v>746</v>
      </c>
      <c r="D1226" s="131" t="s">
        <v>11</v>
      </c>
      <c r="E1226" s="131" t="s">
        <v>51</v>
      </c>
      <c r="F1226" s="131" t="s">
        <v>757</v>
      </c>
      <c r="G1226" s="131" t="s">
        <v>9</v>
      </c>
      <c r="H1226" s="105">
        <f t="shared" si="136"/>
        <v>0</v>
      </c>
      <c r="L1226" s="26">
        <v>350</v>
      </c>
      <c r="M1226" s="26">
        <v>350</v>
      </c>
      <c r="N1226" s="26">
        <v>350</v>
      </c>
      <c r="O1226" s="26">
        <f t="shared" si="135"/>
        <v>-350</v>
      </c>
      <c r="P1226" s="26" t="e">
        <f>#REF!-M1226</f>
        <v>#REF!</v>
      </c>
      <c r="Q1226" s="26" t="e">
        <f>#REF!-N1226</f>
        <v>#REF!</v>
      </c>
      <c r="R1226" s="17" t="str">
        <f t="shared" si="132"/>
        <v>11 Б 01 20840000</v>
      </c>
    </row>
    <row r="1227" spans="1:18" s="16" customFormat="1" ht="31.5">
      <c r="A1227" s="14"/>
      <c r="B1227" s="125" t="s">
        <v>28</v>
      </c>
      <c r="C1227" s="109" t="s">
        <v>746</v>
      </c>
      <c r="D1227" s="131" t="s">
        <v>11</v>
      </c>
      <c r="E1227" s="131" t="s">
        <v>51</v>
      </c>
      <c r="F1227" s="131" t="s">
        <v>757</v>
      </c>
      <c r="G1227" s="131" t="s">
        <v>29</v>
      </c>
      <c r="H1227" s="126">
        <f>H1228</f>
        <v>0</v>
      </c>
      <c r="L1227" s="26">
        <v>350</v>
      </c>
      <c r="M1227" s="26">
        <v>350</v>
      </c>
      <c r="N1227" s="26">
        <v>350</v>
      </c>
      <c r="O1227" s="26">
        <f t="shared" si="135"/>
        <v>-350</v>
      </c>
      <c r="P1227" s="26" t="e">
        <f>#REF!-M1227</f>
        <v>#REF!</v>
      </c>
      <c r="Q1227" s="26" t="e">
        <f>#REF!-N1227</f>
        <v>#REF!</v>
      </c>
      <c r="R1227" s="17" t="str">
        <f t="shared" si="132"/>
        <v>11 Б 01 20840240</v>
      </c>
    </row>
    <row r="1228" spans="1:18" s="16" customFormat="1" ht="15.75">
      <c r="A1228" s="14"/>
      <c r="B1228" s="125" t="s">
        <v>30</v>
      </c>
      <c r="C1228" s="109" t="s">
        <v>746</v>
      </c>
      <c r="D1228" s="131" t="s">
        <v>11</v>
      </c>
      <c r="E1228" s="131" t="s">
        <v>51</v>
      </c>
      <c r="F1228" s="131" t="s">
        <v>757</v>
      </c>
      <c r="G1228" s="131" t="s">
        <v>31</v>
      </c>
      <c r="H1228" s="126"/>
      <c r="L1228" s="26"/>
      <c r="M1228" s="26"/>
      <c r="N1228" s="26"/>
      <c r="O1228" s="26"/>
      <c r="P1228" s="26"/>
      <c r="Q1228" s="26"/>
      <c r="R1228" s="17"/>
    </row>
    <row r="1229" spans="1:18" s="16" customFormat="1" ht="31.5">
      <c r="A1229" s="14"/>
      <c r="B1229" s="125" t="s">
        <v>267</v>
      </c>
      <c r="C1229" s="109" t="s">
        <v>746</v>
      </c>
      <c r="D1229" s="108" t="s">
        <v>11</v>
      </c>
      <c r="E1229" s="108" t="s">
        <v>51</v>
      </c>
      <c r="F1229" s="14" t="s">
        <v>268</v>
      </c>
      <c r="G1229" s="108" t="s">
        <v>9</v>
      </c>
      <c r="H1229" s="126">
        <f>H1230</f>
        <v>0</v>
      </c>
      <c r="L1229" s="20">
        <v>40.200000000000003</v>
      </c>
      <c r="M1229" s="20">
        <v>40.200000000000003</v>
      </c>
      <c r="N1229" s="20">
        <v>40.200000000000003</v>
      </c>
      <c r="O1229" s="20">
        <f>H1229-L1229</f>
        <v>-40.200000000000003</v>
      </c>
      <c r="P1229" s="20" t="e">
        <f>#REF!-M1229</f>
        <v>#REF!</v>
      </c>
      <c r="Q1229" s="20" t="e">
        <f>#REF!-N1229</f>
        <v>#REF!</v>
      </c>
      <c r="R1229" s="17" t="str">
        <f t="shared" si="132"/>
        <v>11 Б 01 21120000</v>
      </c>
    </row>
    <row r="1230" spans="1:18" s="16" customFormat="1" ht="31.5">
      <c r="A1230" s="14"/>
      <c r="B1230" s="125" t="s">
        <v>28</v>
      </c>
      <c r="C1230" s="109" t="s">
        <v>746</v>
      </c>
      <c r="D1230" s="108" t="s">
        <v>11</v>
      </c>
      <c r="E1230" s="108" t="s">
        <v>51</v>
      </c>
      <c r="F1230" s="14" t="s">
        <v>268</v>
      </c>
      <c r="G1230" s="108" t="s">
        <v>29</v>
      </c>
      <c r="H1230" s="126">
        <f>H1231</f>
        <v>0</v>
      </c>
      <c r="L1230" s="20">
        <v>40.200000000000003</v>
      </c>
      <c r="M1230" s="20">
        <v>40.200000000000003</v>
      </c>
      <c r="N1230" s="20">
        <v>40.200000000000003</v>
      </c>
      <c r="O1230" s="20">
        <f>H1230-L1230</f>
        <v>-40.200000000000003</v>
      </c>
      <c r="P1230" s="20" t="e">
        <f>#REF!-M1230</f>
        <v>#REF!</v>
      </c>
      <c r="Q1230" s="20" t="e">
        <f>#REF!-N1230</f>
        <v>#REF!</v>
      </c>
      <c r="R1230" s="17" t="str">
        <f t="shared" si="132"/>
        <v>11 Б 01 21120240</v>
      </c>
    </row>
    <row r="1231" spans="1:18" s="16" customFormat="1" ht="15.75">
      <c r="A1231" s="14"/>
      <c r="B1231" s="125" t="s">
        <v>30</v>
      </c>
      <c r="C1231" s="109" t="s">
        <v>746</v>
      </c>
      <c r="D1231" s="108" t="s">
        <v>11</v>
      </c>
      <c r="E1231" s="108" t="s">
        <v>51</v>
      </c>
      <c r="F1231" s="14" t="s">
        <v>268</v>
      </c>
      <c r="G1231" s="108" t="s">
        <v>31</v>
      </c>
      <c r="H1231" s="126"/>
      <c r="L1231" s="20"/>
      <c r="M1231" s="20"/>
      <c r="N1231" s="20"/>
      <c r="O1231" s="20"/>
      <c r="P1231" s="20"/>
      <c r="Q1231" s="20"/>
      <c r="R1231" s="17"/>
    </row>
    <row r="1232" spans="1:18" s="16" customFormat="1" ht="63">
      <c r="A1232" s="14"/>
      <c r="B1232" s="127" t="s">
        <v>87</v>
      </c>
      <c r="C1232" s="109" t="s">
        <v>746</v>
      </c>
      <c r="D1232" s="108" t="s">
        <v>11</v>
      </c>
      <c r="E1232" s="108" t="s">
        <v>51</v>
      </c>
      <c r="F1232" s="14" t="s">
        <v>88</v>
      </c>
      <c r="G1232" s="108" t="s">
        <v>9</v>
      </c>
      <c r="H1232" s="126">
        <f>H1233</f>
        <v>0</v>
      </c>
      <c r="L1232" s="20">
        <v>1355</v>
      </c>
      <c r="M1232" s="20">
        <v>0</v>
      </c>
      <c r="N1232" s="20">
        <v>0</v>
      </c>
      <c r="O1232" s="20">
        <f>H1232-L1232</f>
        <v>-1355</v>
      </c>
      <c r="P1232" s="20" t="e">
        <f>#REF!-M1232</f>
        <v>#REF!</v>
      </c>
      <c r="Q1232" s="20" t="e">
        <f>#REF!-N1232</f>
        <v>#REF!</v>
      </c>
      <c r="R1232" s="17" t="str">
        <f t="shared" si="132"/>
        <v>98 0 00 00000000</v>
      </c>
    </row>
    <row r="1233" spans="1:18" s="16" customFormat="1" ht="15.75">
      <c r="A1233" s="14"/>
      <c r="B1233" s="127" t="s">
        <v>89</v>
      </c>
      <c r="C1233" s="109" t="s">
        <v>746</v>
      </c>
      <c r="D1233" s="108" t="s">
        <v>11</v>
      </c>
      <c r="E1233" s="108" t="s">
        <v>51</v>
      </c>
      <c r="F1233" s="14" t="s">
        <v>90</v>
      </c>
      <c r="G1233" s="108" t="s">
        <v>9</v>
      </c>
      <c r="H1233" s="126">
        <f>H1234</f>
        <v>0</v>
      </c>
      <c r="L1233" s="20">
        <v>1355</v>
      </c>
      <c r="M1233" s="20">
        <v>0</v>
      </c>
      <c r="N1233" s="20">
        <v>0</v>
      </c>
      <c r="O1233" s="20">
        <f>H1233-L1233</f>
        <v>-1355</v>
      </c>
      <c r="P1233" s="20" t="e">
        <f>#REF!-M1233</f>
        <v>#REF!</v>
      </c>
      <c r="Q1233" s="20" t="e">
        <f>#REF!-N1233</f>
        <v>#REF!</v>
      </c>
      <c r="R1233" s="17" t="str">
        <f t="shared" si="132"/>
        <v>98 1 00 00000000</v>
      </c>
    </row>
    <row r="1234" spans="1:18" s="16" customFormat="1" ht="78.75">
      <c r="A1234" s="14"/>
      <c r="B1234" s="127" t="s">
        <v>758</v>
      </c>
      <c r="C1234" s="109" t="s">
        <v>746</v>
      </c>
      <c r="D1234" s="108" t="s">
        <v>11</v>
      </c>
      <c r="E1234" s="108" t="s">
        <v>51</v>
      </c>
      <c r="F1234" s="14" t="s">
        <v>759</v>
      </c>
      <c r="G1234" s="108" t="s">
        <v>9</v>
      </c>
      <c r="H1234" s="126">
        <f>H1235</f>
        <v>0</v>
      </c>
      <c r="L1234" s="20">
        <v>1355</v>
      </c>
      <c r="M1234" s="20">
        <v>0</v>
      </c>
      <c r="N1234" s="20">
        <v>0</v>
      </c>
      <c r="O1234" s="20">
        <f>H1234-L1234</f>
        <v>-1355</v>
      </c>
      <c r="P1234" s="20" t="e">
        <f>#REF!-M1234</f>
        <v>#REF!</v>
      </c>
      <c r="Q1234" s="20" t="e">
        <f>#REF!-N1234</f>
        <v>#REF!</v>
      </c>
      <c r="R1234" s="17" t="str">
        <f t="shared" si="132"/>
        <v>98 1 00 21020000</v>
      </c>
    </row>
    <row r="1235" spans="1:18" s="16" customFormat="1" ht="31.5">
      <c r="A1235" s="14"/>
      <c r="B1235" s="125" t="s">
        <v>28</v>
      </c>
      <c r="C1235" s="109" t="s">
        <v>746</v>
      </c>
      <c r="D1235" s="108" t="s">
        <v>11</v>
      </c>
      <c r="E1235" s="108" t="s">
        <v>51</v>
      </c>
      <c r="F1235" s="14" t="s">
        <v>759</v>
      </c>
      <c r="G1235" s="131" t="s">
        <v>29</v>
      </c>
      <c r="H1235" s="126">
        <f>H1236</f>
        <v>0</v>
      </c>
      <c r="L1235" s="20">
        <v>1355</v>
      </c>
      <c r="M1235" s="20">
        <v>0</v>
      </c>
      <c r="N1235" s="20">
        <v>0</v>
      </c>
      <c r="O1235" s="20">
        <f>H1235-L1235</f>
        <v>-1355</v>
      </c>
      <c r="P1235" s="20" t="e">
        <f>#REF!-M1235</f>
        <v>#REF!</v>
      </c>
      <c r="Q1235" s="20" t="e">
        <f>#REF!-N1235</f>
        <v>#REF!</v>
      </c>
      <c r="R1235" s="17" t="str">
        <f t="shared" si="132"/>
        <v>98 1 00 21020240</v>
      </c>
    </row>
    <row r="1236" spans="1:18" s="16" customFormat="1" ht="15.75">
      <c r="A1236" s="14"/>
      <c r="B1236" s="125" t="s">
        <v>30</v>
      </c>
      <c r="C1236" s="109" t="s">
        <v>746</v>
      </c>
      <c r="D1236" s="108" t="s">
        <v>11</v>
      </c>
      <c r="E1236" s="108" t="s">
        <v>51</v>
      </c>
      <c r="F1236" s="14" t="s">
        <v>759</v>
      </c>
      <c r="G1236" s="131" t="s">
        <v>31</v>
      </c>
      <c r="H1236" s="126"/>
      <c r="L1236" s="20"/>
      <c r="M1236" s="20"/>
      <c r="N1236" s="20"/>
      <c r="O1236" s="20"/>
      <c r="P1236" s="20"/>
      <c r="Q1236" s="20"/>
      <c r="R1236" s="17"/>
    </row>
    <row r="1237" spans="1:18" s="16" customFormat="1" ht="15.75">
      <c r="A1237" s="14"/>
      <c r="B1237" s="117" t="s">
        <v>195</v>
      </c>
      <c r="C1237" s="118" t="s">
        <v>746</v>
      </c>
      <c r="D1237" s="119" t="s">
        <v>73</v>
      </c>
      <c r="E1237" s="119" t="s">
        <v>7</v>
      </c>
      <c r="F1237" s="119" t="s">
        <v>8</v>
      </c>
      <c r="G1237" s="119" t="s">
        <v>9</v>
      </c>
      <c r="H1237" s="120">
        <f t="shared" ref="H1237:H1240" si="137">H1238</f>
        <v>0</v>
      </c>
      <c r="L1237" s="18">
        <v>74504.899999999994</v>
      </c>
      <c r="M1237" s="18">
        <v>81217.409999999989</v>
      </c>
      <c r="N1237" s="18">
        <v>88601.17</v>
      </c>
      <c r="O1237" s="18">
        <f t="shared" ref="O1237:O1243" si="138">H1237-L1237</f>
        <v>-74504.899999999994</v>
      </c>
      <c r="P1237" s="18" t="e">
        <f>#REF!-M1237</f>
        <v>#REF!</v>
      </c>
      <c r="Q1237" s="18" t="e">
        <f>#REF!-N1237</f>
        <v>#REF!</v>
      </c>
      <c r="R1237" s="17" t="str">
        <f t="shared" si="132"/>
        <v>00 0 00 00000000</v>
      </c>
    </row>
    <row r="1238" spans="1:18" s="16" customFormat="1" ht="15.75">
      <c r="A1238" s="14"/>
      <c r="B1238" s="121" t="s">
        <v>760</v>
      </c>
      <c r="C1238" s="122" t="s">
        <v>746</v>
      </c>
      <c r="D1238" s="123" t="s">
        <v>73</v>
      </c>
      <c r="E1238" s="123" t="s">
        <v>471</v>
      </c>
      <c r="F1238" s="123" t="s">
        <v>8</v>
      </c>
      <c r="G1238" s="123" t="s">
        <v>9</v>
      </c>
      <c r="H1238" s="124">
        <f t="shared" si="137"/>
        <v>0</v>
      </c>
      <c r="L1238" s="19">
        <v>74504.899999999994</v>
      </c>
      <c r="M1238" s="19">
        <v>81217.409999999989</v>
      </c>
      <c r="N1238" s="19">
        <v>88601.17</v>
      </c>
      <c r="O1238" s="19">
        <f t="shared" si="138"/>
        <v>-74504.899999999994</v>
      </c>
      <c r="P1238" s="19" t="e">
        <f>#REF!-M1238</f>
        <v>#REF!</v>
      </c>
      <c r="Q1238" s="19" t="e">
        <f>#REF!-N1238</f>
        <v>#REF!</v>
      </c>
      <c r="R1238" s="17" t="str">
        <f t="shared" si="132"/>
        <v>00 0 00 00000000</v>
      </c>
    </row>
    <row r="1239" spans="1:18" s="16" customFormat="1" ht="63">
      <c r="A1239" s="14"/>
      <c r="B1239" s="127" t="s">
        <v>293</v>
      </c>
      <c r="C1239" s="130" t="s">
        <v>746</v>
      </c>
      <c r="D1239" s="131" t="s">
        <v>73</v>
      </c>
      <c r="E1239" s="131" t="s">
        <v>471</v>
      </c>
      <c r="F1239" s="131" t="s">
        <v>294</v>
      </c>
      <c r="G1239" s="131" t="s">
        <v>9</v>
      </c>
      <c r="H1239" s="105">
        <f t="shared" si="137"/>
        <v>0</v>
      </c>
      <c r="L1239" s="26">
        <v>74504.899999999994</v>
      </c>
      <c r="M1239" s="26">
        <v>81217.409999999989</v>
      </c>
      <c r="N1239" s="26">
        <v>88601.17</v>
      </c>
      <c r="O1239" s="26">
        <f t="shared" si="138"/>
        <v>-74504.899999999994</v>
      </c>
      <c r="P1239" s="26" t="e">
        <f>#REF!-M1239</f>
        <v>#REF!</v>
      </c>
      <c r="Q1239" s="26" t="e">
        <f>#REF!-N1239</f>
        <v>#REF!</v>
      </c>
      <c r="R1239" s="17" t="str">
        <f t="shared" si="132"/>
        <v>04 0 00 00000000</v>
      </c>
    </row>
    <row r="1240" spans="1:18" s="16" customFormat="1" ht="63">
      <c r="A1240" s="14"/>
      <c r="B1240" s="140" t="s">
        <v>295</v>
      </c>
      <c r="C1240" s="130" t="s">
        <v>746</v>
      </c>
      <c r="D1240" s="131" t="s">
        <v>73</v>
      </c>
      <c r="E1240" s="131" t="s">
        <v>471</v>
      </c>
      <c r="F1240" s="131" t="s">
        <v>296</v>
      </c>
      <c r="G1240" s="131" t="s">
        <v>9</v>
      </c>
      <c r="H1240" s="105">
        <f t="shared" si="137"/>
        <v>0</v>
      </c>
      <c r="L1240" s="26">
        <v>74504.899999999994</v>
      </c>
      <c r="M1240" s="26">
        <v>81217.409999999989</v>
      </c>
      <c r="N1240" s="26">
        <v>88601.17</v>
      </c>
      <c r="O1240" s="26">
        <f t="shared" si="138"/>
        <v>-74504.899999999994</v>
      </c>
      <c r="P1240" s="26" t="e">
        <f>#REF!-M1240</f>
        <v>#REF!</v>
      </c>
      <c r="Q1240" s="26" t="e">
        <f>#REF!-N1240</f>
        <v>#REF!</v>
      </c>
      <c r="R1240" s="17" t="str">
        <f t="shared" si="132"/>
        <v>04 2 00 00000000</v>
      </c>
    </row>
    <row r="1241" spans="1:18" s="16" customFormat="1" ht="63">
      <c r="A1241" s="14"/>
      <c r="B1241" s="140" t="s">
        <v>297</v>
      </c>
      <c r="C1241" s="130" t="s">
        <v>746</v>
      </c>
      <c r="D1241" s="131" t="s">
        <v>73</v>
      </c>
      <c r="E1241" s="131" t="s">
        <v>471</v>
      </c>
      <c r="F1241" s="131" t="s">
        <v>298</v>
      </c>
      <c r="G1241" s="131" t="s">
        <v>9</v>
      </c>
      <c r="H1241" s="105">
        <f>H1245+H1242</f>
        <v>0</v>
      </c>
      <c r="L1241" s="26">
        <v>74504.899999999994</v>
      </c>
      <c r="M1241" s="26">
        <v>81217.409999999989</v>
      </c>
      <c r="N1241" s="26">
        <v>88601.17</v>
      </c>
      <c r="O1241" s="26">
        <f t="shared" si="138"/>
        <v>-74504.899999999994</v>
      </c>
      <c r="P1241" s="26" t="e">
        <f>#REF!-M1241</f>
        <v>#REF!</v>
      </c>
      <c r="Q1241" s="26" t="e">
        <f>#REF!-N1241</f>
        <v>#REF!</v>
      </c>
      <c r="R1241" s="17" t="str">
        <f t="shared" si="132"/>
        <v>04 2 02 00000000</v>
      </c>
    </row>
    <row r="1242" spans="1:18" s="47" customFormat="1" ht="47.25">
      <c r="A1242" s="46"/>
      <c r="B1242" s="125" t="s">
        <v>761</v>
      </c>
      <c r="C1242" s="109" t="s">
        <v>746</v>
      </c>
      <c r="D1242" s="108" t="s">
        <v>73</v>
      </c>
      <c r="E1242" s="108" t="s">
        <v>471</v>
      </c>
      <c r="F1242" s="108" t="s">
        <v>762</v>
      </c>
      <c r="G1242" s="108" t="s">
        <v>9</v>
      </c>
      <c r="H1242" s="126">
        <f>H1243</f>
        <v>0</v>
      </c>
      <c r="L1242" s="20">
        <v>10379.76</v>
      </c>
      <c r="M1242" s="20">
        <v>10379.76</v>
      </c>
      <c r="N1242" s="20">
        <v>10379.76</v>
      </c>
      <c r="O1242" s="20">
        <f t="shared" si="138"/>
        <v>-10379.76</v>
      </c>
      <c r="P1242" s="20" t="e">
        <f>#REF!-M1242</f>
        <v>#REF!</v>
      </c>
      <c r="Q1242" s="20" t="e">
        <f>#REF!-N1242</f>
        <v>#REF!</v>
      </c>
      <c r="R1242" s="17" t="str">
        <f t="shared" si="132"/>
        <v>04 2 02 20820000</v>
      </c>
    </row>
    <row r="1243" spans="1:18" s="47" customFormat="1" ht="31.5">
      <c r="A1243" s="46"/>
      <c r="B1243" s="125" t="s">
        <v>28</v>
      </c>
      <c r="C1243" s="109" t="s">
        <v>746</v>
      </c>
      <c r="D1243" s="108" t="s">
        <v>73</v>
      </c>
      <c r="E1243" s="108" t="s">
        <v>471</v>
      </c>
      <c r="F1243" s="108" t="s">
        <v>762</v>
      </c>
      <c r="G1243" s="108" t="s">
        <v>29</v>
      </c>
      <c r="H1243" s="126">
        <f>H1244</f>
        <v>0</v>
      </c>
      <c r="L1243" s="20">
        <v>10379.76</v>
      </c>
      <c r="M1243" s="20">
        <v>10379.76</v>
      </c>
      <c r="N1243" s="20">
        <v>10379.76</v>
      </c>
      <c r="O1243" s="20">
        <f t="shared" si="138"/>
        <v>-10379.76</v>
      </c>
      <c r="P1243" s="20" t="e">
        <f>#REF!-M1243</f>
        <v>#REF!</v>
      </c>
      <c r="Q1243" s="20" t="e">
        <f>#REF!-N1243</f>
        <v>#REF!</v>
      </c>
      <c r="R1243" s="17" t="str">
        <f t="shared" si="132"/>
        <v>04 2 02 20820240</v>
      </c>
    </row>
    <row r="1244" spans="1:18" s="47" customFormat="1" ht="15.75">
      <c r="A1244" s="46"/>
      <c r="B1244" s="125" t="s">
        <v>30</v>
      </c>
      <c r="C1244" s="109" t="s">
        <v>746</v>
      </c>
      <c r="D1244" s="108" t="s">
        <v>73</v>
      </c>
      <c r="E1244" s="108" t="s">
        <v>471</v>
      </c>
      <c r="F1244" s="108" t="s">
        <v>762</v>
      </c>
      <c r="G1244" s="108" t="s">
        <v>31</v>
      </c>
      <c r="H1244" s="126"/>
      <c r="L1244" s="20"/>
      <c r="M1244" s="20"/>
      <c r="N1244" s="20"/>
      <c r="O1244" s="20"/>
      <c r="P1244" s="20"/>
      <c r="Q1244" s="20"/>
      <c r="R1244" s="17"/>
    </row>
    <row r="1245" spans="1:18" s="16" customFormat="1" ht="31.5">
      <c r="A1245" s="14"/>
      <c r="B1245" s="125" t="s">
        <v>763</v>
      </c>
      <c r="C1245" s="109" t="s">
        <v>746</v>
      </c>
      <c r="D1245" s="108" t="s">
        <v>73</v>
      </c>
      <c r="E1245" s="108" t="s">
        <v>471</v>
      </c>
      <c r="F1245" s="108" t="s">
        <v>764</v>
      </c>
      <c r="G1245" s="108" t="s">
        <v>9</v>
      </c>
      <c r="H1245" s="126">
        <f>H1246</f>
        <v>0</v>
      </c>
      <c r="L1245" s="20">
        <v>64125.14</v>
      </c>
      <c r="M1245" s="20">
        <v>70837.649999999994</v>
      </c>
      <c r="N1245" s="20">
        <v>78221.41</v>
      </c>
      <c r="O1245" s="20">
        <f>H1245-L1245</f>
        <v>-64125.14</v>
      </c>
      <c r="P1245" s="20" t="e">
        <f>#REF!-M1245</f>
        <v>#REF!</v>
      </c>
      <c r="Q1245" s="20" t="e">
        <f>#REF!-N1245</f>
        <v>#REF!</v>
      </c>
      <c r="R1245" s="17" t="str">
        <f t="shared" si="132"/>
        <v>04 2 02 21090000</v>
      </c>
    </row>
    <row r="1246" spans="1:18" s="16" customFormat="1" ht="31.5">
      <c r="A1246" s="14"/>
      <c r="B1246" s="125" t="s">
        <v>28</v>
      </c>
      <c r="C1246" s="109" t="s">
        <v>746</v>
      </c>
      <c r="D1246" s="108" t="s">
        <v>73</v>
      </c>
      <c r="E1246" s="108" t="s">
        <v>471</v>
      </c>
      <c r="F1246" s="108" t="s">
        <v>764</v>
      </c>
      <c r="G1246" s="108" t="s">
        <v>29</v>
      </c>
      <c r="H1246" s="126">
        <f>H1247</f>
        <v>0</v>
      </c>
      <c r="L1246" s="20">
        <v>64125.14</v>
      </c>
      <c r="M1246" s="20">
        <v>70837.649999999994</v>
      </c>
      <c r="N1246" s="20">
        <v>78221.41</v>
      </c>
      <c r="O1246" s="20">
        <f>H1246-L1246</f>
        <v>-64125.14</v>
      </c>
      <c r="P1246" s="20" t="e">
        <f>#REF!-M1246</f>
        <v>#REF!</v>
      </c>
      <c r="Q1246" s="20" t="e">
        <f>#REF!-N1246</f>
        <v>#REF!</v>
      </c>
      <c r="R1246" s="17" t="str">
        <f t="shared" si="132"/>
        <v>04 2 02 21090240</v>
      </c>
    </row>
    <row r="1247" spans="1:18" s="16" customFormat="1" ht="15.75">
      <c r="A1247" s="14"/>
      <c r="B1247" s="125" t="s">
        <v>30</v>
      </c>
      <c r="C1247" s="109" t="s">
        <v>746</v>
      </c>
      <c r="D1247" s="108" t="s">
        <v>73</v>
      </c>
      <c r="E1247" s="108" t="s">
        <v>471</v>
      </c>
      <c r="F1247" s="108" t="s">
        <v>764</v>
      </c>
      <c r="G1247" s="108" t="s">
        <v>31</v>
      </c>
      <c r="H1247" s="126"/>
      <c r="L1247" s="20"/>
      <c r="M1247" s="20"/>
      <c r="N1247" s="20"/>
      <c r="O1247" s="20"/>
      <c r="P1247" s="20"/>
      <c r="Q1247" s="20"/>
      <c r="R1247" s="17"/>
    </row>
    <row r="1248" spans="1:18" s="16" customFormat="1" ht="15.75">
      <c r="A1248" s="14"/>
      <c r="B1248" s="117" t="s">
        <v>305</v>
      </c>
      <c r="C1248" s="118" t="s">
        <v>746</v>
      </c>
      <c r="D1248" s="119" t="s">
        <v>86</v>
      </c>
      <c r="E1248" s="119" t="s">
        <v>7</v>
      </c>
      <c r="F1248" s="119" t="s">
        <v>8</v>
      </c>
      <c r="G1248" s="119" t="s">
        <v>9</v>
      </c>
      <c r="H1248" s="120">
        <f>H1249+H1257</f>
        <v>0</v>
      </c>
      <c r="L1248" s="18">
        <v>25720.12</v>
      </c>
      <c r="M1248" s="18">
        <v>20216.12</v>
      </c>
      <c r="N1248" s="18">
        <v>20204.12</v>
      </c>
      <c r="O1248" s="18">
        <f t="shared" ref="O1248:O1254" si="139">H1248-L1248</f>
        <v>-25720.12</v>
      </c>
      <c r="P1248" s="18" t="e">
        <f>#REF!-M1248</f>
        <v>#REF!</v>
      </c>
      <c r="Q1248" s="18" t="e">
        <f>#REF!-N1248</f>
        <v>#REF!</v>
      </c>
      <c r="R1248" s="17" t="str">
        <f t="shared" si="132"/>
        <v>00 0 00 00000000</v>
      </c>
    </row>
    <row r="1249" spans="1:18" s="16" customFormat="1" ht="15.75">
      <c r="A1249" s="14"/>
      <c r="B1249" s="121" t="s">
        <v>765</v>
      </c>
      <c r="C1249" s="122" t="s">
        <v>746</v>
      </c>
      <c r="D1249" s="123" t="s">
        <v>86</v>
      </c>
      <c r="E1249" s="123" t="s">
        <v>11</v>
      </c>
      <c r="F1249" s="123" t="s">
        <v>8</v>
      </c>
      <c r="G1249" s="123" t="s">
        <v>9</v>
      </c>
      <c r="H1249" s="124">
        <f>H1250</f>
        <v>0</v>
      </c>
      <c r="L1249" s="19">
        <v>1543</v>
      </c>
      <c r="M1249" s="19">
        <v>1539</v>
      </c>
      <c r="N1249" s="19">
        <v>1527</v>
      </c>
      <c r="O1249" s="19">
        <f t="shared" si="139"/>
        <v>-1543</v>
      </c>
      <c r="P1249" s="19" t="e">
        <f>#REF!-M1249</f>
        <v>#REF!</v>
      </c>
      <c r="Q1249" s="19" t="e">
        <f>#REF!-N1249</f>
        <v>#REF!</v>
      </c>
      <c r="R1249" s="17" t="str">
        <f t="shared" si="132"/>
        <v>00 0 00 00000000</v>
      </c>
    </row>
    <row r="1250" spans="1:18" s="16" customFormat="1" ht="63">
      <c r="A1250" s="14"/>
      <c r="B1250" s="127" t="s">
        <v>293</v>
      </c>
      <c r="C1250" s="130" t="s">
        <v>746</v>
      </c>
      <c r="D1250" s="131" t="s">
        <v>86</v>
      </c>
      <c r="E1250" s="131" t="s">
        <v>11</v>
      </c>
      <c r="F1250" s="131" t="s">
        <v>294</v>
      </c>
      <c r="G1250" s="131" t="s">
        <v>9</v>
      </c>
      <c r="H1250" s="105">
        <f t="shared" ref="H1250:H1253" si="140">H1251</f>
        <v>0</v>
      </c>
      <c r="L1250" s="26">
        <v>1543</v>
      </c>
      <c r="M1250" s="26">
        <v>1539</v>
      </c>
      <c r="N1250" s="26">
        <v>1527</v>
      </c>
      <c r="O1250" s="26">
        <f t="shared" si="139"/>
        <v>-1543</v>
      </c>
      <c r="P1250" s="26" t="e">
        <f>#REF!-M1250</f>
        <v>#REF!</v>
      </c>
      <c r="Q1250" s="26" t="e">
        <f>#REF!-N1250</f>
        <v>#REF!</v>
      </c>
      <c r="R1250" s="17" t="str">
        <f t="shared" si="132"/>
        <v>04 0 00 00000000</v>
      </c>
    </row>
    <row r="1251" spans="1:18" s="16" customFormat="1" ht="31.5">
      <c r="A1251" s="14"/>
      <c r="B1251" s="140" t="s">
        <v>766</v>
      </c>
      <c r="C1251" s="130" t="s">
        <v>746</v>
      </c>
      <c r="D1251" s="131" t="s">
        <v>86</v>
      </c>
      <c r="E1251" s="131" t="s">
        <v>11</v>
      </c>
      <c r="F1251" s="131" t="s">
        <v>767</v>
      </c>
      <c r="G1251" s="131" t="s">
        <v>9</v>
      </c>
      <c r="H1251" s="105">
        <f t="shared" si="140"/>
        <v>0</v>
      </c>
      <c r="L1251" s="26">
        <v>1543</v>
      </c>
      <c r="M1251" s="26">
        <v>1539</v>
      </c>
      <c r="N1251" s="26">
        <v>1527</v>
      </c>
      <c r="O1251" s="26">
        <f t="shared" si="139"/>
        <v>-1543</v>
      </c>
      <c r="P1251" s="26" t="e">
        <f>#REF!-M1251</f>
        <v>#REF!</v>
      </c>
      <c r="Q1251" s="26" t="e">
        <f>#REF!-N1251</f>
        <v>#REF!</v>
      </c>
      <c r="R1251" s="17" t="str">
        <f t="shared" si="132"/>
        <v>04 1 00 00000000</v>
      </c>
    </row>
    <row r="1252" spans="1:18" s="16" customFormat="1" ht="47.25">
      <c r="A1252" s="14"/>
      <c r="B1252" s="140" t="s">
        <v>768</v>
      </c>
      <c r="C1252" s="130" t="s">
        <v>746</v>
      </c>
      <c r="D1252" s="131" t="s">
        <v>86</v>
      </c>
      <c r="E1252" s="131" t="s">
        <v>11</v>
      </c>
      <c r="F1252" s="131" t="s">
        <v>769</v>
      </c>
      <c r="G1252" s="131" t="s">
        <v>9</v>
      </c>
      <c r="H1252" s="105">
        <f>H1253</f>
        <v>0</v>
      </c>
      <c r="L1252" s="26">
        <v>1543</v>
      </c>
      <c r="M1252" s="26">
        <v>1539</v>
      </c>
      <c r="N1252" s="26">
        <v>1527</v>
      </c>
      <c r="O1252" s="26">
        <f t="shared" si="139"/>
        <v>-1543</v>
      </c>
      <c r="P1252" s="26" t="e">
        <f>#REF!-M1252</f>
        <v>#REF!</v>
      </c>
      <c r="Q1252" s="26" t="e">
        <f>#REF!-N1252</f>
        <v>#REF!</v>
      </c>
      <c r="R1252" s="17" t="str">
        <f t="shared" si="132"/>
        <v>04 1 01 00000000</v>
      </c>
    </row>
    <row r="1253" spans="1:18" s="16" customFormat="1" ht="31.5">
      <c r="A1253" s="14"/>
      <c r="B1253" s="125" t="s">
        <v>770</v>
      </c>
      <c r="C1253" s="130" t="s">
        <v>746</v>
      </c>
      <c r="D1253" s="131" t="s">
        <v>86</v>
      </c>
      <c r="E1253" s="131" t="s">
        <v>11</v>
      </c>
      <c r="F1253" s="131" t="s">
        <v>771</v>
      </c>
      <c r="G1253" s="131" t="s">
        <v>9</v>
      </c>
      <c r="H1253" s="105">
        <f t="shared" si="140"/>
        <v>0</v>
      </c>
      <c r="L1253" s="26">
        <v>1543</v>
      </c>
      <c r="M1253" s="26">
        <v>1539</v>
      </c>
      <c r="N1253" s="26">
        <v>1527</v>
      </c>
      <c r="O1253" s="26">
        <f t="shared" si="139"/>
        <v>-1543</v>
      </c>
      <c r="P1253" s="26" t="e">
        <f>#REF!-M1253</f>
        <v>#REF!</v>
      </c>
      <c r="Q1253" s="26" t="e">
        <f>#REF!-N1253</f>
        <v>#REF!</v>
      </c>
      <c r="R1253" s="17" t="str">
        <f t="shared" si="132"/>
        <v>04 1 01 20190000</v>
      </c>
    </row>
    <row r="1254" spans="1:18" s="16" customFormat="1" ht="31.5">
      <c r="A1254" s="14"/>
      <c r="B1254" s="125" t="s">
        <v>28</v>
      </c>
      <c r="C1254" s="130" t="s">
        <v>746</v>
      </c>
      <c r="D1254" s="131" t="s">
        <v>86</v>
      </c>
      <c r="E1254" s="131" t="s">
        <v>11</v>
      </c>
      <c r="F1254" s="131" t="s">
        <v>771</v>
      </c>
      <c r="G1254" s="131" t="s">
        <v>29</v>
      </c>
      <c r="H1254" s="126">
        <f>SUM(H1255:H1256)</f>
        <v>0</v>
      </c>
      <c r="L1254" s="26">
        <v>1543</v>
      </c>
      <c r="M1254" s="26">
        <v>1539</v>
      </c>
      <c r="N1254" s="26">
        <v>1527</v>
      </c>
      <c r="O1254" s="26">
        <f t="shared" si="139"/>
        <v>-1543</v>
      </c>
      <c r="P1254" s="26" t="e">
        <f>#REF!-M1254</f>
        <v>#REF!</v>
      </c>
      <c r="Q1254" s="26" t="e">
        <f>#REF!-N1254</f>
        <v>#REF!</v>
      </c>
      <c r="R1254" s="17" t="str">
        <f t="shared" si="132"/>
        <v>04 1 01 20190240</v>
      </c>
    </row>
    <row r="1255" spans="1:18" s="16" customFormat="1" ht="47.25">
      <c r="A1255" s="14"/>
      <c r="B1255" s="127" t="s">
        <v>772</v>
      </c>
      <c r="C1255" s="109" t="s">
        <v>746</v>
      </c>
      <c r="D1255" s="108" t="s">
        <v>86</v>
      </c>
      <c r="E1255" s="108" t="s">
        <v>11</v>
      </c>
      <c r="F1255" s="108" t="s">
        <v>771</v>
      </c>
      <c r="G1255" s="108" t="s">
        <v>773</v>
      </c>
      <c r="H1255" s="126"/>
      <c r="L1255" s="26"/>
      <c r="M1255" s="26"/>
      <c r="N1255" s="26"/>
      <c r="O1255" s="26"/>
      <c r="P1255" s="26"/>
      <c r="Q1255" s="26"/>
      <c r="R1255" s="17"/>
    </row>
    <row r="1256" spans="1:18" s="16" customFormat="1" ht="15.75">
      <c r="A1256" s="14"/>
      <c r="B1256" s="125" t="s">
        <v>30</v>
      </c>
      <c r="C1256" s="109" t="s">
        <v>746</v>
      </c>
      <c r="D1256" s="108" t="s">
        <v>86</v>
      </c>
      <c r="E1256" s="108" t="s">
        <v>11</v>
      </c>
      <c r="F1256" s="108" t="s">
        <v>771</v>
      </c>
      <c r="G1256" s="108" t="s">
        <v>31</v>
      </c>
      <c r="H1256" s="126"/>
      <c r="L1256" s="26"/>
      <c r="M1256" s="26"/>
      <c r="N1256" s="26"/>
      <c r="O1256" s="26"/>
      <c r="P1256" s="26"/>
      <c r="Q1256" s="26"/>
      <c r="R1256" s="17"/>
    </row>
    <row r="1257" spans="1:18" s="16" customFormat="1" ht="15.75">
      <c r="A1257" s="14"/>
      <c r="B1257" s="121" t="s">
        <v>306</v>
      </c>
      <c r="C1257" s="122" t="s">
        <v>746</v>
      </c>
      <c r="D1257" s="123" t="s">
        <v>86</v>
      </c>
      <c r="E1257" s="123" t="s">
        <v>13</v>
      </c>
      <c r="F1257" s="123" t="s">
        <v>8</v>
      </c>
      <c r="G1257" s="123" t="s">
        <v>9</v>
      </c>
      <c r="H1257" s="124">
        <f>H1258+H1270</f>
        <v>0</v>
      </c>
      <c r="L1257" s="19">
        <v>24177.119999999999</v>
      </c>
      <c r="M1257" s="19">
        <v>18677.12</v>
      </c>
      <c r="N1257" s="19">
        <v>18677.12</v>
      </c>
      <c r="O1257" s="19">
        <f t="shared" ref="O1257:O1262" si="141">H1257-L1257</f>
        <v>-24177.119999999999</v>
      </c>
      <c r="P1257" s="19" t="e">
        <f>#REF!-M1257</f>
        <v>#REF!</v>
      </c>
      <c r="Q1257" s="19" t="e">
        <f>#REF!-N1257</f>
        <v>#REF!</v>
      </c>
      <c r="R1257" s="17" t="str">
        <f t="shared" si="132"/>
        <v>00 0 00 00000000</v>
      </c>
    </row>
    <row r="1258" spans="1:18" s="16" customFormat="1" ht="63">
      <c r="A1258" s="14"/>
      <c r="B1258" s="127" t="s">
        <v>293</v>
      </c>
      <c r="C1258" s="130" t="s">
        <v>746</v>
      </c>
      <c r="D1258" s="131" t="s">
        <v>86</v>
      </c>
      <c r="E1258" s="131" t="s">
        <v>13</v>
      </c>
      <c r="F1258" s="131" t="s">
        <v>294</v>
      </c>
      <c r="G1258" s="131" t="s">
        <v>9</v>
      </c>
      <c r="H1258" s="105">
        <f t="shared" ref="H1258:H1259" si="142">H1259</f>
        <v>0</v>
      </c>
      <c r="L1258" s="26">
        <v>21677.119999999999</v>
      </c>
      <c r="M1258" s="26">
        <v>18677.12</v>
      </c>
      <c r="N1258" s="26">
        <v>18677.12</v>
      </c>
      <c r="O1258" s="26">
        <f t="shared" si="141"/>
        <v>-21677.119999999999</v>
      </c>
      <c r="P1258" s="26" t="e">
        <f>#REF!-M1258</f>
        <v>#REF!</v>
      </c>
      <c r="Q1258" s="26" t="e">
        <f>#REF!-N1258</f>
        <v>#REF!</v>
      </c>
      <c r="R1258" s="17" t="str">
        <f t="shared" si="132"/>
        <v>04 0 00 00000000</v>
      </c>
    </row>
    <row r="1259" spans="1:18" s="16" customFormat="1" ht="31.5">
      <c r="A1259" s="14"/>
      <c r="B1259" s="125" t="s">
        <v>307</v>
      </c>
      <c r="C1259" s="130" t="s">
        <v>746</v>
      </c>
      <c r="D1259" s="131" t="s">
        <v>86</v>
      </c>
      <c r="E1259" s="131" t="s">
        <v>13</v>
      </c>
      <c r="F1259" s="131" t="s">
        <v>308</v>
      </c>
      <c r="G1259" s="131" t="s">
        <v>9</v>
      </c>
      <c r="H1259" s="105">
        <f t="shared" si="142"/>
        <v>0</v>
      </c>
      <c r="L1259" s="26">
        <v>21677.119999999999</v>
      </c>
      <c r="M1259" s="26">
        <v>18677.12</v>
      </c>
      <c r="N1259" s="26">
        <v>18677.12</v>
      </c>
      <c r="O1259" s="26">
        <f t="shared" si="141"/>
        <v>-21677.119999999999</v>
      </c>
      <c r="P1259" s="26" t="e">
        <f>#REF!-M1259</f>
        <v>#REF!</v>
      </c>
      <c r="Q1259" s="26" t="e">
        <f>#REF!-N1259</f>
        <v>#REF!</v>
      </c>
      <c r="R1259" s="17" t="str">
        <f t="shared" si="132"/>
        <v>04 3 00 00000000</v>
      </c>
    </row>
    <row r="1260" spans="1:18" s="16" customFormat="1" ht="31.5">
      <c r="A1260" s="14"/>
      <c r="B1260" s="138" t="s">
        <v>309</v>
      </c>
      <c r="C1260" s="130" t="s">
        <v>746</v>
      </c>
      <c r="D1260" s="131" t="s">
        <v>86</v>
      </c>
      <c r="E1260" s="131" t="s">
        <v>13</v>
      </c>
      <c r="F1260" s="108" t="s">
        <v>310</v>
      </c>
      <c r="G1260" s="131" t="s">
        <v>9</v>
      </c>
      <c r="H1260" s="105">
        <f>H1261+H1264+H1267</f>
        <v>0</v>
      </c>
      <c r="L1260" s="26">
        <v>21677.119999999999</v>
      </c>
      <c r="M1260" s="26">
        <v>18677.12</v>
      </c>
      <c r="N1260" s="26">
        <v>18677.12</v>
      </c>
      <c r="O1260" s="26">
        <f t="shared" si="141"/>
        <v>-21677.119999999999</v>
      </c>
      <c r="P1260" s="26" t="e">
        <f>#REF!-M1260</f>
        <v>#REF!</v>
      </c>
      <c r="Q1260" s="26" t="e">
        <f>#REF!-N1260</f>
        <v>#REF!</v>
      </c>
      <c r="R1260" s="17" t="str">
        <f t="shared" si="132"/>
        <v>04 3 04 00000000</v>
      </c>
    </row>
    <row r="1261" spans="1:18" s="16" customFormat="1" ht="31.5">
      <c r="A1261" s="14"/>
      <c r="B1261" s="125" t="s">
        <v>542</v>
      </c>
      <c r="C1261" s="130" t="s">
        <v>746</v>
      </c>
      <c r="D1261" s="131" t="s">
        <v>86</v>
      </c>
      <c r="E1261" s="131" t="s">
        <v>13</v>
      </c>
      <c r="F1261" s="131" t="s">
        <v>543</v>
      </c>
      <c r="G1261" s="131" t="s">
        <v>9</v>
      </c>
      <c r="H1261" s="105">
        <f>H1262</f>
        <v>0</v>
      </c>
      <c r="L1261" s="26">
        <v>8259.32</v>
      </c>
      <c r="M1261" s="26">
        <v>8259.32</v>
      </c>
      <c r="N1261" s="26">
        <v>8259.32</v>
      </c>
      <c r="O1261" s="26">
        <f t="shared" si="141"/>
        <v>-8259.32</v>
      </c>
      <c r="P1261" s="26" t="e">
        <f>#REF!-M1261</f>
        <v>#REF!</v>
      </c>
      <c r="Q1261" s="26" t="e">
        <f>#REF!-N1261</f>
        <v>#REF!</v>
      </c>
      <c r="R1261" s="17" t="str">
        <f t="shared" si="132"/>
        <v>04 3 04 20300000</v>
      </c>
    </row>
    <row r="1262" spans="1:18" s="16" customFormat="1" ht="31.5">
      <c r="A1262" s="14"/>
      <c r="B1262" s="125" t="s">
        <v>28</v>
      </c>
      <c r="C1262" s="130" t="s">
        <v>746</v>
      </c>
      <c r="D1262" s="131" t="s">
        <v>86</v>
      </c>
      <c r="E1262" s="131" t="s">
        <v>13</v>
      </c>
      <c r="F1262" s="131" t="s">
        <v>543</v>
      </c>
      <c r="G1262" s="131" t="s">
        <v>29</v>
      </c>
      <c r="H1262" s="126">
        <f>H1263</f>
        <v>0</v>
      </c>
      <c r="L1262" s="26">
        <v>8259.32</v>
      </c>
      <c r="M1262" s="26">
        <v>8259.32</v>
      </c>
      <c r="N1262" s="26">
        <v>8259.32</v>
      </c>
      <c r="O1262" s="26">
        <f t="shared" si="141"/>
        <v>-8259.32</v>
      </c>
      <c r="P1262" s="26" t="e">
        <f>#REF!-M1262</f>
        <v>#REF!</v>
      </c>
      <c r="Q1262" s="26" t="e">
        <f>#REF!-N1262</f>
        <v>#REF!</v>
      </c>
      <c r="R1262" s="17" t="str">
        <f t="shared" si="132"/>
        <v>04 3 04 20300240</v>
      </c>
    </row>
    <row r="1263" spans="1:18" s="16" customFormat="1" ht="15.75">
      <c r="A1263" s="14"/>
      <c r="B1263" s="125" t="s">
        <v>30</v>
      </c>
      <c r="C1263" s="130" t="s">
        <v>746</v>
      </c>
      <c r="D1263" s="131" t="s">
        <v>86</v>
      </c>
      <c r="E1263" s="131" t="s">
        <v>13</v>
      </c>
      <c r="F1263" s="131" t="s">
        <v>543</v>
      </c>
      <c r="G1263" s="131" t="s">
        <v>31</v>
      </c>
      <c r="H1263" s="126"/>
      <c r="L1263" s="26"/>
      <c r="M1263" s="26"/>
      <c r="N1263" s="26"/>
      <c r="O1263" s="26"/>
      <c r="P1263" s="26"/>
      <c r="Q1263" s="26"/>
      <c r="R1263" s="17"/>
    </row>
    <row r="1264" spans="1:18" s="16" customFormat="1" ht="31.5">
      <c r="A1264" s="14"/>
      <c r="B1264" s="127" t="s">
        <v>774</v>
      </c>
      <c r="C1264" s="130" t="s">
        <v>746</v>
      </c>
      <c r="D1264" s="131" t="s">
        <v>86</v>
      </c>
      <c r="E1264" s="131" t="s">
        <v>13</v>
      </c>
      <c r="F1264" s="131" t="s">
        <v>775</v>
      </c>
      <c r="G1264" s="131" t="s">
        <v>9</v>
      </c>
      <c r="H1264" s="105">
        <f>H1265</f>
        <v>0</v>
      </c>
      <c r="L1264" s="26">
        <v>941.72</v>
      </c>
      <c r="M1264" s="26">
        <v>941.72</v>
      </c>
      <c r="N1264" s="26">
        <v>941.72</v>
      </c>
      <c r="O1264" s="26">
        <f>H1264-L1264</f>
        <v>-941.72</v>
      </c>
      <c r="P1264" s="26" t="e">
        <f>#REF!-M1264</f>
        <v>#REF!</v>
      </c>
      <c r="Q1264" s="26" t="e">
        <f>#REF!-N1264</f>
        <v>#REF!</v>
      </c>
      <c r="R1264" s="17" t="str">
        <f t="shared" si="132"/>
        <v>04 3 04 21070000</v>
      </c>
    </row>
    <row r="1265" spans="1:18" s="16" customFormat="1" ht="31.5">
      <c r="A1265" s="14"/>
      <c r="B1265" s="125" t="s">
        <v>28</v>
      </c>
      <c r="C1265" s="130" t="s">
        <v>746</v>
      </c>
      <c r="D1265" s="131" t="s">
        <v>86</v>
      </c>
      <c r="E1265" s="131" t="s">
        <v>13</v>
      </c>
      <c r="F1265" s="131" t="s">
        <v>775</v>
      </c>
      <c r="G1265" s="131" t="s">
        <v>29</v>
      </c>
      <c r="H1265" s="126">
        <f>H1266</f>
        <v>0</v>
      </c>
      <c r="L1265" s="26">
        <v>941.72</v>
      </c>
      <c r="M1265" s="26">
        <v>941.72</v>
      </c>
      <c r="N1265" s="26">
        <v>941.72</v>
      </c>
      <c r="O1265" s="26">
        <f>H1265-L1265</f>
        <v>-941.72</v>
      </c>
      <c r="P1265" s="26" t="e">
        <f>#REF!-M1265</f>
        <v>#REF!</v>
      </c>
      <c r="Q1265" s="26" t="e">
        <f>#REF!-N1265</f>
        <v>#REF!</v>
      </c>
      <c r="R1265" s="17" t="str">
        <f t="shared" si="132"/>
        <v>04 3 04 21070240</v>
      </c>
    </row>
    <row r="1266" spans="1:18" s="16" customFormat="1" ht="15.75">
      <c r="A1266" s="14"/>
      <c r="B1266" s="125" t="s">
        <v>30</v>
      </c>
      <c r="C1266" s="130" t="s">
        <v>746</v>
      </c>
      <c r="D1266" s="131" t="s">
        <v>86</v>
      </c>
      <c r="E1266" s="131" t="s">
        <v>13</v>
      </c>
      <c r="F1266" s="131" t="s">
        <v>775</v>
      </c>
      <c r="G1266" s="131" t="s">
        <v>31</v>
      </c>
      <c r="H1266" s="126"/>
      <c r="L1266" s="26"/>
      <c r="M1266" s="26"/>
      <c r="N1266" s="26"/>
      <c r="O1266" s="26"/>
      <c r="P1266" s="26"/>
      <c r="Q1266" s="26"/>
      <c r="R1266" s="17"/>
    </row>
    <row r="1267" spans="1:18" s="16" customFormat="1" ht="78.75">
      <c r="A1267" s="14" t="s">
        <v>80</v>
      </c>
      <c r="B1267" s="127" t="s">
        <v>776</v>
      </c>
      <c r="C1267" s="130" t="s">
        <v>746</v>
      </c>
      <c r="D1267" s="131" t="s">
        <v>86</v>
      </c>
      <c r="E1267" s="131" t="s">
        <v>13</v>
      </c>
      <c r="F1267" s="131" t="s">
        <v>777</v>
      </c>
      <c r="G1267" s="131" t="s">
        <v>9</v>
      </c>
      <c r="H1267" s="105">
        <f>H1268</f>
        <v>0</v>
      </c>
      <c r="L1267" s="26">
        <v>12476.08</v>
      </c>
      <c r="M1267" s="26">
        <v>9476.08</v>
      </c>
      <c r="N1267" s="26">
        <v>9476.08</v>
      </c>
      <c r="O1267" s="26">
        <f>H1267-L1267</f>
        <v>-12476.08</v>
      </c>
      <c r="P1267" s="26" t="e">
        <f>#REF!-M1267</f>
        <v>#REF!</v>
      </c>
      <c r="Q1267" s="26" t="e">
        <f>#REF!-N1267</f>
        <v>#REF!</v>
      </c>
      <c r="R1267" s="17" t="str">
        <f t="shared" si="132"/>
        <v>04 3 04 21080000</v>
      </c>
    </row>
    <row r="1268" spans="1:18" s="16" customFormat="1" ht="31.5">
      <c r="A1268" s="14"/>
      <c r="B1268" s="125" t="s">
        <v>28</v>
      </c>
      <c r="C1268" s="130" t="s">
        <v>746</v>
      </c>
      <c r="D1268" s="131" t="s">
        <v>86</v>
      </c>
      <c r="E1268" s="131" t="s">
        <v>13</v>
      </c>
      <c r="F1268" s="131" t="s">
        <v>777</v>
      </c>
      <c r="G1268" s="131" t="s">
        <v>29</v>
      </c>
      <c r="H1268" s="126">
        <f>H1269</f>
        <v>0</v>
      </c>
      <c r="L1268" s="26">
        <v>12476.08</v>
      </c>
      <c r="M1268" s="26">
        <v>9476.08</v>
      </c>
      <c r="N1268" s="26">
        <v>9476.08</v>
      </c>
      <c r="O1268" s="26">
        <f>H1268-L1268</f>
        <v>-12476.08</v>
      </c>
      <c r="P1268" s="26" t="e">
        <f>#REF!-M1268</f>
        <v>#REF!</v>
      </c>
      <c r="Q1268" s="26" t="e">
        <f>#REF!-N1268</f>
        <v>#REF!</v>
      </c>
      <c r="R1268" s="17" t="str">
        <f t="shared" si="132"/>
        <v>04 3 04 21080240</v>
      </c>
    </row>
    <row r="1269" spans="1:18" s="16" customFormat="1" ht="15.75">
      <c r="A1269" s="14"/>
      <c r="B1269" s="125" t="s">
        <v>30</v>
      </c>
      <c r="C1269" s="130" t="s">
        <v>746</v>
      </c>
      <c r="D1269" s="131" t="s">
        <v>86</v>
      </c>
      <c r="E1269" s="131" t="s">
        <v>13</v>
      </c>
      <c r="F1269" s="131" t="s">
        <v>777</v>
      </c>
      <c r="G1269" s="131" t="s">
        <v>31</v>
      </c>
      <c r="H1269" s="126"/>
      <c r="L1269" s="26"/>
      <c r="M1269" s="26"/>
      <c r="N1269" s="26"/>
      <c r="O1269" s="26"/>
      <c r="P1269" s="26"/>
      <c r="Q1269" s="26"/>
      <c r="R1269" s="17"/>
    </row>
    <row r="1270" spans="1:18" s="16" customFormat="1" ht="63">
      <c r="A1270" s="14"/>
      <c r="B1270" s="140" t="s">
        <v>87</v>
      </c>
      <c r="C1270" s="130" t="s">
        <v>746</v>
      </c>
      <c r="D1270" s="131" t="s">
        <v>86</v>
      </c>
      <c r="E1270" s="131" t="s">
        <v>13</v>
      </c>
      <c r="F1270" s="131" t="s">
        <v>88</v>
      </c>
      <c r="G1270" s="131" t="s">
        <v>9</v>
      </c>
      <c r="H1270" s="105">
        <f>H1271</f>
        <v>0</v>
      </c>
      <c r="L1270" s="26">
        <v>2500</v>
      </c>
      <c r="M1270" s="26">
        <v>0</v>
      </c>
      <c r="N1270" s="26">
        <v>0</v>
      </c>
      <c r="O1270" s="26">
        <f>H1270-L1270</f>
        <v>-2500</v>
      </c>
      <c r="P1270" s="26" t="e">
        <f>#REF!-M1270</f>
        <v>#REF!</v>
      </c>
      <c r="Q1270" s="26" t="e">
        <f>#REF!-N1270</f>
        <v>#REF!</v>
      </c>
      <c r="R1270" s="17" t="str">
        <f t="shared" si="132"/>
        <v>98 0 00 00000000</v>
      </c>
    </row>
    <row r="1271" spans="1:18" s="16" customFormat="1" ht="15.75">
      <c r="A1271" s="14"/>
      <c r="B1271" s="140" t="s">
        <v>89</v>
      </c>
      <c r="C1271" s="130" t="s">
        <v>746</v>
      </c>
      <c r="D1271" s="131" t="s">
        <v>86</v>
      </c>
      <c r="E1271" s="131" t="s">
        <v>13</v>
      </c>
      <c r="F1271" s="131" t="s">
        <v>90</v>
      </c>
      <c r="G1271" s="131" t="s">
        <v>9</v>
      </c>
      <c r="H1271" s="105">
        <f>H1272</f>
        <v>0</v>
      </c>
      <c r="L1271" s="26">
        <v>2500</v>
      </c>
      <c r="M1271" s="26">
        <v>0</v>
      </c>
      <c r="N1271" s="26">
        <v>0</v>
      </c>
      <c r="O1271" s="26">
        <f>H1271-L1271</f>
        <v>-2500</v>
      </c>
      <c r="P1271" s="26" t="e">
        <f>#REF!-M1271</f>
        <v>#REF!</v>
      </c>
      <c r="Q1271" s="26" t="e">
        <f>#REF!-N1271</f>
        <v>#REF!</v>
      </c>
      <c r="R1271" s="17" t="str">
        <f t="shared" si="132"/>
        <v>98 1 00 00000000</v>
      </c>
    </row>
    <row r="1272" spans="1:18" s="16" customFormat="1" ht="31.5">
      <c r="A1272" s="14"/>
      <c r="B1272" s="125" t="s">
        <v>778</v>
      </c>
      <c r="C1272" s="130" t="s">
        <v>746</v>
      </c>
      <c r="D1272" s="131" t="s">
        <v>86</v>
      </c>
      <c r="E1272" s="131" t="s">
        <v>13</v>
      </c>
      <c r="F1272" s="131" t="s">
        <v>779</v>
      </c>
      <c r="G1272" s="131" t="s">
        <v>9</v>
      </c>
      <c r="H1272" s="105">
        <f>H1273</f>
        <v>0</v>
      </c>
      <c r="L1272" s="26">
        <v>2500</v>
      </c>
      <c r="M1272" s="26">
        <v>0</v>
      </c>
      <c r="N1272" s="26">
        <v>0</v>
      </c>
      <c r="O1272" s="26">
        <f>H1272-L1272</f>
        <v>-2500</v>
      </c>
      <c r="P1272" s="26" t="e">
        <f>#REF!-M1272</f>
        <v>#REF!</v>
      </c>
      <c r="Q1272" s="26" t="e">
        <f>#REF!-N1272</f>
        <v>#REF!</v>
      </c>
      <c r="R1272" s="17" t="str">
        <f t="shared" si="132"/>
        <v>98 1 00 21450000</v>
      </c>
    </row>
    <row r="1273" spans="1:18" s="16" customFormat="1" ht="31.5">
      <c r="A1273" s="14"/>
      <c r="B1273" s="125" t="s">
        <v>28</v>
      </c>
      <c r="C1273" s="130" t="s">
        <v>746</v>
      </c>
      <c r="D1273" s="131" t="s">
        <v>86</v>
      </c>
      <c r="E1273" s="131" t="s">
        <v>13</v>
      </c>
      <c r="F1273" s="131" t="s">
        <v>779</v>
      </c>
      <c r="G1273" s="131" t="s">
        <v>29</v>
      </c>
      <c r="H1273" s="126">
        <f>H1274</f>
        <v>0</v>
      </c>
      <c r="L1273" s="26">
        <v>2500</v>
      </c>
      <c r="M1273" s="26">
        <v>0</v>
      </c>
      <c r="N1273" s="26">
        <v>0</v>
      </c>
      <c r="O1273" s="26">
        <f>H1273-L1273</f>
        <v>-2500</v>
      </c>
      <c r="P1273" s="26" t="e">
        <f>#REF!-M1273</f>
        <v>#REF!</v>
      </c>
      <c r="Q1273" s="26" t="e">
        <f>#REF!-N1273</f>
        <v>#REF!</v>
      </c>
      <c r="R1273" s="17" t="str">
        <f t="shared" si="132"/>
        <v>98 1 00 21450240</v>
      </c>
    </row>
    <row r="1274" spans="1:18" s="16" customFormat="1" ht="15.75">
      <c r="A1274" s="14"/>
      <c r="B1274" s="125" t="s">
        <v>30</v>
      </c>
      <c r="C1274" s="130" t="s">
        <v>746</v>
      </c>
      <c r="D1274" s="131" t="s">
        <v>86</v>
      </c>
      <c r="E1274" s="131" t="s">
        <v>13</v>
      </c>
      <c r="F1274" s="131" t="s">
        <v>779</v>
      </c>
      <c r="G1274" s="131" t="s">
        <v>31</v>
      </c>
      <c r="H1274" s="126"/>
      <c r="L1274" s="26"/>
      <c r="M1274" s="26"/>
      <c r="N1274" s="26"/>
      <c r="O1274" s="26"/>
      <c r="P1274" s="26"/>
      <c r="Q1274" s="26"/>
      <c r="R1274" s="17"/>
    </row>
    <row r="1275" spans="1:18" s="16" customFormat="1" ht="15.75">
      <c r="A1275" s="14"/>
      <c r="B1275" s="117" t="s">
        <v>237</v>
      </c>
      <c r="C1275" s="118" t="s">
        <v>746</v>
      </c>
      <c r="D1275" s="119" t="s">
        <v>238</v>
      </c>
      <c r="E1275" s="119" t="s">
        <v>7</v>
      </c>
      <c r="F1275" s="119" t="s">
        <v>8</v>
      </c>
      <c r="G1275" s="119" t="s">
        <v>9</v>
      </c>
      <c r="H1275" s="120">
        <f t="shared" ref="H1275:H1278" si="143">H1276</f>
        <v>0</v>
      </c>
      <c r="L1275" s="18">
        <v>1591</v>
      </c>
      <c r="M1275" s="18">
        <v>1591</v>
      </c>
      <c r="N1275" s="18">
        <v>1591</v>
      </c>
      <c r="O1275" s="18">
        <f t="shared" ref="O1275:O1281" si="144">H1275-L1275</f>
        <v>-1591</v>
      </c>
      <c r="P1275" s="18" t="e">
        <f>#REF!-M1275</f>
        <v>#REF!</v>
      </c>
      <c r="Q1275" s="18" t="e">
        <f>#REF!-N1275</f>
        <v>#REF!</v>
      </c>
      <c r="R1275" s="17" t="str">
        <f t="shared" si="132"/>
        <v>00 0 00 00000000</v>
      </c>
    </row>
    <row r="1276" spans="1:18" s="16" customFormat="1" ht="15.75">
      <c r="A1276" s="14"/>
      <c r="B1276" s="121" t="s">
        <v>239</v>
      </c>
      <c r="C1276" s="122" t="s">
        <v>746</v>
      </c>
      <c r="D1276" s="123" t="s">
        <v>238</v>
      </c>
      <c r="E1276" s="123" t="s">
        <v>11</v>
      </c>
      <c r="F1276" s="123" t="s">
        <v>8</v>
      </c>
      <c r="G1276" s="123" t="s">
        <v>9</v>
      </c>
      <c r="H1276" s="124">
        <f t="shared" si="143"/>
        <v>0</v>
      </c>
      <c r="L1276" s="19">
        <v>1591</v>
      </c>
      <c r="M1276" s="19">
        <v>1591</v>
      </c>
      <c r="N1276" s="19">
        <v>1591</v>
      </c>
      <c r="O1276" s="19">
        <f t="shared" si="144"/>
        <v>-1591</v>
      </c>
      <c r="P1276" s="19" t="e">
        <f>#REF!-M1276</f>
        <v>#REF!</v>
      </c>
      <c r="Q1276" s="19" t="e">
        <f>#REF!-N1276</f>
        <v>#REF!</v>
      </c>
      <c r="R1276" s="17" t="str">
        <f t="shared" si="132"/>
        <v>00 0 00 00000000</v>
      </c>
    </row>
    <row r="1277" spans="1:18" s="16" customFormat="1" ht="31.5">
      <c r="A1277" s="14"/>
      <c r="B1277" s="125" t="s">
        <v>240</v>
      </c>
      <c r="C1277" s="130" t="s">
        <v>746</v>
      </c>
      <c r="D1277" s="131" t="s">
        <v>238</v>
      </c>
      <c r="E1277" s="131" t="s">
        <v>11</v>
      </c>
      <c r="F1277" s="131" t="s">
        <v>241</v>
      </c>
      <c r="G1277" s="131" t="s">
        <v>9</v>
      </c>
      <c r="H1277" s="105">
        <f t="shared" si="143"/>
        <v>0</v>
      </c>
      <c r="L1277" s="26">
        <v>1591</v>
      </c>
      <c r="M1277" s="26">
        <v>1591</v>
      </c>
      <c r="N1277" s="26">
        <v>1591</v>
      </c>
      <c r="O1277" s="26">
        <f t="shared" si="144"/>
        <v>-1591</v>
      </c>
      <c r="P1277" s="26" t="e">
        <f>#REF!-M1277</f>
        <v>#REF!</v>
      </c>
      <c r="Q1277" s="26" t="e">
        <f>#REF!-N1277</f>
        <v>#REF!</v>
      </c>
      <c r="R1277" s="17" t="str">
        <f t="shared" si="132"/>
        <v>07 0 00 00000000</v>
      </c>
    </row>
    <row r="1278" spans="1:18" s="16" customFormat="1" ht="78.75">
      <c r="A1278" s="14"/>
      <c r="B1278" s="140" t="s">
        <v>242</v>
      </c>
      <c r="C1278" s="130" t="s">
        <v>746</v>
      </c>
      <c r="D1278" s="131" t="s">
        <v>238</v>
      </c>
      <c r="E1278" s="131" t="s">
        <v>11</v>
      </c>
      <c r="F1278" s="131" t="s">
        <v>243</v>
      </c>
      <c r="G1278" s="131" t="s">
        <v>9</v>
      </c>
      <c r="H1278" s="105">
        <f t="shared" si="143"/>
        <v>0</v>
      </c>
      <c r="L1278" s="26">
        <v>1591</v>
      </c>
      <c r="M1278" s="26">
        <v>1591</v>
      </c>
      <c r="N1278" s="26">
        <v>1591</v>
      </c>
      <c r="O1278" s="26">
        <f t="shared" si="144"/>
        <v>-1591</v>
      </c>
      <c r="P1278" s="26" t="e">
        <f>#REF!-M1278</f>
        <v>#REF!</v>
      </c>
      <c r="Q1278" s="26" t="e">
        <f>#REF!-N1278</f>
        <v>#REF!</v>
      </c>
      <c r="R1278" s="17" t="str">
        <f t="shared" si="132"/>
        <v>07 1 00 00000000</v>
      </c>
    </row>
    <row r="1279" spans="1:18" s="16" customFormat="1" ht="110.25">
      <c r="A1279" s="14"/>
      <c r="B1279" s="140" t="s">
        <v>244</v>
      </c>
      <c r="C1279" s="130" t="s">
        <v>746</v>
      </c>
      <c r="D1279" s="131" t="s">
        <v>238</v>
      </c>
      <c r="E1279" s="131" t="s">
        <v>11</v>
      </c>
      <c r="F1279" s="131" t="s">
        <v>245</v>
      </c>
      <c r="G1279" s="131" t="s">
        <v>9</v>
      </c>
      <c r="H1279" s="105">
        <f>H1280+H1283</f>
        <v>0</v>
      </c>
      <c r="L1279" s="26">
        <v>1591</v>
      </c>
      <c r="M1279" s="26">
        <v>1591</v>
      </c>
      <c r="N1279" s="26">
        <v>1591</v>
      </c>
      <c r="O1279" s="26">
        <f t="shared" si="144"/>
        <v>-1591</v>
      </c>
      <c r="P1279" s="26" t="e">
        <f>#REF!-M1279</f>
        <v>#REF!</v>
      </c>
      <c r="Q1279" s="26" t="e">
        <f>#REF!-N1279</f>
        <v>#REF!</v>
      </c>
      <c r="R1279" s="17" t="str">
        <f t="shared" si="132"/>
        <v>07 1 01 00000000</v>
      </c>
    </row>
    <row r="1280" spans="1:18" s="16" customFormat="1" ht="31.5">
      <c r="A1280" s="14"/>
      <c r="B1280" s="125" t="s">
        <v>246</v>
      </c>
      <c r="C1280" s="130" t="s">
        <v>746</v>
      </c>
      <c r="D1280" s="131" t="s">
        <v>238</v>
      </c>
      <c r="E1280" s="131" t="s">
        <v>11</v>
      </c>
      <c r="F1280" s="131" t="s">
        <v>247</v>
      </c>
      <c r="G1280" s="131" t="s">
        <v>9</v>
      </c>
      <c r="H1280" s="105">
        <f>H1281</f>
        <v>0</v>
      </c>
      <c r="L1280" s="26">
        <v>1095.45</v>
      </c>
      <c r="M1280" s="26">
        <v>1095.45</v>
      </c>
      <c r="N1280" s="26">
        <v>1095.45</v>
      </c>
      <c r="O1280" s="26">
        <f t="shared" si="144"/>
        <v>-1095.45</v>
      </c>
      <c r="P1280" s="26" t="e">
        <f>#REF!-M1280</f>
        <v>#REF!</v>
      </c>
      <c r="Q1280" s="26" t="e">
        <f>#REF!-N1280</f>
        <v>#REF!</v>
      </c>
      <c r="R1280" s="17" t="str">
        <f t="shared" si="132"/>
        <v>07 1 01 20060000</v>
      </c>
    </row>
    <row r="1281" spans="1:18" s="16" customFormat="1" ht="31.5">
      <c r="A1281" s="14"/>
      <c r="B1281" s="125" t="s">
        <v>28</v>
      </c>
      <c r="C1281" s="130" t="s">
        <v>746</v>
      </c>
      <c r="D1281" s="131" t="s">
        <v>238</v>
      </c>
      <c r="E1281" s="131" t="s">
        <v>11</v>
      </c>
      <c r="F1281" s="131" t="s">
        <v>247</v>
      </c>
      <c r="G1281" s="131" t="s">
        <v>29</v>
      </c>
      <c r="H1281" s="126">
        <f>H1282</f>
        <v>0</v>
      </c>
      <c r="L1281" s="26">
        <v>1095.45</v>
      </c>
      <c r="M1281" s="26">
        <v>1095.45</v>
      </c>
      <c r="N1281" s="26">
        <v>1095.45</v>
      </c>
      <c r="O1281" s="26">
        <f t="shared" si="144"/>
        <v>-1095.45</v>
      </c>
      <c r="P1281" s="26" t="e">
        <f>#REF!-M1281</f>
        <v>#REF!</v>
      </c>
      <c r="Q1281" s="26" t="e">
        <f>#REF!-N1281</f>
        <v>#REF!</v>
      </c>
      <c r="R1281" s="17" t="str">
        <f t="shared" si="132"/>
        <v>07 1 01 20060240</v>
      </c>
    </row>
    <row r="1282" spans="1:18" s="16" customFormat="1" ht="15.75">
      <c r="A1282" s="14"/>
      <c r="B1282" s="125" t="s">
        <v>30</v>
      </c>
      <c r="C1282" s="130" t="s">
        <v>746</v>
      </c>
      <c r="D1282" s="131" t="s">
        <v>238</v>
      </c>
      <c r="E1282" s="131" t="s">
        <v>11</v>
      </c>
      <c r="F1282" s="131" t="s">
        <v>247</v>
      </c>
      <c r="G1282" s="131" t="s">
        <v>31</v>
      </c>
      <c r="H1282" s="126"/>
      <c r="L1282" s="26"/>
      <c r="M1282" s="26"/>
      <c r="N1282" s="26"/>
      <c r="O1282" s="26"/>
      <c r="P1282" s="26"/>
      <c r="Q1282" s="26"/>
      <c r="R1282" s="17"/>
    </row>
    <row r="1283" spans="1:18" s="16" customFormat="1" ht="47.25">
      <c r="A1283" s="14"/>
      <c r="B1283" s="127" t="s">
        <v>780</v>
      </c>
      <c r="C1283" s="130" t="s">
        <v>746</v>
      </c>
      <c r="D1283" s="131" t="s">
        <v>238</v>
      </c>
      <c r="E1283" s="131" t="s">
        <v>11</v>
      </c>
      <c r="F1283" s="131" t="s">
        <v>781</v>
      </c>
      <c r="G1283" s="131" t="s">
        <v>9</v>
      </c>
      <c r="H1283" s="105">
        <f>H1284</f>
        <v>0</v>
      </c>
      <c r="L1283" s="26">
        <v>495.55</v>
      </c>
      <c r="M1283" s="26">
        <v>495.55</v>
      </c>
      <c r="N1283" s="26">
        <v>495.55</v>
      </c>
      <c r="O1283" s="26">
        <f>H1283-L1283</f>
        <v>-495.55</v>
      </c>
      <c r="P1283" s="26" t="e">
        <f>#REF!-M1283</f>
        <v>#REF!</v>
      </c>
      <c r="Q1283" s="26" t="e">
        <f>#REF!-N1283</f>
        <v>#REF!</v>
      </c>
      <c r="R1283" s="17" t="str">
        <f t="shared" ref="R1283:R1369" si="145">CONCATENATE(F1283,G1283)</f>
        <v>07 1 01 21130000</v>
      </c>
    </row>
    <row r="1284" spans="1:18" ht="31.5">
      <c r="B1284" s="125" t="s">
        <v>28</v>
      </c>
      <c r="C1284" s="130" t="s">
        <v>746</v>
      </c>
      <c r="D1284" s="131" t="s">
        <v>238</v>
      </c>
      <c r="E1284" s="131" t="s">
        <v>11</v>
      </c>
      <c r="F1284" s="131" t="s">
        <v>781</v>
      </c>
      <c r="G1284" s="131" t="s">
        <v>29</v>
      </c>
      <c r="H1284" s="126">
        <f>H1285</f>
        <v>0</v>
      </c>
      <c r="L1284" s="26">
        <v>495.55</v>
      </c>
      <c r="M1284" s="26">
        <v>495.55</v>
      </c>
      <c r="N1284" s="26">
        <v>495.55</v>
      </c>
      <c r="O1284" s="26">
        <f>H1284-L1284</f>
        <v>-495.55</v>
      </c>
      <c r="P1284" s="26" t="e">
        <f>#REF!-M1284</f>
        <v>#REF!</v>
      </c>
      <c r="Q1284" s="26" t="e">
        <f>#REF!-N1284</f>
        <v>#REF!</v>
      </c>
      <c r="R1284" s="17" t="str">
        <f t="shared" si="145"/>
        <v>07 1 01 21130240</v>
      </c>
    </row>
    <row r="1285" spans="1:18">
      <c r="B1285" s="125" t="s">
        <v>30</v>
      </c>
      <c r="C1285" s="130" t="s">
        <v>746</v>
      </c>
      <c r="D1285" s="131" t="s">
        <v>238</v>
      </c>
      <c r="E1285" s="131" t="s">
        <v>11</v>
      </c>
      <c r="F1285" s="131" t="s">
        <v>781</v>
      </c>
      <c r="G1285" s="131" t="s">
        <v>31</v>
      </c>
      <c r="H1285" s="126"/>
      <c r="L1285" s="26"/>
      <c r="M1285" s="26"/>
      <c r="N1285" s="26"/>
      <c r="O1285" s="26"/>
      <c r="P1285" s="26"/>
      <c r="Q1285" s="26"/>
      <c r="R1285" s="17"/>
    </row>
    <row r="1286" spans="1:18">
      <c r="B1286" s="125"/>
      <c r="C1286" s="130"/>
      <c r="D1286" s="131"/>
      <c r="E1286" s="131"/>
      <c r="F1286" s="131"/>
      <c r="G1286" s="131"/>
      <c r="H1286" s="105"/>
      <c r="L1286" s="26"/>
      <c r="M1286" s="26"/>
      <c r="N1286" s="26"/>
      <c r="O1286" s="26">
        <f t="shared" ref="O1286:O1293" si="146">H1286-L1286</f>
        <v>0</v>
      </c>
      <c r="P1286" s="26" t="e">
        <f>#REF!-M1286</f>
        <v>#REF!</v>
      </c>
      <c r="Q1286" s="26" t="e">
        <f>#REF!-N1286</f>
        <v>#REF!</v>
      </c>
      <c r="R1286" s="17" t="str">
        <f t="shared" si="145"/>
        <v/>
      </c>
    </row>
    <row r="1287" spans="1:18" s="16" customFormat="1" ht="31.5">
      <c r="A1287" s="14"/>
      <c r="B1287" s="67" t="s">
        <v>782</v>
      </c>
      <c r="C1287" s="116" t="s">
        <v>783</v>
      </c>
      <c r="D1287" s="69" t="s">
        <v>7</v>
      </c>
      <c r="E1287" s="69" t="s">
        <v>7</v>
      </c>
      <c r="F1287" s="69" t="s">
        <v>8</v>
      </c>
      <c r="G1287" s="69" t="s">
        <v>9</v>
      </c>
      <c r="H1287" s="70">
        <f>H1288+H1322+H1333+H1360</f>
        <v>0</v>
      </c>
      <c r="L1287" s="25">
        <v>123389.62</v>
      </c>
      <c r="M1287" s="25">
        <v>116997.78</v>
      </c>
      <c r="N1287" s="25">
        <v>122066.77</v>
      </c>
      <c r="O1287" s="25">
        <f t="shared" si="146"/>
        <v>-123389.62</v>
      </c>
      <c r="P1287" s="25" t="e">
        <f>#REF!-M1287</f>
        <v>#REF!</v>
      </c>
      <c r="Q1287" s="25" t="e">
        <f>#REF!-N1287</f>
        <v>#REF!</v>
      </c>
      <c r="R1287" s="17" t="str">
        <f t="shared" si="145"/>
        <v>00 0 00 00000000</v>
      </c>
    </row>
    <row r="1288" spans="1:18" s="16" customFormat="1" ht="15.75">
      <c r="A1288" s="14"/>
      <c r="B1288" s="117" t="s">
        <v>10</v>
      </c>
      <c r="C1288" s="118" t="s">
        <v>783</v>
      </c>
      <c r="D1288" s="119" t="s">
        <v>11</v>
      </c>
      <c r="E1288" s="119" t="s">
        <v>7</v>
      </c>
      <c r="F1288" s="119" t="s">
        <v>8</v>
      </c>
      <c r="G1288" s="119" t="s">
        <v>9</v>
      </c>
      <c r="H1288" s="120">
        <f>H1289+H1315</f>
        <v>0</v>
      </c>
      <c r="L1288" s="18">
        <v>31479.460000000003</v>
      </c>
      <c r="M1288" s="18">
        <v>31479.460000000003</v>
      </c>
      <c r="N1288" s="18">
        <v>31479.460000000003</v>
      </c>
      <c r="O1288" s="18">
        <f t="shared" si="146"/>
        <v>-31479.460000000003</v>
      </c>
      <c r="P1288" s="18" t="e">
        <f>#REF!-M1288</f>
        <v>#REF!</v>
      </c>
      <c r="Q1288" s="18" t="e">
        <f>#REF!-N1288</f>
        <v>#REF!</v>
      </c>
      <c r="R1288" s="17" t="str">
        <f t="shared" si="145"/>
        <v>00 0 00 00000000</v>
      </c>
    </row>
    <row r="1289" spans="1:18" s="16" customFormat="1" ht="63">
      <c r="A1289" s="14"/>
      <c r="B1289" s="121" t="s">
        <v>72</v>
      </c>
      <c r="C1289" s="122" t="s">
        <v>783</v>
      </c>
      <c r="D1289" s="123" t="s">
        <v>11</v>
      </c>
      <c r="E1289" s="123" t="s">
        <v>73</v>
      </c>
      <c r="F1289" s="123" t="s">
        <v>8</v>
      </c>
      <c r="G1289" s="123" t="s">
        <v>9</v>
      </c>
      <c r="H1289" s="124">
        <f t="shared" ref="H1289:H1290" si="147">H1290</f>
        <v>0</v>
      </c>
      <c r="L1289" s="19">
        <v>31121.610000000004</v>
      </c>
      <c r="M1289" s="19">
        <v>31121.610000000004</v>
      </c>
      <c r="N1289" s="19">
        <v>31121.610000000004</v>
      </c>
      <c r="O1289" s="19">
        <f t="shared" si="146"/>
        <v>-31121.610000000004</v>
      </c>
      <c r="P1289" s="19" t="e">
        <f>#REF!-M1289</f>
        <v>#REF!</v>
      </c>
      <c r="Q1289" s="19" t="e">
        <f>#REF!-N1289</f>
        <v>#REF!</v>
      </c>
      <c r="R1289" s="17" t="str">
        <f t="shared" si="145"/>
        <v>00 0 00 00000000</v>
      </c>
    </row>
    <row r="1290" spans="1:18" s="16" customFormat="1" ht="31.5">
      <c r="A1290" s="14"/>
      <c r="B1290" s="125" t="s">
        <v>784</v>
      </c>
      <c r="C1290" s="109" t="s">
        <v>783</v>
      </c>
      <c r="D1290" s="108" t="s">
        <v>11</v>
      </c>
      <c r="E1290" s="108" t="s">
        <v>73</v>
      </c>
      <c r="F1290" s="108" t="s">
        <v>785</v>
      </c>
      <c r="G1290" s="108" t="s">
        <v>9</v>
      </c>
      <c r="H1290" s="126">
        <f t="shared" si="147"/>
        <v>0</v>
      </c>
      <c r="L1290" s="20">
        <v>31121.610000000004</v>
      </c>
      <c r="M1290" s="20">
        <v>31121.610000000004</v>
      </c>
      <c r="N1290" s="20">
        <v>31121.610000000004</v>
      </c>
      <c r="O1290" s="20">
        <f t="shared" si="146"/>
        <v>-31121.610000000004</v>
      </c>
      <c r="P1290" s="20" t="e">
        <f>#REF!-M1290</f>
        <v>#REF!</v>
      </c>
      <c r="Q1290" s="20" t="e">
        <f>#REF!-N1290</f>
        <v>#REF!</v>
      </c>
      <c r="R1290" s="17" t="str">
        <f t="shared" si="145"/>
        <v>81 0 00 00000000</v>
      </c>
    </row>
    <row r="1291" spans="1:18" s="16" customFormat="1" ht="47.25">
      <c r="A1291" s="14"/>
      <c r="B1291" s="125" t="s">
        <v>786</v>
      </c>
      <c r="C1291" s="109" t="s">
        <v>783</v>
      </c>
      <c r="D1291" s="108" t="s">
        <v>11</v>
      </c>
      <c r="E1291" s="108" t="s">
        <v>73</v>
      </c>
      <c r="F1291" s="108" t="s">
        <v>787</v>
      </c>
      <c r="G1291" s="108" t="s">
        <v>9</v>
      </c>
      <c r="H1291" s="126">
        <f>H1292+H1301+H1305+H1312</f>
        <v>0</v>
      </c>
      <c r="L1291" s="20">
        <v>31121.610000000004</v>
      </c>
      <c r="M1291" s="20">
        <v>31121.610000000004</v>
      </c>
      <c r="N1291" s="20">
        <v>31121.610000000004</v>
      </c>
      <c r="O1291" s="20">
        <f t="shared" si="146"/>
        <v>-31121.610000000004</v>
      </c>
      <c r="P1291" s="20" t="e">
        <f>#REF!-M1291</f>
        <v>#REF!</v>
      </c>
      <c r="Q1291" s="20" t="e">
        <f>#REF!-N1291</f>
        <v>#REF!</v>
      </c>
      <c r="R1291" s="17" t="str">
        <f t="shared" si="145"/>
        <v>81 1 00 00000000</v>
      </c>
    </row>
    <row r="1292" spans="1:18" s="16" customFormat="1" ht="31.5">
      <c r="A1292" s="14"/>
      <c r="B1292" s="125" t="s">
        <v>18</v>
      </c>
      <c r="C1292" s="109" t="s">
        <v>783</v>
      </c>
      <c r="D1292" s="108" t="s">
        <v>11</v>
      </c>
      <c r="E1292" s="108" t="s">
        <v>73</v>
      </c>
      <c r="F1292" s="108" t="s">
        <v>788</v>
      </c>
      <c r="G1292" s="108" t="s">
        <v>9</v>
      </c>
      <c r="H1292" s="126">
        <f>H1293+H1296+H1298</f>
        <v>0</v>
      </c>
      <c r="L1292" s="20">
        <v>4289.08</v>
      </c>
      <c r="M1292" s="20">
        <v>4289.08</v>
      </c>
      <c r="N1292" s="20">
        <v>4289.08</v>
      </c>
      <c r="O1292" s="20">
        <f t="shared" si="146"/>
        <v>-4289.08</v>
      </c>
      <c r="P1292" s="20" t="e">
        <f>#REF!-M1292</f>
        <v>#REF!</v>
      </c>
      <c r="Q1292" s="20" t="e">
        <f>#REF!-N1292</f>
        <v>#REF!</v>
      </c>
      <c r="R1292" s="17" t="str">
        <f t="shared" si="145"/>
        <v>81 1 00 10010000</v>
      </c>
    </row>
    <row r="1293" spans="1:18" s="16" customFormat="1" ht="31.5">
      <c r="A1293" s="14"/>
      <c r="B1293" s="129" t="s">
        <v>20</v>
      </c>
      <c r="C1293" s="109" t="s">
        <v>783</v>
      </c>
      <c r="D1293" s="108" t="s">
        <v>11</v>
      </c>
      <c r="E1293" s="108" t="s">
        <v>73</v>
      </c>
      <c r="F1293" s="108" t="s">
        <v>788</v>
      </c>
      <c r="G1293" s="108" t="s">
        <v>21</v>
      </c>
      <c r="H1293" s="126">
        <f>SUM(H1294:H1295)</f>
        <v>0</v>
      </c>
      <c r="L1293" s="20">
        <v>640.11</v>
      </c>
      <c r="M1293" s="20">
        <v>640.11</v>
      </c>
      <c r="N1293" s="20">
        <v>640.11</v>
      </c>
      <c r="O1293" s="20">
        <f t="shared" si="146"/>
        <v>-640.11</v>
      </c>
      <c r="P1293" s="20" t="e">
        <f>#REF!-M1293</f>
        <v>#REF!</v>
      </c>
      <c r="Q1293" s="20" t="e">
        <f>#REF!-N1293</f>
        <v>#REF!</v>
      </c>
      <c r="R1293" s="17" t="str">
        <f t="shared" si="145"/>
        <v>81 1 00 10010120</v>
      </c>
    </row>
    <row r="1294" spans="1:18" s="23" customFormat="1" ht="47.25">
      <c r="A1294" s="21"/>
      <c r="B1294" s="127" t="s">
        <v>22</v>
      </c>
      <c r="C1294" s="109" t="s">
        <v>783</v>
      </c>
      <c r="D1294" s="108" t="s">
        <v>11</v>
      </c>
      <c r="E1294" s="108" t="s">
        <v>73</v>
      </c>
      <c r="F1294" s="108" t="s">
        <v>788</v>
      </c>
      <c r="G1294" s="108" t="s">
        <v>23</v>
      </c>
      <c r="H1294" s="126"/>
      <c r="L1294" s="22"/>
      <c r="M1294" s="22"/>
      <c r="N1294" s="22"/>
      <c r="O1294" s="22"/>
      <c r="P1294" s="22"/>
      <c r="Q1294" s="22"/>
      <c r="R1294" s="24"/>
    </row>
    <row r="1295" spans="1:18" s="23" customFormat="1" ht="63">
      <c r="A1295" s="21"/>
      <c r="B1295" s="127" t="s">
        <v>26</v>
      </c>
      <c r="C1295" s="109" t="s">
        <v>783</v>
      </c>
      <c r="D1295" s="108" t="s">
        <v>11</v>
      </c>
      <c r="E1295" s="108" t="s">
        <v>73</v>
      </c>
      <c r="F1295" s="108" t="s">
        <v>788</v>
      </c>
      <c r="G1295" s="108" t="s">
        <v>27</v>
      </c>
      <c r="H1295" s="126"/>
      <c r="L1295" s="22"/>
      <c r="M1295" s="22"/>
      <c r="N1295" s="22"/>
      <c r="O1295" s="22"/>
      <c r="P1295" s="22"/>
      <c r="Q1295" s="22"/>
      <c r="R1295" s="24"/>
    </row>
    <row r="1296" spans="1:18" s="16" customFormat="1" ht="31.5">
      <c r="A1296" s="14"/>
      <c r="B1296" s="125" t="s">
        <v>28</v>
      </c>
      <c r="C1296" s="109" t="s">
        <v>783</v>
      </c>
      <c r="D1296" s="108" t="s">
        <v>11</v>
      </c>
      <c r="E1296" s="108" t="s">
        <v>73</v>
      </c>
      <c r="F1296" s="108" t="s">
        <v>788</v>
      </c>
      <c r="G1296" s="108" t="s">
        <v>29</v>
      </c>
      <c r="H1296" s="126">
        <f>H1297</f>
        <v>0</v>
      </c>
      <c r="L1296" s="20">
        <v>3598.47</v>
      </c>
      <c r="M1296" s="20">
        <v>3598.47</v>
      </c>
      <c r="N1296" s="20">
        <v>3598.47</v>
      </c>
      <c r="O1296" s="20">
        <f>H1296-L1296</f>
        <v>-3598.47</v>
      </c>
      <c r="P1296" s="20" t="e">
        <f>#REF!-M1296</f>
        <v>#REF!</v>
      </c>
      <c r="Q1296" s="20" t="e">
        <f>#REF!-N1296</f>
        <v>#REF!</v>
      </c>
      <c r="R1296" s="17" t="str">
        <f t="shared" si="145"/>
        <v>81 1 00 10010240</v>
      </c>
    </row>
    <row r="1297" spans="1:18" s="16" customFormat="1" ht="15.75">
      <c r="A1297" s="14"/>
      <c r="B1297" s="125" t="s">
        <v>30</v>
      </c>
      <c r="C1297" s="109" t="s">
        <v>783</v>
      </c>
      <c r="D1297" s="108" t="s">
        <v>11</v>
      </c>
      <c r="E1297" s="108" t="s">
        <v>73</v>
      </c>
      <c r="F1297" s="108" t="s">
        <v>788</v>
      </c>
      <c r="G1297" s="108" t="s">
        <v>31</v>
      </c>
      <c r="H1297" s="126"/>
      <c r="L1297" s="20"/>
      <c r="M1297" s="20"/>
      <c r="N1297" s="20"/>
      <c r="O1297" s="20"/>
      <c r="P1297" s="20"/>
      <c r="Q1297" s="20"/>
      <c r="R1297" s="17"/>
    </row>
    <row r="1298" spans="1:18" s="16" customFormat="1" ht="15.75">
      <c r="A1298" s="14"/>
      <c r="B1298" s="125" t="s">
        <v>32</v>
      </c>
      <c r="C1298" s="109" t="s">
        <v>783</v>
      </c>
      <c r="D1298" s="108" t="s">
        <v>11</v>
      </c>
      <c r="E1298" s="108" t="s">
        <v>73</v>
      </c>
      <c r="F1298" s="108" t="s">
        <v>788</v>
      </c>
      <c r="G1298" s="108" t="s">
        <v>33</v>
      </c>
      <c r="H1298" s="126">
        <f>SUM(H1299:H1300)</f>
        <v>0</v>
      </c>
      <c r="L1298" s="20">
        <v>50.5</v>
      </c>
      <c r="M1298" s="20">
        <v>50.5</v>
      </c>
      <c r="N1298" s="20">
        <v>50.5</v>
      </c>
      <c r="O1298" s="20">
        <f>H1298-L1298</f>
        <v>-50.5</v>
      </c>
      <c r="P1298" s="20" t="e">
        <f>#REF!-M1298</f>
        <v>#REF!</v>
      </c>
      <c r="Q1298" s="20" t="e">
        <f>#REF!-N1298</f>
        <v>#REF!</v>
      </c>
      <c r="R1298" s="17" t="str">
        <f t="shared" si="145"/>
        <v>81 1 00 10010850</v>
      </c>
    </row>
    <row r="1299" spans="1:18" s="23" customFormat="1" ht="31.5">
      <c r="A1299" s="21"/>
      <c r="B1299" s="127" t="s">
        <v>34</v>
      </c>
      <c r="C1299" s="109" t="s">
        <v>783</v>
      </c>
      <c r="D1299" s="108" t="s">
        <v>11</v>
      </c>
      <c r="E1299" s="108" t="s">
        <v>73</v>
      </c>
      <c r="F1299" s="108" t="s">
        <v>788</v>
      </c>
      <c r="G1299" s="108" t="s">
        <v>35</v>
      </c>
      <c r="H1299" s="126"/>
      <c r="L1299" s="22"/>
      <c r="M1299" s="22"/>
      <c r="N1299" s="22"/>
      <c r="O1299" s="22"/>
      <c r="P1299" s="22"/>
      <c r="Q1299" s="22"/>
      <c r="R1299" s="24"/>
    </row>
    <row r="1300" spans="1:18" s="23" customFormat="1" ht="15.75">
      <c r="A1300" s="21"/>
      <c r="B1300" s="127" t="s">
        <v>36</v>
      </c>
      <c r="C1300" s="109" t="s">
        <v>783</v>
      </c>
      <c r="D1300" s="108" t="s">
        <v>11</v>
      </c>
      <c r="E1300" s="108" t="s">
        <v>73</v>
      </c>
      <c r="F1300" s="108" t="s">
        <v>788</v>
      </c>
      <c r="G1300" s="108" t="s">
        <v>37</v>
      </c>
      <c r="H1300" s="126"/>
      <c r="L1300" s="22"/>
      <c r="M1300" s="22"/>
      <c r="N1300" s="22"/>
      <c r="O1300" s="22"/>
      <c r="P1300" s="22"/>
      <c r="Q1300" s="22"/>
      <c r="R1300" s="24"/>
    </row>
    <row r="1301" spans="1:18" s="16" customFormat="1" ht="31.5">
      <c r="A1301" s="14"/>
      <c r="B1301" s="129" t="s">
        <v>789</v>
      </c>
      <c r="C1301" s="109" t="s">
        <v>783</v>
      </c>
      <c r="D1301" s="108" t="s">
        <v>11</v>
      </c>
      <c r="E1301" s="108" t="s">
        <v>73</v>
      </c>
      <c r="F1301" s="108" t="s">
        <v>790</v>
      </c>
      <c r="G1301" s="108" t="s">
        <v>9</v>
      </c>
      <c r="H1301" s="126">
        <f>H1302</f>
        <v>0</v>
      </c>
      <c r="L1301" s="20">
        <v>25543</v>
      </c>
      <c r="M1301" s="20">
        <v>25543</v>
      </c>
      <c r="N1301" s="20">
        <v>25543</v>
      </c>
      <c r="O1301" s="20">
        <f>H1301-L1301</f>
        <v>-25543</v>
      </c>
      <c r="P1301" s="20" t="e">
        <f>#REF!-M1301</f>
        <v>#REF!</v>
      </c>
      <c r="Q1301" s="20" t="e">
        <f>#REF!-N1301</f>
        <v>#REF!</v>
      </c>
      <c r="R1301" s="17" t="str">
        <f t="shared" si="145"/>
        <v>81 1 00 10020000</v>
      </c>
    </row>
    <row r="1302" spans="1:18" s="16" customFormat="1" ht="31.5">
      <c r="A1302" s="14"/>
      <c r="B1302" s="129" t="s">
        <v>20</v>
      </c>
      <c r="C1302" s="109" t="s">
        <v>783</v>
      </c>
      <c r="D1302" s="108" t="s">
        <v>11</v>
      </c>
      <c r="E1302" s="108" t="s">
        <v>73</v>
      </c>
      <c r="F1302" s="108" t="s">
        <v>790</v>
      </c>
      <c r="G1302" s="108" t="s">
        <v>21</v>
      </c>
      <c r="H1302" s="126">
        <f>SUM(H1303:H1304)</f>
        <v>0</v>
      </c>
      <c r="L1302" s="20">
        <v>25543</v>
      </c>
      <c r="M1302" s="20">
        <v>25543</v>
      </c>
      <c r="N1302" s="20">
        <v>25543</v>
      </c>
      <c r="O1302" s="20">
        <f>H1302-L1302</f>
        <v>-25543</v>
      </c>
      <c r="P1302" s="20" t="e">
        <f>#REF!-M1302</f>
        <v>#REF!</v>
      </c>
      <c r="Q1302" s="20" t="e">
        <f>#REF!-N1302</f>
        <v>#REF!</v>
      </c>
      <c r="R1302" s="17" t="str">
        <f t="shared" si="145"/>
        <v>81 1 00 10020120</v>
      </c>
    </row>
    <row r="1303" spans="1:18" s="23" customFormat="1" ht="31.5">
      <c r="A1303" s="21"/>
      <c r="B1303" s="127" t="s">
        <v>40</v>
      </c>
      <c r="C1303" s="109" t="s">
        <v>783</v>
      </c>
      <c r="D1303" s="108" t="s">
        <v>11</v>
      </c>
      <c r="E1303" s="108" t="s">
        <v>73</v>
      </c>
      <c r="F1303" s="108" t="s">
        <v>790</v>
      </c>
      <c r="G1303" s="108" t="s">
        <v>41</v>
      </c>
      <c r="H1303" s="126"/>
      <c r="L1303" s="22"/>
      <c r="M1303" s="22"/>
      <c r="N1303" s="22"/>
      <c r="O1303" s="22"/>
      <c r="P1303" s="22"/>
      <c r="Q1303" s="22"/>
      <c r="R1303" s="24"/>
    </row>
    <row r="1304" spans="1:18" s="23" customFormat="1" ht="63">
      <c r="A1304" s="21"/>
      <c r="B1304" s="127" t="s">
        <v>26</v>
      </c>
      <c r="C1304" s="109" t="s">
        <v>783</v>
      </c>
      <c r="D1304" s="108" t="s">
        <v>11</v>
      </c>
      <c r="E1304" s="108" t="s">
        <v>73</v>
      </c>
      <c r="F1304" s="108" t="s">
        <v>790</v>
      </c>
      <c r="G1304" s="108" t="s">
        <v>27</v>
      </c>
      <c r="H1304" s="126"/>
      <c r="L1304" s="22"/>
      <c r="M1304" s="22"/>
      <c r="N1304" s="22"/>
      <c r="O1304" s="22"/>
      <c r="P1304" s="22"/>
      <c r="Q1304" s="22"/>
      <c r="R1304" s="24"/>
    </row>
    <row r="1305" spans="1:18" s="16" customFormat="1" ht="63">
      <c r="A1305" s="14" t="s">
        <v>80</v>
      </c>
      <c r="B1305" s="150" t="s">
        <v>488</v>
      </c>
      <c r="C1305" s="109" t="s">
        <v>783</v>
      </c>
      <c r="D1305" s="108" t="s">
        <v>11</v>
      </c>
      <c r="E1305" s="108" t="s">
        <v>73</v>
      </c>
      <c r="F1305" s="108" t="s">
        <v>791</v>
      </c>
      <c r="G1305" s="108" t="s">
        <v>9</v>
      </c>
      <c r="H1305" s="126">
        <f>H1306+H1310</f>
        <v>0</v>
      </c>
      <c r="L1305" s="20">
        <v>1218.6300000000001</v>
      </c>
      <c r="M1305" s="20">
        <v>1218.6300000000001</v>
      </c>
      <c r="N1305" s="20">
        <v>1218.6300000000001</v>
      </c>
      <c r="O1305" s="20">
        <f>H1305-L1305</f>
        <v>-1218.6300000000001</v>
      </c>
      <c r="P1305" s="20" t="e">
        <f>#REF!-M1305</f>
        <v>#REF!</v>
      </c>
      <c r="Q1305" s="20" t="e">
        <f>#REF!-N1305</f>
        <v>#REF!</v>
      </c>
      <c r="R1305" s="17" t="str">
        <f t="shared" si="145"/>
        <v>81 1 00 76200000</v>
      </c>
    </row>
    <row r="1306" spans="1:18" s="16" customFormat="1" ht="31.5">
      <c r="A1306" s="14"/>
      <c r="B1306" s="129" t="s">
        <v>20</v>
      </c>
      <c r="C1306" s="109" t="s">
        <v>783</v>
      </c>
      <c r="D1306" s="108" t="s">
        <v>11</v>
      </c>
      <c r="E1306" s="108" t="s">
        <v>73</v>
      </c>
      <c r="F1306" s="108" t="s">
        <v>791</v>
      </c>
      <c r="G1306" s="108" t="s">
        <v>21</v>
      </c>
      <c r="H1306" s="126">
        <f>SUM(H1307:H1309)</f>
        <v>0</v>
      </c>
      <c r="L1306" s="20">
        <v>1059.71</v>
      </c>
      <c r="M1306" s="20">
        <v>1059.71</v>
      </c>
      <c r="N1306" s="20">
        <v>1059.71</v>
      </c>
      <c r="O1306" s="20">
        <f>H1306-L1306</f>
        <v>-1059.71</v>
      </c>
      <c r="P1306" s="20" t="e">
        <f>#REF!-M1306</f>
        <v>#REF!</v>
      </c>
      <c r="Q1306" s="20" t="e">
        <f>#REF!-N1306</f>
        <v>#REF!</v>
      </c>
      <c r="R1306" s="17" t="str">
        <f t="shared" si="145"/>
        <v>81 1 00 76200120</v>
      </c>
    </row>
    <row r="1307" spans="1:18" s="16" customFormat="1" ht="31.5">
      <c r="A1307" s="14"/>
      <c r="B1307" s="127" t="s">
        <v>40</v>
      </c>
      <c r="C1307" s="109" t="s">
        <v>783</v>
      </c>
      <c r="D1307" s="108" t="s">
        <v>11</v>
      </c>
      <c r="E1307" s="108" t="s">
        <v>73</v>
      </c>
      <c r="F1307" s="108" t="s">
        <v>791</v>
      </c>
      <c r="G1307" s="108" t="s">
        <v>41</v>
      </c>
      <c r="H1307" s="126"/>
      <c r="L1307" s="20"/>
      <c r="M1307" s="20"/>
      <c r="N1307" s="20"/>
      <c r="O1307" s="20"/>
      <c r="P1307" s="20"/>
      <c r="Q1307" s="20"/>
      <c r="R1307" s="17"/>
    </row>
    <row r="1308" spans="1:18" s="23" customFormat="1" ht="47.25">
      <c r="A1308" s="21"/>
      <c r="B1308" s="127" t="s">
        <v>22</v>
      </c>
      <c r="C1308" s="109" t="s">
        <v>783</v>
      </c>
      <c r="D1308" s="108" t="s">
        <v>11</v>
      </c>
      <c r="E1308" s="108" t="s">
        <v>73</v>
      </c>
      <c r="F1308" s="108" t="s">
        <v>791</v>
      </c>
      <c r="G1308" s="108" t="s">
        <v>23</v>
      </c>
      <c r="H1308" s="126"/>
      <c r="L1308" s="22"/>
      <c r="M1308" s="22"/>
      <c r="N1308" s="22"/>
      <c r="O1308" s="22"/>
      <c r="P1308" s="22"/>
      <c r="Q1308" s="22"/>
      <c r="R1308" s="24"/>
    </row>
    <row r="1309" spans="1:18" s="23" customFormat="1" ht="63">
      <c r="A1309" s="21"/>
      <c r="B1309" s="127" t="s">
        <v>26</v>
      </c>
      <c r="C1309" s="109" t="s">
        <v>783</v>
      </c>
      <c r="D1309" s="108" t="s">
        <v>11</v>
      </c>
      <c r="E1309" s="108" t="s">
        <v>73</v>
      </c>
      <c r="F1309" s="108" t="s">
        <v>791</v>
      </c>
      <c r="G1309" s="108" t="s">
        <v>27</v>
      </c>
      <c r="H1309" s="126"/>
      <c r="L1309" s="22"/>
      <c r="M1309" s="22"/>
      <c r="N1309" s="22"/>
      <c r="O1309" s="22"/>
      <c r="P1309" s="22"/>
      <c r="Q1309" s="22"/>
      <c r="R1309" s="24"/>
    </row>
    <row r="1310" spans="1:18" s="16" customFormat="1" ht="31.5">
      <c r="A1310" s="14"/>
      <c r="B1310" s="125" t="s">
        <v>28</v>
      </c>
      <c r="C1310" s="109" t="s">
        <v>783</v>
      </c>
      <c r="D1310" s="108" t="s">
        <v>11</v>
      </c>
      <c r="E1310" s="108" t="s">
        <v>73</v>
      </c>
      <c r="F1310" s="108" t="s">
        <v>791</v>
      </c>
      <c r="G1310" s="108" t="s">
        <v>29</v>
      </c>
      <c r="H1310" s="126">
        <f>H1311</f>
        <v>0</v>
      </c>
      <c r="L1310" s="20">
        <v>158.91999999999999</v>
      </c>
      <c r="M1310" s="20">
        <v>158.91999999999999</v>
      </c>
      <c r="N1310" s="20">
        <v>158.91999999999999</v>
      </c>
      <c r="O1310" s="20">
        <f>H1310-L1310</f>
        <v>-158.91999999999999</v>
      </c>
      <c r="P1310" s="20" t="e">
        <f>#REF!-M1310</f>
        <v>#REF!</v>
      </c>
      <c r="Q1310" s="20" t="e">
        <f>#REF!-N1310</f>
        <v>#REF!</v>
      </c>
      <c r="R1310" s="17" t="str">
        <f t="shared" si="145"/>
        <v>81 1 00 76200240</v>
      </c>
    </row>
    <row r="1311" spans="1:18" s="16" customFormat="1" ht="15.75">
      <c r="A1311" s="14"/>
      <c r="B1311" s="125" t="s">
        <v>30</v>
      </c>
      <c r="C1311" s="109" t="s">
        <v>783</v>
      </c>
      <c r="D1311" s="108" t="s">
        <v>11</v>
      </c>
      <c r="E1311" s="108" t="s">
        <v>73</v>
      </c>
      <c r="F1311" s="108" t="s">
        <v>791</v>
      </c>
      <c r="G1311" s="108" t="s">
        <v>31</v>
      </c>
      <c r="H1311" s="126"/>
      <c r="L1311" s="20"/>
      <c r="M1311" s="20"/>
      <c r="N1311" s="20"/>
      <c r="O1311" s="20"/>
      <c r="P1311" s="20"/>
      <c r="Q1311" s="20"/>
      <c r="R1311" s="17"/>
    </row>
    <row r="1312" spans="1:18" s="16" customFormat="1" ht="63">
      <c r="A1312" s="14" t="s">
        <v>80</v>
      </c>
      <c r="B1312" s="129" t="s">
        <v>754</v>
      </c>
      <c r="C1312" s="109" t="str">
        <f t="shared" ref="C1312:E1313" si="148">C1301</f>
        <v>618</v>
      </c>
      <c r="D1312" s="108" t="str">
        <f t="shared" si="148"/>
        <v>01</v>
      </c>
      <c r="E1312" s="108" t="str">
        <f t="shared" si="148"/>
        <v>04</v>
      </c>
      <c r="F1312" s="108" t="s">
        <v>792</v>
      </c>
      <c r="G1312" s="108" t="s">
        <v>9</v>
      </c>
      <c r="H1312" s="126">
        <f>H1313</f>
        <v>0</v>
      </c>
      <c r="L1312" s="20">
        <v>70.900000000000006</v>
      </c>
      <c r="M1312" s="20">
        <v>70.900000000000006</v>
      </c>
      <c r="N1312" s="20">
        <v>70.900000000000006</v>
      </c>
      <c r="O1312" s="20">
        <f>H1312-L1312</f>
        <v>-70.900000000000006</v>
      </c>
      <c r="P1312" s="20" t="e">
        <f>#REF!-M1312</f>
        <v>#REF!</v>
      </c>
      <c r="Q1312" s="20" t="e">
        <f>#REF!-N1312</f>
        <v>#REF!</v>
      </c>
      <c r="R1312" s="17" t="str">
        <f t="shared" si="145"/>
        <v>81 1 00 76360000</v>
      </c>
    </row>
    <row r="1313" spans="1:18" s="16" customFormat="1" ht="31.5">
      <c r="A1313" s="14"/>
      <c r="B1313" s="125" t="s">
        <v>28</v>
      </c>
      <c r="C1313" s="109" t="str">
        <f t="shared" si="148"/>
        <v>618</v>
      </c>
      <c r="D1313" s="108" t="str">
        <f t="shared" si="148"/>
        <v>01</v>
      </c>
      <c r="E1313" s="108" t="str">
        <f t="shared" si="148"/>
        <v>04</v>
      </c>
      <c r="F1313" s="108" t="s">
        <v>792</v>
      </c>
      <c r="G1313" s="108" t="s">
        <v>29</v>
      </c>
      <c r="H1313" s="126">
        <f>H1314</f>
        <v>0</v>
      </c>
      <c r="L1313" s="20">
        <v>70.900000000000006</v>
      </c>
      <c r="M1313" s="20">
        <v>70.900000000000006</v>
      </c>
      <c r="N1313" s="20">
        <v>70.900000000000006</v>
      </c>
      <c r="O1313" s="20">
        <f>H1313-L1313</f>
        <v>-70.900000000000006</v>
      </c>
      <c r="P1313" s="20" t="e">
        <f>#REF!-M1313</f>
        <v>#REF!</v>
      </c>
      <c r="Q1313" s="20" t="e">
        <f>#REF!-N1313</f>
        <v>#REF!</v>
      </c>
      <c r="R1313" s="17" t="str">
        <f t="shared" si="145"/>
        <v>81 1 00 76360240</v>
      </c>
    </row>
    <row r="1314" spans="1:18" s="16" customFormat="1" ht="15.75">
      <c r="A1314" s="14"/>
      <c r="B1314" s="125" t="s">
        <v>30</v>
      </c>
      <c r="C1314" s="109" t="s">
        <v>783</v>
      </c>
      <c r="D1314" s="108" t="s">
        <v>11</v>
      </c>
      <c r="E1314" s="108" t="s">
        <v>73</v>
      </c>
      <c r="F1314" s="108" t="s">
        <v>792</v>
      </c>
      <c r="G1314" s="108" t="s">
        <v>31</v>
      </c>
      <c r="H1314" s="126"/>
      <c r="L1314" s="20"/>
      <c r="M1314" s="20"/>
      <c r="N1314" s="20"/>
      <c r="O1314" s="20"/>
      <c r="P1314" s="20"/>
      <c r="Q1314" s="20"/>
      <c r="R1314" s="17"/>
    </row>
    <row r="1315" spans="1:18" s="16" customFormat="1" ht="15.75">
      <c r="A1315" s="14"/>
      <c r="B1315" s="121" t="s">
        <v>50</v>
      </c>
      <c r="C1315" s="122" t="s">
        <v>783</v>
      </c>
      <c r="D1315" s="123" t="s">
        <v>11</v>
      </c>
      <c r="E1315" s="123" t="s">
        <v>51</v>
      </c>
      <c r="F1315" s="123" t="s">
        <v>8</v>
      </c>
      <c r="G1315" s="123" t="s">
        <v>9</v>
      </c>
      <c r="H1315" s="124">
        <f>H1316</f>
        <v>0</v>
      </c>
      <c r="L1315" s="19">
        <v>357.85</v>
      </c>
      <c r="M1315" s="19">
        <v>357.85</v>
      </c>
      <c r="N1315" s="19">
        <v>357.85</v>
      </c>
      <c r="O1315" s="19">
        <f t="shared" ref="O1315:O1320" si="149">H1315-L1315</f>
        <v>-357.85</v>
      </c>
      <c r="P1315" s="19" t="e">
        <f>#REF!-M1315</f>
        <v>#REF!</v>
      </c>
      <c r="Q1315" s="19" t="e">
        <f>#REF!-N1315</f>
        <v>#REF!</v>
      </c>
      <c r="R1315" s="17" t="str">
        <f t="shared" si="145"/>
        <v>00 0 00 00000000</v>
      </c>
    </row>
    <row r="1316" spans="1:18" s="16" customFormat="1" ht="63">
      <c r="A1316" s="14"/>
      <c r="B1316" s="132" t="s">
        <v>257</v>
      </c>
      <c r="C1316" s="109" t="s">
        <v>783</v>
      </c>
      <c r="D1316" s="108" t="s">
        <v>11</v>
      </c>
      <c r="E1316" s="108" t="s">
        <v>51</v>
      </c>
      <c r="F1316" s="108" t="s">
        <v>258</v>
      </c>
      <c r="G1316" s="108" t="s">
        <v>9</v>
      </c>
      <c r="H1316" s="126">
        <f t="shared" ref="H1316:H1319" si="150">H1317</f>
        <v>0</v>
      </c>
      <c r="L1316" s="20">
        <v>357.85</v>
      </c>
      <c r="M1316" s="20">
        <v>357.85</v>
      </c>
      <c r="N1316" s="20">
        <v>357.85</v>
      </c>
      <c r="O1316" s="20">
        <f t="shared" si="149"/>
        <v>-357.85</v>
      </c>
      <c r="P1316" s="20" t="e">
        <f>#REF!-M1316</f>
        <v>#REF!</v>
      </c>
      <c r="Q1316" s="20" t="e">
        <f>#REF!-N1316</f>
        <v>#REF!</v>
      </c>
      <c r="R1316" s="17" t="str">
        <f t="shared" si="145"/>
        <v>11 0 00 00000000</v>
      </c>
    </row>
    <row r="1317" spans="1:18" s="16" customFormat="1" ht="63">
      <c r="A1317" s="14"/>
      <c r="B1317" s="132" t="s">
        <v>259</v>
      </c>
      <c r="C1317" s="109" t="s">
        <v>783</v>
      </c>
      <c r="D1317" s="108" t="s">
        <v>11</v>
      </c>
      <c r="E1317" s="108" t="s">
        <v>51</v>
      </c>
      <c r="F1317" s="108" t="s">
        <v>260</v>
      </c>
      <c r="G1317" s="108" t="s">
        <v>9</v>
      </c>
      <c r="H1317" s="126">
        <f t="shared" si="150"/>
        <v>0</v>
      </c>
      <c r="L1317" s="20">
        <v>357.85</v>
      </c>
      <c r="M1317" s="20">
        <v>357.85</v>
      </c>
      <c r="N1317" s="20">
        <v>357.85</v>
      </c>
      <c r="O1317" s="20">
        <f t="shared" si="149"/>
        <v>-357.85</v>
      </c>
      <c r="P1317" s="20" t="e">
        <f>#REF!-M1317</f>
        <v>#REF!</v>
      </c>
      <c r="Q1317" s="20" t="e">
        <f>#REF!-N1317</f>
        <v>#REF!</v>
      </c>
      <c r="R1317" s="17" t="str">
        <f t="shared" si="145"/>
        <v>11 Б 00 00000000</v>
      </c>
    </row>
    <row r="1318" spans="1:18" s="16" customFormat="1" ht="47.25">
      <c r="A1318" s="14"/>
      <c r="B1318" s="155" t="s">
        <v>261</v>
      </c>
      <c r="C1318" s="108" t="s">
        <v>783</v>
      </c>
      <c r="D1318" s="108" t="s">
        <v>11</v>
      </c>
      <c r="E1318" s="108" t="s">
        <v>51</v>
      </c>
      <c r="F1318" s="108" t="s">
        <v>262</v>
      </c>
      <c r="G1318" s="108" t="s">
        <v>9</v>
      </c>
      <c r="H1318" s="126">
        <f t="shared" si="150"/>
        <v>0</v>
      </c>
      <c r="L1318" s="20">
        <v>357.85</v>
      </c>
      <c r="M1318" s="20">
        <v>357.85</v>
      </c>
      <c r="N1318" s="20">
        <v>357.85</v>
      </c>
      <c r="O1318" s="20">
        <f t="shared" si="149"/>
        <v>-357.85</v>
      </c>
      <c r="P1318" s="20" t="e">
        <f>#REF!-M1318</f>
        <v>#REF!</v>
      </c>
      <c r="Q1318" s="20" t="e">
        <f>#REF!-N1318</f>
        <v>#REF!</v>
      </c>
      <c r="R1318" s="17" t="str">
        <f t="shared" si="145"/>
        <v>11 Б 01 00000000</v>
      </c>
    </row>
    <row r="1319" spans="1:18" s="16" customFormat="1" ht="31.5">
      <c r="A1319" s="14"/>
      <c r="B1319" s="125" t="s">
        <v>756</v>
      </c>
      <c r="C1319" s="109" t="s">
        <v>783</v>
      </c>
      <c r="D1319" s="108" t="s">
        <v>11</v>
      </c>
      <c r="E1319" s="108" t="s">
        <v>51</v>
      </c>
      <c r="F1319" s="108" t="s">
        <v>757</v>
      </c>
      <c r="G1319" s="108" t="s">
        <v>9</v>
      </c>
      <c r="H1319" s="126">
        <f t="shared" si="150"/>
        <v>0</v>
      </c>
      <c r="L1319" s="20">
        <v>357.85</v>
      </c>
      <c r="M1319" s="20">
        <v>357.85</v>
      </c>
      <c r="N1319" s="20">
        <v>357.85</v>
      </c>
      <c r="O1319" s="20">
        <f t="shared" si="149"/>
        <v>-357.85</v>
      </c>
      <c r="P1319" s="20" t="e">
        <f>#REF!-M1319</f>
        <v>#REF!</v>
      </c>
      <c r="Q1319" s="20" t="e">
        <f>#REF!-N1319</f>
        <v>#REF!</v>
      </c>
      <c r="R1319" s="17" t="str">
        <f t="shared" si="145"/>
        <v>11 Б 01 20840000</v>
      </c>
    </row>
    <row r="1320" spans="1:18" s="16" customFormat="1" ht="31.5">
      <c r="A1320" s="14"/>
      <c r="B1320" s="125" t="s">
        <v>28</v>
      </c>
      <c r="C1320" s="109" t="s">
        <v>783</v>
      </c>
      <c r="D1320" s="108" t="s">
        <v>11</v>
      </c>
      <c r="E1320" s="108" t="s">
        <v>51</v>
      </c>
      <c r="F1320" s="108" t="s">
        <v>757</v>
      </c>
      <c r="G1320" s="108" t="s">
        <v>29</v>
      </c>
      <c r="H1320" s="126">
        <f>H1321</f>
        <v>0</v>
      </c>
      <c r="L1320" s="20">
        <v>357.85</v>
      </c>
      <c r="M1320" s="20">
        <v>357.85</v>
      </c>
      <c r="N1320" s="20">
        <v>357.85</v>
      </c>
      <c r="O1320" s="20">
        <f t="shared" si="149"/>
        <v>-357.85</v>
      </c>
      <c r="P1320" s="20" t="e">
        <f>#REF!-M1320</f>
        <v>#REF!</v>
      </c>
      <c r="Q1320" s="20" t="e">
        <f>#REF!-N1320</f>
        <v>#REF!</v>
      </c>
      <c r="R1320" s="17" t="str">
        <f t="shared" si="145"/>
        <v>11 Б 01 20840240</v>
      </c>
    </row>
    <row r="1321" spans="1:18" s="16" customFormat="1" ht="15.75">
      <c r="A1321" s="14"/>
      <c r="B1321" s="125" t="s">
        <v>30</v>
      </c>
      <c r="C1321" s="109" t="s">
        <v>783</v>
      </c>
      <c r="D1321" s="108" t="s">
        <v>11</v>
      </c>
      <c r="E1321" s="108" t="s">
        <v>51</v>
      </c>
      <c r="F1321" s="108" t="s">
        <v>757</v>
      </c>
      <c r="G1321" s="108" t="s">
        <v>31</v>
      </c>
      <c r="H1321" s="126"/>
      <c r="L1321" s="20"/>
      <c r="M1321" s="20"/>
      <c r="N1321" s="20"/>
      <c r="O1321" s="20"/>
      <c r="P1321" s="20"/>
      <c r="Q1321" s="20"/>
      <c r="R1321" s="17"/>
    </row>
    <row r="1322" spans="1:18" s="16" customFormat="1" ht="15.75">
      <c r="A1322" s="14"/>
      <c r="B1322" s="117" t="s">
        <v>195</v>
      </c>
      <c r="C1322" s="118" t="s">
        <v>783</v>
      </c>
      <c r="D1322" s="119" t="s">
        <v>73</v>
      </c>
      <c r="E1322" s="119" t="s">
        <v>7</v>
      </c>
      <c r="F1322" s="119" t="s">
        <v>8</v>
      </c>
      <c r="G1322" s="119" t="s">
        <v>9</v>
      </c>
      <c r="H1322" s="120">
        <f t="shared" ref="H1322:H1325" si="151">H1323</f>
        <v>0</v>
      </c>
      <c r="L1322" s="18">
        <v>60223.26</v>
      </c>
      <c r="M1322" s="18">
        <v>64831.42</v>
      </c>
      <c r="N1322" s="18">
        <v>69900.41</v>
      </c>
      <c r="O1322" s="18">
        <f t="shared" ref="O1322:O1328" si="152">H1322-L1322</f>
        <v>-60223.26</v>
      </c>
      <c r="P1322" s="18" t="e">
        <f>#REF!-M1322</f>
        <v>#REF!</v>
      </c>
      <c r="Q1322" s="18" t="e">
        <f>#REF!-N1322</f>
        <v>#REF!</v>
      </c>
      <c r="R1322" s="17" t="str">
        <f t="shared" si="145"/>
        <v>00 0 00 00000000</v>
      </c>
    </row>
    <row r="1323" spans="1:18" s="16" customFormat="1" ht="15.75">
      <c r="A1323" s="14"/>
      <c r="B1323" s="121" t="s">
        <v>760</v>
      </c>
      <c r="C1323" s="122" t="s">
        <v>783</v>
      </c>
      <c r="D1323" s="123" t="s">
        <v>73</v>
      </c>
      <c r="E1323" s="123" t="s">
        <v>471</v>
      </c>
      <c r="F1323" s="123" t="s">
        <v>8</v>
      </c>
      <c r="G1323" s="123" t="s">
        <v>9</v>
      </c>
      <c r="H1323" s="124">
        <f t="shared" si="151"/>
        <v>0</v>
      </c>
      <c r="L1323" s="19">
        <v>60223.26</v>
      </c>
      <c r="M1323" s="19">
        <v>64831.42</v>
      </c>
      <c r="N1323" s="19">
        <v>69900.41</v>
      </c>
      <c r="O1323" s="19">
        <f t="shared" si="152"/>
        <v>-60223.26</v>
      </c>
      <c r="P1323" s="19" t="e">
        <f>#REF!-M1323</f>
        <v>#REF!</v>
      </c>
      <c r="Q1323" s="19" t="e">
        <f>#REF!-N1323</f>
        <v>#REF!</v>
      </c>
      <c r="R1323" s="17" t="str">
        <f t="shared" si="145"/>
        <v>00 0 00 00000000</v>
      </c>
    </row>
    <row r="1324" spans="1:18" s="16" customFormat="1" ht="63">
      <c r="A1324" s="14"/>
      <c r="B1324" s="127" t="s">
        <v>293</v>
      </c>
      <c r="C1324" s="109" t="s">
        <v>783</v>
      </c>
      <c r="D1324" s="108" t="s">
        <v>73</v>
      </c>
      <c r="E1324" s="108" t="s">
        <v>471</v>
      </c>
      <c r="F1324" s="108" t="s">
        <v>294</v>
      </c>
      <c r="G1324" s="108" t="s">
        <v>9</v>
      </c>
      <c r="H1324" s="126">
        <f t="shared" si="151"/>
        <v>0</v>
      </c>
      <c r="L1324" s="20">
        <v>60223.26</v>
      </c>
      <c r="M1324" s="20">
        <v>64831.42</v>
      </c>
      <c r="N1324" s="20">
        <v>69900.41</v>
      </c>
      <c r="O1324" s="20">
        <f t="shared" si="152"/>
        <v>-60223.26</v>
      </c>
      <c r="P1324" s="20" t="e">
        <f>#REF!-M1324</f>
        <v>#REF!</v>
      </c>
      <c r="Q1324" s="20" t="e">
        <f>#REF!-N1324</f>
        <v>#REF!</v>
      </c>
      <c r="R1324" s="17" t="str">
        <f t="shared" si="145"/>
        <v>04 0 00 00000000</v>
      </c>
    </row>
    <row r="1325" spans="1:18" s="16" customFormat="1" ht="63">
      <c r="A1325" s="14"/>
      <c r="B1325" s="140" t="s">
        <v>295</v>
      </c>
      <c r="C1325" s="109" t="s">
        <v>783</v>
      </c>
      <c r="D1325" s="108" t="s">
        <v>73</v>
      </c>
      <c r="E1325" s="108" t="s">
        <v>471</v>
      </c>
      <c r="F1325" s="108" t="s">
        <v>296</v>
      </c>
      <c r="G1325" s="108" t="s">
        <v>9</v>
      </c>
      <c r="H1325" s="126">
        <f t="shared" si="151"/>
        <v>0</v>
      </c>
      <c r="L1325" s="20">
        <v>60223.26</v>
      </c>
      <c r="M1325" s="20">
        <v>64831.42</v>
      </c>
      <c r="N1325" s="20">
        <v>69900.41</v>
      </c>
      <c r="O1325" s="20">
        <f t="shared" si="152"/>
        <v>-60223.26</v>
      </c>
      <c r="P1325" s="20" t="e">
        <f>#REF!-M1325</f>
        <v>#REF!</v>
      </c>
      <c r="Q1325" s="20" t="e">
        <f>#REF!-N1325</f>
        <v>#REF!</v>
      </c>
      <c r="R1325" s="17" t="str">
        <f t="shared" si="145"/>
        <v>04 2 00 00000000</v>
      </c>
    </row>
    <row r="1326" spans="1:18" s="16" customFormat="1" ht="63">
      <c r="A1326" s="14"/>
      <c r="B1326" s="140" t="s">
        <v>297</v>
      </c>
      <c r="C1326" s="109" t="s">
        <v>783</v>
      </c>
      <c r="D1326" s="108" t="s">
        <v>73</v>
      </c>
      <c r="E1326" s="108" t="s">
        <v>471</v>
      </c>
      <c r="F1326" s="108" t="s">
        <v>298</v>
      </c>
      <c r="G1326" s="108" t="s">
        <v>9</v>
      </c>
      <c r="H1326" s="126">
        <f>H1330+H1327</f>
        <v>0</v>
      </c>
      <c r="L1326" s="20">
        <v>60223.26</v>
      </c>
      <c r="M1326" s="20">
        <v>64831.42</v>
      </c>
      <c r="N1326" s="20">
        <v>69900.41</v>
      </c>
      <c r="O1326" s="20">
        <f t="shared" si="152"/>
        <v>-60223.26</v>
      </c>
      <c r="P1326" s="20" t="e">
        <f>#REF!-M1326</f>
        <v>#REF!</v>
      </c>
      <c r="Q1326" s="20" t="e">
        <f>#REF!-N1326</f>
        <v>#REF!</v>
      </c>
      <c r="R1326" s="17" t="str">
        <f t="shared" si="145"/>
        <v>04 2 02 00000000</v>
      </c>
    </row>
    <row r="1327" spans="1:18" s="16" customFormat="1" ht="47.25">
      <c r="A1327" s="14"/>
      <c r="B1327" s="127" t="s">
        <v>761</v>
      </c>
      <c r="C1327" s="109" t="s">
        <v>783</v>
      </c>
      <c r="D1327" s="108" t="s">
        <v>73</v>
      </c>
      <c r="E1327" s="108" t="s">
        <v>471</v>
      </c>
      <c r="F1327" s="108" t="s">
        <v>762</v>
      </c>
      <c r="G1327" s="108" t="s">
        <v>9</v>
      </c>
      <c r="H1327" s="126">
        <f>H1328</f>
        <v>0</v>
      </c>
      <c r="L1327" s="20">
        <v>10087.43</v>
      </c>
      <c r="M1327" s="20">
        <v>10087.43</v>
      </c>
      <c r="N1327" s="20">
        <v>10087.43</v>
      </c>
      <c r="O1327" s="20">
        <f t="shared" si="152"/>
        <v>-10087.43</v>
      </c>
      <c r="P1327" s="20" t="e">
        <f>#REF!-M1327</f>
        <v>#REF!</v>
      </c>
      <c r="Q1327" s="20" t="e">
        <f>#REF!-N1327</f>
        <v>#REF!</v>
      </c>
      <c r="R1327" s="17" t="str">
        <f t="shared" si="145"/>
        <v>04 2 02 20820000</v>
      </c>
    </row>
    <row r="1328" spans="1:18" s="16" customFormat="1" ht="31.5">
      <c r="A1328" s="14"/>
      <c r="B1328" s="125" t="s">
        <v>28</v>
      </c>
      <c r="C1328" s="109" t="s">
        <v>783</v>
      </c>
      <c r="D1328" s="108" t="s">
        <v>73</v>
      </c>
      <c r="E1328" s="108" t="s">
        <v>471</v>
      </c>
      <c r="F1328" s="108" t="s">
        <v>762</v>
      </c>
      <c r="G1328" s="108" t="s">
        <v>29</v>
      </c>
      <c r="H1328" s="126">
        <f>H1329</f>
        <v>0</v>
      </c>
      <c r="L1328" s="20">
        <v>10087.43</v>
      </c>
      <c r="M1328" s="20">
        <v>10087.43</v>
      </c>
      <c r="N1328" s="20">
        <v>10087.43</v>
      </c>
      <c r="O1328" s="20">
        <f t="shared" si="152"/>
        <v>-10087.43</v>
      </c>
      <c r="P1328" s="20" t="e">
        <f>#REF!-M1328</f>
        <v>#REF!</v>
      </c>
      <c r="Q1328" s="20" t="e">
        <f>#REF!-N1328</f>
        <v>#REF!</v>
      </c>
      <c r="R1328" s="17" t="str">
        <f t="shared" si="145"/>
        <v>04 2 02 20820240</v>
      </c>
    </row>
    <row r="1329" spans="1:18" s="16" customFormat="1" ht="15.75">
      <c r="A1329" s="14"/>
      <c r="B1329" s="125" t="s">
        <v>30</v>
      </c>
      <c r="C1329" s="109" t="s">
        <v>783</v>
      </c>
      <c r="D1329" s="108" t="s">
        <v>73</v>
      </c>
      <c r="E1329" s="108" t="s">
        <v>471</v>
      </c>
      <c r="F1329" s="108" t="s">
        <v>762</v>
      </c>
      <c r="G1329" s="108" t="s">
        <v>31</v>
      </c>
      <c r="H1329" s="126"/>
      <c r="L1329" s="20"/>
      <c r="M1329" s="20"/>
      <c r="N1329" s="20"/>
      <c r="O1329" s="20"/>
      <c r="P1329" s="20"/>
      <c r="Q1329" s="20"/>
      <c r="R1329" s="17"/>
    </row>
    <row r="1330" spans="1:18" s="16" customFormat="1" ht="31.5">
      <c r="A1330" s="14"/>
      <c r="B1330" s="125" t="s">
        <v>763</v>
      </c>
      <c r="C1330" s="109" t="s">
        <v>783</v>
      </c>
      <c r="D1330" s="108" t="s">
        <v>73</v>
      </c>
      <c r="E1330" s="108" t="s">
        <v>471</v>
      </c>
      <c r="F1330" s="108" t="s">
        <v>764</v>
      </c>
      <c r="G1330" s="108" t="s">
        <v>9</v>
      </c>
      <c r="H1330" s="126">
        <f>H1331</f>
        <v>0</v>
      </c>
      <c r="L1330" s="20">
        <v>50135.83</v>
      </c>
      <c r="M1330" s="20">
        <v>54743.99</v>
      </c>
      <c r="N1330" s="20">
        <v>59812.98</v>
      </c>
      <c r="O1330" s="20">
        <f>H1330-L1330</f>
        <v>-50135.83</v>
      </c>
      <c r="P1330" s="20" t="e">
        <f>#REF!-M1330</f>
        <v>#REF!</v>
      </c>
      <c r="Q1330" s="20" t="e">
        <f>#REF!-N1330</f>
        <v>#REF!</v>
      </c>
      <c r="R1330" s="17" t="str">
        <f t="shared" si="145"/>
        <v>04 2 02 21090000</v>
      </c>
    </row>
    <row r="1331" spans="1:18" s="16" customFormat="1" ht="31.5">
      <c r="A1331" s="14"/>
      <c r="B1331" s="125" t="s">
        <v>28</v>
      </c>
      <c r="C1331" s="109" t="s">
        <v>783</v>
      </c>
      <c r="D1331" s="108" t="s">
        <v>73</v>
      </c>
      <c r="E1331" s="108" t="s">
        <v>471</v>
      </c>
      <c r="F1331" s="108" t="s">
        <v>764</v>
      </c>
      <c r="G1331" s="108" t="s">
        <v>29</v>
      </c>
      <c r="H1331" s="126">
        <f>H1332</f>
        <v>0</v>
      </c>
      <c r="L1331" s="20">
        <v>50135.83</v>
      </c>
      <c r="M1331" s="20">
        <v>54743.99</v>
      </c>
      <c r="N1331" s="20">
        <v>59812.98</v>
      </c>
      <c r="O1331" s="20">
        <f>H1331-L1331</f>
        <v>-50135.83</v>
      </c>
      <c r="P1331" s="20" t="e">
        <f>#REF!-M1331</f>
        <v>#REF!</v>
      </c>
      <c r="Q1331" s="20" t="e">
        <f>#REF!-N1331</f>
        <v>#REF!</v>
      </c>
      <c r="R1331" s="17" t="str">
        <f t="shared" si="145"/>
        <v>04 2 02 21090240</v>
      </c>
    </row>
    <row r="1332" spans="1:18" s="16" customFormat="1" ht="15.75">
      <c r="A1332" s="14"/>
      <c r="B1332" s="125" t="s">
        <v>30</v>
      </c>
      <c r="C1332" s="109" t="s">
        <v>783</v>
      </c>
      <c r="D1332" s="108" t="s">
        <v>73</v>
      </c>
      <c r="E1332" s="108" t="s">
        <v>471</v>
      </c>
      <c r="F1332" s="108" t="s">
        <v>764</v>
      </c>
      <c r="G1332" s="108" t="s">
        <v>31</v>
      </c>
      <c r="H1332" s="126"/>
      <c r="L1332" s="20"/>
      <c r="M1332" s="20"/>
      <c r="N1332" s="20"/>
      <c r="O1332" s="20"/>
      <c r="P1332" s="20"/>
      <c r="Q1332" s="20"/>
      <c r="R1332" s="17"/>
    </row>
    <row r="1333" spans="1:18" s="16" customFormat="1" ht="15.75">
      <c r="A1333" s="14"/>
      <c r="B1333" s="117" t="s">
        <v>305</v>
      </c>
      <c r="C1333" s="118" t="s">
        <v>783</v>
      </c>
      <c r="D1333" s="119" t="s">
        <v>86</v>
      </c>
      <c r="E1333" s="119" t="s">
        <v>7</v>
      </c>
      <c r="F1333" s="119" t="s">
        <v>8</v>
      </c>
      <c r="G1333" s="119" t="s">
        <v>9</v>
      </c>
      <c r="H1333" s="120">
        <f>H1334+H1342</f>
        <v>0</v>
      </c>
      <c r="L1333" s="18">
        <v>30206.899999999998</v>
      </c>
      <c r="M1333" s="18">
        <v>19206.899999999998</v>
      </c>
      <c r="N1333" s="18">
        <v>19206.899999999998</v>
      </c>
      <c r="O1333" s="18">
        <f t="shared" ref="O1333:O1339" si="153">H1333-L1333</f>
        <v>-30206.899999999998</v>
      </c>
      <c r="P1333" s="18" t="e">
        <f>#REF!-M1333</f>
        <v>#REF!</v>
      </c>
      <c r="Q1333" s="18" t="e">
        <f>#REF!-N1333</f>
        <v>#REF!</v>
      </c>
      <c r="R1333" s="17" t="str">
        <f t="shared" si="145"/>
        <v>00 0 00 00000000</v>
      </c>
    </row>
    <row r="1334" spans="1:18" s="16" customFormat="1" ht="15.75">
      <c r="A1334" s="14"/>
      <c r="B1334" s="121" t="s">
        <v>765</v>
      </c>
      <c r="C1334" s="122" t="s">
        <v>783</v>
      </c>
      <c r="D1334" s="123" t="s">
        <v>86</v>
      </c>
      <c r="E1334" s="123" t="s">
        <v>11</v>
      </c>
      <c r="F1334" s="123" t="s">
        <v>8</v>
      </c>
      <c r="G1334" s="123" t="s">
        <v>9</v>
      </c>
      <c r="H1334" s="124">
        <f>H1335</f>
        <v>0</v>
      </c>
      <c r="L1334" s="19">
        <v>1723.26</v>
      </c>
      <c r="M1334" s="19">
        <v>1723.26</v>
      </c>
      <c r="N1334" s="19">
        <v>1723.26</v>
      </c>
      <c r="O1334" s="19">
        <f t="shared" si="153"/>
        <v>-1723.26</v>
      </c>
      <c r="P1334" s="19" t="e">
        <f>#REF!-M1334</f>
        <v>#REF!</v>
      </c>
      <c r="Q1334" s="19" t="e">
        <f>#REF!-N1334</f>
        <v>#REF!</v>
      </c>
      <c r="R1334" s="17" t="str">
        <f t="shared" si="145"/>
        <v>00 0 00 00000000</v>
      </c>
    </row>
    <row r="1335" spans="1:18" s="16" customFormat="1" ht="63">
      <c r="A1335" s="14"/>
      <c r="B1335" s="127" t="s">
        <v>293</v>
      </c>
      <c r="C1335" s="109" t="s">
        <v>783</v>
      </c>
      <c r="D1335" s="108" t="s">
        <v>86</v>
      </c>
      <c r="E1335" s="108" t="s">
        <v>11</v>
      </c>
      <c r="F1335" s="108" t="s">
        <v>294</v>
      </c>
      <c r="G1335" s="108" t="s">
        <v>9</v>
      </c>
      <c r="H1335" s="126">
        <f t="shared" ref="H1335" si="154">H1336</f>
        <v>0</v>
      </c>
      <c r="L1335" s="20">
        <v>1723.26</v>
      </c>
      <c r="M1335" s="20">
        <v>1723.26</v>
      </c>
      <c r="N1335" s="20">
        <v>1723.26</v>
      </c>
      <c r="O1335" s="20">
        <f t="shared" si="153"/>
        <v>-1723.26</v>
      </c>
      <c r="P1335" s="20" t="e">
        <f>#REF!-M1335</f>
        <v>#REF!</v>
      </c>
      <c r="Q1335" s="20" t="e">
        <f>#REF!-N1335</f>
        <v>#REF!</v>
      </c>
      <c r="R1335" s="17" t="str">
        <f t="shared" si="145"/>
        <v>04 0 00 00000000</v>
      </c>
    </row>
    <row r="1336" spans="1:18" s="16" customFormat="1" ht="31.5">
      <c r="A1336" s="14"/>
      <c r="B1336" s="125" t="s">
        <v>766</v>
      </c>
      <c r="C1336" s="109" t="s">
        <v>783</v>
      </c>
      <c r="D1336" s="108" t="s">
        <v>86</v>
      </c>
      <c r="E1336" s="108" t="s">
        <v>11</v>
      </c>
      <c r="F1336" s="108" t="s">
        <v>767</v>
      </c>
      <c r="G1336" s="108" t="s">
        <v>9</v>
      </c>
      <c r="H1336" s="126">
        <f>H1339</f>
        <v>0</v>
      </c>
      <c r="L1336" s="20">
        <v>1723.26</v>
      </c>
      <c r="M1336" s="20">
        <v>1723.26</v>
      </c>
      <c r="N1336" s="20">
        <v>1723.26</v>
      </c>
      <c r="O1336" s="20">
        <f t="shared" si="153"/>
        <v>-1723.26</v>
      </c>
      <c r="P1336" s="20" t="e">
        <f>#REF!-M1336</f>
        <v>#REF!</v>
      </c>
      <c r="Q1336" s="20" t="e">
        <f>#REF!-N1336</f>
        <v>#REF!</v>
      </c>
      <c r="R1336" s="17" t="str">
        <f t="shared" si="145"/>
        <v>04 1 00 00000000</v>
      </c>
    </row>
    <row r="1337" spans="1:18" s="16" customFormat="1" ht="47.25">
      <c r="A1337" s="14"/>
      <c r="B1337" s="140" t="s">
        <v>793</v>
      </c>
      <c r="C1337" s="130" t="s">
        <v>783</v>
      </c>
      <c r="D1337" s="131" t="s">
        <v>86</v>
      </c>
      <c r="E1337" s="131" t="s">
        <v>11</v>
      </c>
      <c r="F1337" s="131" t="s">
        <v>769</v>
      </c>
      <c r="G1337" s="131" t="s">
        <v>9</v>
      </c>
      <c r="H1337" s="105">
        <f t="shared" ref="H1337:H1338" si="155">H1338</f>
        <v>0</v>
      </c>
      <c r="L1337" s="26">
        <v>1723.26</v>
      </c>
      <c r="M1337" s="26">
        <v>1723.26</v>
      </c>
      <c r="N1337" s="26">
        <v>1723.26</v>
      </c>
      <c r="O1337" s="26">
        <f t="shared" si="153"/>
        <v>-1723.26</v>
      </c>
      <c r="P1337" s="26" t="e">
        <f>#REF!-M1337</f>
        <v>#REF!</v>
      </c>
      <c r="Q1337" s="26" t="e">
        <f>#REF!-N1337</f>
        <v>#REF!</v>
      </c>
      <c r="R1337" s="17" t="str">
        <f t="shared" si="145"/>
        <v>04 1 01 00000000</v>
      </c>
    </row>
    <row r="1338" spans="1:18" s="16" customFormat="1" ht="31.5">
      <c r="A1338" s="14"/>
      <c r="B1338" s="127" t="s">
        <v>770</v>
      </c>
      <c r="C1338" s="109" t="s">
        <v>783</v>
      </c>
      <c r="D1338" s="108" t="s">
        <v>86</v>
      </c>
      <c r="E1338" s="108" t="s">
        <v>11</v>
      </c>
      <c r="F1338" s="108" t="s">
        <v>771</v>
      </c>
      <c r="G1338" s="108" t="s">
        <v>9</v>
      </c>
      <c r="H1338" s="126">
        <f t="shared" si="155"/>
        <v>0</v>
      </c>
      <c r="L1338" s="20">
        <v>1723.26</v>
      </c>
      <c r="M1338" s="20">
        <v>1723.26</v>
      </c>
      <c r="N1338" s="20">
        <v>1723.26</v>
      </c>
      <c r="O1338" s="20">
        <f t="shared" si="153"/>
        <v>-1723.26</v>
      </c>
      <c r="P1338" s="20" t="e">
        <f>#REF!-M1338</f>
        <v>#REF!</v>
      </c>
      <c r="Q1338" s="20" t="e">
        <f>#REF!-N1338</f>
        <v>#REF!</v>
      </c>
      <c r="R1338" s="17" t="str">
        <f t="shared" si="145"/>
        <v>04 1 01 20190000</v>
      </c>
    </row>
    <row r="1339" spans="1:18" s="16" customFormat="1" ht="31.5">
      <c r="A1339" s="14"/>
      <c r="B1339" s="125" t="s">
        <v>28</v>
      </c>
      <c r="C1339" s="109" t="s">
        <v>783</v>
      </c>
      <c r="D1339" s="108" t="s">
        <v>86</v>
      </c>
      <c r="E1339" s="108" t="s">
        <v>11</v>
      </c>
      <c r="F1339" s="108" t="s">
        <v>771</v>
      </c>
      <c r="G1339" s="108" t="s">
        <v>29</v>
      </c>
      <c r="H1339" s="126">
        <f>SUM(H1340:H1341)</f>
        <v>0</v>
      </c>
      <c r="L1339" s="20">
        <v>1723.26</v>
      </c>
      <c r="M1339" s="20">
        <v>1723.26</v>
      </c>
      <c r="N1339" s="20">
        <v>1723.26</v>
      </c>
      <c r="O1339" s="20">
        <f t="shared" si="153"/>
        <v>-1723.26</v>
      </c>
      <c r="P1339" s="20" t="e">
        <f>#REF!-M1339</f>
        <v>#REF!</v>
      </c>
      <c r="Q1339" s="20" t="e">
        <f>#REF!-N1339</f>
        <v>#REF!</v>
      </c>
      <c r="R1339" s="17" t="str">
        <f t="shared" si="145"/>
        <v>04 1 01 20190240</v>
      </c>
    </row>
    <row r="1340" spans="1:18" s="16" customFormat="1" ht="47.25">
      <c r="A1340" s="14"/>
      <c r="B1340" s="127" t="s">
        <v>772</v>
      </c>
      <c r="C1340" s="109" t="s">
        <v>783</v>
      </c>
      <c r="D1340" s="108" t="s">
        <v>86</v>
      </c>
      <c r="E1340" s="108" t="s">
        <v>11</v>
      </c>
      <c r="F1340" s="108" t="s">
        <v>771</v>
      </c>
      <c r="G1340" s="108" t="s">
        <v>773</v>
      </c>
      <c r="H1340" s="126"/>
      <c r="L1340" s="20"/>
      <c r="M1340" s="20"/>
      <c r="N1340" s="20"/>
      <c r="O1340" s="20"/>
      <c r="P1340" s="20"/>
      <c r="Q1340" s="20"/>
      <c r="R1340" s="17"/>
    </row>
    <row r="1341" spans="1:18" s="16" customFormat="1" ht="15.75">
      <c r="A1341" s="14"/>
      <c r="B1341" s="125" t="s">
        <v>30</v>
      </c>
      <c r="C1341" s="109" t="s">
        <v>783</v>
      </c>
      <c r="D1341" s="108" t="s">
        <v>86</v>
      </c>
      <c r="E1341" s="108" t="s">
        <v>11</v>
      </c>
      <c r="F1341" s="108" t="s">
        <v>771</v>
      </c>
      <c r="G1341" s="108" t="s">
        <v>31</v>
      </c>
      <c r="H1341" s="126"/>
      <c r="L1341" s="20"/>
      <c r="M1341" s="20"/>
      <c r="N1341" s="20"/>
      <c r="O1341" s="20"/>
      <c r="P1341" s="20"/>
      <c r="Q1341" s="20"/>
      <c r="R1341" s="17"/>
    </row>
    <row r="1342" spans="1:18" s="16" customFormat="1" ht="15.75">
      <c r="A1342" s="14"/>
      <c r="B1342" s="121" t="s">
        <v>306</v>
      </c>
      <c r="C1342" s="122" t="s">
        <v>783</v>
      </c>
      <c r="D1342" s="123" t="s">
        <v>86</v>
      </c>
      <c r="E1342" s="123" t="s">
        <v>13</v>
      </c>
      <c r="F1342" s="123" t="s">
        <v>8</v>
      </c>
      <c r="G1342" s="123" t="s">
        <v>9</v>
      </c>
      <c r="H1342" s="124">
        <f>H1343+H1355</f>
        <v>0</v>
      </c>
      <c r="L1342" s="19">
        <v>28483.64</v>
      </c>
      <c r="M1342" s="19">
        <v>17483.64</v>
      </c>
      <c r="N1342" s="19">
        <v>17483.64</v>
      </c>
      <c r="O1342" s="19">
        <f t="shared" ref="O1342:O1347" si="156">H1342-L1342</f>
        <v>-28483.64</v>
      </c>
      <c r="P1342" s="19" t="e">
        <f>#REF!-M1342</f>
        <v>#REF!</v>
      </c>
      <c r="Q1342" s="19" t="e">
        <f>#REF!-N1342</f>
        <v>#REF!</v>
      </c>
      <c r="R1342" s="17" t="str">
        <f t="shared" si="145"/>
        <v>00 0 00 00000000</v>
      </c>
    </row>
    <row r="1343" spans="1:18" s="16" customFormat="1" ht="63">
      <c r="A1343" s="14"/>
      <c r="B1343" s="127" t="s">
        <v>293</v>
      </c>
      <c r="C1343" s="109" t="s">
        <v>783</v>
      </c>
      <c r="D1343" s="108" t="s">
        <v>86</v>
      </c>
      <c r="E1343" s="108" t="s">
        <v>13</v>
      </c>
      <c r="F1343" s="108" t="s">
        <v>294</v>
      </c>
      <c r="G1343" s="108" t="s">
        <v>9</v>
      </c>
      <c r="H1343" s="126">
        <f t="shared" ref="H1343:H1344" si="157">H1344</f>
        <v>0</v>
      </c>
      <c r="L1343" s="20">
        <v>26483.64</v>
      </c>
      <c r="M1343" s="20">
        <v>17483.64</v>
      </c>
      <c r="N1343" s="20">
        <v>17483.64</v>
      </c>
      <c r="O1343" s="20">
        <f t="shared" si="156"/>
        <v>-26483.64</v>
      </c>
      <c r="P1343" s="20" t="e">
        <f>#REF!-M1343</f>
        <v>#REF!</v>
      </c>
      <c r="Q1343" s="20" t="e">
        <f>#REF!-N1343</f>
        <v>#REF!</v>
      </c>
      <c r="R1343" s="17" t="str">
        <f t="shared" si="145"/>
        <v>04 0 00 00000000</v>
      </c>
    </row>
    <row r="1344" spans="1:18" s="16" customFormat="1" ht="31.5">
      <c r="A1344" s="14"/>
      <c r="B1344" s="125" t="s">
        <v>307</v>
      </c>
      <c r="C1344" s="109" t="s">
        <v>783</v>
      </c>
      <c r="D1344" s="108" t="s">
        <v>86</v>
      </c>
      <c r="E1344" s="108" t="s">
        <v>13</v>
      </c>
      <c r="F1344" s="108" t="s">
        <v>308</v>
      </c>
      <c r="G1344" s="108" t="s">
        <v>9</v>
      </c>
      <c r="H1344" s="126">
        <f t="shared" si="157"/>
        <v>0</v>
      </c>
      <c r="L1344" s="20">
        <v>26483.64</v>
      </c>
      <c r="M1344" s="20">
        <v>17483.64</v>
      </c>
      <c r="N1344" s="20">
        <v>17483.64</v>
      </c>
      <c r="O1344" s="20">
        <f t="shared" si="156"/>
        <v>-26483.64</v>
      </c>
      <c r="P1344" s="20" t="e">
        <f>#REF!-M1344</f>
        <v>#REF!</v>
      </c>
      <c r="Q1344" s="20" t="e">
        <f>#REF!-N1344</f>
        <v>#REF!</v>
      </c>
      <c r="R1344" s="17" t="str">
        <f t="shared" si="145"/>
        <v>04 3 00 00000000</v>
      </c>
    </row>
    <row r="1345" spans="1:18" s="16" customFormat="1" ht="31.5">
      <c r="A1345" s="14"/>
      <c r="B1345" s="138" t="s">
        <v>309</v>
      </c>
      <c r="C1345" s="130" t="s">
        <v>783</v>
      </c>
      <c r="D1345" s="131" t="s">
        <v>86</v>
      </c>
      <c r="E1345" s="131" t="s">
        <v>13</v>
      </c>
      <c r="F1345" s="108" t="s">
        <v>310</v>
      </c>
      <c r="G1345" s="131" t="s">
        <v>9</v>
      </c>
      <c r="H1345" s="105">
        <f>H1346+H1349+H1352</f>
        <v>0</v>
      </c>
      <c r="L1345" s="26">
        <v>26483.64</v>
      </c>
      <c r="M1345" s="26">
        <v>17483.64</v>
      </c>
      <c r="N1345" s="26">
        <v>17483.64</v>
      </c>
      <c r="O1345" s="26">
        <f t="shared" si="156"/>
        <v>-26483.64</v>
      </c>
      <c r="P1345" s="26" t="e">
        <f>#REF!-M1345</f>
        <v>#REF!</v>
      </c>
      <c r="Q1345" s="26" t="e">
        <f>#REF!-N1345</f>
        <v>#REF!</v>
      </c>
      <c r="R1345" s="17" t="str">
        <f t="shared" si="145"/>
        <v>04 3 04 00000000</v>
      </c>
    </row>
    <row r="1346" spans="1:18" s="16" customFormat="1" ht="31.5">
      <c r="A1346" s="14"/>
      <c r="B1346" s="125" t="s">
        <v>542</v>
      </c>
      <c r="C1346" s="109" t="s">
        <v>783</v>
      </c>
      <c r="D1346" s="108" t="s">
        <v>86</v>
      </c>
      <c r="E1346" s="108" t="s">
        <v>13</v>
      </c>
      <c r="F1346" s="108" t="s">
        <v>543</v>
      </c>
      <c r="G1346" s="108" t="s">
        <v>9</v>
      </c>
      <c r="H1346" s="126">
        <f>H1347</f>
        <v>0</v>
      </c>
      <c r="L1346" s="20">
        <v>9545.0499999999993</v>
      </c>
      <c r="M1346" s="20">
        <v>9545.0499999999993</v>
      </c>
      <c r="N1346" s="20">
        <v>9545.0499999999993</v>
      </c>
      <c r="O1346" s="20">
        <f t="shared" si="156"/>
        <v>-9545.0499999999993</v>
      </c>
      <c r="P1346" s="20" t="e">
        <f>#REF!-M1346</f>
        <v>#REF!</v>
      </c>
      <c r="Q1346" s="20" t="e">
        <f>#REF!-N1346</f>
        <v>#REF!</v>
      </c>
      <c r="R1346" s="17" t="str">
        <f t="shared" si="145"/>
        <v>04 3 04 20300000</v>
      </c>
    </row>
    <row r="1347" spans="1:18" s="16" customFormat="1" ht="31.5">
      <c r="A1347" s="14"/>
      <c r="B1347" s="125" t="s">
        <v>28</v>
      </c>
      <c r="C1347" s="109" t="s">
        <v>783</v>
      </c>
      <c r="D1347" s="108" t="s">
        <v>86</v>
      </c>
      <c r="E1347" s="108" t="s">
        <v>13</v>
      </c>
      <c r="F1347" s="108" t="s">
        <v>543</v>
      </c>
      <c r="G1347" s="108" t="s">
        <v>29</v>
      </c>
      <c r="H1347" s="126">
        <f>H1348</f>
        <v>0</v>
      </c>
      <c r="L1347" s="20">
        <v>9545.0499999999993</v>
      </c>
      <c r="M1347" s="20">
        <v>9545.0499999999993</v>
      </c>
      <c r="N1347" s="20">
        <v>9545.0499999999993</v>
      </c>
      <c r="O1347" s="20">
        <f t="shared" si="156"/>
        <v>-9545.0499999999993</v>
      </c>
      <c r="P1347" s="20" t="e">
        <f>#REF!-M1347</f>
        <v>#REF!</v>
      </c>
      <c r="Q1347" s="20" t="e">
        <f>#REF!-N1347</f>
        <v>#REF!</v>
      </c>
      <c r="R1347" s="17" t="str">
        <f t="shared" si="145"/>
        <v>04 3 04 20300240</v>
      </c>
    </row>
    <row r="1348" spans="1:18" s="16" customFormat="1" ht="15.75">
      <c r="A1348" s="14"/>
      <c r="B1348" s="125" t="s">
        <v>30</v>
      </c>
      <c r="C1348" s="109" t="s">
        <v>783</v>
      </c>
      <c r="D1348" s="108" t="s">
        <v>86</v>
      </c>
      <c r="E1348" s="108" t="s">
        <v>13</v>
      </c>
      <c r="F1348" s="108" t="s">
        <v>543</v>
      </c>
      <c r="G1348" s="108" t="s">
        <v>31</v>
      </c>
      <c r="H1348" s="126"/>
      <c r="L1348" s="20"/>
      <c r="M1348" s="20"/>
      <c r="N1348" s="20"/>
      <c r="O1348" s="20"/>
      <c r="P1348" s="20"/>
      <c r="Q1348" s="20"/>
      <c r="R1348" s="17"/>
    </row>
    <row r="1349" spans="1:18" s="16" customFormat="1" ht="31.5">
      <c r="A1349" s="14"/>
      <c r="B1349" s="127" t="s">
        <v>774</v>
      </c>
      <c r="C1349" s="109" t="s">
        <v>783</v>
      </c>
      <c r="D1349" s="131" t="s">
        <v>86</v>
      </c>
      <c r="E1349" s="131" t="s">
        <v>13</v>
      </c>
      <c r="F1349" s="131" t="s">
        <v>775</v>
      </c>
      <c r="G1349" s="131" t="s">
        <v>9</v>
      </c>
      <c r="H1349" s="126">
        <f>H1350</f>
        <v>0</v>
      </c>
      <c r="L1349" s="20">
        <v>941.72</v>
      </c>
      <c r="M1349" s="20">
        <v>941.72</v>
      </c>
      <c r="N1349" s="20">
        <v>941.72</v>
      </c>
      <c r="O1349" s="20">
        <f>H1349-L1349</f>
        <v>-941.72</v>
      </c>
      <c r="P1349" s="20" t="e">
        <f>#REF!-M1349</f>
        <v>#REF!</v>
      </c>
      <c r="Q1349" s="20" t="e">
        <f>#REF!-N1349</f>
        <v>#REF!</v>
      </c>
      <c r="R1349" s="17" t="str">
        <f t="shared" si="145"/>
        <v>04 3 04 21070000</v>
      </c>
    </row>
    <row r="1350" spans="1:18" s="16" customFormat="1" ht="31.5">
      <c r="A1350" s="14"/>
      <c r="B1350" s="125" t="s">
        <v>28</v>
      </c>
      <c r="C1350" s="109" t="s">
        <v>783</v>
      </c>
      <c r="D1350" s="131" t="s">
        <v>86</v>
      </c>
      <c r="E1350" s="131" t="s">
        <v>13</v>
      </c>
      <c r="F1350" s="131" t="s">
        <v>775</v>
      </c>
      <c r="G1350" s="131" t="s">
        <v>29</v>
      </c>
      <c r="H1350" s="126">
        <f>H1351</f>
        <v>0</v>
      </c>
      <c r="L1350" s="20">
        <v>941.72</v>
      </c>
      <c r="M1350" s="20">
        <v>941.72</v>
      </c>
      <c r="N1350" s="20">
        <v>941.72</v>
      </c>
      <c r="O1350" s="20">
        <f>H1350-L1350</f>
        <v>-941.72</v>
      </c>
      <c r="P1350" s="20" t="e">
        <f>#REF!-M1350</f>
        <v>#REF!</v>
      </c>
      <c r="Q1350" s="20" t="e">
        <f>#REF!-N1350</f>
        <v>#REF!</v>
      </c>
      <c r="R1350" s="17" t="str">
        <f t="shared" si="145"/>
        <v>04 3 04 21070240</v>
      </c>
    </row>
    <row r="1351" spans="1:18" s="16" customFormat="1" ht="15.75">
      <c r="A1351" s="14"/>
      <c r="B1351" s="125" t="s">
        <v>30</v>
      </c>
      <c r="C1351" s="109" t="s">
        <v>783</v>
      </c>
      <c r="D1351" s="131" t="s">
        <v>86</v>
      </c>
      <c r="E1351" s="131" t="s">
        <v>13</v>
      </c>
      <c r="F1351" s="131" t="s">
        <v>775</v>
      </c>
      <c r="G1351" s="131" t="s">
        <v>31</v>
      </c>
      <c r="H1351" s="126"/>
      <c r="L1351" s="20"/>
      <c r="M1351" s="20"/>
      <c r="N1351" s="20"/>
      <c r="O1351" s="20"/>
      <c r="P1351" s="20"/>
      <c r="Q1351" s="20"/>
      <c r="R1351" s="17"/>
    </row>
    <row r="1352" spans="1:18" s="16" customFormat="1" ht="78.75">
      <c r="A1352" s="14" t="s">
        <v>80</v>
      </c>
      <c r="B1352" s="127" t="s">
        <v>776</v>
      </c>
      <c r="C1352" s="130" t="s">
        <v>783</v>
      </c>
      <c r="D1352" s="131" t="s">
        <v>86</v>
      </c>
      <c r="E1352" s="131" t="s">
        <v>13</v>
      </c>
      <c r="F1352" s="108" t="s">
        <v>777</v>
      </c>
      <c r="G1352" s="131" t="s">
        <v>9</v>
      </c>
      <c r="H1352" s="105">
        <f>H1353</f>
        <v>0</v>
      </c>
      <c r="L1352" s="26">
        <v>15996.87</v>
      </c>
      <c r="M1352" s="26">
        <v>6996.87</v>
      </c>
      <c r="N1352" s="26">
        <v>6996.87</v>
      </c>
      <c r="O1352" s="26">
        <f>H1352-L1352</f>
        <v>-15996.87</v>
      </c>
      <c r="P1352" s="26" t="e">
        <f>#REF!-M1352</f>
        <v>#REF!</v>
      </c>
      <c r="Q1352" s="26" t="e">
        <f>#REF!-N1352</f>
        <v>#REF!</v>
      </c>
      <c r="R1352" s="17" t="str">
        <f t="shared" si="145"/>
        <v>04 3 04 21080000</v>
      </c>
    </row>
    <row r="1353" spans="1:18" s="16" customFormat="1" ht="31.5">
      <c r="A1353" s="14"/>
      <c r="B1353" s="125" t="s">
        <v>28</v>
      </c>
      <c r="C1353" s="109" t="s">
        <v>783</v>
      </c>
      <c r="D1353" s="108" t="s">
        <v>86</v>
      </c>
      <c r="E1353" s="108" t="s">
        <v>13</v>
      </c>
      <c r="F1353" s="108" t="s">
        <v>777</v>
      </c>
      <c r="G1353" s="108" t="s">
        <v>29</v>
      </c>
      <c r="H1353" s="126">
        <f>H1354</f>
        <v>0</v>
      </c>
      <c r="L1353" s="20">
        <v>15996.87</v>
      </c>
      <c r="M1353" s="20">
        <v>6996.87</v>
      </c>
      <c r="N1353" s="20">
        <v>6996.87</v>
      </c>
      <c r="O1353" s="20">
        <f>H1353-L1353</f>
        <v>-15996.87</v>
      </c>
      <c r="P1353" s="20" t="e">
        <f>#REF!-M1353</f>
        <v>#REF!</v>
      </c>
      <c r="Q1353" s="20" t="e">
        <f>#REF!-N1353</f>
        <v>#REF!</v>
      </c>
      <c r="R1353" s="17" t="str">
        <f t="shared" si="145"/>
        <v>04 3 04 21080240</v>
      </c>
    </row>
    <row r="1354" spans="1:18" s="16" customFormat="1" ht="15.75">
      <c r="A1354" s="14"/>
      <c r="B1354" s="125" t="s">
        <v>30</v>
      </c>
      <c r="C1354" s="109" t="s">
        <v>783</v>
      </c>
      <c r="D1354" s="108" t="s">
        <v>86</v>
      </c>
      <c r="E1354" s="108" t="s">
        <v>13</v>
      </c>
      <c r="F1354" s="108" t="s">
        <v>777</v>
      </c>
      <c r="G1354" s="108" t="s">
        <v>31</v>
      </c>
      <c r="H1354" s="126"/>
      <c r="L1354" s="20"/>
      <c r="M1354" s="20"/>
      <c r="N1354" s="20"/>
      <c r="O1354" s="20"/>
      <c r="P1354" s="20"/>
      <c r="Q1354" s="20"/>
      <c r="R1354" s="17"/>
    </row>
    <row r="1355" spans="1:18" s="16" customFormat="1" ht="63">
      <c r="A1355" s="14"/>
      <c r="B1355" s="140" t="s">
        <v>87</v>
      </c>
      <c r="C1355" s="109" t="s">
        <v>783</v>
      </c>
      <c r="D1355" s="131" t="s">
        <v>86</v>
      </c>
      <c r="E1355" s="131" t="s">
        <v>13</v>
      </c>
      <c r="F1355" s="131" t="s">
        <v>88</v>
      </c>
      <c r="G1355" s="131" t="s">
        <v>9</v>
      </c>
      <c r="H1355" s="105">
        <f>H1356</f>
        <v>0</v>
      </c>
      <c r="L1355" s="26">
        <v>2000</v>
      </c>
      <c r="M1355" s="26">
        <v>0</v>
      </c>
      <c r="N1355" s="26">
        <v>0</v>
      </c>
      <c r="O1355" s="26">
        <f>H1355-L1355</f>
        <v>-2000</v>
      </c>
      <c r="P1355" s="26" t="e">
        <f>#REF!-M1355</f>
        <v>#REF!</v>
      </c>
      <c r="Q1355" s="26" t="e">
        <f>#REF!-N1355</f>
        <v>#REF!</v>
      </c>
      <c r="R1355" s="17" t="str">
        <f t="shared" si="145"/>
        <v>98 0 00 00000000</v>
      </c>
    </row>
    <row r="1356" spans="1:18" s="16" customFormat="1" ht="15.75">
      <c r="A1356" s="14"/>
      <c r="B1356" s="140" t="s">
        <v>89</v>
      </c>
      <c r="C1356" s="109" t="s">
        <v>783</v>
      </c>
      <c r="D1356" s="131" t="s">
        <v>86</v>
      </c>
      <c r="E1356" s="131" t="s">
        <v>13</v>
      </c>
      <c r="F1356" s="131" t="s">
        <v>90</v>
      </c>
      <c r="G1356" s="131" t="s">
        <v>9</v>
      </c>
      <c r="H1356" s="105">
        <f>H1357</f>
        <v>0</v>
      </c>
      <c r="L1356" s="26">
        <v>2000</v>
      </c>
      <c r="M1356" s="26">
        <v>0</v>
      </c>
      <c r="N1356" s="26">
        <v>0</v>
      </c>
      <c r="O1356" s="26">
        <f>H1356-L1356</f>
        <v>-2000</v>
      </c>
      <c r="P1356" s="26" t="e">
        <f>#REF!-M1356</f>
        <v>#REF!</v>
      </c>
      <c r="Q1356" s="26" t="e">
        <f>#REF!-N1356</f>
        <v>#REF!</v>
      </c>
      <c r="R1356" s="17" t="str">
        <f t="shared" si="145"/>
        <v>98 1 00 00000000</v>
      </c>
    </row>
    <row r="1357" spans="1:18" s="16" customFormat="1" ht="31.5">
      <c r="A1357" s="14"/>
      <c r="B1357" s="125" t="s">
        <v>778</v>
      </c>
      <c r="C1357" s="109" t="s">
        <v>783</v>
      </c>
      <c r="D1357" s="131" t="s">
        <v>86</v>
      </c>
      <c r="E1357" s="131" t="s">
        <v>13</v>
      </c>
      <c r="F1357" s="131" t="s">
        <v>779</v>
      </c>
      <c r="G1357" s="131" t="s">
        <v>9</v>
      </c>
      <c r="H1357" s="105">
        <f>H1358</f>
        <v>0</v>
      </c>
      <c r="L1357" s="26">
        <v>2000</v>
      </c>
      <c r="M1357" s="26">
        <v>0</v>
      </c>
      <c r="N1357" s="26">
        <v>0</v>
      </c>
      <c r="O1357" s="26">
        <f>H1357-L1357</f>
        <v>-2000</v>
      </c>
      <c r="P1357" s="26" t="e">
        <f>#REF!-M1357</f>
        <v>#REF!</v>
      </c>
      <c r="Q1357" s="26" t="e">
        <f>#REF!-N1357</f>
        <v>#REF!</v>
      </c>
      <c r="R1357" s="17" t="str">
        <f t="shared" si="145"/>
        <v>98 1 00 21450000</v>
      </c>
    </row>
    <row r="1358" spans="1:18" s="16" customFormat="1" ht="31.5">
      <c r="A1358" s="14"/>
      <c r="B1358" s="125" t="s">
        <v>28</v>
      </c>
      <c r="C1358" s="109" t="s">
        <v>783</v>
      </c>
      <c r="D1358" s="131" t="s">
        <v>86</v>
      </c>
      <c r="E1358" s="131" t="s">
        <v>13</v>
      </c>
      <c r="F1358" s="131" t="s">
        <v>779</v>
      </c>
      <c r="G1358" s="131" t="s">
        <v>29</v>
      </c>
      <c r="H1358" s="126">
        <f>H1359</f>
        <v>0</v>
      </c>
      <c r="L1358" s="26">
        <v>2000</v>
      </c>
      <c r="M1358" s="26">
        <v>0</v>
      </c>
      <c r="N1358" s="26">
        <v>0</v>
      </c>
      <c r="O1358" s="26">
        <f>H1358-L1358</f>
        <v>-2000</v>
      </c>
      <c r="P1358" s="26" t="e">
        <f>#REF!-M1358</f>
        <v>#REF!</v>
      </c>
      <c r="Q1358" s="26" t="e">
        <f>#REF!-N1358</f>
        <v>#REF!</v>
      </c>
      <c r="R1358" s="17" t="str">
        <f t="shared" si="145"/>
        <v>98 1 00 21450240</v>
      </c>
    </row>
    <row r="1359" spans="1:18" s="16" customFormat="1" ht="15.75">
      <c r="A1359" s="14"/>
      <c r="B1359" s="125" t="s">
        <v>30</v>
      </c>
      <c r="C1359" s="109" t="s">
        <v>783</v>
      </c>
      <c r="D1359" s="131" t="s">
        <v>86</v>
      </c>
      <c r="E1359" s="131" t="s">
        <v>13</v>
      </c>
      <c r="F1359" s="131" t="s">
        <v>779</v>
      </c>
      <c r="G1359" s="131" t="s">
        <v>31</v>
      </c>
      <c r="H1359" s="126"/>
      <c r="L1359" s="26"/>
      <c r="M1359" s="26"/>
      <c r="N1359" s="26"/>
      <c r="O1359" s="26"/>
      <c r="P1359" s="26"/>
      <c r="Q1359" s="26"/>
      <c r="R1359" s="17"/>
    </row>
    <row r="1360" spans="1:18" s="16" customFormat="1" ht="15.75">
      <c r="A1360" s="14"/>
      <c r="B1360" s="117" t="s">
        <v>237</v>
      </c>
      <c r="C1360" s="118" t="s">
        <v>783</v>
      </c>
      <c r="D1360" s="119" t="s">
        <v>238</v>
      </c>
      <c r="E1360" s="119" t="s">
        <v>7</v>
      </c>
      <c r="F1360" s="119" t="s">
        <v>8</v>
      </c>
      <c r="G1360" s="119" t="s">
        <v>9</v>
      </c>
      <c r="H1360" s="120">
        <f t="shared" ref="H1360:H1363" si="158">H1361</f>
        <v>0</v>
      </c>
      <c r="L1360" s="18">
        <v>1480</v>
      </c>
      <c r="M1360" s="18">
        <v>1480</v>
      </c>
      <c r="N1360" s="18">
        <v>1480</v>
      </c>
      <c r="O1360" s="18">
        <f t="shared" ref="O1360:O1366" si="159">H1360-L1360</f>
        <v>-1480</v>
      </c>
      <c r="P1360" s="18" t="e">
        <f>#REF!-M1360</f>
        <v>#REF!</v>
      </c>
      <c r="Q1360" s="18" t="e">
        <f>#REF!-N1360</f>
        <v>#REF!</v>
      </c>
      <c r="R1360" s="17" t="str">
        <f t="shared" si="145"/>
        <v>00 0 00 00000000</v>
      </c>
    </row>
    <row r="1361" spans="1:18" s="16" customFormat="1" ht="15.75">
      <c r="A1361" s="14"/>
      <c r="B1361" s="121" t="s">
        <v>239</v>
      </c>
      <c r="C1361" s="122" t="s">
        <v>783</v>
      </c>
      <c r="D1361" s="123" t="s">
        <v>238</v>
      </c>
      <c r="E1361" s="123" t="s">
        <v>11</v>
      </c>
      <c r="F1361" s="123" t="s">
        <v>8</v>
      </c>
      <c r="G1361" s="123" t="s">
        <v>9</v>
      </c>
      <c r="H1361" s="124">
        <f t="shared" si="158"/>
        <v>0</v>
      </c>
      <c r="L1361" s="19">
        <v>1480</v>
      </c>
      <c r="M1361" s="19">
        <v>1480</v>
      </c>
      <c r="N1361" s="19">
        <v>1480</v>
      </c>
      <c r="O1361" s="19">
        <f t="shared" si="159"/>
        <v>-1480</v>
      </c>
      <c r="P1361" s="19" t="e">
        <f>#REF!-M1361</f>
        <v>#REF!</v>
      </c>
      <c r="Q1361" s="19" t="e">
        <f>#REF!-N1361</f>
        <v>#REF!</v>
      </c>
      <c r="R1361" s="17" t="str">
        <f t="shared" si="145"/>
        <v>00 0 00 00000000</v>
      </c>
    </row>
    <row r="1362" spans="1:18" s="16" customFormat="1" ht="31.5">
      <c r="A1362" s="14"/>
      <c r="B1362" s="125" t="s">
        <v>240</v>
      </c>
      <c r="C1362" s="109" t="s">
        <v>783</v>
      </c>
      <c r="D1362" s="108" t="s">
        <v>238</v>
      </c>
      <c r="E1362" s="108" t="s">
        <v>11</v>
      </c>
      <c r="F1362" s="108" t="s">
        <v>241</v>
      </c>
      <c r="G1362" s="108" t="s">
        <v>9</v>
      </c>
      <c r="H1362" s="126">
        <f t="shared" si="158"/>
        <v>0</v>
      </c>
      <c r="L1362" s="20">
        <v>1480</v>
      </c>
      <c r="M1362" s="20">
        <v>1480</v>
      </c>
      <c r="N1362" s="20">
        <v>1480</v>
      </c>
      <c r="O1362" s="20">
        <f t="shared" si="159"/>
        <v>-1480</v>
      </c>
      <c r="P1362" s="20" t="e">
        <f>#REF!-M1362</f>
        <v>#REF!</v>
      </c>
      <c r="Q1362" s="20" t="e">
        <f>#REF!-N1362</f>
        <v>#REF!</v>
      </c>
      <c r="R1362" s="17" t="str">
        <f t="shared" si="145"/>
        <v>07 0 00 00000000</v>
      </c>
    </row>
    <row r="1363" spans="1:18" s="16" customFormat="1" ht="78.75">
      <c r="A1363" s="14"/>
      <c r="B1363" s="127" t="s">
        <v>384</v>
      </c>
      <c r="C1363" s="109" t="s">
        <v>783</v>
      </c>
      <c r="D1363" s="108" t="s">
        <v>238</v>
      </c>
      <c r="E1363" s="108" t="s">
        <v>11</v>
      </c>
      <c r="F1363" s="108" t="s">
        <v>243</v>
      </c>
      <c r="G1363" s="108" t="s">
        <v>9</v>
      </c>
      <c r="H1363" s="126">
        <f t="shared" si="158"/>
        <v>0</v>
      </c>
      <c r="L1363" s="20">
        <v>1480</v>
      </c>
      <c r="M1363" s="20">
        <v>1480</v>
      </c>
      <c r="N1363" s="20">
        <v>1480</v>
      </c>
      <c r="O1363" s="20">
        <f t="shared" si="159"/>
        <v>-1480</v>
      </c>
      <c r="P1363" s="20" t="e">
        <f>#REF!-M1363</f>
        <v>#REF!</v>
      </c>
      <c r="Q1363" s="20" t="e">
        <f>#REF!-N1363</f>
        <v>#REF!</v>
      </c>
      <c r="R1363" s="17" t="str">
        <f t="shared" si="145"/>
        <v>07 1 00 00000000</v>
      </c>
    </row>
    <row r="1364" spans="1:18" s="16" customFormat="1" ht="110.25">
      <c r="A1364" s="14"/>
      <c r="B1364" s="140" t="s">
        <v>244</v>
      </c>
      <c r="C1364" s="130" t="s">
        <v>783</v>
      </c>
      <c r="D1364" s="131" t="s">
        <v>238</v>
      </c>
      <c r="E1364" s="131" t="s">
        <v>11</v>
      </c>
      <c r="F1364" s="131" t="s">
        <v>245</v>
      </c>
      <c r="G1364" s="131" t="s">
        <v>9</v>
      </c>
      <c r="H1364" s="105">
        <f>H1365+H1368</f>
        <v>0</v>
      </c>
      <c r="L1364" s="26">
        <v>1480</v>
      </c>
      <c r="M1364" s="26">
        <v>1480</v>
      </c>
      <c r="N1364" s="26">
        <v>1480</v>
      </c>
      <c r="O1364" s="26">
        <f t="shared" si="159"/>
        <v>-1480</v>
      </c>
      <c r="P1364" s="26" t="e">
        <f>#REF!-M1364</f>
        <v>#REF!</v>
      </c>
      <c r="Q1364" s="26" t="e">
        <f>#REF!-N1364</f>
        <v>#REF!</v>
      </c>
      <c r="R1364" s="17" t="str">
        <f t="shared" si="145"/>
        <v>07 1 01 00000000</v>
      </c>
    </row>
    <row r="1365" spans="1:18" s="16" customFormat="1" ht="31.5">
      <c r="A1365" s="14"/>
      <c r="B1365" s="125" t="s">
        <v>246</v>
      </c>
      <c r="C1365" s="109" t="s">
        <v>783</v>
      </c>
      <c r="D1365" s="108" t="s">
        <v>238</v>
      </c>
      <c r="E1365" s="108" t="s">
        <v>11</v>
      </c>
      <c r="F1365" s="108" t="s">
        <v>247</v>
      </c>
      <c r="G1365" s="108" t="s">
        <v>9</v>
      </c>
      <c r="H1365" s="126">
        <f>H1366</f>
        <v>0</v>
      </c>
      <c r="L1365" s="20">
        <v>919</v>
      </c>
      <c r="M1365" s="20">
        <v>919</v>
      </c>
      <c r="N1365" s="20">
        <v>919</v>
      </c>
      <c r="O1365" s="20">
        <f t="shared" si="159"/>
        <v>-919</v>
      </c>
      <c r="P1365" s="20" t="e">
        <f>#REF!-M1365</f>
        <v>#REF!</v>
      </c>
      <c r="Q1365" s="20" t="e">
        <f>#REF!-N1365</f>
        <v>#REF!</v>
      </c>
      <c r="R1365" s="17" t="str">
        <f t="shared" si="145"/>
        <v>07 1 01 20060000</v>
      </c>
    </row>
    <row r="1366" spans="1:18" s="16" customFormat="1" ht="31.5">
      <c r="A1366" s="14"/>
      <c r="B1366" s="125" t="s">
        <v>28</v>
      </c>
      <c r="C1366" s="109" t="s">
        <v>783</v>
      </c>
      <c r="D1366" s="108" t="s">
        <v>238</v>
      </c>
      <c r="E1366" s="108" t="s">
        <v>11</v>
      </c>
      <c r="F1366" s="108" t="s">
        <v>247</v>
      </c>
      <c r="G1366" s="108" t="s">
        <v>29</v>
      </c>
      <c r="H1366" s="126">
        <f>H1367</f>
        <v>0</v>
      </c>
      <c r="L1366" s="20">
        <v>919</v>
      </c>
      <c r="M1366" s="20">
        <v>919</v>
      </c>
      <c r="N1366" s="20">
        <v>919</v>
      </c>
      <c r="O1366" s="20">
        <f t="shared" si="159"/>
        <v>-919</v>
      </c>
      <c r="P1366" s="20" t="e">
        <f>#REF!-M1366</f>
        <v>#REF!</v>
      </c>
      <c r="Q1366" s="20" t="e">
        <f>#REF!-N1366</f>
        <v>#REF!</v>
      </c>
      <c r="R1366" s="17" t="str">
        <f t="shared" si="145"/>
        <v>07 1 01 20060240</v>
      </c>
    </row>
    <row r="1367" spans="1:18" s="16" customFormat="1" ht="15.75">
      <c r="A1367" s="14"/>
      <c r="B1367" s="125" t="s">
        <v>30</v>
      </c>
      <c r="C1367" s="109" t="s">
        <v>783</v>
      </c>
      <c r="D1367" s="108" t="s">
        <v>238</v>
      </c>
      <c r="E1367" s="108" t="s">
        <v>11</v>
      </c>
      <c r="F1367" s="108" t="s">
        <v>247</v>
      </c>
      <c r="G1367" s="108" t="s">
        <v>31</v>
      </c>
      <c r="H1367" s="126"/>
      <c r="L1367" s="20"/>
      <c r="M1367" s="20"/>
      <c r="N1367" s="20"/>
      <c r="O1367" s="20"/>
      <c r="P1367" s="20"/>
      <c r="Q1367" s="20"/>
      <c r="R1367" s="17"/>
    </row>
    <row r="1368" spans="1:18" s="16" customFormat="1" ht="47.25">
      <c r="A1368" s="14"/>
      <c r="B1368" s="127" t="s">
        <v>780</v>
      </c>
      <c r="C1368" s="109" t="s">
        <v>783</v>
      </c>
      <c r="D1368" s="108" t="s">
        <v>238</v>
      </c>
      <c r="E1368" s="108" t="s">
        <v>11</v>
      </c>
      <c r="F1368" s="108" t="s">
        <v>781</v>
      </c>
      <c r="G1368" s="108" t="s">
        <v>9</v>
      </c>
      <c r="H1368" s="126">
        <f>H1369</f>
        <v>0</v>
      </c>
      <c r="L1368" s="20">
        <v>561</v>
      </c>
      <c r="M1368" s="20">
        <v>561</v>
      </c>
      <c r="N1368" s="20">
        <v>561</v>
      </c>
      <c r="O1368" s="20">
        <f>H1368-L1368</f>
        <v>-561</v>
      </c>
      <c r="P1368" s="20" t="e">
        <f>#REF!-M1368</f>
        <v>#REF!</v>
      </c>
      <c r="Q1368" s="20" t="e">
        <f>#REF!-N1368</f>
        <v>#REF!</v>
      </c>
      <c r="R1368" s="17" t="str">
        <f t="shared" si="145"/>
        <v>07 1 01 21130000</v>
      </c>
    </row>
    <row r="1369" spans="1:18" s="16" customFormat="1" ht="31.5">
      <c r="A1369" s="14"/>
      <c r="B1369" s="125" t="s">
        <v>28</v>
      </c>
      <c r="C1369" s="109" t="s">
        <v>783</v>
      </c>
      <c r="D1369" s="108" t="s">
        <v>238</v>
      </c>
      <c r="E1369" s="108" t="s">
        <v>11</v>
      </c>
      <c r="F1369" s="108" t="s">
        <v>781</v>
      </c>
      <c r="G1369" s="108" t="s">
        <v>29</v>
      </c>
      <c r="H1369" s="126">
        <f>H1370</f>
        <v>0</v>
      </c>
      <c r="L1369" s="20">
        <v>561</v>
      </c>
      <c r="M1369" s="20">
        <v>561</v>
      </c>
      <c r="N1369" s="20">
        <v>561</v>
      </c>
      <c r="O1369" s="20">
        <f>H1369-L1369</f>
        <v>-561</v>
      </c>
      <c r="P1369" s="20" t="e">
        <f>#REF!-M1369</f>
        <v>#REF!</v>
      </c>
      <c r="Q1369" s="20" t="e">
        <f>#REF!-N1369</f>
        <v>#REF!</v>
      </c>
      <c r="R1369" s="17" t="str">
        <f t="shared" si="145"/>
        <v>07 1 01 21130240</v>
      </c>
    </row>
    <row r="1370" spans="1:18" s="16" customFormat="1" ht="15.75">
      <c r="A1370" s="14"/>
      <c r="B1370" s="125" t="s">
        <v>30</v>
      </c>
      <c r="C1370" s="109" t="s">
        <v>783</v>
      </c>
      <c r="D1370" s="108" t="s">
        <v>238</v>
      </c>
      <c r="E1370" s="108" t="s">
        <v>11</v>
      </c>
      <c r="F1370" s="108" t="s">
        <v>781</v>
      </c>
      <c r="G1370" s="108" t="s">
        <v>31</v>
      </c>
      <c r="H1370" s="126"/>
      <c r="L1370" s="20"/>
      <c r="M1370" s="20"/>
      <c r="N1370" s="20"/>
      <c r="O1370" s="20"/>
      <c r="P1370" s="20"/>
      <c r="Q1370" s="20"/>
      <c r="R1370" s="17"/>
    </row>
    <row r="1371" spans="1:18" s="16" customFormat="1" ht="15.75">
      <c r="A1371" s="14"/>
      <c r="B1371" s="129"/>
      <c r="C1371" s="109"/>
      <c r="D1371" s="108"/>
      <c r="E1371" s="108"/>
      <c r="F1371" s="108"/>
      <c r="G1371" s="108"/>
      <c r="H1371" s="126"/>
      <c r="L1371" s="20"/>
      <c r="M1371" s="20"/>
      <c r="N1371" s="20"/>
      <c r="O1371" s="20">
        <f t="shared" ref="O1371:O1378" si="160">H1371-L1371</f>
        <v>0</v>
      </c>
      <c r="P1371" s="20" t="e">
        <f>#REF!-M1371</f>
        <v>#REF!</v>
      </c>
      <c r="Q1371" s="20" t="e">
        <f>#REF!-N1371</f>
        <v>#REF!</v>
      </c>
      <c r="R1371" s="17" t="str">
        <f t="shared" ref="R1371:R1467" si="161">CONCATENATE(F1371,G1371)</f>
        <v/>
      </c>
    </row>
    <row r="1372" spans="1:18" s="16" customFormat="1" ht="31.5">
      <c r="A1372" s="14"/>
      <c r="B1372" s="67" t="s">
        <v>794</v>
      </c>
      <c r="C1372" s="116" t="s">
        <v>795</v>
      </c>
      <c r="D1372" s="69" t="s">
        <v>7</v>
      </c>
      <c r="E1372" s="69" t="s">
        <v>7</v>
      </c>
      <c r="F1372" s="156" t="s">
        <v>8</v>
      </c>
      <c r="G1372" s="69" t="s">
        <v>9</v>
      </c>
      <c r="H1372" s="70">
        <f>H1373+H1418+H1429+H1453</f>
        <v>0</v>
      </c>
      <c r="L1372" s="25">
        <v>194853.65</v>
      </c>
      <c r="M1372" s="25">
        <v>199261.83000000002</v>
      </c>
      <c r="N1372" s="25">
        <v>211041.97000000003</v>
      </c>
      <c r="O1372" s="25">
        <f t="shared" si="160"/>
        <v>-194853.65</v>
      </c>
      <c r="P1372" s="25" t="e">
        <f>#REF!-M1372</f>
        <v>#REF!</v>
      </c>
      <c r="Q1372" s="25" t="e">
        <f>#REF!-N1372</f>
        <v>#REF!</v>
      </c>
      <c r="R1372" s="17" t="str">
        <f t="shared" si="161"/>
        <v>00 0 00 00000000</v>
      </c>
    </row>
    <row r="1373" spans="1:18" s="16" customFormat="1" ht="15.75">
      <c r="A1373" s="14"/>
      <c r="B1373" s="117" t="s">
        <v>10</v>
      </c>
      <c r="C1373" s="118" t="s">
        <v>795</v>
      </c>
      <c r="D1373" s="119" t="s">
        <v>11</v>
      </c>
      <c r="E1373" s="119" t="s">
        <v>7</v>
      </c>
      <c r="F1373" s="119" t="s">
        <v>8</v>
      </c>
      <c r="G1373" s="119" t="s">
        <v>9</v>
      </c>
      <c r="H1373" s="120">
        <f>H1374+H1400</f>
        <v>0</v>
      </c>
      <c r="L1373" s="18">
        <v>44007.149999999994</v>
      </c>
      <c r="M1373" s="18">
        <v>43253.189999999995</v>
      </c>
      <c r="N1373" s="18">
        <v>43253.189999999995</v>
      </c>
      <c r="O1373" s="18">
        <f t="shared" si="160"/>
        <v>-44007.149999999994</v>
      </c>
      <c r="P1373" s="18" t="e">
        <f>#REF!-M1373</f>
        <v>#REF!</v>
      </c>
      <c r="Q1373" s="18" t="e">
        <f>#REF!-N1373</f>
        <v>#REF!</v>
      </c>
      <c r="R1373" s="17" t="str">
        <f t="shared" si="161"/>
        <v>00 0 00 00000000</v>
      </c>
    </row>
    <row r="1374" spans="1:18" s="16" customFormat="1" ht="63">
      <c r="A1374" s="14"/>
      <c r="B1374" s="121" t="s">
        <v>72</v>
      </c>
      <c r="C1374" s="122" t="s">
        <v>795</v>
      </c>
      <c r="D1374" s="123" t="s">
        <v>11</v>
      </c>
      <c r="E1374" s="123" t="s">
        <v>73</v>
      </c>
      <c r="F1374" s="123" t="s">
        <v>8</v>
      </c>
      <c r="G1374" s="123" t="s">
        <v>9</v>
      </c>
      <c r="H1374" s="124">
        <f t="shared" ref="H1374:H1375" si="162">H1375</f>
        <v>0</v>
      </c>
      <c r="L1374" s="19">
        <v>42676.389999999992</v>
      </c>
      <c r="M1374" s="19">
        <v>42676.389999999992</v>
      </c>
      <c r="N1374" s="19">
        <v>42676.389999999992</v>
      </c>
      <c r="O1374" s="19">
        <f t="shared" si="160"/>
        <v>-42676.389999999992</v>
      </c>
      <c r="P1374" s="19" t="e">
        <f>#REF!-M1374</f>
        <v>#REF!</v>
      </c>
      <c r="Q1374" s="19" t="e">
        <f>#REF!-N1374</f>
        <v>#REF!</v>
      </c>
      <c r="R1374" s="17" t="str">
        <f t="shared" si="161"/>
        <v>00 0 00 00000000</v>
      </c>
    </row>
    <row r="1375" spans="1:18" s="16" customFormat="1" ht="31.5">
      <c r="A1375" s="14"/>
      <c r="B1375" s="125" t="s">
        <v>796</v>
      </c>
      <c r="C1375" s="108" t="s">
        <v>795</v>
      </c>
      <c r="D1375" s="108" t="s">
        <v>11</v>
      </c>
      <c r="E1375" s="108" t="s">
        <v>73</v>
      </c>
      <c r="F1375" s="108" t="s">
        <v>797</v>
      </c>
      <c r="G1375" s="108" t="s">
        <v>9</v>
      </c>
      <c r="H1375" s="126">
        <f t="shared" si="162"/>
        <v>0</v>
      </c>
      <c r="L1375" s="20">
        <v>42676.389999999992</v>
      </c>
      <c r="M1375" s="20">
        <v>42676.389999999992</v>
      </c>
      <c r="N1375" s="20">
        <v>42676.389999999992</v>
      </c>
      <c r="O1375" s="20">
        <f t="shared" si="160"/>
        <v>-42676.389999999992</v>
      </c>
      <c r="P1375" s="20" t="e">
        <f>#REF!-M1375</f>
        <v>#REF!</v>
      </c>
      <c r="Q1375" s="20" t="e">
        <f>#REF!-N1375</f>
        <v>#REF!</v>
      </c>
      <c r="R1375" s="17" t="str">
        <f t="shared" si="161"/>
        <v>82 0 00 00000000</v>
      </c>
    </row>
    <row r="1376" spans="1:18" s="16" customFormat="1" ht="47.25">
      <c r="A1376" s="14"/>
      <c r="B1376" s="125" t="s">
        <v>798</v>
      </c>
      <c r="C1376" s="108" t="s">
        <v>795</v>
      </c>
      <c r="D1376" s="108" t="s">
        <v>11</v>
      </c>
      <c r="E1376" s="108" t="s">
        <v>73</v>
      </c>
      <c r="F1376" s="108" t="s">
        <v>799</v>
      </c>
      <c r="G1376" s="108" t="s">
        <v>9</v>
      </c>
      <c r="H1376" s="105">
        <f>H1397+H1390+H1386+H1377</f>
        <v>0</v>
      </c>
      <c r="L1376" s="26">
        <v>42676.389999999992</v>
      </c>
      <c r="M1376" s="26">
        <v>42676.389999999992</v>
      </c>
      <c r="N1376" s="26">
        <v>42676.389999999992</v>
      </c>
      <c r="O1376" s="26">
        <f t="shared" si="160"/>
        <v>-42676.389999999992</v>
      </c>
      <c r="P1376" s="26" t="e">
        <f>#REF!-M1376</f>
        <v>#REF!</v>
      </c>
      <c r="Q1376" s="26" t="e">
        <f>#REF!-N1376</f>
        <v>#REF!</v>
      </c>
      <c r="R1376" s="17" t="str">
        <f t="shared" si="161"/>
        <v>82 1 00 00000000</v>
      </c>
    </row>
    <row r="1377" spans="1:18" s="16" customFormat="1" ht="31.5">
      <c r="A1377" s="14"/>
      <c r="B1377" s="125" t="s">
        <v>18</v>
      </c>
      <c r="C1377" s="108" t="s">
        <v>795</v>
      </c>
      <c r="D1377" s="108" t="s">
        <v>11</v>
      </c>
      <c r="E1377" s="108" t="s">
        <v>73</v>
      </c>
      <c r="F1377" s="108" t="s">
        <v>800</v>
      </c>
      <c r="G1377" s="108" t="s">
        <v>9</v>
      </c>
      <c r="H1377" s="105">
        <f>H1378+H1381+H1383</f>
        <v>0</v>
      </c>
      <c r="L1377" s="26">
        <v>5112.3100000000004</v>
      </c>
      <c r="M1377" s="26">
        <v>5112.3100000000004</v>
      </c>
      <c r="N1377" s="26">
        <v>5112.3100000000004</v>
      </c>
      <c r="O1377" s="26">
        <f t="shared" si="160"/>
        <v>-5112.3100000000004</v>
      </c>
      <c r="P1377" s="26" t="e">
        <f>#REF!-M1377</f>
        <v>#REF!</v>
      </c>
      <c r="Q1377" s="26" t="e">
        <f>#REF!-N1377</f>
        <v>#REF!</v>
      </c>
      <c r="R1377" s="17" t="str">
        <f t="shared" si="161"/>
        <v>82 1 00 10010000</v>
      </c>
    </row>
    <row r="1378" spans="1:18" s="50" customFormat="1" ht="31.5">
      <c r="A1378" s="49"/>
      <c r="B1378" s="129" t="s">
        <v>20</v>
      </c>
      <c r="C1378" s="131" t="s">
        <v>795</v>
      </c>
      <c r="D1378" s="131" t="s">
        <v>11</v>
      </c>
      <c r="E1378" s="131" t="s">
        <v>73</v>
      </c>
      <c r="F1378" s="108" t="s">
        <v>800</v>
      </c>
      <c r="G1378" s="131" t="s">
        <v>21</v>
      </c>
      <c r="H1378" s="126">
        <f>SUM(H1379:H1380)</f>
        <v>0</v>
      </c>
      <c r="L1378" s="26">
        <v>836.55</v>
      </c>
      <c r="M1378" s="26">
        <v>836.55</v>
      </c>
      <c r="N1378" s="26">
        <v>836.55</v>
      </c>
      <c r="O1378" s="26">
        <f t="shared" si="160"/>
        <v>-836.55</v>
      </c>
      <c r="P1378" s="26" t="e">
        <f>#REF!-M1378</f>
        <v>#REF!</v>
      </c>
      <c r="Q1378" s="26" t="e">
        <f>#REF!-N1378</f>
        <v>#REF!</v>
      </c>
      <c r="R1378" s="17" t="str">
        <f t="shared" si="161"/>
        <v>82 1 00 10010120</v>
      </c>
    </row>
    <row r="1379" spans="1:18" s="23" customFormat="1" ht="47.25">
      <c r="A1379" s="21"/>
      <c r="B1379" s="127" t="s">
        <v>22</v>
      </c>
      <c r="C1379" s="131" t="s">
        <v>795</v>
      </c>
      <c r="D1379" s="131" t="s">
        <v>11</v>
      </c>
      <c r="E1379" s="131" t="s">
        <v>73</v>
      </c>
      <c r="F1379" s="108" t="s">
        <v>800</v>
      </c>
      <c r="G1379" s="108" t="s">
        <v>23</v>
      </c>
      <c r="H1379" s="126"/>
      <c r="L1379" s="22"/>
      <c r="M1379" s="22"/>
      <c r="N1379" s="22"/>
      <c r="O1379" s="22"/>
      <c r="P1379" s="22"/>
      <c r="Q1379" s="22"/>
      <c r="R1379" s="24"/>
    </row>
    <row r="1380" spans="1:18" s="23" customFormat="1" ht="63">
      <c r="A1380" s="21"/>
      <c r="B1380" s="127" t="s">
        <v>26</v>
      </c>
      <c r="C1380" s="131" t="s">
        <v>795</v>
      </c>
      <c r="D1380" s="131" t="s">
        <v>11</v>
      </c>
      <c r="E1380" s="131" t="s">
        <v>73</v>
      </c>
      <c r="F1380" s="108" t="s">
        <v>800</v>
      </c>
      <c r="G1380" s="108" t="s">
        <v>27</v>
      </c>
      <c r="H1380" s="126"/>
      <c r="L1380" s="22"/>
      <c r="M1380" s="22"/>
      <c r="N1380" s="22"/>
      <c r="O1380" s="22"/>
      <c r="P1380" s="22"/>
      <c r="Q1380" s="22"/>
      <c r="R1380" s="24"/>
    </row>
    <row r="1381" spans="1:18" s="16" customFormat="1" ht="31.5">
      <c r="A1381" s="14"/>
      <c r="B1381" s="125" t="s">
        <v>28</v>
      </c>
      <c r="C1381" s="131" t="s">
        <v>795</v>
      </c>
      <c r="D1381" s="131" t="s">
        <v>11</v>
      </c>
      <c r="E1381" s="131" t="s">
        <v>73</v>
      </c>
      <c r="F1381" s="108" t="s">
        <v>800</v>
      </c>
      <c r="G1381" s="108" t="s">
        <v>29</v>
      </c>
      <c r="H1381" s="126">
        <f>H1382</f>
        <v>0</v>
      </c>
      <c r="L1381" s="26">
        <v>3935.76</v>
      </c>
      <c r="M1381" s="26">
        <v>3935.76</v>
      </c>
      <c r="N1381" s="26">
        <v>3935.76</v>
      </c>
      <c r="O1381" s="26">
        <f>H1381-L1381</f>
        <v>-3935.76</v>
      </c>
      <c r="P1381" s="26" t="e">
        <f>#REF!-M1381</f>
        <v>#REF!</v>
      </c>
      <c r="Q1381" s="26" t="e">
        <f>#REF!-N1381</f>
        <v>#REF!</v>
      </c>
      <c r="R1381" s="17" t="str">
        <f t="shared" si="161"/>
        <v>82 1 00 10010240</v>
      </c>
    </row>
    <row r="1382" spans="1:18" s="16" customFormat="1" ht="15.75">
      <c r="A1382" s="14"/>
      <c r="B1382" s="125" t="s">
        <v>30</v>
      </c>
      <c r="C1382" s="131" t="s">
        <v>795</v>
      </c>
      <c r="D1382" s="131" t="s">
        <v>11</v>
      </c>
      <c r="E1382" s="131" t="s">
        <v>73</v>
      </c>
      <c r="F1382" s="108" t="s">
        <v>800</v>
      </c>
      <c r="G1382" s="108" t="s">
        <v>31</v>
      </c>
      <c r="H1382" s="126"/>
      <c r="L1382" s="26"/>
      <c r="M1382" s="26"/>
      <c r="N1382" s="26"/>
      <c r="O1382" s="26"/>
      <c r="P1382" s="26"/>
      <c r="Q1382" s="26"/>
      <c r="R1382" s="17"/>
    </row>
    <row r="1383" spans="1:18" s="16" customFormat="1" ht="15.75">
      <c r="A1383" s="14"/>
      <c r="B1383" s="125" t="s">
        <v>32</v>
      </c>
      <c r="C1383" s="131" t="s">
        <v>795</v>
      </c>
      <c r="D1383" s="131" t="s">
        <v>11</v>
      </c>
      <c r="E1383" s="131" t="s">
        <v>73</v>
      </c>
      <c r="F1383" s="108" t="s">
        <v>800</v>
      </c>
      <c r="G1383" s="131" t="s">
        <v>33</v>
      </c>
      <c r="H1383" s="126">
        <f>SUM(H1384:H1385)</f>
        <v>0</v>
      </c>
      <c r="L1383" s="26">
        <v>340</v>
      </c>
      <c r="M1383" s="26">
        <v>340</v>
      </c>
      <c r="N1383" s="26">
        <v>340</v>
      </c>
      <c r="O1383" s="26">
        <f>H1383-L1383</f>
        <v>-340</v>
      </c>
      <c r="P1383" s="26" t="e">
        <f>#REF!-M1383</f>
        <v>#REF!</v>
      </c>
      <c r="Q1383" s="26" t="e">
        <f>#REF!-N1383</f>
        <v>#REF!</v>
      </c>
      <c r="R1383" s="17" t="str">
        <f t="shared" si="161"/>
        <v>82 1 00 10010850</v>
      </c>
    </row>
    <row r="1384" spans="1:18" s="23" customFormat="1" ht="31.5">
      <c r="A1384" s="21"/>
      <c r="B1384" s="127" t="s">
        <v>34</v>
      </c>
      <c r="C1384" s="131" t="s">
        <v>795</v>
      </c>
      <c r="D1384" s="131" t="s">
        <v>11</v>
      </c>
      <c r="E1384" s="131" t="s">
        <v>73</v>
      </c>
      <c r="F1384" s="108" t="s">
        <v>800</v>
      </c>
      <c r="G1384" s="108" t="s">
        <v>35</v>
      </c>
      <c r="H1384" s="126"/>
      <c r="L1384" s="22"/>
      <c r="M1384" s="22"/>
      <c r="N1384" s="22"/>
      <c r="O1384" s="22"/>
      <c r="P1384" s="22"/>
      <c r="Q1384" s="22"/>
      <c r="R1384" s="24"/>
    </row>
    <row r="1385" spans="1:18" s="23" customFormat="1" ht="15.75">
      <c r="A1385" s="21"/>
      <c r="B1385" s="127" t="s">
        <v>36</v>
      </c>
      <c r="C1385" s="131" t="s">
        <v>795</v>
      </c>
      <c r="D1385" s="131" t="s">
        <v>11</v>
      </c>
      <c r="E1385" s="131" t="s">
        <v>73</v>
      </c>
      <c r="F1385" s="108" t="s">
        <v>800</v>
      </c>
      <c r="G1385" s="108" t="s">
        <v>37</v>
      </c>
      <c r="H1385" s="126"/>
      <c r="L1385" s="22"/>
      <c r="M1385" s="22"/>
      <c r="N1385" s="22"/>
      <c r="O1385" s="22"/>
      <c r="P1385" s="22"/>
      <c r="Q1385" s="22"/>
      <c r="R1385" s="24"/>
    </row>
    <row r="1386" spans="1:18" s="47" customFormat="1" ht="31.5">
      <c r="A1386" s="46"/>
      <c r="B1386" s="129" t="s">
        <v>789</v>
      </c>
      <c r="C1386" s="131" t="s">
        <v>795</v>
      </c>
      <c r="D1386" s="131" t="s">
        <v>11</v>
      </c>
      <c r="E1386" s="131" t="s">
        <v>73</v>
      </c>
      <c r="F1386" s="131" t="s">
        <v>801</v>
      </c>
      <c r="G1386" s="131" t="s">
        <v>9</v>
      </c>
      <c r="H1386" s="105">
        <f>H1387</f>
        <v>0</v>
      </c>
      <c r="L1386" s="26">
        <v>35958.199999999997</v>
      </c>
      <c r="M1386" s="26">
        <v>35958.199999999997</v>
      </c>
      <c r="N1386" s="26">
        <v>35958.199999999997</v>
      </c>
      <c r="O1386" s="26">
        <f>H1386-L1386</f>
        <v>-35958.199999999997</v>
      </c>
      <c r="P1386" s="26" t="e">
        <f>#REF!-M1386</f>
        <v>#REF!</v>
      </c>
      <c r="Q1386" s="26" t="e">
        <f>#REF!-N1386</f>
        <v>#REF!</v>
      </c>
      <c r="R1386" s="17" t="str">
        <f t="shared" si="161"/>
        <v>82 1 00 10020000</v>
      </c>
    </row>
    <row r="1387" spans="1:18" s="50" customFormat="1" ht="31.5">
      <c r="A1387" s="49"/>
      <c r="B1387" s="129" t="s">
        <v>20</v>
      </c>
      <c r="C1387" s="131" t="s">
        <v>795</v>
      </c>
      <c r="D1387" s="131" t="s">
        <v>11</v>
      </c>
      <c r="E1387" s="131" t="s">
        <v>73</v>
      </c>
      <c r="F1387" s="131" t="s">
        <v>801</v>
      </c>
      <c r="G1387" s="131" t="s">
        <v>21</v>
      </c>
      <c r="H1387" s="126">
        <f>SUM(H1388:H1389)</f>
        <v>0</v>
      </c>
      <c r="L1387" s="26">
        <v>35958.199999999997</v>
      </c>
      <c r="M1387" s="26">
        <v>35958.199999999997</v>
      </c>
      <c r="N1387" s="26">
        <v>35958.199999999997</v>
      </c>
      <c r="O1387" s="26">
        <f>H1387-L1387</f>
        <v>-35958.199999999997</v>
      </c>
      <c r="P1387" s="26" t="e">
        <f>#REF!-M1387</f>
        <v>#REF!</v>
      </c>
      <c r="Q1387" s="26" t="e">
        <f>#REF!-N1387</f>
        <v>#REF!</v>
      </c>
      <c r="R1387" s="17" t="str">
        <f t="shared" si="161"/>
        <v>82 1 00 10020120</v>
      </c>
    </row>
    <row r="1388" spans="1:18" s="23" customFormat="1" ht="31.5">
      <c r="A1388" s="21"/>
      <c r="B1388" s="127" t="s">
        <v>40</v>
      </c>
      <c r="C1388" s="131" t="s">
        <v>795</v>
      </c>
      <c r="D1388" s="131" t="s">
        <v>11</v>
      </c>
      <c r="E1388" s="131" t="s">
        <v>73</v>
      </c>
      <c r="F1388" s="131" t="s">
        <v>801</v>
      </c>
      <c r="G1388" s="108" t="s">
        <v>41</v>
      </c>
      <c r="H1388" s="126"/>
      <c r="L1388" s="22"/>
      <c r="M1388" s="22"/>
      <c r="N1388" s="22"/>
      <c r="O1388" s="22"/>
      <c r="P1388" s="22"/>
      <c r="Q1388" s="22"/>
      <c r="R1388" s="24"/>
    </row>
    <row r="1389" spans="1:18" s="23" customFormat="1" ht="63">
      <c r="A1389" s="21"/>
      <c r="B1389" s="127" t="s">
        <v>26</v>
      </c>
      <c r="C1389" s="131" t="s">
        <v>795</v>
      </c>
      <c r="D1389" s="131" t="s">
        <v>11</v>
      </c>
      <c r="E1389" s="131" t="s">
        <v>73</v>
      </c>
      <c r="F1389" s="131" t="s">
        <v>801</v>
      </c>
      <c r="G1389" s="108" t="s">
        <v>27</v>
      </c>
      <c r="H1389" s="126"/>
      <c r="L1389" s="22"/>
      <c r="M1389" s="22"/>
      <c r="N1389" s="22"/>
      <c r="O1389" s="22"/>
      <c r="P1389" s="22"/>
      <c r="Q1389" s="22"/>
      <c r="R1389" s="24"/>
    </row>
    <row r="1390" spans="1:18" s="47" customFormat="1" ht="63">
      <c r="A1390" s="14" t="s">
        <v>80</v>
      </c>
      <c r="B1390" s="150" t="s">
        <v>488</v>
      </c>
      <c r="C1390" s="131" t="s">
        <v>795</v>
      </c>
      <c r="D1390" s="131" t="s">
        <v>11</v>
      </c>
      <c r="E1390" s="131" t="s">
        <v>73</v>
      </c>
      <c r="F1390" s="131" t="s">
        <v>802</v>
      </c>
      <c r="G1390" s="131" t="s">
        <v>9</v>
      </c>
      <c r="H1390" s="105">
        <f>H1391+H1395</f>
        <v>0</v>
      </c>
      <c r="L1390" s="26">
        <v>1534.98</v>
      </c>
      <c r="M1390" s="26">
        <v>1534.98</v>
      </c>
      <c r="N1390" s="26">
        <v>1534.98</v>
      </c>
      <c r="O1390" s="26">
        <f>H1390-L1390</f>
        <v>-1534.98</v>
      </c>
      <c r="P1390" s="26" t="e">
        <f>#REF!-M1390</f>
        <v>#REF!</v>
      </c>
      <c r="Q1390" s="26" t="e">
        <f>#REF!-N1390</f>
        <v>#REF!</v>
      </c>
      <c r="R1390" s="17" t="str">
        <f t="shared" si="161"/>
        <v>82 1 00 76200000</v>
      </c>
    </row>
    <row r="1391" spans="1:18" s="50" customFormat="1" ht="31.5">
      <c r="A1391" s="49"/>
      <c r="B1391" s="129" t="s">
        <v>20</v>
      </c>
      <c r="C1391" s="131" t="s">
        <v>795</v>
      </c>
      <c r="D1391" s="131" t="s">
        <v>11</v>
      </c>
      <c r="E1391" s="131" t="s">
        <v>73</v>
      </c>
      <c r="F1391" s="131" t="s">
        <v>802</v>
      </c>
      <c r="G1391" s="131" t="s">
        <v>21</v>
      </c>
      <c r="H1391" s="126">
        <f>SUM(H1392:H1394)</f>
        <v>0</v>
      </c>
      <c r="L1391" s="26">
        <v>1338.68</v>
      </c>
      <c r="M1391" s="26">
        <v>1338.68</v>
      </c>
      <c r="N1391" s="26">
        <v>1338.68</v>
      </c>
      <c r="O1391" s="26">
        <f>H1391-L1391</f>
        <v>-1338.68</v>
      </c>
      <c r="P1391" s="26" t="e">
        <f>#REF!-M1391</f>
        <v>#REF!</v>
      </c>
      <c r="Q1391" s="26" t="e">
        <f>#REF!-N1391</f>
        <v>#REF!</v>
      </c>
      <c r="R1391" s="17" t="str">
        <f t="shared" si="161"/>
        <v>82 1 00 76200120</v>
      </c>
    </row>
    <row r="1392" spans="1:18" s="23" customFormat="1" ht="31.5">
      <c r="A1392" s="21"/>
      <c r="B1392" s="127" t="s">
        <v>40</v>
      </c>
      <c r="C1392" s="131" t="s">
        <v>795</v>
      </c>
      <c r="D1392" s="131" t="s">
        <v>11</v>
      </c>
      <c r="E1392" s="131" t="s">
        <v>73</v>
      </c>
      <c r="F1392" s="131" t="s">
        <v>802</v>
      </c>
      <c r="G1392" s="108" t="s">
        <v>41</v>
      </c>
      <c r="H1392" s="126"/>
      <c r="L1392" s="22"/>
      <c r="M1392" s="22"/>
      <c r="N1392" s="22"/>
      <c r="O1392" s="22"/>
      <c r="P1392" s="22"/>
      <c r="Q1392" s="22"/>
      <c r="R1392" s="24"/>
    </row>
    <row r="1393" spans="1:18" s="23" customFormat="1" ht="47.25">
      <c r="A1393" s="21"/>
      <c r="B1393" s="127" t="s">
        <v>22</v>
      </c>
      <c r="C1393" s="131" t="s">
        <v>795</v>
      </c>
      <c r="D1393" s="131" t="s">
        <v>11</v>
      </c>
      <c r="E1393" s="131" t="s">
        <v>73</v>
      </c>
      <c r="F1393" s="131" t="s">
        <v>802</v>
      </c>
      <c r="G1393" s="108" t="s">
        <v>23</v>
      </c>
      <c r="H1393" s="126"/>
      <c r="L1393" s="22"/>
      <c r="M1393" s="22"/>
      <c r="N1393" s="22"/>
      <c r="O1393" s="22"/>
      <c r="P1393" s="22"/>
      <c r="Q1393" s="22"/>
      <c r="R1393" s="24"/>
    </row>
    <row r="1394" spans="1:18" s="23" customFormat="1" ht="63">
      <c r="A1394" s="21"/>
      <c r="B1394" s="127" t="s">
        <v>26</v>
      </c>
      <c r="C1394" s="131" t="s">
        <v>795</v>
      </c>
      <c r="D1394" s="131" t="s">
        <v>11</v>
      </c>
      <c r="E1394" s="131" t="s">
        <v>73</v>
      </c>
      <c r="F1394" s="131" t="s">
        <v>802</v>
      </c>
      <c r="G1394" s="108" t="s">
        <v>27</v>
      </c>
      <c r="H1394" s="126"/>
      <c r="L1394" s="22"/>
      <c r="M1394" s="22"/>
      <c r="N1394" s="22"/>
      <c r="O1394" s="22"/>
      <c r="P1394" s="22"/>
      <c r="Q1394" s="22"/>
      <c r="R1394" s="24"/>
    </row>
    <row r="1395" spans="1:18" s="50" customFormat="1" ht="31.5">
      <c r="A1395" s="49"/>
      <c r="B1395" s="125" t="s">
        <v>28</v>
      </c>
      <c r="C1395" s="131" t="s">
        <v>795</v>
      </c>
      <c r="D1395" s="131" t="s">
        <v>11</v>
      </c>
      <c r="E1395" s="131" t="s">
        <v>73</v>
      </c>
      <c r="F1395" s="131" t="s">
        <v>802</v>
      </c>
      <c r="G1395" s="131" t="s">
        <v>29</v>
      </c>
      <c r="H1395" s="126">
        <f>H1396</f>
        <v>0</v>
      </c>
      <c r="L1395" s="26">
        <v>196.3</v>
      </c>
      <c r="M1395" s="26">
        <v>196.3</v>
      </c>
      <c r="N1395" s="26">
        <v>196.3</v>
      </c>
      <c r="O1395" s="26">
        <f>H1395-L1395</f>
        <v>-196.3</v>
      </c>
      <c r="P1395" s="26" t="e">
        <f>#REF!-M1395</f>
        <v>#REF!</v>
      </c>
      <c r="Q1395" s="26" t="e">
        <f>#REF!-N1395</f>
        <v>#REF!</v>
      </c>
      <c r="R1395" s="17" t="str">
        <f t="shared" si="161"/>
        <v>82 1 00 76200240</v>
      </c>
    </row>
    <row r="1396" spans="1:18" s="50" customFormat="1" ht="15.75">
      <c r="A1396" s="49"/>
      <c r="B1396" s="125" t="s">
        <v>30</v>
      </c>
      <c r="C1396" s="131" t="s">
        <v>795</v>
      </c>
      <c r="D1396" s="131" t="s">
        <v>11</v>
      </c>
      <c r="E1396" s="131" t="s">
        <v>73</v>
      </c>
      <c r="F1396" s="131" t="s">
        <v>802</v>
      </c>
      <c r="G1396" s="131" t="s">
        <v>31</v>
      </c>
      <c r="H1396" s="126"/>
      <c r="L1396" s="26"/>
      <c r="M1396" s="26"/>
      <c r="N1396" s="26"/>
      <c r="O1396" s="26"/>
      <c r="P1396" s="26"/>
      <c r="Q1396" s="26"/>
      <c r="R1396" s="17"/>
    </row>
    <row r="1397" spans="1:18" s="47" customFormat="1" ht="63">
      <c r="A1397" s="14" t="s">
        <v>80</v>
      </c>
      <c r="B1397" s="129" t="s">
        <v>754</v>
      </c>
      <c r="C1397" s="131" t="s">
        <v>795</v>
      </c>
      <c r="D1397" s="131" t="s">
        <v>11</v>
      </c>
      <c r="E1397" s="131" t="s">
        <v>73</v>
      </c>
      <c r="F1397" s="131" t="s">
        <v>803</v>
      </c>
      <c r="G1397" s="131" t="s">
        <v>9</v>
      </c>
      <c r="H1397" s="105">
        <f>H1398</f>
        <v>0</v>
      </c>
      <c r="L1397" s="26">
        <v>70.900000000000006</v>
      </c>
      <c r="M1397" s="26">
        <v>70.900000000000006</v>
      </c>
      <c r="N1397" s="26">
        <v>70.900000000000006</v>
      </c>
      <c r="O1397" s="26">
        <f>H1397-L1397</f>
        <v>-70.900000000000006</v>
      </c>
      <c r="P1397" s="26" t="e">
        <f>#REF!-M1397</f>
        <v>#REF!</v>
      </c>
      <c r="Q1397" s="26" t="e">
        <f>#REF!-N1397</f>
        <v>#REF!</v>
      </c>
      <c r="R1397" s="17" t="str">
        <f t="shared" si="161"/>
        <v>82 1 00 76360000</v>
      </c>
    </row>
    <row r="1398" spans="1:18" s="50" customFormat="1" ht="31.5">
      <c r="A1398" s="49"/>
      <c r="B1398" s="125" t="s">
        <v>28</v>
      </c>
      <c r="C1398" s="131" t="s">
        <v>795</v>
      </c>
      <c r="D1398" s="131" t="s">
        <v>11</v>
      </c>
      <c r="E1398" s="131" t="s">
        <v>73</v>
      </c>
      <c r="F1398" s="131" t="s">
        <v>803</v>
      </c>
      <c r="G1398" s="131" t="s">
        <v>29</v>
      </c>
      <c r="H1398" s="126">
        <f>H1399</f>
        <v>0</v>
      </c>
      <c r="L1398" s="26">
        <v>70.900000000000006</v>
      </c>
      <c r="M1398" s="26">
        <v>70.900000000000006</v>
      </c>
      <c r="N1398" s="26">
        <v>70.900000000000006</v>
      </c>
      <c r="O1398" s="26">
        <f>H1398-L1398</f>
        <v>-70.900000000000006</v>
      </c>
      <c r="P1398" s="26" t="e">
        <f>#REF!-M1398</f>
        <v>#REF!</v>
      </c>
      <c r="Q1398" s="26" t="e">
        <f>#REF!-N1398</f>
        <v>#REF!</v>
      </c>
      <c r="R1398" s="17" t="str">
        <f t="shared" si="161"/>
        <v>82 1 00 76360240</v>
      </c>
    </row>
    <row r="1399" spans="1:18" s="50" customFormat="1" ht="15.75">
      <c r="A1399" s="49"/>
      <c r="B1399" s="125" t="s">
        <v>30</v>
      </c>
      <c r="C1399" s="131" t="s">
        <v>795</v>
      </c>
      <c r="D1399" s="131" t="s">
        <v>11</v>
      </c>
      <c r="E1399" s="131" t="s">
        <v>73</v>
      </c>
      <c r="F1399" s="131" t="s">
        <v>803</v>
      </c>
      <c r="G1399" s="131" t="s">
        <v>31</v>
      </c>
      <c r="H1399" s="126"/>
      <c r="L1399" s="26"/>
      <c r="M1399" s="26"/>
      <c r="N1399" s="26"/>
      <c r="O1399" s="26"/>
      <c r="P1399" s="26"/>
      <c r="Q1399" s="26"/>
      <c r="R1399" s="17"/>
    </row>
    <row r="1400" spans="1:18" s="16" customFormat="1" ht="15.75">
      <c r="A1400" s="14"/>
      <c r="B1400" s="157" t="s">
        <v>50</v>
      </c>
      <c r="C1400" s="122" t="s">
        <v>795</v>
      </c>
      <c r="D1400" s="123" t="s">
        <v>11</v>
      </c>
      <c r="E1400" s="123" t="s">
        <v>51</v>
      </c>
      <c r="F1400" s="123" t="s">
        <v>8</v>
      </c>
      <c r="G1400" s="123" t="s">
        <v>9</v>
      </c>
      <c r="H1400" s="124">
        <f>H1401+H1410</f>
        <v>0</v>
      </c>
      <c r="L1400" s="19">
        <v>1330.76</v>
      </c>
      <c r="M1400" s="19">
        <v>576.79999999999995</v>
      </c>
      <c r="N1400" s="19">
        <v>576.79999999999995</v>
      </c>
      <c r="O1400" s="19">
        <f t="shared" ref="O1400:O1405" si="163">H1400-L1400</f>
        <v>-1330.76</v>
      </c>
      <c r="P1400" s="19" t="e">
        <f>#REF!-M1400</f>
        <v>#REF!</v>
      </c>
      <c r="Q1400" s="19" t="e">
        <f>#REF!-N1400</f>
        <v>#REF!</v>
      </c>
      <c r="R1400" s="17" t="str">
        <f t="shared" si="161"/>
        <v>00 0 00 00000000</v>
      </c>
    </row>
    <row r="1401" spans="1:18" s="16" customFormat="1" ht="63">
      <c r="A1401" s="14"/>
      <c r="B1401" s="132" t="s">
        <v>257</v>
      </c>
      <c r="C1401" s="108" t="s">
        <v>795</v>
      </c>
      <c r="D1401" s="108" t="s">
        <v>11</v>
      </c>
      <c r="E1401" s="108" t="s">
        <v>51</v>
      </c>
      <c r="F1401" s="108" t="s">
        <v>258</v>
      </c>
      <c r="G1401" s="108" t="s">
        <v>9</v>
      </c>
      <c r="H1401" s="126">
        <f>H1402</f>
        <v>0</v>
      </c>
      <c r="L1401" s="20">
        <v>576.79999999999995</v>
      </c>
      <c r="M1401" s="20">
        <v>576.79999999999995</v>
      </c>
      <c r="N1401" s="20">
        <v>576.79999999999995</v>
      </c>
      <c r="O1401" s="20">
        <f t="shared" si="163"/>
        <v>-576.79999999999995</v>
      </c>
      <c r="P1401" s="20" t="e">
        <f>#REF!-M1401</f>
        <v>#REF!</v>
      </c>
      <c r="Q1401" s="20" t="e">
        <f>#REF!-N1401</f>
        <v>#REF!</v>
      </c>
      <c r="R1401" s="17" t="str">
        <f t="shared" si="161"/>
        <v>11 0 00 00000000</v>
      </c>
    </row>
    <row r="1402" spans="1:18" s="16" customFormat="1" ht="63">
      <c r="A1402" s="14"/>
      <c r="B1402" s="132" t="s">
        <v>259</v>
      </c>
      <c r="C1402" s="108" t="s">
        <v>795</v>
      </c>
      <c r="D1402" s="108" t="s">
        <v>11</v>
      </c>
      <c r="E1402" s="108" t="s">
        <v>51</v>
      </c>
      <c r="F1402" s="108" t="s">
        <v>260</v>
      </c>
      <c r="G1402" s="108" t="s">
        <v>9</v>
      </c>
      <c r="H1402" s="126">
        <f>H1403</f>
        <v>0</v>
      </c>
      <c r="L1402" s="20">
        <v>576.79999999999995</v>
      </c>
      <c r="M1402" s="20">
        <v>576.79999999999995</v>
      </c>
      <c r="N1402" s="20">
        <v>576.79999999999995</v>
      </c>
      <c r="O1402" s="20">
        <f t="shared" si="163"/>
        <v>-576.79999999999995</v>
      </c>
      <c r="P1402" s="20" t="e">
        <f>#REF!-M1402</f>
        <v>#REF!</v>
      </c>
      <c r="Q1402" s="20" t="e">
        <f>#REF!-N1402</f>
        <v>#REF!</v>
      </c>
      <c r="R1402" s="17" t="str">
        <f t="shared" si="161"/>
        <v>11 Б 00 00000000</v>
      </c>
    </row>
    <row r="1403" spans="1:18" s="16" customFormat="1" ht="47.25">
      <c r="A1403" s="14"/>
      <c r="B1403" s="155" t="s">
        <v>261</v>
      </c>
      <c r="C1403" s="108" t="s">
        <v>795</v>
      </c>
      <c r="D1403" s="108" t="s">
        <v>11</v>
      </c>
      <c r="E1403" s="108" t="s">
        <v>51</v>
      </c>
      <c r="F1403" s="108" t="s">
        <v>262</v>
      </c>
      <c r="G1403" s="108" t="s">
        <v>9</v>
      </c>
      <c r="H1403" s="126">
        <f>H1404+H1407</f>
        <v>0</v>
      </c>
      <c r="L1403" s="20">
        <v>576.79999999999995</v>
      </c>
      <c r="M1403" s="20">
        <v>576.79999999999995</v>
      </c>
      <c r="N1403" s="20">
        <v>576.79999999999995</v>
      </c>
      <c r="O1403" s="20">
        <f t="shared" si="163"/>
        <v>-576.79999999999995</v>
      </c>
      <c r="P1403" s="20" t="e">
        <f>#REF!-M1403</f>
        <v>#REF!</v>
      </c>
      <c r="Q1403" s="20" t="e">
        <f>#REF!-N1403</f>
        <v>#REF!</v>
      </c>
      <c r="R1403" s="17" t="str">
        <f t="shared" si="161"/>
        <v>11 Б 01 00000000</v>
      </c>
    </row>
    <row r="1404" spans="1:18" s="16" customFormat="1" ht="31.5">
      <c r="A1404" s="14"/>
      <c r="B1404" s="147" t="s">
        <v>756</v>
      </c>
      <c r="C1404" s="108" t="s">
        <v>795</v>
      </c>
      <c r="D1404" s="108" t="s">
        <v>11</v>
      </c>
      <c r="E1404" s="108" t="s">
        <v>51</v>
      </c>
      <c r="F1404" s="108" t="s">
        <v>757</v>
      </c>
      <c r="G1404" s="108" t="s">
        <v>9</v>
      </c>
      <c r="H1404" s="126">
        <f>H1405</f>
        <v>0</v>
      </c>
      <c r="L1404" s="20">
        <v>476.64</v>
      </c>
      <c r="M1404" s="20">
        <v>476.64</v>
      </c>
      <c r="N1404" s="20">
        <v>476.64</v>
      </c>
      <c r="O1404" s="20">
        <f t="shared" si="163"/>
        <v>-476.64</v>
      </c>
      <c r="P1404" s="20" t="e">
        <f>#REF!-M1404</f>
        <v>#REF!</v>
      </c>
      <c r="Q1404" s="20" t="e">
        <f>#REF!-N1404</f>
        <v>#REF!</v>
      </c>
      <c r="R1404" s="17" t="str">
        <f t="shared" si="161"/>
        <v>11 Б 01 20840000</v>
      </c>
    </row>
    <row r="1405" spans="1:18" s="16" customFormat="1" ht="31.5">
      <c r="A1405" s="14"/>
      <c r="B1405" s="125" t="s">
        <v>28</v>
      </c>
      <c r="C1405" s="108" t="s">
        <v>795</v>
      </c>
      <c r="D1405" s="108" t="s">
        <v>11</v>
      </c>
      <c r="E1405" s="108" t="s">
        <v>51</v>
      </c>
      <c r="F1405" s="108" t="s">
        <v>757</v>
      </c>
      <c r="G1405" s="108" t="s">
        <v>29</v>
      </c>
      <c r="H1405" s="126">
        <f>H1406</f>
        <v>0</v>
      </c>
      <c r="L1405" s="26">
        <v>476.64</v>
      </c>
      <c r="M1405" s="26">
        <v>476.64</v>
      </c>
      <c r="N1405" s="26">
        <v>476.64</v>
      </c>
      <c r="O1405" s="26">
        <f t="shared" si="163"/>
        <v>-476.64</v>
      </c>
      <c r="P1405" s="26" t="e">
        <f>#REF!-M1405</f>
        <v>#REF!</v>
      </c>
      <c r="Q1405" s="26" t="e">
        <f>#REF!-N1405</f>
        <v>#REF!</v>
      </c>
      <c r="R1405" s="17" t="str">
        <f t="shared" si="161"/>
        <v>11 Б 01 20840240</v>
      </c>
    </row>
    <row r="1406" spans="1:18" s="16" customFormat="1" ht="15.75">
      <c r="A1406" s="14"/>
      <c r="B1406" s="125" t="s">
        <v>30</v>
      </c>
      <c r="C1406" s="108" t="s">
        <v>795</v>
      </c>
      <c r="D1406" s="108" t="s">
        <v>11</v>
      </c>
      <c r="E1406" s="108" t="s">
        <v>51</v>
      </c>
      <c r="F1406" s="108" t="s">
        <v>757</v>
      </c>
      <c r="G1406" s="108" t="s">
        <v>31</v>
      </c>
      <c r="H1406" s="126"/>
      <c r="L1406" s="26"/>
      <c r="M1406" s="26"/>
      <c r="N1406" s="26"/>
      <c r="O1406" s="26"/>
      <c r="P1406" s="26"/>
      <c r="Q1406" s="26"/>
      <c r="R1406" s="17"/>
    </row>
    <row r="1407" spans="1:18" s="16" customFormat="1" ht="31.5">
      <c r="A1407" s="14"/>
      <c r="B1407" s="125" t="s">
        <v>267</v>
      </c>
      <c r="C1407" s="108" t="s">
        <v>795</v>
      </c>
      <c r="D1407" s="131" t="s">
        <v>11</v>
      </c>
      <c r="E1407" s="131" t="s">
        <v>51</v>
      </c>
      <c r="F1407" s="14" t="s">
        <v>268</v>
      </c>
      <c r="G1407" s="108" t="s">
        <v>9</v>
      </c>
      <c r="H1407" s="126">
        <f>H1408</f>
        <v>0</v>
      </c>
      <c r="L1407" s="20">
        <v>100.16</v>
      </c>
      <c r="M1407" s="20">
        <v>100.16</v>
      </c>
      <c r="N1407" s="20">
        <v>100.16</v>
      </c>
      <c r="O1407" s="20">
        <f>H1407-L1407</f>
        <v>-100.16</v>
      </c>
      <c r="P1407" s="20" t="e">
        <f>#REF!-M1407</f>
        <v>#REF!</v>
      </c>
      <c r="Q1407" s="20" t="e">
        <f>#REF!-N1407</f>
        <v>#REF!</v>
      </c>
      <c r="R1407" s="17" t="str">
        <f t="shared" si="161"/>
        <v>11 Б 01 21120000</v>
      </c>
    </row>
    <row r="1408" spans="1:18" s="16" customFormat="1" ht="31.5">
      <c r="A1408" s="14"/>
      <c r="B1408" s="125" t="s">
        <v>28</v>
      </c>
      <c r="C1408" s="108" t="s">
        <v>795</v>
      </c>
      <c r="D1408" s="131" t="s">
        <v>11</v>
      </c>
      <c r="E1408" s="131" t="s">
        <v>51</v>
      </c>
      <c r="F1408" s="14" t="s">
        <v>268</v>
      </c>
      <c r="G1408" s="108" t="s">
        <v>29</v>
      </c>
      <c r="H1408" s="126">
        <f>H1409</f>
        <v>0</v>
      </c>
      <c r="L1408" s="20">
        <v>100.16</v>
      </c>
      <c r="M1408" s="20">
        <v>100.16</v>
      </c>
      <c r="N1408" s="20">
        <v>100.16</v>
      </c>
      <c r="O1408" s="20">
        <f>H1408-L1408</f>
        <v>-100.16</v>
      </c>
      <c r="P1408" s="20" t="e">
        <f>#REF!-M1408</f>
        <v>#REF!</v>
      </c>
      <c r="Q1408" s="20" t="e">
        <f>#REF!-N1408</f>
        <v>#REF!</v>
      </c>
      <c r="R1408" s="17" t="str">
        <f t="shared" si="161"/>
        <v>11 Б 01 21120240</v>
      </c>
    </row>
    <row r="1409" spans="1:18" s="16" customFormat="1" ht="15.75">
      <c r="A1409" s="14"/>
      <c r="B1409" s="125" t="s">
        <v>30</v>
      </c>
      <c r="C1409" s="108" t="s">
        <v>795</v>
      </c>
      <c r="D1409" s="131" t="s">
        <v>11</v>
      </c>
      <c r="E1409" s="131" t="s">
        <v>51</v>
      </c>
      <c r="F1409" s="14" t="s">
        <v>268</v>
      </c>
      <c r="G1409" s="108" t="s">
        <v>31</v>
      </c>
      <c r="H1409" s="126"/>
      <c r="L1409" s="20"/>
      <c r="M1409" s="20"/>
      <c r="N1409" s="20"/>
      <c r="O1409" s="20"/>
      <c r="P1409" s="20"/>
      <c r="Q1409" s="20"/>
      <c r="R1409" s="17"/>
    </row>
    <row r="1410" spans="1:18" s="16" customFormat="1" ht="63">
      <c r="A1410" s="14"/>
      <c r="B1410" s="127" t="s">
        <v>87</v>
      </c>
      <c r="C1410" s="108" t="s">
        <v>795</v>
      </c>
      <c r="D1410" s="108" t="s">
        <v>11</v>
      </c>
      <c r="E1410" s="108" t="s">
        <v>51</v>
      </c>
      <c r="F1410" s="14" t="s">
        <v>88</v>
      </c>
      <c r="G1410" s="108" t="s">
        <v>9</v>
      </c>
      <c r="H1410" s="126">
        <f>H1411</f>
        <v>0</v>
      </c>
      <c r="L1410" s="20">
        <v>753.96</v>
      </c>
      <c r="M1410" s="20">
        <v>0</v>
      </c>
      <c r="N1410" s="20">
        <v>0</v>
      </c>
      <c r="O1410" s="20">
        <f>H1410-L1410</f>
        <v>-753.96</v>
      </c>
      <c r="P1410" s="20" t="e">
        <f>#REF!-M1410</f>
        <v>#REF!</v>
      </c>
      <c r="Q1410" s="20" t="e">
        <f>#REF!-N1410</f>
        <v>#REF!</v>
      </c>
      <c r="R1410" s="17" t="str">
        <f t="shared" si="161"/>
        <v>98 0 00 00000000</v>
      </c>
    </row>
    <row r="1411" spans="1:18" s="16" customFormat="1" ht="15.75">
      <c r="A1411" s="14"/>
      <c r="B1411" s="127" t="s">
        <v>89</v>
      </c>
      <c r="C1411" s="108" t="s">
        <v>795</v>
      </c>
      <c r="D1411" s="108" t="s">
        <v>11</v>
      </c>
      <c r="E1411" s="108" t="s">
        <v>51</v>
      </c>
      <c r="F1411" s="14" t="s">
        <v>90</v>
      </c>
      <c r="G1411" s="108" t="s">
        <v>9</v>
      </c>
      <c r="H1411" s="126">
        <f>H1412+H1415</f>
        <v>0</v>
      </c>
      <c r="L1411" s="20">
        <v>753.96</v>
      </c>
      <c r="M1411" s="20">
        <v>0</v>
      </c>
      <c r="N1411" s="20">
        <v>0</v>
      </c>
      <c r="O1411" s="20">
        <f>H1411-L1411</f>
        <v>-753.96</v>
      </c>
      <c r="P1411" s="20" t="e">
        <f>#REF!-M1411</f>
        <v>#REF!</v>
      </c>
      <c r="Q1411" s="20" t="e">
        <f>#REF!-N1411</f>
        <v>#REF!</v>
      </c>
      <c r="R1411" s="17" t="str">
        <f t="shared" si="161"/>
        <v>98 1 00 00000000</v>
      </c>
    </row>
    <row r="1412" spans="1:18" s="16" customFormat="1" ht="78.75">
      <c r="A1412" s="14"/>
      <c r="B1412" s="127" t="s">
        <v>758</v>
      </c>
      <c r="C1412" s="108" t="s">
        <v>795</v>
      </c>
      <c r="D1412" s="108" t="s">
        <v>11</v>
      </c>
      <c r="E1412" s="108" t="s">
        <v>51</v>
      </c>
      <c r="F1412" s="14" t="s">
        <v>759</v>
      </c>
      <c r="G1412" s="108" t="s">
        <v>9</v>
      </c>
      <c r="H1412" s="126">
        <f>H1413</f>
        <v>0</v>
      </c>
      <c r="L1412" s="20">
        <v>753.96</v>
      </c>
      <c r="M1412" s="20">
        <v>0</v>
      </c>
      <c r="N1412" s="20">
        <v>0</v>
      </c>
      <c r="O1412" s="20">
        <f>H1412-L1412</f>
        <v>-753.96</v>
      </c>
      <c r="P1412" s="20" t="e">
        <f>#REF!-M1412</f>
        <v>#REF!</v>
      </c>
      <c r="Q1412" s="20" t="e">
        <f>#REF!-N1412</f>
        <v>#REF!</v>
      </c>
      <c r="R1412" s="17" t="str">
        <f t="shared" si="161"/>
        <v>98 1 00 21020000</v>
      </c>
    </row>
    <row r="1413" spans="1:18" s="16" customFormat="1" ht="31.5">
      <c r="A1413" s="14"/>
      <c r="B1413" s="125" t="s">
        <v>28</v>
      </c>
      <c r="C1413" s="108" t="s">
        <v>795</v>
      </c>
      <c r="D1413" s="108" t="s">
        <v>11</v>
      </c>
      <c r="E1413" s="108" t="s">
        <v>51</v>
      </c>
      <c r="F1413" s="14" t="s">
        <v>759</v>
      </c>
      <c r="G1413" s="131" t="s">
        <v>29</v>
      </c>
      <c r="H1413" s="126">
        <f>H1414</f>
        <v>0</v>
      </c>
      <c r="L1413" s="20">
        <v>753.96</v>
      </c>
      <c r="M1413" s="20">
        <v>0</v>
      </c>
      <c r="N1413" s="20">
        <v>0</v>
      </c>
      <c r="O1413" s="20">
        <f>H1413-L1413</f>
        <v>-753.96</v>
      </c>
      <c r="P1413" s="20" t="e">
        <f>#REF!-M1413</f>
        <v>#REF!</v>
      </c>
      <c r="Q1413" s="20" t="e">
        <f>#REF!-N1413</f>
        <v>#REF!</v>
      </c>
      <c r="R1413" s="17" t="str">
        <f t="shared" si="161"/>
        <v>98 1 00 21020240</v>
      </c>
    </row>
    <row r="1414" spans="1:18" s="16" customFormat="1" ht="15.75">
      <c r="A1414" s="14"/>
      <c r="B1414" s="125" t="s">
        <v>30</v>
      </c>
      <c r="C1414" s="108" t="s">
        <v>795</v>
      </c>
      <c r="D1414" s="108" t="s">
        <v>11</v>
      </c>
      <c r="E1414" s="108" t="s">
        <v>51</v>
      </c>
      <c r="F1414" s="14" t="s">
        <v>759</v>
      </c>
      <c r="G1414" s="131" t="s">
        <v>31</v>
      </c>
      <c r="H1414" s="126"/>
      <c r="L1414" s="20"/>
      <c r="M1414" s="20"/>
      <c r="N1414" s="20"/>
      <c r="O1414" s="20"/>
      <c r="P1414" s="20"/>
      <c r="Q1414" s="20"/>
      <c r="R1414" s="17"/>
    </row>
    <row r="1415" spans="1:18" s="16" customFormat="1" ht="31.5">
      <c r="A1415" s="14"/>
      <c r="B1415" s="138" t="s">
        <v>282</v>
      </c>
      <c r="C1415" s="108" t="s">
        <v>795</v>
      </c>
      <c r="D1415" s="108" t="s">
        <v>11</v>
      </c>
      <c r="E1415" s="108" t="s">
        <v>51</v>
      </c>
      <c r="F1415" s="108" t="s">
        <v>283</v>
      </c>
      <c r="G1415" s="108" t="s">
        <v>9</v>
      </c>
      <c r="H1415" s="126">
        <f>H1416</f>
        <v>0</v>
      </c>
      <c r="L1415" s="20"/>
      <c r="M1415" s="20"/>
      <c r="N1415" s="20"/>
      <c r="O1415" s="20">
        <f>H1415-L1415</f>
        <v>0</v>
      </c>
      <c r="P1415" s="20" t="e">
        <f>#REF!-M1415</f>
        <v>#REF!</v>
      </c>
      <c r="Q1415" s="20" t="e">
        <f>#REF!-N1415</f>
        <v>#REF!</v>
      </c>
      <c r="R1415" s="17" t="str">
        <f t="shared" si="161"/>
        <v>98 1 00 21350000</v>
      </c>
    </row>
    <row r="1416" spans="1:18" s="16" customFormat="1" ht="31.5">
      <c r="A1416" s="14"/>
      <c r="B1416" s="125" t="s">
        <v>28</v>
      </c>
      <c r="C1416" s="108" t="s">
        <v>795</v>
      </c>
      <c r="D1416" s="108" t="s">
        <v>11</v>
      </c>
      <c r="E1416" s="108" t="s">
        <v>51</v>
      </c>
      <c r="F1416" s="108" t="s">
        <v>283</v>
      </c>
      <c r="G1416" s="131" t="s">
        <v>29</v>
      </c>
      <c r="H1416" s="126">
        <f>H1417</f>
        <v>0</v>
      </c>
      <c r="L1416" s="20"/>
      <c r="M1416" s="20"/>
      <c r="N1416" s="20"/>
      <c r="O1416" s="20">
        <f>H1416-L1416</f>
        <v>0</v>
      </c>
      <c r="P1416" s="20" t="e">
        <f>#REF!-M1416</f>
        <v>#REF!</v>
      </c>
      <c r="Q1416" s="20" t="e">
        <f>#REF!-N1416</f>
        <v>#REF!</v>
      </c>
      <c r="R1416" s="17" t="str">
        <f>CONCATENATE(F1416,G1416)</f>
        <v>98 1 00 21350240</v>
      </c>
    </row>
    <row r="1417" spans="1:18" s="16" customFormat="1" ht="15.75">
      <c r="A1417" s="14"/>
      <c r="B1417" s="125" t="s">
        <v>30</v>
      </c>
      <c r="C1417" s="108" t="s">
        <v>795</v>
      </c>
      <c r="D1417" s="108" t="s">
        <v>11</v>
      </c>
      <c r="E1417" s="108" t="s">
        <v>51</v>
      </c>
      <c r="F1417" s="108" t="s">
        <v>283</v>
      </c>
      <c r="G1417" s="131" t="s">
        <v>31</v>
      </c>
      <c r="H1417" s="126"/>
      <c r="L1417" s="20"/>
      <c r="M1417" s="20"/>
      <c r="N1417" s="20"/>
      <c r="O1417" s="20"/>
      <c r="P1417" s="20"/>
      <c r="Q1417" s="20"/>
      <c r="R1417" s="17"/>
    </row>
    <row r="1418" spans="1:18" s="16" customFormat="1" ht="15.75">
      <c r="A1418" s="14"/>
      <c r="B1418" s="117" t="s">
        <v>195</v>
      </c>
      <c r="C1418" s="118" t="s">
        <v>795</v>
      </c>
      <c r="D1418" s="119" t="s">
        <v>73</v>
      </c>
      <c r="E1418" s="119" t="s">
        <v>7</v>
      </c>
      <c r="F1418" s="119" t="s">
        <v>8</v>
      </c>
      <c r="G1418" s="119" t="s">
        <v>9</v>
      </c>
      <c r="H1418" s="120">
        <f t="shared" ref="H1418:H1420" si="164">H1419</f>
        <v>0</v>
      </c>
      <c r="L1418" s="18">
        <v>118296.83</v>
      </c>
      <c r="M1418" s="18">
        <v>129176.97</v>
      </c>
      <c r="N1418" s="18">
        <v>141145.11000000002</v>
      </c>
      <c r="O1418" s="18">
        <f t="shared" ref="O1418:O1424" si="165">H1418-L1418</f>
        <v>-118296.83</v>
      </c>
      <c r="P1418" s="18" t="e">
        <f>#REF!-M1418</f>
        <v>#REF!</v>
      </c>
      <c r="Q1418" s="18" t="e">
        <f>#REF!-N1418</f>
        <v>#REF!</v>
      </c>
      <c r="R1418" s="17" t="str">
        <f t="shared" si="161"/>
        <v>00 0 00 00000000</v>
      </c>
    </row>
    <row r="1419" spans="1:18" s="16" customFormat="1" ht="15.75">
      <c r="A1419" s="14"/>
      <c r="B1419" s="121" t="s">
        <v>760</v>
      </c>
      <c r="C1419" s="122" t="s">
        <v>795</v>
      </c>
      <c r="D1419" s="123" t="s">
        <v>73</v>
      </c>
      <c r="E1419" s="123" t="s">
        <v>471</v>
      </c>
      <c r="F1419" s="123" t="s">
        <v>8</v>
      </c>
      <c r="G1419" s="123" t="s">
        <v>9</v>
      </c>
      <c r="H1419" s="124">
        <f>H1420</f>
        <v>0</v>
      </c>
      <c r="L1419" s="19">
        <v>118296.83</v>
      </c>
      <c r="M1419" s="19">
        <v>129176.97</v>
      </c>
      <c r="N1419" s="19">
        <v>141145.11000000002</v>
      </c>
      <c r="O1419" s="19">
        <f t="shared" si="165"/>
        <v>-118296.83</v>
      </c>
      <c r="P1419" s="19" t="e">
        <f>#REF!-M1419</f>
        <v>#REF!</v>
      </c>
      <c r="Q1419" s="19" t="e">
        <f>#REF!-N1419</f>
        <v>#REF!</v>
      </c>
      <c r="R1419" s="17" t="str">
        <f t="shared" si="161"/>
        <v>00 0 00 00000000</v>
      </c>
    </row>
    <row r="1420" spans="1:18" s="16" customFormat="1" ht="63">
      <c r="A1420" s="14"/>
      <c r="B1420" s="127" t="s">
        <v>293</v>
      </c>
      <c r="C1420" s="131" t="s">
        <v>795</v>
      </c>
      <c r="D1420" s="130" t="s">
        <v>73</v>
      </c>
      <c r="E1420" s="130" t="s">
        <v>471</v>
      </c>
      <c r="F1420" s="130" t="s">
        <v>294</v>
      </c>
      <c r="G1420" s="131" t="s">
        <v>9</v>
      </c>
      <c r="H1420" s="105">
        <f t="shared" si="164"/>
        <v>0</v>
      </c>
      <c r="L1420" s="51">
        <v>118296.83</v>
      </c>
      <c r="M1420" s="51">
        <v>129176.97</v>
      </c>
      <c r="N1420" s="51">
        <v>141145.11000000002</v>
      </c>
      <c r="O1420" s="51">
        <f t="shared" si="165"/>
        <v>-118296.83</v>
      </c>
      <c r="P1420" s="51" t="e">
        <f>#REF!-M1420</f>
        <v>#REF!</v>
      </c>
      <c r="Q1420" s="51" t="e">
        <f>#REF!-N1420</f>
        <v>#REF!</v>
      </c>
      <c r="R1420" s="17" t="str">
        <f t="shared" si="161"/>
        <v>04 0 00 00000000</v>
      </c>
    </row>
    <row r="1421" spans="1:18" s="16" customFormat="1" ht="63">
      <c r="A1421" s="14"/>
      <c r="B1421" s="140" t="s">
        <v>295</v>
      </c>
      <c r="C1421" s="131" t="s">
        <v>795</v>
      </c>
      <c r="D1421" s="130" t="s">
        <v>73</v>
      </c>
      <c r="E1421" s="130" t="s">
        <v>471</v>
      </c>
      <c r="F1421" s="130" t="s">
        <v>296</v>
      </c>
      <c r="G1421" s="130" t="s">
        <v>9</v>
      </c>
      <c r="H1421" s="105">
        <f>H1422</f>
        <v>0</v>
      </c>
      <c r="L1421" s="26">
        <v>118296.83</v>
      </c>
      <c r="M1421" s="26">
        <v>129176.97</v>
      </c>
      <c r="N1421" s="26">
        <v>141145.11000000002</v>
      </c>
      <c r="O1421" s="26">
        <f t="shared" si="165"/>
        <v>-118296.83</v>
      </c>
      <c r="P1421" s="26" t="e">
        <f>#REF!-M1421</f>
        <v>#REF!</v>
      </c>
      <c r="Q1421" s="26" t="e">
        <f>#REF!-N1421</f>
        <v>#REF!</v>
      </c>
      <c r="R1421" s="17" t="str">
        <f t="shared" si="161"/>
        <v>04 2 00 00000000</v>
      </c>
    </row>
    <row r="1422" spans="1:18" s="16" customFormat="1" ht="63">
      <c r="A1422" s="14"/>
      <c r="B1422" s="129" t="s">
        <v>297</v>
      </c>
      <c r="C1422" s="131" t="s">
        <v>795</v>
      </c>
      <c r="D1422" s="131" t="s">
        <v>73</v>
      </c>
      <c r="E1422" s="131" t="s">
        <v>471</v>
      </c>
      <c r="F1422" s="131" t="s">
        <v>298</v>
      </c>
      <c r="G1422" s="131" t="s">
        <v>9</v>
      </c>
      <c r="H1422" s="105">
        <f>H1426+H1423</f>
        <v>0</v>
      </c>
      <c r="L1422" s="26">
        <v>118296.83</v>
      </c>
      <c r="M1422" s="26">
        <v>129176.97</v>
      </c>
      <c r="N1422" s="26">
        <v>141145.11000000002</v>
      </c>
      <c r="O1422" s="26">
        <f t="shared" si="165"/>
        <v>-118296.83</v>
      </c>
      <c r="P1422" s="26" t="e">
        <f>#REF!-M1422</f>
        <v>#REF!</v>
      </c>
      <c r="Q1422" s="26" t="e">
        <f>#REF!-N1422</f>
        <v>#REF!</v>
      </c>
      <c r="R1422" s="17" t="str">
        <f t="shared" si="161"/>
        <v>04 2 02 00000000</v>
      </c>
    </row>
    <row r="1423" spans="1:18" s="16" customFormat="1" ht="47.25">
      <c r="A1423" s="14"/>
      <c r="B1423" s="143" t="s">
        <v>761</v>
      </c>
      <c r="C1423" s="131" t="s">
        <v>795</v>
      </c>
      <c r="D1423" s="131" t="s">
        <v>73</v>
      </c>
      <c r="E1423" s="131" t="s">
        <v>471</v>
      </c>
      <c r="F1423" s="131" t="s">
        <v>762</v>
      </c>
      <c r="G1423" s="131" t="s">
        <v>9</v>
      </c>
      <c r="H1423" s="105">
        <f>H1424</f>
        <v>0</v>
      </c>
      <c r="L1423" s="26">
        <v>10095.51</v>
      </c>
      <c r="M1423" s="26">
        <v>10095.51</v>
      </c>
      <c r="N1423" s="26">
        <v>10095.51</v>
      </c>
      <c r="O1423" s="26">
        <f t="shared" si="165"/>
        <v>-10095.51</v>
      </c>
      <c r="P1423" s="26" t="e">
        <f>#REF!-M1423</f>
        <v>#REF!</v>
      </c>
      <c r="Q1423" s="26" t="e">
        <f>#REF!-N1423</f>
        <v>#REF!</v>
      </c>
      <c r="R1423" s="17" t="str">
        <f t="shared" si="161"/>
        <v>04 2 02 20820000</v>
      </c>
    </row>
    <row r="1424" spans="1:18" s="47" customFormat="1" ht="31.5">
      <c r="A1424" s="46"/>
      <c r="B1424" s="125" t="s">
        <v>28</v>
      </c>
      <c r="C1424" s="131" t="s">
        <v>795</v>
      </c>
      <c r="D1424" s="131" t="s">
        <v>73</v>
      </c>
      <c r="E1424" s="131" t="s">
        <v>471</v>
      </c>
      <c r="F1424" s="131" t="s">
        <v>762</v>
      </c>
      <c r="G1424" s="131" t="s">
        <v>29</v>
      </c>
      <c r="H1424" s="126">
        <f>H1425</f>
        <v>0</v>
      </c>
      <c r="L1424" s="26">
        <v>10095.51</v>
      </c>
      <c r="M1424" s="26">
        <v>10095.51</v>
      </c>
      <c r="N1424" s="26">
        <v>10095.51</v>
      </c>
      <c r="O1424" s="26">
        <f t="shared" si="165"/>
        <v>-10095.51</v>
      </c>
      <c r="P1424" s="26" t="e">
        <f>#REF!-M1424</f>
        <v>#REF!</v>
      </c>
      <c r="Q1424" s="26" t="e">
        <f>#REF!-N1424</f>
        <v>#REF!</v>
      </c>
      <c r="R1424" s="17" t="str">
        <f t="shared" si="161"/>
        <v>04 2 02 20820240</v>
      </c>
    </row>
    <row r="1425" spans="1:18" s="47" customFormat="1" ht="15.75">
      <c r="A1425" s="46"/>
      <c r="B1425" s="125" t="s">
        <v>30</v>
      </c>
      <c r="C1425" s="131" t="s">
        <v>795</v>
      </c>
      <c r="D1425" s="131" t="s">
        <v>73</v>
      </c>
      <c r="E1425" s="131" t="s">
        <v>471</v>
      </c>
      <c r="F1425" s="131" t="s">
        <v>762</v>
      </c>
      <c r="G1425" s="131" t="s">
        <v>31</v>
      </c>
      <c r="H1425" s="126"/>
      <c r="L1425" s="26"/>
      <c r="M1425" s="26"/>
      <c r="N1425" s="26"/>
      <c r="O1425" s="26"/>
      <c r="P1425" s="26"/>
      <c r="Q1425" s="26"/>
      <c r="R1425" s="17"/>
    </row>
    <row r="1426" spans="1:18" s="16" customFormat="1" ht="31.5">
      <c r="A1426" s="14"/>
      <c r="B1426" s="125" t="s">
        <v>763</v>
      </c>
      <c r="C1426" s="131" t="s">
        <v>795</v>
      </c>
      <c r="D1426" s="131" t="s">
        <v>73</v>
      </c>
      <c r="E1426" s="131" t="s">
        <v>471</v>
      </c>
      <c r="F1426" s="108" t="s">
        <v>764</v>
      </c>
      <c r="G1426" s="131" t="s">
        <v>9</v>
      </c>
      <c r="H1426" s="105">
        <f>H1427</f>
        <v>0</v>
      </c>
      <c r="L1426" s="26">
        <v>108201.32</v>
      </c>
      <c r="M1426" s="26">
        <v>119081.46</v>
      </c>
      <c r="N1426" s="26">
        <v>131049.60000000001</v>
      </c>
      <c r="O1426" s="26">
        <f>H1426-L1426</f>
        <v>-108201.32</v>
      </c>
      <c r="P1426" s="26" t="e">
        <f>#REF!-M1426</f>
        <v>#REF!</v>
      </c>
      <c r="Q1426" s="26" t="e">
        <f>#REF!-N1426</f>
        <v>#REF!</v>
      </c>
      <c r="R1426" s="17" t="str">
        <f t="shared" si="161"/>
        <v>04 2 02 21090000</v>
      </c>
    </row>
    <row r="1427" spans="1:18" s="16" customFormat="1" ht="31.5">
      <c r="A1427" s="14"/>
      <c r="B1427" s="125" t="s">
        <v>28</v>
      </c>
      <c r="C1427" s="131" t="s">
        <v>795</v>
      </c>
      <c r="D1427" s="131" t="s">
        <v>73</v>
      </c>
      <c r="E1427" s="131" t="s">
        <v>471</v>
      </c>
      <c r="F1427" s="108" t="s">
        <v>764</v>
      </c>
      <c r="G1427" s="131" t="s">
        <v>29</v>
      </c>
      <c r="H1427" s="126">
        <f>H1428</f>
        <v>0</v>
      </c>
      <c r="L1427" s="26">
        <v>108201.32</v>
      </c>
      <c r="M1427" s="26">
        <v>119081.46</v>
      </c>
      <c r="N1427" s="26">
        <v>131049.60000000001</v>
      </c>
      <c r="O1427" s="26">
        <f>H1427-L1427</f>
        <v>-108201.32</v>
      </c>
      <c r="P1427" s="26" t="e">
        <f>#REF!-M1427</f>
        <v>#REF!</v>
      </c>
      <c r="Q1427" s="26" t="e">
        <f>#REF!-N1427</f>
        <v>#REF!</v>
      </c>
      <c r="R1427" s="17" t="str">
        <f t="shared" si="161"/>
        <v>04 2 02 21090240</v>
      </c>
    </row>
    <row r="1428" spans="1:18" s="16" customFormat="1" ht="15.75">
      <c r="A1428" s="14"/>
      <c r="B1428" s="125" t="s">
        <v>30</v>
      </c>
      <c r="C1428" s="131" t="s">
        <v>795</v>
      </c>
      <c r="D1428" s="131" t="s">
        <v>73</v>
      </c>
      <c r="E1428" s="131" t="s">
        <v>471</v>
      </c>
      <c r="F1428" s="108" t="s">
        <v>764</v>
      </c>
      <c r="G1428" s="131" t="s">
        <v>31</v>
      </c>
      <c r="H1428" s="126"/>
      <c r="L1428" s="26"/>
      <c r="M1428" s="26"/>
      <c r="N1428" s="26"/>
      <c r="O1428" s="26"/>
      <c r="P1428" s="26"/>
      <c r="Q1428" s="26"/>
      <c r="R1428" s="17"/>
    </row>
    <row r="1429" spans="1:18" s="47" customFormat="1" ht="15.75">
      <c r="A1429" s="46"/>
      <c r="B1429" s="117" t="s">
        <v>305</v>
      </c>
      <c r="C1429" s="118" t="s">
        <v>795</v>
      </c>
      <c r="D1429" s="119" t="s">
        <v>86</v>
      </c>
      <c r="E1429" s="119" t="s">
        <v>7</v>
      </c>
      <c r="F1429" s="119" t="s">
        <v>8</v>
      </c>
      <c r="G1429" s="119" t="s">
        <v>9</v>
      </c>
      <c r="H1429" s="120">
        <f>H1430+H1438</f>
        <v>0</v>
      </c>
      <c r="L1429" s="18">
        <v>31000.670000000002</v>
      </c>
      <c r="M1429" s="18">
        <v>25282.670000000002</v>
      </c>
      <c r="N1429" s="18">
        <v>25094.670000000002</v>
      </c>
      <c r="O1429" s="18">
        <f t="shared" ref="O1429:O1435" si="166">H1429-L1429</f>
        <v>-31000.670000000002</v>
      </c>
      <c r="P1429" s="18" t="e">
        <f>#REF!-M1429</f>
        <v>#REF!</v>
      </c>
      <c r="Q1429" s="18" t="e">
        <f>#REF!-N1429</f>
        <v>#REF!</v>
      </c>
      <c r="R1429" s="17" t="str">
        <f t="shared" si="161"/>
        <v>00 0 00 00000000</v>
      </c>
    </row>
    <row r="1430" spans="1:18" s="16" customFormat="1" ht="15.75">
      <c r="A1430" s="14"/>
      <c r="B1430" s="121" t="s">
        <v>765</v>
      </c>
      <c r="C1430" s="122" t="s">
        <v>795</v>
      </c>
      <c r="D1430" s="123" t="s">
        <v>86</v>
      </c>
      <c r="E1430" s="123" t="s">
        <v>11</v>
      </c>
      <c r="F1430" s="123" t="s">
        <v>8</v>
      </c>
      <c r="G1430" s="123" t="s">
        <v>9</v>
      </c>
      <c r="H1430" s="124">
        <f>H1431</f>
        <v>0</v>
      </c>
      <c r="L1430" s="52">
        <v>4069.93</v>
      </c>
      <c r="M1430" s="52">
        <v>3851.93</v>
      </c>
      <c r="N1430" s="52">
        <v>3663.93</v>
      </c>
      <c r="O1430" s="52">
        <f t="shared" si="166"/>
        <v>-4069.93</v>
      </c>
      <c r="P1430" s="52" t="e">
        <f>#REF!-M1430</f>
        <v>#REF!</v>
      </c>
      <c r="Q1430" s="52" t="e">
        <f>#REF!-N1430</f>
        <v>#REF!</v>
      </c>
      <c r="R1430" s="17" t="str">
        <f t="shared" si="161"/>
        <v>00 0 00 00000000</v>
      </c>
    </row>
    <row r="1431" spans="1:18" s="16" customFormat="1" ht="63">
      <c r="A1431" s="14"/>
      <c r="B1431" s="127" t="s">
        <v>293</v>
      </c>
      <c r="C1431" s="131" t="s">
        <v>795</v>
      </c>
      <c r="D1431" s="131" t="s">
        <v>86</v>
      </c>
      <c r="E1431" s="131" t="s">
        <v>11</v>
      </c>
      <c r="F1431" s="131" t="s">
        <v>294</v>
      </c>
      <c r="G1431" s="131" t="s">
        <v>9</v>
      </c>
      <c r="H1431" s="158">
        <f t="shared" ref="H1431:H1432" si="167">H1432</f>
        <v>0</v>
      </c>
      <c r="L1431" s="53">
        <v>4069.93</v>
      </c>
      <c r="M1431" s="53">
        <v>3851.93</v>
      </c>
      <c r="N1431" s="53">
        <v>3663.93</v>
      </c>
      <c r="O1431" s="53">
        <f t="shared" si="166"/>
        <v>-4069.93</v>
      </c>
      <c r="P1431" s="53" t="e">
        <f>#REF!-M1431</f>
        <v>#REF!</v>
      </c>
      <c r="Q1431" s="53" t="e">
        <f>#REF!-N1431</f>
        <v>#REF!</v>
      </c>
      <c r="R1431" s="17" t="str">
        <f t="shared" si="161"/>
        <v>04 0 00 00000000</v>
      </c>
    </row>
    <row r="1432" spans="1:18" s="47" customFormat="1" ht="31.5">
      <c r="A1432" s="46"/>
      <c r="B1432" s="155" t="s">
        <v>766</v>
      </c>
      <c r="C1432" s="131" t="s">
        <v>795</v>
      </c>
      <c r="D1432" s="131" t="s">
        <v>86</v>
      </c>
      <c r="E1432" s="131" t="s">
        <v>11</v>
      </c>
      <c r="F1432" s="131" t="s">
        <v>767</v>
      </c>
      <c r="G1432" s="131" t="s">
        <v>9</v>
      </c>
      <c r="H1432" s="105">
        <f t="shared" si="167"/>
        <v>0</v>
      </c>
      <c r="L1432" s="54">
        <v>4069.93</v>
      </c>
      <c r="M1432" s="54">
        <v>3851.93</v>
      </c>
      <c r="N1432" s="54">
        <v>3663.93</v>
      </c>
      <c r="O1432" s="54">
        <f t="shared" si="166"/>
        <v>-4069.93</v>
      </c>
      <c r="P1432" s="54" t="e">
        <f>#REF!-M1432</f>
        <v>#REF!</v>
      </c>
      <c r="Q1432" s="54" t="e">
        <f>#REF!-N1432</f>
        <v>#REF!</v>
      </c>
      <c r="R1432" s="17" t="str">
        <f t="shared" si="161"/>
        <v>04 1 00 00000000</v>
      </c>
    </row>
    <row r="1433" spans="1:18" s="16" customFormat="1" ht="47.25">
      <c r="A1433" s="14"/>
      <c r="B1433" s="129" t="s">
        <v>793</v>
      </c>
      <c r="C1433" s="131" t="s">
        <v>795</v>
      </c>
      <c r="D1433" s="131" t="s">
        <v>86</v>
      </c>
      <c r="E1433" s="131" t="s">
        <v>11</v>
      </c>
      <c r="F1433" s="131" t="s">
        <v>769</v>
      </c>
      <c r="G1433" s="131" t="s">
        <v>9</v>
      </c>
      <c r="H1433" s="105">
        <f>H1434</f>
        <v>0</v>
      </c>
      <c r="L1433" s="26">
        <v>4069.93</v>
      </c>
      <c r="M1433" s="26">
        <v>3851.93</v>
      </c>
      <c r="N1433" s="26">
        <v>3663.93</v>
      </c>
      <c r="O1433" s="26">
        <f t="shared" si="166"/>
        <v>-4069.93</v>
      </c>
      <c r="P1433" s="26" t="e">
        <f>#REF!-M1433</f>
        <v>#REF!</v>
      </c>
      <c r="Q1433" s="26" t="e">
        <f>#REF!-N1433</f>
        <v>#REF!</v>
      </c>
      <c r="R1433" s="17" t="str">
        <f t="shared" si="161"/>
        <v>04 1 01 00000000</v>
      </c>
    </row>
    <row r="1434" spans="1:18" s="16" customFormat="1" ht="31.5">
      <c r="A1434" s="14"/>
      <c r="B1434" s="159" t="s">
        <v>770</v>
      </c>
      <c r="C1434" s="131" t="s">
        <v>795</v>
      </c>
      <c r="D1434" s="131" t="s">
        <v>86</v>
      </c>
      <c r="E1434" s="131" t="s">
        <v>11</v>
      </c>
      <c r="F1434" s="131" t="s">
        <v>771</v>
      </c>
      <c r="G1434" s="131" t="s">
        <v>9</v>
      </c>
      <c r="H1434" s="105">
        <f>H1435</f>
        <v>0</v>
      </c>
      <c r="L1434" s="26">
        <v>4069.93</v>
      </c>
      <c r="M1434" s="26">
        <v>3851.93</v>
      </c>
      <c r="N1434" s="26">
        <v>3663.93</v>
      </c>
      <c r="O1434" s="26">
        <f t="shared" si="166"/>
        <v>-4069.93</v>
      </c>
      <c r="P1434" s="26" t="e">
        <f>#REF!-M1434</f>
        <v>#REF!</v>
      </c>
      <c r="Q1434" s="26" t="e">
        <f>#REF!-N1434</f>
        <v>#REF!</v>
      </c>
      <c r="R1434" s="17" t="str">
        <f t="shared" si="161"/>
        <v>04 1 01 20190000</v>
      </c>
    </row>
    <row r="1435" spans="1:18" s="16" customFormat="1" ht="31.5">
      <c r="A1435" s="14"/>
      <c r="B1435" s="125" t="s">
        <v>28</v>
      </c>
      <c r="C1435" s="131" t="s">
        <v>795</v>
      </c>
      <c r="D1435" s="131" t="s">
        <v>86</v>
      </c>
      <c r="E1435" s="131" t="s">
        <v>11</v>
      </c>
      <c r="F1435" s="131" t="s">
        <v>771</v>
      </c>
      <c r="G1435" s="131" t="s">
        <v>29</v>
      </c>
      <c r="H1435" s="126">
        <f>SUM(H1436:H1437)</f>
        <v>0</v>
      </c>
      <c r="L1435" s="26">
        <v>4069.93</v>
      </c>
      <c r="M1435" s="26">
        <v>3851.93</v>
      </c>
      <c r="N1435" s="26">
        <v>3663.93</v>
      </c>
      <c r="O1435" s="26">
        <f t="shared" si="166"/>
        <v>-4069.93</v>
      </c>
      <c r="P1435" s="26" t="e">
        <f>#REF!-M1435</f>
        <v>#REF!</v>
      </c>
      <c r="Q1435" s="26" t="e">
        <f>#REF!-N1435</f>
        <v>#REF!</v>
      </c>
      <c r="R1435" s="17" t="str">
        <f t="shared" si="161"/>
        <v>04 1 01 20190240</v>
      </c>
    </row>
    <row r="1436" spans="1:18" s="16" customFormat="1" ht="47.25">
      <c r="A1436" s="14"/>
      <c r="B1436" s="127" t="s">
        <v>772</v>
      </c>
      <c r="C1436" s="131" t="s">
        <v>795</v>
      </c>
      <c r="D1436" s="131" t="s">
        <v>86</v>
      </c>
      <c r="E1436" s="131" t="s">
        <v>11</v>
      </c>
      <c r="F1436" s="131" t="s">
        <v>771</v>
      </c>
      <c r="G1436" s="131" t="s">
        <v>773</v>
      </c>
      <c r="H1436" s="126"/>
      <c r="L1436" s="26"/>
      <c r="M1436" s="26"/>
      <c r="N1436" s="26"/>
      <c r="O1436" s="26"/>
      <c r="P1436" s="26"/>
      <c r="Q1436" s="26"/>
      <c r="R1436" s="17" t="str">
        <f t="shared" si="161"/>
        <v>04 1 01 20190243</v>
      </c>
    </row>
    <row r="1437" spans="1:18" s="16" customFormat="1" ht="15.75">
      <c r="A1437" s="14"/>
      <c r="B1437" s="125" t="s">
        <v>30</v>
      </c>
      <c r="C1437" s="131" t="s">
        <v>795</v>
      </c>
      <c r="D1437" s="131" t="s">
        <v>86</v>
      </c>
      <c r="E1437" s="131" t="s">
        <v>11</v>
      </c>
      <c r="F1437" s="131" t="s">
        <v>771</v>
      </c>
      <c r="G1437" s="131" t="s">
        <v>31</v>
      </c>
      <c r="H1437" s="126"/>
      <c r="L1437" s="26"/>
      <c r="M1437" s="26"/>
      <c r="N1437" s="26"/>
      <c r="O1437" s="26"/>
      <c r="P1437" s="26"/>
      <c r="Q1437" s="26"/>
      <c r="R1437" s="17"/>
    </row>
    <row r="1438" spans="1:18" s="16" customFormat="1" ht="15.75">
      <c r="A1438" s="14"/>
      <c r="B1438" s="157" t="s">
        <v>306</v>
      </c>
      <c r="C1438" s="122" t="s">
        <v>795</v>
      </c>
      <c r="D1438" s="123" t="s">
        <v>86</v>
      </c>
      <c r="E1438" s="123" t="s">
        <v>13</v>
      </c>
      <c r="F1438" s="123" t="s">
        <v>8</v>
      </c>
      <c r="G1438" s="123" t="s">
        <v>9</v>
      </c>
      <c r="H1438" s="124">
        <f>H1439+H1448</f>
        <v>0</v>
      </c>
      <c r="L1438" s="19">
        <v>26930.74</v>
      </c>
      <c r="M1438" s="19">
        <v>21430.74</v>
      </c>
      <c r="N1438" s="19">
        <v>21430.74</v>
      </c>
      <c r="O1438" s="19">
        <f t="shared" ref="O1438:O1443" si="168">H1438-L1438</f>
        <v>-26930.74</v>
      </c>
      <c r="P1438" s="19" t="e">
        <f>#REF!-M1438</f>
        <v>#REF!</v>
      </c>
      <c r="Q1438" s="19" t="e">
        <f>#REF!-N1438</f>
        <v>#REF!</v>
      </c>
      <c r="R1438" s="17" t="str">
        <f t="shared" si="161"/>
        <v>00 0 00 00000000</v>
      </c>
    </row>
    <row r="1439" spans="1:18" s="16" customFormat="1" ht="63">
      <c r="A1439" s="14"/>
      <c r="B1439" s="127" t="s">
        <v>293</v>
      </c>
      <c r="C1439" s="131" t="s">
        <v>795</v>
      </c>
      <c r="D1439" s="131" t="s">
        <v>86</v>
      </c>
      <c r="E1439" s="131" t="s">
        <v>13</v>
      </c>
      <c r="F1439" s="131" t="s">
        <v>294</v>
      </c>
      <c r="G1439" s="131" t="s">
        <v>9</v>
      </c>
      <c r="H1439" s="105">
        <f t="shared" ref="H1439:H1440" si="169">H1440</f>
        <v>0</v>
      </c>
      <c r="L1439" s="26">
        <v>21430.74</v>
      </c>
      <c r="M1439" s="26">
        <v>21430.74</v>
      </c>
      <c r="N1439" s="26">
        <v>21430.74</v>
      </c>
      <c r="O1439" s="26">
        <f t="shared" si="168"/>
        <v>-21430.74</v>
      </c>
      <c r="P1439" s="26" t="e">
        <f>#REF!-M1439</f>
        <v>#REF!</v>
      </c>
      <c r="Q1439" s="26" t="e">
        <f>#REF!-N1439</f>
        <v>#REF!</v>
      </c>
      <c r="R1439" s="17" t="str">
        <f t="shared" si="161"/>
        <v>04 0 00 00000000</v>
      </c>
    </row>
    <row r="1440" spans="1:18" s="16" customFormat="1" ht="31.5">
      <c r="A1440" s="14"/>
      <c r="B1440" s="125" t="s">
        <v>307</v>
      </c>
      <c r="C1440" s="131" t="s">
        <v>795</v>
      </c>
      <c r="D1440" s="131" t="s">
        <v>86</v>
      </c>
      <c r="E1440" s="131" t="s">
        <v>13</v>
      </c>
      <c r="F1440" s="131" t="s">
        <v>308</v>
      </c>
      <c r="G1440" s="131" t="s">
        <v>9</v>
      </c>
      <c r="H1440" s="105">
        <f t="shared" si="169"/>
        <v>0</v>
      </c>
      <c r="L1440" s="26">
        <v>21430.74</v>
      </c>
      <c r="M1440" s="26">
        <v>21430.74</v>
      </c>
      <c r="N1440" s="26">
        <v>21430.74</v>
      </c>
      <c r="O1440" s="26">
        <f t="shared" si="168"/>
        <v>-21430.74</v>
      </c>
      <c r="P1440" s="26" t="e">
        <f>#REF!-M1440</f>
        <v>#REF!</v>
      </c>
      <c r="Q1440" s="26" t="e">
        <f>#REF!-N1440</f>
        <v>#REF!</v>
      </c>
      <c r="R1440" s="17" t="str">
        <f t="shared" si="161"/>
        <v>04 3 00 00000000</v>
      </c>
    </row>
    <row r="1441" spans="1:18" s="16" customFormat="1" ht="31.5">
      <c r="A1441" s="14"/>
      <c r="B1441" s="138" t="s">
        <v>309</v>
      </c>
      <c r="C1441" s="131" t="s">
        <v>795</v>
      </c>
      <c r="D1441" s="131" t="s">
        <v>86</v>
      </c>
      <c r="E1441" s="131" t="s">
        <v>13</v>
      </c>
      <c r="F1441" s="108" t="s">
        <v>310</v>
      </c>
      <c r="G1441" s="131" t="s">
        <v>9</v>
      </c>
      <c r="H1441" s="105">
        <f>H1442+H1445</f>
        <v>0</v>
      </c>
      <c r="L1441" s="26">
        <v>21430.74</v>
      </c>
      <c r="M1441" s="26">
        <v>21430.74</v>
      </c>
      <c r="N1441" s="26">
        <v>21430.74</v>
      </c>
      <c r="O1441" s="26">
        <f t="shared" si="168"/>
        <v>-21430.74</v>
      </c>
      <c r="P1441" s="26" t="e">
        <f>#REF!-M1441</f>
        <v>#REF!</v>
      </c>
      <c r="Q1441" s="26" t="e">
        <f>#REF!-N1441</f>
        <v>#REF!</v>
      </c>
      <c r="R1441" s="17" t="str">
        <f t="shared" si="161"/>
        <v>04 3 04 00000000</v>
      </c>
    </row>
    <row r="1442" spans="1:18" s="16" customFormat="1" ht="31.5">
      <c r="A1442" s="14"/>
      <c r="B1442" s="160" t="s">
        <v>542</v>
      </c>
      <c r="C1442" s="131" t="s">
        <v>795</v>
      </c>
      <c r="D1442" s="131" t="s">
        <v>86</v>
      </c>
      <c r="E1442" s="131" t="s">
        <v>13</v>
      </c>
      <c r="F1442" s="108" t="s">
        <v>543</v>
      </c>
      <c r="G1442" s="131" t="s">
        <v>9</v>
      </c>
      <c r="H1442" s="105">
        <f>H1443</f>
        <v>0</v>
      </c>
      <c r="L1442" s="26">
        <v>20489.02</v>
      </c>
      <c r="M1442" s="26">
        <v>20489.02</v>
      </c>
      <c r="N1442" s="26">
        <v>20489.02</v>
      </c>
      <c r="O1442" s="26">
        <f t="shared" si="168"/>
        <v>-20489.02</v>
      </c>
      <c r="P1442" s="26" t="e">
        <f>#REF!-M1442</f>
        <v>#REF!</v>
      </c>
      <c r="Q1442" s="26" t="e">
        <f>#REF!-N1442</f>
        <v>#REF!</v>
      </c>
      <c r="R1442" s="17" t="str">
        <f t="shared" si="161"/>
        <v>04 3 04 20300000</v>
      </c>
    </row>
    <row r="1443" spans="1:18" s="16" customFormat="1" ht="31.5">
      <c r="A1443" s="14"/>
      <c r="B1443" s="125" t="s">
        <v>28</v>
      </c>
      <c r="C1443" s="131" t="s">
        <v>795</v>
      </c>
      <c r="D1443" s="131" t="s">
        <v>86</v>
      </c>
      <c r="E1443" s="131" t="s">
        <v>13</v>
      </c>
      <c r="F1443" s="108" t="s">
        <v>543</v>
      </c>
      <c r="G1443" s="131" t="s">
        <v>29</v>
      </c>
      <c r="H1443" s="126">
        <f>H1444</f>
        <v>0</v>
      </c>
      <c r="L1443" s="20">
        <v>20489.02</v>
      </c>
      <c r="M1443" s="20">
        <v>20489.02</v>
      </c>
      <c r="N1443" s="20">
        <v>20489.02</v>
      </c>
      <c r="O1443" s="20">
        <f t="shared" si="168"/>
        <v>-20489.02</v>
      </c>
      <c r="P1443" s="20" t="e">
        <f>#REF!-M1443</f>
        <v>#REF!</v>
      </c>
      <c r="Q1443" s="20" t="e">
        <f>#REF!-N1443</f>
        <v>#REF!</v>
      </c>
      <c r="R1443" s="17" t="str">
        <f t="shared" si="161"/>
        <v>04 3 04 20300240</v>
      </c>
    </row>
    <row r="1444" spans="1:18" s="16" customFormat="1" ht="15.75">
      <c r="A1444" s="14"/>
      <c r="B1444" s="125" t="s">
        <v>30</v>
      </c>
      <c r="C1444" s="131" t="s">
        <v>795</v>
      </c>
      <c r="D1444" s="131" t="s">
        <v>86</v>
      </c>
      <c r="E1444" s="131" t="s">
        <v>13</v>
      </c>
      <c r="F1444" s="108" t="s">
        <v>543</v>
      </c>
      <c r="G1444" s="131" t="s">
        <v>31</v>
      </c>
      <c r="H1444" s="126"/>
      <c r="L1444" s="20"/>
      <c r="M1444" s="20"/>
      <c r="N1444" s="20"/>
      <c r="O1444" s="20"/>
      <c r="P1444" s="20"/>
      <c r="Q1444" s="20"/>
      <c r="R1444" s="17"/>
    </row>
    <row r="1445" spans="1:18" s="16" customFormat="1" ht="31.5">
      <c r="A1445" s="14"/>
      <c r="B1445" s="127" t="s">
        <v>774</v>
      </c>
      <c r="C1445" s="131" t="s">
        <v>795</v>
      </c>
      <c r="D1445" s="131" t="s">
        <v>86</v>
      </c>
      <c r="E1445" s="131" t="s">
        <v>13</v>
      </c>
      <c r="F1445" s="131" t="s">
        <v>775</v>
      </c>
      <c r="G1445" s="131" t="s">
        <v>9</v>
      </c>
      <c r="H1445" s="105">
        <f>H1446</f>
        <v>0</v>
      </c>
      <c r="L1445" s="26">
        <v>941.72</v>
      </c>
      <c r="M1445" s="26">
        <v>941.72</v>
      </c>
      <c r="N1445" s="26">
        <v>941.72</v>
      </c>
      <c r="O1445" s="26">
        <f>H1445-L1445</f>
        <v>-941.72</v>
      </c>
      <c r="P1445" s="26" t="e">
        <f>#REF!-M1445</f>
        <v>#REF!</v>
      </c>
      <c r="Q1445" s="26" t="e">
        <f>#REF!-N1445</f>
        <v>#REF!</v>
      </c>
      <c r="R1445" s="17" t="str">
        <f t="shared" si="161"/>
        <v>04 3 04 21070000</v>
      </c>
    </row>
    <row r="1446" spans="1:18" s="16" customFormat="1" ht="31.5">
      <c r="A1446" s="14"/>
      <c r="B1446" s="125" t="s">
        <v>28</v>
      </c>
      <c r="C1446" s="131" t="s">
        <v>795</v>
      </c>
      <c r="D1446" s="131" t="s">
        <v>86</v>
      </c>
      <c r="E1446" s="131" t="s">
        <v>13</v>
      </c>
      <c r="F1446" s="131" t="s">
        <v>775</v>
      </c>
      <c r="G1446" s="131" t="s">
        <v>29</v>
      </c>
      <c r="H1446" s="126">
        <f>H1447</f>
        <v>0</v>
      </c>
      <c r="L1446" s="20">
        <v>941.72</v>
      </c>
      <c r="M1446" s="20">
        <v>941.72</v>
      </c>
      <c r="N1446" s="20">
        <v>941.72</v>
      </c>
      <c r="O1446" s="20">
        <f>H1446-L1446</f>
        <v>-941.72</v>
      </c>
      <c r="P1446" s="20" t="e">
        <f>#REF!-M1446</f>
        <v>#REF!</v>
      </c>
      <c r="Q1446" s="20" t="e">
        <f>#REF!-N1446</f>
        <v>#REF!</v>
      </c>
      <c r="R1446" s="17" t="str">
        <f t="shared" si="161"/>
        <v>04 3 04 21070240</v>
      </c>
    </row>
    <row r="1447" spans="1:18" s="16" customFormat="1" ht="15.75">
      <c r="A1447" s="14"/>
      <c r="B1447" s="125" t="s">
        <v>30</v>
      </c>
      <c r="C1447" s="131" t="s">
        <v>795</v>
      </c>
      <c r="D1447" s="131" t="s">
        <v>86</v>
      </c>
      <c r="E1447" s="131" t="s">
        <v>13</v>
      </c>
      <c r="F1447" s="131" t="s">
        <v>775</v>
      </c>
      <c r="G1447" s="131" t="s">
        <v>31</v>
      </c>
      <c r="H1447" s="126"/>
      <c r="L1447" s="20"/>
      <c r="M1447" s="20"/>
      <c r="N1447" s="20"/>
      <c r="O1447" s="20"/>
      <c r="P1447" s="20"/>
      <c r="Q1447" s="20"/>
      <c r="R1447" s="17"/>
    </row>
    <row r="1448" spans="1:18" s="16" customFormat="1" ht="63">
      <c r="A1448" s="14"/>
      <c r="B1448" s="140" t="s">
        <v>87</v>
      </c>
      <c r="C1448" s="131" t="s">
        <v>795</v>
      </c>
      <c r="D1448" s="131" t="s">
        <v>86</v>
      </c>
      <c r="E1448" s="131" t="s">
        <v>13</v>
      </c>
      <c r="F1448" s="131" t="s">
        <v>88</v>
      </c>
      <c r="G1448" s="131" t="s">
        <v>9</v>
      </c>
      <c r="H1448" s="105">
        <f>H1449</f>
        <v>0</v>
      </c>
      <c r="L1448" s="26">
        <v>5500</v>
      </c>
      <c r="M1448" s="26">
        <v>0</v>
      </c>
      <c r="N1448" s="26">
        <v>0</v>
      </c>
      <c r="O1448" s="26">
        <f>H1448-L1448</f>
        <v>-5500</v>
      </c>
      <c r="P1448" s="26" t="e">
        <f>#REF!-M1448</f>
        <v>#REF!</v>
      </c>
      <c r="Q1448" s="26" t="e">
        <f>#REF!-N1448</f>
        <v>#REF!</v>
      </c>
      <c r="R1448" s="17" t="str">
        <f t="shared" si="161"/>
        <v>98 0 00 00000000</v>
      </c>
    </row>
    <row r="1449" spans="1:18" s="16" customFormat="1" ht="15.75">
      <c r="A1449" s="14"/>
      <c r="B1449" s="140" t="s">
        <v>89</v>
      </c>
      <c r="C1449" s="131" t="s">
        <v>795</v>
      </c>
      <c r="D1449" s="131" t="s">
        <v>86</v>
      </c>
      <c r="E1449" s="131" t="s">
        <v>13</v>
      </c>
      <c r="F1449" s="131" t="s">
        <v>90</v>
      </c>
      <c r="G1449" s="131" t="s">
        <v>9</v>
      </c>
      <c r="H1449" s="105">
        <f>H1450</f>
        <v>0</v>
      </c>
      <c r="L1449" s="26">
        <v>5500</v>
      </c>
      <c r="M1449" s="26">
        <v>0</v>
      </c>
      <c r="N1449" s="26">
        <v>0</v>
      </c>
      <c r="O1449" s="26">
        <f>H1449-L1449</f>
        <v>-5500</v>
      </c>
      <c r="P1449" s="26" t="e">
        <f>#REF!-M1449</f>
        <v>#REF!</v>
      </c>
      <c r="Q1449" s="26" t="e">
        <f>#REF!-N1449</f>
        <v>#REF!</v>
      </c>
      <c r="R1449" s="17" t="str">
        <f t="shared" si="161"/>
        <v>98 1 00 00000000</v>
      </c>
    </row>
    <row r="1450" spans="1:18" s="16" customFormat="1" ht="31.5">
      <c r="A1450" s="14"/>
      <c r="B1450" s="125" t="s">
        <v>778</v>
      </c>
      <c r="C1450" s="131" t="s">
        <v>795</v>
      </c>
      <c r="D1450" s="131" t="s">
        <v>86</v>
      </c>
      <c r="E1450" s="131" t="s">
        <v>13</v>
      </c>
      <c r="F1450" s="131" t="s">
        <v>779</v>
      </c>
      <c r="G1450" s="131" t="s">
        <v>9</v>
      </c>
      <c r="H1450" s="105">
        <f>H1451</f>
        <v>0</v>
      </c>
      <c r="L1450" s="26">
        <v>5500</v>
      </c>
      <c r="M1450" s="26">
        <v>0</v>
      </c>
      <c r="N1450" s="26">
        <v>0</v>
      </c>
      <c r="O1450" s="26">
        <f>H1450-L1450</f>
        <v>-5500</v>
      </c>
      <c r="P1450" s="26" t="e">
        <f>#REF!-M1450</f>
        <v>#REF!</v>
      </c>
      <c r="Q1450" s="26" t="e">
        <f>#REF!-N1450</f>
        <v>#REF!</v>
      </c>
      <c r="R1450" s="17" t="str">
        <f t="shared" si="161"/>
        <v>98 1 00 21450000</v>
      </c>
    </row>
    <row r="1451" spans="1:18" s="16" customFormat="1" ht="31.5">
      <c r="A1451" s="14"/>
      <c r="B1451" s="125" t="s">
        <v>28</v>
      </c>
      <c r="C1451" s="131" t="s">
        <v>795</v>
      </c>
      <c r="D1451" s="131" t="s">
        <v>86</v>
      </c>
      <c r="E1451" s="131" t="s">
        <v>13</v>
      </c>
      <c r="F1451" s="131" t="s">
        <v>779</v>
      </c>
      <c r="G1451" s="131" t="s">
        <v>29</v>
      </c>
      <c r="H1451" s="126">
        <f>H1452</f>
        <v>0</v>
      </c>
      <c r="L1451" s="26">
        <v>5500</v>
      </c>
      <c r="M1451" s="26">
        <v>0</v>
      </c>
      <c r="N1451" s="26">
        <v>0</v>
      </c>
      <c r="O1451" s="26">
        <f>H1451-L1451</f>
        <v>-5500</v>
      </c>
      <c r="P1451" s="26" t="e">
        <f>#REF!-M1451</f>
        <v>#REF!</v>
      </c>
      <c r="Q1451" s="26" t="e">
        <f>#REF!-N1451</f>
        <v>#REF!</v>
      </c>
      <c r="R1451" s="17" t="str">
        <f t="shared" si="161"/>
        <v>98 1 00 21450240</v>
      </c>
    </row>
    <row r="1452" spans="1:18" s="16" customFormat="1" ht="15.75">
      <c r="A1452" s="14"/>
      <c r="B1452" s="125" t="s">
        <v>30</v>
      </c>
      <c r="C1452" s="131" t="s">
        <v>795</v>
      </c>
      <c r="D1452" s="131" t="s">
        <v>86</v>
      </c>
      <c r="E1452" s="131" t="s">
        <v>13</v>
      </c>
      <c r="F1452" s="131" t="s">
        <v>779</v>
      </c>
      <c r="G1452" s="131" t="s">
        <v>31</v>
      </c>
      <c r="H1452" s="126"/>
      <c r="L1452" s="26"/>
      <c r="M1452" s="26"/>
      <c r="N1452" s="26"/>
      <c r="O1452" s="26"/>
      <c r="P1452" s="26"/>
      <c r="Q1452" s="26"/>
      <c r="R1452" s="17"/>
    </row>
    <row r="1453" spans="1:18" s="16" customFormat="1" ht="15.75">
      <c r="A1453" s="14"/>
      <c r="B1453" s="117" t="s">
        <v>569</v>
      </c>
      <c r="C1453" s="118" t="s">
        <v>795</v>
      </c>
      <c r="D1453" s="119" t="s">
        <v>238</v>
      </c>
      <c r="E1453" s="119" t="s">
        <v>7</v>
      </c>
      <c r="F1453" s="119" t="s">
        <v>8</v>
      </c>
      <c r="G1453" s="119" t="s">
        <v>9</v>
      </c>
      <c r="H1453" s="120">
        <f t="shared" ref="H1453:H1456" si="170">H1454</f>
        <v>0</v>
      </c>
      <c r="L1453" s="18">
        <v>1549</v>
      </c>
      <c r="M1453" s="18">
        <v>1549</v>
      </c>
      <c r="N1453" s="18">
        <v>1549</v>
      </c>
      <c r="O1453" s="18">
        <f t="shared" ref="O1453:O1459" si="171">H1453-L1453</f>
        <v>-1549</v>
      </c>
      <c r="P1453" s="18" t="e">
        <f>#REF!-M1453</f>
        <v>#REF!</v>
      </c>
      <c r="Q1453" s="18" t="e">
        <f>#REF!-N1453</f>
        <v>#REF!</v>
      </c>
      <c r="R1453" s="17" t="str">
        <f t="shared" si="161"/>
        <v>00 0 00 00000000</v>
      </c>
    </row>
    <row r="1454" spans="1:18" s="16" customFormat="1" ht="15.75">
      <c r="A1454" s="14"/>
      <c r="B1454" s="157" t="s">
        <v>239</v>
      </c>
      <c r="C1454" s="122" t="s">
        <v>795</v>
      </c>
      <c r="D1454" s="123" t="s">
        <v>238</v>
      </c>
      <c r="E1454" s="123" t="s">
        <v>11</v>
      </c>
      <c r="F1454" s="123" t="s">
        <v>8</v>
      </c>
      <c r="G1454" s="123" t="s">
        <v>9</v>
      </c>
      <c r="H1454" s="124">
        <f t="shared" si="170"/>
        <v>0</v>
      </c>
      <c r="L1454" s="19">
        <v>1549</v>
      </c>
      <c r="M1454" s="19">
        <v>1549</v>
      </c>
      <c r="N1454" s="19">
        <v>1549</v>
      </c>
      <c r="O1454" s="19">
        <f t="shared" si="171"/>
        <v>-1549</v>
      </c>
      <c r="P1454" s="19" t="e">
        <f>#REF!-M1454</f>
        <v>#REF!</v>
      </c>
      <c r="Q1454" s="19" t="e">
        <f>#REF!-N1454</f>
        <v>#REF!</v>
      </c>
      <c r="R1454" s="17" t="str">
        <f t="shared" si="161"/>
        <v>00 0 00 00000000</v>
      </c>
    </row>
    <row r="1455" spans="1:18" s="16" customFormat="1" ht="31.5">
      <c r="A1455" s="14"/>
      <c r="B1455" s="125" t="s">
        <v>240</v>
      </c>
      <c r="C1455" s="108" t="s">
        <v>795</v>
      </c>
      <c r="D1455" s="108" t="s">
        <v>238</v>
      </c>
      <c r="E1455" s="108" t="s">
        <v>11</v>
      </c>
      <c r="F1455" s="108" t="s">
        <v>241</v>
      </c>
      <c r="G1455" s="108" t="s">
        <v>9</v>
      </c>
      <c r="H1455" s="126">
        <f t="shared" si="170"/>
        <v>0</v>
      </c>
      <c r="L1455" s="20">
        <v>1549</v>
      </c>
      <c r="M1455" s="20">
        <v>1549</v>
      </c>
      <c r="N1455" s="20">
        <v>1549</v>
      </c>
      <c r="O1455" s="20">
        <f t="shared" si="171"/>
        <v>-1549</v>
      </c>
      <c r="P1455" s="20" t="e">
        <f>#REF!-M1455</f>
        <v>#REF!</v>
      </c>
      <c r="Q1455" s="20" t="e">
        <f>#REF!-N1455</f>
        <v>#REF!</v>
      </c>
      <c r="R1455" s="17" t="str">
        <f t="shared" si="161"/>
        <v>07 0 00 00000000</v>
      </c>
    </row>
    <row r="1456" spans="1:18" s="16" customFormat="1" ht="78.75">
      <c r="A1456" s="14"/>
      <c r="B1456" s="129" t="s">
        <v>804</v>
      </c>
      <c r="C1456" s="131" t="s">
        <v>795</v>
      </c>
      <c r="D1456" s="131" t="s">
        <v>238</v>
      </c>
      <c r="E1456" s="131" t="s">
        <v>11</v>
      </c>
      <c r="F1456" s="131" t="s">
        <v>243</v>
      </c>
      <c r="G1456" s="131" t="s">
        <v>9</v>
      </c>
      <c r="H1456" s="105">
        <f t="shared" si="170"/>
        <v>0</v>
      </c>
      <c r="L1456" s="26">
        <v>1549</v>
      </c>
      <c r="M1456" s="26">
        <v>1549</v>
      </c>
      <c r="N1456" s="26">
        <v>1549</v>
      </c>
      <c r="O1456" s="26">
        <f t="shared" si="171"/>
        <v>-1549</v>
      </c>
      <c r="P1456" s="26" t="e">
        <f>#REF!-M1456</f>
        <v>#REF!</v>
      </c>
      <c r="Q1456" s="26" t="e">
        <f>#REF!-N1456</f>
        <v>#REF!</v>
      </c>
      <c r="R1456" s="17" t="str">
        <f t="shared" si="161"/>
        <v>07 1 00 00000000</v>
      </c>
    </row>
    <row r="1457" spans="1:18" s="16" customFormat="1" ht="110.25">
      <c r="A1457" s="14"/>
      <c r="B1457" s="155" t="s">
        <v>244</v>
      </c>
      <c r="C1457" s="131" t="s">
        <v>795</v>
      </c>
      <c r="D1457" s="131" t="s">
        <v>238</v>
      </c>
      <c r="E1457" s="131" t="s">
        <v>11</v>
      </c>
      <c r="F1457" s="131" t="s">
        <v>245</v>
      </c>
      <c r="G1457" s="131" t="s">
        <v>9</v>
      </c>
      <c r="H1457" s="105">
        <f>H1458+H1461</f>
        <v>0</v>
      </c>
      <c r="L1457" s="26">
        <v>1549</v>
      </c>
      <c r="M1457" s="26">
        <v>1549</v>
      </c>
      <c r="N1457" s="26">
        <v>1549</v>
      </c>
      <c r="O1457" s="26">
        <f t="shared" si="171"/>
        <v>-1549</v>
      </c>
      <c r="P1457" s="26" t="e">
        <f>#REF!-M1457</f>
        <v>#REF!</v>
      </c>
      <c r="Q1457" s="26" t="e">
        <f>#REF!-N1457</f>
        <v>#REF!</v>
      </c>
      <c r="R1457" s="17" t="str">
        <f t="shared" si="161"/>
        <v>07 1 01 00000000</v>
      </c>
    </row>
    <row r="1458" spans="1:18" s="16" customFormat="1" ht="31.5">
      <c r="A1458" s="14"/>
      <c r="B1458" s="129" t="s">
        <v>246</v>
      </c>
      <c r="C1458" s="131" t="s">
        <v>795</v>
      </c>
      <c r="D1458" s="131" t="s">
        <v>238</v>
      </c>
      <c r="E1458" s="131" t="s">
        <v>11</v>
      </c>
      <c r="F1458" s="131" t="s">
        <v>247</v>
      </c>
      <c r="G1458" s="131" t="s">
        <v>9</v>
      </c>
      <c r="H1458" s="105">
        <f>H1459</f>
        <v>0</v>
      </c>
      <c r="L1458" s="26">
        <v>911.5</v>
      </c>
      <c r="M1458" s="26">
        <v>911.5</v>
      </c>
      <c r="N1458" s="26">
        <v>911.5</v>
      </c>
      <c r="O1458" s="26">
        <f t="shared" si="171"/>
        <v>-911.5</v>
      </c>
      <c r="P1458" s="26" t="e">
        <f>#REF!-M1458</f>
        <v>#REF!</v>
      </c>
      <c r="Q1458" s="26" t="e">
        <f>#REF!-N1458</f>
        <v>#REF!</v>
      </c>
      <c r="R1458" s="17" t="str">
        <f t="shared" si="161"/>
        <v>07 1 01 20060000</v>
      </c>
    </row>
    <row r="1459" spans="1:18" s="16" customFormat="1" ht="31.5">
      <c r="A1459" s="14"/>
      <c r="B1459" s="125" t="s">
        <v>28</v>
      </c>
      <c r="C1459" s="131" t="s">
        <v>795</v>
      </c>
      <c r="D1459" s="131" t="s">
        <v>238</v>
      </c>
      <c r="E1459" s="131" t="s">
        <v>11</v>
      </c>
      <c r="F1459" s="131" t="s">
        <v>247</v>
      </c>
      <c r="G1459" s="131" t="s">
        <v>29</v>
      </c>
      <c r="H1459" s="126">
        <f>H1460</f>
        <v>0</v>
      </c>
      <c r="L1459" s="20">
        <v>911.5</v>
      </c>
      <c r="M1459" s="20">
        <v>911.5</v>
      </c>
      <c r="N1459" s="20">
        <v>911.5</v>
      </c>
      <c r="O1459" s="20">
        <f t="shared" si="171"/>
        <v>-911.5</v>
      </c>
      <c r="P1459" s="20" t="e">
        <f>#REF!-M1459</f>
        <v>#REF!</v>
      </c>
      <c r="Q1459" s="20" t="e">
        <f>#REF!-N1459</f>
        <v>#REF!</v>
      </c>
      <c r="R1459" s="17" t="str">
        <f t="shared" si="161"/>
        <v>07 1 01 20060240</v>
      </c>
    </row>
    <row r="1460" spans="1:18" s="16" customFormat="1" ht="15.75">
      <c r="A1460" s="14"/>
      <c r="B1460" s="125" t="s">
        <v>30</v>
      </c>
      <c r="C1460" s="131" t="s">
        <v>795</v>
      </c>
      <c r="D1460" s="131" t="s">
        <v>238</v>
      </c>
      <c r="E1460" s="131" t="s">
        <v>11</v>
      </c>
      <c r="F1460" s="131" t="s">
        <v>247</v>
      </c>
      <c r="G1460" s="131" t="s">
        <v>31</v>
      </c>
      <c r="H1460" s="126"/>
      <c r="L1460" s="20"/>
      <c r="M1460" s="20"/>
      <c r="N1460" s="20"/>
      <c r="O1460" s="20"/>
      <c r="P1460" s="20"/>
      <c r="Q1460" s="20"/>
      <c r="R1460" s="17"/>
    </row>
    <row r="1461" spans="1:18" s="16" customFormat="1" ht="47.25">
      <c r="A1461" s="14"/>
      <c r="B1461" s="127" t="s">
        <v>780</v>
      </c>
      <c r="C1461" s="131" t="s">
        <v>795</v>
      </c>
      <c r="D1461" s="131" t="s">
        <v>238</v>
      </c>
      <c r="E1461" s="131" t="s">
        <v>11</v>
      </c>
      <c r="F1461" s="131" t="s">
        <v>781</v>
      </c>
      <c r="G1461" s="131" t="s">
        <v>9</v>
      </c>
      <c r="H1461" s="161">
        <f>H1462</f>
        <v>0</v>
      </c>
      <c r="L1461" s="55">
        <v>637.5</v>
      </c>
      <c r="M1461" s="55">
        <v>637.5</v>
      </c>
      <c r="N1461" s="55">
        <v>637.5</v>
      </c>
      <c r="O1461" s="55">
        <f>H1461-L1461</f>
        <v>-637.5</v>
      </c>
      <c r="P1461" s="55" t="e">
        <f>#REF!-M1461</f>
        <v>#REF!</v>
      </c>
      <c r="Q1461" s="55" t="e">
        <f>#REF!-N1461</f>
        <v>#REF!</v>
      </c>
      <c r="R1461" s="17" t="str">
        <f t="shared" si="161"/>
        <v>07 1 01 21130000</v>
      </c>
    </row>
    <row r="1462" spans="1:18" s="16" customFormat="1" ht="31.5">
      <c r="A1462" s="14"/>
      <c r="B1462" s="125" t="s">
        <v>28</v>
      </c>
      <c r="C1462" s="131" t="s">
        <v>795</v>
      </c>
      <c r="D1462" s="131" t="s">
        <v>238</v>
      </c>
      <c r="E1462" s="131" t="s">
        <v>11</v>
      </c>
      <c r="F1462" s="131" t="s">
        <v>781</v>
      </c>
      <c r="G1462" s="131" t="s">
        <v>29</v>
      </c>
      <c r="H1462" s="126">
        <f>H1463</f>
        <v>0</v>
      </c>
      <c r="L1462" s="20">
        <v>637.5</v>
      </c>
      <c r="M1462" s="20">
        <v>637.5</v>
      </c>
      <c r="N1462" s="20">
        <v>637.5</v>
      </c>
      <c r="O1462" s="20">
        <f>H1462-L1462</f>
        <v>-637.5</v>
      </c>
      <c r="P1462" s="20" t="e">
        <f>#REF!-M1462</f>
        <v>#REF!</v>
      </c>
      <c r="Q1462" s="20" t="e">
        <f>#REF!-N1462</f>
        <v>#REF!</v>
      </c>
      <c r="R1462" s="17" t="str">
        <f t="shared" si="161"/>
        <v>07 1 01 21130240</v>
      </c>
    </row>
    <row r="1463" spans="1:18" s="16" customFormat="1" ht="15.75">
      <c r="A1463" s="14"/>
      <c r="B1463" s="125" t="s">
        <v>30</v>
      </c>
      <c r="C1463" s="131" t="s">
        <v>795</v>
      </c>
      <c r="D1463" s="131" t="s">
        <v>238</v>
      </c>
      <c r="E1463" s="131" t="s">
        <v>11</v>
      </c>
      <c r="F1463" s="131" t="s">
        <v>781</v>
      </c>
      <c r="G1463" s="131" t="s">
        <v>31</v>
      </c>
      <c r="H1463" s="126"/>
      <c r="L1463" s="20"/>
      <c r="M1463" s="20"/>
      <c r="N1463" s="20"/>
      <c r="O1463" s="20"/>
      <c r="P1463" s="20"/>
      <c r="Q1463" s="20"/>
      <c r="R1463" s="17"/>
    </row>
    <row r="1464" spans="1:18" s="16" customFormat="1" ht="15.75">
      <c r="A1464" s="14"/>
      <c r="B1464" s="125"/>
      <c r="C1464" s="131"/>
      <c r="D1464" s="131"/>
      <c r="E1464" s="131"/>
      <c r="F1464" s="131"/>
      <c r="G1464" s="131"/>
      <c r="H1464" s="126"/>
      <c r="L1464" s="20"/>
      <c r="M1464" s="20"/>
      <c r="N1464" s="20"/>
      <c r="O1464" s="20">
        <f t="shared" ref="O1464:O1472" si="172">H1464-L1464</f>
        <v>0</v>
      </c>
      <c r="P1464" s="20" t="e">
        <f>#REF!-M1464</f>
        <v>#REF!</v>
      </c>
      <c r="Q1464" s="20" t="e">
        <f>#REF!-N1464</f>
        <v>#REF!</v>
      </c>
      <c r="R1464" s="17" t="str">
        <f t="shared" si="161"/>
        <v/>
      </c>
    </row>
    <row r="1465" spans="1:18" s="16" customFormat="1" ht="31.5">
      <c r="A1465" s="14"/>
      <c r="B1465" s="67" t="s">
        <v>805</v>
      </c>
      <c r="C1465" s="116" t="s">
        <v>410</v>
      </c>
      <c r="D1465" s="69" t="s">
        <v>7</v>
      </c>
      <c r="E1465" s="69" t="s">
        <v>7</v>
      </c>
      <c r="F1465" s="69" t="s">
        <v>8</v>
      </c>
      <c r="G1465" s="69" t="s">
        <v>9</v>
      </c>
      <c r="H1465" s="162" t="e">
        <f>H1466+H1479+H1554+H1651+H1643</f>
        <v>#REF!</v>
      </c>
      <c r="L1465" s="56">
        <v>613479.86</v>
      </c>
      <c r="M1465" s="56">
        <v>551006.57000000007</v>
      </c>
      <c r="N1465" s="56">
        <v>543634.79</v>
      </c>
      <c r="O1465" s="56" t="e">
        <f t="shared" si="172"/>
        <v>#REF!</v>
      </c>
      <c r="P1465" s="56" t="e">
        <f>#REF!-M1465</f>
        <v>#REF!</v>
      </c>
      <c r="Q1465" s="56" t="e">
        <f>#REF!-N1465</f>
        <v>#REF!</v>
      </c>
      <c r="R1465" s="17" t="str">
        <f t="shared" si="161"/>
        <v>00 0 00 00000000</v>
      </c>
    </row>
    <row r="1466" spans="1:18" s="16" customFormat="1" ht="15.75">
      <c r="A1466" s="14"/>
      <c r="B1466" s="117" t="s">
        <v>10</v>
      </c>
      <c r="C1466" s="118" t="s">
        <v>410</v>
      </c>
      <c r="D1466" s="119" t="s">
        <v>11</v>
      </c>
      <c r="E1466" s="119" t="s">
        <v>7</v>
      </c>
      <c r="F1466" s="119" t="s">
        <v>8</v>
      </c>
      <c r="G1466" s="119" t="s">
        <v>9</v>
      </c>
      <c r="H1466" s="120">
        <f t="shared" ref="H1466:H1474" si="173">H1467</f>
        <v>0</v>
      </c>
      <c r="L1466" s="18">
        <v>571.66</v>
      </c>
      <c r="M1466" s="18">
        <v>571.66</v>
      </c>
      <c r="N1466" s="18">
        <v>571.66</v>
      </c>
      <c r="O1466" s="18">
        <f t="shared" si="172"/>
        <v>-571.66</v>
      </c>
      <c r="P1466" s="18" t="e">
        <f>#REF!-M1466</f>
        <v>#REF!</v>
      </c>
      <c r="Q1466" s="18" t="e">
        <f>#REF!-N1466</f>
        <v>#REF!</v>
      </c>
      <c r="R1466" s="17" t="str">
        <f t="shared" si="161"/>
        <v>00 0 00 00000000</v>
      </c>
    </row>
    <row r="1467" spans="1:18" s="16" customFormat="1" ht="15.75">
      <c r="A1467" s="14"/>
      <c r="B1467" s="121" t="s">
        <v>50</v>
      </c>
      <c r="C1467" s="122" t="s">
        <v>410</v>
      </c>
      <c r="D1467" s="123" t="s">
        <v>11</v>
      </c>
      <c r="E1467" s="123" t="s">
        <v>51</v>
      </c>
      <c r="F1467" s="123" t="s">
        <v>8</v>
      </c>
      <c r="G1467" s="123" t="s">
        <v>9</v>
      </c>
      <c r="H1467" s="124">
        <f>H1474+H1468</f>
        <v>0</v>
      </c>
      <c r="L1467" s="19">
        <v>571.66</v>
      </c>
      <c r="M1467" s="19">
        <v>571.66</v>
      </c>
      <c r="N1467" s="19">
        <v>571.66</v>
      </c>
      <c r="O1467" s="19">
        <f t="shared" si="172"/>
        <v>-571.66</v>
      </c>
      <c r="P1467" s="19" t="e">
        <f>#REF!-M1467</f>
        <v>#REF!</v>
      </c>
      <c r="Q1467" s="19" t="e">
        <f>#REF!-N1467</f>
        <v>#REF!</v>
      </c>
      <c r="R1467" s="17" t="str">
        <f t="shared" si="161"/>
        <v>00 0 00 00000000</v>
      </c>
    </row>
    <row r="1468" spans="1:18" s="16" customFormat="1" ht="63">
      <c r="A1468" s="14"/>
      <c r="B1468" s="125" t="s">
        <v>257</v>
      </c>
      <c r="C1468" s="109" t="s">
        <v>410</v>
      </c>
      <c r="D1468" s="108" t="s">
        <v>11</v>
      </c>
      <c r="E1468" s="108" t="s">
        <v>51</v>
      </c>
      <c r="F1468" s="14" t="s">
        <v>258</v>
      </c>
      <c r="G1468" s="108" t="s">
        <v>9</v>
      </c>
      <c r="H1468" s="126">
        <f>H1469</f>
        <v>0</v>
      </c>
      <c r="L1468" s="20">
        <v>71.66</v>
      </c>
      <c r="M1468" s="20">
        <v>71.66</v>
      </c>
      <c r="N1468" s="20">
        <v>71.66</v>
      </c>
      <c r="O1468" s="20">
        <f t="shared" si="172"/>
        <v>-71.66</v>
      </c>
      <c r="P1468" s="20" t="e">
        <f>#REF!-M1468</f>
        <v>#REF!</v>
      </c>
      <c r="Q1468" s="20" t="e">
        <f>#REF!-N1468</f>
        <v>#REF!</v>
      </c>
      <c r="R1468" s="17" t="str">
        <f t="shared" ref="R1468:R1537" si="174">CONCATENATE(F1468,G1468)</f>
        <v>11 0 00 00000000</v>
      </c>
    </row>
    <row r="1469" spans="1:18" s="16" customFormat="1" ht="63">
      <c r="A1469" s="14"/>
      <c r="B1469" s="125" t="s">
        <v>259</v>
      </c>
      <c r="C1469" s="109" t="s">
        <v>410</v>
      </c>
      <c r="D1469" s="108" t="s">
        <v>11</v>
      </c>
      <c r="E1469" s="108" t="s">
        <v>51</v>
      </c>
      <c r="F1469" s="14" t="s">
        <v>260</v>
      </c>
      <c r="G1469" s="108" t="s">
        <v>9</v>
      </c>
      <c r="H1469" s="126">
        <f>H1470</f>
        <v>0</v>
      </c>
      <c r="L1469" s="20">
        <v>71.66</v>
      </c>
      <c r="M1469" s="20">
        <v>71.66</v>
      </c>
      <c r="N1469" s="20">
        <v>71.66</v>
      </c>
      <c r="O1469" s="20">
        <f t="shared" si="172"/>
        <v>-71.66</v>
      </c>
      <c r="P1469" s="20" t="e">
        <f>#REF!-M1469</f>
        <v>#REF!</v>
      </c>
      <c r="Q1469" s="20" t="e">
        <f>#REF!-N1469</f>
        <v>#REF!</v>
      </c>
      <c r="R1469" s="17" t="str">
        <f t="shared" si="174"/>
        <v>11 Б 00 00000000</v>
      </c>
    </row>
    <row r="1470" spans="1:18" s="16" customFormat="1" ht="47.25">
      <c r="A1470" s="14"/>
      <c r="B1470" s="125" t="s">
        <v>261</v>
      </c>
      <c r="C1470" s="109" t="s">
        <v>410</v>
      </c>
      <c r="D1470" s="108" t="s">
        <v>11</v>
      </c>
      <c r="E1470" s="108" t="s">
        <v>51</v>
      </c>
      <c r="F1470" s="14" t="s">
        <v>262</v>
      </c>
      <c r="G1470" s="108" t="s">
        <v>9</v>
      </c>
      <c r="H1470" s="126">
        <f>H1471</f>
        <v>0</v>
      </c>
      <c r="L1470" s="20">
        <v>71.66</v>
      </c>
      <c r="M1470" s="20">
        <v>71.66</v>
      </c>
      <c r="N1470" s="20">
        <v>71.66</v>
      </c>
      <c r="O1470" s="20">
        <f t="shared" si="172"/>
        <v>-71.66</v>
      </c>
      <c r="P1470" s="20" t="e">
        <f>#REF!-M1470</f>
        <v>#REF!</v>
      </c>
      <c r="Q1470" s="20" t="e">
        <f>#REF!-N1470</f>
        <v>#REF!</v>
      </c>
      <c r="R1470" s="17" t="str">
        <f t="shared" si="174"/>
        <v>11 Б 01 00000000</v>
      </c>
    </row>
    <row r="1471" spans="1:18" s="16" customFormat="1" ht="31.5">
      <c r="A1471" s="14"/>
      <c r="B1471" s="125" t="s">
        <v>267</v>
      </c>
      <c r="C1471" s="109" t="s">
        <v>410</v>
      </c>
      <c r="D1471" s="108" t="s">
        <v>11</v>
      </c>
      <c r="E1471" s="108" t="s">
        <v>51</v>
      </c>
      <c r="F1471" s="14" t="s">
        <v>268</v>
      </c>
      <c r="G1471" s="108" t="s">
        <v>9</v>
      </c>
      <c r="H1471" s="126">
        <f>H1472</f>
        <v>0</v>
      </c>
      <c r="L1471" s="20">
        <v>71.66</v>
      </c>
      <c r="M1471" s="20">
        <v>71.66</v>
      </c>
      <c r="N1471" s="20">
        <v>71.66</v>
      </c>
      <c r="O1471" s="20">
        <f t="shared" si="172"/>
        <v>-71.66</v>
      </c>
      <c r="P1471" s="20" t="e">
        <f>#REF!-M1471</f>
        <v>#REF!</v>
      </c>
      <c r="Q1471" s="20" t="e">
        <f>#REF!-N1471</f>
        <v>#REF!</v>
      </c>
      <c r="R1471" s="17" t="str">
        <f t="shared" si="174"/>
        <v>11 Б 01 21120000</v>
      </c>
    </row>
    <row r="1472" spans="1:18" s="16" customFormat="1" ht="31.5">
      <c r="A1472" s="14"/>
      <c r="B1472" s="125" t="s">
        <v>28</v>
      </c>
      <c r="C1472" s="109" t="s">
        <v>410</v>
      </c>
      <c r="D1472" s="108" t="s">
        <v>11</v>
      </c>
      <c r="E1472" s="108" t="s">
        <v>51</v>
      </c>
      <c r="F1472" s="14" t="s">
        <v>268</v>
      </c>
      <c r="G1472" s="108" t="s">
        <v>29</v>
      </c>
      <c r="H1472" s="126">
        <f>H1473</f>
        <v>0</v>
      </c>
      <c r="L1472" s="20">
        <v>71.66</v>
      </c>
      <c r="M1472" s="20">
        <v>71.66</v>
      </c>
      <c r="N1472" s="20">
        <v>71.66</v>
      </c>
      <c r="O1472" s="20">
        <f t="shared" si="172"/>
        <v>-71.66</v>
      </c>
      <c r="P1472" s="20" t="e">
        <f>#REF!-M1472</f>
        <v>#REF!</v>
      </c>
      <c r="Q1472" s="20" t="e">
        <f>#REF!-N1472</f>
        <v>#REF!</v>
      </c>
      <c r="R1472" s="17" t="str">
        <f t="shared" si="174"/>
        <v>11 Б 01 21120240</v>
      </c>
    </row>
    <row r="1473" spans="1:18" s="16" customFormat="1" ht="15.75">
      <c r="A1473" s="14"/>
      <c r="B1473" s="125" t="s">
        <v>30</v>
      </c>
      <c r="C1473" s="109" t="s">
        <v>410</v>
      </c>
      <c r="D1473" s="108" t="s">
        <v>11</v>
      </c>
      <c r="E1473" s="108" t="s">
        <v>51</v>
      </c>
      <c r="F1473" s="14" t="s">
        <v>268</v>
      </c>
      <c r="G1473" s="108" t="s">
        <v>31</v>
      </c>
      <c r="H1473" s="126"/>
      <c r="L1473" s="20"/>
      <c r="M1473" s="20"/>
      <c r="N1473" s="20"/>
      <c r="O1473" s="20"/>
      <c r="P1473" s="20"/>
      <c r="Q1473" s="20"/>
      <c r="R1473" s="17"/>
    </row>
    <row r="1474" spans="1:18" s="16" customFormat="1" ht="31.5">
      <c r="A1474" s="14"/>
      <c r="B1474" s="125" t="s">
        <v>806</v>
      </c>
      <c r="C1474" s="108" t="s">
        <v>410</v>
      </c>
      <c r="D1474" s="108" t="s">
        <v>11</v>
      </c>
      <c r="E1474" s="108" t="s">
        <v>51</v>
      </c>
      <c r="F1474" s="108" t="s">
        <v>807</v>
      </c>
      <c r="G1474" s="108" t="s">
        <v>9</v>
      </c>
      <c r="H1474" s="126">
        <f t="shared" si="173"/>
        <v>0</v>
      </c>
      <c r="L1474" s="20">
        <v>500</v>
      </c>
      <c r="M1474" s="20">
        <v>500</v>
      </c>
      <c r="N1474" s="20">
        <v>500</v>
      </c>
      <c r="O1474" s="20">
        <f>H1474-L1474</f>
        <v>-500</v>
      </c>
      <c r="P1474" s="20" t="e">
        <f>#REF!-M1474</f>
        <v>#REF!</v>
      </c>
      <c r="Q1474" s="20" t="e">
        <f>#REF!-N1474</f>
        <v>#REF!</v>
      </c>
      <c r="R1474" s="17" t="str">
        <f t="shared" si="174"/>
        <v>83 0 00 00000000</v>
      </c>
    </row>
    <row r="1475" spans="1:18" s="16" customFormat="1" ht="47.25">
      <c r="A1475" s="14"/>
      <c r="B1475" s="125" t="s">
        <v>808</v>
      </c>
      <c r="C1475" s="108" t="s">
        <v>410</v>
      </c>
      <c r="D1475" s="108" t="s">
        <v>11</v>
      </c>
      <c r="E1475" s="108" t="s">
        <v>51</v>
      </c>
      <c r="F1475" s="108" t="s">
        <v>809</v>
      </c>
      <c r="G1475" s="108" t="s">
        <v>9</v>
      </c>
      <c r="H1475" s="126">
        <f>H1476</f>
        <v>0</v>
      </c>
      <c r="L1475" s="20">
        <v>500</v>
      </c>
      <c r="M1475" s="20">
        <v>500</v>
      </c>
      <c r="N1475" s="20">
        <v>500</v>
      </c>
      <c r="O1475" s="20">
        <f>H1475-L1475</f>
        <v>-500</v>
      </c>
      <c r="P1475" s="20" t="e">
        <f>#REF!-M1475</f>
        <v>#REF!</v>
      </c>
      <c r="Q1475" s="20" t="e">
        <f>#REF!-N1475</f>
        <v>#REF!</v>
      </c>
      <c r="R1475" s="17" t="str">
        <f t="shared" si="174"/>
        <v>83 1 00 00000000</v>
      </c>
    </row>
    <row r="1476" spans="1:18" s="16" customFormat="1" ht="31.5">
      <c r="A1476" s="14"/>
      <c r="B1476" s="125" t="s">
        <v>187</v>
      </c>
      <c r="C1476" s="108" t="s">
        <v>410</v>
      </c>
      <c r="D1476" s="108" t="s">
        <v>11</v>
      </c>
      <c r="E1476" s="108" t="s">
        <v>51</v>
      </c>
      <c r="F1476" s="108" t="s">
        <v>810</v>
      </c>
      <c r="G1476" s="108" t="s">
        <v>9</v>
      </c>
      <c r="H1476" s="126">
        <f>H1477</f>
        <v>0</v>
      </c>
      <c r="L1476" s="20">
        <v>500</v>
      </c>
      <c r="M1476" s="20">
        <v>500</v>
      </c>
      <c r="N1476" s="20">
        <v>500</v>
      </c>
      <c r="O1476" s="20">
        <f>H1476-L1476</f>
        <v>-500</v>
      </c>
      <c r="P1476" s="20" t="e">
        <f>#REF!-M1476</f>
        <v>#REF!</v>
      </c>
      <c r="Q1476" s="20" t="e">
        <f>#REF!-N1476</f>
        <v>#REF!</v>
      </c>
      <c r="R1476" s="17" t="str">
        <f t="shared" si="174"/>
        <v>83 1 00 20050000</v>
      </c>
    </row>
    <row r="1477" spans="1:18" s="16" customFormat="1" ht="15.75">
      <c r="A1477" s="14"/>
      <c r="B1477" s="125" t="s">
        <v>189</v>
      </c>
      <c r="C1477" s="108" t="s">
        <v>410</v>
      </c>
      <c r="D1477" s="108" t="s">
        <v>11</v>
      </c>
      <c r="E1477" s="108" t="s">
        <v>51</v>
      </c>
      <c r="F1477" s="108" t="s">
        <v>810</v>
      </c>
      <c r="G1477" s="108" t="s">
        <v>190</v>
      </c>
      <c r="H1477" s="126">
        <f>H1478</f>
        <v>0</v>
      </c>
      <c r="L1477" s="20">
        <v>500</v>
      </c>
      <c r="M1477" s="20">
        <v>500</v>
      </c>
      <c r="N1477" s="20">
        <v>500</v>
      </c>
      <c r="O1477" s="20">
        <f>H1477-L1477</f>
        <v>-500</v>
      </c>
      <c r="P1477" s="20" t="e">
        <f>#REF!-M1477</f>
        <v>#REF!</v>
      </c>
      <c r="Q1477" s="20" t="e">
        <f>#REF!-N1477</f>
        <v>#REF!</v>
      </c>
      <c r="R1477" s="17" t="str">
        <f t="shared" si="174"/>
        <v>83 1 00 20050830</v>
      </c>
    </row>
    <row r="1478" spans="1:18" s="16" customFormat="1" ht="47.25">
      <c r="A1478" s="14"/>
      <c r="B1478" s="125" t="s">
        <v>191</v>
      </c>
      <c r="C1478" s="108" t="s">
        <v>410</v>
      </c>
      <c r="D1478" s="108" t="s">
        <v>11</v>
      </c>
      <c r="E1478" s="108" t="s">
        <v>51</v>
      </c>
      <c r="F1478" s="108" t="s">
        <v>810</v>
      </c>
      <c r="G1478" s="108" t="s">
        <v>192</v>
      </c>
      <c r="H1478" s="126"/>
      <c r="L1478" s="20"/>
      <c r="M1478" s="20"/>
      <c r="N1478" s="20"/>
      <c r="O1478" s="20"/>
      <c r="P1478" s="20"/>
      <c r="Q1478" s="20"/>
      <c r="R1478" s="17"/>
    </row>
    <row r="1479" spans="1:18" s="16" customFormat="1" ht="15.75">
      <c r="A1479" s="14"/>
      <c r="B1479" s="117" t="s">
        <v>195</v>
      </c>
      <c r="C1479" s="118" t="s">
        <v>410</v>
      </c>
      <c r="D1479" s="119" t="s">
        <v>73</v>
      </c>
      <c r="E1479" s="119" t="s">
        <v>7</v>
      </c>
      <c r="F1479" s="119" t="s">
        <v>8</v>
      </c>
      <c r="G1479" s="119" t="s">
        <v>9</v>
      </c>
      <c r="H1479" s="120" t="e">
        <f>H1480+H1488+H1506+H1548</f>
        <v>#REF!</v>
      </c>
      <c r="L1479" s="18">
        <v>307061.11</v>
      </c>
      <c r="M1479" s="18">
        <v>263240.06</v>
      </c>
      <c r="N1479" s="18">
        <v>252044.31999999998</v>
      </c>
      <c r="O1479" s="18" t="e">
        <f t="shared" ref="O1479:O1485" si="175">H1479-L1479</f>
        <v>#REF!</v>
      </c>
      <c r="P1479" s="18" t="e">
        <f>#REF!-M1479</f>
        <v>#REF!</v>
      </c>
      <c r="Q1479" s="18" t="e">
        <f>#REF!-N1479</f>
        <v>#REF!</v>
      </c>
      <c r="R1479" s="17" t="str">
        <f t="shared" si="174"/>
        <v>00 0 00 00000000</v>
      </c>
    </row>
    <row r="1480" spans="1:18" s="16" customFormat="1" ht="15.75">
      <c r="A1480" s="14"/>
      <c r="B1480" s="121" t="s">
        <v>811</v>
      </c>
      <c r="C1480" s="122" t="s">
        <v>410</v>
      </c>
      <c r="D1480" s="123" t="s">
        <v>73</v>
      </c>
      <c r="E1480" s="123" t="s">
        <v>229</v>
      </c>
      <c r="F1480" s="123" t="s">
        <v>8</v>
      </c>
      <c r="G1480" s="123" t="s">
        <v>9</v>
      </c>
      <c r="H1480" s="124">
        <f t="shared" ref="H1480:H1484" si="176">H1481</f>
        <v>0</v>
      </c>
      <c r="L1480" s="19">
        <v>13609.359999999999</v>
      </c>
      <c r="M1480" s="19">
        <v>13609.359999999999</v>
      </c>
      <c r="N1480" s="19">
        <v>13609.359999999999</v>
      </c>
      <c r="O1480" s="19">
        <f t="shared" si="175"/>
        <v>-13609.359999999999</v>
      </c>
      <c r="P1480" s="19" t="e">
        <f>#REF!-M1480</f>
        <v>#REF!</v>
      </c>
      <c r="Q1480" s="19" t="e">
        <f>#REF!-N1480</f>
        <v>#REF!</v>
      </c>
      <c r="R1480" s="17" t="str">
        <f t="shared" si="174"/>
        <v>00 0 00 00000000</v>
      </c>
    </row>
    <row r="1481" spans="1:18" s="16" customFormat="1" ht="63">
      <c r="A1481" s="14"/>
      <c r="B1481" s="127" t="s">
        <v>293</v>
      </c>
      <c r="C1481" s="108" t="s">
        <v>410</v>
      </c>
      <c r="D1481" s="108" t="s">
        <v>73</v>
      </c>
      <c r="E1481" s="108" t="s">
        <v>229</v>
      </c>
      <c r="F1481" s="108" t="s">
        <v>294</v>
      </c>
      <c r="G1481" s="108" t="s">
        <v>9</v>
      </c>
      <c r="H1481" s="126">
        <f t="shared" si="176"/>
        <v>0</v>
      </c>
      <c r="L1481" s="20">
        <v>13609.359999999999</v>
      </c>
      <c r="M1481" s="20">
        <v>13609.359999999999</v>
      </c>
      <c r="N1481" s="20">
        <v>13609.359999999999</v>
      </c>
      <c r="O1481" s="20">
        <f t="shared" si="175"/>
        <v>-13609.359999999999</v>
      </c>
      <c r="P1481" s="20" t="e">
        <f>#REF!-M1481</f>
        <v>#REF!</v>
      </c>
      <c r="Q1481" s="20" t="e">
        <f>#REF!-N1481</f>
        <v>#REF!</v>
      </c>
      <c r="R1481" s="17" t="str">
        <f t="shared" si="174"/>
        <v>04 0 00 00000000</v>
      </c>
    </row>
    <row r="1482" spans="1:18" s="16" customFormat="1" ht="31.5">
      <c r="A1482" s="14"/>
      <c r="B1482" s="125" t="s">
        <v>307</v>
      </c>
      <c r="C1482" s="108" t="s">
        <v>410</v>
      </c>
      <c r="D1482" s="108" t="s">
        <v>73</v>
      </c>
      <c r="E1482" s="108" t="s">
        <v>229</v>
      </c>
      <c r="F1482" s="108" t="s">
        <v>308</v>
      </c>
      <c r="G1482" s="108" t="s">
        <v>9</v>
      </c>
      <c r="H1482" s="126">
        <f>H1483</f>
        <v>0</v>
      </c>
      <c r="L1482" s="20">
        <v>13609.359999999999</v>
      </c>
      <c r="M1482" s="20">
        <v>13609.359999999999</v>
      </c>
      <c r="N1482" s="20">
        <v>13609.359999999999</v>
      </c>
      <c r="O1482" s="20">
        <f t="shared" si="175"/>
        <v>-13609.359999999999</v>
      </c>
      <c r="P1482" s="20" t="e">
        <f>#REF!-M1482</f>
        <v>#REF!</v>
      </c>
      <c r="Q1482" s="20" t="e">
        <f>#REF!-N1482</f>
        <v>#REF!</v>
      </c>
      <c r="R1482" s="17" t="str">
        <f t="shared" si="174"/>
        <v>04 3 00 00000000</v>
      </c>
    </row>
    <row r="1483" spans="1:18" s="16" customFormat="1" ht="47.25">
      <c r="A1483" s="14"/>
      <c r="B1483" s="125" t="s">
        <v>812</v>
      </c>
      <c r="C1483" s="108" t="s">
        <v>410</v>
      </c>
      <c r="D1483" s="108" t="s">
        <v>73</v>
      </c>
      <c r="E1483" s="108" t="s">
        <v>229</v>
      </c>
      <c r="F1483" s="108" t="s">
        <v>813</v>
      </c>
      <c r="G1483" s="108" t="s">
        <v>9</v>
      </c>
      <c r="H1483" s="126">
        <f>H1484</f>
        <v>0</v>
      </c>
      <c r="L1483" s="20">
        <v>13609.359999999999</v>
      </c>
      <c r="M1483" s="20">
        <v>13609.359999999999</v>
      </c>
      <c r="N1483" s="20">
        <v>13609.359999999999</v>
      </c>
      <c r="O1483" s="20">
        <f t="shared" si="175"/>
        <v>-13609.359999999999</v>
      </c>
      <c r="P1483" s="20" t="e">
        <f>#REF!-M1483</f>
        <v>#REF!</v>
      </c>
      <c r="Q1483" s="20" t="e">
        <f>#REF!-N1483</f>
        <v>#REF!</v>
      </c>
      <c r="R1483" s="17" t="str">
        <f t="shared" si="174"/>
        <v>04 3 01 00000000</v>
      </c>
    </row>
    <row r="1484" spans="1:18" s="16" customFormat="1" ht="31.5">
      <c r="A1484" s="14"/>
      <c r="B1484" s="125" t="s">
        <v>136</v>
      </c>
      <c r="C1484" s="108" t="s">
        <v>410</v>
      </c>
      <c r="D1484" s="108" t="s">
        <v>73</v>
      </c>
      <c r="E1484" s="108" t="s">
        <v>229</v>
      </c>
      <c r="F1484" s="108" t="s">
        <v>814</v>
      </c>
      <c r="G1484" s="108" t="s">
        <v>9</v>
      </c>
      <c r="H1484" s="126">
        <f t="shared" si="176"/>
        <v>0</v>
      </c>
      <c r="L1484" s="20">
        <v>13609.359999999999</v>
      </c>
      <c r="M1484" s="20">
        <v>13609.359999999999</v>
      </c>
      <c r="N1484" s="20">
        <v>13609.359999999999</v>
      </c>
      <c r="O1484" s="20">
        <f t="shared" si="175"/>
        <v>-13609.359999999999</v>
      </c>
      <c r="P1484" s="20" t="e">
        <f>#REF!-M1484</f>
        <v>#REF!</v>
      </c>
      <c r="Q1484" s="20" t="e">
        <f>#REF!-N1484</f>
        <v>#REF!</v>
      </c>
      <c r="R1484" s="17" t="str">
        <f t="shared" si="174"/>
        <v>04 3 01 11010000</v>
      </c>
    </row>
    <row r="1485" spans="1:18" s="16" customFormat="1" ht="15.75">
      <c r="A1485" s="14"/>
      <c r="B1485" s="132" t="s">
        <v>403</v>
      </c>
      <c r="C1485" s="108" t="s">
        <v>410</v>
      </c>
      <c r="D1485" s="108" t="s">
        <v>73</v>
      </c>
      <c r="E1485" s="108" t="s">
        <v>229</v>
      </c>
      <c r="F1485" s="108" t="s">
        <v>814</v>
      </c>
      <c r="G1485" s="108" t="s">
        <v>404</v>
      </c>
      <c r="H1485" s="126">
        <f>SUM(H1486:H1487)</f>
        <v>0</v>
      </c>
      <c r="L1485" s="20">
        <v>13609.359999999999</v>
      </c>
      <c r="M1485" s="20">
        <v>13609.359999999999</v>
      </c>
      <c r="N1485" s="20">
        <v>13609.359999999999</v>
      </c>
      <c r="O1485" s="20">
        <f t="shared" si="175"/>
        <v>-13609.359999999999</v>
      </c>
      <c r="P1485" s="20" t="e">
        <f>#REF!-M1485</f>
        <v>#REF!</v>
      </c>
      <c r="Q1485" s="20" t="e">
        <f>#REF!-N1485</f>
        <v>#REF!</v>
      </c>
      <c r="R1485" s="17" t="str">
        <f t="shared" si="174"/>
        <v>04 3 01 11010610</v>
      </c>
    </row>
    <row r="1486" spans="1:18" s="23" customFormat="1" ht="63">
      <c r="A1486" s="21"/>
      <c r="B1486" s="127" t="s">
        <v>405</v>
      </c>
      <c r="C1486" s="108" t="s">
        <v>410</v>
      </c>
      <c r="D1486" s="108" t="s">
        <v>73</v>
      </c>
      <c r="E1486" s="108" t="s">
        <v>229</v>
      </c>
      <c r="F1486" s="108" t="s">
        <v>814</v>
      </c>
      <c r="G1486" s="108" t="s">
        <v>406</v>
      </c>
      <c r="H1486" s="126"/>
      <c r="L1486" s="22"/>
      <c r="M1486" s="22"/>
      <c r="N1486" s="22"/>
      <c r="O1486" s="22"/>
      <c r="P1486" s="22"/>
      <c r="Q1486" s="22"/>
      <c r="R1486" s="24"/>
    </row>
    <row r="1487" spans="1:18" s="23" customFormat="1" ht="15.75">
      <c r="A1487" s="21"/>
      <c r="B1487" s="127" t="s">
        <v>407</v>
      </c>
      <c r="C1487" s="108" t="s">
        <v>410</v>
      </c>
      <c r="D1487" s="108" t="s">
        <v>73</v>
      </c>
      <c r="E1487" s="108" t="s">
        <v>229</v>
      </c>
      <c r="F1487" s="108" t="s">
        <v>814</v>
      </c>
      <c r="G1487" s="108" t="s">
        <v>408</v>
      </c>
      <c r="H1487" s="126"/>
      <c r="L1487" s="22"/>
      <c r="M1487" s="22"/>
      <c r="N1487" s="22"/>
      <c r="O1487" s="22"/>
      <c r="P1487" s="22"/>
      <c r="Q1487" s="22"/>
      <c r="R1487" s="24"/>
    </row>
    <row r="1488" spans="1:18" s="16" customFormat="1" ht="15.75">
      <c r="A1488" s="14"/>
      <c r="B1488" s="121" t="s">
        <v>815</v>
      </c>
      <c r="C1488" s="122" t="s">
        <v>410</v>
      </c>
      <c r="D1488" s="123" t="s">
        <v>73</v>
      </c>
      <c r="E1488" s="123" t="s">
        <v>238</v>
      </c>
      <c r="F1488" s="123" t="s">
        <v>8</v>
      </c>
      <c r="G1488" s="123" t="s">
        <v>9</v>
      </c>
      <c r="H1488" s="124">
        <f>H1489+H1501</f>
        <v>0</v>
      </c>
      <c r="L1488" s="19">
        <v>52490.759999999995</v>
      </c>
      <c r="M1488" s="19">
        <v>55046.320000000007</v>
      </c>
      <c r="N1488" s="19">
        <v>25587.94</v>
      </c>
      <c r="O1488" s="19">
        <f t="shared" ref="O1488:O1493" si="177">H1488-L1488</f>
        <v>-52490.759999999995</v>
      </c>
      <c r="P1488" s="19" t="e">
        <f>#REF!-M1488</f>
        <v>#REF!</v>
      </c>
      <c r="Q1488" s="19" t="e">
        <f>#REF!-N1488</f>
        <v>#REF!</v>
      </c>
      <c r="R1488" s="17" t="str">
        <f t="shared" si="174"/>
        <v>00 0 00 00000000</v>
      </c>
    </row>
    <row r="1489" spans="1:18" s="16" customFormat="1" ht="63">
      <c r="A1489" s="14"/>
      <c r="B1489" s="127" t="s">
        <v>293</v>
      </c>
      <c r="C1489" s="108" t="s">
        <v>410</v>
      </c>
      <c r="D1489" s="108" t="s">
        <v>73</v>
      </c>
      <c r="E1489" s="108" t="s">
        <v>238</v>
      </c>
      <c r="F1489" s="108" t="s">
        <v>294</v>
      </c>
      <c r="G1489" s="108" t="s">
        <v>9</v>
      </c>
      <c r="H1489" s="126">
        <f>H1490</f>
        <v>0</v>
      </c>
      <c r="L1489" s="20">
        <v>52490.759999999995</v>
      </c>
      <c r="M1489" s="20">
        <v>55046.320000000007</v>
      </c>
      <c r="N1489" s="20">
        <v>25587.94</v>
      </c>
      <c r="O1489" s="20">
        <f t="shared" si="177"/>
        <v>-52490.759999999995</v>
      </c>
      <c r="P1489" s="20" t="e">
        <f>#REF!-M1489</f>
        <v>#REF!</v>
      </c>
      <c r="Q1489" s="20" t="e">
        <f>#REF!-N1489</f>
        <v>#REF!</v>
      </c>
      <c r="R1489" s="17" t="str">
        <f t="shared" si="174"/>
        <v>04 0 00 00000000</v>
      </c>
    </row>
    <row r="1490" spans="1:18" s="16" customFormat="1" ht="63">
      <c r="A1490" s="14"/>
      <c r="B1490" s="140" t="s">
        <v>295</v>
      </c>
      <c r="C1490" s="108" t="s">
        <v>410</v>
      </c>
      <c r="D1490" s="108" t="s">
        <v>73</v>
      </c>
      <c r="E1490" s="108" t="s">
        <v>238</v>
      </c>
      <c r="F1490" s="108" t="s">
        <v>296</v>
      </c>
      <c r="G1490" s="108" t="s">
        <v>9</v>
      </c>
      <c r="H1490" s="126">
        <f t="shared" ref="H1490" si="178">H1491</f>
        <v>0</v>
      </c>
      <c r="L1490" s="20">
        <v>52490.759999999995</v>
      </c>
      <c r="M1490" s="20">
        <v>55046.320000000007</v>
      </c>
      <c r="N1490" s="20">
        <v>25587.94</v>
      </c>
      <c r="O1490" s="20">
        <f t="shared" si="177"/>
        <v>-52490.759999999995</v>
      </c>
      <c r="P1490" s="20" t="e">
        <f>#REF!-M1490</f>
        <v>#REF!</v>
      </c>
      <c r="Q1490" s="20" t="e">
        <f>#REF!-N1490</f>
        <v>#REF!</v>
      </c>
      <c r="R1490" s="17" t="str">
        <f t="shared" si="174"/>
        <v>04 2 00 00000000</v>
      </c>
    </row>
    <row r="1491" spans="1:18" s="16" customFormat="1" ht="63">
      <c r="A1491" s="14"/>
      <c r="B1491" s="135" t="s">
        <v>816</v>
      </c>
      <c r="C1491" s="108" t="s">
        <v>410</v>
      </c>
      <c r="D1491" s="108" t="s">
        <v>73</v>
      </c>
      <c r="E1491" s="108" t="s">
        <v>238</v>
      </c>
      <c r="F1491" s="108" t="s">
        <v>817</v>
      </c>
      <c r="G1491" s="108" t="s">
        <v>9</v>
      </c>
      <c r="H1491" s="126">
        <f>H1492+H1495+H1498</f>
        <v>0</v>
      </c>
      <c r="L1491" s="20">
        <v>52490.759999999995</v>
      </c>
      <c r="M1491" s="20">
        <v>55046.320000000007</v>
      </c>
      <c r="N1491" s="20">
        <v>25587.94</v>
      </c>
      <c r="O1491" s="20">
        <f t="shared" si="177"/>
        <v>-52490.759999999995</v>
      </c>
      <c r="P1491" s="20" t="e">
        <f>#REF!-M1491</f>
        <v>#REF!</v>
      </c>
      <c r="Q1491" s="20" t="e">
        <f>#REF!-N1491</f>
        <v>#REF!</v>
      </c>
      <c r="R1491" s="17" t="str">
        <f t="shared" si="174"/>
        <v>04 2 01 00000000</v>
      </c>
    </row>
    <row r="1492" spans="1:18" s="16" customFormat="1" ht="31.5">
      <c r="A1492" s="14"/>
      <c r="B1492" s="135" t="s">
        <v>136</v>
      </c>
      <c r="C1492" s="108" t="s">
        <v>410</v>
      </c>
      <c r="D1492" s="108" t="s">
        <v>73</v>
      </c>
      <c r="E1492" s="108" t="s">
        <v>238</v>
      </c>
      <c r="F1492" s="108" t="s">
        <v>818</v>
      </c>
      <c r="G1492" s="108" t="s">
        <v>9</v>
      </c>
      <c r="H1492" s="126">
        <f>H1493</f>
        <v>0</v>
      </c>
      <c r="L1492" s="20">
        <v>4023.94</v>
      </c>
      <c r="M1492" s="20">
        <v>4023.94</v>
      </c>
      <c r="N1492" s="20">
        <v>4023.94</v>
      </c>
      <c r="O1492" s="20">
        <f t="shared" si="177"/>
        <v>-4023.94</v>
      </c>
      <c r="P1492" s="20" t="e">
        <f>#REF!-M1492</f>
        <v>#REF!</v>
      </c>
      <c r="Q1492" s="20" t="e">
        <f>#REF!-N1492</f>
        <v>#REF!</v>
      </c>
      <c r="R1492" s="17" t="str">
        <f t="shared" si="174"/>
        <v>04 2 01 11010000</v>
      </c>
    </row>
    <row r="1493" spans="1:18" s="16" customFormat="1" ht="15.75">
      <c r="A1493" s="14"/>
      <c r="B1493" s="132" t="s">
        <v>403</v>
      </c>
      <c r="C1493" s="108" t="s">
        <v>410</v>
      </c>
      <c r="D1493" s="108" t="s">
        <v>73</v>
      </c>
      <c r="E1493" s="108" t="s">
        <v>238</v>
      </c>
      <c r="F1493" s="108" t="s">
        <v>818</v>
      </c>
      <c r="G1493" s="108" t="s">
        <v>404</v>
      </c>
      <c r="H1493" s="126">
        <f>H1494</f>
        <v>0</v>
      </c>
      <c r="L1493" s="20">
        <v>4023.94</v>
      </c>
      <c r="M1493" s="20">
        <v>4023.94</v>
      </c>
      <c r="N1493" s="20">
        <v>4023.94</v>
      </c>
      <c r="O1493" s="20">
        <f t="shared" si="177"/>
        <v>-4023.94</v>
      </c>
      <c r="P1493" s="20" t="e">
        <f>#REF!-M1493</f>
        <v>#REF!</v>
      </c>
      <c r="Q1493" s="20" t="e">
        <f>#REF!-N1493</f>
        <v>#REF!</v>
      </c>
      <c r="R1493" s="17" t="str">
        <f t="shared" si="174"/>
        <v>04 2 01 11010610</v>
      </c>
    </row>
    <row r="1494" spans="1:18" s="23" customFormat="1" ht="63">
      <c r="A1494" s="21"/>
      <c r="B1494" s="127" t="s">
        <v>405</v>
      </c>
      <c r="C1494" s="108" t="s">
        <v>410</v>
      </c>
      <c r="D1494" s="108" t="s">
        <v>73</v>
      </c>
      <c r="E1494" s="108" t="s">
        <v>238</v>
      </c>
      <c r="F1494" s="108" t="s">
        <v>818</v>
      </c>
      <c r="G1494" s="108" t="s">
        <v>406</v>
      </c>
      <c r="H1494" s="126"/>
      <c r="L1494" s="22"/>
      <c r="M1494" s="22"/>
      <c r="N1494" s="22"/>
      <c r="O1494" s="22"/>
      <c r="P1494" s="22"/>
      <c r="Q1494" s="22"/>
      <c r="R1494" s="24"/>
    </row>
    <row r="1495" spans="1:18" s="16" customFormat="1" ht="31.5">
      <c r="A1495" s="14"/>
      <c r="B1495" s="135" t="s">
        <v>819</v>
      </c>
      <c r="C1495" s="108" t="s">
        <v>410</v>
      </c>
      <c r="D1495" s="108" t="s">
        <v>73</v>
      </c>
      <c r="E1495" s="108" t="s">
        <v>238</v>
      </c>
      <c r="F1495" s="108" t="s">
        <v>820</v>
      </c>
      <c r="G1495" s="108" t="s">
        <v>9</v>
      </c>
      <c r="H1495" s="126">
        <f>H1496</f>
        <v>0</v>
      </c>
      <c r="L1495" s="20">
        <v>11796.87</v>
      </c>
      <c r="M1495" s="20">
        <v>11796.87</v>
      </c>
      <c r="N1495" s="20">
        <v>21564</v>
      </c>
      <c r="O1495" s="20">
        <f>H1495-L1495</f>
        <v>-11796.87</v>
      </c>
      <c r="P1495" s="20" t="e">
        <f>#REF!-M1495</f>
        <v>#REF!</v>
      </c>
      <c r="Q1495" s="20" t="e">
        <f>#REF!-N1495</f>
        <v>#REF!</v>
      </c>
      <c r="R1495" s="17" t="str">
        <f t="shared" si="174"/>
        <v>04 2 01 60020000</v>
      </c>
    </row>
    <row r="1496" spans="1:18" s="16" customFormat="1" ht="63">
      <c r="A1496" s="14"/>
      <c r="B1496" s="129" t="s">
        <v>203</v>
      </c>
      <c r="C1496" s="108" t="s">
        <v>410</v>
      </c>
      <c r="D1496" s="108" t="s">
        <v>73</v>
      </c>
      <c r="E1496" s="108" t="s">
        <v>238</v>
      </c>
      <c r="F1496" s="108" t="s">
        <v>820</v>
      </c>
      <c r="G1496" s="108" t="s">
        <v>204</v>
      </c>
      <c r="H1496" s="126">
        <f>H1497</f>
        <v>0</v>
      </c>
      <c r="L1496" s="57">
        <v>11796.87</v>
      </c>
      <c r="M1496" s="57">
        <v>11796.87</v>
      </c>
      <c r="N1496" s="57">
        <v>21564</v>
      </c>
      <c r="O1496" s="57">
        <f>H1496-L1496</f>
        <v>-11796.87</v>
      </c>
      <c r="P1496" s="57" t="e">
        <f>#REF!-M1496</f>
        <v>#REF!</v>
      </c>
      <c r="Q1496" s="57" t="e">
        <f>#REF!-N1496</f>
        <v>#REF!</v>
      </c>
      <c r="R1496" s="17" t="str">
        <f t="shared" si="174"/>
        <v>04 2 01 60020810</v>
      </c>
    </row>
    <row r="1497" spans="1:18" s="23" customFormat="1" ht="110.25">
      <c r="A1497" s="21"/>
      <c r="B1497" s="127" t="s">
        <v>207</v>
      </c>
      <c r="C1497" s="108" t="s">
        <v>410</v>
      </c>
      <c r="D1497" s="108" t="s">
        <v>73</v>
      </c>
      <c r="E1497" s="108" t="s">
        <v>238</v>
      </c>
      <c r="F1497" s="108" t="s">
        <v>820</v>
      </c>
      <c r="G1497" s="108" t="s">
        <v>208</v>
      </c>
      <c r="H1497" s="126"/>
      <c r="L1497" s="58"/>
      <c r="M1497" s="58"/>
      <c r="N1497" s="58"/>
      <c r="O1497" s="58"/>
      <c r="P1497" s="58"/>
      <c r="Q1497" s="58"/>
      <c r="R1497" s="24"/>
    </row>
    <row r="1498" spans="1:18" s="59" customFormat="1" ht="157.5">
      <c r="A1498" s="92"/>
      <c r="B1498" s="129" t="s">
        <v>821</v>
      </c>
      <c r="C1498" s="108" t="s">
        <v>410</v>
      </c>
      <c r="D1498" s="108" t="s">
        <v>73</v>
      </c>
      <c r="E1498" s="108" t="s">
        <v>238</v>
      </c>
      <c r="F1498" s="108" t="s">
        <v>822</v>
      </c>
      <c r="G1498" s="108" t="s">
        <v>9</v>
      </c>
      <c r="H1498" s="126">
        <f>H1499</f>
        <v>0</v>
      </c>
      <c r="L1498" s="20">
        <v>36669.949999999997</v>
      </c>
      <c r="M1498" s="20">
        <v>39225.51</v>
      </c>
      <c r="N1498" s="20">
        <v>0</v>
      </c>
      <c r="O1498" s="20">
        <f>H1498-L1498</f>
        <v>-36669.949999999997</v>
      </c>
      <c r="P1498" s="20" t="e">
        <f>#REF!-M1498</f>
        <v>#REF!</v>
      </c>
      <c r="Q1498" s="20" t="e">
        <f>#REF!-N1498</f>
        <v>#REF!</v>
      </c>
      <c r="R1498" s="17" t="str">
        <f t="shared" si="174"/>
        <v>04 2 01 60070000</v>
      </c>
    </row>
    <row r="1499" spans="1:18" s="59" customFormat="1" ht="63">
      <c r="A1499" s="92"/>
      <c r="B1499" s="129" t="s">
        <v>203</v>
      </c>
      <c r="C1499" s="108" t="s">
        <v>410</v>
      </c>
      <c r="D1499" s="108" t="s">
        <v>73</v>
      </c>
      <c r="E1499" s="108" t="s">
        <v>238</v>
      </c>
      <c r="F1499" s="108" t="s">
        <v>822</v>
      </c>
      <c r="G1499" s="108" t="s">
        <v>204</v>
      </c>
      <c r="H1499" s="126">
        <f>H1500</f>
        <v>0</v>
      </c>
      <c r="L1499" s="20">
        <v>36669.949999999997</v>
      </c>
      <c r="M1499" s="20">
        <v>39225.51</v>
      </c>
      <c r="N1499" s="20">
        <v>0</v>
      </c>
      <c r="O1499" s="20">
        <f>H1499-L1499</f>
        <v>-36669.949999999997</v>
      </c>
      <c r="P1499" s="20" t="e">
        <f>#REF!-M1499</f>
        <v>#REF!</v>
      </c>
      <c r="Q1499" s="20" t="e">
        <f>#REF!-N1499</f>
        <v>#REF!</v>
      </c>
      <c r="R1499" s="17" t="str">
        <f t="shared" si="174"/>
        <v>04 2 01 60070810</v>
      </c>
    </row>
    <row r="1500" spans="1:18" s="59" customFormat="1" ht="110.25">
      <c r="A1500" s="92"/>
      <c r="B1500" s="125" t="s">
        <v>207</v>
      </c>
      <c r="C1500" s="108" t="s">
        <v>410</v>
      </c>
      <c r="D1500" s="108" t="s">
        <v>73</v>
      </c>
      <c r="E1500" s="108" t="s">
        <v>238</v>
      </c>
      <c r="F1500" s="108" t="s">
        <v>822</v>
      </c>
      <c r="G1500" s="108" t="s">
        <v>208</v>
      </c>
      <c r="H1500" s="126"/>
      <c r="L1500" s="20"/>
      <c r="M1500" s="20"/>
      <c r="N1500" s="20"/>
      <c r="O1500" s="20"/>
      <c r="P1500" s="20"/>
      <c r="Q1500" s="20"/>
      <c r="R1500" s="17"/>
    </row>
    <row r="1501" spans="1:18" s="59" customFormat="1" ht="63">
      <c r="A1501" s="92"/>
      <c r="B1501" s="129" t="s">
        <v>87</v>
      </c>
      <c r="C1501" s="108" t="s">
        <v>410</v>
      </c>
      <c r="D1501" s="108" t="s">
        <v>73</v>
      </c>
      <c r="E1501" s="108" t="s">
        <v>238</v>
      </c>
      <c r="F1501" s="108" t="s">
        <v>88</v>
      </c>
      <c r="G1501" s="108" t="s">
        <v>9</v>
      </c>
      <c r="H1501" s="126">
        <f>H1502</f>
        <v>0</v>
      </c>
      <c r="L1501" s="20"/>
      <c r="M1501" s="20"/>
      <c r="N1501" s="20"/>
      <c r="O1501" s="20">
        <f>H1501-L1501</f>
        <v>0</v>
      </c>
      <c r="P1501" s="20" t="e">
        <f>#REF!-M1501</f>
        <v>#REF!</v>
      </c>
      <c r="Q1501" s="20" t="e">
        <f>#REF!-N1501</f>
        <v>#REF!</v>
      </c>
      <c r="R1501" s="17" t="str">
        <f t="shared" si="174"/>
        <v>98 0 00 00000000</v>
      </c>
    </row>
    <row r="1502" spans="1:18" s="59" customFormat="1" ht="15.75">
      <c r="A1502" s="92"/>
      <c r="B1502" s="129" t="s">
        <v>89</v>
      </c>
      <c r="C1502" s="108" t="s">
        <v>410</v>
      </c>
      <c r="D1502" s="108" t="s">
        <v>73</v>
      </c>
      <c r="E1502" s="108" t="s">
        <v>238</v>
      </c>
      <c r="F1502" s="108" t="s">
        <v>90</v>
      </c>
      <c r="G1502" s="108" t="s">
        <v>9</v>
      </c>
      <c r="H1502" s="126">
        <f>H1503</f>
        <v>0</v>
      </c>
      <c r="L1502" s="20"/>
      <c r="M1502" s="20"/>
      <c r="N1502" s="20"/>
      <c r="O1502" s="20">
        <f>H1502-L1502</f>
        <v>0</v>
      </c>
      <c r="P1502" s="20" t="e">
        <f>#REF!-M1502</f>
        <v>#REF!</v>
      </c>
      <c r="Q1502" s="20" t="e">
        <f>#REF!-N1502</f>
        <v>#REF!</v>
      </c>
      <c r="R1502" s="17" t="str">
        <f t="shared" si="174"/>
        <v>98 1 00 00000000</v>
      </c>
    </row>
    <row r="1503" spans="1:18" s="59" customFormat="1" ht="31.5">
      <c r="A1503" s="92"/>
      <c r="B1503" s="129" t="s">
        <v>823</v>
      </c>
      <c r="C1503" s="108" t="s">
        <v>410</v>
      </c>
      <c r="D1503" s="108" t="s">
        <v>73</v>
      </c>
      <c r="E1503" s="108" t="s">
        <v>238</v>
      </c>
      <c r="F1503" s="108" t="s">
        <v>824</v>
      </c>
      <c r="G1503" s="108" t="s">
        <v>9</v>
      </c>
      <c r="H1503" s="126">
        <f>H1504</f>
        <v>0</v>
      </c>
      <c r="L1503" s="20"/>
      <c r="M1503" s="20"/>
      <c r="N1503" s="20"/>
      <c r="O1503" s="20">
        <f>H1503-L1503</f>
        <v>0</v>
      </c>
      <c r="P1503" s="20" t="e">
        <f>#REF!-M1503</f>
        <v>#REF!</v>
      </c>
      <c r="Q1503" s="20" t="e">
        <f>#REF!-N1503</f>
        <v>#REF!</v>
      </c>
      <c r="R1503" s="17" t="str">
        <f t="shared" si="174"/>
        <v>98 1 00 21170000</v>
      </c>
    </row>
    <row r="1504" spans="1:18" s="16" customFormat="1" ht="31.5">
      <c r="A1504" s="14"/>
      <c r="B1504" s="125" t="s">
        <v>28</v>
      </c>
      <c r="C1504" s="108" t="s">
        <v>410</v>
      </c>
      <c r="D1504" s="108" t="s">
        <v>73</v>
      </c>
      <c r="E1504" s="108" t="s">
        <v>238</v>
      </c>
      <c r="F1504" s="108" t="s">
        <v>824</v>
      </c>
      <c r="G1504" s="108" t="s">
        <v>29</v>
      </c>
      <c r="H1504" s="126">
        <f>H1505</f>
        <v>0</v>
      </c>
      <c r="L1504" s="20"/>
      <c r="M1504" s="20"/>
      <c r="N1504" s="20"/>
      <c r="O1504" s="20">
        <f>H1504-L1504</f>
        <v>0</v>
      </c>
      <c r="P1504" s="20" t="e">
        <f>#REF!-M1504</f>
        <v>#REF!</v>
      </c>
      <c r="Q1504" s="20" t="e">
        <f>#REF!-N1504</f>
        <v>#REF!</v>
      </c>
      <c r="R1504" s="17" t="str">
        <f t="shared" si="174"/>
        <v>98 1 00 21170240</v>
      </c>
    </row>
    <row r="1505" spans="1:18" s="16" customFormat="1" ht="15.75">
      <c r="A1505" s="14"/>
      <c r="B1505" s="125" t="s">
        <v>30</v>
      </c>
      <c r="C1505" s="108" t="s">
        <v>410</v>
      </c>
      <c r="D1505" s="108" t="s">
        <v>73</v>
      </c>
      <c r="E1505" s="108" t="s">
        <v>238</v>
      </c>
      <c r="F1505" s="108" t="s">
        <v>824</v>
      </c>
      <c r="G1505" s="108" t="s">
        <v>31</v>
      </c>
      <c r="H1505" s="126"/>
      <c r="L1505" s="60"/>
      <c r="M1505" s="60"/>
      <c r="N1505" s="60"/>
      <c r="O1505" s="60"/>
      <c r="P1505" s="60"/>
      <c r="Q1505" s="60"/>
      <c r="R1505" s="17"/>
    </row>
    <row r="1506" spans="1:18" s="16" customFormat="1" ht="15.75">
      <c r="A1506" s="14"/>
      <c r="B1506" s="121" t="s">
        <v>760</v>
      </c>
      <c r="C1506" s="122" t="s">
        <v>410</v>
      </c>
      <c r="D1506" s="123" t="s">
        <v>73</v>
      </c>
      <c r="E1506" s="123" t="s">
        <v>471</v>
      </c>
      <c r="F1506" s="123" t="s">
        <v>8</v>
      </c>
      <c r="G1506" s="123" t="s">
        <v>9</v>
      </c>
      <c r="H1506" s="124" t="e">
        <f>H1507+H1513</f>
        <v>#REF!</v>
      </c>
      <c r="L1506" s="61">
        <v>240960.98999999996</v>
      </c>
      <c r="M1506" s="61">
        <v>194584.37999999998</v>
      </c>
      <c r="N1506" s="61">
        <v>212847.02</v>
      </c>
      <c r="O1506" s="61" t="e">
        <f t="shared" ref="O1506:O1511" si="179">H1506-L1506</f>
        <v>#REF!</v>
      </c>
      <c r="P1506" s="61" t="e">
        <f>#REF!-M1506</f>
        <v>#REF!</v>
      </c>
      <c r="Q1506" s="61" t="e">
        <f>#REF!-N1506</f>
        <v>#REF!</v>
      </c>
      <c r="R1506" s="17" t="str">
        <f t="shared" si="174"/>
        <v>00 0 00 00000000</v>
      </c>
    </row>
    <row r="1507" spans="1:18" s="16" customFormat="1" ht="63">
      <c r="A1507" s="14"/>
      <c r="B1507" s="135" t="s">
        <v>285</v>
      </c>
      <c r="C1507" s="109" t="s">
        <v>410</v>
      </c>
      <c r="D1507" s="109" t="s">
        <v>73</v>
      </c>
      <c r="E1507" s="109" t="s">
        <v>471</v>
      </c>
      <c r="F1507" s="109" t="s">
        <v>286</v>
      </c>
      <c r="G1507" s="109" t="s">
        <v>9</v>
      </c>
      <c r="H1507" s="141">
        <f t="shared" ref="H1507:H1510" si="180">H1508</f>
        <v>0</v>
      </c>
      <c r="L1507" s="32">
        <v>7251.46</v>
      </c>
      <c r="M1507" s="32">
        <v>5251.46</v>
      </c>
      <c r="N1507" s="32">
        <v>5251.46</v>
      </c>
      <c r="O1507" s="32">
        <f t="shared" si="179"/>
        <v>-7251.46</v>
      </c>
      <c r="P1507" s="32" t="e">
        <f>#REF!-M1507</f>
        <v>#REF!</v>
      </c>
      <c r="Q1507" s="32" t="e">
        <f>#REF!-N1507</f>
        <v>#REF!</v>
      </c>
      <c r="R1507" s="17" t="str">
        <f t="shared" si="174"/>
        <v>02 0 00 00000000</v>
      </c>
    </row>
    <row r="1508" spans="1:18" s="16" customFormat="1" ht="78.75">
      <c r="A1508" s="14"/>
      <c r="B1508" s="125" t="s">
        <v>287</v>
      </c>
      <c r="C1508" s="109" t="s">
        <v>410</v>
      </c>
      <c r="D1508" s="109" t="s">
        <v>73</v>
      </c>
      <c r="E1508" s="109" t="s">
        <v>471</v>
      </c>
      <c r="F1508" s="109" t="s">
        <v>288</v>
      </c>
      <c r="G1508" s="109" t="s">
        <v>9</v>
      </c>
      <c r="H1508" s="141">
        <f t="shared" si="180"/>
        <v>0</v>
      </c>
      <c r="L1508" s="32">
        <v>7251.46</v>
      </c>
      <c r="M1508" s="32">
        <v>5251.46</v>
      </c>
      <c r="N1508" s="32">
        <v>5251.46</v>
      </c>
      <c r="O1508" s="32">
        <f t="shared" si="179"/>
        <v>-7251.46</v>
      </c>
      <c r="P1508" s="32" t="e">
        <f>#REF!-M1508</f>
        <v>#REF!</v>
      </c>
      <c r="Q1508" s="32" t="e">
        <f>#REF!-N1508</f>
        <v>#REF!</v>
      </c>
      <c r="R1508" s="17" t="str">
        <f t="shared" si="174"/>
        <v>02 Б 00 00000000</v>
      </c>
    </row>
    <row r="1509" spans="1:18" s="16" customFormat="1" ht="78.75">
      <c r="A1509" s="14"/>
      <c r="B1509" s="127" t="s">
        <v>825</v>
      </c>
      <c r="C1509" s="109" t="s">
        <v>410</v>
      </c>
      <c r="D1509" s="109" t="s">
        <v>73</v>
      </c>
      <c r="E1509" s="109" t="s">
        <v>471</v>
      </c>
      <c r="F1509" s="109" t="s">
        <v>826</v>
      </c>
      <c r="G1509" s="109" t="s">
        <v>9</v>
      </c>
      <c r="H1509" s="141">
        <f t="shared" si="180"/>
        <v>0</v>
      </c>
      <c r="L1509" s="32">
        <v>7251.46</v>
      </c>
      <c r="M1509" s="32">
        <v>5251.46</v>
      </c>
      <c r="N1509" s="32">
        <v>5251.46</v>
      </c>
      <c r="O1509" s="32">
        <f t="shared" si="179"/>
        <v>-7251.46</v>
      </c>
      <c r="P1509" s="32" t="e">
        <f>#REF!-M1509</f>
        <v>#REF!</v>
      </c>
      <c r="Q1509" s="32" t="e">
        <f>#REF!-N1509</f>
        <v>#REF!</v>
      </c>
      <c r="R1509" s="17" t="str">
        <f t="shared" si="174"/>
        <v>02 Б 02 00000000</v>
      </c>
    </row>
    <row r="1510" spans="1:18" s="16" customFormat="1" ht="78.75">
      <c r="A1510" s="14"/>
      <c r="B1510" s="127" t="s">
        <v>827</v>
      </c>
      <c r="C1510" s="109" t="s">
        <v>410</v>
      </c>
      <c r="D1510" s="109" t="s">
        <v>73</v>
      </c>
      <c r="E1510" s="109" t="s">
        <v>471</v>
      </c>
      <c r="F1510" s="109" t="s">
        <v>828</v>
      </c>
      <c r="G1510" s="109" t="s">
        <v>9</v>
      </c>
      <c r="H1510" s="141">
        <f t="shared" si="180"/>
        <v>0</v>
      </c>
      <c r="L1510" s="32">
        <v>7251.46</v>
      </c>
      <c r="M1510" s="32">
        <v>5251.46</v>
      </c>
      <c r="N1510" s="32">
        <v>5251.46</v>
      </c>
      <c r="O1510" s="32">
        <f t="shared" si="179"/>
        <v>-7251.46</v>
      </c>
      <c r="P1510" s="32" t="e">
        <f>#REF!-M1510</f>
        <v>#REF!</v>
      </c>
      <c r="Q1510" s="32" t="e">
        <f>#REF!-N1510</f>
        <v>#REF!</v>
      </c>
      <c r="R1510" s="17" t="str">
        <f t="shared" si="174"/>
        <v>02 Б 02 20560000</v>
      </c>
    </row>
    <row r="1511" spans="1:18" s="16" customFormat="1" ht="31.5">
      <c r="A1511" s="14"/>
      <c r="B1511" s="125" t="s">
        <v>28</v>
      </c>
      <c r="C1511" s="109" t="s">
        <v>410</v>
      </c>
      <c r="D1511" s="109" t="s">
        <v>73</v>
      </c>
      <c r="E1511" s="109" t="s">
        <v>471</v>
      </c>
      <c r="F1511" s="109" t="s">
        <v>828</v>
      </c>
      <c r="G1511" s="109" t="s">
        <v>29</v>
      </c>
      <c r="H1511" s="126">
        <f>H1512</f>
        <v>0</v>
      </c>
      <c r="L1511" s="32">
        <v>7251.46</v>
      </c>
      <c r="M1511" s="32">
        <v>5251.46</v>
      </c>
      <c r="N1511" s="32">
        <v>5251.46</v>
      </c>
      <c r="O1511" s="32">
        <f t="shared" si="179"/>
        <v>-7251.46</v>
      </c>
      <c r="P1511" s="32" t="e">
        <f>#REF!-M1511</f>
        <v>#REF!</v>
      </c>
      <c r="Q1511" s="32" t="e">
        <f>#REF!-N1511</f>
        <v>#REF!</v>
      </c>
      <c r="R1511" s="17" t="str">
        <f t="shared" si="174"/>
        <v>02 Б 02 20560240</v>
      </c>
    </row>
    <row r="1512" spans="1:18" s="16" customFormat="1" ht="15.75">
      <c r="A1512" s="14"/>
      <c r="B1512" s="125" t="s">
        <v>30</v>
      </c>
      <c r="C1512" s="109" t="s">
        <v>410</v>
      </c>
      <c r="D1512" s="109" t="s">
        <v>73</v>
      </c>
      <c r="E1512" s="109" t="s">
        <v>471</v>
      </c>
      <c r="F1512" s="109" t="s">
        <v>828</v>
      </c>
      <c r="G1512" s="109" t="s">
        <v>31</v>
      </c>
      <c r="H1512" s="126"/>
      <c r="L1512" s="32"/>
      <c r="M1512" s="32"/>
      <c r="N1512" s="32"/>
      <c r="O1512" s="32"/>
      <c r="P1512" s="32"/>
      <c r="Q1512" s="32"/>
      <c r="R1512" s="17"/>
    </row>
    <row r="1513" spans="1:18" s="16" customFormat="1" ht="63">
      <c r="A1513" s="14"/>
      <c r="B1513" s="127" t="s">
        <v>293</v>
      </c>
      <c r="C1513" s="108" t="s">
        <v>410</v>
      </c>
      <c r="D1513" s="108" t="s">
        <v>73</v>
      </c>
      <c r="E1513" s="108" t="s">
        <v>471</v>
      </c>
      <c r="F1513" s="108" t="s">
        <v>294</v>
      </c>
      <c r="G1513" s="109" t="s">
        <v>9</v>
      </c>
      <c r="H1513" s="141" t="e">
        <f>H1514</f>
        <v>#REF!</v>
      </c>
      <c r="L1513" s="32">
        <v>233709.52999999997</v>
      </c>
      <c r="M1513" s="32">
        <v>189332.91999999998</v>
      </c>
      <c r="N1513" s="32">
        <v>207595.56</v>
      </c>
      <c r="O1513" s="32" t="e">
        <f>H1513-L1513</f>
        <v>#REF!</v>
      </c>
      <c r="P1513" s="32" t="e">
        <f>#REF!-M1513</f>
        <v>#REF!</v>
      </c>
      <c r="Q1513" s="32" t="e">
        <f>#REF!-N1513</f>
        <v>#REF!</v>
      </c>
      <c r="R1513" s="17" t="str">
        <f t="shared" si="174"/>
        <v>04 0 00 00000000</v>
      </c>
    </row>
    <row r="1514" spans="1:18" s="16" customFormat="1" ht="63">
      <c r="A1514" s="14"/>
      <c r="B1514" s="140" t="s">
        <v>295</v>
      </c>
      <c r="C1514" s="108" t="s">
        <v>410</v>
      </c>
      <c r="D1514" s="108" t="s">
        <v>73</v>
      </c>
      <c r="E1514" s="108" t="s">
        <v>471</v>
      </c>
      <c r="F1514" s="108" t="s">
        <v>296</v>
      </c>
      <c r="G1514" s="109" t="s">
        <v>9</v>
      </c>
      <c r="H1514" s="141" t="e">
        <f>H1515+H1540</f>
        <v>#REF!</v>
      </c>
      <c r="L1514" s="32">
        <v>233709.52999999997</v>
      </c>
      <c r="M1514" s="32">
        <v>189332.91999999998</v>
      </c>
      <c r="N1514" s="32">
        <v>207595.56</v>
      </c>
      <c r="O1514" s="32" t="e">
        <f>H1514-L1514</f>
        <v>#REF!</v>
      </c>
      <c r="P1514" s="32" t="e">
        <f>#REF!-M1514</f>
        <v>#REF!</v>
      </c>
      <c r="Q1514" s="32" t="e">
        <f>#REF!-N1514</f>
        <v>#REF!</v>
      </c>
      <c r="R1514" s="17" t="str">
        <f t="shared" si="174"/>
        <v>04 2 00 00000000</v>
      </c>
    </row>
    <row r="1515" spans="1:18" s="16" customFormat="1" ht="63">
      <c r="A1515" s="14"/>
      <c r="B1515" s="125" t="s">
        <v>297</v>
      </c>
      <c r="C1515" s="108" t="s">
        <v>410</v>
      </c>
      <c r="D1515" s="108" t="s">
        <v>73</v>
      </c>
      <c r="E1515" s="108" t="s">
        <v>471</v>
      </c>
      <c r="F1515" s="108" t="s">
        <v>298</v>
      </c>
      <c r="G1515" s="109" t="s">
        <v>9</v>
      </c>
      <c r="H1515" s="141" t="e">
        <f>H1516+H1519+H1522+H1534+H1537+H1525+H1528+H1531</f>
        <v>#REF!</v>
      </c>
      <c r="L1515" s="32">
        <v>177184.91999999998</v>
      </c>
      <c r="M1515" s="32">
        <v>137808.31</v>
      </c>
      <c r="N1515" s="32">
        <v>156070.95000000001</v>
      </c>
      <c r="O1515" s="32" t="e">
        <f>H1515-L1515</f>
        <v>#REF!</v>
      </c>
      <c r="P1515" s="32" t="e">
        <f>#REF!-M1515</f>
        <v>#REF!</v>
      </c>
      <c r="Q1515" s="32" t="e">
        <f>#REF!-N1515</f>
        <v>#REF!</v>
      </c>
      <c r="R1515" s="17" t="str">
        <f t="shared" si="174"/>
        <v>04 2 02 00000000</v>
      </c>
    </row>
    <row r="1516" spans="1:18" s="16" customFormat="1" ht="31.5">
      <c r="A1516" s="14"/>
      <c r="B1516" s="125" t="s">
        <v>829</v>
      </c>
      <c r="C1516" s="108" t="s">
        <v>410</v>
      </c>
      <c r="D1516" s="108" t="s">
        <v>73</v>
      </c>
      <c r="E1516" s="108" t="s">
        <v>471</v>
      </c>
      <c r="F1516" s="108" t="s">
        <v>830</v>
      </c>
      <c r="G1516" s="109" t="s">
        <v>9</v>
      </c>
      <c r="H1516" s="141">
        <f>H1517</f>
        <v>0</v>
      </c>
      <c r="L1516" s="32">
        <v>78131.709999999992</v>
      </c>
      <c r="M1516" s="32">
        <v>72051.709999999992</v>
      </c>
      <c r="N1516" s="32">
        <v>72051.709999999992</v>
      </c>
      <c r="O1516" s="32">
        <f>H1516-L1516</f>
        <v>-78131.709999999992</v>
      </c>
      <c r="P1516" s="32" t="e">
        <f>#REF!-M1516</f>
        <v>#REF!</v>
      </c>
      <c r="Q1516" s="32" t="e">
        <f>#REF!-N1516</f>
        <v>#REF!</v>
      </c>
      <c r="R1516" s="17" t="str">
        <f t="shared" si="174"/>
        <v>04 2 02 20130000</v>
      </c>
    </row>
    <row r="1517" spans="1:18" s="16" customFormat="1" ht="31.5">
      <c r="A1517" s="14"/>
      <c r="B1517" s="125" t="s">
        <v>28</v>
      </c>
      <c r="C1517" s="108" t="s">
        <v>410</v>
      </c>
      <c r="D1517" s="108" t="s">
        <v>73</v>
      </c>
      <c r="E1517" s="108" t="s">
        <v>471</v>
      </c>
      <c r="F1517" s="108" t="s">
        <v>830</v>
      </c>
      <c r="G1517" s="109" t="s">
        <v>29</v>
      </c>
      <c r="H1517" s="126">
        <f>H1518</f>
        <v>0</v>
      </c>
      <c r="L1517" s="32">
        <v>78131.709999999992</v>
      </c>
      <c r="M1517" s="32">
        <v>72051.709999999992</v>
      </c>
      <c r="N1517" s="32">
        <v>72051.709999999992</v>
      </c>
      <c r="O1517" s="32">
        <f>H1517-L1517</f>
        <v>-78131.709999999992</v>
      </c>
      <c r="P1517" s="32" t="e">
        <f>#REF!-M1517</f>
        <v>#REF!</v>
      </c>
      <c r="Q1517" s="32" t="e">
        <f>#REF!-N1517</f>
        <v>#REF!</v>
      </c>
      <c r="R1517" s="17" t="str">
        <f t="shared" si="174"/>
        <v>04 2 02 20130240</v>
      </c>
    </row>
    <row r="1518" spans="1:18" s="16" customFormat="1" ht="15.75">
      <c r="A1518" s="14"/>
      <c r="B1518" s="125" t="s">
        <v>30</v>
      </c>
      <c r="C1518" s="108" t="s">
        <v>410</v>
      </c>
      <c r="D1518" s="108" t="s">
        <v>73</v>
      </c>
      <c r="E1518" s="108" t="s">
        <v>471</v>
      </c>
      <c r="F1518" s="108" t="s">
        <v>830</v>
      </c>
      <c r="G1518" s="109" t="s">
        <v>31</v>
      </c>
      <c r="H1518" s="126"/>
      <c r="L1518" s="32"/>
      <c r="M1518" s="32"/>
      <c r="N1518" s="32"/>
      <c r="O1518" s="32"/>
      <c r="P1518" s="32"/>
      <c r="Q1518" s="32"/>
      <c r="R1518" s="17"/>
    </row>
    <row r="1519" spans="1:18" s="16" customFormat="1" ht="126">
      <c r="A1519" s="14" t="s">
        <v>80</v>
      </c>
      <c r="B1519" s="125" t="s">
        <v>831</v>
      </c>
      <c r="C1519" s="108" t="s">
        <v>410</v>
      </c>
      <c r="D1519" s="108" t="s">
        <v>73</v>
      </c>
      <c r="E1519" s="108" t="s">
        <v>471</v>
      </c>
      <c r="F1519" s="108" t="s">
        <v>832</v>
      </c>
      <c r="G1519" s="109" t="s">
        <v>9</v>
      </c>
      <c r="H1519" s="141">
        <f>H1520</f>
        <v>0</v>
      </c>
      <c r="L1519" s="32">
        <v>18688.990000000002</v>
      </c>
      <c r="M1519" s="32">
        <v>18688.990000000002</v>
      </c>
      <c r="N1519" s="32">
        <v>18688.990000000002</v>
      </c>
      <c r="O1519" s="32">
        <f>H1519-L1519</f>
        <v>-18688.990000000002</v>
      </c>
      <c r="P1519" s="32" t="e">
        <f>#REF!-M1519</f>
        <v>#REF!</v>
      </c>
      <c r="Q1519" s="32" t="e">
        <f>#REF!-N1519</f>
        <v>#REF!</v>
      </c>
      <c r="R1519" s="17" t="str">
        <f t="shared" si="174"/>
        <v>04 2 02 20810000</v>
      </c>
    </row>
    <row r="1520" spans="1:18" s="16" customFormat="1" ht="31.5">
      <c r="A1520" s="14"/>
      <c r="B1520" s="125" t="s">
        <v>28</v>
      </c>
      <c r="C1520" s="108" t="s">
        <v>410</v>
      </c>
      <c r="D1520" s="108" t="s">
        <v>73</v>
      </c>
      <c r="E1520" s="108" t="s">
        <v>471</v>
      </c>
      <c r="F1520" s="108" t="s">
        <v>832</v>
      </c>
      <c r="G1520" s="109" t="s">
        <v>29</v>
      </c>
      <c r="H1520" s="126">
        <f>H1521</f>
        <v>0</v>
      </c>
      <c r="L1520" s="32">
        <v>18688.990000000002</v>
      </c>
      <c r="M1520" s="32">
        <v>18688.990000000002</v>
      </c>
      <c r="N1520" s="32">
        <v>18688.990000000002</v>
      </c>
      <c r="O1520" s="32">
        <f>H1520-L1520</f>
        <v>-18688.990000000002</v>
      </c>
      <c r="P1520" s="32" t="e">
        <f>#REF!-M1520</f>
        <v>#REF!</v>
      </c>
      <c r="Q1520" s="32" t="e">
        <f>#REF!-N1520</f>
        <v>#REF!</v>
      </c>
      <c r="R1520" s="17" t="str">
        <f t="shared" si="174"/>
        <v>04 2 02 20810240</v>
      </c>
    </row>
    <row r="1521" spans="1:18" s="16" customFormat="1" ht="15.75">
      <c r="A1521" s="14"/>
      <c r="B1521" s="125" t="s">
        <v>30</v>
      </c>
      <c r="C1521" s="108" t="s">
        <v>410</v>
      </c>
      <c r="D1521" s="108" t="s">
        <v>73</v>
      </c>
      <c r="E1521" s="108" t="s">
        <v>471</v>
      </c>
      <c r="F1521" s="108" t="s">
        <v>832</v>
      </c>
      <c r="G1521" s="109" t="s">
        <v>31</v>
      </c>
      <c r="H1521" s="126"/>
      <c r="L1521" s="32"/>
      <c r="M1521" s="32"/>
      <c r="N1521" s="32"/>
      <c r="O1521" s="32"/>
      <c r="P1521" s="32"/>
      <c r="Q1521" s="32"/>
      <c r="R1521" s="17"/>
    </row>
    <row r="1522" spans="1:18" s="16" customFormat="1" ht="31.5">
      <c r="A1522" s="14"/>
      <c r="B1522" s="125" t="s">
        <v>833</v>
      </c>
      <c r="C1522" s="108" t="s">
        <v>410</v>
      </c>
      <c r="D1522" s="108" t="s">
        <v>73</v>
      </c>
      <c r="E1522" s="108" t="s">
        <v>471</v>
      </c>
      <c r="F1522" s="108" t="s">
        <v>834</v>
      </c>
      <c r="G1522" s="109" t="s">
        <v>9</v>
      </c>
      <c r="H1522" s="141">
        <f>H1523</f>
        <v>0</v>
      </c>
      <c r="L1522" s="32">
        <v>1350</v>
      </c>
      <c r="M1522" s="32">
        <v>1350</v>
      </c>
      <c r="N1522" s="32">
        <v>1350</v>
      </c>
      <c r="O1522" s="32">
        <f>H1522-L1522</f>
        <v>-1350</v>
      </c>
      <c r="P1522" s="32" t="e">
        <f>#REF!-M1522</f>
        <v>#REF!</v>
      </c>
      <c r="Q1522" s="32" t="e">
        <f>#REF!-N1522</f>
        <v>#REF!</v>
      </c>
      <c r="R1522" s="17" t="str">
        <f t="shared" si="174"/>
        <v>04 2 02 20830000</v>
      </c>
    </row>
    <row r="1523" spans="1:18" s="16" customFormat="1" ht="31.5">
      <c r="A1523" s="14"/>
      <c r="B1523" s="125" t="s">
        <v>28</v>
      </c>
      <c r="C1523" s="108" t="s">
        <v>410</v>
      </c>
      <c r="D1523" s="108" t="s">
        <v>73</v>
      </c>
      <c r="E1523" s="108" t="s">
        <v>471</v>
      </c>
      <c r="F1523" s="108" t="s">
        <v>834</v>
      </c>
      <c r="G1523" s="109" t="s">
        <v>29</v>
      </c>
      <c r="H1523" s="126">
        <f>H1524</f>
        <v>0</v>
      </c>
      <c r="L1523" s="32">
        <v>1350</v>
      </c>
      <c r="M1523" s="32">
        <v>1350</v>
      </c>
      <c r="N1523" s="32">
        <v>1350</v>
      </c>
      <c r="O1523" s="32">
        <f>H1523-L1523</f>
        <v>-1350</v>
      </c>
      <c r="P1523" s="32" t="e">
        <f>#REF!-M1523</f>
        <v>#REF!</v>
      </c>
      <c r="Q1523" s="32" t="e">
        <f>#REF!-N1523</f>
        <v>#REF!</v>
      </c>
      <c r="R1523" s="17" t="str">
        <f t="shared" si="174"/>
        <v>04 2 02 20830240</v>
      </c>
    </row>
    <row r="1524" spans="1:18" s="16" customFormat="1" ht="15.75">
      <c r="A1524" s="14"/>
      <c r="B1524" s="125" t="s">
        <v>30</v>
      </c>
      <c r="C1524" s="108" t="s">
        <v>410</v>
      </c>
      <c r="D1524" s="108" t="s">
        <v>73</v>
      </c>
      <c r="E1524" s="108" t="s">
        <v>471</v>
      </c>
      <c r="F1524" s="108" t="s">
        <v>834</v>
      </c>
      <c r="G1524" s="109" t="s">
        <v>31</v>
      </c>
      <c r="H1524" s="126"/>
      <c r="L1524" s="32"/>
      <c r="M1524" s="32"/>
      <c r="N1524" s="32"/>
      <c r="O1524" s="32"/>
      <c r="P1524" s="32"/>
      <c r="Q1524" s="32"/>
      <c r="R1524" s="17"/>
    </row>
    <row r="1525" spans="1:18" s="16" customFormat="1" ht="47.25">
      <c r="A1525" s="14"/>
      <c r="B1525" s="125" t="s">
        <v>835</v>
      </c>
      <c r="C1525" s="108" t="s">
        <v>410</v>
      </c>
      <c r="D1525" s="108" t="s">
        <v>73</v>
      </c>
      <c r="E1525" s="108" t="s">
        <v>471</v>
      </c>
      <c r="F1525" s="108" t="s">
        <v>836</v>
      </c>
      <c r="G1525" s="109" t="s">
        <v>9</v>
      </c>
      <c r="H1525" s="141">
        <f>H1526</f>
        <v>0</v>
      </c>
      <c r="L1525" s="32">
        <v>21274.62</v>
      </c>
      <c r="M1525" s="32">
        <v>4435.2800000000007</v>
      </c>
      <c r="N1525" s="32">
        <v>22697.919999999998</v>
      </c>
      <c r="O1525" s="32">
        <f>H1525-L1525</f>
        <v>-21274.62</v>
      </c>
      <c r="P1525" s="32" t="e">
        <f>#REF!-M1525</f>
        <v>#REF!</v>
      </c>
      <c r="Q1525" s="32" t="e">
        <f>#REF!-N1525</f>
        <v>#REF!</v>
      </c>
      <c r="R1525" s="17" t="str">
        <f t="shared" si="174"/>
        <v>04 2 02 21180000</v>
      </c>
    </row>
    <row r="1526" spans="1:18" s="16" customFormat="1" ht="15.75">
      <c r="A1526" s="14"/>
      <c r="B1526" s="125" t="s">
        <v>837</v>
      </c>
      <c r="C1526" s="108" t="s">
        <v>410</v>
      </c>
      <c r="D1526" s="108" t="s">
        <v>73</v>
      </c>
      <c r="E1526" s="108" t="s">
        <v>471</v>
      </c>
      <c r="F1526" s="108" t="s">
        <v>836</v>
      </c>
      <c r="G1526" s="109" t="s">
        <v>838</v>
      </c>
      <c r="H1526" s="126">
        <f>H1527</f>
        <v>0</v>
      </c>
      <c r="L1526" s="32">
        <v>21274.62</v>
      </c>
      <c r="M1526" s="32">
        <v>4435.2800000000007</v>
      </c>
      <c r="N1526" s="32">
        <v>22697.919999999998</v>
      </c>
      <c r="O1526" s="32">
        <f>H1526-L1526</f>
        <v>-21274.62</v>
      </c>
      <c r="P1526" s="32" t="e">
        <f>#REF!-M1526</f>
        <v>#REF!</v>
      </c>
      <c r="Q1526" s="32" t="e">
        <f>#REF!-N1526</f>
        <v>#REF!</v>
      </c>
      <c r="R1526" s="17" t="str">
        <f t="shared" si="174"/>
        <v>04 2 02 21180410</v>
      </c>
    </row>
    <row r="1527" spans="1:18" s="16" customFormat="1" ht="47.25">
      <c r="A1527" s="14"/>
      <c r="B1527" s="125" t="s">
        <v>839</v>
      </c>
      <c r="C1527" s="108" t="s">
        <v>410</v>
      </c>
      <c r="D1527" s="108" t="s">
        <v>73</v>
      </c>
      <c r="E1527" s="108" t="s">
        <v>471</v>
      </c>
      <c r="F1527" s="108" t="s">
        <v>836</v>
      </c>
      <c r="G1527" s="109" t="s">
        <v>840</v>
      </c>
      <c r="H1527" s="126"/>
      <c r="L1527" s="32"/>
      <c r="M1527" s="32"/>
      <c r="N1527" s="32"/>
      <c r="O1527" s="32"/>
      <c r="P1527" s="32"/>
      <c r="Q1527" s="32"/>
      <c r="R1527" s="17" t="str">
        <f t="shared" si="174"/>
        <v>04 2 02 21180414</v>
      </c>
    </row>
    <row r="1528" spans="1:18" s="16" customFormat="1" ht="236.25">
      <c r="A1528" s="14"/>
      <c r="B1528" s="125" t="s">
        <v>841</v>
      </c>
      <c r="C1528" s="108" t="s">
        <v>410</v>
      </c>
      <c r="D1528" s="108" t="s">
        <v>73</v>
      </c>
      <c r="E1528" s="108" t="s">
        <v>471</v>
      </c>
      <c r="F1528" s="108" t="s">
        <v>842</v>
      </c>
      <c r="G1528" s="109" t="s">
        <v>9</v>
      </c>
      <c r="H1528" s="141">
        <f>H1529</f>
        <v>0</v>
      </c>
      <c r="L1528" s="32">
        <v>19287.71</v>
      </c>
      <c r="M1528" s="32">
        <v>0</v>
      </c>
      <c r="N1528" s="32">
        <v>0</v>
      </c>
      <c r="O1528" s="32">
        <f>H1528-L1528</f>
        <v>-19287.71</v>
      </c>
      <c r="P1528" s="32" t="e">
        <f>#REF!-M1528</f>
        <v>#REF!</v>
      </c>
      <c r="Q1528" s="32" t="e">
        <f>#REF!-N1528</f>
        <v>#REF!</v>
      </c>
      <c r="R1528" s="62" t="str">
        <f t="shared" si="174"/>
        <v>04 2 02 21460000</v>
      </c>
    </row>
    <row r="1529" spans="1:18" s="16" customFormat="1" ht="31.5">
      <c r="A1529" s="14"/>
      <c r="B1529" s="125" t="s">
        <v>28</v>
      </c>
      <c r="C1529" s="108" t="s">
        <v>410</v>
      </c>
      <c r="D1529" s="108" t="s">
        <v>73</v>
      </c>
      <c r="E1529" s="108" t="s">
        <v>471</v>
      </c>
      <c r="F1529" s="108" t="s">
        <v>842</v>
      </c>
      <c r="G1529" s="109" t="s">
        <v>29</v>
      </c>
      <c r="H1529" s="126">
        <f>H1530</f>
        <v>0</v>
      </c>
      <c r="L1529" s="32">
        <v>19287.71</v>
      </c>
      <c r="M1529" s="32">
        <v>0</v>
      </c>
      <c r="N1529" s="32">
        <v>0</v>
      </c>
      <c r="O1529" s="32">
        <f>H1529-L1529</f>
        <v>-19287.71</v>
      </c>
      <c r="P1529" s="32" t="e">
        <f>#REF!-M1529</f>
        <v>#REF!</v>
      </c>
      <c r="Q1529" s="32" t="e">
        <f>#REF!-N1529</f>
        <v>#REF!</v>
      </c>
      <c r="R1529" s="62" t="str">
        <f t="shared" si="174"/>
        <v>04 2 02 21460240</v>
      </c>
    </row>
    <row r="1530" spans="1:18" s="16" customFormat="1" ht="15.75">
      <c r="A1530" s="14"/>
      <c r="B1530" s="125" t="s">
        <v>30</v>
      </c>
      <c r="C1530" s="108" t="s">
        <v>410</v>
      </c>
      <c r="D1530" s="108" t="s">
        <v>73</v>
      </c>
      <c r="E1530" s="108" t="s">
        <v>471</v>
      </c>
      <c r="F1530" s="108" t="s">
        <v>842</v>
      </c>
      <c r="G1530" s="109" t="s">
        <v>31</v>
      </c>
      <c r="H1530" s="126"/>
      <c r="L1530" s="32"/>
      <c r="M1530" s="32"/>
      <c r="N1530" s="32"/>
      <c r="O1530" s="32"/>
      <c r="P1530" s="32"/>
      <c r="Q1530" s="32"/>
      <c r="R1530" s="62"/>
    </row>
    <row r="1531" spans="1:18" s="16" customFormat="1" ht="78.75">
      <c r="A1531" s="14"/>
      <c r="B1531" s="125" t="s">
        <v>843</v>
      </c>
      <c r="C1531" s="108" t="s">
        <v>410</v>
      </c>
      <c r="D1531" s="108" t="s">
        <v>73</v>
      </c>
      <c r="E1531" s="108" t="s">
        <v>471</v>
      </c>
      <c r="F1531" s="108" t="s">
        <v>844</v>
      </c>
      <c r="G1531" s="109" t="s">
        <v>9</v>
      </c>
      <c r="H1531" s="141">
        <f>H1532</f>
        <v>0</v>
      </c>
      <c r="L1531" s="32">
        <v>6350</v>
      </c>
      <c r="M1531" s="32">
        <v>0</v>
      </c>
      <c r="N1531" s="32">
        <v>0</v>
      </c>
      <c r="O1531" s="32">
        <f>H1531-L1531</f>
        <v>-6350</v>
      </c>
      <c r="P1531" s="32" t="e">
        <f>#REF!-M1531</f>
        <v>#REF!</v>
      </c>
      <c r="Q1531" s="32" t="e">
        <f>#REF!-N1531</f>
        <v>#REF!</v>
      </c>
      <c r="R1531" s="62" t="str">
        <f t="shared" si="174"/>
        <v>04 2 02 21490000</v>
      </c>
    </row>
    <row r="1532" spans="1:18" s="16" customFormat="1" ht="31.5">
      <c r="A1532" s="14"/>
      <c r="B1532" s="125" t="s">
        <v>28</v>
      </c>
      <c r="C1532" s="108" t="s">
        <v>410</v>
      </c>
      <c r="D1532" s="108" t="s">
        <v>73</v>
      </c>
      <c r="E1532" s="108" t="s">
        <v>471</v>
      </c>
      <c r="F1532" s="108" t="s">
        <v>844</v>
      </c>
      <c r="G1532" s="109" t="s">
        <v>29</v>
      </c>
      <c r="H1532" s="126">
        <f>H1533</f>
        <v>0</v>
      </c>
      <c r="L1532" s="32">
        <v>6350</v>
      </c>
      <c r="M1532" s="32">
        <v>0</v>
      </c>
      <c r="N1532" s="32">
        <v>0</v>
      </c>
      <c r="O1532" s="32">
        <f>H1532-L1532</f>
        <v>-6350</v>
      </c>
      <c r="P1532" s="32" t="e">
        <f>#REF!-M1532</f>
        <v>#REF!</v>
      </c>
      <c r="Q1532" s="32" t="e">
        <f>#REF!-N1532</f>
        <v>#REF!</v>
      </c>
      <c r="R1532" s="62" t="str">
        <f t="shared" si="174"/>
        <v>04 2 02 21490240</v>
      </c>
    </row>
    <row r="1533" spans="1:18" s="16" customFormat="1" ht="15.75">
      <c r="A1533" s="14"/>
      <c r="B1533" s="125" t="s">
        <v>30</v>
      </c>
      <c r="C1533" s="108" t="s">
        <v>410</v>
      </c>
      <c r="D1533" s="108" t="s">
        <v>73</v>
      </c>
      <c r="E1533" s="108" t="s">
        <v>471</v>
      </c>
      <c r="F1533" s="108" t="s">
        <v>844</v>
      </c>
      <c r="G1533" s="109" t="s">
        <v>31</v>
      </c>
      <c r="H1533" s="126"/>
      <c r="L1533" s="32"/>
      <c r="M1533" s="32"/>
      <c r="N1533" s="32"/>
      <c r="O1533" s="32"/>
      <c r="P1533" s="32"/>
      <c r="Q1533" s="32"/>
      <c r="R1533" s="62"/>
    </row>
    <row r="1534" spans="1:18" s="16" customFormat="1" ht="94.5">
      <c r="A1534" s="14"/>
      <c r="B1534" s="125" t="s">
        <v>845</v>
      </c>
      <c r="C1534" s="109" t="s">
        <v>410</v>
      </c>
      <c r="D1534" s="108" t="s">
        <v>73</v>
      </c>
      <c r="E1534" s="108" t="s">
        <v>471</v>
      </c>
      <c r="F1534" s="14" t="s">
        <v>846</v>
      </c>
      <c r="G1534" s="109" t="s">
        <v>9</v>
      </c>
      <c r="H1534" s="141" t="e">
        <f>H1535</f>
        <v>#REF!</v>
      </c>
      <c r="L1534" s="32">
        <v>17260.62</v>
      </c>
      <c r="M1534" s="32">
        <v>26441.059999999998</v>
      </c>
      <c r="N1534" s="32">
        <v>26441.059999999998</v>
      </c>
      <c r="O1534" s="32" t="e">
        <f>H1534-L1534</f>
        <v>#REF!</v>
      </c>
      <c r="P1534" s="32" t="e">
        <f>#REF!-M1534</f>
        <v>#REF!</v>
      </c>
      <c r="Q1534" s="32" t="e">
        <f>#REF!-N1534</f>
        <v>#REF!</v>
      </c>
      <c r="R1534" s="17" t="str">
        <f t="shared" si="174"/>
        <v>04 2 02 60090000</v>
      </c>
    </row>
    <row r="1535" spans="1:18" s="16" customFormat="1" ht="63">
      <c r="A1535" s="14"/>
      <c r="B1535" s="129" t="s">
        <v>203</v>
      </c>
      <c r="C1535" s="109" t="s">
        <v>410</v>
      </c>
      <c r="D1535" s="108" t="s">
        <v>73</v>
      </c>
      <c r="E1535" s="108" t="s">
        <v>471</v>
      </c>
      <c r="F1535" s="14" t="s">
        <v>846</v>
      </c>
      <c r="G1535" s="109" t="s">
        <v>204</v>
      </c>
      <c r="H1535" s="126" t="e">
        <f>ROUND(#REF!*1000,2)</f>
        <v>#REF!</v>
      </c>
      <c r="L1535" s="32">
        <v>17260.62</v>
      </c>
      <c r="M1535" s="32">
        <v>26441.059999999998</v>
      </c>
      <c r="N1535" s="32">
        <v>26441.059999999998</v>
      </c>
      <c r="O1535" s="32" t="e">
        <f>H1535-L1535</f>
        <v>#REF!</v>
      </c>
      <c r="P1535" s="32" t="e">
        <f>#REF!-M1535</f>
        <v>#REF!</v>
      </c>
      <c r="Q1535" s="32" t="e">
        <f>#REF!-N1535</f>
        <v>#REF!</v>
      </c>
      <c r="R1535" s="17" t="str">
        <f t="shared" si="174"/>
        <v>04 2 02 60090810</v>
      </c>
    </row>
    <row r="1536" spans="1:18" s="16" customFormat="1" ht="63">
      <c r="A1536" s="14"/>
      <c r="B1536" s="125" t="s">
        <v>205</v>
      </c>
      <c r="C1536" s="109" t="s">
        <v>410</v>
      </c>
      <c r="D1536" s="108" t="s">
        <v>73</v>
      </c>
      <c r="E1536" s="108" t="s">
        <v>471</v>
      </c>
      <c r="F1536" s="14" t="s">
        <v>846</v>
      </c>
      <c r="G1536" s="109" t="s">
        <v>206</v>
      </c>
      <c r="H1536" s="126"/>
      <c r="L1536" s="32"/>
      <c r="M1536" s="32"/>
      <c r="N1536" s="32"/>
      <c r="O1536" s="32"/>
      <c r="P1536" s="32"/>
      <c r="Q1536" s="32"/>
      <c r="R1536" s="17"/>
    </row>
    <row r="1537" spans="1:18" s="16" customFormat="1" ht="47.25">
      <c r="A1537" s="14"/>
      <c r="B1537" s="125" t="s">
        <v>847</v>
      </c>
      <c r="C1537" s="109" t="s">
        <v>410</v>
      </c>
      <c r="D1537" s="108" t="s">
        <v>73</v>
      </c>
      <c r="E1537" s="108" t="s">
        <v>471</v>
      </c>
      <c r="F1537" s="14" t="s">
        <v>848</v>
      </c>
      <c r="G1537" s="109" t="s">
        <v>9</v>
      </c>
      <c r="H1537" s="141">
        <f>H1538</f>
        <v>0</v>
      </c>
      <c r="L1537" s="32">
        <v>14841.27</v>
      </c>
      <c r="M1537" s="32">
        <v>14841.27</v>
      </c>
      <c r="N1537" s="32">
        <v>14841.27</v>
      </c>
      <c r="O1537" s="32">
        <f>H1537-L1537</f>
        <v>-14841.27</v>
      </c>
      <c r="P1537" s="32" t="e">
        <f>#REF!-M1537</f>
        <v>#REF!</v>
      </c>
      <c r="Q1537" s="32" t="e">
        <f>#REF!-N1537</f>
        <v>#REF!</v>
      </c>
      <c r="R1537" s="17" t="str">
        <f t="shared" si="174"/>
        <v>04 2 02 S6460000</v>
      </c>
    </row>
    <row r="1538" spans="1:18" s="16" customFormat="1" ht="31.5">
      <c r="A1538" s="14"/>
      <c r="B1538" s="125" t="s">
        <v>28</v>
      </c>
      <c r="C1538" s="109" t="s">
        <v>410</v>
      </c>
      <c r="D1538" s="108" t="s">
        <v>73</v>
      </c>
      <c r="E1538" s="108" t="s">
        <v>471</v>
      </c>
      <c r="F1538" s="14" t="s">
        <v>848</v>
      </c>
      <c r="G1538" s="109" t="s">
        <v>29</v>
      </c>
      <c r="H1538" s="126">
        <f>H1539</f>
        <v>0</v>
      </c>
      <c r="L1538" s="32">
        <v>14841.27</v>
      </c>
      <c r="M1538" s="32">
        <v>14841.27</v>
      </c>
      <c r="N1538" s="32">
        <v>14841.27</v>
      </c>
      <c r="O1538" s="32">
        <f>H1538-L1538</f>
        <v>-14841.27</v>
      </c>
      <c r="P1538" s="32" t="e">
        <f>#REF!-M1538</f>
        <v>#REF!</v>
      </c>
      <c r="Q1538" s="32" t="e">
        <f>#REF!-N1538</f>
        <v>#REF!</v>
      </c>
      <c r="R1538" s="17" t="str">
        <f t="shared" ref="R1538:R1640" si="181">CONCATENATE(F1538,G1538)</f>
        <v>04 2 02 S6460240</v>
      </c>
    </row>
    <row r="1539" spans="1:18" s="16" customFormat="1" ht="15.75">
      <c r="A1539" s="14"/>
      <c r="B1539" s="125" t="s">
        <v>30</v>
      </c>
      <c r="C1539" s="109" t="s">
        <v>410</v>
      </c>
      <c r="D1539" s="108" t="s">
        <v>73</v>
      </c>
      <c r="E1539" s="108" t="s">
        <v>471</v>
      </c>
      <c r="F1539" s="14" t="s">
        <v>848</v>
      </c>
      <c r="G1539" s="109" t="s">
        <v>31</v>
      </c>
      <c r="H1539" s="126"/>
      <c r="L1539" s="32"/>
      <c r="M1539" s="32"/>
      <c r="N1539" s="32"/>
      <c r="O1539" s="32"/>
      <c r="P1539" s="32"/>
      <c r="Q1539" s="32"/>
      <c r="R1539" s="17"/>
    </row>
    <row r="1540" spans="1:18" s="16" customFormat="1" ht="47.25">
      <c r="A1540" s="14"/>
      <c r="B1540" s="125" t="s">
        <v>849</v>
      </c>
      <c r="C1540" s="108" t="s">
        <v>410</v>
      </c>
      <c r="D1540" s="108" t="s">
        <v>73</v>
      </c>
      <c r="E1540" s="108" t="s">
        <v>471</v>
      </c>
      <c r="F1540" s="108" t="s">
        <v>850</v>
      </c>
      <c r="G1540" s="109" t="s">
        <v>9</v>
      </c>
      <c r="H1540" s="141">
        <f>H1545+H1541</f>
        <v>0</v>
      </c>
      <c r="L1540" s="32">
        <v>56524.61</v>
      </c>
      <c r="M1540" s="32">
        <v>51524.61</v>
      </c>
      <c r="N1540" s="32">
        <v>51524.61</v>
      </c>
      <c r="O1540" s="32">
        <f>H1540-L1540</f>
        <v>-56524.61</v>
      </c>
      <c r="P1540" s="32" t="e">
        <f>#REF!-M1540</f>
        <v>#REF!</v>
      </c>
      <c r="Q1540" s="32" t="e">
        <f>#REF!-N1540</f>
        <v>#REF!</v>
      </c>
      <c r="R1540" s="17" t="str">
        <f t="shared" si="181"/>
        <v>04 2 03 00000000</v>
      </c>
    </row>
    <row r="1541" spans="1:18" s="16" customFormat="1" ht="31.5">
      <c r="A1541" s="14"/>
      <c r="B1541" s="135" t="s">
        <v>136</v>
      </c>
      <c r="C1541" s="108" t="s">
        <v>410</v>
      </c>
      <c r="D1541" s="108" t="s">
        <v>73</v>
      </c>
      <c r="E1541" s="108" t="s">
        <v>471</v>
      </c>
      <c r="F1541" s="108" t="s">
        <v>851</v>
      </c>
      <c r="G1541" s="108" t="s">
        <v>9</v>
      </c>
      <c r="H1541" s="126">
        <f>H1542</f>
        <v>0</v>
      </c>
      <c r="L1541" s="20">
        <v>42580.75</v>
      </c>
      <c r="M1541" s="20">
        <v>42580.75</v>
      </c>
      <c r="N1541" s="20">
        <v>42580.75</v>
      </c>
      <c r="O1541" s="20">
        <f>H1541-L1541</f>
        <v>-42580.75</v>
      </c>
      <c r="P1541" s="20" t="e">
        <f>#REF!-M1541</f>
        <v>#REF!</v>
      </c>
      <c r="Q1541" s="20" t="e">
        <f>#REF!-N1541</f>
        <v>#REF!</v>
      </c>
      <c r="R1541" s="17" t="str">
        <f t="shared" si="181"/>
        <v>04 2 03 11010000</v>
      </c>
    </row>
    <row r="1542" spans="1:18" s="16" customFormat="1" ht="15.75">
      <c r="A1542" s="14"/>
      <c r="B1542" s="132" t="s">
        <v>403</v>
      </c>
      <c r="C1542" s="108" t="s">
        <v>410</v>
      </c>
      <c r="D1542" s="108" t="s">
        <v>73</v>
      </c>
      <c r="E1542" s="108" t="s">
        <v>471</v>
      </c>
      <c r="F1542" s="108" t="s">
        <v>851</v>
      </c>
      <c r="G1542" s="108" t="s">
        <v>404</v>
      </c>
      <c r="H1542" s="126">
        <f>SUM(H1543:H1544)</f>
        <v>0</v>
      </c>
      <c r="L1542" s="20">
        <v>42580.75</v>
      </c>
      <c r="M1542" s="20">
        <v>42580.75</v>
      </c>
      <c r="N1542" s="20">
        <v>42580.75</v>
      </c>
      <c r="O1542" s="20">
        <f>H1542-L1542</f>
        <v>-42580.75</v>
      </c>
      <c r="P1542" s="20" t="e">
        <f>#REF!-M1542</f>
        <v>#REF!</v>
      </c>
      <c r="Q1542" s="20" t="e">
        <f>#REF!-N1542</f>
        <v>#REF!</v>
      </c>
      <c r="R1542" s="17" t="str">
        <f t="shared" si="181"/>
        <v>04 2 03 11010610</v>
      </c>
    </row>
    <row r="1543" spans="1:18" s="23" customFormat="1" ht="63">
      <c r="A1543" s="21"/>
      <c r="B1543" s="127" t="s">
        <v>405</v>
      </c>
      <c r="C1543" s="108" t="s">
        <v>410</v>
      </c>
      <c r="D1543" s="108" t="s">
        <v>73</v>
      </c>
      <c r="E1543" s="108" t="s">
        <v>471</v>
      </c>
      <c r="F1543" s="108" t="s">
        <v>851</v>
      </c>
      <c r="G1543" s="108" t="s">
        <v>406</v>
      </c>
      <c r="H1543" s="126"/>
      <c r="L1543" s="22"/>
      <c r="M1543" s="22"/>
      <c r="N1543" s="22"/>
      <c r="O1543" s="22"/>
      <c r="P1543" s="22"/>
      <c r="Q1543" s="22"/>
      <c r="R1543" s="24"/>
    </row>
    <row r="1544" spans="1:18" s="23" customFormat="1" ht="15.75">
      <c r="A1544" s="21"/>
      <c r="B1544" s="127" t="s">
        <v>407</v>
      </c>
      <c r="C1544" s="108" t="s">
        <v>410</v>
      </c>
      <c r="D1544" s="108" t="s">
        <v>73</v>
      </c>
      <c r="E1544" s="108" t="s">
        <v>471</v>
      </c>
      <c r="F1544" s="108" t="s">
        <v>851</v>
      </c>
      <c r="G1544" s="108" t="s">
        <v>408</v>
      </c>
      <c r="H1544" s="126"/>
      <c r="L1544" s="22"/>
      <c r="M1544" s="22"/>
      <c r="N1544" s="22"/>
      <c r="O1544" s="22"/>
      <c r="P1544" s="22"/>
      <c r="Q1544" s="22"/>
      <c r="R1544" s="24"/>
    </row>
    <row r="1545" spans="1:18" s="16" customFormat="1" ht="63">
      <c r="A1545" s="14"/>
      <c r="B1545" s="125" t="s">
        <v>852</v>
      </c>
      <c r="C1545" s="108" t="s">
        <v>410</v>
      </c>
      <c r="D1545" s="108" t="s">
        <v>73</v>
      </c>
      <c r="E1545" s="108" t="s">
        <v>471</v>
      </c>
      <c r="F1545" s="108" t="s">
        <v>853</v>
      </c>
      <c r="G1545" s="109" t="s">
        <v>9</v>
      </c>
      <c r="H1545" s="141">
        <f>H1546</f>
        <v>0</v>
      </c>
      <c r="L1545" s="32">
        <v>13943.86</v>
      </c>
      <c r="M1545" s="32">
        <v>8943.86</v>
      </c>
      <c r="N1545" s="32">
        <v>8943.86</v>
      </c>
      <c r="O1545" s="32">
        <f>H1545-L1545</f>
        <v>-13943.86</v>
      </c>
      <c r="P1545" s="32" t="e">
        <f>#REF!-M1545</f>
        <v>#REF!</v>
      </c>
      <c r="Q1545" s="32" t="e">
        <f>#REF!-N1545</f>
        <v>#REF!</v>
      </c>
      <c r="R1545" s="17" t="str">
        <f t="shared" si="181"/>
        <v>04 2 03 20570000</v>
      </c>
    </row>
    <row r="1546" spans="1:18" s="16" customFormat="1" ht="31.5">
      <c r="A1546" s="14"/>
      <c r="B1546" s="125" t="s">
        <v>28</v>
      </c>
      <c r="C1546" s="108" t="s">
        <v>410</v>
      </c>
      <c r="D1546" s="108" t="s">
        <v>73</v>
      </c>
      <c r="E1546" s="108" t="s">
        <v>471</v>
      </c>
      <c r="F1546" s="108" t="s">
        <v>853</v>
      </c>
      <c r="G1546" s="109" t="s">
        <v>29</v>
      </c>
      <c r="H1546" s="126">
        <f>H1547</f>
        <v>0</v>
      </c>
      <c r="L1546" s="32">
        <v>13943.86</v>
      </c>
      <c r="M1546" s="32">
        <v>8943.86</v>
      </c>
      <c r="N1546" s="32">
        <v>8943.86</v>
      </c>
      <c r="O1546" s="32">
        <f>H1546-L1546</f>
        <v>-13943.86</v>
      </c>
      <c r="P1546" s="32" t="e">
        <f>#REF!-M1546</f>
        <v>#REF!</v>
      </c>
      <c r="Q1546" s="32" t="e">
        <f>#REF!-N1546</f>
        <v>#REF!</v>
      </c>
      <c r="R1546" s="17" t="str">
        <f t="shared" si="181"/>
        <v>04 2 03 20570240</v>
      </c>
    </row>
    <row r="1547" spans="1:18" s="16" customFormat="1" ht="15.75">
      <c r="A1547" s="14"/>
      <c r="B1547" s="125" t="s">
        <v>30</v>
      </c>
      <c r="C1547" s="108" t="s">
        <v>410</v>
      </c>
      <c r="D1547" s="108" t="s">
        <v>73</v>
      </c>
      <c r="E1547" s="108" t="s">
        <v>471</v>
      </c>
      <c r="F1547" s="108" t="s">
        <v>853</v>
      </c>
      <c r="G1547" s="109" t="s">
        <v>31</v>
      </c>
      <c r="H1547" s="126"/>
      <c r="L1547" s="32"/>
      <c r="M1547" s="32"/>
      <c r="N1547" s="32"/>
      <c r="O1547" s="32"/>
      <c r="P1547" s="32"/>
      <c r="Q1547" s="32"/>
      <c r="R1547" s="17"/>
    </row>
    <row r="1548" spans="1:18" s="16" customFormat="1" ht="15.75">
      <c r="A1548" s="14"/>
      <c r="B1548" s="121" t="s">
        <v>284</v>
      </c>
      <c r="C1548" s="122" t="s">
        <v>410</v>
      </c>
      <c r="D1548" s="123" t="s">
        <v>73</v>
      </c>
      <c r="E1548" s="123" t="s">
        <v>57</v>
      </c>
      <c r="F1548" s="123" t="s">
        <v>8</v>
      </c>
      <c r="G1548" s="123" t="s">
        <v>9</v>
      </c>
      <c r="H1548" s="124">
        <f>H1549</f>
        <v>0</v>
      </c>
      <c r="L1548" s="19"/>
      <c r="M1548" s="19"/>
      <c r="N1548" s="19"/>
      <c r="O1548" s="32">
        <f>H1548-L1548</f>
        <v>0</v>
      </c>
      <c r="P1548" s="32" t="e">
        <f>#REF!-M1548</f>
        <v>#REF!</v>
      </c>
      <c r="Q1548" s="32" t="e">
        <f>#REF!-N1548</f>
        <v>#REF!</v>
      </c>
      <c r="R1548" s="17" t="str">
        <f t="shared" si="181"/>
        <v>00 0 00 00000000</v>
      </c>
    </row>
    <row r="1549" spans="1:18" s="16" customFormat="1" ht="63">
      <c r="A1549" s="14"/>
      <c r="B1549" s="125" t="s">
        <v>87</v>
      </c>
      <c r="C1549" s="108" t="s">
        <v>410</v>
      </c>
      <c r="D1549" s="108" t="s">
        <v>73</v>
      </c>
      <c r="E1549" s="108" t="s">
        <v>57</v>
      </c>
      <c r="F1549" s="108" t="s">
        <v>88</v>
      </c>
      <c r="G1549" s="109" t="s">
        <v>9</v>
      </c>
      <c r="H1549" s="141">
        <f>H1550</f>
        <v>0</v>
      </c>
      <c r="L1549" s="32"/>
      <c r="M1549" s="32"/>
      <c r="N1549" s="32"/>
      <c r="O1549" s="32">
        <f>H1549-L1549</f>
        <v>0</v>
      </c>
      <c r="P1549" s="32" t="e">
        <f>#REF!-M1549</f>
        <v>#REF!</v>
      </c>
      <c r="Q1549" s="32" t="e">
        <f>#REF!-N1549</f>
        <v>#REF!</v>
      </c>
      <c r="R1549" s="17" t="str">
        <f t="shared" si="181"/>
        <v>98 0 00 00000000</v>
      </c>
    </row>
    <row r="1550" spans="1:18" s="16" customFormat="1" ht="15.75">
      <c r="A1550" s="14"/>
      <c r="B1550" s="125" t="s">
        <v>89</v>
      </c>
      <c r="C1550" s="108" t="s">
        <v>410</v>
      </c>
      <c r="D1550" s="108" t="s">
        <v>73</v>
      </c>
      <c r="E1550" s="108" t="s">
        <v>57</v>
      </c>
      <c r="F1550" s="108" t="s">
        <v>90</v>
      </c>
      <c r="G1550" s="109" t="s">
        <v>9</v>
      </c>
      <c r="H1550" s="141">
        <f>H1551</f>
        <v>0</v>
      </c>
      <c r="L1550" s="32"/>
      <c r="M1550" s="32"/>
      <c r="N1550" s="32"/>
      <c r="O1550" s="32">
        <f>H1550-L1550</f>
        <v>0</v>
      </c>
      <c r="P1550" s="32" t="e">
        <f>#REF!-M1550</f>
        <v>#REF!</v>
      </c>
      <c r="Q1550" s="32" t="e">
        <f>#REF!-N1550</f>
        <v>#REF!</v>
      </c>
      <c r="R1550" s="17" t="str">
        <f t="shared" si="181"/>
        <v>98 1 00 00000000</v>
      </c>
    </row>
    <row r="1551" spans="1:18" s="16" customFormat="1" ht="31.5">
      <c r="A1551" s="14"/>
      <c r="B1551" s="125" t="s">
        <v>854</v>
      </c>
      <c r="C1551" s="108" t="s">
        <v>410</v>
      </c>
      <c r="D1551" s="108" t="s">
        <v>73</v>
      </c>
      <c r="E1551" s="108" t="s">
        <v>57</v>
      </c>
      <c r="F1551" s="108" t="s">
        <v>855</v>
      </c>
      <c r="G1551" s="109" t="s">
        <v>9</v>
      </c>
      <c r="H1551" s="141">
        <f>H1552</f>
        <v>0</v>
      </c>
      <c r="L1551" s="32"/>
      <c r="M1551" s="32"/>
      <c r="N1551" s="32"/>
      <c r="O1551" s="32">
        <f>H1551-L1551</f>
        <v>0</v>
      </c>
      <c r="P1551" s="32" t="e">
        <f>#REF!-M1551</f>
        <v>#REF!</v>
      </c>
      <c r="Q1551" s="32" t="e">
        <f>#REF!-N1551</f>
        <v>#REF!</v>
      </c>
      <c r="R1551" s="17" t="str">
        <f t="shared" si="181"/>
        <v>98 1 00 21540000</v>
      </c>
    </row>
    <row r="1552" spans="1:18" s="16" customFormat="1" ht="31.5">
      <c r="A1552" s="14"/>
      <c r="B1552" s="125" t="s">
        <v>28</v>
      </c>
      <c r="C1552" s="108" t="s">
        <v>410</v>
      </c>
      <c r="D1552" s="108" t="s">
        <v>73</v>
      </c>
      <c r="E1552" s="108" t="s">
        <v>57</v>
      </c>
      <c r="F1552" s="108" t="s">
        <v>855</v>
      </c>
      <c r="G1552" s="109" t="s">
        <v>29</v>
      </c>
      <c r="H1552" s="126">
        <f>H1553</f>
        <v>0</v>
      </c>
      <c r="L1552" s="32"/>
      <c r="M1552" s="32"/>
      <c r="N1552" s="32"/>
      <c r="O1552" s="32">
        <f>H1552-L1552</f>
        <v>0</v>
      </c>
      <c r="P1552" s="32" t="e">
        <f>#REF!-M1552</f>
        <v>#REF!</v>
      </c>
      <c r="Q1552" s="32" t="e">
        <f>#REF!-N1552</f>
        <v>#REF!</v>
      </c>
      <c r="R1552" s="17" t="str">
        <f t="shared" si="181"/>
        <v>98 1 00 21540240</v>
      </c>
    </row>
    <row r="1553" spans="1:18" s="16" customFormat="1" ht="15.75">
      <c r="A1553" s="14"/>
      <c r="B1553" s="125" t="s">
        <v>30</v>
      </c>
      <c r="C1553" s="108" t="s">
        <v>410</v>
      </c>
      <c r="D1553" s="108" t="s">
        <v>73</v>
      </c>
      <c r="E1553" s="108" t="s">
        <v>57</v>
      </c>
      <c r="F1553" s="108" t="s">
        <v>855</v>
      </c>
      <c r="G1553" s="109" t="s">
        <v>31</v>
      </c>
      <c r="H1553" s="126"/>
      <c r="L1553" s="32"/>
      <c r="M1553" s="32"/>
      <c r="N1553" s="32"/>
      <c r="O1553" s="32"/>
      <c r="P1553" s="32"/>
      <c r="Q1553" s="32"/>
      <c r="R1553" s="17"/>
    </row>
    <row r="1554" spans="1:18" s="16" customFormat="1" ht="15.75">
      <c r="A1554" s="14"/>
      <c r="B1554" s="117" t="s">
        <v>305</v>
      </c>
      <c r="C1554" s="118" t="s">
        <v>410</v>
      </c>
      <c r="D1554" s="119" t="s">
        <v>86</v>
      </c>
      <c r="E1554" s="119" t="s">
        <v>7</v>
      </c>
      <c r="F1554" s="119" t="s">
        <v>8</v>
      </c>
      <c r="G1554" s="119" t="s">
        <v>9</v>
      </c>
      <c r="H1554" s="120">
        <f>H1555+H1562+H1573+H1627</f>
        <v>0</v>
      </c>
      <c r="L1554" s="18">
        <v>281198.81</v>
      </c>
      <c r="M1554" s="18">
        <v>262546.57</v>
      </c>
      <c r="N1554" s="18">
        <v>265456.62</v>
      </c>
      <c r="O1554" s="18">
        <f t="shared" ref="O1554:O1560" si="182">H1554-L1554</f>
        <v>-281198.81</v>
      </c>
      <c r="P1554" s="18" t="e">
        <f>#REF!-M1554</f>
        <v>#REF!</v>
      </c>
      <c r="Q1554" s="18" t="e">
        <f>#REF!-N1554</f>
        <v>#REF!</v>
      </c>
      <c r="R1554" s="17" t="str">
        <f t="shared" si="181"/>
        <v>00 0 00 00000000</v>
      </c>
    </row>
    <row r="1555" spans="1:18" s="16" customFormat="1" ht="15.75">
      <c r="A1555" s="14"/>
      <c r="B1555" s="121" t="s">
        <v>765</v>
      </c>
      <c r="C1555" s="122" t="s">
        <v>410</v>
      </c>
      <c r="D1555" s="123" t="s">
        <v>86</v>
      </c>
      <c r="E1555" s="123" t="s">
        <v>11</v>
      </c>
      <c r="F1555" s="123" t="s">
        <v>8</v>
      </c>
      <c r="G1555" s="123" t="s">
        <v>9</v>
      </c>
      <c r="H1555" s="124">
        <f>H1556</f>
        <v>0</v>
      </c>
      <c r="L1555" s="19">
        <v>90</v>
      </c>
      <c r="M1555" s="19">
        <v>90</v>
      </c>
      <c r="N1555" s="19">
        <v>90</v>
      </c>
      <c r="O1555" s="19">
        <f t="shared" si="182"/>
        <v>-90</v>
      </c>
      <c r="P1555" s="19" t="e">
        <f>#REF!-M1555</f>
        <v>#REF!</v>
      </c>
      <c r="Q1555" s="19" t="e">
        <f>#REF!-N1555</f>
        <v>#REF!</v>
      </c>
      <c r="R1555" s="17" t="str">
        <f t="shared" si="181"/>
        <v>00 0 00 00000000</v>
      </c>
    </row>
    <row r="1556" spans="1:18" s="16" customFormat="1" ht="63">
      <c r="A1556" s="14"/>
      <c r="B1556" s="127" t="s">
        <v>293</v>
      </c>
      <c r="C1556" s="109" t="s">
        <v>410</v>
      </c>
      <c r="D1556" s="108" t="s">
        <v>86</v>
      </c>
      <c r="E1556" s="108" t="s">
        <v>11</v>
      </c>
      <c r="F1556" s="14" t="s">
        <v>294</v>
      </c>
      <c r="G1556" s="108" t="s">
        <v>9</v>
      </c>
      <c r="H1556" s="141">
        <f t="shared" ref="H1556:H1557" si="183">H1557</f>
        <v>0</v>
      </c>
      <c r="L1556" s="32">
        <v>90</v>
      </c>
      <c r="M1556" s="32">
        <v>90</v>
      </c>
      <c r="N1556" s="32">
        <v>90</v>
      </c>
      <c r="O1556" s="32">
        <f t="shared" si="182"/>
        <v>-90</v>
      </c>
      <c r="P1556" s="32" t="e">
        <f>#REF!-M1556</f>
        <v>#REF!</v>
      </c>
      <c r="Q1556" s="32" t="e">
        <f>#REF!-N1556</f>
        <v>#REF!</v>
      </c>
      <c r="R1556" s="17" t="str">
        <f t="shared" si="181"/>
        <v>04 0 00 00000000</v>
      </c>
    </row>
    <row r="1557" spans="1:18" s="16" customFormat="1" ht="31.5">
      <c r="A1557" s="14"/>
      <c r="B1557" s="125" t="s">
        <v>766</v>
      </c>
      <c r="C1557" s="109" t="s">
        <v>410</v>
      </c>
      <c r="D1557" s="108" t="s">
        <v>86</v>
      </c>
      <c r="E1557" s="108" t="s">
        <v>11</v>
      </c>
      <c r="F1557" s="14" t="s">
        <v>767</v>
      </c>
      <c r="G1557" s="108" t="s">
        <v>9</v>
      </c>
      <c r="H1557" s="141">
        <f t="shared" si="183"/>
        <v>0</v>
      </c>
      <c r="L1557" s="32">
        <v>90</v>
      </c>
      <c r="M1557" s="32">
        <v>90</v>
      </c>
      <c r="N1557" s="32">
        <v>90</v>
      </c>
      <c r="O1557" s="32">
        <f t="shared" si="182"/>
        <v>-90</v>
      </c>
      <c r="P1557" s="32" t="e">
        <f>#REF!-M1557</f>
        <v>#REF!</v>
      </c>
      <c r="Q1557" s="32" t="e">
        <f>#REF!-N1557</f>
        <v>#REF!</v>
      </c>
      <c r="R1557" s="17" t="str">
        <f t="shared" si="181"/>
        <v>04 1 00 00000000</v>
      </c>
    </row>
    <row r="1558" spans="1:18" s="16" customFormat="1" ht="47.25">
      <c r="A1558" s="14"/>
      <c r="B1558" s="125" t="s">
        <v>793</v>
      </c>
      <c r="C1558" s="109" t="s">
        <v>410</v>
      </c>
      <c r="D1558" s="108" t="s">
        <v>86</v>
      </c>
      <c r="E1558" s="108" t="s">
        <v>11</v>
      </c>
      <c r="F1558" s="14" t="s">
        <v>769</v>
      </c>
      <c r="G1558" s="108" t="s">
        <v>9</v>
      </c>
      <c r="H1558" s="141">
        <f>H1559</f>
        <v>0</v>
      </c>
      <c r="L1558" s="32">
        <v>90</v>
      </c>
      <c r="M1558" s="32">
        <v>90</v>
      </c>
      <c r="N1558" s="32">
        <v>90</v>
      </c>
      <c r="O1558" s="32">
        <f t="shared" si="182"/>
        <v>-90</v>
      </c>
      <c r="P1558" s="32" t="e">
        <f>#REF!-M1558</f>
        <v>#REF!</v>
      </c>
      <c r="Q1558" s="32" t="e">
        <f>#REF!-N1558</f>
        <v>#REF!</v>
      </c>
      <c r="R1558" s="17" t="str">
        <f t="shared" si="181"/>
        <v>04 1 01 00000000</v>
      </c>
    </row>
    <row r="1559" spans="1:18" s="16" customFormat="1" ht="31.5">
      <c r="A1559" s="14"/>
      <c r="B1559" s="125" t="s">
        <v>856</v>
      </c>
      <c r="C1559" s="109" t="s">
        <v>410</v>
      </c>
      <c r="D1559" s="108" t="s">
        <v>86</v>
      </c>
      <c r="E1559" s="108" t="s">
        <v>11</v>
      </c>
      <c r="F1559" s="14" t="s">
        <v>857</v>
      </c>
      <c r="G1559" s="108" t="s">
        <v>9</v>
      </c>
      <c r="H1559" s="141">
        <f>H1560</f>
        <v>0</v>
      </c>
      <c r="L1559" s="32">
        <v>90</v>
      </c>
      <c r="M1559" s="32">
        <v>90</v>
      </c>
      <c r="N1559" s="32">
        <v>90</v>
      </c>
      <c r="O1559" s="32">
        <f t="shared" si="182"/>
        <v>-90</v>
      </c>
      <c r="P1559" s="32" t="e">
        <f>#REF!-M1559</f>
        <v>#REF!</v>
      </c>
      <c r="Q1559" s="32" t="e">
        <f>#REF!-N1559</f>
        <v>#REF!</v>
      </c>
      <c r="R1559" s="17" t="str">
        <f t="shared" si="181"/>
        <v>04 1 01 20200000</v>
      </c>
    </row>
    <row r="1560" spans="1:18" s="16" customFormat="1" ht="31.5">
      <c r="A1560" s="14"/>
      <c r="B1560" s="125" t="s">
        <v>28</v>
      </c>
      <c r="C1560" s="108" t="s">
        <v>410</v>
      </c>
      <c r="D1560" s="108" t="s">
        <v>86</v>
      </c>
      <c r="E1560" s="108" t="s">
        <v>11</v>
      </c>
      <c r="F1560" s="14" t="s">
        <v>857</v>
      </c>
      <c r="G1560" s="108" t="s">
        <v>29</v>
      </c>
      <c r="H1560" s="126">
        <f>H1561</f>
        <v>0</v>
      </c>
      <c r="L1560" s="32">
        <v>90</v>
      </c>
      <c r="M1560" s="32">
        <v>90</v>
      </c>
      <c r="N1560" s="32">
        <v>90</v>
      </c>
      <c r="O1560" s="32">
        <f t="shared" si="182"/>
        <v>-90</v>
      </c>
      <c r="P1560" s="32" t="e">
        <f>#REF!-M1560</f>
        <v>#REF!</v>
      </c>
      <c r="Q1560" s="32" t="e">
        <f>#REF!-N1560</f>
        <v>#REF!</v>
      </c>
      <c r="R1560" s="17" t="str">
        <f t="shared" si="181"/>
        <v>04 1 01 20200240</v>
      </c>
    </row>
    <row r="1561" spans="1:18" s="16" customFormat="1" ht="15.75">
      <c r="A1561" s="14"/>
      <c r="B1561" s="125" t="s">
        <v>30</v>
      </c>
      <c r="C1561" s="108" t="s">
        <v>410</v>
      </c>
      <c r="D1561" s="108" t="s">
        <v>86</v>
      </c>
      <c r="E1561" s="108" t="s">
        <v>11</v>
      </c>
      <c r="F1561" s="14" t="s">
        <v>857</v>
      </c>
      <c r="G1561" s="108" t="s">
        <v>31</v>
      </c>
      <c r="H1561" s="126"/>
      <c r="L1561" s="32"/>
      <c r="M1561" s="32"/>
      <c r="N1561" s="32"/>
      <c r="O1561" s="32"/>
      <c r="P1561" s="32"/>
      <c r="Q1561" s="32"/>
      <c r="R1561" s="17"/>
    </row>
    <row r="1562" spans="1:18" s="16" customFormat="1" ht="15.75">
      <c r="A1562" s="14"/>
      <c r="B1562" s="121" t="s">
        <v>858</v>
      </c>
      <c r="C1562" s="122">
        <v>620</v>
      </c>
      <c r="D1562" s="123" t="s">
        <v>86</v>
      </c>
      <c r="E1562" s="123" t="s">
        <v>62</v>
      </c>
      <c r="F1562" s="123" t="s">
        <v>8</v>
      </c>
      <c r="G1562" s="123" t="s">
        <v>9</v>
      </c>
      <c r="H1562" s="124">
        <f t="shared" ref="H1562:H1565" si="184">H1563</f>
        <v>0</v>
      </c>
      <c r="L1562" s="19">
        <v>120</v>
      </c>
      <c r="M1562" s="19">
        <v>20</v>
      </c>
      <c r="N1562" s="19">
        <v>20</v>
      </c>
      <c r="O1562" s="19">
        <f t="shared" ref="O1562:O1567" si="185">H1562-L1562</f>
        <v>-120</v>
      </c>
      <c r="P1562" s="19" t="e">
        <f>#REF!-M1562</f>
        <v>#REF!</v>
      </c>
      <c r="Q1562" s="19" t="e">
        <f>#REF!-N1562</f>
        <v>#REF!</v>
      </c>
      <c r="R1562" s="17" t="str">
        <f t="shared" si="181"/>
        <v>00 0 00 00000000</v>
      </c>
    </row>
    <row r="1563" spans="1:18" s="16" customFormat="1" ht="63">
      <c r="A1563" s="14"/>
      <c r="B1563" s="127" t="s">
        <v>293</v>
      </c>
      <c r="C1563" s="133">
        <v>620</v>
      </c>
      <c r="D1563" s="108" t="s">
        <v>86</v>
      </c>
      <c r="E1563" s="108" t="s">
        <v>62</v>
      </c>
      <c r="F1563" s="14" t="s">
        <v>294</v>
      </c>
      <c r="G1563" s="108" t="s">
        <v>9</v>
      </c>
      <c r="H1563" s="141">
        <f t="shared" si="184"/>
        <v>0</v>
      </c>
      <c r="L1563" s="32">
        <v>120</v>
      </c>
      <c r="M1563" s="32">
        <v>20</v>
      </c>
      <c r="N1563" s="32">
        <v>20</v>
      </c>
      <c r="O1563" s="32">
        <f t="shared" si="185"/>
        <v>-120</v>
      </c>
      <c r="P1563" s="32" t="e">
        <f>#REF!-M1563</f>
        <v>#REF!</v>
      </c>
      <c r="Q1563" s="32" t="e">
        <f>#REF!-N1563</f>
        <v>#REF!</v>
      </c>
      <c r="R1563" s="17" t="str">
        <f t="shared" si="181"/>
        <v>04 0 00 00000000</v>
      </c>
    </row>
    <row r="1564" spans="1:18" s="16" customFormat="1" ht="31.5">
      <c r="A1564" s="14"/>
      <c r="B1564" s="125" t="s">
        <v>766</v>
      </c>
      <c r="C1564" s="133">
        <v>620</v>
      </c>
      <c r="D1564" s="108" t="s">
        <v>86</v>
      </c>
      <c r="E1564" s="108" t="s">
        <v>62</v>
      </c>
      <c r="F1564" s="14" t="s">
        <v>767</v>
      </c>
      <c r="G1564" s="108" t="s">
        <v>9</v>
      </c>
      <c r="H1564" s="141">
        <f>H1565+H1569</f>
        <v>0</v>
      </c>
      <c r="L1564" s="32">
        <v>120</v>
      </c>
      <c r="M1564" s="32">
        <v>20</v>
      </c>
      <c r="N1564" s="32">
        <v>20</v>
      </c>
      <c r="O1564" s="32">
        <f t="shared" si="185"/>
        <v>-120</v>
      </c>
      <c r="P1564" s="32" t="e">
        <f>#REF!-M1564</f>
        <v>#REF!</v>
      </c>
      <c r="Q1564" s="32" t="e">
        <f>#REF!-N1564</f>
        <v>#REF!</v>
      </c>
      <c r="R1564" s="17" t="str">
        <f t="shared" si="181"/>
        <v>04 1 00 00000000</v>
      </c>
    </row>
    <row r="1565" spans="1:18" s="16" customFormat="1" ht="63">
      <c r="A1565" s="14"/>
      <c r="B1565" s="125" t="s">
        <v>859</v>
      </c>
      <c r="C1565" s="133">
        <v>620</v>
      </c>
      <c r="D1565" s="108" t="s">
        <v>86</v>
      </c>
      <c r="E1565" s="108" t="s">
        <v>62</v>
      </c>
      <c r="F1565" s="14" t="s">
        <v>860</v>
      </c>
      <c r="G1565" s="108" t="s">
        <v>9</v>
      </c>
      <c r="H1565" s="141">
        <f t="shared" si="184"/>
        <v>0</v>
      </c>
      <c r="L1565" s="32">
        <v>20</v>
      </c>
      <c r="M1565" s="32">
        <v>20</v>
      </c>
      <c r="N1565" s="32">
        <v>20</v>
      </c>
      <c r="O1565" s="32">
        <f t="shared" si="185"/>
        <v>-20</v>
      </c>
      <c r="P1565" s="32" t="e">
        <f>#REF!-M1565</f>
        <v>#REF!</v>
      </c>
      <c r="Q1565" s="32" t="e">
        <f>#REF!-N1565</f>
        <v>#REF!</v>
      </c>
      <c r="R1565" s="17" t="str">
        <f t="shared" si="181"/>
        <v>04 1 02 00000000</v>
      </c>
    </row>
    <row r="1566" spans="1:18" s="16" customFormat="1" ht="31.5">
      <c r="A1566" s="14"/>
      <c r="B1566" s="125" t="s">
        <v>861</v>
      </c>
      <c r="C1566" s="133">
        <v>620</v>
      </c>
      <c r="D1566" s="108" t="s">
        <v>86</v>
      </c>
      <c r="E1566" s="108" t="s">
        <v>62</v>
      </c>
      <c r="F1566" s="14" t="s">
        <v>862</v>
      </c>
      <c r="G1566" s="108" t="s">
        <v>9</v>
      </c>
      <c r="H1566" s="141">
        <f>H1567</f>
        <v>0</v>
      </c>
      <c r="L1566" s="32">
        <v>20</v>
      </c>
      <c r="M1566" s="32">
        <v>20</v>
      </c>
      <c r="N1566" s="32">
        <v>20</v>
      </c>
      <c r="O1566" s="32">
        <f t="shared" si="185"/>
        <v>-20</v>
      </c>
      <c r="P1566" s="32" t="e">
        <f>#REF!-M1566</f>
        <v>#REF!</v>
      </c>
      <c r="Q1566" s="32" t="e">
        <f>#REF!-N1566</f>
        <v>#REF!</v>
      </c>
      <c r="R1566" s="17" t="str">
        <f t="shared" si="181"/>
        <v>04 1 02 20220000</v>
      </c>
    </row>
    <row r="1567" spans="1:18" s="16" customFormat="1" ht="31.5">
      <c r="A1567" s="14"/>
      <c r="B1567" s="125" t="s">
        <v>28</v>
      </c>
      <c r="C1567" s="108" t="s">
        <v>410</v>
      </c>
      <c r="D1567" s="108" t="s">
        <v>86</v>
      </c>
      <c r="E1567" s="108" t="s">
        <v>62</v>
      </c>
      <c r="F1567" s="14" t="s">
        <v>862</v>
      </c>
      <c r="G1567" s="108" t="s">
        <v>29</v>
      </c>
      <c r="H1567" s="126">
        <f>H1568</f>
        <v>0</v>
      </c>
      <c r="L1567" s="32">
        <v>20</v>
      </c>
      <c r="M1567" s="32">
        <v>20</v>
      </c>
      <c r="N1567" s="32">
        <v>20</v>
      </c>
      <c r="O1567" s="32">
        <f t="shared" si="185"/>
        <v>-20</v>
      </c>
      <c r="P1567" s="32" t="e">
        <f>#REF!-M1567</f>
        <v>#REF!</v>
      </c>
      <c r="Q1567" s="32" t="e">
        <f>#REF!-N1567</f>
        <v>#REF!</v>
      </c>
      <c r="R1567" s="17" t="str">
        <f t="shared" si="181"/>
        <v>04 1 02 20220240</v>
      </c>
    </row>
    <row r="1568" spans="1:18" s="16" customFormat="1" ht="15.75">
      <c r="A1568" s="14"/>
      <c r="B1568" s="125" t="s">
        <v>30</v>
      </c>
      <c r="C1568" s="108" t="s">
        <v>410</v>
      </c>
      <c r="D1568" s="108" t="s">
        <v>86</v>
      </c>
      <c r="E1568" s="108" t="s">
        <v>62</v>
      </c>
      <c r="F1568" s="14" t="s">
        <v>862</v>
      </c>
      <c r="G1568" s="108" t="s">
        <v>31</v>
      </c>
      <c r="H1568" s="126"/>
      <c r="L1568" s="32"/>
      <c r="M1568" s="32"/>
      <c r="N1568" s="32"/>
      <c r="O1568" s="32"/>
      <c r="P1568" s="32"/>
      <c r="Q1568" s="32"/>
      <c r="R1568" s="17"/>
    </row>
    <row r="1569" spans="1:18" s="16" customFormat="1" ht="63">
      <c r="A1569" s="14"/>
      <c r="B1569" s="125" t="s">
        <v>863</v>
      </c>
      <c r="C1569" s="133">
        <v>620</v>
      </c>
      <c r="D1569" s="108" t="s">
        <v>86</v>
      </c>
      <c r="E1569" s="108" t="s">
        <v>62</v>
      </c>
      <c r="F1569" s="14" t="s">
        <v>864</v>
      </c>
      <c r="G1569" s="108" t="s">
        <v>9</v>
      </c>
      <c r="H1569" s="141">
        <f>H1570</f>
        <v>0</v>
      </c>
      <c r="L1569" s="32">
        <v>100</v>
      </c>
      <c r="M1569" s="32">
        <v>0</v>
      </c>
      <c r="N1569" s="32">
        <v>0</v>
      </c>
      <c r="O1569" s="32">
        <f>H1569-L1569</f>
        <v>-100</v>
      </c>
      <c r="P1569" s="32" t="e">
        <f>#REF!-M1569</f>
        <v>#REF!</v>
      </c>
      <c r="Q1569" s="32" t="e">
        <f>#REF!-N1569</f>
        <v>#REF!</v>
      </c>
      <c r="R1569" s="17" t="str">
        <f t="shared" si="181"/>
        <v>04 1 03 00000000</v>
      </c>
    </row>
    <row r="1570" spans="1:18" s="16" customFormat="1" ht="31.5">
      <c r="A1570" s="14"/>
      <c r="B1570" s="125" t="s">
        <v>861</v>
      </c>
      <c r="C1570" s="133">
        <v>620</v>
      </c>
      <c r="D1570" s="108" t="s">
        <v>86</v>
      </c>
      <c r="E1570" s="108" t="s">
        <v>62</v>
      </c>
      <c r="F1570" s="14" t="s">
        <v>865</v>
      </c>
      <c r="G1570" s="108" t="s">
        <v>9</v>
      </c>
      <c r="H1570" s="141">
        <f>H1571</f>
        <v>0</v>
      </c>
      <c r="L1570" s="32">
        <v>100</v>
      </c>
      <c r="M1570" s="32">
        <v>0</v>
      </c>
      <c r="N1570" s="32">
        <v>0</v>
      </c>
      <c r="O1570" s="32">
        <f>H1570-L1570</f>
        <v>-100</v>
      </c>
      <c r="P1570" s="32" t="e">
        <f>#REF!-M1570</f>
        <v>#REF!</v>
      </c>
      <c r="Q1570" s="32" t="e">
        <f>#REF!-N1570</f>
        <v>#REF!</v>
      </c>
      <c r="R1570" s="17" t="str">
        <f t="shared" si="181"/>
        <v>04 1 03 20220000</v>
      </c>
    </row>
    <row r="1571" spans="1:18" s="16" customFormat="1" ht="31.5">
      <c r="A1571" s="14"/>
      <c r="B1571" s="125" t="s">
        <v>28</v>
      </c>
      <c r="C1571" s="133">
        <v>620</v>
      </c>
      <c r="D1571" s="108" t="s">
        <v>86</v>
      </c>
      <c r="E1571" s="108" t="s">
        <v>62</v>
      </c>
      <c r="F1571" s="14" t="s">
        <v>865</v>
      </c>
      <c r="G1571" s="108" t="s">
        <v>29</v>
      </c>
      <c r="H1571" s="126">
        <f>H1572</f>
        <v>0</v>
      </c>
      <c r="L1571" s="32">
        <v>100</v>
      </c>
      <c r="M1571" s="32">
        <v>0</v>
      </c>
      <c r="N1571" s="32">
        <v>0</v>
      </c>
      <c r="O1571" s="32">
        <f>H1571-L1571</f>
        <v>-100</v>
      </c>
      <c r="P1571" s="32" t="e">
        <f>#REF!-M1571</f>
        <v>#REF!</v>
      </c>
      <c r="Q1571" s="32" t="e">
        <f>#REF!-N1571</f>
        <v>#REF!</v>
      </c>
      <c r="R1571" s="17" t="str">
        <f t="shared" si="181"/>
        <v>04 1 03 20220240</v>
      </c>
    </row>
    <row r="1572" spans="1:18" s="16" customFormat="1" ht="15.75">
      <c r="A1572" s="14"/>
      <c r="B1572" s="125" t="s">
        <v>30</v>
      </c>
      <c r="C1572" s="133">
        <v>620</v>
      </c>
      <c r="D1572" s="108" t="s">
        <v>86</v>
      </c>
      <c r="E1572" s="108" t="s">
        <v>62</v>
      </c>
      <c r="F1572" s="14" t="s">
        <v>865</v>
      </c>
      <c r="G1572" s="108" t="s">
        <v>31</v>
      </c>
      <c r="H1572" s="126"/>
      <c r="L1572" s="32"/>
      <c r="M1572" s="32"/>
      <c r="N1572" s="32"/>
      <c r="O1572" s="32"/>
      <c r="P1572" s="32"/>
      <c r="Q1572" s="32"/>
      <c r="R1572" s="17"/>
    </row>
    <row r="1573" spans="1:18" s="16" customFormat="1" ht="15.75">
      <c r="A1573" s="14"/>
      <c r="B1573" s="121" t="s">
        <v>306</v>
      </c>
      <c r="C1573" s="122" t="s">
        <v>410</v>
      </c>
      <c r="D1573" s="123" t="s">
        <v>86</v>
      </c>
      <c r="E1573" s="123" t="s">
        <v>13</v>
      </c>
      <c r="F1573" s="123" t="s">
        <v>8</v>
      </c>
      <c r="G1573" s="123" t="s">
        <v>9</v>
      </c>
      <c r="H1573" s="124">
        <f>H1574+H1607+H1613</f>
        <v>0</v>
      </c>
      <c r="L1573" s="19">
        <v>232730.36</v>
      </c>
      <c r="M1573" s="19">
        <v>214178.12</v>
      </c>
      <c r="N1573" s="19">
        <v>217088.16999999998</v>
      </c>
      <c r="O1573" s="19">
        <f t="shared" ref="O1573:O1578" si="186">H1573-L1573</f>
        <v>-232730.36</v>
      </c>
      <c r="P1573" s="19" t="e">
        <f>#REF!-M1573</f>
        <v>#REF!</v>
      </c>
      <c r="Q1573" s="19" t="e">
        <f>#REF!-N1573</f>
        <v>#REF!</v>
      </c>
      <c r="R1573" s="17" t="str">
        <f t="shared" si="181"/>
        <v>00 0 00 00000000</v>
      </c>
    </row>
    <row r="1574" spans="1:18" s="16" customFormat="1" ht="63">
      <c r="A1574" s="14"/>
      <c r="B1574" s="127" t="s">
        <v>293</v>
      </c>
      <c r="C1574" s="108" t="s">
        <v>410</v>
      </c>
      <c r="D1574" s="108" t="s">
        <v>86</v>
      </c>
      <c r="E1574" s="108" t="s">
        <v>13</v>
      </c>
      <c r="F1574" s="108" t="s">
        <v>294</v>
      </c>
      <c r="G1574" s="108" t="s">
        <v>9</v>
      </c>
      <c r="H1574" s="141">
        <f>H1575</f>
        <v>0</v>
      </c>
      <c r="L1574" s="32">
        <v>223074.72999999998</v>
      </c>
      <c r="M1574" s="32">
        <v>201612.44</v>
      </c>
      <c r="N1574" s="32">
        <v>201612.44</v>
      </c>
      <c r="O1574" s="32">
        <f t="shared" si="186"/>
        <v>-223074.72999999998</v>
      </c>
      <c r="P1574" s="32" t="e">
        <f>#REF!-M1574</f>
        <v>#REF!</v>
      </c>
      <c r="Q1574" s="32" t="e">
        <f>#REF!-N1574</f>
        <v>#REF!</v>
      </c>
      <c r="R1574" s="17" t="str">
        <f t="shared" si="181"/>
        <v>04 0 00 00000000</v>
      </c>
    </row>
    <row r="1575" spans="1:18" s="16" customFormat="1" ht="31.5">
      <c r="A1575" s="14"/>
      <c r="B1575" s="125" t="s">
        <v>307</v>
      </c>
      <c r="C1575" s="108" t="s">
        <v>410</v>
      </c>
      <c r="D1575" s="108" t="s">
        <v>86</v>
      </c>
      <c r="E1575" s="108" t="s">
        <v>13</v>
      </c>
      <c r="F1575" s="108" t="s">
        <v>308</v>
      </c>
      <c r="G1575" s="108" t="s">
        <v>9</v>
      </c>
      <c r="H1575" s="141">
        <f>H1576+H1580+H1584</f>
        <v>0</v>
      </c>
      <c r="L1575" s="32">
        <v>223074.72999999998</v>
      </c>
      <c r="M1575" s="32">
        <v>201612.44</v>
      </c>
      <c r="N1575" s="32">
        <v>201612.44</v>
      </c>
      <c r="O1575" s="32">
        <f t="shared" si="186"/>
        <v>-223074.72999999998</v>
      </c>
      <c r="P1575" s="32" t="e">
        <f>#REF!-M1575</f>
        <v>#REF!</v>
      </c>
      <c r="Q1575" s="32" t="e">
        <f>#REF!-N1575</f>
        <v>#REF!</v>
      </c>
      <c r="R1575" s="17" t="str">
        <f t="shared" si="181"/>
        <v>04 3 00 00000000</v>
      </c>
    </row>
    <row r="1576" spans="1:18" s="16" customFormat="1" ht="47.25">
      <c r="A1576" s="14"/>
      <c r="B1576" s="125" t="s">
        <v>866</v>
      </c>
      <c r="C1576" s="108" t="s">
        <v>410</v>
      </c>
      <c r="D1576" s="108" t="s">
        <v>86</v>
      </c>
      <c r="E1576" s="108" t="s">
        <v>13</v>
      </c>
      <c r="F1576" s="108" t="s">
        <v>867</v>
      </c>
      <c r="G1576" s="108" t="s">
        <v>9</v>
      </c>
      <c r="H1576" s="141">
        <f>H1577</f>
        <v>0</v>
      </c>
      <c r="L1576" s="32">
        <v>21821.77</v>
      </c>
      <c r="M1576" s="32">
        <v>16821.77</v>
      </c>
      <c r="N1576" s="32">
        <v>16821.77</v>
      </c>
      <c r="O1576" s="32">
        <f t="shared" si="186"/>
        <v>-21821.77</v>
      </c>
      <c r="P1576" s="32" t="e">
        <f>#REF!-M1576</f>
        <v>#REF!</v>
      </c>
      <c r="Q1576" s="32" t="e">
        <f>#REF!-N1576</f>
        <v>#REF!</v>
      </c>
      <c r="R1576" s="17" t="str">
        <f t="shared" si="181"/>
        <v>04 3 02 00000000</v>
      </c>
    </row>
    <row r="1577" spans="1:18" s="16" customFormat="1" ht="47.25">
      <c r="A1577" s="14"/>
      <c r="B1577" s="125" t="s">
        <v>868</v>
      </c>
      <c r="C1577" s="108" t="s">
        <v>410</v>
      </c>
      <c r="D1577" s="108" t="s">
        <v>86</v>
      </c>
      <c r="E1577" s="108" t="s">
        <v>13</v>
      </c>
      <c r="F1577" s="108" t="s">
        <v>869</v>
      </c>
      <c r="G1577" s="108" t="s">
        <v>9</v>
      </c>
      <c r="H1577" s="141">
        <f>H1578</f>
        <v>0</v>
      </c>
      <c r="L1577" s="32">
        <v>21821.77</v>
      </c>
      <c r="M1577" s="32">
        <v>16821.77</v>
      </c>
      <c r="N1577" s="32">
        <v>16821.77</v>
      </c>
      <c r="O1577" s="32">
        <f t="shared" si="186"/>
        <v>-21821.77</v>
      </c>
      <c r="P1577" s="32" t="e">
        <f>#REF!-M1577</f>
        <v>#REF!</v>
      </c>
      <c r="Q1577" s="32" t="e">
        <f>#REF!-N1577</f>
        <v>#REF!</v>
      </c>
      <c r="R1577" s="17" t="str">
        <f t="shared" si="181"/>
        <v>04 3 02 20290000</v>
      </c>
    </row>
    <row r="1578" spans="1:18" s="16" customFormat="1" ht="31.5">
      <c r="A1578" s="14"/>
      <c r="B1578" s="125" t="s">
        <v>28</v>
      </c>
      <c r="C1578" s="108" t="s">
        <v>410</v>
      </c>
      <c r="D1578" s="108" t="s">
        <v>86</v>
      </c>
      <c r="E1578" s="108" t="s">
        <v>13</v>
      </c>
      <c r="F1578" s="108" t="s">
        <v>869</v>
      </c>
      <c r="G1578" s="108" t="s">
        <v>29</v>
      </c>
      <c r="H1578" s="126">
        <f>H1579</f>
        <v>0</v>
      </c>
      <c r="L1578" s="32">
        <v>21821.77</v>
      </c>
      <c r="M1578" s="32">
        <v>16821.77</v>
      </c>
      <c r="N1578" s="32">
        <v>16821.77</v>
      </c>
      <c r="O1578" s="32">
        <f t="shared" si="186"/>
        <v>-21821.77</v>
      </c>
      <c r="P1578" s="32" t="e">
        <f>#REF!-M1578</f>
        <v>#REF!</v>
      </c>
      <c r="Q1578" s="32" t="e">
        <f>#REF!-N1578</f>
        <v>#REF!</v>
      </c>
      <c r="R1578" s="17" t="str">
        <f t="shared" si="181"/>
        <v>04 3 02 20290240</v>
      </c>
    </row>
    <row r="1579" spans="1:18" s="16" customFormat="1" ht="15.75">
      <c r="A1579" s="14"/>
      <c r="B1579" s="125" t="s">
        <v>30</v>
      </c>
      <c r="C1579" s="108" t="s">
        <v>410</v>
      </c>
      <c r="D1579" s="108" t="s">
        <v>86</v>
      </c>
      <c r="E1579" s="108" t="s">
        <v>13</v>
      </c>
      <c r="F1579" s="108" t="s">
        <v>869</v>
      </c>
      <c r="G1579" s="108" t="s">
        <v>31</v>
      </c>
      <c r="H1579" s="126"/>
      <c r="L1579" s="32"/>
      <c r="M1579" s="32"/>
      <c r="N1579" s="32"/>
      <c r="O1579" s="32"/>
      <c r="P1579" s="32"/>
      <c r="Q1579" s="32"/>
      <c r="R1579" s="17"/>
    </row>
    <row r="1580" spans="1:18" s="16" customFormat="1" ht="47.25">
      <c r="A1580" s="14"/>
      <c r="B1580" s="125" t="s">
        <v>870</v>
      </c>
      <c r="C1580" s="108" t="s">
        <v>410</v>
      </c>
      <c r="D1580" s="108" t="s">
        <v>86</v>
      </c>
      <c r="E1580" s="108" t="s">
        <v>13</v>
      </c>
      <c r="F1580" s="108" t="s">
        <v>871</v>
      </c>
      <c r="G1580" s="108" t="s">
        <v>9</v>
      </c>
      <c r="H1580" s="141">
        <f t="shared" ref="H1580:H1581" si="187">H1581</f>
        <v>0</v>
      </c>
      <c r="L1580" s="32">
        <v>2284.56</v>
      </c>
      <c r="M1580" s="32">
        <v>2284.56</v>
      </c>
      <c r="N1580" s="32">
        <v>2284.56</v>
      </c>
      <c r="O1580" s="32">
        <f>H1580-L1580</f>
        <v>-2284.56</v>
      </c>
      <c r="P1580" s="32" t="e">
        <f>#REF!-M1580</f>
        <v>#REF!</v>
      </c>
      <c r="Q1580" s="32" t="e">
        <f>#REF!-N1580</f>
        <v>#REF!</v>
      </c>
      <c r="R1580" s="17" t="str">
        <f t="shared" si="181"/>
        <v>04 3 03 00000000</v>
      </c>
    </row>
    <row r="1581" spans="1:18" s="16" customFormat="1" ht="47.25">
      <c r="A1581" s="14" t="s">
        <v>80</v>
      </c>
      <c r="B1581" s="125" t="s">
        <v>872</v>
      </c>
      <c r="C1581" s="108" t="s">
        <v>410</v>
      </c>
      <c r="D1581" s="108" t="s">
        <v>86</v>
      </c>
      <c r="E1581" s="108" t="s">
        <v>13</v>
      </c>
      <c r="F1581" s="108" t="s">
        <v>873</v>
      </c>
      <c r="G1581" s="108" t="s">
        <v>9</v>
      </c>
      <c r="H1581" s="141">
        <f t="shared" si="187"/>
        <v>0</v>
      </c>
      <c r="L1581" s="32">
        <v>2284.56</v>
      </c>
      <c r="M1581" s="32">
        <v>2284.56</v>
      </c>
      <c r="N1581" s="32">
        <v>2284.56</v>
      </c>
      <c r="O1581" s="32">
        <f>H1581-L1581</f>
        <v>-2284.56</v>
      </c>
      <c r="P1581" s="32" t="e">
        <f>#REF!-M1581</f>
        <v>#REF!</v>
      </c>
      <c r="Q1581" s="32" t="e">
        <f>#REF!-N1581</f>
        <v>#REF!</v>
      </c>
      <c r="R1581" s="17" t="str">
        <f t="shared" si="181"/>
        <v>04 3 03 77150000</v>
      </c>
    </row>
    <row r="1582" spans="1:18" s="16" customFormat="1" ht="31.5">
      <c r="A1582" s="14"/>
      <c r="B1582" s="125" t="s">
        <v>28</v>
      </c>
      <c r="C1582" s="108" t="s">
        <v>410</v>
      </c>
      <c r="D1582" s="108" t="s">
        <v>86</v>
      </c>
      <c r="E1582" s="108" t="s">
        <v>13</v>
      </c>
      <c r="F1582" s="108" t="s">
        <v>873</v>
      </c>
      <c r="G1582" s="108" t="s">
        <v>29</v>
      </c>
      <c r="H1582" s="126">
        <f>H1583</f>
        <v>0</v>
      </c>
      <c r="L1582" s="32">
        <v>2284.56</v>
      </c>
      <c r="M1582" s="32">
        <v>2284.56</v>
      </c>
      <c r="N1582" s="32">
        <v>2284.56</v>
      </c>
      <c r="O1582" s="32">
        <f>H1582-L1582</f>
        <v>-2284.56</v>
      </c>
      <c r="P1582" s="32" t="e">
        <f>#REF!-M1582</f>
        <v>#REF!</v>
      </c>
      <c r="Q1582" s="32" t="e">
        <f>#REF!-N1582</f>
        <v>#REF!</v>
      </c>
      <c r="R1582" s="17" t="str">
        <f t="shared" si="181"/>
        <v>04 3 03 77150240</v>
      </c>
    </row>
    <row r="1583" spans="1:18" s="16" customFormat="1" ht="15.75">
      <c r="A1583" s="14"/>
      <c r="B1583" s="125" t="s">
        <v>30</v>
      </c>
      <c r="C1583" s="108" t="s">
        <v>410</v>
      </c>
      <c r="D1583" s="108" t="s">
        <v>86</v>
      </c>
      <c r="E1583" s="108" t="s">
        <v>13</v>
      </c>
      <c r="F1583" s="108" t="s">
        <v>873</v>
      </c>
      <c r="G1583" s="108" t="s">
        <v>31</v>
      </c>
      <c r="H1583" s="126"/>
      <c r="L1583" s="32"/>
      <c r="M1583" s="32"/>
      <c r="N1583" s="32"/>
      <c r="O1583" s="32"/>
      <c r="P1583" s="32"/>
      <c r="Q1583" s="32"/>
      <c r="R1583" s="17"/>
    </row>
    <row r="1584" spans="1:18" s="16" customFormat="1" ht="31.5">
      <c r="A1584" s="14"/>
      <c r="B1584" s="138" t="s">
        <v>309</v>
      </c>
      <c r="C1584" s="108" t="s">
        <v>410</v>
      </c>
      <c r="D1584" s="108" t="s">
        <v>86</v>
      </c>
      <c r="E1584" s="108" t="s">
        <v>13</v>
      </c>
      <c r="F1584" s="108" t="s">
        <v>310</v>
      </c>
      <c r="G1584" s="108" t="s">
        <v>9</v>
      </c>
      <c r="H1584" s="141">
        <f>H1585+H1588+H1591+H1598+H1601+H1604</f>
        <v>0</v>
      </c>
      <c r="L1584" s="32">
        <v>198968.4</v>
      </c>
      <c r="M1584" s="32">
        <v>182506.11</v>
      </c>
      <c r="N1584" s="32">
        <v>182506.11</v>
      </c>
      <c r="O1584" s="32">
        <f>H1584-L1584</f>
        <v>-198968.4</v>
      </c>
      <c r="P1584" s="32" t="e">
        <f>#REF!-M1584</f>
        <v>#REF!</v>
      </c>
      <c r="Q1584" s="32" t="e">
        <f>#REF!-N1584</f>
        <v>#REF!</v>
      </c>
      <c r="R1584" s="17" t="str">
        <f t="shared" si="181"/>
        <v>04 3 04 00000000</v>
      </c>
    </row>
    <row r="1585" spans="1:18" s="16" customFormat="1" ht="31.5">
      <c r="A1585" s="14"/>
      <c r="B1585" s="125" t="s">
        <v>136</v>
      </c>
      <c r="C1585" s="108" t="s">
        <v>410</v>
      </c>
      <c r="D1585" s="108" t="s">
        <v>86</v>
      </c>
      <c r="E1585" s="108" t="s">
        <v>13</v>
      </c>
      <c r="F1585" s="108" t="s">
        <v>874</v>
      </c>
      <c r="G1585" s="108" t="s">
        <v>9</v>
      </c>
      <c r="H1585" s="141">
        <f>H1586</f>
        <v>0</v>
      </c>
      <c r="L1585" s="32">
        <v>17734.23</v>
      </c>
      <c r="M1585" s="32">
        <v>17734.23</v>
      </c>
      <c r="N1585" s="32">
        <v>17734.23</v>
      </c>
      <c r="O1585" s="32">
        <f>H1585-L1585</f>
        <v>-17734.23</v>
      </c>
      <c r="P1585" s="32" t="e">
        <f>#REF!-M1585</f>
        <v>#REF!</v>
      </c>
      <c r="Q1585" s="32" t="e">
        <f>#REF!-N1585</f>
        <v>#REF!</v>
      </c>
      <c r="R1585" s="17" t="str">
        <f t="shared" si="181"/>
        <v>04 3 04 11010000</v>
      </c>
    </row>
    <row r="1586" spans="1:18" s="16" customFormat="1" ht="15.75">
      <c r="A1586" s="14"/>
      <c r="B1586" s="132" t="s">
        <v>403</v>
      </c>
      <c r="C1586" s="108" t="s">
        <v>410</v>
      </c>
      <c r="D1586" s="108" t="s">
        <v>86</v>
      </c>
      <c r="E1586" s="108" t="s">
        <v>13</v>
      </c>
      <c r="F1586" s="108" t="s">
        <v>874</v>
      </c>
      <c r="G1586" s="108" t="s">
        <v>404</v>
      </c>
      <c r="H1586" s="126">
        <f>H1587</f>
        <v>0</v>
      </c>
      <c r="L1586" s="32">
        <v>17734.23</v>
      </c>
      <c r="M1586" s="32">
        <v>17734.23</v>
      </c>
      <c r="N1586" s="32">
        <v>17734.23</v>
      </c>
      <c r="O1586" s="32">
        <f>H1586-L1586</f>
        <v>-17734.23</v>
      </c>
      <c r="P1586" s="32" t="e">
        <f>#REF!-M1586</f>
        <v>#REF!</v>
      </c>
      <c r="Q1586" s="32" t="e">
        <f>#REF!-N1586</f>
        <v>#REF!</v>
      </c>
      <c r="R1586" s="17" t="str">
        <f t="shared" si="181"/>
        <v>04 3 04 11010610</v>
      </c>
    </row>
    <row r="1587" spans="1:18" s="23" customFormat="1" ht="63">
      <c r="A1587" s="21"/>
      <c r="B1587" s="127" t="s">
        <v>405</v>
      </c>
      <c r="C1587" s="108" t="s">
        <v>410</v>
      </c>
      <c r="D1587" s="108" t="s">
        <v>86</v>
      </c>
      <c r="E1587" s="108" t="s">
        <v>13</v>
      </c>
      <c r="F1587" s="108" t="s">
        <v>874</v>
      </c>
      <c r="G1587" s="108" t="s">
        <v>406</v>
      </c>
      <c r="H1587" s="126"/>
      <c r="L1587" s="63"/>
      <c r="M1587" s="63"/>
      <c r="N1587" s="63"/>
      <c r="O1587" s="63"/>
      <c r="P1587" s="63"/>
      <c r="Q1587" s="63"/>
      <c r="R1587" s="24"/>
    </row>
    <row r="1588" spans="1:18" s="16" customFormat="1" ht="31.5">
      <c r="A1588" s="14"/>
      <c r="B1588" s="125" t="s">
        <v>875</v>
      </c>
      <c r="C1588" s="108" t="s">
        <v>410</v>
      </c>
      <c r="D1588" s="108" t="s">
        <v>86</v>
      </c>
      <c r="E1588" s="108" t="s">
        <v>13</v>
      </c>
      <c r="F1588" s="108" t="s">
        <v>876</v>
      </c>
      <c r="G1588" s="108" t="s">
        <v>9</v>
      </c>
      <c r="H1588" s="141">
        <f>H1589</f>
        <v>0</v>
      </c>
      <c r="L1588" s="32">
        <v>108492.62</v>
      </c>
      <c r="M1588" s="32">
        <v>105992.62</v>
      </c>
      <c r="N1588" s="32">
        <v>105992.62</v>
      </c>
      <c r="O1588" s="32">
        <f>H1588-L1588</f>
        <v>-108492.62</v>
      </c>
      <c r="P1588" s="32" t="e">
        <f>#REF!-M1588</f>
        <v>#REF!</v>
      </c>
      <c r="Q1588" s="32" t="e">
        <f>#REF!-N1588</f>
        <v>#REF!</v>
      </c>
      <c r="R1588" s="17" t="str">
        <f t="shared" si="181"/>
        <v>04 3 04 20280000</v>
      </c>
    </row>
    <row r="1589" spans="1:18" s="16" customFormat="1" ht="31.5">
      <c r="A1589" s="14"/>
      <c r="B1589" s="125" t="s">
        <v>28</v>
      </c>
      <c r="C1589" s="108" t="s">
        <v>410</v>
      </c>
      <c r="D1589" s="108" t="s">
        <v>86</v>
      </c>
      <c r="E1589" s="108" t="s">
        <v>13</v>
      </c>
      <c r="F1589" s="108" t="s">
        <v>876</v>
      </c>
      <c r="G1589" s="108" t="s">
        <v>29</v>
      </c>
      <c r="H1589" s="126">
        <f>H1590</f>
        <v>0</v>
      </c>
      <c r="L1589" s="32">
        <v>108492.62</v>
      </c>
      <c r="M1589" s="32">
        <v>105992.62</v>
      </c>
      <c r="N1589" s="32">
        <v>105992.62</v>
      </c>
      <c r="O1589" s="32">
        <f>H1589-L1589</f>
        <v>-108492.62</v>
      </c>
      <c r="P1589" s="32" t="e">
        <f>#REF!-M1589</f>
        <v>#REF!</v>
      </c>
      <c r="Q1589" s="32" t="e">
        <f>#REF!-N1589</f>
        <v>#REF!</v>
      </c>
      <c r="R1589" s="17" t="str">
        <f t="shared" si="181"/>
        <v>04 3 04 20280240</v>
      </c>
    </row>
    <row r="1590" spans="1:18" s="16" customFormat="1" ht="15.75">
      <c r="A1590" s="14"/>
      <c r="B1590" s="125" t="s">
        <v>30</v>
      </c>
      <c r="C1590" s="108" t="s">
        <v>410</v>
      </c>
      <c r="D1590" s="108" t="s">
        <v>86</v>
      </c>
      <c r="E1590" s="108" t="s">
        <v>13</v>
      </c>
      <c r="F1590" s="108" t="s">
        <v>876</v>
      </c>
      <c r="G1590" s="108" t="s">
        <v>31</v>
      </c>
      <c r="H1590" s="126"/>
      <c r="L1590" s="32"/>
      <c r="M1590" s="32"/>
      <c r="N1590" s="32"/>
      <c r="O1590" s="32"/>
      <c r="P1590" s="32"/>
      <c r="Q1590" s="32"/>
      <c r="R1590" s="17"/>
    </row>
    <row r="1591" spans="1:18" s="16" customFormat="1" ht="31.5">
      <c r="A1591" s="14"/>
      <c r="B1591" s="125" t="s">
        <v>542</v>
      </c>
      <c r="C1591" s="108" t="s">
        <v>410</v>
      </c>
      <c r="D1591" s="108" t="s">
        <v>86</v>
      </c>
      <c r="E1591" s="108" t="s">
        <v>13</v>
      </c>
      <c r="F1591" s="108" t="s">
        <v>543</v>
      </c>
      <c r="G1591" s="108" t="s">
        <v>9</v>
      </c>
      <c r="H1591" s="141">
        <f>H1592+H1596+H1594</f>
        <v>0</v>
      </c>
      <c r="L1591" s="32">
        <v>10131.51</v>
      </c>
      <c r="M1591" s="32">
        <v>8531.51</v>
      </c>
      <c r="N1591" s="32">
        <v>8531.51</v>
      </c>
      <c r="O1591" s="32">
        <f>H1591-L1591</f>
        <v>-10131.51</v>
      </c>
      <c r="P1591" s="32" t="e">
        <f>#REF!-M1591</f>
        <v>#REF!</v>
      </c>
      <c r="Q1591" s="32" t="e">
        <f>#REF!-N1591</f>
        <v>#REF!</v>
      </c>
      <c r="R1591" s="17" t="str">
        <f t="shared" si="181"/>
        <v>04 3 04 20300000</v>
      </c>
    </row>
    <row r="1592" spans="1:18" s="16" customFormat="1" ht="31.5">
      <c r="A1592" s="14"/>
      <c r="B1592" s="125" t="s">
        <v>28</v>
      </c>
      <c r="C1592" s="108" t="s">
        <v>410</v>
      </c>
      <c r="D1592" s="108" t="s">
        <v>86</v>
      </c>
      <c r="E1592" s="108" t="s">
        <v>13</v>
      </c>
      <c r="F1592" s="108" t="s">
        <v>543</v>
      </c>
      <c r="G1592" s="108" t="s">
        <v>29</v>
      </c>
      <c r="H1592" s="126">
        <f>H1593</f>
        <v>0</v>
      </c>
      <c r="L1592" s="32">
        <v>9881.51</v>
      </c>
      <c r="M1592" s="32">
        <v>8381.51</v>
      </c>
      <c r="N1592" s="32">
        <v>8381.51</v>
      </c>
      <c r="O1592" s="32">
        <f>H1592-L1592</f>
        <v>-9881.51</v>
      </c>
      <c r="P1592" s="32" t="e">
        <f>#REF!-M1592</f>
        <v>#REF!</v>
      </c>
      <c r="Q1592" s="32" t="e">
        <f>#REF!-N1592</f>
        <v>#REF!</v>
      </c>
      <c r="R1592" s="17" t="str">
        <f t="shared" si="181"/>
        <v>04 3 04 20300240</v>
      </c>
    </row>
    <row r="1593" spans="1:18" s="16" customFormat="1" ht="15.75">
      <c r="A1593" s="14"/>
      <c r="B1593" s="125" t="s">
        <v>30</v>
      </c>
      <c r="C1593" s="108" t="s">
        <v>410</v>
      </c>
      <c r="D1593" s="108" t="s">
        <v>86</v>
      </c>
      <c r="E1593" s="108" t="s">
        <v>13</v>
      </c>
      <c r="F1593" s="108" t="s">
        <v>543</v>
      </c>
      <c r="G1593" s="108" t="s">
        <v>31</v>
      </c>
      <c r="H1593" s="126"/>
      <c r="L1593" s="32"/>
      <c r="M1593" s="32"/>
      <c r="N1593" s="32"/>
      <c r="O1593" s="32"/>
      <c r="P1593" s="32"/>
      <c r="Q1593" s="32"/>
      <c r="R1593" s="17"/>
    </row>
    <row r="1594" spans="1:18" s="16" customFormat="1" ht="15.75">
      <c r="A1594" s="14"/>
      <c r="B1594" s="125" t="s">
        <v>837</v>
      </c>
      <c r="C1594" s="108" t="s">
        <v>410</v>
      </c>
      <c r="D1594" s="108" t="s">
        <v>86</v>
      </c>
      <c r="E1594" s="108" t="s">
        <v>13</v>
      </c>
      <c r="F1594" s="108" t="s">
        <v>543</v>
      </c>
      <c r="G1594" s="109" t="s">
        <v>838</v>
      </c>
      <c r="H1594" s="126">
        <f>H1595</f>
        <v>0</v>
      </c>
      <c r="L1594" s="32">
        <v>100</v>
      </c>
      <c r="M1594" s="32">
        <v>0</v>
      </c>
      <c r="N1594" s="32">
        <v>0</v>
      </c>
      <c r="O1594" s="32">
        <f>H1594-L1594</f>
        <v>-100</v>
      </c>
      <c r="P1594" s="32" t="e">
        <f>#REF!-M1594</f>
        <v>#REF!</v>
      </c>
      <c r="Q1594" s="32" t="e">
        <f>#REF!-N1594</f>
        <v>#REF!</v>
      </c>
      <c r="R1594" s="17" t="str">
        <f t="shared" si="181"/>
        <v>04 3 04 20300410</v>
      </c>
    </row>
    <row r="1595" spans="1:18" s="16" customFormat="1" ht="47.25">
      <c r="A1595" s="14"/>
      <c r="B1595" s="125" t="s">
        <v>839</v>
      </c>
      <c r="C1595" s="108" t="s">
        <v>410</v>
      </c>
      <c r="D1595" s="108" t="s">
        <v>86</v>
      </c>
      <c r="E1595" s="108" t="s">
        <v>13</v>
      </c>
      <c r="F1595" s="108" t="s">
        <v>543</v>
      </c>
      <c r="G1595" s="109" t="s">
        <v>840</v>
      </c>
      <c r="H1595" s="126"/>
      <c r="L1595" s="32"/>
      <c r="M1595" s="32"/>
      <c r="N1595" s="32"/>
      <c r="O1595" s="32"/>
      <c r="P1595" s="32"/>
      <c r="Q1595" s="32"/>
      <c r="R1595" s="17"/>
    </row>
    <row r="1596" spans="1:18" s="16" customFormat="1" ht="63">
      <c r="A1596" s="14"/>
      <c r="B1596" s="125" t="s">
        <v>203</v>
      </c>
      <c r="C1596" s="108" t="s">
        <v>410</v>
      </c>
      <c r="D1596" s="108" t="s">
        <v>86</v>
      </c>
      <c r="E1596" s="108" t="s">
        <v>13</v>
      </c>
      <c r="F1596" s="108" t="s">
        <v>543</v>
      </c>
      <c r="G1596" s="108" t="s">
        <v>204</v>
      </c>
      <c r="H1596" s="126">
        <f>H1597</f>
        <v>0</v>
      </c>
      <c r="L1596" s="32">
        <v>150</v>
      </c>
      <c r="M1596" s="32">
        <v>150</v>
      </c>
      <c r="N1596" s="32">
        <v>150</v>
      </c>
      <c r="O1596" s="32">
        <f>H1596-L1596</f>
        <v>-150</v>
      </c>
      <c r="P1596" s="32" t="e">
        <f>#REF!-M1596</f>
        <v>#REF!</v>
      </c>
      <c r="Q1596" s="32" t="e">
        <f>#REF!-N1596</f>
        <v>#REF!</v>
      </c>
      <c r="R1596" s="17" t="str">
        <f t="shared" si="181"/>
        <v>04 3 04 20300810</v>
      </c>
    </row>
    <row r="1597" spans="1:18" s="16" customFormat="1" ht="110.25">
      <c r="A1597" s="14"/>
      <c r="B1597" s="125" t="s">
        <v>226</v>
      </c>
      <c r="C1597" s="108" t="s">
        <v>410</v>
      </c>
      <c r="D1597" s="108" t="s">
        <v>86</v>
      </c>
      <c r="E1597" s="108" t="s">
        <v>13</v>
      </c>
      <c r="F1597" s="108" t="s">
        <v>543</v>
      </c>
      <c r="G1597" s="108" t="s">
        <v>227</v>
      </c>
      <c r="H1597" s="126"/>
      <c r="L1597" s="32"/>
      <c r="M1597" s="32"/>
      <c r="N1597" s="32"/>
      <c r="O1597" s="32"/>
      <c r="P1597" s="32"/>
      <c r="Q1597" s="32"/>
      <c r="R1597" s="17"/>
    </row>
    <row r="1598" spans="1:18" s="16" customFormat="1" ht="31.5">
      <c r="A1598" s="14"/>
      <c r="B1598" s="135" t="s">
        <v>877</v>
      </c>
      <c r="C1598" s="108" t="s">
        <v>410</v>
      </c>
      <c r="D1598" s="108" t="s">
        <v>86</v>
      </c>
      <c r="E1598" s="108" t="s">
        <v>13</v>
      </c>
      <c r="F1598" s="108" t="s">
        <v>878</v>
      </c>
      <c r="G1598" s="108" t="s">
        <v>9</v>
      </c>
      <c r="H1598" s="141">
        <f>H1599</f>
        <v>0</v>
      </c>
      <c r="L1598" s="32">
        <v>35409.69</v>
      </c>
      <c r="M1598" s="32">
        <v>35409.69</v>
      </c>
      <c r="N1598" s="32">
        <v>35409.69</v>
      </c>
      <c r="O1598" s="32">
        <f>H1598-L1598</f>
        <v>-35409.69</v>
      </c>
      <c r="P1598" s="32" t="e">
        <f>#REF!-M1598</f>
        <v>#REF!</v>
      </c>
      <c r="Q1598" s="32" t="e">
        <f>#REF!-N1598</f>
        <v>#REF!</v>
      </c>
      <c r="R1598" s="17" t="str">
        <f t="shared" si="181"/>
        <v>04 3 04 20780000</v>
      </c>
    </row>
    <row r="1599" spans="1:18" s="16" customFormat="1" ht="31.5">
      <c r="A1599" s="14"/>
      <c r="B1599" s="125" t="s">
        <v>28</v>
      </c>
      <c r="C1599" s="108" t="s">
        <v>410</v>
      </c>
      <c r="D1599" s="108" t="s">
        <v>86</v>
      </c>
      <c r="E1599" s="108" t="s">
        <v>13</v>
      </c>
      <c r="F1599" s="108" t="s">
        <v>878</v>
      </c>
      <c r="G1599" s="108" t="s">
        <v>29</v>
      </c>
      <c r="H1599" s="126">
        <f>H1600</f>
        <v>0</v>
      </c>
      <c r="L1599" s="32">
        <v>35409.69</v>
      </c>
      <c r="M1599" s="32">
        <v>35409.69</v>
      </c>
      <c r="N1599" s="32">
        <v>35409.69</v>
      </c>
      <c r="O1599" s="32">
        <f>H1599-L1599</f>
        <v>-35409.69</v>
      </c>
      <c r="P1599" s="32" t="e">
        <f>#REF!-M1599</f>
        <v>#REF!</v>
      </c>
      <c r="Q1599" s="32" t="e">
        <f>#REF!-N1599</f>
        <v>#REF!</v>
      </c>
      <c r="R1599" s="17" t="str">
        <f t="shared" si="181"/>
        <v>04 3 04 20780240</v>
      </c>
    </row>
    <row r="1600" spans="1:18" s="16" customFormat="1" ht="15.75">
      <c r="A1600" s="14"/>
      <c r="B1600" s="125" t="s">
        <v>30</v>
      </c>
      <c r="C1600" s="108" t="s">
        <v>410</v>
      </c>
      <c r="D1600" s="108" t="s">
        <v>86</v>
      </c>
      <c r="E1600" s="108" t="s">
        <v>13</v>
      </c>
      <c r="F1600" s="108" t="s">
        <v>878</v>
      </c>
      <c r="G1600" s="108" t="s">
        <v>31</v>
      </c>
      <c r="H1600" s="126"/>
      <c r="L1600" s="32"/>
      <c r="M1600" s="32"/>
      <c r="N1600" s="32"/>
      <c r="O1600" s="32"/>
      <c r="P1600" s="32"/>
      <c r="Q1600" s="32"/>
      <c r="R1600" s="17"/>
    </row>
    <row r="1601" spans="1:18" s="16" customFormat="1" ht="94.5">
      <c r="A1601" s="14" t="s">
        <v>80</v>
      </c>
      <c r="B1601" s="125" t="s">
        <v>879</v>
      </c>
      <c r="C1601" s="108" t="s">
        <v>410</v>
      </c>
      <c r="D1601" s="108" t="s">
        <v>86</v>
      </c>
      <c r="E1601" s="108" t="s">
        <v>13</v>
      </c>
      <c r="F1601" s="108" t="s">
        <v>880</v>
      </c>
      <c r="G1601" s="108" t="s">
        <v>9</v>
      </c>
      <c r="H1601" s="141">
        <f>H1602</f>
        <v>0</v>
      </c>
      <c r="L1601" s="32">
        <v>19744.080000000002</v>
      </c>
      <c r="M1601" s="32">
        <v>14838.06</v>
      </c>
      <c r="N1601" s="32">
        <v>14838.06</v>
      </c>
      <c r="O1601" s="32">
        <f>H1601-L1601</f>
        <v>-19744.080000000002</v>
      </c>
      <c r="P1601" s="32" t="e">
        <f>#REF!-M1601</f>
        <v>#REF!</v>
      </c>
      <c r="Q1601" s="32" t="e">
        <f>#REF!-N1601</f>
        <v>#REF!</v>
      </c>
      <c r="R1601" s="17" t="str">
        <f t="shared" si="181"/>
        <v>04 3 04 20790000</v>
      </c>
    </row>
    <row r="1602" spans="1:18" s="16" customFormat="1" ht="31.5">
      <c r="A1602" s="14"/>
      <c r="B1602" s="125" t="s">
        <v>28</v>
      </c>
      <c r="C1602" s="108" t="s">
        <v>410</v>
      </c>
      <c r="D1602" s="108" t="s">
        <v>86</v>
      </c>
      <c r="E1602" s="108" t="s">
        <v>13</v>
      </c>
      <c r="F1602" s="108" t="s">
        <v>880</v>
      </c>
      <c r="G1602" s="108" t="s">
        <v>29</v>
      </c>
      <c r="H1602" s="126">
        <f>H1603</f>
        <v>0</v>
      </c>
      <c r="L1602" s="32">
        <v>19744.080000000002</v>
      </c>
      <c r="M1602" s="32">
        <v>14838.06</v>
      </c>
      <c r="N1602" s="32">
        <v>14838.06</v>
      </c>
      <c r="O1602" s="32">
        <f>H1602-L1602</f>
        <v>-19744.080000000002</v>
      </c>
      <c r="P1602" s="32" t="e">
        <f>#REF!-M1602</f>
        <v>#REF!</v>
      </c>
      <c r="Q1602" s="32" t="e">
        <f>#REF!-N1602</f>
        <v>#REF!</v>
      </c>
      <c r="R1602" s="17" t="str">
        <f t="shared" si="181"/>
        <v>04 3 04 20790240</v>
      </c>
    </row>
    <row r="1603" spans="1:18" s="16" customFormat="1" ht="15.75">
      <c r="A1603" s="14"/>
      <c r="B1603" s="125" t="s">
        <v>30</v>
      </c>
      <c r="C1603" s="108" t="s">
        <v>410</v>
      </c>
      <c r="D1603" s="108" t="s">
        <v>86</v>
      </c>
      <c r="E1603" s="108" t="s">
        <v>13</v>
      </c>
      <c r="F1603" s="108" t="s">
        <v>880</v>
      </c>
      <c r="G1603" s="108" t="s">
        <v>31</v>
      </c>
      <c r="H1603" s="126"/>
      <c r="L1603" s="32"/>
      <c r="M1603" s="32"/>
      <c r="N1603" s="32"/>
      <c r="O1603" s="32"/>
      <c r="P1603" s="32"/>
      <c r="Q1603" s="32"/>
      <c r="R1603" s="17"/>
    </row>
    <row r="1604" spans="1:18" s="16" customFormat="1" ht="141.75">
      <c r="A1604" s="14"/>
      <c r="B1604" s="125" t="s">
        <v>881</v>
      </c>
      <c r="C1604" s="130" t="s">
        <v>410</v>
      </c>
      <c r="D1604" s="131" t="s">
        <v>86</v>
      </c>
      <c r="E1604" s="131" t="s">
        <v>13</v>
      </c>
      <c r="F1604" s="131" t="s">
        <v>882</v>
      </c>
      <c r="G1604" s="131" t="s">
        <v>9</v>
      </c>
      <c r="H1604" s="105">
        <f t="shared" ref="H1604" si="188">H1605</f>
        <v>0</v>
      </c>
      <c r="L1604" s="26">
        <v>7456.27</v>
      </c>
      <c r="M1604" s="26">
        <v>0</v>
      </c>
      <c r="N1604" s="26">
        <v>0</v>
      </c>
      <c r="O1604" s="26">
        <f>H1604-L1604</f>
        <v>-7456.27</v>
      </c>
      <c r="P1604" s="26" t="e">
        <f>#REF!-M1604</f>
        <v>#REF!</v>
      </c>
      <c r="Q1604" s="26" t="e">
        <f>#REF!-N1604</f>
        <v>#REF!</v>
      </c>
      <c r="R1604" s="17" t="str">
        <f t="shared" si="181"/>
        <v>04 3 04 21480000</v>
      </c>
    </row>
    <row r="1605" spans="1:18" s="16" customFormat="1" ht="31.5">
      <c r="A1605" s="14"/>
      <c r="B1605" s="125" t="s">
        <v>28</v>
      </c>
      <c r="C1605" s="130" t="s">
        <v>410</v>
      </c>
      <c r="D1605" s="131" t="s">
        <v>86</v>
      </c>
      <c r="E1605" s="131" t="s">
        <v>13</v>
      </c>
      <c r="F1605" s="131" t="s">
        <v>882</v>
      </c>
      <c r="G1605" s="131" t="s">
        <v>29</v>
      </c>
      <c r="H1605" s="126">
        <f>H1606</f>
        <v>0</v>
      </c>
      <c r="L1605" s="26">
        <v>7456.27</v>
      </c>
      <c r="M1605" s="26">
        <v>0</v>
      </c>
      <c r="N1605" s="26">
        <v>0</v>
      </c>
      <c r="O1605" s="26">
        <f>H1605-L1605</f>
        <v>-7456.27</v>
      </c>
      <c r="P1605" s="26" t="e">
        <f>#REF!-M1605</f>
        <v>#REF!</v>
      </c>
      <c r="Q1605" s="26" t="e">
        <f>#REF!-N1605</f>
        <v>#REF!</v>
      </c>
      <c r="R1605" s="17" t="str">
        <f t="shared" si="181"/>
        <v>04 3 04 21480240</v>
      </c>
    </row>
    <row r="1606" spans="1:18" s="16" customFormat="1" ht="15.75">
      <c r="A1606" s="14"/>
      <c r="B1606" s="125" t="s">
        <v>30</v>
      </c>
      <c r="C1606" s="130" t="s">
        <v>410</v>
      </c>
      <c r="D1606" s="131" t="s">
        <v>86</v>
      </c>
      <c r="E1606" s="131" t="s">
        <v>13</v>
      </c>
      <c r="F1606" s="131" t="s">
        <v>882</v>
      </c>
      <c r="G1606" s="131" t="s">
        <v>31</v>
      </c>
      <c r="H1606" s="126"/>
      <c r="L1606" s="26"/>
      <c r="M1606" s="26"/>
      <c r="N1606" s="26"/>
      <c r="O1606" s="26"/>
      <c r="P1606" s="26"/>
      <c r="Q1606" s="26"/>
      <c r="R1606" s="17"/>
    </row>
    <row r="1607" spans="1:18" s="16" customFormat="1" ht="47.25">
      <c r="A1607" s="14"/>
      <c r="B1607" s="125" t="s">
        <v>430</v>
      </c>
      <c r="C1607" s="131" t="s">
        <v>410</v>
      </c>
      <c r="D1607" s="131" t="s">
        <v>86</v>
      </c>
      <c r="E1607" s="131" t="s">
        <v>13</v>
      </c>
      <c r="F1607" s="131" t="s">
        <v>431</v>
      </c>
      <c r="G1607" s="131" t="s">
        <v>9</v>
      </c>
      <c r="H1607" s="158">
        <f t="shared" ref="H1607:H1610" si="189">H1608</f>
        <v>0</v>
      </c>
      <c r="L1607" s="53">
        <v>3385.52</v>
      </c>
      <c r="M1607" s="53">
        <v>3385.52</v>
      </c>
      <c r="N1607" s="53">
        <v>3385.52</v>
      </c>
      <c r="O1607" s="53">
        <f>H1607-L1607</f>
        <v>-3385.52</v>
      </c>
      <c r="P1607" s="53" t="e">
        <f>#REF!-M1607</f>
        <v>#REF!</v>
      </c>
      <c r="Q1607" s="53" t="e">
        <f>#REF!-N1607</f>
        <v>#REF!</v>
      </c>
      <c r="R1607" s="17" t="str">
        <f t="shared" si="181"/>
        <v>17 0 00 00000000</v>
      </c>
    </row>
    <row r="1608" spans="1:18" s="16" customFormat="1" ht="47.25">
      <c r="A1608" s="14"/>
      <c r="B1608" s="129" t="s">
        <v>432</v>
      </c>
      <c r="C1608" s="131" t="s">
        <v>410</v>
      </c>
      <c r="D1608" s="131" t="s">
        <v>86</v>
      </c>
      <c r="E1608" s="131" t="s">
        <v>13</v>
      </c>
      <c r="F1608" s="131" t="s">
        <v>433</v>
      </c>
      <c r="G1608" s="131" t="s">
        <v>9</v>
      </c>
      <c r="H1608" s="158">
        <f t="shared" si="189"/>
        <v>0</v>
      </c>
      <c r="L1608" s="53">
        <v>3385.52</v>
      </c>
      <c r="M1608" s="53">
        <v>3385.52</v>
      </c>
      <c r="N1608" s="53">
        <v>3385.52</v>
      </c>
      <c r="O1608" s="53">
        <f>H1608-L1608</f>
        <v>-3385.52</v>
      </c>
      <c r="P1608" s="53" t="e">
        <f>#REF!-M1608</f>
        <v>#REF!</v>
      </c>
      <c r="Q1608" s="53" t="e">
        <f>#REF!-N1608</f>
        <v>#REF!</v>
      </c>
      <c r="R1608" s="17" t="str">
        <f t="shared" si="181"/>
        <v>17 Б 00 00000000</v>
      </c>
    </row>
    <row r="1609" spans="1:18" s="16" customFormat="1" ht="47.25">
      <c r="A1609" s="14"/>
      <c r="B1609" s="129" t="s">
        <v>883</v>
      </c>
      <c r="C1609" s="131" t="s">
        <v>410</v>
      </c>
      <c r="D1609" s="131" t="s">
        <v>86</v>
      </c>
      <c r="E1609" s="131" t="s">
        <v>13</v>
      </c>
      <c r="F1609" s="131" t="s">
        <v>884</v>
      </c>
      <c r="G1609" s="131" t="s">
        <v>9</v>
      </c>
      <c r="H1609" s="158">
        <f t="shared" si="189"/>
        <v>0</v>
      </c>
      <c r="L1609" s="53">
        <v>3385.52</v>
      </c>
      <c r="M1609" s="53">
        <v>3385.52</v>
      </c>
      <c r="N1609" s="53">
        <v>3385.52</v>
      </c>
      <c r="O1609" s="53">
        <f>H1609-L1609</f>
        <v>-3385.52</v>
      </c>
      <c r="P1609" s="53" t="e">
        <f>#REF!-M1609</f>
        <v>#REF!</v>
      </c>
      <c r="Q1609" s="53" t="e">
        <f>#REF!-N1609</f>
        <v>#REF!</v>
      </c>
      <c r="R1609" s="17" t="str">
        <f t="shared" si="181"/>
        <v>17 Б 02 00000000</v>
      </c>
    </row>
    <row r="1610" spans="1:18" s="16" customFormat="1" ht="47.25">
      <c r="A1610" s="14"/>
      <c r="B1610" s="132" t="s">
        <v>436</v>
      </c>
      <c r="C1610" s="108" t="s">
        <v>410</v>
      </c>
      <c r="D1610" s="108" t="s">
        <v>86</v>
      </c>
      <c r="E1610" s="108" t="s">
        <v>13</v>
      </c>
      <c r="F1610" s="108" t="s">
        <v>885</v>
      </c>
      <c r="G1610" s="108" t="s">
        <v>9</v>
      </c>
      <c r="H1610" s="163">
        <f t="shared" si="189"/>
        <v>0</v>
      </c>
      <c r="L1610" s="64">
        <v>3385.52</v>
      </c>
      <c r="M1610" s="64">
        <v>3385.52</v>
      </c>
      <c r="N1610" s="64">
        <v>3385.52</v>
      </c>
      <c r="O1610" s="64">
        <f>H1610-L1610</f>
        <v>-3385.52</v>
      </c>
      <c r="P1610" s="64" t="e">
        <f>#REF!-M1610</f>
        <v>#REF!</v>
      </c>
      <c r="Q1610" s="64" t="e">
        <f>#REF!-N1610</f>
        <v>#REF!</v>
      </c>
      <c r="R1610" s="17" t="str">
        <f t="shared" si="181"/>
        <v>17 Б 02 20490000</v>
      </c>
    </row>
    <row r="1611" spans="1:18" s="16" customFormat="1" ht="31.5">
      <c r="A1611" s="14"/>
      <c r="B1611" s="125" t="s">
        <v>28</v>
      </c>
      <c r="C1611" s="108" t="s">
        <v>410</v>
      </c>
      <c r="D1611" s="108" t="s">
        <v>86</v>
      </c>
      <c r="E1611" s="108" t="s">
        <v>13</v>
      </c>
      <c r="F1611" s="108" t="s">
        <v>885</v>
      </c>
      <c r="G1611" s="108" t="s">
        <v>29</v>
      </c>
      <c r="H1611" s="126">
        <f>H1612</f>
        <v>0</v>
      </c>
      <c r="L1611" s="64">
        <v>3385.52</v>
      </c>
      <c r="M1611" s="64">
        <v>3385.52</v>
      </c>
      <c r="N1611" s="64">
        <v>3385.52</v>
      </c>
      <c r="O1611" s="64">
        <f>H1611-L1611</f>
        <v>-3385.52</v>
      </c>
      <c r="P1611" s="64" t="e">
        <f>#REF!-M1611</f>
        <v>#REF!</v>
      </c>
      <c r="Q1611" s="64" t="e">
        <f>#REF!-N1611</f>
        <v>#REF!</v>
      </c>
      <c r="R1611" s="17" t="str">
        <f t="shared" si="181"/>
        <v>17 Б 02 20490240</v>
      </c>
    </row>
    <row r="1612" spans="1:18" s="16" customFormat="1" ht="15.75">
      <c r="A1612" s="14"/>
      <c r="B1612" s="125" t="s">
        <v>30</v>
      </c>
      <c r="C1612" s="108" t="s">
        <v>410</v>
      </c>
      <c r="D1612" s="108" t="s">
        <v>86</v>
      </c>
      <c r="E1612" s="108" t="s">
        <v>13</v>
      </c>
      <c r="F1612" s="108" t="s">
        <v>885</v>
      </c>
      <c r="G1612" s="108" t="s">
        <v>31</v>
      </c>
      <c r="H1612" s="126"/>
      <c r="L1612" s="64"/>
      <c r="M1612" s="64"/>
      <c r="N1612" s="64"/>
      <c r="O1612" s="64"/>
      <c r="P1612" s="64"/>
      <c r="Q1612" s="64"/>
      <c r="R1612" s="17"/>
    </row>
    <row r="1613" spans="1:18" s="16" customFormat="1" ht="47.25">
      <c r="A1613" s="14"/>
      <c r="B1613" s="125" t="s">
        <v>886</v>
      </c>
      <c r="C1613" s="108" t="s">
        <v>410</v>
      </c>
      <c r="D1613" s="108" t="s">
        <v>86</v>
      </c>
      <c r="E1613" s="108" t="s">
        <v>13</v>
      </c>
      <c r="F1613" s="108" t="s">
        <v>887</v>
      </c>
      <c r="G1613" s="108" t="s">
        <v>9</v>
      </c>
      <c r="H1613" s="163">
        <f>H1614</f>
        <v>0</v>
      </c>
      <c r="L1613" s="64">
        <v>6270.1100000000006</v>
      </c>
      <c r="M1613" s="64">
        <v>9180.16</v>
      </c>
      <c r="N1613" s="64">
        <v>12090.21</v>
      </c>
      <c r="O1613" s="64">
        <f>H1613-L1613</f>
        <v>-6270.1100000000006</v>
      </c>
      <c r="P1613" s="64" t="e">
        <f>#REF!-M1613</f>
        <v>#REF!</v>
      </c>
      <c r="Q1613" s="64" t="e">
        <f>#REF!-N1613</f>
        <v>#REF!</v>
      </c>
      <c r="R1613" s="17" t="str">
        <f t="shared" si="181"/>
        <v>20 0 00 00000000</v>
      </c>
    </row>
    <row r="1614" spans="1:18" s="16" customFormat="1" ht="47.25">
      <c r="A1614" s="14"/>
      <c r="B1614" s="125" t="s">
        <v>888</v>
      </c>
      <c r="C1614" s="108" t="s">
        <v>410</v>
      </c>
      <c r="D1614" s="108" t="s">
        <v>86</v>
      </c>
      <c r="E1614" s="108" t="s">
        <v>13</v>
      </c>
      <c r="F1614" s="108" t="s">
        <v>889</v>
      </c>
      <c r="G1614" s="108" t="s">
        <v>9</v>
      </c>
      <c r="H1614" s="163">
        <f>H1615+H1619+H1623</f>
        <v>0</v>
      </c>
      <c r="L1614" s="64">
        <v>6270.1100000000006</v>
      </c>
      <c r="M1614" s="64">
        <v>9180.16</v>
      </c>
      <c r="N1614" s="64">
        <v>12090.21</v>
      </c>
      <c r="O1614" s="64">
        <f>H1614-L1614</f>
        <v>-6270.1100000000006</v>
      </c>
      <c r="P1614" s="64" t="e">
        <f>#REF!-M1614</f>
        <v>#REF!</v>
      </c>
      <c r="Q1614" s="64" t="e">
        <f>#REF!-N1614</f>
        <v>#REF!</v>
      </c>
      <c r="R1614" s="17" t="str">
        <f t="shared" si="181"/>
        <v>20 Б 00 00000000</v>
      </c>
    </row>
    <row r="1615" spans="1:18" s="16" customFormat="1" ht="31.5">
      <c r="A1615" s="14"/>
      <c r="B1615" s="125" t="s">
        <v>890</v>
      </c>
      <c r="C1615" s="108" t="s">
        <v>410</v>
      </c>
      <c r="D1615" s="108" t="s">
        <v>86</v>
      </c>
      <c r="E1615" s="108" t="s">
        <v>13</v>
      </c>
      <c r="F1615" s="108" t="s">
        <v>891</v>
      </c>
      <c r="G1615" s="108" t="s">
        <v>9</v>
      </c>
      <c r="H1615" s="163">
        <f>H1616</f>
        <v>0</v>
      </c>
      <c r="L1615" s="64">
        <v>3880.07</v>
      </c>
      <c r="M1615" s="64">
        <v>5820.1</v>
      </c>
      <c r="N1615" s="64">
        <v>7760.13</v>
      </c>
      <c r="O1615" s="64">
        <f>H1615-L1615</f>
        <v>-3880.07</v>
      </c>
      <c r="P1615" s="64" t="e">
        <f>#REF!-M1615</f>
        <v>#REF!</v>
      </c>
      <c r="Q1615" s="64" t="e">
        <f>#REF!-N1615</f>
        <v>#REF!</v>
      </c>
      <c r="R1615" s="17" t="str">
        <f t="shared" si="181"/>
        <v>20 Б 01 00000000</v>
      </c>
    </row>
    <row r="1616" spans="1:18" s="16" customFormat="1" ht="31.5">
      <c r="A1616" s="14"/>
      <c r="B1616" s="125" t="s">
        <v>892</v>
      </c>
      <c r="C1616" s="108" t="s">
        <v>410</v>
      </c>
      <c r="D1616" s="108" t="s">
        <v>86</v>
      </c>
      <c r="E1616" s="108" t="s">
        <v>13</v>
      </c>
      <c r="F1616" s="108" t="s">
        <v>893</v>
      </c>
      <c r="G1616" s="108" t="s">
        <v>9</v>
      </c>
      <c r="H1616" s="163">
        <f>H1617</f>
        <v>0</v>
      </c>
      <c r="L1616" s="64">
        <v>3880.07</v>
      </c>
      <c r="M1616" s="64">
        <v>5820.1</v>
      </c>
      <c r="N1616" s="64">
        <v>7760.13</v>
      </c>
      <c r="O1616" s="64">
        <f>H1616-L1616</f>
        <v>-3880.07</v>
      </c>
      <c r="P1616" s="64" t="e">
        <f>#REF!-M1616</f>
        <v>#REF!</v>
      </c>
      <c r="Q1616" s="64" t="e">
        <f>#REF!-N1616</f>
        <v>#REF!</v>
      </c>
      <c r="R1616" s="17" t="str">
        <f t="shared" si="181"/>
        <v>20 Б 01 L5550000</v>
      </c>
    </row>
    <row r="1617" spans="1:18" s="16" customFormat="1" ht="31.5">
      <c r="A1617" s="14"/>
      <c r="B1617" s="125" t="s">
        <v>28</v>
      </c>
      <c r="C1617" s="108" t="s">
        <v>410</v>
      </c>
      <c r="D1617" s="108" t="s">
        <v>86</v>
      </c>
      <c r="E1617" s="108" t="s">
        <v>13</v>
      </c>
      <c r="F1617" s="108" t="s">
        <v>893</v>
      </c>
      <c r="G1617" s="108" t="s">
        <v>29</v>
      </c>
      <c r="H1617" s="126">
        <f>H1618</f>
        <v>0</v>
      </c>
      <c r="L1617" s="32">
        <v>3880.07</v>
      </c>
      <c r="M1617" s="32">
        <v>5820.1</v>
      </c>
      <c r="N1617" s="32">
        <v>7760.13</v>
      </c>
      <c r="O1617" s="32">
        <f>H1617-L1617</f>
        <v>-3880.07</v>
      </c>
      <c r="P1617" s="32" t="e">
        <f>#REF!-M1617</f>
        <v>#REF!</v>
      </c>
      <c r="Q1617" s="32" t="e">
        <f>#REF!-N1617</f>
        <v>#REF!</v>
      </c>
      <c r="R1617" s="17" t="str">
        <f t="shared" si="181"/>
        <v>20 Б 01 L5550240</v>
      </c>
    </row>
    <row r="1618" spans="1:18" s="16" customFormat="1" ht="15.75">
      <c r="A1618" s="14"/>
      <c r="B1618" s="125" t="s">
        <v>30</v>
      </c>
      <c r="C1618" s="108" t="s">
        <v>410</v>
      </c>
      <c r="D1618" s="108" t="s">
        <v>86</v>
      </c>
      <c r="E1618" s="108" t="s">
        <v>13</v>
      </c>
      <c r="F1618" s="108" t="s">
        <v>893</v>
      </c>
      <c r="G1618" s="108" t="s">
        <v>31</v>
      </c>
      <c r="H1618" s="126"/>
      <c r="L1618" s="32"/>
      <c r="M1618" s="32"/>
      <c r="N1618" s="32"/>
      <c r="O1618" s="32"/>
      <c r="P1618" s="32"/>
      <c r="Q1618" s="32"/>
      <c r="R1618" s="17"/>
    </row>
    <row r="1619" spans="1:18" s="16" customFormat="1" ht="31.5">
      <c r="A1619" s="14"/>
      <c r="B1619" s="125" t="s">
        <v>894</v>
      </c>
      <c r="C1619" s="108" t="s">
        <v>410</v>
      </c>
      <c r="D1619" s="108" t="s">
        <v>86</v>
      </c>
      <c r="E1619" s="108" t="s">
        <v>13</v>
      </c>
      <c r="F1619" s="108" t="s">
        <v>895</v>
      </c>
      <c r="G1619" s="108" t="s">
        <v>9</v>
      </c>
      <c r="H1619" s="163">
        <f>H1620</f>
        <v>0</v>
      </c>
      <c r="L1619" s="64">
        <v>1940.04</v>
      </c>
      <c r="M1619" s="64">
        <v>2910.06</v>
      </c>
      <c r="N1619" s="64">
        <v>3880.08</v>
      </c>
      <c r="O1619" s="64">
        <f>H1619-L1619</f>
        <v>-1940.04</v>
      </c>
      <c r="P1619" s="64" t="e">
        <f>#REF!-M1619</f>
        <v>#REF!</v>
      </c>
      <c r="Q1619" s="64" t="e">
        <f>#REF!-N1619</f>
        <v>#REF!</v>
      </c>
      <c r="R1619" s="17" t="str">
        <f t="shared" si="181"/>
        <v>20 Б 02 00000000</v>
      </c>
    </row>
    <row r="1620" spans="1:18" s="16" customFormat="1" ht="31.5">
      <c r="A1620" s="14"/>
      <c r="B1620" s="125" t="s">
        <v>892</v>
      </c>
      <c r="C1620" s="108" t="s">
        <v>410</v>
      </c>
      <c r="D1620" s="108" t="s">
        <v>86</v>
      </c>
      <c r="E1620" s="108" t="s">
        <v>13</v>
      </c>
      <c r="F1620" s="108" t="s">
        <v>896</v>
      </c>
      <c r="G1620" s="108" t="s">
        <v>9</v>
      </c>
      <c r="H1620" s="163">
        <f>H1621</f>
        <v>0</v>
      </c>
      <c r="L1620" s="64">
        <v>1940.04</v>
      </c>
      <c r="M1620" s="64">
        <v>2910.06</v>
      </c>
      <c r="N1620" s="64">
        <v>3880.08</v>
      </c>
      <c r="O1620" s="64">
        <f>H1620-L1620</f>
        <v>-1940.04</v>
      </c>
      <c r="P1620" s="64" t="e">
        <f>#REF!-M1620</f>
        <v>#REF!</v>
      </c>
      <c r="Q1620" s="64" t="e">
        <f>#REF!-N1620</f>
        <v>#REF!</v>
      </c>
      <c r="R1620" s="17" t="str">
        <f t="shared" si="181"/>
        <v>20 Б 02 L5550000</v>
      </c>
    </row>
    <row r="1621" spans="1:18" s="16" customFormat="1" ht="31.5">
      <c r="A1621" s="14"/>
      <c r="B1621" s="125" t="s">
        <v>28</v>
      </c>
      <c r="C1621" s="108" t="s">
        <v>410</v>
      </c>
      <c r="D1621" s="108" t="s">
        <v>86</v>
      </c>
      <c r="E1621" s="108" t="s">
        <v>13</v>
      </c>
      <c r="F1621" s="108" t="s">
        <v>896</v>
      </c>
      <c r="G1621" s="108" t="s">
        <v>29</v>
      </c>
      <c r="H1621" s="126">
        <f>H1622</f>
        <v>0</v>
      </c>
      <c r="L1621" s="32">
        <v>1940.04</v>
      </c>
      <c r="M1621" s="32">
        <v>2910.06</v>
      </c>
      <c r="N1621" s="32">
        <v>3880.08</v>
      </c>
      <c r="O1621" s="32">
        <f>H1621-L1621</f>
        <v>-1940.04</v>
      </c>
      <c r="P1621" s="32" t="e">
        <f>#REF!-M1621</f>
        <v>#REF!</v>
      </c>
      <c r="Q1621" s="32" t="e">
        <f>#REF!-N1621</f>
        <v>#REF!</v>
      </c>
      <c r="R1621" s="17" t="str">
        <f t="shared" si="181"/>
        <v>20 Б 02 L5550240</v>
      </c>
    </row>
    <row r="1622" spans="1:18" s="16" customFormat="1" ht="15.75">
      <c r="A1622" s="14"/>
      <c r="B1622" s="125" t="s">
        <v>30</v>
      </c>
      <c r="C1622" s="108" t="s">
        <v>410</v>
      </c>
      <c r="D1622" s="108" t="s">
        <v>86</v>
      </c>
      <c r="E1622" s="108" t="s">
        <v>13</v>
      </c>
      <c r="F1622" s="108" t="s">
        <v>896</v>
      </c>
      <c r="G1622" s="108" t="s">
        <v>31</v>
      </c>
      <c r="H1622" s="126"/>
      <c r="L1622" s="32"/>
      <c r="M1622" s="32"/>
      <c r="N1622" s="32"/>
      <c r="O1622" s="32"/>
      <c r="P1622" s="32"/>
      <c r="Q1622" s="32"/>
      <c r="R1622" s="17"/>
    </row>
    <row r="1623" spans="1:18" s="16" customFormat="1" ht="47.25">
      <c r="A1623" s="14"/>
      <c r="B1623" s="125" t="s">
        <v>897</v>
      </c>
      <c r="C1623" s="108" t="s">
        <v>410</v>
      </c>
      <c r="D1623" s="108" t="s">
        <v>86</v>
      </c>
      <c r="E1623" s="108" t="s">
        <v>13</v>
      </c>
      <c r="F1623" s="108" t="s">
        <v>898</v>
      </c>
      <c r="G1623" s="108" t="s">
        <v>9</v>
      </c>
      <c r="H1623" s="141">
        <f t="shared" ref="H1623:H1624" si="190">H1624</f>
        <v>0</v>
      </c>
      <c r="L1623" s="32">
        <v>450</v>
      </c>
      <c r="M1623" s="32">
        <v>450</v>
      </c>
      <c r="N1623" s="32">
        <v>450</v>
      </c>
      <c r="O1623" s="32">
        <f>H1623-L1623</f>
        <v>-450</v>
      </c>
      <c r="P1623" s="32" t="e">
        <f>#REF!-M1623</f>
        <v>#REF!</v>
      </c>
      <c r="Q1623" s="32" t="e">
        <f>#REF!-N1623</f>
        <v>#REF!</v>
      </c>
      <c r="R1623" s="17" t="str">
        <f t="shared" si="181"/>
        <v>20 Б 03 00000000</v>
      </c>
    </row>
    <row r="1624" spans="1:18" s="16" customFormat="1" ht="31.5">
      <c r="A1624" s="14"/>
      <c r="B1624" s="138" t="s">
        <v>542</v>
      </c>
      <c r="C1624" s="108" t="s">
        <v>410</v>
      </c>
      <c r="D1624" s="108" t="s">
        <v>86</v>
      </c>
      <c r="E1624" s="108" t="s">
        <v>13</v>
      </c>
      <c r="F1624" s="108" t="s">
        <v>899</v>
      </c>
      <c r="G1624" s="108" t="s">
        <v>9</v>
      </c>
      <c r="H1624" s="141">
        <f t="shared" si="190"/>
        <v>0</v>
      </c>
      <c r="L1624" s="32">
        <v>450</v>
      </c>
      <c r="M1624" s="32">
        <v>450</v>
      </c>
      <c r="N1624" s="32">
        <v>450</v>
      </c>
      <c r="O1624" s="32">
        <f>H1624-L1624</f>
        <v>-450</v>
      </c>
      <c r="P1624" s="32" t="e">
        <f>#REF!-M1624</f>
        <v>#REF!</v>
      </c>
      <c r="Q1624" s="32" t="e">
        <f>#REF!-N1624</f>
        <v>#REF!</v>
      </c>
      <c r="R1624" s="17" t="str">
        <f t="shared" si="181"/>
        <v>20 Б 03 20300000</v>
      </c>
    </row>
    <row r="1625" spans="1:18" s="16" customFormat="1" ht="31.5">
      <c r="A1625" s="14"/>
      <c r="B1625" s="138" t="s">
        <v>28</v>
      </c>
      <c r="C1625" s="108" t="s">
        <v>410</v>
      </c>
      <c r="D1625" s="108" t="s">
        <v>86</v>
      </c>
      <c r="E1625" s="108" t="s">
        <v>13</v>
      </c>
      <c r="F1625" s="108" t="s">
        <v>899</v>
      </c>
      <c r="G1625" s="108" t="s">
        <v>29</v>
      </c>
      <c r="H1625" s="126">
        <f>H1626</f>
        <v>0</v>
      </c>
      <c r="L1625" s="32">
        <v>450</v>
      </c>
      <c r="M1625" s="32">
        <v>450</v>
      </c>
      <c r="N1625" s="32">
        <v>450</v>
      </c>
      <c r="O1625" s="32">
        <f>H1625-L1625</f>
        <v>-450</v>
      </c>
      <c r="P1625" s="32" t="e">
        <f>#REF!-M1625</f>
        <v>#REF!</v>
      </c>
      <c r="Q1625" s="32" t="e">
        <f>#REF!-N1625</f>
        <v>#REF!</v>
      </c>
      <c r="R1625" s="17" t="str">
        <f t="shared" si="181"/>
        <v>20 Б 03 20300240</v>
      </c>
    </row>
    <row r="1626" spans="1:18" s="16" customFormat="1" ht="15.75">
      <c r="A1626" s="14"/>
      <c r="B1626" s="125" t="s">
        <v>30</v>
      </c>
      <c r="C1626" s="108" t="s">
        <v>410</v>
      </c>
      <c r="D1626" s="108" t="s">
        <v>86</v>
      </c>
      <c r="E1626" s="108" t="s">
        <v>13</v>
      </c>
      <c r="F1626" s="108" t="s">
        <v>899</v>
      </c>
      <c r="G1626" s="108" t="s">
        <v>31</v>
      </c>
      <c r="H1626" s="126"/>
      <c r="L1626" s="32"/>
      <c r="M1626" s="32"/>
      <c r="N1626" s="32"/>
      <c r="O1626" s="32"/>
      <c r="P1626" s="32"/>
      <c r="Q1626" s="32"/>
      <c r="R1626" s="17"/>
    </row>
    <row r="1627" spans="1:18" s="16" customFormat="1" ht="31.5">
      <c r="A1627" s="14"/>
      <c r="B1627" s="121" t="s">
        <v>313</v>
      </c>
      <c r="C1627" s="122" t="s">
        <v>410</v>
      </c>
      <c r="D1627" s="123" t="s">
        <v>86</v>
      </c>
      <c r="E1627" s="123" t="s">
        <v>86</v>
      </c>
      <c r="F1627" s="123" t="s">
        <v>8</v>
      </c>
      <c r="G1627" s="123" t="s">
        <v>9</v>
      </c>
      <c r="H1627" s="124">
        <f>H1628</f>
        <v>0</v>
      </c>
      <c r="L1627" s="19">
        <v>48258.450000000004</v>
      </c>
      <c r="M1627" s="19">
        <v>48258.450000000004</v>
      </c>
      <c r="N1627" s="19">
        <v>48258.450000000004</v>
      </c>
      <c r="O1627" s="19">
        <f>H1627-L1627</f>
        <v>-48258.450000000004</v>
      </c>
      <c r="P1627" s="19" t="e">
        <f>#REF!-M1627</f>
        <v>#REF!</v>
      </c>
      <c r="Q1627" s="19" t="e">
        <f>#REF!-N1627</f>
        <v>#REF!</v>
      </c>
      <c r="R1627" s="17" t="str">
        <f t="shared" si="181"/>
        <v>00 0 00 00000000</v>
      </c>
    </row>
    <row r="1628" spans="1:18" s="16" customFormat="1" ht="31.5">
      <c r="A1628" s="14"/>
      <c r="B1628" s="125" t="s">
        <v>806</v>
      </c>
      <c r="C1628" s="108" t="s">
        <v>410</v>
      </c>
      <c r="D1628" s="108" t="s">
        <v>86</v>
      </c>
      <c r="E1628" s="108" t="s">
        <v>86</v>
      </c>
      <c r="F1628" s="108" t="s">
        <v>807</v>
      </c>
      <c r="G1628" s="108" t="s">
        <v>9</v>
      </c>
      <c r="H1628" s="163">
        <f>H1629</f>
        <v>0</v>
      </c>
      <c r="L1628" s="64">
        <v>48258.450000000004</v>
      </c>
      <c r="M1628" s="64">
        <v>48258.450000000004</v>
      </c>
      <c r="N1628" s="64">
        <v>48258.450000000004</v>
      </c>
      <c r="O1628" s="64">
        <f>H1628-L1628</f>
        <v>-48258.450000000004</v>
      </c>
      <c r="P1628" s="64" t="e">
        <f>#REF!-M1628</f>
        <v>#REF!</v>
      </c>
      <c r="Q1628" s="64" t="e">
        <f>#REF!-N1628</f>
        <v>#REF!</v>
      </c>
      <c r="R1628" s="17" t="str">
        <f t="shared" si="181"/>
        <v>83 0 00 00000000</v>
      </c>
    </row>
    <row r="1629" spans="1:18" s="16" customFormat="1" ht="47.25">
      <c r="A1629" s="14"/>
      <c r="B1629" s="125" t="s">
        <v>808</v>
      </c>
      <c r="C1629" s="108" t="s">
        <v>410</v>
      </c>
      <c r="D1629" s="108" t="s">
        <v>86</v>
      </c>
      <c r="E1629" s="108" t="s">
        <v>86</v>
      </c>
      <c r="F1629" s="108" t="s">
        <v>809</v>
      </c>
      <c r="G1629" s="108" t="s">
        <v>9</v>
      </c>
      <c r="H1629" s="163">
        <f>H1630+H1639</f>
        <v>0</v>
      </c>
      <c r="L1629" s="64">
        <v>48258.450000000004</v>
      </c>
      <c r="M1629" s="64">
        <v>48258.450000000004</v>
      </c>
      <c r="N1629" s="64">
        <v>48258.450000000004</v>
      </c>
      <c r="O1629" s="64">
        <f>H1629-L1629</f>
        <v>-48258.450000000004</v>
      </c>
      <c r="P1629" s="64" t="e">
        <f>#REF!-M1629</f>
        <v>#REF!</v>
      </c>
      <c r="Q1629" s="64" t="e">
        <f>#REF!-N1629</f>
        <v>#REF!</v>
      </c>
      <c r="R1629" s="17" t="str">
        <f t="shared" si="181"/>
        <v>83 1 00 00000000</v>
      </c>
    </row>
    <row r="1630" spans="1:18" s="16" customFormat="1" ht="31.5">
      <c r="A1630" s="14"/>
      <c r="B1630" s="125" t="s">
        <v>18</v>
      </c>
      <c r="C1630" s="108" t="s">
        <v>410</v>
      </c>
      <c r="D1630" s="108" t="s">
        <v>86</v>
      </c>
      <c r="E1630" s="108" t="s">
        <v>86</v>
      </c>
      <c r="F1630" s="108" t="s">
        <v>900</v>
      </c>
      <c r="G1630" s="108" t="s">
        <v>9</v>
      </c>
      <c r="H1630" s="163">
        <f>H1631+H1634+H1636</f>
        <v>0</v>
      </c>
      <c r="L1630" s="64">
        <v>6747.7300000000005</v>
      </c>
      <c r="M1630" s="64">
        <v>6747.7300000000005</v>
      </c>
      <c r="N1630" s="64">
        <v>6747.7300000000005</v>
      </c>
      <c r="O1630" s="64">
        <f>H1630-L1630</f>
        <v>-6747.7300000000005</v>
      </c>
      <c r="P1630" s="64" t="e">
        <f>#REF!-M1630</f>
        <v>#REF!</v>
      </c>
      <c r="Q1630" s="64" t="e">
        <f>#REF!-N1630</f>
        <v>#REF!</v>
      </c>
      <c r="R1630" s="17" t="str">
        <f t="shared" si="181"/>
        <v>83 1 00 10010000</v>
      </c>
    </row>
    <row r="1631" spans="1:18" s="16" customFormat="1" ht="31.5">
      <c r="A1631" s="14"/>
      <c r="B1631" s="127" t="s">
        <v>20</v>
      </c>
      <c r="C1631" s="108" t="s">
        <v>410</v>
      </c>
      <c r="D1631" s="108" t="s">
        <v>86</v>
      </c>
      <c r="E1631" s="108" t="s">
        <v>86</v>
      </c>
      <c r="F1631" s="108" t="s">
        <v>900</v>
      </c>
      <c r="G1631" s="108" t="s">
        <v>21</v>
      </c>
      <c r="H1631" s="126">
        <f>SUM(H1632:H1633)</f>
        <v>0</v>
      </c>
      <c r="L1631" s="20">
        <v>1182.76</v>
      </c>
      <c r="M1631" s="20">
        <v>1182.76</v>
      </c>
      <c r="N1631" s="20">
        <v>1182.76</v>
      </c>
      <c r="O1631" s="20">
        <f>H1631-L1631</f>
        <v>-1182.76</v>
      </c>
      <c r="P1631" s="20" t="e">
        <f>#REF!-M1631</f>
        <v>#REF!</v>
      </c>
      <c r="Q1631" s="20" t="e">
        <f>#REF!-N1631</f>
        <v>#REF!</v>
      </c>
      <c r="R1631" s="17" t="str">
        <f t="shared" si="181"/>
        <v>83 1 00 10010120</v>
      </c>
    </row>
    <row r="1632" spans="1:18" s="23" customFormat="1" ht="47.25">
      <c r="A1632" s="21"/>
      <c r="B1632" s="127" t="s">
        <v>22</v>
      </c>
      <c r="C1632" s="108" t="s">
        <v>410</v>
      </c>
      <c r="D1632" s="108" t="s">
        <v>86</v>
      </c>
      <c r="E1632" s="108" t="s">
        <v>86</v>
      </c>
      <c r="F1632" s="108" t="s">
        <v>900</v>
      </c>
      <c r="G1632" s="108" t="s">
        <v>23</v>
      </c>
      <c r="H1632" s="126"/>
      <c r="L1632" s="22"/>
      <c r="M1632" s="22"/>
      <c r="N1632" s="22"/>
      <c r="O1632" s="22"/>
      <c r="P1632" s="22"/>
      <c r="Q1632" s="22"/>
      <c r="R1632" s="24"/>
    </row>
    <row r="1633" spans="1:18" s="23" customFormat="1" ht="63">
      <c r="A1633" s="21"/>
      <c r="B1633" s="127" t="s">
        <v>26</v>
      </c>
      <c r="C1633" s="108" t="s">
        <v>410</v>
      </c>
      <c r="D1633" s="108" t="s">
        <v>86</v>
      </c>
      <c r="E1633" s="108" t="s">
        <v>86</v>
      </c>
      <c r="F1633" s="108" t="s">
        <v>900</v>
      </c>
      <c r="G1633" s="108" t="s">
        <v>27</v>
      </c>
      <c r="H1633" s="126"/>
      <c r="L1633" s="22"/>
      <c r="M1633" s="22"/>
      <c r="N1633" s="22"/>
      <c r="O1633" s="22"/>
      <c r="P1633" s="22"/>
      <c r="Q1633" s="22"/>
      <c r="R1633" s="24"/>
    </row>
    <row r="1634" spans="1:18" s="16" customFormat="1" ht="31.5">
      <c r="A1634" s="14"/>
      <c r="B1634" s="125" t="s">
        <v>28</v>
      </c>
      <c r="C1634" s="108" t="s">
        <v>410</v>
      </c>
      <c r="D1634" s="108" t="s">
        <v>86</v>
      </c>
      <c r="E1634" s="108" t="s">
        <v>86</v>
      </c>
      <c r="F1634" s="108" t="s">
        <v>900</v>
      </c>
      <c r="G1634" s="108" t="s">
        <v>29</v>
      </c>
      <c r="H1634" s="126">
        <f>H1635</f>
        <v>0</v>
      </c>
      <c r="L1634" s="20">
        <v>5455.97</v>
      </c>
      <c r="M1634" s="20">
        <v>5455.97</v>
      </c>
      <c r="N1634" s="20">
        <v>5455.97</v>
      </c>
      <c r="O1634" s="20">
        <f>H1634-L1634</f>
        <v>-5455.97</v>
      </c>
      <c r="P1634" s="20" t="e">
        <f>#REF!-M1634</f>
        <v>#REF!</v>
      </c>
      <c r="Q1634" s="20" t="e">
        <f>#REF!-N1634</f>
        <v>#REF!</v>
      </c>
      <c r="R1634" s="17" t="str">
        <f t="shared" si="181"/>
        <v>83 1 00 10010240</v>
      </c>
    </row>
    <row r="1635" spans="1:18" s="16" customFormat="1" ht="15.75">
      <c r="A1635" s="14"/>
      <c r="B1635" s="125" t="s">
        <v>30</v>
      </c>
      <c r="C1635" s="108" t="s">
        <v>410</v>
      </c>
      <c r="D1635" s="108" t="s">
        <v>86</v>
      </c>
      <c r="E1635" s="108" t="s">
        <v>86</v>
      </c>
      <c r="F1635" s="108" t="s">
        <v>900</v>
      </c>
      <c r="G1635" s="108" t="s">
        <v>31</v>
      </c>
      <c r="H1635" s="126"/>
      <c r="L1635" s="20"/>
      <c r="M1635" s="20"/>
      <c r="N1635" s="20"/>
      <c r="O1635" s="20"/>
      <c r="P1635" s="20"/>
      <c r="Q1635" s="20"/>
      <c r="R1635" s="17"/>
    </row>
    <row r="1636" spans="1:18" s="16" customFormat="1" ht="15.75">
      <c r="A1636" s="14"/>
      <c r="B1636" s="125" t="s">
        <v>32</v>
      </c>
      <c r="C1636" s="108" t="s">
        <v>410</v>
      </c>
      <c r="D1636" s="108" t="s">
        <v>86</v>
      </c>
      <c r="E1636" s="108" t="s">
        <v>86</v>
      </c>
      <c r="F1636" s="108" t="s">
        <v>900</v>
      </c>
      <c r="G1636" s="108" t="s">
        <v>33</v>
      </c>
      <c r="H1636" s="126">
        <f>SUM(H1637:H1638)</f>
        <v>0</v>
      </c>
      <c r="L1636" s="20">
        <v>109</v>
      </c>
      <c r="M1636" s="20">
        <v>109</v>
      </c>
      <c r="N1636" s="20">
        <v>109</v>
      </c>
      <c r="O1636" s="20">
        <f>H1636-L1636</f>
        <v>-109</v>
      </c>
      <c r="P1636" s="20" t="e">
        <f>#REF!-M1636</f>
        <v>#REF!</v>
      </c>
      <c r="Q1636" s="20" t="e">
        <f>#REF!-N1636</f>
        <v>#REF!</v>
      </c>
      <c r="R1636" s="17" t="str">
        <f t="shared" si="181"/>
        <v>83 1 00 10010850</v>
      </c>
    </row>
    <row r="1637" spans="1:18" s="23" customFormat="1" ht="31.5">
      <c r="A1637" s="21"/>
      <c r="B1637" s="127" t="s">
        <v>34</v>
      </c>
      <c r="C1637" s="108" t="s">
        <v>410</v>
      </c>
      <c r="D1637" s="108" t="s">
        <v>86</v>
      </c>
      <c r="E1637" s="108" t="s">
        <v>86</v>
      </c>
      <c r="F1637" s="108" t="s">
        <v>900</v>
      </c>
      <c r="G1637" s="108" t="s">
        <v>35</v>
      </c>
      <c r="H1637" s="126"/>
      <c r="L1637" s="22"/>
      <c r="M1637" s="22"/>
      <c r="N1637" s="22"/>
      <c r="O1637" s="22"/>
      <c r="P1637" s="22"/>
      <c r="Q1637" s="22"/>
      <c r="R1637" s="24"/>
    </row>
    <row r="1638" spans="1:18" s="23" customFormat="1" ht="15.75">
      <c r="A1638" s="21"/>
      <c r="B1638" s="127" t="s">
        <v>36</v>
      </c>
      <c r="C1638" s="108" t="s">
        <v>410</v>
      </c>
      <c r="D1638" s="108" t="s">
        <v>86</v>
      </c>
      <c r="E1638" s="108" t="s">
        <v>86</v>
      </c>
      <c r="F1638" s="108" t="s">
        <v>900</v>
      </c>
      <c r="G1638" s="108" t="s">
        <v>37</v>
      </c>
      <c r="H1638" s="126"/>
      <c r="L1638" s="22"/>
      <c r="M1638" s="22"/>
      <c r="N1638" s="22"/>
      <c r="O1638" s="22"/>
      <c r="P1638" s="22"/>
      <c r="Q1638" s="22"/>
      <c r="R1638" s="24"/>
    </row>
    <row r="1639" spans="1:18" s="16" customFormat="1" ht="31.5">
      <c r="A1639" s="14"/>
      <c r="B1639" s="125" t="s">
        <v>38</v>
      </c>
      <c r="C1639" s="108" t="s">
        <v>410</v>
      </c>
      <c r="D1639" s="108" t="s">
        <v>86</v>
      </c>
      <c r="E1639" s="108" t="s">
        <v>86</v>
      </c>
      <c r="F1639" s="108" t="s">
        <v>901</v>
      </c>
      <c r="G1639" s="108" t="s">
        <v>9</v>
      </c>
      <c r="H1639" s="126">
        <f>H1640</f>
        <v>0</v>
      </c>
      <c r="L1639" s="20">
        <v>41510.720000000001</v>
      </c>
      <c r="M1639" s="20">
        <v>41510.720000000001</v>
      </c>
      <c r="N1639" s="20">
        <v>41510.720000000001</v>
      </c>
      <c r="O1639" s="20">
        <f>H1639-L1639</f>
        <v>-41510.720000000001</v>
      </c>
      <c r="P1639" s="20" t="e">
        <f>#REF!-M1639</f>
        <v>#REF!</v>
      </c>
      <c r="Q1639" s="20" t="e">
        <f>#REF!-N1639</f>
        <v>#REF!</v>
      </c>
      <c r="R1639" s="17" t="str">
        <f t="shared" si="181"/>
        <v>83 1 00 10020000</v>
      </c>
    </row>
    <row r="1640" spans="1:18" s="16" customFormat="1" ht="31.5">
      <c r="A1640" s="14"/>
      <c r="B1640" s="127" t="s">
        <v>20</v>
      </c>
      <c r="C1640" s="108" t="s">
        <v>410</v>
      </c>
      <c r="D1640" s="108" t="s">
        <v>86</v>
      </c>
      <c r="E1640" s="108" t="s">
        <v>86</v>
      </c>
      <c r="F1640" s="108" t="s">
        <v>901</v>
      </c>
      <c r="G1640" s="108" t="s">
        <v>21</v>
      </c>
      <c r="H1640" s="126">
        <f>SUM(H1641:H1642)</f>
        <v>0</v>
      </c>
      <c r="L1640" s="20">
        <v>41510.720000000001</v>
      </c>
      <c r="M1640" s="20">
        <v>41510.720000000001</v>
      </c>
      <c r="N1640" s="20">
        <v>41510.720000000001</v>
      </c>
      <c r="O1640" s="20">
        <f>H1640-L1640</f>
        <v>-41510.720000000001</v>
      </c>
      <c r="P1640" s="20" t="e">
        <f>#REF!-M1640</f>
        <v>#REF!</v>
      </c>
      <c r="Q1640" s="20" t="e">
        <f>#REF!-N1640</f>
        <v>#REF!</v>
      </c>
      <c r="R1640" s="17" t="str">
        <f t="shared" si="181"/>
        <v>83 1 00 10020120</v>
      </c>
    </row>
    <row r="1641" spans="1:18" s="23" customFormat="1" ht="31.5">
      <c r="A1641" s="21"/>
      <c r="B1641" s="127" t="s">
        <v>40</v>
      </c>
      <c r="C1641" s="108" t="s">
        <v>410</v>
      </c>
      <c r="D1641" s="108" t="s">
        <v>86</v>
      </c>
      <c r="E1641" s="108" t="s">
        <v>86</v>
      </c>
      <c r="F1641" s="108" t="s">
        <v>901</v>
      </c>
      <c r="G1641" s="108" t="s">
        <v>41</v>
      </c>
      <c r="H1641" s="126"/>
      <c r="L1641" s="22"/>
      <c r="M1641" s="22"/>
      <c r="N1641" s="22"/>
      <c r="O1641" s="22"/>
      <c r="P1641" s="22"/>
      <c r="Q1641" s="22"/>
      <c r="R1641" s="24"/>
    </row>
    <row r="1642" spans="1:18" s="23" customFormat="1" ht="63">
      <c r="A1642" s="21"/>
      <c r="B1642" s="127" t="s">
        <v>26</v>
      </c>
      <c r="C1642" s="108" t="s">
        <v>410</v>
      </c>
      <c r="D1642" s="108" t="s">
        <v>86</v>
      </c>
      <c r="E1642" s="108" t="s">
        <v>86</v>
      </c>
      <c r="F1642" s="108" t="s">
        <v>901</v>
      </c>
      <c r="G1642" s="108" t="s">
        <v>27</v>
      </c>
      <c r="H1642" s="126"/>
      <c r="L1642" s="22"/>
      <c r="M1642" s="22"/>
      <c r="N1642" s="22"/>
      <c r="O1642" s="22"/>
      <c r="P1642" s="22"/>
      <c r="Q1642" s="22"/>
      <c r="R1642" s="24"/>
    </row>
    <row r="1643" spans="1:18" s="16" customFormat="1" ht="15.75">
      <c r="A1643" s="14"/>
      <c r="B1643" s="117" t="s">
        <v>569</v>
      </c>
      <c r="C1643" s="118" t="s">
        <v>410</v>
      </c>
      <c r="D1643" s="119" t="s">
        <v>238</v>
      </c>
      <c r="E1643" s="119" t="s">
        <v>7</v>
      </c>
      <c r="F1643" s="119" t="s">
        <v>8</v>
      </c>
      <c r="G1643" s="119" t="s">
        <v>9</v>
      </c>
      <c r="H1643" s="120">
        <f>H1644</f>
        <v>0</v>
      </c>
      <c r="L1643" s="18">
        <v>1162.5</v>
      </c>
      <c r="M1643" s="18">
        <v>1162.5</v>
      </c>
      <c r="N1643" s="18">
        <v>1162.5</v>
      </c>
      <c r="O1643" s="18">
        <f t="shared" ref="O1643:O1649" si="191">H1643-L1643</f>
        <v>-1162.5</v>
      </c>
      <c r="P1643" s="18" t="e">
        <f>#REF!-M1643</f>
        <v>#REF!</v>
      </c>
      <c r="Q1643" s="18" t="e">
        <f>#REF!-N1643</f>
        <v>#REF!</v>
      </c>
      <c r="R1643" s="17" t="str">
        <f t="shared" ref="R1643:R1709" si="192">CONCATENATE(F1643,G1643)</f>
        <v>00 0 00 00000000</v>
      </c>
    </row>
    <row r="1644" spans="1:18" s="16" customFormat="1" ht="15.75">
      <c r="A1644" s="14"/>
      <c r="B1644" s="121" t="s">
        <v>239</v>
      </c>
      <c r="C1644" s="122" t="s">
        <v>410</v>
      </c>
      <c r="D1644" s="123" t="s">
        <v>238</v>
      </c>
      <c r="E1644" s="123" t="s">
        <v>11</v>
      </c>
      <c r="F1644" s="123" t="s">
        <v>8</v>
      </c>
      <c r="G1644" s="123" t="s">
        <v>9</v>
      </c>
      <c r="H1644" s="124">
        <f>H1645</f>
        <v>0</v>
      </c>
      <c r="L1644" s="19">
        <v>1162.5</v>
      </c>
      <c r="M1644" s="19">
        <v>1162.5</v>
      </c>
      <c r="N1644" s="19">
        <v>1162.5</v>
      </c>
      <c r="O1644" s="19">
        <f t="shared" si="191"/>
        <v>-1162.5</v>
      </c>
      <c r="P1644" s="19" t="e">
        <f>#REF!-M1644</f>
        <v>#REF!</v>
      </c>
      <c r="Q1644" s="19" t="e">
        <f>#REF!-N1644</f>
        <v>#REF!</v>
      </c>
      <c r="R1644" s="17" t="str">
        <f t="shared" si="192"/>
        <v>00 0 00 00000000</v>
      </c>
    </row>
    <row r="1645" spans="1:18" s="16" customFormat="1" ht="31.5">
      <c r="A1645" s="14"/>
      <c r="B1645" s="125" t="s">
        <v>240</v>
      </c>
      <c r="C1645" s="109" t="s">
        <v>410</v>
      </c>
      <c r="D1645" s="108" t="s">
        <v>238</v>
      </c>
      <c r="E1645" s="108" t="s">
        <v>11</v>
      </c>
      <c r="F1645" s="131" t="s">
        <v>241</v>
      </c>
      <c r="G1645" s="108" t="s">
        <v>9</v>
      </c>
      <c r="H1645" s="126">
        <f>H1646</f>
        <v>0</v>
      </c>
      <c r="L1645" s="20">
        <v>1162.5</v>
      </c>
      <c r="M1645" s="20">
        <v>1162.5</v>
      </c>
      <c r="N1645" s="20">
        <v>1162.5</v>
      </c>
      <c r="O1645" s="20">
        <f t="shared" si="191"/>
        <v>-1162.5</v>
      </c>
      <c r="P1645" s="20" t="e">
        <f>#REF!-M1645</f>
        <v>#REF!</v>
      </c>
      <c r="Q1645" s="20" t="e">
        <f>#REF!-N1645</f>
        <v>#REF!</v>
      </c>
      <c r="R1645" s="17" t="str">
        <f t="shared" si="192"/>
        <v>07 0 00 00000000</v>
      </c>
    </row>
    <row r="1646" spans="1:18" s="16" customFormat="1" ht="78.75">
      <c r="A1646" s="14"/>
      <c r="B1646" s="125" t="s">
        <v>384</v>
      </c>
      <c r="C1646" s="109" t="s">
        <v>410</v>
      </c>
      <c r="D1646" s="108" t="s">
        <v>238</v>
      </c>
      <c r="E1646" s="108" t="s">
        <v>11</v>
      </c>
      <c r="F1646" s="131" t="s">
        <v>243</v>
      </c>
      <c r="G1646" s="108" t="s">
        <v>9</v>
      </c>
      <c r="H1646" s="126">
        <f t="shared" ref="H1646:H1648" si="193">H1647</f>
        <v>0</v>
      </c>
      <c r="L1646" s="20">
        <v>1162.5</v>
      </c>
      <c r="M1646" s="20">
        <v>1162.5</v>
      </c>
      <c r="N1646" s="20">
        <v>1162.5</v>
      </c>
      <c r="O1646" s="20">
        <f t="shared" si="191"/>
        <v>-1162.5</v>
      </c>
      <c r="P1646" s="20" t="e">
        <f>#REF!-M1646</f>
        <v>#REF!</v>
      </c>
      <c r="Q1646" s="20" t="e">
        <f>#REF!-N1646</f>
        <v>#REF!</v>
      </c>
      <c r="R1646" s="17" t="str">
        <f t="shared" si="192"/>
        <v>07 1 00 00000000</v>
      </c>
    </row>
    <row r="1647" spans="1:18" s="16" customFormat="1" ht="110.25">
      <c r="A1647" s="14"/>
      <c r="B1647" s="125" t="s">
        <v>244</v>
      </c>
      <c r="C1647" s="109" t="s">
        <v>410</v>
      </c>
      <c r="D1647" s="108" t="s">
        <v>238</v>
      </c>
      <c r="E1647" s="108" t="s">
        <v>11</v>
      </c>
      <c r="F1647" s="131" t="s">
        <v>245</v>
      </c>
      <c r="G1647" s="108" t="s">
        <v>9</v>
      </c>
      <c r="H1647" s="126">
        <f t="shared" si="193"/>
        <v>0</v>
      </c>
      <c r="L1647" s="20">
        <v>1162.5</v>
      </c>
      <c r="M1647" s="20">
        <v>1162.5</v>
      </c>
      <c r="N1647" s="20">
        <v>1162.5</v>
      </c>
      <c r="O1647" s="20">
        <f t="shared" si="191"/>
        <v>-1162.5</v>
      </c>
      <c r="P1647" s="20" t="e">
        <f>#REF!-M1647</f>
        <v>#REF!</v>
      </c>
      <c r="Q1647" s="20" t="e">
        <f>#REF!-N1647</f>
        <v>#REF!</v>
      </c>
      <c r="R1647" s="17" t="str">
        <f t="shared" si="192"/>
        <v>07 1 01 00000000</v>
      </c>
    </row>
    <row r="1648" spans="1:18" s="16" customFormat="1" ht="31.5">
      <c r="A1648" s="14"/>
      <c r="B1648" s="125" t="s">
        <v>246</v>
      </c>
      <c r="C1648" s="109" t="s">
        <v>410</v>
      </c>
      <c r="D1648" s="108" t="s">
        <v>238</v>
      </c>
      <c r="E1648" s="108" t="s">
        <v>11</v>
      </c>
      <c r="F1648" s="131" t="s">
        <v>247</v>
      </c>
      <c r="G1648" s="108" t="s">
        <v>9</v>
      </c>
      <c r="H1648" s="126">
        <f t="shared" si="193"/>
        <v>0</v>
      </c>
      <c r="L1648" s="20">
        <v>1162.5</v>
      </c>
      <c r="M1648" s="20">
        <v>1162.5</v>
      </c>
      <c r="N1648" s="20">
        <v>1162.5</v>
      </c>
      <c r="O1648" s="20">
        <f t="shared" si="191"/>
        <v>-1162.5</v>
      </c>
      <c r="P1648" s="20" t="e">
        <f>#REF!-M1648</f>
        <v>#REF!</v>
      </c>
      <c r="Q1648" s="20" t="e">
        <f>#REF!-N1648</f>
        <v>#REF!</v>
      </c>
      <c r="R1648" s="17" t="str">
        <f t="shared" si="192"/>
        <v>07 1 01 20060000</v>
      </c>
    </row>
    <row r="1649" spans="1:18" s="16" customFormat="1" ht="31.5">
      <c r="A1649" s="14"/>
      <c r="B1649" s="127" t="s">
        <v>28</v>
      </c>
      <c r="C1649" s="109" t="s">
        <v>410</v>
      </c>
      <c r="D1649" s="108" t="s">
        <v>238</v>
      </c>
      <c r="E1649" s="108" t="s">
        <v>11</v>
      </c>
      <c r="F1649" s="131" t="s">
        <v>247</v>
      </c>
      <c r="G1649" s="108" t="s">
        <v>29</v>
      </c>
      <c r="H1649" s="126">
        <f>H1650</f>
        <v>0</v>
      </c>
      <c r="L1649" s="20">
        <v>1162.5</v>
      </c>
      <c r="M1649" s="20">
        <v>1162.5</v>
      </c>
      <c r="N1649" s="20">
        <v>1162.5</v>
      </c>
      <c r="O1649" s="20">
        <f t="shared" si="191"/>
        <v>-1162.5</v>
      </c>
      <c r="P1649" s="20" t="e">
        <f>#REF!-M1649</f>
        <v>#REF!</v>
      </c>
      <c r="Q1649" s="20" t="e">
        <f>#REF!-N1649</f>
        <v>#REF!</v>
      </c>
      <c r="R1649" s="17" t="str">
        <f t="shared" si="192"/>
        <v>07 1 01 20060240</v>
      </c>
    </row>
    <row r="1650" spans="1:18" s="16" customFormat="1" ht="15.75">
      <c r="A1650" s="14"/>
      <c r="B1650" s="125" t="s">
        <v>30</v>
      </c>
      <c r="C1650" s="109" t="s">
        <v>410</v>
      </c>
      <c r="D1650" s="108" t="s">
        <v>238</v>
      </c>
      <c r="E1650" s="108" t="s">
        <v>11</v>
      </c>
      <c r="F1650" s="108" t="s">
        <v>247</v>
      </c>
      <c r="G1650" s="108" t="s">
        <v>31</v>
      </c>
      <c r="H1650" s="126"/>
      <c r="L1650" s="20"/>
      <c r="M1650" s="20"/>
      <c r="N1650" s="20"/>
      <c r="O1650" s="20"/>
      <c r="P1650" s="20"/>
      <c r="Q1650" s="20"/>
      <c r="R1650" s="17"/>
    </row>
    <row r="1651" spans="1:18" s="16" customFormat="1" ht="15.75">
      <c r="A1651" s="14"/>
      <c r="B1651" s="117" t="s">
        <v>316</v>
      </c>
      <c r="C1651" s="118" t="s">
        <v>410</v>
      </c>
      <c r="D1651" s="119" t="s">
        <v>317</v>
      </c>
      <c r="E1651" s="119" t="s">
        <v>7</v>
      </c>
      <c r="F1651" s="119" t="s">
        <v>8</v>
      </c>
      <c r="G1651" s="119" t="s">
        <v>9</v>
      </c>
      <c r="H1651" s="120">
        <f>H1652</f>
        <v>0</v>
      </c>
      <c r="L1651" s="18">
        <v>23485.78</v>
      </c>
      <c r="M1651" s="18">
        <v>23485.78</v>
      </c>
      <c r="N1651" s="18">
        <v>24399.690000000002</v>
      </c>
      <c r="O1651" s="18">
        <f t="shared" ref="O1651:O1657" si="194">H1651-L1651</f>
        <v>-23485.78</v>
      </c>
      <c r="P1651" s="18" t="e">
        <f>#REF!-M1651</f>
        <v>#REF!</v>
      </c>
      <c r="Q1651" s="18" t="e">
        <f>#REF!-N1651</f>
        <v>#REF!</v>
      </c>
      <c r="R1651" s="17" t="str">
        <f t="shared" si="192"/>
        <v>00 0 00 00000000</v>
      </c>
    </row>
    <row r="1652" spans="1:18" s="16" customFormat="1" ht="15.75">
      <c r="A1652" s="14"/>
      <c r="B1652" s="121" t="s">
        <v>318</v>
      </c>
      <c r="C1652" s="122" t="s">
        <v>410</v>
      </c>
      <c r="D1652" s="123">
        <v>10</v>
      </c>
      <c r="E1652" s="123" t="s">
        <v>13</v>
      </c>
      <c r="F1652" s="123" t="s">
        <v>8</v>
      </c>
      <c r="G1652" s="123" t="s">
        <v>9</v>
      </c>
      <c r="H1652" s="124">
        <f>H1653</f>
        <v>0</v>
      </c>
      <c r="L1652" s="19">
        <v>23485.78</v>
      </c>
      <c r="M1652" s="19">
        <v>23485.78</v>
      </c>
      <c r="N1652" s="19">
        <v>24399.690000000002</v>
      </c>
      <c r="O1652" s="19">
        <f t="shared" si="194"/>
        <v>-23485.78</v>
      </c>
      <c r="P1652" s="19" t="e">
        <f>#REF!-M1652</f>
        <v>#REF!</v>
      </c>
      <c r="Q1652" s="19" t="e">
        <f>#REF!-N1652</f>
        <v>#REF!</v>
      </c>
      <c r="R1652" s="17" t="str">
        <f t="shared" si="192"/>
        <v>00 0 00 00000000</v>
      </c>
    </row>
    <row r="1653" spans="1:18" s="16" customFormat="1" ht="31.5">
      <c r="A1653" s="14"/>
      <c r="B1653" s="135" t="s">
        <v>385</v>
      </c>
      <c r="C1653" s="131" t="s">
        <v>410</v>
      </c>
      <c r="D1653" s="131">
        <v>10</v>
      </c>
      <c r="E1653" s="131" t="s">
        <v>13</v>
      </c>
      <c r="F1653" s="131" t="s">
        <v>386</v>
      </c>
      <c r="G1653" s="131" t="s">
        <v>9</v>
      </c>
      <c r="H1653" s="105">
        <f>H1654</f>
        <v>0</v>
      </c>
      <c r="L1653" s="26">
        <v>23485.78</v>
      </c>
      <c r="M1653" s="26">
        <v>23485.78</v>
      </c>
      <c r="N1653" s="26">
        <v>24399.690000000002</v>
      </c>
      <c r="O1653" s="26">
        <f t="shared" si="194"/>
        <v>-23485.78</v>
      </c>
      <c r="P1653" s="26" t="e">
        <f>#REF!-M1653</f>
        <v>#REF!</v>
      </c>
      <c r="Q1653" s="26" t="e">
        <f>#REF!-N1653</f>
        <v>#REF!</v>
      </c>
      <c r="R1653" s="17" t="str">
        <f t="shared" si="192"/>
        <v>03 0 00 00000000</v>
      </c>
    </row>
    <row r="1654" spans="1:18" s="16" customFormat="1" ht="63">
      <c r="A1654" s="14"/>
      <c r="B1654" s="135" t="s">
        <v>387</v>
      </c>
      <c r="C1654" s="131" t="s">
        <v>410</v>
      </c>
      <c r="D1654" s="131">
        <v>10</v>
      </c>
      <c r="E1654" s="131" t="s">
        <v>13</v>
      </c>
      <c r="F1654" s="131" t="s">
        <v>388</v>
      </c>
      <c r="G1654" s="131" t="s">
        <v>9</v>
      </c>
      <c r="H1654" s="105">
        <f>H1655+H1659</f>
        <v>0</v>
      </c>
      <c r="L1654" s="26">
        <v>23485.78</v>
      </c>
      <c r="M1654" s="26">
        <v>23485.78</v>
      </c>
      <c r="N1654" s="26">
        <v>24399.690000000002</v>
      </c>
      <c r="O1654" s="26">
        <f t="shared" si="194"/>
        <v>-23485.78</v>
      </c>
      <c r="P1654" s="26" t="e">
        <f>#REF!-M1654</f>
        <v>#REF!</v>
      </c>
      <c r="Q1654" s="26" t="e">
        <f>#REF!-N1654</f>
        <v>#REF!</v>
      </c>
      <c r="R1654" s="17" t="str">
        <f t="shared" si="192"/>
        <v>03 2 00 00000000</v>
      </c>
    </row>
    <row r="1655" spans="1:18" s="16" customFormat="1" ht="63">
      <c r="A1655" s="14"/>
      <c r="B1655" s="129" t="s">
        <v>902</v>
      </c>
      <c r="C1655" s="131" t="s">
        <v>410</v>
      </c>
      <c r="D1655" s="131">
        <v>10</v>
      </c>
      <c r="E1655" s="131" t="s">
        <v>13</v>
      </c>
      <c r="F1655" s="131" t="s">
        <v>903</v>
      </c>
      <c r="G1655" s="131" t="s">
        <v>9</v>
      </c>
      <c r="H1655" s="105">
        <f t="shared" ref="H1655:H1656" si="195">H1656</f>
        <v>0</v>
      </c>
      <c r="L1655" s="26">
        <v>2109.2600000000002</v>
      </c>
      <c r="M1655" s="26">
        <v>2109.2600000000002</v>
      </c>
      <c r="N1655" s="26">
        <v>2109.2600000000002</v>
      </c>
      <c r="O1655" s="26">
        <f t="shared" si="194"/>
        <v>-2109.2600000000002</v>
      </c>
      <c r="P1655" s="26" t="e">
        <f>#REF!-M1655</f>
        <v>#REF!</v>
      </c>
      <c r="Q1655" s="26" t="e">
        <f>#REF!-N1655</f>
        <v>#REF!</v>
      </c>
      <c r="R1655" s="17" t="str">
        <f t="shared" si="192"/>
        <v>03 2 03 00000000</v>
      </c>
    </row>
    <row r="1656" spans="1:18" s="16" customFormat="1" ht="63">
      <c r="A1656" s="14"/>
      <c r="B1656" s="125" t="s">
        <v>904</v>
      </c>
      <c r="C1656" s="108" t="s">
        <v>410</v>
      </c>
      <c r="D1656" s="108">
        <v>10</v>
      </c>
      <c r="E1656" s="108" t="s">
        <v>13</v>
      </c>
      <c r="F1656" s="108" t="s">
        <v>905</v>
      </c>
      <c r="G1656" s="108" t="s">
        <v>9</v>
      </c>
      <c r="H1656" s="126">
        <f t="shared" si="195"/>
        <v>0</v>
      </c>
      <c r="L1656" s="20">
        <v>2109.2600000000002</v>
      </c>
      <c r="M1656" s="20">
        <v>2109.2600000000002</v>
      </c>
      <c r="N1656" s="20">
        <v>2109.2600000000002</v>
      </c>
      <c r="O1656" s="20">
        <f t="shared" si="194"/>
        <v>-2109.2600000000002</v>
      </c>
      <c r="P1656" s="20" t="e">
        <f>#REF!-M1656</f>
        <v>#REF!</v>
      </c>
      <c r="Q1656" s="20" t="e">
        <f>#REF!-N1656</f>
        <v>#REF!</v>
      </c>
      <c r="R1656" s="17" t="str">
        <f t="shared" si="192"/>
        <v>03 2 03 80020000</v>
      </c>
    </row>
    <row r="1657" spans="1:18" s="16" customFormat="1" ht="63">
      <c r="A1657" s="14"/>
      <c r="B1657" s="125" t="s">
        <v>203</v>
      </c>
      <c r="C1657" s="108" t="s">
        <v>410</v>
      </c>
      <c r="D1657" s="108">
        <v>10</v>
      </c>
      <c r="E1657" s="108" t="s">
        <v>13</v>
      </c>
      <c r="F1657" s="108" t="s">
        <v>905</v>
      </c>
      <c r="G1657" s="108" t="s">
        <v>204</v>
      </c>
      <c r="H1657" s="126">
        <f>H1658</f>
        <v>0</v>
      </c>
      <c r="L1657" s="20">
        <v>2109.2600000000002</v>
      </c>
      <c r="M1657" s="20">
        <v>2109.2600000000002</v>
      </c>
      <c r="N1657" s="20">
        <v>2109.2600000000002</v>
      </c>
      <c r="O1657" s="20">
        <f t="shared" si="194"/>
        <v>-2109.2600000000002</v>
      </c>
      <c r="P1657" s="20" t="e">
        <f>#REF!-M1657</f>
        <v>#REF!</v>
      </c>
      <c r="Q1657" s="20" t="e">
        <f>#REF!-N1657</f>
        <v>#REF!</v>
      </c>
      <c r="R1657" s="17" t="str">
        <f t="shared" si="192"/>
        <v>03 2 03 80020810</v>
      </c>
    </row>
    <row r="1658" spans="1:18" s="16" customFormat="1" ht="63">
      <c r="A1658" s="14"/>
      <c r="B1658" s="125" t="s">
        <v>205</v>
      </c>
      <c r="C1658" s="108" t="s">
        <v>410</v>
      </c>
      <c r="D1658" s="108">
        <v>10</v>
      </c>
      <c r="E1658" s="108" t="s">
        <v>13</v>
      </c>
      <c r="F1658" s="108" t="s">
        <v>905</v>
      </c>
      <c r="G1658" s="108" t="s">
        <v>206</v>
      </c>
      <c r="H1658" s="126"/>
      <c r="L1658" s="20"/>
      <c r="M1658" s="20"/>
      <c r="N1658" s="20"/>
      <c r="O1658" s="20"/>
      <c r="P1658" s="20"/>
      <c r="Q1658" s="20"/>
      <c r="R1658" s="17" t="str">
        <f t="shared" si="192"/>
        <v>03 2 03 80020811</v>
      </c>
    </row>
    <row r="1659" spans="1:18" s="16" customFormat="1" ht="78.75">
      <c r="A1659" s="14"/>
      <c r="B1659" s="129" t="s">
        <v>906</v>
      </c>
      <c r="C1659" s="131" t="s">
        <v>410</v>
      </c>
      <c r="D1659" s="131">
        <v>10</v>
      </c>
      <c r="E1659" s="131" t="s">
        <v>13</v>
      </c>
      <c r="F1659" s="131" t="s">
        <v>907</v>
      </c>
      <c r="G1659" s="131" t="s">
        <v>9</v>
      </c>
      <c r="H1659" s="105">
        <f t="shared" ref="H1659:H1660" si="196">H1660</f>
        <v>0</v>
      </c>
      <c r="L1659" s="26">
        <v>21376.52</v>
      </c>
      <c r="M1659" s="26">
        <v>21376.52</v>
      </c>
      <c r="N1659" s="26">
        <v>22290.43</v>
      </c>
      <c r="O1659" s="26">
        <f>H1659-L1659</f>
        <v>-21376.52</v>
      </c>
      <c r="P1659" s="26" t="e">
        <f>#REF!-M1659</f>
        <v>#REF!</v>
      </c>
      <c r="Q1659" s="26" t="e">
        <f>#REF!-N1659</f>
        <v>#REF!</v>
      </c>
      <c r="R1659" s="17" t="str">
        <f t="shared" si="192"/>
        <v>03 2 04 00000000</v>
      </c>
    </row>
    <row r="1660" spans="1:18" s="16" customFormat="1" ht="63">
      <c r="A1660" s="14"/>
      <c r="B1660" s="125" t="s">
        <v>908</v>
      </c>
      <c r="C1660" s="108" t="s">
        <v>410</v>
      </c>
      <c r="D1660" s="108">
        <v>10</v>
      </c>
      <c r="E1660" s="108" t="s">
        <v>13</v>
      </c>
      <c r="F1660" s="108" t="s">
        <v>909</v>
      </c>
      <c r="G1660" s="108" t="s">
        <v>9</v>
      </c>
      <c r="H1660" s="126">
        <f t="shared" si="196"/>
        <v>0</v>
      </c>
      <c r="L1660" s="20">
        <v>21376.52</v>
      </c>
      <c r="M1660" s="20">
        <v>21376.52</v>
      </c>
      <c r="N1660" s="20">
        <v>22290.43</v>
      </c>
      <c r="O1660" s="20">
        <f>H1660-L1660</f>
        <v>-21376.52</v>
      </c>
      <c r="P1660" s="20" t="e">
        <f>#REF!-M1660</f>
        <v>#REF!</v>
      </c>
      <c r="Q1660" s="20" t="e">
        <f>#REF!-N1660</f>
        <v>#REF!</v>
      </c>
      <c r="R1660" s="17" t="str">
        <f t="shared" si="192"/>
        <v>03 2 04 80220000</v>
      </c>
    </row>
    <row r="1661" spans="1:18" s="16" customFormat="1" ht="63">
      <c r="A1661" s="14"/>
      <c r="B1661" s="125" t="s">
        <v>203</v>
      </c>
      <c r="C1661" s="108" t="s">
        <v>410</v>
      </c>
      <c r="D1661" s="108">
        <v>10</v>
      </c>
      <c r="E1661" s="108" t="s">
        <v>13</v>
      </c>
      <c r="F1661" s="108" t="s">
        <v>909</v>
      </c>
      <c r="G1661" s="108" t="s">
        <v>204</v>
      </c>
      <c r="H1661" s="126">
        <f>H1662</f>
        <v>0</v>
      </c>
      <c r="L1661" s="20">
        <v>21376.52</v>
      </c>
      <c r="M1661" s="20">
        <v>21376.52</v>
      </c>
      <c r="N1661" s="20">
        <v>22290.43</v>
      </c>
      <c r="O1661" s="20">
        <f>H1661-L1661</f>
        <v>-21376.52</v>
      </c>
      <c r="P1661" s="20" t="e">
        <f>#REF!-M1661</f>
        <v>#REF!</v>
      </c>
      <c r="Q1661" s="20" t="e">
        <f>#REF!-N1661</f>
        <v>#REF!</v>
      </c>
      <c r="R1661" s="17" t="str">
        <f t="shared" si="192"/>
        <v>03 2 04 80220810</v>
      </c>
    </row>
    <row r="1662" spans="1:18" s="16" customFormat="1" ht="110.25">
      <c r="A1662" s="14"/>
      <c r="B1662" s="125" t="s">
        <v>207</v>
      </c>
      <c r="C1662" s="108" t="s">
        <v>410</v>
      </c>
      <c r="D1662" s="108">
        <v>10</v>
      </c>
      <c r="E1662" s="108" t="s">
        <v>13</v>
      </c>
      <c r="F1662" s="108" t="s">
        <v>909</v>
      </c>
      <c r="G1662" s="108" t="s">
        <v>208</v>
      </c>
      <c r="H1662" s="126"/>
      <c r="L1662" s="20"/>
      <c r="M1662" s="20"/>
      <c r="N1662" s="20"/>
      <c r="O1662" s="20"/>
      <c r="P1662" s="20"/>
      <c r="Q1662" s="20"/>
      <c r="R1662" s="17" t="str">
        <f t="shared" si="192"/>
        <v>03 2 04 80220812</v>
      </c>
    </row>
    <row r="1663" spans="1:18" s="16" customFormat="1" ht="15.75">
      <c r="A1663" s="14"/>
      <c r="B1663" s="132"/>
      <c r="C1663" s="131"/>
      <c r="D1663" s="131"/>
      <c r="E1663" s="131"/>
      <c r="F1663" s="131"/>
      <c r="G1663" s="131"/>
      <c r="H1663" s="105"/>
      <c r="L1663" s="26"/>
      <c r="M1663" s="26"/>
      <c r="N1663" s="26"/>
      <c r="O1663" s="26">
        <f t="shared" ref="O1663:O1670" si="197">H1663-L1663</f>
        <v>0</v>
      </c>
      <c r="P1663" s="26" t="e">
        <f>#REF!-M1663</f>
        <v>#REF!</v>
      </c>
      <c r="Q1663" s="26" t="e">
        <f>#REF!-N1663</f>
        <v>#REF!</v>
      </c>
      <c r="R1663" s="17" t="str">
        <f t="shared" si="192"/>
        <v/>
      </c>
    </row>
    <row r="1664" spans="1:18" s="16" customFormat="1" ht="31.5">
      <c r="A1664" s="14"/>
      <c r="B1664" s="67" t="s">
        <v>910</v>
      </c>
      <c r="C1664" s="116" t="s">
        <v>412</v>
      </c>
      <c r="D1664" s="69" t="s">
        <v>7</v>
      </c>
      <c r="E1664" s="69" t="s">
        <v>7</v>
      </c>
      <c r="F1664" s="69" t="s">
        <v>8</v>
      </c>
      <c r="G1664" s="69" t="s">
        <v>9</v>
      </c>
      <c r="H1664" s="70">
        <f>H1665+H1692+H1717+H1725+H1709</f>
        <v>0</v>
      </c>
      <c r="L1664" s="25">
        <v>70127.8</v>
      </c>
      <c r="M1664" s="25">
        <v>89106.85</v>
      </c>
      <c r="N1664" s="25">
        <v>80479.070000000007</v>
      </c>
      <c r="O1664" s="25">
        <f t="shared" si="197"/>
        <v>-70127.8</v>
      </c>
      <c r="P1664" s="25" t="e">
        <f>#REF!-M1664</f>
        <v>#REF!</v>
      </c>
      <c r="Q1664" s="25" t="e">
        <f>#REF!-N1664</f>
        <v>#REF!</v>
      </c>
      <c r="R1664" s="17" t="str">
        <f t="shared" si="192"/>
        <v>00 0 00 00000000</v>
      </c>
    </row>
    <row r="1665" spans="1:18" s="16" customFormat="1" ht="15.75">
      <c r="A1665" s="14"/>
      <c r="B1665" s="117" t="s">
        <v>10</v>
      </c>
      <c r="C1665" s="118" t="s">
        <v>412</v>
      </c>
      <c r="D1665" s="119" t="s">
        <v>11</v>
      </c>
      <c r="E1665" s="119" t="s">
        <v>7</v>
      </c>
      <c r="F1665" s="119" t="s">
        <v>8</v>
      </c>
      <c r="G1665" s="119" t="s">
        <v>9</v>
      </c>
      <c r="H1665" s="120">
        <f>H1666</f>
        <v>0</v>
      </c>
      <c r="L1665" s="18">
        <v>51015.950000000004</v>
      </c>
      <c r="M1665" s="18">
        <v>51015.950000000004</v>
      </c>
      <c r="N1665" s="18">
        <v>51015.950000000004</v>
      </c>
      <c r="O1665" s="18">
        <f t="shared" si="197"/>
        <v>-51015.950000000004</v>
      </c>
      <c r="P1665" s="18" t="e">
        <f>#REF!-M1665</f>
        <v>#REF!</v>
      </c>
      <c r="Q1665" s="18" t="e">
        <f>#REF!-N1665</f>
        <v>#REF!</v>
      </c>
      <c r="R1665" s="17" t="str">
        <f t="shared" si="192"/>
        <v>00 0 00 00000000</v>
      </c>
    </row>
    <row r="1666" spans="1:18" s="16" customFormat="1" ht="15.75">
      <c r="A1666" s="14"/>
      <c r="B1666" s="121" t="s">
        <v>50</v>
      </c>
      <c r="C1666" s="122" t="s">
        <v>412</v>
      </c>
      <c r="D1666" s="123" t="s">
        <v>11</v>
      </c>
      <c r="E1666" s="123" t="s">
        <v>51</v>
      </c>
      <c r="F1666" s="123" t="s">
        <v>8</v>
      </c>
      <c r="G1666" s="123" t="s">
        <v>9</v>
      </c>
      <c r="H1666" s="124">
        <f>H1667</f>
        <v>0</v>
      </c>
      <c r="L1666" s="19">
        <v>51015.950000000004</v>
      </c>
      <c r="M1666" s="19">
        <v>51015.950000000004</v>
      </c>
      <c r="N1666" s="19">
        <v>51015.950000000004</v>
      </c>
      <c r="O1666" s="19">
        <f t="shared" si="197"/>
        <v>-51015.950000000004</v>
      </c>
      <c r="P1666" s="19" t="e">
        <f>#REF!-M1666</f>
        <v>#REF!</v>
      </c>
      <c r="Q1666" s="19" t="e">
        <f>#REF!-N1666</f>
        <v>#REF!</v>
      </c>
      <c r="R1666" s="17" t="str">
        <f t="shared" si="192"/>
        <v>00 0 00 00000000</v>
      </c>
    </row>
    <row r="1667" spans="1:18" s="16" customFormat="1" ht="31.5">
      <c r="A1667" s="14"/>
      <c r="B1667" s="164" t="s">
        <v>911</v>
      </c>
      <c r="C1667" s="109" t="s">
        <v>412</v>
      </c>
      <c r="D1667" s="108" t="s">
        <v>11</v>
      </c>
      <c r="E1667" s="108" t="s">
        <v>51</v>
      </c>
      <c r="F1667" s="108" t="s">
        <v>912</v>
      </c>
      <c r="G1667" s="108" t="s">
        <v>9</v>
      </c>
      <c r="H1667" s="126">
        <f>H1668+H1683</f>
        <v>0</v>
      </c>
      <c r="L1667" s="20">
        <v>51015.950000000004</v>
      </c>
      <c r="M1667" s="20">
        <v>51015.950000000004</v>
      </c>
      <c r="N1667" s="20">
        <v>51015.950000000004</v>
      </c>
      <c r="O1667" s="20">
        <f t="shared" si="197"/>
        <v>-51015.950000000004</v>
      </c>
      <c r="P1667" s="20" t="e">
        <f>#REF!-M1667</f>
        <v>#REF!</v>
      </c>
      <c r="Q1667" s="20" t="e">
        <f>#REF!-N1667</f>
        <v>#REF!</v>
      </c>
      <c r="R1667" s="17" t="str">
        <f t="shared" si="192"/>
        <v>84 0 00 00000000</v>
      </c>
    </row>
    <row r="1668" spans="1:18" s="16" customFormat="1" ht="47.25">
      <c r="A1668" s="14"/>
      <c r="B1668" s="164" t="s">
        <v>913</v>
      </c>
      <c r="C1668" s="109" t="s">
        <v>412</v>
      </c>
      <c r="D1668" s="108" t="s">
        <v>11</v>
      </c>
      <c r="E1668" s="108" t="s">
        <v>51</v>
      </c>
      <c r="F1668" s="108" t="s">
        <v>914</v>
      </c>
      <c r="G1668" s="108" t="s">
        <v>9</v>
      </c>
      <c r="H1668" s="126">
        <f>H1669+H1679</f>
        <v>0</v>
      </c>
      <c r="L1668" s="20">
        <v>46915.950000000004</v>
      </c>
      <c r="M1668" s="20">
        <v>46915.950000000004</v>
      </c>
      <c r="N1668" s="20">
        <v>46915.950000000004</v>
      </c>
      <c r="O1668" s="20">
        <f t="shared" si="197"/>
        <v>-46915.950000000004</v>
      </c>
      <c r="P1668" s="20" t="e">
        <f>#REF!-M1668</f>
        <v>#REF!</v>
      </c>
      <c r="Q1668" s="20" t="e">
        <f>#REF!-N1668</f>
        <v>#REF!</v>
      </c>
      <c r="R1668" s="17" t="str">
        <f t="shared" si="192"/>
        <v>84 1 00 00000000</v>
      </c>
    </row>
    <row r="1669" spans="1:18" s="16" customFormat="1" ht="31.5">
      <c r="A1669" s="14"/>
      <c r="B1669" s="164" t="s">
        <v>18</v>
      </c>
      <c r="C1669" s="109" t="s">
        <v>412</v>
      </c>
      <c r="D1669" s="108" t="s">
        <v>11</v>
      </c>
      <c r="E1669" s="108" t="s">
        <v>51</v>
      </c>
      <c r="F1669" s="108" t="s">
        <v>915</v>
      </c>
      <c r="G1669" s="108" t="s">
        <v>9</v>
      </c>
      <c r="H1669" s="126">
        <f>H1670+H1673+H1675</f>
        <v>0</v>
      </c>
      <c r="L1669" s="20">
        <v>4084.58</v>
      </c>
      <c r="M1669" s="20">
        <v>4084.58</v>
      </c>
      <c r="N1669" s="20">
        <v>4084.58</v>
      </c>
      <c r="O1669" s="20">
        <f t="shared" si="197"/>
        <v>-4084.58</v>
      </c>
      <c r="P1669" s="20" t="e">
        <f>#REF!-M1669</f>
        <v>#REF!</v>
      </c>
      <c r="Q1669" s="20" t="e">
        <f>#REF!-N1669</f>
        <v>#REF!</v>
      </c>
      <c r="R1669" s="17" t="str">
        <f t="shared" si="192"/>
        <v>84 1 00 10010000</v>
      </c>
    </row>
    <row r="1670" spans="1:18" s="16" customFormat="1" ht="31.5">
      <c r="A1670" s="14"/>
      <c r="B1670" s="164" t="s">
        <v>20</v>
      </c>
      <c r="C1670" s="109" t="s">
        <v>412</v>
      </c>
      <c r="D1670" s="108" t="s">
        <v>11</v>
      </c>
      <c r="E1670" s="108" t="s">
        <v>51</v>
      </c>
      <c r="F1670" s="108" t="s">
        <v>915</v>
      </c>
      <c r="G1670" s="108" t="s">
        <v>21</v>
      </c>
      <c r="H1670" s="126">
        <f>SUM(H1671:H1672)</f>
        <v>0</v>
      </c>
      <c r="L1670" s="20">
        <v>994.43</v>
      </c>
      <c r="M1670" s="20">
        <v>994.43</v>
      </c>
      <c r="N1670" s="20">
        <v>994.43</v>
      </c>
      <c r="O1670" s="20">
        <f t="shared" si="197"/>
        <v>-994.43</v>
      </c>
      <c r="P1670" s="20" t="e">
        <f>#REF!-M1670</f>
        <v>#REF!</v>
      </c>
      <c r="Q1670" s="20" t="e">
        <f>#REF!-N1670</f>
        <v>#REF!</v>
      </c>
      <c r="R1670" s="17" t="str">
        <f t="shared" si="192"/>
        <v>84 1 00 10010120</v>
      </c>
    </row>
    <row r="1671" spans="1:18" s="23" customFormat="1" ht="47.25">
      <c r="A1671" s="21"/>
      <c r="B1671" s="127" t="s">
        <v>22</v>
      </c>
      <c r="C1671" s="109" t="s">
        <v>412</v>
      </c>
      <c r="D1671" s="108" t="s">
        <v>11</v>
      </c>
      <c r="E1671" s="108" t="s">
        <v>51</v>
      </c>
      <c r="F1671" s="108" t="s">
        <v>915</v>
      </c>
      <c r="G1671" s="108" t="s">
        <v>23</v>
      </c>
      <c r="H1671" s="126"/>
      <c r="L1671" s="22"/>
      <c r="M1671" s="22"/>
      <c r="N1671" s="22"/>
      <c r="O1671" s="22"/>
      <c r="P1671" s="22"/>
      <c r="Q1671" s="22"/>
      <c r="R1671" s="24"/>
    </row>
    <row r="1672" spans="1:18" s="23" customFormat="1" ht="63">
      <c r="A1672" s="21"/>
      <c r="B1672" s="127" t="s">
        <v>26</v>
      </c>
      <c r="C1672" s="109" t="s">
        <v>412</v>
      </c>
      <c r="D1672" s="108" t="s">
        <v>11</v>
      </c>
      <c r="E1672" s="108" t="s">
        <v>51</v>
      </c>
      <c r="F1672" s="108" t="s">
        <v>915</v>
      </c>
      <c r="G1672" s="108" t="s">
        <v>27</v>
      </c>
      <c r="H1672" s="126"/>
      <c r="L1672" s="22"/>
      <c r="M1672" s="22"/>
      <c r="N1672" s="22"/>
      <c r="O1672" s="22"/>
      <c r="P1672" s="22"/>
      <c r="Q1672" s="22"/>
      <c r="R1672" s="24"/>
    </row>
    <row r="1673" spans="1:18" s="16" customFormat="1" ht="31.5">
      <c r="A1673" s="14"/>
      <c r="B1673" s="164" t="s">
        <v>28</v>
      </c>
      <c r="C1673" s="109" t="s">
        <v>412</v>
      </c>
      <c r="D1673" s="108" t="s">
        <v>11</v>
      </c>
      <c r="E1673" s="108" t="s">
        <v>51</v>
      </c>
      <c r="F1673" s="108" t="s">
        <v>915</v>
      </c>
      <c r="G1673" s="108" t="s">
        <v>29</v>
      </c>
      <c r="H1673" s="126">
        <f>H1674</f>
        <v>0</v>
      </c>
      <c r="L1673" s="20">
        <v>2863.85</v>
      </c>
      <c r="M1673" s="20">
        <v>2863.85</v>
      </c>
      <c r="N1673" s="20">
        <v>2863.85</v>
      </c>
      <c r="O1673" s="20">
        <f>H1673-L1673</f>
        <v>-2863.85</v>
      </c>
      <c r="P1673" s="20" t="e">
        <f>#REF!-M1673</f>
        <v>#REF!</v>
      </c>
      <c r="Q1673" s="20" t="e">
        <f>#REF!-N1673</f>
        <v>#REF!</v>
      </c>
      <c r="R1673" s="17" t="str">
        <f t="shared" si="192"/>
        <v>84 1 00 10010240</v>
      </c>
    </row>
    <row r="1674" spans="1:18" s="16" customFormat="1" ht="15.75">
      <c r="A1674" s="14"/>
      <c r="B1674" s="125" t="s">
        <v>30</v>
      </c>
      <c r="C1674" s="109" t="s">
        <v>412</v>
      </c>
      <c r="D1674" s="108" t="s">
        <v>11</v>
      </c>
      <c r="E1674" s="108" t="s">
        <v>51</v>
      </c>
      <c r="F1674" s="108" t="s">
        <v>915</v>
      </c>
      <c r="G1674" s="108" t="s">
        <v>31</v>
      </c>
      <c r="H1674" s="126"/>
      <c r="L1674" s="20"/>
      <c r="M1674" s="20"/>
      <c r="N1674" s="20"/>
      <c r="O1674" s="20"/>
      <c r="P1674" s="20"/>
      <c r="Q1674" s="20"/>
      <c r="R1674" s="17"/>
    </row>
    <row r="1675" spans="1:18" s="16" customFormat="1" ht="15.75">
      <c r="A1675" s="14"/>
      <c r="B1675" s="164" t="s">
        <v>32</v>
      </c>
      <c r="C1675" s="109" t="s">
        <v>412</v>
      </c>
      <c r="D1675" s="108" t="s">
        <v>11</v>
      </c>
      <c r="E1675" s="108" t="s">
        <v>51</v>
      </c>
      <c r="F1675" s="108" t="s">
        <v>915</v>
      </c>
      <c r="G1675" s="108" t="s">
        <v>33</v>
      </c>
      <c r="H1675" s="126">
        <f>SUM(H1676:H1678)</f>
        <v>0</v>
      </c>
      <c r="L1675" s="20">
        <v>226.3</v>
      </c>
      <c r="M1675" s="20">
        <v>226.3</v>
      </c>
      <c r="N1675" s="20">
        <v>226.3</v>
      </c>
      <c r="O1675" s="20">
        <f>H1675-L1675</f>
        <v>-226.3</v>
      </c>
      <c r="P1675" s="20" t="e">
        <f>#REF!-M1675</f>
        <v>#REF!</v>
      </c>
      <c r="Q1675" s="20" t="e">
        <f>#REF!-N1675</f>
        <v>#REF!</v>
      </c>
      <c r="R1675" s="17" t="str">
        <f t="shared" si="192"/>
        <v>84 1 00 10010850</v>
      </c>
    </row>
    <row r="1676" spans="1:18" s="23" customFormat="1" ht="31.5">
      <c r="A1676" s="21"/>
      <c r="B1676" s="127" t="s">
        <v>34</v>
      </c>
      <c r="C1676" s="109" t="s">
        <v>412</v>
      </c>
      <c r="D1676" s="108" t="s">
        <v>11</v>
      </c>
      <c r="E1676" s="108" t="s">
        <v>51</v>
      </c>
      <c r="F1676" s="108" t="s">
        <v>915</v>
      </c>
      <c r="G1676" s="108" t="s">
        <v>35</v>
      </c>
      <c r="H1676" s="126"/>
      <c r="L1676" s="22"/>
      <c r="M1676" s="22"/>
      <c r="N1676" s="22"/>
      <c r="O1676" s="22"/>
      <c r="P1676" s="22"/>
      <c r="Q1676" s="22"/>
      <c r="R1676" s="24"/>
    </row>
    <row r="1677" spans="1:18" s="23" customFormat="1" ht="15.75">
      <c r="A1677" s="21"/>
      <c r="B1677" s="127" t="s">
        <v>36</v>
      </c>
      <c r="C1677" s="109" t="s">
        <v>412</v>
      </c>
      <c r="D1677" s="108" t="s">
        <v>11</v>
      </c>
      <c r="E1677" s="108" t="s">
        <v>51</v>
      </c>
      <c r="F1677" s="108" t="s">
        <v>915</v>
      </c>
      <c r="G1677" s="108" t="s">
        <v>37</v>
      </c>
      <c r="H1677" s="126"/>
      <c r="L1677" s="22"/>
      <c r="M1677" s="22"/>
      <c r="N1677" s="22"/>
      <c r="O1677" s="22"/>
      <c r="P1677" s="22"/>
      <c r="Q1677" s="22"/>
      <c r="R1677" s="24"/>
    </row>
    <row r="1678" spans="1:18" s="23" customFormat="1" ht="15.75">
      <c r="A1678" s="21"/>
      <c r="B1678" s="127" t="s">
        <v>77</v>
      </c>
      <c r="C1678" s="109" t="s">
        <v>412</v>
      </c>
      <c r="D1678" s="108" t="s">
        <v>11</v>
      </c>
      <c r="E1678" s="108" t="s">
        <v>51</v>
      </c>
      <c r="F1678" s="108" t="s">
        <v>915</v>
      </c>
      <c r="G1678" s="108" t="s">
        <v>78</v>
      </c>
      <c r="H1678" s="126"/>
      <c r="L1678" s="22"/>
      <c r="M1678" s="22"/>
      <c r="N1678" s="22"/>
      <c r="O1678" s="22"/>
      <c r="P1678" s="22"/>
      <c r="Q1678" s="22"/>
      <c r="R1678" s="24"/>
    </row>
    <row r="1679" spans="1:18" s="16" customFormat="1" ht="31.5">
      <c r="A1679" s="14"/>
      <c r="B1679" s="164" t="s">
        <v>38</v>
      </c>
      <c r="C1679" s="109" t="s">
        <v>412</v>
      </c>
      <c r="D1679" s="108" t="s">
        <v>11</v>
      </c>
      <c r="E1679" s="108" t="s">
        <v>51</v>
      </c>
      <c r="F1679" s="108" t="s">
        <v>916</v>
      </c>
      <c r="G1679" s="108" t="s">
        <v>9</v>
      </c>
      <c r="H1679" s="126">
        <f>H1680</f>
        <v>0</v>
      </c>
      <c r="L1679" s="20">
        <v>42831.37</v>
      </c>
      <c r="M1679" s="20">
        <v>42831.37</v>
      </c>
      <c r="N1679" s="20">
        <v>42831.37</v>
      </c>
      <c r="O1679" s="20">
        <f>H1679-L1679</f>
        <v>-42831.37</v>
      </c>
      <c r="P1679" s="20" t="e">
        <f>#REF!-M1679</f>
        <v>#REF!</v>
      </c>
      <c r="Q1679" s="20" t="e">
        <f>#REF!-N1679</f>
        <v>#REF!</v>
      </c>
      <c r="R1679" s="17" t="str">
        <f t="shared" si="192"/>
        <v>84 1 00 10020000</v>
      </c>
    </row>
    <row r="1680" spans="1:18" s="16" customFormat="1" ht="31.5">
      <c r="A1680" s="14"/>
      <c r="B1680" s="164" t="s">
        <v>20</v>
      </c>
      <c r="C1680" s="109" t="s">
        <v>412</v>
      </c>
      <c r="D1680" s="108" t="s">
        <v>11</v>
      </c>
      <c r="E1680" s="108" t="s">
        <v>51</v>
      </c>
      <c r="F1680" s="108" t="s">
        <v>916</v>
      </c>
      <c r="G1680" s="108" t="s">
        <v>21</v>
      </c>
      <c r="H1680" s="126">
        <f>SUM(H1681:H1682)</f>
        <v>0</v>
      </c>
      <c r="L1680" s="20">
        <v>42831.37</v>
      </c>
      <c r="M1680" s="20">
        <v>42831.37</v>
      </c>
      <c r="N1680" s="20">
        <v>42831.37</v>
      </c>
      <c r="O1680" s="20">
        <f>H1680-L1680</f>
        <v>-42831.37</v>
      </c>
      <c r="P1680" s="20" t="e">
        <f>#REF!-M1680</f>
        <v>#REF!</v>
      </c>
      <c r="Q1680" s="20" t="e">
        <f>#REF!-N1680</f>
        <v>#REF!</v>
      </c>
      <c r="R1680" s="17" t="str">
        <f t="shared" si="192"/>
        <v>84 1 00 10020120</v>
      </c>
    </row>
    <row r="1681" spans="1:18" s="23" customFormat="1" ht="31.5">
      <c r="A1681" s="21"/>
      <c r="B1681" s="127" t="s">
        <v>40</v>
      </c>
      <c r="C1681" s="109" t="s">
        <v>412</v>
      </c>
      <c r="D1681" s="108" t="s">
        <v>11</v>
      </c>
      <c r="E1681" s="108" t="s">
        <v>51</v>
      </c>
      <c r="F1681" s="108" t="s">
        <v>916</v>
      </c>
      <c r="G1681" s="108" t="s">
        <v>41</v>
      </c>
      <c r="H1681" s="126"/>
      <c r="L1681" s="22"/>
      <c r="M1681" s="22"/>
      <c r="N1681" s="22"/>
      <c r="O1681" s="22"/>
      <c r="P1681" s="22"/>
      <c r="Q1681" s="22"/>
      <c r="R1681" s="24"/>
    </row>
    <row r="1682" spans="1:18" s="23" customFormat="1" ht="63">
      <c r="A1682" s="21"/>
      <c r="B1682" s="127" t="s">
        <v>26</v>
      </c>
      <c r="C1682" s="109" t="s">
        <v>412</v>
      </c>
      <c r="D1682" s="108" t="s">
        <v>11</v>
      </c>
      <c r="E1682" s="108" t="s">
        <v>51</v>
      </c>
      <c r="F1682" s="108" t="s">
        <v>916</v>
      </c>
      <c r="G1682" s="108" t="s">
        <v>27</v>
      </c>
      <c r="H1682" s="126"/>
      <c r="L1682" s="22"/>
      <c r="M1682" s="22"/>
      <c r="N1682" s="22"/>
      <c r="O1682" s="22"/>
      <c r="P1682" s="22"/>
      <c r="Q1682" s="22"/>
      <c r="R1682" s="24"/>
    </row>
    <row r="1683" spans="1:18" s="16" customFormat="1" ht="15.75">
      <c r="A1683" s="14"/>
      <c r="B1683" s="164" t="s">
        <v>52</v>
      </c>
      <c r="C1683" s="109" t="s">
        <v>412</v>
      </c>
      <c r="D1683" s="108" t="s">
        <v>11</v>
      </c>
      <c r="E1683" s="108" t="s">
        <v>51</v>
      </c>
      <c r="F1683" s="108" t="s">
        <v>917</v>
      </c>
      <c r="G1683" s="108" t="s">
        <v>9</v>
      </c>
      <c r="H1683" s="126">
        <f>H1689+H1684</f>
        <v>0</v>
      </c>
      <c r="L1683" s="20">
        <v>4100</v>
      </c>
      <c r="M1683" s="20">
        <v>4100</v>
      </c>
      <c r="N1683" s="20">
        <v>4100</v>
      </c>
      <c r="O1683" s="20">
        <f>H1683-L1683</f>
        <v>-4100</v>
      </c>
      <c r="P1683" s="20" t="e">
        <f>#REF!-M1683</f>
        <v>#REF!</v>
      </c>
      <c r="Q1683" s="20" t="e">
        <f>#REF!-N1683</f>
        <v>#REF!</v>
      </c>
      <c r="R1683" s="17" t="str">
        <f t="shared" si="192"/>
        <v>84 2 00 00000000</v>
      </c>
    </row>
    <row r="1684" spans="1:18" s="16" customFormat="1" ht="47.25">
      <c r="A1684" s="14"/>
      <c r="B1684" s="164" t="s">
        <v>918</v>
      </c>
      <c r="C1684" s="109" t="s">
        <v>412</v>
      </c>
      <c r="D1684" s="108" t="s">
        <v>11</v>
      </c>
      <c r="E1684" s="108" t="s">
        <v>51</v>
      </c>
      <c r="F1684" s="108" t="s">
        <v>919</v>
      </c>
      <c r="G1684" s="108" t="s">
        <v>9</v>
      </c>
      <c r="H1684" s="126">
        <f>H1685+H1687</f>
        <v>0</v>
      </c>
      <c r="L1684" s="20">
        <v>600</v>
      </c>
      <c r="M1684" s="20">
        <v>600</v>
      </c>
      <c r="N1684" s="20">
        <v>600</v>
      </c>
      <c r="O1684" s="20">
        <f>H1684-L1684</f>
        <v>-600</v>
      </c>
      <c r="P1684" s="20" t="e">
        <f>#REF!-M1684</f>
        <v>#REF!</v>
      </c>
      <c r="Q1684" s="20" t="e">
        <f>#REF!-N1684</f>
        <v>#REF!</v>
      </c>
      <c r="R1684" s="17" t="str">
        <f t="shared" si="192"/>
        <v>84 2 00 20740000</v>
      </c>
    </row>
    <row r="1685" spans="1:18" s="16" customFormat="1" ht="31.5">
      <c r="A1685" s="14"/>
      <c r="B1685" s="125" t="s">
        <v>28</v>
      </c>
      <c r="C1685" s="109" t="s">
        <v>412</v>
      </c>
      <c r="D1685" s="108" t="s">
        <v>11</v>
      </c>
      <c r="E1685" s="108" t="s">
        <v>51</v>
      </c>
      <c r="F1685" s="108" t="s">
        <v>919</v>
      </c>
      <c r="G1685" s="108" t="s">
        <v>29</v>
      </c>
      <c r="H1685" s="126">
        <f>H1686</f>
        <v>0</v>
      </c>
      <c r="L1685" s="20">
        <v>150</v>
      </c>
      <c r="M1685" s="20">
        <v>150</v>
      </c>
      <c r="N1685" s="20">
        <v>150</v>
      </c>
      <c r="O1685" s="20">
        <f>H1685-L1685</f>
        <v>-150</v>
      </c>
      <c r="P1685" s="20" t="e">
        <f>#REF!-M1685</f>
        <v>#REF!</v>
      </c>
      <c r="Q1685" s="20" t="e">
        <f>#REF!-N1685</f>
        <v>#REF!</v>
      </c>
      <c r="R1685" s="17" t="str">
        <f t="shared" si="192"/>
        <v>84 2 00 20740240</v>
      </c>
    </row>
    <row r="1686" spans="1:18" s="16" customFormat="1" ht="15.75">
      <c r="A1686" s="14"/>
      <c r="B1686" s="125" t="s">
        <v>30</v>
      </c>
      <c r="C1686" s="109" t="s">
        <v>412</v>
      </c>
      <c r="D1686" s="108" t="s">
        <v>11</v>
      </c>
      <c r="E1686" s="108" t="s">
        <v>51</v>
      </c>
      <c r="F1686" s="108" t="s">
        <v>919</v>
      </c>
      <c r="G1686" s="108" t="s">
        <v>31</v>
      </c>
      <c r="H1686" s="126"/>
      <c r="L1686" s="20"/>
      <c r="M1686" s="20"/>
      <c r="N1686" s="20"/>
      <c r="O1686" s="20"/>
      <c r="P1686" s="20"/>
      <c r="Q1686" s="20"/>
      <c r="R1686" s="17"/>
    </row>
    <row r="1687" spans="1:18" s="16" customFormat="1" ht="15.75">
      <c r="A1687" s="14"/>
      <c r="B1687" s="132" t="s">
        <v>189</v>
      </c>
      <c r="C1687" s="109" t="s">
        <v>412</v>
      </c>
      <c r="D1687" s="108" t="s">
        <v>11</v>
      </c>
      <c r="E1687" s="108" t="s">
        <v>51</v>
      </c>
      <c r="F1687" s="108" t="s">
        <v>919</v>
      </c>
      <c r="G1687" s="108" t="s">
        <v>190</v>
      </c>
      <c r="H1687" s="126">
        <f>H1688</f>
        <v>0</v>
      </c>
      <c r="L1687" s="20">
        <v>450</v>
      </c>
      <c r="M1687" s="20">
        <v>450</v>
      </c>
      <c r="N1687" s="20">
        <v>450</v>
      </c>
      <c r="O1687" s="20">
        <f>H1687-L1687</f>
        <v>-450</v>
      </c>
      <c r="P1687" s="20" t="e">
        <f>#REF!-M1687</f>
        <v>#REF!</v>
      </c>
      <c r="Q1687" s="20" t="e">
        <f>#REF!-N1687</f>
        <v>#REF!</v>
      </c>
      <c r="R1687" s="17" t="str">
        <f t="shared" si="192"/>
        <v>84 2 00 20740830</v>
      </c>
    </row>
    <row r="1688" spans="1:18" s="16" customFormat="1" ht="47.25">
      <c r="A1688" s="14"/>
      <c r="B1688" s="127" t="s">
        <v>191</v>
      </c>
      <c r="C1688" s="109" t="s">
        <v>412</v>
      </c>
      <c r="D1688" s="108" t="s">
        <v>11</v>
      </c>
      <c r="E1688" s="108" t="s">
        <v>51</v>
      </c>
      <c r="F1688" s="108" t="s">
        <v>919</v>
      </c>
      <c r="G1688" s="108" t="s">
        <v>192</v>
      </c>
      <c r="H1688" s="126"/>
      <c r="L1688" s="20"/>
      <c r="M1688" s="20"/>
      <c r="N1688" s="20"/>
      <c r="O1688" s="20"/>
      <c r="P1688" s="20"/>
      <c r="Q1688" s="20"/>
      <c r="R1688" s="17"/>
    </row>
    <row r="1689" spans="1:18" s="16" customFormat="1" ht="47.25">
      <c r="A1689" s="14"/>
      <c r="B1689" s="132" t="s">
        <v>920</v>
      </c>
      <c r="C1689" s="109" t="s">
        <v>412</v>
      </c>
      <c r="D1689" s="108" t="s">
        <v>11</v>
      </c>
      <c r="E1689" s="108" t="s">
        <v>51</v>
      </c>
      <c r="F1689" s="108" t="s">
        <v>921</v>
      </c>
      <c r="G1689" s="108" t="s">
        <v>9</v>
      </c>
      <c r="H1689" s="126">
        <f>H1690</f>
        <v>0</v>
      </c>
      <c r="L1689" s="20">
        <v>3500</v>
      </c>
      <c r="M1689" s="20">
        <v>3500</v>
      </c>
      <c r="N1689" s="20">
        <v>3500</v>
      </c>
      <c r="O1689" s="20">
        <f>H1689-L1689</f>
        <v>-3500</v>
      </c>
      <c r="P1689" s="20" t="e">
        <f>#REF!-M1689</f>
        <v>#REF!</v>
      </c>
      <c r="Q1689" s="20" t="e">
        <f>#REF!-N1689</f>
        <v>#REF!</v>
      </c>
      <c r="R1689" s="17" t="str">
        <f t="shared" si="192"/>
        <v>84 2 00 21100000</v>
      </c>
    </row>
    <row r="1690" spans="1:18" s="16" customFormat="1" ht="31.5">
      <c r="A1690" s="14"/>
      <c r="B1690" s="125" t="s">
        <v>28</v>
      </c>
      <c r="C1690" s="109" t="s">
        <v>412</v>
      </c>
      <c r="D1690" s="108" t="s">
        <v>11</v>
      </c>
      <c r="E1690" s="108" t="s">
        <v>51</v>
      </c>
      <c r="F1690" s="108" t="s">
        <v>921</v>
      </c>
      <c r="G1690" s="108" t="s">
        <v>29</v>
      </c>
      <c r="H1690" s="126">
        <f>H1691</f>
        <v>0</v>
      </c>
      <c r="L1690" s="20">
        <v>3500</v>
      </c>
      <c r="M1690" s="20">
        <v>3500</v>
      </c>
      <c r="N1690" s="20">
        <v>3500</v>
      </c>
      <c r="O1690" s="20">
        <f>H1690-L1690</f>
        <v>-3500</v>
      </c>
      <c r="P1690" s="20" t="e">
        <f>#REF!-M1690</f>
        <v>#REF!</v>
      </c>
      <c r="Q1690" s="20" t="e">
        <f>#REF!-N1690</f>
        <v>#REF!</v>
      </c>
      <c r="R1690" s="17" t="str">
        <f t="shared" si="192"/>
        <v>84 2 00 21100240</v>
      </c>
    </row>
    <row r="1691" spans="1:18" s="16" customFormat="1" ht="15.75">
      <c r="A1691" s="14"/>
      <c r="B1691" s="125" t="s">
        <v>30</v>
      </c>
      <c r="C1691" s="109" t="s">
        <v>412</v>
      </c>
      <c r="D1691" s="108" t="s">
        <v>11</v>
      </c>
      <c r="E1691" s="108" t="s">
        <v>51</v>
      </c>
      <c r="F1691" s="108" t="s">
        <v>921</v>
      </c>
      <c r="G1691" s="108" t="s">
        <v>31</v>
      </c>
      <c r="H1691" s="126"/>
      <c r="L1691" s="20"/>
      <c r="M1691" s="20"/>
      <c r="N1691" s="20"/>
      <c r="O1691" s="20"/>
      <c r="P1691" s="20"/>
      <c r="Q1691" s="20"/>
      <c r="R1691" s="17"/>
    </row>
    <row r="1692" spans="1:18" s="16" customFormat="1" ht="15.75">
      <c r="A1692" s="14"/>
      <c r="B1692" s="117" t="s">
        <v>195</v>
      </c>
      <c r="C1692" s="118" t="s">
        <v>412</v>
      </c>
      <c r="D1692" s="119" t="s">
        <v>73</v>
      </c>
      <c r="E1692" s="119" t="s">
        <v>7</v>
      </c>
      <c r="F1692" s="119" t="s">
        <v>8</v>
      </c>
      <c r="G1692" s="119" t="s">
        <v>9</v>
      </c>
      <c r="H1692" s="120">
        <f>H1693</f>
        <v>0</v>
      </c>
      <c r="L1692" s="18">
        <v>4903</v>
      </c>
      <c r="M1692" s="18">
        <v>9588.2999999999993</v>
      </c>
      <c r="N1692" s="18">
        <v>9588.2999999999993</v>
      </c>
      <c r="O1692" s="18">
        <f t="shared" ref="O1692:O1698" si="198">H1692-L1692</f>
        <v>-4903</v>
      </c>
      <c r="P1692" s="18" t="e">
        <f>#REF!-M1692</f>
        <v>#REF!</v>
      </c>
      <c r="Q1692" s="18" t="e">
        <f>#REF!-N1692</f>
        <v>#REF!</v>
      </c>
      <c r="R1692" s="17" t="str">
        <f t="shared" si="192"/>
        <v>00 0 00 00000000</v>
      </c>
    </row>
    <row r="1693" spans="1:18" s="16" customFormat="1" ht="15.75">
      <c r="A1693" s="14"/>
      <c r="B1693" s="121" t="s">
        <v>284</v>
      </c>
      <c r="C1693" s="122" t="s">
        <v>412</v>
      </c>
      <c r="D1693" s="123" t="s">
        <v>73</v>
      </c>
      <c r="E1693" s="123" t="s">
        <v>57</v>
      </c>
      <c r="F1693" s="123" t="s">
        <v>8</v>
      </c>
      <c r="G1693" s="123" t="s">
        <v>9</v>
      </c>
      <c r="H1693" s="124">
        <f>H1694+H1704</f>
        <v>0</v>
      </c>
      <c r="L1693" s="19">
        <v>4903</v>
      </c>
      <c r="M1693" s="19">
        <v>9588.2999999999993</v>
      </c>
      <c r="N1693" s="19">
        <v>9588.2999999999993</v>
      </c>
      <c r="O1693" s="19">
        <f t="shared" si="198"/>
        <v>-4903</v>
      </c>
      <c r="P1693" s="19" t="e">
        <f>#REF!-M1693</f>
        <v>#REF!</v>
      </c>
      <c r="Q1693" s="19" t="e">
        <f>#REF!-N1693</f>
        <v>#REF!</v>
      </c>
      <c r="R1693" s="17" t="str">
        <f t="shared" si="192"/>
        <v>00 0 00 00000000</v>
      </c>
    </row>
    <row r="1694" spans="1:18" s="16" customFormat="1" ht="31.5">
      <c r="A1694" s="14"/>
      <c r="B1694" s="125" t="s">
        <v>922</v>
      </c>
      <c r="C1694" s="109" t="s">
        <v>412</v>
      </c>
      <c r="D1694" s="109" t="s">
        <v>73</v>
      </c>
      <c r="E1694" s="109" t="s">
        <v>57</v>
      </c>
      <c r="F1694" s="109" t="s">
        <v>923</v>
      </c>
      <c r="G1694" s="109" t="s">
        <v>9</v>
      </c>
      <c r="H1694" s="141">
        <f>H1695</f>
        <v>0</v>
      </c>
      <c r="L1694" s="32">
        <v>4803</v>
      </c>
      <c r="M1694" s="32">
        <v>9488.2999999999993</v>
      </c>
      <c r="N1694" s="32">
        <v>9488.2999999999993</v>
      </c>
      <c r="O1694" s="32">
        <f t="shared" si="198"/>
        <v>-4803</v>
      </c>
      <c r="P1694" s="32" t="e">
        <f>#REF!-M1694</f>
        <v>#REF!</v>
      </c>
      <c r="Q1694" s="32" t="e">
        <f>#REF!-N1694</f>
        <v>#REF!</v>
      </c>
      <c r="R1694" s="17" t="str">
        <f t="shared" si="192"/>
        <v>05 0 00 00000000</v>
      </c>
    </row>
    <row r="1695" spans="1:18" s="16" customFormat="1" ht="47.25">
      <c r="A1695" s="14"/>
      <c r="B1695" s="125" t="s">
        <v>924</v>
      </c>
      <c r="C1695" s="109" t="s">
        <v>412</v>
      </c>
      <c r="D1695" s="109" t="s">
        <v>73</v>
      </c>
      <c r="E1695" s="109" t="s">
        <v>57</v>
      </c>
      <c r="F1695" s="109" t="s">
        <v>925</v>
      </c>
      <c r="G1695" s="109" t="s">
        <v>9</v>
      </c>
      <c r="H1695" s="141">
        <f>H1696+H1700</f>
        <v>0</v>
      </c>
      <c r="L1695" s="32">
        <v>4803</v>
      </c>
      <c r="M1695" s="32">
        <v>9488.2999999999993</v>
      </c>
      <c r="N1695" s="32">
        <v>9488.2999999999993</v>
      </c>
      <c r="O1695" s="32">
        <f t="shared" si="198"/>
        <v>-4803</v>
      </c>
      <c r="P1695" s="32" t="e">
        <f>#REF!-M1695</f>
        <v>#REF!</v>
      </c>
      <c r="Q1695" s="32" t="e">
        <f>#REF!-N1695</f>
        <v>#REF!</v>
      </c>
      <c r="R1695" s="17" t="str">
        <f t="shared" si="192"/>
        <v>05 Б 00 00000000</v>
      </c>
    </row>
    <row r="1696" spans="1:18" s="16" customFormat="1" ht="78.75">
      <c r="A1696" s="14"/>
      <c r="B1696" s="125" t="s">
        <v>926</v>
      </c>
      <c r="C1696" s="109" t="s">
        <v>412</v>
      </c>
      <c r="D1696" s="109" t="s">
        <v>73</v>
      </c>
      <c r="E1696" s="109" t="s">
        <v>57</v>
      </c>
      <c r="F1696" s="109" t="s">
        <v>927</v>
      </c>
      <c r="G1696" s="109" t="s">
        <v>9</v>
      </c>
      <c r="H1696" s="141">
        <f t="shared" ref="H1696:H1697" si="199">H1697</f>
        <v>0</v>
      </c>
      <c r="L1696" s="32">
        <v>4403</v>
      </c>
      <c r="M1696" s="32">
        <v>9488.2999999999993</v>
      </c>
      <c r="N1696" s="32">
        <v>9488.2999999999993</v>
      </c>
      <c r="O1696" s="32">
        <f t="shared" si="198"/>
        <v>-4403</v>
      </c>
      <c r="P1696" s="32" t="e">
        <f>#REF!-M1696</f>
        <v>#REF!</v>
      </c>
      <c r="Q1696" s="32" t="e">
        <f>#REF!-N1696</f>
        <v>#REF!</v>
      </c>
      <c r="R1696" s="17" t="str">
        <f t="shared" si="192"/>
        <v>05 Б 01 00000000</v>
      </c>
    </row>
    <row r="1697" spans="1:18" s="16" customFormat="1" ht="31.5">
      <c r="A1697" s="14"/>
      <c r="B1697" s="127" t="s">
        <v>928</v>
      </c>
      <c r="C1697" s="109" t="s">
        <v>412</v>
      </c>
      <c r="D1697" s="109" t="s">
        <v>73</v>
      </c>
      <c r="E1697" s="109" t="s">
        <v>57</v>
      </c>
      <c r="F1697" s="109" t="s">
        <v>929</v>
      </c>
      <c r="G1697" s="109" t="s">
        <v>9</v>
      </c>
      <c r="H1697" s="141">
        <f t="shared" si="199"/>
        <v>0</v>
      </c>
      <c r="L1697" s="32">
        <v>4403</v>
      </c>
      <c r="M1697" s="32">
        <v>9488.2999999999993</v>
      </c>
      <c r="N1697" s="32">
        <v>9488.2999999999993</v>
      </c>
      <c r="O1697" s="32">
        <f t="shared" si="198"/>
        <v>-4403</v>
      </c>
      <c r="P1697" s="32" t="e">
        <f>#REF!-M1697</f>
        <v>#REF!</v>
      </c>
      <c r="Q1697" s="32" t="e">
        <f>#REF!-N1697</f>
        <v>#REF!</v>
      </c>
      <c r="R1697" s="17" t="str">
        <f t="shared" si="192"/>
        <v>05 Б 01 20390000</v>
      </c>
    </row>
    <row r="1698" spans="1:18" s="16" customFormat="1" ht="31.5">
      <c r="A1698" s="14"/>
      <c r="B1698" s="125" t="s">
        <v>28</v>
      </c>
      <c r="C1698" s="109" t="s">
        <v>412</v>
      </c>
      <c r="D1698" s="109" t="s">
        <v>73</v>
      </c>
      <c r="E1698" s="109" t="s">
        <v>57</v>
      </c>
      <c r="F1698" s="109" t="s">
        <v>929</v>
      </c>
      <c r="G1698" s="109" t="s">
        <v>29</v>
      </c>
      <c r="H1698" s="126">
        <f>H1699</f>
        <v>0</v>
      </c>
      <c r="L1698" s="32">
        <v>4403</v>
      </c>
      <c r="M1698" s="32">
        <v>9488.2999999999993</v>
      </c>
      <c r="N1698" s="32">
        <v>9488.2999999999993</v>
      </c>
      <c r="O1698" s="32">
        <f t="shared" si="198"/>
        <v>-4403</v>
      </c>
      <c r="P1698" s="32" t="e">
        <f>#REF!-M1698</f>
        <v>#REF!</v>
      </c>
      <c r="Q1698" s="32" t="e">
        <f>#REF!-N1698</f>
        <v>#REF!</v>
      </c>
      <c r="R1698" s="17" t="str">
        <f t="shared" si="192"/>
        <v>05 Б 01 20390240</v>
      </c>
    </row>
    <row r="1699" spans="1:18" s="16" customFormat="1" ht="15.75">
      <c r="A1699" s="14"/>
      <c r="B1699" s="125" t="s">
        <v>30</v>
      </c>
      <c r="C1699" s="109" t="s">
        <v>412</v>
      </c>
      <c r="D1699" s="109" t="s">
        <v>73</v>
      </c>
      <c r="E1699" s="109" t="s">
        <v>57</v>
      </c>
      <c r="F1699" s="109" t="s">
        <v>929</v>
      </c>
      <c r="G1699" s="109" t="s">
        <v>31</v>
      </c>
      <c r="H1699" s="126"/>
      <c r="L1699" s="32"/>
      <c r="M1699" s="32"/>
      <c r="N1699" s="32"/>
      <c r="O1699" s="32"/>
      <c r="P1699" s="32"/>
      <c r="Q1699" s="32"/>
      <c r="R1699" s="17"/>
    </row>
    <row r="1700" spans="1:18" s="16" customFormat="1" ht="78.75">
      <c r="A1700" s="14"/>
      <c r="B1700" s="125" t="s">
        <v>930</v>
      </c>
      <c r="C1700" s="109" t="s">
        <v>412</v>
      </c>
      <c r="D1700" s="109" t="s">
        <v>73</v>
      </c>
      <c r="E1700" s="109" t="s">
        <v>57</v>
      </c>
      <c r="F1700" s="109" t="s">
        <v>931</v>
      </c>
      <c r="G1700" s="109" t="s">
        <v>9</v>
      </c>
      <c r="H1700" s="141">
        <f t="shared" ref="H1700:H1701" si="200">H1701</f>
        <v>0</v>
      </c>
      <c r="L1700" s="32">
        <v>400</v>
      </c>
      <c r="M1700" s="32">
        <v>0</v>
      </c>
      <c r="N1700" s="32">
        <v>0</v>
      </c>
      <c r="O1700" s="32">
        <f>H1700-L1700</f>
        <v>-400</v>
      </c>
      <c r="P1700" s="32" t="e">
        <f>#REF!-M1700</f>
        <v>#REF!</v>
      </c>
      <c r="Q1700" s="32" t="e">
        <f>#REF!-N1700</f>
        <v>#REF!</v>
      </c>
      <c r="R1700" s="17" t="str">
        <f t="shared" si="192"/>
        <v>05 Б 02 00000000</v>
      </c>
    </row>
    <row r="1701" spans="1:18" s="16" customFormat="1" ht="31.5">
      <c r="A1701" s="14"/>
      <c r="B1701" s="125" t="s">
        <v>932</v>
      </c>
      <c r="C1701" s="109" t="s">
        <v>412</v>
      </c>
      <c r="D1701" s="109" t="s">
        <v>73</v>
      </c>
      <c r="E1701" s="109" t="s">
        <v>57</v>
      </c>
      <c r="F1701" s="109" t="s">
        <v>933</v>
      </c>
      <c r="G1701" s="109" t="s">
        <v>9</v>
      </c>
      <c r="H1701" s="141">
        <f t="shared" si="200"/>
        <v>0</v>
      </c>
      <c r="L1701" s="32">
        <v>400</v>
      </c>
      <c r="M1701" s="32">
        <v>0</v>
      </c>
      <c r="N1701" s="32">
        <v>0</v>
      </c>
      <c r="O1701" s="32">
        <f>H1701-L1701</f>
        <v>-400</v>
      </c>
      <c r="P1701" s="32" t="e">
        <f>#REF!-M1701</f>
        <v>#REF!</v>
      </c>
      <c r="Q1701" s="32" t="e">
        <f>#REF!-N1701</f>
        <v>#REF!</v>
      </c>
      <c r="R1701" s="17" t="str">
        <f t="shared" si="192"/>
        <v>05 Б 02 21190000</v>
      </c>
    </row>
    <row r="1702" spans="1:18" s="16" customFormat="1" ht="31.5">
      <c r="A1702" s="14"/>
      <c r="B1702" s="125" t="s">
        <v>28</v>
      </c>
      <c r="C1702" s="109" t="s">
        <v>412</v>
      </c>
      <c r="D1702" s="109" t="s">
        <v>73</v>
      </c>
      <c r="E1702" s="109" t="s">
        <v>57</v>
      </c>
      <c r="F1702" s="109" t="s">
        <v>933</v>
      </c>
      <c r="G1702" s="109" t="s">
        <v>29</v>
      </c>
      <c r="H1702" s="126">
        <f>H1703</f>
        <v>0</v>
      </c>
      <c r="L1702" s="32">
        <v>400</v>
      </c>
      <c r="M1702" s="32">
        <v>0</v>
      </c>
      <c r="N1702" s="32">
        <v>0</v>
      </c>
      <c r="O1702" s="32">
        <f>H1702-L1702</f>
        <v>-400</v>
      </c>
      <c r="P1702" s="32" t="e">
        <f>#REF!-M1702</f>
        <v>#REF!</v>
      </c>
      <c r="Q1702" s="32" t="e">
        <f>#REF!-N1702</f>
        <v>#REF!</v>
      </c>
      <c r="R1702" s="17" t="str">
        <f t="shared" si="192"/>
        <v>05 Б 02 21190240</v>
      </c>
    </row>
    <row r="1703" spans="1:18" s="16" customFormat="1" ht="15.75">
      <c r="A1703" s="14"/>
      <c r="B1703" s="125" t="s">
        <v>30</v>
      </c>
      <c r="C1703" s="109" t="s">
        <v>412</v>
      </c>
      <c r="D1703" s="109" t="s">
        <v>73</v>
      </c>
      <c r="E1703" s="109" t="s">
        <v>57</v>
      </c>
      <c r="F1703" s="109" t="s">
        <v>933</v>
      </c>
      <c r="G1703" s="109" t="s">
        <v>31</v>
      </c>
      <c r="H1703" s="126"/>
      <c r="L1703" s="32"/>
      <c r="M1703" s="32"/>
      <c r="N1703" s="32"/>
      <c r="O1703" s="32"/>
      <c r="P1703" s="32"/>
      <c r="Q1703" s="32"/>
      <c r="R1703" s="17"/>
    </row>
    <row r="1704" spans="1:18" s="16" customFormat="1" ht="31.5">
      <c r="A1704" s="14"/>
      <c r="B1704" s="164" t="s">
        <v>911</v>
      </c>
      <c r="C1704" s="109" t="s">
        <v>412</v>
      </c>
      <c r="D1704" s="109" t="s">
        <v>73</v>
      </c>
      <c r="E1704" s="109" t="s">
        <v>57</v>
      </c>
      <c r="F1704" s="108" t="s">
        <v>912</v>
      </c>
      <c r="G1704" s="108" t="s">
        <v>9</v>
      </c>
      <c r="H1704" s="126">
        <f t="shared" ref="H1704:H1705" si="201">H1705</f>
        <v>0</v>
      </c>
      <c r="L1704" s="20">
        <v>100</v>
      </c>
      <c r="M1704" s="20">
        <v>100</v>
      </c>
      <c r="N1704" s="20">
        <v>100</v>
      </c>
      <c r="O1704" s="20">
        <f>H1704-L1704</f>
        <v>-100</v>
      </c>
      <c r="P1704" s="20" t="e">
        <f>#REF!-M1704</f>
        <v>#REF!</v>
      </c>
      <c r="Q1704" s="20" t="e">
        <f>#REF!-N1704</f>
        <v>#REF!</v>
      </c>
      <c r="R1704" s="17" t="str">
        <f t="shared" si="192"/>
        <v>84 0 00 00000000</v>
      </c>
    </row>
    <row r="1705" spans="1:18" s="16" customFormat="1" ht="15.75">
      <c r="A1705" s="14"/>
      <c r="B1705" s="164" t="s">
        <v>52</v>
      </c>
      <c r="C1705" s="109" t="s">
        <v>412</v>
      </c>
      <c r="D1705" s="109" t="s">
        <v>73</v>
      </c>
      <c r="E1705" s="109" t="s">
        <v>57</v>
      </c>
      <c r="F1705" s="108" t="s">
        <v>917</v>
      </c>
      <c r="G1705" s="108" t="s">
        <v>9</v>
      </c>
      <c r="H1705" s="126">
        <f t="shared" si="201"/>
        <v>0</v>
      </c>
      <c r="L1705" s="20">
        <v>100</v>
      </c>
      <c r="M1705" s="20">
        <v>100</v>
      </c>
      <c r="N1705" s="20">
        <v>100</v>
      </c>
      <c r="O1705" s="20">
        <f>H1705-L1705</f>
        <v>-100</v>
      </c>
      <c r="P1705" s="20" t="e">
        <f>#REF!-M1705</f>
        <v>#REF!</v>
      </c>
      <c r="Q1705" s="20" t="e">
        <f>#REF!-N1705</f>
        <v>#REF!</v>
      </c>
      <c r="R1705" s="17" t="str">
        <f t="shared" si="192"/>
        <v>84 2 00 00000000</v>
      </c>
    </row>
    <row r="1706" spans="1:18" s="16" customFormat="1" ht="31.5">
      <c r="A1706" s="14"/>
      <c r="B1706" s="164" t="s">
        <v>934</v>
      </c>
      <c r="C1706" s="109" t="s">
        <v>412</v>
      </c>
      <c r="D1706" s="109" t="s">
        <v>73</v>
      </c>
      <c r="E1706" s="109" t="s">
        <v>57</v>
      </c>
      <c r="F1706" s="108" t="s">
        <v>935</v>
      </c>
      <c r="G1706" s="108" t="s">
        <v>9</v>
      </c>
      <c r="H1706" s="126">
        <f>H1707</f>
        <v>0</v>
      </c>
      <c r="L1706" s="20">
        <v>100</v>
      </c>
      <c r="M1706" s="20">
        <v>100</v>
      </c>
      <c r="N1706" s="20">
        <v>100</v>
      </c>
      <c r="O1706" s="20">
        <f>H1706-L1706</f>
        <v>-100</v>
      </c>
      <c r="P1706" s="20" t="e">
        <f>#REF!-M1706</f>
        <v>#REF!</v>
      </c>
      <c r="Q1706" s="20" t="e">
        <f>#REF!-N1706</f>
        <v>#REF!</v>
      </c>
      <c r="R1706" s="17" t="str">
        <f t="shared" si="192"/>
        <v>84 2 00 21210000</v>
      </c>
    </row>
    <row r="1707" spans="1:18" s="16" customFormat="1" ht="31.5">
      <c r="A1707" s="14"/>
      <c r="B1707" s="125" t="s">
        <v>28</v>
      </c>
      <c r="C1707" s="109" t="s">
        <v>412</v>
      </c>
      <c r="D1707" s="109" t="s">
        <v>73</v>
      </c>
      <c r="E1707" s="109" t="s">
        <v>57</v>
      </c>
      <c r="F1707" s="108" t="s">
        <v>935</v>
      </c>
      <c r="G1707" s="108" t="s">
        <v>29</v>
      </c>
      <c r="H1707" s="126">
        <f>H1708</f>
        <v>0</v>
      </c>
      <c r="L1707" s="20">
        <v>100</v>
      </c>
      <c r="M1707" s="20">
        <v>100</v>
      </c>
      <c r="N1707" s="20">
        <v>100</v>
      </c>
      <c r="O1707" s="20">
        <f>H1707-L1707</f>
        <v>-100</v>
      </c>
      <c r="P1707" s="20" t="e">
        <f>#REF!-M1707</f>
        <v>#REF!</v>
      </c>
      <c r="Q1707" s="20" t="e">
        <f>#REF!-N1707</f>
        <v>#REF!</v>
      </c>
      <c r="R1707" s="17" t="str">
        <f t="shared" si="192"/>
        <v>84 2 00 21210240</v>
      </c>
    </row>
    <row r="1708" spans="1:18" s="16" customFormat="1" ht="15.75">
      <c r="A1708" s="14"/>
      <c r="B1708" s="125" t="s">
        <v>30</v>
      </c>
      <c r="C1708" s="109" t="s">
        <v>412</v>
      </c>
      <c r="D1708" s="109" t="s">
        <v>73</v>
      </c>
      <c r="E1708" s="109" t="s">
        <v>57</v>
      </c>
      <c r="F1708" s="108" t="s">
        <v>935</v>
      </c>
      <c r="G1708" s="108" t="s">
        <v>31</v>
      </c>
      <c r="H1708" s="126"/>
      <c r="L1708" s="20"/>
      <c r="M1708" s="20"/>
      <c r="N1708" s="20"/>
      <c r="O1708" s="20"/>
      <c r="P1708" s="20"/>
      <c r="Q1708" s="20"/>
      <c r="R1708" s="17"/>
    </row>
    <row r="1709" spans="1:18" s="16" customFormat="1" ht="15.75">
      <c r="A1709" s="14"/>
      <c r="B1709" s="117" t="s">
        <v>305</v>
      </c>
      <c r="C1709" s="118" t="s">
        <v>412</v>
      </c>
      <c r="D1709" s="119" t="s">
        <v>86</v>
      </c>
      <c r="E1709" s="119" t="s">
        <v>7</v>
      </c>
      <c r="F1709" s="119" t="s">
        <v>8</v>
      </c>
      <c r="G1709" s="119" t="s">
        <v>9</v>
      </c>
      <c r="H1709" s="120">
        <f t="shared" ref="H1709:H1714" si="202">H1710</f>
        <v>0</v>
      </c>
      <c r="L1709" s="18">
        <v>50</v>
      </c>
      <c r="M1709" s="18">
        <v>0</v>
      </c>
      <c r="N1709" s="18">
        <v>0</v>
      </c>
      <c r="O1709" s="18">
        <f t="shared" ref="O1709:O1715" si="203">H1709-L1709</f>
        <v>-50</v>
      </c>
      <c r="P1709" s="18" t="e">
        <f>#REF!-M1709</f>
        <v>#REF!</v>
      </c>
      <c r="Q1709" s="18" t="e">
        <f>#REF!-N1709</f>
        <v>#REF!</v>
      </c>
      <c r="R1709" s="17" t="str">
        <f t="shared" si="192"/>
        <v>00 0 00 00000000</v>
      </c>
    </row>
    <row r="1710" spans="1:18" s="16" customFormat="1" ht="15.75">
      <c r="A1710" s="14"/>
      <c r="B1710" s="121" t="s">
        <v>306</v>
      </c>
      <c r="C1710" s="122" t="s">
        <v>412</v>
      </c>
      <c r="D1710" s="123" t="s">
        <v>86</v>
      </c>
      <c r="E1710" s="123" t="s">
        <v>13</v>
      </c>
      <c r="F1710" s="123" t="s">
        <v>8</v>
      </c>
      <c r="G1710" s="123" t="s">
        <v>9</v>
      </c>
      <c r="H1710" s="124">
        <f t="shared" si="202"/>
        <v>0</v>
      </c>
      <c r="L1710" s="19">
        <v>50</v>
      </c>
      <c r="M1710" s="19">
        <v>0</v>
      </c>
      <c r="N1710" s="19">
        <v>0</v>
      </c>
      <c r="O1710" s="19">
        <f t="shared" si="203"/>
        <v>-50</v>
      </c>
      <c r="P1710" s="19" t="e">
        <f>#REF!-M1710</f>
        <v>#REF!</v>
      </c>
      <c r="Q1710" s="19" t="e">
        <f>#REF!-N1710</f>
        <v>#REF!</v>
      </c>
      <c r="R1710" s="17" t="str">
        <f t="shared" ref="R1710:R1767" si="204">CONCATENATE(F1710,G1710)</f>
        <v>00 0 00 00000000</v>
      </c>
    </row>
    <row r="1711" spans="1:18" s="16" customFormat="1" ht="63">
      <c r="A1711" s="14"/>
      <c r="B1711" s="127" t="s">
        <v>293</v>
      </c>
      <c r="C1711" s="108" t="s">
        <v>412</v>
      </c>
      <c r="D1711" s="108" t="s">
        <v>86</v>
      </c>
      <c r="E1711" s="108" t="s">
        <v>13</v>
      </c>
      <c r="F1711" s="108" t="s">
        <v>294</v>
      </c>
      <c r="G1711" s="108" t="s">
        <v>9</v>
      </c>
      <c r="H1711" s="141">
        <f t="shared" si="202"/>
        <v>0</v>
      </c>
      <c r="L1711" s="32">
        <v>50</v>
      </c>
      <c r="M1711" s="32">
        <v>0</v>
      </c>
      <c r="N1711" s="32">
        <v>0</v>
      </c>
      <c r="O1711" s="32">
        <f t="shared" si="203"/>
        <v>-50</v>
      </c>
      <c r="P1711" s="32" t="e">
        <f>#REF!-M1711</f>
        <v>#REF!</v>
      </c>
      <c r="Q1711" s="32" t="e">
        <f>#REF!-N1711</f>
        <v>#REF!</v>
      </c>
      <c r="R1711" s="17" t="str">
        <f t="shared" si="204"/>
        <v>04 0 00 00000000</v>
      </c>
    </row>
    <row r="1712" spans="1:18" s="16" customFormat="1" ht="31.5">
      <c r="A1712" s="14"/>
      <c r="B1712" s="125" t="s">
        <v>307</v>
      </c>
      <c r="C1712" s="108" t="s">
        <v>412</v>
      </c>
      <c r="D1712" s="108" t="s">
        <v>86</v>
      </c>
      <c r="E1712" s="108" t="s">
        <v>13</v>
      </c>
      <c r="F1712" s="108" t="s">
        <v>308</v>
      </c>
      <c r="G1712" s="108" t="s">
        <v>9</v>
      </c>
      <c r="H1712" s="141">
        <f t="shared" si="202"/>
        <v>0</v>
      </c>
      <c r="L1712" s="32">
        <v>50</v>
      </c>
      <c r="M1712" s="32">
        <v>0</v>
      </c>
      <c r="N1712" s="32">
        <v>0</v>
      </c>
      <c r="O1712" s="32">
        <f t="shared" si="203"/>
        <v>-50</v>
      </c>
      <c r="P1712" s="32" t="e">
        <f>#REF!-M1712</f>
        <v>#REF!</v>
      </c>
      <c r="Q1712" s="32" t="e">
        <f>#REF!-N1712</f>
        <v>#REF!</v>
      </c>
      <c r="R1712" s="17" t="str">
        <f t="shared" si="204"/>
        <v>04 3 00 00000000</v>
      </c>
    </row>
    <row r="1713" spans="1:18" s="16" customFormat="1" ht="31.5">
      <c r="A1713" s="14"/>
      <c r="B1713" s="138" t="s">
        <v>309</v>
      </c>
      <c r="C1713" s="130" t="s">
        <v>412</v>
      </c>
      <c r="D1713" s="131" t="s">
        <v>86</v>
      </c>
      <c r="E1713" s="131" t="s">
        <v>13</v>
      </c>
      <c r="F1713" s="108" t="s">
        <v>310</v>
      </c>
      <c r="G1713" s="131" t="s">
        <v>9</v>
      </c>
      <c r="H1713" s="105">
        <f t="shared" si="202"/>
        <v>0</v>
      </c>
      <c r="L1713" s="26">
        <v>50</v>
      </c>
      <c r="M1713" s="26">
        <v>0</v>
      </c>
      <c r="N1713" s="26">
        <v>0</v>
      </c>
      <c r="O1713" s="26">
        <f t="shared" si="203"/>
        <v>-50</v>
      </c>
      <c r="P1713" s="26" t="e">
        <f>#REF!-M1713</f>
        <v>#REF!</v>
      </c>
      <c r="Q1713" s="26" t="e">
        <f>#REF!-N1713</f>
        <v>#REF!</v>
      </c>
      <c r="R1713" s="17" t="str">
        <f t="shared" si="204"/>
        <v>04 3 04 00000000</v>
      </c>
    </row>
    <row r="1714" spans="1:18" s="16" customFormat="1" ht="31.5">
      <c r="A1714" s="14"/>
      <c r="B1714" s="138" t="s">
        <v>542</v>
      </c>
      <c r="C1714" s="130" t="s">
        <v>412</v>
      </c>
      <c r="D1714" s="131" t="s">
        <v>86</v>
      </c>
      <c r="E1714" s="131" t="s">
        <v>13</v>
      </c>
      <c r="F1714" s="142" t="s">
        <v>543</v>
      </c>
      <c r="G1714" s="142" t="s">
        <v>9</v>
      </c>
      <c r="H1714" s="126">
        <f t="shared" si="202"/>
        <v>0</v>
      </c>
      <c r="L1714" s="20">
        <v>50</v>
      </c>
      <c r="M1714" s="20">
        <v>0</v>
      </c>
      <c r="N1714" s="20">
        <v>0</v>
      </c>
      <c r="O1714" s="20">
        <f t="shared" si="203"/>
        <v>-50</v>
      </c>
      <c r="P1714" s="20" t="e">
        <f>#REF!-M1714</f>
        <v>#REF!</v>
      </c>
      <c r="Q1714" s="20" t="e">
        <f>#REF!-N1714</f>
        <v>#REF!</v>
      </c>
      <c r="R1714" s="17" t="str">
        <f t="shared" si="204"/>
        <v>04 3 04 20300000</v>
      </c>
    </row>
    <row r="1715" spans="1:18" s="16" customFormat="1" ht="31.5">
      <c r="A1715" s="14"/>
      <c r="B1715" s="138" t="s">
        <v>28</v>
      </c>
      <c r="C1715" s="130" t="s">
        <v>412</v>
      </c>
      <c r="D1715" s="131" t="s">
        <v>86</v>
      </c>
      <c r="E1715" s="131" t="s">
        <v>13</v>
      </c>
      <c r="F1715" s="142" t="s">
        <v>543</v>
      </c>
      <c r="G1715" s="142" t="s">
        <v>29</v>
      </c>
      <c r="H1715" s="126">
        <f>H1716</f>
        <v>0</v>
      </c>
      <c r="L1715" s="20">
        <v>50</v>
      </c>
      <c r="M1715" s="20">
        <v>0</v>
      </c>
      <c r="N1715" s="20">
        <v>0</v>
      </c>
      <c r="O1715" s="20">
        <f t="shared" si="203"/>
        <v>-50</v>
      </c>
      <c r="P1715" s="20" t="e">
        <f>#REF!-M1715</f>
        <v>#REF!</v>
      </c>
      <c r="Q1715" s="20" t="e">
        <f>#REF!-N1715</f>
        <v>#REF!</v>
      </c>
      <c r="R1715" s="17" t="str">
        <f t="shared" si="204"/>
        <v>04 3 04 20300240</v>
      </c>
    </row>
    <row r="1716" spans="1:18" s="16" customFormat="1" ht="15.75">
      <c r="A1716" s="14"/>
      <c r="B1716" s="125" t="s">
        <v>30</v>
      </c>
      <c r="C1716" s="130" t="s">
        <v>412</v>
      </c>
      <c r="D1716" s="131" t="s">
        <v>86</v>
      </c>
      <c r="E1716" s="131" t="s">
        <v>13</v>
      </c>
      <c r="F1716" s="142" t="s">
        <v>543</v>
      </c>
      <c r="G1716" s="142" t="s">
        <v>31</v>
      </c>
      <c r="H1716" s="126"/>
      <c r="L1716" s="20"/>
      <c r="M1716" s="20"/>
      <c r="N1716" s="20"/>
      <c r="O1716" s="20"/>
      <c r="P1716" s="20"/>
      <c r="Q1716" s="20"/>
      <c r="R1716" s="17"/>
    </row>
    <row r="1717" spans="1:18" s="16" customFormat="1" ht="15.75">
      <c r="A1717" s="14"/>
      <c r="B1717" s="117" t="s">
        <v>228</v>
      </c>
      <c r="C1717" s="118" t="s">
        <v>412</v>
      </c>
      <c r="D1717" s="119" t="s">
        <v>229</v>
      </c>
      <c r="E1717" s="119" t="s">
        <v>7</v>
      </c>
      <c r="F1717" s="119" t="s">
        <v>8</v>
      </c>
      <c r="G1717" s="119" t="s">
        <v>9</v>
      </c>
      <c r="H1717" s="120">
        <f>H1718</f>
        <v>0</v>
      </c>
      <c r="L1717" s="18">
        <v>13358.85</v>
      </c>
      <c r="M1717" s="18">
        <v>27702.6</v>
      </c>
      <c r="N1717" s="18">
        <v>19074.82</v>
      </c>
      <c r="O1717" s="18">
        <f t="shared" ref="O1717:O1723" si="205">H1717-L1717</f>
        <v>-13358.85</v>
      </c>
      <c r="P1717" s="18" t="e">
        <f>#REF!-M1717</f>
        <v>#REF!</v>
      </c>
      <c r="Q1717" s="18" t="e">
        <f>#REF!-N1717</f>
        <v>#REF!</v>
      </c>
      <c r="R1717" s="17" t="str">
        <f t="shared" si="204"/>
        <v>00 0 00 00000000</v>
      </c>
    </row>
    <row r="1718" spans="1:18" s="16" customFormat="1" ht="15.75">
      <c r="A1718" s="14"/>
      <c r="B1718" s="121" t="s">
        <v>438</v>
      </c>
      <c r="C1718" s="122" t="s">
        <v>412</v>
      </c>
      <c r="D1718" s="123" t="s">
        <v>229</v>
      </c>
      <c r="E1718" s="123" t="s">
        <v>62</v>
      </c>
      <c r="F1718" s="123" t="s">
        <v>8</v>
      </c>
      <c r="G1718" s="123" t="s">
        <v>9</v>
      </c>
      <c r="H1718" s="124">
        <f>H1719</f>
        <v>0</v>
      </c>
      <c r="L1718" s="19">
        <v>13358.85</v>
      </c>
      <c r="M1718" s="19">
        <v>7613.02</v>
      </c>
      <c r="N1718" s="19">
        <v>15579.71</v>
      </c>
      <c r="O1718" s="19">
        <f t="shared" si="205"/>
        <v>-13358.85</v>
      </c>
      <c r="P1718" s="19" t="e">
        <f>#REF!-M1718</f>
        <v>#REF!</v>
      </c>
      <c r="Q1718" s="19" t="e">
        <f>#REF!-N1718</f>
        <v>#REF!</v>
      </c>
      <c r="R1718" s="17" t="str">
        <f t="shared" si="204"/>
        <v>00 0 00 00000000</v>
      </c>
    </row>
    <row r="1719" spans="1:18" s="16" customFormat="1" ht="31.5">
      <c r="A1719" s="14"/>
      <c r="B1719" s="132" t="s">
        <v>396</v>
      </c>
      <c r="C1719" s="109" t="s">
        <v>412</v>
      </c>
      <c r="D1719" s="108" t="s">
        <v>229</v>
      </c>
      <c r="E1719" s="108" t="s">
        <v>62</v>
      </c>
      <c r="F1719" s="108" t="s">
        <v>397</v>
      </c>
      <c r="G1719" s="108" t="s">
        <v>9</v>
      </c>
      <c r="H1719" s="126">
        <f t="shared" ref="H1719:H1720" si="206">H1720</f>
        <v>0</v>
      </c>
      <c r="L1719" s="20">
        <v>13358.85</v>
      </c>
      <c r="M1719" s="20">
        <v>7613.02</v>
      </c>
      <c r="N1719" s="20">
        <v>15579.71</v>
      </c>
      <c r="O1719" s="20">
        <f t="shared" si="205"/>
        <v>-13358.85</v>
      </c>
      <c r="P1719" s="20" t="e">
        <f>#REF!-M1719</f>
        <v>#REF!</v>
      </c>
      <c r="Q1719" s="20" t="e">
        <f>#REF!-N1719</f>
        <v>#REF!</v>
      </c>
      <c r="R1719" s="17" t="str">
        <f t="shared" si="204"/>
        <v>01 0 00 00000000</v>
      </c>
    </row>
    <row r="1720" spans="1:18" s="16" customFormat="1" ht="47.25">
      <c r="A1720" s="14"/>
      <c r="B1720" s="125" t="s">
        <v>444</v>
      </c>
      <c r="C1720" s="109" t="s">
        <v>412</v>
      </c>
      <c r="D1720" s="108" t="s">
        <v>229</v>
      </c>
      <c r="E1720" s="108" t="s">
        <v>62</v>
      </c>
      <c r="F1720" s="108" t="s">
        <v>445</v>
      </c>
      <c r="G1720" s="108" t="s">
        <v>9</v>
      </c>
      <c r="H1720" s="126">
        <f t="shared" si="206"/>
        <v>0</v>
      </c>
      <c r="L1720" s="20">
        <v>13358.85</v>
      </c>
      <c r="M1720" s="20">
        <v>7613.02</v>
      </c>
      <c r="N1720" s="20">
        <v>15579.71</v>
      </c>
      <c r="O1720" s="20">
        <f t="shared" si="205"/>
        <v>-13358.85</v>
      </c>
      <c r="P1720" s="20" t="e">
        <f>#REF!-M1720</f>
        <v>#REF!</v>
      </c>
      <c r="Q1720" s="20" t="e">
        <f>#REF!-N1720</f>
        <v>#REF!</v>
      </c>
      <c r="R1720" s="17" t="str">
        <f t="shared" si="204"/>
        <v>01 2 00 00000000</v>
      </c>
    </row>
    <row r="1721" spans="1:18" s="16" customFormat="1" ht="63">
      <c r="A1721" s="14"/>
      <c r="B1721" s="125" t="s">
        <v>936</v>
      </c>
      <c r="C1721" s="109" t="s">
        <v>412</v>
      </c>
      <c r="D1721" s="108" t="s">
        <v>229</v>
      </c>
      <c r="E1721" s="108" t="s">
        <v>62</v>
      </c>
      <c r="F1721" s="108" t="s">
        <v>447</v>
      </c>
      <c r="G1721" s="108" t="s">
        <v>9</v>
      </c>
      <c r="H1721" s="126">
        <f>H1722</f>
        <v>0</v>
      </c>
      <c r="L1721" s="20">
        <v>13358.85</v>
      </c>
      <c r="M1721" s="20">
        <v>7613.02</v>
      </c>
      <c r="N1721" s="20">
        <v>15579.71</v>
      </c>
      <c r="O1721" s="20">
        <f t="shared" si="205"/>
        <v>-13358.85</v>
      </c>
      <c r="P1721" s="20" t="e">
        <f>#REF!-M1721</f>
        <v>#REF!</v>
      </c>
      <c r="Q1721" s="20" t="e">
        <f>#REF!-N1721</f>
        <v>#REF!</v>
      </c>
      <c r="R1721" s="17" t="str">
        <f t="shared" si="204"/>
        <v>01 2 01 00000000</v>
      </c>
    </row>
    <row r="1722" spans="1:18" s="16" customFormat="1" ht="47.25">
      <c r="A1722" s="14"/>
      <c r="B1722" s="125" t="s">
        <v>448</v>
      </c>
      <c r="C1722" s="109" t="s">
        <v>412</v>
      </c>
      <c r="D1722" s="108" t="s">
        <v>229</v>
      </c>
      <c r="E1722" s="108" t="s">
        <v>62</v>
      </c>
      <c r="F1722" s="108" t="s">
        <v>449</v>
      </c>
      <c r="G1722" s="108" t="s">
        <v>9</v>
      </c>
      <c r="H1722" s="126">
        <f>H1723</f>
        <v>0</v>
      </c>
      <c r="L1722" s="20">
        <v>13358.85</v>
      </c>
      <c r="M1722" s="20">
        <v>7613.02</v>
      </c>
      <c r="N1722" s="20">
        <v>15579.71</v>
      </c>
      <c r="O1722" s="20">
        <f t="shared" si="205"/>
        <v>-13358.85</v>
      </c>
      <c r="P1722" s="20" t="e">
        <f>#REF!-M1722</f>
        <v>#REF!</v>
      </c>
      <c r="Q1722" s="20" t="e">
        <f>#REF!-N1722</f>
        <v>#REF!</v>
      </c>
      <c r="R1722" s="17" t="str">
        <f t="shared" si="204"/>
        <v>01 2 01 40010000</v>
      </c>
    </row>
    <row r="1723" spans="1:18" s="16" customFormat="1" ht="15.75">
      <c r="A1723" s="14"/>
      <c r="B1723" s="125" t="s">
        <v>937</v>
      </c>
      <c r="C1723" s="109" t="s">
        <v>412</v>
      </c>
      <c r="D1723" s="108" t="s">
        <v>229</v>
      </c>
      <c r="E1723" s="108" t="s">
        <v>62</v>
      </c>
      <c r="F1723" s="108" t="s">
        <v>449</v>
      </c>
      <c r="G1723" s="108" t="s">
        <v>838</v>
      </c>
      <c r="H1723" s="126">
        <f>H1724</f>
        <v>0</v>
      </c>
      <c r="L1723" s="20">
        <v>13358.85</v>
      </c>
      <c r="M1723" s="20">
        <v>7613.02</v>
      </c>
      <c r="N1723" s="20">
        <v>15579.71</v>
      </c>
      <c r="O1723" s="20">
        <f t="shared" si="205"/>
        <v>-13358.85</v>
      </c>
      <c r="P1723" s="20" t="e">
        <f>#REF!-M1723</f>
        <v>#REF!</v>
      </c>
      <c r="Q1723" s="20" t="e">
        <f>#REF!-N1723</f>
        <v>#REF!</v>
      </c>
      <c r="R1723" s="17" t="str">
        <f t="shared" si="204"/>
        <v>01 2 01 40010410</v>
      </c>
    </row>
    <row r="1724" spans="1:18" s="16" customFormat="1" ht="47.25">
      <c r="A1724" s="14"/>
      <c r="B1724" s="125" t="s">
        <v>839</v>
      </c>
      <c r="C1724" s="109" t="s">
        <v>412</v>
      </c>
      <c r="D1724" s="108" t="s">
        <v>229</v>
      </c>
      <c r="E1724" s="108" t="s">
        <v>62</v>
      </c>
      <c r="F1724" s="108" t="s">
        <v>449</v>
      </c>
      <c r="G1724" s="108" t="s">
        <v>840</v>
      </c>
      <c r="H1724" s="126"/>
      <c r="L1724" s="20"/>
      <c r="M1724" s="20"/>
      <c r="N1724" s="20"/>
      <c r="O1724" s="20"/>
      <c r="P1724" s="20"/>
      <c r="Q1724" s="20"/>
      <c r="R1724" s="17" t="str">
        <f t="shared" si="204"/>
        <v>01 2 01 40010414</v>
      </c>
    </row>
    <row r="1725" spans="1:18" s="16" customFormat="1" ht="15.75">
      <c r="A1725" s="14"/>
      <c r="B1725" s="117" t="s">
        <v>569</v>
      </c>
      <c r="C1725" s="118" t="s">
        <v>412</v>
      </c>
      <c r="D1725" s="119" t="s">
        <v>238</v>
      </c>
      <c r="E1725" s="119" t="s">
        <v>7</v>
      </c>
      <c r="F1725" s="119" t="s">
        <v>8</v>
      </c>
      <c r="G1725" s="119" t="s">
        <v>9</v>
      </c>
      <c r="H1725" s="120">
        <f t="shared" ref="H1725" si="207">H1726</f>
        <v>0</v>
      </c>
      <c r="L1725" s="18">
        <v>800</v>
      </c>
      <c r="M1725" s="18">
        <v>800</v>
      </c>
      <c r="N1725" s="18">
        <v>800</v>
      </c>
      <c r="O1725" s="18">
        <f t="shared" ref="O1725:O1731" si="208">H1725-L1725</f>
        <v>-800</v>
      </c>
      <c r="P1725" s="18" t="e">
        <f>#REF!-M1725</f>
        <v>#REF!</v>
      </c>
      <c r="Q1725" s="18" t="e">
        <f>#REF!-N1725</f>
        <v>#REF!</v>
      </c>
      <c r="R1725" s="17" t="str">
        <f t="shared" si="204"/>
        <v>00 0 00 00000000</v>
      </c>
    </row>
    <row r="1726" spans="1:18" s="16" customFormat="1" ht="15.75">
      <c r="A1726" s="14"/>
      <c r="B1726" s="121" t="s">
        <v>239</v>
      </c>
      <c r="C1726" s="122" t="s">
        <v>412</v>
      </c>
      <c r="D1726" s="123" t="s">
        <v>238</v>
      </c>
      <c r="E1726" s="123" t="s">
        <v>11</v>
      </c>
      <c r="F1726" s="123" t="s">
        <v>8</v>
      </c>
      <c r="G1726" s="123" t="s">
        <v>9</v>
      </c>
      <c r="H1726" s="124">
        <f>H1727</f>
        <v>0</v>
      </c>
      <c r="L1726" s="19">
        <v>800</v>
      </c>
      <c r="M1726" s="19">
        <v>800</v>
      </c>
      <c r="N1726" s="19">
        <v>800</v>
      </c>
      <c r="O1726" s="19">
        <f t="shared" si="208"/>
        <v>-800</v>
      </c>
      <c r="P1726" s="19" t="e">
        <f>#REF!-M1726</f>
        <v>#REF!</v>
      </c>
      <c r="Q1726" s="19" t="e">
        <f>#REF!-N1726</f>
        <v>#REF!</v>
      </c>
      <c r="R1726" s="17" t="str">
        <f t="shared" si="204"/>
        <v>00 0 00 00000000</v>
      </c>
    </row>
    <row r="1727" spans="1:18" s="16" customFormat="1" ht="31.5">
      <c r="A1727" s="14"/>
      <c r="B1727" s="125" t="s">
        <v>240</v>
      </c>
      <c r="C1727" s="109" t="s">
        <v>412</v>
      </c>
      <c r="D1727" s="108" t="s">
        <v>238</v>
      </c>
      <c r="E1727" s="108" t="s">
        <v>11</v>
      </c>
      <c r="F1727" s="131" t="s">
        <v>241</v>
      </c>
      <c r="G1727" s="108" t="s">
        <v>9</v>
      </c>
      <c r="H1727" s="126">
        <f>H1728</f>
        <v>0</v>
      </c>
      <c r="L1727" s="20">
        <v>800</v>
      </c>
      <c r="M1727" s="20">
        <v>800</v>
      </c>
      <c r="N1727" s="20">
        <v>800</v>
      </c>
      <c r="O1727" s="20">
        <f t="shared" si="208"/>
        <v>-800</v>
      </c>
      <c r="P1727" s="20" t="e">
        <f>#REF!-M1727</f>
        <v>#REF!</v>
      </c>
      <c r="Q1727" s="20" t="e">
        <f>#REF!-N1727</f>
        <v>#REF!</v>
      </c>
      <c r="R1727" s="17" t="str">
        <f t="shared" si="204"/>
        <v>07 0 00 00000000</v>
      </c>
    </row>
    <row r="1728" spans="1:18" s="16" customFormat="1" ht="78.75">
      <c r="A1728" s="14"/>
      <c r="B1728" s="125" t="s">
        <v>384</v>
      </c>
      <c r="C1728" s="109" t="s">
        <v>412</v>
      </c>
      <c r="D1728" s="108" t="s">
        <v>238</v>
      </c>
      <c r="E1728" s="108" t="s">
        <v>11</v>
      </c>
      <c r="F1728" s="131" t="s">
        <v>243</v>
      </c>
      <c r="G1728" s="108" t="s">
        <v>9</v>
      </c>
      <c r="H1728" s="126">
        <f t="shared" ref="H1728:H1730" si="209">H1729</f>
        <v>0</v>
      </c>
      <c r="L1728" s="20">
        <v>800</v>
      </c>
      <c r="M1728" s="20">
        <v>800</v>
      </c>
      <c r="N1728" s="20">
        <v>800</v>
      </c>
      <c r="O1728" s="20">
        <f t="shared" si="208"/>
        <v>-800</v>
      </c>
      <c r="P1728" s="20" t="e">
        <f>#REF!-M1728</f>
        <v>#REF!</v>
      </c>
      <c r="Q1728" s="20" t="e">
        <f>#REF!-N1728</f>
        <v>#REF!</v>
      </c>
      <c r="R1728" s="17" t="str">
        <f t="shared" si="204"/>
        <v>07 1 00 00000000</v>
      </c>
    </row>
    <row r="1729" spans="1:18" s="16" customFormat="1" ht="110.25">
      <c r="A1729" s="14"/>
      <c r="B1729" s="125" t="s">
        <v>244</v>
      </c>
      <c r="C1729" s="109" t="s">
        <v>412</v>
      </c>
      <c r="D1729" s="108" t="s">
        <v>238</v>
      </c>
      <c r="E1729" s="108" t="s">
        <v>11</v>
      </c>
      <c r="F1729" s="131" t="s">
        <v>245</v>
      </c>
      <c r="G1729" s="108" t="s">
        <v>9</v>
      </c>
      <c r="H1729" s="126">
        <f t="shared" si="209"/>
        <v>0</v>
      </c>
      <c r="L1729" s="20">
        <v>800</v>
      </c>
      <c r="M1729" s="20">
        <v>800</v>
      </c>
      <c r="N1729" s="20">
        <v>800</v>
      </c>
      <c r="O1729" s="20">
        <f t="shared" si="208"/>
        <v>-800</v>
      </c>
      <c r="P1729" s="20" t="e">
        <f>#REF!-M1729</f>
        <v>#REF!</v>
      </c>
      <c r="Q1729" s="20" t="e">
        <f>#REF!-N1729</f>
        <v>#REF!</v>
      </c>
      <c r="R1729" s="17" t="str">
        <f t="shared" si="204"/>
        <v>07 1 01 00000000</v>
      </c>
    </row>
    <row r="1730" spans="1:18" s="16" customFormat="1" ht="31.5">
      <c r="A1730" s="14"/>
      <c r="B1730" s="125" t="s">
        <v>246</v>
      </c>
      <c r="C1730" s="109" t="s">
        <v>412</v>
      </c>
      <c r="D1730" s="108" t="s">
        <v>238</v>
      </c>
      <c r="E1730" s="108" t="s">
        <v>11</v>
      </c>
      <c r="F1730" s="131" t="s">
        <v>247</v>
      </c>
      <c r="G1730" s="108" t="s">
        <v>9</v>
      </c>
      <c r="H1730" s="126">
        <f t="shared" si="209"/>
        <v>0</v>
      </c>
      <c r="L1730" s="20">
        <v>800</v>
      </c>
      <c r="M1730" s="20">
        <v>800</v>
      </c>
      <c r="N1730" s="20">
        <v>800</v>
      </c>
      <c r="O1730" s="20">
        <f t="shared" si="208"/>
        <v>-800</v>
      </c>
      <c r="P1730" s="20" t="e">
        <f>#REF!-M1730</f>
        <v>#REF!</v>
      </c>
      <c r="Q1730" s="20" t="e">
        <f>#REF!-N1730</f>
        <v>#REF!</v>
      </c>
      <c r="R1730" s="17" t="str">
        <f t="shared" si="204"/>
        <v>07 1 01 20060000</v>
      </c>
    </row>
    <row r="1731" spans="1:18" s="16" customFormat="1" ht="31.5">
      <c r="A1731" s="14"/>
      <c r="B1731" s="127" t="s">
        <v>28</v>
      </c>
      <c r="C1731" s="109" t="s">
        <v>412</v>
      </c>
      <c r="D1731" s="108" t="s">
        <v>238</v>
      </c>
      <c r="E1731" s="108" t="s">
        <v>11</v>
      </c>
      <c r="F1731" s="131" t="s">
        <v>247</v>
      </c>
      <c r="G1731" s="108" t="s">
        <v>29</v>
      </c>
      <c r="H1731" s="126">
        <f>H1732</f>
        <v>0</v>
      </c>
      <c r="L1731" s="20">
        <v>800</v>
      </c>
      <c r="M1731" s="20">
        <v>800</v>
      </c>
      <c r="N1731" s="20">
        <v>800</v>
      </c>
      <c r="O1731" s="20">
        <f t="shared" si="208"/>
        <v>-800</v>
      </c>
      <c r="P1731" s="20" t="e">
        <f>#REF!-M1731</f>
        <v>#REF!</v>
      </c>
      <c r="Q1731" s="20" t="e">
        <f>#REF!-N1731</f>
        <v>#REF!</v>
      </c>
      <c r="R1731" s="17" t="str">
        <f t="shared" si="204"/>
        <v>07 1 01 20060240</v>
      </c>
    </row>
    <row r="1732" spans="1:18" s="16" customFormat="1" ht="15.75">
      <c r="A1732" s="14"/>
      <c r="B1732" s="125" t="s">
        <v>30</v>
      </c>
      <c r="C1732" s="109" t="s">
        <v>412</v>
      </c>
      <c r="D1732" s="108" t="s">
        <v>238</v>
      </c>
      <c r="E1732" s="108" t="s">
        <v>11</v>
      </c>
      <c r="F1732" s="131" t="s">
        <v>247</v>
      </c>
      <c r="G1732" s="108" t="s">
        <v>31</v>
      </c>
      <c r="H1732" s="126"/>
      <c r="L1732" s="20"/>
      <c r="M1732" s="20"/>
      <c r="N1732" s="20"/>
      <c r="O1732" s="20"/>
      <c r="P1732" s="20"/>
      <c r="Q1732" s="20"/>
      <c r="R1732" s="17"/>
    </row>
    <row r="1733" spans="1:18" s="16" customFormat="1" ht="15.75">
      <c r="A1733" s="14"/>
      <c r="B1733" s="125"/>
      <c r="C1733" s="109"/>
      <c r="D1733" s="108"/>
      <c r="E1733" s="108"/>
      <c r="F1733" s="108"/>
      <c r="G1733" s="108"/>
      <c r="H1733" s="126"/>
      <c r="L1733" s="20"/>
      <c r="M1733" s="20"/>
      <c r="N1733" s="20"/>
      <c r="O1733" s="20">
        <f t="shared" ref="O1733:O1741" si="210">H1733-L1733</f>
        <v>0</v>
      </c>
      <c r="P1733" s="20" t="e">
        <f>#REF!-M1733</f>
        <v>#REF!</v>
      </c>
      <c r="Q1733" s="20" t="e">
        <f>#REF!-N1733</f>
        <v>#REF!</v>
      </c>
      <c r="R1733" s="17" t="str">
        <f t="shared" si="204"/>
        <v/>
      </c>
    </row>
    <row r="1734" spans="1:18" s="16" customFormat="1" ht="47.25">
      <c r="A1734" s="14"/>
      <c r="B1734" s="67" t="s">
        <v>938</v>
      </c>
      <c r="C1734" s="116" t="s">
        <v>939</v>
      </c>
      <c r="D1734" s="69" t="s">
        <v>7</v>
      </c>
      <c r="E1734" s="69" t="s">
        <v>7</v>
      </c>
      <c r="F1734" s="69" t="s">
        <v>8</v>
      </c>
      <c r="G1734" s="69" t="s">
        <v>9</v>
      </c>
      <c r="H1734" s="70">
        <f>H1735</f>
        <v>0</v>
      </c>
      <c r="L1734" s="25">
        <v>71663.040000000008</v>
      </c>
      <c r="M1734" s="25">
        <v>71312.98000000001</v>
      </c>
      <c r="N1734" s="25">
        <v>71312.98000000001</v>
      </c>
      <c r="O1734" s="25">
        <f t="shared" si="210"/>
        <v>-71663.040000000008</v>
      </c>
      <c r="P1734" s="25" t="e">
        <f>#REF!-M1734</f>
        <v>#REF!</v>
      </c>
      <c r="Q1734" s="25" t="e">
        <f>#REF!-N1734</f>
        <v>#REF!</v>
      </c>
      <c r="R1734" s="17" t="str">
        <f t="shared" si="204"/>
        <v>00 0 00 00000000</v>
      </c>
    </row>
    <row r="1735" spans="1:18" s="16" customFormat="1" ht="31.5">
      <c r="A1735" s="14"/>
      <c r="B1735" s="117" t="s">
        <v>940</v>
      </c>
      <c r="C1735" s="118" t="s">
        <v>939</v>
      </c>
      <c r="D1735" s="119" t="s">
        <v>13</v>
      </c>
      <c r="E1735" s="119" t="s">
        <v>7</v>
      </c>
      <c r="F1735" s="119" t="s">
        <v>8</v>
      </c>
      <c r="G1735" s="119" t="s">
        <v>9</v>
      </c>
      <c r="H1735" s="120">
        <f t="shared" ref="H1735" si="211">H1736</f>
        <v>0</v>
      </c>
      <c r="L1735" s="18">
        <v>71663.040000000008</v>
      </c>
      <c r="M1735" s="18">
        <v>71312.98000000001</v>
      </c>
      <c r="N1735" s="18">
        <v>71312.98000000001</v>
      </c>
      <c r="O1735" s="18">
        <f t="shared" si="210"/>
        <v>-71663.040000000008</v>
      </c>
      <c r="P1735" s="18" t="e">
        <f>#REF!-M1735</f>
        <v>#REF!</v>
      </c>
      <c r="Q1735" s="18" t="e">
        <f>#REF!-N1735</f>
        <v>#REF!</v>
      </c>
      <c r="R1735" s="17" t="str">
        <f t="shared" si="204"/>
        <v>00 0 00 00000000</v>
      </c>
    </row>
    <row r="1736" spans="1:18" s="16" customFormat="1" ht="47.25">
      <c r="A1736" s="14"/>
      <c r="B1736" s="121" t="s">
        <v>941</v>
      </c>
      <c r="C1736" s="122" t="s">
        <v>939</v>
      </c>
      <c r="D1736" s="123" t="s">
        <v>13</v>
      </c>
      <c r="E1736" s="123" t="s">
        <v>471</v>
      </c>
      <c r="F1736" s="123" t="s">
        <v>8</v>
      </c>
      <c r="G1736" s="123" t="s">
        <v>9</v>
      </c>
      <c r="H1736" s="124">
        <f>H1737+H1743+H1795</f>
        <v>0</v>
      </c>
      <c r="L1736" s="19">
        <v>71663.040000000008</v>
      </c>
      <c r="M1736" s="19">
        <v>71312.98000000001</v>
      </c>
      <c r="N1736" s="19">
        <v>71312.98000000001</v>
      </c>
      <c r="O1736" s="19">
        <f t="shared" si="210"/>
        <v>-71663.040000000008</v>
      </c>
      <c r="P1736" s="19" t="e">
        <f>#REF!-M1736</f>
        <v>#REF!</v>
      </c>
      <c r="Q1736" s="19" t="e">
        <f>#REF!-N1736</f>
        <v>#REF!</v>
      </c>
      <c r="R1736" s="17" t="str">
        <f t="shared" si="204"/>
        <v>00 0 00 00000000</v>
      </c>
    </row>
    <row r="1737" spans="1:18" s="16" customFormat="1" ht="47.25">
      <c r="A1737" s="14"/>
      <c r="B1737" s="148" t="s">
        <v>146</v>
      </c>
      <c r="C1737" s="109" t="s">
        <v>939</v>
      </c>
      <c r="D1737" s="108" t="s">
        <v>13</v>
      </c>
      <c r="E1737" s="108" t="s">
        <v>471</v>
      </c>
      <c r="F1737" s="108" t="s">
        <v>147</v>
      </c>
      <c r="G1737" s="108" t="s">
        <v>9</v>
      </c>
      <c r="H1737" s="126">
        <f>H1738</f>
        <v>0</v>
      </c>
      <c r="L1737" s="20">
        <v>22.95</v>
      </c>
      <c r="M1737" s="20">
        <v>22.95</v>
      </c>
      <c r="N1737" s="20">
        <v>22.95</v>
      </c>
      <c r="O1737" s="20">
        <f t="shared" si="210"/>
        <v>-22.95</v>
      </c>
      <c r="P1737" s="20" t="e">
        <f>#REF!-M1737</f>
        <v>#REF!</v>
      </c>
      <c r="Q1737" s="20" t="e">
        <f>#REF!-N1737</f>
        <v>#REF!</v>
      </c>
      <c r="R1737" s="17" t="str">
        <f t="shared" si="204"/>
        <v>15 0 00 00000000</v>
      </c>
    </row>
    <row r="1738" spans="1:18" s="66" customFormat="1" ht="31.5">
      <c r="A1738" s="65"/>
      <c r="B1738" s="125" t="s">
        <v>168</v>
      </c>
      <c r="C1738" s="109" t="s">
        <v>939</v>
      </c>
      <c r="D1738" s="108" t="s">
        <v>13</v>
      </c>
      <c r="E1738" s="108" t="s">
        <v>471</v>
      </c>
      <c r="F1738" s="108" t="s">
        <v>169</v>
      </c>
      <c r="G1738" s="108" t="s">
        <v>9</v>
      </c>
      <c r="H1738" s="126">
        <f t="shared" ref="H1738:H1740" si="212">H1739</f>
        <v>0</v>
      </c>
      <c r="L1738" s="20">
        <v>22.95</v>
      </c>
      <c r="M1738" s="20">
        <v>22.95</v>
      </c>
      <c r="N1738" s="20">
        <v>22.95</v>
      </c>
      <c r="O1738" s="20">
        <f t="shared" si="210"/>
        <v>-22.95</v>
      </c>
      <c r="P1738" s="20" t="e">
        <f>#REF!-M1738</f>
        <v>#REF!</v>
      </c>
      <c r="Q1738" s="20" t="e">
        <f>#REF!-N1738</f>
        <v>#REF!</v>
      </c>
      <c r="R1738" s="17" t="str">
        <f t="shared" si="204"/>
        <v>15 3 00 00000000</v>
      </c>
    </row>
    <row r="1739" spans="1:18" s="16" customFormat="1" ht="31.5">
      <c r="A1739" s="14"/>
      <c r="B1739" s="148" t="s">
        <v>942</v>
      </c>
      <c r="C1739" s="109" t="s">
        <v>939</v>
      </c>
      <c r="D1739" s="108" t="s">
        <v>13</v>
      </c>
      <c r="E1739" s="108" t="s">
        <v>471</v>
      </c>
      <c r="F1739" s="108" t="s">
        <v>943</v>
      </c>
      <c r="G1739" s="108" t="s">
        <v>9</v>
      </c>
      <c r="H1739" s="126">
        <f t="shared" si="212"/>
        <v>0</v>
      </c>
      <c r="L1739" s="20">
        <v>22.95</v>
      </c>
      <c r="M1739" s="20">
        <v>22.95</v>
      </c>
      <c r="N1739" s="20">
        <v>22.95</v>
      </c>
      <c r="O1739" s="20">
        <f t="shared" si="210"/>
        <v>-22.95</v>
      </c>
      <c r="P1739" s="20" t="e">
        <f>#REF!-M1739</f>
        <v>#REF!</v>
      </c>
      <c r="Q1739" s="20" t="e">
        <f>#REF!-N1739</f>
        <v>#REF!</v>
      </c>
      <c r="R1739" s="17" t="str">
        <f t="shared" si="204"/>
        <v>15 3 02 00000000</v>
      </c>
    </row>
    <row r="1740" spans="1:18" s="16" customFormat="1" ht="47.25">
      <c r="A1740" s="14"/>
      <c r="B1740" s="148" t="s">
        <v>944</v>
      </c>
      <c r="C1740" s="109" t="s">
        <v>939</v>
      </c>
      <c r="D1740" s="108" t="s">
        <v>13</v>
      </c>
      <c r="E1740" s="108" t="s">
        <v>471</v>
      </c>
      <c r="F1740" s="108" t="s">
        <v>945</v>
      </c>
      <c r="G1740" s="108" t="s">
        <v>9</v>
      </c>
      <c r="H1740" s="126">
        <f t="shared" si="212"/>
        <v>0</v>
      </c>
      <c r="L1740" s="20">
        <v>22.95</v>
      </c>
      <c r="M1740" s="20">
        <v>22.95</v>
      </c>
      <c r="N1740" s="20">
        <v>22.95</v>
      </c>
      <c r="O1740" s="20">
        <f t="shared" si="210"/>
        <v>-22.95</v>
      </c>
      <c r="P1740" s="20" t="e">
        <f>#REF!-M1740</f>
        <v>#REF!</v>
      </c>
      <c r="Q1740" s="20" t="e">
        <f>#REF!-N1740</f>
        <v>#REF!</v>
      </c>
      <c r="R1740" s="17" t="str">
        <f t="shared" si="204"/>
        <v>15 3 02 21290000</v>
      </c>
    </row>
    <row r="1741" spans="1:18" s="16" customFormat="1" ht="31.5">
      <c r="A1741" s="14"/>
      <c r="B1741" s="148" t="s">
        <v>28</v>
      </c>
      <c r="C1741" s="109" t="s">
        <v>939</v>
      </c>
      <c r="D1741" s="108" t="s">
        <v>13</v>
      </c>
      <c r="E1741" s="108" t="s">
        <v>471</v>
      </c>
      <c r="F1741" s="108" t="s">
        <v>945</v>
      </c>
      <c r="G1741" s="108" t="s">
        <v>29</v>
      </c>
      <c r="H1741" s="126">
        <f>H1742</f>
        <v>0</v>
      </c>
      <c r="L1741" s="20">
        <v>22.95</v>
      </c>
      <c r="M1741" s="20">
        <v>22.95</v>
      </c>
      <c r="N1741" s="20">
        <v>22.95</v>
      </c>
      <c r="O1741" s="20">
        <f t="shared" si="210"/>
        <v>-22.95</v>
      </c>
      <c r="P1741" s="20" t="e">
        <f>#REF!-M1741</f>
        <v>#REF!</v>
      </c>
      <c r="Q1741" s="20" t="e">
        <f>#REF!-N1741</f>
        <v>#REF!</v>
      </c>
      <c r="R1741" s="17" t="str">
        <f t="shared" si="204"/>
        <v>15 3 02 21290240</v>
      </c>
    </row>
    <row r="1742" spans="1:18" s="16" customFormat="1" ht="15.75">
      <c r="A1742" s="14"/>
      <c r="B1742" s="125" t="s">
        <v>30</v>
      </c>
      <c r="C1742" s="109" t="s">
        <v>939</v>
      </c>
      <c r="D1742" s="108" t="s">
        <v>13</v>
      </c>
      <c r="E1742" s="108" t="s">
        <v>471</v>
      </c>
      <c r="F1742" s="108" t="s">
        <v>945</v>
      </c>
      <c r="G1742" s="108" t="s">
        <v>31</v>
      </c>
      <c r="H1742" s="126"/>
      <c r="L1742" s="20"/>
      <c r="M1742" s="20"/>
      <c r="N1742" s="20"/>
      <c r="O1742" s="20"/>
      <c r="P1742" s="20"/>
      <c r="Q1742" s="20"/>
      <c r="R1742" s="17"/>
    </row>
    <row r="1743" spans="1:18" s="16" customFormat="1" ht="94.5">
      <c r="A1743" s="14"/>
      <c r="B1743" s="125" t="s">
        <v>420</v>
      </c>
      <c r="C1743" s="109" t="s">
        <v>939</v>
      </c>
      <c r="D1743" s="108" t="s">
        <v>13</v>
      </c>
      <c r="E1743" s="108" t="s">
        <v>471</v>
      </c>
      <c r="F1743" s="108" t="s">
        <v>421</v>
      </c>
      <c r="G1743" s="108" t="s">
        <v>9</v>
      </c>
      <c r="H1743" s="126">
        <f>H1744+H1764+H1771</f>
        <v>0</v>
      </c>
      <c r="L1743" s="20">
        <v>56290.600000000006</v>
      </c>
      <c r="M1743" s="20">
        <v>55940.540000000008</v>
      </c>
      <c r="N1743" s="20">
        <v>55940.540000000008</v>
      </c>
      <c r="O1743" s="20">
        <f>H1743-L1743</f>
        <v>-56290.600000000006</v>
      </c>
      <c r="P1743" s="20" t="e">
        <f>#REF!-M1743</f>
        <v>#REF!</v>
      </c>
      <c r="Q1743" s="20" t="e">
        <f>#REF!-N1743</f>
        <v>#REF!</v>
      </c>
      <c r="R1743" s="17" t="str">
        <f t="shared" si="204"/>
        <v>16 0 00 00000000</v>
      </c>
    </row>
    <row r="1744" spans="1:18" s="66" customFormat="1" ht="47.25">
      <c r="A1744" s="65"/>
      <c r="B1744" s="125" t="s">
        <v>946</v>
      </c>
      <c r="C1744" s="109" t="s">
        <v>939</v>
      </c>
      <c r="D1744" s="108" t="s">
        <v>13</v>
      </c>
      <c r="E1744" s="108" t="s">
        <v>471</v>
      </c>
      <c r="F1744" s="108" t="s">
        <v>947</v>
      </c>
      <c r="G1744" s="108" t="s">
        <v>9</v>
      </c>
      <c r="H1744" s="126">
        <f>H1745+H1749+H1760</f>
        <v>0</v>
      </c>
      <c r="L1744" s="20">
        <v>31046.15</v>
      </c>
      <c r="M1744" s="20">
        <v>31046.15</v>
      </c>
      <c r="N1744" s="20">
        <v>31046.15</v>
      </c>
      <c r="O1744" s="20">
        <f>H1744-L1744</f>
        <v>-31046.15</v>
      </c>
      <c r="P1744" s="20" t="e">
        <f>#REF!-M1744</f>
        <v>#REF!</v>
      </c>
      <c r="Q1744" s="20" t="e">
        <f>#REF!-N1744</f>
        <v>#REF!</v>
      </c>
      <c r="R1744" s="17" t="str">
        <f t="shared" si="204"/>
        <v>16 1 00 00000000</v>
      </c>
    </row>
    <row r="1745" spans="1:18" s="16" customFormat="1" ht="63">
      <c r="A1745" s="14"/>
      <c r="B1745" s="125" t="s">
        <v>948</v>
      </c>
      <c r="C1745" s="109" t="s">
        <v>939</v>
      </c>
      <c r="D1745" s="108" t="s">
        <v>13</v>
      </c>
      <c r="E1745" s="108" t="s">
        <v>471</v>
      </c>
      <c r="F1745" s="108" t="s">
        <v>949</v>
      </c>
      <c r="G1745" s="108" t="s">
        <v>9</v>
      </c>
      <c r="H1745" s="126">
        <f t="shared" ref="H1745:H1746" si="213">H1746</f>
        <v>0</v>
      </c>
      <c r="L1745" s="20">
        <v>100</v>
      </c>
      <c r="M1745" s="20">
        <v>100</v>
      </c>
      <c r="N1745" s="20">
        <v>100</v>
      </c>
      <c r="O1745" s="20">
        <f>H1745-L1745</f>
        <v>-100</v>
      </c>
      <c r="P1745" s="20" t="e">
        <f>#REF!-M1745</f>
        <v>#REF!</v>
      </c>
      <c r="Q1745" s="20" t="e">
        <f>#REF!-N1745</f>
        <v>#REF!</v>
      </c>
      <c r="R1745" s="17" t="str">
        <f t="shared" si="204"/>
        <v>16 1 01 00000000</v>
      </c>
    </row>
    <row r="1746" spans="1:18" s="16" customFormat="1" ht="78.75">
      <c r="A1746" s="14"/>
      <c r="B1746" s="148" t="s">
        <v>950</v>
      </c>
      <c r="C1746" s="109" t="s">
        <v>939</v>
      </c>
      <c r="D1746" s="108" t="s">
        <v>13</v>
      </c>
      <c r="E1746" s="108" t="s">
        <v>471</v>
      </c>
      <c r="F1746" s="108" t="s">
        <v>951</v>
      </c>
      <c r="G1746" s="108" t="s">
        <v>9</v>
      </c>
      <c r="H1746" s="126">
        <f t="shared" si="213"/>
        <v>0</v>
      </c>
      <c r="L1746" s="20">
        <v>100</v>
      </c>
      <c r="M1746" s="20">
        <v>100</v>
      </c>
      <c r="N1746" s="20">
        <v>100</v>
      </c>
      <c r="O1746" s="20">
        <f>H1746-L1746</f>
        <v>-100</v>
      </c>
      <c r="P1746" s="20" t="e">
        <f>#REF!-M1746</f>
        <v>#REF!</v>
      </c>
      <c r="Q1746" s="20" t="e">
        <f>#REF!-N1746</f>
        <v>#REF!</v>
      </c>
      <c r="R1746" s="17" t="str">
        <f t="shared" si="204"/>
        <v>16 1 01 20120000</v>
      </c>
    </row>
    <row r="1747" spans="1:18" s="16" customFormat="1" ht="31.5">
      <c r="A1747" s="14"/>
      <c r="B1747" s="125" t="s">
        <v>28</v>
      </c>
      <c r="C1747" s="109" t="s">
        <v>939</v>
      </c>
      <c r="D1747" s="108" t="s">
        <v>13</v>
      </c>
      <c r="E1747" s="108" t="s">
        <v>471</v>
      </c>
      <c r="F1747" s="108" t="s">
        <v>951</v>
      </c>
      <c r="G1747" s="108" t="s">
        <v>29</v>
      </c>
      <c r="H1747" s="126">
        <f>H1748</f>
        <v>0</v>
      </c>
      <c r="L1747" s="20">
        <v>100</v>
      </c>
      <c r="M1747" s="20">
        <v>100</v>
      </c>
      <c r="N1747" s="20">
        <v>100</v>
      </c>
      <c r="O1747" s="20">
        <f>H1747-L1747</f>
        <v>-100</v>
      </c>
      <c r="P1747" s="20" t="e">
        <f>#REF!-M1747</f>
        <v>#REF!</v>
      </c>
      <c r="Q1747" s="20" t="e">
        <f>#REF!-N1747</f>
        <v>#REF!</v>
      </c>
      <c r="R1747" s="17" t="str">
        <f t="shared" si="204"/>
        <v>16 1 01 20120240</v>
      </c>
    </row>
    <row r="1748" spans="1:18" s="16" customFormat="1" ht="15.75">
      <c r="A1748" s="14"/>
      <c r="B1748" s="125" t="s">
        <v>30</v>
      </c>
      <c r="C1748" s="109" t="s">
        <v>939</v>
      </c>
      <c r="D1748" s="108" t="s">
        <v>13</v>
      </c>
      <c r="E1748" s="108" t="s">
        <v>471</v>
      </c>
      <c r="F1748" s="108" t="s">
        <v>951</v>
      </c>
      <c r="G1748" s="108" t="s">
        <v>31</v>
      </c>
      <c r="H1748" s="126"/>
      <c r="L1748" s="20"/>
      <c r="M1748" s="20"/>
      <c r="N1748" s="20"/>
      <c r="O1748" s="20"/>
      <c r="P1748" s="20"/>
      <c r="Q1748" s="20"/>
      <c r="R1748" s="17"/>
    </row>
    <row r="1749" spans="1:18" s="16" customFormat="1" ht="47.25">
      <c r="A1749" s="14"/>
      <c r="B1749" s="148" t="s">
        <v>952</v>
      </c>
      <c r="C1749" s="109" t="s">
        <v>939</v>
      </c>
      <c r="D1749" s="108" t="s">
        <v>13</v>
      </c>
      <c r="E1749" s="108" t="s">
        <v>471</v>
      </c>
      <c r="F1749" s="108" t="s">
        <v>953</v>
      </c>
      <c r="G1749" s="108" t="s">
        <v>9</v>
      </c>
      <c r="H1749" s="126">
        <f>H1750</f>
        <v>0</v>
      </c>
      <c r="L1749" s="20">
        <v>30516.15</v>
      </c>
      <c r="M1749" s="20">
        <v>30516.15</v>
      </c>
      <c r="N1749" s="20">
        <v>30516.15</v>
      </c>
      <c r="O1749" s="20">
        <f>H1749-L1749</f>
        <v>-30516.15</v>
      </c>
      <c r="P1749" s="20" t="e">
        <f>#REF!-M1749</f>
        <v>#REF!</v>
      </c>
      <c r="Q1749" s="20" t="e">
        <f>#REF!-N1749</f>
        <v>#REF!</v>
      </c>
      <c r="R1749" s="17" t="str">
        <f t="shared" si="204"/>
        <v>16 1 02 00000000</v>
      </c>
    </row>
    <row r="1750" spans="1:18" s="16" customFormat="1" ht="31.5">
      <c r="A1750" s="14"/>
      <c r="B1750" s="148" t="s">
        <v>136</v>
      </c>
      <c r="C1750" s="109" t="s">
        <v>939</v>
      </c>
      <c r="D1750" s="108" t="s">
        <v>13</v>
      </c>
      <c r="E1750" s="108" t="s">
        <v>471</v>
      </c>
      <c r="F1750" s="108" t="s">
        <v>954</v>
      </c>
      <c r="G1750" s="108" t="s">
        <v>9</v>
      </c>
      <c r="H1750" s="126">
        <f>H1751+H1754+H1756</f>
        <v>0</v>
      </c>
      <c r="L1750" s="20">
        <v>30516.15</v>
      </c>
      <c r="M1750" s="20">
        <v>30516.15</v>
      </c>
      <c r="N1750" s="20">
        <v>30516.15</v>
      </c>
      <c r="O1750" s="20">
        <f>H1750-L1750</f>
        <v>-30516.15</v>
      </c>
      <c r="P1750" s="20" t="e">
        <f>#REF!-M1750</f>
        <v>#REF!</v>
      </c>
      <c r="Q1750" s="20" t="e">
        <f>#REF!-N1750</f>
        <v>#REF!</v>
      </c>
      <c r="R1750" s="17" t="str">
        <f t="shared" si="204"/>
        <v>16 1 02 11010000</v>
      </c>
    </row>
    <row r="1751" spans="1:18" s="16" customFormat="1" ht="15.75">
      <c r="A1751" s="14"/>
      <c r="B1751" s="125" t="s">
        <v>138</v>
      </c>
      <c r="C1751" s="109" t="s">
        <v>939</v>
      </c>
      <c r="D1751" s="108" t="s">
        <v>13</v>
      </c>
      <c r="E1751" s="108" t="s">
        <v>471</v>
      </c>
      <c r="F1751" s="108" t="s">
        <v>954</v>
      </c>
      <c r="G1751" s="108" t="s">
        <v>139</v>
      </c>
      <c r="H1751" s="126">
        <f>SUM(H1752:H1753)</f>
        <v>0</v>
      </c>
      <c r="L1751" s="20">
        <v>25310.93</v>
      </c>
      <c r="M1751" s="20">
        <v>25310.93</v>
      </c>
      <c r="N1751" s="20">
        <v>25310.93</v>
      </c>
      <c r="O1751" s="20">
        <f>H1751-L1751</f>
        <v>-25310.93</v>
      </c>
      <c r="P1751" s="20" t="e">
        <f>#REF!-M1751</f>
        <v>#REF!</v>
      </c>
      <c r="Q1751" s="20" t="e">
        <f>#REF!-N1751</f>
        <v>#REF!</v>
      </c>
      <c r="R1751" s="17" t="str">
        <f t="shared" si="204"/>
        <v>16 1 02 11010110</v>
      </c>
    </row>
    <row r="1752" spans="1:18" s="23" customFormat="1" ht="15.75">
      <c r="A1752" s="21"/>
      <c r="B1752" s="127" t="s">
        <v>140</v>
      </c>
      <c r="C1752" s="109" t="s">
        <v>939</v>
      </c>
      <c r="D1752" s="108" t="s">
        <v>13</v>
      </c>
      <c r="E1752" s="108" t="s">
        <v>471</v>
      </c>
      <c r="F1752" s="108" t="s">
        <v>954</v>
      </c>
      <c r="G1752" s="108" t="s">
        <v>141</v>
      </c>
      <c r="H1752" s="126"/>
      <c r="L1752" s="22"/>
      <c r="M1752" s="22"/>
      <c r="N1752" s="22"/>
      <c r="O1752" s="22"/>
      <c r="P1752" s="22"/>
      <c r="Q1752" s="22"/>
      <c r="R1752" s="24"/>
    </row>
    <row r="1753" spans="1:18" s="23" customFormat="1" ht="47.25">
      <c r="A1753" s="21"/>
      <c r="B1753" s="127" t="s">
        <v>487</v>
      </c>
      <c r="C1753" s="109" t="s">
        <v>939</v>
      </c>
      <c r="D1753" s="108" t="s">
        <v>13</v>
      </c>
      <c r="E1753" s="108" t="s">
        <v>471</v>
      </c>
      <c r="F1753" s="108" t="s">
        <v>954</v>
      </c>
      <c r="G1753" s="108" t="s">
        <v>145</v>
      </c>
      <c r="H1753" s="126"/>
      <c r="L1753" s="22"/>
      <c r="M1753" s="22"/>
      <c r="N1753" s="22"/>
      <c r="O1753" s="22"/>
      <c r="P1753" s="22"/>
      <c r="Q1753" s="22"/>
      <c r="R1753" s="24"/>
    </row>
    <row r="1754" spans="1:18" s="16" customFormat="1" ht="31.5">
      <c r="A1754" s="14"/>
      <c r="B1754" s="148" t="s">
        <v>28</v>
      </c>
      <c r="C1754" s="109" t="s">
        <v>939</v>
      </c>
      <c r="D1754" s="108" t="s">
        <v>13</v>
      </c>
      <c r="E1754" s="108" t="s">
        <v>471</v>
      </c>
      <c r="F1754" s="108" t="s">
        <v>954</v>
      </c>
      <c r="G1754" s="108" t="s">
        <v>29</v>
      </c>
      <c r="H1754" s="126">
        <f>H1755</f>
        <v>0</v>
      </c>
      <c r="L1754" s="20">
        <v>4264.22</v>
      </c>
      <c r="M1754" s="20">
        <v>4264.22</v>
      </c>
      <c r="N1754" s="20">
        <v>4264.22</v>
      </c>
      <c r="O1754" s="20">
        <f>H1754-L1754</f>
        <v>-4264.22</v>
      </c>
      <c r="P1754" s="20" t="e">
        <f>#REF!-M1754</f>
        <v>#REF!</v>
      </c>
      <c r="Q1754" s="20" t="e">
        <f>#REF!-N1754</f>
        <v>#REF!</v>
      </c>
      <c r="R1754" s="17" t="str">
        <f t="shared" si="204"/>
        <v>16 1 02 11010240</v>
      </c>
    </row>
    <row r="1755" spans="1:18" s="16" customFormat="1" ht="15.75">
      <c r="A1755" s="14"/>
      <c r="B1755" s="125" t="s">
        <v>30</v>
      </c>
      <c r="C1755" s="109" t="s">
        <v>939</v>
      </c>
      <c r="D1755" s="108" t="s">
        <v>13</v>
      </c>
      <c r="E1755" s="108" t="s">
        <v>471</v>
      </c>
      <c r="F1755" s="108" t="s">
        <v>954</v>
      </c>
      <c r="G1755" s="108" t="s">
        <v>31</v>
      </c>
      <c r="H1755" s="126"/>
      <c r="L1755" s="20"/>
      <c r="M1755" s="20"/>
      <c r="N1755" s="20"/>
      <c r="O1755" s="20"/>
      <c r="P1755" s="20"/>
      <c r="Q1755" s="20"/>
      <c r="R1755" s="17"/>
    </row>
    <row r="1756" spans="1:18" s="16" customFormat="1" ht="15.75">
      <c r="A1756" s="14"/>
      <c r="B1756" s="148" t="s">
        <v>32</v>
      </c>
      <c r="C1756" s="109" t="s">
        <v>939</v>
      </c>
      <c r="D1756" s="108" t="s">
        <v>13</v>
      </c>
      <c r="E1756" s="108" t="s">
        <v>471</v>
      </c>
      <c r="F1756" s="108" t="s">
        <v>954</v>
      </c>
      <c r="G1756" s="108" t="s">
        <v>33</v>
      </c>
      <c r="H1756" s="126">
        <f>SUM(H1757:H1759)</f>
        <v>0</v>
      </c>
      <c r="L1756" s="20">
        <v>941</v>
      </c>
      <c r="M1756" s="20">
        <v>941</v>
      </c>
      <c r="N1756" s="20">
        <v>941</v>
      </c>
      <c r="O1756" s="20">
        <f>H1756-L1756</f>
        <v>-941</v>
      </c>
      <c r="P1756" s="20" t="e">
        <f>#REF!-M1756</f>
        <v>#REF!</v>
      </c>
      <c r="Q1756" s="20" t="e">
        <f>#REF!-N1756</f>
        <v>#REF!</v>
      </c>
      <c r="R1756" s="17" t="str">
        <f t="shared" si="204"/>
        <v>16 1 02 11010850</v>
      </c>
    </row>
    <row r="1757" spans="1:18" s="23" customFormat="1" ht="31.5">
      <c r="A1757" s="21"/>
      <c r="B1757" s="127" t="s">
        <v>34</v>
      </c>
      <c r="C1757" s="109" t="s">
        <v>939</v>
      </c>
      <c r="D1757" s="108" t="s">
        <v>13</v>
      </c>
      <c r="E1757" s="108" t="s">
        <v>471</v>
      </c>
      <c r="F1757" s="108" t="s">
        <v>954</v>
      </c>
      <c r="G1757" s="108">
        <v>851</v>
      </c>
      <c r="H1757" s="126"/>
      <c r="L1757" s="22"/>
      <c r="M1757" s="22"/>
      <c r="N1757" s="22"/>
      <c r="O1757" s="22"/>
      <c r="P1757" s="22"/>
      <c r="Q1757" s="22"/>
      <c r="R1757" s="24"/>
    </row>
    <row r="1758" spans="1:18" s="23" customFormat="1" ht="15.75">
      <c r="A1758" s="21"/>
      <c r="B1758" s="127" t="s">
        <v>36</v>
      </c>
      <c r="C1758" s="109" t="s">
        <v>939</v>
      </c>
      <c r="D1758" s="108" t="s">
        <v>13</v>
      </c>
      <c r="E1758" s="108" t="s">
        <v>471</v>
      </c>
      <c r="F1758" s="108" t="s">
        <v>954</v>
      </c>
      <c r="G1758" s="108" t="s">
        <v>37</v>
      </c>
      <c r="H1758" s="126"/>
      <c r="L1758" s="22"/>
      <c r="M1758" s="22"/>
      <c r="N1758" s="22"/>
      <c r="O1758" s="22"/>
      <c r="P1758" s="22"/>
      <c r="Q1758" s="22"/>
      <c r="R1758" s="24"/>
    </row>
    <row r="1759" spans="1:18" s="23" customFormat="1" ht="15.75">
      <c r="A1759" s="21"/>
      <c r="B1759" s="127" t="s">
        <v>77</v>
      </c>
      <c r="C1759" s="109" t="s">
        <v>939</v>
      </c>
      <c r="D1759" s="108" t="s">
        <v>13</v>
      </c>
      <c r="E1759" s="108" t="s">
        <v>471</v>
      </c>
      <c r="F1759" s="108" t="s">
        <v>954</v>
      </c>
      <c r="G1759" s="108" t="s">
        <v>78</v>
      </c>
      <c r="H1759" s="126"/>
      <c r="L1759" s="22"/>
      <c r="M1759" s="22"/>
      <c r="N1759" s="22"/>
      <c r="O1759" s="22"/>
      <c r="P1759" s="22"/>
      <c r="Q1759" s="22"/>
      <c r="R1759" s="24"/>
    </row>
    <row r="1760" spans="1:18" s="16" customFormat="1" ht="31.5">
      <c r="A1760" s="14"/>
      <c r="B1760" s="148" t="s">
        <v>942</v>
      </c>
      <c r="C1760" s="109" t="s">
        <v>939</v>
      </c>
      <c r="D1760" s="108" t="s">
        <v>13</v>
      </c>
      <c r="E1760" s="108" t="s">
        <v>471</v>
      </c>
      <c r="F1760" s="108" t="s">
        <v>955</v>
      </c>
      <c r="G1760" s="108" t="s">
        <v>9</v>
      </c>
      <c r="H1760" s="126">
        <f t="shared" ref="H1760" si="214">H1761</f>
        <v>0</v>
      </c>
      <c r="L1760" s="20">
        <v>430</v>
      </c>
      <c r="M1760" s="20">
        <v>430</v>
      </c>
      <c r="N1760" s="20">
        <v>430</v>
      </c>
      <c r="O1760" s="20">
        <f>H1760-L1760</f>
        <v>-430</v>
      </c>
      <c r="P1760" s="20" t="e">
        <f>#REF!-M1760</f>
        <v>#REF!</v>
      </c>
      <c r="Q1760" s="20" t="e">
        <f>#REF!-N1760</f>
        <v>#REF!</v>
      </c>
      <c r="R1760" s="17" t="str">
        <f t="shared" si="204"/>
        <v>16 1 03 00000000</v>
      </c>
    </row>
    <row r="1761" spans="1:18" s="16" customFormat="1" ht="78.75">
      <c r="A1761" s="14"/>
      <c r="B1761" s="125" t="s">
        <v>950</v>
      </c>
      <c r="C1761" s="109" t="s">
        <v>939</v>
      </c>
      <c r="D1761" s="108" t="s">
        <v>13</v>
      </c>
      <c r="E1761" s="108" t="s">
        <v>471</v>
      </c>
      <c r="F1761" s="108" t="s">
        <v>956</v>
      </c>
      <c r="G1761" s="108" t="s">
        <v>9</v>
      </c>
      <c r="H1761" s="126">
        <f>H1762</f>
        <v>0</v>
      </c>
      <c r="L1761" s="20">
        <v>430</v>
      </c>
      <c r="M1761" s="20">
        <v>430</v>
      </c>
      <c r="N1761" s="20">
        <v>430</v>
      </c>
      <c r="O1761" s="20">
        <f>H1761-L1761</f>
        <v>-430</v>
      </c>
      <c r="P1761" s="20" t="e">
        <f>#REF!-M1761</f>
        <v>#REF!</v>
      </c>
      <c r="Q1761" s="20" t="e">
        <f>#REF!-N1761</f>
        <v>#REF!</v>
      </c>
      <c r="R1761" s="17" t="str">
        <f t="shared" si="204"/>
        <v>16 1 03 20120000</v>
      </c>
    </row>
    <row r="1762" spans="1:18" s="16" customFormat="1" ht="31.5">
      <c r="A1762" s="14"/>
      <c r="B1762" s="148" t="s">
        <v>28</v>
      </c>
      <c r="C1762" s="109" t="s">
        <v>939</v>
      </c>
      <c r="D1762" s="108" t="s">
        <v>13</v>
      </c>
      <c r="E1762" s="108" t="s">
        <v>471</v>
      </c>
      <c r="F1762" s="108" t="s">
        <v>956</v>
      </c>
      <c r="G1762" s="108" t="s">
        <v>29</v>
      </c>
      <c r="H1762" s="126">
        <f>H1763</f>
        <v>0</v>
      </c>
      <c r="L1762" s="20">
        <v>430</v>
      </c>
      <c r="M1762" s="20">
        <v>430</v>
      </c>
      <c r="N1762" s="20">
        <v>430</v>
      </c>
      <c r="O1762" s="20">
        <f>H1762-L1762</f>
        <v>-430</v>
      </c>
      <c r="P1762" s="20" t="e">
        <f>#REF!-M1762</f>
        <v>#REF!</v>
      </c>
      <c r="Q1762" s="20" t="e">
        <f>#REF!-N1762</f>
        <v>#REF!</v>
      </c>
      <c r="R1762" s="17" t="str">
        <f t="shared" si="204"/>
        <v>16 1 03 20120240</v>
      </c>
    </row>
    <row r="1763" spans="1:18" s="16" customFormat="1" ht="15.75">
      <c r="A1763" s="14"/>
      <c r="B1763" s="125" t="s">
        <v>30</v>
      </c>
      <c r="C1763" s="109" t="s">
        <v>939</v>
      </c>
      <c r="D1763" s="108" t="s">
        <v>13</v>
      </c>
      <c r="E1763" s="108" t="s">
        <v>471</v>
      </c>
      <c r="F1763" s="108" t="s">
        <v>956</v>
      </c>
      <c r="G1763" s="108" t="s">
        <v>31</v>
      </c>
      <c r="H1763" s="126"/>
      <c r="L1763" s="20"/>
      <c r="M1763" s="20"/>
      <c r="N1763" s="20"/>
      <c r="O1763" s="20"/>
      <c r="P1763" s="20"/>
      <c r="Q1763" s="20"/>
      <c r="R1763" s="17"/>
    </row>
    <row r="1764" spans="1:18" s="66" customFormat="1" ht="31.5">
      <c r="A1764" s="65"/>
      <c r="B1764" s="125" t="s">
        <v>422</v>
      </c>
      <c r="C1764" s="109" t="s">
        <v>939</v>
      </c>
      <c r="D1764" s="108" t="s">
        <v>13</v>
      </c>
      <c r="E1764" s="108" t="s">
        <v>471</v>
      </c>
      <c r="F1764" s="108" t="s">
        <v>423</v>
      </c>
      <c r="G1764" s="108" t="s">
        <v>9</v>
      </c>
      <c r="H1764" s="126">
        <f t="shared" ref="H1764:H1765" si="215">H1765</f>
        <v>0</v>
      </c>
      <c r="L1764" s="20">
        <v>535</v>
      </c>
      <c r="M1764" s="20">
        <v>535</v>
      </c>
      <c r="N1764" s="20">
        <v>535</v>
      </c>
      <c r="O1764" s="20">
        <f>H1764-L1764</f>
        <v>-535</v>
      </c>
      <c r="P1764" s="20" t="e">
        <f>#REF!-M1764</f>
        <v>#REF!</v>
      </c>
      <c r="Q1764" s="20" t="e">
        <f>#REF!-N1764</f>
        <v>#REF!</v>
      </c>
      <c r="R1764" s="17" t="str">
        <f t="shared" si="204"/>
        <v>16 2 00 00000000</v>
      </c>
    </row>
    <row r="1765" spans="1:18" s="16" customFormat="1" ht="31.5">
      <c r="A1765" s="14"/>
      <c r="B1765" s="148" t="s">
        <v>957</v>
      </c>
      <c r="C1765" s="109" t="s">
        <v>939</v>
      </c>
      <c r="D1765" s="108" t="s">
        <v>13</v>
      </c>
      <c r="E1765" s="108" t="s">
        <v>471</v>
      </c>
      <c r="F1765" s="108" t="s">
        <v>958</v>
      </c>
      <c r="G1765" s="108" t="s">
        <v>9</v>
      </c>
      <c r="H1765" s="126">
        <f t="shared" si="215"/>
        <v>0</v>
      </c>
      <c r="L1765" s="20">
        <v>535</v>
      </c>
      <c r="M1765" s="20">
        <v>535</v>
      </c>
      <c r="N1765" s="20">
        <v>535</v>
      </c>
      <c r="O1765" s="20">
        <f>H1765-L1765</f>
        <v>-535</v>
      </c>
      <c r="P1765" s="20" t="e">
        <f>#REF!-M1765</f>
        <v>#REF!</v>
      </c>
      <c r="Q1765" s="20" t="e">
        <f>#REF!-N1765</f>
        <v>#REF!</v>
      </c>
      <c r="R1765" s="17" t="str">
        <f t="shared" si="204"/>
        <v>16 2 01 00000000</v>
      </c>
    </row>
    <row r="1766" spans="1:18" s="16" customFormat="1" ht="31.5">
      <c r="A1766" s="14"/>
      <c r="B1766" s="148" t="s">
        <v>959</v>
      </c>
      <c r="C1766" s="109" t="s">
        <v>939</v>
      </c>
      <c r="D1766" s="108" t="s">
        <v>13</v>
      </c>
      <c r="E1766" s="108" t="s">
        <v>471</v>
      </c>
      <c r="F1766" s="108" t="s">
        <v>960</v>
      </c>
      <c r="G1766" s="108" t="s">
        <v>9</v>
      </c>
      <c r="H1766" s="126">
        <f>H1767+H1769</f>
        <v>0</v>
      </c>
      <c r="L1766" s="20">
        <v>535</v>
      </c>
      <c r="M1766" s="20">
        <v>535</v>
      </c>
      <c r="N1766" s="20">
        <v>535</v>
      </c>
      <c r="O1766" s="20">
        <f>H1766-L1766</f>
        <v>-535</v>
      </c>
      <c r="P1766" s="20" t="e">
        <f>#REF!-M1766</f>
        <v>#REF!</v>
      </c>
      <c r="Q1766" s="20" t="e">
        <f>#REF!-N1766</f>
        <v>#REF!</v>
      </c>
      <c r="R1766" s="17" t="str">
        <f t="shared" si="204"/>
        <v>16 2 01 20540000</v>
      </c>
    </row>
    <row r="1767" spans="1:18" s="16" customFormat="1" ht="31.5">
      <c r="A1767" s="14"/>
      <c r="B1767" s="125" t="s">
        <v>28</v>
      </c>
      <c r="C1767" s="109" t="s">
        <v>939</v>
      </c>
      <c r="D1767" s="108" t="s">
        <v>13</v>
      </c>
      <c r="E1767" s="108" t="s">
        <v>471</v>
      </c>
      <c r="F1767" s="108" t="s">
        <v>960</v>
      </c>
      <c r="G1767" s="108" t="s">
        <v>29</v>
      </c>
      <c r="H1767" s="126">
        <f>H1768</f>
        <v>0</v>
      </c>
      <c r="L1767" s="20">
        <v>488</v>
      </c>
      <c r="M1767" s="20">
        <v>488</v>
      </c>
      <c r="N1767" s="20">
        <v>488</v>
      </c>
      <c r="O1767" s="20">
        <f>H1767-L1767</f>
        <v>-488</v>
      </c>
      <c r="P1767" s="20" t="e">
        <f>#REF!-M1767</f>
        <v>#REF!</v>
      </c>
      <c r="Q1767" s="20" t="e">
        <f>#REF!-N1767</f>
        <v>#REF!</v>
      </c>
      <c r="R1767" s="17" t="str">
        <f t="shared" si="204"/>
        <v>16 2 01 20540240</v>
      </c>
    </row>
    <row r="1768" spans="1:18" s="16" customFormat="1" ht="15.75">
      <c r="A1768" s="14"/>
      <c r="B1768" s="125" t="s">
        <v>30</v>
      </c>
      <c r="C1768" s="109" t="s">
        <v>939</v>
      </c>
      <c r="D1768" s="108" t="s">
        <v>13</v>
      </c>
      <c r="E1768" s="108" t="s">
        <v>471</v>
      </c>
      <c r="F1768" s="108" t="s">
        <v>960</v>
      </c>
      <c r="G1768" s="108" t="s">
        <v>31</v>
      </c>
      <c r="H1768" s="126"/>
      <c r="L1768" s="20"/>
      <c r="M1768" s="20"/>
      <c r="N1768" s="20"/>
      <c r="O1768" s="20"/>
      <c r="P1768" s="20"/>
      <c r="Q1768" s="20"/>
      <c r="R1768" s="17"/>
    </row>
    <row r="1769" spans="1:18" s="16" customFormat="1" ht="63">
      <c r="A1769" s="14"/>
      <c r="B1769" s="125" t="s">
        <v>203</v>
      </c>
      <c r="C1769" s="109" t="s">
        <v>939</v>
      </c>
      <c r="D1769" s="108" t="s">
        <v>13</v>
      </c>
      <c r="E1769" s="108" t="s">
        <v>471</v>
      </c>
      <c r="F1769" s="108" t="s">
        <v>960</v>
      </c>
      <c r="G1769" s="108" t="s">
        <v>204</v>
      </c>
      <c r="H1769" s="126">
        <f>H1770</f>
        <v>0</v>
      </c>
      <c r="L1769" s="20">
        <v>47</v>
      </c>
      <c r="M1769" s="20">
        <v>47</v>
      </c>
      <c r="N1769" s="20">
        <v>47</v>
      </c>
      <c r="O1769" s="20">
        <f>H1769-L1769</f>
        <v>-47</v>
      </c>
      <c r="P1769" s="20" t="e">
        <f>#REF!-M1769</f>
        <v>#REF!</v>
      </c>
      <c r="Q1769" s="20" t="e">
        <f>#REF!-N1769</f>
        <v>#REF!</v>
      </c>
      <c r="R1769" s="17" t="str">
        <f t="shared" ref="R1769:R1867" si="216">CONCATENATE(F1769,G1769)</f>
        <v>16 2 01 20540810</v>
      </c>
    </row>
    <row r="1770" spans="1:18" s="16" customFormat="1" ht="110.25">
      <c r="A1770" s="14"/>
      <c r="B1770" s="125" t="s">
        <v>226</v>
      </c>
      <c r="C1770" s="109" t="s">
        <v>939</v>
      </c>
      <c r="D1770" s="108" t="s">
        <v>13</v>
      </c>
      <c r="E1770" s="108" t="s">
        <v>471</v>
      </c>
      <c r="F1770" s="108" t="s">
        <v>960</v>
      </c>
      <c r="G1770" s="108" t="s">
        <v>227</v>
      </c>
      <c r="H1770" s="126"/>
      <c r="L1770" s="20"/>
      <c r="M1770" s="20"/>
      <c r="N1770" s="20"/>
      <c r="O1770" s="20"/>
      <c r="P1770" s="20"/>
      <c r="Q1770" s="20"/>
      <c r="R1770" s="17"/>
    </row>
    <row r="1771" spans="1:18" s="16" customFormat="1" ht="47.25">
      <c r="A1771" s="14"/>
      <c r="B1771" s="125" t="s">
        <v>961</v>
      </c>
      <c r="C1771" s="109" t="s">
        <v>939</v>
      </c>
      <c r="D1771" s="108" t="s">
        <v>13</v>
      </c>
      <c r="E1771" s="108" t="s">
        <v>471</v>
      </c>
      <c r="F1771" s="108" t="s">
        <v>962</v>
      </c>
      <c r="G1771" s="108" t="s">
        <v>9</v>
      </c>
      <c r="H1771" s="126">
        <f>H1772+H1783+H1787+H1791</f>
        <v>0</v>
      </c>
      <c r="L1771" s="20">
        <v>24709.450000000004</v>
      </c>
      <c r="M1771" s="20">
        <v>24359.390000000003</v>
      </c>
      <c r="N1771" s="20">
        <v>24359.390000000003</v>
      </c>
      <c r="O1771" s="20">
        <f>H1771-L1771</f>
        <v>-24709.450000000004</v>
      </c>
      <c r="P1771" s="20" t="e">
        <f>#REF!-M1771</f>
        <v>#REF!</v>
      </c>
      <c r="Q1771" s="20" t="e">
        <f>#REF!-N1771</f>
        <v>#REF!</v>
      </c>
      <c r="R1771" s="17" t="str">
        <f t="shared" si="216"/>
        <v>16 3 00 00000000</v>
      </c>
    </row>
    <row r="1772" spans="1:18" s="16" customFormat="1" ht="63">
      <c r="A1772" s="14"/>
      <c r="B1772" s="125" t="s">
        <v>963</v>
      </c>
      <c r="C1772" s="109" t="s">
        <v>939</v>
      </c>
      <c r="D1772" s="108" t="s">
        <v>13</v>
      </c>
      <c r="E1772" s="108" t="s">
        <v>471</v>
      </c>
      <c r="F1772" s="108" t="s">
        <v>964</v>
      </c>
      <c r="G1772" s="108" t="s">
        <v>9</v>
      </c>
      <c r="H1772" s="126">
        <f>H1773</f>
        <v>0</v>
      </c>
      <c r="L1772" s="20">
        <v>19042.640000000003</v>
      </c>
      <c r="M1772" s="20">
        <v>18692.580000000002</v>
      </c>
      <c r="N1772" s="20">
        <v>18692.580000000002</v>
      </c>
      <c r="O1772" s="20">
        <f>H1772-L1772</f>
        <v>-19042.640000000003</v>
      </c>
      <c r="P1772" s="20" t="e">
        <f>#REF!-M1772</f>
        <v>#REF!</v>
      </c>
      <c r="Q1772" s="20" t="e">
        <f>#REF!-N1772</f>
        <v>#REF!</v>
      </c>
      <c r="R1772" s="17" t="str">
        <f t="shared" si="216"/>
        <v>16 3 01 00000000</v>
      </c>
    </row>
    <row r="1773" spans="1:18" s="16" customFormat="1" ht="31.5">
      <c r="A1773" s="14"/>
      <c r="B1773" s="148" t="s">
        <v>136</v>
      </c>
      <c r="C1773" s="109" t="s">
        <v>939</v>
      </c>
      <c r="D1773" s="108" t="s">
        <v>13</v>
      </c>
      <c r="E1773" s="108" t="s">
        <v>471</v>
      </c>
      <c r="F1773" s="108" t="s">
        <v>965</v>
      </c>
      <c r="G1773" s="108" t="s">
        <v>9</v>
      </c>
      <c r="H1773" s="126">
        <f>H1774+H1777+H1779</f>
        <v>0</v>
      </c>
      <c r="L1773" s="20">
        <v>19042.640000000003</v>
      </c>
      <c r="M1773" s="20">
        <v>18692.580000000002</v>
      </c>
      <c r="N1773" s="20">
        <v>18692.580000000002</v>
      </c>
      <c r="O1773" s="20">
        <f>H1773-L1773</f>
        <v>-19042.640000000003</v>
      </c>
      <c r="P1773" s="20" t="e">
        <f>#REF!-M1773</f>
        <v>#REF!</v>
      </c>
      <c r="Q1773" s="20" t="e">
        <f>#REF!-N1773</f>
        <v>#REF!</v>
      </c>
      <c r="R1773" s="17" t="str">
        <f t="shared" si="216"/>
        <v>16 3 01 11010000</v>
      </c>
    </row>
    <row r="1774" spans="1:18" s="16" customFormat="1" ht="15.75">
      <c r="A1774" s="14"/>
      <c r="B1774" s="148" t="s">
        <v>138</v>
      </c>
      <c r="C1774" s="109" t="s">
        <v>939</v>
      </c>
      <c r="D1774" s="108" t="s">
        <v>13</v>
      </c>
      <c r="E1774" s="108" t="s">
        <v>471</v>
      </c>
      <c r="F1774" s="108" t="s">
        <v>965</v>
      </c>
      <c r="G1774" s="108" t="s">
        <v>139</v>
      </c>
      <c r="H1774" s="126">
        <f>SUM(H1775:H1776)</f>
        <v>0</v>
      </c>
      <c r="L1774" s="20">
        <v>16997.420000000002</v>
      </c>
      <c r="M1774" s="20">
        <v>16997.420000000002</v>
      </c>
      <c r="N1774" s="20">
        <v>16997.420000000002</v>
      </c>
      <c r="O1774" s="20">
        <f>H1774-L1774</f>
        <v>-16997.420000000002</v>
      </c>
      <c r="P1774" s="20" t="e">
        <f>#REF!-M1774</f>
        <v>#REF!</v>
      </c>
      <c r="Q1774" s="20" t="e">
        <f>#REF!-N1774</f>
        <v>#REF!</v>
      </c>
      <c r="R1774" s="17" t="str">
        <f t="shared" si="216"/>
        <v>16 3 01 11010110</v>
      </c>
    </row>
    <row r="1775" spans="1:18" s="23" customFormat="1" ht="15.75">
      <c r="A1775" s="21"/>
      <c r="B1775" s="127" t="s">
        <v>140</v>
      </c>
      <c r="C1775" s="109" t="s">
        <v>939</v>
      </c>
      <c r="D1775" s="108" t="s">
        <v>13</v>
      </c>
      <c r="E1775" s="108" t="s">
        <v>471</v>
      </c>
      <c r="F1775" s="108" t="s">
        <v>965</v>
      </c>
      <c r="G1775" s="108" t="s">
        <v>141</v>
      </c>
      <c r="H1775" s="126"/>
      <c r="L1775" s="22"/>
      <c r="M1775" s="22"/>
      <c r="N1775" s="22"/>
      <c r="O1775" s="22"/>
      <c r="P1775" s="22"/>
      <c r="Q1775" s="22"/>
      <c r="R1775" s="24"/>
    </row>
    <row r="1776" spans="1:18" s="23" customFormat="1" ht="47.25">
      <c r="A1776" s="21"/>
      <c r="B1776" s="127" t="s">
        <v>487</v>
      </c>
      <c r="C1776" s="109" t="s">
        <v>939</v>
      </c>
      <c r="D1776" s="108" t="s">
        <v>13</v>
      </c>
      <c r="E1776" s="108" t="s">
        <v>471</v>
      </c>
      <c r="F1776" s="108" t="s">
        <v>965</v>
      </c>
      <c r="G1776" s="108" t="s">
        <v>145</v>
      </c>
      <c r="H1776" s="126"/>
      <c r="L1776" s="22"/>
      <c r="M1776" s="22"/>
      <c r="N1776" s="22"/>
      <c r="O1776" s="22"/>
      <c r="P1776" s="22"/>
      <c r="Q1776" s="22"/>
      <c r="R1776" s="24"/>
    </row>
    <row r="1777" spans="1:18" s="16" customFormat="1" ht="31.5">
      <c r="A1777" s="14"/>
      <c r="B1777" s="125" t="s">
        <v>28</v>
      </c>
      <c r="C1777" s="109" t="s">
        <v>939</v>
      </c>
      <c r="D1777" s="108" t="s">
        <v>13</v>
      </c>
      <c r="E1777" s="108" t="s">
        <v>471</v>
      </c>
      <c r="F1777" s="108" t="s">
        <v>965</v>
      </c>
      <c r="G1777" s="108" t="s">
        <v>29</v>
      </c>
      <c r="H1777" s="126">
        <f>H1778</f>
        <v>0</v>
      </c>
      <c r="L1777" s="20">
        <v>1688.22</v>
      </c>
      <c r="M1777" s="20">
        <v>1338.16</v>
      </c>
      <c r="N1777" s="20">
        <v>1338.16</v>
      </c>
      <c r="O1777" s="20">
        <f>H1777-L1777</f>
        <v>-1688.22</v>
      </c>
      <c r="P1777" s="20" t="e">
        <f>#REF!-M1777</f>
        <v>#REF!</v>
      </c>
      <c r="Q1777" s="20" t="e">
        <f>#REF!-N1777</f>
        <v>#REF!</v>
      </c>
      <c r="R1777" s="17" t="str">
        <f t="shared" si="216"/>
        <v>16 3 01 11010240</v>
      </c>
    </row>
    <row r="1778" spans="1:18" s="16" customFormat="1" ht="15.75">
      <c r="A1778" s="14"/>
      <c r="B1778" s="125" t="s">
        <v>30</v>
      </c>
      <c r="C1778" s="109" t="s">
        <v>939</v>
      </c>
      <c r="D1778" s="108" t="s">
        <v>13</v>
      </c>
      <c r="E1778" s="108" t="s">
        <v>471</v>
      </c>
      <c r="F1778" s="108" t="s">
        <v>965</v>
      </c>
      <c r="G1778" s="108" t="s">
        <v>31</v>
      </c>
      <c r="H1778" s="126"/>
      <c r="L1778" s="20"/>
      <c r="M1778" s="20"/>
      <c r="N1778" s="20"/>
      <c r="O1778" s="20"/>
      <c r="P1778" s="20"/>
      <c r="Q1778" s="20"/>
      <c r="R1778" s="17"/>
    </row>
    <row r="1779" spans="1:18" s="16" customFormat="1" ht="15.75">
      <c r="A1779" s="14"/>
      <c r="B1779" s="148" t="s">
        <v>32</v>
      </c>
      <c r="C1779" s="109" t="s">
        <v>939</v>
      </c>
      <c r="D1779" s="108" t="s">
        <v>13</v>
      </c>
      <c r="E1779" s="108" t="s">
        <v>471</v>
      </c>
      <c r="F1779" s="108" t="s">
        <v>965</v>
      </c>
      <c r="G1779" s="108" t="s">
        <v>33</v>
      </c>
      <c r="H1779" s="126">
        <f>SUM(H1780:H1782)</f>
        <v>0</v>
      </c>
      <c r="L1779" s="20">
        <v>357</v>
      </c>
      <c r="M1779" s="20">
        <v>357</v>
      </c>
      <c r="N1779" s="20">
        <v>357</v>
      </c>
      <c r="O1779" s="20">
        <f>H1779-L1779</f>
        <v>-357</v>
      </c>
      <c r="P1779" s="20" t="e">
        <f>#REF!-M1779</f>
        <v>#REF!</v>
      </c>
      <c r="Q1779" s="20" t="e">
        <f>#REF!-N1779</f>
        <v>#REF!</v>
      </c>
      <c r="R1779" s="17" t="str">
        <f t="shared" si="216"/>
        <v>16 3 01 11010850</v>
      </c>
    </row>
    <row r="1780" spans="1:18" s="23" customFormat="1" ht="31.5">
      <c r="A1780" s="21"/>
      <c r="B1780" s="127" t="s">
        <v>34</v>
      </c>
      <c r="C1780" s="109" t="s">
        <v>939</v>
      </c>
      <c r="D1780" s="108" t="s">
        <v>13</v>
      </c>
      <c r="E1780" s="108" t="s">
        <v>471</v>
      </c>
      <c r="F1780" s="108" t="s">
        <v>965</v>
      </c>
      <c r="G1780" s="108">
        <v>851</v>
      </c>
      <c r="H1780" s="126"/>
      <c r="L1780" s="22"/>
      <c r="M1780" s="22"/>
      <c r="N1780" s="22"/>
      <c r="O1780" s="22"/>
      <c r="P1780" s="22"/>
      <c r="Q1780" s="22"/>
      <c r="R1780" s="24"/>
    </row>
    <row r="1781" spans="1:18" s="23" customFormat="1" ht="15.75">
      <c r="A1781" s="21"/>
      <c r="B1781" s="127" t="s">
        <v>36</v>
      </c>
      <c r="C1781" s="109" t="s">
        <v>939</v>
      </c>
      <c r="D1781" s="108" t="s">
        <v>13</v>
      </c>
      <c r="E1781" s="108" t="s">
        <v>471</v>
      </c>
      <c r="F1781" s="108" t="s">
        <v>965</v>
      </c>
      <c r="G1781" s="108" t="s">
        <v>37</v>
      </c>
      <c r="H1781" s="126"/>
      <c r="L1781" s="22"/>
      <c r="M1781" s="22"/>
      <c r="N1781" s="22"/>
      <c r="O1781" s="22"/>
      <c r="P1781" s="22"/>
      <c r="Q1781" s="22"/>
      <c r="R1781" s="24"/>
    </row>
    <row r="1782" spans="1:18" s="23" customFormat="1" ht="15.75">
      <c r="A1782" s="21"/>
      <c r="B1782" s="127" t="s">
        <v>77</v>
      </c>
      <c r="C1782" s="109" t="s">
        <v>939</v>
      </c>
      <c r="D1782" s="108" t="s">
        <v>13</v>
      </c>
      <c r="E1782" s="108" t="s">
        <v>471</v>
      </c>
      <c r="F1782" s="108" t="s">
        <v>965</v>
      </c>
      <c r="G1782" s="108" t="s">
        <v>78</v>
      </c>
      <c r="H1782" s="126"/>
      <c r="L1782" s="22"/>
      <c r="M1782" s="22"/>
      <c r="N1782" s="22"/>
      <c r="O1782" s="22"/>
      <c r="P1782" s="22"/>
      <c r="Q1782" s="22"/>
      <c r="R1782" s="24"/>
    </row>
    <row r="1783" spans="1:18" s="16" customFormat="1" ht="94.5">
      <c r="A1783" s="14"/>
      <c r="B1783" s="148" t="s">
        <v>966</v>
      </c>
      <c r="C1783" s="109" t="s">
        <v>939</v>
      </c>
      <c r="D1783" s="108" t="s">
        <v>13</v>
      </c>
      <c r="E1783" s="108" t="s">
        <v>471</v>
      </c>
      <c r="F1783" s="108" t="s">
        <v>967</v>
      </c>
      <c r="G1783" s="108" t="s">
        <v>9</v>
      </c>
      <c r="H1783" s="126">
        <f>H1784</f>
        <v>0</v>
      </c>
      <c r="L1783" s="20">
        <v>2201.81</v>
      </c>
      <c r="M1783" s="20">
        <v>2201.81</v>
      </c>
      <c r="N1783" s="20">
        <v>2201.81</v>
      </c>
      <c r="O1783" s="20">
        <f>H1783-L1783</f>
        <v>-2201.81</v>
      </c>
      <c r="P1783" s="20" t="e">
        <f>#REF!-M1783</f>
        <v>#REF!</v>
      </c>
      <c r="Q1783" s="20" t="e">
        <f>#REF!-N1783</f>
        <v>#REF!</v>
      </c>
      <c r="R1783" s="17" t="str">
        <f t="shared" si="216"/>
        <v>16 3 02 00000000</v>
      </c>
    </row>
    <row r="1784" spans="1:18" s="16" customFormat="1" ht="63">
      <c r="A1784" s="14"/>
      <c r="B1784" s="148" t="s">
        <v>968</v>
      </c>
      <c r="C1784" s="109" t="s">
        <v>939</v>
      </c>
      <c r="D1784" s="108" t="s">
        <v>13</v>
      </c>
      <c r="E1784" s="108" t="s">
        <v>471</v>
      </c>
      <c r="F1784" s="108" t="s">
        <v>969</v>
      </c>
      <c r="G1784" s="108" t="s">
        <v>9</v>
      </c>
      <c r="H1784" s="126">
        <f>H1785</f>
        <v>0</v>
      </c>
      <c r="L1784" s="20">
        <v>2201.81</v>
      </c>
      <c r="M1784" s="20">
        <v>2201.81</v>
      </c>
      <c r="N1784" s="20">
        <v>2201.81</v>
      </c>
      <c r="O1784" s="20">
        <f>H1784-L1784</f>
        <v>-2201.81</v>
      </c>
      <c r="P1784" s="20" t="e">
        <f>#REF!-M1784</f>
        <v>#REF!</v>
      </c>
      <c r="Q1784" s="20" t="e">
        <f>#REF!-N1784</f>
        <v>#REF!</v>
      </c>
      <c r="R1784" s="17" t="str">
        <f t="shared" si="216"/>
        <v>16 3 02 20690000</v>
      </c>
    </row>
    <row r="1785" spans="1:18" s="16" customFormat="1" ht="31.5">
      <c r="A1785" s="14"/>
      <c r="B1785" s="125" t="s">
        <v>28</v>
      </c>
      <c r="C1785" s="109" t="s">
        <v>939</v>
      </c>
      <c r="D1785" s="108" t="s">
        <v>13</v>
      </c>
      <c r="E1785" s="108" t="s">
        <v>471</v>
      </c>
      <c r="F1785" s="108" t="s">
        <v>969</v>
      </c>
      <c r="G1785" s="108" t="s">
        <v>29</v>
      </c>
      <c r="H1785" s="126">
        <f>H1786</f>
        <v>0</v>
      </c>
      <c r="L1785" s="20">
        <v>2201.81</v>
      </c>
      <c r="M1785" s="20">
        <v>2201.81</v>
      </c>
      <c r="N1785" s="20">
        <v>2201.81</v>
      </c>
      <c r="O1785" s="20">
        <f>H1785-L1785</f>
        <v>-2201.81</v>
      </c>
      <c r="P1785" s="20" t="e">
        <f>#REF!-M1785</f>
        <v>#REF!</v>
      </c>
      <c r="Q1785" s="20" t="e">
        <f>#REF!-N1785</f>
        <v>#REF!</v>
      </c>
      <c r="R1785" s="17" t="str">
        <f t="shared" si="216"/>
        <v>16 3 02 20690240</v>
      </c>
    </row>
    <row r="1786" spans="1:18" s="16" customFormat="1" ht="15.75">
      <c r="A1786" s="14"/>
      <c r="B1786" s="125" t="s">
        <v>30</v>
      </c>
      <c r="C1786" s="109" t="s">
        <v>939</v>
      </c>
      <c r="D1786" s="108" t="s">
        <v>13</v>
      </c>
      <c r="E1786" s="108" t="s">
        <v>471</v>
      </c>
      <c r="F1786" s="108" t="s">
        <v>969</v>
      </c>
      <c r="G1786" s="108" t="s">
        <v>31</v>
      </c>
      <c r="H1786" s="126"/>
      <c r="L1786" s="20"/>
      <c r="M1786" s="20"/>
      <c r="N1786" s="20"/>
      <c r="O1786" s="20"/>
      <c r="P1786" s="20"/>
      <c r="Q1786" s="20"/>
      <c r="R1786" s="17"/>
    </row>
    <row r="1787" spans="1:18" s="16" customFormat="1" ht="94.5">
      <c r="A1787" s="14"/>
      <c r="B1787" s="148" t="s">
        <v>970</v>
      </c>
      <c r="C1787" s="109" t="s">
        <v>939</v>
      </c>
      <c r="D1787" s="108" t="s">
        <v>13</v>
      </c>
      <c r="E1787" s="108" t="s">
        <v>471</v>
      </c>
      <c r="F1787" s="108" t="s">
        <v>971</v>
      </c>
      <c r="G1787" s="108" t="s">
        <v>9</v>
      </c>
      <c r="H1787" s="126">
        <f>H1788</f>
        <v>0</v>
      </c>
      <c r="L1787" s="20">
        <v>2700</v>
      </c>
      <c r="M1787" s="20">
        <v>2700</v>
      </c>
      <c r="N1787" s="20">
        <v>2700</v>
      </c>
      <c r="O1787" s="20">
        <f>H1787-L1787</f>
        <v>-2700</v>
      </c>
      <c r="P1787" s="20" t="e">
        <f>#REF!-M1787</f>
        <v>#REF!</v>
      </c>
      <c r="Q1787" s="20" t="e">
        <f>#REF!-N1787</f>
        <v>#REF!</v>
      </c>
      <c r="R1787" s="17" t="str">
        <f t="shared" si="216"/>
        <v>16 3 03 00000000</v>
      </c>
    </row>
    <row r="1788" spans="1:18" s="16" customFormat="1" ht="47.25">
      <c r="A1788" s="14"/>
      <c r="B1788" s="148" t="s">
        <v>152</v>
      </c>
      <c r="C1788" s="109" t="s">
        <v>939</v>
      </c>
      <c r="D1788" s="108" t="s">
        <v>13</v>
      </c>
      <c r="E1788" s="108" t="s">
        <v>471</v>
      </c>
      <c r="F1788" s="108" t="s">
        <v>972</v>
      </c>
      <c r="G1788" s="108" t="s">
        <v>9</v>
      </c>
      <c r="H1788" s="126">
        <f>H1789</f>
        <v>0</v>
      </c>
      <c r="L1788" s="20">
        <v>2700</v>
      </c>
      <c r="M1788" s="20">
        <v>2700</v>
      </c>
      <c r="N1788" s="20">
        <v>2700</v>
      </c>
      <c r="O1788" s="20">
        <f>H1788-L1788</f>
        <v>-2700</v>
      </c>
      <c r="P1788" s="20" t="e">
        <f>#REF!-M1788</f>
        <v>#REF!</v>
      </c>
      <c r="Q1788" s="20" t="e">
        <f>#REF!-N1788</f>
        <v>#REF!</v>
      </c>
      <c r="R1788" s="17" t="str">
        <f t="shared" si="216"/>
        <v>16 3 03 20350000</v>
      </c>
    </row>
    <row r="1789" spans="1:18" s="16" customFormat="1" ht="31.5">
      <c r="A1789" s="14"/>
      <c r="B1789" s="148" t="s">
        <v>28</v>
      </c>
      <c r="C1789" s="109" t="s">
        <v>939</v>
      </c>
      <c r="D1789" s="108" t="s">
        <v>13</v>
      </c>
      <c r="E1789" s="108" t="s">
        <v>471</v>
      </c>
      <c r="F1789" s="108" t="s">
        <v>972</v>
      </c>
      <c r="G1789" s="108" t="s">
        <v>29</v>
      </c>
      <c r="H1789" s="126">
        <f>H1790</f>
        <v>0</v>
      </c>
      <c r="L1789" s="20">
        <v>2700</v>
      </c>
      <c r="M1789" s="20">
        <v>2700</v>
      </c>
      <c r="N1789" s="20">
        <v>2700</v>
      </c>
      <c r="O1789" s="20">
        <f>H1789-L1789</f>
        <v>-2700</v>
      </c>
      <c r="P1789" s="20" t="e">
        <f>#REF!-M1789</f>
        <v>#REF!</v>
      </c>
      <c r="Q1789" s="20" t="e">
        <f>#REF!-N1789</f>
        <v>#REF!</v>
      </c>
      <c r="R1789" s="17" t="str">
        <f t="shared" si="216"/>
        <v>16 3 03 20350240</v>
      </c>
    </row>
    <row r="1790" spans="1:18" s="16" customFormat="1" ht="15.75">
      <c r="A1790" s="14"/>
      <c r="B1790" s="125" t="s">
        <v>30</v>
      </c>
      <c r="C1790" s="109" t="s">
        <v>939</v>
      </c>
      <c r="D1790" s="108" t="s">
        <v>13</v>
      </c>
      <c r="E1790" s="108" t="s">
        <v>471</v>
      </c>
      <c r="F1790" s="108" t="s">
        <v>972</v>
      </c>
      <c r="G1790" s="108" t="s">
        <v>31</v>
      </c>
      <c r="H1790" s="126"/>
      <c r="L1790" s="20"/>
      <c r="M1790" s="20"/>
      <c r="N1790" s="20"/>
      <c r="O1790" s="20"/>
      <c r="P1790" s="20"/>
      <c r="Q1790" s="20"/>
      <c r="R1790" s="17"/>
    </row>
    <row r="1791" spans="1:18" s="16" customFormat="1" ht="78.75">
      <c r="A1791" s="14"/>
      <c r="B1791" s="148" t="s">
        <v>973</v>
      </c>
      <c r="C1791" s="109" t="s">
        <v>939</v>
      </c>
      <c r="D1791" s="108" t="s">
        <v>13</v>
      </c>
      <c r="E1791" s="108" t="s">
        <v>471</v>
      </c>
      <c r="F1791" s="108" t="s">
        <v>974</v>
      </c>
      <c r="G1791" s="108" t="s">
        <v>9</v>
      </c>
      <c r="H1791" s="126">
        <f>H1792</f>
        <v>0</v>
      </c>
      <c r="L1791" s="20">
        <v>765</v>
      </c>
      <c r="M1791" s="20">
        <v>765</v>
      </c>
      <c r="N1791" s="20">
        <v>765</v>
      </c>
      <c r="O1791" s="20">
        <f>H1791-L1791</f>
        <v>-765</v>
      </c>
      <c r="P1791" s="20" t="e">
        <f>#REF!-M1791</f>
        <v>#REF!</v>
      </c>
      <c r="Q1791" s="20" t="e">
        <f>#REF!-N1791</f>
        <v>#REF!</v>
      </c>
      <c r="R1791" s="17" t="str">
        <f t="shared" si="216"/>
        <v>16 3 04 00000000</v>
      </c>
    </row>
    <row r="1792" spans="1:18" s="16" customFormat="1" ht="47.25">
      <c r="A1792" s="14"/>
      <c r="B1792" s="148" t="s">
        <v>152</v>
      </c>
      <c r="C1792" s="109" t="s">
        <v>939</v>
      </c>
      <c r="D1792" s="108" t="s">
        <v>13</v>
      </c>
      <c r="E1792" s="108" t="s">
        <v>471</v>
      </c>
      <c r="F1792" s="108" t="s">
        <v>975</v>
      </c>
      <c r="G1792" s="108" t="s">
        <v>9</v>
      </c>
      <c r="H1792" s="126">
        <f>H1793</f>
        <v>0</v>
      </c>
      <c r="L1792" s="20">
        <v>765</v>
      </c>
      <c r="M1792" s="20">
        <v>765</v>
      </c>
      <c r="N1792" s="20">
        <v>765</v>
      </c>
      <c r="O1792" s="20">
        <f>H1792-L1792</f>
        <v>-765</v>
      </c>
      <c r="P1792" s="20" t="e">
        <f>#REF!-M1792</f>
        <v>#REF!</v>
      </c>
      <c r="Q1792" s="20" t="e">
        <f>#REF!-N1792</f>
        <v>#REF!</v>
      </c>
      <c r="R1792" s="17" t="str">
        <f t="shared" si="216"/>
        <v>16 3 04 20350000</v>
      </c>
    </row>
    <row r="1793" spans="1:18" s="16" customFormat="1" ht="31.5">
      <c r="A1793" s="14"/>
      <c r="B1793" s="148" t="s">
        <v>28</v>
      </c>
      <c r="C1793" s="109" t="s">
        <v>939</v>
      </c>
      <c r="D1793" s="108" t="s">
        <v>13</v>
      </c>
      <c r="E1793" s="108" t="s">
        <v>471</v>
      </c>
      <c r="F1793" s="108" t="s">
        <v>975</v>
      </c>
      <c r="G1793" s="108" t="s">
        <v>29</v>
      </c>
      <c r="H1793" s="126">
        <f>H1794</f>
        <v>0</v>
      </c>
      <c r="L1793" s="20">
        <v>765</v>
      </c>
      <c r="M1793" s="20">
        <v>765</v>
      </c>
      <c r="N1793" s="20">
        <v>765</v>
      </c>
      <c r="O1793" s="20">
        <f>H1793-L1793</f>
        <v>-765</v>
      </c>
      <c r="P1793" s="20" t="e">
        <f>#REF!-M1793</f>
        <v>#REF!</v>
      </c>
      <c r="Q1793" s="20" t="e">
        <f>#REF!-N1793</f>
        <v>#REF!</v>
      </c>
      <c r="R1793" s="17" t="str">
        <f t="shared" si="216"/>
        <v>16 3 04 20350240</v>
      </c>
    </row>
    <row r="1794" spans="1:18" s="16" customFormat="1" ht="15.75">
      <c r="A1794" s="14"/>
      <c r="B1794" s="125" t="s">
        <v>30</v>
      </c>
      <c r="C1794" s="109" t="s">
        <v>939</v>
      </c>
      <c r="D1794" s="108" t="s">
        <v>13</v>
      </c>
      <c r="E1794" s="108" t="s">
        <v>471</v>
      </c>
      <c r="F1794" s="108" t="s">
        <v>975</v>
      </c>
      <c r="G1794" s="108" t="s">
        <v>31</v>
      </c>
      <c r="H1794" s="126"/>
      <c r="L1794" s="20"/>
      <c r="M1794" s="20"/>
      <c r="N1794" s="20"/>
      <c r="O1794" s="20"/>
      <c r="P1794" s="20"/>
      <c r="Q1794" s="20"/>
      <c r="R1794" s="17"/>
    </row>
    <row r="1795" spans="1:18" s="16" customFormat="1" ht="47.25">
      <c r="A1795" s="14"/>
      <c r="B1795" s="147" t="s">
        <v>976</v>
      </c>
      <c r="C1795" s="109" t="s">
        <v>939</v>
      </c>
      <c r="D1795" s="108" t="s">
        <v>13</v>
      </c>
      <c r="E1795" s="108" t="s">
        <v>471</v>
      </c>
      <c r="F1795" s="108" t="s">
        <v>977</v>
      </c>
      <c r="G1795" s="108" t="s">
        <v>9</v>
      </c>
      <c r="H1795" s="126">
        <f>H1796</f>
        <v>0</v>
      </c>
      <c r="L1795" s="20">
        <v>15349.49</v>
      </c>
      <c r="M1795" s="20">
        <v>15349.49</v>
      </c>
      <c r="N1795" s="20">
        <v>15349.49</v>
      </c>
      <c r="O1795" s="20">
        <f>H1795-L1795</f>
        <v>-15349.49</v>
      </c>
      <c r="P1795" s="20" t="e">
        <f>#REF!-M1795</f>
        <v>#REF!</v>
      </c>
      <c r="Q1795" s="20" t="e">
        <f>#REF!-N1795</f>
        <v>#REF!</v>
      </c>
      <c r="R1795" s="17" t="str">
        <f t="shared" si="216"/>
        <v>85 0 00 00000000</v>
      </c>
    </row>
    <row r="1796" spans="1:18" s="66" customFormat="1" ht="63">
      <c r="A1796" s="65"/>
      <c r="B1796" s="125" t="s">
        <v>978</v>
      </c>
      <c r="C1796" s="109" t="s">
        <v>939</v>
      </c>
      <c r="D1796" s="108" t="s">
        <v>13</v>
      </c>
      <c r="E1796" s="108" t="s">
        <v>471</v>
      </c>
      <c r="F1796" s="108" t="s">
        <v>979</v>
      </c>
      <c r="G1796" s="108" t="s">
        <v>9</v>
      </c>
      <c r="H1796" s="126">
        <f>H1797+H1806</f>
        <v>0</v>
      </c>
      <c r="L1796" s="20">
        <v>15349.49</v>
      </c>
      <c r="M1796" s="20">
        <v>15349.49</v>
      </c>
      <c r="N1796" s="20">
        <v>15349.49</v>
      </c>
      <c r="O1796" s="20">
        <f>H1796-L1796</f>
        <v>-15349.49</v>
      </c>
      <c r="P1796" s="20" t="e">
        <f>#REF!-M1796</f>
        <v>#REF!</v>
      </c>
      <c r="Q1796" s="20" t="e">
        <f>#REF!-N1796</f>
        <v>#REF!</v>
      </c>
      <c r="R1796" s="17" t="str">
        <f t="shared" si="216"/>
        <v>85 1 00 00000000</v>
      </c>
    </row>
    <row r="1797" spans="1:18" s="16" customFormat="1" ht="31.5">
      <c r="A1797" s="14"/>
      <c r="B1797" s="148" t="s">
        <v>18</v>
      </c>
      <c r="C1797" s="109" t="s">
        <v>939</v>
      </c>
      <c r="D1797" s="108" t="s">
        <v>13</v>
      </c>
      <c r="E1797" s="108" t="s">
        <v>471</v>
      </c>
      <c r="F1797" s="108" t="s">
        <v>980</v>
      </c>
      <c r="G1797" s="108" t="s">
        <v>9</v>
      </c>
      <c r="H1797" s="126">
        <f>H1798+H1801+H1803</f>
        <v>0</v>
      </c>
      <c r="L1797" s="20">
        <v>1772.94</v>
      </c>
      <c r="M1797" s="20">
        <v>1772.94</v>
      </c>
      <c r="N1797" s="20">
        <v>1772.94</v>
      </c>
      <c r="O1797" s="20">
        <f>H1797-L1797</f>
        <v>-1772.94</v>
      </c>
      <c r="P1797" s="20" t="e">
        <f>#REF!-M1797</f>
        <v>#REF!</v>
      </c>
      <c r="Q1797" s="20" t="e">
        <f>#REF!-N1797</f>
        <v>#REF!</v>
      </c>
      <c r="R1797" s="17" t="str">
        <f t="shared" si="216"/>
        <v>85 1 00 10010000</v>
      </c>
    </row>
    <row r="1798" spans="1:18" s="16" customFormat="1" ht="31.5">
      <c r="A1798" s="14"/>
      <c r="B1798" s="125" t="s">
        <v>20</v>
      </c>
      <c r="C1798" s="109" t="s">
        <v>939</v>
      </c>
      <c r="D1798" s="108" t="s">
        <v>13</v>
      </c>
      <c r="E1798" s="108" t="s">
        <v>471</v>
      </c>
      <c r="F1798" s="108" t="s">
        <v>980</v>
      </c>
      <c r="G1798" s="108" t="s">
        <v>21</v>
      </c>
      <c r="H1798" s="126">
        <f>SUM(H1799:H1800)</f>
        <v>0</v>
      </c>
      <c r="L1798" s="20">
        <v>387.25</v>
      </c>
      <c r="M1798" s="20">
        <v>387.25</v>
      </c>
      <c r="N1798" s="20">
        <v>387.25</v>
      </c>
      <c r="O1798" s="20">
        <f>H1798-L1798</f>
        <v>-387.25</v>
      </c>
      <c r="P1798" s="20" t="e">
        <f>#REF!-M1798</f>
        <v>#REF!</v>
      </c>
      <c r="Q1798" s="20" t="e">
        <f>#REF!-N1798</f>
        <v>#REF!</v>
      </c>
      <c r="R1798" s="17" t="str">
        <f t="shared" si="216"/>
        <v>85 1 00 10010120</v>
      </c>
    </row>
    <row r="1799" spans="1:18" s="16" customFormat="1" ht="47.25">
      <c r="A1799" s="14"/>
      <c r="B1799" s="125" t="s">
        <v>22</v>
      </c>
      <c r="C1799" s="109" t="s">
        <v>939</v>
      </c>
      <c r="D1799" s="108" t="s">
        <v>13</v>
      </c>
      <c r="E1799" s="108" t="s">
        <v>471</v>
      </c>
      <c r="F1799" s="108" t="s">
        <v>980</v>
      </c>
      <c r="G1799" s="108" t="s">
        <v>23</v>
      </c>
      <c r="H1799" s="126"/>
      <c r="L1799" s="20"/>
      <c r="M1799" s="20"/>
      <c r="N1799" s="20"/>
      <c r="O1799" s="20"/>
      <c r="P1799" s="20"/>
      <c r="Q1799" s="20"/>
      <c r="R1799" s="17"/>
    </row>
    <row r="1800" spans="1:18" s="16" customFormat="1" ht="63">
      <c r="A1800" s="14"/>
      <c r="B1800" s="125" t="s">
        <v>26</v>
      </c>
      <c r="C1800" s="109" t="s">
        <v>939</v>
      </c>
      <c r="D1800" s="108" t="s">
        <v>13</v>
      </c>
      <c r="E1800" s="108" t="s">
        <v>471</v>
      </c>
      <c r="F1800" s="108" t="s">
        <v>980</v>
      </c>
      <c r="G1800" s="108" t="s">
        <v>27</v>
      </c>
      <c r="H1800" s="126"/>
      <c r="L1800" s="20"/>
      <c r="M1800" s="20"/>
      <c r="N1800" s="20"/>
      <c r="O1800" s="20"/>
      <c r="P1800" s="20"/>
      <c r="Q1800" s="20"/>
      <c r="R1800" s="17"/>
    </row>
    <row r="1801" spans="1:18" s="16" customFormat="1" ht="31.5">
      <c r="A1801" s="14"/>
      <c r="B1801" s="125" t="s">
        <v>28</v>
      </c>
      <c r="C1801" s="109" t="s">
        <v>939</v>
      </c>
      <c r="D1801" s="108" t="s">
        <v>13</v>
      </c>
      <c r="E1801" s="108" t="s">
        <v>471</v>
      </c>
      <c r="F1801" s="108" t="s">
        <v>980</v>
      </c>
      <c r="G1801" s="108" t="s">
        <v>29</v>
      </c>
      <c r="H1801" s="126">
        <f>H1802</f>
        <v>0</v>
      </c>
      <c r="L1801" s="20">
        <v>1183.98</v>
      </c>
      <c r="M1801" s="20">
        <v>1183.98</v>
      </c>
      <c r="N1801" s="20">
        <v>1183.98</v>
      </c>
      <c r="O1801" s="20">
        <f>H1801-L1801</f>
        <v>-1183.98</v>
      </c>
      <c r="P1801" s="20" t="e">
        <f>#REF!-M1801</f>
        <v>#REF!</v>
      </c>
      <c r="Q1801" s="20" t="e">
        <f>#REF!-N1801</f>
        <v>#REF!</v>
      </c>
      <c r="R1801" s="17" t="str">
        <f t="shared" si="216"/>
        <v>85 1 00 10010240</v>
      </c>
    </row>
    <row r="1802" spans="1:18" s="16" customFormat="1" ht="15.75">
      <c r="A1802" s="14"/>
      <c r="B1802" s="125" t="s">
        <v>30</v>
      </c>
      <c r="C1802" s="109" t="s">
        <v>939</v>
      </c>
      <c r="D1802" s="108" t="s">
        <v>13</v>
      </c>
      <c r="E1802" s="108" t="s">
        <v>471</v>
      </c>
      <c r="F1802" s="108" t="s">
        <v>980</v>
      </c>
      <c r="G1802" s="108" t="s">
        <v>31</v>
      </c>
      <c r="H1802" s="126"/>
      <c r="L1802" s="20"/>
      <c r="M1802" s="20"/>
      <c r="N1802" s="20"/>
      <c r="O1802" s="20"/>
      <c r="P1802" s="20"/>
      <c r="Q1802" s="20"/>
      <c r="R1802" s="17"/>
    </row>
    <row r="1803" spans="1:18" s="16" customFormat="1" ht="15.75">
      <c r="A1803" s="14"/>
      <c r="B1803" s="125" t="s">
        <v>32</v>
      </c>
      <c r="C1803" s="109" t="s">
        <v>939</v>
      </c>
      <c r="D1803" s="108" t="s">
        <v>13</v>
      </c>
      <c r="E1803" s="108" t="s">
        <v>471</v>
      </c>
      <c r="F1803" s="108" t="s">
        <v>980</v>
      </c>
      <c r="G1803" s="108" t="s">
        <v>33</v>
      </c>
      <c r="H1803" s="126">
        <f>SUM(H1804:H1805)</f>
        <v>0</v>
      </c>
      <c r="L1803" s="20">
        <v>201.71</v>
      </c>
      <c r="M1803" s="20">
        <v>201.71</v>
      </c>
      <c r="N1803" s="20">
        <v>201.71</v>
      </c>
      <c r="O1803" s="20">
        <f>H1803-L1803</f>
        <v>-201.71</v>
      </c>
      <c r="P1803" s="20" t="e">
        <f>#REF!-M1803</f>
        <v>#REF!</v>
      </c>
      <c r="Q1803" s="20" t="e">
        <f>#REF!-N1803</f>
        <v>#REF!</v>
      </c>
      <c r="R1803" s="17" t="str">
        <f t="shared" si="216"/>
        <v>85 1 00 10010850</v>
      </c>
    </row>
    <row r="1804" spans="1:18" s="16" customFormat="1" ht="31.5">
      <c r="A1804" s="14"/>
      <c r="B1804" s="125" t="s">
        <v>34</v>
      </c>
      <c r="C1804" s="109" t="s">
        <v>939</v>
      </c>
      <c r="D1804" s="108" t="s">
        <v>13</v>
      </c>
      <c r="E1804" s="108" t="s">
        <v>471</v>
      </c>
      <c r="F1804" s="108" t="s">
        <v>980</v>
      </c>
      <c r="G1804" s="108">
        <v>851</v>
      </c>
      <c r="H1804" s="126"/>
      <c r="L1804" s="20"/>
      <c r="M1804" s="20"/>
      <c r="N1804" s="20"/>
      <c r="O1804" s="20"/>
      <c r="P1804" s="20"/>
      <c r="Q1804" s="20"/>
      <c r="R1804" s="17"/>
    </row>
    <row r="1805" spans="1:18" s="16" customFormat="1" ht="15.75">
      <c r="A1805" s="14"/>
      <c r="B1805" s="125" t="s">
        <v>77</v>
      </c>
      <c r="C1805" s="109" t="s">
        <v>939</v>
      </c>
      <c r="D1805" s="108" t="s">
        <v>13</v>
      </c>
      <c r="E1805" s="108" t="s">
        <v>471</v>
      </c>
      <c r="F1805" s="108" t="s">
        <v>980</v>
      </c>
      <c r="G1805" s="108" t="s">
        <v>78</v>
      </c>
      <c r="H1805" s="126"/>
      <c r="L1805" s="20"/>
      <c r="M1805" s="20"/>
      <c r="N1805" s="20"/>
      <c r="O1805" s="20"/>
      <c r="P1805" s="20"/>
      <c r="Q1805" s="20"/>
      <c r="R1805" s="17"/>
    </row>
    <row r="1806" spans="1:18" s="16" customFormat="1" ht="31.5">
      <c r="A1806" s="14"/>
      <c r="B1806" s="148" t="s">
        <v>38</v>
      </c>
      <c r="C1806" s="109" t="s">
        <v>939</v>
      </c>
      <c r="D1806" s="108" t="s">
        <v>13</v>
      </c>
      <c r="E1806" s="108" t="s">
        <v>471</v>
      </c>
      <c r="F1806" s="108" t="s">
        <v>981</v>
      </c>
      <c r="G1806" s="108" t="s">
        <v>9</v>
      </c>
      <c r="H1806" s="126">
        <f>H1807</f>
        <v>0</v>
      </c>
      <c r="L1806" s="20">
        <v>13576.55</v>
      </c>
      <c r="M1806" s="20">
        <v>13576.55</v>
      </c>
      <c r="N1806" s="20">
        <v>13576.55</v>
      </c>
      <c r="O1806" s="20">
        <f>H1806-L1806</f>
        <v>-13576.55</v>
      </c>
      <c r="P1806" s="20" t="e">
        <f>#REF!-M1806</f>
        <v>#REF!</v>
      </c>
      <c r="Q1806" s="20" t="e">
        <f>#REF!-N1806</f>
        <v>#REF!</v>
      </c>
      <c r="R1806" s="17" t="str">
        <f t="shared" si="216"/>
        <v>85 1 00 10020000</v>
      </c>
    </row>
    <row r="1807" spans="1:18" s="16" customFormat="1" ht="31.5">
      <c r="A1807" s="14"/>
      <c r="B1807" s="125" t="s">
        <v>20</v>
      </c>
      <c r="C1807" s="109" t="s">
        <v>939</v>
      </c>
      <c r="D1807" s="108" t="s">
        <v>13</v>
      </c>
      <c r="E1807" s="108" t="s">
        <v>471</v>
      </c>
      <c r="F1807" s="108" t="s">
        <v>981</v>
      </c>
      <c r="G1807" s="108" t="s">
        <v>21</v>
      </c>
      <c r="H1807" s="126">
        <f>SUM(H1808:H1809)</f>
        <v>0</v>
      </c>
      <c r="L1807" s="20">
        <v>13576.55</v>
      </c>
      <c r="M1807" s="20">
        <v>13576.55</v>
      </c>
      <c r="N1807" s="20">
        <v>13576.55</v>
      </c>
      <c r="O1807" s="20">
        <f>H1807-L1807</f>
        <v>-13576.55</v>
      </c>
      <c r="P1807" s="20" t="e">
        <f>#REF!-M1807</f>
        <v>#REF!</v>
      </c>
      <c r="Q1807" s="20" t="e">
        <f>#REF!-N1807</f>
        <v>#REF!</v>
      </c>
      <c r="R1807" s="17" t="str">
        <f t="shared" si="216"/>
        <v>85 1 00 10020120</v>
      </c>
    </row>
    <row r="1808" spans="1:18" s="23" customFormat="1" ht="31.5">
      <c r="A1808" s="21"/>
      <c r="B1808" s="127" t="s">
        <v>40</v>
      </c>
      <c r="C1808" s="109" t="s">
        <v>939</v>
      </c>
      <c r="D1808" s="108" t="s">
        <v>13</v>
      </c>
      <c r="E1808" s="108" t="s">
        <v>471</v>
      </c>
      <c r="F1808" s="108" t="s">
        <v>981</v>
      </c>
      <c r="G1808" s="108" t="s">
        <v>41</v>
      </c>
      <c r="H1808" s="126"/>
      <c r="L1808" s="22"/>
      <c r="M1808" s="22"/>
      <c r="N1808" s="22"/>
      <c r="O1808" s="22"/>
      <c r="P1808" s="22"/>
      <c r="Q1808" s="22"/>
      <c r="R1808" s="24"/>
    </row>
    <row r="1809" spans="1:18" s="23" customFormat="1" ht="63">
      <c r="A1809" s="21"/>
      <c r="B1809" s="127" t="s">
        <v>26</v>
      </c>
      <c r="C1809" s="109" t="s">
        <v>939</v>
      </c>
      <c r="D1809" s="108" t="s">
        <v>13</v>
      </c>
      <c r="E1809" s="108" t="s">
        <v>471</v>
      </c>
      <c r="F1809" s="108" t="s">
        <v>981</v>
      </c>
      <c r="G1809" s="108" t="s">
        <v>27</v>
      </c>
      <c r="H1809" s="126"/>
      <c r="L1809" s="22"/>
      <c r="M1809" s="22"/>
      <c r="N1809" s="22"/>
      <c r="O1809" s="22"/>
      <c r="P1809" s="22"/>
      <c r="Q1809" s="22"/>
      <c r="R1809" s="24"/>
    </row>
    <row r="1810" spans="1:18" s="16" customFormat="1" ht="15.75">
      <c r="A1810" s="14"/>
      <c r="B1810" s="125"/>
      <c r="C1810" s="109"/>
      <c r="D1810" s="108"/>
      <c r="E1810" s="108"/>
      <c r="F1810" s="108"/>
      <c r="G1810" s="108"/>
      <c r="H1810" s="126"/>
      <c r="L1810" s="20"/>
      <c r="M1810" s="20"/>
      <c r="N1810" s="20"/>
      <c r="O1810" s="20">
        <f t="shared" ref="O1810:O1817" si="217">H1810-L1810</f>
        <v>0</v>
      </c>
      <c r="P1810" s="20" t="e">
        <f>#REF!-M1810</f>
        <v>#REF!</v>
      </c>
      <c r="Q1810" s="20" t="e">
        <f>#REF!-N1810</f>
        <v>#REF!</v>
      </c>
      <c r="R1810" s="17" t="str">
        <f t="shared" si="216"/>
        <v/>
      </c>
    </row>
    <row r="1811" spans="1:18" s="16" customFormat="1" ht="15.75">
      <c r="A1811" s="14"/>
      <c r="B1811" s="67" t="s">
        <v>982</v>
      </c>
      <c r="C1811" s="116" t="s">
        <v>983</v>
      </c>
      <c r="D1811" s="69" t="s">
        <v>7</v>
      </c>
      <c r="E1811" s="69" t="s">
        <v>7</v>
      </c>
      <c r="F1811" s="69" t="s">
        <v>8</v>
      </c>
      <c r="G1811" s="69" t="s">
        <v>9</v>
      </c>
      <c r="H1811" s="70">
        <f t="shared" ref="H1811:H1814" si="218">H1812</f>
        <v>0</v>
      </c>
      <c r="L1811" s="25">
        <v>14384</v>
      </c>
      <c r="M1811" s="25">
        <v>14384</v>
      </c>
      <c r="N1811" s="25">
        <v>14384</v>
      </c>
      <c r="O1811" s="25">
        <f t="shared" si="217"/>
        <v>-14384</v>
      </c>
      <c r="P1811" s="25" t="e">
        <f>#REF!-M1811</f>
        <v>#REF!</v>
      </c>
      <c r="Q1811" s="25" t="e">
        <f>#REF!-N1811</f>
        <v>#REF!</v>
      </c>
      <c r="R1811" s="17" t="str">
        <f t="shared" si="216"/>
        <v>00 0 00 00000000</v>
      </c>
    </row>
    <row r="1812" spans="1:18" s="16" customFormat="1" ht="15.75">
      <c r="A1812" s="14"/>
      <c r="B1812" s="117" t="s">
        <v>10</v>
      </c>
      <c r="C1812" s="118" t="s">
        <v>983</v>
      </c>
      <c r="D1812" s="119" t="s">
        <v>11</v>
      </c>
      <c r="E1812" s="119" t="s">
        <v>7</v>
      </c>
      <c r="F1812" s="119" t="s">
        <v>8</v>
      </c>
      <c r="G1812" s="119" t="s">
        <v>9</v>
      </c>
      <c r="H1812" s="120">
        <f t="shared" si="218"/>
        <v>0</v>
      </c>
      <c r="L1812" s="18">
        <v>14384</v>
      </c>
      <c r="M1812" s="18">
        <v>14384</v>
      </c>
      <c r="N1812" s="18">
        <v>14384</v>
      </c>
      <c r="O1812" s="18">
        <f t="shared" si="217"/>
        <v>-14384</v>
      </c>
      <c r="P1812" s="18" t="e">
        <f>#REF!-M1812</f>
        <v>#REF!</v>
      </c>
      <c r="Q1812" s="18" t="e">
        <f>#REF!-N1812</f>
        <v>#REF!</v>
      </c>
      <c r="R1812" s="17" t="str">
        <f t="shared" si="216"/>
        <v>00 0 00 00000000</v>
      </c>
    </row>
    <row r="1813" spans="1:18" s="16" customFormat="1" ht="47.25">
      <c r="A1813" s="14"/>
      <c r="B1813" s="121" t="s">
        <v>333</v>
      </c>
      <c r="C1813" s="122" t="s">
        <v>983</v>
      </c>
      <c r="D1813" s="123" t="s">
        <v>11</v>
      </c>
      <c r="E1813" s="123" t="s">
        <v>334</v>
      </c>
      <c r="F1813" s="123" t="s">
        <v>8</v>
      </c>
      <c r="G1813" s="123" t="s">
        <v>9</v>
      </c>
      <c r="H1813" s="124">
        <f t="shared" si="218"/>
        <v>0</v>
      </c>
      <c r="L1813" s="19">
        <v>14384</v>
      </c>
      <c r="M1813" s="19">
        <v>14384</v>
      </c>
      <c r="N1813" s="19">
        <v>14384</v>
      </c>
      <c r="O1813" s="19">
        <f t="shared" si="217"/>
        <v>-14384</v>
      </c>
      <c r="P1813" s="19" t="e">
        <f>#REF!-M1813</f>
        <v>#REF!</v>
      </c>
      <c r="Q1813" s="19" t="e">
        <f>#REF!-N1813</f>
        <v>#REF!</v>
      </c>
      <c r="R1813" s="17" t="str">
        <f t="shared" si="216"/>
        <v>00 0 00 00000000</v>
      </c>
    </row>
    <row r="1814" spans="1:18" s="16" customFormat="1" ht="31.5">
      <c r="A1814" s="14"/>
      <c r="B1814" s="129" t="s">
        <v>984</v>
      </c>
      <c r="C1814" s="109" t="s">
        <v>983</v>
      </c>
      <c r="D1814" s="108" t="s">
        <v>11</v>
      </c>
      <c r="E1814" s="108" t="s">
        <v>334</v>
      </c>
      <c r="F1814" s="108" t="s">
        <v>985</v>
      </c>
      <c r="G1814" s="108" t="s">
        <v>9</v>
      </c>
      <c r="H1814" s="126">
        <f t="shared" si="218"/>
        <v>0</v>
      </c>
      <c r="L1814" s="20">
        <v>14384</v>
      </c>
      <c r="M1814" s="20">
        <v>14384</v>
      </c>
      <c r="N1814" s="20">
        <v>14384</v>
      </c>
      <c r="O1814" s="20">
        <f t="shared" si="217"/>
        <v>-14384</v>
      </c>
      <c r="P1814" s="20" t="e">
        <f>#REF!-M1814</f>
        <v>#REF!</v>
      </c>
      <c r="Q1814" s="20" t="e">
        <f>#REF!-N1814</f>
        <v>#REF!</v>
      </c>
      <c r="R1814" s="17" t="str">
        <f t="shared" si="216"/>
        <v>86 0 00 00000000</v>
      </c>
    </row>
    <row r="1815" spans="1:18" s="16" customFormat="1" ht="47.25">
      <c r="A1815" s="14"/>
      <c r="B1815" s="129" t="s">
        <v>986</v>
      </c>
      <c r="C1815" s="109" t="s">
        <v>983</v>
      </c>
      <c r="D1815" s="108" t="s">
        <v>11</v>
      </c>
      <c r="E1815" s="108" t="s">
        <v>334</v>
      </c>
      <c r="F1815" s="108" t="s">
        <v>987</v>
      </c>
      <c r="G1815" s="108" t="s">
        <v>9</v>
      </c>
      <c r="H1815" s="126">
        <f>H1816+H1826</f>
        <v>0</v>
      </c>
      <c r="L1815" s="20">
        <v>14384</v>
      </c>
      <c r="M1815" s="20">
        <v>14384</v>
      </c>
      <c r="N1815" s="20">
        <v>14384</v>
      </c>
      <c r="O1815" s="20">
        <f t="shared" si="217"/>
        <v>-14384</v>
      </c>
      <c r="P1815" s="20" t="e">
        <f>#REF!-M1815</f>
        <v>#REF!</v>
      </c>
      <c r="Q1815" s="20" t="e">
        <f>#REF!-N1815</f>
        <v>#REF!</v>
      </c>
      <c r="R1815" s="17" t="str">
        <f t="shared" si="216"/>
        <v>86 1 00 00000000</v>
      </c>
    </row>
    <row r="1816" spans="1:18" s="16" customFormat="1" ht="31.5">
      <c r="A1816" s="14"/>
      <c r="B1816" s="125" t="s">
        <v>18</v>
      </c>
      <c r="C1816" s="109" t="s">
        <v>983</v>
      </c>
      <c r="D1816" s="108" t="s">
        <v>11</v>
      </c>
      <c r="E1816" s="108" t="s">
        <v>334</v>
      </c>
      <c r="F1816" s="108" t="s">
        <v>988</v>
      </c>
      <c r="G1816" s="108" t="s">
        <v>9</v>
      </c>
      <c r="H1816" s="126">
        <f>H1817+H1820+H1822</f>
        <v>0</v>
      </c>
      <c r="L1816" s="20">
        <v>3916.21</v>
      </c>
      <c r="M1816" s="20">
        <v>3916.21</v>
      </c>
      <c r="N1816" s="20">
        <v>3916.21</v>
      </c>
      <c r="O1816" s="20">
        <f t="shared" si="217"/>
        <v>-3916.21</v>
      </c>
      <c r="P1816" s="20" t="e">
        <f>#REF!-M1816</f>
        <v>#REF!</v>
      </c>
      <c r="Q1816" s="20" t="e">
        <f>#REF!-N1816</f>
        <v>#REF!</v>
      </c>
      <c r="R1816" s="17" t="str">
        <f t="shared" si="216"/>
        <v>86 1 00 10010000</v>
      </c>
    </row>
    <row r="1817" spans="1:18" s="16" customFormat="1" ht="31.5">
      <c r="A1817" s="14"/>
      <c r="B1817" s="127" t="s">
        <v>20</v>
      </c>
      <c r="C1817" s="109" t="s">
        <v>983</v>
      </c>
      <c r="D1817" s="108" t="s">
        <v>11</v>
      </c>
      <c r="E1817" s="108" t="s">
        <v>334</v>
      </c>
      <c r="F1817" s="108" t="s">
        <v>988</v>
      </c>
      <c r="G1817" s="108" t="s">
        <v>21</v>
      </c>
      <c r="H1817" s="126">
        <f>SUM(H1818:H1819)</f>
        <v>0</v>
      </c>
      <c r="L1817" s="20">
        <v>546.53</v>
      </c>
      <c r="M1817" s="20">
        <v>546.53</v>
      </c>
      <c r="N1817" s="20">
        <v>546.53</v>
      </c>
      <c r="O1817" s="20">
        <f t="shared" si="217"/>
        <v>-546.53</v>
      </c>
      <c r="P1817" s="20" t="e">
        <f>#REF!-M1817</f>
        <v>#REF!</v>
      </c>
      <c r="Q1817" s="20" t="e">
        <f>#REF!-N1817</f>
        <v>#REF!</v>
      </c>
      <c r="R1817" s="17" t="str">
        <f t="shared" si="216"/>
        <v>86 1 00 10010120</v>
      </c>
    </row>
    <row r="1818" spans="1:18" s="23" customFormat="1" ht="47.25">
      <c r="A1818" s="21"/>
      <c r="B1818" s="127" t="s">
        <v>22</v>
      </c>
      <c r="C1818" s="109" t="s">
        <v>983</v>
      </c>
      <c r="D1818" s="108" t="s">
        <v>11</v>
      </c>
      <c r="E1818" s="108" t="s">
        <v>334</v>
      </c>
      <c r="F1818" s="108" t="s">
        <v>988</v>
      </c>
      <c r="G1818" s="108">
        <v>122</v>
      </c>
      <c r="H1818" s="126"/>
      <c r="L1818" s="22"/>
      <c r="M1818" s="22"/>
      <c r="N1818" s="22"/>
      <c r="O1818" s="22"/>
      <c r="P1818" s="22"/>
      <c r="Q1818" s="22"/>
      <c r="R1818" s="24"/>
    </row>
    <row r="1819" spans="1:18" s="23" customFormat="1" ht="63">
      <c r="A1819" s="21"/>
      <c r="B1819" s="127" t="s">
        <v>26</v>
      </c>
      <c r="C1819" s="109" t="s">
        <v>983</v>
      </c>
      <c r="D1819" s="108" t="s">
        <v>11</v>
      </c>
      <c r="E1819" s="108" t="s">
        <v>334</v>
      </c>
      <c r="F1819" s="108" t="s">
        <v>988</v>
      </c>
      <c r="G1819" s="108" t="s">
        <v>27</v>
      </c>
      <c r="H1819" s="126"/>
      <c r="L1819" s="22"/>
      <c r="M1819" s="22"/>
      <c r="N1819" s="22"/>
      <c r="O1819" s="22"/>
      <c r="P1819" s="22"/>
      <c r="Q1819" s="22"/>
      <c r="R1819" s="24"/>
    </row>
    <row r="1820" spans="1:18" s="16" customFormat="1" ht="31.5">
      <c r="A1820" s="14"/>
      <c r="B1820" s="125" t="s">
        <v>28</v>
      </c>
      <c r="C1820" s="109" t="s">
        <v>983</v>
      </c>
      <c r="D1820" s="108" t="s">
        <v>11</v>
      </c>
      <c r="E1820" s="108" t="s">
        <v>334</v>
      </c>
      <c r="F1820" s="108" t="s">
        <v>988</v>
      </c>
      <c r="G1820" s="108" t="s">
        <v>29</v>
      </c>
      <c r="H1820" s="126">
        <f>H1821</f>
        <v>0</v>
      </c>
      <c r="L1820" s="20">
        <v>3257.98</v>
      </c>
      <c r="M1820" s="20">
        <v>3257.98</v>
      </c>
      <c r="N1820" s="20">
        <v>3257.98</v>
      </c>
      <c r="O1820" s="20">
        <f>H1820-L1820</f>
        <v>-3257.98</v>
      </c>
      <c r="P1820" s="20" t="e">
        <f>#REF!-M1820</f>
        <v>#REF!</v>
      </c>
      <c r="Q1820" s="20" t="e">
        <f>#REF!-N1820</f>
        <v>#REF!</v>
      </c>
      <c r="R1820" s="17" t="str">
        <f t="shared" si="216"/>
        <v>86 1 00 10010240</v>
      </c>
    </row>
    <row r="1821" spans="1:18" s="16" customFormat="1" ht="15.75">
      <c r="A1821" s="14"/>
      <c r="B1821" s="125" t="s">
        <v>30</v>
      </c>
      <c r="C1821" s="109" t="s">
        <v>983</v>
      </c>
      <c r="D1821" s="108" t="s">
        <v>11</v>
      </c>
      <c r="E1821" s="108" t="s">
        <v>334</v>
      </c>
      <c r="F1821" s="108" t="s">
        <v>988</v>
      </c>
      <c r="G1821" s="108" t="s">
        <v>31</v>
      </c>
      <c r="H1821" s="126"/>
      <c r="L1821" s="20"/>
      <c r="M1821" s="20"/>
      <c r="N1821" s="20"/>
      <c r="O1821" s="20"/>
      <c r="P1821" s="20"/>
      <c r="Q1821" s="20"/>
      <c r="R1821" s="17"/>
    </row>
    <row r="1822" spans="1:18" s="16" customFormat="1" ht="15.75">
      <c r="A1822" s="14"/>
      <c r="B1822" s="125" t="s">
        <v>32</v>
      </c>
      <c r="C1822" s="109" t="s">
        <v>983</v>
      </c>
      <c r="D1822" s="108" t="s">
        <v>11</v>
      </c>
      <c r="E1822" s="108" t="s">
        <v>334</v>
      </c>
      <c r="F1822" s="108" t="s">
        <v>988</v>
      </c>
      <c r="G1822" s="108" t="s">
        <v>33</v>
      </c>
      <c r="H1822" s="126">
        <f>SUM(H1823:H1825)</f>
        <v>0</v>
      </c>
      <c r="L1822" s="20">
        <v>111.69999999999999</v>
      </c>
      <c r="M1822" s="20">
        <v>111.69999999999999</v>
      </c>
      <c r="N1822" s="20">
        <v>111.69999999999999</v>
      </c>
      <c r="O1822" s="20">
        <f>H1822-L1822</f>
        <v>-111.69999999999999</v>
      </c>
      <c r="P1822" s="20" t="e">
        <f>#REF!-M1822</f>
        <v>#REF!</v>
      </c>
      <c r="Q1822" s="20" t="e">
        <f>#REF!-N1822</f>
        <v>#REF!</v>
      </c>
      <c r="R1822" s="17" t="str">
        <f t="shared" si="216"/>
        <v>86 1 00 10010850</v>
      </c>
    </row>
    <row r="1823" spans="1:18" s="23" customFormat="1" ht="31.5">
      <c r="A1823" s="21"/>
      <c r="B1823" s="127" t="s">
        <v>34</v>
      </c>
      <c r="C1823" s="109" t="s">
        <v>983</v>
      </c>
      <c r="D1823" s="108" t="s">
        <v>11</v>
      </c>
      <c r="E1823" s="108" t="s">
        <v>334</v>
      </c>
      <c r="F1823" s="108" t="s">
        <v>988</v>
      </c>
      <c r="G1823" s="108" t="s">
        <v>35</v>
      </c>
      <c r="H1823" s="126"/>
      <c r="L1823" s="22"/>
      <c r="M1823" s="22"/>
      <c r="N1823" s="22"/>
      <c r="O1823" s="22"/>
      <c r="P1823" s="22"/>
      <c r="Q1823" s="22"/>
      <c r="R1823" s="24"/>
    </row>
    <row r="1824" spans="1:18" s="23" customFormat="1" ht="15.75">
      <c r="A1824" s="21"/>
      <c r="B1824" s="127" t="s">
        <v>36</v>
      </c>
      <c r="C1824" s="109" t="s">
        <v>983</v>
      </c>
      <c r="D1824" s="108" t="s">
        <v>11</v>
      </c>
      <c r="E1824" s="108" t="s">
        <v>334</v>
      </c>
      <c r="F1824" s="108" t="s">
        <v>988</v>
      </c>
      <c r="G1824" s="108" t="s">
        <v>37</v>
      </c>
      <c r="H1824" s="126"/>
      <c r="L1824" s="22"/>
      <c r="M1824" s="22"/>
      <c r="N1824" s="22"/>
      <c r="O1824" s="22"/>
      <c r="P1824" s="22"/>
      <c r="Q1824" s="22"/>
      <c r="R1824" s="24"/>
    </row>
    <row r="1825" spans="1:18" s="23" customFormat="1" ht="15.75">
      <c r="A1825" s="21"/>
      <c r="B1825" s="127" t="s">
        <v>77</v>
      </c>
      <c r="C1825" s="109" t="s">
        <v>983</v>
      </c>
      <c r="D1825" s="108" t="s">
        <v>11</v>
      </c>
      <c r="E1825" s="108" t="s">
        <v>334</v>
      </c>
      <c r="F1825" s="108" t="s">
        <v>988</v>
      </c>
      <c r="G1825" s="108" t="s">
        <v>78</v>
      </c>
      <c r="H1825" s="126"/>
      <c r="L1825" s="22"/>
      <c r="M1825" s="22"/>
      <c r="N1825" s="22"/>
      <c r="O1825" s="22"/>
      <c r="P1825" s="22"/>
      <c r="Q1825" s="22"/>
      <c r="R1825" s="24"/>
    </row>
    <row r="1826" spans="1:18" s="16" customFormat="1" ht="31.5">
      <c r="A1826" s="14"/>
      <c r="B1826" s="127" t="s">
        <v>38</v>
      </c>
      <c r="C1826" s="109" t="s">
        <v>983</v>
      </c>
      <c r="D1826" s="108" t="s">
        <v>11</v>
      </c>
      <c r="E1826" s="108" t="s">
        <v>334</v>
      </c>
      <c r="F1826" s="108" t="s">
        <v>989</v>
      </c>
      <c r="G1826" s="108" t="s">
        <v>9</v>
      </c>
      <c r="H1826" s="126">
        <f>H1827</f>
        <v>0</v>
      </c>
      <c r="L1826" s="20">
        <v>10467.790000000001</v>
      </c>
      <c r="M1826" s="20">
        <v>10467.790000000001</v>
      </c>
      <c r="N1826" s="20">
        <v>10467.790000000001</v>
      </c>
      <c r="O1826" s="20">
        <f>H1826-L1826</f>
        <v>-10467.790000000001</v>
      </c>
      <c r="P1826" s="20" t="e">
        <f>#REF!-M1826</f>
        <v>#REF!</v>
      </c>
      <c r="Q1826" s="20" t="e">
        <f>#REF!-N1826</f>
        <v>#REF!</v>
      </c>
      <c r="R1826" s="17" t="str">
        <f t="shared" si="216"/>
        <v>86 1 00 10020000</v>
      </c>
    </row>
    <row r="1827" spans="1:18" s="16" customFormat="1" ht="31.5">
      <c r="A1827" s="14"/>
      <c r="B1827" s="127" t="s">
        <v>20</v>
      </c>
      <c r="C1827" s="109" t="s">
        <v>983</v>
      </c>
      <c r="D1827" s="108" t="s">
        <v>11</v>
      </c>
      <c r="E1827" s="108" t="s">
        <v>334</v>
      </c>
      <c r="F1827" s="108" t="s">
        <v>989</v>
      </c>
      <c r="G1827" s="108" t="s">
        <v>21</v>
      </c>
      <c r="H1827" s="126">
        <f>SUM(H1828:H1829)</f>
        <v>0</v>
      </c>
      <c r="L1827" s="20">
        <v>10467.790000000001</v>
      </c>
      <c r="M1827" s="20">
        <v>10467.790000000001</v>
      </c>
      <c r="N1827" s="20">
        <v>10467.790000000001</v>
      </c>
      <c r="O1827" s="20">
        <f>H1827-L1827</f>
        <v>-10467.790000000001</v>
      </c>
      <c r="P1827" s="20" t="e">
        <f>#REF!-M1827</f>
        <v>#REF!</v>
      </c>
      <c r="Q1827" s="20" t="e">
        <f>#REF!-N1827</f>
        <v>#REF!</v>
      </c>
      <c r="R1827" s="17" t="str">
        <f t="shared" si="216"/>
        <v>86 1 00 10020120</v>
      </c>
    </row>
    <row r="1828" spans="1:18" s="23" customFormat="1" ht="31.5">
      <c r="A1828" s="21"/>
      <c r="B1828" s="127" t="s">
        <v>40</v>
      </c>
      <c r="C1828" s="109" t="s">
        <v>983</v>
      </c>
      <c r="D1828" s="108" t="s">
        <v>11</v>
      </c>
      <c r="E1828" s="108" t="s">
        <v>334</v>
      </c>
      <c r="F1828" s="108" t="s">
        <v>989</v>
      </c>
      <c r="G1828" s="108" t="s">
        <v>41</v>
      </c>
      <c r="H1828" s="126"/>
      <c r="L1828" s="22"/>
      <c r="M1828" s="22"/>
      <c r="N1828" s="22"/>
      <c r="O1828" s="22"/>
      <c r="P1828" s="22"/>
      <c r="Q1828" s="22"/>
      <c r="R1828" s="24"/>
    </row>
    <row r="1829" spans="1:18" s="23" customFormat="1" ht="63">
      <c r="A1829" s="21"/>
      <c r="B1829" s="127" t="s">
        <v>26</v>
      </c>
      <c r="C1829" s="109" t="s">
        <v>983</v>
      </c>
      <c r="D1829" s="108" t="s">
        <v>11</v>
      </c>
      <c r="E1829" s="108" t="s">
        <v>334</v>
      </c>
      <c r="F1829" s="108" t="s">
        <v>989</v>
      </c>
      <c r="G1829" s="108" t="s">
        <v>27</v>
      </c>
      <c r="H1829" s="126"/>
      <c r="L1829" s="22"/>
      <c r="M1829" s="22"/>
      <c r="N1829" s="22"/>
      <c r="O1829" s="22"/>
      <c r="P1829" s="22"/>
      <c r="Q1829" s="22"/>
      <c r="R1829" s="24"/>
    </row>
    <row r="1830" spans="1:18" s="16" customFormat="1" ht="15.75">
      <c r="A1830" s="14"/>
      <c r="B1830" s="129"/>
      <c r="C1830" s="109"/>
      <c r="D1830" s="108"/>
      <c r="E1830" s="108"/>
      <c r="F1830" s="108"/>
      <c r="G1830" s="108"/>
      <c r="H1830" s="126"/>
      <c r="L1830" s="20"/>
      <c r="M1830" s="20"/>
      <c r="N1830" s="20"/>
      <c r="O1830" s="20">
        <f>H1830-L1830</f>
        <v>0</v>
      </c>
      <c r="P1830" s="20" t="e">
        <f>#REF!-M1830</f>
        <v>#REF!</v>
      </c>
      <c r="Q1830" s="20" t="e">
        <f>#REF!-N1830</f>
        <v>#REF!</v>
      </c>
      <c r="R1830" s="17" t="str">
        <f t="shared" si="216"/>
        <v/>
      </c>
    </row>
    <row r="1831" spans="1:18">
      <c r="B1831" s="67" t="s">
        <v>990</v>
      </c>
      <c r="C1831" s="68"/>
      <c r="D1831" s="69"/>
      <c r="E1831" s="69"/>
      <c r="F1831" s="69"/>
      <c r="G1831" s="69"/>
      <c r="H1831" s="70" t="e">
        <f>H20+H77+H291+H382+H429+H471+H708+H902+H1119+H1194+H1287+H1372+H1465+H1734+H1664+H1811</f>
        <v>#REF!</v>
      </c>
      <c r="L1831" s="25">
        <v>8029027.2400000012</v>
      </c>
      <c r="M1831" s="25">
        <v>8006432.7300000004</v>
      </c>
      <c r="N1831" s="25">
        <v>8125650.7400000002</v>
      </c>
      <c r="O1831" s="25" t="e">
        <f>H1831-L1831</f>
        <v>#REF!</v>
      </c>
      <c r="P1831" s="25" t="e">
        <f>#REF!-M1831</f>
        <v>#REF!</v>
      </c>
      <c r="Q1831" s="25" t="e">
        <f>#REF!-N1831</f>
        <v>#REF!</v>
      </c>
      <c r="R1831" s="17"/>
    </row>
    <row r="1832" spans="1:18">
      <c r="B1832" s="67"/>
      <c r="C1832" s="68"/>
      <c r="D1832" s="69"/>
      <c r="E1832" s="69"/>
      <c r="F1832" s="69"/>
      <c r="G1832" s="69"/>
      <c r="H1832" s="70"/>
      <c r="L1832" s="71"/>
      <c r="M1832" s="71"/>
      <c r="N1832" s="25"/>
      <c r="O1832" s="71"/>
      <c r="P1832" s="71"/>
      <c r="Q1832" s="25"/>
      <c r="R1832" s="17"/>
    </row>
    <row r="1833" spans="1:18">
      <c r="B1833" s="103" t="s">
        <v>1009</v>
      </c>
      <c r="C1833" s="104"/>
      <c r="D1833" s="105"/>
      <c r="E1833" s="105"/>
      <c r="F1833" s="106"/>
      <c r="G1833" s="106"/>
      <c r="H1833" s="105"/>
      <c r="L1833" s="71"/>
      <c r="M1833" s="71"/>
      <c r="N1833" s="25"/>
      <c r="O1833" s="71"/>
      <c r="P1833" s="71"/>
      <c r="Q1833" s="25"/>
      <c r="R1833" s="17"/>
    </row>
    <row r="1834" spans="1:18">
      <c r="B1834" s="103" t="s">
        <v>1004</v>
      </c>
      <c r="C1834" s="104"/>
      <c r="D1834" s="105"/>
      <c r="E1834" s="105"/>
      <c r="F1834" s="106"/>
      <c r="G1834" s="106"/>
      <c r="H1834" s="105"/>
      <c r="L1834" s="71"/>
      <c r="M1834" s="71"/>
      <c r="N1834" s="25"/>
      <c r="O1834" s="71"/>
      <c r="P1834" s="71"/>
      <c r="Q1834" s="25"/>
      <c r="R1834" s="17"/>
    </row>
    <row r="1835" spans="1:18">
      <c r="B1835" s="103" t="s">
        <v>1005</v>
      </c>
      <c r="C1835" s="104"/>
      <c r="D1835" s="105"/>
      <c r="E1835" s="105"/>
      <c r="F1835" s="106"/>
      <c r="G1835" s="106"/>
      <c r="H1835" s="105"/>
      <c r="L1835" s="71"/>
      <c r="M1835" s="71"/>
      <c r="N1835" s="25"/>
      <c r="O1835" s="71"/>
      <c r="P1835" s="71"/>
      <c r="Q1835" s="25"/>
      <c r="R1835" s="17"/>
    </row>
    <row r="1836" spans="1:18">
      <c r="B1836" s="103" t="s">
        <v>992</v>
      </c>
      <c r="C1836" s="104"/>
      <c r="D1836" s="107"/>
      <c r="E1836" s="107"/>
      <c r="F1836" s="106"/>
      <c r="G1836" s="106"/>
      <c r="H1836" s="6"/>
      <c r="L1836" s="71"/>
      <c r="M1836" s="71"/>
      <c r="N1836" s="25"/>
      <c r="O1836" s="71"/>
      <c r="P1836" s="71"/>
      <c r="Q1836" s="25"/>
      <c r="R1836" s="17"/>
    </row>
    <row r="1837" spans="1:18">
      <c r="B1837" s="103" t="s">
        <v>1010</v>
      </c>
      <c r="C1837" s="3"/>
      <c r="D1837" s="97"/>
      <c r="E1837" s="97"/>
      <c r="F1837" s="97"/>
      <c r="G1837" s="97"/>
      <c r="H1837" s="100"/>
      <c r="L1837" s="71"/>
      <c r="M1837" s="71"/>
      <c r="N1837" s="25"/>
      <c r="O1837" s="71"/>
      <c r="P1837" s="71"/>
      <c r="Q1837" s="25"/>
      <c r="R1837" s="17"/>
    </row>
    <row r="1838" spans="1:18">
      <c r="B1838" s="103" t="s">
        <v>1007</v>
      </c>
      <c r="C1838" s="3"/>
      <c r="D1838" s="97"/>
      <c r="E1838" s="97"/>
      <c r="F1838" s="108"/>
      <c r="G1838" s="109"/>
      <c r="H1838" s="5" t="s">
        <v>1011</v>
      </c>
      <c r="L1838" s="71"/>
      <c r="M1838" s="71"/>
      <c r="N1838" s="25"/>
      <c r="O1838" s="71"/>
      <c r="P1838" s="71"/>
      <c r="Q1838" s="25"/>
      <c r="R1838" s="17"/>
    </row>
    <row r="1839" spans="1:18">
      <c r="B1839" s="67"/>
      <c r="C1839" s="68"/>
      <c r="D1839" s="69"/>
      <c r="E1839" s="69"/>
      <c r="F1839" s="69"/>
      <c r="G1839" s="69"/>
      <c r="H1839" s="70"/>
      <c r="L1839" s="71"/>
      <c r="M1839" s="71"/>
      <c r="N1839" s="25"/>
      <c r="O1839" s="71"/>
      <c r="P1839" s="71"/>
      <c r="Q1839" s="25"/>
      <c r="R1839" s="17"/>
    </row>
    <row r="1840" spans="1:18">
      <c r="B1840" s="67"/>
      <c r="C1840" s="68"/>
      <c r="D1840" s="69"/>
      <c r="E1840" s="69"/>
      <c r="F1840" s="69"/>
      <c r="G1840" s="69"/>
      <c r="H1840" s="70"/>
      <c r="L1840" s="71"/>
      <c r="M1840" s="71"/>
      <c r="N1840" s="25"/>
      <c r="O1840" s="71"/>
      <c r="P1840" s="71"/>
      <c r="Q1840" s="25"/>
      <c r="R1840" s="17"/>
    </row>
    <row r="1841" spans="1:18">
      <c r="B1841" s="67"/>
      <c r="C1841" s="68"/>
      <c r="D1841" s="69"/>
      <c r="E1841" s="69"/>
      <c r="F1841" s="69"/>
      <c r="G1841" s="69"/>
      <c r="H1841" s="70"/>
      <c r="L1841" s="70"/>
      <c r="M1841" s="70"/>
      <c r="N1841" s="18"/>
      <c r="O1841" s="70"/>
      <c r="P1841" s="70"/>
      <c r="Q1841" s="18"/>
      <c r="R1841" s="17"/>
    </row>
    <row r="1842" spans="1:18">
      <c r="B1842" s="93"/>
      <c r="C1842" s="94"/>
      <c r="D1842" s="90"/>
      <c r="E1842" s="90"/>
      <c r="F1842" s="90"/>
      <c r="G1842" s="90"/>
      <c r="H1842" s="77"/>
      <c r="M1842" s="76"/>
      <c r="N1842" s="18"/>
      <c r="P1842" s="76"/>
      <c r="Q1842" s="18"/>
      <c r="R1842" s="17"/>
    </row>
    <row r="1843" spans="1:18">
      <c r="B1843" s="93"/>
      <c r="C1843" s="94"/>
      <c r="D1843" s="90"/>
      <c r="E1843" s="90"/>
      <c r="F1843" s="90"/>
      <c r="G1843" s="90"/>
      <c r="H1843" s="77"/>
      <c r="M1843" s="76"/>
      <c r="N1843" s="18"/>
      <c r="P1843" s="76"/>
      <c r="Q1843" s="18"/>
      <c r="R1843" s="17"/>
    </row>
    <row r="1844" spans="1:18" s="81" customFormat="1" ht="15.75">
      <c r="A1844" s="78"/>
      <c r="B1844" s="95"/>
      <c r="C1844" s="83"/>
      <c r="D1844" s="79"/>
      <c r="E1844" s="79"/>
      <c r="F1844" s="79"/>
      <c r="G1844" s="79"/>
      <c r="H1844" s="80">
        <v>8029027240</v>
      </c>
      <c r="L1844" s="82"/>
      <c r="M1844" s="82"/>
      <c r="N1844" s="82"/>
      <c r="O1844" s="82"/>
      <c r="P1844" s="82"/>
      <c r="Q1844" s="82"/>
      <c r="R1844" s="17"/>
    </row>
    <row r="1845" spans="1:18" s="81" customFormat="1" ht="15.75">
      <c r="A1845" s="78"/>
      <c r="B1845" s="95"/>
      <c r="C1845" s="83"/>
      <c r="D1845" s="79"/>
      <c r="E1845" s="79"/>
      <c r="F1845" s="83" t="s">
        <v>991</v>
      </c>
      <c r="G1845" s="83"/>
      <c r="H1845" s="80">
        <v>-2</v>
      </c>
      <c r="L1845" s="82"/>
      <c r="M1845" s="82"/>
      <c r="N1845" s="82"/>
      <c r="O1845" s="82"/>
      <c r="P1845" s="82"/>
      <c r="Q1845" s="82"/>
      <c r="R1845" s="17"/>
    </row>
    <row r="1846" spans="1:18" s="81" customFormat="1" ht="15.75">
      <c r="A1846" s="78"/>
      <c r="B1846" s="95"/>
      <c r="C1846" s="83"/>
      <c r="D1846" s="79"/>
      <c r="E1846" s="79"/>
      <c r="F1846" s="79"/>
      <c r="G1846" s="79"/>
      <c r="H1846" s="80" t="e">
        <f>H1831-H1844-H1845</f>
        <v>#REF!</v>
      </c>
      <c r="L1846" s="82"/>
      <c r="M1846" s="82"/>
      <c r="N1846" s="82"/>
      <c r="O1846" s="82"/>
      <c r="P1846" s="82"/>
      <c r="Q1846" s="82"/>
      <c r="R1846" s="17"/>
    </row>
    <row r="1847" spans="1:18" s="81" customFormat="1" ht="15.75">
      <c r="A1847" s="78"/>
      <c r="B1847" s="95"/>
      <c r="C1847" s="83"/>
      <c r="D1847" s="79"/>
      <c r="E1847" s="79"/>
      <c r="F1847" s="79"/>
      <c r="G1847" s="79"/>
      <c r="H1847" s="80"/>
      <c r="L1847" s="82"/>
      <c r="M1847" s="82"/>
      <c r="N1847" s="82"/>
      <c r="O1847" s="82"/>
      <c r="P1847" s="82"/>
      <c r="Q1847" s="82"/>
      <c r="R1847" s="17"/>
    </row>
    <row r="1848" spans="1:18" s="81" customFormat="1" ht="15.75">
      <c r="A1848" s="78"/>
      <c r="B1848" s="95"/>
      <c r="C1848" s="83"/>
      <c r="D1848" s="79"/>
      <c r="E1848" s="79"/>
      <c r="F1848" s="79"/>
      <c r="G1848" s="79"/>
      <c r="H1848" s="80"/>
      <c r="L1848" s="82"/>
      <c r="M1848" s="82"/>
      <c r="N1848" s="82"/>
      <c r="O1848" s="82"/>
      <c r="P1848" s="82"/>
      <c r="Q1848" s="82"/>
      <c r="R1848" s="17"/>
    </row>
    <row r="1849" spans="1:18" s="81" customFormat="1" ht="15.75">
      <c r="A1849" s="78"/>
      <c r="B1849" s="95"/>
      <c r="C1849" s="83"/>
      <c r="D1849" s="79"/>
      <c r="E1849" s="79"/>
      <c r="F1849" s="79"/>
      <c r="G1849" s="79"/>
      <c r="H1849" s="80"/>
      <c r="L1849" s="82"/>
      <c r="M1849" s="82"/>
      <c r="N1849" s="82"/>
      <c r="O1849" s="82"/>
      <c r="P1849" s="82"/>
      <c r="Q1849" s="82"/>
      <c r="R1849" s="17"/>
    </row>
    <row r="1850" spans="1:18" s="81" customFormat="1" ht="15.75">
      <c r="A1850" s="78"/>
      <c r="B1850" s="95"/>
      <c r="C1850" s="83"/>
      <c r="D1850" s="79"/>
      <c r="E1850" s="79"/>
      <c r="F1850" s="79"/>
      <c r="G1850" s="79"/>
      <c r="H1850" s="80"/>
      <c r="L1850" s="82"/>
      <c r="M1850" s="82"/>
      <c r="N1850" s="82"/>
      <c r="O1850" s="82"/>
      <c r="P1850" s="82"/>
      <c r="Q1850" s="82"/>
      <c r="R1850" s="17"/>
    </row>
    <row r="1851" spans="1:18">
      <c r="B1851" s="93"/>
      <c r="C1851" s="94"/>
      <c r="D1851" s="90"/>
      <c r="E1851" s="90"/>
      <c r="F1851" s="90"/>
      <c r="G1851" s="90"/>
      <c r="H1851" s="77"/>
      <c r="R1851" s="17"/>
    </row>
    <row r="1852" spans="1:18">
      <c r="B1852" s="93"/>
      <c r="C1852" s="94"/>
      <c r="D1852" s="90"/>
      <c r="E1852" s="90"/>
      <c r="F1852" s="90"/>
      <c r="G1852" s="90"/>
      <c r="H1852" s="77"/>
      <c r="R1852" s="17"/>
    </row>
    <row r="1853" spans="1:18" s="86" customFormat="1" ht="15.75">
      <c r="A1853" s="85"/>
      <c r="B1853" s="96"/>
      <c r="C1853" s="87"/>
      <c r="D1853" s="87"/>
      <c r="E1853" s="87"/>
      <c r="F1853" s="165"/>
      <c r="G1853" s="88"/>
      <c r="H1853" s="89"/>
      <c r="L1853" s="89"/>
      <c r="M1853" s="87"/>
      <c r="O1853" s="89"/>
      <c r="P1853" s="87"/>
      <c r="R1853" s="17"/>
    </row>
    <row r="1854" spans="1:18">
      <c r="B1854" s="24"/>
      <c r="C1854" s="23"/>
      <c r="D1854" s="23"/>
      <c r="E1854" s="23"/>
      <c r="F1854" s="94"/>
      <c r="G1854" s="90"/>
      <c r="H1854" s="89"/>
      <c r="L1854" s="89"/>
      <c r="M1854" s="23"/>
      <c r="N1854" s="48"/>
      <c r="O1854" s="89"/>
      <c r="P1854" s="23"/>
      <c r="Q1854" s="48"/>
      <c r="R1854" s="17"/>
    </row>
    <row r="1855" spans="1:18">
      <c r="B1855" s="24"/>
      <c r="C1855" s="23"/>
      <c r="D1855" s="23"/>
      <c r="E1855" s="23"/>
      <c r="F1855" s="94"/>
      <c r="G1855" s="90"/>
      <c r="H1855" s="89"/>
      <c r="L1855" s="89"/>
      <c r="M1855" s="23"/>
      <c r="N1855" s="48"/>
      <c r="O1855" s="89"/>
      <c r="P1855" s="23"/>
      <c r="Q1855" s="48"/>
      <c r="R1855" s="17"/>
    </row>
    <row r="1856" spans="1:18">
      <c r="B1856" s="24"/>
      <c r="C1856" s="23"/>
      <c r="D1856" s="23"/>
      <c r="E1856" s="23"/>
      <c r="F1856" s="90"/>
      <c r="G1856" s="90"/>
      <c r="H1856" s="89"/>
      <c r="L1856" s="89"/>
      <c r="M1856" s="23"/>
      <c r="N1856" s="48"/>
      <c r="O1856" s="89"/>
      <c r="P1856" s="23"/>
      <c r="Q1856" s="48"/>
      <c r="R1856" s="17"/>
    </row>
    <row r="1857" spans="2:18">
      <c r="B1857" s="93"/>
      <c r="C1857" s="94"/>
      <c r="D1857" s="90"/>
      <c r="E1857" s="90"/>
      <c r="F1857" s="94"/>
      <c r="G1857" s="90"/>
      <c r="H1857" s="89"/>
      <c r="L1857" s="89"/>
      <c r="M1857" s="77"/>
      <c r="O1857" s="89"/>
      <c r="P1857" s="77"/>
      <c r="R1857" s="17"/>
    </row>
    <row r="1858" spans="2:18">
      <c r="B1858" s="93"/>
      <c r="C1858" s="94"/>
      <c r="D1858" s="90"/>
      <c r="E1858" s="90"/>
      <c r="F1858" s="94"/>
      <c r="G1858" s="90"/>
      <c r="H1858" s="89"/>
      <c r="L1858" s="89"/>
      <c r="M1858" s="77"/>
      <c r="O1858" s="89"/>
      <c r="P1858" s="77"/>
      <c r="R1858" s="17"/>
    </row>
    <row r="1859" spans="2:18">
      <c r="B1859" s="93"/>
      <c r="C1859" s="94"/>
      <c r="D1859" s="90"/>
      <c r="E1859" s="90"/>
      <c r="F1859" s="94"/>
      <c r="G1859" s="90"/>
      <c r="H1859" s="89"/>
      <c r="L1859" s="89"/>
      <c r="M1859" s="77"/>
      <c r="O1859" s="89"/>
      <c r="P1859" s="77"/>
      <c r="R1859" s="17"/>
    </row>
    <row r="1860" spans="2:18">
      <c r="B1860" s="93"/>
      <c r="C1860" s="94"/>
      <c r="D1860" s="90"/>
      <c r="E1860" s="90"/>
      <c r="F1860" s="90"/>
      <c r="G1860" s="90"/>
      <c r="H1860" s="77"/>
      <c r="L1860" s="77"/>
      <c r="M1860" s="77"/>
      <c r="O1860" s="77"/>
      <c r="P1860" s="77"/>
      <c r="R1860" s="17"/>
    </row>
    <row r="1861" spans="2:18">
      <c r="B1861" s="93"/>
      <c r="C1861" s="94"/>
      <c r="D1861" s="90"/>
      <c r="E1861" s="90"/>
      <c r="F1861" s="90"/>
      <c r="G1861" s="90"/>
      <c r="H1861" s="77"/>
      <c r="R1861" s="17" t="str">
        <f t="shared" si="216"/>
        <v/>
      </c>
    </row>
    <row r="1862" spans="2:18">
      <c r="B1862" s="93"/>
      <c r="C1862" s="94"/>
      <c r="D1862" s="90"/>
      <c r="E1862" s="90"/>
      <c r="F1862" s="90"/>
      <c r="G1862" s="90"/>
      <c r="H1862" s="77"/>
      <c r="L1862" s="77"/>
      <c r="M1862" s="77"/>
      <c r="N1862" s="91"/>
      <c r="O1862" s="77"/>
      <c r="P1862" s="77"/>
      <c r="Q1862" s="91"/>
      <c r="R1862" s="17" t="str">
        <f t="shared" si="216"/>
        <v/>
      </c>
    </row>
    <row r="1863" spans="2:18">
      <c r="B1863" s="93"/>
      <c r="C1863" s="94"/>
      <c r="D1863" s="90"/>
      <c r="E1863" s="90"/>
      <c r="F1863" s="90"/>
      <c r="G1863" s="90"/>
      <c r="H1863" s="77"/>
      <c r="L1863" s="77"/>
      <c r="M1863" s="77"/>
      <c r="N1863" s="91"/>
      <c r="O1863" s="77"/>
      <c r="P1863" s="77"/>
      <c r="Q1863" s="91"/>
      <c r="R1863" s="17" t="str">
        <f t="shared" si="216"/>
        <v/>
      </c>
    </row>
    <row r="1864" spans="2:18">
      <c r="B1864" s="93"/>
      <c r="C1864" s="94"/>
      <c r="D1864" s="90"/>
      <c r="E1864" s="90"/>
      <c r="F1864" s="90"/>
      <c r="G1864" s="90"/>
      <c r="H1864" s="77"/>
      <c r="L1864" s="77"/>
      <c r="M1864" s="77"/>
      <c r="N1864" s="91"/>
      <c r="O1864" s="77"/>
      <c r="P1864" s="77"/>
      <c r="Q1864" s="91"/>
      <c r="R1864" s="17" t="str">
        <f t="shared" si="216"/>
        <v/>
      </c>
    </row>
    <row r="1865" spans="2:18">
      <c r="B1865" s="93"/>
      <c r="C1865" s="94"/>
      <c r="D1865" s="90"/>
      <c r="E1865" s="90"/>
      <c r="F1865" s="90"/>
      <c r="G1865" s="90"/>
      <c r="H1865" s="76"/>
      <c r="L1865" s="76"/>
      <c r="M1865" s="77"/>
      <c r="N1865" s="77"/>
      <c r="O1865" s="76"/>
      <c r="P1865" s="77"/>
      <c r="Q1865" s="77"/>
      <c r="R1865" s="17" t="str">
        <f t="shared" si="216"/>
        <v/>
      </c>
    </row>
    <row r="1866" spans="2:18">
      <c r="B1866" s="93"/>
      <c r="C1866" s="94"/>
      <c r="D1866" s="90"/>
      <c r="E1866" s="90"/>
      <c r="F1866" s="90"/>
      <c r="G1866" s="90"/>
      <c r="H1866" s="76"/>
      <c r="L1866" s="76"/>
      <c r="M1866" s="77"/>
      <c r="N1866" s="77"/>
      <c r="O1866" s="76"/>
      <c r="P1866" s="77"/>
      <c r="Q1866" s="77"/>
      <c r="R1866" s="17" t="str">
        <f t="shared" si="216"/>
        <v/>
      </c>
    </row>
    <row r="1867" spans="2:18">
      <c r="B1867" s="93"/>
      <c r="C1867" s="94"/>
      <c r="D1867" s="90"/>
      <c r="E1867" s="90"/>
      <c r="F1867" s="90"/>
      <c r="G1867" s="90"/>
      <c r="H1867" s="76"/>
      <c r="L1867" s="76"/>
      <c r="M1867" s="77"/>
      <c r="N1867" s="77"/>
      <c r="O1867" s="76"/>
      <c r="P1867" s="77"/>
      <c r="Q1867" s="77"/>
      <c r="R1867" s="17" t="str">
        <f t="shared" si="216"/>
        <v/>
      </c>
    </row>
    <row r="1868" spans="2:18">
      <c r="B1868" s="93"/>
      <c r="C1868" s="94"/>
      <c r="D1868" s="90"/>
      <c r="E1868" s="90"/>
      <c r="F1868" s="90"/>
      <c r="G1868" s="90"/>
      <c r="H1868" s="76"/>
      <c r="L1868" s="76"/>
      <c r="M1868" s="77"/>
      <c r="N1868" s="77"/>
      <c r="O1868" s="76"/>
      <c r="P1868" s="77"/>
      <c r="Q1868" s="77"/>
      <c r="R1868" s="17" t="str">
        <f t="shared" ref="R1868:R1918" si="219">CONCATENATE(F1868,G1868)</f>
        <v/>
      </c>
    </row>
    <row r="1869" spans="2:18">
      <c r="B1869" s="93"/>
      <c r="C1869" s="94"/>
      <c r="D1869" s="90"/>
      <c r="E1869" s="90"/>
      <c r="F1869" s="90"/>
      <c r="G1869" s="90"/>
      <c r="H1869" s="77"/>
      <c r="L1869" s="77"/>
      <c r="M1869" s="77"/>
      <c r="N1869" s="91"/>
      <c r="O1869" s="77"/>
      <c r="P1869" s="77"/>
      <c r="Q1869" s="91"/>
      <c r="R1869" s="17" t="str">
        <f t="shared" si="219"/>
        <v/>
      </c>
    </row>
    <row r="1870" spans="2:18">
      <c r="B1870" s="93"/>
      <c r="C1870" s="94"/>
      <c r="D1870" s="90"/>
      <c r="E1870" s="90"/>
      <c r="F1870" s="90"/>
      <c r="G1870" s="90"/>
      <c r="H1870" s="77"/>
      <c r="L1870" s="77"/>
      <c r="M1870" s="77"/>
      <c r="N1870" s="91"/>
      <c r="O1870" s="77"/>
      <c r="P1870" s="77"/>
      <c r="Q1870" s="91"/>
      <c r="R1870" s="17" t="str">
        <f t="shared" si="219"/>
        <v/>
      </c>
    </row>
    <row r="1871" spans="2:18">
      <c r="B1871" s="93"/>
      <c r="C1871" s="94"/>
      <c r="D1871" s="90"/>
      <c r="E1871" s="90"/>
      <c r="F1871" s="90"/>
      <c r="G1871" s="90"/>
      <c r="H1871" s="77"/>
      <c r="L1871" s="77"/>
      <c r="M1871" s="77"/>
      <c r="N1871" s="91"/>
      <c r="O1871" s="77"/>
      <c r="P1871" s="77"/>
      <c r="Q1871" s="91"/>
      <c r="R1871" s="17" t="str">
        <f t="shared" si="219"/>
        <v/>
      </c>
    </row>
    <row r="1872" spans="2:18">
      <c r="B1872" s="93"/>
      <c r="C1872" s="94"/>
      <c r="D1872" s="90"/>
      <c r="E1872" s="90"/>
      <c r="F1872" s="90"/>
      <c r="G1872" s="90"/>
      <c r="H1872" s="77"/>
      <c r="L1872" s="77"/>
      <c r="M1872" s="77"/>
      <c r="N1872" s="91"/>
      <c r="O1872" s="77"/>
      <c r="P1872" s="77"/>
      <c r="Q1872" s="91"/>
      <c r="R1872" s="17" t="str">
        <f t="shared" si="219"/>
        <v/>
      </c>
    </row>
    <row r="1873" spans="2:18">
      <c r="B1873" s="93"/>
      <c r="C1873" s="94"/>
      <c r="D1873" s="90"/>
      <c r="E1873" s="90"/>
      <c r="F1873" s="90"/>
      <c r="G1873" s="90"/>
      <c r="H1873" s="77"/>
      <c r="L1873" s="77"/>
      <c r="M1873" s="77"/>
      <c r="N1873" s="91"/>
      <c r="O1873" s="77"/>
      <c r="P1873" s="77"/>
      <c r="Q1873" s="91"/>
      <c r="R1873" s="17" t="str">
        <f t="shared" si="219"/>
        <v/>
      </c>
    </row>
    <row r="1874" spans="2:18">
      <c r="B1874" s="93"/>
      <c r="C1874" s="94"/>
      <c r="D1874" s="90"/>
      <c r="E1874" s="90"/>
      <c r="F1874" s="90"/>
      <c r="G1874" s="90"/>
      <c r="H1874" s="77"/>
      <c r="R1874" s="17" t="str">
        <f t="shared" si="219"/>
        <v/>
      </c>
    </row>
    <row r="1875" spans="2:18">
      <c r="B1875" s="93"/>
      <c r="C1875" s="94"/>
      <c r="D1875" s="90"/>
      <c r="E1875" s="90"/>
      <c r="F1875" s="90"/>
      <c r="G1875" s="90"/>
      <c r="H1875" s="77"/>
      <c r="R1875" s="17" t="str">
        <f t="shared" si="219"/>
        <v/>
      </c>
    </row>
    <row r="1876" spans="2:18">
      <c r="B1876" s="93"/>
      <c r="C1876" s="94"/>
      <c r="D1876" s="90"/>
      <c r="E1876" s="90"/>
      <c r="F1876" s="90"/>
      <c r="G1876" s="90"/>
      <c r="H1876" s="77"/>
      <c r="R1876" s="17" t="str">
        <f t="shared" si="219"/>
        <v/>
      </c>
    </row>
    <row r="1877" spans="2:18">
      <c r="B1877" s="93"/>
      <c r="C1877" s="94"/>
      <c r="D1877" s="90"/>
      <c r="E1877" s="90"/>
      <c r="F1877" s="90"/>
      <c r="G1877" s="90"/>
      <c r="H1877" s="77"/>
      <c r="R1877" s="17" t="str">
        <f t="shared" si="219"/>
        <v/>
      </c>
    </row>
    <row r="1878" spans="2:18">
      <c r="B1878" s="93"/>
      <c r="C1878" s="94"/>
      <c r="D1878" s="90"/>
      <c r="E1878" s="90"/>
      <c r="F1878" s="90"/>
      <c r="G1878" s="90"/>
      <c r="H1878" s="77"/>
      <c r="R1878" s="17" t="str">
        <f t="shared" si="219"/>
        <v/>
      </c>
    </row>
    <row r="1879" spans="2:18">
      <c r="B1879" s="93"/>
      <c r="C1879" s="94"/>
      <c r="D1879" s="90"/>
      <c r="E1879" s="90"/>
      <c r="F1879" s="90"/>
      <c r="G1879" s="90"/>
      <c r="H1879" s="77"/>
      <c r="R1879" s="17" t="str">
        <f t="shared" si="219"/>
        <v/>
      </c>
    </row>
    <row r="1880" spans="2:18">
      <c r="B1880" s="93"/>
      <c r="C1880" s="94"/>
      <c r="D1880" s="90"/>
      <c r="E1880" s="90"/>
      <c r="F1880" s="90"/>
      <c r="G1880" s="90"/>
      <c r="H1880" s="77"/>
      <c r="R1880" s="17" t="str">
        <f t="shared" si="219"/>
        <v/>
      </c>
    </row>
    <row r="1881" spans="2:18">
      <c r="B1881" s="93"/>
      <c r="C1881" s="94"/>
      <c r="D1881" s="90"/>
      <c r="E1881" s="90"/>
      <c r="F1881" s="90"/>
      <c r="G1881" s="90"/>
      <c r="H1881" s="77"/>
      <c r="R1881" s="17" t="str">
        <f t="shared" si="219"/>
        <v/>
      </c>
    </row>
    <row r="1882" spans="2:18">
      <c r="B1882" s="93"/>
      <c r="C1882" s="94"/>
      <c r="D1882" s="90"/>
      <c r="E1882" s="90"/>
      <c r="F1882" s="90"/>
      <c r="G1882" s="90"/>
      <c r="H1882" s="77"/>
      <c r="R1882" s="17" t="str">
        <f t="shared" si="219"/>
        <v/>
      </c>
    </row>
    <row r="1883" spans="2:18">
      <c r="B1883" s="93"/>
      <c r="C1883" s="94"/>
      <c r="D1883" s="90"/>
      <c r="E1883" s="90"/>
      <c r="F1883" s="90"/>
      <c r="G1883" s="90"/>
      <c r="H1883" s="77"/>
      <c r="R1883" s="17" t="str">
        <f t="shared" si="219"/>
        <v/>
      </c>
    </row>
    <row r="1884" spans="2:18">
      <c r="B1884" s="93"/>
      <c r="C1884" s="94"/>
      <c r="D1884" s="90"/>
      <c r="E1884" s="90"/>
      <c r="F1884" s="90"/>
      <c r="G1884" s="90"/>
      <c r="H1884" s="77"/>
      <c r="R1884" s="17" t="str">
        <f t="shared" si="219"/>
        <v/>
      </c>
    </row>
    <row r="1885" spans="2:18">
      <c r="B1885" s="93"/>
      <c r="C1885" s="94"/>
      <c r="D1885" s="90"/>
      <c r="E1885" s="90"/>
      <c r="F1885" s="90"/>
      <c r="G1885" s="90"/>
      <c r="H1885" s="77"/>
      <c r="R1885" s="17" t="str">
        <f t="shared" si="219"/>
        <v/>
      </c>
    </row>
    <row r="1886" spans="2:18">
      <c r="B1886" s="93"/>
      <c r="C1886" s="94"/>
      <c r="D1886" s="90"/>
      <c r="E1886" s="90"/>
      <c r="F1886" s="90"/>
      <c r="G1886" s="90"/>
      <c r="H1886" s="77"/>
      <c r="R1886" s="17" t="str">
        <f t="shared" si="219"/>
        <v/>
      </c>
    </row>
    <row r="1887" spans="2:18">
      <c r="B1887" s="93"/>
      <c r="C1887" s="94"/>
      <c r="D1887" s="90"/>
      <c r="E1887" s="90"/>
      <c r="F1887" s="90"/>
      <c r="G1887" s="90"/>
      <c r="H1887" s="77"/>
      <c r="R1887" s="17" t="str">
        <f t="shared" si="219"/>
        <v/>
      </c>
    </row>
    <row r="1888" spans="2:18">
      <c r="B1888" s="93"/>
      <c r="C1888" s="94"/>
      <c r="D1888" s="90"/>
      <c r="E1888" s="90"/>
      <c r="F1888" s="90"/>
      <c r="G1888" s="90"/>
      <c r="H1888" s="77"/>
      <c r="R1888" s="17" t="str">
        <f t="shared" si="219"/>
        <v/>
      </c>
    </row>
    <row r="1889" spans="2:18">
      <c r="B1889" s="93"/>
      <c r="C1889" s="94"/>
      <c r="D1889" s="90"/>
      <c r="E1889" s="90"/>
      <c r="F1889" s="90"/>
      <c r="G1889" s="90"/>
      <c r="H1889" s="77"/>
      <c r="R1889" s="17" t="str">
        <f t="shared" si="219"/>
        <v/>
      </c>
    </row>
    <row r="1890" spans="2:18">
      <c r="B1890" s="93"/>
      <c r="C1890" s="94"/>
      <c r="D1890" s="90"/>
      <c r="E1890" s="90"/>
      <c r="F1890" s="90"/>
      <c r="G1890" s="90"/>
      <c r="H1890" s="77"/>
      <c r="R1890" s="17" t="str">
        <f t="shared" si="219"/>
        <v/>
      </c>
    </row>
    <row r="1891" spans="2:18">
      <c r="B1891" s="93"/>
      <c r="C1891" s="94"/>
      <c r="D1891" s="90"/>
      <c r="E1891" s="90"/>
      <c r="F1891" s="90"/>
      <c r="G1891" s="90"/>
      <c r="H1891" s="77"/>
      <c r="R1891" s="17" t="str">
        <f t="shared" si="219"/>
        <v/>
      </c>
    </row>
    <row r="1892" spans="2:18">
      <c r="B1892" s="93"/>
      <c r="C1892" s="94"/>
      <c r="D1892" s="90"/>
      <c r="E1892" s="90"/>
      <c r="F1892" s="90"/>
      <c r="G1892" s="90"/>
      <c r="H1892" s="77"/>
      <c r="R1892" s="17" t="str">
        <f t="shared" si="219"/>
        <v/>
      </c>
    </row>
    <row r="1893" spans="2:18">
      <c r="B1893" s="93"/>
      <c r="C1893" s="94"/>
      <c r="D1893" s="90"/>
      <c r="E1893" s="90"/>
      <c r="F1893" s="90"/>
      <c r="G1893" s="90"/>
      <c r="H1893" s="77"/>
      <c r="R1893" s="17" t="str">
        <f t="shared" si="219"/>
        <v/>
      </c>
    </row>
    <row r="1894" spans="2:18">
      <c r="B1894" s="93"/>
      <c r="C1894" s="94"/>
      <c r="D1894" s="90"/>
      <c r="E1894" s="90"/>
      <c r="F1894" s="90"/>
      <c r="G1894" s="90"/>
      <c r="H1894" s="77"/>
      <c r="R1894" s="17" t="str">
        <f t="shared" si="219"/>
        <v/>
      </c>
    </row>
    <row r="1895" spans="2:18">
      <c r="B1895" s="93"/>
      <c r="C1895" s="94"/>
      <c r="D1895" s="90"/>
      <c r="E1895" s="90"/>
      <c r="F1895" s="90"/>
      <c r="G1895" s="90"/>
      <c r="H1895" s="77"/>
      <c r="R1895" s="17" t="str">
        <f t="shared" si="219"/>
        <v/>
      </c>
    </row>
    <row r="1896" spans="2:18">
      <c r="B1896" s="93"/>
      <c r="C1896" s="94"/>
      <c r="D1896" s="90"/>
      <c r="E1896" s="90"/>
      <c r="F1896" s="90"/>
      <c r="G1896" s="90"/>
      <c r="H1896" s="77"/>
      <c r="R1896" s="17" t="str">
        <f t="shared" si="219"/>
        <v/>
      </c>
    </row>
    <row r="1897" spans="2:18">
      <c r="B1897" s="93"/>
      <c r="C1897" s="94"/>
      <c r="D1897" s="90"/>
      <c r="E1897" s="90"/>
      <c r="F1897" s="90"/>
      <c r="G1897" s="90"/>
      <c r="H1897" s="77"/>
      <c r="R1897" s="17" t="str">
        <f t="shared" si="219"/>
        <v/>
      </c>
    </row>
    <row r="1898" spans="2:18">
      <c r="B1898" s="93"/>
      <c r="C1898" s="94"/>
      <c r="D1898" s="90"/>
      <c r="E1898" s="90"/>
      <c r="F1898" s="90"/>
      <c r="G1898" s="90"/>
      <c r="H1898" s="77"/>
      <c r="R1898" s="17" t="str">
        <f t="shared" si="219"/>
        <v/>
      </c>
    </row>
    <row r="1899" spans="2:18">
      <c r="B1899" s="93"/>
      <c r="C1899" s="94"/>
      <c r="D1899" s="90"/>
      <c r="E1899" s="90"/>
      <c r="F1899" s="90"/>
      <c r="G1899" s="90"/>
      <c r="H1899" s="77"/>
      <c r="R1899" s="17" t="str">
        <f t="shared" si="219"/>
        <v/>
      </c>
    </row>
    <row r="1900" spans="2:18">
      <c r="B1900" s="93"/>
      <c r="C1900" s="94"/>
      <c r="D1900" s="90"/>
      <c r="E1900" s="90"/>
      <c r="F1900" s="90"/>
      <c r="G1900" s="90"/>
      <c r="H1900" s="77"/>
      <c r="R1900" s="17" t="str">
        <f t="shared" si="219"/>
        <v/>
      </c>
    </row>
    <row r="1901" spans="2:18">
      <c r="B1901" s="93"/>
      <c r="C1901" s="94"/>
      <c r="D1901" s="90"/>
      <c r="E1901" s="90"/>
      <c r="F1901" s="90"/>
      <c r="G1901" s="90"/>
      <c r="H1901" s="77"/>
      <c r="R1901" s="17" t="str">
        <f t="shared" si="219"/>
        <v/>
      </c>
    </row>
    <row r="1902" spans="2:18">
      <c r="B1902" s="93"/>
      <c r="C1902" s="94"/>
      <c r="D1902" s="90"/>
      <c r="E1902" s="90"/>
      <c r="F1902" s="90"/>
      <c r="G1902" s="90"/>
      <c r="H1902" s="77"/>
      <c r="R1902" s="17" t="str">
        <f t="shared" si="219"/>
        <v/>
      </c>
    </row>
    <row r="1903" spans="2:18">
      <c r="B1903" s="93"/>
      <c r="C1903" s="94"/>
      <c r="D1903" s="90"/>
      <c r="E1903" s="90"/>
      <c r="F1903" s="90"/>
      <c r="G1903" s="90"/>
      <c r="H1903" s="77"/>
      <c r="R1903" s="17" t="str">
        <f t="shared" si="219"/>
        <v/>
      </c>
    </row>
    <row r="1904" spans="2:18">
      <c r="B1904" s="93"/>
      <c r="C1904" s="94"/>
      <c r="D1904" s="90"/>
      <c r="E1904" s="90"/>
      <c r="F1904" s="90"/>
      <c r="G1904" s="90"/>
      <c r="H1904" s="77"/>
      <c r="R1904" s="17" t="str">
        <f t="shared" si="219"/>
        <v/>
      </c>
    </row>
    <row r="1905" spans="2:18">
      <c r="B1905" s="93"/>
      <c r="C1905" s="94"/>
      <c r="D1905" s="90"/>
      <c r="E1905" s="90"/>
      <c r="F1905" s="90"/>
      <c r="G1905" s="90"/>
      <c r="H1905" s="77"/>
      <c r="R1905" s="17" t="str">
        <f t="shared" si="219"/>
        <v/>
      </c>
    </row>
    <row r="1906" spans="2:18">
      <c r="B1906" s="93"/>
      <c r="C1906" s="94"/>
      <c r="D1906" s="90"/>
      <c r="E1906" s="90"/>
      <c r="F1906" s="90"/>
      <c r="G1906" s="90"/>
      <c r="H1906" s="77"/>
      <c r="R1906" s="17" t="str">
        <f t="shared" si="219"/>
        <v/>
      </c>
    </row>
    <row r="1907" spans="2:18">
      <c r="B1907" s="93"/>
      <c r="C1907" s="94"/>
      <c r="D1907" s="90"/>
      <c r="E1907" s="90"/>
      <c r="F1907" s="90"/>
      <c r="G1907" s="90"/>
      <c r="H1907" s="77"/>
      <c r="R1907" s="17" t="str">
        <f t="shared" si="219"/>
        <v/>
      </c>
    </row>
    <row r="1908" spans="2:18">
      <c r="B1908" s="93"/>
      <c r="C1908" s="94"/>
      <c r="D1908" s="90"/>
      <c r="E1908" s="90"/>
      <c r="F1908" s="90"/>
      <c r="G1908" s="90"/>
      <c r="H1908" s="77"/>
      <c r="R1908" s="17" t="str">
        <f t="shared" si="219"/>
        <v/>
      </c>
    </row>
    <row r="1909" spans="2:18">
      <c r="B1909" s="93"/>
      <c r="C1909" s="94"/>
      <c r="D1909" s="90"/>
      <c r="E1909" s="90"/>
      <c r="F1909" s="90"/>
      <c r="G1909" s="90"/>
      <c r="H1909" s="77"/>
      <c r="R1909" s="17" t="str">
        <f t="shared" si="219"/>
        <v/>
      </c>
    </row>
    <row r="1910" spans="2:18">
      <c r="B1910" s="93"/>
      <c r="C1910" s="94"/>
      <c r="D1910" s="90"/>
      <c r="E1910" s="90"/>
      <c r="F1910" s="90"/>
      <c r="G1910" s="90"/>
      <c r="H1910" s="77"/>
      <c r="R1910" s="17" t="str">
        <f t="shared" si="219"/>
        <v/>
      </c>
    </row>
    <row r="1911" spans="2:18">
      <c r="B1911" s="93"/>
      <c r="C1911" s="94"/>
      <c r="D1911" s="90"/>
      <c r="E1911" s="90"/>
      <c r="F1911" s="90"/>
      <c r="G1911" s="90"/>
      <c r="H1911" s="77"/>
      <c r="R1911" s="17" t="str">
        <f t="shared" si="219"/>
        <v/>
      </c>
    </row>
    <row r="1912" spans="2:18">
      <c r="B1912" s="93"/>
      <c r="C1912" s="94"/>
      <c r="D1912" s="90"/>
      <c r="E1912" s="90"/>
      <c r="F1912" s="90"/>
      <c r="G1912" s="90"/>
      <c r="H1912" s="77"/>
      <c r="R1912" s="17" t="str">
        <f t="shared" si="219"/>
        <v/>
      </c>
    </row>
    <row r="1913" spans="2:18">
      <c r="B1913" s="93"/>
      <c r="C1913" s="94"/>
      <c r="D1913" s="90"/>
      <c r="E1913" s="90"/>
      <c r="F1913" s="90"/>
      <c r="G1913" s="90"/>
      <c r="H1913" s="77"/>
      <c r="R1913" s="17" t="str">
        <f t="shared" si="219"/>
        <v/>
      </c>
    </row>
    <row r="1914" spans="2:18">
      <c r="B1914" s="93"/>
      <c r="C1914" s="94"/>
      <c r="D1914" s="90"/>
      <c r="E1914" s="90"/>
      <c r="F1914" s="90"/>
      <c r="G1914" s="90"/>
      <c r="H1914" s="77"/>
      <c r="R1914" s="17" t="str">
        <f t="shared" si="219"/>
        <v/>
      </c>
    </row>
    <row r="1915" spans="2:18">
      <c r="B1915" s="93"/>
      <c r="C1915" s="94"/>
      <c r="D1915" s="90"/>
      <c r="E1915" s="90"/>
      <c r="F1915" s="90"/>
      <c r="G1915" s="90"/>
      <c r="H1915" s="77"/>
      <c r="R1915" s="17" t="str">
        <f t="shared" si="219"/>
        <v/>
      </c>
    </row>
    <row r="1916" spans="2:18">
      <c r="B1916" s="93"/>
      <c r="C1916" s="94"/>
      <c r="D1916" s="90"/>
      <c r="E1916" s="90"/>
      <c r="F1916" s="90"/>
      <c r="G1916" s="90"/>
      <c r="H1916" s="77"/>
      <c r="R1916" s="17" t="str">
        <f t="shared" si="219"/>
        <v/>
      </c>
    </row>
    <row r="1917" spans="2:18">
      <c r="B1917" s="93"/>
      <c r="C1917" s="94"/>
      <c r="D1917" s="90"/>
      <c r="E1917" s="90"/>
      <c r="F1917" s="90"/>
      <c r="G1917" s="90"/>
      <c r="H1917" s="77"/>
      <c r="R1917" s="17" t="str">
        <f t="shared" si="219"/>
        <v/>
      </c>
    </row>
    <row r="1918" spans="2:18">
      <c r="B1918" s="93"/>
      <c r="C1918" s="94"/>
      <c r="D1918" s="90"/>
      <c r="E1918" s="90"/>
      <c r="F1918" s="90"/>
      <c r="G1918" s="90"/>
      <c r="H1918" s="77"/>
      <c r="R1918" s="17" t="str">
        <f t="shared" si="219"/>
        <v/>
      </c>
    </row>
    <row r="1919" spans="2:18">
      <c r="B1919" s="93"/>
      <c r="C1919" s="94"/>
      <c r="D1919" s="90"/>
      <c r="E1919" s="90"/>
      <c r="F1919" s="90"/>
      <c r="G1919" s="90"/>
      <c r="H1919" s="77"/>
    </row>
    <row r="1920" spans="2:18">
      <c r="B1920" s="93"/>
      <c r="C1920" s="94"/>
      <c r="D1920" s="90"/>
      <c r="E1920" s="90"/>
      <c r="F1920" s="90"/>
      <c r="G1920" s="90"/>
      <c r="H1920" s="77"/>
    </row>
    <row r="1921" spans="2:8">
      <c r="B1921" s="93"/>
      <c r="C1921" s="94"/>
      <c r="D1921" s="90"/>
      <c r="E1921" s="90"/>
      <c r="F1921" s="90"/>
      <c r="G1921" s="90"/>
      <c r="H1921" s="77"/>
    </row>
    <row r="1922" spans="2:8">
      <c r="B1922" s="93"/>
      <c r="C1922" s="94"/>
      <c r="D1922" s="90"/>
      <c r="E1922" s="90"/>
      <c r="F1922" s="90"/>
      <c r="G1922" s="90"/>
      <c r="H1922" s="77"/>
    </row>
    <row r="1923" spans="2:8">
      <c r="B1923" s="93"/>
      <c r="C1923" s="94"/>
      <c r="D1923" s="90"/>
      <c r="E1923" s="90"/>
      <c r="F1923" s="90"/>
      <c r="G1923" s="90"/>
      <c r="H1923" s="77"/>
    </row>
    <row r="1924" spans="2:8">
      <c r="B1924" s="93"/>
      <c r="C1924" s="94"/>
      <c r="D1924" s="90"/>
      <c r="E1924" s="90"/>
      <c r="F1924" s="90"/>
      <c r="G1924" s="90"/>
      <c r="H1924" s="77"/>
    </row>
    <row r="1925" spans="2:8">
      <c r="B1925" s="93"/>
      <c r="C1925" s="94"/>
      <c r="D1925" s="90"/>
      <c r="E1925" s="90"/>
      <c r="F1925" s="90"/>
      <c r="G1925" s="90"/>
      <c r="H1925" s="77"/>
    </row>
    <row r="1926" spans="2:8">
      <c r="B1926" s="93"/>
      <c r="C1926" s="94"/>
      <c r="D1926" s="90"/>
      <c r="E1926" s="90"/>
      <c r="F1926" s="90"/>
      <c r="G1926" s="90"/>
      <c r="H1926" s="77"/>
    </row>
    <row r="1927" spans="2:8">
      <c r="B1927" s="93"/>
      <c r="C1927" s="94"/>
      <c r="D1927" s="90"/>
      <c r="E1927" s="90"/>
      <c r="F1927" s="90"/>
      <c r="G1927" s="90"/>
      <c r="H1927" s="77"/>
    </row>
    <row r="1928" spans="2:8">
      <c r="B1928" s="93"/>
      <c r="C1928" s="94"/>
      <c r="D1928" s="90"/>
      <c r="E1928" s="90"/>
      <c r="F1928" s="90"/>
      <c r="G1928" s="90"/>
      <c r="H1928" s="77"/>
    </row>
    <row r="1929" spans="2:8">
      <c r="B1929" s="93"/>
      <c r="C1929" s="94"/>
      <c r="D1929" s="90"/>
      <c r="E1929" s="90"/>
      <c r="F1929" s="90"/>
      <c r="G1929" s="90"/>
      <c r="H1929" s="77"/>
    </row>
    <row r="1930" spans="2:8">
      <c r="B1930" s="93"/>
      <c r="C1930" s="94"/>
      <c r="D1930" s="90"/>
      <c r="E1930" s="90"/>
      <c r="F1930" s="90"/>
      <c r="G1930" s="90"/>
      <c r="H1930" s="77"/>
    </row>
    <row r="1931" spans="2:8">
      <c r="B1931" s="93"/>
      <c r="C1931" s="94"/>
      <c r="D1931" s="90"/>
      <c r="E1931" s="90"/>
      <c r="F1931" s="90"/>
      <c r="G1931" s="90"/>
      <c r="H1931" s="77"/>
    </row>
    <row r="1932" spans="2:8">
      <c r="B1932" s="93"/>
      <c r="C1932" s="94"/>
      <c r="D1932" s="90"/>
      <c r="E1932" s="90"/>
      <c r="F1932" s="90"/>
      <c r="G1932" s="90"/>
      <c r="H1932" s="77"/>
    </row>
    <row r="1933" spans="2:8">
      <c r="B1933" s="93"/>
      <c r="C1933" s="94"/>
      <c r="D1933" s="90"/>
      <c r="E1933" s="90"/>
      <c r="F1933" s="90"/>
      <c r="G1933" s="90"/>
      <c r="H1933" s="77"/>
    </row>
    <row r="1934" spans="2:8">
      <c r="B1934" s="93"/>
      <c r="C1934" s="94"/>
      <c r="D1934" s="90"/>
      <c r="E1934" s="90"/>
      <c r="F1934" s="90"/>
      <c r="G1934" s="90"/>
      <c r="H1934" s="77"/>
    </row>
    <row r="1935" spans="2:8">
      <c r="B1935" s="93"/>
      <c r="C1935" s="94"/>
      <c r="D1935" s="90"/>
      <c r="E1935" s="90"/>
      <c r="F1935" s="90"/>
      <c r="G1935" s="90"/>
      <c r="H1935" s="77"/>
    </row>
    <row r="1936" spans="2:8">
      <c r="B1936" s="93"/>
      <c r="C1936" s="94"/>
      <c r="D1936" s="90"/>
      <c r="E1936" s="90"/>
      <c r="F1936" s="90"/>
      <c r="G1936" s="90"/>
      <c r="H1936" s="77"/>
    </row>
    <row r="1937" spans="2:8">
      <c r="B1937" s="93"/>
      <c r="C1937" s="94"/>
      <c r="D1937" s="90"/>
      <c r="E1937" s="90"/>
      <c r="F1937" s="90"/>
      <c r="G1937" s="90"/>
      <c r="H1937" s="77"/>
    </row>
    <row r="1938" spans="2:8">
      <c r="B1938" s="93"/>
      <c r="C1938" s="94"/>
      <c r="D1938" s="90"/>
      <c r="E1938" s="90"/>
      <c r="F1938" s="90"/>
      <c r="G1938" s="90"/>
      <c r="H1938" s="77"/>
    </row>
    <row r="1939" spans="2:8">
      <c r="B1939" s="93"/>
      <c r="C1939" s="94"/>
      <c r="D1939" s="90"/>
      <c r="E1939" s="90"/>
      <c r="F1939" s="90"/>
      <c r="G1939" s="90"/>
      <c r="H1939" s="77"/>
    </row>
    <row r="1940" spans="2:8">
      <c r="B1940" s="93"/>
      <c r="C1940" s="94"/>
      <c r="D1940" s="90"/>
      <c r="E1940" s="90"/>
      <c r="F1940" s="90"/>
      <c r="G1940" s="90"/>
      <c r="H1940" s="77"/>
    </row>
    <row r="1941" spans="2:8">
      <c r="B1941" s="93"/>
      <c r="C1941" s="94"/>
      <c r="D1941" s="90"/>
      <c r="E1941" s="90"/>
      <c r="F1941" s="90"/>
      <c r="G1941" s="90"/>
      <c r="H1941" s="77"/>
    </row>
    <row r="1942" spans="2:8">
      <c r="B1942" s="93"/>
      <c r="C1942" s="94"/>
      <c r="D1942" s="90"/>
      <c r="E1942" s="90"/>
      <c r="F1942" s="90"/>
      <c r="G1942" s="90"/>
      <c r="H1942" s="77"/>
    </row>
    <row r="1943" spans="2:8">
      <c r="B1943" s="93"/>
      <c r="C1943" s="94"/>
      <c r="D1943" s="90"/>
      <c r="E1943" s="90"/>
      <c r="F1943" s="90"/>
      <c r="G1943" s="90"/>
      <c r="H1943" s="77"/>
    </row>
    <row r="1944" spans="2:8">
      <c r="B1944" s="93"/>
      <c r="C1944" s="94"/>
      <c r="D1944" s="90"/>
      <c r="E1944" s="90"/>
      <c r="F1944" s="90"/>
      <c r="G1944" s="90"/>
      <c r="H1944" s="77"/>
    </row>
    <row r="1945" spans="2:8">
      <c r="B1945" s="93"/>
      <c r="C1945" s="94"/>
      <c r="D1945" s="90"/>
      <c r="E1945" s="90"/>
      <c r="F1945" s="90"/>
      <c r="G1945" s="90"/>
      <c r="H1945" s="77"/>
    </row>
    <row r="1946" spans="2:8">
      <c r="B1946" s="93"/>
      <c r="C1946" s="94"/>
      <c r="D1946" s="90"/>
      <c r="E1946" s="90"/>
      <c r="F1946" s="90"/>
      <c r="G1946" s="90"/>
      <c r="H1946" s="77"/>
    </row>
    <row r="1947" spans="2:8">
      <c r="B1947" s="93"/>
      <c r="C1947" s="94"/>
      <c r="D1947" s="90"/>
      <c r="E1947" s="90"/>
      <c r="F1947" s="90"/>
      <c r="G1947" s="90"/>
      <c r="H1947" s="77"/>
    </row>
    <row r="1948" spans="2:8">
      <c r="B1948" s="93"/>
      <c r="C1948" s="94"/>
      <c r="D1948" s="90"/>
      <c r="E1948" s="90"/>
      <c r="F1948" s="90"/>
      <c r="G1948" s="90"/>
      <c r="H1948" s="77"/>
    </row>
    <row r="1949" spans="2:8">
      <c r="B1949" s="93"/>
      <c r="C1949" s="94"/>
      <c r="D1949" s="90"/>
      <c r="E1949" s="90"/>
      <c r="F1949" s="90"/>
      <c r="G1949" s="90"/>
      <c r="H1949" s="77"/>
    </row>
    <row r="1950" spans="2:8">
      <c r="B1950" s="93"/>
      <c r="C1950" s="94"/>
      <c r="D1950" s="90"/>
      <c r="E1950" s="90"/>
      <c r="F1950" s="90"/>
      <c r="G1950" s="90"/>
      <c r="H1950" s="77"/>
    </row>
    <row r="1951" spans="2:8">
      <c r="B1951" s="93"/>
      <c r="C1951" s="94"/>
      <c r="D1951" s="90"/>
      <c r="E1951" s="90"/>
      <c r="F1951" s="90"/>
      <c r="G1951" s="90"/>
      <c r="H1951" s="77"/>
    </row>
    <row r="1952" spans="2:8">
      <c r="B1952" s="93"/>
      <c r="C1952" s="94"/>
      <c r="D1952" s="90"/>
      <c r="E1952" s="90"/>
      <c r="F1952" s="90"/>
      <c r="G1952" s="90"/>
      <c r="H1952" s="77"/>
    </row>
    <row r="1953" spans="2:8">
      <c r="B1953" s="93"/>
      <c r="C1953" s="94"/>
      <c r="D1953" s="90"/>
      <c r="E1953" s="90"/>
      <c r="F1953" s="90"/>
      <c r="G1953" s="90"/>
      <c r="H1953" s="77"/>
    </row>
    <row r="1954" spans="2:8">
      <c r="B1954" s="93"/>
      <c r="C1954" s="94"/>
      <c r="D1954" s="90"/>
      <c r="E1954" s="90"/>
      <c r="F1954" s="90"/>
      <c r="G1954" s="90"/>
      <c r="H1954" s="77"/>
    </row>
    <row r="1955" spans="2:8">
      <c r="B1955" s="93"/>
      <c r="C1955" s="94"/>
      <c r="D1955" s="90"/>
      <c r="E1955" s="90"/>
      <c r="F1955" s="90"/>
      <c r="G1955" s="90"/>
      <c r="H1955" s="77"/>
    </row>
    <row r="1956" spans="2:8">
      <c r="B1956" s="93"/>
      <c r="C1956" s="94"/>
      <c r="D1956" s="90"/>
      <c r="E1956" s="90"/>
      <c r="F1956" s="90"/>
      <c r="G1956" s="90"/>
      <c r="H1956" s="77"/>
    </row>
    <row r="1957" spans="2:8">
      <c r="B1957" s="93"/>
      <c r="C1957" s="94"/>
      <c r="D1957" s="90"/>
      <c r="E1957" s="90"/>
      <c r="F1957" s="90"/>
      <c r="G1957" s="90"/>
      <c r="H1957" s="77"/>
    </row>
    <row r="1958" spans="2:8">
      <c r="B1958" s="93"/>
      <c r="C1958" s="94"/>
      <c r="D1958" s="90"/>
      <c r="E1958" s="90"/>
      <c r="F1958" s="90"/>
      <c r="G1958" s="90"/>
      <c r="H1958" s="77"/>
    </row>
    <row r="1959" spans="2:8">
      <c r="B1959" s="93"/>
      <c r="C1959" s="94"/>
      <c r="D1959" s="90"/>
      <c r="E1959" s="90"/>
      <c r="F1959" s="90"/>
      <c r="G1959" s="90"/>
      <c r="H1959" s="77"/>
    </row>
    <row r="1960" spans="2:8">
      <c r="B1960" s="93"/>
      <c r="C1960" s="94"/>
      <c r="D1960" s="90"/>
      <c r="E1960" s="90"/>
      <c r="F1960" s="90"/>
      <c r="G1960" s="90"/>
      <c r="H1960" s="77"/>
    </row>
    <row r="1961" spans="2:8">
      <c r="B1961" s="93"/>
      <c r="C1961" s="94"/>
      <c r="D1961" s="90"/>
      <c r="E1961" s="90"/>
      <c r="F1961" s="90"/>
      <c r="G1961" s="90"/>
      <c r="H1961" s="77"/>
    </row>
    <row r="1962" spans="2:8">
      <c r="B1962" s="93"/>
      <c r="C1962" s="94"/>
      <c r="D1962" s="90"/>
      <c r="E1962" s="90"/>
      <c r="F1962" s="90"/>
      <c r="G1962" s="90"/>
      <c r="H1962" s="77"/>
    </row>
    <row r="1963" spans="2:8">
      <c r="B1963" s="93"/>
      <c r="C1963" s="94"/>
      <c r="D1963" s="90"/>
      <c r="E1963" s="90"/>
      <c r="F1963" s="90"/>
      <c r="G1963" s="90"/>
      <c r="H1963" s="77"/>
    </row>
    <row r="1964" spans="2:8">
      <c r="B1964" s="93"/>
      <c r="C1964" s="94"/>
      <c r="D1964" s="90"/>
      <c r="E1964" s="90"/>
      <c r="F1964" s="90"/>
      <c r="G1964" s="90"/>
      <c r="H1964" s="77"/>
    </row>
    <row r="1965" spans="2:8">
      <c r="B1965" s="93"/>
      <c r="C1965" s="94"/>
      <c r="D1965" s="90"/>
      <c r="E1965" s="90"/>
      <c r="F1965" s="90"/>
      <c r="G1965" s="90"/>
      <c r="H1965" s="77"/>
    </row>
    <row r="1966" spans="2:8">
      <c r="B1966" s="93"/>
      <c r="C1966" s="94"/>
      <c r="D1966" s="90"/>
      <c r="E1966" s="90"/>
      <c r="F1966" s="90"/>
      <c r="G1966" s="90"/>
      <c r="H1966" s="77"/>
    </row>
    <row r="1967" spans="2:8">
      <c r="B1967" s="93"/>
      <c r="C1967" s="94"/>
      <c r="D1967" s="90"/>
      <c r="E1967" s="90"/>
      <c r="F1967" s="90"/>
      <c r="G1967" s="90"/>
      <c r="H1967" s="77"/>
    </row>
    <row r="1968" spans="2:8">
      <c r="B1968" s="93"/>
      <c r="C1968" s="94"/>
      <c r="D1968" s="90"/>
      <c r="E1968" s="90"/>
      <c r="F1968" s="90"/>
      <c r="G1968" s="90"/>
      <c r="H1968" s="77"/>
    </row>
    <row r="1969" spans="2:8">
      <c r="B1969" s="93"/>
      <c r="C1969" s="94"/>
      <c r="D1969" s="90"/>
      <c r="E1969" s="90"/>
      <c r="F1969" s="90"/>
      <c r="G1969" s="90"/>
      <c r="H1969" s="77"/>
    </row>
    <row r="1970" spans="2:8">
      <c r="B1970" s="93"/>
      <c r="C1970" s="94"/>
      <c r="D1970" s="90"/>
      <c r="E1970" s="90"/>
      <c r="F1970" s="90"/>
      <c r="G1970" s="90"/>
      <c r="H1970" s="77"/>
    </row>
    <row r="1971" spans="2:8">
      <c r="B1971" s="93"/>
      <c r="C1971" s="94"/>
      <c r="D1971" s="90"/>
      <c r="E1971" s="90"/>
      <c r="F1971" s="90"/>
      <c r="G1971" s="90"/>
      <c r="H1971" s="77"/>
    </row>
    <row r="1972" spans="2:8">
      <c r="B1972" s="93"/>
      <c r="C1972" s="94"/>
      <c r="D1972" s="90"/>
      <c r="E1972" s="90"/>
      <c r="F1972" s="90"/>
      <c r="G1972" s="90"/>
      <c r="H1972" s="77"/>
    </row>
    <row r="1973" spans="2:8">
      <c r="B1973" s="93"/>
      <c r="C1973" s="94"/>
      <c r="D1973" s="90"/>
      <c r="E1973" s="90"/>
      <c r="F1973" s="90"/>
      <c r="G1973" s="90"/>
      <c r="H1973" s="77"/>
    </row>
    <row r="1974" spans="2:8">
      <c r="B1974" s="93"/>
      <c r="C1974" s="94"/>
      <c r="D1974" s="90"/>
      <c r="E1974" s="90"/>
      <c r="F1974" s="90"/>
      <c r="G1974" s="90"/>
      <c r="H1974" s="77"/>
    </row>
    <row r="1975" spans="2:8">
      <c r="B1975" s="93"/>
      <c r="C1975" s="94"/>
      <c r="D1975" s="90"/>
      <c r="E1975" s="90"/>
      <c r="F1975" s="90"/>
      <c r="G1975" s="90"/>
      <c r="H1975" s="77"/>
    </row>
    <row r="1976" spans="2:8">
      <c r="B1976" s="93"/>
      <c r="C1976" s="94"/>
      <c r="D1976" s="90"/>
      <c r="E1976" s="90"/>
      <c r="F1976" s="90"/>
      <c r="G1976" s="90"/>
      <c r="H1976" s="77"/>
    </row>
    <row r="1977" spans="2:8">
      <c r="B1977" s="93"/>
      <c r="C1977" s="94"/>
      <c r="D1977" s="90"/>
      <c r="E1977" s="90"/>
      <c r="F1977" s="90"/>
      <c r="G1977" s="90"/>
      <c r="H1977" s="77"/>
    </row>
    <row r="1978" spans="2:8">
      <c r="B1978" s="93"/>
      <c r="C1978" s="94"/>
      <c r="D1978" s="90"/>
      <c r="E1978" s="90"/>
      <c r="F1978" s="90"/>
      <c r="G1978" s="90"/>
      <c r="H1978" s="77"/>
    </row>
    <row r="1979" spans="2:8">
      <c r="B1979" s="93"/>
      <c r="C1979" s="94"/>
      <c r="D1979" s="90"/>
      <c r="E1979" s="90"/>
      <c r="F1979" s="90"/>
      <c r="G1979" s="90"/>
      <c r="H1979" s="77"/>
    </row>
    <row r="1980" spans="2:8">
      <c r="B1980" s="93"/>
      <c r="C1980" s="94"/>
      <c r="D1980" s="90"/>
      <c r="E1980" s="90"/>
      <c r="F1980" s="90"/>
      <c r="G1980" s="90"/>
      <c r="H1980" s="77"/>
    </row>
    <row r="1981" spans="2:8">
      <c r="B1981" s="93"/>
      <c r="C1981" s="94"/>
      <c r="D1981" s="90"/>
      <c r="E1981" s="90"/>
      <c r="F1981" s="90"/>
      <c r="G1981" s="90"/>
      <c r="H1981" s="77"/>
    </row>
    <row r="1982" spans="2:8">
      <c r="B1982" s="93"/>
      <c r="C1982" s="94"/>
      <c r="D1982" s="90"/>
      <c r="E1982" s="90"/>
      <c r="F1982" s="90"/>
      <c r="G1982" s="90"/>
      <c r="H1982" s="77"/>
    </row>
  </sheetData>
  <mergeCells count="8">
    <mergeCell ref="B17:B18"/>
    <mergeCell ref="C17:G17"/>
    <mergeCell ref="H17:H18"/>
    <mergeCell ref="B10:H10"/>
    <mergeCell ref="B11:H11"/>
    <mergeCell ref="B13:H13"/>
    <mergeCell ref="B14:H14"/>
    <mergeCell ref="B15:H15"/>
  </mergeCells>
  <pageMargins left="0.59055118110236227" right="0.15748031496062992" top="0.51181102362204722" bottom="0.27559055118110237" header="0.19685039370078741" footer="0.15748031496062992"/>
  <pageSetup paperSize="9" scale="95" fitToHeight="2" orientation="portrait" r:id="rId1"/>
  <headerFooter differentFirst="1" alignWithMargins="0">
    <oddHeader>&amp;C&amp;"Times New Roman,обычный"&amp;P</oddHeader>
  </headerFooter>
</worksheet>
</file>

<file path=xl/worksheets/sheet3.xml><?xml version="1.0" encoding="utf-8"?>
<worksheet xmlns="http://schemas.openxmlformats.org/spreadsheetml/2006/main" xmlns:r="http://schemas.openxmlformats.org/officeDocument/2006/relationships">
  <sheetPr codeName="Лист3">
    <tabColor rgb="FFFFFF00"/>
  </sheetPr>
  <dimension ref="A1:S2054"/>
  <sheetViews>
    <sheetView view="pageBreakPreview" topLeftCell="A1098" zoomScale="98" zoomScaleNormal="100" zoomScaleSheetLayoutView="98" workbookViewId="0">
      <selection activeCell="H1106" sqref="H1106"/>
    </sheetView>
  </sheetViews>
  <sheetFormatPr defaultColWidth="8.7265625" defaultRowHeight="18"/>
  <cols>
    <col min="1" max="1" width="6.81640625" style="40" customWidth="1"/>
    <col min="2" max="2" width="35.90625" style="72" customWidth="1"/>
    <col min="3" max="3" width="4.90625" style="73" customWidth="1"/>
    <col min="4" max="4" width="3.36328125" style="74" customWidth="1"/>
    <col min="5" max="5" width="3" style="74" customWidth="1"/>
    <col min="6" max="6" width="9.1796875" style="74" customWidth="1"/>
    <col min="7" max="7" width="4" style="74" customWidth="1"/>
    <col min="8" max="8" width="11.90625" style="75" customWidth="1"/>
    <col min="12" max="12" width="10.08984375" style="75" hidden="1" customWidth="1"/>
    <col min="13" max="13" width="10.36328125" style="75" hidden="1" customWidth="1"/>
    <col min="14" max="14" width="10.36328125" style="84" hidden="1" customWidth="1"/>
    <col min="15" max="15" width="10.08984375" style="75" hidden="1" customWidth="1"/>
    <col min="16" max="16" width="10.36328125" style="75" hidden="1" customWidth="1"/>
    <col min="17" max="17" width="10.36328125" style="84" hidden="1" customWidth="1"/>
    <col min="18" max="19" width="0" style="48" hidden="1" customWidth="1"/>
    <col min="20" max="16384" width="8.7265625" style="48"/>
  </cols>
  <sheetData>
    <row r="1" spans="1:17" s="6" customFormat="1">
      <c r="A1" s="1"/>
      <c r="B1" s="2"/>
      <c r="C1" s="3"/>
      <c r="D1" s="97"/>
      <c r="E1" s="97"/>
      <c r="F1" s="97"/>
      <c r="G1" s="97"/>
      <c r="H1" s="5" t="s">
        <v>1002</v>
      </c>
      <c r="I1" s="101"/>
      <c r="J1" s="101"/>
      <c r="K1" s="101"/>
      <c r="L1" s="98"/>
      <c r="M1" s="98"/>
      <c r="N1" s="100"/>
      <c r="O1" s="98"/>
      <c r="P1" s="98"/>
      <c r="Q1" s="100"/>
    </row>
    <row r="2" spans="1:17" s="6" customFormat="1">
      <c r="A2" s="1"/>
      <c r="B2" s="2"/>
      <c r="C2" s="3"/>
      <c r="D2" s="97"/>
      <c r="E2" s="97"/>
      <c r="F2" s="97"/>
      <c r="G2" s="97"/>
      <c r="H2" s="5" t="s">
        <v>1003</v>
      </c>
      <c r="I2" s="101"/>
      <c r="J2" s="101"/>
      <c r="K2" s="101"/>
      <c r="L2" s="98"/>
      <c r="M2" s="98"/>
      <c r="N2" s="100"/>
      <c r="O2" s="98"/>
      <c r="P2" s="98"/>
      <c r="Q2" s="100"/>
    </row>
    <row r="3" spans="1:17" s="6" customFormat="1">
      <c r="A3" s="1"/>
      <c r="B3" s="2"/>
      <c r="C3" s="3"/>
      <c r="D3" s="97"/>
      <c r="E3" s="97"/>
      <c r="F3" s="97"/>
      <c r="G3" s="97"/>
      <c r="H3" s="5" t="s">
        <v>1004</v>
      </c>
      <c r="I3" s="101"/>
      <c r="J3" s="101"/>
      <c r="K3" s="101"/>
      <c r="L3" s="98"/>
      <c r="M3" s="98"/>
      <c r="N3" s="100"/>
      <c r="O3" s="98"/>
      <c r="P3" s="98"/>
      <c r="Q3" s="100"/>
    </row>
    <row r="4" spans="1:17" s="6" customFormat="1">
      <c r="A4" s="1"/>
      <c r="B4" s="2"/>
      <c r="C4" s="3"/>
      <c r="D4" s="97"/>
      <c r="E4" s="97"/>
      <c r="F4" s="97"/>
      <c r="G4" s="97"/>
      <c r="H4" s="5" t="s">
        <v>1005</v>
      </c>
      <c r="I4" s="101"/>
      <c r="J4" s="101"/>
      <c r="K4" s="101"/>
      <c r="L4" s="98"/>
      <c r="M4" s="98"/>
      <c r="N4" s="100"/>
      <c r="O4" s="98"/>
      <c r="P4" s="98"/>
      <c r="Q4" s="100"/>
    </row>
    <row r="5" spans="1:17" s="6" customFormat="1">
      <c r="A5" s="1"/>
      <c r="B5" s="2"/>
      <c r="C5" s="3"/>
      <c r="D5" s="97"/>
      <c r="E5" s="97"/>
      <c r="F5" s="97"/>
      <c r="G5" s="97"/>
      <c r="H5" s="5" t="s">
        <v>992</v>
      </c>
      <c r="I5" s="101"/>
      <c r="J5" s="101"/>
      <c r="K5" s="101"/>
      <c r="L5" s="98"/>
      <c r="M5" s="98"/>
      <c r="N5" s="100"/>
      <c r="O5" s="98"/>
      <c r="P5" s="98"/>
      <c r="Q5" s="100"/>
    </row>
    <row r="6" spans="1:17" s="6" customFormat="1">
      <c r="A6" s="1"/>
      <c r="B6" s="2"/>
      <c r="C6" s="3"/>
      <c r="D6" s="97"/>
      <c r="E6" s="97"/>
      <c r="F6" s="97"/>
      <c r="G6" s="97"/>
      <c r="H6" s="5" t="s">
        <v>1006</v>
      </c>
      <c r="I6" s="101"/>
      <c r="J6" s="101"/>
      <c r="K6" s="101"/>
      <c r="L6" s="98"/>
      <c r="M6" s="98"/>
      <c r="N6" s="100"/>
      <c r="O6" s="98"/>
      <c r="P6" s="98"/>
      <c r="Q6" s="100"/>
    </row>
    <row r="7" spans="1:17" s="6" customFormat="1">
      <c r="A7" s="1"/>
      <c r="B7" s="2"/>
      <c r="C7" s="3"/>
      <c r="D7" s="97"/>
      <c r="E7" s="97"/>
      <c r="F7" s="97"/>
      <c r="G7" s="97"/>
      <c r="H7" s="5" t="s">
        <v>1007</v>
      </c>
      <c r="I7" s="101"/>
      <c r="J7" s="101"/>
      <c r="K7" s="101"/>
      <c r="L7" s="98"/>
      <c r="M7" s="98"/>
      <c r="N7" s="100"/>
      <c r="O7" s="98"/>
      <c r="P7" s="98"/>
      <c r="Q7" s="100"/>
    </row>
    <row r="8" spans="1:17" s="6" customFormat="1">
      <c r="A8" s="1"/>
      <c r="B8" s="2"/>
      <c r="C8" s="3"/>
      <c r="D8" s="97"/>
      <c r="E8" s="97"/>
      <c r="F8" s="97"/>
      <c r="G8" s="97"/>
      <c r="H8" s="102" t="s">
        <v>1008</v>
      </c>
      <c r="I8" s="101"/>
      <c r="J8" s="101"/>
      <c r="K8" s="101"/>
      <c r="L8" s="98"/>
      <c r="M8" s="98"/>
      <c r="N8" s="100"/>
      <c r="O8" s="98"/>
      <c r="P8" s="98"/>
      <c r="Q8" s="100"/>
    </row>
    <row r="9" spans="1:17" s="6" customFormat="1">
      <c r="A9" s="1"/>
      <c r="B9" s="2"/>
      <c r="C9" s="3"/>
      <c r="D9" s="97"/>
      <c r="E9" s="97"/>
      <c r="F9" s="97"/>
      <c r="G9" s="97"/>
      <c r="H9" s="98"/>
      <c r="I9" s="101"/>
      <c r="J9" s="101"/>
      <c r="K9" s="101"/>
      <c r="L9" s="98"/>
      <c r="M9" s="98"/>
      <c r="N9" s="100"/>
      <c r="O9" s="98"/>
      <c r="P9" s="98"/>
      <c r="Q9" s="100"/>
    </row>
    <row r="10" spans="1:17" s="6" customFormat="1" ht="15.75">
      <c r="A10" s="1"/>
      <c r="B10" s="511" t="s">
        <v>993</v>
      </c>
      <c r="C10" s="511"/>
      <c r="D10" s="511"/>
      <c r="E10" s="511"/>
      <c r="F10" s="511"/>
      <c r="G10" s="511"/>
      <c r="H10" s="511"/>
      <c r="L10" s="3"/>
      <c r="M10" s="3"/>
      <c r="N10" s="5"/>
      <c r="O10" s="3"/>
      <c r="P10" s="3"/>
      <c r="Q10" s="5"/>
    </row>
    <row r="11" spans="1:17" s="6" customFormat="1" ht="15.75">
      <c r="A11" s="1"/>
      <c r="B11" s="512" t="s">
        <v>1001</v>
      </c>
      <c r="C11" s="512"/>
      <c r="D11" s="512"/>
      <c r="E11" s="512"/>
      <c r="F11" s="512"/>
      <c r="G11" s="512"/>
      <c r="H11" s="512"/>
      <c r="L11" s="3"/>
      <c r="M11" s="3"/>
      <c r="N11" s="5"/>
      <c r="O11" s="3"/>
      <c r="P11" s="3"/>
      <c r="Q11" s="5"/>
    </row>
    <row r="12" spans="1:17" s="6" customFormat="1" ht="15.75">
      <c r="A12" s="1"/>
      <c r="B12" s="169"/>
      <c r="C12" s="169"/>
      <c r="D12" s="169"/>
      <c r="E12" s="169"/>
      <c r="F12" s="169"/>
      <c r="G12" s="169"/>
      <c r="H12" s="169"/>
      <c r="L12" s="3"/>
      <c r="M12" s="3"/>
      <c r="N12" s="5"/>
      <c r="O12" s="3"/>
      <c r="P12" s="3"/>
      <c r="Q12" s="5"/>
    </row>
    <row r="13" spans="1:17" s="6" customFormat="1" ht="15.75">
      <c r="A13" s="1"/>
      <c r="B13" s="512" t="s">
        <v>994</v>
      </c>
      <c r="C13" s="512"/>
      <c r="D13" s="512"/>
      <c r="E13" s="512"/>
      <c r="F13" s="512"/>
      <c r="G13" s="512"/>
      <c r="H13" s="512"/>
      <c r="L13" s="3"/>
      <c r="M13" s="3"/>
      <c r="N13" s="5"/>
      <c r="O13" s="3"/>
      <c r="P13" s="3"/>
      <c r="Q13" s="5"/>
    </row>
    <row r="14" spans="1:17" s="6" customFormat="1" ht="15.75">
      <c r="A14" s="1"/>
      <c r="B14" s="512" t="s">
        <v>995</v>
      </c>
      <c r="C14" s="512"/>
      <c r="D14" s="512"/>
      <c r="E14" s="512"/>
      <c r="F14" s="512"/>
      <c r="G14" s="512"/>
      <c r="H14" s="512"/>
      <c r="L14" s="3"/>
      <c r="M14" s="3"/>
      <c r="N14" s="5"/>
      <c r="O14" s="3"/>
      <c r="P14" s="3"/>
      <c r="Q14" s="5"/>
    </row>
    <row r="15" spans="1:17" s="6" customFormat="1" ht="15.75">
      <c r="A15" s="1"/>
      <c r="B15" s="513"/>
      <c r="C15" s="513"/>
      <c r="D15" s="513"/>
      <c r="E15" s="513"/>
      <c r="F15" s="513"/>
      <c r="G15" s="513"/>
      <c r="H15" s="513"/>
      <c r="L15" s="3"/>
      <c r="M15" s="3"/>
      <c r="N15" s="5"/>
      <c r="O15" s="3"/>
      <c r="P15" s="3"/>
      <c r="Q15" s="5"/>
    </row>
    <row r="16" spans="1:17" s="6" customFormat="1" ht="15.75">
      <c r="A16" s="1"/>
      <c r="B16" s="169"/>
      <c r="C16" s="169"/>
      <c r="D16" s="169"/>
      <c r="E16" s="169"/>
      <c r="F16" s="169"/>
      <c r="G16" s="111"/>
      <c r="H16" s="112" t="s">
        <v>996</v>
      </c>
      <c r="L16" s="3"/>
      <c r="M16" s="3"/>
      <c r="N16" s="5"/>
      <c r="O16" s="3"/>
      <c r="P16" s="3"/>
      <c r="Q16" s="5"/>
    </row>
    <row r="17" spans="1:18" s="6" customFormat="1" ht="15.75">
      <c r="A17" s="1"/>
      <c r="B17" s="508" t="s">
        <v>997</v>
      </c>
      <c r="C17" s="508" t="s">
        <v>998</v>
      </c>
      <c r="D17" s="508"/>
      <c r="E17" s="508"/>
      <c r="F17" s="508"/>
      <c r="G17" s="508"/>
      <c r="H17" s="509" t="s">
        <v>999</v>
      </c>
      <c r="L17" s="3"/>
      <c r="M17" s="3"/>
      <c r="N17" s="5"/>
      <c r="O17" s="3"/>
      <c r="P17" s="3"/>
      <c r="Q17" s="5"/>
    </row>
    <row r="18" spans="1:18" s="6" customFormat="1" ht="16.5" thickBot="1">
      <c r="A18" s="1"/>
      <c r="B18" s="508"/>
      <c r="C18" s="168" t="s">
        <v>1000</v>
      </c>
      <c r="D18" s="168" t="s">
        <v>0</v>
      </c>
      <c r="E18" s="168" t="s">
        <v>1</v>
      </c>
      <c r="F18" s="168" t="s">
        <v>2</v>
      </c>
      <c r="G18" s="168" t="s">
        <v>3</v>
      </c>
      <c r="H18" s="510"/>
      <c r="L18" s="9"/>
      <c r="M18" s="10"/>
      <c r="N18" s="11"/>
      <c r="O18" s="9"/>
      <c r="P18" s="10"/>
      <c r="Q18" s="11"/>
    </row>
    <row r="19" spans="1:18" s="13" customFormat="1" ht="16.5" thickBot="1">
      <c r="A19" s="1"/>
      <c r="B19" s="114">
        <v>1</v>
      </c>
      <c r="C19" s="115">
        <v>2</v>
      </c>
      <c r="D19" s="115">
        <v>3</v>
      </c>
      <c r="E19" s="115" t="s">
        <v>4</v>
      </c>
      <c r="F19" s="115">
        <v>5</v>
      </c>
      <c r="G19" s="115">
        <v>6</v>
      </c>
      <c r="H19" s="115">
        <v>7</v>
      </c>
      <c r="L19" s="12"/>
      <c r="M19" s="12"/>
      <c r="N19" s="12"/>
      <c r="O19" s="12"/>
      <c r="P19" s="12"/>
      <c r="Q19" s="12"/>
    </row>
    <row r="20" spans="1:18" s="16" customFormat="1" ht="15.75">
      <c r="A20" s="14"/>
      <c r="B20" s="67" t="s">
        <v>5</v>
      </c>
      <c r="C20" s="116" t="s">
        <v>6</v>
      </c>
      <c r="D20" s="69" t="s">
        <v>7</v>
      </c>
      <c r="E20" s="69" t="s">
        <v>7</v>
      </c>
      <c r="F20" s="69" t="s">
        <v>8</v>
      </c>
      <c r="G20" s="69" t="s">
        <v>9</v>
      </c>
      <c r="H20" s="70">
        <f>H21+H63</f>
        <v>0</v>
      </c>
      <c r="L20" s="15">
        <v>54679.56</v>
      </c>
      <c r="M20" s="15">
        <v>54679.56</v>
      </c>
      <c r="N20" s="15">
        <v>54679.56</v>
      </c>
      <c r="O20" s="15">
        <f t="shared" ref="O20:O26" si="0">H20-L20</f>
        <v>-54679.56</v>
      </c>
      <c r="P20" s="15" t="e">
        <f>#REF!-M20</f>
        <v>#REF!</v>
      </c>
      <c r="Q20" s="15" t="e">
        <f>#REF!-N20</f>
        <v>#REF!</v>
      </c>
      <c r="R20" s="17" t="str">
        <f>CONCATENATE(F20,G20)</f>
        <v>00 0 00 00000000</v>
      </c>
    </row>
    <row r="21" spans="1:18" s="16" customFormat="1" ht="15.75">
      <c r="A21" s="14"/>
      <c r="B21" s="117" t="s">
        <v>10</v>
      </c>
      <c r="C21" s="118" t="s">
        <v>6</v>
      </c>
      <c r="D21" s="119" t="s">
        <v>11</v>
      </c>
      <c r="E21" s="119" t="s">
        <v>7</v>
      </c>
      <c r="F21" s="119" t="s">
        <v>8</v>
      </c>
      <c r="G21" s="119" t="s">
        <v>9</v>
      </c>
      <c r="H21" s="120">
        <f>H22+H57</f>
        <v>0</v>
      </c>
      <c r="L21" s="18">
        <v>47589.06</v>
      </c>
      <c r="M21" s="18">
        <v>47589.06</v>
      </c>
      <c r="N21" s="18">
        <v>47589.06</v>
      </c>
      <c r="O21" s="18">
        <f t="shared" si="0"/>
        <v>-47589.06</v>
      </c>
      <c r="P21" s="18" t="e">
        <f>#REF!-M21</f>
        <v>#REF!</v>
      </c>
      <c r="Q21" s="18" t="e">
        <f>#REF!-N21</f>
        <v>#REF!</v>
      </c>
      <c r="R21" s="17" t="str">
        <f t="shared" ref="R21:R118" si="1">CONCATENATE(F21,G21)</f>
        <v>00 0 00 00000000</v>
      </c>
    </row>
    <row r="22" spans="1:18" s="16" customFormat="1" ht="63">
      <c r="A22" s="14"/>
      <c r="B22" s="121" t="s">
        <v>12</v>
      </c>
      <c r="C22" s="122" t="s">
        <v>6</v>
      </c>
      <c r="D22" s="123" t="s">
        <v>11</v>
      </c>
      <c r="E22" s="123" t="s">
        <v>13</v>
      </c>
      <c r="F22" s="123" t="s">
        <v>8</v>
      </c>
      <c r="G22" s="123" t="s">
        <v>9</v>
      </c>
      <c r="H22" s="124">
        <f>H23</f>
        <v>0</v>
      </c>
      <c r="L22" s="19">
        <v>47089.06</v>
      </c>
      <c r="M22" s="19">
        <v>47089.06</v>
      </c>
      <c r="N22" s="19">
        <v>47089.06</v>
      </c>
      <c r="O22" s="19">
        <f t="shared" si="0"/>
        <v>-47089.06</v>
      </c>
      <c r="P22" s="19" t="e">
        <f>#REF!-M22</f>
        <v>#REF!</v>
      </c>
      <c r="Q22" s="19" t="e">
        <f>#REF!-N22</f>
        <v>#REF!</v>
      </c>
      <c r="R22" s="17" t="str">
        <f t="shared" si="1"/>
        <v>00 0 00 00000000</v>
      </c>
    </row>
    <row r="23" spans="1:18" s="16" customFormat="1" ht="31.5">
      <c r="A23" s="14"/>
      <c r="B23" s="125" t="s">
        <v>14</v>
      </c>
      <c r="C23" s="109" t="s">
        <v>6</v>
      </c>
      <c r="D23" s="108" t="s">
        <v>11</v>
      </c>
      <c r="E23" s="108" t="s">
        <v>13</v>
      </c>
      <c r="F23" s="108" t="s">
        <v>15</v>
      </c>
      <c r="G23" s="108" t="s">
        <v>9</v>
      </c>
      <c r="H23" s="126">
        <f>H24+H48+H39</f>
        <v>0</v>
      </c>
      <c r="L23" s="20">
        <v>47089.06</v>
      </c>
      <c r="M23" s="20">
        <v>47089.06</v>
      </c>
      <c r="N23" s="20">
        <v>47089.06</v>
      </c>
      <c r="O23" s="20">
        <f t="shared" si="0"/>
        <v>-47089.06</v>
      </c>
      <c r="P23" s="20" t="e">
        <f>#REF!-M23</f>
        <v>#REF!</v>
      </c>
      <c r="Q23" s="20" t="e">
        <f>#REF!-N23</f>
        <v>#REF!</v>
      </c>
      <c r="R23" s="17" t="str">
        <f t="shared" si="1"/>
        <v>70 0 00 00000000</v>
      </c>
    </row>
    <row r="24" spans="1:18" s="16" customFormat="1" ht="31.5">
      <c r="A24" s="14"/>
      <c r="B24" s="125" t="s">
        <v>16</v>
      </c>
      <c r="C24" s="109" t="s">
        <v>6</v>
      </c>
      <c r="D24" s="108" t="s">
        <v>11</v>
      </c>
      <c r="E24" s="108" t="s">
        <v>13</v>
      </c>
      <c r="F24" s="108" t="s">
        <v>17</v>
      </c>
      <c r="G24" s="108" t="s">
        <v>9</v>
      </c>
      <c r="H24" s="126">
        <f>H25+H35</f>
        <v>0</v>
      </c>
      <c r="L24" s="20">
        <v>42983.74</v>
      </c>
      <c r="M24" s="20">
        <v>42983.74</v>
      </c>
      <c r="N24" s="20">
        <v>42983.74</v>
      </c>
      <c r="O24" s="20">
        <f t="shared" si="0"/>
        <v>-42983.74</v>
      </c>
      <c r="P24" s="20" t="e">
        <f>#REF!-M24</f>
        <v>#REF!</v>
      </c>
      <c r="Q24" s="20" t="e">
        <f>#REF!-N24</f>
        <v>#REF!</v>
      </c>
      <c r="R24" s="17" t="str">
        <f t="shared" si="1"/>
        <v>70 1 00 00000000</v>
      </c>
    </row>
    <row r="25" spans="1:18" s="16" customFormat="1" ht="31.5">
      <c r="A25" s="14"/>
      <c r="B25" s="125" t="s">
        <v>18</v>
      </c>
      <c r="C25" s="109" t="s">
        <v>6</v>
      </c>
      <c r="D25" s="108" t="s">
        <v>11</v>
      </c>
      <c r="E25" s="108" t="s">
        <v>13</v>
      </c>
      <c r="F25" s="108" t="s">
        <v>19</v>
      </c>
      <c r="G25" s="108" t="s">
        <v>9</v>
      </c>
      <c r="H25" s="126">
        <f>H26+H30+H32</f>
        <v>0</v>
      </c>
      <c r="L25" s="20">
        <v>10397.540000000001</v>
      </c>
      <c r="M25" s="20">
        <v>10397.540000000001</v>
      </c>
      <c r="N25" s="20">
        <v>10397.540000000001</v>
      </c>
      <c r="O25" s="20">
        <f t="shared" si="0"/>
        <v>-10397.540000000001</v>
      </c>
      <c r="P25" s="20" t="e">
        <f>#REF!-M25</f>
        <v>#REF!</v>
      </c>
      <c r="Q25" s="20" t="e">
        <f>#REF!-N25</f>
        <v>#REF!</v>
      </c>
      <c r="R25" s="17" t="str">
        <f t="shared" si="1"/>
        <v>70 1 00 10010000</v>
      </c>
    </row>
    <row r="26" spans="1:18" s="16" customFormat="1" ht="31.5">
      <c r="A26" s="14"/>
      <c r="B26" s="127" t="s">
        <v>20</v>
      </c>
      <c r="C26" s="109" t="s">
        <v>6</v>
      </c>
      <c r="D26" s="108" t="s">
        <v>11</v>
      </c>
      <c r="E26" s="108" t="s">
        <v>13</v>
      </c>
      <c r="F26" s="108" t="s">
        <v>19</v>
      </c>
      <c r="G26" s="108" t="s">
        <v>21</v>
      </c>
      <c r="H26" s="126">
        <f>SUM(H27:H29)</f>
        <v>0</v>
      </c>
      <c r="L26" s="20">
        <v>3836.7799999999997</v>
      </c>
      <c r="M26" s="20">
        <v>3836.7799999999997</v>
      </c>
      <c r="N26" s="20">
        <v>3836.7799999999997</v>
      </c>
      <c r="O26" s="20">
        <f t="shared" si="0"/>
        <v>-3836.7799999999997</v>
      </c>
      <c r="P26" s="20" t="e">
        <f>#REF!-M26</f>
        <v>#REF!</v>
      </c>
      <c r="Q26" s="20" t="e">
        <f>#REF!-N26</f>
        <v>#REF!</v>
      </c>
      <c r="R26" s="17" t="str">
        <f t="shared" si="1"/>
        <v>70 1 00 10010120</v>
      </c>
    </row>
    <row r="27" spans="1:18" s="23" customFormat="1" ht="47.25">
      <c r="A27" s="21"/>
      <c r="B27" s="127" t="s">
        <v>22</v>
      </c>
      <c r="C27" s="109" t="s">
        <v>6</v>
      </c>
      <c r="D27" s="108" t="s">
        <v>11</v>
      </c>
      <c r="E27" s="108" t="s">
        <v>13</v>
      </c>
      <c r="F27" s="108" t="s">
        <v>19</v>
      </c>
      <c r="G27" s="108" t="s">
        <v>23</v>
      </c>
      <c r="H27" s="126"/>
      <c r="L27" s="22"/>
      <c r="M27" s="22"/>
      <c r="N27" s="22"/>
      <c r="O27" s="22"/>
      <c r="P27" s="22"/>
      <c r="Q27" s="22"/>
      <c r="R27" s="24"/>
    </row>
    <row r="28" spans="1:18" s="23" customFormat="1" ht="63">
      <c r="A28" s="21"/>
      <c r="B28" s="127" t="s">
        <v>24</v>
      </c>
      <c r="C28" s="109" t="s">
        <v>6</v>
      </c>
      <c r="D28" s="108" t="s">
        <v>11</v>
      </c>
      <c r="E28" s="108" t="s">
        <v>13</v>
      </c>
      <c r="F28" s="108" t="s">
        <v>19</v>
      </c>
      <c r="G28" s="108" t="s">
        <v>25</v>
      </c>
      <c r="H28" s="126"/>
      <c r="L28" s="22"/>
      <c r="M28" s="22"/>
      <c r="N28" s="22"/>
      <c r="O28" s="22"/>
      <c r="P28" s="22"/>
      <c r="Q28" s="22"/>
      <c r="R28" s="24"/>
    </row>
    <row r="29" spans="1:18" s="23" customFormat="1" ht="63">
      <c r="A29" s="21"/>
      <c r="B29" s="127" t="s">
        <v>26</v>
      </c>
      <c r="C29" s="109" t="s">
        <v>6</v>
      </c>
      <c r="D29" s="108" t="s">
        <v>11</v>
      </c>
      <c r="E29" s="108" t="s">
        <v>13</v>
      </c>
      <c r="F29" s="108" t="s">
        <v>19</v>
      </c>
      <c r="G29" s="108" t="s">
        <v>27</v>
      </c>
      <c r="H29" s="126"/>
      <c r="L29" s="22"/>
      <c r="M29" s="22"/>
      <c r="N29" s="22"/>
      <c r="O29" s="22"/>
      <c r="P29" s="22"/>
      <c r="Q29" s="22"/>
      <c r="R29" s="24"/>
    </row>
    <row r="30" spans="1:18" s="16" customFormat="1" ht="31.5">
      <c r="A30" s="14"/>
      <c r="B30" s="125" t="s">
        <v>28</v>
      </c>
      <c r="C30" s="109" t="s">
        <v>6</v>
      </c>
      <c r="D30" s="108" t="s">
        <v>11</v>
      </c>
      <c r="E30" s="108" t="s">
        <v>13</v>
      </c>
      <c r="F30" s="108" t="s">
        <v>19</v>
      </c>
      <c r="G30" s="108" t="s">
        <v>29</v>
      </c>
      <c r="H30" s="126">
        <f>H31</f>
        <v>0</v>
      </c>
      <c r="L30" s="20">
        <v>6454.14</v>
      </c>
      <c r="M30" s="20">
        <v>6454.14</v>
      </c>
      <c r="N30" s="20">
        <v>6454.14</v>
      </c>
      <c r="O30" s="20">
        <f>H30-L30</f>
        <v>-6454.14</v>
      </c>
      <c r="P30" s="20" t="e">
        <f>#REF!-M30</f>
        <v>#REF!</v>
      </c>
      <c r="Q30" s="20" t="e">
        <f>#REF!-N30</f>
        <v>#REF!</v>
      </c>
      <c r="R30" s="17" t="str">
        <f t="shared" si="1"/>
        <v>70 1 00 10010240</v>
      </c>
    </row>
    <row r="31" spans="1:18" s="16" customFormat="1" ht="15.75">
      <c r="A31" s="14"/>
      <c r="B31" s="125" t="s">
        <v>30</v>
      </c>
      <c r="C31" s="109" t="s">
        <v>6</v>
      </c>
      <c r="D31" s="108" t="s">
        <v>11</v>
      </c>
      <c r="E31" s="108" t="s">
        <v>13</v>
      </c>
      <c r="F31" s="108" t="s">
        <v>19</v>
      </c>
      <c r="G31" s="108" t="s">
        <v>31</v>
      </c>
      <c r="H31" s="126"/>
      <c r="L31" s="20"/>
      <c r="M31" s="20"/>
      <c r="N31" s="20"/>
      <c r="O31" s="20"/>
      <c r="P31" s="20"/>
      <c r="Q31" s="20"/>
      <c r="R31" s="17"/>
    </row>
    <row r="32" spans="1:18" s="16" customFormat="1" ht="15.75">
      <c r="A32" s="14"/>
      <c r="B32" s="125" t="s">
        <v>32</v>
      </c>
      <c r="C32" s="109" t="s">
        <v>6</v>
      </c>
      <c r="D32" s="108" t="s">
        <v>11</v>
      </c>
      <c r="E32" s="108" t="s">
        <v>13</v>
      </c>
      <c r="F32" s="108" t="s">
        <v>19</v>
      </c>
      <c r="G32" s="108" t="s">
        <v>33</v>
      </c>
      <c r="H32" s="126">
        <f>SUM(H33:H34)</f>
        <v>0</v>
      </c>
      <c r="L32" s="20">
        <v>106.62</v>
      </c>
      <c r="M32" s="20">
        <v>106.62</v>
      </c>
      <c r="N32" s="20">
        <v>106.62</v>
      </c>
      <c r="O32" s="20">
        <f>H32-L32</f>
        <v>-106.62</v>
      </c>
      <c r="P32" s="20" t="e">
        <f>#REF!-M32</f>
        <v>#REF!</v>
      </c>
      <c r="Q32" s="20" t="e">
        <f>#REF!-N32</f>
        <v>#REF!</v>
      </c>
      <c r="R32" s="17" t="str">
        <f t="shared" si="1"/>
        <v>70 1 00 10010850</v>
      </c>
    </row>
    <row r="33" spans="1:18" s="23" customFormat="1" ht="31.5">
      <c r="A33" s="21"/>
      <c r="B33" s="127" t="s">
        <v>34</v>
      </c>
      <c r="C33" s="109" t="s">
        <v>6</v>
      </c>
      <c r="D33" s="108" t="s">
        <v>11</v>
      </c>
      <c r="E33" s="108" t="s">
        <v>13</v>
      </c>
      <c r="F33" s="108" t="s">
        <v>19</v>
      </c>
      <c r="G33" s="108" t="s">
        <v>35</v>
      </c>
      <c r="H33" s="128"/>
      <c r="L33" s="22"/>
      <c r="M33" s="22"/>
      <c r="N33" s="22"/>
      <c r="O33" s="22"/>
      <c r="P33" s="22"/>
      <c r="Q33" s="22"/>
      <c r="R33" s="24"/>
    </row>
    <row r="34" spans="1:18" s="23" customFormat="1" ht="15.75">
      <c r="A34" s="21"/>
      <c r="B34" s="127" t="s">
        <v>36</v>
      </c>
      <c r="C34" s="109" t="s">
        <v>6</v>
      </c>
      <c r="D34" s="108" t="s">
        <v>11</v>
      </c>
      <c r="E34" s="108" t="s">
        <v>13</v>
      </c>
      <c r="F34" s="108" t="s">
        <v>19</v>
      </c>
      <c r="G34" s="108" t="s">
        <v>37</v>
      </c>
      <c r="H34" s="128"/>
      <c r="L34" s="22"/>
      <c r="M34" s="22"/>
      <c r="N34" s="22"/>
      <c r="O34" s="22"/>
      <c r="P34" s="22"/>
      <c r="Q34" s="22"/>
      <c r="R34" s="24"/>
    </row>
    <row r="35" spans="1:18" s="16" customFormat="1" ht="31.5">
      <c r="A35" s="14"/>
      <c r="B35" s="127" t="s">
        <v>38</v>
      </c>
      <c r="C35" s="109" t="s">
        <v>6</v>
      </c>
      <c r="D35" s="108" t="s">
        <v>11</v>
      </c>
      <c r="E35" s="108" t="s">
        <v>13</v>
      </c>
      <c r="F35" s="108" t="s">
        <v>39</v>
      </c>
      <c r="G35" s="108" t="s">
        <v>9</v>
      </c>
      <c r="H35" s="126">
        <f>H36</f>
        <v>0</v>
      </c>
      <c r="L35" s="20">
        <v>32586.199999999997</v>
      </c>
      <c r="M35" s="20">
        <v>32586.199999999997</v>
      </c>
      <c r="N35" s="20">
        <v>32586.199999999997</v>
      </c>
      <c r="O35" s="20">
        <f>H35-L35</f>
        <v>-32586.199999999997</v>
      </c>
      <c r="P35" s="20" t="e">
        <f>#REF!-M35</f>
        <v>#REF!</v>
      </c>
      <c r="Q35" s="20" t="e">
        <f>#REF!-N35</f>
        <v>#REF!</v>
      </c>
      <c r="R35" s="17" t="str">
        <f t="shared" si="1"/>
        <v>70 1 00 10020000</v>
      </c>
    </row>
    <row r="36" spans="1:18" s="16" customFormat="1" ht="31.5">
      <c r="A36" s="14"/>
      <c r="B36" s="127" t="s">
        <v>20</v>
      </c>
      <c r="C36" s="109" t="s">
        <v>6</v>
      </c>
      <c r="D36" s="108" t="s">
        <v>11</v>
      </c>
      <c r="E36" s="108" t="s">
        <v>13</v>
      </c>
      <c r="F36" s="108" t="s">
        <v>39</v>
      </c>
      <c r="G36" s="108" t="s">
        <v>21</v>
      </c>
      <c r="H36" s="126">
        <f>SUM(H37:H38)</f>
        <v>0</v>
      </c>
      <c r="L36" s="20">
        <v>32586.199999999997</v>
      </c>
      <c r="M36" s="20">
        <v>32586.199999999997</v>
      </c>
      <c r="N36" s="20">
        <v>32586.199999999997</v>
      </c>
      <c r="O36" s="20">
        <f>H36-L36</f>
        <v>-32586.199999999997</v>
      </c>
      <c r="P36" s="20" t="e">
        <f>#REF!-M36</f>
        <v>#REF!</v>
      </c>
      <c r="Q36" s="20" t="e">
        <f>#REF!-N36</f>
        <v>#REF!</v>
      </c>
      <c r="R36" s="17" t="str">
        <f t="shared" si="1"/>
        <v>70 1 00 10020120</v>
      </c>
    </row>
    <row r="37" spans="1:18" s="23" customFormat="1" ht="31.5">
      <c r="A37" s="21"/>
      <c r="B37" s="127" t="s">
        <v>40</v>
      </c>
      <c r="C37" s="109" t="s">
        <v>6</v>
      </c>
      <c r="D37" s="108" t="s">
        <v>11</v>
      </c>
      <c r="E37" s="108" t="s">
        <v>13</v>
      </c>
      <c r="F37" s="108" t="s">
        <v>39</v>
      </c>
      <c r="G37" s="108" t="s">
        <v>41</v>
      </c>
      <c r="H37" s="126"/>
      <c r="L37" s="22"/>
      <c r="M37" s="22"/>
      <c r="N37" s="22"/>
      <c r="O37" s="22"/>
      <c r="P37" s="22"/>
      <c r="Q37" s="22"/>
      <c r="R37" s="24"/>
    </row>
    <row r="38" spans="1:18" s="23" customFormat="1" ht="63">
      <c r="A38" s="21"/>
      <c r="B38" s="127" t="s">
        <v>26</v>
      </c>
      <c r="C38" s="109" t="s">
        <v>6</v>
      </c>
      <c r="D38" s="108" t="s">
        <v>11</v>
      </c>
      <c r="E38" s="108" t="s">
        <v>13</v>
      </c>
      <c r="F38" s="108" t="s">
        <v>39</v>
      </c>
      <c r="G38" s="108" t="s">
        <v>27</v>
      </c>
      <c r="H38" s="126"/>
      <c r="L38" s="22"/>
      <c r="M38" s="22"/>
      <c r="N38" s="22"/>
      <c r="O38" s="22"/>
      <c r="P38" s="22"/>
      <c r="Q38" s="22"/>
      <c r="R38" s="24"/>
    </row>
    <row r="39" spans="1:18" s="16" customFormat="1" ht="31.5">
      <c r="A39" s="14"/>
      <c r="B39" s="127" t="s">
        <v>42</v>
      </c>
      <c r="C39" s="109" t="s">
        <v>6</v>
      </c>
      <c r="D39" s="108" t="s">
        <v>11</v>
      </c>
      <c r="E39" s="108" t="s">
        <v>13</v>
      </c>
      <c r="F39" s="108" t="s">
        <v>43</v>
      </c>
      <c r="G39" s="108" t="s">
        <v>9</v>
      </c>
      <c r="H39" s="126">
        <f>H44+H40</f>
        <v>0</v>
      </c>
      <c r="L39" s="20">
        <v>1593.55</v>
      </c>
      <c r="M39" s="20">
        <v>1593.55</v>
      </c>
      <c r="N39" s="20">
        <v>1593.55</v>
      </c>
      <c r="O39" s="20">
        <f>H39-L39</f>
        <v>-1593.55</v>
      </c>
      <c r="P39" s="20" t="e">
        <f>#REF!-M39</f>
        <v>#REF!</v>
      </c>
      <c r="Q39" s="20" t="e">
        <f>#REF!-N39</f>
        <v>#REF!</v>
      </c>
      <c r="R39" s="17" t="str">
        <f t="shared" si="1"/>
        <v>70 2 00 00000000</v>
      </c>
    </row>
    <row r="40" spans="1:18" s="16" customFormat="1" ht="31.5">
      <c r="A40" s="14"/>
      <c r="B40" s="125" t="s">
        <v>18</v>
      </c>
      <c r="C40" s="109" t="s">
        <v>6</v>
      </c>
      <c r="D40" s="108" t="s">
        <v>11</v>
      </c>
      <c r="E40" s="108" t="s">
        <v>13</v>
      </c>
      <c r="F40" s="108" t="s">
        <v>44</v>
      </c>
      <c r="G40" s="108" t="s">
        <v>9</v>
      </c>
      <c r="H40" s="126">
        <f>H41</f>
        <v>0</v>
      </c>
      <c r="L40" s="20">
        <v>41.55</v>
      </c>
      <c r="M40" s="20">
        <v>41.55</v>
      </c>
      <c r="N40" s="20">
        <v>41.55</v>
      </c>
      <c r="O40" s="20">
        <f>H40-L40</f>
        <v>-41.55</v>
      </c>
      <c r="P40" s="20" t="e">
        <f>#REF!-M40</f>
        <v>#REF!</v>
      </c>
      <c r="Q40" s="20" t="e">
        <f>#REF!-N40</f>
        <v>#REF!</v>
      </c>
      <c r="R40" s="17" t="str">
        <f t="shared" si="1"/>
        <v>70 2 00 10010000</v>
      </c>
    </row>
    <row r="41" spans="1:18" s="16" customFormat="1" ht="31.5">
      <c r="A41" s="14"/>
      <c r="B41" s="127" t="s">
        <v>20</v>
      </c>
      <c r="C41" s="109" t="s">
        <v>6</v>
      </c>
      <c r="D41" s="108" t="s">
        <v>11</v>
      </c>
      <c r="E41" s="108" t="s">
        <v>13</v>
      </c>
      <c r="F41" s="108" t="s">
        <v>44</v>
      </c>
      <c r="G41" s="108" t="s">
        <v>21</v>
      </c>
      <c r="H41" s="126">
        <f>SUM(H42:H43)</f>
        <v>0</v>
      </c>
      <c r="L41" s="20">
        <v>41.55</v>
      </c>
      <c r="M41" s="20">
        <v>41.55</v>
      </c>
      <c r="N41" s="20">
        <v>41.55</v>
      </c>
      <c r="O41" s="20">
        <f>H41-L41</f>
        <v>-41.55</v>
      </c>
      <c r="P41" s="20" t="e">
        <f>#REF!-M41</f>
        <v>#REF!</v>
      </c>
      <c r="Q41" s="20" t="e">
        <f>#REF!-N41</f>
        <v>#REF!</v>
      </c>
      <c r="R41" s="17" t="str">
        <f t="shared" si="1"/>
        <v>70 2 00 10010120</v>
      </c>
    </row>
    <row r="42" spans="1:18" s="23" customFormat="1" ht="47.25">
      <c r="A42" s="21"/>
      <c r="B42" s="127" t="s">
        <v>22</v>
      </c>
      <c r="C42" s="109" t="s">
        <v>6</v>
      </c>
      <c r="D42" s="108" t="s">
        <v>11</v>
      </c>
      <c r="E42" s="108" t="s">
        <v>13</v>
      </c>
      <c r="F42" s="108" t="s">
        <v>44</v>
      </c>
      <c r="G42" s="108" t="s">
        <v>23</v>
      </c>
      <c r="H42" s="128"/>
      <c r="L42" s="22"/>
      <c r="M42" s="22"/>
      <c r="N42" s="22"/>
      <c r="O42" s="22"/>
      <c r="P42" s="22"/>
      <c r="Q42" s="22"/>
      <c r="R42" s="24"/>
    </row>
    <row r="43" spans="1:18" s="23" customFormat="1" ht="63">
      <c r="A43" s="21"/>
      <c r="B43" s="127" t="s">
        <v>26</v>
      </c>
      <c r="C43" s="109" t="s">
        <v>6</v>
      </c>
      <c r="D43" s="108" t="s">
        <v>11</v>
      </c>
      <c r="E43" s="108" t="s">
        <v>13</v>
      </c>
      <c r="F43" s="108" t="s">
        <v>44</v>
      </c>
      <c r="G43" s="108" t="s">
        <v>27</v>
      </c>
      <c r="H43" s="128"/>
      <c r="L43" s="22"/>
      <c r="M43" s="22"/>
      <c r="N43" s="22"/>
      <c r="O43" s="22"/>
      <c r="P43" s="22"/>
      <c r="Q43" s="22"/>
      <c r="R43" s="24"/>
    </row>
    <row r="44" spans="1:18" s="16" customFormat="1" ht="31.5">
      <c r="A44" s="14"/>
      <c r="B44" s="127" t="s">
        <v>38</v>
      </c>
      <c r="C44" s="109" t="s">
        <v>6</v>
      </c>
      <c r="D44" s="108" t="s">
        <v>11</v>
      </c>
      <c r="E44" s="108" t="s">
        <v>13</v>
      </c>
      <c r="F44" s="108" t="s">
        <v>45</v>
      </c>
      <c r="G44" s="108" t="s">
        <v>9</v>
      </c>
      <c r="H44" s="126">
        <f>H45</f>
        <v>0</v>
      </c>
      <c r="L44" s="20">
        <v>1552</v>
      </c>
      <c r="M44" s="20">
        <v>1552</v>
      </c>
      <c r="N44" s="20">
        <v>1552</v>
      </c>
      <c r="O44" s="20">
        <f>H44-L44</f>
        <v>-1552</v>
      </c>
      <c r="P44" s="20" t="e">
        <f>#REF!-M44</f>
        <v>#REF!</v>
      </c>
      <c r="Q44" s="20" t="e">
        <f>#REF!-N44</f>
        <v>#REF!</v>
      </c>
      <c r="R44" s="17" t="str">
        <f t="shared" si="1"/>
        <v>70 2 00 10020000</v>
      </c>
    </row>
    <row r="45" spans="1:18" s="16" customFormat="1" ht="31.5">
      <c r="A45" s="14"/>
      <c r="B45" s="127" t="s">
        <v>20</v>
      </c>
      <c r="C45" s="109" t="s">
        <v>6</v>
      </c>
      <c r="D45" s="108" t="s">
        <v>11</v>
      </c>
      <c r="E45" s="108" t="s">
        <v>13</v>
      </c>
      <c r="F45" s="108" t="s">
        <v>45</v>
      </c>
      <c r="G45" s="108" t="s">
        <v>21</v>
      </c>
      <c r="H45" s="126">
        <f>SUM(H46:H47)</f>
        <v>0</v>
      </c>
      <c r="L45" s="20">
        <v>1552</v>
      </c>
      <c r="M45" s="20">
        <v>1552</v>
      </c>
      <c r="N45" s="20">
        <v>1552</v>
      </c>
      <c r="O45" s="20">
        <f>H45-L45</f>
        <v>-1552</v>
      </c>
      <c r="P45" s="20" t="e">
        <f>#REF!-M45</f>
        <v>#REF!</v>
      </c>
      <c r="Q45" s="20" t="e">
        <f>#REF!-N45</f>
        <v>#REF!</v>
      </c>
      <c r="R45" s="17" t="str">
        <f t="shared" si="1"/>
        <v>70 2 00 10020120</v>
      </c>
    </row>
    <row r="46" spans="1:18" s="16" customFormat="1" ht="31.5">
      <c r="A46" s="14"/>
      <c r="B46" s="125" t="s">
        <v>40</v>
      </c>
      <c r="C46" s="109" t="s">
        <v>6</v>
      </c>
      <c r="D46" s="108" t="s">
        <v>11</v>
      </c>
      <c r="E46" s="108" t="s">
        <v>13</v>
      </c>
      <c r="F46" s="108" t="s">
        <v>45</v>
      </c>
      <c r="G46" s="108" t="s">
        <v>41</v>
      </c>
      <c r="H46" s="128"/>
      <c r="L46" s="20"/>
      <c r="M46" s="20"/>
      <c r="N46" s="20"/>
      <c r="O46" s="20"/>
      <c r="P46" s="20"/>
      <c r="Q46" s="20"/>
      <c r="R46" s="17"/>
    </row>
    <row r="47" spans="1:18" s="16" customFormat="1" ht="63">
      <c r="A47" s="14"/>
      <c r="B47" s="125" t="s">
        <v>26</v>
      </c>
      <c r="C47" s="109" t="s">
        <v>6</v>
      </c>
      <c r="D47" s="108" t="s">
        <v>11</v>
      </c>
      <c r="E47" s="108" t="s">
        <v>13</v>
      </c>
      <c r="F47" s="108" t="s">
        <v>45</v>
      </c>
      <c r="G47" s="108" t="s">
        <v>27</v>
      </c>
      <c r="H47" s="128"/>
      <c r="L47" s="20"/>
      <c r="M47" s="20"/>
      <c r="N47" s="20"/>
      <c r="O47" s="20"/>
      <c r="P47" s="20"/>
      <c r="Q47" s="20"/>
      <c r="R47" s="17"/>
    </row>
    <row r="48" spans="1:18" s="16" customFormat="1" ht="31.5">
      <c r="A48" s="14"/>
      <c r="B48" s="127" t="s">
        <v>46</v>
      </c>
      <c r="C48" s="109" t="s">
        <v>6</v>
      </c>
      <c r="D48" s="108" t="s">
        <v>11</v>
      </c>
      <c r="E48" s="108" t="s">
        <v>13</v>
      </c>
      <c r="F48" s="108" t="s">
        <v>47</v>
      </c>
      <c r="G48" s="108" t="s">
        <v>9</v>
      </c>
      <c r="H48" s="126">
        <f>H53+H49</f>
        <v>0</v>
      </c>
      <c r="L48" s="20">
        <v>2511.77</v>
      </c>
      <c r="M48" s="20">
        <v>2511.77</v>
      </c>
      <c r="N48" s="20">
        <v>2511.77</v>
      </c>
      <c r="O48" s="20">
        <f>H48-L48</f>
        <v>-2511.77</v>
      </c>
      <c r="P48" s="20" t="e">
        <f>#REF!-M48</f>
        <v>#REF!</v>
      </c>
      <c r="Q48" s="20" t="e">
        <f>#REF!-N48</f>
        <v>#REF!</v>
      </c>
      <c r="R48" s="17" t="str">
        <f t="shared" si="1"/>
        <v>70 3 00 00000000</v>
      </c>
    </row>
    <row r="49" spans="1:18" s="16" customFormat="1" ht="31.5">
      <c r="A49" s="14"/>
      <c r="B49" s="125" t="s">
        <v>18</v>
      </c>
      <c r="C49" s="109" t="s">
        <v>6</v>
      </c>
      <c r="D49" s="108" t="s">
        <v>11</v>
      </c>
      <c r="E49" s="108" t="s">
        <v>13</v>
      </c>
      <c r="F49" s="108" t="s">
        <v>48</v>
      </c>
      <c r="G49" s="108" t="s">
        <v>9</v>
      </c>
      <c r="H49" s="126">
        <f>H50</f>
        <v>0</v>
      </c>
      <c r="L49" s="20">
        <v>83.11</v>
      </c>
      <c r="M49" s="20">
        <v>83.11</v>
      </c>
      <c r="N49" s="20">
        <v>83.11</v>
      </c>
      <c r="O49" s="20">
        <f>H49-L49</f>
        <v>-83.11</v>
      </c>
      <c r="P49" s="20" t="e">
        <f>#REF!-M49</f>
        <v>#REF!</v>
      </c>
      <c r="Q49" s="20" t="e">
        <f>#REF!-N49</f>
        <v>#REF!</v>
      </c>
      <c r="R49" s="17" t="str">
        <f t="shared" si="1"/>
        <v>70 3 00 10010000</v>
      </c>
    </row>
    <row r="50" spans="1:18" s="16" customFormat="1" ht="31.5">
      <c r="A50" s="14"/>
      <c r="B50" s="127" t="s">
        <v>20</v>
      </c>
      <c r="C50" s="109" t="s">
        <v>6</v>
      </c>
      <c r="D50" s="108" t="s">
        <v>11</v>
      </c>
      <c r="E50" s="108" t="s">
        <v>13</v>
      </c>
      <c r="F50" s="108" t="s">
        <v>48</v>
      </c>
      <c r="G50" s="108" t="s">
        <v>21</v>
      </c>
      <c r="H50" s="126">
        <f>SUM(H51:H52)</f>
        <v>0</v>
      </c>
      <c r="L50" s="20">
        <v>83.11</v>
      </c>
      <c r="M50" s="20">
        <v>83.11</v>
      </c>
      <c r="N50" s="20">
        <v>83.11</v>
      </c>
      <c r="O50" s="20">
        <f>H50-L50</f>
        <v>-83.11</v>
      </c>
      <c r="P50" s="20" t="e">
        <f>#REF!-M50</f>
        <v>#REF!</v>
      </c>
      <c r="Q50" s="20" t="e">
        <f>#REF!-N50</f>
        <v>#REF!</v>
      </c>
      <c r="R50" s="17" t="str">
        <f t="shared" si="1"/>
        <v>70 3 00 10010120</v>
      </c>
    </row>
    <row r="51" spans="1:18" s="16" customFormat="1" ht="47.25">
      <c r="A51" s="14"/>
      <c r="B51" s="127" t="s">
        <v>22</v>
      </c>
      <c r="C51" s="109" t="s">
        <v>6</v>
      </c>
      <c r="D51" s="108" t="s">
        <v>11</v>
      </c>
      <c r="E51" s="108" t="s">
        <v>13</v>
      </c>
      <c r="F51" s="108" t="s">
        <v>48</v>
      </c>
      <c r="G51" s="108" t="s">
        <v>23</v>
      </c>
      <c r="H51" s="128"/>
      <c r="L51" s="20"/>
      <c r="M51" s="20"/>
      <c r="N51" s="20"/>
      <c r="O51" s="20"/>
      <c r="P51" s="20"/>
      <c r="Q51" s="20"/>
      <c r="R51" s="17"/>
    </row>
    <row r="52" spans="1:18" s="16" customFormat="1" ht="63">
      <c r="A52" s="14"/>
      <c r="B52" s="127" t="s">
        <v>26</v>
      </c>
      <c r="C52" s="109" t="s">
        <v>6</v>
      </c>
      <c r="D52" s="108" t="s">
        <v>11</v>
      </c>
      <c r="E52" s="108" t="s">
        <v>13</v>
      </c>
      <c r="F52" s="108" t="s">
        <v>48</v>
      </c>
      <c r="G52" s="108" t="s">
        <v>27</v>
      </c>
      <c r="H52" s="128"/>
      <c r="L52" s="20"/>
      <c r="M52" s="20"/>
      <c r="N52" s="20"/>
      <c r="O52" s="20"/>
      <c r="P52" s="20"/>
      <c r="Q52" s="20"/>
      <c r="R52" s="17"/>
    </row>
    <row r="53" spans="1:18" s="16" customFormat="1" ht="31.5">
      <c r="A53" s="14"/>
      <c r="B53" s="127" t="s">
        <v>38</v>
      </c>
      <c r="C53" s="109" t="s">
        <v>6</v>
      </c>
      <c r="D53" s="108" t="s">
        <v>11</v>
      </c>
      <c r="E53" s="108" t="s">
        <v>13</v>
      </c>
      <c r="F53" s="108" t="s">
        <v>49</v>
      </c>
      <c r="G53" s="108" t="s">
        <v>9</v>
      </c>
      <c r="H53" s="126">
        <f>H54</f>
        <v>0</v>
      </c>
      <c r="L53" s="20">
        <v>2428.66</v>
      </c>
      <c r="M53" s="20">
        <v>2428.66</v>
      </c>
      <c r="N53" s="20">
        <v>2428.66</v>
      </c>
      <c r="O53" s="20">
        <f>H53-L53</f>
        <v>-2428.66</v>
      </c>
      <c r="P53" s="20" t="e">
        <f>#REF!-M53</f>
        <v>#REF!</v>
      </c>
      <c r="Q53" s="20" t="e">
        <f>#REF!-N53</f>
        <v>#REF!</v>
      </c>
      <c r="R53" s="17" t="str">
        <f t="shared" si="1"/>
        <v>70 3 00 10020000</v>
      </c>
    </row>
    <row r="54" spans="1:18" s="16" customFormat="1" ht="31.5">
      <c r="A54" s="14"/>
      <c r="B54" s="127" t="s">
        <v>20</v>
      </c>
      <c r="C54" s="109" t="s">
        <v>6</v>
      </c>
      <c r="D54" s="108" t="s">
        <v>11</v>
      </c>
      <c r="E54" s="108" t="s">
        <v>13</v>
      </c>
      <c r="F54" s="108" t="s">
        <v>49</v>
      </c>
      <c r="G54" s="108" t="s">
        <v>21</v>
      </c>
      <c r="H54" s="126">
        <f>SUM(H55:H56)</f>
        <v>0</v>
      </c>
      <c r="L54" s="20">
        <v>2428.66</v>
      </c>
      <c r="M54" s="20">
        <v>2428.66</v>
      </c>
      <c r="N54" s="20">
        <v>2428.66</v>
      </c>
      <c r="O54" s="20">
        <f>H54-L54</f>
        <v>-2428.66</v>
      </c>
      <c r="P54" s="20" t="e">
        <f>#REF!-M54</f>
        <v>#REF!</v>
      </c>
      <c r="Q54" s="20" t="e">
        <f>#REF!-N54</f>
        <v>#REF!</v>
      </c>
      <c r="R54" s="17" t="str">
        <f t="shared" si="1"/>
        <v>70 3 00 10020120</v>
      </c>
    </row>
    <row r="55" spans="1:18" s="16" customFormat="1" ht="31.5">
      <c r="A55" s="14"/>
      <c r="B55" s="127" t="s">
        <v>40</v>
      </c>
      <c r="C55" s="109" t="s">
        <v>6</v>
      </c>
      <c r="D55" s="108" t="s">
        <v>11</v>
      </c>
      <c r="E55" s="108" t="s">
        <v>13</v>
      </c>
      <c r="F55" s="108" t="s">
        <v>49</v>
      </c>
      <c r="G55" s="108" t="s">
        <v>41</v>
      </c>
      <c r="H55" s="128"/>
      <c r="L55" s="20"/>
      <c r="M55" s="20"/>
      <c r="N55" s="20"/>
      <c r="O55" s="20"/>
      <c r="P55" s="20"/>
      <c r="Q55" s="20"/>
      <c r="R55" s="17"/>
    </row>
    <row r="56" spans="1:18" s="16" customFormat="1" ht="63">
      <c r="A56" s="14"/>
      <c r="B56" s="127" t="s">
        <v>26</v>
      </c>
      <c r="C56" s="109" t="s">
        <v>6</v>
      </c>
      <c r="D56" s="108" t="s">
        <v>11</v>
      </c>
      <c r="E56" s="108" t="s">
        <v>13</v>
      </c>
      <c r="F56" s="108" t="s">
        <v>49</v>
      </c>
      <c r="G56" s="108" t="s">
        <v>27</v>
      </c>
      <c r="H56" s="128"/>
      <c r="L56" s="20"/>
      <c r="M56" s="20"/>
      <c r="N56" s="20"/>
      <c r="O56" s="20"/>
      <c r="P56" s="20"/>
      <c r="Q56" s="20"/>
      <c r="R56" s="17"/>
    </row>
    <row r="57" spans="1:18" s="16" customFormat="1" ht="15.75">
      <c r="A57" s="14"/>
      <c r="B57" s="121" t="s">
        <v>50</v>
      </c>
      <c r="C57" s="122" t="s">
        <v>6</v>
      </c>
      <c r="D57" s="123" t="s">
        <v>11</v>
      </c>
      <c r="E57" s="123" t="s">
        <v>51</v>
      </c>
      <c r="F57" s="123" t="s">
        <v>8</v>
      </c>
      <c r="G57" s="123" t="s">
        <v>9</v>
      </c>
      <c r="H57" s="124">
        <f t="shared" ref="H57" si="2">H58</f>
        <v>0</v>
      </c>
      <c r="L57" s="19">
        <v>500</v>
      </c>
      <c r="M57" s="19">
        <v>500</v>
      </c>
      <c r="N57" s="19">
        <v>500</v>
      </c>
      <c r="O57" s="19">
        <f>H57-L57</f>
        <v>-500</v>
      </c>
      <c r="P57" s="19" t="e">
        <f>#REF!-M57</f>
        <v>#REF!</v>
      </c>
      <c r="Q57" s="19" t="e">
        <f>#REF!-N57</f>
        <v>#REF!</v>
      </c>
      <c r="R57" s="17" t="str">
        <f t="shared" si="1"/>
        <v>00 0 00 00000000</v>
      </c>
    </row>
    <row r="58" spans="1:18" s="16" customFormat="1" ht="31.5">
      <c r="A58" s="14"/>
      <c r="B58" s="125" t="s">
        <v>14</v>
      </c>
      <c r="C58" s="109" t="s">
        <v>6</v>
      </c>
      <c r="D58" s="108" t="s">
        <v>11</v>
      </c>
      <c r="E58" s="108" t="s">
        <v>51</v>
      </c>
      <c r="F58" s="108" t="s">
        <v>15</v>
      </c>
      <c r="G58" s="108" t="s">
        <v>9</v>
      </c>
      <c r="H58" s="126">
        <f>H59</f>
        <v>0</v>
      </c>
      <c r="L58" s="20">
        <v>500</v>
      </c>
      <c r="M58" s="20">
        <v>500</v>
      </c>
      <c r="N58" s="20">
        <v>500</v>
      </c>
      <c r="O58" s="20">
        <f>H58-L58</f>
        <v>-500</v>
      </c>
      <c r="P58" s="20" t="e">
        <f>#REF!-M58</f>
        <v>#REF!</v>
      </c>
      <c r="Q58" s="20" t="e">
        <f>#REF!-N58</f>
        <v>#REF!</v>
      </c>
      <c r="R58" s="17" t="str">
        <f t="shared" si="1"/>
        <v>70 0 00 00000000</v>
      </c>
    </row>
    <row r="59" spans="1:18" s="16" customFormat="1" ht="15.75">
      <c r="A59" s="14"/>
      <c r="B59" s="125" t="s">
        <v>52</v>
      </c>
      <c r="C59" s="109" t="s">
        <v>6</v>
      </c>
      <c r="D59" s="108" t="s">
        <v>11</v>
      </c>
      <c r="E59" s="108" t="s">
        <v>51</v>
      </c>
      <c r="F59" s="108" t="s">
        <v>53</v>
      </c>
      <c r="G59" s="108" t="s">
        <v>9</v>
      </c>
      <c r="H59" s="126">
        <f>H60</f>
        <v>0</v>
      </c>
      <c r="L59" s="20">
        <v>500</v>
      </c>
      <c r="M59" s="20">
        <v>500</v>
      </c>
      <c r="N59" s="20">
        <v>500</v>
      </c>
      <c r="O59" s="20">
        <f>H59-L59</f>
        <v>-500</v>
      </c>
      <c r="P59" s="20" t="e">
        <f>#REF!-M59</f>
        <v>#REF!</v>
      </c>
      <c r="Q59" s="20" t="e">
        <f>#REF!-N59</f>
        <v>#REF!</v>
      </c>
      <c r="R59" s="17" t="str">
        <f t="shared" si="1"/>
        <v>70 4 00 00000000</v>
      </c>
    </row>
    <row r="60" spans="1:18" s="16" customFormat="1" ht="94.5">
      <c r="A60" s="14"/>
      <c r="B60" s="129" t="s">
        <v>54</v>
      </c>
      <c r="C60" s="109" t="s">
        <v>6</v>
      </c>
      <c r="D60" s="108" t="s">
        <v>11</v>
      </c>
      <c r="E60" s="108" t="s">
        <v>51</v>
      </c>
      <c r="F60" s="108" t="s">
        <v>55</v>
      </c>
      <c r="G60" s="108" t="s">
        <v>9</v>
      </c>
      <c r="H60" s="126">
        <f t="shared" ref="H60" si="3">H61</f>
        <v>0</v>
      </c>
      <c r="L60" s="20">
        <v>500</v>
      </c>
      <c r="M60" s="20">
        <v>500</v>
      </c>
      <c r="N60" s="20">
        <v>500</v>
      </c>
      <c r="O60" s="20">
        <f>H60-L60</f>
        <v>-500</v>
      </c>
      <c r="P60" s="20" t="e">
        <f>#REF!-M60</f>
        <v>#REF!</v>
      </c>
      <c r="Q60" s="20" t="e">
        <f>#REF!-N60</f>
        <v>#REF!</v>
      </c>
      <c r="R60" s="17" t="str">
        <f t="shared" si="1"/>
        <v>70 4 00 20090000</v>
      </c>
    </row>
    <row r="61" spans="1:18" s="16" customFormat="1" ht="31.5">
      <c r="A61" s="14"/>
      <c r="B61" s="125" t="s">
        <v>28</v>
      </c>
      <c r="C61" s="109" t="s">
        <v>6</v>
      </c>
      <c r="D61" s="108" t="s">
        <v>11</v>
      </c>
      <c r="E61" s="108" t="s">
        <v>51</v>
      </c>
      <c r="F61" s="108" t="s">
        <v>55</v>
      </c>
      <c r="G61" s="108" t="s">
        <v>29</v>
      </c>
      <c r="H61" s="126">
        <f>H62</f>
        <v>0</v>
      </c>
      <c r="L61" s="20">
        <v>500</v>
      </c>
      <c r="M61" s="20">
        <v>500</v>
      </c>
      <c r="N61" s="20">
        <v>500</v>
      </c>
      <c r="O61" s="20">
        <f>H61-L61</f>
        <v>-500</v>
      </c>
      <c r="P61" s="20" t="e">
        <f>#REF!-M61</f>
        <v>#REF!</v>
      </c>
      <c r="Q61" s="20" t="e">
        <f>#REF!-N61</f>
        <v>#REF!</v>
      </c>
      <c r="R61" s="17" t="str">
        <f t="shared" si="1"/>
        <v>70 4 00 20090240</v>
      </c>
    </row>
    <row r="62" spans="1:18" s="16" customFormat="1" ht="15.75">
      <c r="A62" s="14"/>
      <c r="B62" s="125" t="s">
        <v>30</v>
      </c>
      <c r="C62" s="109" t="s">
        <v>6</v>
      </c>
      <c r="D62" s="108" t="s">
        <v>11</v>
      </c>
      <c r="E62" s="108" t="s">
        <v>51</v>
      </c>
      <c r="F62" s="108" t="s">
        <v>55</v>
      </c>
      <c r="G62" s="108" t="s">
        <v>31</v>
      </c>
      <c r="H62" s="126"/>
      <c r="L62" s="20"/>
      <c r="M62" s="20"/>
      <c r="N62" s="20"/>
      <c r="O62" s="20"/>
      <c r="P62" s="20"/>
      <c r="Q62" s="20"/>
      <c r="R62" s="17" t="str">
        <f t="shared" si="1"/>
        <v>70 4 00 20090244</v>
      </c>
    </row>
    <row r="63" spans="1:18" s="6" customFormat="1" ht="15.75">
      <c r="A63" s="1"/>
      <c r="B63" s="117" t="s">
        <v>56</v>
      </c>
      <c r="C63" s="118" t="s">
        <v>6</v>
      </c>
      <c r="D63" s="119" t="s">
        <v>57</v>
      </c>
      <c r="E63" s="119" t="s">
        <v>7</v>
      </c>
      <c r="F63" s="119" t="s">
        <v>8</v>
      </c>
      <c r="G63" s="119" t="s">
        <v>9</v>
      </c>
      <c r="H63" s="120">
        <f>H70+H64</f>
        <v>0</v>
      </c>
      <c r="L63" s="18">
        <v>7090.5</v>
      </c>
      <c r="M63" s="18">
        <v>7090.5</v>
      </c>
      <c r="N63" s="18">
        <v>7090.5</v>
      </c>
      <c r="O63" s="18">
        <f t="shared" ref="O63:O68" si="4">H63-L63</f>
        <v>-7090.5</v>
      </c>
      <c r="P63" s="18" t="e">
        <f>#REF!-M63</f>
        <v>#REF!</v>
      </c>
      <c r="Q63" s="18" t="e">
        <f>#REF!-N63</f>
        <v>#REF!</v>
      </c>
      <c r="R63" s="17" t="str">
        <f t="shared" si="1"/>
        <v>00 0 00 00000000</v>
      </c>
    </row>
    <row r="64" spans="1:18" s="6" customFormat="1" ht="15.75">
      <c r="A64" s="1"/>
      <c r="B64" s="121" t="s">
        <v>58</v>
      </c>
      <c r="C64" s="122" t="s">
        <v>6</v>
      </c>
      <c r="D64" s="123" t="s">
        <v>57</v>
      </c>
      <c r="E64" s="123" t="s">
        <v>11</v>
      </c>
      <c r="F64" s="123" t="s">
        <v>8</v>
      </c>
      <c r="G64" s="123" t="s">
        <v>9</v>
      </c>
      <c r="H64" s="124">
        <f>H65</f>
        <v>0</v>
      </c>
      <c r="L64" s="19">
        <v>5090.5</v>
      </c>
      <c r="M64" s="19">
        <v>5090.5</v>
      </c>
      <c r="N64" s="19">
        <v>5090.5</v>
      </c>
      <c r="O64" s="19">
        <f t="shared" si="4"/>
        <v>-5090.5</v>
      </c>
      <c r="P64" s="19" t="e">
        <f>#REF!-M64</f>
        <v>#REF!</v>
      </c>
      <c r="Q64" s="19" t="e">
        <f>#REF!-N64</f>
        <v>#REF!</v>
      </c>
      <c r="R64" s="17" t="str">
        <f t="shared" si="1"/>
        <v>00 0 00 00000000</v>
      </c>
    </row>
    <row r="65" spans="1:18" s="16" customFormat="1" ht="31.5">
      <c r="A65" s="14"/>
      <c r="B65" s="125" t="s">
        <v>14</v>
      </c>
      <c r="C65" s="109" t="s">
        <v>6</v>
      </c>
      <c r="D65" s="108" t="s">
        <v>57</v>
      </c>
      <c r="E65" s="108" t="s">
        <v>11</v>
      </c>
      <c r="F65" s="108" t="s">
        <v>15</v>
      </c>
      <c r="G65" s="108" t="s">
        <v>9</v>
      </c>
      <c r="H65" s="126">
        <f>H66</f>
        <v>0</v>
      </c>
      <c r="L65" s="20">
        <v>5090.5</v>
      </c>
      <c r="M65" s="20">
        <v>5090.5</v>
      </c>
      <c r="N65" s="20">
        <v>5090.5</v>
      </c>
      <c r="O65" s="20">
        <f t="shared" si="4"/>
        <v>-5090.5</v>
      </c>
      <c r="P65" s="20" t="e">
        <f>#REF!-M65</f>
        <v>#REF!</v>
      </c>
      <c r="Q65" s="20" t="e">
        <f>#REF!-N65</f>
        <v>#REF!</v>
      </c>
      <c r="R65" s="17" t="str">
        <f t="shared" si="1"/>
        <v>70 0 00 00000000</v>
      </c>
    </row>
    <row r="66" spans="1:18" s="16" customFormat="1" ht="15.75">
      <c r="A66" s="14"/>
      <c r="B66" s="125" t="s">
        <v>52</v>
      </c>
      <c r="C66" s="109" t="s">
        <v>6</v>
      </c>
      <c r="D66" s="108" t="s">
        <v>57</v>
      </c>
      <c r="E66" s="108" t="s">
        <v>11</v>
      </c>
      <c r="F66" s="108" t="s">
        <v>53</v>
      </c>
      <c r="G66" s="108" t="s">
        <v>9</v>
      </c>
      <c r="H66" s="126">
        <f t="shared" ref="H66:H67" si="5">H67</f>
        <v>0</v>
      </c>
      <c r="L66" s="20">
        <v>5090.5</v>
      </c>
      <c r="M66" s="20">
        <v>5090.5</v>
      </c>
      <c r="N66" s="20">
        <v>5090.5</v>
      </c>
      <c r="O66" s="20">
        <f t="shared" si="4"/>
        <v>-5090.5</v>
      </c>
      <c r="P66" s="20" t="e">
        <f>#REF!-M66</f>
        <v>#REF!</v>
      </c>
      <c r="Q66" s="20" t="e">
        <f>#REF!-N66</f>
        <v>#REF!</v>
      </c>
      <c r="R66" s="17" t="str">
        <f t="shared" si="1"/>
        <v>70 4 00 00000000</v>
      </c>
    </row>
    <row r="67" spans="1:18" s="16" customFormat="1" ht="31.5">
      <c r="A67" s="14"/>
      <c r="B67" s="125" t="s">
        <v>59</v>
      </c>
      <c r="C67" s="109" t="s">
        <v>6</v>
      </c>
      <c r="D67" s="108" t="s">
        <v>57</v>
      </c>
      <c r="E67" s="108" t="s">
        <v>11</v>
      </c>
      <c r="F67" s="108" t="s">
        <v>60</v>
      </c>
      <c r="G67" s="108" t="s">
        <v>9</v>
      </c>
      <c r="H67" s="126">
        <f t="shared" si="5"/>
        <v>0</v>
      </c>
      <c r="L67" s="20">
        <v>5090.5</v>
      </c>
      <c r="M67" s="20">
        <v>5090.5</v>
      </c>
      <c r="N67" s="20">
        <v>5090.5</v>
      </c>
      <c r="O67" s="20">
        <f t="shared" si="4"/>
        <v>-5090.5</v>
      </c>
      <c r="P67" s="20" t="e">
        <f>#REF!-M67</f>
        <v>#REF!</v>
      </c>
      <c r="Q67" s="20" t="e">
        <f>#REF!-N67</f>
        <v>#REF!</v>
      </c>
      <c r="R67" s="17" t="str">
        <f t="shared" si="1"/>
        <v>70 4 00 98710000</v>
      </c>
    </row>
    <row r="68" spans="1:18" s="16" customFormat="1" ht="31.5">
      <c r="A68" s="14"/>
      <c r="B68" s="125" t="s">
        <v>28</v>
      </c>
      <c r="C68" s="109" t="s">
        <v>6</v>
      </c>
      <c r="D68" s="108" t="s">
        <v>57</v>
      </c>
      <c r="E68" s="108" t="s">
        <v>11</v>
      </c>
      <c r="F68" s="108" t="s">
        <v>60</v>
      </c>
      <c r="G68" s="108" t="s">
        <v>29</v>
      </c>
      <c r="H68" s="126">
        <f>H69</f>
        <v>0</v>
      </c>
      <c r="L68" s="20">
        <v>5090.5</v>
      </c>
      <c r="M68" s="20">
        <v>5090.5</v>
      </c>
      <c r="N68" s="20">
        <v>5090.5</v>
      </c>
      <c r="O68" s="20">
        <f t="shared" si="4"/>
        <v>-5090.5</v>
      </c>
      <c r="P68" s="20" t="e">
        <f>#REF!-M68</f>
        <v>#REF!</v>
      </c>
      <c r="Q68" s="20" t="e">
        <f>#REF!-N68</f>
        <v>#REF!</v>
      </c>
      <c r="R68" s="17" t="str">
        <f t="shared" si="1"/>
        <v>70 4 00 98710240</v>
      </c>
    </row>
    <row r="69" spans="1:18" s="16" customFormat="1" ht="15.75">
      <c r="A69" s="14"/>
      <c r="B69" s="125" t="s">
        <v>30</v>
      </c>
      <c r="C69" s="109" t="s">
        <v>6</v>
      </c>
      <c r="D69" s="108" t="s">
        <v>57</v>
      </c>
      <c r="E69" s="108" t="s">
        <v>11</v>
      </c>
      <c r="F69" s="108" t="s">
        <v>60</v>
      </c>
      <c r="G69" s="108" t="s">
        <v>31</v>
      </c>
      <c r="H69" s="126"/>
      <c r="L69" s="20"/>
      <c r="M69" s="20"/>
      <c r="N69" s="20"/>
      <c r="O69" s="20"/>
      <c r="P69" s="20"/>
      <c r="Q69" s="20"/>
      <c r="R69" s="17" t="str">
        <f t="shared" si="1"/>
        <v>70 4 00 98710244</v>
      </c>
    </row>
    <row r="70" spans="1:18" s="16" customFormat="1" ht="15.75">
      <c r="A70" s="14"/>
      <c r="B70" s="121" t="s">
        <v>61</v>
      </c>
      <c r="C70" s="122" t="s">
        <v>6</v>
      </c>
      <c r="D70" s="123" t="s">
        <v>57</v>
      </c>
      <c r="E70" s="123" t="s">
        <v>62</v>
      </c>
      <c r="F70" s="123" t="s">
        <v>8</v>
      </c>
      <c r="G70" s="123" t="s">
        <v>9</v>
      </c>
      <c r="H70" s="124">
        <f t="shared" ref="H70" si="6">H71</f>
        <v>0</v>
      </c>
      <c r="L70" s="19">
        <v>2000</v>
      </c>
      <c r="M70" s="19">
        <v>2000</v>
      </c>
      <c r="N70" s="19">
        <v>2000</v>
      </c>
      <c r="O70" s="19">
        <f>H70-L70</f>
        <v>-2000</v>
      </c>
      <c r="P70" s="19" t="e">
        <f>#REF!-M70</f>
        <v>#REF!</v>
      </c>
      <c r="Q70" s="19" t="e">
        <f>#REF!-N70</f>
        <v>#REF!</v>
      </c>
      <c r="R70" s="17" t="str">
        <f t="shared" si="1"/>
        <v>00 0 00 00000000</v>
      </c>
    </row>
    <row r="71" spans="1:18" s="16" customFormat="1" ht="31.5">
      <c r="A71" s="14"/>
      <c r="B71" s="125" t="s">
        <v>14</v>
      </c>
      <c r="C71" s="109" t="s">
        <v>6</v>
      </c>
      <c r="D71" s="108" t="s">
        <v>57</v>
      </c>
      <c r="E71" s="108" t="s">
        <v>62</v>
      </c>
      <c r="F71" s="108" t="s">
        <v>15</v>
      </c>
      <c r="G71" s="108" t="s">
        <v>9</v>
      </c>
      <c r="H71" s="126">
        <f>H72</f>
        <v>0</v>
      </c>
      <c r="L71" s="20">
        <v>2000</v>
      </c>
      <c r="M71" s="20">
        <v>2000</v>
      </c>
      <c r="N71" s="20">
        <v>2000</v>
      </c>
      <c r="O71" s="20">
        <f>H71-L71</f>
        <v>-2000</v>
      </c>
      <c r="P71" s="20" t="e">
        <f>#REF!-M71</f>
        <v>#REF!</v>
      </c>
      <c r="Q71" s="20" t="e">
        <f>#REF!-N71</f>
        <v>#REF!</v>
      </c>
      <c r="R71" s="17" t="str">
        <f t="shared" si="1"/>
        <v>70 0 00 00000000</v>
      </c>
    </row>
    <row r="72" spans="1:18" s="16" customFormat="1" ht="15.75">
      <c r="A72" s="14"/>
      <c r="B72" s="125" t="s">
        <v>52</v>
      </c>
      <c r="C72" s="109" t="s">
        <v>6</v>
      </c>
      <c r="D72" s="108" t="s">
        <v>57</v>
      </c>
      <c r="E72" s="108" t="s">
        <v>62</v>
      </c>
      <c r="F72" s="108" t="s">
        <v>53</v>
      </c>
      <c r="G72" s="108" t="s">
        <v>9</v>
      </c>
      <c r="H72" s="126">
        <f>H73</f>
        <v>0</v>
      </c>
      <c r="L72" s="20">
        <v>2000</v>
      </c>
      <c r="M72" s="20">
        <v>2000</v>
      </c>
      <c r="N72" s="20">
        <v>2000</v>
      </c>
      <c r="O72" s="20">
        <f>H72-L72</f>
        <v>-2000</v>
      </c>
      <c r="P72" s="20" t="e">
        <f>#REF!-M72</f>
        <v>#REF!</v>
      </c>
      <c r="Q72" s="20" t="e">
        <f>#REF!-N72</f>
        <v>#REF!</v>
      </c>
      <c r="R72" s="17" t="str">
        <f t="shared" si="1"/>
        <v>70 4 00 00000000</v>
      </c>
    </row>
    <row r="73" spans="1:18" s="16" customFormat="1" ht="31.5">
      <c r="A73" s="14"/>
      <c r="B73" s="125" t="s">
        <v>59</v>
      </c>
      <c r="C73" s="109" t="s">
        <v>6</v>
      </c>
      <c r="D73" s="108" t="s">
        <v>57</v>
      </c>
      <c r="E73" s="108" t="s">
        <v>62</v>
      </c>
      <c r="F73" s="108" t="s">
        <v>60</v>
      </c>
      <c r="G73" s="108" t="s">
        <v>9</v>
      </c>
      <c r="H73" s="126">
        <f>H74</f>
        <v>0</v>
      </c>
      <c r="L73" s="20">
        <v>2000</v>
      </c>
      <c r="M73" s="20">
        <v>2000</v>
      </c>
      <c r="N73" s="20">
        <v>2000</v>
      </c>
      <c r="O73" s="20">
        <f>H73-L73</f>
        <v>-2000</v>
      </c>
      <c r="P73" s="20" t="e">
        <f>#REF!-M73</f>
        <v>#REF!</v>
      </c>
      <c r="Q73" s="20" t="e">
        <f>#REF!-N73</f>
        <v>#REF!</v>
      </c>
      <c r="R73" s="17" t="str">
        <f t="shared" si="1"/>
        <v>70 4 00 98710000</v>
      </c>
    </row>
    <row r="74" spans="1:18" s="16" customFormat="1" ht="31.5">
      <c r="A74" s="14"/>
      <c r="B74" s="125" t="s">
        <v>28</v>
      </c>
      <c r="C74" s="109" t="s">
        <v>6</v>
      </c>
      <c r="D74" s="108" t="s">
        <v>57</v>
      </c>
      <c r="E74" s="108" t="s">
        <v>62</v>
      </c>
      <c r="F74" s="108" t="s">
        <v>60</v>
      </c>
      <c r="G74" s="108" t="s">
        <v>29</v>
      </c>
      <c r="H74" s="126">
        <f>H75</f>
        <v>0</v>
      </c>
      <c r="L74" s="20">
        <v>2000</v>
      </c>
      <c r="M74" s="20">
        <v>2000</v>
      </c>
      <c r="N74" s="20">
        <v>2000</v>
      </c>
      <c r="O74" s="20">
        <f>H74-L74</f>
        <v>-2000</v>
      </c>
      <c r="P74" s="20" t="e">
        <f>#REF!-M74</f>
        <v>#REF!</v>
      </c>
      <c r="Q74" s="20" t="e">
        <f>#REF!-N74</f>
        <v>#REF!</v>
      </c>
      <c r="R74" s="17" t="str">
        <f t="shared" si="1"/>
        <v>70 4 00 98710240</v>
      </c>
    </row>
    <row r="75" spans="1:18" s="16" customFormat="1" ht="15.75">
      <c r="A75" s="14"/>
      <c r="B75" s="125" t="s">
        <v>30</v>
      </c>
      <c r="C75" s="109" t="s">
        <v>6</v>
      </c>
      <c r="D75" s="108" t="s">
        <v>57</v>
      </c>
      <c r="E75" s="108" t="s">
        <v>62</v>
      </c>
      <c r="F75" s="108" t="s">
        <v>60</v>
      </c>
      <c r="G75" s="108" t="s">
        <v>31</v>
      </c>
      <c r="H75" s="126"/>
      <c r="L75" s="20"/>
      <c r="M75" s="20"/>
      <c r="N75" s="20"/>
      <c r="O75" s="20"/>
      <c r="P75" s="20"/>
      <c r="Q75" s="20"/>
      <c r="R75" s="17" t="str">
        <f t="shared" si="1"/>
        <v>70 4 00 98710244</v>
      </c>
    </row>
    <row r="76" spans="1:18" s="16" customFormat="1" ht="15.75">
      <c r="A76" s="14"/>
      <c r="B76" s="125"/>
      <c r="C76" s="109"/>
      <c r="D76" s="108"/>
      <c r="E76" s="108"/>
      <c r="F76" s="108"/>
      <c r="G76" s="108"/>
      <c r="H76" s="126"/>
      <c r="L76" s="20"/>
      <c r="M76" s="20"/>
      <c r="N76" s="20"/>
      <c r="O76" s="20">
        <f t="shared" ref="O76:O83" si="7">H76-L76</f>
        <v>0</v>
      </c>
      <c r="P76" s="20" t="e">
        <f>#REF!-M76</f>
        <v>#REF!</v>
      </c>
      <c r="Q76" s="20" t="e">
        <f>#REF!-N76</f>
        <v>#REF!</v>
      </c>
      <c r="R76" s="17" t="str">
        <f t="shared" si="1"/>
        <v/>
      </c>
    </row>
    <row r="77" spans="1:18" s="16" customFormat="1" ht="15.75">
      <c r="A77" s="14"/>
      <c r="B77" s="67" t="s">
        <v>63</v>
      </c>
      <c r="C77" s="116" t="s">
        <v>64</v>
      </c>
      <c r="D77" s="69" t="s">
        <v>7</v>
      </c>
      <c r="E77" s="69" t="s">
        <v>7</v>
      </c>
      <c r="F77" s="69" t="s">
        <v>8</v>
      </c>
      <c r="G77" s="69" t="s">
        <v>9</v>
      </c>
      <c r="H77" s="70">
        <f>H78+H225+H255+H263+H271</f>
        <v>0</v>
      </c>
      <c r="L77" s="25">
        <v>289884.67</v>
      </c>
      <c r="M77" s="25">
        <v>273496.95</v>
      </c>
      <c r="N77" s="25">
        <v>273550.05</v>
      </c>
      <c r="O77" s="25">
        <f t="shared" si="7"/>
        <v>-289884.67</v>
      </c>
      <c r="P77" s="25" t="e">
        <f>#REF!-M77</f>
        <v>#REF!</v>
      </c>
      <c r="Q77" s="25" t="e">
        <f>#REF!-N77</f>
        <v>#REF!</v>
      </c>
      <c r="R77" s="17" t="str">
        <f t="shared" si="1"/>
        <v>00 0 00 00000000</v>
      </c>
    </row>
    <row r="78" spans="1:18" s="16" customFormat="1" ht="15.75">
      <c r="A78" s="14"/>
      <c r="B78" s="117" t="s">
        <v>10</v>
      </c>
      <c r="C78" s="118" t="s">
        <v>64</v>
      </c>
      <c r="D78" s="119" t="s">
        <v>11</v>
      </c>
      <c r="E78" s="119" t="s">
        <v>7</v>
      </c>
      <c r="F78" s="119" t="s">
        <v>8</v>
      </c>
      <c r="G78" s="119" t="s">
        <v>9</v>
      </c>
      <c r="H78" s="120">
        <f>H90+H115+H121+H79</f>
        <v>0</v>
      </c>
      <c r="L78" s="18">
        <v>255808.66999999998</v>
      </c>
      <c r="M78" s="18">
        <v>239420.95</v>
      </c>
      <c r="N78" s="18">
        <v>239474.05</v>
      </c>
      <c r="O78" s="18">
        <f t="shared" si="7"/>
        <v>-255808.66999999998</v>
      </c>
      <c r="P78" s="18" t="e">
        <f>#REF!-M78</f>
        <v>#REF!</v>
      </c>
      <c r="Q78" s="18" t="e">
        <f>#REF!-N78</f>
        <v>#REF!</v>
      </c>
      <c r="R78" s="17" t="str">
        <f t="shared" si="1"/>
        <v>00 0 00 00000000</v>
      </c>
    </row>
    <row r="79" spans="1:18" s="16" customFormat="1" ht="47.25">
      <c r="A79" s="14"/>
      <c r="B79" s="121" t="s">
        <v>65</v>
      </c>
      <c r="C79" s="122" t="s">
        <v>64</v>
      </c>
      <c r="D79" s="123" t="s">
        <v>11</v>
      </c>
      <c r="E79" s="123" t="s">
        <v>62</v>
      </c>
      <c r="F79" s="123" t="s">
        <v>8</v>
      </c>
      <c r="G79" s="123" t="s">
        <v>9</v>
      </c>
      <c r="H79" s="124">
        <f>H80</f>
        <v>0</v>
      </c>
      <c r="L79" s="19">
        <v>1593.55</v>
      </c>
      <c r="M79" s="19">
        <v>1593.55</v>
      </c>
      <c r="N79" s="19">
        <v>1593.55</v>
      </c>
      <c r="O79" s="19">
        <f t="shared" si="7"/>
        <v>-1593.55</v>
      </c>
      <c r="P79" s="19" t="e">
        <f>#REF!-M79</f>
        <v>#REF!</v>
      </c>
      <c r="Q79" s="19" t="e">
        <f>#REF!-N79</f>
        <v>#REF!</v>
      </c>
      <c r="R79" s="17" t="str">
        <f t="shared" si="1"/>
        <v>00 0 00 00000000</v>
      </c>
    </row>
    <row r="80" spans="1:18" s="16" customFormat="1" ht="31.5">
      <c r="A80" s="14"/>
      <c r="B80" s="129" t="s">
        <v>66</v>
      </c>
      <c r="C80" s="109" t="s">
        <v>64</v>
      </c>
      <c r="D80" s="108" t="s">
        <v>11</v>
      </c>
      <c r="E80" s="108" t="s">
        <v>62</v>
      </c>
      <c r="F80" s="108" t="s">
        <v>67</v>
      </c>
      <c r="G80" s="108" t="s">
        <v>9</v>
      </c>
      <c r="H80" s="126">
        <f>H81</f>
        <v>0</v>
      </c>
      <c r="L80" s="20">
        <v>1593.55</v>
      </c>
      <c r="M80" s="20">
        <v>1593.55</v>
      </c>
      <c r="N80" s="20">
        <v>1593.55</v>
      </c>
      <c r="O80" s="20">
        <f t="shared" si="7"/>
        <v>-1593.55</v>
      </c>
      <c r="P80" s="20" t="e">
        <f>#REF!-M80</f>
        <v>#REF!</v>
      </c>
      <c r="Q80" s="20" t="e">
        <f>#REF!-N80</f>
        <v>#REF!</v>
      </c>
      <c r="R80" s="17" t="str">
        <f t="shared" si="1"/>
        <v>71 0 00 00000000</v>
      </c>
    </row>
    <row r="81" spans="1:18" s="16" customFormat="1" ht="15.75">
      <c r="A81" s="14"/>
      <c r="B81" s="125" t="s">
        <v>68</v>
      </c>
      <c r="C81" s="109" t="s">
        <v>64</v>
      </c>
      <c r="D81" s="108" t="s">
        <v>11</v>
      </c>
      <c r="E81" s="108" t="s">
        <v>62</v>
      </c>
      <c r="F81" s="108" t="s">
        <v>69</v>
      </c>
      <c r="G81" s="108" t="s">
        <v>9</v>
      </c>
      <c r="H81" s="126">
        <f>H82+H86</f>
        <v>0</v>
      </c>
      <c r="L81" s="20">
        <v>1593.55</v>
      </c>
      <c r="M81" s="20">
        <v>1593.55</v>
      </c>
      <c r="N81" s="20">
        <v>1593.55</v>
      </c>
      <c r="O81" s="20">
        <f t="shared" si="7"/>
        <v>-1593.55</v>
      </c>
      <c r="P81" s="20" t="e">
        <f>#REF!-M81</f>
        <v>#REF!</v>
      </c>
      <c r="Q81" s="20" t="e">
        <f>#REF!-N81</f>
        <v>#REF!</v>
      </c>
      <c r="R81" s="17" t="str">
        <f t="shared" si="1"/>
        <v>71 2 00 00000000</v>
      </c>
    </row>
    <row r="82" spans="1:18" s="16" customFormat="1" ht="31.5">
      <c r="A82" s="14"/>
      <c r="B82" s="125" t="s">
        <v>18</v>
      </c>
      <c r="C82" s="109" t="s">
        <v>64</v>
      </c>
      <c r="D82" s="108" t="s">
        <v>11</v>
      </c>
      <c r="E82" s="108" t="s">
        <v>62</v>
      </c>
      <c r="F82" s="108" t="s">
        <v>70</v>
      </c>
      <c r="G82" s="108" t="s">
        <v>9</v>
      </c>
      <c r="H82" s="126">
        <f>H83</f>
        <v>0</v>
      </c>
      <c r="L82" s="20">
        <v>41.55</v>
      </c>
      <c r="M82" s="20">
        <v>41.55</v>
      </c>
      <c r="N82" s="20">
        <v>41.55</v>
      </c>
      <c r="O82" s="20">
        <f t="shared" si="7"/>
        <v>-41.55</v>
      </c>
      <c r="P82" s="20" t="e">
        <f>#REF!-M82</f>
        <v>#REF!</v>
      </c>
      <c r="Q82" s="20" t="e">
        <f>#REF!-N82</f>
        <v>#REF!</v>
      </c>
      <c r="R82" s="17" t="str">
        <f t="shared" si="1"/>
        <v>71 2 00 10010000</v>
      </c>
    </row>
    <row r="83" spans="1:18" s="16" customFormat="1" ht="31.5">
      <c r="A83" s="14"/>
      <c r="B83" s="127" t="s">
        <v>20</v>
      </c>
      <c r="C83" s="109" t="s">
        <v>64</v>
      </c>
      <c r="D83" s="108" t="s">
        <v>11</v>
      </c>
      <c r="E83" s="108" t="s">
        <v>62</v>
      </c>
      <c r="F83" s="108" t="s">
        <v>70</v>
      </c>
      <c r="G83" s="108" t="s">
        <v>21</v>
      </c>
      <c r="H83" s="126">
        <f>SUM(H84:H85)</f>
        <v>0</v>
      </c>
      <c r="L83" s="20">
        <v>41.55</v>
      </c>
      <c r="M83" s="20">
        <v>41.55</v>
      </c>
      <c r="N83" s="20">
        <v>41.55</v>
      </c>
      <c r="O83" s="20">
        <f t="shared" si="7"/>
        <v>-41.55</v>
      </c>
      <c r="P83" s="20" t="e">
        <f>#REF!-M83</f>
        <v>#REF!</v>
      </c>
      <c r="Q83" s="20" t="e">
        <f>#REF!-N83</f>
        <v>#REF!</v>
      </c>
      <c r="R83" s="17" t="str">
        <f t="shared" si="1"/>
        <v>71 2 00 10010120</v>
      </c>
    </row>
    <row r="84" spans="1:18" s="23" customFormat="1" ht="47.25">
      <c r="A84" s="21"/>
      <c r="B84" s="127" t="s">
        <v>22</v>
      </c>
      <c r="C84" s="109" t="s">
        <v>64</v>
      </c>
      <c r="D84" s="108" t="s">
        <v>11</v>
      </c>
      <c r="E84" s="108" t="s">
        <v>62</v>
      </c>
      <c r="F84" s="108" t="s">
        <v>70</v>
      </c>
      <c r="G84" s="108" t="s">
        <v>23</v>
      </c>
      <c r="H84" s="126"/>
      <c r="L84" s="22"/>
      <c r="M84" s="22"/>
      <c r="N84" s="22"/>
      <c r="O84" s="22"/>
      <c r="P84" s="22"/>
      <c r="Q84" s="22"/>
      <c r="R84" s="24"/>
    </row>
    <row r="85" spans="1:18" s="23" customFormat="1" ht="63">
      <c r="A85" s="21"/>
      <c r="B85" s="127" t="s">
        <v>26</v>
      </c>
      <c r="C85" s="109" t="s">
        <v>64</v>
      </c>
      <c r="D85" s="108" t="s">
        <v>11</v>
      </c>
      <c r="E85" s="108" t="s">
        <v>62</v>
      </c>
      <c r="F85" s="108" t="s">
        <v>70</v>
      </c>
      <c r="G85" s="108" t="s">
        <v>27</v>
      </c>
      <c r="H85" s="126"/>
      <c r="L85" s="22"/>
      <c r="M85" s="22"/>
      <c r="N85" s="22"/>
      <c r="O85" s="22"/>
      <c r="P85" s="22"/>
      <c r="Q85" s="22"/>
      <c r="R85" s="24"/>
    </row>
    <row r="86" spans="1:18" s="16" customFormat="1" ht="31.5">
      <c r="A86" s="14"/>
      <c r="B86" s="125" t="s">
        <v>38</v>
      </c>
      <c r="C86" s="109" t="s">
        <v>64</v>
      </c>
      <c r="D86" s="108" t="s">
        <v>11</v>
      </c>
      <c r="E86" s="108" t="s">
        <v>62</v>
      </c>
      <c r="F86" s="108" t="s">
        <v>71</v>
      </c>
      <c r="G86" s="108" t="s">
        <v>9</v>
      </c>
      <c r="H86" s="126">
        <f>H87</f>
        <v>0</v>
      </c>
      <c r="L86" s="20">
        <v>1552</v>
      </c>
      <c r="M86" s="20">
        <v>1552</v>
      </c>
      <c r="N86" s="20">
        <v>1552</v>
      </c>
      <c r="O86" s="20">
        <f>H86-L86</f>
        <v>-1552</v>
      </c>
      <c r="P86" s="20" t="e">
        <f>#REF!-M86</f>
        <v>#REF!</v>
      </c>
      <c r="Q86" s="20" t="e">
        <f>#REF!-N86</f>
        <v>#REF!</v>
      </c>
      <c r="R86" s="17" t="str">
        <f t="shared" si="1"/>
        <v>71 2 00 10020000</v>
      </c>
    </row>
    <row r="87" spans="1:18" s="16" customFormat="1" ht="31.5">
      <c r="A87" s="14"/>
      <c r="B87" s="127" t="s">
        <v>20</v>
      </c>
      <c r="C87" s="109" t="s">
        <v>64</v>
      </c>
      <c r="D87" s="108" t="s">
        <v>11</v>
      </c>
      <c r="E87" s="108" t="s">
        <v>62</v>
      </c>
      <c r="F87" s="108" t="s">
        <v>71</v>
      </c>
      <c r="G87" s="108" t="s">
        <v>21</v>
      </c>
      <c r="H87" s="126">
        <f>SUM(H88:H89)</f>
        <v>0</v>
      </c>
      <c r="L87" s="20">
        <v>1552</v>
      </c>
      <c r="M87" s="20">
        <v>1552</v>
      </c>
      <c r="N87" s="20">
        <v>1552</v>
      </c>
      <c r="O87" s="20">
        <f>H87-L87</f>
        <v>-1552</v>
      </c>
      <c r="P87" s="20" t="e">
        <f>#REF!-M87</f>
        <v>#REF!</v>
      </c>
      <c r="Q87" s="20" t="e">
        <f>#REF!-N87</f>
        <v>#REF!</v>
      </c>
      <c r="R87" s="17" t="str">
        <f t="shared" si="1"/>
        <v>71 2 00 10020120</v>
      </c>
    </row>
    <row r="88" spans="1:18" s="23" customFormat="1" ht="31.5">
      <c r="A88" s="21"/>
      <c r="B88" s="127" t="s">
        <v>40</v>
      </c>
      <c r="C88" s="109" t="s">
        <v>64</v>
      </c>
      <c r="D88" s="108" t="s">
        <v>11</v>
      </c>
      <c r="E88" s="108" t="s">
        <v>62</v>
      </c>
      <c r="F88" s="108" t="s">
        <v>71</v>
      </c>
      <c r="G88" s="108" t="s">
        <v>41</v>
      </c>
      <c r="H88" s="126"/>
      <c r="L88" s="22"/>
      <c r="M88" s="22"/>
      <c r="N88" s="22"/>
      <c r="O88" s="22"/>
      <c r="P88" s="22"/>
      <c r="Q88" s="22"/>
      <c r="R88" s="24"/>
    </row>
    <row r="89" spans="1:18" s="23" customFormat="1" ht="63">
      <c r="A89" s="21"/>
      <c r="B89" s="127" t="s">
        <v>26</v>
      </c>
      <c r="C89" s="109" t="s">
        <v>64</v>
      </c>
      <c r="D89" s="108" t="s">
        <v>11</v>
      </c>
      <c r="E89" s="108" t="s">
        <v>62</v>
      </c>
      <c r="F89" s="108" t="s">
        <v>71</v>
      </c>
      <c r="G89" s="108" t="s">
        <v>27</v>
      </c>
      <c r="H89" s="126"/>
      <c r="L89" s="22"/>
      <c r="M89" s="22"/>
      <c r="N89" s="22"/>
      <c r="O89" s="22"/>
      <c r="P89" s="22"/>
      <c r="Q89" s="22"/>
      <c r="R89" s="24"/>
    </row>
    <row r="90" spans="1:18" s="16" customFormat="1" ht="63">
      <c r="A90" s="14"/>
      <c r="B90" s="121" t="s">
        <v>72</v>
      </c>
      <c r="C90" s="122" t="s">
        <v>64</v>
      </c>
      <c r="D90" s="123" t="s">
        <v>11</v>
      </c>
      <c r="E90" s="123" t="s">
        <v>73</v>
      </c>
      <c r="F90" s="123" t="s">
        <v>8</v>
      </c>
      <c r="G90" s="123" t="s">
        <v>9</v>
      </c>
      <c r="H90" s="124">
        <f>H91</f>
        <v>0</v>
      </c>
      <c r="L90" s="19">
        <v>106659.61</v>
      </c>
      <c r="M90" s="19">
        <v>106659.61</v>
      </c>
      <c r="N90" s="19">
        <v>106659.61</v>
      </c>
      <c r="O90" s="19">
        <f>H90-L90</f>
        <v>-106659.61</v>
      </c>
      <c r="P90" s="19" t="e">
        <f>#REF!-M90</f>
        <v>#REF!</v>
      </c>
      <c r="Q90" s="19" t="e">
        <f>#REF!-N90</f>
        <v>#REF!</v>
      </c>
      <c r="R90" s="17" t="str">
        <f t="shared" si="1"/>
        <v>00 0 00 00000000</v>
      </c>
    </row>
    <row r="91" spans="1:18" s="16" customFormat="1" ht="31.5">
      <c r="A91" s="14"/>
      <c r="B91" s="129" t="s">
        <v>66</v>
      </c>
      <c r="C91" s="109" t="s">
        <v>64</v>
      </c>
      <c r="D91" s="108" t="s">
        <v>11</v>
      </c>
      <c r="E91" s="108" t="s">
        <v>73</v>
      </c>
      <c r="F91" s="108" t="s">
        <v>67</v>
      </c>
      <c r="G91" s="108" t="s">
        <v>9</v>
      </c>
      <c r="H91" s="126">
        <f>H92</f>
        <v>0</v>
      </c>
      <c r="L91" s="20">
        <v>106659.61</v>
      </c>
      <c r="M91" s="20">
        <v>106659.61</v>
      </c>
      <c r="N91" s="20">
        <v>106659.61</v>
      </c>
      <c r="O91" s="20">
        <f>H91-L91</f>
        <v>-106659.61</v>
      </c>
      <c r="P91" s="20" t="e">
        <f>#REF!-M91</f>
        <v>#REF!</v>
      </c>
      <c r="Q91" s="20" t="e">
        <f>#REF!-N91</f>
        <v>#REF!</v>
      </c>
      <c r="R91" s="17" t="str">
        <f t="shared" si="1"/>
        <v>71 0 00 00000000</v>
      </c>
    </row>
    <row r="92" spans="1:18" s="16" customFormat="1" ht="31.5">
      <c r="A92" s="14"/>
      <c r="B92" s="129" t="s">
        <v>74</v>
      </c>
      <c r="C92" s="109" t="s">
        <v>64</v>
      </c>
      <c r="D92" s="108" t="s">
        <v>11</v>
      </c>
      <c r="E92" s="108" t="s">
        <v>73</v>
      </c>
      <c r="F92" s="108" t="s">
        <v>75</v>
      </c>
      <c r="G92" s="108" t="s">
        <v>9</v>
      </c>
      <c r="H92" s="126">
        <f>H93+H102+H106+H112</f>
        <v>0</v>
      </c>
      <c r="L92" s="20">
        <v>106659.61</v>
      </c>
      <c r="M92" s="20">
        <v>106659.61</v>
      </c>
      <c r="N92" s="20">
        <v>106659.61</v>
      </c>
      <c r="O92" s="20">
        <f>H92-L92</f>
        <v>-106659.61</v>
      </c>
      <c r="P92" s="20" t="e">
        <f>#REF!-M92</f>
        <v>#REF!</v>
      </c>
      <c r="Q92" s="20" t="e">
        <f>#REF!-N92</f>
        <v>#REF!</v>
      </c>
      <c r="R92" s="17" t="str">
        <f t="shared" si="1"/>
        <v>71 1 00 00000000</v>
      </c>
    </row>
    <row r="93" spans="1:18" s="16" customFormat="1" ht="31.5">
      <c r="A93" s="14"/>
      <c r="B93" s="129" t="s">
        <v>18</v>
      </c>
      <c r="C93" s="130" t="s">
        <v>64</v>
      </c>
      <c r="D93" s="131" t="s">
        <v>11</v>
      </c>
      <c r="E93" s="131" t="s">
        <v>73</v>
      </c>
      <c r="F93" s="131" t="s">
        <v>76</v>
      </c>
      <c r="G93" s="131" t="s">
        <v>9</v>
      </c>
      <c r="H93" s="105">
        <f>H94+H97+H99</f>
        <v>0</v>
      </c>
      <c r="L93" s="26">
        <v>12140.56</v>
      </c>
      <c r="M93" s="26">
        <v>12140.56</v>
      </c>
      <c r="N93" s="26">
        <v>12140.56</v>
      </c>
      <c r="O93" s="26">
        <f>H93-L93</f>
        <v>-12140.56</v>
      </c>
      <c r="P93" s="26" t="e">
        <f>#REF!-M93</f>
        <v>#REF!</v>
      </c>
      <c r="Q93" s="26" t="e">
        <f>#REF!-N93</f>
        <v>#REF!</v>
      </c>
      <c r="R93" s="17" t="str">
        <f t="shared" si="1"/>
        <v>71 1 00 10010000</v>
      </c>
    </row>
    <row r="94" spans="1:18" s="16" customFormat="1" ht="31.5">
      <c r="A94" s="14"/>
      <c r="B94" s="127" t="s">
        <v>20</v>
      </c>
      <c r="C94" s="130" t="s">
        <v>64</v>
      </c>
      <c r="D94" s="131" t="s">
        <v>11</v>
      </c>
      <c r="E94" s="131" t="s">
        <v>73</v>
      </c>
      <c r="F94" s="131" t="s">
        <v>76</v>
      </c>
      <c r="G94" s="108" t="s">
        <v>21</v>
      </c>
      <c r="H94" s="126">
        <f>SUM(H95:H96)</f>
        <v>0</v>
      </c>
      <c r="L94" s="20">
        <v>4414.8999999999996</v>
      </c>
      <c r="M94" s="20">
        <v>4414.8999999999996</v>
      </c>
      <c r="N94" s="20">
        <v>4414.8999999999996</v>
      </c>
      <c r="O94" s="20">
        <f>H94-L94</f>
        <v>-4414.8999999999996</v>
      </c>
      <c r="P94" s="20" t="e">
        <f>#REF!-M94</f>
        <v>#REF!</v>
      </c>
      <c r="Q94" s="20" t="e">
        <f>#REF!-N94</f>
        <v>#REF!</v>
      </c>
      <c r="R94" s="17" t="str">
        <f t="shared" si="1"/>
        <v>71 1 00 10010120</v>
      </c>
    </row>
    <row r="95" spans="1:18" s="23" customFormat="1" ht="47.25">
      <c r="A95" s="21"/>
      <c r="B95" s="127" t="s">
        <v>22</v>
      </c>
      <c r="C95" s="130" t="s">
        <v>64</v>
      </c>
      <c r="D95" s="131" t="s">
        <v>11</v>
      </c>
      <c r="E95" s="131" t="s">
        <v>73</v>
      </c>
      <c r="F95" s="131" t="s">
        <v>76</v>
      </c>
      <c r="G95" s="108" t="s">
        <v>23</v>
      </c>
      <c r="H95" s="126"/>
      <c r="L95" s="22"/>
      <c r="M95" s="22"/>
      <c r="N95" s="22"/>
      <c r="O95" s="22"/>
      <c r="P95" s="22"/>
      <c r="Q95" s="22"/>
      <c r="R95" s="24"/>
    </row>
    <row r="96" spans="1:18" s="23" customFormat="1" ht="63">
      <c r="A96" s="21"/>
      <c r="B96" s="127" t="s">
        <v>26</v>
      </c>
      <c r="C96" s="130" t="s">
        <v>64</v>
      </c>
      <c r="D96" s="131" t="s">
        <v>11</v>
      </c>
      <c r="E96" s="131" t="s">
        <v>73</v>
      </c>
      <c r="F96" s="131" t="s">
        <v>76</v>
      </c>
      <c r="G96" s="108" t="s">
        <v>27</v>
      </c>
      <c r="H96" s="126"/>
      <c r="L96" s="22"/>
      <c r="M96" s="22"/>
      <c r="N96" s="22"/>
      <c r="O96" s="22"/>
      <c r="P96" s="22"/>
      <c r="Q96" s="22"/>
      <c r="R96" s="24"/>
    </row>
    <row r="97" spans="1:18" s="16" customFormat="1" ht="31.5">
      <c r="A97" s="14"/>
      <c r="B97" s="125" t="s">
        <v>28</v>
      </c>
      <c r="C97" s="130" t="s">
        <v>64</v>
      </c>
      <c r="D97" s="131" t="s">
        <v>11</v>
      </c>
      <c r="E97" s="131" t="s">
        <v>73</v>
      </c>
      <c r="F97" s="131" t="s">
        <v>76</v>
      </c>
      <c r="G97" s="108" t="s">
        <v>29</v>
      </c>
      <c r="H97" s="126">
        <f>H98</f>
        <v>0</v>
      </c>
      <c r="L97" s="20">
        <v>7701.66</v>
      </c>
      <c r="M97" s="20">
        <v>7701.66</v>
      </c>
      <c r="N97" s="20">
        <v>7701.66</v>
      </c>
      <c r="O97" s="20">
        <f>H97-L97</f>
        <v>-7701.66</v>
      </c>
      <c r="P97" s="20" t="e">
        <f>#REF!-M97</f>
        <v>#REF!</v>
      </c>
      <c r="Q97" s="20" t="e">
        <f>#REF!-N97</f>
        <v>#REF!</v>
      </c>
      <c r="R97" s="17" t="str">
        <f t="shared" si="1"/>
        <v>71 1 00 10010240</v>
      </c>
    </row>
    <row r="98" spans="1:18" s="16" customFormat="1" ht="15.75">
      <c r="A98" s="14"/>
      <c r="B98" s="125" t="s">
        <v>30</v>
      </c>
      <c r="C98" s="130" t="s">
        <v>64</v>
      </c>
      <c r="D98" s="131" t="s">
        <v>11</v>
      </c>
      <c r="E98" s="131" t="s">
        <v>73</v>
      </c>
      <c r="F98" s="131" t="s">
        <v>76</v>
      </c>
      <c r="G98" s="108" t="s">
        <v>31</v>
      </c>
      <c r="H98" s="126"/>
      <c r="L98" s="20"/>
      <c r="M98" s="20"/>
      <c r="N98" s="20"/>
      <c r="O98" s="20"/>
      <c r="P98" s="20"/>
      <c r="Q98" s="20"/>
      <c r="R98" s="17"/>
    </row>
    <row r="99" spans="1:18" s="16" customFormat="1" ht="15.75">
      <c r="A99" s="14"/>
      <c r="B99" s="125" t="s">
        <v>32</v>
      </c>
      <c r="C99" s="130" t="s">
        <v>64</v>
      </c>
      <c r="D99" s="131" t="s">
        <v>11</v>
      </c>
      <c r="E99" s="131" t="s">
        <v>73</v>
      </c>
      <c r="F99" s="131" t="s">
        <v>76</v>
      </c>
      <c r="G99" s="108" t="s">
        <v>33</v>
      </c>
      <c r="H99" s="126">
        <f>SUM(H100:H101)</f>
        <v>0</v>
      </c>
      <c r="L99" s="20">
        <v>24</v>
      </c>
      <c r="M99" s="20">
        <v>24</v>
      </c>
      <c r="N99" s="20">
        <v>24</v>
      </c>
      <c r="O99" s="20">
        <f>H99-L99</f>
        <v>-24</v>
      </c>
      <c r="P99" s="20" t="e">
        <f>#REF!-M99</f>
        <v>#REF!</v>
      </c>
      <c r="Q99" s="20" t="e">
        <f>#REF!-N99</f>
        <v>#REF!</v>
      </c>
      <c r="R99" s="17" t="str">
        <f t="shared" si="1"/>
        <v>71 1 00 10010850</v>
      </c>
    </row>
    <row r="100" spans="1:18" s="16" customFormat="1" ht="15.75">
      <c r="A100" s="14"/>
      <c r="B100" s="125" t="s">
        <v>36</v>
      </c>
      <c r="C100" s="109" t="s">
        <v>64</v>
      </c>
      <c r="D100" s="108" t="s">
        <v>11</v>
      </c>
      <c r="E100" s="108" t="s">
        <v>73</v>
      </c>
      <c r="F100" s="108" t="s">
        <v>76</v>
      </c>
      <c r="G100" s="108" t="s">
        <v>37</v>
      </c>
      <c r="H100" s="126"/>
      <c r="L100" s="20"/>
      <c r="M100" s="20"/>
      <c r="N100" s="20"/>
      <c r="O100" s="20"/>
      <c r="P100" s="20"/>
      <c r="Q100" s="20"/>
      <c r="R100" s="17"/>
    </row>
    <row r="101" spans="1:18" s="16" customFormat="1" ht="15.75">
      <c r="A101" s="14"/>
      <c r="B101" s="125" t="s">
        <v>77</v>
      </c>
      <c r="C101" s="109" t="s">
        <v>64</v>
      </c>
      <c r="D101" s="108" t="s">
        <v>11</v>
      </c>
      <c r="E101" s="108" t="s">
        <v>73</v>
      </c>
      <c r="F101" s="108" t="s">
        <v>76</v>
      </c>
      <c r="G101" s="108" t="s">
        <v>78</v>
      </c>
      <c r="H101" s="126"/>
      <c r="L101" s="20"/>
      <c r="M101" s="20"/>
      <c r="N101" s="20"/>
      <c r="O101" s="20"/>
      <c r="P101" s="20"/>
      <c r="Q101" s="20"/>
      <c r="R101" s="17"/>
    </row>
    <row r="102" spans="1:18" s="16" customFormat="1" ht="31.5">
      <c r="A102" s="14"/>
      <c r="B102" s="129" t="s">
        <v>38</v>
      </c>
      <c r="C102" s="109" t="s">
        <v>64</v>
      </c>
      <c r="D102" s="108" t="s">
        <v>11</v>
      </c>
      <c r="E102" s="108" t="s">
        <v>73</v>
      </c>
      <c r="F102" s="108" t="s">
        <v>79</v>
      </c>
      <c r="G102" s="131" t="s">
        <v>9</v>
      </c>
      <c r="H102" s="126">
        <f>H103</f>
        <v>0</v>
      </c>
      <c r="L102" s="20">
        <v>93494.03</v>
      </c>
      <c r="M102" s="20">
        <v>93494.03</v>
      </c>
      <c r="N102" s="20">
        <v>93494.03</v>
      </c>
      <c r="O102" s="20">
        <f>H102-L102</f>
        <v>-93494.03</v>
      </c>
      <c r="P102" s="20" t="e">
        <f>#REF!-M102</f>
        <v>#REF!</v>
      </c>
      <c r="Q102" s="20" t="e">
        <f>#REF!-N102</f>
        <v>#REF!</v>
      </c>
      <c r="R102" s="17" t="str">
        <f t="shared" si="1"/>
        <v>71 1 00 10020000</v>
      </c>
    </row>
    <row r="103" spans="1:18" s="16" customFormat="1" ht="31.5">
      <c r="A103" s="14"/>
      <c r="B103" s="127" t="s">
        <v>20</v>
      </c>
      <c r="C103" s="109" t="s">
        <v>64</v>
      </c>
      <c r="D103" s="108" t="s">
        <v>11</v>
      </c>
      <c r="E103" s="108" t="s">
        <v>73</v>
      </c>
      <c r="F103" s="108" t="s">
        <v>79</v>
      </c>
      <c r="G103" s="131" t="s">
        <v>21</v>
      </c>
      <c r="H103" s="126">
        <f>SUM(H104:H105)</f>
        <v>0</v>
      </c>
      <c r="L103" s="20">
        <v>93494.03</v>
      </c>
      <c r="M103" s="20">
        <v>93494.03</v>
      </c>
      <c r="N103" s="20">
        <v>93494.03</v>
      </c>
      <c r="O103" s="20">
        <f>H103-L103</f>
        <v>-93494.03</v>
      </c>
      <c r="P103" s="20" t="e">
        <f>#REF!-M103</f>
        <v>#REF!</v>
      </c>
      <c r="Q103" s="20" t="e">
        <f>#REF!-N103</f>
        <v>#REF!</v>
      </c>
      <c r="R103" s="17" t="str">
        <f t="shared" si="1"/>
        <v>71 1 00 10020120</v>
      </c>
    </row>
    <row r="104" spans="1:18" s="16" customFormat="1" ht="31.5">
      <c r="A104" s="14"/>
      <c r="B104" s="125" t="s">
        <v>40</v>
      </c>
      <c r="C104" s="109" t="s">
        <v>64</v>
      </c>
      <c r="D104" s="108" t="s">
        <v>11</v>
      </c>
      <c r="E104" s="108" t="s">
        <v>73</v>
      </c>
      <c r="F104" s="108" t="s">
        <v>79</v>
      </c>
      <c r="G104" s="108" t="s">
        <v>41</v>
      </c>
      <c r="H104" s="126"/>
      <c r="L104" s="20"/>
      <c r="M104" s="20"/>
      <c r="N104" s="20"/>
      <c r="O104" s="20"/>
      <c r="P104" s="20"/>
      <c r="Q104" s="20"/>
      <c r="R104" s="17"/>
    </row>
    <row r="105" spans="1:18" s="16" customFormat="1" ht="63">
      <c r="A105" s="14"/>
      <c r="B105" s="125" t="s">
        <v>26</v>
      </c>
      <c r="C105" s="109" t="s">
        <v>64</v>
      </c>
      <c r="D105" s="108" t="s">
        <v>11</v>
      </c>
      <c r="E105" s="108" t="s">
        <v>73</v>
      </c>
      <c r="F105" s="108" t="s">
        <v>79</v>
      </c>
      <c r="G105" s="108" t="s">
        <v>27</v>
      </c>
      <c r="H105" s="126"/>
      <c r="L105" s="20"/>
      <c r="M105" s="20"/>
      <c r="N105" s="20"/>
      <c r="O105" s="20"/>
      <c r="P105" s="20"/>
      <c r="Q105" s="20"/>
      <c r="R105" s="17"/>
    </row>
    <row r="106" spans="1:18" s="16" customFormat="1" ht="63">
      <c r="A106" s="14" t="s">
        <v>80</v>
      </c>
      <c r="B106" s="125" t="s">
        <v>81</v>
      </c>
      <c r="C106" s="130" t="s">
        <v>64</v>
      </c>
      <c r="D106" s="131" t="s">
        <v>11</v>
      </c>
      <c r="E106" s="131" t="s">
        <v>73</v>
      </c>
      <c r="F106" s="131" t="s">
        <v>82</v>
      </c>
      <c r="G106" s="131" t="s">
        <v>9</v>
      </c>
      <c r="H106" s="126">
        <f>H107+H110</f>
        <v>0</v>
      </c>
      <c r="L106" s="20">
        <v>1016.02</v>
      </c>
      <c r="M106" s="20">
        <v>1016.02</v>
      </c>
      <c r="N106" s="20">
        <v>1016.02</v>
      </c>
      <c r="O106" s="20">
        <f>H106-L106</f>
        <v>-1016.02</v>
      </c>
      <c r="P106" s="20" t="e">
        <f>#REF!-M106</f>
        <v>#REF!</v>
      </c>
      <c r="Q106" s="20" t="e">
        <f>#REF!-N106</f>
        <v>#REF!</v>
      </c>
      <c r="R106" s="17" t="str">
        <f t="shared" si="1"/>
        <v>71 1 00 76630000</v>
      </c>
    </row>
    <row r="107" spans="1:18" s="16" customFormat="1" ht="31.5">
      <c r="A107" s="14"/>
      <c r="B107" s="127" t="s">
        <v>20</v>
      </c>
      <c r="C107" s="130" t="s">
        <v>64</v>
      </c>
      <c r="D107" s="131" t="s">
        <v>11</v>
      </c>
      <c r="E107" s="131" t="s">
        <v>73</v>
      </c>
      <c r="F107" s="131" t="s">
        <v>82</v>
      </c>
      <c r="G107" s="131" t="s">
        <v>21</v>
      </c>
      <c r="H107" s="126">
        <f>SUM(H108:H109)</f>
        <v>0</v>
      </c>
      <c r="L107" s="20">
        <v>803.81</v>
      </c>
      <c r="M107" s="20">
        <v>803.81</v>
      </c>
      <c r="N107" s="20">
        <v>803.81</v>
      </c>
      <c r="O107" s="20">
        <f>H107-L107</f>
        <v>-803.81</v>
      </c>
      <c r="P107" s="20" t="e">
        <f>#REF!-M107</f>
        <v>#REF!</v>
      </c>
      <c r="Q107" s="20" t="e">
        <f>#REF!-N107</f>
        <v>#REF!</v>
      </c>
      <c r="R107" s="17" t="str">
        <f t="shared" si="1"/>
        <v>71 1 00 76630120</v>
      </c>
    </row>
    <row r="108" spans="1:18" s="23" customFormat="1" ht="31.5">
      <c r="A108" s="21"/>
      <c r="B108" s="127" t="s">
        <v>40</v>
      </c>
      <c r="C108" s="109" t="s">
        <v>64</v>
      </c>
      <c r="D108" s="108" t="s">
        <v>11</v>
      </c>
      <c r="E108" s="108" t="s">
        <v>73</v>
      </c>
      <c r="F108" s="108" t="s">
        <v>82</v>
      </c>
      <c r="G108" s="108" t="s">
        <v>41</v>
      </c>
      <c r="H108" s="126"/>
      <c r="L108" s="22"/>
      <c r="M108" s="22"/>
      <c r="N108" s="22"/>
      <c r="O108" s="22"/>
      <c r="P108" s="22"/>
      <c r="Q108" s="22"/>
      <c r="R108" s="24"/>
    </row>
    <row r="109" spans="1:18" s="23" customFormat="1" ht="63">
      <c r="A109" s="21"/>
      <c r="B109" s="127" t="s">
        <v>26</v>
      </c>
      <c r="C109" s="109" t="s">
        <v>64</v>
      </c>
      <c r="D109" s="108" t="s">
        <v>11</v>
      </c>
      <c r="E109" s="108" t="s">
        <v>73</v>
      </c>
      <c r="F109" s="108" t="s">
        <v>82</v>
      </c>
      <c r="G109" s="108" t="s">
        <v>27</v>
      </c>
      <c r="H109" s="126"/>
      <c r="L109" s="22"/>
      <c r="M109" s="22"/>
      <c r="N109" s="22"/>
      <c r="O109" s="22"/>
      <c r="P109" s="22"/>
      <c r="Q109" s="22"/>
      <c r="R109" s="24"/>
    </row>
    <row r="110" spans="1:18" s="16" customFormat="1" ht="31.5">
      <c r="A110" s="14"/>
      <c r="B110" s="125" t="s">
        <v>28</v>
      </c>
      <c r="C110" s="130" t="s">
        <v>64</v>
      </c>
      <c r="D110" s="131" t="s">
        <v>11</v>
      </c>
      <c r="E110" s="131" t="s">
        <v>73</v>
      </c>
      <c r="F110" s="131" t="s">
        <v>82</v>
      </c>
      <c r="G110" s="131" t="s">
        <v>29</v>
      </c>
      <c r="H110" s="126">
        <f>H111</f>
        <v>0</v>
      </c>
      <c r="L110" s="20">
        <v>212.21</v>
      </c>
      <c r="M110" s="20">
        <v>212.21</v>
      </c>
      <c r="N110" s="20">
        <v>212.21</v>
      </c>
      <c r="O110" s="20">
        <f>H110-L110</f>
        <v>-212.21</v>
      </c>
      <c r="P110" s="20" t="e">
        <f>#REF!-M110</f>
        <v>#REF!</v>
      </c>
      <c r="Q110" s="20" t="e">
        <f>#REF!-N110</f>
        <v>#REF!</v>
      </c>
      <c r="R110" s="17" t="str">
        <f t="shared" si="1"/>
        <v>71 1 00 76630240</v>
      </c>
    </row>
    <row r="111" spans="1:18" s="16" customFormat="1" ht="15.75">
      <c r="A111" s="14"/>
      <c r="B111" s="125" t="s">
        <v>30</v>
      </c>
      <c r="C111" s="130" t="s">
        <v>64</v>
      </c>
      <c r="D111" s="131" t="s">
        <v>11</v>
      </c>
      <c r="E111" s="131" t="s">
        <v>73</v>
      </c>
      <c r="F111" s="131" t="s">
        <v>82</v>
      </c>
      <c r="G111" s="131" t="s">
        <v>31</v>
      </c>
      <c r="H111" s="126"/>
      <c r="L111" s="20"/>
      <c r="M111" s="20"/>
      <c r="N111" s="20"/>
      <c r="O111" s="20"/>
      <c r="P111" s="20"/>
      <c r="Q111" s="20"/>
      <c r="R111" s="17"/>
    </row>
    <row r="112" spans="1:18" s="16" customFormat="1" ht="47.25">
      <c r="A112" s="14" t="s">
        <v>80</v>
      </c>
      <c r="B112" s="129" t="s">
        <v>83</v>
      </c>
      <c r="C112" s="130" t="s">
        <v>64</v>
      </c>
      <c r="D112" s="131" t="s">
        <v>11</v>
      </c>
      <c r="E112" s="131" t="s">
        <v>73</v>
      </c>
      <c r="F112" s="131" t="s">
        <v>84</v>
      </c>
      <c r="G112" s="131" t="s">
        <v>9</v>
      </c>
      <c r="H112" s="105">
        <f>H113</f>
        <v>0</v>
      </c>
      <c r="L112" s="26">
        <v>9</v>
      </c>
      <c r="M112" s="26">
        <v>9</v>
      </c>
      <c r="N112" s="26">
        <v>9</v>
      </c>
      <c r="O112" s="26">
        <f>H112-L112</f>
        <v>-9</v>
      </c>
      <c r="P112" s="26" t="e">
        <f>#REF!-M112</f>
        <v>#REF!</v>
      </c>
      <c r="Q112" s="26" t="e">
        <f>#REF!-N112</f>
        <v>#REF!</v>
      </c>
      <c r="R112" s="17" t="str">
        <f t="shared" si="1"/>
        <v>71 1 00 76930000</v>
      </c>
    </row>
    <row r="113" spans="1:18" s="16" customFormat="1" ht="31.5">
      <c r="A113" s="14"/>
      <c r="B113" s="125" t="s">
        <v>28</v>
      </c>
      <c r="C113" s="130" t="s">
        <v>64</v>
      </c>
      <c r="D113" s="131" t="s">
        <v>11</v>
      </c>
      <c r="E113" s="131" t="s">
        <v>73</v>
      </c>
      <c r="F113" s="131" t="s">
        <v>84</v>
      </c>
      <c r="G113" s="131" t="s">
        <v>29</v>
      </c>
      <c r="H113" s="126">
        <f>H114</f>
        <v>0</v>
      </c>
      <c r="L113" s="20">
        <v>9</v>
      </c>
      <c r="M113" s="20">
        <v>9</v>
      </c>
      <c r="N113" s="20">
        <v>9</v>
      </c>
      <c r="O113" s="20">
        <f>H113-L113</f>
        <v>-9</v>
      </c>
      <c r="P113" s="20" t="e">
        <f>#REF!-M113</f>
        <v>#REF!</v>
      </c>
      <c r="Q113" s="20" t="e">
        <f>#REF!-N113</f>
        <v>#REF!</v>
      </c>
      <c r="R113" s="17" t="str">
        <f t="shared" si="1"/>
        <v>71 1 00 76930240</v>
      </c>
    </row>
    <row r="114" spans="1:18" s="16" customFormat="1" ht="15.75">
      <c r="A114" s="14"/>
      <c r="B114" s="125" t="s">
        <v>30</v>
      </c>
      <c r="C114" s="130" t="s">
        <v>64</v>
      </c>
      <c r="D114" s="131" t="s">
        <v>11</v>
      </c>
      <c r="E114" s="131" t="s">
        <v>73</v>
      </c>
      <c r="F114" s="131" t="s">
        <v>84</v>
      </c>
      <c r="G114" s="131" t="s">
        <v>31</v>
      </c>
      <c r="H114" s="126"/>
      <c r="L114" s="20"/>
      <c r="M114" s="20"/>
      <c r="N114" s="20"/>
      <c r="O114" s="20"/>
      <c r="P114" s="20"/>
      <c r="Q114" s="20"/>
      <c r="R114" s="17"/>
    </row>
    <row r="115" spans="1:18" s="16" customFormat="1" ht="15.75">
      <c r="A115" s="14"/>
      <c r="B115" s="121" t="s">
        <v>85</v>
      </c>
      <c r="C115" s="122" t="s">
        <v>64</v>
      </c>
      <c r="D115" s="123" t="s">
        <v>11</v>
      </c>
      <c r="E115" s="123" t="s">
        <v>86</v>
      </c>
      <c r="F115" s="123" t="s">
        <v>8</v>
      </c>
      <c r="G115" s="123" t="s">
        <v>9</v>
      </c>
      <c r="H115" s="124">
        <f>H116</f>
        <v>0</v>
      </c>
      <c r="L115" s="19">
        <v>1291.44</v>
      </c>
      <c r="M115" s="19">
        <v>86.53</v>
      </c>
      <c r="N115" s="19">
        <v>139.63</v>
      </c>
      <c r="O115" s="19">
        <f>H115-L115</f>
        <v>-1291.44</v>
      </c>
      <c r="P115" s="19" t="e">
        <f>#REF!-M115</f>
        <v>#REF!</v>
      </c>
      <c r="Q115" s="19" t="e">
        <f>#REF!-N115</f>
        <v>#REF!</v>
      </c>
      <c r="R115" s="17" t="str">
        <f t="shared" si="1"/>
        <v>00 0 00 00000000</v>
      </c>
    </row>
    <row r="116" spans="1:18" s="16" customFormat="1" ht="63">
      <c r="A116" s="14"/>
      <c r="B116" s="125" t="s">
        <v>87</v>
      </c>
      <c r="C116" s="109" t="s">
        <v>64</v>
      </c>
      <c r="D116" s="108" t="s">
        <v>11</v>
      </c>
      <c r="E116" s="131" t="s">
        <v>86</v>
      </c>
      <c r="F116" s="108" t="s">
        <v>88</v>
      </c>
      <c r="G116" s="108" t="s">
        <v>9</v>
      </c>
      <c r="H116" s="126">
        <f t="shared" ref="H116:H118" si="8">H117</f>
        <v>0</v>
      </c>
      <c r="L116" s="20">
        <v>1291.44</v>
      </c>
      <c r="M116" s="20">
        <v>86.53</v>
      </c>
      <c r="N116" s="20">
        <v>139.63</v>
      </c>
      <c r="O116" s="20">
        <f>H116-L116</f>
        <v>-1291.44</v>
      </c>
      <c r="P116" s="20" t="e">
        <f>#REF!-M116</f>
        <v>#REF!</v>
      </c>
      <c r="Q116" s="20" t="e">
        <f>#REF!-N116</f>
        <v>#REF!</v>
      </c>
      <c r="R116" s="17" t="str">
        <f t="shared" si="1"/>
        <v>98 0 00 00000000</v>
      </c>
    </row>
    <row r="117" spans="1:18" s="16" customFormat="1" ht="15.75">
      <c r="A117" s="14"/>
      <c r="B117" s="125" t="s">
        <v>89</v>
      </c>
      <c r="C117" s="109" t="s">
        <v>64</v>
      </c>
      <c r="D117" s="108" t="s">
        <v>11</v>
      </c>
      <c r="E117" s="131" t="s">
        <v>86</v>
      </c>
      <c r="F117" s="108" t="s">
        <v>90</v>
      </c>
      <c r="G117" s="108" t="s">
        <v>9</v>
      </c>
      <c r="H117" s="126">
        <f t="shared" si="8"/>
        <v>0</v>
      </c>
      <c r="L117" s="20">
        <v>1291.44</v>
      </c>
      <c r="M117" s="20">
        <v>86.53</v>
      </c>
      <c r="N117" s="20">
        <v>139.63</v>
      </c>
      <c r="O117" s="20">
        <f>H117-L117</f>
        <v>-1291.44</v>
      </c>
      <c r="P117" s="20" t="e">
        <f>#REF!-M117</f>
        <v>#REF!</v>
      </c>
      <c r="Q117" s="20" t="e">
        <f>#REF!-N117</f>
        <v>#REF!</v>
      </c>
      <c r="R117" s="17" t="str">
        <f t="shared" si="1"/>
        <v>98 1 00 00000000</v>
      </c>
    </row>
    <row r="118" spans="1:18" s="16" customFormat="1" ht="63">
      <c r="A118" s="14" t="s">
        <v>91</v>
      </c>
      <c r="B118" s="129" t="s">
        <v>92</v>
      </c>
      <c r="C118" s="130" t="s">
        <v>64</v>
      </c>
      <c r="D118" s="131" t="s">
        <v>11</v>
      </c>
      <c r="E118" s="131" t="s">
        <v>86</v>
      </c>
      <c r="F118" s="131" t="s">
        <v>93</v>
      </c>
      <c r="G118" s="131" t="s">
        <v>9</v>
      </c>
      <c r="H118" s="105">
        <f t="shared" si="8"/>
        <v>0</v>
      </c>
      <c r="L118" s="26">
        <v>1291.44</v>
      </c>
      <c r="M118" s="26">
        <v>86.53</v>
      </c>
      <c r="N118" s="26">
        <v>139.63</v>
      </c>
      <c r="O118" s="26">
        <f>H118-L118</f>
        <v>-1291.44</v>
      </c>
      <c r="P118" s="26" t="e">
        <f>#REF!-M118</f>
        <v>#REF!</v>
      </c>
      <c r="Q118" s="26" t="e">
        <f>#REF!-N118</f>
        <v>#REF!</v>
      </c>
      <c r="R118" s="17" t="str">
        <f t="shared" si="1"/>
        <v>98 1 00 51200000</v>
      </c>
    </row>
    <row r="119" spans="1:18" s="16" customFormat="1" ht="31.5">
      <c r="A119" s="14"/>
      <c r="B119" s="125" t="s">
        <v>28</v>
      </c>
      <c r="C119" s="130" t="s">
        <v>64</v>
      </c>
      <c r="D119" s="131" t="s">
        <v>11</v>
      </c>
      <c r="E119" s="131" t="s">
        <v>86</v>
      </c>
      <c r="F119" s="131" t="s">
        <v>93</v>
      </c>
      <c r="G119" s="131" t="s">
        <v>29</v>
      </c>
      <c r="H119" s="126">
        <f>H120</f>
        <v>0</v>
      </c>
      <c r="L119" s="20">
        <v>1291.44</v>
      </c>
      <c r="M119" s="20">
        <v>86.53</v>
      </c>
      <c r="N119" s="20">
        <v>139.63</v>
      </c>
      <c r="O119" s="20">
        <f>H119-L119</f>
        <v>-1291.44</v>
      </c>
      <c r="P119" s="20" t="e">
        <f>#REF!-M119</f>
        <v>#REF!</v>
      </c>
      <c r="Q119" s="20" t="e">
        <f>#REF!-N119</f>
        <v>#REF!</v>
      </c>
      <c r="R119" s="17" t="str">
        <f t="shared" ref="R119:R203" si="9">CONCATENATE(F119,G119)</f>
        <v>98 1 00 51200240</v>
      </c>
    </row>
    <row r="120" spans="1:18" s="16" customFormat="1" ht="15.75">
      <c r="A120" s="14"/>
      <c r="B120" s="125" t="s">
        <v>30</v>
      </c>
      <c r="C120" s="130" t="s">
        <v>64</v>
      </c>
      <c r="D120" s="131" t="s">
        <v>11</v>
      </c>
      <c r="E120" s="131" t="s">
        <v>86</v>
      </c>
      <c r="F120" s="131" t="s">
        <v>93</v>
      </c>
      <c r="G120" s="131" t="s">
        <v>31</v>
      </c>
      <c r="H120" s="126"/>
      <c r="L120" s="20"/>
      <c r="M120" s="20"/>
      <c r="N120" s="20"/>
      <c r="O120" s="20"/>
      <c r="P120" s="20"/>
      <c r="Q120" s="20"/>
      <c r="R120" s="17"/>
    </row>
    <row r="121" spans="1:18" s="16" customFormat="1" ht="15.75">
      <c r="A121" s="14"/>
      <c r="B121" s="121" t="s">
        <v>50</v>
      </c>
      <c r="C121" s="122" t="s">
        <v>64</v>
      </c>
      <c r="D121" s="123" t="s">
        <v>11</v>
      </c>
      <c r="E121" s="123" t="s">
        <v>51</v>
      </c>
      <c r="F121" s="123" t="s">
        <v>8</v>
      </c>
      <c r="G121" s="123" t="s">
        <v>9</v>
      </c>
      <c r="H121" s="124">
        <f>H122+H131+H137+H172+H197+H203+H219</f>
        <v>0</v>
      </c>
      <c r="L121" s="19">
        <v>146264.07</v>
      </c>
      <c r="M121" s="19">
        <v>131081.26</v>
      </c>
      <c r="N121" s="19">
        <v>131081.26</v>
      </c>
      <c r="O121" s="19">
        <f t="shared" ref="O121:O126" si="10">H121-L121</f>
        <v>-146264.07</v>
      </c>
      <c r="P121" s="19" t="e">
        <f>#REF!-M121</f>
        <v>#REF!</v>
      </c>
      <c r="Q121" s="19" t="e">
        <f>#REF!-N121</f>
        <v>#REF!</v>
      </c>
      <c r="R121" s="17" t="str">
        <f t="shared" si="9"/>
        <v>00 0 00 00000000</v>
      </c>
    </row>
    <row r="122" spans="1:18" s="16" customFormat="1" ht="31.5">
      <c r="A122" s="14"/>
      <c r="B122" s="129" t="s">
        <v>94</v>
      </c>
      <c r="C122" s="109" t="s">
        <v>64</v>
      </c>
      <c r="D122" s="108" t="s">
        <v>11</v>
      </c>
      <c r="E122" s="108" t="s">
        <v>51</v>
      </c>
      <c r="F122" s="108" t="s">
        <v>95</v>
      </c>
      <c r="G122" s="108" t="s">
        <v>9</v>
      </c>
      <c r="H122" s="126">
        <f t="shared" ref="H122:H123" si="11">H123</f>
        <v>0</v>
      </c>
      <c r="L122" s="20">
        <v>2119.08</v>
      </c>
      <c r="M122" s="20">
        <v>2119.08</v>
      </c>
      <c r="N122" s="20">
        <v>2119.08</v>
      </c>
      <c r="O122" s="20">
        <f t="shared" si="10"/>
        <v>-2119.08</v>
      </c>
      <c r="P122" s="20" t="e">
        <f>#REF!-M122</f>
        <v>#REF!</v>
      </c>
      <c r="Q122" s="20" t="e">
        <f>#REF!-N122</f>
        <v>#REF!</v>
      </c>
      <c r="R122" s="17" t="str">
        <f t="shared" si="9"/>
        <v>12 0 00 00000000</v>
      </c>
    </row>
    <row r="123" spans="1:18" s="16" customFormat="1" ht="31.5">
      <c r="A123" s="14"/>
      <c r="B123" s="129" t="s">
        <v>96</v>
      </c>
      <c r="C123" s="109" t="s">
        <v>64</v>
      </c>
      <c r="D123" s="108" t="s">
        <v>11</v>
      </c>
      <c r="E123" s="108" t="s">
        <v>51</v>
      </c>
      <c r="F123" s="108" t="s">
        <v>97</v>
      </c>
      <c r="G123" s="108" t="s">
        <v>9</v>
      </c>
      <c r="H123" s="126">
        <f t="shared" si="11"/>
        <v>0</v>
      </c>
      <c r="L123" s="20">
        <v>2119.08</v>
      </c>
      <c r="M123" s="20">
        <v>2119.08</v>
      </c>
      <c r="N123" s="20">
        <v>2119.08</v>
      </c>
      <c r="O123" s="20">
        <f t="shared" si="10"/>
        <v>-2119.08</v>
      </c>
      <c r="P123" s="20" t="e">
        <f>#REF!-M123</f>
        <v>#REF!</v>
      </c>
      <c r="Q123" s="20" t="e">
        <f>#REF!-N123</f>
        <v>#REF!</v>
      </c>
      <c r="R123" s="17" t="str">
        <f t="shared" si="9"/>
        <v>12 2 00 00000000</v>
      </c>
    </row>
    <row r="124" spans="1:18" s="16" customFormat="1" ht="47.25">
      <c r="A124" s="14"/>
      <c r="B124" s="129" t="s">
        <v>98</v>
      </c>
      <c r="C124" s="109" t="s">
        <v>64</v>
      </c>
      <c r="D124" s="108" t="s">
        <v>11</v>
      </c>
      <c r="E124" s="108" t="s">
        <v>51</v>
      </c>
      <c r="F124" s="108" t="s">
        <v>99</v>
      </c>
      <c r="G124" s="108" t="s">
        <v>9</v>
      </c>
      <c r="H124" s="126">
        <f>H125+H128</f>
        <v>0</v>
      </c>
      <c r="L124" s="20">
        <v>2119.08</v>
      </c>
      <c r="M124" s="20">
        <v>2119.08</v>
      </c>
      <c r="N124" s="20">
        <v>2119.08</v>
      </c>
      <c r="O124" s="20">
        <f t="shared" si="10"/>
        <v>-2119.08</v>
      </c>
      <c r="P124" s="20" t="e">
        <f>#REF!-M124</f>
        <v>#REF!</v>
      </c>
      <c r="Q124" s="20" t="e">
        <f>#REF!-N124</f>
        <v>#REF!</v>
      </c>
      <c r="R124" s="17" t="str">
        <f t="shared" si="9"/>
        <v>12 2 03 00000000</v>
      </c>
    </row>
    <row r="125" spans="1:18" s="16" customFormat="1" ht="63">
      <c r="A125" s="14"/>
      <c r="B125" s="129" t="s">
        <v>100</v>
      </c>
      <c r="C125" s="109" t="s">
        <v>64</v>
      </c>
      <c r="D125" s="108" t="s">
        <v>11</v>
      </c>
      <c r="E125" s="108" t="s">
        <v>51</v>
      </c>
      <c r="F125" s="108" t="s">
        <v>101</v>
      </c>
      <c r="G125" s="108" t="s">
        <v>9</v>
      </c>
      <c r="H125" s="126">
        <f>H126</f>
        <v>0</v>
      </c>
      <c r="L125" s="20">
        <v>1329.08</v>
      </c>
      <c r="M125" s="20">
        <v>1329.08</v>
      </c>
      <c r="N125" s="20">
        <v>1329.08</v>
      </c>
      <c r="O125" s="20">
        <f t="shared" si="10"/>
        <v>-1329.08</v>
      </c>
      <c r="P125" s="20" t="e">
        <f>#REF!-M125</f>
        <v>#REF!</v>
      </c>
      <c r="Q125" s="20" t="e">
        <f>#REF!-N125</f>
        <v>#REF!</v>
      </c>
      <c r="R125" s="17" t="str">
        <f t="shared" si="9"/>
        <v>12 2 03 20040000</v>
      </c>
    </row>
    <row r="126" spans="1:18" s="16" customFormat="1" ht="15.75">
      <c r="A126" s="14"/>
      <c r="B126" s="125" t="s">
        <v>32</v>
      </c>
      <c r="C126" s="109" t="s">
        <v>64</v>
      </c>
      <c r="D126" s="108" t="s">
        <v>11</v>
      </c>
      <c r="E126" s="108" t="s">
        <v>51</v>
      </c>
      <c r="F126" s="108" t="s">
        <v>101</v>
      </c>
      <c r="G126" s="108" t="s">
        <v>33</v>
      </c>
      <c r="H126" s="126">
        <f>H127</f>
        <v>0</v>
      </c>
      <c r="L126" s="20">
        <v>1329.08</v>
      </c>
      <c r="M126" s="20">
        <v>1329.08</v>
      </c>
      <c r="N126" s="20">
        <v>1329.08</v>
      </c>
      <c r="O126" s="20">
        <f t="shared" si="10"/>
        <v>-1329.08</v>
      </c>
      <c r="P126" s="20" t="e">
        <f>#REF!-M126</f>
        <v>#REF!</v>
      </c>
      <c r="Q126" s="20" t="e">
        <f>#REF!-N126</f>
        <v>#REF!</v>
      </c>
      <c r="R126" s="17" t="str">
        <f t="shared" si="9"/>
        <v>12 2 03 20040850</v>
      </c>
    </row>
    <row r="127" spans="1:18" s="23" customFormat="1" ht="15.75">
      <c r="A127" s="21"/>
      <c r="B127" s="127" t="s">
        <v>77</v>
      </c>
      <c r="C127" s="109" t="s">
        <v>64</v>
      </c>
      <c r="D127" s="108" t="s">
        <v>11</v>
      </c>
      <c r="E127" s="108" t="s">
        <v>51</v>
      </c>
      <c r="F127" s="108" t="s">
        <v>101</v>
      </c>
      <c r="G127" s="108" t="s">
        <v>78</v>
      </c>
      <c r="H127" s="126"/>
      <c r="L127" s="22"/>
      <c r="M127" s="22"/>
      <c r="N127" s="22"/>
      <c r="O127" s="22"/>
      <c r="P127" s="22"/>
      <c r="Q127" s="22"/>
      <c r="R127" s="24"/>
    </row>
    <row r="128" spans="1:18" s="16" customFormat="1" ht="94.5">
      <c r="A128" s="14"/>
      <c r="B128" s="129" t="s">
        <v>54</v>
      </c>
      <c r="C128" s="109" t="s">
        <v>64</v>
      </c>
      <c r="D128" s="108" t="s">
        <v>11</v>
      </c>
      <c r="E128" s="108" t="s">
        <v>51</v>
      </c>
      <c r="F128" s="108" t="s">
        <v>102</v>
      </c>
      <c r="G128" s="108" t="s">
        <v>9</v>
      </c>
      <c r="H128" s="126">
        <f>H129</f>
        <v>0</v>
      </c>
      <c r="L128" s="20">
        <v>790</v>
      </c>
      <c r="M128" s="20">
        <v>790</v>
      </c>
      <c r="N128" s="20">
        <v>790</v>
      </c>
      <c r="O128" s="20">
        <f>H128-L128</f>
        <v>-790</v>
      </c>
      <c r="P128" s="20" t="e">
        <f>#REF!-M128</f>
        <v>#REF!</v>
      </c>
      <c r="Q128" s="20" t="e">
        <f>#REF!-N128</f>
        <v>#REF!</v>
      </c>
      <c r="R128" s="17" t="str">
        <f t="shared" si="9"/>
        <v>12 2 03 20090000</v>
      </c>
    </row>
    <row r="129" spans="1:18" s="16" customFormat="1" ht="31.5">
      <c r="A129" s="14"/>
      <c r="B129" s="125" t="s">
        <v>28</v>
      </c>
      <c r="C129" s="109" t="s">
        <v>64</v>
      </c>
      <c r="D129" s="108" t="s">
        <v>11</v>
      </c>
      <c r="E129" s="108" t="s">
        <v>51</v>
      </c>
      <c r="F129" s="108" t="s">
        <v>102</v>
      </c>
      <c r="G129" s="108" t="s">
        <v>29</v>
      </c>
      <c r="H129" s="126">
        <f>H130</f>
        <v>0</v>
      </c>
      <c r="L129" s="20">
        <v>790</v>
      </c>
      <c r="M129" s="20">
        <v>790</v>
      </c>
      <c r="N129" s="20">
        <v>790</v>
      </c>
      <c r="O129" s="20">
        <f>H129-L129</f>
        <v>-790</v>
      </c>
      <c r="P129" s="20" t="e">
        <f>#REF!-M129</f>
        <v>#REF!</v>
      </c>
      <c r="Q129" s="20" t="e">
        <f>#REF!-N129</f>
        <v>#REF!</v>
      </c>
      <c r="R129" s="17" t="str">
        <f t="shared" si="9"/>
        <v>12 2 03 20090240</v>
      </c>
    </row>
    <row r="130" spans="1:18" s="16" customFormat="1" ht="15.75">
      <c r="A130" s="14"/>
      <c r="B130" s="125" t="s">
        <v>30</v>
      </c>
      <c r="C130" s="109" t="s">
        <v>64</v>
      </c>
      <c r="D130" s="108" t="s">
        <v>11</v>
      </c>
      <c r="E130" s="108" t="s">
        <v>51</v>
      </c>
      <c r="F130" s="108" t="s">
        <v>102</v>
      </c>
      <c r="G130" s="108" t="s">
        <v>31</v>
      </c>
      <c r="H130" s="126"/>
      <c r="L130" s="20"/>
      <c r="M130" s="20"/>
      <c r="N130" s="20"/>
      <c r="O130" s="20"/>
      <c r="P130" s="20"/>
      <c r="Q130" s="20"/>
      <c r="R130" s="17" t="str">
        <f t="shared" si="9"/>
        <v>12 2 03 20090244</v>
      </c>
    </row>
    <row r="131" spans="1:18" s="16" customFormat="1" ht="47.25">
      <c r="A131" s="14"/>
      <c r="B131" s="129" t="s">
        <v>103</v>
      </c>
      <c r="C131" s="109" t="s">
        <v>64</v>
      </c>
      <c r="D131" s="108" t="s">
        <v>11</v>
      </c>
      <c r="E131" s="108" t="s">
        <v>51</v>
      </c>
      <c r="F131" s="108" t="s">
        <v>104</v>
      </c>
      <c r="G131" s="108" t="s">
        <v>9</v>
      </c>
      <c r="H131" s="126">
        <f>H132</f>
        <v>0</v>
      </c>
      <c r="L131" s="20">
        <v>100</v>
      </c>
      <c r="M131" s="20">
        <v>100</v>
      </c>
      <c r="N131" s="20">
        <v>100</v>
      </c>
      <c r="O131" s="20">
        <f>H131-L131</f>
        <v>-100</v>
      </c>
      <c r="P131" s="20" t="e">
        <f>#REF!-M131</f>
        <v>#REF!</v>
      </c>
      <c r="Q131" s="20" t="e">
        <f>#REF!-N131</f>
        <v>#REF!</v>
      </c>
      <c r="R131" s="17" t="str">
        <f t="shared" si="9"/>
        <v>13 0 00 00000000</v>
      </c>
    </row>
    <row r="132" spans="1:18" s="16" customFormat="1" ht="47.25">
      <c r="A132" s="14"/>
      <c r="B132" s="125" t="s">
        <v>105</v>
      </c>
      <c r="C132" s="109" t="s">
        <v>64</v>
      </c>
      <c r="D132" s="108" t="s">
        <v>11</v>
      </c>
      <c r="E132" s="108" t="s">
        <v>51</v>
      </c>
      <c r="F132" s="108" t="s">
        <v>106</v>
      </c>
      <c r="G132" s="108" t="s">
        <v>9</v>
      </c>
      <c r="H132" s="126">
        <f>H133</f>
        <v>0</v>
      </c>
      <c r="L132" s="20">
        <v>100</v>
      </c>
      <c r="M132" s="20">
        <v>100</v>
      </c>
      <c r="N132" s="20">
        <v>100</v>
      </c>
      <c r="O132" s="20">
        <f>H132-L132</f>
        <v>-100</v>
      </c>
      <c r="P132" s="20" t="e">
        <f>#REF!-M132</f>
        <v>#REF!</v>
      </c>
      <c r="Q132" s="20" t="e">
        <f>#REF!-N132</f>
        <v>#REF!</v>
      </c>
      <c r="R132" s="17" t="str">
        <f t="shared" si="9"/>
        <v>13 2 00 00000000</v>
      </c>
    </row>
    <row r="133" spans="1:18" s="16" customFormat="1" ht="31.5">
      <c r="A133" s="14"/>
      <c r="B133" s="129" t="s">
        <v>107</v>
      </c>
      <c r="C133" s="109" t="s">
        <v>64</v>
      </c>
      <c r="D133" s="108" t="s">
        <v>11</v>
      </c>
      <c r="E133" s="108" t="s">
        <v>51</v>
      </c>
      <c r="F133" s="108" t="s">
        <v>108</v>
      </c>
      <c r="G133" s="108" t="s">
        <v>9</v>
      </c>
      <c r="H133" s="126">
        <f>H134</f>
        <v>0</v>
      </c>
      <c r="L133" s="20">
        <v>100</v>
      </c>
      <c r="M133" s="20">
        <v>100</v>
      </c>
      <c r="N133" s="20">
        <v>100</v>
      </c>
      <c r="O133" s="20">
        <f>H133-L133</f>
        <v>-100</v>
      </c>
      <c r="P133" s="20" t="e">
        <f>#REF!-M133</f>
        <v>#REF!</v>
      </c>
      <c r="Q133" s="20" t="e">
        <f>#REF!-N133</f>
        <v>#REF!</v>
      </c>
      <c r="R133" s="17" t="str">
        <f t="shared" si="9"/>
        <v>13 2 01 00000000</v>
      </c>
    </row>
    <row r="134" spans="1:18" s="16" customFormat="1" ht="47.25">
      <c r="A134" s="14"/>
      <c r="B134" s="129" t="s">
        <v>109</v>
      </c>
      <c r="C134" s="109" t="s">
        <v>64</v>
      </c>
      <c r="D134" s="108" t="s">
        <v>11</v>
      </c>
      <c r="E134" s="108" t="s">
        <v>51</v>
      </c>
      <c r="F134" s="108" t="s">
        <v>110</v>
      </c>
      <c r="G134" s="108" t="s">
        <v>9</v>
      </c>
      <c r="H134" s="126">
        <f>H135</f>
        <v>0</v>
      </c>
      <c r="L134" s="20">
        <v>100</v>
      </c>
      <c r="M134" s="20">
        <v>100</v>
      </c>
      <c r="N134" s="20">
        <v>100</v>
      </c>
      <c r="O134" s="20">
        <f>H134-L134</f>
        <v>-100</v>
      </c>
      <c r="P134" s="20" t="e">
        <f>#REF!-M134</f>
        <v>#REF!</v>
      </c>
      <c r="Q134" s="20" t="e">
        <f>#REF!-N134</f>
        <v>#REF!</v>
      </c>
      <c r="R134" s="17" t="str">
        <f t="shared" si="9"/>
        <v>13 2 01 20620000</v>
      </c>
    </row>
    <row r="135" spans="1:18" s="16" customFormat="1" ht="31.5">
      <c r="A135" s="14"/>
      <c r="B135" s="125" t="s">
        <v>28</v>
      </c>
      <c r="C135" s="109" t="s">
        <v>64</v>
      </c>
      <c r="D135" s="108" t="s">
        <v>11</v>
      </c>
      <c r="E135" s="108" t="s">
        <v>51</v>
      </c>
      <c r="F135" s="108" t="s">
        <v>110</v>
      </c>
      <c r="G135" s="108" t="s">
        <v>29</v>
      </c>
      <c r="H135" s="126">
        <f>H136</f>
        <v>0</v>
      </c>
      <c r="L135" s="20">
        <v>100</v>
      </c>
      <c r="M135" s="20">
        <v>100</v>
      </c>
      <c r="N135" s="20">
        <v>100</v>
      </c>
      <c r="O135" s="20">
        <f>H135-L135</f>
        <v>-100</v>
      </c>
      <c r="P135" s="20" t="e">
        <f>#REF!-M135</f>
        <v>#REF!</v>
      </c>
      <c r="Q135" s="20" t="e">
        <f>#REF!-N135</f>
        <v>#REF!</v>
      </c>
      <c r="R135" s="17" t="str">
        <f t="shared" si="9"/>
        <v>13 2 01 20620240</v>
      </c>
    </row>
    <row r="136" spans="1:18" s="16" customFormat="1" ht="15.75">
      <c r="A136" s="14"/>
      <c r="B136" s="125" t="s">
        <v>30</v>
      </c>
      <c r="C136" s="109" t="s">
        <v>64</v>
      </c>
      <c r="D136" s="108" t="s">
        <v>11</v>
      </c>
      <c r="E136" s="108" t="s">
        <v>51</v>
      </c>
      <c r="F136" s="108" t="s">
        <v>110</v>
      </c>
      <c r="G136" s="108" t="s">
        <v>31</v>
      </c>
      <c r="H136" s="126"/>
      <c r="L136" s="20"/>
      <c r="M136" s="20"/>
      <c r="N136" s="20"/>
      <c r="O136" s="20"/>
      <c r="P136" s="20"/>
      <c r="Q136" s="20"/>
      <c r="R136" s="17" t="str">
        <f t="shared" si="9"/>
        <v>13 2 01 20620244</v>
      </c>
    </row>
    <row r="137" spans="1:18" s="16" customFormat="1" ht="63">
      <c r="A137" s="14"/>
      <c r="B137" s="129" t="s">
        <v>111</v>
      </c>
      <c r="C137" s="109" t="s">
        <v>64</v>
      </c>
      <c r="D137" s="108" t="s">
        <v>11</v>
      </c>
      <c r="E137" s="108" t="s">
        <v>51</v>
      </c>
      <c r="F137" s="108" t="s">
        <v>112</v>
      </c>
      <c r="G137" s="108" t="s">
        <v>9</v>
      </c>
      <c r="H137" s="126">
        <f>H138+H147</f>
        <v>0</v>
      </c>
      <c r="L137" s="20">
        <v>95957.5</v>
      </c>
      <c r="M137" s="20">
        <v>85824.690000000017</v>
      </c>
      <c r="N137" s="20">
        <v>85824.690000000017</v>
      </c>
      <c r="O137" s="20">
        <f>H137-L137</f>
        <v>-95957.5</v>
      </c>
      <c r="P137" s="20" t="e">
        <f>#REF!-M137</f>
        <v>#REF!</v>
      </c>
      <c r="Q137" s="20" t="e">
        <f>#REF!-N137</f>
        <v>#REF!</v>
      </c>
      <c r="R137" s="17" t="str">
        <f t="shared" si="9"/>
        <v>14 0 00 00000000</v>
      </c>
    </row>
    <row r="138" spans="1:18" s="16" customFormat="1" ht="31.5">
      <c r="A138" s="14"/>
      <c r="B138" s="129" t="s">
        <v>113</v>
      </c>
      <c r="C138" s="109" t="s">
        <v>64</v>
      </c>
      <c r="D138" s="108" t="s">
        <v>11</v>
      </c>
      <c r="E138" s="108" t="s">
        <v>51</v>
      </c>
      <c r="F138" s="108" t="s">
        <v>114</v>
      </c>
      <c r="G138" s="108" t="s">
        <v>9</v>
      </c>
      <c r="H138" s="126">
        <f>H139+H143</f>
        <v>0</v>
      </c>
      <c r="L138" s="20">
        <v>21574.29</v>
      </c>
      <c r="M138" s="20">
        <v>12061.880000000001</v>
      </c>
      <c r="N138" s="20">
        <v>12061.880000000001</v>
      </c>
      <c r="O138" s="20">
        <f>H138-L138</f>
        <v>-21574.29</v>
      </c>
      <c r="P138" s="20" t="e">
        <f>#REF!-M138</f>
        <v>#REF!</v>
      </c>
      <c r="Q138" s="20" t="e">
        <f>#REF!-N138</f>
        <v>#REF!</v>
      </c>
      <c r="R138" s="17" t="str">
        <f t="shared" si="9"/>
        <v>14 1 00 00000000</v>
      </c>
    </row>
    <row r="139" spans="1:18" s="16" customFormat="1" ht="47.25">
      <c r="A139" s="14"/>
      <c r="B139" s="129" t="s">
        <v>115</v>
      </c>
      <c r="C139" s="109" t="s">
        <v>64</v>
      </c>
      <c r="D139" s="108" t="s">
        <v>11</v>
      </c>
      <c r="E139" s="108" t="s">
        <v>51</v>
      </c>
      <c r="F139" s="108" t="s">
        <v>116</v>
      </c>
      <c r="G139" s="108" t="s">
        <v>9</v>
      </c>
      <c r="H139" s="126">
        <f>H140</f>
        <v>0</v>
      </c>
      <c r="L139" s="20">
        <v>15750.150000000001</v>
      </c>
      <c r="M139" s="20">
        <v>8250.85</v>
      </c>
      <c r="N139" s="20">
        <v>8250.85</v>
      </c>
      <c r="O139" s="20">
        <f>H139-L139</f>
        <v>-15750.150000000001</v>
      </c>
      <c r="P139" s="20" t="e">
        <f>#REF!-M139</f>
        <v>#REF!</v>
      </c>
      <c r="Q139" s="20" t="e">
        <f>#REF!-N139</f>
        <v>#REF!</v>
      </c>
      <c r="R139" s="17" t="str">
        <f t="shared" si="9"/>
        <v>14 1 01 00000000</v>
      </c>
    </row>
    <row r="140" spans="1:18" s="16" customFormat="1" ht="31.5">
      <c r="A140" s="14"/>
      <c r="B140" s="129" t="s">
        <v>117</v>
      </c>
      <c r="C140" s="109" t="s">
        <v>64</v>
      </c>
      <c r="D140" s="108" t="s">
        <v>11</v>
      </c>
      <c r="E140" s="108" t="s">
        <v>51</v>
      </c>
      <c r="F140" s="108" t="s">
        <v>118</v>
      </c>
      <c r="G140" s="108" t="s">
        <v>9</v>
      </c>
      <c r="H140" s="126">
        <f t="shared" ref="H140" si="12">H141</f>
        <v>0</v>
      </c>
      <c r="L140" s="20">
        <v>15750.150000000001</v>
      </c>
      <c r="M140" s="20">
        <v>8250.85</v>
      </c>
      <c r="N140" s="20">
        <v>8250.85</v>
      </c>
      <c r="O140" s="20">
        <f>H140-L140</f>
        <v>-15750.150000000001</v>
      </c>
      <c r="P140" s="20" t="e">
        <f>#REF!-M140</f>
        <v>#REF!</v>
      </c>
      <c r="Q140" s="20" t="e">
        <f>#REF!-N140</f>
        <v>#REF!</v>
      </c>
      <c r="R140" s="17" t="str">
        <f t="shared" si="9"/>
        <v>14 1 01 20630000</v>
      </c>
    </row>
    <row r="141" spans="1:18" s="16" customFormat="1" ht="31.5">
      <c r="A141" s="14"/>
      <c r="B141" s="125" t="s">
        <v>28</v>
      </c>
      <c r="C141" s="109" t="s">
        <v>64</v>
      </c>
      <c r="D141" s="108" t="s">
        <v>11</v>
      </c>
      <c r="E141" s="108" t="s">
        <v>51</v>
      </c>
      <c r="F141" s="108" t="s">
        <v>118</v>
      </c>
      <c r="G141" s="108" t="s">
        <v>29</v>
      </c>
      <c r="H141" s="126">
        <f>H142</f>
        <v>0</v>
      </c>
      <c r="L141" s="20">
        <v>15750.150000000001</v>
      </c>
      <c r="M141" s="20">
        <v>8250.85</v>
      </c>
      <c r="N141" s="20">
        <v>8250.85</v>
      </c>
      <c r="O141" s="20">
        <f>H141-L141</f>
        <v>-15750.150000000001</v>
      </c>
      <c r="P141" s="20" t="e">
        <f>#REF!-M141</f>
        <v>#REF!</v>
      </c>
      <c r="Q141" s="20" t="e">
        <f>#REF!-N141</f>
        <v>#REF!</v>
      </c>
      <c r="R141" s="17" t="str">
        <f t="shared" si="9"/>
        <v>14 1 01 20630240</v>
      </c>
    </row>
    <row r="142" spans="1:18" s="16" customFormat="1" ht="15.75">
      <c r="A142" s="14"/>
      <c r="B142" s="125" t="s">
        <v>30</v>
      </c>
      <c r="C142" s="109" t="s">
        <v>64</v>
      </c>
      <c r="D142" s="108" t="s">
        <v>11</v>
      </c>
      <c r="E142" s="108" t="s">
        <v>51</v>
      </c>
      <c r="F142" s="108" t="s">
        <v>118</v>
      </c>
      <c r="G142" s="108" t="s">
        <v>31</v>
      </c>
      <c r="H142" s="126"/>
      <c r="L142" s="20"/>
      <c r="M142" s="20"/>
      <c r="N142" s="20"/>
      <c r="O142" s="20"/>
      <c r="P142" s="20"/>
      <c r="Q142" s="20"/>
      <c r="R142" s="17" t="str">
        <f t="shared" si="9"/>
        <v>14 1 01 20630244</v>
      </c>
    </row>
    <row r="143" spans="1:18" s="16" customFormat="1" ht="63">
      <c r="A143" s="14"/>
      <c r="B143" s="129" t="s">
        <v>119</v>
      </c>
      <c r="C143" s="109" t="s">
        <v>64</v>
      </c>
      <c r="D143" s="108" t="s">
        <v>11</v>
      </c>
      <c r="E143" s="108" t="s">
        <v>51</v>
      </c>
      <c r="F143" s="108" t="s">
        <v>120</v>
      </c>
      <c r="G143" s="108" t="s">
        <v>9</v>
      </c>
      <c r="H143" s="126">
        <f t="shared" ref="H143:H144" si="13">H144</f>
        <v>0</v>
      </c>
      <c r="L143" s="20">
        <v>5824.1400000000012</v>
      </c>
      <c r="M143" s="20">
        <v>3811.03</v>
      </c>
      <c r="N143" s="20">
        <v>3811.03</v>
      </c>
      <c r="O143" s="20">
        <f>H143-L143</f>
        <v>-5824.1400000000012</v>
      </c>
      <c r="P143" s="20" t="e">
        <f>#REF!-M143</f>
        <v>#REF!</v>
      </c>
      <c r="Q143" s="20" t="e">
        <f>#REF!-N143</f>
        <v>#REF!</v>
      </c>
      <c r="R143" s="17" t="str">
        <f t="shared" si="9"/>
        <v>14 1 02 00000000</v>
      </c>
    </row>
    <row r="144" spans="1:18" s="16" customFormat="1" ht="31.5">
      <c r="A144" s="14"/>
      <c r="B144" s="129" t="s">
        <v>117</v>
      </c>
      <c r="C144" s="109" t="s">
        <v>64</v>
      </c>
      <c r="D144" s="108" t="s">
        <v>11</v>
      </c>
      <c r="E144" s="108" t="s">
        <v>51</v>
      </c>
      <c r="F144" s="108" t="s">
        <v>121</v>
      </c>
      <c r="G144" s="108" t="s">
        <v>9</v>
      </c>
      <c r="H144" s="126">
        <f t="shared" si="13"/>
        <v>0</v>
      </c>
      <c r="L144" s="20">
        <v>5824.1400000000012</v>
      </c>
      <c r="M144" s="20">
        <v>3811.03</v>
      </c>
      <c r="N144" s="20">
        <v>3811.03</v>
      </c>
      <c r="O144" s="20">
        <f>H144-L144</f>
        <v>-5824.1400000000012</v>
      </c>
      <c r="P144" s="20" t="e">
        <f>#REF!-M144</f>
        <v>#REF!</v>
      </c>
      <c r="Q144" s="20" t="e">
        <f>#REF!-N144</f>
        <v>#REF!</v>
      </c>
      <c r="R144" s="17" t="str">
        <f t="shared" si="9"/>
        <v>14 1 02 20630000</v>
      </c>
    </row>
    <row r="145" spans="1:18" s="16" customFormat="1" ht="31.5">
      <c r="A145" s="14"/>
      <c r="B145" s="125" t="s">
        <v>28</v>
      </c>
      <c r="C145" s="109" t="s">
        <v>64</v>
      </c>
      <c r="D145" s="108" t="s">
        <v>11</v>
      </c>
      <c r="E145" s="108" t="s">
        <v>51</v>
      </c>
      <c r="F145" s="108" t="s">
        <v>121</v>
      </c>
      <c r="G145" s="108" t="s">
        <v>29</v>
      </c>
      <c r="H145" s="126">
        <f>H146</f>
        <v>0</v>
      </c>
      <c r="L145" s="20">
        <v>5824.1400000000012</v>
      </c>
      <c r="M145" s="20">
        <v>3811.03</v>
      </c>
      <c r="N145" s="20">
        <v>3811.03</v>
      </c>
      <c r="O145" s="20">
        <f>H145-L145</f>
        <v>-5824.1400000000012</v>
      </c>
      <c r="P145" s="20" t="e">
        <f>#REF!-M145</f>
        <v>#REF!</v>
      </c>
      <c r="Q145" s="20" t="e">
        <f>#REF!-N145</f>
        <v>#REF!</v>
      </c>
      <c r="R145" s="17" t="str">
        <f t="shared" si="9"/>
        <v>14 1 02 20630240</v>
      </c>
    </row>
    <row r="146" spans="1:18" s="16" customFormat="1" ht="15.75">
      <c r="A146" s="14"/>
      <c r="B146" s="125" t="s">
        <v>30</v>
      </c>
      <c r="C146" s="109" t="s">
        <v>64</v>
      </c>
      <c r="D146" s="108" t="s">
        <v>11</v>
      </c>
      <c r="E146" s="108" t="s">
        <v>51</v>
      </c>
      <c r="F146" s="108" t="s">
        <v>121</v>
      </c>
      <c r="G146" s="108" t="s">
        <v>31</v>
      </c>
      <c r="H146" s="126"/>
      <c r="L146" s="20"/>
      <c r="M146" s="20"/>
      <c r="N146" s="20"/>
      <c r="O146" s="20"/>
      <c r="P146" s="20"/>
      <c r="Q146" s="20"/>
      <c r="R146" s="17"/>
    </row>
    <row r="147" spans="1:18" s="16" customFormat="1" ht="47.25">
      <c r="A147" s="14"/>
      <c r="B147" s="129" t="s">
        <v>122</v>
      </c>
      <c r="C147" s="109" t="s">
        <v>64</v>
      </c>
      <c r="D147" s="108" t="s">
        <v>11</v>
      </c>
      <c r="E147" s="108" t="s">
        <v>51</v>
      </c>
      <c r="F147" s="108" t="s">
        <v>123</v>
      </c>
      <c r="G147" s="108" t="s">
        <v>9</v>
      </c>
      <c r="H147" s="126">
        <f>H148+H152+H160+H156</f>
        <v>0</v>
      </c>
      <c r="L147" s="20">
        <v>74383.210000000006</v>
      </c>
      <c r="M147" s="20">
        <v>73762.810000000012</v>
      </c>
      <c r="N147" s="20">
        <v>73762.810000000012</v>
      </c>
      <c r="O147" s="20">
        <f>H147-L147</f>
        <v>-74383.210000000006</v>
      </c>
      <c r="P147" s="20" t="e">
        <f>#REF!-M147</f>
        <v>#REF!</v>
      </c>
      <c r="Q147" s="20" t="e">
        <f>#REF!-N147</f>
        <v>#REF!</v>
      </c>
      <c r="R147" s="17" t="str">
        <f t="shared" si="9"/>
        <v>14 2 00 00000000</v>
      </c>
    </row>
    <row r="148" spans="1:18" s="16" customFormat="1" ht="47.25">
      <c r="A148" s="14"/>
      <c r="B148" s="129" t="s">
        <v>124</v>
      </c>
      <c r="C148" s="109" t="s">
        <v>64</v>
      </c>
      <c r="D148" s="108" t="s">
        <v>11</v>
      </c>
      <c r="E148" s="108" t="s">
        <v>51</v>
      </c>
      <c r="F148" s="108" t="s">
        <v>125</v>
      </c>
      <c r="G148" s="108" t="s">
        <v>9</v>
      </c>
      <c r="H148" s="126">
        <f t="shared" ref="H148:H149" si="14">H149</f>
        <v>0</v>
      </c>
      <c r="L148" s="20">
        <v>450</v>
      </c>
      <c r="M148" s="20">
        <v>450</v>
      </c>
      <c r="N148" s="20">
        <v>450</v>
      </c>
      <c r="O148" s="20">
        <f>H148-L148</f>
        <v>-450</v>
      </c>
      <c r="P148" s="20" t="e">
        <f>#REF!-M148</f>
        <v>#REF!</v>
      </c>
      <c r="Q148" s="20" t="e">
        <f>#REF!-N148</f>
        <v>#REF!</v>
      </c>
      <c r="R148" s="17" t="str">
        <f t="shared" si="9"/>
        <v>14 2 01 00000000</v>
      </c>
    </row>
    <row r="149" spans="1:18" s="16" customFormat="1" ht="63">
      <c r="A149" s="14"/>
      <c r="B149" s="129" t="s">
        <v>126</v>
      </c>
      <c r="C149" s="109" t="s">
        <v>64</v>
      </c>
      <c r="D149" s="108" t="s">
        <v>11</v>
      </c>
      <c r="E149" s="108" t="s">
        <v>51</v>
      </c>
      <c r="F149" s="108" t="s">
        <v>127</v>
      </c>
      <c r="G149" s="108" t="s">
        <v>9</v>
      </c>
      <c r="H149" s="126">
        <f t="shared" si="14"/>
        <v>0</v>
      </c>
      <c r="L149" s="20">
        <v>450</v>
      </c>
      <c r="M149" s="20">
        <v>450</v>
      </c>
      <c r="N149" s="20">
        <v>450</v>
      </c>
      <c r="O149" s="20">
        <f>H149-L149</f>
        <v>-450</v>
      </c>
      <c r="P149" s="20" t="e">
        <f>#REF!-M149</f>
        <v>#REF!</v>
      </c>
      <c r="Q149" s="20" t="e">
        <f>#REF!-N149</f>
        <v>#REF!</v>
      </c>
      <c r="R149" s="17" t="str">
        <f t="shared" si="9"/>
        <v>14 2 01 20710000</v>
      </c>
    </row>
    <row r="150" spans="1:18" s="16" customFormat="1" ht="31.5">
      <c r="A150" s="14"/>
      <c r="B150" s="125" t="s">
        <v>28</v>
      </c>
      <c r="C150" s="109" t="s">
        <v>64</v>
      </c>
      <c r="D150" s="108" t="s">
        <v>11</v>
      </c>
      <c r="E150" s="108" t="s">
        <v>51</v>
      </c>
      <c r="F150" s="108" t="s">
        <v>127</v>
      </c>
      <c r="G150" s="108" t="s">
        <v>29</v>
      </c>
      <c r="H150" s="126">
        <f>H151</f>
        <v>0</v>
      </c>
      <c r="L150" s="20">
        <v>450</v>
      </c>
      <c r="M150" s="20">
        <v>450</v>
      </c>
      <c r="N150" s="20">
        <v>450</v>
      </c>
      <c r="O150" s="20">
        <f>H150-L150</f>
        <v>-450</v>
      </c>
      <c r="P150" s="20" t="e">
        <f>#REF!-M150</f>
        <v>#REF!</v>
      </c>
      <c r="Q150" s="20" t="e">
        <f>#REF!-N150</f>
        <v>#REF!</v>
      </c>
      <c r="R150" s="17" t="str">
        <f t="shared" si="9"/>
        <v>14 2 01 20710240</v>
      </c>
    </row>
    <row r="151" spans="1:18" s="16" customFormat="1" ht="15.75">
      <c r="A151" s="14"/>
      <c r="B151" s="125" t="s">
        <v>30</v>
      </c>
      <c r="C151" s="109" t="s">
        <v>64</v>
      </c>
      <c r="D151" s="108" t="s">
        <v>11</v>
      </c>
      <c r="E151" s="108" t="s">
        <v>51</v>
      </c>
      <c r="F151" s="108" t="s">
        <v>127</v>
      </c>
      <c r="G151" s="108" t="s">
        <v>31</v>
      </c>
      <c r="H151" s="126"/>
      <c r="L151" s="20"/>
      <c r="M151" s="20"/>
      <c r="N151" s="20"/>
      <c r="O151" s="20"/>
      <c r="P151" s="20"/>
      <c r="Q151" s="20"/>
      <c r="R151" s="17" t="str">
        <f t="shared" si="9"/>
        <v>14 2 01 20710244</v>
      </c>
    </row>
    <row r="152" spans="1:18" s="16" customFormat="1" ht="78.75">
      <c r="A152" s="14"/>
      <c r="B152" s="129" t="s">
        <v>128</v>
      </c>
      <c r="C152" s="109" t="s">
        <v>64</v>
      </c>
      <c r="D152" s="108" t="s">
        <v>11</v>
      </c>
      <c r="E152" s="108" t="s">
        <v>51</v>
      </c>
      <c r="F152" s="108" t="s">
        <v>129</v>
      </c>
      <c r="G152" s="108" t="s">
        <v>9</v>
      </c>
      <c r="H152" s="126">
        <f t="shared" ref="H152:H153" si="15">H153</f>
        <v>0</v>
      </c>
      <c r="L152" s="20">
        <v>76.5</v>
      </c>
      <c r="M152" s="20">
        <v>76.5</v>
      </c>
      <c r="N152" s="20">
        <v>76.5</v>
      </c>
      <c r="O152" s="20">
        <f>H152-L152</f>
        <v>-76.5</v>
      </c>
      <c r="P152" s="20" t="e">
        <f>#REF!-M152</f>
        <v>#REF!</v>
      </c>
      <c r="Q152" s="20" t="e">
        <f>#REF!-N152</f>
        <v>#REF!</v>
      </c>
      <c r="R152" s="17" t="str">
        <f t="shared" si="9"/>
        <v>14 2 02 00000000</v>
      </c>
    </row>
    <row r="153" spans="1:18" s="16" customFormat="1" ht="63">
      <c r="A153" s="14"/>
      <c r="B153" s="129" t="s">
        <v>126</v>
      </c>
      <c r="C153" s="109" t="s">
        <v>64</v>
      </c>
      <c r="D153" s="108" t="s">
        <v>11</v>
      </c>
      <c r="E153" s="108" t="s">
        <v>51</v>
      </c>
      <c r="F153" s="108" t="s">
        <v>130</v>
      </c>
      <c r="G153" s="108" t="s">
        <v>9</v>
      </c>
      <c r="H153" s="126">
        <f t="shared" si="15"/>
        <v>0</v>
      </c>
      <c r="L153" s="20">
        <v>76.5</v>
      </c>
      <c r="M153" s="20">
        <v>76.5</v>
      </c>
      <c r="N153" s="20">
        <v>76.5</v>
      </c>
      <c r="O153" s="20">
        <f>H153-L153</f>
        <v>-76.5</v>
      </c>
      <c r="P153" s="20" t="e">
        <f>#REF!-M153</f>
        <v>#REF!</v>
      </c>
      <c r="Q153" s="20" t="e">
        <f>#REF!-N153</f>
        <v>#REF!</v>
      </c>
      <c r="R153" s="17" t="str">
        <f t="shared" si="9"/>
        <v>14 2 02 20710000</v>
      </c>
    </row>
    <row r="154" spans="1:18" s="16" customFormat="1" ht="31.5">
      <c r="A154" s="14"/>
      <c r="B154" s="125" t="s">
        <v>28</v>
      </c>
      <c r="C154" s="109" t="s">
        <v>64</v>
      </c>
      <c r="D154" s="108" t="s">
        <v>11</v>
      </c>
      <c r="E154" s="108" t="s">
        <v>51</v>
      </c>
      <c r="F154" s="108" t="s">
        <v>130</v>
      </c>
      <c r="G154" s="108" t="s">
        <v>29</v>
      </c>
      <c r="H154" s="126">
        <f>H155</f>
        <v>0</v>
      </c>
      <c r="L154" s="20">
        <v>76.5</v>
      </c>
      <c r="M154" s="20">
        <v>76.5</v>
      </c>
      <c r="N154" s="20">
        <v>76.5</v>
      </c>
      <c r="O154" s="20">
        <f>H154-L154</f>
        <v>-76.5</v>
      </c>
      <c r="P154" s="20" t="e">
        <f>#REF!-M154</f>
        <v>#REF!</v>
      </c>
      <c r="Q154" s="20" t="e">
        <f>#REF!-N154</f>
        <v>#REF!</v>
      </c>
      <c r="R154" s="17" t="str">
        <f t="shared" si="9"/>
        <v>14 2 02 20710240</v>
      </c>
    </row>
    <row r="155" spans="1:18" s="16" customFormat="1" ht="15.75">
      <c r="A155" s="14"/>
      <c r="B155" s="125" t="s">
        <v>30</v>
      </c>
      <c r="C155" s="109" t="s">
        <v>64</v>
      </c>
      <c r="D155" s="108" t="s">
        <v>11</v>
      </c>
      <c r="E155" s="108" t="s">
        <v>51</v>
      </c>
      <c r="F155" s="108" t="s">
        <v>130</v>
      </c>
      <c r="G155" s="108" t="s">
        <v>31</v>
      </c>
      <c r="H155" s="126"/>
      <c r="L155" s="20"/>
      <c r="M155" s="20"/>
      <c r="N155" s="20"/>
      <c r="O155" s="20"/>
      <c r="P155" s="20"/>
      <c r="Q155" s="20"/>
      <c r="R155" s="17" t="str">
        <f t="shared" si="9"/>
        <v>14 2 02 20710244</v>
      </c>
    </row>
    <row r="156" spans="1:18" s="16" customFormat="1" ht="78.75">
      <c r="A156" s="14"/>
      <c r="B156" s="129" t="s">
        <v>131</v>
      </c>
      <c r="C156" s="109" t="s">
        <v>64</v>
      </c>
      <c r="D156" s="108" t="s">
        <v>11</v>
      </c>
      <c r="E156" s="108" t="s">
        <v>51</v>
      </c>
      <c r="F156" s="108" t="s">
        <v>132</v>
      </c>
      <c r="G156" s="108" t="s">
        <v>9</v>
      </c>
      <c r="H156" s="126">
        <f>H157</f>
        <v>0</v>
      </c>
      <c r="L156" s="20">
        <v>76.5</v>
      </c>
      <c r="M156" s="20">
        <v>76.5</v>
      </c>
      <c r="N156" s="20">
        <v>76.5</v>
      </c>
      <c r="O156" s="20">
        <f>H156-L156</f>
        <v>-76.5</v>
      </c>
      <c r="P156" s="20" t="e">
        <f>#REF!-M156</f>
        <v>#REF!</v>
      </c>
      <c r="Q156" s="20" t="e">
        <f>#REF!-N156</f>
        <v>#REF!</v>
      </c>
      <c r="R156" s="17" t="str">
        <f t="shared" si="9"/>
        <v>14 2 03 00000000</v>
      </c>
    </row>
    <row r="157" spans="1:18" s="16" customFormat="1" ht="63">
      <c r="A157" s="14"/>
      <c r="B157" s="129" t="s">
        <v>126</v>
      </c>
      <c r="C157" s="109" t="s">
        <v>64</v>
      </c>
      <c r="D157" s="108" t="s">
        <v>11</v>
      </c>
      <c r="E157" s="108" t="s">
        <v>51</v>
      </c>
      <c r="F157" s="108" t="s">
        <v>133</v>
      </c>
      <c r="G157" s="108" t="s">
        <v>9</v>
      </c>
      <c r="H157" s="126">
        <f>H158</f>
        <v>0</v>
      </c>
      <c r="L157" s="20">
        <v>76.5</v>
      </c>
      <c r="M157" s="20">
        <v>76.5</v>
      </c>
      <c r="N157" s="20">
        <v>76.5</v>
      </c>
      <c r="O157" s="20">
        <f>H157-L157</f>
        <v>-76.5</v>
      </c>
      <c r="P157" s="20" t="e">
        <f>#REF!-M157</f>
        <v>#REF!</v>
      </c>
      <c r="Q157" s="20" t="e">
        <f>#REF!-N157</f>
        <v>#REF!</v>
      </c>
      <c r="R157" s="17" t="str">
        <f t="shared" si="9"/>
        <v>14 2 03 20710000</v>
      </c>
    </row>
    <row r="158" spans="1:18" s="16" customFormat="1" ht="31.5">
      <c r="A158" s="14"/>
      <c r="B158" s="125" t="s">
        <v>28</v>
      </c>
      <c r="C158" s="109" t="s">
        <v>64</v>
      </c>
      <c r="D158" s="108" t="s">
        <v>11</v>
      </c>
      <c r="E158" s="108" t="s">
        <v>51</v>
      </c>
      <c r="F158" s="108" t="s">
        <v>133</v>
      </c>
      <c r="G158" s="108" t="s">
        <v>29</v>
      </c>
      <c r="H158" s="126">
        <f>H159</f>
        <v>0</v>
      </c>
      <c r="L158" s="20">
        <v>76.5</v>
      </c>
      <c r="M158" s="20">
        <v>76.5</v>
      </c>
      <c r="N158" s="20">
        <v>76.5</v>
      </c>
      <c r="O158" s="20">
        <f>H158-L158</f>
        <v>-76.5</v>
      </c>
      <c r="P158" s="20" t="e">
        <f>#REF!-M158</f>
        <v>#REF!</v>
      </c>
      <c r="Q158" s="20" t="e">
        <f>#REF!-N158</f>
        <v>#REF!</v>
      </c>
      <c r="R158" s="17" t="str">
        <f t="shared" si="9"/>
        <v>14 2 03 20710240</v>
      </c>
    </row>
    <row r="159" spans="1:18" s="16" customFormat="1" ht="15.75">
      <c r="A159" s="14"/>
      <c r="B159" s="125" t="s">
        <v>30</v>
      </c>
      <c r="C159" s="109" t="s">
        <v>64</v>
      </c>
      <c r="D159" s="108" t="s">
        <v>11</v>
      </c>
      <c r="E159" s="108" t="s">
        <v>51</v>
      </c>
      <c r="F159" s="108" t="s">
        <v>133</v>
      </c>
      <c r="G159" s="108" t="s">
        <v>31</v>
      </c>
      <c r="H159" s="126"/>
      <c r="L159" s="20"/>
      <c r="M159" s="20"/>
      <c r="N159" s="20"/>
      <c r="O159" s="20"/>
      <c r="P159" s="20"/>
      <c r="Q159" s="20"/>
      <c r="R159" s="17" t="str">
        <f t="shared" si="9"/>
        <v>14 2 03 20710244</v>
      </c>
    </row>
    <row r="160" spans="1:18" s="16" customFormat="1" ht="63">
      <c r="A160" s="14"/>
      <c r="B160" s="125" t="s">
        <v>134</v>
      </c>
      <c r="C160" s="109" t="s">
        <v>64</v>
      </c>
      <c r="D160" s="108" t="s">
        <v>11</v>
      </c>
      <c r="E160" s="108" t="s">
        <v>51</v>
      </c>
      <c r="F160" s="108" t="s">
        <v>135</v>
      </c>
      <c r="G160" s="108" t="s">
        <v>9</v>
      </c>
      <c r="H160" s="126">
        <f>H161</f>
        <v>0</v>
      </c>
      <c r="L160" s="20">
        <v>73780.210000000006</v>
      </c>
      <c r="M160" s="20">
        <v>73159.810000000012</v>
      </c>
      <c r="N160" s="20">
        <v>73159.810000000012</v>
      </c>
      <c r="O160" s="20">
        <f>H160-L160</f>
        <v>-73780.210000000006</v>
      </c>
      <c r="P160" s="20" t="e">
        <f>#REF!-M160</f>
        <v>#REF!</v>
      </c>
      <c r="Q160" s="20" t="e">
        <f>#REF!-N160</f>
        <v>#REF!</v>
      </c>
      <c r="R160" s="17" t="str">
        <f t="shared" si="9"/>
        <v>14 2 04 00000000</v>
      </c>
    </row>
    <row r="161" spans="1:18" s="16" customFormat="1" ht="31.5">
      <c r="A161" s="14"/>
      <c r="B161" s="125" t="s">
        <v>136</v>
      </c>
      <c r="C161" s="109" t="s">
        <v>64</v>
      </c>
      <c r="D161" s="108" t="s">
        <v>11</v>
      </c>
      <c r="E161" s="108" t="s">
        <v>51</v>
      </c>
      <c r="F161" s="108" t="s">
        <v>137</v>
      </c>
      <c r="G161" s="108" t="s">
        <v>9</v>
      </c>
      <c r="H161" s="126">
        <f>H162+H166+H168</f>
        <v>0</v>
      </c>
      <c r="L161" s="20">
        <v>73780.210000000006</v>
      </c>
      <c r="M161" s="20">
        <v>73159.810000000012</v>
      </c>
      <c r="N161" s="20">
        <v>73159.810000000012</v>
      </c>
      <c r="O161" s="20">
        <f>H161-L161</f>
        <v>-73780.210000000006</v>
      </c>
      <c r="P161" s="20" t="e">
        <f>#REF!-M161</f>
        <v>#REF!</v>
      </c>
      <c r="Q161" s="20" t="e">
        <f>#REF!-N161</f>
        <v>#REF!</v>
      </c>
      <c r="R161" s="17" t="str">
        <f t="shared" si="9"/>
        <v>14 2 04 11010000</v>
      </c>
    </row>
    <row r="162" spans="1:18" s="16" customFormat="1" ht="15.75">
      <c r="A162" s="14"/>
      <c r="B162" s="132" t="s">
        <v>138</v>
      </c>
      <c r="C162" s="109" t="s">
        <v>64</v>
      </c>
      <c r="D162" s="108" t="s">
        <v>11</v>
      </c>
      <c r="E162" s="108" t="s">
        <v>51</v>
      </c>
      <c r="F162" s="108" t="s">
        <v>137</v>
      </c>
      <c r="G162" s="108" t="s">
        <v>139</v>
      </c>
      <c r="H162" s="126">
        <f>SUM(H163:H165)</f>
        <v>0</v>
      </c>
      <c r="L162" s="20">
        <v>60027.510000000009</v>
      </c>
      <c r="M162" s="20">
        <v>60027.510000000009</v>
      </c>
      <c r="N162" s="20">
        <v>60027.510000000009</v>
      </c>
      <c r="O162" s="20">
        <f>H162-L162</f>
        <v>-60027.510000000009</v>
      </c>
      <c r="P162" s="20" t="e">
        <f>#REF!-M162</f>
        <v>#REF!</v>
      </c>
      <c r="Q162" s="20" t="e">
        <f>#REF!-N162</f>
        <v>#REF!</v>
      </c>
      <c r="R162" s="17" t="str">
        <f t="shared" si="9"/>
        <v>14 2 04 11010110</v>
      </c>
    </row>
    <row r="163" spans="1:18" s="23" customFormat="1" ht="15.75">
      <c r="A163" s="21"/>
      <c r="B163" s="127" t="s">
        <v>140</v>
      </c>
      <c r="C163" s="109" t="s">
        <v>64</v>
      </c>
      <c r="D163" s="108" t="s">
        <v>11</v>
      </c>
      <c r="E163" s="108" t="s">
        <v>51</v>
      </c>
      <c r="F163" s="108" t="s">
        <v>137</v>
      </c>
      <c r="G163" s="108" t="s">
        <v>141</v>
      </c>
      <c r="H163" s="126"/>
      <c r="L163" s="22"/>
      <c r="M163" s="22"/>
      <c r="N163" s="22"/>
      <c r="O163" s="22"/>
      <c r="P163" s="22"/>
      <c r="Q163" s="22"/>
      <c r="R163" s="24"/>
    </row>
    <row r="164" spans="1:18" s="23" customFormat="1" ht="31.5">
      <c r="A164" s="21"/>
      <c r="B164" s="127" t="s">
        <v>142</v>
      </c>
      <c r="C164" s="109" t="s">
        <v>64</v>
      </c>
      <c r="D164" s="108" t="s">
        <v>11</v>
      </c>
      <c r="E164" s="108" t="s">
        <v>51</v>
      </c>
      <c r="F164" s="108" t="s">
        <v>137</v>
      </c>
      <c r="G164" s="108" t="s">
        <v>143</v>
      </c>
      <c r="H164" s="126"/>
      <c r="L164" s="22"/>
      <c r="M164" s="22"/>
      <c r="N164" s="22"/>
      <c r="O164" s="22"/>
      <c r="P164" s="22"/>
      <c r="Q164" s="22"/>
      <c r="R164" s="24"/>
    </row>
    <row r="165" spans="1:18" s="23" customFormat="1" ht="63">
      <c r="A165" s="21"/>
      <c r="B165" s="127" t="s">
        <v>144</v>
      </c>
      <c r="C165" s="109" t="s">
        <v>64</v>
      </c>
      <c r="D165" s="108" t="s">
        <v>11</v>
      </c>
      <c r="E165" s="108" t="s">
        <v>51</v>
      </c>
      <c r="F165" s="108" t="s">
        <v>137</v>
      </c>
      <c r="G165" s="108" t="s">
        <v>145</v>
      </c>
      <c r="H165" s="126"/>
      <c r="L165" s="22"/>
      <c r="M165" s="22"/>
      <c r="N165" s="22"/>
      <c r="O165" s="22"/>
      <c r="P165" s="22"/>
      <c r="Q165" s="22"/>
      <c r="R165" s="24"/>
    </row>
    <row r="166" spans="1:18" s="16" customFormat="1" ht="31.5">
      <c r="A166" s="14"/>
      <c r="B166" s="125" t="s">
        <v>28</v>
      </c>
      <c r="C166" s="109" t="s">
        <v>64</v>
      </c>
      <c r="D166" s="108" t="s">
        <v>11</v>
      </c>
      <c r="E166" s="108" t="s">
        <v>51</v>
      </c>
      <c r="F166" s="108" t="s">
        <v>137</v>
      </c>
      <c r="G166" s="108" t="s">
        <v>29</v>
      </c>
      <c r="H166" s="126">
        <f>H167</f>
        <v>0</v>
      </c>
      <c r="L166" s="20">
        <v>12409.95</v>
      </c>
      <c r="M166" s="20">
        <v>11789.55</v>
      </c>
      <c r="N166" s="20">
        <v>11789.55</v>
      </c>
      <c r="O166" s="20">
        <f>H166-L166</f>
        <v>-12409.95</v>
      </c>
      <c r="P166" s="20" t="e">
        <f>#REF!-M166</f>
        <v>#REF!</v>
      </c>
      <c r="Q166" s="20" t="e">
        <f>#REF!-N166</f>
        <v>#REF!</v>
      </c>
      <c r="R166" s="17" t="str">
        <f t="shared" si="9"/>
        <v>14 2 04 11010240</v>
      </c>
    </row>
    <row r="167" spans="1:18" s="16" customFormat="1" ht="15.75">
      <c r="A167" s="14"/>
      <c r="B167" s="125" t="s">
        <v>30</v>
      </c>
      <c r="C167" s="109" t="s">
        <v>64</v>
      </c>
      <c r="D167" s="108" t="s">
        <v>11</v>
      </c>
      <c r="E167" s="108" t="s">
        <v>51</v>
      </c>
      <c r="F167" s="108" t="s">
        <v>137</v>
      </c>
      <c r="G167" s="108" t="s">
        <v>31</v>
      </c>
      <c r="H167" s="126"/>
      <c r="L167" s="20"/>
      <c r="M167" s="20"/>
      <c r="N167" s="20"/>
      <c r="O167" s="20"/>
      <c r="P167" s="20"/>
      <c r="Q167" s="20"/>
      <c r="R167" s="17"/>
    </row>
    <row r="168" spans="1:18" s="16" customFormat="1" ht="15.75">
      <c r="A168" s="14"/>
      <c r="B168" s="125" t="s">
        <v>32</v>
      </c>
      <c r="C168" s="109" t="s">
        <v>64</v>
      </c>
      <c r="D168" s="108" t="s">
        <v>11</v>
      </c>
      <c r="E168" s="108" t="s">
        <v>51</v>
      </c>
      <c r="F168" s="108" t="s">
        <v>137</v>
      </c>
      <c r="G168" s="133">
        <v>850</v>
      </c>
      <c r="H168" s="126">
        <f>SUM(H169:H171)</f>
        <v>0</v>
      </c>
      <c r="L168" s="20">
        <v>1342.7499999999998</v>
      </c>
      <c r="M168" s="20">
        <v>1342.7499999999998</v>
      </c>
      <c r="N168" s="20">
        <v>1342.7499999999998</v>
      </c>
      <c r="O168" s="20">
        <f>H168-L168</f>
        <v>-1342.7499999999998</v>
      </c>
      <c r="P168" s="20" t="e">
        <f>#REF!-M168</f>
        <v>#REF!</v>
      </c>
      <c r="Q168" s="20" t="e">
        <f>#REF!-N168</f>
        <v>#REF!</v>
      </c>
      <c r="R168" s="17" t="str">
        <f t="shared" si="9"/>
        <v>14 2 04 11010850</v>
      </c>
    </row>
    <row r="169" spans="1:18" s="23" customFormat="1" ht="31.5">
      <c r="A169" s="21"/>
      <c r="B169" s="127" t="s">
        <v>34</v>
      </c>
      <c r="C169" s="109" t="s">
        <v>64</v>
      </c>
      <c r="D169" s="108" t="s">
        <v>11</v>
      </c>
      <c r="E169" s="108" t="s">
        <v>51</v>
      </c>
      <c r="F169" s="108" t="s">
        <v>137</v>
      </c>
      <c r="G169" s="133">
        <v>851</v>
      </c>
      <c r="H169" s="126"/>
      <c r="L169" s="22"/>
      <c r="M169" s="22"/>
      <c r="N169" s="22"/>
      <c r="O169" s="22"/>
      <c r="P169" s="22"/>
      <c r="Q169" s="22"/>
      <c r="R169" s="24"/>
    </row>
    <row r="170" spans="1:18" s="23" customFormat="1" ht="15.75">
      <c r="A170" s="21"/>
      <c r="B170" s="127" t="s">
        <v>36</v>
      </c>
      <c r="C170" s="109" t="s">
        <v>64</v>
      </c>
      <c r="D170" s="108" t="s">
        <v>11</v>
      </c>
      <c r="E170" s="108" t="s">
        <v>51</v>
      </c>
      <c r="F170" s="108" t="s">
        <v>137</v>
      </c>
      <c r="G170" s="133">
        <v>852</v>
      </c>
      <c r="H170" s="126"/>
      <c r="L170" s="22"/>
      <c r="M170" s="22"/>
      <c r="N170" s="22"/>
      <c r="O170" s="22"/>
      <c r="P170" s="22"/>
      <c r="Q170" s="22"/>
      <c r="R170" s="24"/>
    </row>
    <row r="171" spans="1:18" s="23" customFormat="1" ht="15.75">
      <c r="A171" s="21"/>
      <c r="B171" s="127" t="s">
        <v>77</v>
      </c>
      <c r="C171" s="109" t="s">
        <v>64</v>
      </c>
      <c r="D171" s="108" t="s">
        <v>11</v>
      </c>
      <c r="E171" s="108" t="s">
        <v>51</v>
      </c>
      <c r="F171" s="108" t="s">
        <v>137</v>
      </c>
      <c r="G171" s="133">
        <v>853</v>
      </c>
      <c r="H171" s="126"/>
      <c r="L171" s="22"/>
      <c r="M171" s="22"/>
      <c r="N171" s="22"/>
      <c r="O171" s="22"/>
      <c r="P171" s="22"/>
      <c r="Q171" s="22"/>
      <c r="R171" s="24"/>
    </row>
    <row r="172" spans="1:18" s="16" customFormat="1" ht="47.25">
      <c r="A172" s="14"/>
      <c r="B172" s="127" t="s">
        <v>146</v>
      </c>
      <c r="C172" s="130">
        <v>601</v>
      </c>
      <c r="D172" s="130" t="s">
        <v>11</v>
      </c>
      <c r="E172" s="130">
        <v>13</v>
      </c>
      <c r="F172" s="130" t="s">
        <v>147</v>
      </c>
      <c r="G172" s="130" t="s">
        <v>9</v>
      </c>
      <c r="H172" s="134">
        <f>H173+H178+H193</f>
        <v>0</v>
      </c>
      <c r="L172" s="27">
        <v>1051.79</v>
      </c>
      <c r="M172" s="27">
        <v>1001.79</v>
      </c>
      <c r="N172" s="27">
        <v>1001.79</v>
      </c>
      <c r="O172" s="27">
        <f>H172-L172</f>
        <v>-1051.79</v>
      </c>
      <c r="P172" s="27" t="e">
        <f>#REF!-M172</f>
        <v>#REF!</v>
      </c>
      <c r="Q172" s="27" t="e">
        <f>#REF!-N172</f>
        <v>#REF!</v>
      </c>
      <c r="R172" s="17" t="str">
        <f t="shared" si="9"/>
        <v>15 0 00 00000000</v>
      </c>
    </row>
    <row r="173" spans="1:18" s="16" customFormat="1" ht="15.75">
      <c r="A173" s="14"/>
      <c r="B173" s="125" t="s">
        <v>148</v>
      </c>
      <c r="C173" s="130">
        <v>601</v>
      </c>
      <c r="D173" s="130" t="s">
        <v>11</v>
      </c>
      <c r="E173" s="130">
        <v>13</v>
      </c>
      <c r="F173" s="130" t="s">
        <v>149</v>
      </c>
      <c r="G173" s="130" t="s">
        <v>9</v>
      </c>
      <c r="H173" s="134">
        <f>H174</f>
        <v>0</v>
      </c>
      <c r="L173" s="27">
        <v>386.6</v>
      </c>
      <c r="M173" s="27">
        <v>336.6</v>
      </c>
      <c r="N173" s="27">
        <v>336.6</v>
      </c>
      <c r="O173" s="27">
        <f>H173-L173</f>
        <v>-386.6</v>
      </c>
      <c r="P173" s="27" t="e">
        <f>#REF!-M173</f>
        <v>#REF!</v>
      </c>
      <c r="Q173" s="27" t="e">
        <f>#REF!-N173</f>
        <v>#REF!</v>
      </c>
      <c r="R173" s="17" t="str">
        <f t="shared" si="9"/>
        <v>15 1 00 00000000</v>
      </c>
    </row>
    <row r="174" spans="1:18" s="16" customFormat="1" ht="78.75">
      <c r="A174" s="14"/>
      <c r="B174" s="129" t="s">
        <v>150</v>
      </c>
      <c r="C174" s="130">
        <v>601</v>
      </c>
      <c r="D174" s="130" t="s">
        <v>11</v>
      </c>
      <c r="E174" s="130">
        <v>13</v>
      </c>
      <c r="F174" s="130" t="s">
        <v>151</v>
      </c>
      <c r="G174" s="130" t="s">
        <v>9</v>
      </c>
      <c r="H174" s="134">
        <f>H175</f>
        <v>0</v>
      </c>
      <c r="L174" s="27">
        <v>386.6</v>
      </c>
      <c r="M174" s="27">
        <v>336.6</v>
      </c>
      <c r="N174" s="27">
        <v>336.6</v>
      </c>
      <c r="O174" s="27">
        <f>H174-L174</f>
        <v>-386.6</v>
      </c>
      <c r="P174" s="27" t="e">
        <f>#REF!-M174</f>
        <v>#REF!</v>
      </c>
      <c r="Q174" s="27" t="e">
        <f>#REF!-N174</f>
        <v>#REF!</v>
      </c>
      <c r="R174" s="17" t="str">
        <f t="shared" si="9"/>
        <v>15 1 01 00000000</v>
      </c>
    </row>
    <row r="175" spans="1:18" s="16" customFormat="1" ht="47.25">
      <c r="A175" s="14"/>
      <c r="B175" s="129" t="s">
        <v>152</v>
      </c>
      <c r="C175" s="130">
        <v>601</v>
      </c>
      <c r="D175" s="130" t="s">
        <v>11</v>
      </c>
      <c r="E175" s="130">
        <v>13</v>
      </c>
      <c r="F175" s="130" t="s">
        <v>153</v>
      </c>
      <c r="G175" s="130" t="s">
        <v>9</v>
      </c>
      <c r="H175" s="134">
        <f>SUM(H176:H176)</f>
        <v>0</v>
      </c>
      <c r="L175" s="27">
        <v>386.6</v>
      </c>
      <c r="M175" s="27">
        <v>336.6</v>
      </c>
      <c r="N175" s="27">
        <v>336.6</v>
      </c>
      <c r="O175" s="27">
        <f>H175-L175</f>
        <v>-386.6</v>
      </c>
      <c r="P175" s="27" t="e">
        <f>#REF!-M175</f>
        <v>#REF!</v>
      </c>
      <c r="Q175" s="27" t="e">
        <f>#REF!-N175</f>
        <v>#REF!</v>
      </c>
      <c r="R175" s="17" t="str">
        <f t="shared" si="9"/>
        <v>15 1 01 20350000</v>
      </c>
    </row>
    <row r="176" spans="1:18" s="16" customFormat="1" ht="31.5">
      <c r="A176" s="14"/>
      <c r="B176" s="135" t="s">
        <v>28</v>
      </c>
      <c r="C176" s="130">
        <v>601</v>
      </c>
      <c r="D176" s="130" t="s">
        <v>11</v>
      </c>
      <c r="E176" s="130">
        <v>13</v>
      </c>
      <c r="F176" s="130" t="s">
        <v>153</v>
      </c>
      <c r="G176" s="130" t="s">
        <v>29</v>
      </c>
      <c r="H176" s="126">
        <f>H177</f>
        <v>0</v>
      </c>
      <c r="L176" s="20">
        <v>386.6</v>
      </c>
      <c r="M176" s="20">
        <v>336.6</v>
      </c>
      <c r="N176" s="20">
        <v>336.6</v>
      </c>
      <c r="O176" s="20">
        <f>H176-L176</f>
        <v>-386.6</v>
      </c>
      <c r="P176" s="20" t="e">
        <f>#REF!-M176</f>
        <v>#REF!</v>
      </c>
      <c r="Q176" s="20" t="e">
        <f>#REF!-N176</f>
        <v>#REF!</v>
      </c>
      <c r="R176" s="17" t="str">
        <f t="shared" si="9"/>
        <v>15 1 01 20350240</v>
      </c>
    </row>
    <row r="177" spans="1:18" s="16" customFormat="1" ht="15.75">
      <c r="A177" s="14"/>
      <c r="B177" s="125" t="s">
        <v>30</v>
      </c>
      <c r="C177" s="130">
        <v>601</v>
      </c>
      <c r="D177" s="130" t="s">
        <v>11</v>
      </c>
      <c r="E177" s="130">
        <v>13</v>
      </c>
      <c r="F177" s="130" t="s">
        <v>153</v>
      </c>
      <c r="G177" s="130" t="s">
        <v>31</v>
      </c>
      <c r="H177" s="126"/>
      <c r="L177" s="20"/>
      <c r="M177" s="20"/>
      <c r="N177" s="20"/>
      <c r="O177" s="20"/>
      <c r="P177" s="20"/>
      <c r="Q177" s="20"/>
      <c r="R177" s="17" t="str">
        <f t="shared" si="9"/>
        <v>15 1 01 20350244</v>
      </c>
    </row>
    <row r="178" spans="1:18" s="16" customFormat="1" ht="15.75">
      <c r="A178" s="14"/>
      <c r="B178" s="127" t="s">
        <v>154</v>
      </c>
      <c r="C178" s="136">
        <v>601</v>
      </c>
      <c r="D178" s="130" t="s">
        <v>11</v>
      </c>
      <c r="E178" s="130">
        <v>13</v>
      </c>
      <c r="F178" s="130" t="s">
        <v>155</v>
      </c>
      <c r="G178" s="130" t="s">
        <v>9</v>
      </c>
      <c r="H178" s="134">
        <f>H183+H188+H179</f>
        <v>0</v>
      </c>
      <c r="L178" s="27">
        <v>414.27</v>
      </c>
      <c r="M178" s="27">
        <v>414.27</v>
      </c>
      <c r="N178" s="27">
        <v>414.27</v>
      </c>
      <c r="O178" s="27">
        <f>H178-L178</f>
        <v>-414.27</v>
      </c>
      <c r="P178" s="27" t="e">
        <f>#REF!-M178</f>
        <v>#REF!</v>
      </c>
      <c r="Q178" s="27" t="e">
        <f>#REF!-N178</f>
        <v>#REF!</v>
      </c>
      <c r="R178" s="17" t="str">
        <f t="shared" si="9"/>
        <v>15 2 00 00000000</v>
      </c>
    </row>
    <row r="179" spans="1:18" s="16" customFormat="1" ht="47.25">
      <c r="A179" s="14"/>
      <c r="B179" s="129" t="s">
        <v>156</v>
      </c>
      <c r="C179" s="136">
        <v>601</v>
      </c>
      <c r="D179" s="130" t="s">
        <v>11</v>
      </c>
      <c r="E179" s="130">
        <v>13</v>
      </c>
      <c r="F179" s="130" t="s">
        <v>157</v>
      </c>
      <c r="G179" s="130" t="s">
        <v>9</v>
      </c>
      <c r="H179" s="134">
        <f>H180</f>
        <v>0</v>
      </c>
      <c r="L179" s="27">
        <v>74.97</v>
      </c>
      <c r="M179" s="27">
        <v>74.97</v>
      </c>
      <c r="N179" s="27">
        <v>74.97</v>
      </c>
      <c r="O179" s="27">
        <f>H179-L179</f>
        <v>-74.97</v>
      </c>
      <c r="P179" s="27" t="e">
        <f>#REF!-M179</f>
        <v>#REF!</v>
      </c>
      <c r="Q179" s="27" t="e">
        <f>#REF!-N179</f>
        <v>#REF!</v>
      </c>
      <c r="R179" s="17" t="str">
        <f t="shared" si="9"/>
        <v>15 2 01 00000000</v>
      </c>
    </row>
    <row r="180" spans="1:18" s="16" customFormat="1" ht="78.75">
      <c r="A180" s="14"/>
      <c r="B180" s="129" t="s">
        <v>158</v>
      </c>
      <c r="C180" s="136">
        <v>601</v>
      </c>
      <c r="D180" s="130" t="s">
        <v>11</v>
      </c>
      <c r="E180" s="130">
        <v>13</v>
      </c>
      <c r="F180" s="130" t="s">
        <v>159</v>
      </c>
      <c r="G180" s="130" t="s">
        <v>9</v>
      </c>
      <c r="H180" s="126">
        <f>H181</f>
        <v>0</v>
      </c>
      <c r="L180" s="20">
        <v>74.97</v>
      </c>
      <c r="M180" s="20">
        <v>74.97</v>
      </c>
      <c r="N180" s="20">
        <v>74.97</v>
      </c>
      <c r="O180" s="20">
        <f>H180-L180</f>
        <v>-74.97</v>
      </c>
      <c r="P180" s="20" t="e">
        <f>#REF!-M180</f>
        <v>#REF!</v>
      </c>
      <c r="Q180" s="20" t="e">
        <f>#REF!-N180</f>
        <v>#REF!</v>
      </c>
      <c r="R180" s="17" t="str">
        <f t="shared" si="9"/>
        <v>15 2 01 20370000</v>
      </c>
    </row>
    <row r="181" spans="1:18" s="16" customFormat="1" ht="31.5">
      <c r="A181" s="14"/>
      <c r="B181" s="125" t="s">
        <v>28</v>
      </c>
      <c r="C181" s="136">
        <v>601</v>
      </c>
      <c r="D181" s="130" t="s">
        <v>11</v>
      </c>
      <c r="E181" s="130">
        <v>13</v>
      </c>
      <c r="F181" s="130" t="s">
        <v>159</v>
      </c>
      <c r="G181" s="130" t="s">
        <v>29</v>
      </c>
      <c r="H181" s="126">
        <f>H182</f>
        <v>0</v>
      </c>
      <c r="L181" s="20">
        <v>74.97</v>
      </c>
      <c r="M181" s="20">
        <v>74.97</v>
      </c>
      <c r="N181" s="20">
        <v>74.97</v>
      </c>
      <c r="O181" s="20">
        <f>H181-L181</f>
        <v>-74.97</v>
      </c>
      <c r="P181" s="20" t="e">
        <f>#REF!-M181</f>
        <v>#REF!</v>
      </c>
      <c r="Q181" s="20" t="e">
        <f>#REF!-N181</f>
        <v>#REF!</v>
      </c>
      <c r="R181" s="17" t="str">
        <f t="shared" si="9"/>
        <v>15 2 01 20370240</v>
      </c>
    </row>
    <row r="182" spans="1:18" s="16" customFormat="1" ht="15.75">
      <c r="A182" s="14"/>
      <c r="B182" s="125" t="s">
        <v>30</v>
      </c>
      <c r="C182" s="136">
        <v>601</v>
      </c>
      <c r="D182" s="130" t="s">
        <v>11</v>
      </c>
      <c r="E182" s="130">
        <v>13</v>
      </c>
      <c r="F182" s="130" t="s">
        <v>159</v>
      </c>
      <c r="G182" s="130" t="s">
        <v>31</v>
      </c>
      <c r="H182" s="126"/>
      <c r="L182" s="20"/>
      <c r="M182" s="20"/>
      <c r="N182" s="20"/>
      <c r="O182" s="20"/>
      <c r="P182" s="20"/>
      <c r="Q182" s="20"/>
      <c r="R182" s="17" t="str">
        <f t="shared" si="9"/>
        <v>15 2 01 20370244</v>
      </c>
    </row>
    <row r="183" spans="1:18" s="16" customFormat="1" ht="47.25">
      <c r="A183" s="14"/>
      <c r="B183" s="129" t="s">
        <v>160</v>
      </c>
      <c r="C183" s="136">
        <v>601</v>
      </c>
      <c r="D183" s="130" t="s">
        <v>11</v>
      </c>
      <c r="E183" s="130">
        <v>13</v>
      </c>
      <c r="F183" s="130" t="s">
        <v>161</v>
      </c>
      <c r="G183" s="108" t="s">
        <v>9</v>
      </c>
      <c r="H183" s="126">
        <f>H184</f>
        <v>0</v>
      </c>
      <c r="L183" s="20">
        <v>76.5</v>
      </c>
      <c r="M183" s="20">
        <v>76.5</v>
      </c>
      <c r="N183" s="20">
        <v>76.5</v>
      </c>
      <c r="O183" s="20">
        <f>H183-L183</f>
        <v>-76.5</v>
      </c>
      <c r="P183" s="20" t="e">
        <f>#REF!-M183</f>
        <v>#REF!</v>
      </c>
      <c r="Q183" s="20" t="e">
        <f>#REF!-N183</f>
        <v>#REF!</v>
      </c>
      <c r="R183" s="17" t="str">
        <f t="shared" si="9"/>
        <v>15 2 02 00000000</v>
      </c>
    </row>
    <row r="184" spans="1:18" s="16" customFormat="1" ht="78.75">
      <c r="A184" s="14"/>
      <c r="B184" s="129" t="s">
        <v>158</v>
      </c>
      <c r="C184" s="136">
        <v>601</v>
      </c>
      <c r="D184" s="130" t="s">
        <v>11</v>
      </c>
      <c r="E184" s="130">
        <v>13</v>
      </c>
      <c r="F184" s="130" t="s">
        <v>162</v>
      </c>
      <c r="G184" s="108" t="s">
        <v>9</v>
      </c>
      <c r="H184" s="126">
        <f>H185+H187</f>
        <v>0</v>
      </c>
      <c r="L184" s="20">
        <v>76.5</v>
      </c>
      <c r="M184" s="20">
        <v>76.5</v>
      </c>
      <c r="N184" s="20">
        <v>76.5</v>
      </c>
      <c r="O184" s="20">
        <f>H184-L184</f>
        <v>-76.5</v>
      </c>
      <c r="P184" s="20" t="e">
        <f>#REF!-M184</f>
        <v>#REF!</v>
      </c>
      <c r="Q184" s="20" t="e">
        <f>#REF!-N184</f>
        <v>#REF!</v>
      </c>
      <c r="R184" s="17" t="str">
        <f t="shared" si="9"/>
        <v>15 2 02 20370000</v>
      </c>
    </row>
    <row r="185" spans="1:18" s="16" customFormat="1" ht="31.5">
      <c r="A185" s="14"/>
      <c r="B185" s="125" t="s">
        <v>28</v>
      </c>
      <c r="C185" s="136">
        <v>601</v>
      </c>
      <c r="D185" s="130" t="s">
        <v>11</v>
      </c>
      <c r="E185" s="130">
        <v>13</v>
      </c>
      <c r="F185" s="130" t="s">
        <v>162</v>
      </c>
      <c r="G185" s="108" t="s">
        <v>29</v>
      </c>
      <c r="H185" s="126">
        <f>H186</f>
        <v>0</v>
      </c>
      <c r="L185" s="20">
        <v>13.5</v>
      </c>
      <c r="M185" s="20">
        <v>13.5</v>
      </c>
      <c r="N185" s="20">
        <v>13.5</v>
      </c>
      <c r="O185" s="20">
        <f>H185-L185</f>
        <v>-13.5</v>
      </c>
      <c r="P185" s="20" t="e">
        <f>#REF!-M185</f>
        <v>#REF!</v>
      </c>
      <c r="Q185" s="20" t="e">
        <f>#REF!-N185</f>
        <v>#REF!</v>
      </c>
      <c r="R185" s="17" t="str">
        <f t="shared" si="9"/>
        <v>15 2 02 20370240</v>
      </c>
    </row>
    <row r="186" spans="1:18" s="16" customFormat="1" ht="15.75">
      <c r="A186" s="14"/>
      <c r="B186" s="125" t="s">
        <v>30</v>
      </c>
      <c r="C186" s="136">
        <v>601</v>
      </c>
      <c r="D186" s="130" t="s">
        <v>11</v>
      </c>
      <c r="E186" s="130">
        <v>13</v>
      </c>
      <c r="F186" s="130" t="s">
        <v>162</v>
      </c>
      <c r="G186" s="108" t="s">
        <v>31</v>
      </c>
      <c r="H186" s="126"/>
      <c r="L186" s="20"/>
      <c r="M186" s="20"/>
      <c r="N186" s="20"/>
      <c r="O186" s="20"/>
      <c r="P186" s="20"/>
      <c r="Q186" s="20"/>
      <c r="R186" s="17" t="str">
        <f t="shared" si="9"/>
        <v>15 2 02 20370244</v>
      </c>
    </row>
    <row r="187" spans="1:18" s="16" customFormat="1" ht="15.75">
      <c r="A187" s="14"/>
      <c r="B187" s="125" t="s">
        <v>163</v>
      </c>
      <c r="C187" s="136">
        <v>601</v>
      </c>
      <c r="D187" s="130" t="s">
        <v>11</v>
      </c>
      <c r="E187" s="130">
        <v>13</v>
      </c>
      <c r="F187" s="130" t="s">
        <v>162</v>
      </c>
      <c r="G187" s="108" t="s">
        <v>164</v>
      </c>
      <c r="H187" s="126"/>
      <c r="L187" s="20">
        <v>63</v>
      </c>
      <c r="M187" s="20">
        <v>63</v>
      </c>
      <c r="N187" s="20">
        <v>63</v>
      </c>
      <c r="O187" s="20">
        <f>H187-L187</f>
        <v>-63</v>
      </c>
      <c r="P187" s="20" t="e">
        <f>#REF!-M187</f>
        <v>#REF!</v>
      </c>
      <c r="Q187" s="20" t="e">
        <f>#REF!-N187</f>
        <v>#REF!</v>
      </c>
      <c r="R187" s="17" t="str">
        <f t="shared" si="9"/>
        <v>15 2 02 20370350</v>
      </c>
    </row>
    <row r="188" spans="1:18" s="16" customFormat="1" ht="47.25">
      <c r="A188" s="14"/>
      <c r="B188" s="129" t="s">
        <v>165</v>
      </c>
      <c r="C188" s="136">
        <v>601</v>
      </c>
      <c r="D188" s="130" t="s">
        <v>11</v>
      </c>
      <c r="E188" s="130">
        <v>13</v>
      </c>
      <c r="F188" s="130" t="s">
        <v>166</v>
      </c>
      <c r="G188" s="108" t="s">
        <v>9</v>
      </c>
      <c r="H188" s="126">
        <f>H189</f>
        <v>0</v>
      </c>
      <c r="L188" s="20">
        <v>262.8</v>
      </c>
      <c r="M188" s="20">
        <v>262.8</v>
      </c>
      <c r="N188" s="20">
        <v>262.8</v>
      </c>
      <c r="O188" s="20">
        <f>H188-L188</f>
        <v>-262.8</v>
      </c>
      <c r="P188" s="20" t="e">
        <f>#REF!-M188</f>
        <v>#REF!</v>
      </c>
      <c r="Q188" s="20" t="e">
        <f>#REF!-N188</f>
        <v>#REF!</v>
      </c>
      <c r="R188" s="17" t="str">
        <f t="shared" si="9"/>
        <v>15 2 03 00000000</v>
      </c>
    </row>
    <row r="189" spans="1:18" s="16" customFormat="1" ht="78.75">
      <c r="A189" s="14"/>
      <c r="B189" s="129" t="s">
        <v>158</v>
      </c>
      <c r="C189" s="136">
        <v>601</v>
      </c>
      <c r="D189" s="130" t="s">
        <v>11</v>
      </c>
      <c r="E189" s="130">
        <v>13</v>
      </c>
      <c r="F189" s="130" t="s">
        <v>167</v>
      </c>
      <c r="G189" s="108" t="s">
        <v>9</v>
      </c>
      <c r="H189" s="126">
        <f>H190+H192</f>
        <v>0</v>
      </c>
      <c r="L189" s="20">
        <v>262.8</v>
      </c>
      <c r="M189" s="20">
        <v>262.8</v>
      </c>
      <c r="N189" s="20">
        <v>262.8</v>
      </c>
      <c r="O189" s="20">
        <f>H189-L189</f>
        <v>-262.8</v>
      </c>
      <c r="P189" s="20" t="e">
        <f>#REF!-M189</f>
        <v>#REF!</v>
      </c>
      <c r="Q189" s="20" t="e">
        <f>#REF!-N189</f>
        <v>#REF!</v>
      </c>
      <c r="R189" s="17" t="str">
        <f t="shared" si="9"/>
        <v>15 2 03 20370000</v>
      </c>
    </row>
    <row r="190" spans="1:18" s="16" customFormat="1" ht="31.5">
      <c r="A190" s="14"/>
      <c r="B190" s="125" t="s">
        <v>28</v>
      </c>
      <c r="C190" s="136">
        <v>601</v>
      </c>
      <c r="D190" s="130" t="s">
        <v>11</v>
      </c>
      <c r="E190" s="130">
        <v>13</v>
      </c>
      <c r="F190" s="130" t="s">
        <v>167</v>
      </c>
      <c r="G190" s="108" t="s">
        <v>29</v>
      </c>
      <c r="H190" s="126">
        <f>H191</f>
        <v>0</v>
      </c>
      <c r="L190" s="20">
        <v>202.8</v>
      </c>
      <c r="M190" s="20">
        <v>202.8</v>
      </c>
      <c r="N190" s="20">
        <v>202.8</v>
      </c>
      <c r="O190" s="20">
        <f>H190-L190</f>
        <v>-202.8</v>
      </c>
      <c r="P190" s="20" t="e">
        <f>#REF!-M190</f>
        <v>#REF!</v>
      </c>
      <c r="Q190" s="20" t="e">
        <f>#REF!-N190</f>
        <v>#REF!</v>
      </c>
      <c r="R190" s="17" t="str">
        <f t="shared" si="9"/>
        <v>15 2 03 20370240</v>
      </c>
    </row>
    <row r="191" spans="1:18" s="16" customFormat="1" ht="15.75">
      <c r="A191" s="14"/>
      <c r="B191" s="125" t="s">
        <v>30</v>
      </c>
      <c r="C191" s="136">
        <v>601</v>
      </c>
      <c r="D191" s="130" t="s">
        <v>11</v>
      </c>
      <c r="E191" s="130">
        <v>13</v>
      </c>
      <c r="F191" s="130" t="s">
        <v>167</v>
      </c>
      <c r="G191" s="108" t="s">
        <v>31</v>
      </c>
      <c r="H191" s="126"/>
      <c r="L191" s="20"/>
      <c r="M191" s="20"/>
      <c r="N191" s="20"/>
      <c r="O191" s="20"/>
      <c r="P191" s="20"/>
      <c r="Q191" s="20"/>
      <c r="R191" s="17" t="str">
        <f t="shared" si="9"/>
        <v>15 2 03 20370244</v>
      </c>
    </row>
    <row r="192" spans="1:18" s="16" customFormat="1" ht="15.75">
      <c r="A192" s="14"/>
      <c r="B192" s="125" t="s">
        <v>163</v>
      </c>
      <c r="C192" s="136">
        <v>601</v>
      </c>
      <c r="D192" s="130" t="s">
        <v>11</v>
      </c>
      <c r="E192" s="130">
        <v>13</v>
      </c>
      <c r="F192" s="130" t="s">
        <v>167</v>
      </c>
      <c r="G192" s="108" t="s">
        <v>164</v>
      </c>
      <c r="H192" s="126"/>
      <c r="L192" s="20">
        <v>60</v>
      </c>
      <c r="M192" s="20">
        <v>60</v>
      </c>
      <c r="N192" s="20">
        <v>60</v>
      </c>
      <c r="O192" s="20">
        <f t="shared" ref="O192:O201" si="16">H192-L192</f>
        <v>-60</v>
      </c>
      <c r="P192" s="20" t="e">
        <f>#REF!-M192</f>
        <v>#REF!</v>
      </c>
      <c r="Q192" s="20" t="e">
        <f>#REF!-N192</f>
        <v>#REF!</v>
      </c>
      <c r="R192" s="17" t="str">
        <f t="shared" si="9"/>
        <v>15 2 03 20370350</v>
      </c>
    </row>
    <row r="193" spans="1:18" s="16" customFormat="1" ht="31.5">
      <c r="A193" s="14"/>
      <c r="B193" s="125" t="s">
        <v>168</v>
      </c>
      <c r="C193" s="136">
        <v>601</v>
      </c>
      <c r="D193" s="130" t="s">
        <v>11</v>
      </c>
      <c r="E193" s="130">
        <v>13</v>
      </c>
      <c r="F193" s="130" t="s">
        <v>169</v>
      </c>
      <c r="G193" s="108" t="s">
        <v>9</v>
      </c>
      <c r="H193" s="126">
        <f t="shared" ref="H193:H195" si="17">H194</f>
        <v>0</v>
      </c>
      <c r="L193" s="20">
        <v>250.92</v>
      </c>
      <c r="M193" s="20">
        <v>250.92</v>
      </c>
      <c r="N193" s="20">
        <v>250.92</v>
      </c>
      <c r="O193" s="20">
        <f t="shared" si="16"/>
        <v>-250.92</v>
      </c>
      <c r="P193" s="20" t="e">
        <f>#REF!-M193</f>
        <v>#REF!</v>
      </c>
      <c r="Q193" s="20" t="e">
        <f>#REF!-N193</f>
        <v>#REF!</v>
      </c>
      <c r="R193" s="17" t="str">
        <f t="shared" si="9"/>
        <v>15 3 00 00000000</v>
      </c>
    </row>
    <row r="194" spans="1:18" s="16" customFormat="1" ht="47.25">
      <c r="A194" s="14"/>
      <c r="B194" s="125" t="s">
        <v>170</v>
      </c>
      <c r="C194" s="136">
        <v>601</v>
      </c>
      <c r="D194" s="130" t="s">
        <v>11</v>
      </c>
      <c r="E194" s="130">
        <v>13</v>
      </c>
      <c r="F194" s="130" t="s">
        <v>171</v>
      </c>
      <c r="G194" s="108" t="s">
        <v>9</v>
      </c>
      <c r="H194" s="126">
        <f t="shared" si="17"/>
        <v>0</v>
      </c>
      <c r="L194" s="20">
        <v>250.92</v>
      </c>
      <c r="M194" s="20">
        <v>250.92</v>
      </c>
      <c r="N194" s="20">
        <v>250.92</v>
      </c>
      <c r="O194" s="20">
        <f t="shared" si="16"/>
        <v>-250.92</v>
      </c>
      <c r="P194" s="20" t="e">
        <f>#REF!-M194</f>
        <v>#REF!</v>
      </c>
      <c r="Q194" s="20" t="e">
        <f>#REF!-N194</f>
        <v>#REF!</v>
      </c>
      <c r="R194" s="17" t="str">
        <f t="shared" si="9"/>
        <v>15 3 03 00000000</v>
      </c>
    </row>
    <row r="195" spans="1:18" s="16" customFormat="1" ht="63">
      <c r="A195" s="14"/>
      <c r="B195" s="125" t="s">
        <v>172</v>
      </c>
      <c r="C195" s="136">
        <v>601</v>
      </c>
      <c r="D195" s="130" t="s">
        <v>11</v>
      </c>
      <c r="E195" s="130">
        <v>13</v>
      </c>
      <c r="F195" s="130" t="s">
        <v>173</v>
      </c>
      <c r="G195" s="108" t="s">
        <v>9</v>
      </c>
      <c r="H195" s="126">
        <f t="shared" si="17"/>
        <v>0</v>
      </c>
      <c r="L195" s="20">
        <v>250.92</v>
      </c>
      <c r="M195" s="20">
        <v>250.92</v>
      </c>
      <c r="N195" s="20">
        <v>250.92</v>
      </c>
      <c r="O195" s="20">
        <f t="shared" si="16"/>
        <v>-250.92</v>
      </c>
      <c r="P195" s="20" t="e">
        <f>#REF!-M195</f>
        <v>#REF!</v>
      </c>
      <c r="Q195" s="20" t="e">
        <f>#REF!-N195</f>
        <v>#REF!</v>
      </c>
      <c r="R195" s="17" t="str">
        <f t="shared" si="9"/>
        <v>15 3 03 20100000</v>
      </c>
    </row>
    <row r="196" spans="1:18" s="16" customFormat="1" ht="15.75">
      <c r="A196" s="14"/>
      <c r="B196" s="125" t="s">
        <v>163</v>
      </c>
      <c r="C196" s="136">
        <v>601</v>
      </c>
      <c r="D196" s="130" t="s">
        <v>11</v>
      </c>
      <c r="E196" s="130">
        <v>13</v>
      </c>
      <c r="F196" s="130" t="s">
        <v>173</v>
      </c>
      <c r="G196" s="108" t="s">
        <v>164</v>
      </c>
      <c r="H196" s="126"/>
      <c r="L196" s="20">
        <v>250.92</v>
      </c>
      <c r="M196" s="20">
        <v>250.92</v>
      </c>
      <c r="N196" s="20">
        <v>250.92</v>
      </c>
      <c r="O196" s="20">
        <f t="shared" si="16"/>
        <v>-250.92</v>
      </c>
      <c r="P196" s="20" t="e">
        <f>#REF!-M196</f>
        <v>#REF!</v>
      </c>
      <c r="Q196" s="20" t="e">
        <f>#REF!-N196</f>
        <v>#REF!</v>
      </c>
      <c r="R196" s="17" t="str">
        <f t="shared" si="9"/>
        <v>15 3 03 20100350</v>
      </c>
    </row>
    <row r="197" spans="1:18" s="16" customFormat="1" ht="31.5">
      <c r="A197" s="14"/>
      <c r="B197" s="125" t="s">
        <v>174</v>
      </c>
      <c r="C197" s="109" t="s">
        <v>64</v>
      </c>
      <c r="D197" s="108" t="s">
        <v>11</v>
      </c>
      <c r="E197" s="108" t="s">
        <v>51</v>
      </c>
      <c r="F197" s="108" t="s">
        <v>175</v>
      </c>
      <c r="G197" s="108" t="s">
        <v>9</v>
      </c>
      <c r="H197" s="126">
        <f t="shared" ref="H197:H200" si="18">H198</f>
        <v>0</v>
      </c>
      <c r="L197" s="20">
        <v>2292.5</v>
      </c>
      <c r="M197" s="20">
        <v>2292.5</v>
      </c>
      <c r="N197" s="20">
        <v>2292.5</v>
      </c>
      <c r="O197" s="20">
        <f t="shared" si="16"/>
        <v>-2292.5</v>
      </c>
      <c r="P197" s="20" t="e">
        <f>#REF!-M197</f>
        <v>#REF!</v>
      </c>
      <c r="Q197" s="20" t="e">
        <f>#REF!-N197</f>
        <v>#REF!</v>
      </c>
      <c r="R197" s="17" t="str">
        <f t="shared" si="9"/>
        <v>18 0 00 00000000</v>
      </c>
    </row>
    <row r="198" spans="1:18" s="16" customFormat="1" ht="31.5">
      <c r="A198" s="14"/>
      <c r="B198" s="125" t="s">
        <v>176</v>
      </c>
      <c r="C198" s="109" t="s">
        <v>64</v>
      </c>
      <c r="D198" s="108" t="s">
        <v>11</v>
      </c>
      <c r="E198" s="108" t="s">
        <v>51</v>
      </c>
      <c r="F198" s="108" t="s">
        <v>177</v>
      </c>
      <c r="G198" s="108" t="s">
        <v>9</v>
      </c>
      <c r="H198" s="126">
        <f t="shared" si="18"/>
        <v>0</v>
      </c>
      <c r="L198" s="20">
        <v>2292.5</v>
      </c>
      <c r="M198" s="20">
        <v>2292.5</v>
      </c>
      <c r="N198" s="20">
        <v>2292.5</v>
      </c>
      <c r="O198" s="20">
        <f t="shared" si="16"/>
        <v>-2292.5</v>
      </c>
      <c r="P198" s="20" t="e">
        <f>#REF!-M198</f>
        <v>#REF!</v>
      </c>
      <c r="Q198" s="20" t="e">
        <f>#REF!-N198</f>
        <v>#REF!</v>
      </c>
      <c r="R198" s="17" t="str">
        <f t="shared" si="9"/>
        <v>18 Б 00 00000000</v>
      </c>
    </row>
    <row r="199" spans="1:18" s="16" customFormat="1" ht="63">
      <c r="A199" s="14"/>
      <c r="B199" s="129" t="s">
        <v>178</v>
      </c>
      <c r="C199" s="109" t="s">
        <v>64</v>
      </c>
      <c r="D199" s="108" t="s">
        <v>11</v>
      </c>
      <c r="E199" s="108" t="s">
        <v>51</v>
      </c>
      <c r="F199" s="108" t="s">
        <v>179</v>
      </c>
      <c r="G199" s="108" t="s">
        <v>9</v>
      </c>
      <c r="H199" s="126">
        <f t="shared" si="18"/>
        <v>0</v>
      </c>
      <c r="L199" s="20">
        <v>2292.5</v>
      </c>
      <c r="M199" s="20">
        <v>2292.5</v>
      </c>
      <c r="N199" s="20">
        <v>2292.5</v>
      </c>
      <c r="O199" s="20">
        <f t="shared" si="16"/>
        <v>-2292.5</v>
      </c>
      <c r="P199" s="20" t="e">
        <f>#REF!-M199</f>
        <v>#REF!</v>
      </c>
      <c r="Q199" s="20" t="e">
        <f>#REF!-N199</f>
        <v>#REF!</v>
      </c>
      <c r="R199" s="17" t="str">
        <f t="shared" si="9"/>
        <v>18 Б 01 00000000</v>
      </c>
    </row>
    <row r="200" spans="1:18" s="16" customFormat="1" ht="126">
      <c r="A200" s="14"/>
      <c r="B200" s="125" t="s">
        <v>180</v>
      </c>
      <c r="C200" s="109" t="s">
        <v>64</v>
      </c>
      <c r="D200" s="108" t="s">
        <v>11</v>
      </c>
      <c r="E200" s="108" t="s">
        <v>51</v>
      </c>
      <c r="F200" s="108" t="s">
        <v>181</v>
      </c>
      <c r="G200" s="108" t="s">
        <v>9</v>
      </c>
      <c r="H200" s="126">
        <f t="shared" si="18"/>
        <v>0</v>
      </c>
      <c r="L200" s="20">
        <v>2292.5</v>
      </c>
      <c r="M200" s="20">
        <v>2292.5</v>
      </c>
      <c r="N200" s="20">
        <v>2292.5</v>
      </c>
      <c r="O200" s="20">
        <f t="shared" si="16"/>
        <v>-2292.5</v>
      </c>
      <c r="P200" s="20" t="e">
        <f>#REF!-M200</f>
        <v>#REF!</v>
      </c>
      <c r="Q200" s="20" t="e">
        <f>#REF!-N200</f>
        <v>#REF!</v>
      </c>
      <c r="R200" s="17" t="str">
        <f t="shared" si="9"/>
        <v>18 Б 01 60080000</v>
      </c>
    </row>
    <row r="201" spans="1:18" s="16" customFormat="1" ht="47.25">
      <c r="A201" s="14"/>
      <c r="B201" s="125" t="s">
        <v>182</v>
      </c>
      <c r="C201" s="109" t="s">
        <v>64</v>
      </c>
      <c r="D201" s="108" t="s">
        <v>11</v>
      </c>
      <c r="E201" s="108" t="s">
        <v>51</v>
      </c>
      <c r="F201" s="108" t="s">
        <v>181</v>
      </c>
      <c r="G201" s="108" t="s">
        <v>183</v>
      </c>
      <c r="H201" s="126">
        <f>H202</f>
        <v>0</v>
      </c>
      <c r="L201" s="20">
        <v>2292.5</v>
      </c>
      <c r="M201" s="20">
        <v>2292.5</v>
      </c>
      <c r="N201" s="20">
        <v>2292.5</v>
      </c>
      <c r="O201" s="20">
        <f t="shared" si="16"/>
        <v>-2292.5</v>
      </c>
      <c r="P201" s="20" t="e">
        <f>#REF!-M201</f>
        <v>#REF!</v>
      </c>
      <c r="Q201" s="20" t="e">
        <f>#REF!-N201</f>
        <v>#REF!</v>
      </c>
      <c r="R201" s="17" t="str">
        <f t="shared" si="9"/>
        <v>18 Б 01 60080630</v>
      </c>
    </row>
    <row r="202" spans="1:18" s="16" customFormat="1" ht="31.5">
      <c r="A202" s="14"/>
      <c r="B202" s="125" t="s">
        <v>1037</v>
      </c>
      <c r="C202" s="109" t="s">
        <v>64</v>
      </c>
      <c r="D202" s="108" t="s">
        <v>11</v>
      </c>
      <c r="E202" s="108" t="s">
        <v>51</v>
      </c>
      <c r="F202" s="108" t="s">
        <v>181</v>
      </c>
      <c r="G202" s="108" t="s">
        <v>185</v>
      </c>
      <c r="H202" s="126"/>
      <c r="L202" s="20"/>
      <c r="M202" s="20"/>
      <c r="N202" s="20"/>
      <c r="O202" s="20"/>
      <c r="P202" s="20"/>
      <c r="Q202" s="20"/>
      <c r="R202" s="17" t="str">
        <f t="shared" si="9"/>
        <v>18 Б 01 60080631</v>
      </c>
    </row>
    <row r="203" spans="1:18" s="16" customFormat="1" ht="31.5">
      <c r="A203" s="14"/>
      <c r="B203" s="129" t="s">
        <v>66</v>
      </c>
      <c r="C203" s="130" t="s">
        <v>64</v>
      </c>
      <c r="D203" s="131" t="s">
        <v>11</v>
      </c>
      <c r="E203" s="131" t="s">
        <v>51</v>
      </c>
      <c r="F203" s="131" t="s">
        <v>67</v>
      </c>
      <c r="G203" s="131" t="s">
        <v>9</v>
      </c>
      <c r="H203" s="126">
        <f>H204</f>
        <v>0</v>
      </c>
      <c r="L203" s="20">
        <v>37338.509999999995</v>
      </c>
      <c r="M203" s="20">
        <v>32338.51</v>
      </c>
      <c r="N203" s="20">
        <v>32338.51</v>
      </c>
      <c r="O203" s="20">
        <f>H203-L203</f>
        <v>-37338.509999999995</v>
      </c>
      <c r="P203" s="20" t="e">
        <f>#REF!-M203</f>
        <v>#REF!</v>
      </c>
      <c r="Q203" s="20" t="e">
        <f>#REF!-N203</f>
        <v>#REF!</v>
      </c>
      <c r="R203" s="17" t="str">
        <f t="shared" si="9"/>
        <v>71 0 00 00000000</v>
      </c>
    </row>
    <row r="204" spans="1:18" s="16" customFormat="1" ht="31.5">
      <c r="A204" s="14"/>
      <c r="B204" s="129" t="s">
        <v>74</v>
      </c>
      <c r="C204" s="130" t="s">
        <v>64</v>
      </c>
      <c r="D204" s="131" t="s">
        <v>11</v>
      </c>
      <c r="E204" s="131" t="s">
        <v>51</v>
      </c>
      <c r="F204" s="131" t="s">
        <v>75</v>
      </c>
      <c r="G204" s="131" t="s">
        <v>9</v>
      </c>
      <c r="H204" s="126">
        <f>H205+H216</f>
        <v>0</v>
      </c>
      <c r="L204" s="20">
        <v>37338.509999999995</v>
      </c>
      <c r="M204" s="20">
        <v>32338.51</v>
      </c>
      <c r="N204" s="20">
        <v>32338.51</v>
      </c>
      <c r="O204" s="20">
        <f>H204-L204</f>
        <v>-37338.509999999995</v>
      </c>
      <c r="P204" s="20" t="e">
        <f>#REF!-M204</f>
        <v>#REF!</v>
      </c>
      <c r="Q204" s="20" t="e">
        <f>#REF!-N204</f>
        <v>#REF!</v>
      </c>
      <c r="R204" s="17" t="str">
        <f t="shared" ref="R204:R289" si="19">CONCATENATE(F204,G204)</f>
        <v>71 1 00 00000000</v>
      </c>
    </row>
    <row r="205" spans="1:18" s="16" customFormat="1" ht="31.5">
      <c r="A205" s="14"/>
      <c r="B205" s="125" t="s">
        <v>136</v>
      </c>
      <c r="C205" s="109" t="s">
        <v>64</v>
      </c>
      <c r="D205" s="108" t="s">
        <v>11</v>
      </c>
      <c r="E205" s="108" t="s">
        <v>51</v>
      </c>
      <c r="F205" s="108" t="s">
        <v>186</v>
      </c>
      <c r="G205" s="108" t="s">
        <v>9</v>
      </c>
      <c r="H205" s="126">
        <f>H206+H210+H212</f>
        <v>0</v>
      </c>
      <c r="L205" s="20">
        <v>37138.509999999995</v>
      </c>
      <c r="M205" s="20">
        <v>32138.51</v>
      </c>
      <c r="N205" s="20">
        <v>32138.51</v>
      </c>
      <c r="O205" s="20">
        <f>H205-L205</f>
        <v>-37138.509999999995</v>
      </c>
      <c r="P205" s="20" t="e">
        <f>#REF!-M205</f>
        <v>#REF!</v>
      </c>
      <c r="Q205" s="20" t="e">
        <f>#REF!-N205</f>
        <v>#REF!</v>
      </c>
      <c r="R205" s="17" t="str">
        <f t="shared" si="19"/>
        <v>71 1 00 11010000</v>
      </c>
    </row>
    <row r="206" spans="1:18" s="16" customFormat="1" ht="15.75">
      <c r="A206" s="14"/>
      <c r="B206" s="132" t="s">
        <v>138</v>
      </c>
      <c r="C206" s="109" t="s">
        <v>64</v>
      </c>
      <c r="D206" s="108" t="s">
        <v>11</v>
      </c>
      <c r="E206" s="108" t="s">
        <v>51</v>
      </c>
      <c r="F206" s="108" t="s">
        <v>186</v>
      </c>
      <c r="G206" s="108" t="s">
        <v>139</v>
      </c>
      <c r="H206" s="126">
        <f>SUM(H207:H209)</f>
        <v>0</v>
      </c>
      <c r="L206" s="20">
        <v>12661.96</v>
      </c>
      <c r="M206" s="20">
        <v>12661.96</v>
      </c>
      <c r="N206" s="20">
        <v>12661.96</v>
      </c>
      <c r="O206" s="20">
        <f>H206-L206</f>
        <v>-12661.96</v>
      </c>
      <c r="P206" s="20" t="e">
        <f>#REF!-M206</f>
        <v>#REF!</v>
      </c>
      <c r="Q206" s="20" t="e">
        <f>#REF!-N206</f>
        <v>#REF!</v>
      </c>
      <c r="R206" s="17" t="str">
        <f t="shared" si="19"/>
        <v>71 1 00 11010110</v>
      </c>
    </row>
    <row r="207" spans="1:18" s="23" customFormat="1" ht="15.75">
      <c r="A207" s="21"/>
      <c r="B207" s="127" t="s">
        <v>140</v>
      </c>
      <c r="C207" s="109" t="s">
        <v>64</v>
      </c>
      <c r="D207" s="108" t="s">
        <v>11</v>
      </c>
      <c r="E207" s="108" t="s">
        <v>51</v>
      </c>
      <c r="F207" s="108" t="s">
        <v>186</v>
      </c>
      <c r="G207" s="108" t="s">
        <v>141</v>
      </c>
      <c r="H207" s="126"/>
      <c r="L207" s="22"/>
      <c r="M207" s="22"/>
      <c r="N207" s="22"/>
      <c r="O207" s="22"/>
      <c r="P207" s="22"/>
      <c r="Q207" s="22"/>
      <c r="R207" s="24"/>
    </row>
    <row r="208" spans="1:18" s="23" customFormat="1" ht="31.5">
      <c r="A208" s="21"/>
      <c r="B208" s="127" t="s">
        <v>142</v>
      </c>
      <c r="C208" s="109" t="s">
        <v>64</v>
      </c>
      <c r="D208" s="108" t="s">
        <v>11</v>
      </c>
      <c r="E208" s="108" t="s">
        <v>51</v>
      </c>
      <c r="F208" s="108" t="s">
        <v>186</v>
      </c>
      <c r="G208" s="108" t="s">
        <v>143</v>
      </c>
      <c r="H208" s="126"/>
      <c r="L208" s="22"/>
      <c r="M208" s="22"/>
      <c r="N208" s="22"/>
      <c r="O208" s="22"/>
      <c r="P208" s="22"/>
      <c r="Q208" s="22"/>
      <c r="R208" s="24"/>
    </row>
    <row r="209" spans="1:18" s="23" customFormat="1" ht="63">
      <c r="A209" s="21"/>
      <c r="B209" s="127" t="s">
        <v>144</v>
      </c>
      <c r="C209" s="109" t="s">
        <v>64</v>
      </c>
      <c r="D209" s="108" t="s">
        <v>11</v>
      </c>
      <c r="E209" s="108" t="s">
        <v>51</v>
      </c>
      <c r="F209" s="108" t="s">
        <v>186</v>
      </c>
      <c r="G209" s="108" t="s">
        <v>145</v>
      </c>
      <c r="H209" s="126"/>
      <c r="L209" s="22"/>
      <c r="M209" s="22"/>
      <c r="N209" s="22"/>
      <c r="O209" s="22"/>
      <c r="P209" s="22"/>
      <c r="Q209" s="22"/>
      <c r="R209" s="24"/>
    </row>
    <row r="210" spans="1:18" s="16" customFormat="1" ht="31.5">
      <c r="A210" s="14"/>
      <c r="B210" s="125" t="s">
        <v>28</v>
      </c>
      <c r="C210" s="109" t="s">
        <v>64</v>
      </c>
      <c r="D210" s="108" t="s">
        <v>11</v>
      </c>
      <c r="E210" s="108" t="s">
        <v>51</v>
      </c>
      <c r="F210" s="108" t="s">
        <v>186</v>
      </c>
      <c r="G210" s="108" t="s">
        <v>29</v>
      </c>
      <c r="H210" s="126">
        <f>H211</f>
        <v>0</v>
      </c>
      <c r="L210" s="20">
        <v>24082.02</v>
      </c>
      <c r="M210" s="20">
        <v>19082.02</v>
      </c>
      <c r="N210" s="20">
        <v>19082.02</v>
      </c>
      <c r="O210" s="20">
        <f>H210-L210</f>
        <v>-24082.02</v>
      </c>
      <c r="P210" s="20" t="e">
        <f>#REF!-M210</f>
        <v>#REF!</v>
      </c>
      <c r="Q210" s="20" t="e">
        <f>#REF!-N210</f>
        <v>#REF!</v>
      </c>
      <c r="R210" s="17" t="str">
        <f t="shared" si="19"/>
        <v>71 1 00 11010240</v>
      </c>
    </row>
    <row r="211" spans="1:18" s="16" customFormat="1" ht="15.75">
      <c r="A211" s="14"/>
      <c r="B211" s="125" t="s">
        <v>30</v>
      </c>
      <c r="C211" s="109" t="s">
        <v>64</v>
      </c>
      <c r="D211" s="108" t="s">
        <v>11</v>
      </c>
      <c r="E211" s="108" t="s">
        <v>51</v>
      </c>
      <c r="F211" s="108" t="s">
        <v>186</v>
      </c>
      <c r="G211" s="108" t="s">
        <v>31</v>
      </c>
      <c r="H211" s="126"/>
      <c r="L211" s="20"/>
      <c r="M211" s="20"/>
      <c r="N211" s="20"/>
      <c r="O211" s="20"/>
      <c r="P211" s="20"/>
      <c r="Q211" s="20"/>
      <c r="R211" s="17"/>
    </row>
    <row r="212" spans="1:18" s="16" customFormat="1" ht="15.75">
      <c r="A212" s="14"/>
      <c r="B212" s="125" t="s">
        <v>32</v>
      </c>
      <c r="C212" s="109" t="s">
        <v>64</v>
      </c>
      <c r="D212" s="108" t="s">
        <v>11</v>
      </c>
      <c r="E212" s="108" t="s">
        <v>51</v>
      </c>
      <c r="F212" s="108" t="s">
        <v>186</v>
      </c>
      <c r="G212" s="108" t="s">
        <v>33</v>
      </c>
      <c r="H212" s="126">
        <f>SUM(H213:H215)</f>
        <v>0</v>
      </c>
      <c r="L212" s="20">
        <v>394.53</v>
      </c>
      <c r="M212" s="20">
        <v>394.53</v>
      </c>
      <c r="N212" s="20">
        <v>394.53</v>
      </c>
      <c r="O212" s="20">
        <f>H212-L212</f>
        <v>-394.53</v>
      </c>
      <c r="P212" s="20" t="e">
        <f>#REF!-M212</f>
        <v>#REF!</v>
      </c>
      <c r="Q212" s="20" t="e">
        <f>#REF!-N212</f>
        <v>#REF!</v>
      </c>
      <c r="R212" s="17" t="str">
        <f t="shared" si="19"/>
        <v>71 1 00 11010850</v>
      </c>
    </row>
    <row r="213" spans="1:18" s="23" customFormat="1" ht="31.5">
      <c r="A213" s="21"/>
      <c r="B213" s="127" t="s">
        <v>34</v>
      </c>
      <c r="C213" s="109" t="s">
        <v>64</v>
      </c>
      <c r="D213" s="108" t="s">
        <v>11</v>
      </c>
      <c r="E213" s="108" t="s">
        <v>51</v>
      </c>
      <c r="F213" s="108" t="s">
        <v>186</v>
      </c>
      <c r="G213" s="108" t="s">
        <v>35</v>
      </c>
      <c r="H213" s="126"/>
      <c r="L213" s="22"/>
      <c r="M213" s="22"/>
      <c r="N213" s="22"/>
      <c r="O213" s="22"/>
      <c r="P213" s="22"/>
      <c r="Q213" s="22"/>
      <c r="R213" s="24"/>
    </row>
    <row r="214" spans="1:18" s="23" customFormat="1" ht="15.75">
      <c r="A214" s="21"/>
      <c r="B214" s="127" t="s">
        <v>36</v>
      </c>
      <c r="C214" s="109" t="s">
        <v>64</v>
      </c>
      <c r="D214" s="108" t="s">
        <v>11</v>
      </c>
      <c r="E214" s="108" t="s">
        <v>51</v>
      </c>
      <c r="F214" s="108" t="s">
        <v>186</v>
      </c>
      <c r="G214" s="108" t="s">
        <v>37</v>
      </c>
      <c r="H214" s="126"/>
      <c r="L214" s="22"/>
      <c r="M214" s="22"/>
      <c r="N214" s="22"/>
      <c r="O214" s="22"/>
      <c r="P214" s="22"/>
      <c r="Q214" s="22"/>
      <c r="R214" s="24"/>
    </row>
    <row r="215" spans="1:18" s="23" customFormat="1" ht="15.75">
      <c r="A215" s="21"/>
      <c r="B215" s="127" t="s">
        <v>77</v>
      </c>
      <c r="C215" s="109" t="s">
        <v>64</v>
      </c>
      <c r="D215" s="108" t="s">
        <v>11</v>
      </c>
      <c r="E215" s="108" t="s">
        <v>51</v>
      </c>
      <c r="F215" s="108" t="s">
        <v>186</v>
      </c>
      <c r="G215" s="108" t="s">
        <v>78</v>
      </c>
      <c r="H215" s="126"/>
      <c r="L215" s="22"/>
      <c r="M215" s="22"/>
      <c r="N215" s="22"/>
      <c r="O215" s="22"/>
      <c r="P215" s="22"/>
      <c r="Q215" s="22"/>
      <c r="R215" s="24"/>
    </row>
    <row r="216" spans="1:18" s="16" customFormat="1" ht="31.5">
      <c r="A216" s="14"/>
      <c r="B216" s="129" t="s">
        <v>187</v>
      </c>
      <c r="C216" s="130" t="s">
        <v>64</v>
      </c>
      <c r="D216" s="131" t="s">
        <v>11</v>
      </c>
      <c r="E216" s="131" t="s">
        <v>51</v>
      </c>
      <c r="F216" s="131" t="s">
        <v>188</v>
      </c>
      <c r="G216" s="131" t="s">
        <v>9</v>
      </c>
      <c r="H216" s="126">
        <f>H217</f>
        <v>0</v>
      </c>
      <c r="L216" s="20">
        <v>200</v>
      </c>
      <c r="M216" s="20">
        <v>200</v>
      </c>
      <c r="N216" s="20">
        <v>200</v>
      </c>
      <c r="O216" s="20">
        <f>H216-L216</f>
        <v>-200</v>
      </c>
      <c r="P216" s="20" t="e">
        <f>#REF!-M216</f>
        <v>#REF!</v>
      </c>
      <c r="Q216" s="20" t="e">
        <f>#REF!-N216</f>
        <v>#REF!</v>
      </c>
      <c r="R216" s="17" t="str">
        <f t="shared" si="19"/>
        <v>71 1 00 20050000</v>
      </c>
    </row>
    <row r="217" spans="1:18" s="16" customFormat="1" ht="15.75">
      <c r="A217" s="14"/>
      <c r="B217" s="125" t="s">
        <v>189</v>
      </c>
      <c r="C217" s="130" t="s">
        <v>64</v>
      </c>
      <c r="D217" s="131" t="s">
        <v>11</v>
      </c>
      <c r="E217" s="131" t="s">
        <v>51</v>
      </c>
      <c r="F217" s="131" t="s">
        <v>188</v>
      </c>
      <c r="G217" s="131" t="s">
        <v>190</v>
      </c>
      <c r="H217" s="126">
        <f>H218</f>
        <v>0</v>
      </c>
      <c r="L217" s="20">
        <v>200</v>
      </c>
      <c r="M217" s="20">
        <v>200</v>
      </c>
      <c r="N217" s="20">
        <v>200</v>
      </c>
      <c r="O217" s="20">
        <f>H217-L217</f>
        <v>-200</v>
      </c>
      <c r="P217" s="20" t="e">
        <f>#REF!-M217</f>
        <v>#REF!</v>
      </c>
      <c r="Q217" s="20" t="e">
        <f>#REF!-N217</f>
        <v>#REF!</v>
      </c>
      <c r="R217" s="17" t="str">
        <f t="shared" si="19"/>
        <v>71 1 00 20050830</v>
      </c>
    </row>
    <row r="218" spans="1:18" s="16" customFormat="1" ht="47.25">
      <c r="A218" s="14"/>
      <c r="B218" s="129" t="s">
        <v>191</v>
      </c>
      <c r="C218" s="130" t="s">
        <v>64</v>
      </c>
      <c r="D218" s="131" t="s">
        <v>11</v>
      </c>
      <c r="E218" s="131" t="s">
        <v>51</v>
      </c>
      <c r="F218" s="131" t="s">
        <v>188</v>
      </c>
      <c r="G218" s="131" t="s">
        <v>192</v>
      </c>
      <c r="H218" s="126"/>
      <c r="L218" s="20"/>
      <c r="M218" s="20"/>
      <c r="N218" s="20"/>
      <c r="O218" s="20"/>
      <c r="P218" s="20"/>
      <c r="Q218" s="20"/>
      <c r="R218" s="17"/>
    </row>
    <row r="219" spans="1:18" s="16" customFormat="1" ht="63">
      <c r="A219" s="14"/>
      <c r="B219" s="125" t="s">
        <v>87</v>
      </c>
      <c r="C219" s="130" t="s">
        <v>64</v>
      </c>
      <c r="D219" s="131" t="s">
        <v>11</v>
      </c>
      <c r="E219" s="131" t="s">
        <v>51</v>
      </c>
      <c r="F219" s="131" t="s">
        <v>88</v>
      </c>
      <c r="G219" s="131" t="s">
        <v>9</v>
      </c>
      <c r="H219" s="126">
        <f>H220</f>
        <v>0</v>
      </c>
      <c r="L219" s="20">
        <v>7404.69</v>
      </c>
      <c r="M219" s="20">
        <v>7404.69</v>
      </c>
      <c r="N219" s="20">
        <v>7404.69</v>
      </c>
      <c r="O219" s="20">
        <f>H219-L219</f>
        <v>-7404.69</v>
      </c>
      <c r="P219" s="20" t="e">
        <f>#REF!-M219</f>
        <v>#REF!</v>
      </c>
      <c r="Q219" s="20" t="e">
        <f>#REF!-N219</f>
        <v>#REF!</v>
      </c>
      <c r="R219" s="17" t="str">
        <f t="shared" si="19"/>
        <v>98 0 00 00000000</v>
      </c>
    </row>
    <row r="220" spans="1:18" s="16" customFormat="1" ht="15.75">
      <c r="A220" s="14"/>
      <c r="B220" s="125" t="s">
        <v>89</v>
      </c>
      <c r="C220" s="130" t="s">
        <v>64</v>
      </c>
      <c r="D220" s="131" t="s">
        <v>11</v>
      </c>
      <c r="E220" s="131" t="s">
        <v>51</v>
      </c>
      <c r="F220" s="131" t="s">
        <v>90</v>
      </c>
      <c r="G220" s="131" t="s">
        <v>9</v>
      </c>
      <c r="H220" s="126">
        <f t="shared" ref="H220" si="20">H221</f>
        <v>0</v>
      </c>
      <c r="L220" s="20">
        <v>7404.69</v>
      </c>
      <c r="M220" s="20">
        <v>7404.69</v>
      </c>
      <c r="N220" s="20">
        <v>7404.69</v>
      </c>
      <c r="O220" s="20">
        <f>H220-L220</f>
        <v>-7404.69</v>
      </c>
      <c r="P220" s="20" t="e">
        <f>#REF!-M220</f>
        <v>#REF!</v>
      </c>
      <c r="Q220" s="20" t="e">
        <f>#REF!-N220</f>
        <v>#REF!</v>
      </c>
      <c r="R220" s="17" t="str">
        <f t="shared" si="19"/>
        <v>98 1 00 00000000</v>
      </c>
    </row>
    <row r="221" spans="1:18" s="16" customFormat="1" ht="63">
      <c r="A221" s="14" t="s">
        <v>80</v>
      </c>
      <c r="B221" s="129" t="s">
        <v>193</v>
      </c>
      <c r="C221" s="130" t="s">
        <v>64</v>
      </c>
      <c r="D221" s="131" t="s">
        <v>11</v>
      </c>
      <c r="E221" s="131" t="s">
        <v>51</v>
      </c>
      <c r="F221" s="131" t="s">
        <v>194</v>
      </c>
      <c r="G221" s="131" t="s">
        <v>9</v>
      </c>
      <c r="H221" s="126">
        <f>SUM(H222:H222)</f>
        <v>0</v>
      </c>
      <c r="L221" s="20">
        <v>7404.69</v>
      </c>
      <c r="M221" s="20">
        <v>7404.69</v>
      </c>
      <c r="N221" s="20">
        <v>7404.69</v>
      </c>
      <c r="O221" s="20">
        <f>H221-L221</f>
        <v>-7404.69</v>
      </c>
      <c r="P221" s="20" t="e">
        <f>#REF!-M221</f>
        <v>#REF!</v>
      </c>
      <c r="Q221" s="20" t="e">
        <f>#REF!-N221</f>
        <v>#REF!</v>
      </c>
      <c r="R221" s="17" t="str">
        <f t="shared" si="19"/>
        <v>98 1 00 76610000</v>
      </c>
    </row>
    <row r="222" spans="1:18" s="16" customFormat="1" ht="31.5">
      <c r="A222" s="14"/>
      <c r="B222" s="127" t="s">
        <v>20</v>
      </c>
      <c r="C222" s="130" t="s">
        <v>64</v>
      </c>
      <c r="D222" s="131" t="s">
        <v>11</v>
      </c>
      <c r="E222" s="131" t="s">
        <v>51</v>
      </c>
      <c r="F222" s="131" t="s">
        <v>194</v>
      </c>
      <c r="G222" s="131" t="s">
        <v>21</v>
      </c>
      <c r="H222" s="126">
        <f>SUM(H223:H224)</f>
        <v>0</v>
      </c>
      <c r="L222" s="20">
        <v>7404.69</v>
      </c>
      <c r="M222" s="20">
        <v>7404.69</v>
      </c>
      <c r="N222" s="20">
        <v>7404.69</v>
      </c>
      <c r="O222" s="20">
        <f>H222-L222</f>
        <v>-7404.69</v>
      </c>
      <c r="P222" s="20" t="e">
        <f>#REF!-M222</f>
        <v>#REF!</v>
      </c>
      <c r="Q222" s="20" t="e">
        <f>#REF!-N222</f>
        <v>#REF!</v>
      </c>
      <c r="R222" s="17" t="str">
        <f t="shared" si="19"/>
        <v>98 1 00 76610120</v>
      </c>
    </row>
    <row r="223" spans="1:18" s="23" customFormat="1" ht="31.5">
      <c r="A223" s="21"/>
      <c r="B223" s="127" t="s">
        <v>40</v>
      </c>
      <c r="C223" s="130" t="s">
        <v>64</v>
      </c>
      <c r="D223" s="131" t="s">
        <v>11</v>
      </c>
      <c r="E223" s="131" t="s">
        <v>51</v>
      </c>
      <c r="F223" s="131" t="s">
        <v>194</v>
      </c>
      <c r="G223" s="108" t="s">
        <v>41</v>
      </c>
      <c r="H223" s="126"/>
      <c r="L223" s="22"/>
      <c r="M223" s="22"/>
      <c r="N223" s="22"/>
      <c r="O223" s="22"/>
      <c r="P223" s="22"/>
      <c r="Q223" s="22"/>
      <c r="R223" s="24"/>
    </row>
    <row r="224" spans="1:18" s="23" customFormat="1" ht="63">
      <c r="A224" s="21"/>
      <c r="B224" s="127" t="s">
        <v>26</v>
      </c>
      <c r="C224" s="130" t="s">
        <v>64</v>
      </c>
      <c r="D224" s="131" t="s">
        <v>11</v>
      </c>
      <c r="E224" s="131" t="s">
        <v>51</v>
      </c>
      <c r="F224" s="131" t="s">
        <v>194</v>
      </c>
      <c r="G224" s="108" t="s">
        <v>27</v>
      </c>
      <c r="H224" s="126"/>
      <c r="L224" s="22"/>
      <c r="M224" s="22"/>
      <c r="N224" s="22"/>
      <c r="O224" s="22"/>
      <c r="P224" s="22"/>
      <c r="Q224" s="22"/>
      <c r="R224" s="24"/>
    </row>
    <row r="225" spans="1:18" s="16" customFormat="1" ht="15.75">
      <c r="A225" s="14"/>
      <c r="B225" s="117" t="s">
        <v>195</v>
      </c>
      <c r="C225" s="118" t="s">
        <v>64</v>
      </c>
      <c r="D225" s="119" t="s">
        <v>73</v>
      </c>
      <c r="E225" s="119" t="s">
        <v>7</v>
      </c>
      <c r="F225" s="119" t="s">
        <v>8</v>
      </c>
      <c r="G225" s="119" t="s">
        <v>9</v>
      </c>
      <c r="H225" s="120">
        <f t="shared" ref="H225:H226" si="21">H226</f>
        <v>0</v>
      </c>
      <c r="L225" s="18">
        <v>11547.5</v>
      </c>
      <c r="M225" s="18">
        <v>11547.5</v>
      </c>
      <c r="N225" s="18">
        <v>11547.5</v>
      </c>
      <c r="O225" s="18">
        <f t="shared" ref="O225:O231" si="22">H225-L225</f>
        <v>-11547.5</v>
      </c>
      <c r="P225" s="18" t="e">
        <f>#REF!-M225</f>
        <v>#REF!</v>
      </c>
      <c r="Q225" s="18" t="e">
        <f>#REF!-N225</f>
        <v>#REF!</v>
      </c>
      <c r="R225" s="17" t="str">
        <f t="shared" si="19"/>
        <v>00 0 00 00000000</v>
      </c>
    </row>
    <row r="226" spans="1:18" s="16" customFormat="1" ht="15.75">
      <c r="A226" s="14"/>
      <c r="B226" s="121" t="s">
        <v>196</v>
      </c>
      <c r="C226" s="122" t="s">
        <v>64</v>
      </c>
      <c r="D226" s="123" t="s">
        <v>73</v>
      </c>
      <c r="E226" s="123" t="s">
        <v>57</v>
      </c>
      <c r="F226" s="123" t="s">
        <v>8</v>
      </c>
      <c r="G226" s="123" t="s">
        <v>9</v>
      </c>
      <c r="H226" s="124">
        <f t="shared" si="21"/>
        <v>0</v>
      </c>
      <c r="L226" s="19">
        <v>11547.5</v>
      </c>
      <c r="M226" s="19">
        <v>11547.5</v>
      </c>
      <c r="N226" s="19">
        <v>11547.5</v>
      </c>
      <c r="O226" s="19">
        <f t="shared" si="22"/>
        <v>-11547.5</v>
      </c>
      <c r="P226" s="19" t="e">
        <f>#REF!-M226</f>
        <v>#REF!</v>
      </c>
      <c r="Q226" s="19" t="e">
        <f>#REF!-N226</f>
        <v>#REF!</v>
      </c>
      <c r="R226" s="17" t="str">
        <f t="shared" si="19"/>
        <v>00 0 00 00000000</v>
      </c>
    </row>
    <row r="227" spans="1:18" s="16" customFormat="1" ht="31.5">
      <c r="A227" s="14"/>
      <c r="B227" s="129" t="s">
        <v>94</v>
      </c>
      <c r="C227" s="109" t="s">
        <v>64</v>
      </c>
      <c r="D227" s="108" t="s">
        <v>73</v>
      </c>
      <c r="E227" s="108" t="s">
        <v>57</v>
      </c>
      <c r="F227" s="108" t="s">
        <v>95</v>
      </c>
      <c r="G227" s="108" t="s">
        <v>9</v>
      </c>
      <c r="H227" s="126">
        <f>H228+H244</f>
        <v>0</v>
      </c>
      <c r="L227" s="20">
        <v>11547.5</v>
      </c>
      <c r="M227" s="20">
        <v>11547.5</v>
      </c>
      <c r="N227" s="20">
        <v>11547.5</v>
      </c>
      <c r="O227" s="20">
        <f t="shared" si="22"/>
        <v>-11547.5</v>
      </c>
      <c r="P227" s="20" t="e">
        <f>#REF!-M227</f>
        <v>#REF!</v>
      </c>
      <c r="Q227" s="20" t="e">
        <f>#REF!-N227</f>
        <v>#REF!</v>
      </c>
      <c r="R227" s="17" t="str">
        <f t="shared" si="19"/>
        <v>12 0 00 00000000</v>
      </c>
    </row>
    <row r="228" spans="1:18" s="16" customFormat="1" ht="31.5">
      <c r="A228" s="14"/>
      <c r="B228" s="129" t="s">
        <v>197</v>
      </c>
      <c r="C228" s="109" t="s">
        <v>64</v>
      </c>
      <c r="D228" s="108" t="s">
        <v>73</v>
      </c>
      <c r="E228" s="108" t="s">
        <v>57</v>
      </c>
      <c r="F228" s="108" t="s">
        <v>198</v>
      </c>
      <c r="G228" s="108" t="s">
        <v>9</v>
      </c>
      <c r="H228" s="126">
        <f>H229+H234+H240</f>
        <v>0</v>
      </c>
      <c r="L228" s="20">
        <v>8210</v>
      </c>
      <c r="M228" s="20">
        <v>8210</v>
      </c>
      <c r="N228" s="20">
        <v>8210</v>
      </c>
      <c r="O228" s="20">
        <f t="shared" si="22"/>
        <v>-8210</v>
      </c>
      <c r="P228" s="20" t="e">
        <f>#REF!-M228</f>
        <v>#REF!</v>
      </c>
      <c r="Q228" s="20" t="e">
        <f>#REF!-N228</f>
        <v>#REF!</v>
      </c>
      <c r="R228" s="17" t="str">
        <f t="shared" si="19"/>
        <v>12 1 00 00000000</v>
      </c>
    </row>
    <row r="229" spans="1:18" s="16" customFormat="1" ht="47.25">
      <c r="A229" s="14"/>
      <c r="B229" s="129" t="s">
        <v>199</v>
      </c>
      <c r="C229" s="109" t="s">
        <v>64</v>
      </c>
      <c r="D229" s="108" t="s">
        <v>73</v>
      </c>
      <c r="E229" s="108" t="s">
        <v>57</v>
      </c>
      <c r="F229" s="108" t="s">
        <v>200</v>
      </c>
      <c r="G229" s="108" t="s">
        <v>9</v>
      </c>
      <c r="H229" s="126">
        <f t="shared" ref="H229:H230" si="23">H230</f>
        <v>0</v>
      </c>
      <c r="L229" s="20">
        <v>5000</v>
      </c>
      <c r="M229" s="20">
        <v>5000</v>
      </c>
      <c r="N229" s="20">
        <v>5000</v>
      </c>
      <c r="O229" s="20">
        <f t="shared" si="22"/>
        <v>-5000</v>
      </c>
      <c r="P229" s="20" t="e">
        <f>#REF!-M229</f>
        <v>#REF!</v>
      </c>
      <c r="Q229" s="20" t="e">
        <f>#REF!-N229</f>
        <v>#REF!</v>
      </c>
      <c r="R229" s="17" t="str">
        <f t="shared" si="19"/>
        <v>12 1 01 00000000</v>
      </c>
    </row>
    <row r="230" spans="1:18" s="16" customFormat="1" ht="47.25">
      <c r="A230" s="14"/>
      <c r="B230" s="129" t="s">
        <v>201</v>
      </c>
      <c r="C230" s="109" t="s">
        <v>64</v>
      </c>
      <c r="D230" s="108" t="s">
        <v>73</v>
      </c>
      <c r="E230" s="108" t="s">
        <v>57</v>
      </c>
      <c r="F230" s="108" t="s">
        <v>202</v>
      </c>
      <c r="G230" s="108" t="s">
        <v>9</v>
      </c>
      <c r="H230" s="126">
        <f t="shared" si="23"/>
        <v>0</v>
      </c>
      <c r="L230" s="20">
        <v>5000</v>
      </c>
      <c r="M230" s="20">
        <v>5000</v>
      </c>
      <c r="N230" s="20">
        <v>5000</v>
      </c>
      <c r="O230" s="20">
        <f t="shared" si="22"/>
        <v>-5000</v>
      </c>
      <c r="P230" s="20" t="e">
        <f>#REF!-M230</f>
        <v>#REF!</v>
      </c>
      <c r="Q230" s="20" t="e">
        <f>#REF!-N230</f>
        <v>#REF!</v>
      </c>
      <c r="R230" s="17" t="str">
        <f t="shared" si="19"/>
        <v>12 1 01 60130000</v>
      </c>
    </row>
    <row r="231" spans="1:18" s="16" customFormat="1" ht="63">
      <c r="A231" s="14"/>
      <c r="B231" s="129" t="s">
        <v>203</v>
      </c>
      <c r="C231" s="109" t="s">
        <v>64</v>
      </c>
      <c r="D231" s="108" t="s">
        <v>73</v>
      </c>
      <c r="E231" s="108" t="s">
        <v>57</v>
      </c>
      <c r="F231" s="108" t="s">
        <v>202</v>
      </c>
      <c r="G231" s="108" t="s">
        <v>204</v>
      </c>
      <c r="H231" s="126">
        <f>SUM(H232:H233)</f>
        <v>0</v>
      </c>
      <c r="L231" s="20">
        <v>5000</v>
      </c>
      <c r="M231" s="20">
        <v>5000</v>
      </c>
      <c r="N231" s="20">
        <v>5000</v>
      </c>
      <c r="O231" s="20">
        <f t="shared" si="22"/>
        <v>-5000</v>
      </c>
      <c r="P231" s="20" t="e">
        <f>#REF!-M231</f>
        <v>#REF!</v>
      </c>
      <c r="Q231" s="20" t="e">
        <f>#REF!-N231</f>
        <v>#REF!</v>
      </c>
      <c r="R231" s="17" t="str">
        <f t="shared" si="19"/>
        <v>12 1 01 60130810</v>
      </c>
    </row>
    <row r="232" spans="1:18" s="23" customFormat="1" ht="63">
      <c r="A232" s="21"/>
      <c r="B232" s="127" t="s">
        <v>205</v>
      </c>
      <c r="C232" s="109" t="s">
        <v>64</v>
      </c>
      <c r="D232" s="108" t="s">
        <v>73</v>
      </c>
      <c r="E232" s="108" t="s">
        <v>57</v>
      </c>
      <c r="F232" s="108" t="s">
        <v>202</v>
      </c>
      <c r="G232" s="108" t="s">
        <v>206</v>
      </c>
      <c r="H232" s="126"/>
      <c r="L232" s="22"/>
      <c r="M232" s="22"/>
      <c r="N232" s="22"/>
      <c r="O232" s="22"/>
      <c r="P232" s="22"/>
      <c r="Q232" s="22"/>
      <c r="R232" s="24"/>
    </row>
    <row r="233" spans="1:18" s="23" customFormat="1" ht="110.25">
      <c r="A233" s="21"/>
      <c r="B233" s="127" t="s">
        <v>207</v>
      </c>
      <c r="C233" s="109" t="s">
        <v>64</v>
      </c>
      <c r="D233" s="108" t="s">
        <v>73</v>
      </c>
      <c r="E233" s="108" t="s">
        <v>57</v>
      </c>
      <c r="F233" s="108" t="s">
        <v>202</v>
      </c>
      <c r="G233" s="108" t="s">
        <v>208</v>
      </c>
      <c r="H233" s="126"/>
      <c r="L233" s="22"/>
      <c r="M233" s="22"/>
      <c r="N233" s="22"/>
      <c r="O233" s="22"/>
      <c r="P233" s="22"/>
      <c r="Q233" s="22"/>
      <c r="R233" s="24"/>
    </row>
    <row r="234" spans="1:18" s="16" customFormat="1" ht="63">
      <c r="A234" s="14"/>
      <c r="B234" s="129" t="s">
        <v>209</v>
      </c>
      <c r="C234" s="109" t="s">
        <v>64</v>
      </c>
      <c r="D234" s="108" t="s">
        <v>73</v>
      </c>
      <c r="E234" s="108" t="s">
        <v>57</v>
      </c>
      <c r="F234" s="108" t="s">
        <v>210</v>
      </c>
      <c r="G234" s="108" t="s">
        <v>9</v>
      </c>
      <c r="H234" s="126">
        <f t="shared" ref="H234" si="24">H235</f>
        <v>0</v>
      </c>
      <c r="L234" s="20">
        <v>2550</v>
      </c>
      <c r="M234" s="20">
        <v>2550</v>
      </c>
      <c r="N234" s="20">
        <v>2550</v>
      </c>
      <c r="O234" s="20">
        <f>H234-L234</f>
        <v>-2550</v>
      </c>
      <c r="P234" s="20" t="e">
        <f>#REF!-M234</f>
        <v>#REF!</v>
      </c>
      <c r="Q234" s="20" t="e">
        <f>#REF!-N234</f>
        <v>#REF!</v>
      </c>
      <c r="R234" s="17" t="str">
        <f t="shared" si="19"/>
        <v>12 1 02 00000000</v>
      </c>
    </row>
    <row r="235" spans="1:18" s="16" customFormat="1" ht="47.25">
      <c r="A235" s="14"/>
      <c r="B235" s="129" t="s">
        <v>211</v>
      </c>
      <c r="C235" s="109" t="s">
        <v>64</v>
      </c>
      <c r="D235" s="108" t="s">
        <v>73</v>
      </c>
      <c r="E235" s="108" t="s">
        <v>57</v>
      </c>
      <c r="F235" s="108" t="s">
        <v>212</v>
      </c>
      <c r="G235" s="108" t="s">
        <v>9</v>
      </c>
      <c r="H235" s="126">
        <f>H236+H238</f>
        <v>0</v>
      </c>
      <c r="L235" s="20">
        <v>2550</v>
      </c>
      <c r="M235" s="20">
        <v>2550</v>
      </c>
      <c r="N235" s="20">
        <v>2550</v>
      </c>
      <c r="O235" s="20">
        <f>H235-L235</f>
        <v>-2550</v>
      </c>
      <c r="P235" s="20" t="e">
        <f>#REF!-M235</f>
        <v>#REF!</v>
      </c>
      <c r="Q235" s="20" t="e">
        <f>#REF!-N235</f>
        <v>#REF!</v>
      </c>
      <c r="R235" s="17" t="str">
        <f t="shared" si="19"/>
        <v>12 1 02 20480000</v>
      </c>
    </row>
    <row r="236" spans="1:18" s="16" customFormat="1" ht="31.5">
      <c r="A236" s="14"/>
      <c r="B236" s="125" t="s">
        <v>28</v>
      </c>
      <c r="C236" s="109" t="s">
        <v>64</v>
      </c>
      <c r="D236" s="108" t="s">
        <v>73</v>
      </c>
      <c r="E236" s="108" t="s">
        <v>57</v>
      </c>
      <c r="F236" s="108" t="s">
        <v>212</v>
      </c>
      <c r="G236" s="108" t="s">
        <v>29</v>
      </c>
      <c r="H236" s="126">
        <f>H237</f>
        <v>0</v>
      </c>
      <c r="L236" s="20">
        <v>150</v>
      </c>
      <c r="M236" s="20">
        <v>150</v>
      </c>
      <c r="N236" s="20">
        <v>150</v>
      </c>
      <c r="O236" s="20">
        <f>H236-L236</f>
        <v>-150</v>
      </c>
      <c r="P236" s="20" t="e">
        <f>#REF!-M236</f>
        <v>#REF!</v>
      </c>
      <c r="Q236" s="20" t="e">
        <f>#REF!-N236</f>
        <v>#REF!</v>
      </c>
      <c r="R236" s="17" t="str">
        <f t="shared" si="19"/>
        <v>12 1 02 20480240</v>
      </c>
    </row>
    <row r="237" spans="1:18" s="16" customFormat="1" ht="15.75">
      <c r="A237" s="14"/>
      <c r="B237" s="125" t="s">
        <v>30</v>
      </c>
      <c r="C237" s="109" t="s">
        <v>64</v>
      </c>
      <c r="D237" s="108" t="s">
        <v>73</v>
      </c>
      <c r="E237" s="108" t="s">
        <v>57</v>
      </c>
      <c r="F237" s="108" t="s">
        <v>212</v>
      </c>
      <c r="G237" s="108" t="s">
        <v>31</v>
      </c>
      <c r="H237" s="126"/>
      <c r="L237" s="20"/>
      <c r="M237" s="20"/>
      <c r="N237" s="20"/>
      <c r="O237" s="20"/>
      <c r="P237" s="20"/>
      <c r="Q237" s="20"/>
      <c r="R237" s="17"/>
    </row>
    <row r="238" spans="1:18" s="16" customFormat="1" ht="47.25">
      <c r="A238" s="14"/>
      <c r="B238" s="137" t="s">
        <v>182</v>
      </c>
      <c r="C238" s="109" t="s">
        <v>64</v>
      </c>
      <c r="D238" s="108" t="s">
        <v>73</v>
      </c>
      <c r="E238" s="108" t="s">
        <v>57</v>
      </c>
      <c r="F238" s="108" t="s">
        <v>212</v>
      </c>
      <c r="G238" s="108" t="s">
        <v>183</v>
      </c>
      <c r="H238" s="126">
        <f>H239</f>
        <v>0</v>
      </c>
      <c r="L238" s="20">
        <v>2400</v>
      </c>
      <c r="M238" s="20">
        <v>2400</v>
      </c>
      <c r="N238" s="20">
        <v>2400</v>
      </c>
      <c r="O238" s="20">
        <f>H238-L238</f>
        <v>-2400</v>
      </c>
      <c r="P238" s="20" t="e">
        <f>#REF!-M238</f>
        <v>#REF!</v>
      </c>
      <c r="Q238" s="20" t="e">
        <f>#REF!-N238</f>
        <v>#REF!</v>
      </c>
      <c r="R238" s="17" t="str">
        <f t="shared" si="19"/>
        <v>12 1 02 20480630</v>
      </c>
    </row>
    <row r="239" spans="1:18" s="16" customFormat="1" ht="47.25">
      <c r="A239" s="14"/>
      <c r="B239" s="125" t="s">
        <v>213</v>
      </c>
      <c r="C239" s="109" t="s">
        <v>64</v>
      </c>
      <c r="D239" s="108" t="s">
        <v>73</v>
      </c>
      <c r="E239" s="108" t="s">
        <v>57</v>
      </c>
      <c r="F239" s="108" t="s">
        <v>212</v>
      </c>
      <c r="G239" s="108" t="s">
        <v>214</v>
      </c>
      <c r="H239" s="126"/>
      <c r="L239" s="20"/>
      <c r="M239" s="20"/>
      <c r="N239" s="20"/>
      <c r="O239" s="20"/>
      <c r="P239" s="20"/>
      <c r="Q239" s="20"/>
      <c r="R239" s="17" t="str">
        <f t="shared" si="19"/>
        <v>12 1 02 20480634</v>
      </c>
    </row>
    <row r="240" spans="1:18" s="16" customFormat="1" ht="63">
      <c r="A240" s="14"/>
      <c r="B240" s="129" t="s">
        <v>215</v>
      </c>
      <c r="C240" s="109" t="s">
        <v>64</v>
      </c>
      <c r="D240" s="108" t="s">
        <v>73</v>
      </c>
      <c r="E240" s="108" t="s">
        <v>57</v>
      </c>
      <c r="F240" s="108" t="s">
        <v>216</v>
      </c>
      <c r="G240" s="108" t="s">
        <v>9</v>
      </c>
      <c r="H240" s="126">
        <f t="shared" ref="H240:H241" si="25">H241</f>
        <v>0</v>
      </c>
      <c r="L240" s="20">
        <v>660</v>
      </c>
      <c r="M240" s="20">
        <v>660</v>
      </c>
      <c r="N240" s="20">
        <v>660</v>
      </c>
      <c r="O240" s="20">
        <f>H240-L240</f>
        <v>-660</v>
      </c>
      <c r="P240" s="20" t="e">
        <f>#REF!-M240</f>
        <v>#REF!</v>
      </c>
      <c r="Q240" s="20" t="e">
        <f>#REF!-N240</f>
        <v>#REF!</v>
      </c>
      <c r="R240" s="17" t="str">
        <f t="shared" si="19"/>
        <v>12 1 03 00000000</v>
      </c>
    </row>
    <row r="241" spans="1:18" s="16" customFormat="1" ht="47.25">
      <c r="A241" s="14"/>
      <c r="B241" s="129" t="s">
        <v>211</v>
      </c>
      <c r="C241" s="109" t="s">
        <v>64</v>
      </c>
      <c r="D241" s="108" t="s">
        <v>73</v>
      </c>
      <c r="E241" s="108" t="s">
        <v>57</v>
      </c>
      <c r="F241" s="108" t="s">
        <v>217</v>
      </c>
      <c r="G241" s="108" t="s">
        <v>9</v>
      </c>
      <c r="H241" s="126">
        <f t="shared" si="25"/>
        <v>0</v>
      </c>
      <c r="L241" s="20">
        <v>660</v>
      </c>
      <c r="M241" s="20">
        <v>660</v>
      </c>
      <c r="N241" s="20">
        <v>660</v>
      </c>
      <c r="O241" s="20">
        <f>H241-L241</f>
        <v>-660</v>
      </c>
      <c r="P241" s="20" t="e">
        <f>#REF!-M241</f>
        <v>#REF!</v>
      </c>
      <c r="Q241" s="20" t="e">
        <f>#REF!-N241</f>
        <v>#REF!</v>
      </c>
      <c r="R241" s="17" t="str">
        <f t="shared" si="19"/>
        <v>12 1 03 20480000</v>
      </c>
    </row>
    <row r="242" spans="1:18" s="16" customFormat="1" ht="31.5">
      <c r="A242" s="14"/>
      <c r="B242" s="125" t="s">
        <v>28</v>
      </c>
      <c r="C242" s="109" t="s">
        <v>64</v>
      </c>
      <c r="D242" s="108" t="s">
        <v>73</v>
      </c>
      <c r="E242" s="108" t="s">
        <v>57</v>
      </c>
      <c r="F242" s="108" t="s">
        <v>217</v>
      </c>
      <c r="G242" s="108" t="s">
        <v>29</v>
      </c>
      <c r="H242" s="126">
        <f>H243</f>
        <v>0</v>
      </c>
      <c r="L242" s="20">
        <v>660</v>
      </c>
      <c r="M242" s="20">
        <v>660</v>
      </c>
      <c r="N242" s="20">
        <v>660</v>
      </c>
      <c r="O242" s="20">
        <f>H242-L242</f>
        <v>-660</v>
      </c>
      <c r="P242" s="20" t="e">
        <f>#REF!-M242</f>
        <v>#REF!</v>
      </c>
      <c r="Q242" s="20" t="e">
        <f>#REF!-N242</f>
        <v>#REF!</v>
      </c>
      <c r="R242" s="17" t="str">
        <f t="shared" si="19"/>
        <v>12 1 03 20480240</v>
      </c>
    </row>
    <row r="243" spans="1:18" s="16" customFormat="1" ht="15.75">
      <c r="A243" s="14"/>
      <c r="B243" s="125" t="s">
        <v>30</v>
      </c>
      <c r="C243" s="109" t="s">
        <v>64</v>
      </c>
      <c r="D243" s="108" t="s">
        <v>73</v>
      </c>
      <c r="E243" s="108" t="s">
        <v>57</v>
      </c>
      <c r="F243" s="108" t="s">
        <v>217</v>
      </c>
      <c r="G243" s="108" t="s">
        <v>31</v>
      </c>
      <c r="H243" s="126"/>
      <c r="L243" s="20"/>
      <c r="M243" s="20"/>
      <c r="N243" s="20"/>
      <c r="O243" s="20"/>
      <c r="P243" s="20"/>
      <c r="Q243" s="20"/>
      <c r="R243" s="17" t="str">
        <f t="shared" si="19"/>
        <v>12 1 03 20480244</v>
      </c>
    </row>
    <row r="244" spans="1:18" s="16" customFormat="1" ht="31.5">
      <c r="A244" s="14"/>
      <c r="B244" s="125" t="s">
        <v>96</v>
      </c>
      <c r="C244" s="109" t="s">
        <v>64</v>
      </c>
      <c r="D244" s="108" t="s">
        <v>73</v>
      </c>
      <c r="E244" s="108" t="s">
        <v>57</v>
      </c>
      <c r="F244" s="108" t="s">
        <v>97</v>
      </c>
      <c r="G244" s="108" t="s">
        <v>9</v>
      </c>
      <c r="H244" s="126">
        <f>H249+H245</f>
        <v>0</v>
      </c>
      <c r="L244" s="20">
        <v>3337.5</v>
      </c>
      <c r="M244" s="20">
        <v>3337.5</v>
      </c>
      <c r="N244" s="20">
        <v>3337.5</v>
      </c>
      <c r="O244" s="20">
        <f>H244-L244</f>
        <v>-3337.5</v>
      </c>
      <c r="P244" s="20" t="e">
        <f>#REF!-M244</f>
        <v>#REF!</v>
      </c>
      <c r="Q244" s="20" t="e">
        <f>#REF!-N244</f>
        <v>#REF!</v>
      </c>
      <c r="R244" s="17" t="str">
        <f t="shared" si="19"/>
        <v>12 2 00 00000000</v>
      </c>
    </row>
    <row r="245" spans="1:18" s="16" customFormat="1" ht="31.5">
      <c r="A245" s="14"/>
      <c r="B245" s="129" t="s">
        <v>218</v>
      </c>
      <c r="C245" s="109" t="s">
        <v>64</v>
      </c>
      <c r="D245" s="108" t="s">
        <v>73</v>
      </c>
      <c r="E245" s="108" t="s">
        <v>57</v>
      </c>
      <c r="F245" s="108" t="s">
        <v>219</v>
      </c>
      <c r="G245" s="108" t="s">
        <v>9</v>
      </c>
      <c r="H245" s="126">
        <f>H246</f>
        <v>0</v>
      </c>
      <c r="L245" s="20">
        <v>1150</v>
      </c>
      <c r="M245" s="20">
        <v>1150</v>
      </c>
      <c r="N245" s="20">
        <v>1150</v>
      </c>
      <c r="O245" s="20">
        <f>H245-L245</f>
        <v>-1150</v>
      </c>
      <c r="P245" s="20" t="e">
        <f>#REF!-M245</f>
        <v>#REF!</v>
      </c>
      <c r="Q245" s="20" t="e">
        <f>#REF!-N245</f>
        <v>#REF!</v>
      </c>
      <c r="R245" s="17" t="str">
        <f t="shared" si="19"/>
        <v>12 2 01 00000000</v>
      </c>
    </row>
    <row r="246" spans="1:18" s="16" customFormat="1" ht="31.5">
      <c r="A246" s="14"/>
      <c r="B246" s="129" t="s">
        <v>220</v>
      </c>
      <c r="C246" s="109" t="s">
        <v>64</v>
      </c>
      <c r="D246" s="108" t="s">
        <v>73</v>
      </c>
      <c r="E246" s="108" t="s">
        <v>57</v>
      </c>
      <c r="F246" s="108" t="s">
        <v>221</v>
      </c>
      <c r="G246" s="108" t="s">
        <v>9</v>
      </c>
      <c r="H246" s="126">
        <f>H247</f>
        <v>0</v>
      </c>
      <c r="L246" s="20">
        <v>1150</v>
      </c>
      <c r="M246" s="20">
        <v>1150</v>
      </c>
      <c r="N246" s="20">
        <v>1150</v>
      </c>
      <c r="O246" s="20">
        <f>H246-L246</f>
        <v>-1150</v>
      </c>
      <c r="P246" s="20" t="e">
        <f>#REF!-M246</f>
        <v>#REF!</v>
      </c>
      <c r="Q246" s="20" t="e">
        <f>#REF!-N246</f>
        <v>#REF!</v>
      </c>
      <c r="R246" s="17" t="str">
        <f t="shared" si="19"/>
        <v>12 2 01 20650000</v>
      </c>
    </row>
    <row r="247" spans="1:18" s="16" customFormat="1" ht="31.5">
      <c r="A247" s="14"/>
      <c r="B247" s="125" t="s">
        <v>28</v>
      </c>
      <c r="C247" s="109" t="s">
        <v>64</v>
      </c>
      <c r="D247" s="108" t="s">
        <v>73</v>
      </c>
      <c r="E247" s="108" t="s">
        <v>57</v>
      </c>
      <c r="F247" s="108" t="s">
        <v>221</v>
      </c>
      <c r="G247" s="108" t="s">
        <v>29</v>
      </c>
      <c r="H247" s="126">
        <f>H248</f>
        <v>0</v>
      </c>
      <c r="L247" s="20">
        <v>1150</v>
      </c>
      <c r="M247" s="20">
        <v>1150</v>
      </c>
      <c r="N247" s="20">
        <v>1150</v>
      </c>
      <c r="O247" s="20">
        <f>H247-L247</f>
        <v>-1150</v>
      </c>
      <c r="P247" s="20" t="e">
        <f>#REF!-M247</f>
        <v>#REF!</v>
      </c>
      <c r="Q247" s="20" t="e">
        <f>#REF!-N247</f>
        <v>#REF!</v>
      </c>
      <c r="R247" s="17" t="str">
        <f t="shared" si="19"/>
        <v>12 2 01 20650240</v>
      </c>
    </row>
    <row r="248" spans="1:18" s="16" customFormat="1" ht="15.75">
      <c r="A248" s="14"/>
      <c r="B248" s="125" t="s">
        <v>30</v>
      </c>
      <c r="C248" s="109" t="s">
        <v>64</v>
      </c>
      <c r="D248" s="108" t="s">
        <v>73</v>
      </c>
      <c r="E248" s="108" t="s">
        <v>57</v>
      </c>
      <c r="F248" s="108" t="s">
        <v>221</v>
      </c>
      <c r="G248" s="108" t="s">
        <v>31</v>
      </c>
      <c r="H248" s="126"/>
      <c r="L248" s="20"/>
      <c r="M248" s="20"/>
      <c r="N248" s="20"/>
      <c r="O248" s="20"/>
      <c r="P248" s="20"/>
      <c r="Q248" s="20"/>
      <c r="R248" s="17" t="str">
        <f t="shared" si="19"/>
        <v>12 2 01 20650244</v>
      </c>
    </row>
    <row r="249" spans="1:18" s="16" customFormat="1" ht="31.5">
      <c r="A249" s="14"/>
      <c r="B249" s="125" t="s">
        <v>222</v>
      </c>
      <c r="C249" s="109" t="s">
        <v>64</v>
      </c>
      <c r="D249" s="108" t="s">
        <v>73</v>
      </c>
      <c r="E249" s="108" t="s">
        <v>57</v>
      </c>
      <c r="F249" s="108" t="s">
        <v>223</v>
      </c>
      <c r="G249" s="108" t="s">
        <v>9</v>
      </c>
      <c r="H249" s="126">
        <f t="shared" ref="H249" si="26">H250</f>
        <v>0</v>
      </c>
      <c r="L249" s="20">
        <v>2187.5</v>
      </c>
      <c r="M249" s="20">
        <v>2187.5</v>
      </c>
      <c r="N249" s="20">
        <v>2187.5</v>
      </c>
      <c r="O249" s="20">
        <f>H249-L249</f>
        <v>-2187.5</v>
      </c>
      <c r="P249" s="20" t="e">
        <f>#REF!-M249</f>
        <v>#REF!</v>
      </c>
      <c r="Q249" s="20" t="e">
        <f>#REF!-N249</f>
        <v>#REF!</v>
      </c>
      <c r="R249" s="17" t="str">
        <f t="shared" si="19"/>
        <v>12 2 02 00000000</v>
      </c>
    </row>
    <row r="250" spans="1:18" s="16" customFormat="1" ht="47.25">
      <c r="A250" s="14"/>
      <c r="B250" s="129" t="s">
        <v>224</v>
      </c>
      <c r="C250" s="109" t="s">
        <v>64</v>
      </c>
      <c r="D250" s="108" t="s">
        <v>73</v>
      </c>
      <c r="E250" s="108" t="s">
        <v>57</v>
      </c>
      <c r="F250" s="108" t="s">
        <v>225</v>
      </c>
      <c r="G250" s="108" t="s">
        <v>9</v>
      </c>
      <c r="H250" s="126">
        <f>H251+H253</f>
        <v>0</v>
      </c>
      <c r="L250" s="20">
        <v>2187.5</v>
      </c>
      <c r="M250" s="20">
        <v>2187.5</v>
      </c>
      <c r="N250" s="20">
        <v>2187.5</v>
      </c>
      <c r="O250" s="20">
        <f>H250-L250</f>
        <v>-2187.5</v>
      </c>
      <c r="P250" s="20" t="e">
        <f>#REF!-M250</f>
        <v>#REF!</v>
      </c>
      <c r="Q250" s="20" t="e">
        <f>#REF!-N250</f>
        <v>#REF!</v>
      </c>
      <c r="R250" s="17" t="str">
        <f t="shared" si="19"/>
        <v>12 2 02 20640000</v>
      </c>
    </row>
    <row r="251" spans="1:18" s="16" customFormat="1" ht="31.5">
      <c r="A251" s="14"/>
      <c r="B251" s="125" t="s">
        <v>28</v>
      </c>
      <c r="C251" s="109" t="s">
        <v>64</v>
      </c>
      <c r="D251" s="108" t="s">
        <v>73</v>
      </c>
      <c r="E251" s="108" t="s">
        <v>57</v>
      </c>
      <c r="F251" s="108" t="s">
        <v>225</v>
      </c>
      <c r="G251" s="108" t="s">
        <v>29</v>
      </c>
      <c r="H251" s="126">
        <f>H252</f>
        <v>0</v>
      </c>
      <c r="L251" s="20">
        <v>2087.5</v>
      </c>
      <c r="M251" s="20">
        <v>2087.5</v>
      </c>
      <c r="N251" s="20">
        <v>2087.5</v>
      </c>
      <c r="O251" s="20">
        <f>H251-L251</f>
        <v>-2087.5</v>
      </c>
      <c r="P251" s="20" t="e">
        <f>#REF!-M251</f>
        <v>#REF!</v>
      </c>
      <c r="Q251" s="20" t="e">
        <f>#REF!-N251</f>
        <v>#REF!</v>
      </c>
      <c r="R251" s="17" t="str">
        <f t="shared" si="19"/>
        <v>12 2 02 20640240</v>
      </c>
    </row>
    <row r="252" spans="1:18" s="16" customFormat="1" ht="15.75">
      <c r="A252" s="14"/>
      <c r="B252" s="125" t="s">
        <v>30</v>
      </c>
      <c r="C252" s="109" t="s">
        <v>64</v>
      </c>
      <c r="D252" s="108" t="s">
        <v>73</v>
      </c>
      <c r="E252" s="108" t="s">
        <v>57</v>
      </c>
      <c r="F252" s="108" t="s">
        <v>225</v>
      </c>
      <c r="G252" s="108" t="s">
        <v>31</v>
      </c>
      <c r="H252" s="126"/>
      <c r="L252" s="20"/>
      <c r="M252" s="20"/>
      <c r="N252" s="20"/>
      <c r="O252" s="20"/>
      <c r="P252" s="20"/>
      <c r="Q252" s="20"/>
      <c r="R252" s="17" t="str">
        <f t="shared" si="19"/>
        <v>12 2 02 20640244</v>
      </c>
    </row>
    <row r="253" spans="1:18" s="16" customFormat="1" ht="63">
      <c r="A253" s="14"/>
      <c r="B253" s="125" t="s">
        <v>203</v>
      </c>
      <c r="C253" s="109" t="s">
        <v>64</v>
      </c>
      <c r="D253" s="108" t="s">
        <v>73</v>
      </c>
      <c r="E253" s="108" t="s">
        <v>57</v>
      </c>
      <c r="F253" s="108" t="s">
        <v>225</v>
      </c>
      <c r="G253" s="108" t="s">
        <v>204</v>
      </c>
      <c r="H253" s="126">
        <f>H254</f>
        <v>0</v>
      </c>
      <c r="L253" s="20">
        <v>100</v>
      </c>
      <c r="M253" s="20">
        <v>100</v>
      </c>
      <c r="N253" s="20">
        <v>100</v>
      </c>
      <c r="O253" s="20">
        <f>H253-L253</f>
        <v>-100</v>
      </c>
      <c r="P253" s="20" t="e">
        <f>#REF!-M253</f>
        <v>#REF!</v>
      </c>
      <c r="Q253" s="20" t="e">
        <f>#REF!-N253</f>
        <v>#REF!</v>
      </c>
      <c r="R253" s="17" t="str">
        <f t="shared" si="19"/>
        <v>12 2 02 20640810</v>
      </c>
    </row>
    <row r="254" spans="1:18" s="23" customFormat="1" ht="110.25">
      <c r="A254" s="21"/>
      <c r="B254" s="127" t="s">
        <v>226</v>
      </c>
      <c r="C254" s="109" t="s">
        <v>64</v>
      </c>
      <c r="D254" s="108" t="s">
        <v>73</v>
      </c>
      <c r="E254" s="108" t="s">
        <v>57</v>
      </c>
      <c r="F254" s="108" t="s">
        <v>225</v>
      </c>
      <c r="G254" s="108" t="s">
        <v>227</v>
      </c>
      <c r="H254" s="126"/>
      <c r="L254" s="22"/>
      <c r="M254" s="22"/>
      <c r="N254" s="22"/>
      <c r="O254" s="22"/>
      <c r="P254" s="22"/>
      <c r="Q254" s="22"/>
      <c r="R254" s="24" t="str">
        <f t="shared" si="19"/>
        <v>12 2 02 20640813</v>
      </c>
    </row>
    <row r="255" spans="1:18" s="16" customFormat="1" ht="15.75">
      <c r="A255" s="14"/>
      <c r="B255" s="117" t="s">
        <v>228</v>
      </c>
      <c r="C255" s="118" t="s">
        <v>64</v>
      </c>
      <c r="D255" s="119" t="s">
        <v>229</v>
      </c>
      <c r="E255" s="119" t="s">
        <v>7</v>
      </c>
      <c r="F255" s="119" t="s">
        <v>8</v>
      </c>
      <c r="G255" s="119" t="s">
        <v>9</v>
      </c>
      <c r="H255" s="120">
        <f t="shared" ref="H255:H260" si="27">H256</f>
        <v>0</v>
      </c>
      <c r="L255" s="18">
        <v>160</v>
      </c>
      <c r="M255" s="18">
        <v>160</v>
      </c>
      <c r="N255" s="18">
        <v>160</v>
      </c>
      <c r="O255" s="18">
        <f t="shared" ref="O255:O261" si="28">H255-L255</f>
        <v>-160</v>
      </c>
      <c r="P255" s="18" t="e">
        <f>#REF!-M255</f>
        <v>#REF!</v>
      </c>
      <c r="Q255" s="18" t="e">
        <f>#REF!-N255</f>
        <v>#REF!</v>
      </c>
      <c r="R255" s="17" t="str">
        <f t="shared" si="19"/>
        <v>00 0 00 00000000</v>
      </c>
    </row>
    <row r="256" spans="1:18" s="16" customFormat="1" ht="31.5">
      <c r="A256" s="14"/>
      <c r="B256" s="121" t="s">
        <v>230</v>
      </c>
      <c r="C256" s="122" t="s">
        <v>64</v>
      </c>
      <c r="D256" s="123" t="s">
        <v>229</v>
      </c>
      <c r="E256" s="123" t="s">
        <v>86</v>
      </c>
      <c r="F256" s="123" t="s">
        <v>8</v>
      </c>
      <c r="G256" s="123" t="s">
        <v>9</v>
      </c>
      <c r="H256" s="124">
        <f t="shared" si="27"/>
        <v>0</v>
      </c>
      <c r="L256" s="19">
        <v>160</v>
      </c>
      <c r="M256" s="19">
        <v>160</v>
      </c>
      <c r="N256" s="19">
        <v>160</v>
      </c>
      <c r="O256" s="19">
        <f t="shared" si="28"/>
        <v>-160</v>
      </c>
      <c r="P256" s="19" t="e">
        <f>#REF!-M256</f>
        <v>#REF!</v>
      </c>
      <c r="Q256" s="19" t="e">
        <f>#REF!-N256</f>
        <v>#REF!</v>
      </c>
      <c r="R256" s="17" t="str">
        <f t="shared" si="19"/>
        <v>00 0 00 00000000</v>
      </c>
    </row>
    <row r="257" spans="1:18" s="16" customFormat="1" ht="47.25">
      <c r="A257" s="14"/>
      <c r="B257" s="129" t="s">
        <v>103</v>
      </c>
      <c r="C257" s="109" t="s">
        <v>64</v>
      </c>
      <c r="D257" s="108" t="s">
        <v>229</v>
      </c>
      <c r="E257" s="108" t="s">
        <v>86</v>
      </c>
      <c r="F257" s="108" t="s">
        <v>104</v>
      </c>
      <c r="G257" s="108" t="s">
        <v>9</v>
      </c>
      <c r="H257" s="126">
        <f t="shared" si="27"/>
        <v>0</v>
      </c>
      <c r="L257" s="20">
        <v>160</v>
      </c>
      <c r="M257" s="20">
        <v>160</v>
      </c>
      <c r="N257" s="20">
        <v>160</v>
      </c>
      <c r="O257" s="20">
        <f t="shared" si="28"/>
        <v>-160</v>
      </c>
      <c r="P257" s="20" t="e">
        <f>#REF!-M257</f>
        <v>#REF!</v>
      </c>
      <c r="Q257" s="20" t="e">
        <f>#REF!-N257</f>
        <v>#REF!</v>
      </c>
      <c r="R257" s="17" t="str">
        <f t="shared" si="19"/>
        <v>13 0 00 00000000</v>
      </c>
    </row>
    <row r="258" spans="1:18" s="16" customFormat="1" ht="31.5">
      <c r="A258" s="14"/>
      <c r="B258" s="129" t="s">
        <v>231</v>
      </c>
      <c r="C258" s="109" t="s">
        <v>64</v>
      </c>
      <c r="D258" s="108" t="s">
        <v>229</v>
      </c>
      <c r="E258" s="108" t="s">
        <v>86</v>
      </c>
      <c r="F258" s="108" t="s">
        <v>232</v>
      </c>
      <c r="G258" s="108" t="s">
        <v>9</v>
      </c>
      <c r="H258" s="126">
        <f t="shared" si="27"/>
        <v>0</v>
      </c>
      <c r="L258" s="20">
        <v>160</v>
      </c>
      <c r="M258" s="20">
        <v>160</v>
      </c>
      <c r="N258" s="20">
        <v>160</v>
      </c>
      <c r="O258" s="20">
        <f t="shared" si="28"/>
        <v>-160</v>
      </c>
      <c r="P258" s="20" t="e">
        <f>#REF!-M258</f>
        <v>#REF!</v>
      </c>
      <c r="Q258" s="20" t="e">
        <f>#REF!-N258</f>
        <v>#REF!</v>
      </c>
      <c r="R258" s="17" t="str">
        <f t="shared" si="19"/>
        <v>13 1 00 00000000</v>
      </c>
    </row>
    <row r="259" spans="1:18" s="16" customFormat="1" ht="47.25">
      <c r="A259" s="14"/>
      <c r="B259" s="129" t="s">
        <v>233</v>
      </c>
      <c r="C259" s="109" t="s">
        <v>64</v>
      </c>
      <c r="D259" s="108" t="s">
        <v>229</v>
      </c>
      <c r="E259" s="108" t="s">
        <v>86</v>
      </c>
      <c r="F259" s="108" t="s">
        <v>234</v>
      </c>
      <c r="G259" s="108" t="s">
        <v>9</v>
      </c>
      <c r="H259" s="126">
        <f t="shared" si="27"/>
        <v>0</v>
      </c>
      <c r="L259" s="20">
        <v>160</v>
      </c>
      <c r="M259" s="20">
        <v>160</v>
      </c>
      <c r="N259" s="20">
        <v>160</v>
      </c>
      <c r="O259" s="20">
        <f t="shared" si="28"/>
        <v>-160</v>
      </c>
      <c r="P259" s="20" t="e">
        <f>#REF!-M259</f>
        <v>#REF!</v>
      </c>
      <c r="Q259" s="20" t="e">
        <f>#REF!-N259</f>
        <v>#REF!</v>
      </c>
      <c r="R259" s="17" t="str">
        <f t="shared" si="19"/>
        <v>13 1 01 00000000</v>
      </c>
    </row>
    <row r="260" spans="1:18" s="16" customFormat="1" ht="47.25">
      <c r="A260" s="14"/>
      <c r="B260" s="129" t="s">
        <v>235</v>
      </c>
      <c r="C260" s="109" t="s">
        <v>64</v>
      </c>
      <c r="D260" s="108" t="s">
        <v>229</v>
      </c>
      <c r="E260" s="108" t="s">
        <v>86</v>
      </c>
      <c r="F260" s="108" t="s">
        <v>236</v>
      </c>
      <c r="G260" s="108" t="s">
        <v>9</v>
      </c>
      <c r="H260" s="126">
        <f t="shared" si="27"/>
        <v>0</v>
      </c>
      <c r="L260" s="20">
        <v>160</v>
      </c>
      <c r="M260" s="20">
        <v>160</v>
      </c>
      <c r="N260" s="20">
        <v>160</v>
      </c>
      <c r="O260" s="20">
        <f t="shared" si="28"/>
        <v>-160</v>
      </c>
      <c r="P260" s="20" t="e">
        <f>#REF!-M260</f>
        <v>#REF!</v>
      </c>
      <c r="Q260" s="20" t="e">
        <f>#REF!-N260</f>
        <v>#REF!</v>
      </c>
      <c r="R260" s="17" t="str">
        <f t="shared" si="19"/>
        <v>13 1 01 20450000</v>
      </c>
    </row>
    <row r="261" spans="1:18" s="16" customFormat="1" ht="31.5">
      <c r="A261" s="14"/>
      <c r="B261" s="125" t="s">
        <v>28</v>
      </c>
      <c r="C261" s="109" t="s">
        <v>64</v>
      </c>
      <c r="D261" s="108" t="s">
        <v>229</v>
      </c>
      <c r="E261" s="108" t="s">
        <v>86</v>
      </c>
      <c r="F261" s="108" t="s">
        <v>236</v>
      </c>
      <c r="G261" s="108" t="s">
        <v>29</v>
      </c>
      <c r="H261" s="126">
        <f>H262</f>
        <v>0</v>
      </c>
      <c r="L261" s="20">
        <v>160</v>
      </c>
      <c r="M261" s="20">
        <v>160</v>
      </c>
      <c r="N261" s="20">
        <v>160</v>
      </c>
      <c r="O261" s="20">
        <f t="shared" si="28"/>
        <v>-160</v>
      </c>
      <c r="P261" s="20" t="e">
        <f>#REF!-M261</f>
        <v>#REF!</v>
      </c>
      <c r="Q261" s="20" t="e">
        <f>#REF!-N261</f>
        <v>#REF!</v>
      </c>
      <c r="R261" s="17" t="str">
        <f t="shared" si="19"/>
        <v>13 1 01 20450240</v>
      </c>
    </row>
    <row r="262" spans="1:18" s="16" customFormat="1" ht="15.75">
      <c r="A262" s="14"/>
      <c r="B262" s="125" t="s">
        <v>30</v>
      </c>
      <c r="C262" s="109" t="s">
        <v>64</v>
      </c>
      <c r="D262" s="108" t="s">
        <v>229</v>
      </c>
      <c r="E262" s="108" t="s">
        <v>86</v>
      </c>
      <c r="F262" s="108" t="s">
        <v>236</v>
      </c>
      <c r="G262" s="108" t="s">
        <v>31</v>
      </c>
      <c r="H262" s="126"/>
      <c r="L262" s="20"/>
      <c r="M262" s="20"/>
      <c r="N262" s="20"/>
      <c r="O262" s="20"/>
      <c r="P262" s="20"/>
      <c r="Q262" s="20"/>
      <c r="R262" s="17" t="str">
        <f t="shared" si="19"/>
        <v>13 1 01 20450244</v>
      </c>
    </row>
    <row r="263" spans="1:18" s="16" customFormat="1" ht="15.75">
      <c r="A263" s="14"/>
      <c r="B263" s="117" t="s">
        <v>237</v>
      </c>
      <c r="C263" s="118" t="s">
        <v>64</v>
      </c>
      <c r="D263" s="119" t="s">
        <v>238</v>
      </c>
      <c r="E263" s="119" t="s">
        <v>7</v>
      </c>
      <c r="F263" s="119" t="s">
        <v>8</v>
      </c>
      <c r="G263" s="119" t="s">
        <v>9</v>
      </c>
      <c r="H263" s="120">
        <f t="shared" ref="H263:H267" si="29">H264</f>
        <v>0</v>
      </c>
      <c r="L263" s="18">
        <v>1911</v>
      </c>
      <c r="M263" s="18">
        <v>1911</v>
      </c>
      <c r="N263" s="18">
        <v>1911</v>
      </c>
      <c r="O263" s="18">
        <f t="shared" ref="O263:O269" si="30">H263-L263</f>
        <v>-1911</v>
      </c>
      <c r="P263" s="18" t="e">
        <f>#REF!-M263</f>
        <v>#REF!</v>
      </c>
      <c r="Q263" s="18" t="e">
        <f>#REF!-N263</f>
        <v>#REF!</v>
      </c>
      <c r="R263" s="17" t="str">
        <f t="shared" si="19"/>
        <v>00 0 00 00000000</v>
      </c>
    </row>
    <row r="264" spans="1:18" s="16" customFormat="1" ht="15.75">
      <c r="A264" s="14"/>
      <c r="B264" s="121" t="s">
        <v>239</v>
      </c>
      <c r="C264" s="122" t="s">
        <v>64</v>
      </c>
      <c r="D264" s="123" t="s">
        <v>238</v>
      </c>
      <c r="E264" s="123" t="s">
        <v>11</v>
      </c>
      <c r="F264" s="123" t="s">
        <v>8</v>
      </c>
      <c r="G264" s="123" t="s">
        <v>9</v>
      </c>
      <c r="H264" s="124">
        <f t="shared" si="29"/>
        <v>0</v>
      </c>
      <c r="L264" s="19">
        <v>1911</v>
      </c>
      <c r="M264" s="19">
        <v>1911</v>
      </c>
      <c r="N264" s="19">
        <v>1911</v>
      </c>
      <c r="O264" s="19">
        <f t="shared" si="30"/>
        <v>-1911</v>
      </c>
      <c r="P264" s="19" t="e">
        <f>#REF!-M264</f>
        <v>#REF!</v>
      </c>
      <c r="Q264" s="19" t="e">
        <f>#REF!-N264</f>
        <v>#REF!</v>
      </c>
      <c r="R264" s="17" t="str">
        <f t="shared" si="19"/>
        <v>00 0 00 00000000</v>
      </c>
    </row>
    <row r="265" spans="1:18" s="16" customFormat="1" ht="31.5">
      <c r="A265" s="14"/>
      <c r="B265" s="125" t="s">
        <v>240</v>
      </c>
      <c r="C265" s="109" t="s">
        <v>64</v>
      </c>
      <c r="D265" s="108" t="s">
        <v>238</v>
      </c>
      <c r="E265" s="108" t="s">
        <v>11</v>
      </c>
      <c r="F265" s="108" t="s">
        <v>241</v>
      </c>
      <c r="G265" s="108" t="s">
        <v>9</v>
      </c>
      <c r="H265" s="126">
        <f t="shared" si="29"/>
        <v>0</v>
      </c>
      <c r="L265" s="20">
        <v>1911</v>
      </c>
      <c r="M265" s="20">
        <v>1911</v>
      </c>
      <c r="N265" s="20">
        <v>1911</v>
      </c>
      <c r="O265" s="20">
        <f t="shared" si="30"/>
        <v>-1911</v>
      </c>
      <c r="P265" s="20" t="e">
        <f>#REF!-M265</f>
        <v>#REF!</v>
      </c>
      <c r="Q265" s="20" t="e">
        <f>#REF!-N265</f>
        <v>#REF!</v>
      </c>
      <c r="R265" s="17" t="str">
        <f t="shared" si="19"/>
        <v>07 0 00 00000000</v>
      </c>
    </row>
    <row r="266" spans="1:18" s="16" customFormat="1" ht="78.75">
      <c r="A266" s="14"/>
      <c r="B266" s="129" t="s">
        <v>242</v>
      </c>
      <c r="C266" s="109" t="s">
        <v>64</v>
      </c>
      <c r="D266" s="108" t="s">
        <v>238</v>
      </c>
      <c r="E266" s="108" t="s">
        <v>11</v>
      </c>
      <c r="F266" s="108" t="s">
        <v>243</v>
      </c>
      <c r="G266" s="108" t="s">
        <v>9</v>
      </c>
      <c r="H266" s="126">
        <f t="shared" si="29"/>
        <v>0</v>
      </c>
      <c r="L266" s="20">
        <v>1911</v>
      </c>
      <c r="M266" s="20">
        <v>1911</v>
      </c>
      <c r="N266" s="20">
        <v>1911</v>
      </c>
      <c r="O266" s="20">
        <f t="shared" si="30"/>
        <v>-1911</v>
      </c>
      <c r="P266" s="20" t="e">
        <f>#REF!-M266</f>
        <v>#REF!</v>
      </c>
      <c r="Q266" s="20" t="e">
        <f>#REF!-N266</f>
        <v>#REF!</v>
      </c>
      <c r="R266" s="17" t="str">
        <f t="shared" si="19"/>
        <v>07 1 00 00000000</v>
      </c>
    </row>
    <row r="267" spans="1:18" s="16" customFormat="1" ht="110.25">
      <c r="A267" s="14"/>
      <c r="B267" s="129" t="s">
        <v>244</v>
      </c>
      <c r="C267" s="109" t="s">
        <v>64</v>
      </c>
      <c r="D267" s="108" t="s">
        <v>238</v>
      </c>
      <c r="E267" s="108" t="s">
        <v>11</v>
      </c>
      <c r="F267" s="108" t="s">
        <v>245</v>
      </c>
      <c r="G267" s="108" t="s">
        <v>9</v>
      </c>
      <c r="H267" s="126">
        <f t="shared" si="29"/>
        <v>0</v>
      </c>
      <c r="L267" s="20">
        <v>1911</v>
      </c>
      <c r="M267" s="20">
        <v>1911</v>
      </c>
      <c r="N267" s="20">
        <v>1911</v>
      </c>
      <c r="O267" s="20">
        <f t="shared" si="30"/>
        <v>-1911</v>
      </c>
      <c r="P267" s="20" t="e">
        <f>#REF!-M267</f>
        <v>#REF!</v>
      </c>
      <c r="Q267" s="20" t="e">
        <f>#REF!-N267</f>
        <v>#REF!</v>
      </c>
      <c r="R267" s="17" t="str">
        <f t="shared" si="19"/>
        <v>07 1 01 00000000</v>
      </c>
    </row>
    <row r="268" spans="1:18" s="16" customFormat="1" ht="31.5">
      <c r="A268" s="14"/>
      <c r="B268" s="129" t="s">
        <v>246</v>
      </c>
      <c r="C268" s="109" t="s">
        <v>64</v>
      </c>
      <c r="D268" s="108" t="s">
        <v>238</v>
      </c>
      <c r="E268" s="108" t="s">
        <v>11</v>
      </c>
      <c r="F268" s="108" t="s">
        <v>247</v>
      </c>
      <c r="G268" s="108" t="s">
        <v>9</v>
      </c>
      <c r="H268" s="126">
        <f>H269</f>
        <v>0</v>
      </c>
      <c r="L268" s="20">
        <v>1911</v>
      </c>
      <c r="M268" s="20">
        <v>1911</v>
      </c>
      <c r="N268" s="20">
        <v>1911</v>
      </c>
      <c r="O268" s="20">
        <f t="shared" si="30"/>
        <v>-1911</v>
      </c>
      <c r="P268" s="20" t="e">
        <f>#REF!-M268</f>
        <v>#REF!</v>
      </c>
      <c r="Q268" s="20" t="e">
        <f>#REF!-N268</f>
        <v>#REF!</v>
      </c>
      <c r="R268" s="17" t="str">
        <f t="shared" si="19"/>
        <v>07 1 01 20060000</v>
      </c>
    </row>
    <row r="269" spans="1:18" s="16" customFormat="1" ht="31.5">
      <c r="A269" s="14"/>
      <c r="B269" s="125" t="s">
        <v>28</v>
      </c>
      <c r="C269" s="109" t="s">
        <v>64</v>
      </c>
      <c r="D269" s="108" t="s">
        <v>238</v>
      </c>
      <c r="E269" s="108" t="s">
        <v>11</v>
      </c>
      <c r="F269" s="108" t="s">
        <v>247</v>
      </c>
      <c r="G269" s="108" t="s">
        <v>29</v>
      </c>
      <c r="H269" s="126">
        <f>H270</f>
        <v>0</v>
      </c>
      <c r="L269" s="20">
        <v>1911</v>
      </c>
      <c r="M269" s="20">
        <v>1911</v>
      </c>
      <c r="N269" s="20">
        <v>1911</v>
      </c>
      <c r="O269" s="20">
        <f t="shared" si="30"/>
        <v>-1911</v>
      </c>
      <c r="P269" s="20" t="e">
        <f>#REF!-M269</f>
        <v>#REF!</v>
      </c>
      <c r="Q269" s="20" t="e">
        <f>#REF!-N269</f>
        <v>#REF!</v>
      </c>
      <c r="R269" s="17" t="str">
        <f t="shared" si="19"/>
        <v>07 1 01 20060240</v>
      </c>
    </row>
    <row r="270" spans="1:18" s="16" customFormat="1" ht="15.75">
      <c r="A270" s="14"/>
      <c r="B270" s="125" t="s">
        <v>30</v>
      </c>
      <c r="C270" s="109" t="s">
        <v>64</v>
      </c>
      <c r="D270" s="108" t="s">
        <v>238</v>
      </c>
      <c r="E270" s="108" t="s">
        <v>11</v>
      </c>
      <c r="F270" s="108" t="s">
        <v>247</v>
      </c>
      <c r="G270" s="108" t="s">
        <v>31</v>
      </c>
      <c r="H270" s="126"/>
      <c r="L270" s="20"/>
      <c r="M270" s="20"/>
      <c r="N270" s="20"/>
      <c r="O270" s="20"/>
      <c r="P270" s="20"/>
      <c r="Q270" s="20"/>
      <c r="R270" s="17" t="str">
        <f t="shared" si="19"/>
        <v>07 1 01 20060244</v>
      </c>
    </row>
    <row r="271" spans="1:18" s="6" customFormat="1" ht="15.75">
      <c r="A271" s="1"/>
      <c r="B271" s="117" t="s">
        <v>56</v>
      </c>
      <c r="C271" s="118" t="s">
        <v>64</v>
      </c>
      <c r="D271" s="119" t="s">
        <v>57</v>
      </c>
      <c r="E271" s="119" t="s">
        <v>7</v>
      </c>
      <c r="F271" s="119" t="s">
        <v>8</v>
      </c>
      <c r="G271" s="119" t="s">
        <v>9</v>
      </c>
      <c r="H271" s="120">
        <f>H279+H272</f>
        <v>0</v>
      </c>
      <c r="L271" s="18">
        <v>20457.5</v>
      </c>
      <c r="M271" s="18">
        <v>20457.5</v>
      </c>
      <c r="N271" s="18">
        <v>20457.5</v>
      </c>
      <c r="O271" s="18">
        <f t="shared" ref="O271:O277" si="31">H271-L271</f>
        <v>-20457.5</v>
      </c>
      <c r="P271" s="18" t="e">
        <f>#REF!-M271</f>
        <v>#REF!</v>
      </c>
      <c r="Q271" s="18" t="e">
        <f>#REF!-N271</f>
        <v>#REF!</v>
      </c>
      <c r="R271" s="17" t="str">
        <f t="shared" si="19"/>
        <v>00 0 00 00000000</v>
      </c>
    </row>
    <row r="272" spans="1:18" s="6" customFormat="1" ht="15.75">
      <c r="A272" s="1"/>
      <c r="B272" s="121" t="s">
        <v>58</v>
      </c>
      <c r="C272" s="122" t="s">
        <v>64</v>
      </c>
      <c r="D272" s="123" t="s">
        <v>57</v>
      </c>
      <c r="E272" s="123" t="s">
        <v>11</v>
      </c>
      <c r="F272" s="123" t="s">
        <v>8</v>
      </c>
      <c r="G272" s="123" t="s">
        <v>9</v>
      </c>
      <c r="H272" s="124">
        <f t="shared" ref="H272:H277" si="32">H273</f>
        <v>0</v>
      </c>
      <c r="L272" s="19">
        <v>5900.5</v>
      </c>
      <c r="M272" s="19">
        <v>5900.5</v>
      </c>
      <c r="N272" s="19">
        <v>5900.5</v>
      </c>
      <c r="O272" s="19">
        <f t="shared" si="31"/>
        <v>-5900.5</v>
      </c>
      <c r="P272" s="19" t="e">
        <f>#REF!-M272</f>
        <v>#REF!</v>
      </c>
      <c r="Q272" s="19" t="e">
        <f>#REF!-N272</f>
        <v>#REF!</v>
      </c>
      <c r="R272" s="17" t="str">
        <f t="shared" si="19"/>
        <v>00 0 00 00000000</v>
      </c>
    </row>
    <row r="273" spans="1:18" s="6" customFormat="1" ht="63">
      <c r="A273" s="1"/>
      <c r="B273" s="129" t="s">
        <v>111</v>
      </c>
      <c r="C273" s="109" t="s">
        <v>64</v>
      </c>
      <c r="D273" s="108" t="s">
        <v>57</v>
      </c>
      <c r="E273" s="108" t="s">
        <v>11</v>
      </c>
      <c r="F273" s="108" t="s">
        <v>112</v>
      </c>
      <c r="G273" s="108" t="s">
        <v>9</v>
      </c>
      <c r="H273" s="126">
        <f t="shared" si="32"/>
        <v>0</v>
      </c>
      <c r="L273" s="20">
        <v>5900.5</v>
      </c>
      <c r="M273" s="20">
        <v>5900.5</v>
      </c>
      <c r="N273" s="20">
        <v>5900.5</v>
      </c>
      <c r="O273" s="20">
        <f t="shared" si="31"/>
        <v>-5900.5</v>
      </c>
      <c r="P273" s="20" t="e">
        <f>#REF!-M273</f>
        <v>#REF!</v>
      </c>
      <c r="Q273" s="20" t="e">
        <f>#REF!-N273</f>
        <v>#REF!</v>
      </c>
      <c r="R273" s="17" t="str">
        <f t="shared" si="19"/>
        <v>14 0 00 00000000</v>
      </c>
    </row>
    <row r="274" spans="1:18" s="6" customFormat="1" ht="31.5">
      <c r="A274" s="1"/>
      <c r="B274" s="129" t="s">
        <v>113</v>
      </c>
      <c r="C274" s="109" t="s">
        <v>64</v>
      </c>
      <c r="D274" s="108" t="s">
        <v>57</v>
      </c>
      <c r="E274" s="108" t="s">
        <v>11</v>
      </c>
      <c r="F274" s="108" t="s">
        <v>114</v>
      </c>
      <c r="G274" s="108" t="s">
        <v>9</v>
      </c>
      <c r="H274" s="126">
        <f t="shared" si="32"/>
        <v>0</v>
      </c>
      <c r="L274" s="20">
        <v>5900.5</v>
      </c>
      <c r="M274" s="20">
        <v>5900.5</v>
      </c>
      <c r="N274" s="20">
        <v>5900.5</v>
      </c>
      <c r="O274" s="20">
        <f t="shared" si="31"/>
        <v>-5900.5</v>
      </c>
      <c r="P274" s="20" t="e">
        <f>#REF!-M274</f>
        <v>#REF!</v>
      </c>
      <c r="Q274" s="20" t="e">
        <f>#REF!-N274</f>
        <v>#REF!</v>
      </c>
      <c r="R274" s="17" t="str">
        <f t="shared" si="19"/>
        <v>14 1 00 00000000</v>
      </c>
    </row>
    <row r="275" spans="1:18" s="6" customFormat="1" ht="63">
      <c r="A275" s="1"/>
      <c r="B275" s="129" t="s">
        <v>248</v>
      </c>
      <c r="C275" s="109" t="s">
        <v>64</v>
      </c>
      <c r="D275" s="108" t="s">
        <v>57</v>
      </c>
      <c r="E275" s="108" t="s">
        <v>11</v>
      </c>
      <c r="F275" s="108" t="s">
        <v>249</v>
      </c>
      <c r="G275" s="108" t="s">
        <v>9</v>
      </c>
      <c r="H275" s="126">
        <f t="shared" si="32"/>
        <v>0</v>
      </c>
      <c r="L275" s="20">
        <v>5900.5</v>
      </c>
      <c r="M275" s="20">
        <v>5900.5</v>
      </c>
      <c r="N275" s="20">
        <v>5900.5</v>
      </c>
      <c r="O275" s="20">
        <f t="shared" si="31"/>
        <v>-5900.5</v>
      </c>
      <c r="P275" s="20" t="e">
        <f>#REF!-M275</f>
        <v>#REF!</v>
      </c>
      <c r="Q275" s="20" t="e">
        <f>#REF!-N275</f>
        <v>#REF!</v>
      </c>
      <c r="R275" s="17" t="str">
        <f t="shared" si="19"/>
        <v>14 1 03 00000000</v>
      </c>
    </row>
    <row r="276" spans="1:18" s="6" customFormat="1" ht="31.5">
      <c r="A276" s="1"/>
      <c r="B276" s="129" t="s">
        <v>59</v>
      </c>
      <c r="C276" s="109" t="s">
        <v>64</v>
      </c>
      <c r="D276" s="108" t="s">
        <v>57</v>
      </c>
      <c r="E276" s="108" t="s">
        <v>11</v>
      </c>
      <c r="F276" s="108" t="s">
        <v>250</v>
      </c>
      <c r="G276" s="108" t="s">
        <v>9</v>
      </c>
      <c r="H276" s="126">
        <f t="shared" si="32"/>
        <v>0</v>
      </c>
      <c r="L276" s="20">
        <v>5900.5</v>
      </c>
      <c r="M276" s="20">
        <v>5900.5</v>
      </c>
      <c r="N276" s="20">
        <v>5900.5</v>
      </c>
      <c r="O276" s="20">
        <f t="shared" si="31"/>
        <v>-5900.5</v>
      </c>
      <c r="P276" s="20" t="e">
        <f>#REF!-M276</f>
        <v>#REF!</v>
      </c>
      <c r="Q276" s="20" t="e">
        <f>#REF!-N276</f>
        <v>#REF!</v>
      </c>
      <c r="R276" s="17" t="str">
        <f t="shared" si="19"/>
        <v>14 1 03 98710000</v>
      </c>
    </row>
    <row r="277" spans="1:18" s="6" customFormat="1" ht="31.5">
      <c r="A277" s="1"/>
      <c r="B277" s="125" t="s">
        <v>28</v>
      </c>
      <c r="C277" s="109" t="s">
        <v>64</v>
      </c>
      <c r="D277" s="108" t="s">
        <v>57</v>
      </c>
      <c r="E277" s="108" t="s">
        <v>11</v>
      </c>
      <c r="F277" s="108" t="s">
        <v>250</v>
      </c>
      <c r="G277" s="108" t="s">
        <v>29</v>
      </c>
      <c r="H277" s="126">
        <f t="shared" si="32"/>
        <v>0</v>
      </c>
      <c r="L277" s="20">
        <v>5900.5</v>
      </c>
      <c r="M277" s="20">
        <v>5900.5</v>
      </c>
      <c r="N277" s="20">
        <v>5900.5</v>
      </c>
      <c r="O277" s="20">
        <f t="shared" si="31"/>
        <v>-5900.5</v>
      </c>
      <c r="P277" s="20" t="e">
        <f>#REF!-M277</f>
        <v>#REF!</v>
      </c>
      <c r="Q277" s="20" t="e">
        <f>#REF!-N277</f>
        <v>#REF!</v>
      </c>
      <c r="R277" s="17" t="str">
        <f t="shared" si="19"/>
        <v>14 1 03 98710240</v>
      </c>
    </row>
    <row r="278" spans="1:18" s="6" customFormat="1" ht="15.75">
      <c r="A278" s="1"/>
      <c r="B278" s="125" t="s">
        <v>30</v>
      </c>
      <c r="C278" s="109" t="s">
        <v>64</v>
      </c>
      <c r="D278" s="108" t="s">
        <v>57</v>
      </c>
      <c r="E278" s="108" t="s">
        <v>11</v>
      </c>
      <c r="F278" s="108" t="s">
        <v>250</v>
      </c>
      <c r="G278" s="108" t="s">
        <v>31</v>
      </c>
      <c r="H278" s="126"/>
      <c r="L278" s="20"/>
      <c r="M278" s="20"/>
      <c r="N278" s="20"/>
      <c r="O278" s="20"/>
      <c r="P278" s="20"/>
      <c r="Q278" s="20"/>
      <c r="R278" s="17" t="str">
        <f t="shared" si="19"/>
        <v>14 1 03 98710244</v>
      </c>
    </row>
    <row r="279" spans="1:18" s="6" customFormat="1" ht="15.75">
      <c r="A279" s="1"/>
      <c r="B279" s="121" t="s">
        <v>61</v>
      </c>
      <c r="C279" s="122" t="s">
        <v>64</v>
      </c>
      <c r="D279" s="123" t="s">
        <v>57</v>
      </c>
      <c r="E279" s="123" t="s">
        <v>62</v>
      </c>
      <c r="F279" s="123" t="s">
        <v>8</v>
      </c>
      <c r="G279" s="123" t="s">
        <v>9</v>
      </c>
      <c r="H279" s="124">
        <f t="shared" ref="H279:H287" si="33">H280</f>
        <v>0</v>
      </c>
      <c r="L279" s="19">
        <v>14557</v>
      </c>
      <c r="M279" s="19">
        <v>14557</v>
      </c>
      <c r="N279" s="19">
        <v>14557</v>
      </c>
      <c r="O279" s="19">
        <f t="shared" ref="O279:O284" si="34">H279-L279</f>
        <v>-14557</v>
      </c>
      <c r="P279" s="19" t="e">
        <f>#REF!-M279</f>
        <v>#REF!</v>
      </c>
      <c r="Q279" s="19" t="e">
        <f>#REF!-N279</f>
        <v>#REF!</v>
      </c>
      <c r="R279" s="17" t="str">
        <f t="shared" si="19"/>
        <v>00 0 00 00000000</v>
      </c>
    </row>
    <row r="280" spans="1:18" s="16" customFormat="1" ht="63">
      <c r="A280" s="14"/>
      <c r="B280" s="129" t="s">
        <v>111</v>
      </c>
      <c r="C280" s="109" t="s">
        <v>64</v>
      </c>
      <c r="D280" s="108" t="s">
        <v>57</v>
      </c>
      <c r="E280" s="108" t="s">
        <v>62</v>
      </c>
      <c r="F280" s="108" t="s">
        <v>112</v>
      </c>
      <c r="G280" s="108" t="s">
        <v>9</v>
      </c>
      <c r="H280" s="126">
        <f t="shared" si="33"/>
        <v>0</v>
      </c>
      <c r="L280" s="20">
        <v>14557</v>
      </c>
      <c r="M280" s="20">
        <v>14557</v>
      </c>
      <c r="N280" s="20">
        <v>14557</v>
      </c>
      <c r="O280" s="20">
        <f t="shared" si="34"/>
        <v>-14557</v>
      </c>
      <c r="P280" s="20" t="e">
        <f>#REF!-M280</f>
        <v>#REF!</v>
      </c>
      <c r="Q280" s="20" t="e">
        <f>#REF!-N280</f>
        <v>#REF!</v>
      </c>
      <c r="R280" s="17" t="str">
        <f t="shared" si="19"/>
        <v>14 0 00 00000000</v>
      </c>
    </row>
    <row r="281" spans="1:18" s="16" customFormat="1" ht="31.5">
      <c r="A281" s="14"/>
      <c r="B281" s="129" t="s">
        <v>113</v>
      </c>
      <c r="C281" s="109" t="s">
        <v>64</v>
      </c>
      <c r="D281" s="108" t="s">
        <v>57</v>
      </c>
      <c r="E281" s="108" t="s">
        <v>62</v>
      </c>
      <c r="F281" s="108" t="s">
        <v>114</v>
      </c>
      <c r="G281" s="108" t="s">
        <v>9</v>
      </c>
      <c r="H281" s="126">
        <f>H286+H282</f>
        <v>0</v>
      </c>
      <c r="L281" s="20">
        <v>14557</v>
      </c>
      <c r="M281" s="20">
        <v>14557</v>
      </c>
      <c r="N281" s="20">
        <v>14557</v>
      </c>
      <c r="O281" s="20">
        <f t="shared" si="34"/>
        <v>-14557</v>
      </c>
      <c r="P281" s="20" t="e">
        <f>#REF!-M281</f>
        <v>#REF!</v>
      </c>
      <c r="Q281" s="20" t="e">
        <f>#REF!-N281</f>
        <v>#REF!</v>
      </c>
      <c r="R281" s="17" t="str">
        <f t="shared" si="19"/>
        <v>14 1 00 00000000</v>
      </c>
    </row>
    <row r="282" spans="1:18" s="6" customFormat="1" ht="63">
      <c r="A282" s="1"/>
      <c r="B282" s="129" t="s">
        <v>248</v>
      </c>
      <c r="C282" s="109" t="s">
        <v>64</v>
      </c>
      <c r="D282" s="108" t="s">
        <v>57</v>
      </c>
      <c r="E282" s="108" t="s">
        <v>62</v>
      </c>
      <c r="F282" s="108" t="s">
        <v>249</v>
      </c>
      <c r="G282" s="108" t="s">
        <v>9</v>
      </c>
      <c r="H282" s="126">
        <f>H283</f>
        <v>0</v>
      </c>
      <c r="L282" s="20">
        <v>1190</v>
      </c>
      <c r="M282" s="20">
        <v>1190</v>
      </c>
      <c r="N282" s="20">
        <v>1190</v>
      </c>
      <c r="O282" s="20">
        <f t="shared" si="34"/>
        <v>-1190</v>
      </c>
      <c r="P282" s="20" t="e">
        <f>#REF!-M282</f>
        <v>#REF!</v>
      </c>
      <c r="Q282" s="20" t="e">
        <f>#REF!-N282</f>
        <v>#REF!</v>
      </c>
      <c r="R282" s="17" t="str">
        <f t="shared" si="19"/>
        <v>14 1 03 00000000</v>
      </c>
    </row>
    <row r="283" spans="1:18" s="6" customFormat="1" ht="31.5">
      <c r="A283" s="1"/>
      <c r="B283" s="129" t="s">
        <v>59</v>
      </c>
      <c r="C283" s="109" t="s">
        <v>64</v>
      </c>
      <c r="D283" s="108" t="s">
        <v>57</v>
      </c>
      <c r="E283" s="108" t="s">
        <v>62</v>
      </c>
      <c r="F283" s="108" t="s">
        <v>250</v>
      </c>
      <c r="G283" s="108" t="s">
        <v>9</v>
      </c>
      <c r="H283" s="126">
        <f>H284</f>
        <v>0</v>
      </c>
      <c r="L283" s="20">
        <v>1190</v>
      </c>
      <c r="M283" s="20">
        <v>1190</v>
      </c>
      <c r="N283" s="20">
        <v>1190</v>
      </c>
      <c r="O283" s="20">
        <f t="shared" si="34"/>
        <v>-1190</v>
      </c>
      <c r="P283" s="20" t="e">
        <f>#REF!-M283</f>
        <v>#REF!</v>
      </c>
      <c r="Q283" s="20" t="e">
        <f>#REF!-N283</f>
        <v>#REF!</v>
      </c>
      <c r="R283" s="17" t="str">
        <f t="shared" si="19"/>
        <v>14 1 03 98710000</v>
      </c>
    </row>
    <row r="284" spans="1:18" s="6" customFormat="1" ht="31.5">
      <c r="A284" s="1"/>
      <c r="B284" s="125" t="s">
        <v>28</v>
      </c>
      <c r="C284" s="109" t="s">
        <v>64</v>
      </c>
      <c r="D284" s="108" t="s">
        <v>57</v>
      </c>
      <c r="E284" s="108" t="s">
        <v>62</v>
      </c>
      <c r="F284" s="108" t="s">
        <v>250</v>
      </c>
      <c r="G284" s="108" t="s">
        <v>29</v>
      </c>
      <c r="H284" s="126">
        <f>H285</f>
        <v>0</v>
      </c>
      <c r="L284" s="20">
        <v>1190</v>
      </c>
      <c r="M284" s="20">
        <v>1190</v>
      </c>
      <c r="N284" s="20">
        <v>1190</v>
      </c>
      <c r="O284" s="20">
        <f t="shared" si="34"/>
        <v>-1190</v>
      </c>
      <c r="P284" s="20" t="e">
        <f>#REF!-M284</f>
        <v>#REF!</v>
      </c>
      <c r="Q284" s="20" t="e">
        <f>#REF!-N284</f>
        <v>#REF!</v>
      </c>
      <c r="R284" s="17" t="str">
        <f t="shared" si="19"/>
        <v>14 1 03 98710240</v>
      </c>
    </row>
    <row r="285" spans="1:18" s="6" customFormat="1" ht="15.75">
      <c r="A285" s="1"/>
      <c r="B285" s="125" t="s">
        <v>30</v>
      </c>
      <c r="C285" s="109" t="s">
        <v>64</v>
      </c>
      <c r="D285" s="108" t="s">
        <v>57</v>
      </c>
      <c r="E285" s="108" t="s">
        <v>62</v>
      </c>
      <c r="F285" s="108" t="s">
        <v>250</v>
      </c>
      <c r="G285" s="108" t="s">
        <v>31</v>
      </c>
      <c r="H285" s="126"/>
      <c r="L285" s="20"/>
      <c r="M285" s="20"/>
      <c r="N285" s="20"/>
      <c r="O285" s="20"/>
      <c r="P285" s="20"/>
      <c r="Q285" s="20"/>
      <c r="R285" s="17" t="str">
        <f t="shared" si="19"/>
        <v>14 1 03 98710244</v>
      </c>
    </row>
    <row r="286" spans="1:18" s="16" customFormat="1" ht="47.25">
      <c r="A286" s="14"/>
      <c r="B286" s="129" t="s">
        <v>251</v>
      </c>
      <c r="C286" s="109" t="s">
        <v>64</v>
      </c>
      <c r="D286" s="108" t="s">
        <v>57</v>
      </c>
      <c r="E286" s="108" t="s">
        <v>62</v>
      </c>
      <c r="F286" s="108" t="s">
        <v>252</v>
      </c>
      <c r="G286" s="108" t="s">
        <v>9</v>
      </c>
      <c r="H286" s="126">
        <f>H287</f>
        <v>0</v>
      </c>
      <c r="L286" s="20">
        <v>13367</v>
      </c>
      <c r="M286" s="20">
        <v>13367</v>
      </c>
      <c r="N286" s="20">
        <v>13367</v>
      </c>
      <c r="O286" s="20">
        <f>H286-L286</f>
        <v>-13367</v>
      </c>
      <c r="P286" s="20" t="e">
        <f>#REF!-M286</f>
        <v>#REF!</v>
      </c>
      <c r="Q286" s="20" t="e">
        <f>#REF!-N286</f>
        <v>#REF!</v>
      </c>
      <c r="R286" s="17" t="str">
        <f t="shared" si="19"/>
        <v>14 1 04 00000000</v>
      </c>
    </row>
    <row r="287" spans="1:18" s="16" customFormat="1" ht="47.25">
      <c r="A287" s="14"/>
      <c r="B287" s="129" t="s">
        <v>253</v>
      </c>
      <c r="C287" s="109" t="s">
        <v>64</v>
      </c>
      <c r="D287" s="108" t="s">
        <v>57</v>
      </c>
      <c r="E287" s="108" t="s">
        <v>62</v>
      </c>
      <c r="F287" s="108" t="s">
        <v>254</v>
      </c>
      <c r="G287" s="108" t="s">
        <v>9</v>
      </c>
      <c r="H287" s="126">
        <f t="shared" si="33"/>
        <v>0</v>
      </c>
      <c r="L287" s="20">
        <v>13367</v>
      </c>
      <c r="M287" s="20">
        <v>13367</v>
      </c>
      <c r="N287" s="20">
        <v>13367</v>
      </c>
      <c r="O287" s="20">
        <f>H287-L287</f>
        <v>-13367</v>
      </c>
      <c r="P287" s="20" t="e">
        <f>#REF!-M287</f>
        <v>#REF!</v>
      </c>
      <c r="Q287" s="20" t="e">
        <f>#REF!-N287</f>
        <v>#REF!</v>
      </c>
      <c r="R287" s="17" t="str">
        <f t="shared" si="19"/>
        <v>14 1 04 98720000</v>
      </c>
    </row>
    <row r="288" spans="1:18" s="16" customFormat="1" ht="63">
      <c r="A288" s="14"/>
      <c r="B288" s="129" t="s">
        <v>203</v>
      </c>
      <c r="C288" s="109" t="s">
        <v>64</v>
      </c>
      <c r="D288" s="108" t="s">
        <v>57</v>
      </c>
      <c r="E288" s="108" t="s">
        <v>62</v>
      </c>
      <c r="F288" s="108" t="s">
        <v>254</v>
      </c>
      <c r="G288" s="108" t="s">
        <v>204</v>
      </c>
      <c r="H288" s="126">
        <f>H289</f>
        <v>0</v>
      </c>
      <c r="L288" s="20">
        <v>13367</v>
      </c>
      <c r="M288" s="20">
        <v>13367</v>
      </c>
      <c r="N288" s="20">
        <v>13367</v>
      </c>
      <c r="O288" s="20">
        <f>H288-L288</f>
        <v>-13367</v>
      </c>
      <c r="P288" s="20" t="e">
        <f>#REF!-M288</f>
        <v>#REF!</v>
      </c>
      <c r="Q288" s="20" t="e">
        <f>#REF!-N288</f>
        <v>#REF!</v>
      </c>
      <c r="R288" s="17" t="str">
        <f t="shared" si="19"/>
        <v>14 1 04 98720810</v>
      </c>
    </row>
    <row r="289" spans="1:18" s="23" customFormat="1" ht="63">
      <c r="A289" s="21"/>
      <c r="B289" s="127" t="s">
        <v>205</v>
      </c>
      <c r="C289" s="109" t="s">
        <v>64</v>
      </c>
      <c r="D289" s="108" t="s">
        <v>57</v>
      </c>
      <c r="E289" s="108" t="s">
        <v>62</v>
      </c>
      <c r="F289" s="108" t="s">
        <v>254</v>
      </c>
      <c r="G289" s="108" t="s">
        <v>206</v>
      </c>
      <c r="H289" s="126"/>
      <c r="L289" s="22"/>
      <c r="M289" s="22"/>
      <c r="N289" s="22"/>
      <c r="O289" s="22"/>
      <c r="P289" s="22"/>
      <c r="Q289" s="22"/>
      <c r="R289" s="24" t="str">
        <f t="shared" si="19"/>
        <v>14 1 04 98720811</v>
      </c>
    </row>
    <row r="290" spans="1:18" s="16" customFormat="1" ht="15.75">
      <c r="A290" s="14"/>
      <c r="B290" s="129"/>
      <c r="C290" s="109"/>
      <c r="D290" s="108"/>
      <c r="E290" s="108"/>
      <c r="F290" s="108"/>
      <c r="G290" s="108"/>
      <c r="H290" s="126"/>
      <c r="L290" s="20"/>
      <c r="M290" s="20"/>
      <c r="N290" s="20"/>
      <c r="O290" s="20">
        <f t="shared" ref="O290:O298" si="35">H290-L290</f>
        <v>0</v>
      </c>
      <c r="P290" s="20" t="e">
        <f>#REF!-M290</f>
        <v>#REF!</v>
      </c>
      <c r="Q290" s="20" t="e">
        <f>#REF!-N290</f>
        <v>#REF!</v>
      </c>
      <c r="R290" s="17" t="str">
        <f t="shared" ref="R290:R388" si="36">CONCATENATE(F290,G290)</f>
        <v/>
      </c>
    </row>
    <row r="291" spans="1:18" s="29" customFormat="1" ht="31.5">
      <c r="A291" s="28"/>
      <c r="B291" s="67" t="s">
        <v>255</v>
      </c>
      <c r="C291" s="116" t="s">
        <v>256</v>
      </c>
      <c r="D291" s="69" t="s">
        <v>7</v>
      </c>
      <c r="E291" s="69" t="s">
        <v>7</v>
      </c>
      <c r="F291" s="69" t="s">
        <v>8</v>
      </c>
      <c r="G291" s="69" t="s">
        <v>9</v>
      </c>
      <c r="H291" s="70">
        <f>H292+H342+H362+H376</f>
        <v>0</v>
      </c>
      <c r="L291" s="25">
        <v>134380.66</v>
      </c>
      <c r="M291" s="25">
        <v>78249.05</v>
      </c>
      <c r="N291" s="25">
        <v>83049.05</v>
      </c>
      <c r="O291" s="25">
        <f t="shared" si="35"/>
        <v>-134380.66</v>
      </c>
      <c r="P291" s="25" t="e">
        <f>#REF!-M291</f>
        <v>#REF!</v>
      </c>
      <c r="Q291" s="25" t="e">
        <f>#REF!-N291</f>
        <v>#REF!</v>
      </c>
      <c r="R291" s="17" t="str">
        <f t="shared" si="36"/>
        <v>00 0 00 00000000</v>
      </c>
    </row>
    <row r="292" spans="1:18" s="29" customFormat="1" ht="15.75">
      <c r="A292" s="28"/>
      <c r="B292" s="117" t="s">
        <v>10</v>
      </c>
      <c r="C292" s="118" t="s">
        <v>256</v>
      </c>
      <c r="D292" s="119" t="s">
        <v>11</v>
      </c>
      <c r="E292" s="119" t="s">
        <v>7</v>
      </c>
      <c r="F292" s="119" t="s">
        <v>8</v>
      </c>
      <c r="G292" s="119" t="s">
        <v>9</v>
      </c>
      <c r="H292" s="120">
        <f>H293</f>
        <v>0</v>
      </c>
      <c r="L292" s="18">
        <v>79225.42</v>
      </c>
      <c r="M292" s="18">
        <v>74852.42</v>
      </c>
      <c r="N292" s="18">
        <v>74852.42</v>
      </c>
      <c r="O292" s="18">
        <f t="shared" si="35"/>
        <v>-79225.42</v>
      </c>
      <c r="P292" s="18" t="e">
        <f>#REF!-M292</f>
        <v>#REF!</v>
      </c>
      <c r="Q292" s="18" t="e">
        <f>#REF!-N292</f>
        <v>#REF!</v>
      </c>
      <c r="R292" s="17" t="str">
        <f t="shared" si="36"/>
        <v>00 0 00 00000000</v>
      </c>
    </row>
    <row r="293" spans="1:18" s="29" customFormat="1" ht="15.75">
      <c r="A293" s="28"/>
      <c r="B293" s="121" t="s">
        <v>50</v>
      </c>
      <c r="C293" s="122" t="s">
        <v>256</v>
      </c>
      <c r="D293" s="123" t="s">
        <v>11</v>
      </c>
      <c r="E293" s="123" t="s">
        <v>51</v>
      </c>
      <c r="F293" s="123" t="s">
        <v>8</v>
      </c>
      <c r="G293" s="123" t="s">
        <v>9</v>
      </c>
      <c r="H293" s="124">
        <f>H294+H321+H312+H337</f>
        <v>0</v>
      </c>
      <c r="L293" s="19">
        <v>79225.42</v>
      </c>
      <c r="M293" s="19">
        <v>74852.42</v>
      </c>
      <c r="N293" s="19">
        <v>74852.42</v>
      </c>
      <c r="O293" s="19">
        <f t="shared" si="35"/>
        <v>-79225.42</v>
      </c>
      <c r="P293" s="19" t="e">
        <f>#REF!-M293</f>
        <v>#REF!</v>
      </c>
      <c r="Q293" s="19" t="e">
        <f>#REF!-N293</f>
        <v>#REF!</v>
      </c>
      <c r="R293" s="17" t="str">
        <f t="shared" si="36"/>
        <v>00 0 00 00000000</v>
      </c>
    </row>
    <row r="294" spans="1:18" s="29" customFormat="1" ht="63">
      <c r="A294" s="28"/>
      <c r="B294" s="132" t="s">
        <v>257</v>
      </c>
      <c r="C294" s="109" t="s">
        <v>256</v>
      </c>
      <c r="D294" s="108" t="s">
        <v>11</v>
      </c>
      <c r="E294" s="108" t="s">
        <v>51</v>
      </c>
      <c r="F294" s="108" t="s">
        <v>258</v>
      </c>
      <c r="G294" s="108" t="s">
        <v>9</v>
      </c>
      <c r="H294" s="126">
        <f>H295</f>
        <v>0</v>
      </c>
      <c r="L294" s="20">
        <v>5342.96</v>
      </c>
      <c r="M294" s="20">
        <v>5342.96</v>
      </c>
      <c r="N294" s="20">
        <v>5342.96</v>
      </c>
      <c r="O294" s="20">
        <f t="shared" si="35"/>
        <v>-5342.96</v>
      </c>
      <c r="P294" s="20" t="e">
        <f>#REF!-M294</f>
        <v>#REF!</v>
      </c>
      <c r="Q294" s="20" t="e">
        <f>#REF!-N294</f>
        <v>#REF!</v>
      </c>
      <c r="R294" s="17" t="str">
        <f t="shared" si="36"/>
        <v>11 0 00 00000000</v>
      </c>
    </row>
    <row r="295" spans="1:18" s="29" customFormat="1" ht="63">
      <c r="A295" s="28"/>
      <c r="B295" s="132" t="s">
        <v>259</v>
      </c>
      <c r="C295" s="109" t="s">
        <v>256</v>
      </c>
      <c r="D295" s="108" t="s">
        <v>11</v>
      </c>
      <c r="E295" s="108" t="s">
        <v>51</v>
      </c>
      <c r="F295" s="108" t="s">
        <v>260</v>
      </c>
      <c r="G295" s="108" t="s">
        <v>9</v>
      </c>
      <c r="H295" s="126">
        <f>H296+H308</f>
        <v>0</v>
      </c>
      <c r="L295" s="20">
        <v>5342.96</v>
      </c>
      <c r="M295" s="20">
        <v>5342.96</v>
      </c>
      <c r="N295" s="20">
        <v>5342.96</v>
      </c>
      <c r="O295" s="20">
        <f t="shared" si="35"/>
        <v>-5342.96</v>
      </c>
      <c r="P295" s="20" t="e">
        <f>#REF!-M295</f>
        <v>#REF!</v>
      </c>
      <c r="Q295" s="20" t="e">
        <f>#REF!-N295</f>
        <v>#REF!</v>
      </c>
      <c r="R295" s="17" t="str">
        <f t="shared" si="36"/>
        <v>11 Б 00 00000000</v>
      </c>
    </row>
    <row r="296" spans="1:18" s="29" customFormat="1" ht="47.25">
      <c r="A296" s="28"/>
      <c r="B296" s="125" t="s">
        <v>261</v>
      </c>
      <c r="C296" s="109" t="s">
        <v>256</v>
      </c>
      <c r="D296" s="108" t="s">
        <v>11</v>
      </c>
      <c r="E296" s="108" t="s">
        <v>51</v>
      </c>
      <c r="F296" s="108" t="s">
        <v>262</v>
      </c>
      <c r="G296" s="108" t="s">
        <v>9</v>
      </c>
      <c r="H296" s="126">
        <f>H297+H302+H305</f>
        <v>0</v>
      </c>
      <c r="L296" s="20">
        <v>4770.92</v>
      </c>
      <c r="M296" s="20">
        <v>4770.92</v>
      </c>
      <c r="N296" s="20">
        <v>4770.92</v>
      </c>
      <c r="O296" s="20">
        <f t="shared" si="35"/>
        <v>-4770.92</v>
      </c>
      <c r="P296" s="20" t="e">
        <f>#REF!-M296</f>
        <v>#REF!</v>
      </c>
      <c r="Q296" s="20" t="e">
        <f>#REF!-N296</f>
        <v>#REF!</v>
      </c>
      <c r="R296" s="17" t="str">
        <f t="shared" si="36"/>
        <v>11 Б 01 00000000</v>
      </c>
    </row>
    <row r="297" spans="1:18" s="29" customFormat="1" ht="78.75">
      <c r="A297" s="28"/>
      <c r="B297" s="125" t="s">
        <v>263</v>
      </c>
      <c r="C297" s="109" t="s">
        <v>256</v>
      </c>
      <c r="D297" s="108" t="s">
        <v>11</v>
      </c>
      <c r="E297" s="108" t="s">
        <v>51</v>
      </c>
      <c r="F297" s="108" t="s">
        <v>264</v>
      </c>
      <c r="G297" s="108" t="s">
        <v>9</v>
      </c>
      <c r="H297" s="126">
        <f>H298+H300</f>
        <v>0</v>
      </c>
      <c r="L297" s="20">
        <v>1261</v>
      </c>
      <c r="M297" s="20">
        <v>1261</v>
      </c>
      <c r="N297" s="20">
        <v>1261</v>
      </c>
      <c r="O297" s="20">
        <f t="shared" si="35"/>
        <v>-1261</v>
      </c>
      <c r="P297" s="20" t="e">
        <f>#REF!-M297</f>
        <v>#REF!</v>
      </c>
      <c r="Q297" s="20" t="e">
        <f>#REF!-N297</f>
        <v>#REF!</v>
      </c>
      <c r="R297" s="17" t="str">
        <f t="shared" si="36"/>
        <v>11 Б 01 20030000</v>
      </c>
    </row>
    <row r="298" spans="1:18" s="29" customFormat="1" ht="31.5">
      <c r="A298" s="28"/>
      <c r="B298" s="125" t="s">
        <v>28</v>
      </c>
      <c r="C298" s="109" t="s">
        <v>256</v>
      </c>
      <c r="D298" s="108" t="s">
        <v>11</v>
      </c>
      <c r="E298" s="108" t="s">
        <v>51</v>
      </c>
      <c r="F298" s="108" t="s">
        <v>264</v>
      </c>
      <c r="G298" s="108" t="s">
        <v>29</v>
      </c>
      <c r="H298" s="126">
        <f>H299</f>
        <v>0</v>
      </c>
      <c r="L298" s="20">
        <v>1250</v>
      </c>
      <c r="M298" s="20">
        <v>1250</v>
      </c>
      <c r="N298" s="20">
        <v>1250</v>
      </c>
      <c r="O298" s="20">
        <f t="shared" si="35"/>
        <v>-1250</v>
      </c>
      <c r="P298" s="20" t="e">
        <f>#REF!-M298</f>
        <v>#REF!</v>
      </c>
      <c r="Q298" s="20" t="e">
        <f>#REF!-N298</f>
        <v>#REF!</v>
      </c>
      <c r="R298" s="17" t="str">
        <f t="shared" si="36"/>
        <v>11 Б 01 20030240</v>
      </c>
    </row>
    <row r="299" spans="1:18" s="29" customFormat="1" ht="15.75">
      <c r="A299" s="28"/>
      <c r="B299" s="125" t="s">
        <v>30</v>
      </c>
      <c r="C299" s="109" t="s">
        <v>256</v>
      </c>
      <c r="D299" s="108" t="s">
        <v>11</v>
      </c>
      <c r="E299" s="108" t="s">
        <v>51</v>
      </c>
      <c r="F299" s="108" t="s">
        <v>264</v>
      </c>
      <c r="G299" s="108" t="s">
        <v>31</v>
      </c>
      <c r="H299" s="126"/>
      <c r="L299" s="20"/>
      <c r="M299" s="20"/>
      <c r="N299" s="20"/>
      <c r="O299" s="20"/>
      <c r="P299" s="20"/>
      <c r="Q299" s="20"/>
      <c r="R299" s="17" t="str">
        <f t="shared" si="36"/>
        <v>11 Б 01 20030244</v>
      </c>
    </row>
    <row r="300" spans="1:18" s="29" customFormat="1" ht="15.75">
      <c r="A300" s="28"/>
      <c r="B300" s="125" t="s">
        <v>32</v>
      </c>
      <c r="C300" s="109" t="s">
        <v>256</v>
      </c>
      <c r="D300" s="108" t="s">
        <v>11</v>
      </c>
      <c r="E300" s="108" t="s">
        <v>51</v>
      </c>
      <c r="F300" s="108" t="s">
        <v>264</v>
      </c>
      <c r="G300" s="108" t="s">
        <v>33</v>
      </c>
      <c r="H300" s="126">
        <f>H301</f>
        <v>0</v>
      </c>
      <c r="L300" s="20">
        <v>11</v>
      </c>
      <c r="M300" s="20">
        <v>11</v>
      </c>
      <c r="N300" s="20">
        <v>11</v>
      </c>
      <c r="O300" s="20">
        <f>H300-L300</f>
        <v>-11</v>
      </c>
      <c r="P300" s="20" t="e">
        <f>#REF!-M300</f>
        <v>#REF!</v>
      </c>
      <c r="Q300" s="20" t="e">
        <f>#REF!-N300</f>
        <v>#REF!</v>
      </c>
      <c r="R300" s="17" t="str">
        <f t="shared" si="36"/>
        <v>11 Б 01 20030850</v>
      </c>
    </row>
    <row r="301" spans="1:18" s="31" customFormat="1" ht="15.75">
      <c r="A301" s="30"/>
      <c r="B301" s="127" t="s">
        <v>36</v>
      </c>
      <c r="C301" s="109" t="s">
        <v>256</v>
      </c>
      <c r="D301" s="108" t="s">
        <v>11</v>
      </c>
      <c r="E301" s="108" t="s">
        <v>51</v>
      </c>
      <c r="F301" s="108" t="s">
        <v>264</v>
      </c>
      <c r="G301" s="108" t="s">
        <v>37</v>
      </c>
      <c r="H301" s="126"/>
      <c r="L301" s="22"/>
      <c r="M301" s="22"/>
      <c r="N301" s="22"/>
      <c r="O301" s="22"/>
      <c r="P301" s="22"/>
      <c r="Q301" s="22"/>
      <c r="R301" s="24"/>
    </row>
    <row r="302" spans="1:18" s="29" customFormat="1" ht="31.5">
      <c r="A302" s="28"/>
      <c r="B302" s="125" t="s">
        <v>265</v>
      </c>
      <c r="C302" s="109" t="s">
        <v>256</v>
      </c>
      <c r="D302" s="108" t="s">
        <v>11</v>
      </c>
      <c r="E302" s="108" t="s">
        <v>51</v>
      </c>
      <c r="F302" s="108" t="s">
        <v>266</v>
      </c>
      <c r="G302" s="108" t="s">
        <v>9</v>
      </c>
      <c r="H302" s="126">
        <f>H303</f>
        <v>0</v>
      </c>
      <c r="L302" s="20">
        <v>1703.92</v>
      </c>
      <c r="M302" s="20">
        <v>1703.92</v>
      </c>
      <c r="N302" s="20">
        <v>1703.92</v>
      </c>
      <c r="O302" s="20">
        <f>H302-L302</f>
        <v>-1703.92</v>
      </c>
      <c r="P302" s="20" t="e">
        <f>#REF!-M302</f>
        <v>#REF!</v>
      </c>
      <c r="Q302" s="20" t="e">
        <f>#REF!-N302</f>
        <v>#REF!</v>
      </c>
      <c r="R302" s="17" t="str">
        <f t="shared" si="36"/>
        <v>11 Б 01 20070000</v>
      </c>
    </row>
    <row r="303" spans="1:18" s="29" customFormat="1" ht="31.5">
      <c r="A303" s="28"/>
      <c r="B303" s="125" t="s">
        <v>28</v>
      </c>
      <c r="C303" s="109" t="s">
        <v>256</v>
      </c>
      <c r="D303" s="108" t="s">
        <v>11</v>
      </c>
      <c r="E303" s="108" t="s">
        <v>51</v>
      </c>
      <c r="F303" s="108" t="s">
        <v>266</v>
      </c>
      <c r="G303" s="108" t="s">
        <v>29</v>
      </c>
      <c r="H303" s="126">
        <f>H304</f>
        <v>0</v>
      </c>
      <c r="L303" s="20">
        <v>1703.92</v>
      </c>
      <c r="M303" s="20">
        <v>1703.92</v>
      </c>
      <c r="N303" s="20">
        <v>1703.92</v>
      </c>
      <c r="O303" s="20">
        <f>H303-L303</f>
        <v>-1703.92</v>
      </c>
      <c r="P303" s="20" t="e">
        <f>#REF!-M303</f>
        <v>#REF!</v>
      </c>
      <c r="Q303" s="20" t="e">
        <f>#REF!-N303</f>
        <v>#REF!</v>
      </c>
      <c r="R303" s="17" t="str">
        <f t="shared" si="36"/>
        <v>11 Б 01 20070240</v>
      </c>
    </row>
    <row r="304" spans="1:18" s="29" customFormat="1" ht="15.75">
      <c r="A304" s="28"/>
      <c r="B304" s="125" t="s">
        <v>30</v>
      </c>
      <c r="C304" s="109" t="s">
        <v>256</v>
      </c>
      <c r="D304" s="108" t="s">
        <v>11</v>
      </c>
      <c r="E304" s="108" t="s">
        <v>51</v>
      </c>
      <c r="F304" s="108" t="s">
        <v>266</v>
      </c>
      <c r="G304" s="108" t="s">
        <v>31</v>
      </c>
      <c r="H304" s="126"/>
      <c r="L304" s="20"/>
      <c r="M304" s="20"/>
      <c r="N304" s="20"/>
      <c r="O304" s="20"/>
      <c r="P304" s="20"/>
      <c r="Q304" s="20"/>
      <c r="R304" s="17"/>
    </row>
    <row r="305" spans="1:18" s="29" customFormat="1" ht="31.5">
      <c r="A305" s="28"/>
      <c r="B305" s="125" t="s">
        <v>267</v>
      </c>
      <c r="C305" s="109" t="s">
        <v>256</v>
      </c>
      <c r="D305" s="108" t="s">
        <v>11</v>
      </c>
      <c r="E305" s="108" t="s">
        <v>51</v>
      </c>
      <c r="F305" s="108" t="s">
        <v>268</v>
      </c>
      <c r="G305" s="108" t="s">
        <v>9</v>
      </c>
      <c r="H305" s="126">
        <f>H306</f>
        <v>0</v>
      </c>
      <c r="L305" s="20">
        <v>1806</v>
      </c>
      <c r="M305" s="20">
        <v>1806</v>
      </c>
      <c r="N305" s="20">
        <v>1806</v>
      </c>
      <c r="O305" s="20">
        <f>H305-L305</f>
        <v>-1806</v>
      </c>
      <c r="P305" s="20" t="e">
        <f>#REF!-M305</f>
        <v>#REF!</v>
      </c>
      <c r="Q305" s="20" t="e">
        <f>#REF!-N305</f>
        <v>#REF!</v>
      </c>
      <c r="R305" s="17" t="str">
        <f t="shared" si="36"/>
        <v>11 Б 01 21120000</v>
      </c>
    </row>
    <row r="306" spans="1:18" s="29" customFormat="1" ht="31.5">
      <c r="A306" s="28"/>
      <c r="B306" s="125" t="s">
        <v>28</v>
      </c>
      <c r="C306" s="109" t="s">
        <v>256</v>
      </c>
      <c r="D306" s="108" t="s">
        <v>11</v>
      </c>
      <c r="E306" s="108" t="s">
        <v>51</v>
      </c>
      <c r="F306" s="108" t="s">
        <v>268</v>
      </c>
      <c r="G306" s="108" t="s">
        <v>29</v>
      </c>
      <c r="H306" s="126">
        <f>H307</f>
        <v>0</v>
      </c>
      <c r="L306" s="20">
        <v>1806</v>
      </c>
      <c r="M306" s="20">
        <v>1806</v>
      </c>
      <c r="N306" s="20">
        <v>1806</v>
      </c>
      <c r="O306" s="20">
        <f>H306-L306</f>
        <v>-1806</v>
      </c>
      <c r="P306" s="20" t="e">
        <f>#REF!-M306</f>
        <v>#REF!</v>
      </c>
      <c r="Q306" s="20" t="e">
        <f>#REF!-N306</f>
        <v>#REF!</v>
      </c>
      <c r="R306" s="17" t="str">
        <f t="shared" si="36"/>
        <v>11 Б 01 21120240</v>
      </c>
    </row>
    <row r="307" spans="1:18" s="29" customFormat="1" ht="15.75">
      <c r="A307" s="28"/>
      <c r="B307" s="125" t="s">
        <v>30</v>
      </c>
      <c r="C307" s="109" t="s">
        <v>256</v>
      </c>
      <c r="D307" s="108" t="s">
        <v>11</v>
      </c>
      <c r="E307" s="108" t="s">
        <v>51</v>
      </c>
      <c r="F307" s="108" t="s">
        <v>268</v>
      </c>
      <c r="G307" s="108" t="s">
        <v>31</v>
      </c>
      <c r="H307" s="126"/>
      <c r="L307" s="20"/>
      <c r="M307" s="20"/>
      <c r="N307" s="20"/>
      <c r="O307" s="20"/>
      <c r="P307" s="20"/>
      <c r="Q307" s="20"/>
      <c r="R307" s="17" t="str">
        <f t="shared" si="36"/>
        <v>11 Б 01 21120244</v>
      </c>
    </row>
    <row r="308" spans="1:18" s="29" customFormat="1" ht="78.75">
      <c r="A308" s="28"/>
      <c r="B308" s="138" t="s">
        <v>269</v>
      </c>
      <c r="C308" s="109" t="s">
        <v>256</v>
      </c>
      <c r="D308" s="108" t="s">
        <v>11</v>
      </c>
      <c r="E308" s="108" t="s">
        <v>51</v>
      </c>
      <c r="F308" s="108" t="s">
        <v>270</v>
      </c>
      <c r="G308" s="108" t="s">
        <v>9</v>
      </c>
      <c r="H308" s="126">
        <f t="shared" ref="H308:H309" si="37">H309</f>
        <v>0</v>
      </c>
      <c r="L308" s="20">
        <v>572.04</v>
      </c>
      <c r="M308" s="20">
        <v>572.04</v>
      </c>
      <c r="N308" s="20">
        <v>572.04</v>
      </c>
      <c r="O308" s="20">
        <f>H308-L308</f>
        <v>-572.04</v>
      </c>
      <c r="P308" s="20" t="e">
        <f>#REF!-M308</f>
        <v>#REF!</v>
      </c>
      <c r="Q308" s="20" t="e">
        <f>#REF!-N308</f>
        <v>#REF!</v>
      </c>
      <c r="R308" s="17" t="str">
        <f t="shared" si="36"/>
        <v>11 Б 03 00000000</v>
      </c>
    </row>
    <row r="309" spans="1:18" s="29" customFormat="1" ht="78.75">
      <c r="A309" s="28"/>
      <c r="B309" s="125" t="s">
        <v>271</v>
      </c>
      <c r="C309" s="109" t="s">
        <v>256</v>
      </c>
      <c r="D309" s="108" t="s">
        <v>11</v>
      </c>
      <c r="E309" s="108" t="s">
        <v>51</v>
      </c>
      <c r="F309" s="108" t="s">
        <v>272</v>
      </c>
      <c r="G309" s="108" t="s">
        <v>9</v>
      </c>
      <c r="H309" s="126">
        <f t="shared" si="37"/>
        <v>0</v>
      </c>
      <c r="L309" s="20">
        <v>572.04</v>
      </c>
      <c r="M309" s="20">
        <v>572.04</v>
      </c>
      <c r="N309" s="20">
        <v>572.04</v>
      </c>
      <c r="O309" s="20">
        <f>H309-L309</f>
        <v>-572.04</v>
      </c>
      <c r="P309" s="20" t="e">
        <f>#REF!-M309</f>
        <v>#REF!</v>
      </c>
      <c r="Q309" s="20" t="e">
        <f>#REF!-N309</f>
        <v>#REF!</v>
      </c>
      <c r="R309" s="17" t="str">
        <f t="shared" si="36"/>
        <v>11 Б 03 20340000</v>
      </c>
    </row>
    <row r="310" spans="1:18" s="29" customFormat="1" ht="31.5">
      <c r="A310" s="28"/>
      <c r="B310" s="125" t="s">
        <v>28</v>
      </c>
      <c r="C310" s="109" t="s">
        <v>256</v>
      </c>
      <c r="D310" s="108" t="s">
        <v>11</v>
      </c>
      <c r="E310" s="108" t="s">
        <v>51</v>
      </c>
      <c r="F310" s="108" t="s">
        <v>272</v>
      </c>
      <c r="G310" s="108" t="s">
        <v>29</v>
      </c>
      <c r="H310" s="126">
        <f>H311</f>
        <v>0</v>
      </c>
      <c r="L310" s="20">
        <v>572.04</v>
      </c>
      <c r="M310" s="20">
        <v>572.04</v>
      </c>
      <c r="N310" s="20">
        <v>572.04</v>
      </c>
      <c r="O310" s="20">
        <f>H310-L310</f>
        <v>-572.04</v>
      </c>
      <c r="P310" s="20" t="e">
        <f>#REF!-M310</f>
        <v>#REF!</v>
      </c>
      <c r="Q310" s="20" t="e">
        <f>#REF!-N310</f>
        <v>#REF!</v>
      </c>
      <c r="R310" s="17" t="str">
        <f t="shared" si="36"/>
        <v>11 Б 03 20340240</v>
      </c>
    </row>
    <row r="311" spans="1:18" s="29" customFormat="1" ht="15.75">
      <c r="A311" s="28"/>
      <c r="B311" s="125" t="s">
        <v>30</v>
      </c>
      <c r="C311" s="109" t="s">
        <v>256</v>
      </c>
      <c r="D311" s="108" t="s">
        <v>11</v>
      </c>
      <c r="E311" s="108" t="s">
        <v>51</v>
      </c>
      <c r="F311" s="108" t="s">
        <v>272</v>
      </c>
      <c r="G311" s="108" t="s">
        <v>31</v>
      </c>
      <c r="H311" s="126"/>
      <c r="L311" s="20"/>
      <c r="M311" s="20"/>
      <c r="N311" s="20"/>
      <c r="O311" s="20"/>
      <c r="P311" s="20"/>
      <c r="Q311" s="20"/>
      <c r="R311" s="17" t="str">
        <f t="shared" si="36"/>
        <v>11 Б 03 20340244</v>
      </c>
    </row>
    <row r="312" spans="1:18" s="16" customFormat="1" ht="47.25">
      <c r="A312" s="14"/>
      <c r="B312" s="127" t="s">
        <v>146</v>
      </c>
      <c r="C312" s="109" t="s">
        <v>256</v>
      </c>
      <c r="D312" s="130" t="s">
        <v>11</v>
      </c>
      <c r="E312" s="130">
        <v>13</v>
      </c>
      <c r="F312" s="130" t="s">
        <v>147</v>
      </c>
      <c r="G312" s="130" t="s">
        <v>9</v>
      </c>
      <c r="H312" s="134">
        <f>H313</f>
        <v>0</v>
      </c>
      <c r="L312" s="27">
        <v>3000</v>
      </c>
      <c r="M312" s="27">
        <v>0</v>
      </c>
      <c r="N312" s="27">
        <v>0</v>
      </c>
      <c r="O312" s="27">
        <f>H312-L312</f>
        <v>-3000</v>
      </c>
      <c r="P312" s="27" t="e">
        <f>#REF!-M312</f>
        <v>#REF!</v>
      </c>
      <c r="Q312" s="27" t="e">
        <f>#REF!-N312</f>
        <v>#REF!</v>
      </c>
      <c r="R312" s="17" t="str">
        <f t="shared" si="36"/>
        <v>15 0 00 00000000</v>
      </c>
    </row>
    <row r="313" spans="1:18" s="16" customFormat="1" ht="15.75">
      <c r="A313" s="14"/>
      <c r="B313" s="125" t="s">
        <v>148</v>
      </c>
      <c r="C313" s="109" t="s">
        <v>256</v>
      </c>
      <c r="D313" s="130" t="s">
        <v>11</v>
      </c>
      <c r="E313" s="130">
        <v>13</v>
      </c>
      <c r="F313" s="130" t="s">
        <v>149</v>
      </c>
      <c r="G313" s="130" t="s">
        <v>9</v>
      </c>
      <c r="H313" s="134">
        <f>H314</f>
        <v>0</v>
      </c>
      <c r="L313" s="27">
        <v>3000</v>
      </c>
      <c r="M313" s="27">
        <v>0</v>
      </c>
      <c r="N313" s="27">
        <v>0</v>
      </c>
      <c r="O313" s="27">
        <f>H313-L313</f>
        <v>-3000</v>
      </c>
      <c r="P313" s="27" t="e">
        <f>#REF!-M313</f>
        <v>#REF!</v>
      </c>
      <c r="Q313" s="27" t="e">
        <f>#REF!-N313</f>
        <v>#REF!</v>
      </c>
      <c r="R313" s="17" t="str">
        <f t="shared" si="36"/>
        <v>15 1 00 00000000</v>
      </c>
    </row>
    <row r="314" spans="1:18" s="16" customFormat="1" ht="47.25">
      <c r="A314" s="14"/>
      <c r="B314" s="135" t="s">
        <v>273</v>
      </c>
      <c r="C314" s="109" t="s">
        <v>256</v>
      </c>
      <c r="D314" s="130" t="s">
        <v>11</v>
      </c>
      <c r="E314" s="130">
        <v>13</v>
      </c>
      <c r="F314" s="130" t="s">
        <v>274</v>
      </c>
      <c r="G314" s="130" t="s">
        <v>9</v>
      </c>
      <c r="H314" s="134">
        <f>H315+H318</f>
        <v>0</v>
      </c>
      <c r="L314" s="27">
        <v>3000</v>
      </c>
      <c r="M314" s="27">
        <v>0</v>
      </c>
      <c r="N314" s="27">
        <v>0</v>
      </c>
      <c r="O314" s="27">
        <f>H314-L314</f>
        <v>-3000</v>
      </c>
      <c r="P314" s="27" t="e">
        <f>#REF!-M314</f>
        <v>#REF!</v>
      </c>
      <c r="Q314" s="27" t="e">
        <f>#REF!-N314</f>
        <v>#REF!</v>
      </c>
      <c r="R314" s="17" t="str">
        <f t="shared" si="36"/>
        <v>15 1 02 00000000</v>
      </c>
    </row>
    <row r="315" spans="1:18" s="16" customFormat="1" ht="47.25">
      <c r="A315" s="14"/>
      <c r="B315" s="135" t="s">
        <v>152</v>
      </c>
      <c r="C315" s="109" t="s">
        <v>256</v>
      </c>
      <c r="D315" s="130" t="s">
        <v>11</v>
      </c>
      <c r="E315" s="130">
        <v>13</v>
      </c>
      <c r="F315" s="130" t="s">
        <v>275</v>
      </c>
      <c r="G315" s="130" t="s">
        <v>9</v>
      </c>
      <c r="H315" s="134">
        <f t="shared" ref="H315" si="38">H316</f>
        <v>0</v>
      </c>
      <c r="L315" s="27">
        <v>3000</v>
      </c>
      <c r="M315" s="27">
        <v>0</v>
      </c>
      <c r="N315" s="27">
        <v>0</v>
      </c>
      <c r="O315" s="27">
        <f>H315-L315</f>
        <v>-3000</v>
      </c>
      <c r="P315" s="27" t="e">
        <f>#REF!-M315</f>
        <v>#REF!</v>
      </c>
      <c r="Q315" s="27" t="e">
        <f>#REF!-N315</f>
        <v>#REF!</v>
      </c>
      <c r="R315" s="17" t="str">
        <f t="shared" si="36"/>
        <v>15 1 02 20350000</v>
      </c>
    </row>
    <row r="316" spans="1:18" s="16" customFormat="1" ht="31.5">
      <c r="A316" s="14"/>
      <c r="B316" s="135" t="s">
        <v>28</v>
      </c>
      <c r="C316" s="109" t="s">
        <v>256</v>
      </c>
      <c r="D316" s="130" t="s">
        <v>11</v>
      </c>
      <c r="E316" s="130">
        <v>13</v>
      </c>
      <c r="F316" s="130" t="s">
        <v>275</v>
      </c>
      <c r="G316" s="130" t="s">
        <v>29</v>
      </c>
      <c r="H316" s="126">
        <f>H317</f>
        <v>0</v>
      </c>
      <c r="L316" s="20">
        <v>3000</v>
      </c>
      <c r="M316" s="20">
        <v>0</v>
      </c>
      <c r="N316" s="20">
        <v>0</v>
      </c>
      <c r="O316" s="20">
        <f>H316-L316</f>
        <v>-3000</v>
      </c>
      <c r="P316" s="20" t="e">
        <f>#REF!-M316</f>
        <v>#REF!</v>
      </c>
      <c r="Q316" s="20" t="e">
        <f>#REF!-N316</f>
        <v>#REF!</v>
      </c>
      <c r="R316" s="17" t="str">
        <f t="shared" si="36"/>
        <v>15 1 02 20350240</v>
      </c>
    </row>
    <row r="317" spans="1:18" s="16" customFormat="1" ht="15.75">
      <c r="A317" s="14"/>
      <c r="B317" s="125" t="s">
        <v>30</v>
      </c>
      <c r="C317" s="109" t="s">
        <v>256</v>
      </c>
      <c r="D317" s="130" t="s">
        <v>11</v>
      </c>
      <c r="E317" s="130">
        <v>13</v>
      </c>
      <c r="F317" s="130" t="s">
        <v>275</v>
      </c>
      <c r="G317" s="130" t="s">
        <v>31</v>
      </c>
      <c r="H317" s="126"/>
      <c r="L317" s="20"/>
      <c r="M317" s="20"/>
      <c r="N317" s="20"/>
      <c r="O317" s="20"/>
      <c r="P317" s="20"/>
      <c r="Q317" s="20"/>
      <c r="R317" s="17" t="str">
        <f t="shared" si="36"/>
        <v>15 1 02 20350244</v>
      </c>
    </row>
    <row r="318" spans="1:18" s="16" customFormat="1" ht="63">
      <c r="A318" s="14"/>
      <c r="B318" s="135" t="s">
        <v>1039</v>
      </c>
      <c r="C318" s="109" t="s">
        <v>256</v>
      </c>
      <c r="D318" s="130" t="s">
        <v>11</v>
      </c>
      <c r="E318" s="130">
        <v>13</v>
      </c>
      <c r="F318" s="130" t="s">
        <v>1040</v>
      </c>
      <c r="G318" s="130" t="s">
        <v>9</v>
      </c>
      <c r="H318" s="126">
        <f>H319</f>
        <v>0</v>
      </c>
      <c r="L318" s="20"/>
      <c r="M318" s="20"/>
      <c r="N318" s="20"/>
      <c r="O318" s="20"/>
      <c r="P318" s="20"/>
      <c r="Q318" s="20"/>
      <c r="R318" s="17"/>
    </row>
    <row r="319" spans="1:18" s="16" customFormat="1" ht="31.5">
      <c r="A319" s="14"/>
      <c r="B319" s="135" t="s">
        <v>28</v>
      </c>
      <c r="C319" s="109" t="s">
        <v>256</v>
      </c>
      <c r="D319" s="130" t="s">
        <v>11</v>
      </c>
      <c r="E319" s="130">
        <v>13</v>
      </c>
      <c r="F319" s="130" t="s">
        <v>1040</v>
      </c>
      <c r="G319" s="130" t="s">
        <v>29</v>
      </c>
      <c r="H319" s="126">
        <f>H320</f>
        <v>0</v>
      </c>
      <c r="L319" s="20"/>
      <c r="M319" s="20"/>
      <c r="N319" s="20"/>
      <c r="O319" s="20"/>
      <c r="P319" s="20"/>
      <c r="Q319" s="20"/>
      <c r="R319" s="17"/>
    </row>
    <row r="320" spans="1:18" s="16" customFormat="1" ht="15.75">
      <c r="A320" s="14"/>
      <c r="B320" s="135" t="s">
        <v>30</v>
      </c>
      <c r="C320" s="109" t="s">
        <v>256</v>
      </c>
      <c r="D320" s="130" t="s">
        <v>11</v>
      </c>
      <c r="E320" s="130">
        <v>13</v>
      </c>
      <c r="F320" s="130" t="s">
        <v>1040</v>
      </c>
      <c r="G320" s="108" t="s">
        <v>31</v>
      </c>
      <c r="H320" s="126"/>
      <c r="L320" s="20"/>
      <c r="M320" s="20"/>
      <c r="N320" s="20"/>
      <c r="O320" s="20"/>
      <c r="P320" s="20"/>
      <c r="Q320" s="20"/>
      <c r="R320" s="17"/>
    </row>
    <row r="321" spans="1:18" s="29" customFormat="1" ht="31.5">
      <c r="A321" s="28"/>
      <c r="B321" s="125" t="s">
        <v>276</v>
      </c>
      <c r="C321" s="109" t="s">
        <v>256</v>
      </c>
      <c r="D321" s="108" t="s">
        <v>11</v>
      </c>
      <c r="E321" s="108" t="s">
        <v>51</v>
      </c>
      <c r="F321" s="108" t="s">
        <v>277</v>
      </c>
      <c r="G321" s="108" t="s">
        <v>9</v>
      </c>
      <c r="H321" s="126">
        <f>H322</f>
        <v>0</v>
      </c>
      <c r="L321" s="20">
        <v>70614.459999999992</v>
      </c>
      <c r="M321" s="20">
        <v>69509.459999999992</v>
      </c>
      <c r="N321" s="20">
        <v>69509.459999999992</v>
      </c>
      <c r="O321" s="20">
        <f>H321-L321</f>
        <v>-70614.459999999992</v>
      </c>
      <c r="P321" s="20" t="e">
        <f>#REF!-M321</f>
        <v>#REF!</v>
      </c>
      <c r="Q321" s="20" t="e">
        <f>#REF!-N321</f>
        <v>#REF!</v>
      </c>
      <c r="R321" s="17" t="str">
        <f t="shared" si="36"/>
        <v>72 0 00 00000000</v>
      </c>
    </row>
    <row r="322" spans="1:18" s="29" customFormat="1" ht="47.25">
      <c r="A322" s="28"/>
      <c r="B322" s="125" t="s">
        <v>278</v>
      </c>
      <c r="C322" s="109" t="s">
        <v>256</v>
      </c>
      <c r="D322" s="108" t="s">
        <v>11</v>
      </c>
      <c r="E322" s="108" t="s">
        <v>51</v>
      </c>
      <c r="F322" s="108" t="s">
        <v>279</v>
      </c>
      <c r="G322" s="108" t="s">
        <v>9</v>
      </c>
      <c r="H322" s="126">
        <f>H333+H323</f>
        <v>0</v>
      </c>
      <c r="L322" s="20">
        <v>70614.459999999992</v>
      </c>
      <c r="M322" s="20">
        <v>69509.459999999992</v>
      </c>
      <c r="N322" s="20">
        <v>69509.459999999992</v>
      </c>
      <c r="O322" s="20">
        <f>H322-L322</f>
        <v>-70614.459999999992</v>
      </c>
      <c r="P322" s="20" t="e">
        <f>#REF!-M322</f>
        <v>#REF!</v>
      </c>
      <c r="Q322" s="20" t="e">
        <f>#REF!-N322</f>
        <v>#REF!</v>
      </c>
      <c r="R322" s="17" t="str">
        <f t="shared" si="36"/>
        <v>72 1 00 00000000</v>
      </c>
    </row>
    <row r="323" spans="1:18" s="29" customFormat="1" ht="31.5">
      <c r="A323" s="28"/>
      <c r="B323" s="125" t="s">
        <v>18</v>
      </c>
      <c r="C323" s="109" t="s">
        <v>256</v>
      </c>
      <c r="D323" s="108" t="s">
        <v>11</v>
      </c>
      <c r="E323" s="108" t="s">
        <v>51</v>
      </c>
      <c r="F323" s="108" t="s">
        <v>280</v>
      </c>
      <c r="G323" s="108" t="s">
        <v>9</v>
      </c>
      <c r="H323" s="126">
        <f>H324+H327+H329</f>
        <v>0</v>
      </c>
      <c r="L323" s="20">
        <v>11702.940000000002</v>
      </c>
      <c r="M323" s="20">
        <v>10597.939999999999</v>
      </c>
      <c r="N323" s="20">
        <v>10597.939999999999</v>
      </c>
      <c r="O323" s="20">
        <f>H323-L323</f>
        <v>-11702.940000000002</v>
      </c>
      <c r="P323" s="20" t="e">
        <f>#REF!-M323</f>
        <v>#REF!</v>
      </c>
      <c r="Q323" s="20" t="e">
        <f>#REF!-N323</f>
        <v>#REF!</v>
      </c>
      <c r="R323" s="17" t="str">
        <f t="shared" si="36"/>
        <v>72 1 00 10010000</v>
      </c>
    </row>
    <row r="324" spans="1:18" s="29" customFormat="1" ht="31.5">
      <c r="A324" s="28"/>
      <c r="B324" s="127" t="s">
        <v>20</v>
      </c>
      <c r="C324" s="109" t="s">
        <v>256</v>
      </c>
      <c r="D324" s="108" t="s">
        <v>11</v>
      </c>
      <c r="E324" s="108" t="s">
        <v>51</v>
      </c>
      <c r="F324" s="108" t="s">
        <v>280</v>
      </c>
      <c r="G324" s="108" t="s">
        <v>21</v>
      </c>
      <c r="H324" s="126">
        <f>SUM(H325:H326)</f>
        <v>0</v>
      </c>
      <c r="L324" s="20">
        <v>1571.79</v>
      </c>
      <c r="M324" s="20">
        <v>1571.79</v>
      </c>
      <c r="N324" s="20">
        <v>1571.79</v>
      </c>
      <c r="O324" s="20">
        <f>H324-L324</f>
        <v>-1571.79</v>
      </c>
      <c r="P324" s="20" t="e">
        <f>#REF!-M324</f>
        <v>#REF!</v>
      </c>
      <c r="Q324" s="20" t="e">
        <f>#REF!-N324</f>
        <v>#REF!</v>
      </c>
      <c r="R324" s="17" t="str">
        <f t="shared" si="36"/>
        <v>72 1 00 10010120</v>
      </c>
    </row>
    <row r="325" spans="1:18" s="31" customFormat="1" ht="47.25">
      <c r="A325" s="30"/>
      <c r="B325" s="127" t="s">
        <v>22</v>
      </c>
      <c r="C325" s="109" t="s">
        <v>256</v>
      </c>
      <c r="D325" s="108" t="s">
        <v>11</v>
      </c>
      <c r="E325" s="108" t="s">
        <v>51</v>
      </c>
      <c r="F325" s="108" t="s">
        <v>280</v>
      </c>
      <c r="G325" s="108" t="s">
        <v>23</v>
      </c>
      <c r="H325" s="126"/>
      <c r="L325" s="22"/>
      <c r="M325" s="22"/>
      <c r="N325" s="22"/>
      <c r="O325" s="22"/>
      <c r="P325" s="22"/>
      <c r="Q325" s="22"/>
      <c r="R325" s="24"/>
    </row>
    <row r="326" spans="1:18" s="31" customFormat="1" ht="63">
      <c r="A326" s="30"/>
      <c r="B326" s="127" t="s">
        <v>26</v>
      </c>
      <c r="C326" s="109" t="s">
        <v>256</v>
      </c>
      <c r="D326" s="108" t="s">
        <v>11</v>
      </c>
      <c r="E326" s="108" t="s">
        <v>51</v>
      </c>
      <c r="F326" s="108" t="s">
        <v>280</v>
      </c>
      <c r="G326" s="108" t="s">
        <v>27</v>
      </c>
      <c r="H326" s="126"/>
      <c r="L326" s="22"/>
      <c r="M326" s="22"/>
      <c r="N326" s="22"/>
      <c r="O326" s="22"/>
      <c r="P326" s="22"/>
      <c r="Q326" s="22"/>
      <c r="R326" s="24"/>
    </row>
    <row r="327" spans="1:18" s="29" customFormat="1" ht="31.5">
      <c r="A327" s="28"/>
      <c r="B327" s="125" t="s">
        <v>28</v>
      </c>
      <c r="C327" s="109" t="s">
        <v>256</v>
      </c>
      <c r="D327" s="108" t="s">
        <v>11</v>
      </c>
      <c r="E327" s="108" t="s">
        <v>51</v>
      </c>
      <c r="F327" s="108" t="s">
        <v>280</v>
      </c>
      <c r="G327" s="108" t="s">
        <v>29</v>
      </c>
      <c r="H327" s="126">
        <f>H328</f>
        <v>0</v>
      </c>
      <c r="L327" s="20">
        <v>10021.450000000001</v>
      </c>
      <c r="M327" s="20">
        <v>8947.15</v>
      </c>
      <c r="N327" s="20">
        <v>8947.15</v>
      </c>
      <c r="O327" s="20">
        <f>H327-L327</f>
        <v>-10021.450000000001</v>
      </c>
      <c r="P327" s="20" t="e">
        <f>#REF!-M327</f>
        <v>#REF!</v>
      </c>
      <c r="Q327" s="20" t="e">
        <f>#REF!-N327</f>
        <v>#REF!</v>
      </c>
      <c r="R327" s="17" t="str">
        <f t="shared" si="36"/>
        <v>72 1 00 10010240</v>
      </c>
    </row>
    <row r="328" spans="1:18" s="29" customFormat="1" ht="15.75">
      <c r="A328" s="28"/>
      <c r="B328" s="125" t="s">
        <v>30</v>
      </c>
      <c r="C328" s="109" t="s">
        <v>256</v>
      </c>
      <c r="D328" s="108" t="s">
        <v>11</v>
      </c>
      <c r="E328" s="108" t="s">
        <v>51</v>
      </c>
      <c r="F328" s="108" t="s">
        <v>280</v>
      </c>
      <c r="G328" s="108" t="s">
        <v>31</v>
      </c>
      <c r="H328" s="126"/>
      <c r="L328" s="20"/>
      <c r="M328" s="20"/>
      <c r="N328" s="20"/>
      <c r="O328" s="20"/>
      <c r="P328" s="20"/>
      <c r="Q328" s="20"/>
      <c r="R328" s="17"/>
    </row>
    <row r="329" spans="1:18" s="29" customFormat="1" ht="15.75">
      <c r="A329" s="28"/>
      <c r="B329" s="125" t="s">
        <v>32</v>
      </c>
      <c r="C329" s="109" t="s">
        <v>256</v>
      </c>
      <c r="D329" s="108" t="s">
        <v>11</v>
      </c>
      <c r="E329" s="108" t="s">
        <v>51</v>
      </c>
      <c r="F329" s="108" t="s">
        <v>280</v>
      </c>
      <c r="G329" s="108" t="s">
        <v>33</v>
      </c>
      <c r="H329" s="126">
        <f>SUM(H330:H332)</f>
        <v>0</v>
      </c>
      <c r="L329" s="20">
        <v>109.7</v>
      </c>
      <c r="M329" s="20">
        <v>79</v>
      </c>
      <c r="N329" s="20">
        <v>79</v>
      </c>
      <c r="O329" s="20">
        <f>H329-L329</f>
        <v>-109.7</v>
      </c>
      <c r="P329" s="20" t="e">
        <f>#REF!-M329</f>
        <v>#REF!</v>
      </c>
      <c r="Q329" s="20" t="e">
        <f>#REF!-N329</f>
        <v>#REF!</v>
      </c>
      <c r="R329" s="17" t="str">
        <f t="shared" si="36"/>
        <v>72 1 00 10010850</v>
      </c>
    </row>
    <row r="330" spans="1:18" s="31" customFormat="1" ht="31.5">
      <c r="A330" s="30"/>
      <c r="B330" s="127" t="s">
        <v>34</v>
      </c>
      <c r="C330" s="109" t="s">
        <v>256</v>
      </c>
      <c r="D330" s="108" t="s">
        <v>11</v>
      </c>
      <c r="E330" s="108" t="s">
        <v>51</v>
      </c>
      <c r="F330" s="108" t="s">
        <v>280</v>
      </c>
      <c r="G330" s="108" t="s">
        <v>35</v>
      </c>
      <c r="H330" s="126"/>
      <c r="L330" s="22"/>
      <c r="M330" s="22"/>
      <c r="N330" s="22"/>
      <c r="O330" s="22"/>
      <c r="P330" s="22"/>
      <c r="Q330" s="22"/>
      <c r="R330" s="24"/>
    </row>
    <row r="331" spans="1:18" s="31" customFormat="1" ht="15.75">
      <c r="A331" s="30"/>
      <c r="B331" s="127" t="s">
        <v>36</v>
      </c>
      <c r="C331" s="109" t="s">
        <v>256</v>
      </c>
      <c r="D331" s="108" t="s">
        <v>11</v>
      </c>
      <c r="E331" s="108" t="s">
        <v>51</v>
      </c>
      <c r="F331" s="108" t="s">
        <v>280</v>
      </c>
      <c r="G331" s="108" t="s">
        <v>37</v>
      </c>
      <c r="H331" s="126"/>
      <c r="L331" s="22"/>
      <c r="M331" s="22"/>
      <c r="N331" s="22"/>
      <c r="O331" s="22"/>
      <c r="P331" s="22"/>
      <c r="Q331" s="22"/>
      <c r="R331" s="24"/>
    </row>
    <row r="332" spans="1:18" s="31" customFormat="1" ht="15.75">
      <c r="A332" s="30"/>
      <c r="B332" s="127" t="s">
        <v>77</v>
      </c>
      <c r="C332" s="109" t="s">
        <v>256</v>
      </c>
      <c r="D332" s="108" t="s">
        <v>11</v>
      </c>
      <c r="E332" s="108" t="s">
        <v>51</v>
      </c>
      <c r="F332" s="108" t="s">
        <v>280</v>
      </c>
      <c r="G332" s="108" t="s">
        <v>78</v>
      </c>
      <c r="H332" s="126"/>
      <c r="L332" s="22"/>
      <c r="M332" s="22"/>
      <c r="N332" s="22"/>
      <c r="O332" s="22"/>
      <c r="P332" s="22"/>
      <c r="Q332" s="22"/>
      <c r="R332" s="24"/>
    </row>
    <row r="333" spans="1:18" s="29" customFormat="1" ht="31.5">
      <c r="A333" s="28"/>
      <c r="B333" s="125" t="s">
        <v>38</v>
      </c>
      <c r="C333" s="109" t="s">
        <v>256</v>
      </c>
      <c r="D333" s="108" t="s">
        <v>11</v>
      </c>
      <c r="E333" s="108" t="s">
        <v>51</v>
      </c>
      <c r="F333" s="108" t="s">
        <v>281</v>
      </c>
      <c r="G333" s="108" t="s">
        <v>9</v>
      </c>
      <c r="H333" s="126">
        <f>SUM(H334:H334)</f>
        <v>0</v>
      </c>
      <c r="L333" s="20">
        <v>58911.519999999997</v>
      </c>
      <c r="M333" s="20">
        <v>58911.519999999997</v>
      </c>
      <c r="N333" s="20">
        <v>58911.519999999997</v>
      </c>
      <c r="O333" s="20">
        <f>H333-L333</f>
        <v>-58911.519999999997</v>
      </c>
      <c r="P333" s="20" t="e">
        <f>#REF!-M333</f>
        <v>#REF!</v>
      </c>
      <c r="Q333" s="20" t="e">
        <f>#REF!-N333</f>
        <v>#REF!</v>
      </c>
      <c r="R333" s="17" t="str">
        <f t="shared" si="36"/>
        <v>72 1 00 10020000</v>
      </c>
    </row>
    <row r="334" spans="1:18" s="29" customFormat="1" ht="31.5">
      <c r="A334" s="28"/>
      <c r="B334" s="127" t="s">
        <v>20</v>
      </c>
      <c r="C334" s="109" t="s">
        <v>256</v>
      </c>
      <c r="D334" s="108" t="s">
        <v>11</v>
      </c>
      <c r="E334" s="108" t="s">
        <v>51</v>
      </c>
      <c r="F334" s="108" t="s">
        <v>281</v>
      </c>
      <c r="G334" s="108" t="s">
        <v>21</v>
      </c>
      <c r="H334" s="126">
        <f>SUM(H335:H336)</f>
        <v>0</v>
      </c>
      <c r="L334" s="20">
        <v>58911.519999999997</v>
      </c>
      <c r="M334" s="20">
        <v>58911.519999999997</v>
      </c>
      <c r="N334" s="20">
        <v>58911.519999999997</v>
      </c>
      <c r="O334" s="20">
        <f>H334-L334</f>
        <v>-58911.519999999997</v>
      </c>
      <c r="P334" s="20" t="e">
        <f>#REF!-M334</f>
        <v>#REF!</v>
      </c>
      <c r="Q334" s="20" t="e">
        <f>#REF!-N334</f>
        <v>#REF!</v>
      </c>
      <c r="R334" s="17" t="str">
        <f t="shared" si="36"/>
        <v>72 1 00 10020120</v>
      </c>
    </row>
    <row r="335" spans="1:18" s="31" customFormat="1" ht="31.5">
      <c r="A335" s="30"/>
      <c r="B335" s="127" t="s">
        <v>40</v>
      </c>
      <c r="C335" s="109" t="s">
        <v>256</v>
      </c>
      <c r="D335" s="108" t="s">
        <v>11</v>
      </c>
      <c r="E335" s="108" t="s">
        <v>51</v>
      </c>
      <c r="F335" s="108" t="s">
        <v>281</v>
      </c>
      <c r="G335" s="108" t="s">
        <v>41</v>
      </c>
      <c r="H335" s="126"/>
      <c r="L335" s="22"/>
      <c r="M335" s="22"/>
      <c r="N335" s="22"/>
      <c r="O335" s="22"/>
      <c r="P335" s="22"/>
      <c r="Q335" s="22"/>
      <c r="R335" s="24"/>
    </row>
    <row r="336" spans="1:18" s="31" customFormat="1" ht="63">
      <c r="A336" s="30"/>
      <c r="B336" s="127" t="s">
        <v>26</v>
      </c>
      <c r="C336" s="109" t="s">
        <v>256</v>
      </c>
      <c r="D336" s="108" t="s">
        <v>11</v>
      </c>
      <c r="E336" s="108" t="s">
        <v>51</v>
      </c>
      <c r="F336" s="108" t="s">
        <v>281</v>
      </c>
      <c r="G336" s="108" t="s">
        <v>27</v>
      </c>
      <c r="H336" s="126"/>
      <c r="L336" s="22"/>
      <c r="M336" s="22"/>
      <c r="N336" s="22"/>
      <c r="O336" s="22"/>
      <c r="P336" s="22"/>
      <c r="Q336" s="22"/>
      <c r="R336" s="24"/>
    </row>
    <row r="337" spans="1:18" s="29" customFormat="1" ht="63">
      <c r="A337" s="28"/>
      <c r="B337" s="138" t="s">
        <v>87</v>
      </c>
      <c r="C337" s="109" t="s">
        <v>256</v>
      </c>
      <c r="D337" s="108" t="s">
        <v>11</v>
      </c>
      <c r="E337" s="108" t="s">
        <v>51</v>
      </c>
      <c r="F337" s="108" t="s">
        <v>88</v>
      </c>
      <c r="G337" s="108" t="s">
        <v>9</v>
      </c>
      <c r="H337" s="126">
        <f>H338</f>
        <v>0</v>
      </c>
      <c r="L337" s="20">
        <v>268</v>
      </c>
      <c r="M337" s="20">
        <v>0</v>
      </c>
      <c r="N337" s="20">
        <v>0</v>
      </c>
      <c r="O337" s="20">
        <f>H337-L337</f>
        <v>-268</v>
      </c>
      <c r="P337" s="20" t="e">
        <f>#REF!-M337</f>
        <v>#REF!</v>
      </c>
      <c r="Q337" s="20" t="e">
        <f>#REF!-N337</f>
        <v>#REF!</v>
      </c>
      <c r="R337" s="17" t="str">
        <f t="shared" si="36"/>
        <v>98 0 00 00000000</v>
      </c>
    </row>
    <row r="338" spans="1:18" s="29" customFormat="1" ht="15.75">
      <c r="A338" s="28"/>
      <c r="B338" s="138" t="s">
        <v>89</v>
      </c>
      <c r="C338" s="109" t="s">
        <v>256</v>
      </c>
      <c r="D338" s="108" t="s">
        <v>11</v>
      </c>
      <c r="E338" s="108" t="s">
        <v>51</v>
      </c>
      <c r="F338" s="108" t="s">
        <v>90</v>
      </c>
      <c r="G338" s="108" t="s">
        <v>9</v>
      </c>
      <c r="H338" s="126">
        <f>H339</f>
        <v>0</v>
      </c>
      <c r="L338" s="20">
        <v>268</v>
      </c>
      <c r="M338" s="20">
        <v>0</v>
      </c>
      <c r="N338" s="20">
        <v>0</v>
      </c>
      <c r="O338" s="20">
        <f>H338-L338</f>
        <v>-268</v>
      </c>
      <c r="P338" s="20" t="e">
        <f>#REF!-M338</f>
        <v>#REF!</v>
      </c>
      <c r="Q338" s="20" t="e">
        <f>#REF!-N338</f>
        <v>#REF!</v>
      </c>
      <c r="R338" s="17" t="str">
        <f t="shared" si="36"/>
        <v>98 1 00 00000000</v>
      </c>
    </row>
    <row r="339" spans="1:18" s="29" customFormat="1" ht="31.5">
      <c r="A339" s="28"/>
      <c r="B339" s="138" t="s">
        <v>282</v>
      </c>
      <c r="C339" s="109" t="s">
        <v>256</v>
      </c>
      <c r="D339" s="108" t="s">
        <v>11</v>
      </c>
      <c r="E339" s="108" t="s">
        <v>51</v>
      </c>
      <c r="F339" s="108" t="s">
        <v>283</v>
      </c>
      <c r="G339" s="108" t="s">
        <v>9</v>
      </c>
      <c r="H339" s="126">
        <f>H340</f>
        <v>0</v>
      </c>
      <c r="L339" s="20">
        <v>268</v>
      </c>
      <c r="M339" s="20">
        <v>0</v>
      </c>
      <c r="N339" s="20">
        <v>0</v>
      </c>
      <c r="O339" s="20">
        <f>H339-L339</f>
        <v>-268</v>
      </c>
      <c r="P339" s="20" t="e">
        <f>#REF!-M339</f>
        <v>#REF!</v>
      </c>
      <c r="Q339" s="20" t="e">
        <f>#REF!-N339</f>
        <v>#REF!</v>
      </c>
      <c r="R339" s="17" t="str">
        <f t="shared" si="36"/>
        <v>98 1 00 21350000</v>
      </c>
    </row>
    <row r="340" spans="1:18" s="29" customFormat="1" ht="15.75">
      <c r="A340" s="28"/>
      <c r="B340" s="138" t="s">
        <v>189</v>
      </c>
      <c r="C340" s="109" t="s">
        <v>256</v>
      </c>
      <c r="D340" s="108" t="s">
        <v>11</v>
      </c>
      <c r="E340" s="108" t="s">
        <v>51</v>
      </c>
      <c r="F340" s="108" t="s">
        <v>283</v>
      </c>
      <c r="G340" s="108" t="s">
        <v>190</v>
      </c>
      <c r="H340" s="126">
        <f>H341</f>
        <v>0</v>
      </c>
      <c r="L340" s="20">
        <v>268</v>
      </c>
      <c r="M340" s="20">
        <v>0</v>
      </c>
      <c r="N340" s="20">
        <v>0</v>
      </c>
      <c r="O340" s="20">
        <f>H340-L340</f>
        <v>-268</v>
      </c>
      <c r="P340" s="20" t="e">
        <f>#REF!-M340</f>
        <v>#REF!</v>
      </c>
      <c r="Q340" s="20" t="e">
        <f>#REF!-N340</f>
        <v>#REF!</v>
      </c>
      <c r="R340" s="17" t="str">
        <f t="shared" si="36"/>
        <v>98 1 00 21350830</v>
      </c>
    </row>
    <row r="341" spans="1:18" s="29" customFormat="1" ht="47.25">
      <c r="A341" s="28"/>
      <c r="B341" s="138" t="s">
        <v>191</v>
      </c>
      <c r="C341" s="109" t="s">
        <v>256</v>
      </c>
      <c r="D341" s="108" t="s">
        <v>11</v>
      </c>
      <c r="E341" s="108" t="s">
        <v>51</v>
      </c>
      <c r="F341" s="108" t="s">
        <v>283</v>
      </c>
      <c r="G341" s="108" t="s">
        <v>192</v>
      </c>
      <c r="H341" s="126"/>
      <c r="L341" s="20"/>
      <c r="M341" s="20"/>
      <c r="N341" s="20"/>
      <c r="O341" s="20"/>
      <c r="P341" s="20"/>
      <c r="Q341" s="20"/>
      <c r="R341" s="17"/>
    </row>
    <row r="342" spans="1:18" s="29" customFormat="1" ht="15.75">
      <c r="A342" s="28"/>
      <c r="B342" s="117" t="s">
        <v>195</v>
      </c>
      <c r="C342" s="118" t="s">
        <v>256</v>
      </c>
      <c r="D342" s="119" t="s">
        <v>73</v>
      </c>
      <c r="E342" s="119" t="s">
        <v>7</v>
      </c>
      <c r="F342" s="119" t="s">
        <v>8</v>
      </c>
      <c r="G342" s="119" t="s">
        <v>9</v>
      </c>
      <c r="H342" s="120">
        <f>H343</f>
        <v>0</v>
      </c>
      <c r="L342" s="18">
        <v>43269.74</v>
      </c>
      <c r="M342" s="18">
        <v>792</v>
      </c>
      <c r="N342" s="18">
        <v>792</v>
      </c>
      <c r="O342" s="18">
        <f t="shared" ref="O342:O348" si="39">H342-L342</f>
        <v>-43269.74</v>
      </c>
      <c r="P342" s="18" t="e">
        <f>#REF!-M342</f>
        <v>#REF!</v>
      </c>
      <c r="Q342" s="18" t="e">
        <f>#REF!-N342</f>
        <v>#REF!</v>
      </c>
      <c r="R342" s="17" t="str">
        <f t="shared" si="36"/>
        <v>00 0 00 00000000</v>
      </c>
    </row>
    <row r="343" spans="1:18" s="29" customFormat="1" ht="15.75">
      <c r="A343" s="28"/>
      <c r="B343" s="121" t="s">
        <v>284</v>
      </c>
      <c r="C343" s="122" t="s">
        <v>256</v>
      </c>
      <c r="D343" s="123" t="s">
        <v>73</v>
      </c>
      <c r="E343" s="123" t="s">
        <v>57</v>
      </c>
      <c r="F343" s="139" t="s">
        <v>8</v>
      </c>
      <c r="G343" s="139" t="s">
        <v>9</v>
      </c>
      <c r="H343" s="124">
        <f>H344+H356+H350</f>
        <v>0</v>
      </c>
      <c r="L343" s="19">
        <v>43269.74</v>
      </c>
      <c r="M343" s="19">
        <v>792</v>
      </c>
      <c r="N343" s="19">
        <v>792</v>
      </c>
      <c r="O343" s="19">
        <f t="shared" si="39"/>
        <v>-43269.74</v>
      </c>
      <c r="P343" s="19" t="e">
        <f>#REF!-M343</f>
        <v>#REF!</v>
      </c>
      <c r="Q343" s="19" t="e">
        <f>#REF!-N343</f>
        <v>#REF!</v>
      </c>
      <c r="R343" s="17" t="str">
        <f t="shared" si="36"/>
        <v>00 0 00 00000000</v>
      </c>
    </row>
    <row r="344" spans="1:18" s="29" customFormat="1" ht="63">
      <c r="A344" s="28"/>
      <c r="B344" s="135" t="s">
        <v>285</v>
      </c>
      <c r="C344" s="109" t="s">
        <v>256</v>
      </c>
      <c r="D344" s="108" t="s">
        <v>73</v>
      </c>
      <c r="E344" s="108" t="s">
        <v>57</v>
      </c>
      <c r="F344" s="108" t="s">
        <v>286</v>
      </c>
      <c r="G344" s="108" t="s">
        <v>9</v>
      </c>
      <c r="H344" s="126">
        <f t="shared" ref="H344:H346" si="40">H345</f>
        <v>0</v>
      </c>
      <c r="L344" s="20">
        <v>180</v>
      </c>
      <c r="M344" s="20">
        <v>180</v>
      </c>
      <c r="N344" s="20">
        <v>180</v>
      </c>
      <c r="O344" s="20">
        <f t="shared" si="39"/>
        <v>-180</v>
      </c>
      <c r="P344" s="20" t="e">
        <f>#REF!-M344</f>
        <v>#REF!</v>
      </c>
      <c r="Q344" s="20" t="e">
        <f>#REF!-N344</f>
        <v>#REF!</v>
      </c>
      <c r="R344" s="17" t="str">
        <f t="shared" si="36"/>
        <v>02 0 00 00000000</v>
      </c>
    </row>
    <row r="345" spans="1:18" s="29" customFormat="1" ht="78.75">
      <c r="A345" s="28"/>
      <c r="B345" s="125" t="s">
        <v>287</v>
      </c>
      <c r="C345" s="109" t="s">
        <v>256</v>
      </c>
      <c r="D345" s="108" t="s">
        <v>73</v>
      </c>
      <c r="E345" s="108" t="s">
        <v>57</v>
      </c>
      <c r="F345" s="108" t="s">
        <v>288</v>
      </c>
      <c r="G345" s="108" t="s">
        <v>9</v>
      </c>
      <c r="H345" s="126">
        <f t="shared" si="40"/>
        <v>0</v>
      </c>
      <c r="L345" s="20">
        <v>180</v>
      </c>
      <c r="M345" s="20">
        <v>180</v>
      </c>
      <c r="N345" s="20">
        <v>180</v>
      </c>
      <c r="O345" s="20">
        <f t="shared" si="39"/>
        <v>-180</v>
      </c>
      <c r="P345" s="20" t="e">
        <f>#REF!-M345</f>
        <v>#REF!</v>
      </c>
      <c r="Q345" s="20" t="e">
        <f>#REF!-N345</f>
        <v>#REF!</v>
      </c>
      <c r="R345" s="17" t="str">
        <f t="shared" si="36"/>
        <v>02 Б 00 00000000</v>
      </c>
    </row>
    <row r="346" spans="1:18" s="29" customFormat="1" ht="78.75">
      <c r="A346" s="28"/>
      <c r="B346" s="125" t="s">
        <v>289</v>
      </c>
      <c r="C346" s="109" t="s">
        <v>256</v>
      </c>
      <c r="D346" s="108" t="s">
        <v>73</v>
      </c>
      <c r="E346" s="108" t="s">
        <v>57</v>
      </c>
      <c r="F346" s="108" t="s">
        <v>290</v>
      </c>
      <c r="G346" s="108" t="s">
        <v>9</v>
      </c>
      <c r="H346" s="126">
        <f t="shared" si="40"/>
        <v>0</v>
      </c>
      <c r="L346" s="20">
        <v>180</v>
      </c>
      <c r="M346" s="20">
        <v>180</v>
      </c>
      <c r="N346" s="20">
        <v>180</v>
      </c>
      <c r="O346" s="20">
        <f t="shared" si="39"/>
        <v>-180</v>
      </c>
      <c r="P346" s="20" t="e">
        <f>#REF!-M346</f>
        <v>#REF!</v>
      </c>
      <c r="Q346" s="20" t="e">
        <f>#REF!-N346</f>
        <v>#REF!</v>
      </c>
      <c r="R346" s="17" t="str">
        <f t="shared" si="36"/>
        <v>02 Б 01 00000000</v>
      </c>
    </row>
    <row r="347" spans="1:18" s="29" customFormat="1" ht="78.75">
      <c r="A347" s="28"/>
      <c r="B347" s="125" t="s">
        <v>291</v>
      </c>
      <c r="C347" s="109" t="s">
        <v>256</v>
      </c>
      <c r="D347" s="108" t="s">
        <v>73</v>
      </c>
      <c r="E347" s="108" t="s">
        <v>57</v>
      </c>
      <c r="F347" s="108" t="s">
        <v>292</v>
      </c>
      <c r="G347" s="108" t="s">
        <v>9</v>
      </c>
      <c r="H347" s="126">
        <f>H348</f>
        <v>0</v>
      </c>
      <c r="L347" s="20">
        <v>180</v>
      </c>
      <c r="M347" s="20">
        <v>180</v>
      </c>
      <c r="N347" s="20">
        <v>180</v>
      </c>
      <c r="O347" s="20">
        <f t="shared" si="39"/>
        <v>-180</v>
      </c>
      <c r="P347" s="20" t="e">
        <f>#REF!-M347</f>
        <v>#REF!</v>
      </c>
      <c r="Q347" s="20" t="e">
        <f>#REF!-N347</f>
        <v>#REF!</v>
      </c>
      <c r="R347" s="17" t="str">
        <f t="shared" si="36"/>
        <v>02 Б 01 20160000</v>
      </c>
    </row>
    <row r="348" spans="1:18" s="29" customFormat="1" ht="31.5">
      <c r="A348" s="28"/>
      <c r="B348" s="125" t="s">
        <v>28</v>
      </c>
      <c r="C348" s="109" t="s">
        <v>256</v>
      </c>
      <c r="D348" s="108" t="s">
        <v>73</v>
      </c>
      <c r="E348" s="108" t="s">
        <v>57</v>
      </c>
      <c r="F348" s="108" t="s">
        <v>292</v>
      </c>
      <c r="G348" s="108" t="s">
        <v>29</v>
      </c>
      <c r="H348" s="126">
        <f>H349</f>
        <v>0</v>
      </c>
      <c r="L348" s="20">
        <v>180</v>
      </c>
      <c r="M348" s="20">
        <v>180</v>
      </c>
      <c r="N348" s="20">
        <v>180</v>
      </c>
      <c r="O348" s="20">
        <f t="shared" si="39"/>
        <v>-180</v>
      </c>
      <c r="P348" s="20" t="e">
        <f>#REF!-M348</f>
        <v>#REF!</v>
      </c>
      <c r="Q348" s="20" t="e">
        <f>#REF!-N348</f>
        <v>#REF!</v>
      </c>
      <c r="R348" s="17" t="str">
        <f t="shared" si="36"/>
        <v>02 Б 01 20160240</v>
      </c>
    </row>
    <row r="349" spans="1:18" s="29" customFormat="1" ht="15.75">
      <c r="A349" s="28"/>
      <c r="B349" s="125" t="s">
        <v>30</v>
      </c>
      <c r="C349" s="109" t="s">
        <v>256</v>
      </c>
      <c r="D349" s="108" t="s">
        <v>73</v>
      </c>
      <c r="E349" s="108" t="s">
        <v>57</v>
      </c>
      <c r="F349" s="108" t="s">
        <v>292</v>
      </c>
      <c r="G349" s="108" t="s">
        <v>31</v>
      </c>
      <c r="H349" s="126"/>
      <c r="L349" s="20"/>
      <c r="M349" s="20"/>
      <c r="N349" s="20"/>
      <c r="O349" s="20"/>
      <c r="P349" s="20"/>
      <c r="Q349" s="20"/>
      <c r="R349" s="17" t="str">
        <f t="shared" si="36"/>
        <v>02 Б 01 20160244</v>
      </c>
    </row>
    <row r="350" spans="1:18" s="29" customFormat="1" ht="63">
      <c r="A350" s="28"/>
      <c r="B350" s="127" t="s">
        <v>293</v>
      </c>
      <c r="C350" s="109" t="s">
        <v>256</v>
      </c>
      <c r="D350" s="108" t="s">
        <v>73</v>
      </c>
      <c r="E350" s="108" t="s">
        <v>57</v>
      </c>
      <c r="F350" s="108" t="s">
        <v>294</v>
      </c>
      <c r="G350" s="108" t="s">
        <v>9</v>
      </c>
      <c r="H350" s="126">
        <f t="shared" ref="H350:H353" si="41">H351</f>
        <v>0</v>
      </c>
      <c r="L350" s="20">
        <v>42477.74</v>
      </c>
      <c r="M350" s="20">
        <v>0</v>
      </c>
      <c r="N350" s="20">
        <v>0</v>
      </c>
      <c r="O350" s="20">
        <f>H350-L350</f>
        <v>-42477.74</v>
      </c>
      <c r="P350" s="20" t="e">
        <f>#REF!-M350</f>
        <v>#REF!</v>
      </c>
      <c r="Q350" s="20" t="e">
        <f>#REF!-N350</f>
        <v>#REF!</v>
      </c>
      <c r="R350" s="17" t="str">
        <f t="shared" si="36"/>
        <v>04 0 00 00000000</v>
      </c>
    </row>
    <row r="351" spans="1:18" s="29" customFormat="1" ht="63">
      <c r="A351" s="28"/>
      <c r="B351" s="140" t="s">
        <v>295</v>
      </c>
      <c r="C351" s="109" t="s">
        <v>256</v>
      </c>
      <c r="D351" s="108" t="s">
        <v>73</v>
      </c>
      <c r="E351" s="108" t="s">
        <v>57</v>
      </c>
      <c r="F351" s="108" t="s">
        <v>296</v>
      </c>
      <c r="G351" s="108" t="s">
        <v>9</v>
      </c>
      <c r="H351" s="126">
        <f t="shared" si="41"/>
        <v>0</v>
      </c>
      <c r="L351" s="20">
        <v>42477.74</v>
      </c>
      <c r="M351" s="20">
        <v>0</v>
      </c>
      <c r="N351" s="20">
        <v>0</v>
      </c>
      <c r="O351" s="20">
        <f>H351-L351</f>
        <v>-42477.74</v>
      </c>
      <c r="P351" s="20" t="e">
        <f>#REF!-M351</f>
        <v>#REF!</v>
      </c>
      <c r="Q351" s="20" t="e">
        <f>#REF!-N351</f>
        <v>#REF!</v>
      </c>
      <c r="R351" s="17" t="str">
        <f t="shared" si="36"/>
        <v>04 2 00 00000000</v>
      </c>
    </row>
    <row r="352" spans="1:18" s="29" customFormat="1" ht="63">
      <c r="A352" s="28"/>
      <c r="B352" s="125" t="s">
        <v>297</v>
      </c>
      <c r="C352" s="109" t="s">
        <v>256</v>
      </c>
      <c r="D352" s="108" t="s">
        <v>73</v>
      </c>
      <c r="E352" s="108" t="s">
        <v>57</v>
      </c>
      <c r="F352" s="108" t="s">
        <v>298</v>
      </c>
      <c r="G352" s="108" t="s">
        <v>9</v>
      </c>
      <c r="H352" s="126">
        <f t="shared" si="41"/>
        <v>0</v>
      </c>
      <c r="L352" s="20">
        <v>42477.74</v>
      </c>
      <c r="M352" s="20">
        <v>0</v>
      </c>
      <c r="N352" s="20">
        <v>0</v>
      </c>
      <c r="O352" s="20">
        <f>H352-L352</f>
        <v>-42477.74</v>
      </c>
      <c r="P352" s="20" t="e">
        <f>#REF!-M352</f>
        <v>#REF!</v>
      </c>
      <c r="Q352" s="20" t="e">
        <f>#REF!-N352</f>
        <v>#REF!</v>
      </c>
      <c r="R352" s="17" t="str">
        <f t="shared" si="36"/>
        <v>04 2 02 00000000</v>
      </c>
    </row>
    <row r="353" spans="1:18" s="29" customFormat="1" ht="15.75">
      <c r="A353" s="28"/>
      <c r="B353" s="125" t="s">
        <v>299</v>
      </c>
      <c r="C353" s="109" t="s">
        <v>256</v>
      </c>
      <c r="D353" s="108" t="s">
        <v>73</v>
      </c>
      <c r="E353" s="108" t="s">
        <v>57</v>
      </c>
      <c r="F353" s="108" t="s">
        <v>300</v>
      </c>
      <c r="G353" s="108" t="s">
        <v>9</v>
      </c>
      <c r="H353" s="126">
        <f t="shared" si="41"/>
        <v>0</v>
      </c>
      <c r="L353" s="20">
        <v>42477.74</v>
      </c>
      <c r="M353" s="20">
        <v>0</v>
      </c>
      <c r="N353" s="20">
        <v>0</v>
      </c>
      <c r="O353" s="20">
        <f>H353-L353</f>
        <v>-42477.74</v>
      </c>
      <c r="P353" s="20" t="e">
        <f>#REF!-M353</f>
        <v>#REF!</v>
      </c>
      <c r="Q353" s="20" t="e">
        <f>#REF!-N353</f>
        <v>#REF!</v>
      </c>
      <c r="R353" s="17" t="str">
        <f t="shared" si="36"/>
        <v>04 2 02 21470000</v>
      </c>
    </row>
    <row r="354" spans="1:18" s="29" customFormat="1" ht="31.5">
      <c r="A354" s="28"/>
      <c r="B354" s="125" t="s">
        <v>28</v>
      </c>
      <c r="C354" s="109" t="s">
        <v>256</v>
      </c>
      <c r="D354" s="108" t="s">
        <v>73</v>
      </c>
      <c r="E354" s="108" t="s">
        <v>57</v>
      </c>
      <c r="F354" s="108" t="s">
        <v>300</v>
      </c>
      <c r="G354" s="108" t="s">
        <v>29</v>
      </c>
      <c r="H354" s="126">
        <f>H355</f>
        <v>0</v>
      </c>
      <c r="L354" s="20">
        <v>42477.74</v>
      </c>
      <c r="M354" s="20">
        <v>0</v>
      </c>
      <c r="N354" s="20">
        <v>0</v>
      </c>
      <c r="O354" s="20">
        <f>H354-L354</f>
        <v>-42477.74</v>
      </c>
      <c r="P354" s="20" t="e">
        <f>#REF!-M354</f>
        <v>#REF!</v>
      </c>
      <c r="Q354" s="20" t="e">
        <f>#REF!-N354</f>
        <v>#REF!</v>
      </c>
      <c r="R354" s="17" t="str">
        <f t="shared" si="36"/>
        <v>04 2 02 21470240</v>
      </c>
    </row>
    <row r="355" spans="1:18" s="29" customFormat="1" ht="15.75">
      <c r="A355" s="28"/>
      <c r="B355" s="125" t="s">
        <v>30</v>
      </c>
      <c r="C355" s="109" t="s">
        <v>256</v>
      </c>
      <c r="D355" s="108" t="s">
        <v>73</v>
      </c>
      <c r="E355" s="108" t="s">
        <v>57</v>
      </c>
      <c r="F355" s="108" t="s">
        <v>300</v>
      </c>
      <c r="G355" s="108" t="s">
        <v>31</v>
      </c>
      <c r="H355" s="126"/>
      <c r="L355" s="20"/>
      <c r="M355" s="20"/>
      <c r="N355" s="20"/>
      <c r="O355" s="20"/>
      <c r="P355" s="20"/>
      <c r="Q355" s="20"/>
      <c r="R355" s="17" t="str">
        <f t="shared" si="36"/>
        <v>04 2 02 21470244</v>
      </c>
    </row>
    <row r="356" spans="1:18" s="29" customFormat="1" ht="63">
      <c r="A356" s="28"/>
      <c r="B356" s="132" t="s">
        <v>257</v>
      </c>
      <c r="C356" s="109" t="s">
        <v>256</v>
      </c>
      <c r="D356" s="108" t="s">
        <v>73</v>
      </c>
      <c r="E356" s="108" t="s">
        <v>57</v>
      </c>
      <c r="F356" s="108" t="s">
        <v>258</v>
      </c>
      <c r="G356" s="108" t="s">
        <v>9</v>
      </c>
      <c r="H356" s="126">
        <f t="shared" ref="H356:H357" si="42">H357</f>
        <v>0</v>
      </c>
      <c r="L356" s="20">
        <v>612</v>
      </c>
      <c r="M356" s="20">
        <v>612</v>
      </c>
      <c r="N356" s="20">
        <v>612</v>
      </c>
      <c r="O356" s="20">
        <f>H356-L356</f>
        <v>-612</v>
      </c>
      <c r="P356" s="20" t="e">
        <f>#REF!-M356</f>
        <v>#REF!</v>
      </c>
      <c r="Q356" s="20" t="e">
        <f>#REF!-N356</f>
        <v>#REF!</v>
      </c>
      <c r="R356" s="17" t="str">
        <f t="shared" si="36"/>
        <v>11 0 00 00000000</v>
      </c>
    </row>
    <row r="357" spans="1:18" s="29" customFormat="1" ht="63">
      <c r="A357" s="28"/>
      <c r="B357" s="132" t="s">
        <v>259</v>
      </c>
      <c r="C357" s="109" t="s">
        <v>256</v>
      </c>
      <c r="D357" s="108" t="s">
        <v>73</v>
      </c>
      <c r="E357" s="108" t="s">
        <v>57</v>
      </c>
      <c r="F357" s="108" t="s">
        <v>260</v>
      </c>
      <c r="G357" s="108" t="s">
        <v>9</v>
      </c>
      <c r="H357" s="126">
        <f t="shared" si="42"/>
        <v>0</v>
      </c>
      <c r="L357" s="20">
        <v>612</v>
      </c>
      <c r="M357" s="20">
        <v>612</v>
      </c>
      <c r="N357" s="20">
        <v>612</v>
      </c>
      <c r="O357" s="20">
        <f>H357-L357</f>
        <v>-612</v>
      </c>
      <c r="P357" s="20" t="e">
        <f>#REF!-M357</f>
        <v>#REF!</v>
      </c>
      <c r="Q357" s="20" t="e">
        <f>#REF!-N357</f>
        <v>#REF!</v>
      </c>
      <c r="R357" s="17" t="str">
        <f t="shared" si="36"/>
        <v>11 Б 00 00000000</v>
      </c>
    </row>
    <row r="358" spans="1:18" s="29" customFormat="1" ht="47.25">
      <c r="A358" s="28"/>
      <c r="B358" s="125" t="s">
        <v>301</v>
      </c>
      <c r="C358" s="109" t="s">
        <v>256</v>
      </c>
      <c r="D358" s="108" t="s">
        <v>73</v>
      </c>
      <c r="E358" s="108" t="s">
        <v>57</v>
      </c>
      <c r="F358" s="108" t="s">
        <v>302</v>
      </c>
      <c r="G358" s="108" t="s">
        <v>9</v>
      </c>
      <c r="H358" s="126">
        <f>H359</f>
        <v>0</v>
      </c>
      <c r="L358" s="20">
        <v>612</v>
      </c>
      <c r="M358" s="20">
        <v>612</v>
      </c>
      <c r="N358" s="20">
        <v>612</v>
      </c>
      <c r="O358" s="20">
        <f>H358-L358</f>
        <v>-612</v>
      </c>
      <c r="P358" s="20" t="e">
        <f>#REF!-M358</f>
        <v>#REF!</v>
      </c>
      <c r="Q358" s="20" t="e">
        <f>#REF!-N358</f>
        <v>#REF!</v>
      </c>
      <c r="R358" s="17" t="str">
        <f t="shared" si="36"/>
        <v>11 Б 02 00000000</v>
      </c>
    </row>
    <row r="359" spans="1:18" s="29" customFormat="1" ht="63">
      <c r="A359" s="28"/>
      <c r="B359" s="125" t="s">
        <v>303</v>
      </c>
      <c r="C359" s="109" t="s">
        <v>256</v>
      </c>
      <c r="D359" s="108" t="s">
        <v>73</v>
      </c>
      <c r="E359" s="108" t="s">
        <v>57</v>
      </c>
      <c r="F359" s="108" t="s">
        <v>304</v>
      </c>
      <c r="G359" s="108" t="s">
        <v>9</v>
      </c>
      <c r="H359" s="126">
        <f>H360</f>
        <v>0</v>
      </c>
      <c r="L359" s="20">
        <v>612</v>
      </c>
      <c r="M359" s="20">
        <v>612</v>
      </c>
      <c r="N359" s="20">
        <v>612</v>
      </c>
      <c r="O359" s="20">
        <f>H359-L359</f>
        <v>-612</v>
      </c>
      <c r="P359" s="20" t="e">
        <f>#REF!-M359</f>
        <v>#REF!</v>
      </c>
      <c r="Q359" s="20" t="e">
        <f>#REF!-N359</f>
        <v>#REF!</v>
      </c>
      <c r="R359" s="17" t="str">
        <f t="shared" si="36"/>
        <v>11 Б 02 20180000</v>
      </c>
    </row>
    <row r="360" spans="1:18" s="29" customFormat="1" ht="31.5">
      <c r="A360" s="28"/>
      <c r="B360" s="125" t="s">
        <v>28</v>
      </c>
      <c r="C360" s="109" t="s">
        <v>256</v>
      </c>
      <c r="D360" s="108" t="s">
        <v>73</v>
      </c>
      <c r="E360" s="108" t="s">
        <v>57</v>
      </c>
      <c r="F360" s="108" t="s">
        <v>304</v>
      </c>
      <c r="G360" s="108" t="s">
        <v>29</v>
      </c>
      <c r="H360" s="126">
        <f>H361</f>
        <v>0</v>
      </c>
      <c r="L360" s="20">
        <v>612</v>
      </c>
      <c r="M360" s="20">
        <v>612</v>
      </c>
      <c r="N360" s="20">
        <v>612</v>
      </c>
      <c r="O360" s="20">
        <f>H360-L360</f>
        <v>-612</v>
      </c>
      <c r="P360" s="20" t="e">
        <f>#REF!-M360</f>
        <v>#REF!</v>
      </c>
      <c r="Q360" s="20" t="e">
        <f>#REF!-N360</f>
        <v>#REF!</v>
      </c>
      <c r="R360" s="17" t="str">
        <f t="shared" si="36"/>
        <v>11 Б 02 20180240</v>
      </c>
    </row>
    <row r="361" spans="1:18" s="29" customFormat="1" ht="15.75">
      <c r="A361" s="28"/>
      <c r="B361" s="125" t="s">
        <v>30</v>
      </c>
      <c r="C361" s="109" t="s">
        <v>256</v>
      </c>
      <c r="D361" s="108" t="s">
        <v>73</v>
      </c>
      <c r="E361" s="108" t="s">
        <v>57</v>
      </c>
      <c r="F361" s="108" t="s">
        <v>304</v>
      </c>
      <c r="G361" s="108" t="s">
        <v>31</v>
      </c>
      <c r="H361" s="126"/>
      <c r="L361" s="20"/>
      <c r="M361" s="20"/>
      <c r="N361" s="20"/>
      <c r="O361" s="20"/>
      <c r="P361" s="20"/>
      <c r="Q361" s="20"/>
      <c r="R361" s="17" t="str">
        <f t="shared" si="36"/>
        <v>11 Б 02 20180244</v>
      </c>
    </row>
    <row r="362" spans="1:18" s="16" customFormat="1" ht="15.75">
      <c r="A362" s="14"/>
      <c r="B362" s="117" t="s">
        <v>305</v>
      </c>
      <c r="C362" s="118" t="s">
        <v>256</v>
      </c>
      <c r="D362" s="119" t="s">
        <v>86</v>
      </c>
      <c r="E362" s="119" t="s">
        <v>7</v>
      </c>
      <c r="F362" s="119" t="s">
        <v>8</v>
      </c>
      <c r="G362" s="119" t="s">
        <v>9</v>
      </c>
      <c r="H362" s="120">
        <f>H370+H363</f>
        <v>0</v>
      </c>
      <c r="L362" s="18">
        <v>9280.8700000000008</v>
      </c>
      <c r="M362" s="18">
        <v>0</v>
      </c>
      <c r="N362" s="18">
        <v>0</v>
      </c>
      <c r="O362" s="20">
        <f t="shared" ref="O362:O368" si="43">H362-L362</f>
        <v>-9280.8700000000008</v>
      </c>
      <c r="P362" s="20" t="e">
        <f>#REF!-M362</f>
        <v>#REF!</v>
      </c>
      <c r="Q362" s="20" t="e">
        <f>#REF!-N362</f>
        <v>#REF!</v>
      </c>
      <c r="R362" s="17" t="str">
        <f t="shared" si="36"/>
        <v>00 0 00 00000000</v>
      </c>
    </row>
    <row r="363" spans="1:18" s="16" customFormat="1" ht="15.75">
      <c r="A363" s="14"/>
      <c r="B363" s="121" t="s">
        <v>306</v>
      </c>
      <c r="C363" s="122" t="s">
        <v>256</v>
      </c>
      <c r="D363" s="123" t="s">
        <v>86</v>
      </c>
      <c r="E363" s="123" t="s">
        <v>13</v>
      </c>
      <c r="F363" s="123" t="s">
        <v>8</v>
      </c>
      <c r="G363" s="123" t="s">
        <v>9</v>
      </c>
      <c r="H363" s="124">
        <f>H364</f>
        <v>0</v>
      </c>
      <c r="L363" s="19">
        <v>7522.26</v>
      </c>
      <c r="M363" s="19">
        <v>0</v>
      </c>
      <c r="N363" s="19">
        <v>0</v>
      </c>
      <c r="O363" s="19">
        <f t="shared" si="43"/>
        <v>-7522.26</v>
      </c>
      <c r="P363" s="19" t="e">
        <f>#REF!-M363</f>
        <v>#REF!</v>
      </c>
      <c r="Q363" s="19" t="e">
        <f>#REF!-N363</f>
        <v>#REF!</v>
      </c>
      <c r="R363" s="17" t="str">
        <f t="shared" si="36"/>
        <v>00 0 00 00000000</v>
      </c>
    </row>
    <row r="364" spans="1:18" s="16" customFormat="1" ht="63">
      <c r="A364" s="14"/>
      <c r="B364" s="125" t="s">
        <v>293</v>
      </c>
      <c r="C364" s="108" t="s">
        <v>256</v>
      </c>
      <c r="D364" s="108" t="s">
        <v>86</v>
      </c>
      <c r="E364" s="108" t="s">
        <v>13</v>
      </c>
      <c r="F364" s="108" t="s">
        <v>294</v>
      </c>
      <c r="G364" s="108" t="s">
        <v>9</v>
      </c>
      <c r="H364" s="141">
        <f>H365</f>
        <v>0</v>
      </c>
      <c r="L364" s="32">
        <v>7522.26</v>
      </c>
      <c r="M364" s="32">
        <v>0</v>
      </c>
      <c r="N364" s="32">
        <v>0</v>
      </c>
      <c r="O364" s="32">
        <f t="shared" si="43"/>
        <v>-7522.26</v>
      </c>
      <c r="P364" s="32" t="e">
        <f>#REF!-M364</f>
        <v>#REF!</v>
      </c>
      <c r="Q364" s="32" t="e">
        <f>#REF!-N364</f>
        <v>#REF!</v>
      </c>
      <c r="R364" s="17" t="str">
        <f t="shared" si="36"/>
        <v>04 0 00 00000000</v>
      </c>
    </row>
    <row r="365" spans="1:18" s="16" customFormat="1" ht="31.5">
      <c r="A365" s="14"/>
      <c r="B365" s="125" t="s">
        <v>307</v>
      </c>
      <c r="C365" s="108" t="s">
        <v>256</v>
      </c>
      <c r="D365" s="108" t="s">
        <v>86</v>
      </c>
      <c r="E365" s="108" t="s">
        <v>13</v>
      </c>
      <c r="F365" s="108" t="s">
        <v>308</v>
      </c>
      <c r="G365" s="108" t="s">
        <v>9</v>
      </c>
      <c r="H365" s="141">
        <f t="shared" ref="H365:H367" si="44">H366</f>
        <v>0</v>
      </c>
      <c r="L365" s="32">
        <v>7522.26</v>
      </c>
      <c r="M365" s="32">
        <v>0</v>
      </c>
      <c r="N365" s="32">
        <v>0</v>
      </c>
      <c r="O365" s="32">
        <f t="shared" si="43"/>
        <v>-7522.26</v>
      </c>
      <c r="P365" s="32" t="e">
        <f>#REF!-M365</f>
        <v>#REF!</v>
      </c>
      <c r="Q365" s="32" t="e">
        <f>#REF!-N365</f>
        <v>#REF!</v>
      </c>
      <c r="R365" s="17" t="str">
        <f t="shared" si="36"/>
        <v>04 3 00 00000000</v>
      </c>
    </row>
    <row r="366" spans="1:18" s="29" customFormat="1" ht="31.5">
      <c r="A366" s="28"/>
      <c r="B366" s="138" t="s">
        <v>309</v>
      </c>
      <c r="C366" s="109" t="s">
        <v>256</v>
      </c>
      <c r="D366" s="108" t="s">
        <v>86</v>
      </c>
      <c r="E366" s="108" t="s">
        <v>13</v>
      </c>
      <c r="F366" s="142" t="s">
        <v>310</v>
      </c>
      <c r="G366" s="108" t="s">
        <v>9</v>
      </c>
      <c r="H366" s="126">
        <f t="shared" si="44"/>
        <v>0</v>
      </c>
      <c r="L366" s="20">
        <v>7522.26</v>
      </c>
      <c r="M366" s="20">
        <v>0</v>
      </c>
      <c r="N366" s="20">
        <v>0</v>
      </c>
      <c r="O366" s="20">
        <f t="shared" si="43"/>
        <v>-7522.26</v>
      </c>
      <c r="P366" s="20" t="e">
        <f>#REF!-M366</f>
        <v>#REF!</v>
      </c>
      <c r="Q366" s="20" t="e">
        <f>#REF!-N366</f>
        <v>#REF!</v>
      </c>
      <c r="R366" s="17" t="str">
        <f t="shared" si="36"/>
        <v>04 3 04 00000000</v>
      </c>
    </row>
    <row r="367" spans="1:18" s="29" customFormat="1" ht="31.5">
      <c r="A367" s="28"/>
      <c r="B367" s="125" t="s">
        <v>311</v>
      </c>
      <c r="C367" s="109" t="s">
        <v>256</v>
      </c>
      <c r="D367" s="108" t="s">
        <v>86</v>
      </c>
      <c r="E367" s="108" t="s">
        <v>13</v>
      </c>
      <c r="F367" s="108" t="s">
        <v>312</v>
      </c>
      <c r="G367" s="108" t="s">
        <v>9</v>
      </c>
      <c r="H367" s="126">
        <f t="shared" si="44"/>
        <v>0</v>
      </c>
      <c r="L367" s="20">
        <v>7522.26</v>
      </c>
      <c r="M367" s="20">
        <v>0</v>
      </c>
      <c r="N367" s="20">
        <v>0</v>
      </c>
      <c r="O367" s="20">
        <f t="shared" si="43"/>
        <v>-7522.26</v>
      </c>
      <c r="P367" s="20" t="e">
        <f>#REF!-M367</f>
        <v>#REF!</v>
      </c>
      <c r="Q367" s="20" t="e">
        <f>#REF!-N367</f>
        <v>#REF!</v>
      </c>
      <c r="R367" s="17" t="str">
        <f t="shared" si="36"/>
        <v>04 3 04 21510000</v>
      </c>
    </row>
    <row r="368" spans="1:18" s="29" customFormat="1" ht="31.5">
      <c r="A368" s="28"/>
      <c r="B368" s="125" t="s">
        <v>28</v>
      </c>
      <c r="C368" s="109" t="s">
        <v>256</v>
      </c>
      <c r="D368" s="108" t="s">
        <v>86</v>
      </c>
      <c r="E368" s="108" t="s">
        <v>13</v>
      </c>
      <c r="F368" s="108" t="s">
        <v>312</v>
      </c>
      <c r="G368" s="108" t="s">
        <v>29</v>
      </c>
      <c r="H368" s="126">
        <f>H369</f>
        <v>0</v>
      </c>
      <c r="L368" s="20">
        <v>7522.26</v>
      </c>
      <c r="M368" s="20">
        <v>0</v>
      </c>
      <c r="N368" s="20">
        <v>0</v>
      </c>
      <c r="O368" s="20">
        <f t="shared" si="43"/>
        <v>-7522.26</v>
      </c>
      <c r="P368" s="20" t="e">
        <f>#REF!-M368</f>
        <v>#REF!</v>
      </c>
      <c r="Q368" s="20" t="e">
        <f>#REF!-N368</f>
        <v>#REF!</v>
      </c>
      <c r="R368" s="17" t="str">
        <f t="shared" si="36"/>
        <v>04 3 04 21510240</v>
      </c>
    </row>
    <row r="369" spans="1:18" s="29" customFormat="1" ht="15.75">
      <c r="A369" s="28"/>
      <c r="B369" s="125" t="s">
        <v>30</v>
      </c>
      <c r="C369" s="109" t="s">
        <v>256</v>
      </c>
      <c r="D369" s="108" t="s">
        <v>86</v>
      </c>
      <c r="E369" s="108" t="s">
        <v>13</v>
      </c>
      <c r="F369" s="108" t="s">
        <v>312</v>
      </c>
      <c r="G369" s="108" t="s">
        <v>31</v>
      </c>
      <c r="H369" s="126"/>
      <c r="L369" s="20"/>
      <c r="M369" s="20"/>
      <c r="N369" s="20"/>
      <c r="O369" s="20"/>
      <c r="P369" s="20"/>
      <c r="Q369" s="20"/>
      <c r="R369" s="17" t="str">
        <f t="shared" si="36"/>
        <v>04 3 04 21510244</v>
      </c>
    </row>
    <row r="370" spans="1:18" s="16" customFormat="1" ht="31.5">
      <c r="A370" s="14"/>
      <c r="B370" s="121" t="s">
        <v>313</v>
      </c>
      <c r="C370" s="122" t="s">
        <v>256</v>
      </c>
      <c r="D370" s="123" t="s">
        <v>86</v>
      </c>
      <c r="E370" s="123" t="s">
        <v>86</v>
      </c>
      <c r="F370" s="123" t="s">
        <v>8</v>
      </c>
      <c r="G370" s="123" t="s">
        <v>9</v>
      </c>
      <c r="H370" s="124">
        <f>H371</f>
        <v>0</v>
      </c>
      <c r="L370" s="19">
        <v>1758.61</v>
      </c>
      <c r="M370" s="19">
        <v>0</v>
      </c>
      <c r="N370" s="19">
        <v>0</v>
      </c>
      <c r="O370" s="19">
        <f>H370-L370</f>
        <v>-1758.61</v>
      </c>
      <c r="P370" s="19" t="e">
        <f>#REF!-M370</f>
        <v>#REF!</v>
      </c>
      <c r="Q370" s="19" t="e">
        <f>#REF!-N370</f>
        <v>#REF!</v>
      </c>
      <c r="R370" s="17" t="str">
        <f t="shared" si="36"/>
        <v>00 0 00 00000000</v>
      </c>
    </row>
    <row r="371" spans="1:18" s="29" customFormat="1" ht="63">
      <c r="A371" s="28"/>
      <c r="B371" s="138" t="s">
        <v>87</v>
      </c>
      <c r="C371" s="109" t="s">
        <v>256</v>
      </c>
      <c r="D371" s="108" t="s">
        <v>86</v>
      </c>
      <c r="E371" s="108" t="s">
        <v>86</v>
      </c>
      <c r="F371" s="108" t="s">
        <v>88</v>
      </c>
      <c r="G371" s="108" t="s">
        <v>9</v>
      </c>
      <c r="H371" s="126">
        <f>H372</f>
        <v>0</v>
      </c>
      <c r="L371" s="20">
        <v>1758.61</v>
      </c>
      <c r="M371" s="20">
        <v>0</v>
      </c>
      <c r="N371" s="20">
        <v>0</v>
      </c>
      <c r="O371" s="20">
        <f>H371-L371</f>
        <v>-1758.61</v>
      </c>
      <c r="P371" s="20" t="e">
        <f>#REF!-M371</f>
        <v>#REF!</v>
      </c>
      <c r="Q371" s="20" t="e">
        <f>#REF!-N371</f>
        <v>#REF!</v>
      </c>
      <c r="R371" s="17" t="str">
        <f t="shared" si="36"/>
        <v>98 0 00 00000000</v>
      </c>
    </row>
    <row r="372" spans="1:18" s="29" customFormat="1" ht="15.75">
      <c r="A372" s="28"/>
      <c r="B372" s="138" t="s">
        <v>89</v>
      </c>
      <c r="C372" s="109" t="s">
        <v>256</v>
      </c>
      <c r="D372" s="108" t="s">
        <v>86</v>
      </c>
      <c r="E372" s="108" t="s">
        <v>86</v>
      </c>
      <c r="F372" s="108" t="s">
        <v>90</v>
      </c>
      <c r="G372" s="108" t="s">
        <v>9</v>
      </c>
      <c r="H372" s="126">
        <f>H373</f>
        <v>0</v>
      </c>
      <c r="L372" s="20">
        <v>1758.61</v>
      </c>
      <c r="M372" s="20">
        <v>0</v>
      </c>
      <c r="N372" s="20">
        <v>0</v>
      </c>
      <c r="O372" s="20">
        <f>H372-L372</f>
        <v>-1758.61</v>
      </c>
      <c r="P372" s="20" t="e">
        <f>#REF!-M372</f>
        <v>#REF!</v>
      </c>
      <c r="Q372" s="20" t="e">
        <f>#REF!-N372</f>
        <v>#REF!</v>
      </c>
      <c r="R372" s="17" t="str">
        <f t="shared" si="36"/>
        <v>98 1 00 00000000</v>
      </c>
    </row>
    <row r="373" spans="1:18" s="29" customFormat="1" ht="47.25">
      <c r="A373" s="28"/>
      <c r="B373" s="125" t="s">
        <v>314</v>
      </c>
      <c r="C373" s="109" t="s">
        <v>256</v>
      </c>
      <c r="D373" s="108" t="s">
        <v>86</v>
      </c>
      <c r="E373" s="108" t="s">
        <v>86</v>
      </c>
      <c r="F373" s="108" t="s">
        <v>315</v>
      </c>
      <c r="G373" s="108" t="s">
        <v>9</v>
      </c>
      <c r="H373" s="126">
        <f>H374</f>
        <v>0</v>
      </c>
      <c r="L373" s="20">
        <v>1758.61</v>
      </c>
      <c r="M373" s="20">
        <v>0</v>
      </c>
      <c r="N373" s="20">
        <v>0</v>
      </c>
      <c r="O373" s="20">
        <f>H373-L373</f>
        <v>-1758.61</v>
      </c>
      <c r="P373" s="20" t="e">
        <f>#REF!-M373</f>
        <v>#REF!</v>
      </c>
      <c r="Q373" s="20" t="e">
        <f>#REF!-N373</f>
        <v>#REF!</v>
      </c>
      <c r="R373" s="17" t="str">
        <f t="shared" si="36"/>
        <v>98 1 00 20950000</v>
      </c>
    </row>
    <row r="374" spans="1:18" s="29" customFormat="1" ht="31.5">
      <c r="A374" s="28"/>
      <c r="B374" s="125" t="s">
        <v>28</v>
      </c>
      <c r="C374" s="109" t="s">
        <v>256</v>
      </c>
      <c r="D374" s="108" t="s">
        <v>86</v>
      </c>
      <c r="E374" s="108" t="s">
        <v>86</v>
      </c>
      <c r="F374" s="108" t="s">
        <v>315</v>
      </c>
      <c r="G374" s="108" t="s">
        <v>29</v>
      </c>
      <c r="H374" s="126">
        <f>H375</f>
        <v>0</v>
      </c>
      <c r="L374" s="20">
        <v>1758.61</v>
      </c>
      <c r="M374" s="20">
        <v>0</v>
      </c>
      <c r="N374" s="20">
        <v>0</v>
      </c>
      <c r="O374" s="20">
        <f>H374-L374</f>
        <v>-1758.61</v>
      </c>
      <c r="P374" s="20" t="e">
        <f>#REF!-M374</f>
        <v>#REF!</v>
      </c>
      <c r="Q374" s="20" t="e">
        <f>#REF!-N374</f>
        <v>#REF!</v>
      </c>
      <c r="R374" s="17" t="str">
        <f t="shared" si="36"/>
        <v>98 1 00 20950240</v>
      </c>
    </row>
    <row r="375" spans="1:18" s="29" customFormat="1" ht="15.75">
      <c r="A375" s="28"/>
      <c r="B375" s="125" t="s">
        <v>30</v>
      </c>
      <c r="C375" s="109" t="s">
        <v>256</v>
      </c>
      <c r="D375" s="108" t="s">
        <v>86</v>
      </c>
      <c r="E375" s="108" t="s">
        <v>86</v>
      </c>
      <c r="F375" s="108" t="s">
        <v>315</v>
      </c>
      <c r="G375" s="108" t="s">
        <v>31</v>
      </c>
      <c r="H375" s="126"/>
      <c r="L375" s="20"/>
      <c r="M375" s="20"/>
      <c r="N375" s="20"/>
      <c r="O375" s="20"/>
      <c r="P375" s="20"/>
      <c r="Q375" s="20"/>
      <c r="R375" s="17" t="str">
        <f t="shared" si="36"/>
        <v>98 1 00 20950244</v>
      </c>
    </row>
    <row r="376" spans="1:18" s="29" customFormat="1" ht="15.75">
      <c r="A376" s="28"/>
      <c r="B376" s="117" t="s">
        <v>316</v>
      </c>
      <c r="C376" s="118" t="s">
        <v>256</v>
      </c>
      <c r="D376" s="119" t="s">
        <v>317</v>
      </c>
      <c r="E376" s="119" t="s">
        <v>7</v>
      </c>
      <c r="F376" s="119" t="s">
        <v>8</v>
      </c>
      <c r="G376" s="119" t="s">
        <v>9</v>
      </c>
      <c r="H376" s="120">
        <f>H377</f>
        <v>0</v>
      </c>
      <c r="L376" s="18">
        <v>2604.63</v>
      </c>
      <c r="M376" s="18">
        <v>2604.63</v>
      </c>
      <c r="N376" s="18">
        <v>7404.63</v>
      </c>
      <c r="O376" s="18">
        <f t="shared" ref="O376:O382" si="45">H376-L376</f>
        <v>-2604.63</v>
      </c>
      <c r="P376" s="18" t="e">
        <f>#REF!-M376</f>
        <v>#REF!</v>
      </c>
      <c r="Q376" s="18" t="e">
        <f>#REF!-N376</f>
        <v>#REF!</v>
      </c>
      <c r="R376" s="17" t="str">
        <f t="shared" si="36"/>
        <v>00 0 00 00000000</v>
      </c>
    </row>
    <row r="377" spans="1:18" s="29" customFormat="1" ht="15.75">
      <c r="A377" s="28"/>
      <c r="B377" s="121" t="s">
        <v>318</v>
      </c>
      <c r="C377" s="122" t="s">
        <v>256</v>
      </c>
      <c r="D377" s="123">
        <v>10</v>
      </c>
      <c r="E377" s="123" t="s">
        <v>13</v>
      </c>
      <c r="F377" s="123" t="s">
        <v>8</v>
      </c>
      <c r="G377" s="123" t="s">
        <v>9</v>
      </c>
      <c r="H377" s="124">
        <f>H378</f>
        <v>0</v>
      </c>
      <c r="L377" s="19">
        <v>2604.63</v>
      </c>
      <c r="M377" s="19">
        <v>2604.63</v>
      </c>
      <c r="N377" s="19">
        <v>7404.63</v>
      </c>
      <c r="O377" s="19">
        <f t="shared" si="45"/>
        <v>-2604.63</v>
      </c>
      <c r="P377" s="19" t="e">
        <f>#REF!-M377</f>
        <v>#REF!</v>
      </c>
      <c r="Q377" s="19" t="e">
        <f>#REF!-N377</f>
        <v>#REF!</v>
      </c>
      <c r="R377" s="17" t="str">
        <f t="shared" si="36"/>
        <v>00 0 00 00000000</v>
      </c>
    </row>
    <row r="378" spans="1:18" s="29" customFormat="1" ht="31.5">
      <c r="A378" s="28"/>
      <c r="B378" s="125" t="s">
        <v>319</v>
      </c>
      <c r="C378" s="131" t="s">
        <v>256</v>
      </c>
      <c r="D378" s="131" t="s">
        <v>317</v>
      </c>
      <c r="E378" s="131" t="s">
        <v>13</v>
      </c>
      <c r="F378" s="131" t="s">
        <v>320</v>
      </c>
      <c r="G378" s="131" t="s">
        <v>9</v>
      </c>
      <c r="H378" s="105">
        <f t="shared" ref="H378" si="46">H379</f>
        <v>0</v>
      </c>
      <c r="L378" s="26">
        <v>2604.63</v>
      </c>
      <c r="M378" s="26">
        <v>2604.63</v>
      </c>
      <c r="N378" s="26">
        <v>7404.63</v>
      </c>
      <c r="O378" s="26">
        <f t="shared" si="45"/>
        <v>-2604.63</v>
      </c>
      <c r="P378" s="26" t="e">
        <f>#REF!-M378</f>
        <v>#REF!</v>
      </c>
      <c r="Q378" s="26" t="e">
        <f>#REF!-N378</f>
        <v>#REF!</v>
      </c>
      <c r="R378" s="17" t="str">
        <f t="shared" si="36"/>
        <v>06 0 00 00000000</v>
      </c>
    </row>
    <row r="379" spans="1:18" s="29" customFormat="1" ht="47.25">
      <c r="A379" s="28"/>
      <c r="B379" s="129" t="s">
        <v>321</v>
      </c>
      <c r="C379" s="131" t="s">
        <v>256</v>
      </c>
      <c r="D379" s="131" t="s">
        <v>317</v>
      </c>
      <c r="E379" s="131" t="s">
        <v>13</v>
      </c>
      <c r="F379" s="131" t="s">
        <v>322</v>
      </c>
      <c r="G379" s="131" t="s">
        <v>9</v>
      </c>
      <c r="H379" s="105">
        <f>H380</f>
        <v>0</v>
      </c>
      <c r="L379" s="26">
        <v>2604.63</v>
      </c>
      <c r="M379" s="26">
        <v>2604.63</v>
      </c>
      <c r="N379" s="26">
        <v>7404.63</v>
      </c>
      <c r="O379" s="26">
        <f t="shared" si="45"/>
        <v>-2604.63</v>
      </c>
      <c r="P379" s="26" t="e">
        <f>#REF!-M379</f>
        <v>#REF!</v>
      </c>
      <c r="Q379" s="26" t="e">
        <f>#REF!-N379</f>
        <v>#REF!</v>
      </c>
      <c r="R379" s="17" t="str">
        <f t="shared" si="36"/>
        <v>06 Б 00 00000000</v>
      </c>
    </row>
    <row r="380" spans="1:18" s="29" customFormat="1" ht="31.5">
      <c r="A380" s="28"/>
      <c r="B380" s="129" t="s">
        <v>323</v>
      </c>
      <c r="C380" s="131" t="s">
        <v>256</v>
      </c>
      <c r="D380" s="131" t="s">
        <v>317</v>
      </c>
      <c r="E380" s="131" t="s">
        <v>13</v>
      </c>
      <c r="F380" s="131" t="s">
        <v>324</v>
      </c>
      <c r="G380" s="131" t="s">
        <v>9</v>
      </c>
      <c r="H380" s="105">
        <f>H381</f>
        <v>0</v>
      </c>
      <c r="L380" s="26">
        <v>2604.63</v>
      </c>
      <c r="M380" s="26">
        <v>2604.63</v>
      </c>
      <c r="N380" s="26">
        <v>7404.63</v>
      </c>
      <c r="O380" s="26">
        <f t="shared" si="45"/>
        <v>-2604.63</v>
      </c>
      <c r="P380" s="26" t="e">
        <f>#REF!-M380</f>
        <v>#REF!</v>
      </c>
      <c r="Q380" s="26" t="e">
        <f>#REF!-N380</f>
        <v>#REF!</v>
      </c>
      <c r="R380" s="17" t="str">
        <f t="shared" si="36"/>
        <v>06 Б 01 00000000</v>
      </c>
    </row>
    <row r="381" spans="1:18" s="29" customFormat="1" ht="31.5">
      <c r="A381" s="28"/>
      <c r="B381" s="125" t="s">
        <v>325</v>
      </c>
      <c r="C381" s="131" t="s">
        <v>256</v>
      </c>
      <c r="D381" s="131" t="s">
        <v>317</v>
      </c>
      <c r="E381" s="131" t="s">
        <v>13</v>
      </c>
      <c r="F381" s="131" t="s">
        <v>326</v>
      </c>
      <c r="G381" s="131" t="s">
        <v>9</v>
      </c>
      <c r="H381" s="105">
        <f>H382</f>
        <v>0</v>
      </c>
      <c r="L381" s="26">
        <v>2604.63</v>
      </c>
      <c r="M381" s="26">
        <v>2604.63</v>
      </c>
      <c r="N381" s="26">
        <v>7404.63</v>
      </c>
      <c r="O381" s="26">
        <f t="shared" si="45"/>
        <v>-2604.63</v>
      </c>
      <c r="P381" s="26" t="e">
        <f>#REF!-M381</f>
        <v>#REF!</v>
      </c>
      <c r="Q381" s="26" t="e">
        <f>#REF!-N381</f>
        <v>#REF!</v>
      </c>
      <c r="R381" s="17" t="str">
        <f t="shared" si="36"/>
        <v>06 Б 01 L0200000</v>
      </c>
    </row>
    <row r="382" spans="1:18" s="29" customFormat="1" ht="31.5">
      <c r="A382" s="28"/>
      <c r="B382" s="132" t="s">
        <v>327</v>
      </c>
      <c r="C382" s="131" t="s">
        <v>256</v>
      </c>
      <c r="D382" s="131" t="s">
        <v>317</v>
      </c>
      <c r="E382" s="131" t="s">
        <v>13</v>
      </c>
      <c r="F382" s="131" t="s">
        <v>326</v>
      </c>
      <c r="G382" s="131" t="s">
        <v>328</v>
      </c>
      <c r="H382" s="126">
        <f>H383</f>
        <v>0</v>
      </c>
      <c r="L382" s="26">
        <v>2604.63</v>
      </c>
      <c r="M382" s="26">
        <v>2604.63</v>
      </c>
      <c r="N382" s="26">
        <v>7404.63</v>
      </c>
      <c r="O382" s="26">
        <f t="shared" si="45"/>
        <v>-2604.63</v>
      </c>
      <c r="P382" s="26" t="e">
        <f>#REF!-M382</f>
        <v>#REF!</v>
      </c>
      <c r="Q382" s="26" t="e">
        <f>#REF!-N382</f>
        <v>#REF!</v>
      </c>
      <c r="R382" s="17" t="str">
        <f t="shared" si="36"/>
        <v>06 Б 01 L0200320</v>
      </c>
    </row>
    <row r="383" spans="1:18" s="29" customFormat="1" ht="15.75">
      <c r="A383" s="28"/>
      <c r="B383" s="127" t="s">
        <v>329</v>
      </c>
      <c r="C383" s="108" t="s">
        <v>256</v>
      </c>
      <c r="D383" s="108" t="s">
        <v>317</v>
      </c>
      <c r="E383" s="108" t="s">
        <v>13</v>
      </c>
      <c r="F383" s="108" t="s">
        <v>326</v>
      </c>
      <c r="G383" s="108" t="s">
        <v>330</v>
      </c>
      <c r="H383" s="126"/>
      <c r="L383" s="20"/>
      <c r="M383" s="20"/>
      <c r="N383" s="20"/>
      <c r="O383" s="20"/>
      <c r="P383" s="20"/>
      <c r="Q383" s="20"/>
      <c r="R383" s="17" t="str">
        <f t="shared" si="36"/>
        <v>06 Б 01 L0200322</v>
      </c>
    </row>
    <row r="384" spans="1:18" s="29" customFormat="1" ht="15.75">
      <c r="A384" s="28"/>
      <c r="B384" s="125"/>
      <c r="C384" s="109"/>
      <c r="D384" s="108"/>
      <c r="E384" s="108"/>
      <c r="F384" s="108"/>
      <c r="G384" s="108"/>
      <c r="H384" s="126"/>
      <c r="L384" s="20"/>
      <c r="M384" s="20"/>
      <c r="N384" s="20"/>
      <c r="O384" s="20">
        <f t="shared" ref="O384:O391" si="47">H384-L384</f>
        <v>0</v>
      </c>
      <c r="P384" s="20" t="e">
        <f>#REF!-M384</f>
        <v>#REF!</v>
      </c>
      <c r="Q384" s="20" t="e">
        <f>#REF!-N384</f>
        <v>#REF!</v>
      </c>
      <c r="R384" s="17" t="str">
        <f t="shared" si="36"/>
        <v/>
      </c>
    </row>
    <row r="385" spans="1:18" s="29" customFormat="1" ht="31.5">
      <c r="A385" s="28"/>
      <c r="B385" s="67" t="s">
        <v>331</v>
      </c>
      <c r="C385" s="116" t="s">
        <v>332</v>
      </c>
      <c r="D385" s="69" t="s">
        <v>7</v>
      </c>
      <c r="E385" s="69" t="s">
        <v>7</v>
      </c>
      <c r="F385" s="69" t="s">
        <v>8</v>
      </c>
      <c r="G385" s="69" t="s">
        <v>9</v>
      </c>
      <c r="H385" s="70">
        <f>H386+H424</f>
        <v>0</v>
      </c>
      <c r="L385" s="25">
        <v>285569.14</v>
      </c>
      <c r="M385" s="25">
        <v>377029.52</v>
      </c>
      <c r="N385" s="25">
        <v>438474.61</v>
      </c>
      <c r="O385" s="25">
        <f t="shared" si="47"/>
        <v>-285569.14</v>
      </c>
      <c r="P385" s="25" t="e">
        <f>#REF!-M385</f>
        <v>#REF!</v>
      </c>
      <c r="Q385" s="25" t="e">
        <f>#REF!-N385</f>
        <v>#REF!</v>
      </c>
      <c r="R385" s="17" t="str">
        <f t="shared" si="36"/>
        <v>00 0 00 00000000</v>
      </c>
    </row>
    <row r="386" spans="1:18" s="29" customFormat="1" ht="15.75">
      <c r="A386" s="28"/>
      <c r="B386" s="117" t="s">
        <v>10</v>
      </c>
      <c r="C386" s="118" t="s">
        <v>332</v>
      </c>
      <c r="D386" s="119" t="s">
        <v>11</v>
      </c>
      <c r="E386" s="119" t="s">
        <v>7</v>
      </c>
      <c r="F386" s="119" t="s">
        <v>8</v>
      </c>
      <c r="G386" s="119" t="s">
        <v>9</v>
      </c>
      <c r="H386" s="120">
        <f>H387+H404+H409</f>
        <v>0</v>
      </c>
      <c r="L386" s="18">
        <v>110854.14</v>
      </c>
      <c r="M386" s="18">
        <v>153659.52000000002</v>
      </c>
      <c r="N386" s="18">
        <v>176536.61</v>
      </c>
      <c r="O386" s="18">
        <f t="shared" si="47"/>
        <v>-110854.14</v>
      </c>
      <c r="P386" s="18" t="e">
        <f>#REF!-M386</f>
        <v>#REF!</v>
      </c>
      <c r="Q386" s="18" t="e">
        <f>#REF!-N386</f>
        <v>#REF!</v>
      </c>
      <c r="R386" s="17" t="str">
        <f t="shared" si="36"/>
        <v>00 0 00 00000000</v>
      </c>
    </row>
    <row r="387" spans="1:18" s="29" customFormat="1" ht="47.25">
      <c r="A387" s="28"/>
      <c r="B387" s="121" t="s">
        <v>333</v>
      </c>
      <c r="C387" s="122" t="s">
        <v>332</v>
      </c>
      <c r="D387" s="123" t="s">
        <v>11</v>
      </c>
      <c r="E387" s="123" t="s">
        <v>334</v>
      </c>
      <c r="F387" s="123" t="s">
        <v>8</v>
      </c>
      <c r="G387" s="123" t="s">
        <v>9</v>
      </c>
      <c r="H387" s="124">
        <f t="shared" ref="H387:H388" si="48">H388</f>
        <v>0</v>
      </c>
      <c r="L387" s="19">
        <v>45844.87</v>
      </c>
      <c r="M387" s="19">
        <v>44344.87</v>
      </c>
      <c r="N387" s="19">
        <v>44344.87</v>
      </c>
      <c r="O387" s="19">
        <f t="shared" si="47"/>
        <v>-45844.87</v>
      </c>
      <c r="P387" s="19" t="e">
        <f>#REF!-M387</f>
        <v>#REF!</v>
      </c>
      <c r="Q387" s="19" t="e">
        <f>#REF!-N387</f>
        <v>#REF!</v>
      </c>
      <c r="R387" s="17" t="str">
        <f t="shared" si="36"/>
        <v>00 0 00 00000000</v>
      </c>
    </row>
    <row r="388" spans="1:18" s="29" customFormat="1" ht="31.5">
      <c r="A388" s="28"/>
      <c r="B388" s="143" t="s">
        <v>335</v>
      </c>
      <c r="C388" s="109" t="s">
        <v>332</v>
      </c>
      <c r="D388" s="108" t="s">
        <v>11</v>
      </c>
      <c r="E388" s="108" t="s">
        <v>334</v>
      </c>
      <c r="F388" s="108" t="s">
        <v>336</v>
      </c>
      <c r="G388" s="108" t="s">
        <v>9</v>
      </c>
      <c r="H388" s="126">
        <f t="shared" si="48"/>
        <v>0</v>
      </c>
      <c r="L388" s="20">
        <v>45844.87</v>
      </c>
      <c r="M388" s="20">
        <v>44344.87</v>
      </c>
      <c r="N388" s="20">
        <v>44344.87</v>
      </c>
      <c r="O388" s="20">
        <f t="shared" si="47"/>
        <v>-45844.87</v>
      </c>
      <c r="P388" s="20" t="e">
        <f>#REF!-M388</f>
        <v>#REF!</v>
      </c>
      <c r="Q388" s="20" t="e">
        <f>#REF!-N388</f>
        <v>#REF!</v>
      </c>
      <c r="R388" s="17" t="str">
        <f t="shared" si="36"/>
        <v>73 0 00 00000000</v>
      </c>
    </row>
    <row r="389" spans="1:18" s="29" customFormat="1" ht="47.25">
      <c r="A389" s="28"/>
      <c r="B389" s="143" t="s">
        <v>337</v>
      </c>
      <c r="C389" s="109" t="s">
        <v>332</v>
      </c>
      <c r="D389" s="108" t="s">
        <v>11</v>
      </c>
      <c r="E389" s="108" t="s">
        <v>334</v>
      </c>
      <c r="F389" s="108" t="s">
        <v>338</v>
      </c>
      <c r="G389" s="108" t="s">
        <v>9</v>
      </c>
      <c r="H389" s="126">
        <f>H390+H400</f>
        <v>0</v>
      </c>
      <c r="L389" s="20">
        <v>45844.87</v>
      </c>
      <c r="M389" s="20">
        <v>44344.87</v>
      </c>
      <c r="N389" s="20">
        <v>44344.87</v>
      </c>
      <c r="O389" s="20">
        <f t="shared" si="47"/>
        <v>-45844.87</v>
      </c>
      <c r="P389" s="20" t="e">
        <f>#REF!-M389</f>
        <v>#REF!</v>
      </c>
      <c r="Q389" s="20" t="e">
        <f>#REF!-N389</f>
        <v>#REF!</v>
      </c>
      <c r="R389" s="17" t="str">
        <f t="shared" ref="R389:R476" si="49">CONCATENATE(F389,G389)</f>
        <v>73 1 00 00000000</v>
      </c>
    </row>
    <row r="390" spans="1:18" s="29" customFormat="1" ht="31.5">
      <c r="A390" s="28"/>
      <c r="B390" s="144" t="s">
        <v>18</v>
      </c>
      <c r="C390" s="109" t="s">
        <v>332</v>
      </c>
      <c r="D390" s="108" t="s">
        <v>11</v>
      </c>
      <c r="E390" s="108" t="s">
        <v>334</v>
      </c>
      <c r="F390" s="108" t="s">
        <v>339</v>
      </c>
      <c r="G390" s="108" t="s">
        <v>9</v>
      </c>
      <c r="H390" s="126">
        <f>H391+H394+H396</f>
        <v>0</v>
      </c>
      <c r="L390" s="20">
        <v>6243.8</v>
      </c>
      <c r="M390" s="20">
        <v>4743.8</v>
      </c>
      <c r="N390" s="20">
        <v>4743.8</v>
      </c>
      <c r="O390" s="20">
        <f t="shared" si="47"/>
        <v>-6243.8</v>
      </c>
      <c r="P390" s="20" t="e">
        <f>#REF!-M390</f>
        <v>#REF!</v>
      </c>
      <c r="Q390" s="20" t="e">
        <f>#REF!-N390</f>
        <v>#REF!</v>
      </c>
      <c r="R390" s="17" t="str">
        <f t="shared" si="49"/>
        <v>73 1 00 10010000</v>
      </c>
    </row>
    <row r="391" spans="1:18" s="29" customFormat="1" ht="31.5">
      <c r="A391" s="28"/>
      <c r="B391" s="127" t="s">
        <v>20</v>
      </c>
      <c r="C391" s="109" t="s">
        <v>332</v>
      </c>
      <c r="D391" s="108" t="s">
        <v>11</v>
      </c>
      <c r="E391" s="108" t="s">
        <v>334</v>
      </c>
      <c r="F391" s="108" t="s">
        <v>339</v>
      </c>
      <c r="G391" s="108" t="s">
        <v>21</v>
      </c>
      <c r="H391" s="126">
        <f>SUM(H392:H393)</f>
        <v>0</v>
      </c>
      <c r="L391" s="20">
        <v>1291.3399999999999</v>
      </c>
      <c r="M391" s="20">
        <v>1291.3399999999999</v>
      </c>
      <c r="N391" s="20">
        <v>1291.3399999999999</v>
      </c>
      <c r="O391" s="20">
        <f t="shared" si="47"/>
        <v>-1291.3399999999999</v>
      </c>
      <c r="P391" s="20" t="e">
        <f>#REF!-M391</f>
        <v>#REF!</v>
      </c>
      <c r="Q391" s="20" t="e">
        <f>#REF!-N391</f>
        <v>#REF!</v>
      </c>
      <c r="R391" s="17" t="str">
        <f t="shared" si="49"/>
        <v>73 1 00 10010120</v>
      </c>
    </row>
    <row r="392" spans="1:18" s="31" customFormat="1" ht="47.25">
      <c r="A392" s="30"/>
      <c r="B392" s="127" t="s">
        <v>22</v>
      </c>
      <c r="C392" s="109" t="s">
        <v>332</v>
      </c>
      <c r="D392" s="108" t="s">
        <v>11</v>
      </c>
      <c r="E392" s="108" t="s">
        <v>334</v>
      </c>
      <c r="F392" s="108" t="s">
        <v>339</v>
      </c>
      <c r="G392" s="108" t="s">
        <v>23</v>
      </c>
      <c r="H392" s="126"/>
      <c r="L392" s="22"/>
      <c r="M392" s="22"/>
      <c r="N392" s="22"/>
      <c r="O392" s="22"/>
      <c r="P392" s="22"/>
      <c r="Q392" s="22"/>
      <c r="R392" s="24"/>
    </row>
    <row r="393" spans="1:18" s="31" customFormat="1" ht="63">
      <c r="A393" s="30"/>
      <c r="B393" s="127" t="s">
        <v>26</v>
      </c>
      <c r="C393" s="109" t="s">
        <v>332</v>
      </c>
      <c r="D393" s="108" t="s">
        <v>11</v>
      </c>
      <c r="E393" s="108" t="s">
        <v>334</v>
      </c>
      <c r="F393" s="108" t="s">
        <v>339</v>
      </c>
      <c r="G393" s="108" t="s">
        <v>27</v>
      </c>
      <c r="H393" s="126"/>
      <c r="L393" s="22"/>
      <c r="M393" s="22"/>
      <c r="N393" s="22"/>
      <c r="O393" s="22"/>
      <c r="P393" s="22"/>
      <c r="Q393" s="22"/>
      <c r="R393" s="24"/>
    </row>
    <row r="394" spans="1:18" s="29" customFormat="1" ht="31.5">
      <c r="A394" s="28"/>
      <c r="B394" s="125" t="s">
        <v>28</v>
      </c>
      <c r="C394" s="109" t="s">
        <v>332</v>
      </c>
      <c r="D394" s="108" t="s">
        <v>11</v>
      </c>
      <c r="E394" s="108" t="s">
        <v>334</v>
      </c>
      <c r="F394" s="108" t="s">
        <v>339</v>
      </c>
      <c r="G394" s="108" t="s">
        <v>29</v>
      </c>
      <c r="H394" s="126">
        <f>H395</f>
        <v>0</v>
      </c>
      <c r="L394" s="20">
        <v>4891.99</v>
      </c>
      <c r="M394" s="20">
        <v>3391.99</v>
      </c>
      <c r="N394" s="20">
        <v>3391.99</v>
      </c>
      <c r="O394" s="20">
        <f>H394-L394</f>
        <v>-4891.99</v>
      </c>
      <c r="P394" s="20" t="e">
        <f>#REF!-M394</f>
        <v>#REF!</v>
      </c>
      <c r="Q394" s="20" t="e">
        <f>#REF!-N394</f>
        <v>#REF!</v>
      </c>
      <c r="R394" s="17" t="str">
        <f t="shared" si="49"/>
        <v>73 1 00 10010240</v>
      </c>
    </row>
    <row r="395" spans="1:18" s="29" customFormat="1" ht="15.75">
      <c r="A395" s="28"/>
      <c r="B395" s="125" t="s">
        <v>30</v>
      </c>
      <c r="C395" s="109" t="s">
        <v>332</v>
      </c>
      <c r="D395" s="108" t="s">
        <v>11</v>
      </c>
      <c r="E395" s="108" t="s">
        <v>334</v>
      </c>
      <c r="F395" s="108" t="s">
        <v>339</v>
      </c>
      <c r="G395" s="108" t="s">
        <v>31</v>
      </c>
      <c r="H395" s="126"/>
      <c r="L395" s="20"/>
      <c r="M395" s="20"/>
      <c r="N395" s="20"/>
      <c r="O395" s="20"/>
      <c r="P395" s="20"/>
      <c r="Q395" s="20"/>
      <c r="R395" s="17"/>
    </row>
    <row r="396" spans="1:18" s="29" customFormat="1" ht="15.75">
      <c r="A396" s="28"/>
      <c r="B396" s="125" t="s">
        <v>32</v>
      </c>
      <c r="C396" s="109" t="s">
        <v>332</v>
      </c>
      <c r="D396" s="108" t="s">
        <v>11</v>
      </c>
      <c r="E396" s="108" t="s">
        <v>334</v>
      </c>
      <c r="F396" s="108" t="s">
        <v>339</v>
      </c>
      <c r="G396" s="108" t="s">
        <v>33</v>
      </c>
      <c r="H396" s="126">
        <f>SUM(H397:H399)</f>
        <v>0</v>
      </c>
      <c r="L396" s="20">
        <v>60.47</v>
      </c>
      <c r="M396" s="20">
        <v>60.47</v>
      </c>
      <c r="N396" s="20">
        <v>60.47</v>
      </c>
      <c r="O396" s="20">
        <f>H396-L396</f>
        <v>-60.47</v>
      </c>
      <c r="P396" s="20" t="e">
        <f>#REF!-M396</f>
        <v>#REF!</v>
      </c>
      <c r="Q396" s="20" t="e">
        <f>#REF!-N396</f>
        <v>#REF!</v>
      </c>
      <c r="R396" s="17" t="str">
        <f t="shared" si="49"/>
        <v>73 1 00 10010850</v>
      </c>
    </row>
    <row r="397" spans="1:18" s="31" customFormat="1" ht="31.5">
      <c r="A397" s="30"/>
      <c r="B397" s="127" t="s">
        <v>34</v>
      </c>
      <c r="C397" s="109" t="s">
        <v>332</v>
      </c>
      <c r="D397" s="108" t="s">
        <v>11</v>
      </c>
      <c r="E397" s="108" t="s">
        <v>334</v>
      </c>
      <c r="F397" s="108" t="s">
        <v>339</v>
      </c>
      <c r="G397" s="108" t="s">
        <v>35</v>
      </c>
      <c r="H397" s="126"/>
      <c r="L397" s="22"/>
      <c r="M397" s="22"/>
      <c r="N397" s="22"/>
      <c r="O397" s="22"/>
      <c r="P397" s="22"/>
      <c r="Q397" s="22"/>
      <c r="R397" s="24"/>
    </row>
    <row r="398" spans="1:18" s="31" customFormat="1" ht="15.75">
      <c r="A398" s="30"/>
      <c r="B398" s="127" t="s">
        <v>36</v>
      </c>
      <c r="C398" s="109" t="s">
        <v>332</v>
      </c>
      <c r="D398" s="108" t="s">
        <v>11</v>
      </c>
      <c r="E398" s="108" t="s">
        <v>334</v>
      </c>
      <c r="F398" s="108" t="s">
        <v>339</v>
      </c>
      <c r="G398" s="108" t="s">
        <v>37</v>
      </c>
      <c r="H398" s="126"/>
      <c r="L398" s="22"/>
      <c r="M398" s="22"/>
      <c r="N398" s="22"/>
      <c r="O398" s="22"/>
      <c r="P398" s="22"/>
      <c r="Q398" s="22"/>
      <c r="R398" s="24"/>
    </row>
    <row r="399" spans="1:18" s="31" customFormat="1" ht="15.75">
      <c r="A399" s="30"/>
      <c r="B399" s="127" t="s">
        <v>77</v>
      </c>
      <c r="C399" s="109" t="s">
        <v>332</v>
      </c>
      <c r="D399" s="108" t="s">
        <v>11</v>
      </c>
      <c r="E399" s="108" t="s">
        <v>334</v>
      </c>
      <c r="F399" s="108" t="s">
        <v>339</v>
      </c>
      <c r="G399" s="108" t="s">
        <v>78</v>
      </c>
      <c r="H399" s="126"/>
      <c r="L399" s="22"/>
      <c r="M399" s="22"/>
      <c r="N399" s="22"/>
      <c r="O399" s="22"/>
      <c r="P399" s="22"/>
      <c r="Q399" s="22"/>
      <c r="R399" s="24"/>
    </row>
    <row r="400" spans="1:18" s="29" customFormat="1" ht="31.5">
      <c r="A400" s="28"/>
      <c r="B400" s="144" t="s">
        <v>38</v>
      </c>
      <c r="C400" s="109" t="s">
        <v>332</v>
      </c>
      <c r="D400" s="108" t="s">
        <v>11</v>
      </c>
      <c r="E400" s="108" t="s">
        <v>334</v>
      </c>
      <c r="F400" s="108" t="s">
        <v>340</v>
      </c>
      <c r="G400" s="108" t="s">
        <v>9</v>
      </c>
      <c r="H400" s="126">
        <f>H401</f>
        <v>0</v>
      </c>
      <c r="L400" s="20">
        <v>39601.07</v>
      </c>
      <c r="M400" s="20">
        <v>39601.07</v>
      </c>
      <c r="N400" s="20">
        <v>39601.07</v>
      </c>
      <c r="O400" s="20">
        <f>H400-L400</f>
        <v>-39601.07</v>
      </c>
      <c r="P400" s="20" t="e">
        <f>#REF!-M400</f>
        <v>#REF!</v>
      </c>
      <c r="Q400" s="20" t="e">
        <f>#REF!-N400</f>
        <v>#REF!</v>
      </c>
      <c r="R400" s="17" t="str">
        <f t="shared" si="49"/>
        <v>73 1 00 10020000</v>
      </c>
    </row>
    <row r="401" spans="1:18" s="29" customFormat="1" ht="31.5">
      <c r="A401" s="28"/>
      <c r="B401" s="127" t="s">
        <v>20</v>
      </c>
      <c r="C401" s="109" t="s">
        <v>332</v>
      </c>
      <c r="D401" s="108" t="s">
        <v>11</v>
      </c>
      <c r="E401" s="108" t="s">
        <v>334</v>
      </c>
      <c r="F401" s="108" t="s">
        <v>340</v>
      </c>
      <c r="G401" s="108" t="s">
        <v>21</v>
      </c>
      <c r="H401" s="126">
        <f>SUM(H402:H403)</f>
        <v>0</v>
      </c>
      <c r="L401" s="20">
        <v>39601.07</v>
      </c>
      <c r="M401" s="20">
        <v>39601.07</v>
      </c>
      <c r="N401" s="20">
        <v>39601.07</v>
      </c>
      <c r="O401" s="20">
        <f>H401-L401</f>
        <v>-39601.07</v>
      </c>
      <c r="P401" s="20" t="e">
        <f>#REF!-M401</f>
        <v>#REF!</v>
      </c>
      <c r="Q401" s="20" t="e">
        <f>#REF!-N401</f>
        <v>#REF!</v>
      </c>
      <c r="R401" s="17" t="str">
        <f t="shared" si="49"/>
        <v>73 1 00 10020120</v>
      </c>
    </row>
    <row r="402" spans="1:18" s="31" customFormat="1" ht="31.5">
      <c r="A402" s="30"/>
      <c r="B402" s="127" t="s">
        <v>40</v>
      </c>
      <c r="C402" s="109" t="s">
        <v>332</v>
      </c>
      <c r="D402" s="108" t="s">
        <v>11</v>
      </c>
      <c r="E402" s="108" t="s">
        <v>334</v>
      </c>
      <c r="F402" s="108" t="s">
        <v>340</v>
      </c>
      <c r="G402" s="108" t="s">
        <v>41</v>
      </c>
      <c r="H402" s="126"/>
      <c r="L402" s="22"/>
      <c r="M402" s="22"/>
      <c r="N402" s="22"/>
      <c r="O402" s="22"/>
      <c r="P402" s="22"/>
      <c r="Q402" s="22"/>
      <c r="R402" s="24"/>
    </row>
    <row r="403" spans="1:18" s="31" customFormat="1" ht="63">
      <c r="A403" s="30"/>
      <c r="B403" s="127" t="s">
        <v>26</v>
      </c>
      <c r="C403" s="109" t="s">
        <v>332</v>
      </c>
      <c r="D403" s="108" t="s">
        <v>11</v>
      </c>
      <c r="E403" s="108" t="s">
        <v>334</v>
      </c>
      <c r="F403" s="108" t="s">
        <v>340</v>
      </c>
      <c r="G403" s="108" t="s">
        <v>27</v>
      </c>
      <c r="H403" s="126"/>
      <c r="L403" s="22"/>
      <c r="M403" s="22"/>
      <c r="N403" s="22"/>
      <c r="O403" s="22"/>
      <c r="P403" s="22"/>
      <c r="Q403" s="22"/>
      <c r="R403" s="24"/>
    </row>
    <row r="404" spans="1:18" s="29" customFormat="1" ht="15.75">
      <c r="A404" s="28"/>
      <c r="B404" s="121" t="s">
        <v>341</v>
      </c>
      <c r="C404" s="122" t="s">
        <v>332</v>
      </c>
      <c r="D404" s="123" t="s">
        <v>11</v>
      </c>
      <c r="E404" s="123" t="s">
        <v>342</v>
      </c>
      <c r="F404" s="123" t="s">
        <v>8</v>
      </c>
      <c r="G404" s="123" t="s">
        <v>343</v>
      </c>
      <c r="H404" s="124">
        <f>H405</f>
        <v>0</v>
      </c>
      <c r="L404" s="19">
        <v>12775.54</v>
      </c>
      <c r="M404" s="19">
        <v>12775.54</v>
      </c>
      <c r="N404" s="19">
        <v>12775.54</v>
      </c>
      <c r="O404" s="19">
        <f t="shared" ref="O404:O414" si="50">H404-L404</f>
        <v>-12775.54</v>
      </c>
      <c r="P404" s="19" t="e">
        <f>#REF!-M404</f>
        <v>#REF!</v>
      </c>
      <c r="Q404" s="19" t="e">
        <f>#REF!-N404</f>
        <v>#REF!</v>
      </c>
      <c r="R404" s="17" t="str">
        <f t="shared" si="49"/>
        <v xml:space="preserve">00 0 00 00000000 </v>
      </c>
    </row>
    <row r="405" spans="1:18" s="29" customFormat="1" ht="63">
      <c r="A405" s="28"/>
      <c r="B405" s="125" t="s">
        <v>87</v>
      </c>
      <c r="C405" s="109" t="s">
        <v>332</v>
      </c>
      <c r="D405" s="108" t="s">
        <v>11</v>
      </c>
      <c r="E405" s="108" t="s">
        <v>342</v>
      </c>
      <c r="F405" s="108" t="s">
        <v>88</v>
      </c>
      <c r="G405" s="108" t="s">
        <v>9</v>
      </c>
      <c r="H405" s="126">
        <f>H406</f>
        <v>0</v>
      </c>
      <c r="L405" s="20">
        <v>12775.54</v>
      </c>
      <c r="M405" s="20">
        <v>12775.54</v>
      </c>
      <c r="N405" s="20">
        <v>12775.54</v>
      </c>
      <c r="O405" s="20">
        <f t="shared" si="50"/>
        <v>-12775.54</v>
      </c>
      <c r="P405" s="20" t="e">
        <f>#REF!-M405</f>
        <v>#REF!</v>
      </c>
      <c r="Q405" s="20" t="e">
        <f>#REF!-N405</f>
        <v>#REF!</v>
      </c>
      <c r="R405" s="17" t="str">
        <f t="shared" si="49"/>
        <v>98 0 00 00000000</v>
      </c>
    </row>
    <row r="406" spans="1:18" s="29" customFormat="1" ht="15.75">
      <c r="A406" s="28"/>
      <c r="B406" s="125" t="s">
        <v>89</v>
      </c>
      <c r="C406" s="109" t="s">
        <v>332</v>
      </c>
      <c r="D406" s="108" t="s">
        <v>11</v>
      </c>
      <c r="E406" s="108" t="s">
        <v>342</v>
      </c>
      <c r="F406" s="108" t="s">
        <v>90</v>
      </c>
      <c r="G406" s="108" t="s">
        <v>9</v>
      </c>
      <c r="H406" s="126">
        <f>H407</f>
        <v>0</v>
      </c>
      <c r="L406" s="20">
        <v>12775.54</v>
      </c>
      <c r="M406" s="20">
        <v>12775.54</v>
      </c>
      <c r="N406" s="20">
        <v>12775.54</v>
      </c>
      <c r="O406" s="20">
        <f t="shared" si="50"/>
        <v>-12775.54</v>
      </c>
      <c r="P406" s="20" t="e">
        <f>#REF!-M406</f>
        <v>#REF!</v>
      </c>
      <c r="Q406" s="20" t="e">
        <f>#REF!-N406</f>
        <v>#REF!</v>
      </c>
      <c r="R406" s="17" t="str">
        <f t="shared" si="49"/>
        <v>98 1 00 00000000</v>
      </c>
    </row>
    <row r="407" spans="1:18" s="29" customFormat="1" ht="15.75">
      <c r="A407" s="28"/>
      <c r="B407" s="125" t="s">
        <v>344</v>
      </c>
      <c r="C407" s="109" t="s">
        <v>332</v>
      </c>
      <c r="D407" s="108" t="s">
        <v>11</v>
      </c>
      <c r="E407" s="108" t="s">
        <v>342</v>
      </c>
      <c r="F407" s="108" t="s">
        <v>345</v>
      </c>
      <c r="G407" s="108" t="s">
        <v>9</v>
      </c>
      <c r="H407" s="126">
        <f>H408</f>
        <v>0</v>
      </c>
      <c r="L407" s="20">
        <v>12775.54</v>
      </c>
      <c r="M407" s="20">
        <v>12775.54</v>
      </c>
      <c r="N407" s="20">
        <v>12775.54</v>
      </c>
      <c r="O407" s="20">
        <f t="shared" si="50"/>
        <v>-12775.54</v>
      </c>
      <c r="P407" s="20" t="e">
        <f>#REF!-M407</f>
        <v>#REF!</v>
      </c>
      <c r="Q407" s="20" t="e">
        <f>#REF!-N407</f>
        <v>#REF!</v>
      </c>
      <c r="R407" s="17" t="str">
        <f t="shared" si="49"/>
        <v>98 1 00 20020000</v>
      </c>
    </row>
    <row r="408" spans="1:18" s="29" customFormat="1" ht="15.75">
      <c r="A408" s="28"/>
      <c r="B408" s="125" t="s">
        <v>346</v>
      </c>
      <c r="C408" s="109" t="s">
        <v>332</v>
      </c>
      <c r="D408" s="108" t="s">
        <v>11</v>
      </c>
      <c r="E408" s="108" t="s">
        <v>342</v>
      </c>
      <c r="F408" s="108" t="s">
        <v>345</v>
      </c>
      <c r="G408" s="108" t="s">
        <v>347</v>
      </c>
      <c r="H408" s="126"/>
      <c r="L408" s="20">
        <v>12775.54</v>
      </c>
      <c r="M408" s="20">
        <v>12775.54</v>
      </c>
      <c r="N408" s="20">
        <v>12775.54</v>
      </c>
      <c r="O408" s="20">
        <f t="shared" si="50"/>
        <v>-12775.54</v>
      </c>
      <c r="P408" s="20" t="e">
        <f>#REF!-M408</f>
        <v>#REF!</v>
      </c>
      <c r="Q408" s="20" t="e">
        <f>#REF!-N408</f>
        <v>#REF!</v>
      </c>
      <c r="R408" s="17" t="str">
        <f t="shared" si="49"/>
        <v>98 1 00 20020870</v>
      </c>
    </row>
    <row r="409" spans="1:18" s="29" customFormat="1" ht="15.75">
      <c r="A409" s="28"/>
      <c r="B409" s="121" t="s">
        <v>50</v>
      </c>
      <c r="C409" s="122" t="s">
        <v>332</v>
      </c>
      <c r="D409" s="123" t="s">
        <v>11</v>
      </c>
      <c r="E409" s="123" t="s">
        <v>51</v>
      </c>
      <c r="F409" s="123" t="s">
        <v>8</v>
      </c>
      <c r="G409" s="123" t="s">
        <v>9</v>
      </c>
      <c r="H409" s="124">
        <f>H416+H410</f>
        <v>0</v>
      </c>
      <c r="L409" s="19">
        <v>52233.729999999996</v>
      </c>
      <c r="M409" s="19">
        <v>96539.11</v>
      </c>
      <c r="N409" s="19">
        <v>119416.2</v>
      </c>
      <c r="O409" s="19">
        <f t="shared" si="50"/>
        <v>-52233.729999999996</v>
      </c>
      <c r="P409" s="19" t="e">
        <f>#REF!-M409</f>
        <v>#REF!</v>
      </c>
      <c r="Q409" s="19" t="e">
        <f>#REF!-N409</f>
        <v>#REF!</v>
      </c>
      <c r="R409" s="17" t="str">
        <f t="shared" si="49"/>
        <v>00 0 00 00000000</v>
      </c>
    </row>
    <row r="410" spans="1:18" s="29" customFormat="1" ht="47.25">
      <c r="A410" s="28"/>
      <c r="B410" s="127" t="s">
        <v>348</v>
      </c>
      <c r="C410" s="109" t="s">
        <v>332</v>
      </c>
      <c r="D410" s="108" t="s">
        <v>11</v>
      </c>
      <c r="E410" s="108" t="s">
        <v>51</v>
      </c>
      <c r="F410" s="108" t="s">
        <v>349</v>
      </c>
      <c r="G410" s="108" t="s">
        <v>9</v>
      </c>
      <c r="H410" s="126">
        <f t="shared" ref="H410:H413" si="51">H411</f>
        <v>0</v>
      </c>
      <c r="L410" s="20">
        <v>3544.42</v>
      </c>
      <c r="M410" s="20">
        <v>9744.42</v>
      </c>
      <c r="N410" s="20">
        <v>9744.42</v>
      </c>
      <c r="O410" s="20">
        <f t="shared" si="50"/>
        <v>-3544.42</v>
      </c>
      <c r="P410" s="20" t="e">
        <f>#REF!-M410</f>
        <v>#REF!</v>
      </c>
      <c r="Q410" s="20" t="e">
        <f>#REF!-N410</f>
        <v>#REF!</v>
      </c>
      <c r="R410" s="17" t="str">
        <f t="shared" si="49"/>
        <v>10 0 00 00000000</v>
      </c>
    </row>
    <row r="411" spans="1:18" s="29" customFormat="1" ht="47.25">
      <c r="A411" s="28"/>
      <c r="B411" s="127" t="s">
        <v>350</v>
      </c>
      <c r="C411" s="109" t="s">
        <v>332</v>
      </c>
      <c r="D411" s="108" t="s">
        <v>11</v>
      </c>
      <c r="E411" s="108" t="s">
        <v>51</v>
      </c>
      <c r="F411" s="108" t="s">
        <v>351</v>
      </c>
      <c r="G411" s="108" t="s">
        <v>9</v>
      </c>
      <c r="H411" s="126">
        <f t="shared" si="51"/>
        <v>0</v>
      </c>
      <c r="L411" s="20">
        <v>3544.42</v>
      </c>
      <c r="M411" s="20">
        <v>9744.42</v>
      </c>
      <c r="N411" s="20">
        <v>9744.42</v>
      </c>
      <c r="O411" s="20">
        <f t="shared" si="50"/>
        <v>-3544.42</v>
      </c>
      <c r="P411" s="20" t="e">
        <f>#REF!-M411</f>
        <v>#REF!</v>
      </c>
      <c r="Q411" s="20" t="e">
        <f>#REF!-N411</f>
        <v>#REF!</v>
      </c>
      <c r="R411" s="17" t="str">
        <f t="shared" si="49"/>
        <v>10 Б 00 00000000</v>
      </c>
    </row>
    <row r="412" spans="1:18" s="29" customFormat="1" ht="78.75">
      <c r="A412" s="28"/>
      <c r="B412" s="127" t="s">
        <v>352</v>
      </c>
      <c r="C412" s="109" t="s">
        <v>332</v>
      </c>
      <c r="D412" s="108" t="s">
        <v>11</v>
      </c>
      <c r="E412" s="108" t="s">
        <v>51</v>
      </c>
      <c r="F412" s="108" t="s">
        <v>353</v>
      </c>
      <c r="G412" s="108" t="s">
        <v>9</v>
      </c>
      <c r="H412" s="126">
        <f t="shared" si="51"/>
        <v>0</v>
      </c>
      <c r="L412" s="20">
        <v>3544.42</v>
      </c>
      <c r="M412" s="20">
        <v>9744.42</v>
      </c>
      <c r="N412" s="20">
        <v>9744.42</v>
      </c>
      <c r="O412" s="20">
        <f t="shared" si="50"/>
        <v>-3544.42</v>
      </c>
      <c r="P412" s="20" t="e">
        <f>#REF!-M412</f>
        <v>#REF!</v>
      </c>
      <c r="Q412" s="20" t="e">
        <f>#REF!-N412</f>
        <v>#REF!</v>
      </c>
      <c r="R412" s="17" t="str">
        <f t="shared" si="49"/>
        <v>10 Б 01 00000000</v>
      </c>
    </row>
    <row r="413" spans="1:18" s="29" customFormat="1" ht="31.5">
      <c r="A413" s="28"/>
      <c r="B413" s="125" t="s">
        <v>187</v>
      </c>
      <c r="C413" s="109" t="s">
        <v>332</v>
      </c>
      <c r="D413" s="108" t="s">
        <v>11</v>
      </c>
      <c r="E413" s="108" t="s">
        <v>51</v>
      </c>
      <c r="F413" s="108" t="s">
        <v>354</v>
      </c>
      <c r="G413" s="108" t="s">
        <v>9</v>
      </c>
      <c r="H413" s="126">
        <f t="shared" si="51"/>
        <v>0</v>
      </c>
      <c r="L413" s="20">
        <v>3544.42</v>
      </c>
      <c r="M413" s="20">
        <v>9744.42</v>
      </c>
      <c r="N413" s="20">
        <v>9744.42</v>
      </c>
      <c r="O413" s="20">
        <f t="shared" si="50"/>
        <v>-3544.42</v>
      </c>
      <c r="P413" s="20" t="e">
        <f>#REF!-M413</f>
        <v>#REF!</v>
      </c>
      <c r="Q413" s="20" t="e">
        <f>#REF!-N413</f>
        <v>#REF!</v>
      </c>
      <c r="R413" s="17" t="str">
        <f t="shared" si="49"/>
        <v>10 Б 01 20050000</v>
      </c>
    </row>
    <row r="414" spans="1:18" s="29" customFormat="1" ht="15.75">
      <c r="A414" s="28"/>
      <c r="B414" s="125" t="s">
        <v>189</v>
      </c>
      <c r="C414" s="109" t="s">
        <v>332</v>
      </c>
      <c r="D414" s="108" t="s">
        <v>11</v>
      </c>
      <c r="E414" s="108" t="s">
        <v>51</v>
      </c>
      <c r="F414" s="108" t="s">
        <v>354</v>
      </c>
      <c r="G414" s="108" t="s">
        <v>190</v>
      </c>
      <c r="H414" s="126">
        <f>H415</f>
        <v>0</v>
      </c>
      <c r="L414" s="20">
        <v>3544.42</v>
      </c>
      <c r="M414" s="20">
        <v>9744.42</v>
      </c>
      <c r="N414" s="20">
        <v>9744.42</v>
      </c>
      <c r="O414" s="20">
        <f t="shared" si="50"/>
        <v>-3544.42</v>
      </c>
      <c r="P414" s="20" t="e">
        <f>#REF!-M414</f>
        <v>#REF!</v>
      </c>
      <c r="Q414" s="20" t="e">
        <f>#REF!-N414</f>
        <v>#REF!</v>
      </c>
      <c r="R414" s="17" t="str">
        <f t="shared" si="49"/>
        <v>10 Б 01 20050830</v>
      </c>
    </row>
    <row r="415" spans="1:18" s="29" customFormat="1" ht="47.25">
      <c r="A415" s="28"/>
      <c r="B415" s="125" t="s">
        <v>191</v>
      </c>
      <c r="C415" s="109" t="s">
        <v>332</v>
      </c>
      <c r="D415" s="108" t="s">
        <v>11</v>
      </c>
      <c r="E415" s="108" t="s">
        <v>51</v>
      </c>
      <c r="F415" s="108" t="s">
        <v>354</v>
      </c>
      <c r="G415" s="108" t="s">
        <v>192</v>
      </c>
      <c r="H415" s="126"/>
      <c r="L415" s="20"/>
      <c r="M415" s="20"/>
      <c r="N415" s="20"/>
      <c r="O415" s="20"/>
      <c r="P415" s="20"/>
      <c r="Q415" s="20"/>
      <c r="R415" s="17" t="str">
        <f t="shared" si="49"/>
        <v>10 Б 01 20050831</v>
      </c>
    </row>
    <row r="416" spans="1:18" s="29" customFormat="1" ht="63">
      <c r="A416" s="28"/>
      <c r="B416" s="125" t="s">
        <v>87</v>
      </c>
      <c r="C416" s="109" t="s">
        <v>332</v>
      </c>
      <c r="D416" s="108" t="s">
        <v>11</v>
      </c>
      <c r="E416" s="108" t="s">
        <v>51</v>
      </c>
      <c r="F416" s="108" t="s">
        <v>88</v>
      </c>
      <c r="G416" s="108" t="s">
        <v>9</v>
      </c>
      <c r="H416" s="126">
        <f>H417</f>
        <v>0</v>
      </c>
      <c r="L416" s="20">
        <v>48689.31</v>
      </c>
      <c r="M416" s="20">
        <v>86794.69</v>
      </c>
      <c r="N416" s="20">
        <v>109671.78</v>
      </c>
      <c r="O416" s="20">
        <f t="shared" ref="O416:O439" si="52">H416-L416</f>
        <v>-48689.31</v>
      </c>
      <c r="P416" s="20" t="e">
        <f>#REF!-M416</f>
        <v>#REF!</v>
      </c>
      <c r="Q416" s="20" t="e">
        <f>#REF!-N416</f>
        <v>#REF!</v>
      </c>
      <c r="R416" s="17" t="str">
        <f t="shared" si="49"/>
        <v>98 0 00 00000000</v>
      </c>
    </row>
    <row r="417" spans="1:18" s="29" customFormat="1" ht="15.75">
      <c r="A417" s="28"/>
      <c r="B417" s="125" t="s">
        <v>89</v>
      </c>
      <c r="C417" s="109" t="s">
        <v>332</v>
      </c>
      <c r="D417" s="108" t="s">
        <v>11</v>
      </c>
      <c r="E417" s="108" t="s">
        <v>51</v>
      </c>
      <c r="F417" s="108" t="s">
        <v>90</v>
      </c>
      <c r="G417" s="108" t="s">
        <v>9</v>
      </c>
      <c r="H417" s="126">
        <f>H418+H420+H422</f>
        <v>0</v>
      </c>
      <c r="L417" s="20">
        <v>48689.31</v>
      </c>
      <c r="M417" s="20">
        <v>86794.69</v>
      </c>
      <c r="N417" s="20">
        <v>109671.78</v>
      </c>
      <c r="O417" s="20">
        <f t="shared" si="52"/>
        <v>-48689.31</v>
      </c>
      <c r="P417" s="20" t="e">
        <f>#REF!-M417</f>
        <v>#REF!</v>
      </c>
      <c r="Q417" s="20" t="e">
        <f>#REF!-N417</f>
        <v>#REF!</v>
      </c>
      <c r="R417" s="17" t="str">
        <f t="shared" si="49"/>
        <v>98 1 00 00000000</v>
      </c>
    </row>
    <row r="418" spans="1:18" s="29" customFormat="1" ht="47.25">
      <c r="A418" s="28"/>
      <c r="B418" s="125" t="s">
        <v>355</v>
      </c>
      <c r="C418" s="109" t="s">
        <v>332</v>
      </c>
      <c r="D418" s="108" t="s">
        <v>11</v>
      </c>
      <c r="E418" s="108" t="s">
        <v>51</v>
      </c>
      <c r="F418" s="108" t="s">
        <v>356</v>
      </c>
      <c r="G418" s="108" t="s">
        <v>9</v>
      </c>
      <c r="H418" s="126">
        <f>H419</f>
        <v>0</v>
      </c>
      <c r="L418" s="20">
        <v>2000</v>
      </c>
      <c r="M418" s="20">
        <v>2000</v>
      </c>
      <c r="N418" s="20">
        <v>2000</v>
      </c>
      <c r="O418" s="20">
        <f t="shared" si="52"/>
        <v>-2000</v>
      </c>
      <c r="P418" s="20" t="e">
        <f>#REF!-M418</f>
        <v>#REF!</v>
      </c>
      <c r="Q418" s="20" t="e">
        <f>#REF!-N418</f>
        <v>#REF!</v>
      </c>
      <c r="R418" s="17" t="str">
        <f t="shared" si="49"/>
        <v>98 1 00 10050000</v>
      </c>
    </row>
    <row r="419" spans="1:18" s="29" customFormat="1" ht="15.75">
      <c r="A419" s="28"/>
      <c r="B419" s="129" t="s">
        <v>357</v>
      </c>
      <c r="C419" s="109" t="s">
        <v>332</v>
      </c>
      <c r="D419" s="108" t="s">
        <v>11</v>
      </c>
      <c r="E419" s="108" t="s">
        <v>51</v>
      </c>
      <c r="F419" s="108" t="s">
        <v>356</v>
      </c>
      <c r="G419" s="108" t="s">
        <v>358</v>
      </c>
      <c r="H419" s="126"/>
      <c r="L419" s="20">
        <v>2000</v>
      </c>
      <c r="M419" s="20">
        <v>2000</v>
      </c>
      <c r="N419" s="20">
        <v>2000</v>
      </c>
      <c r="O419" s="20">
        <f t="shared" si="52"/>
        <v>-2000</v>
      </c>
      <c r="P419" s="20" t="e">
        <f>#REF!-M419</f>
        <v>#REF!</v>
      </c>
      <c r="Q419" s="20" t="e">
        <f>#REF!-N419</f>
        <v>#REF!</v>
      </c>
      <c r="R419" s="17" t="str">
        <f t="shared" si="49"/>
        <v>98 1 00 10050880</v>
      </c>
    </row>
    <row r="420" spans="1:18" s="29" customFormat="1" ht="63">
      <c r="A420" s="28"/>
      <c r="B420" s="135" t="s">
        <v>359</v>
      </c>
      <c r="C420" s="109" t="s">
        <v>332</v>
      </c>
      <c r="D420" s="108" t="s">
        <v>11</v>
      </c>
      <c r="E420" s="108" t="s">
        <v>51</v>
      </c>
      <c r="F420" s="108" t="s">
        <v>360</v>
      </c>
      <c r="G420" s="108" t="s">
        <v>9</v>
      </c>
      <c r="H420" s="126">
        <f>H421</f>
        <v>0</v>
      </c>
      <c r="L420" s="20">
        <v>33189.31</v>
      </c>
      <c r="M420" s="20">
        <v>68381</v>
      </c>
      <c r="N420" s="20">
        <v>74187.88</v>
      </c>
      <c r="O420" s="20">
        <f t="shared" si="52"/>
        <v>-33189.31</v>
      </c>
      <c r="P420" s="20" t="e">
        <f>#REF!-M420</f>
        <v>#REF!</v>
      </c>
      <c r="Q420" s="20" t="e">
        <f>#REF!-N420</f>
        <v>#REF!</v>
      </c>
      <c r="R420" s="17" t="str">
        <f t="shared" si="49"/>
        <v>98 1 00 21440000</v>
      </c>
    </row>
    <row r="421" spans="1:18" s="29" customFormat="1" ht="15.75">
      <c r="A421" s="28"/>
      <c r="B421" s="129" t="s">
        <v>357</v>
      </c>
      <c r="C421" s="109" t="s">
        <v>332</v>
      </c>
      <c r="D421" s="108" t="s">
        <v>11</v>
      </c>
      <c r="E421" s="108" t="s">
        <v>51</v>
      </c>
      <c r="F421" s="108" t="s">
        <v>360</v>
      </c>
      <c r="G421" s="108" t="s">
        <v>358</v>
      </c>
      <c r="H421" s="126"/>
      <c r="L421" s="20">
        <v>33189.31</v>
      </c>
      <c r="M421" s="20">
        <v>68381</v>
      </c>
      <c r="N421" s="20">
        <v>74187.88</v>
      </c>
      <c r="O421" s="20">
        <f t="shared" si="52"/>
        <v>-33189.31</v>
      </c>
      <c r="P421" s="20" t="e">
        <f>#REF!-M421</f>
        <v>#REF!</v>
      </c>
      <c r="Q421" s="20" t="e">
        <f>#REF!-N421</f>
        <v>#REF!</v>
      </c>
      <c r="R421" s="17" t="str">
        <f t="shared" si="49"/>
        <v>98 1 00 21440880</v>
      </c>
    </row>
    <row r="422" spans="1:18" s="29" customFormat="1" ht="47.25">
      <c r="A422" s="28"/>
      <c r="B422" s="129" t="s">
        <v>361</v>
      </c>
      <c r="C422" s="109" t="s">
        <v>332</v>
      </c>
      <c r="D422" s="108" t="s">
        <v>11</v>
      </c>
      <c r="E422" s="108" t="s">
        <v>51</v>
      </c>
      <c r="F422" s="108" t="s">
        <v>362</v>
      </c>
      <c r="G422" s="108" t="s">
        <v>9</v>
      </c>
      <c r="H422" s="126">
        <f>H423</f>
        <v>0</v>
      </c>
      <c r="L422" s="20">
        <v>13500</v>
      </c>
      <c r="M422" s="20">
        <v>0</v>
      </c>
      <c r="N422" s="20">
        <v>0</v>
      </c>
      <c r="O422" s="20">
        <f t="shared" si="52"/>
        <v>-13500</v>
      </c>
      <c r="P422" s="20" t="e">
        <f>#REF!-M422</f>
        <v>#REF!</v>
      </c>
      <c r="Q422" s="20" t="e">
        <f>#REF!-N422</f>
        <v>#REF!</v>
      </c>
      <c r="R422" s="17" t="str">
        <f t="shared" si="49"/>
        <v>98 1 00 S6420000</v>
      </c>
    </row>
    <row r="423" spans="1:18" s="29" customFormat="1" ht="15.75">
      <c r="A423" s="28"/>
      <c r="B423" s="129" t="s">
        <v>357</v>
      </c>
      <c r="C423" s="109" t="s">
        <v>332</v>
      </c>
      <c r="D423" s="108" t="s">
        <v>11</v>
      </c>
      <c r="E423" s="108" t="s">
        <v>51</v>
      </c>
      <c r="F423" s="108" t="s">
        <v>362</v>
      </c>
      <c r="G423" s="108" t="s">
        <v>358</v>
      </c>
      <c r="H423" s="126"/>
      <c r="L423" s="20">
        <v>13500</v>
      </c>
      <c r="M423" s="20">
        <v>0</v>
      </c>
      <c r="N423" s="20">
        <v>0</v>
      </c>
      <c r="O423" s="20">
        <f t="shared" si="52"/>
        <v>-13500</v>
      </c>
      <c r="P423" s="20" t="e">
        <f>#REF!-M423</f>
        <v>#REF!</v>
      </c>
      <c r="Q423" s="20" t="e">
        <f>#REF!-N423</f>
        <v>#REF!</v>
      </c>
      <c r="R423" s="17" t="str">
        <f t="shared" si="49"/>
        <v>98 1 00 S6420880</v>
      </c>
    </row>
    <row r="424" spans="1:18" s="29" customFormat="1" ht="31.5">
      <c r="A424" s="28"/>
      <c r="B424" s="117" t="s">
        <v>363</v>
      </c>
      <c r="C424" s="118" t="s">
        <v>332</v>
      </c>
      <c r="D424" s="119" t="s">
        <v>51</v>
      </c>
      <c r="E424" s="119" t="s">
        <v>7</v>
      </c>
      <c r="F424" s="119" t="s">
        <v>8</v>
      </c>
      <c r="G424" s="119" t="s">
        <v>9</v>
      </c>
      <c r="H424" s="120">
        <f t="shared" ref="H424:H429" si="53">H425</f>
        <v>0</v>
      </c>
      <c r="L424" s="18">
        <v>174715</v>
      </c>
      <c r="M424" s="18">
        <v>223370</v>
      </c>
      <c r="N424" s="18">
        <v>261938</v>
      </c>
      <c r="O424" s="18">
        <f t="shared" si="52"/>
        <v>-174715</v>
      </c>
      <c r="P424" s="18" t="e">
        <f>#REF!-M424</f>
        <v>#REF!</v>
      </c>
      <c r="Q424" s="18" t="e">
        <f>#REF!-N424</f>
        <v>#REF!</v>
      </c>
      <c r="R424" s="17" t="str">
        <f t="shared" si="49"/>
        <v>00 0 00 00000000</v>
      </c>
    </row>
    <row r="425" spans="1:18" s="29" customFormat="1" ht="31.5">
      <c r="A425" s="28"/>
      <c r="B425" s="121" t="s">
        <v>364</v>
      </c>
      <c r="C425" s="122" t="s">
        <v>332</v>
      </c>
      <c r="D425" s="123" t="s">
        <v>51</v>
      </c>
      <c r="E425" s="123" t="s">
        <v>11</v>
      </c>
      <c r="F425" s="123" t="s">
        <v>8</v>
      </c>
      <c r="G425" s="123" t="s">
        <v>9</v>
      </c>
      <c r="H425" s="124">
        <f t="shared" si="53"/>
        <v>0</v>
      </c>
      <c r="L425" s="19">
        <v>174715</v>
      </c>
      <c r="M425" s="19">
        <v>223370</v>
      </c>
      <c r="N425" s="19">
        <v>261938</v>
      </c>
      <c r="O425" s="19">
        <f t="shared" si="52"/>
        <v>-174715</v>
      </c>
      <c r="P425" s="19" t="e">
        <f>#REF!-M425</f>
        <v>#REF!</v>
      </c>
      <c r="Q425" s="19" t="e">
        <f>#REF!-N425</f>
        <v>#REF!</v>
      </c>
      <c r="R425" s="17" t="str">
        <f t="shared" si="49"/>
        <v>00 0 00 00000000</v>
      </c>
    </row>
    <row r="426" spans="1:18" s="29" customFormat="1" ht="47.25">
      <c r="A426" s="28"/>
      <c r="B426" s="127" t="s">
        <v>348</v>
      </c>
      <c r="C426" s="109" t="s">
        <v>332</v>
      </c>
      <c r="D426" s="108" t="s">
        <v>51</v>
      </c>
      <c r="E426" s="108" t="s">
        <v>11</v>
      </c>
      <c r="F426" s="108" t="s">
        <v>349</v>
      </c>
      <c r="G426" s="108" t="s">
        <v>9</v>
      </c>
      <c r="H426" s="126">
        <f t="shared" si="53"/>
        <v>0</v>
      </c>
      <c r="L426" s="20">
        <v>174715</v>
      </c>
      <c r="M426" s="20">
        <v>223370</v>
      </c>
      <c r="N426" s="20">
        <v>261938</v>
      </c>
      <c r="O426" s="20">
        <f t="shared" si="52"/>
        <v>-174715</v>
      </c>
      <c r="P426" s="20" t="e">
        <f>#REF!-M426</f>
        <v>#REF!</v>
      </c>
      <c r="Q426" s="20" t="e">
        <f>#REF!-N426</f>
        <v>#REF!</v>
      </c>
      <c r="R426" s="17" t="str">
        <f t="shared" si="49"/>
        <v>10 0 00 00000000</v>
      </c>
    </row>
    <row r="427" spans="1:18" s="29" customFormat="1" ht="47.25">
      <c r="A427" s="28"/>
      <c r="B427" s="127" t="s">
        <v>350</v>
      </c>
      <c r="C427" s="109" t="s">
        <v>332</v>
      </c>
      <c r="D427" s="108" t="s">
        <v>51</v>
      </c>
      <c r="E427" s="108" t="s">
        <v>11</v>
      </c>
      <c r="F427" s="108" t="s">
        <v>351</v>
      </c>
      <c r="G427" s="108" t="s">
        <v>9</v>
      </c>
      <c r="H427" s="126">
        <f t="shared" si="53"/>
        <v>0</v>
      </c>
      <c r="L427" s="20">
        <v>174715</v>
      </c>
      <c r="M427" s="20">
        <v>223370</v>
      </c>
      <c r="N427" s="20">
        <v>261938</v>
      </c>
      <c r="O427" s="20">
        <f t="shared" si="52"/>
        <v>-174715</v>
      </c>
      <c r="P427" s="20" t="e">
        <f>#REF!-M427</f>
        <v>#REF!</v>
      </c>
      <c r="Q427" s="20" t="e">
        <f>#REF!-N427</f>
        <v>#REF!</v>
      </c>
      <c r="R427" s="17" t="str">
        <f t="shared" si="49"/>
        <v>10 Б 00 00000000</v>
      </c>
    </row>
    <row r="428" spans="1:18" s="29" customFormat="1" ht="63">
      <c r="A428" s="28"/>
      <c r="B428" s="127" t="s">
        <v>365</v>
      </c>
      <c r="C428" s="109" t="s">
        <v>332</v>
      </c>
      <c r="D428" s="108" t="s">
        <v>51</v>
      </c>
      <c r="E428" s="108" t="s">
        <v>11</v>
      </c>
      <c r="F428" s="108" t="s">
        <v>366</v>
      </c>
      <c r="G428" s="108" t="s">
        <v>9</v>
      </c>
      <c r="H428" s="126">
        <f t="shared" si="53"/>
        <v>0</v>
      </c>
      <c r="L428" s="20">
        <v>174715</v>
      </c>
      <c r="M428" s="20">
        <v>223370</v>
      </c>
      <c r="N428" s="20">
        <v>261938</v>
      </c>
      <c r="O428" s="20">
        <f t="shared" si="52"/>
        <v>-174715</v>
      </c>
      <c r="P428" s="20" t="e">
        <f>#REF!-M428</f>
        <v>#REF!</v>
      </c>
      <c r="Q428" s="20" t="e">
        <f>#REF!-N428</f>
        <v>#REF!</v>
      </c>
      <c r="R428" s="17" t="str">
        <f t="shared" si="49"/>
        <v>10 Б 02 00000000</v>
      </c>
    </row>
    <row r="429" spans="1:18" s="29" customFormat="1" ht="31.5">
      <c r="A429" s="28"/>
      <c r="B429" s="127" t="s">
        <v>367</v>
      </c>
      <c r="C429" s="109" t="s">
        <v>332</v>
      </c>
      <c r="D429" s="108" t="s">
        <v>51</v>
      </c>
      <c r="E429" s="108" t="s">
        <v>11</v>
      </c>
      <c r="F429" s="108" t="s">
        <v>368</v>
      </c>
      <c r="G429" s="108" t="s">
        <v>9</v>
      </c>
      <c r="H429" s="126">
        <f t="shared" si="53"/>
        <v>0</v>
      </c>
      <c r="L429" s="20">
        <v>174715</v>
      </c>
      <c r="M429" s="20">
        <v>223370</v>
      </c>
      <c r="N429" s="20">
        <v>261938</v>
      </c>
      <c r="O429" s="20">
        <f t="shared" si="52"/>
        <v>-174715</v>
      </c>
      <c r="P429" s="20" t="e">
        <f>#REF!-M429</f>
        <v>#REF!</v>
      </c>
      <c r="Q429" s="20" t="e">
        <f>#REF!-N429</f>
        <v>#REF!</v>
      </c>
      <c r="R429" s="17" t="str">
        <f t="shared" si="49"/>
        <v>10 Б 02 20010000</v>
      </c>
    </row>
    <row r="430" spans="1:18" s="29" customFormat="1" ht="15.75">
      <c r="A430" s="28"/>
      <c r="B430" s="127" t="s">
        <v>369</v>
      </c>
      <c r="C430" s="109" t="s">
        <v>332</v>
      </c>
      <c r="D430" s="108" t="s">
        <v>51</v>
      </c>
      <c r="E430" s="108" t="s">
        <v>11</v>
      </c>
      <c r="F430" s="108" t="s">
        <v>368</v>
      </c>
      <c r="G430" s="108" t="s">
        <v>370</v>
      </c>
      <c r="H430" s="126"/>
      <c r="L430" s="20">
        <v>174715</v>
      </c>
      <c r="M430" s="20">
        <v>223370</v>
      </c>
      <c r="N430" s="20">
        <v>261938</v>
      </c>
      <c r="O430" s="20">
        <f t="shared" si="52"/>
        <v>-174715</v>
      </c>
      <c r="P430" s="20" t="e">
        <f>#REF!-M430</f>
        <v>#REF!</v>
      </c>
      <c r="Q430" s="20" t="e">
        <f>#REF!-N430</f>
        <v>#REF!</v>
      </c>
      <c r="R430" s="17" t="str">
        <f t="shared" si="49"/>
        <v>10 Б 02 20010730</v>
      </c>
    </row>
    <row r="431" spans="1:18" s="29" customFormat="1" ht="15.75">
      <c r="A431" s="28"/>
      <c r="B431" s="127"/>
      <c r="C431" s="109"/>
      <c r="D431" s="108"/>
      <c r="E431" s="108"/>
      <c r="F431" s="108"/>
      <c r="G431" s="108"/>
      <c r="H431" s="126"/>
      <c r="L431" s="20"/>
      <c r="M431" s="20"/>
      <c r="N431" s="20"/>
      <c r="O431" s="20">
        <f t="shared" si="52"/>
        <v>0</v>
      </c>
      <c r="P431" s="20" t="e">
        <f>#REF!-M431</f>
        <v>#REF!</v>
      </c>
      <c r="Q431" s="20" t="e">
        <f>#REF!-N431</f>
        <v>#REF!</v>
      </c>
      <c r="R431" s="17" t="str">
        <f t="shared" si="49"/>
        <v/>
      </c>
    </row>
    <row r="432" spans="1:18" s="16" customFormat="1" ht="31.5">
      <c r="A432" s="14"/>
      <c r="B432" s="67" t="s">
        <v>371</v>
      </c>
      <c r="C432" s="116" t="s">
        <v>372</v>
      </c>
      <c r="D432" s="69" t="s">
        <v>7</v>
      </c>
      <c r="E432" s="69" t="s">
        <v>7</v>
      </c>
      <c r="F432" s="69" t="s">
        <v>8</v>
      </c>
      <c r="G432" s="69" t="s">
        <v>9</v>
      </c>
      <c r="H432" s="70">
        <f>H433+H465+H457</f>
        <v>0</v>
      </c>
      <c r="L432" s="25">
        <v>32190.38</v>
      </c>
      <c r="M432" s="25">
        <v>32190.38</v>
      </c>
      <c r="N432" s="25">
        <v>32190.38</v>
      </c>
      <c r="O432" s="25">
        <f t="shared" si="52"/>
        <v>-32190.38</v>
      </c>
      <c r="P432" s="25" t="e">
        <f>#REF!-M432</f>
        <v>#REF!</v>
      </c>
      <c r="Q432" s="25" t="e">
        <f>#REF!-N432</f>
        <v>#REF!</v>
      </c>
      <c r="R432" s="17" t="str">
        <f t="shared" si="49"/>
        <v>00 0 00 00000000</v>
      </c>
    </row>
    <row r="433" spans="1:18" s="34" customFormat="1" ht="15.75">
      <c r="A433" s="33"/>
      <c r="B433" s="117" t="s">
        <v>10</v>
      </c>
      <c r="C433" s="118" t="s">
        <v>372</v>
      </c>
      <c r="D433" s="119" t="s">
        <v>11</v>
      </c>
      <c r="E433" s="119" t="s">
        <v>7</v>
      </c>
      <c r="F433" s="119" t="s">
        <v>8</v>
      </c>
      <c r="G433" s="119" t="s">
        <v>9</v>
      </c>
      <c r="H433" s="120">
        <f t="shared" ref="H433:H441" si="54">H434</f>
        <v>0</v>
      </c>
      <c r="L433" s="18">
        <v>28843.86</v>
      </c>
      <c r="M433" s="18">
        <v>28843.86</v>
      </c>
      <c r="N433" s="18">
        <v>28843.86</v>
      </c>
      <c r="O433" s="18">
        <f t="shared" si="52"/>
        <v>-28843.86</v>
      </c>
      <c r="P433" s="18" t="e">
        <f>#REF!-M433</f>
        <v>#REF!</v>
      </c>
      <c r="Q433" s="18" t="e">
        <f>#REF!-N433</f>
        <v>#REF!</v>
      </c>
      <c r="R433" s="17" t="str">
        <f t="shared" si="49"/>
        <v>00 0 00 00000000</v>
      </c>
    </row>
    <row r="434" spans="1:18" s="23" customFormat="1" ht="15.75">
      <c r="A434" s="21"/>
      <c r="B434" s="121" t="s">
        <v>50</v>
      </c>
      <c r="C434" s="122" t="s">
        <v>372</v>
      </c>
      <c r="D434" s="123" t="s">
        <v>11</v>
      </c>
      <c r="E434" s="123" t="s">
        <v>51</v>
      </c>
      <c r="F434" s="123" t="s">
        <v>8</v>
      </c>
      <c r="G434" s="123" t="s">
        <v>9</v>
      </c>
      <c r="H434" s="124">
        <f>H441+H435</f>
        <v>0</v>
      </c>
      <c r="L434" s="19">
        <v>28843.86</v>
      </c>
      <c r="M434" s="19">
        <v>28843.86</v>
      </c>
      <c r="N434" s="19">
        <v>28843.86</v>
      </c>
      <c r="O434" s="19">
        <f t="shared" si="52"/>
        <v>-28843.86</v>
      </c>
      <c r="P434" s="19" t="e">
        <f>#REF!-M434</f>
        <v>#REF!</v>
      </c>
      <c r="Q434" s="19" t="e">
        <f>#REF!-N434</f>
        <v>#REF!</v>
      </c>
      <c r="R434" s="17" t="str">
        <f t="shared" si="49"/>
        <v>00 0 00 00000000</v>
      </c>
    </row>
    <row r="435" spans="1:18" s="16" customFormat="1" ht="47.25">
      <c r="A435" s="14"/>
      <c r="B435" s="125" t="s">
        <v>146</v>
      </c>
      <c r="C435" s="109" t="s">
        <v>372</v>
      </c>
      <c r="D435" s="108" t="s">
        <v>11</v>
      </c>
      <c r="E435" s="108" t="s">
        <v>51</v>
      </c>
      <c r="F435" s="108" t="s">
        <v>147</v>
      </c>
      <c r="G435" s="108" t="s">
        <v>9</v>
      </c>
      <c r="H435" s="126">
        <f t="shared" ref="H435:H438" si="55">H436</f>
        <v>0</v>
      </c>
      <c r="L435" s="20">
        <v>7.6499999999999995</v>
      </c>
      <c r="M435" s="20">
        <v>7.6499999999999995</v>
      </c>
      <c r="N435" s="20">
        <v>7.6499999999999995</v>
      </c>
      <c r="O435" s="20">
        <f t="shared" si="52"/>
        <v>-7.6499999999999995</v>
      </c>
      <c r="P435" s="20" t="e">
        <f>#REF!-M435</f>
        <v>#REF!</v>
      </c>
      <c r="Q435" s="20" t="e">
        <f>#REF!-N435</f>
        <v>#REF!</v>
      </c>
      <c r="R435" s="17" t="str">
        <f t="shared" si="49"/>
        <v>15 0 00 00000000</v>
      </c>
    </row>
    <row r="436" spans="1:18" s="16" customFormat="1" ht="31.5">
      <c r="A436" s="14"/>
      <c r="B436" s="125" t="s">
        <v>373</v>
      </c>
      <c r="C436" s="109" t="s">
        <v>372</v>
      </c>
      <c r="D436" s="108" t="s">
        <v>11</v>
      </c>
      <c r="E436" s="108" t="s">
        <v>51</v>
      </c>
      <c r="F436" s="108" t="s">
        <v>169</v>
      </c>
      <c r="G436" s="108" t="s">
        <v>9</v>
      </c>
      <c r="H436" s="126">
        <f t="shared" si="55"/>
        <v>0</v>
      </c>
      <c r="L436" s="20">
        <v>7.6499999999999995</v>
      </c>
      <c r="M436" s="20">
        <v>7.6499999999999995</v>
      </c>
      <c r="N436" s="20">
        <v>7.6499999999999995</v>
      </c>
      <c r="O436" s="20">
        <f t="shared" si="52"/>
        <v>-7.6499999999999995</v>
      </c>
      <c r="P436" s="20" t="e">
        <f>#REF!-M436</f>
        <v>#REF!</v>
      </c>
      <c r="Q436" s="20" t="e">
        <f>#REF!-N436</f>
        <v>#REF!</v>
      </c>
      <c r="R436" s="17" t="str">
        <f t="shared" si="49"/>
        <v>15 3 00 00000000</v>
      </c>
    </row>
    <row r="437" spans="1:18" s="16" customFormat="1" ht="31.5">
      <c r="A437" s="14"/>
      <c r="B437" s="125" t="s">
        <v>374</v>
      </c>
      <c r="C437" s="109" t="s">
        <v>372</v>
      </c>
      <c r="D437" s="108" t="s">
        <v>11</v>
      </c>
      <c r="E437" s="108" t="s">
        <v>51</v>
      </c>
      <c r="F437" s="108" t="s">
        <v>375</v>
      </c>
      <c r="G437" s="108" t="s">
        <v>9</v>
      </c>
      <c r="H437" s="126">
        <f t="shared" si="55"/>
        <v>0</v>
      </c>
      <c r="L437" s="20">
        <v>7.6499999999999995</v>
      </c>
      <c r="M437" s="20">
        <v>7.6499999999999995</v>
      </c>
      <c r="N437" s="20">
        <v>7.6499999999999995</v>
      </c>
      <c r="O437" s="20">
        <f t="shared" si="52"/>
        <v>-7.6499999999999995</v>
      </c>
      <c r="P437" s="20" t="e">
        <f>#REF!-M437</f>
        <v>#REF!</v>
      </c>
      <c r="Q437" s="20" t="e">
        <f>#REF!-N437</f>
        <v>#REF!</v>
      </c>
      <c r="R437" s="17" t="str">
        <f t="shared" si="49"/>
        <v>15 3 01 00000000</v>
      </c>
    </row>
    <row r="438" spans="1:18" s="16" customFormat="1" ht="31.5">
      <c r="A438" s="14"/>
      <c r="B438" s="125" t="s">
        <v>376</v>
      </c>
      <c r="C438" s="109" t="s">
        <v>372</v>
      </c>
      <c r="D438" s="108" t="s">
        <v>11</v>
      </c>
      <c r="E438" s="108" t="s">
        <v>51</v>
      </c>
      <c r="F438" s="108" t="s">
        <v>377</v>
      </c>
      <c r="G438" s="108" t="s">
        <v>9</v>
      </c>
      <c r="H438" s="126">
        <f t="shared" si="55"/>
        <v>0</v>
      </c>
      <c r="L438" s="20">
        <v>7.6499999999999995</v>
      </c>
      <c r="M438" s="20">
        <v>7.6499999999999995</v>
      </c>
      <c r="N438" s="20">
        <v>7.6499999999999995</v>
      </c>
      <c r="O438" s="20">
        <f t="shared" si="52"/>
        <v>-7.6499999999999995</v>
      </c>
      <c r="P438" s="20" t="e">
        <f>#REF!-M438</f>
        <v>#REF!</v>
      </c>
      <c r="Q438" s="20" t="e">
        <f>#REF!-N438</f>
        <v>#REF!</v>
      </c>
      <c r="R438" s="17" t="str">
        <f t="shared" si="49"/>
        <v>15 3 01 20660000</v>
      </c>
    </row>
    <row r="439" spans="1:18" s="16" customFormat="1" ht="31.5">
      <c r="A439" s="14"/>
      <c r="B439" s="125" t="s">
        <v>28</v>
      </c>
      <c r="C439" s="109" t="s">
        <v>372</v>
      </c>
      <c r="D439" s="108" t="s">
        <v>11</v>
      </c>
      <c r="E439" s="108" t="s">
        <v>51</v>
      </c>
      <c r="F439" s="108" t="s">
        <v>377</v>
      </c>
      <c r="G439" s="108" t="s">
        <v>29</v>
      </c>
      <c r="H439" s="126">
        <f>H440</f>
        <v>0</v>
      </c>
      <c r="L439" s="20">
        <v>7.6499999999999995</v>
      </c>
      <c r="M439" s="20">
        <v>7.6499999999999995</v>
      </c>
      <c r="N439" s="20">
        <v>7.6499999999999995</v>
      </c>
      <c r="O439" s="20">
        <f t="shared" si="52"/>
        <v>-7.6499999999999995</v>
      </c>
      <c r="P439" s="20" t="e">
        <f>#REF!-M439</f>
        <v>#REF!</v>
      </c>
      <c r="Q439" s="20" t="e">
        <f>#REF!-N439</f>
        <v>#REF!</v>
      </c>
      <c r="R439" s="17" t="str">
        <f t="shared" si="49"/>
        <v>15 3 01 20660240</v>
      </c>
    </row>
    <row r="440" spans="1:18" s="16" customFormat="1" ht="15.75">
      <c r="A440" s="14"/>
      <c r="B440" s="125" t="s">
        <v>30</v>
      </c>
      <c r="C440" s="109" t="s">
        <v>372</v>
      </c>
      <c r="D440" s="108" t="s">
        <v>11</v>
      </c>
      <c r="E440" s="108" t="s">
        <v>51</v>
      </c>
      <c r="F440" s="108" t="s">
        <v>377</v>
      </c>
      <c r="G440" s="108" t="s">
        <v>31</v>
      </c>
      <c r="H440" s="126"/>
      <c r="L440" s="20"/>
      <c r="M440" s="20"/>
      <c r="N440" s="20"/>
      <c r="O440" s="20"/>
      <c r="P440" s="20"/>
      <c r="Q440" s="20"/>
      <c r="R440" s="17" t="str">
        <f t="shared" si="49"/>
        <v>15 3 01 20660244</v>
      </c>
    </row>
    <row r="441" spans="1:18" s="16" customFormat="1" ht="31.5">
      <c r="A441" s="14"/>
      <c r="B441" s="125" t="s">
        <v>378</v>
      </c>
      <c r="C441" s="109" t="s">
        <v>372</v>
      </c>
      <c r="D441" s="108" t="s">
        <v>11</v>
      </c>
      <c r="E441" s="108" t="s">
        <v>51</v>
      </c>
      <c r="F441" s="108" t="s">
        <v>379</v>
      </c>
      <c r="G441" s="108" t="s">
        <v>9</v>
      </c>
      <c r="H441" s="126">
        <f t="shared" si="54"/>
        <v>0</v>
      </c>
      <c r="L441" s="20">
        <v>28836.21</v>
      </c>
      <c r="M441" s="20">
        <v>28836.21</v>
      </c>
      <c r="N441" s="20">
        <v>28836.21</v>
      </c>
      <c r="O441" s="20">
        <f>H441-L441</f>
        <v>-28836.21</v>
      </c>
      <c r="P441" s="20" t="e">
        <f>#REF!-M441</f>
        <v>#REF!</v>
      </c>
      <c r="Q441" s="20" t="e">
        <f>#REF!-N441</f>
        <v>#REF!</v>
      </c>
      <c r="R441" s="17" t="str">
        <f t="shared" si="49"/>
        <v>74 0 00 00000000</v>
      </c>
    </row>
    <row r="442" spans="1:18" s="16" customFormat="1" ht="47.25">
      <c r="A442" s="14"/>
      <c r="B442" s="125" t="s">
        <v>380</v>
      </c>
      <c r="C442" s="109" t="s">
        <v>372</v>
      </c>
      <c r="D442" s="108" t="s">
        <v>11</v>
      </c>
      <c r="E442" s="108" t="s">
        <v>51</v>
      </c>
      <c r="F442" s="108" t="s">
        <v>381</v>
      </c>
      <c r="G442" s="108" t="s">
        <v>9</v>
      </c>
      <c r="H442" s="126">
        <f>H443+H453</f>
        <v>0</v>
      </c>
      <c r="L442" s="20">
        <v>28836.21</v>
      </c>
      <c r="M442" s="20">
        <v>28836.21</v>
      </c>
      <c r="N442" s="20">
        <v>28836.21</v>
      </c>
      <c r="O442" s="20">
        <f>H442-L442</f>
        <v>-28836.21</v>
      </c>
      <c r="P442" s="20" t="e">
        <f>#REF!-M442</f>
        <v>#REF!</v>
      </c>
      <c r="Q442" s="20" t="e">
        <f>#REF!-N442</f>
        <v>#REF!</v>
      </c>
      <c r="R442" s="17" t="str">
        <f t="shared" si="49"/>
        <v>74 1 00 00000000</v>
      </c>
    </row>
    <row r="443" spans="1:18" s="16" customFormat="1" ht="31.5">
      <c r="A443" s="14"/>
      <c r="B443" s="125" t="s">
        <v>18</v>
      </c>
      <c r="C443" s="109" t="s">
        <v>372</v>
      </c>
      <c r="D443" s="108" t="s">
        <v>11</v>
      </c>
      <c r="E443" s="108" t="s">
        <v>51</v>
      </c>
      <c r="F443" s="108" t="s">
        <v>382</v>
      </c>
      <c r="G443" s="108" t="s">
        <v>9</v>
      </c>
      <c r="H443" s="126">
        <f>H444+H447+H449</f>
        <v>0</v>
      </c>
      <c r="L443" s="20">
        <v>3616.1699999999996</v>
      </c>
      <c r="M443" s="20">
        <v>3616.1699999999996</v>
      </c>
      <c r="N443" s="20">
        <v>3616.1699999999996</v>
      </c>
      <c r="O443" s="20">
        <f>H443-L443</f>
        <v>-3616.1699999999996</v>
      </c>
      <c r="P443" s="20" t="e">
        <f>#REF!-M443</f>
        <v>#REF!</v>
      </c>
      <c r="Q443" s="20" t="e">
        <f>#REF!-N443</f>
        <v>#REF!</v>
      </c>
      <c r="R443" s="17" t="str">
        <f t="shared" si="49"/>
        <v>74 1 00 10010000</v>
      </c>
    </row>
    <row r="444" spans="1:18" s="16" customFormat="1" ht="31.5">
      <c r="A444" s="14"/>
      <c r="B444" s="127" t="s">
        <v>20</v>
      </c>
      <c r="C444" s="109" t="s">
        <v>372</v>
      </c>
      <c r="D444" s="108" t="s">
        <v>11</v>
      </c>
      <c r="E444" s="108" t="s">
        <v>51</v>
      </c>
      <c r="F444" s="108" t="s">
        <v>382</v>
      </c>
      <c r="G444" s="108" t="s">
        <v>21</v>
      </c>
      <c r="H444" s="126">
        <f>SUM(H445:H446)</f>
        <v>0</v>
      </c>
      <c r="L444" s="20">
        <v>757.89</v>
      </c>
      <c r="M444" s="20">
        <v>757.89</v>
      </c>
      <c r="N444" s="20">
        <v>757.89</v>
      </c>
      <c r="O444" s="20">
        <f>H444-L444</f>
        <v>-757.89</v>
      </c>
      <c r="P444" s="20" t="e">
        <f>#REF!-M444</f>
        <v>#REF!</v>
      </c>
      <c r="Q444" s="20" t="e">
        <f>#REF!-N444</f>
        <v>#REF!</v>
      </c>
      <c r="R444" s="17" t="str">
        <f t="shared" si="49"/>
        <v>74 1 00 10010120</v>
      </c>
    </row>
    <row r="445" spans="1:18" s="23" customFormat="1" ht="47.25">
      <c r="A445" s="21"/>
      <c r="B445" s="127" t="s">
        <v>22</v>
      </c>
      <c r="C445" s="109" t="s">
        <v>372</v>
      </c>
      <c r="D445" s="108" t="s">
        <v>11</v>
      </c>
      <c r="E445" s="108" t="s">
        <v>51</v>
      </c>
      <c r="F445" s="108" t="s">
        <v>382</v>
      </c>
      <c r="G445" s="108" t="s">
        <v>23</v>
      </c>
      <c r="H445" s="126"/>
      <c r="L445" s="22"/>
      <c r="M445" s="22"/>
      <c r="N445" s="22"/>
      <c r="O445" s="22"/>
      <c r="P445" s="22"/>
      <c r="Q445" s="22"/>
      <c r="R445" s="24"/>
    </row>
    <row r="446" spans="1:18" s="23" customFormat="1" ht="63">
      <c r="A446" s="21"/>
      <c r="B446" s="127" t="s">
        <v>26</v>
      </c>
      <c r="C446" s="109" t="s">
        <v>372</v>
      </c>
      <c r="D446" s="108" t="s">
        <v>11</v>
      </c>
      <c r="E446" s="108" t="s">
        <v>51</v>
      </c>
      <c r="F446" s="108" t="s">
        <v>382</v>
      </c>
      <c r="G446" s="108" t="s">
        <v>27</v>
      </c>
      <c r="H446" s="126"/>
      <c r="L446" s="22"/>
      <c r="M446" s="22"/>
      <c r="N446" s="22"/>
      <c r="O446" s="22"/>
      <c r="P446" s="22"/>
      <c r="Q446" s="22"/>
      <c r="R446" s="24"/>
    </row>
    <row r="447" spans="1:18" s="16" customFormat="1" ht="31.5">
      <c r="A447" s="14"/>
      <c r="B447" s="125" t="s">
        <v>28</v>
      </c>
      <c r="C447" s="109" t="s">
        <v>372</v>
      </c>
      <c r="D447" s="108" t="s">
        <v>11</v>
      </c>
      <c r="E447" s="108" t="s">
        <v>51</v>
      </c>
      <c r="F447" s="108" t="s">
        <v>382</v>
      </c>
      <c r="G447" s="108" t="s">
        <v>29</v>
      </c>
      <c r="H447" s="126">
        <f>H448</f>
        <v>0</v>
      </c>
      <c r="L447" s="20">
        <v>2842.3199999999997</v>
      </c>
      <c r="M447" s="20">
        <v>2842.3199999999997</v>
      </c>
      <c r="N447" s="20">
        <v>2842.3199999999997</v>
      </c>
      <c r="O447" s="20">
        <f>H447-L447</f>
        <v>-2842.3199999999997</v>
      </c>
      <c r="P447" s="20" t="e">
        <f>#REF!-M447</f>
        <v>#REF!</v>
      </c>
      <c r="Q447" s="20" t="e">
        <f>#REF!-N447</f>
        <v>#REF!</v>
      </c>
      <c r="R447" s="17" t="str">
        <f t="shared" si="49"/>
        <v>74 1 00 10010240</v>
      </c>
    </row>
    <row r="448" spans="1:18" s="16" customFormat="1" ht="15.75">
      <c r="A448" s="14"/>
      <c r="B448" s="125" t="s">
        <v>30</v>
      </c>
      <c r="C448" s="109" t="s">
        <v>372</v>
      </c>
      <c r="D448" s="108" t="s">
        <v>11</v>
      </c>
      <c r="E448" s="108" t="s">
        <v>51</v>
      </c>
      <c r="F448" s="108" t="s">
        <v>382</v>
      </c>
      <c r="G448" s="108" t="s">
        <v>31</v>
      </c>
      <c r="H448" s="126"/>
      <c r="L448" s="20"/>
      <c r="M448" s="20"/>
      <c r="N448" s="20"/>
      <c r="O448" s="20"/>
      <c r="P448" s="20"/>
      <c r="Q448" s="20"/>
      <c r="R448" s="17"/>
    </row>
    <row r="449" spans="1:18" s="16" customFormat="1" ht="15.75">
      <c r="A449" s="14"/>
      <c r="B449" s="125" t="s">
        <v>32</v>
      </c>
      <c r="C449" s="109" t="s">
        <v>372</v>
      </c>
      <c r="D449" s="108" t="s">
        <v>11</v>
      </c>
      <c r="E449" s="108" t="s">
        <v>51</v>
      </c>
      <c r="F449" s="108" t="s">
        <v>382</v>
      </c>
      <c r="G449" s="108" t="s">
        <v>33</v>
      </c>
      <c r="H449" s="126">
        <f>SUM(H450:H452)</f>
        <v>0</v>
      </c>
      <c r="L449" s="20">
        <v>15.96</v>
      </c>
      <c r="M449" s="20">
        <v>15.96</v>
      </c>
      <c r="N449" s="20">
        <v>15.96</v>
      </c>
      <c r="O449" s="20">
        <f>H449-L449</f>
        <v>-15.96</v>
      </c>
      <c r="P449" s="20" t="e">
        <f>#REF!-M449</f>
        <v>#REF!</v>
      </c>
      <c r="Q449" s="20" t="e">
        <f>#REF!-N449</f>
        <v>#REF!</v>
      </c>
      <c r="R449" s="17" t="str">
        <f t="shared" si="49"/>
        <v>74 1 00 10010850</v>
      </c>
    </row>
    <row r="450" spans="1:18" s="23" customFormat="1" ht="31.5">
      <c r="A450" s="21"/>
      <c r="B450" s="127" t="s">
        <v>34</v>
      </c>
      <c r="C450" s="109" t="s">
        <v>372</v>
      </c>
      <c r="D450" s="108" t="s">
        <v>11</v>
      </c>
      <c r="E450" s="108" t="s">
        <v>51</v>
      </c>
      <c r="F450" s="108" t="s">
        <v>382</v>
      </c>
      <c r="G450" s="108" t="s">
        <v>35</v>
      </c>
      <c r="H450" s="126"/>
      <c r="L450" s="22"/>
      <c r="M450" s="22"/>
      <c r="N450" s="22"/>
      <c r="O450" s="22"/>
      <c r="P450" s="22"/>
      <c r="Q450" s="22"/>
      <c r="R450" s="24"/>
    </row>
    <row r="451" spans="1:18" s="23" customFormat="1" ht="15.75">
      <c r="A451" s="21"/>
      <c r="B451" s="127" t="s">
        <v>36</v>
      </c>
      <c r="C451" s="109" t="s">
        <v>372</v>
      </c>
      <c r="D451" s="108" t="s">
        <v>11</v>
      </c>
      <c r="E451" s="108" t="s">
        <v>51</v>
      </c>
      <c r="F451" s="108" t="s">
        <v>382</v>
      </c>
      <c r="G451" s="108" t="s">
        <v>37</v>
      </c>
      <c r="H451" s="126"/>
      <c r="L451" s="22"/>
      <c r="M451" s="22"/>
      <c r="N451" s="22"/>
      <c r="O451" s="22"/>
      <c r="P451" s="22"/>
      <c r="Q451" s="22"/>
      <c r="R451" s="24"/>
    </row>
    <row r="452" spans="1:18" s="23" customFormat="1" ht="15.75">
      <c r="A452" s="21"/>
      <c r="B452" s="127" t="s">
        <v>77</v>
      </c>
      <c r="C452" s="109" t="s">
        <v>372</v>
      </c>
      <c r="D452" s="108" t="s">
        <v>11</v>
      </c>
      <c r="E452" s="108" t="s">
        <v>51</v>
      </c>
      <c r="F452" s="108" t="s">
        <v>382</v>
      </c>
      <c r="G452" s="108" t="s">
        <v>78</v>
      </c>
      <c r="H452" s="126"/>
      <c r="L452" s="22"/>
      <c r="M452" s="22"/>
      <c r="N452" s="22"/>
      <c r="O452" s="22"/>
      <c r="P452" s="22"/>
      <c r="Q452" s="22"/>
      <c r="R452" s="24"/>
    </row>
    <row r="453" spans="1:18" s="16" customFormat="1" ht="31.5">
      <c r="A453" s="14"/>
      <c r="B453" s="125" t="s">
        <v>38</v>
      </c>
      <c r="C453" s="109" t="s">
        <v>372</v>
      </c>
      <c r="D453" s="108" t="s">
        <v>11</v>
      </c>
      <c r="E453" s="108" t="s">
        <v>51</v>
      </c>
      <c r="F453" s="108" t="s">
        <v>383</v>
      </c>
      <c r="G453" s="108" t="s">
        <v>9</v>
      </c>
      <c r="H453" s="126">
        <f>H454</f>
        <v>0</v>
      </c>
      <c r="L453" s="20">
        <v>25220.04</v>
      </c>
      <c r="M453" s="20">
        <v>25220.04</v>
      </c>
      <c r="N453" s="20">
        <v>25220.04</v>
      </c>
      <c r="O453" s="20">
        <f>H453-L453</f>
        <v>-25220.04</v>
      </c>
      <c r="P453" s="20" t="e">
        <f>#REF!-M453</f>
        <v>#REF!</v>
      </c>
      <c r="Q453" s="20" t="e">
        <f>#REF!-N453</f>
        <v>#REF!</v>
      </c>
      <c r="R453" s="17" t="str">
        <f t="shared" si="49"/>
        <v>74 1 00 10020000</v>
      </c>
    </row>
    <row r="454" spans="1:18" s="16" customFormat="1" ht="31.5">
      <c r="A454" s="14"/>
      <c r="B454" s="127" t="s">
        <v>20</v>
      </c>
      <c r="C454" s="109" t="s">
        <v>372</v>
      </c>
      <c r="D454" s="108" t="s">
        <v>11</v>
      </c>
      <c r="E454" s="108" t="s">
        <v>51</v>
      </c>
      <c r="F454" s="108" t="s">
        <v>383</v>
      </c>
      <c r="G454" s="108" t="s">
        <v>21</v>
      </c>
      <c r="H454" s="126">
        <f>SUM(H455:H456)</f>
        <v>0</v>
      </c>
      <c r="L454" s="20">
        <v>25220.04</v>
      </c>
      <c r="M454" s="20">
        <v>25220.04</v>
      </c>
      <c r="N454" s="20">
        <v>25220.04</v>
      </c>
      <c r="O454" s="20">
        <f>H454-L454</f>
        <v>-25220.04</v>
      </c>
      <c r="P454" s="20" t="e">
        <f>#REF!-M454</f>
        <v>#REF!</v>
      </c>
      <c r="Q454" s="20" t="e">
        <f>#REF!-N454</f>
        <v>#REF!</v>
      </c>
      <c r="R454" s="17" t="str">
        <f t="shared" si="49"/>
        <v>74 1 00 10020120</v>
      </c>
    </row>
    <row r="455" spans="1:18" s="23" customFormat="1" ht="31.5">
      <c r="A455" s="21"/>
      <c r="B455" s="127" t="s">
        <v>40</v>
      </c>
      <c r="C455" s="109" t="s">
        <v>372</v>
      </c>
      <c r="D455" s="108" t="s">
        <v>11</v>
      </c>
      <c r="E455" s="108" t="s">
        <v>51</v>
      </c>
      <c r="F455" s="108" t="s">
        <v>383</v>
      </c>
      <c r="G455" s="108" t="s">
        <v>41</v>
      </c>
      <c r="H455" s="126"/>
      <c r="L455" s="22"/>
      <c r="M455" s="22"/>
      <c r="N455" s="22"/>
      <c r="O455" s="22"/>
      <c r="P455" s="22"/>
      <c r="Q455" s="22"/>
      <c r="R455" s="24"/>
    </row>
    <row r="456" spans="1:18" s="23" customFormat="1" ht="63">
      <c r="A456" s="21"/>
      <c r="B456" s="127" t="s">
        <v>26</v>
      </c>
      <c r="C456" s="109" t="s">
        <v>372</v>
      </c>
      <c r="D456" s="108" t="s">
        <v>11</v>
      </c>
      <c r="E456" s="108" t="s">
        <v>51</v>
      </c>
      <c r="F456" s="108" t="s">
        <v>383</v>
      </c>
      <c r="G456" s="108" t="s">
        <v>27</v>
      </c>
      <c r="H456" s="126"/>
      <c r="L456" s="22"/>
      <c r="M456" s="22"/>
      <c r="N456" s="22"/>
      <c r="O456" s="22"/>
      <c r="P456" s="22"/>
      <c r="Q456" s="22"/>
      <c r="R456" s="24"/>
    </row>
    <row r="457" spans="1:18" s="16" customFormat="1" ht="15.75">
      <c r="A457" s="14"/>
      <c r="B457" s="117" t="s">
        <v>237</v>
      </c>
      <c r="C457" s="118" t="s">
        <v>372</v>
      </c>
      <c r="D457" s="119" t="s">
        <v>238</v>
      </c>
      <c r="E457" s="119" t="s">
        <v>7</v>
      </c>
      <c r="F457" s="119" t="s">
        <v>8</v>
      </c>
      <c r="G457" s="119" t="s">
        <v>9</v>
      </c>
      <c r="H457" s="120">
        <f t="shared" ref="H457:H461" si="56">H458</f>
        <v>0</v>
      </c>
      <c r="L457" s="18">
        <v>1096.2</v>
      </c>
      <c r="M457" s="18">
        <v>1096.2</v>
      </c>
      <c r="N457" s="18">
        <v>1096.2</v>
      </c>
      <c r="O457" s="18">
        <f t="shared" ref="O457:O463" si="57">H457-L457</f>
        <v>-1096.2</v>
      </c>
      <c r="P457" s="18" t="e">
        <f>#REF!-M457</f>
        <v>#REF!</v>
      </c>
      <c r="Q457" s="18" t="e">
        <f>#REF!-N457</f>
        <v>#REF!</v>
      </c>
      <c r="R457" s="17" t="str">
        <f t="shared" si="49"/>
        <v>00 0 00 00000000</v>
      </c>
    </row>
    <row r="458" spans="1:18" s="16" customFormat="1" ht="15.75">
      <c r="A458" s="14"/>
      <c r="B458" s="121" t="s">
        <v>239</v>
      </c>
      <c r="C458" s="122" t="s">
        <v>372</v>
      </c>
      <c r="D458" s="123" t="s">
        <v>238</v>
      </c>
      <c r="E458" s="123" t="s">
        <v>11</v>
      </c>
      <c r="F458" s="123" t="s">
        <v>8</v>
      </c>
      <c r="G458" s="123" t="s">
        <v>9</v>
      </c>
      <c r="H458" s="124">
        <f t="shared" si="56"/>
        <v>0</v>
      </c>
      <c r="L458" s="19">
        <v>1096.2</v>
      </c>
      <c r="M458" s="19">
        <v>1096.2</v>
      </c>
      <c r="N458" s="19">
        <v>1096.2</v>
      </c>
      <c r="O458" s="19">
        <f t="shared" si="57"/>
        <v>-1096.2</v>
      </c>
      <c r="P458" s="19" t="e">
        <f>#REF!-M458</f>
        <v>#REF!</v>
      </c>
      <c r="Q458" s="19" t="e">
        <f>#REF!-N458</f>
        <v>#REF!</v>
      </c>
      <c r="R458" s="17" t="str">
        <f t="shared" si="49"/>
        <v>00 0 00 00000000</v>
      </c>
    </row>
    <row r="459" spans="1:18" s="16" customFormat="1" ht="31.5">
      <c r="A459" s="14"/>
      <c r="B459" s="125" t="s">
        <v>240</v>
      </c>
      <c r="C459" s="130" t="s">
        <v>372</v>
      </c>
      <c r="D459" s="131" t="s">
        <v>238</v>
      </c>
      <c r="E459" s="131" t="s">
        <v>11</v>
      </c>
      <c r="F459" s="131" t="s">
        <v>241</v>
      </c>
      <c r="G459" s="131" t="s">
        <v>9</v>
      </c>
      <c r="H459" s="105">
        <f t="shared" si="56"/>
        <v>0</v>
      </c>
      <c r="L459" s="26">
        <v>1096.2</v>
      </c>
      <c r="M459" s="26">
        <v>1096.2</v>
      </c>
      <c r="N459" s="26">
        <v>1096.2</v>
      </c>
      <c r="O459" s="26">
        <f t="shared" si="57"/>
        <v>-1096.2</v>
      </c>
      <c r="P459" s="26" t="e">
        <f>#REF!-M459</f>
        <v>#REF!</v>
      </c>
      <c r="Q459" s="26" t="e">
        <f>#REF!-N459</f>
        <v>#REF!</v>
      </c>
      <c r="R459" s="17" t="str">
        <f t="shared" si="49"/>
        <v>07 0 00 00000000</v>
      </c>
    </row>
    <row r="460" spans="1:18" s="16" customFormat="1" ht="78.75">
      <c r="A460" s="14"/>
      <c r="B460" s="125" t="s">
        <v>384</v>
      </c>
      <c r="C460" s="130" t="s">
        <v>372</v>
      </c>
      <c r="D460" s="131" t="s">
        <v>238</v>
      </c>
      <c r="E460" s="131" t="s">
        <v>11</v>
      </c>
      <c r="F460" s="131" t="s">
        <v>243</v>
      </c>
      <c r="G460" s="131" t="s">
        <v>9</v>
      </c>
      <c r="H460" s="105">
        <f t="shared" si="56"/>
        <v>0</v>
      </c>
      <c r="L460" s="26">
        <v>1096.2</v>
      </c>
      <c r="M460" s="26">
        <v>1096.2</v>
      </c>
      <c r="N460" s="26">
        <v>1096.2</v>
      </c>
      <c r="O460" s="26">
        <f t="shared" si="57"/>
        <v>-1096.2</v>
      </c>
      <c r="P460" s="26" t="e">
        <f>#REF!-M460</f>
        <v>#REF!</v>
      </c>
      <c r="Q460" s="26" t="e">
        <f>#REF!-N460</f>
        <v>#REF!</v>
      </c>
      <c r="R460" s="17" t="str">
        <f t="shared" si="49"/>
        <v>07 1 00 00000000</v>
      </c>
    </row>
    <row r="461" spans="1:18" s="16" customFormat="1" ht="110.25">
      <c r="A461" s="14"/>
      <c r="B461" s="125" t="s">
        <v>244</v>
      </c>
      <c r="C461" s="130" t="s">
        <v>372</v>
      </c>
      <c r="D461" s="131" t="s">
        <v>238</v>
      </c>
      <c r="E461" s="131" t="s">
        <v>11</v>
      </c>
      <c r="F461" s="131" t="s">
        <v>245</v>
      </c>
      <c r="G461" s="131" t="s">
        <v>9</v>
      </c>
      <c r="H461" s="105">
        <f t="shared" si="56"/>
        <v>0</v>
      </c>
      <c r="L461" s="26">
        <v>1096.2</v>
      </c>
      <c r="M461" s="26">
        <v>1096.2</v>
      </c>
      <c r="N461" s="26">
        <v>1096.2</v>
      </c>
      <c r="O461" s="26">
        <f t="shared" si="57"/>
        <v>-1096.2</v>
      </c>
      <c r="P461" s="26" t="e">
        <f>#REF!-M461</f>
        <v>#REF!</v>
      </c>
      <c r="Q461" s="26" t="e">
        <f>#REF!-N461</f>
        <v>#REF!</v>
      </c>
      <c r="R461" s="17" t="str">
        <f t="shared" si="49"/>
        <v>07 1 01 00000000</v>
      </c>
    </row>
    <row r="462" spans="1:18" s="16" customFormat="1" ht="31.5">
      <c r="A462" s="14"/>
      <c r="B462" s="125" t="s">
        <v>246</v>
      </c>
      <c r="C462" s="130" t="s">
        <v>372</v>
      </c>
      <c r="D462" s="131" t="s">
        <v>238</v>
      </c>
      <c r="E462" s="131" t="s">
        <v>11</v>
      </c>
      <c r="F462" s="131" t="s">
        <v>247</v>
      </c>
      <c r="G462" s="131" t="s">
        <v>9</v>
      </c>
      <c r="H462" s="105">
        <f>H463</f>
        <v>0</v>
      </c>
      <c r="L462" s="26">
        <v>1096.2</v>
      </c>
      <c r="M462" s="26">
        <v>1096.2</v>
      </c>
      <c r="N462" s="26">
        <v>1096.2</v>
      </c>
      <c r="O462" s="26">
        <f t="shared" si="57"/>
        <v>-1096.2</v>
      </c>
      <c r="P462" s="26" t="e">
        <f>#REF!-M462</f>
        <v>#REF!</v>
      </c>
      <c r="Q462" s="26" t="e">
        <f>#REF!-N462</f>
        <v>#REF!</v>
      </c>
      <c r="R462" s="17" t="str">
        <f t="shared" si="49"/>
        <v>07 1 01 20060000</v>
      </c>
    </row>
    <row r="463" spans="1:18" s="16" customFormat="1" ht="31.5">
      <c r="A463" s="14"/>
      <c r="B463" s="125" t="s">
        <v>28</v>
      </c>
      <c r="C463" s="130" t="s">
        <v>372</v>
      </c>
      <c r="D463" s="131" t="s">
        <v>238</v>
      </c>
      <c r="E463" s="131" t="s">
        <v>11</v>
      </c>
      <c r="F463" s="131" t="s">
        <v>247</v>
      </c>
      <c r="G463" s="131" t="s">
        <v>29</v>
      </c>
      <c r="H463" s="126">
        <f>H464</f>
        <v>0</v>
      </c>
      <c r="L463" s="20">
        <v>1096.2</v>
      </c>
      <c r="M463" s="20">
        <v>1096.2</v>
      </c>
      <c r="N463" s="20">
        <v>1096.2</v>
      </c>
      <c r="O463" s="20">
        <f t="shared" si="57"/>
        <v>-1096.2</v>
      </c>
      <c r="P463" s="20" t="e">
        <f>#REF!-M463</f>
        <v>#REF!</v>
      </c>
      <c r="Q463" s="20" t="e">
        <f>#REF!-N463</f>
        <v>#REF!</v>
      </c>
      <c r="R463" s="17" t="str">
        <f t="shared" si="49"/>
        <v>07 1 01 20060240</v>
      </c>
    </row>
    <row r="464" spans="1:18" s="16" customFormat="1" ht="15.75">
      <c r="A464" s="14"/>
      <c r="B464" s="125" t="s">
        <v>30</v>
      </c>
      <c r="C464" s="130" t="s">
        <v>372</v>
      </c>
      <c r="D464" s="131" t="s">
        <v>238</v>
      </c>
      <c r="E464" s="131" t="s">
        <v>11</v>
      </c>
      <c r="F464" s="131" t="s">
        <v>247</v>
      </c>
      <c r="G464" s="131" t="s">
        <v>31</v>
      </c>
      <c r="H464" s="126"/>
      <c r="L464" s="20"/>
      <c r="M464" s="20"/>
      <c r="N464" s="20"/>
      <c r="O464" s="20"/>
      <c r="P464" s="20"/>
      <c r="Q464" s="20"/>
      <c r="R464" s="17" t="str">
        <f t="shared" si="49"/>
        <v>07 1 01 20060244</v>
      </c>
    </row>
    <row r="465" spans="1:18" s="34" customFormat="1" ht="15.75">
      <c r="A465" s="33"/>
      <c r="B465" s="117" t="s">
        <v>316</v>
      </c>
      <c r="C465" s="118" t="s">
        <v>372</v>
      </c>
      <c r="D465" s="119" t="s">
        <v>317</v>
      </c>
      <c r="E465" s="119" t="s">
        <v>7</v>
      </c>
      <c r="F465" s="119" t="s">
        <v>8</v>
      </c>
      <c r="G465" s="119" t="s">
        <v>9</v>
      </c>
      <c r="H465" s="120">
        <f t="shared" ref="H465:H470" si="58">H466</f>
        <v>0</v>
      </c>
      <c r="L465" s="18">
        <v>2250.3200000000002</v>
      </c>
      <c r="M465" s="18">
        <v>2250.3200000000002</v>
      </c>
      <c r="N465" s="18">
        <v>2250.3200000000002</v>
      </c>
      <c r="O465" s="18">
        <f t="shared" ref="O465:O471" si="59">H465-L465</f>
        <v>-2250.3200000000002</v>
      </c>
      <c r="P465" s="18" t="e">
        <f>#REF!-M465</f>
        <v>#REF!</v>
      </c>
      <c r="Q465" s="18" t="e">
        <f>#REF!-N465</f>
        <v>#REF!</v>
      </c>
      <c r="R465" s="17" t="str">
        <f t="shared" si="49"/>
        <v>00 0 00 00000000</v>
      </c>
    </row>
    <row r="466" spans="1:18" s="23" customFormat="1" ht="15.75">
      <c r="A466" s="21"/>
      <c r="B466" s="121" t="s">
        <v>318</v>
      </c>
      <c r="C466" s="122" t="s">
        <v>372</v>
      </c>
      <c r="D466" s="123" t="s">
        <v>317</v>
      </c>
      <c r="E466" s="123" t="s">
        <v>13</v>
      </c>
      <c r="F466" s="123" t="s">
        <v>8</v>
      </c>
      <c r="G466" s="123" t="s">
        <v>9</v>
      </c>
      <c r="H466" s="124">
        <f t="shared" si="58"/>
        <v>0</v>
      </c>
      <c r="L466" s="19">
        <v>2250.3200000000002</v>
      </c>
      <c r="M466" s="19">
        <v>2250.3200000000002</v>
      </c>
      <c r="N466" s="19">
        <v>2250.3200000000002</v>
      </c>
      <c r="O466" s="19">
        <f t="shared" si="59"/>
        <v>-2250.3200000000002</v>
      </c>
      <c r="P466" s="19" t="e">
        <f>#REF!-M466</f>
        <v>#REF!</v>
      </c>
      <c r="Q466" s="19" t="e">
        <f>#REF!-N466</f>
        <v>#REF!</v>
      </c>
      <c r="R466" s="17" t="str">
        <f t="shared" si="49"/>
        <v>00 0 00 00000000</v>
      </c>
    </row>
    <row r="467" spans="1:18" s="16" customFormat="1" ht="31.5">
      <c r="A467" s="14"/>
      <c r="B467" s="135" t="s">
        <v>385</v>
      </c>
      <c r="C467" s="109" t="s">
        <v>372</v>
      </c>
      <c r="D467" s="108" t="s">
        <v>317</v>
      </c>
      <c r="E467" s="108" t="s">
        <v>13</v>
      </c>
      <c r="F467" s="108" t="s">
        <v>386</v>
      </c>
      <c r="G467" s="108" t="s">
        <v>9</v>
      </c>
      <c r="H467" s="126">
        <f t="shared" si="58"/>
        <v>0</v>
      </c>
      <c r="L467" s="20">
        <v>2250.3200000000002</v>
      </c>
      <c r="M467" s="20">
        <v>2250.3200000000002</v>
      </c>
      <c r="N467" s="20">
        <v>2250.3200000000002</v>
      </c>
      <c r="O467" s="20">
        <f t="shared" si="59"/>
        <v>-2250.3200000000002</v>
      </c>
      <c r="P467" s="20" t="e">
        <f>#REF!-M467</f>
        <v>#REF!</v>
      </c>
      <c r="Q467" s="20" t="e">
        <f>#REF!-N467</f>
        <v>#REF!</v>
      </c>
      <c r="R467" s="17" t="str">
        <f t="shared" si="49"/>
        <v>03 0 00 00000000</v>
      </c>
    </row>
    <row r="468" spans="1:18" s="16" customFormat="1" ht="63">
      <c r="A468" s="14"/>
      <c r="B468" s="135" t="s">
        <v>387</v>
      </c>
      <c r="C468" s="109" t="s">
        <v>372</v>
      </c>
      <c r="D468" s="108" t="s">
        <v>317</v>
      </c>
      <c r="E468" s="108" t="s">
        <v>13</v>
      </c>
      <c r="F468" s="108" t="s">
        <v>388</v>
      </c>
      <c r="G468" s="108" t="s">
        <v>9</v>
      </c>
      <c r="H468" s="126">
        <f t="shared" si="58"/>
        <v>0</v>
      </c>
      <c r="L468" s="20">
        <v>2250.3200000000002</v>
      </c>
      <c r="M468" s="20">
        <v>2250.3200000000002</v>
      </c>
      <c r="N468" s="20">
        <v>2250.3200000000002</v>
      </c>
      <c r="O468" s="20">
        <f t="shared" si="59"/>
        <v>-2250.3200000000002</v>
      </c>
      <c r="P468" s="20" t="e">
        <f>#REF!-M468</f>
        <v>#REF!</v>
      </c>
      <c r="Q468" s="20" t="e">
        <f>#REF!-N468</f>
        <v>#REF!</v>
      </c>
      <c r="R468" s="17" t="str">
        <f t="shared" si="49"/>
        <v>03 2 00 00000000</v>
      </c>
    </row>
    <row r="469" spans="1:18" s="16" customFormat="1" ht="47.25">
      <c r="A469" s="14"/>
      <c r="B469" s="125" t="s">
        <v>389</v>
      </c>
      <c r="C469" s="109" t="s">
        <v>372</v>
      </c>
      <c r="D469" s="108" t="s">
        <v>317</v>
      </c>
      <c r="E469" s="108" t="s">
        <v>13</v>
      </c>
      <c r="F469" s="108" t="s">
        <v>390</v>
      </c>
      <c r="G469" s="108" t="s">
        <v>9</v>
      </c>
      <c r="H469" s="126">
        <f t="shared" si="58"/>
        <v>0</v>
      </c>
      <c r="L469" s="20">
        <v>2250.3200000000002</v>
      </c>
      <c r="M469" s="20">
        <v>2250.3200000000002</v>
      </c>
      <c r="N469" s="20">
        <v>2250.3200000000002</v>
      </c>
      <c r="O469" s="20">
        <f t="shared" si="59"/>
        <v>-2250.3200000000002</v>
      </c>
      <c r="P469" s="20" t="e">
        <f>#REF!-M469</f>
        <v>#REF!</v>
      </c>
      <c r="Q469" s="20" t="e">
        <f>#REF!-N469</f>
        <v>#REF!</v>
      </c>
      <c r="R469" s="17" t="str">
        <f t="shared" si="49"/>
        <v>03 2 02 00000000</v>
      </c>
    </row>
    <row r="470" spans="1:18" s="16" customFormat="1" ht="31.5">
      <c r="A470" s="14"/>
      <c r="B470" s="125" t="s">
        <v>391</v>
      </c>
      <c r="C470" s="109" t="s">
        <v>372</v>
      </c>
      <c r="D470" s="108" t="s">
        <v>317</v>
      </c>
      <c r="E470" s="108" t="s">
        <v>13</v>
      </c>
      <c r="F470" s="108" t="s">
        <v>392</v>
      </c>
      <c r="G470" s="108" t="s">
        <v>9</v>
      </c>
      <c r="H470" s="126">
        <f t="shared" si="58"/>
        <v>0</v>
      </c>
      <c r="L470" s="20">
        <v>2250.3200000000002</v>
      </c>
      <c r="M470" s="20">
        <v>2250.3200000000002</v>
      </c>
      <c r="N470" s="20">
        <v>2250.3200000000002</v>
      </c>
      <c r="O470" s="20">
        <f t="shared" si="59"/>
        <v>-2250.3200000000002</v>
      </c>
      <c r="P470" s="20" t="e">
        <f>#REF!-M470</f>
        <v>#REF!</v>
      </c>
      <c r="Q470" s="20" t="e">
        <f>#REF!-N470</f>
        <v>#REF!</v>
      </c>
      <c r="R470" s="17" t="str">
        <f t="shared" si="49"/>
        <v>03 2 02 80240000</v>
      </c>
    </row>
    <row r="471" spans="1:18" s="16" customFormat="1" ht="63">
      <c r="A471" s="14"/>
      <c r="B471" s="129" t="s">
        <v>203</v>
      </c>
      <c r="C471" s="109" t="s">
        <v>372</v>
      </c>
      <c r="D471" s="108" t="s">
        <v>317</v>
      </c>
      <c r="E471" s="108" t="s">
        <v>13</v>
      </c>
      <c r="F471" s="108" t="s">
        <v>392</v>
      </c>
      <c r="G471" s="108" t="s">
        <v>204</v>
      </c>
      <c r="H471" s="126">
        <f>H472</f>
        <v>0</v>
      </c>
      <c r="L471" s="20">
        <v>2250.3200000000002</v>
      </c>
      <c r="M471" s="20">
        <v>2250.3200000000002</v>
      </c>
      <c r="N471" s="20">
        <v>2250.3200000000002</v>
      </c>
      <c r="O471" s="20">
        <f t="shared" si="59"/>
        <v>-2250.3200000000002</v>
      </c>
      <c r="P471" s="20" t="e">
        <f>#REF!-M471</f>
        <v>#REF!</v>
      </c>
      <c r="Q471" s="20" t="e">
        <f>#REF!-N471</f>
        <v>#REF!</v>
      </c>
      <c r="R471" s="17" t="str">
        <f t="shared" si="49"/>
        <v>03 2 02 80240810</v>
      </c>
    </row>
    <row r="472" spans="1:18" s="16" customFormat="1" ht="63">
      <c r="A472" s="14"/>
      <c r="B472" s="125" t="s">
        <v>205</v>
      </c>
      <c r="C472" s="109" t="s">
        <v>372</v>
      </c>
      <c r="D472" s="108" t="s">
        <v>317</v>
      </c>
      <c r="E472" s="108" t="s">
        <v>13</v>
      </c>
      <c r="F472" s="108" t="s">
        <v>392</v>
      </c>
      <c r="G472" s="108" t="s">
        <v>206</v>
      </c>
      <c r="H472" s="126"/>
      <c r="L472" s="20"/>
      <c r="M472" s="20"/>
      <c r="N472" s="20"/>
      <c r="O472" s="20"/>
      <c r="P472" s="20"/>
      <c r="Q472" s="20"/>
      <c r="R472" s="17" t="str">
        <f t="shared" si="49"/>
        <v>03 2 02 80240811</v>
      </c>
    </row>
    <row r="473" spans="1:18" s="16" customFormat="1" ht="15.75">
      <c r="A473" s="14"/>
      <c r="B473" s="129"/>
      <c r="C473" s="109"/>
      <c r="D473" s="108"/>
      <c r="E473" s="108"/>
      <c r="F473" s="108"/>
      <c r="G473" s="108"/>
      <c r="H473" s="126"/>
      <c r="L473" s="20"/>
      <c r="M473" s="20"/>
      <c r="N473" s="20"/>
      <c r="O473" s="20">
        <f t="shared" ref="O473:O481" si="60">H473-L473</f>
        <v>0</v>
      </c>
      <c r="P473" s="20" t="e">
        <f>#REF!-M473</f>
        <v>#REF!</v>
      </c>
      <c r="Q473" s="20" t="e">
        <f>#REF!-N473</f>
        <v>#REF!</v>
      </c>
      <c r="R473" s="17" t="str">
        <f t="shared" si="49"/>
        <v/>
      </c>
    </row>
    <row r="474" spans="1:18" s="17" customFormat="1" ht="31.5">
      <c r="A474" s="14"/>
      <c r="B474" s="67" t="s">
        <v>393</v>
      </c>
      <c r="C474" s="116" t="s">
        <v>394</v>
      </c>
      <c r="D474" s="69" t="s">
        <v>7</v>
      </c>
      <c r="E474" s="69" t="s">
        <v>7</v>
      </c>
      <c r="F474" s="69" t="s">
        <v>8</v>
      </c>
      <c r="G474" s="69" t="s">
        <v>9</v>
      </c>
      <c r="H474" s="70">
        <f>H475+H688</f>
        <v>0</v>
      </c>
      <c r="L474" s="25">
        <v>3591355.8200000003</v>
      </c>
      <c r="M474" s="25">
        <v>3544735.11</v>
      </c>
      <c r="N474" s="25">
        <v>3539794.3999999994</v>
      </c>
      <c r="O474" s="25">
        <f t="shared" si="60"/>
        <v>-3591355.8200000003</v>
      </c>
      <c r="P474" s="25" t="e">
        <f>#REF!-M474</f>
        <v>#REF!</v>
      </c>
      <c r="Q474" s="25" t="e">
        <f>#REF!-N474</f>
        <v>#REF!</v>
      </c>
      <c r="R474" s="17" t="str">
        <f t="shared" si="49"/>
        <v>00 0 00 00000000</v>
      </c>
    </row>
    <row r="475" spans="1:18" s="17" customFormat="1" ht="15.75">
      <c r="A475" s="14"/>
      <c r="B475" s="117" t="s">
        <v>228</v>
      </c>
      <c r="C475" s="118" t="s">
        <v>394</v>
      </c>
      <c r="D475" s="119" t="s">
        <v>229</v>
      </c>
      <c r="E475" s="119" t="s">
        <v>7</v>
      </c>
      <c r="F475" s="119" t="s">
        <v>8</v>
      </c>
      <c r="G475" s="119" t="s">
        <v>9</v>
      </c>
      <c r="H475" s="120">
        <f>H476+H517+H621+H637+H584</f>
        <v>0</v>
      </c>
      <c r="L475" s="18">
        <v>3460800.93</v>
      </c>
      <c r="M475" s="18">
        <v>3414180.2199999997</v>
      </c>
      <c r="N475" s="18">
        <v>3409239.5099999993</v>
      </c>
      <c r="O475" s="18">
        <f t="shared" si="60"/>
        <v>-3460800.93</v>
      </c>
      <c r="P475" s="18" t="e">
        <f>#REF!-M475</f>
        <v>#REF!</v>
      </c>
      <c r="Q475" s="18" t="e">
        <f>#REF!-N475</f>
        <v>#REF!</v>
      </c>
      <c r="R475" s="17" t="str">
        <f t="shared" si="49"/>
        <v>00 0 00 00000000</v>
      </c>
    </row>
    <row r="476" spans="1:18" s="17" customFormat="1" ht="15.75">
      <c r="A476" s="14"/>
      <c r="B476" s="121" t="s">
        <v>395</v>
      </c>
      <c r="C476" s="122" t="s">
        <v>394</v>
      </c>
      <c r="D476" s="123" t="s">
        <v>229</v>
      </c>
      <c r="E476" s="123" t="s">
        <v>11</v>
      </c>
      <c r="F476" s="123" t="s">
        <v>8</v>
      </c>
      <c r="G476" s="123" t="s">
        <v>9</v>
      </c>
      <c r="H476" s="124">
        <f>H477+H503+H511+H497</f>
        <v>0</v>
      </c>
      <c r="L476" s="19">
        <v>1467483.43</v>
      </c>
      <c r="M476" s="19">
        <v>1477974.55</v>
      </c>
      <c r="N476" s="19">
        <v>1470182.6999999997</v>
      </c>
      <c r="O476" s="19">
        <f t="shared" si="60"/>
        <v>-1467483.43</v>
      </c>
      <c r="P476" s="19" t="e">
        <f>#REF!-M476</f>
        <v>#REF!</v>
      </c>
      <c r="Q476" s="19" t="e">
        <f>#REF!-N476</f>
        <v>#REF!</v>
      </c>
      <c r="R476" s="17" t="str">
        <f t="shared" si="49"/>
        <v>00 0 00 00000000</v>
      </c>
    </row>
    <row r="477" spans="1:18" s="17" customFormat="1" ht="31.5">
      <c r="A477" s="14"/>
      <c r="B477" s="132" t="s">
        <v>396</v>
      </c>
      <c r="C477" s="109" t="s">
        <v>394</v>
      </c>
      <c r="D477" s="108" t="s">
        <v>229</v>
      </c>
      <c r="E477" s="108" t="s">
        <v>11</v>
      </c>
      <c r="F477" s="108" t="s">
        <v>397</v>
      </c>
      <c r="G477" s="108" t="s">
        <v>9</v>
      </c>
      <c r="H477" s="126">
        <f>H478</f>
        <v>0</v>
      </c>
      <c r="L477" s="20">
        <v>1457551.92</v>
      </c>
      <c r="M477" s="20">
        <v>1451343.04</v>
      </c>
      <c r="N477" s="20">
        <v>1463801.1899999997</v>
      </c>
      <c r="O477" s="20">
        <f t="shared" si="60"/>
        <v>-1457551.92</v>
      </c>
      <c r="P477" s="20" t="e">
        <f>#REF!-M477</f>
        <v>#REF!</v>
      </c>
      <c r="Q477" s="20" t="e">
        <f>#REF!-N477</f>
        <v>#REF!</v>
      </c>
      <c r="R477" s="17" t="str">
        <f t="shared" ref="R477:R573" si="61">CONCATENATE(F477,G477)</f>
        <v>01 0 00 00000000</v>
      </c>
    </row>
    <row r="478" spans="1:18" s="17" customFormat="1" ht="31.5">
      <c r="A478" s="14"/>
      <c r="B478" s="132" t="s">
        <v>398</v>
      </c>
      <c r="C478" s="109" t="s">
        <v>394</v>
      </c>
      <c r="D478" s="108" t="s">
        <v>229</v>
      </c>
      <c r="E478" s="108" t="s">
        <v>11</v>
      </c>
      <c r="F478" s="108" t="s">
        <v>399</v>
      </c>
      <c r="G478" s="108" t="s">
        <v>9</v>
      </c>
      <c r="H478" s="126">
        <f>H479+H493</f>
        <v>0</v>
      </c>
      <c r="L478" s="20">
        <v>1457551.92</v>
      </c>
      <c r="M478" s="20">
        <v>1451343.04</v>
      </c>
      <c r="N478" s="20">
        <v>1463801.1899999997</v>
      </c>
      <c r="O478" s="20">
        <f t="shared" si="60"/>
        <v>-1457551.92</v>
      </c>
      <c r="P478" s="20" t="e">
        <f>#REF!-M478</f>
        <v>#REF!</v>
      </c>
      <c r="Q478" s="20" t="e">
        <f>#REF!-N478</f>
        <v>#REF!</v>
      </c>
      <c r="R478" s="17" t="str">
        <f t="shared" si="61"/>
        <v>01 1 00 00000000</v>
      </c>
    </row>
    <row r="479" spans="1:18" s="17" customFormat="1" ht="47.25">
      <c r="A479" s="14"/>
      <c r="B479" s="132" t="s">
        <v>400</v>
      </c>
      <c r="C479" s="109" t="s">
        <v>394</v>
      </c>
      <c r="D479" s="108" t="s">
        <v>229</v>
      </c>
      <c r="E479" s="108" t="s">
        <v>11</v>
      </c>
      <c r="F479" s="108" t="s">
        <v>401</v>
      </c>
      <c r="G479" s="108" t="s">
        <v>9</v>
      </c>
      <c r="H479" s="126">
        <f>H480+H486</f>
        <v>0</v>
      </c>
      <c r="L479" s="20">
        <v>1425828.23</v>
      </c>
      <c r="M479" s="20">
        <v>1437812.3800000001</v>
      </c>
      <c r="N479" s="20">
        <v>1450270.5299999998</v>
      </c>
      <c r="O479" s="20">
        <f t="shared" si="60"/>
        <v>-1425828.23</v>
      </c>
      <c r="P479" s="20" t="e">
        <f>#REF!-M479</f>
        <v>#REF!</v>
      </c>
      <c r="Q479" s="20" t="e">
        <f>#REF!-N479</f>
        <v>#REF!</v>
      </c>
      <c r="R479" s="17" t="str">
        <f t="shared" si="61"/>
        <v>01 1 01 00000000</v>
      </c>
    </row>
    <row r="480" spans="1:18" s="17" customFormat="1" ht="31.5">
      <c r="A480" s="14"/>
      <c r="B480" s="132" t="s">
        <v>136</v>
      </c>
      <c r="C480" s="109" t="s">
        <v>394</v>
      </c>
      <c r="D480" s="108" t="s">
        <v>229</v>
      </c>
      <c r="E480" s="108" t="s">
        <v>11</v>
      </c>
      <c r="F480" s="108" t="s">
        <v>402</v>
      </c>
      <c r="G480" s="108" t="s">
        <v>9</v>
      </c>
      <c r="H480" s="126">
        <f>H481+H484</f>
        <v>0</v>
      </c>
      <c r="L480" s="20">
        <v>690348.79</v>
      </c>
      <c r="M480" s="20">
        <v>690348.79</v>
      </c>
      <c r="N480" s="20">
        <v>690348.79</v>
      </c>
      <c r="O480" s="20">
        <f t="shared" si="60"/>
        <v>-690348.79</v>
      </c>
      <c r="P480" s="20" t="e">
        <f>#REF!-M480</f>
        <v>#REF!</v>
      </c>
      <c r="Q480" s="20" t="e">
        <f>#REF!-N480</f>
        <v>#REF!</v>
      </c>
      <c r="R480" s="17" t="str">
        <f t="shared" si="61"/>
        <v>01 1 01 11010000</v>
      </c>
    </row>
    <row r="481" spans="1:18" s="17" customFormat="1" ht="15.75">
      <c r="A481" s="14"/>
      <c r="B481" s="132" t="s">
        <v>403</v>
      </c>
      <c r="C481" s="109" t="s">
        <v>394</v>
      </c>
      <c r="D481" s="108" t="s">
        <v>229</v>
      </c>
      <c r="E481" s="108" t="s">
        <v>11</v>
      </c>
      <c r="F481" s="108" t="s">
        <v>402</v>
      </c>
      <c r="G481" s="108" t="s">
        <v>404</v>
      </c>
      <c r="H481" s="126">
        <f>SUM(H482:H483)</f>
        <v>0</v>
      </c>
      <c r="L481" s="20">
        <v>660072.98</v>
      </c>
      <c r="M481" s="20">
        <v>660072.98</v>
      </c>
      <c r="N481" s="20">
        <v>660072.98</v>
      </c>
      <c r="O481" s="20">
        <f t="shared" si="60"/>
        <v>-660072.98</v>
      </c>
      <c r="P481" s="20" t="e">
        <f>#REF!-M481</f>
        <v>#REF!</v>
      </c>
      <c r="Q481" s="20" t="e">
        <f>#REF!-N481</f>
        <v>#REF!</v>
      </c>
      <c r="R481" s="17" t="str">
        <f t="shared" si="61"/>
        <v>01 1 01 11010610</v>
      </c>
    </row>
    <row r="482" spans="1:18" s="24" customFormat="1" ht="63">
      <c r="A482" s="21"/>
      <c r="B482" s="127" t="s">
        <v>405</v>
      </c>
      <c r="C482" s="109" t="s">
        <v>394</v>
      </c>
      <c r="D482" s="108" t="s">
        <v>229</v>
      </c>
      <c r="E482" s="108" t="s">
        <v>11</v>
      </c>
      <c r="F482" s="108" t="s">
        <v>402</v>
      </c>
      <c r="G482" s="108" t="s">
        <v>406</v>
      </c>
      <c r="H482" s="126"/>
      <c r="L482" s="22"/>
      <c r="M482" s="22"/>
      <c r="N482" s="22"/>
      <c r="O482" s="22"/>
      <c r="P482" s="22"/>
      <c r="Q482" s="22"/>
    </row>
    <row r="483" spans="1:18" s="24" customFormat="1" ht="15.75">
      <c r="A483" s="21"/>
      <c r="B483" s="127" t="s">
        <v>407</v>
      </c>
      <c r="C483" s="109" t="s">
        <v>394</v>
      </c>
      <c r="D483" s="108" t="s">
        <v>229</v>
      </c>
      <c r="E483" s="108" t="s">
        <v>11</v>
      </c>
      <c r="F483" s="108" t="s">
        <v>402</v>
      </c>
      <c r="G483" s="108" t="s">
        <v>408</v>
      </c>
      <c r="H483" s="126"/>
      <c r="L483" s="22"/>
      <c r="M483" s="22"/>
      <c r="N483" s="22"/>
      <c r="O483" s="22"/>
      <c r="P483" s="22"/>
      <c r="Q483" s="22"/>
    </row>
    <row r="484" spans="1:18" s="17" customFormat="1" ht="15.75">
      <c r="A484" s="14"/>
      <c r="B484" s="132" t="s">
        <v>409</v>
      </c>
      <c r="C484" s="109" t="s">
        <v>394</v>
      </c>
      <c r="D484" s="108" t="s">
        <v>229</v>
      </c>
      <c r="E484" s="108" t="s">
        <v>11</v>
      </c>
      <c r="F484" s="108" t="s">
        <v>402</v>
      </c>
      <c r="G484" s="108" t="s">
        <v>410</v>
      </c>
      <c r="H484" s="126">
        <f>H485</f>
        <v>0</v>
      </c>
      <c r="L484" s="20">
        <v>30275.81</v>
      </c>
      <c r="M484" s="20">
        <v>30275.81</v>
      </c>
      <c r="N484" s="20">
        <v>30275.81</v>
      </c>
      <c r="O484" s="20">
        <f>H484-L484</f>
        <v>-30275.81</v>
      </c>
      <c r="P484" s="20" t="e">
        <f>#REF!-M484</f>
        <v>#REF!</v>
      </c>
      <c r="Q484" s="20" t="e">
        <f>#REF!-N484</f>
        <v>#REF!</v>
      </c>
      <c r="R484" s="17" t="str">
        <f t="shared" si="61"/>
        <v>01 1 01 11010620</v>
      </c>
    </row>
    <row r="485" spans="1:18" s="24" customFormat="1" ht="63">
      <c r="A485" s="21"/>
      <c r="B485" s="127" t="s">
        <v>411</v>
      </c>
      <c r="C485" s="109" t="s">
        <v>394</v>
      </c>
      <c r="D485" s="108" t="s">
        <v>229</v>
      </c>
      <c r="E485" s="108" t="s">
        <v>11</v>
      </c>
      <c r="F485" s="108" t="s">
        <v>402</v>
      </c>
      <c r="G485" s="108" t="s">
        <v>412</v>
      </c>
      <c r="H485" s="126"/>
      <c r="L485" s="22"/>
      <c r="M485" s="22"/>
      <c r="N485" s="22"/>
      <c r="O485" s="22"/>
      <c r="P485" s="22"/>
      <c r="Q485" s="22"/>
    </row>
    <row r="486" spans="1:18" s="17" customFormat="1" ht="110.25">
      <c r="A486" s="14" t="s">
        <v>80</v>
      </c>
      <c r="B486" s="125" t="s">
        <v>413</v>
      </c>
      <c r="C486" s="109" t="s">
        <v>394</v>
      </c>
      <c r="D486" s="108" t="s">
        <v>229</v>
      </c>
      <c r="E486" s="108" t="s">
        <v>11</v>
      </c>
      <c r="F486" s="108" t="s">
        <v>414</v>
      </c>
      <c r="G486" s="108" t="s">
        <v>9</v>
      </c>
      <c r="H486" s="126">
        <f>H487+H489+H491</f>
        <v>0</v>
      </c>
      <c r="L486" s="20">
        <v>735479.44</v>
      </c>
      <c r="M486" s="20">
        <v>747463.59000000008</v>
      </c>
      <c r="N486" s="20">
        <v>759921.73999999987</v>
      </c>
      <c r="O486" s="20">
        <f>H486-L486</f>
        <v>-735479.44</v>
      </c>
      <c r="P486" s="20" t="e">
        <f>#REF!-M486</f>
        <v>#REF!</v>
      </c>
      <c r="Q486" s="20" t="e">
        <f>#REF!-N486</f>
        <v>#REF!</v>
      </c>
      <c r="R486" s="17" t="str">
        <f t="shared" si="61"/>
        <v>01 1 01 77170000</v>
      </c>
    </row>
    <row r="487" spans="1:18" s="17" customFormat="1" ht="15.75">
      <c r="A487" s="14"/>
      <c r="B487" s="132" t="s">
        <v>403</v>
      </c>
      <c r="C487" s="109" t="s">
        <v>394</v>
      </c>
      <c r="D487" s="108" t="s">
        <v>229</v>
      </c>
      <c r="E487" s="108" t="s">
        <v>11</v>
      </c>
      <c r="F487" s="108" t="s">
        <v>414</v>
      </c>
      <c r="G487" s="108" t="s">
        <v>404</v>
      </c>
      <c r="H487" s="126">
        <f>H488</f>
        <v>0</v>
      </c>
      <c r="L487" s="20">
        <v>697969.32</v>
      </c>
      <c r="M487" s="20">
        <v>709342.29</v>
      </c>
      <c r="N487" s="20">
        <v>721037.94</v>
      </c>
      <c r="O487" s="20">
        <f>H487-L487</f>
        <v>-697969.32</v>
      </c>
      <c r="P487" s="20" t="e">
        <f>#REF!-M487</f>
        <v>#REF!</v>
      </c>
      <c r="Q487" s="20" t="e">
        <f>#REF!-N487</f>
        <v>#REF!</v>
      </c>
      <c r="R487" s="17" t="str">
        <f t="shared" si="61"/>
        <v>01 1 01 77170610</v>
      </c>
    </row>
    <row r="488" spans="1:18" s="24" customFormat="1" ht="63">
      <c r="A488" s="21"/>
      <c r="B488" s="127" t="s">
        <v>405</v>
      </c>
      <c r="C488" s="109" t="s">
        <v>394</v>
      </c>
      <c r="D488" s="108" t="s">
        <v>229</v>
      </c>
      <c r="E488" s="108" t="s">
        <v>11</v>
      </c>
      <c r="F488" s="108" t="s">
        <v>414</v>
      </c>
      <c r="G488" s="108" t="s">
        <v>406</v>
      </c>
      <c r="H488" s="126"/>
      <c r="L488" s="22"/>
      <c r="M488" s="22"/>
      <c r="N488" s="22"/>
      <c r="O488" s="22"/>
      <c r="P488" s="22"/>
      <c r="Q488" s="22"/>
    </row>
    <row r="489" spans="1:18" s="17" customFormat="1" ht="15.75">
      <c r="A489" s="14"/>
      <c r="B489" s="132" t="s">
        <v>409</v>
      </c>
      <c r="C489" s="109" t="s">
        <v>394</v>
      </c>
      <c r="D489" s="108" t="s">
        <v>229</v>
      </c>
      <c r="E489" s="108" t="s">
        <v>11</v>
      </c>
      <c r="F489" s="108" t="s">
        <v>414</v>
      </c>
      <c r="G489" s="108" t="s">
        <v>410</v>
      </c>
      <c r="H489" s="126">
        <f>H490</f>
        <v>0</v>
      </c>
      <c r="L489" s="20">
        <v>32582.5</v>
      </c>
      <c r="M489" s="20">
        <v>33113.4</v>
      </c>
      <c r="N489" s="20">
        <v>33775.699999999997</v>
      </c>
      <c r="O489" s="20">
        <f>H489-L489</f>
        <v>-32582.5</v>
      </c>
      <c r="P489" s="20" t="e">
        <f>#REF!-M489</f>
        <v>#REF!</v>
      </c>
      <c r="Q489" s="20" t="e">
        <f>#REF!-N489</f>
        <v>#REF!</v>
      </c>
      <c r="R489" s="17" t="str">
        <f t="shared" si="61"/>
        <v>01 1 01 77170620</v>
      </c>
    </row>
    <row r="490" spans="1:18" s="24" customFormat="1" ht="63">
      <c r="A490" s="21"/>
      <c r="B490" s="127" t="s">
        <v>411</v>
      </c>
      <c r="C490" s="109" t="s">
        <v>394</v>
      </c>
      <c r="D490" s="108" t="s">
        <v>229</v>
      </c>
      <c r="E490" s="108" t="s">
        <v>11</v>
      </c>
      <c r="F490" s="108" t="s">
        <v>414</v>
      </c>
      <c r="G490" s="108" t="s">
        <v>412</v>
      </c>
      <c r="H490" s="126"/>
      <c r="L490" s="22"/>
      <c r="M490" s="22"/>
      <c r="N490" s="22"/>
      <c r="O490" s="22"/>
      <c r="P490" s="22"/>
      <c r="Q490" s="22"/>
    </row>
    <row r="491" spans="1:18" s="17" customFormat="1" ht="47.25">
      <c r="A491" s="14"/>
      <c r="B491" s="125" t="s">
        <v>182</v>
      </c>
      <c r="C491" s="109" t="s">
        <v>394</v>
      </c>
      <c r="D491" s="108" t="s">
        <v>229</v>
      </c>
      <c r="E491" s="108" t="s">
        <v>11</v>
      </c>
      <c r="F491" s="108" t="s">
        <v>414</v>
      </c>
      <c r="G491" s="108" t="s">
        <v>183</v>
      </c>
      <c r="H491" s="126">
        <f>H492</f>
        <v>0</v>
      </c>
      <c r="L491" s="20">
        <v>4927.62</v>
      </c>
      <c r="M491" s="20">
        <v>5007.8999999999996</v>
      </c>
      <c r="N491" s="20">
        <v>5108.1000000000004</v>
      </c>
      <c r="O491" s="20">
        <f>H491-L491</f>
        <v>-4927.62</v>
      </c>
      <c r="P491" s="20" t="e">
        <f>#REF!-M491</f>
        <v>#REF!</v>
      </c>
      <c r="Q491" s="20" t="e">
        <f>#REF!-N491</f>
        <v>#REF!</v>
      </c>
      <c r="R491" s="17" t="str">
        <f t="shared" si="61"/>
        <v>01 1 01 77170630</v>
      </c>
    </row>
    <row r="492" spans="1:18" s="24" customFormat="1" ht="94.5">
      <c r="A492" s="21"/>
      <c r="B492" s="127" t="s">
        <v>1038</v>
      </c>
      <c r="C492" s="109" t="s">
        <v>394</v>
      </c>
      <c r="D492" s="108" t="s">
        <v>229</v>
      </c>
      <c r="E492" s="108" t="s">
        <v>11</v>
      </c>
      <c r="F492" s="108" t="s">
        <v>414</v>
      </c>
      <c r="G492" s="108" t="s">
        <v>416</v>
      </c>
      <c r="H492" s="126"/>
      <c r="L492" s="22"/>
      <c r="M492" s="22"/>
      <c r="N492" s="22"/>
      <c r="O492" s="22"/>
      <c r="P492" s="22"/>
      <c r="Q492" s="22"/>
    </row>
    <row r="493" spans="1:18" s="17" customFormat="1" ht="78.75">
      <c r="A493" s="14"/>
      <c r="B493" s="125" t="s">
        <v>417</v>
      </c>
      <c r="C493" s="109" t="s">
        <v>394</v>
      </c>
      <c r="D493" s="108" t="s">
        <v>229</v>
      </c>
      <c r="E493" s="108" t="s">
        <v>11</v>
      </c>
      <c r="F493" s="108" t="s">
        <v>418</v>
      </c>
      <c r="G493" s="108" t="s">
        <v>9</v>
      </c>
      <c r="H493" s="126">
        <f>H494</f>
        <v>0</v>
      </c>
      <c r="L493" s="20">
        <v>31723.69</v>
      </c>
      <c r="M493" s="20">
        <v>13530.66</v>
      </c>
      <c r="N493" s="20">
        <v>13530.66</v>
      </c>
      <c r="O493" s="20">
        <f>H493-L493</f>
        <v>-31723.69</v>
      </c>
      <c r="P493" s="20" t="e">
        <f>#REF!-M493</f>
        <v>#REF!</v>
      </c>
      <c r="Q493" s="20" t="e">
        <f>#REF!-N493</f>
        <v>#REF!</v>
      </c>
      <c r="R493" s="17" t="str">
        <f t="shared" si="61"/>
        <v>01 1 06 00000000</v>
      </c>
    </row>
    <row r="494" spans="1:18" s="17" customFormat="1" ht="31.5">
      <c r="A494" s="14"/>
      <c r="B494" s="132" t="s">
        <v>136</v>
      </c>
      <c r="C494" s="109" t="s">
        <v>394</v>
      </c>
      <c r="D494" s="108" t="s">
        <v>229</v>
      </c>
      <c r="E494" s="108" t="s">
        <v>11</v>
      </c>
      <c r="F494" s="108" t="s">
        <v>419</v>
      </c>
      <c r="G494" s="108" t="s">
        <v>9</v>
      </c>
      <c r="H494" s="126">
        <f>H495</f>
        <v>0</v>
      </c>
      <c r="L494" s="20">
        <v>31723.69</v>
      </c>
      <c r="M494" s="20">
        <v>13530.66</v>
      </c>
      <c r="N494" s="20">
        <v>13530.66</v>
      </c>
      <c r="O494" s="20">
        <f>H494-L494</f>
        <v>-31723.69</v>
      </c>
      <c r="P494" s="20" t="e">
        <f>#REF!-M494</f>
        <v>#REF!</v>
      </c>
      <c r="Q494" s="20" t="e">
        <f>#REF!-N494</f>
        <v>#REF!</v>
      </c>
      <c r="R494" s="17" t="str">
        <f t="shared" si="61"/>
        <v>01 1 06 11010000</v>
      </c>
    </row>
    <row r="495" spans="1:18" s="17" customFormat="1" ht="15.75">
      <c r="A495" s="14"/>
      <c r="B495" s="132" t="s">
        <v>403</v>
      </c>
      <c r="C495" s="109" t="s">
        <v>394</v>
      </c>
      <c r="D495" s="108" t="s">
        <v>229</v>
      </c>
      <c r="E495" s="108" t="s">
        <v>11</v>
      </c>
      <c r="F495" s="108" t="s">
        <v>419</v>
      </c>
      <c r="G495" s="108" t="s">
        <v>404</v>
      </c>
      <c r="H495" s="126">
        <f>H496</f>
        <v>0</v>
      </c>
      <c r="L495" s="20">
        <v>31723.69</v>
      </c>
      <c r="M495" s="20">
        <v>13530.66</v>
      </c>
      <c r="N495" s="20">
        <v>13530.66</v>
      </c>
      <c r="O495" s="20">
        <f>H495-L495</f>
        <v>-31723.69</v>
      </c>
      <c r="P495" s="20" t="e">
        <f>#REF!-M495</f>
        <v>#REF!</v>
      </c>
      <c r="Q495" s="20" t="e">
        <f>#REF!-N495</f>
        <v>#REF!</v>
      </c>
      <c r="R495" s="17" t="str">
        <f t="shared" si="61"/>
        <v>01 1 06 11010610</v>
      </c>
    </row>
    <row r="496" spans="1:18" s="24" customFormat="1" ht="15.75">
      <c r="A496" s="21"/>
      <c r="B496" s="127" t="s">
        <v>407</v>
      </c>
      <c r="C496" s="109" t="s">
        <v>394</v>
      </c>
      <c r="D496" s="108" t="s">
        <v>229</v>
      </c>
      <c r="E496" s="108" t="s">
        <v>11</v>
      </c>
      <c r="F496" s="108" t="s">
        <v>419</v>
      </c>
      <c r="G496" s="108" t="s">
        <v>408</v>
      </c>
      <c r="H496" s="126"/>
      <c r="L496" s="22"/>
      <c r="M496" s="22"/>
      <c r="N496" s="22"/>
      <c r="O496" s="22"/>
      <c r="P496" s="22"/>
      <c r="Q496" s="22"/>
    </row>
    <row r="497" spans="1:18" s="17" customFormat="1" ht="47.25">
      <c r="A497" s="14"/>
      <c r="B497" s="132" t="s">
        <v>146</v>
      </c>
      <c r="C497" s="109" t="s">
        <v>394</v>
      </c>
      <c r="D497" s="108" t="s">
        <v>229</v>
      </c>
      <c r="E497" s="108" t="s">
        <v>11</v>
      </c>
      <c r="F497" s="108" t="s">
        <v>147</v>
      </c>
      <c r="G497" s="108" t="s">
        <v>9</v>
      </c>
      <c r="H497" s="126">
        <f>H498</f>
        <v>0</v>
      </c>
      <c r="L497" s="20">
        <v>3550</v>
      </c>
      <c r="M497" s="20">
        <v>20250</v>
      </c>
      <c r="N497" s="20">
        <v>0</v>
      </c>
      <c r="O497" s="20">
        <f>H497-L497</f>
        <v>-3550</v>
      </c>
      <c r="P497" s="20" t="e">
        <f>#REF!-M497</f>
        <v>#REF!</v>
      </c>
      <c r="Q497" s="20" t="e">
        <f>#REF!-N497</f>
        <v>#REF!</v>
      </c>
      <c r="R497" s="17" t="str">
        <f t="shared" si="61"/>
        <v>15 0 00 00000000</v>
      </c>
    </row>
    <row r="498" spans="1:18" s="17" customFormat="1" ht="15.75">
      <c r="A498" s="14"/>
      <c r="B498" s="132" t="s">
        <v>148</v>
      </c>
      <c r="C498" s="109" t="s">
        <v>394</v>
      </c>
      <c r="D498" s="108" t="s">
        <v>229</v>
      </c>
      <c r="E498" s="108" t="s">
        <v>11</v>
      </c>
      <c r="F498" s="108" t="s">
        <v>149</v>
      </c>
      <c r="G498" s="108" t="s">
        <v>9</v>
      </c>
      <c r="H498" s="126">
        <f>H499</f>
        <v>0</v>
      </c>
      <c r="L498" s="20">
        <v>3550</v>
      </c>
      <c r="M498" s="20">
        <v>20250</v>
      </c>
      <c r="N498" s="20">
        <v>0</v>
      </c>
      <c r="O498" s="20">
        <f>H498-L498</f>
        <v>-3550</v>
      </c>
      <c r="P498" s="20" t="e">
        <f>#REF!-M498</f>
        <v>#REF!</v>
      </c>
      <c r="Q498" s="20" t="e">
        <f>#REF!-N498</f>
        <v>#REF!</v>
      </c>
      <c r="R498" s="17" t="str">
        <f t="shared" si="61"/>
        <v>15 1 00 00000000</v>
      </c>
    </row>
    <row r="499" spans="1:18" s="17" customFormat="1" ht="47.25">
      <c r="A499" s="14"/>
      <c r="B499" s="135" t="s">
        <v>273</v>
      </c>
      <c r="C499" s="109" t="s">
        <v>394</v>
      </c>
      <c r="D499" s="108" t="s">
        <v>229</v>
      </c>
      <c r="E499" s="108" t="s">
        <v>11</v>
      </c>
      <c r="F499" s="108" t="s">
        <v>274</v>
      </c>
      <c r="G499" s="108" t="s">
        <v>9</v>
      </c>
      <c r="H499" s="126">
        <f>H500</f>
        <v>0</v>
      </c>
      <c r="L499" s="20">
        <v>3550</v>
      </c>
      <c r="M499" s="20">
        <v>20250</v>
      </c>
      <c r="N499" s="20">
        <v>0</v>
      </c>
      <c r="O499" s="20">
        <f>H499-L499</f>
        <v>-3550</v>
      </c>
      <c r="P499" s="20" t="e">
        <f>#REF!-M499</f>
        <v>#REF!</v>
      </c>
      <c r="Q499" s="20" t="e">
        <f>#REF!-N499</f>
        <v>#REF!</v>
      </c>
      <c r="R499" s="17" t="str">
        <f t="shared" si="61"/>
        <v>15 1 02 00000000</v>
      </c>
    </row>
    <row r="500" spans="1:18" s="17" customFormat="1" ht="47.25">
      <c r="A500" s="14"/>
      <c r="B500" s="132" t="s">
        <v>152</v>
      </c>
      <c r="C500" s="109" t="s">
        <v>394</v>
      </c>
      <c r="D500" s="108" t="s">
        <v>229</v>
      </c>
      <c r="E500" s="108" t="s">
        <v>11</v>
      </c>
      <c r="F500" s="108" t="s">
        <v>275</v>
      </c>
      <c r="G500" s="108" t="s">
        <v>9</v>
      </c>
      <c r="H500" s="126">
        <f>H501</f>
        <v>0</v>
      </c>
      <c r="L500" s="20">
        <v>3550</v>
      </c>
      <c r="M500" s="20">
        <v>20250</v>
      </c>
      <c r="N500" s="20">
        <v>0</v>
      </c>
      <c r="O500" s="20">
        <f>H500-L500</f>
        <v>-3550</v>
      </c>
      <c r="P500" s="20" t="e">
        <f>#REF!-M500</f>
        <v>#REF!</v>
      </c>
      <c r="Q500" s="20" t="e">
        <f>#REF!-N500</f>
        <v>#REF!</v>
      </c>
      <c r="R500" s="17" t="str">
        <f t="shared" si="61"/>
        <v>15 1 02 20350000</v>
      </c>
    </row>
    <row r="501" spans="1:18" s="17" customFormat="1" ht="15.75">
      <c r="A501" s="14"/>
      <c r="B501" s="132" t="s">
        <v>403</v>
      </c>
      <c r="C501" s="109" t="s">
        <v>394</v>
      </c>
      <c r="D501" s="108" t="s">
        <v>229</v>
      </c>
      <c r="E501" s="108" t="s">
        <v>11</v>
      </c>
      <c r="F501" s="108" t="s">
        <v>275</v>
      </c>
      <c r="G501" s="108" t="s">
        <v>404</v>
      </c>
      <c r="H501" s="126">
        <f>H502</f>
        <v>0</v>
      </c>
      <c r="L501" s="20">
        <v>3550</v>
      </c>
      <c r="M501" s="20">
        <v>20250</v>
      </c>
      <c r="N501" s="20">
        <v>0</v>
      </c>
      <c r="O501" s="20">
        <f>H501-L501</f>
        <v>-3550</v>
      </c>
      <c r="P501" s="20" t="e">
        <f>#REF!-M501</f>
        <v>#REF!</v>
      </c>
      <c r="Q501" s="20" t="e">
        <f>#REF!-N501</f>
        <v>#REF!</v>
      </c>
      <c r="R501" s="17" t="str">
        <f t="shared" si="61"/>
        <v>15 1 02 20350610</v>
      </c>
    </row>
    <row r="502" spans="1:18" s="24" customFormat="1" ht="15.75">
      <c r="A502" s="21"/>
      <c r="B502" s="127" t="s">
        <v>407</v>
      </c>
      <c r="C502" s="109" t="s">
        <v>394</v>
      </c>
      <c r="D502" s="108" t="s">
        <v>229</v>
      </c>
      <c r="E502" s="108" t="s">
        <v>11</v>
      </c>
      <c r="F502" s="108" t="s">
        <v>275</v>
      </c>
      <c r="G502" s="108" t="s">
        <v>408</v>
      </c>
      <c r="H502" s="126"/>
      <c r="L502" s="22"/>
      <c r="M502" s="22"/>
      <c r="N502" s="22"/>
      <c r="O502" s="22"/>
      <c r="P502" s="22"/>
      <c r="Q502" s="22"/>
    </row>
    <row r="503" spans="1:18" s="17" customFormat="1" ht="94.5">
      <c r="A503" s="14"/>
      <c r="B503" s="125" t="s">
        <v>420</v>
      </c>
      <c r="C503" s="109" t="s">
        <v>394</v>
      </c>
      <c r="D503" s="108" t="s">
        <v>229</v>
      </c>
      <c r="E503" s="108" t="s">
        <v>11</v>
      </c>
      <c r="F503" s="108" t="s">
        <v>421</v>
      </c>
      <c r="G503" s="108" t="s">
        <v>9</v>
      </c>
      <c r="H503" s="126">
        <f t="shared" ref="H503:H505" si="62">H504</f>
        <v>0</v>
      </c>
      <c r="L503" s="20">
        <v>3842.64</v>
      </c>
      <c r="M503" s="20">
        <v>3842.64</v>
      </c>
      <c r="N503" s="20">
        <v>3842.64</v>
      </c>
      <c r="O503" s="20">
        <f>H503-L503</f>
        <v>-3842.64</v>
      </c>
      <c r="P503" s="20" t="e">
        <f>#REF!-M503</f>
        <v>#REF!</v>
      </c>
      <c r="Q503" s="20" t="e">
        <f>#REF!-N503</f>
        <v>#REF!</v>
      </c>
      <c r="R503" s="17" t="str">
        <f t="shared" si="61"/>
        <v>16 0 00 00000000</v>
      </c>
    </row>
    <row r="504" spans="1:18" s="17" customFormat="1" ht="31.5">
      <c r="A504" s="14"/>
      <c r="B504" s="125" t="s">
        <v>422</v>
      </c>
      <c r="C504" s="109" t="s">
        <v>394</v>
      </c>
      <c r="D504" s="108" t="s">
        <v>229</v>
      </c>
      <c r="E504" s="108" t="s">
        <v>11</v>
      </c>
      <c r="F504" s="108" t="s">
        <v>423</v>
      </c>
      <c r="G504" s="108" t="s">
        <v>9</v>
      </c>
      <c r="H504" s="126">
        <f t="shared" si="62"/>
        <v>0</v>
      </c>
      <c r="L504" s="20">
        <v>3842.64</v>
      </c>
      <c r="M504" s="20">
        <v>3842.64</v>
      </c>
      <c r="N504" s="20">
        <v>3842.64</v>
      </c>
      <c r="O504" s="20">
        <f>H504-L504</f>
        <v>-3842.64</v>
      </c>
      <c r="P504" s="20" t="e">
        <f>#REF!-M504</f>
        <v>#REF!</v>
      </c>
      <c r="Q504" s="20" t="e">
        <f>#REF!-N504</f>
        <v>#REF!</v>
      </c>
      <c r="R504" s="17" t="str">
        <f t="shared" si="61"/>
        <v>16 2 00 00000000</v>
      </c>
    </row>
    <row r="505" spans="1:18" s="17" customFormat="1" ht="47.25">
      <c r="A505" s="14"/>
      <c r="B505" s="125" t="s">
        <v>424</v>
      </c>
      <c r="C505" s="109" t="s">
        <v>394</v>
      </c>
      <c r="D505" s="108" t="s">
        <v>229</v>
      </c>
      <c r="E505" s="108" t="s">
        <v>11</v>
      </c>
      <c r="F505" s="108" t="s">
        <v>425</v>
      </c>
      <c r="G505" s="108" t="s">
        <v>9</v>
      </c>
      <c r="H505" s="126">
        <f t="shared" si="62"/>
        <v>0</v>
      </c>
      <c r="L505" s="20">
        <v>3842.64</v>
      </c>
      <c r="M505" s="20">
        <v>3842.64</v>
      </c>
      <c r="N505" s="20">
        <v>3842.64</v>
      </c>
      <c r="O505" s="20">
        <f>H505-L505</f>
        <v>-3842.64</v>
      </c>
      <c r="P505" s="20" t="e">
        <f>#REF!-M505</f>
        <v>#REF!</v>
      </c>
      <c r="Q505" s="20" t="e">
        <f>#REF!-N505</f>
        <v>#REF!</v>
      </c>
      <c r="R505" s="17" t="str">
        <f t="shared" si="61"/>
        <v>16 2 02 00000000</v>
      </c>
    </row>
    <row r="506" spans="1:18" s="17" customFormat="1" ht="47.25">
      <c r="A506" s="14"/>
      <c r="B506" s="125" t="s">
        <v>426</v>
      </c>
      <c r="C506" s="109" t="s">
        <v>394</v>
      </c>
      <c r="D506" s="108" t="s">
        <v>229</v>
      </c>
      <c r="E506" s="108" t="s">
        <v>11</v>
      </c>
      <c r="F506" s="108" t="s">
        <v>427</v>
      </c>
      <c r="G506" s="108" t="s">
        <v>9</v>
      </c>
      <c r="H506" s="126">
        <f>H507+H509</f>
        <v>0</v>
      </c>
      <c r="L506" s="20">
        <v>3842.64</v>
      </c>
      <c r="M506" s="20">
        <v>3842.64</v>
      </c>
      <c r="N506" s="20">
        <v>3842.64</v>
      </c>
      <c r="O506" s="20">
        <f>H506-L506</f>
        <v>-3842.64</v>
      </c>
      <c r="P506" s="20" t="e">
        <f>#REF!-M506</f>
        <v>#REF!</v>
      </c>
      <c r="Q506" s="20" t="e">
        <f>#REF!-N506</f>
        <v>#REF!</v>
      </c>
      <c r="R506" s="17" t="str">
        <f t="shared" si="61"/>
        <v>16 2 02 20550000</v>
      </c>
    </row>
    <row r="507" spans="1:18" s="17" customFormat="1" ht="15.75">
      <c r="A507" s="14"/>
      <c r="B507" s="132" t="s">
        <v>403</v>
      </c>
      <c r="C507" s="109" t="s">
        <v>394</v>
      </c>
      <c r="D507" s="108" t="s">
        <v>229</v>
      </c>
      <c r="E507" s="108" t="s">
        <v>11</v>
      </c>
      <c r="F507" s="108" t="s">
        <v>427</v>
      </c>
      <c r="G507" s="108" t="s">
        <v>404</v>
      </c>
      <c r="H507" s="126">
        <f>H508</f>
        <v>0</v>
      </c>
      <c r="L507" s="20">
        <v>3744.14</v>
      </c>
      <c r="M507" s="20">
        <v>3744.14</v>
      </c>
      <c r="N507" s="20">
        <v>3744.14</v>
      </c>
      <c r="O507" s="20">
        <f>H507-L507</f>
        <v>-3744.14</v>
      </c>
      <c r="P507" s="20" t="e">
        <f>#REF!-M507</f>
        <v>#REF!</v>
      </c>
      <c r="Q507" s="20" t="e">
        <f>#REF!-N507</f>
        <v>#REF!</v>
      </c>
      <c r="R507" s="17" t="str">
        <f t="shared" si="61"/>
        <v>16 2 02 20550610</v>
      </c>
    </row>
    <row r="508" spans="1:18" s="24" customFormat="1" ht="15.75">
      <c r="A508" s="21"/>
      <c r="B508" s="127" t="s">
        <v>407</v>
      </c>
      <c r="C508" s="109" t="s">
        <v>394</v>
      </c>
      <c r="D508" s="108" t="s">
        <v>229</v>
      </c>
      <c r="E508" s="108" t="s">
        <v>11</v>
      </c>
      <c r="F508" s="108" t="s">
        <v>427</v>
      </c>
      <c r="G508" s="108" t="s">
        <v>408</v>
      </c>
      <c r="H508" s="126"/>
      <c r="L508" s="22"/>
      <c r="M508" s="22"/>
      <c r="N508" s="22"/>
      <c r="O508" s="22"/>
      <c r="P508" s="22"/>
      <c r="Q508" s="22"/>
    </row>
    <row r="509" spans="1:18" s="17" customFormat="1" ht="15.75">
      <c r="A509" s="14"/>
      <c r="B509" s="132" t="s">
        <v>409</v>
      </c>
      <c r="C509" s="109" t="s">
        <v>394</v>
      </c>
      <c r="D509" s="108" t="s">
        <v>229</v>
      </c>
      <c r="E509" s="108" t="s">
        <v>11</v>
      </c>
      <c r="F509" s="108" t="s">
        <v>427</v>
      </c>
      <c r="G509" s="108" t="s">
        <v>410</v>
      </c>
      <c r="H509" s="126">
        <f>H510</f>
        <v>0</v>
      </c>
      <c r="L509" s="20">
        <v>98.5</v>
      </c>
      <c r="M509" s="20">
        <v>98.5</v>
      </c>
      <c r="N509" s="20">
        <v>98.5</v>
      </c>
      <c r="O509" s="20">
        <f>H509-L509</f>
        <v>-98.5</v>
      </c>
      <c r="P509" s="20" t="e">
        <f>#REF!-M509</f>
        <v>#REF!</v>
      </c>
      <c r="Q509" s="20" t="e">
        <f>#REF!-N509</f>
        <v>#REF!</v>
      </c>
      <c r="R509" s="17" t="str">
        <f t="shared" si="61"/>
        <v>16 2 02 20550620</v>
      </c>
    </row>
    <row r="510" spans="1:18" s="24" customFormat="1" ht="15.75">
      <c r="A510" s="21"/>
      <c r="B510" s="127" t="s">
        <v>428</v>
      </c>
      <c r="C510" s="109" t="s">
        <v>394</v>
      </c>
      <c r="D510" s="108" t="s">
        <v>229</v>
      </c>
      <c r="E510" s="108" t="s">
        <v>11</v>
      </c>
      <c r="F510" s="108" t="s">
        <v>427</v>
      </c>
      <c r="G510" s="108" t="s">
        <v>429</v>
      </c>
      <c r="H510" s="126"/>
      <c r="L510" s="22"/>
      <c r="M510" s="22"/>
      <c r="N510" s="22"/>
      <c r="O510" s="22"/>
      <c r="P510" s="22"/>
      <c r="Q510" s="22"/>
    </row>
    <row r="511" spans="1:18" s="17" customFormat="1" ht="47.25">
      <c r="A511" s="14"/>
      <c r="B511" s="125" t="s">
        <v>430</v>
      </c>
      <c r="C511" s="109" t="s">
        <v>394</v>
      </c>
      <c r="D511" s="108" t="s">
        <v>229</v>
      </c>
      <c r="E511" s="108" t="s">
        <v>11</v>
      </c>
      <c r="F511" s="108" t="s">
        <v>431</v>
      </c>
      <c r="G511" s="108" t="s">
        <v>9</v>
      </c>
      <c r="H511" s="126">
        <f t="shared" ref="H511:H512" si="63">H512</f>
        <v>0</v>
      </c>
      <c r="L511" s="20">
        <v>2538.87</v>
      </c>
      <c r="M511" s="20">
        <v>2538.87</v>
      </c>
      <c r="N511" s="20">
        <v>2538.87</v>
      </c>
      <c r="O511" s="20">
        <f>H511-L511</f>
        <v>-2538.87</v>
      </c>
      <c r="P511" s="20" t="e">
        <f>#REF!-M511</f>
        <v>#REF!</v>
      </c>
      <c r="Q511" s="20" t="e">
        <f>#REF!-N511</f>
        <v>#REF!</v>
      </c>
      <c r="R511" s="17" t="str">
        <f t="shared" si="61"/>
        <v>17 0 00 00000000</v>
      </c>
    </row>
    <row r="512" spans="1:18" s="17" customFormat="1" ht="47.25">
      <c r="A512" s="14"/>
      <c r="B512" s="129" t="s">
        <v>432</v>
      </c>
      <c r="C512" s="109" t="s">
        <v>394</v>
      </c>
      <c r="D512" s="108" t="s">
        <v>229</v>
      </c>
      <c r="E512" s="108" t="s">
        <v>11</v>
      </c>
      <c r="F512" s="108" t="s">
        <v>433</v>
      </c>
      <c r="G512" s="108" t="s">
        <v>9</v>
      </c>
      <c r="H512" s="126">
        <f t="shared" si="63"/>
        <v>0</v>
      </c>
      <c r="L512" s="20">
        <v>2538.87</v>
      </c>
      <c r="M512" s="20">
        <v>2538.87</v>
      </c>
      <c r="N512" s="20">
        <v>2538.87</v>
      </c>
      <c r="O512" s="20">
        <f>H512-L512</f>
        <v>-2538.87</v>
      </c>
      <c r="P512" s="20" t="e">
        <f>#REF!-M512</f>
        <v>#REF!</v>
      </c>
      <c r="Q512" s="20" t="e">
        <f>#REF!-N512</f>
        <v>#REF!</v>
      </c>
      <c r="R512" s="17" t="str">
        <f t="shared" si="61"/>
        <v>17 Б 00 00000000</v>
      </c>
    </row>
    <row r="513" spans="1:18" s="17" customFormat="1" ht="31.5">
      <c r="A513" s="14"/>
      <c r="B513" s="125" t="s">
        <v>434</v>
      </c>
      <c r="C513" s="109" t="s">
        <v>394</v>
      </c>
      <c r="D513" s="108" t="s">
        <v>229</v>
      </c>
      <c r="E513" s="108" t="s">
        <v>11</v>
      </c>
      <c r="F513" s="108" t="s">
        <v>435</v>
      </c>
      <c r="G513" s="108" t="s">
        <v>9</v>
      </c>
      <c r="H513" s="126">
        <f>H515</f>
        <v>0</v>
      </c>
      <c r="L513" s="20">
        <v>2538.87</v>
      </c>
      <c r="M513" s="20">
        <v>2538.87</v>
      </c>
      <c r="N513" s="20">
        <v>2538.87</v>
      </c>
      <c r="O513" s="20">
        <f>H513-L513</f>
        <v>-2538.87</v>
      </c>
      <c r="P513" s="20" t="e">
        <f>#REF!-M513</f>
        <v>#REF!</v>
      </c>
      <c r="Q513" s="20" t="e">
        <f>#REF!-N513</f>
        <v>#REF!</v>
      </c>
      <c r="R513" s="17" t="str">
        <f t="shared" si="61"/>
        <v>17 Б 01 00000000</v>
      </c>
    </row>
    <row r="514" spans="1:18" s="17" customFormat="1" ht="47.25">
      <c r="A514" s="14"/>
      <c r="B514" s="132" t="s">
        <v>436</v>
      </c>
      <c r="C514" s="109" t="s">
        <v>394</v>
      </c>
      <c r="D514" s="108" t="s">
        <v>229</v>
      </c>
      <c r="E514" s="108" t="s">
        <v>11</v>
      </c>
      <c r="F514" s="108" t="s">
        <v>437</v>
      </c>
      <c r="G514" s="108" t="s">
        <v>9</v>
      </c>
      <c r="H514" s="126">
        <f>H515</f>
        <v>0</v>
      </c>
      <c r="L514" s="20">
        <v>2538.87</v>
      </c>
      <c r="M514" s="20">
        <v>2538.87</v>
      </c>
      <c r="N514" s="20">
        <v>2538.87</v>
      </c>
      <c r="O514" s="20">
        <f>H514-L514</f>
        <v>-2538.87</v>
      </c>
      <c r="P514" s="20" t="e">
        <f>#REF!-M514</f>
        <v>#REF!</v>
      </c>
      <c r="Q514" s="20" t="e">
        <f>#REF!-N514</f>
        <v>#REF!</v>
      </c>
      <c r="R514" s="17" t="str">
        <f t="shared" si="61"/>
        <v>17 Б 01 20490000</v>
      </c>
    </row>
    <row r="515" spans="1:18" s="17" customFormat="1" ht="15.75">
      <c r="A515" s="14"/>
      <c r="B515" s="132" t="s">
        <v>403</v>
      </c>
      <c r="C515" s="109" t="s">
        <v>394</v>
      </c>
      <c r="D515" s="108" t="s">
        <v>229</v>
      </c>
      <c r="E515" s="108" t="s">
        <v>11</v>
      </c>
      <c r="F515" s="108" t="s">
        <v>437</v>
      </c>
      <c r="G515" s="108" t="s">
        <v>404</v>
      </c>
      <c r="H515" s="126">
        <f>H516</f>
        <v>0</v>
      </c>
      <c r="L515" s="20">
        <v>2538.87</v>
      </c>
      <c r="M515" s="20">
        <v>2538.87</v>
      </c>
      <c r="N515" s="20">
        <v>2538.87</v>
      </c>
      <c r="O515" s="20">
        <f>H515-L515</f>
        <v>-2538.87</v>
      </c>
      <c r="P515" s="20" t="e">
        <f>#REF!-M515</f>
        <v>#REF!</v>
      </c>
      <c r="Q515" s="20" t="e">
        <f>#REF!-N515</f>
        <v>#REF!</v>
      </c>
      <c r="R515" s="17" t="str">
        <f t="shared" si="61"/>
        <v>17 Б 01 20490610</v>
      </c>
    </row>
    <row r="516" spans="1:18" s="24" customFormat="1" ht="15.75">
      <c r="A516" s="21"/>
      <c r="B516" s="127" t="s">
        <v>407</v>
      </c>
      <c r="C516" s="109" t="s">
        <v>394</v>
      </c>
      <c r="D516" s="108" t="s">
        <v>229</v>
      </c>
      <c r="E516" s="108" t="s">
        <v>11</v>
      </c>
      <c r="F516" s="108" t="s">
        <v>437</v>
      </c>
      <c r="G516" s="108" t="s">
        <v>408</v>
      </c>
      <c r="H516" s="126"/>
      <c r="L516" s="22"/>
      <c r="M516" s="22"/>
      <c r="N516" s="22"/>
      <c r="O516" s="22"/>
      <c r="P516" s="22"/>
      <c r="Q516" s="22"/>
    </row>
    <row r="517" spans="1:18" s="17" customFormat="1" ht="15.75">
      <c r="A517" s="14"/>
      <c r="B517" s="121" t="s">
        <v>438</v>
      </c>
      <c r="C517" s="122" t="s">
        <v>394</v>
      </c>
      <c r="D517" s="123" t="s">
        <v>229</v>
      </c>
      <c r="E517" s="123" t="s">
        <v>62</v>
      </c>
      <c r="F517" s="123" t="s">
        <v>8</v>
      </c>
      <c r="G517" s="123" t="s">
        <v>9</v>
      </c>
      <c r="H517" s="124">
        <f>H518+H548+H564+H578+H572</f>
        <v>0</v>
      </c>
      <c r="L517" s="19">
        <v>1725231.0400000003</v>
      </c>
      <c r="M517" s="19">
        <v>1670357.1300000001</v>
      </c>
      <c r="N517" s="19">
        <v>1673208.27</v>
      </c>
      <c r="O517" s="19">
        <f t="shared" ref="O517:O522" si="64">H517-L517</f>
        <v>-1725231.0400000003</v>
      </c>
      <c r="P517" s="19" t="e">
        <f>#REF!-M517</f>
        <v>#REF!</v>
      </c>
      <c r="Q517" s="19" t="e">
        <f>#REF!-N517</f>
        <v>#REF!</v>
      </c>
      <c r="R517" s="17" t="str">
        <f t="shared" si="61"/>
        <v>00 0 00 00000000</v>
      </c>
    </row>
    <row r="518" spans="1:18" s="17" customFormat="1" ht="31.5">
      <c r="A518" s="14"/>
      <c r="B518" s="132" t="s">
        <v>396</v>
      </c>
      <c r="C518" s="109" t="s">
        <v>394</v>
      </c>
      <c r="D518" s="108" t="s">
        <v>229</v>
      </c>
      <c r="E518" s="108" t="s">
        <v>62</v>
      </c>
      <c r="F518" s="108" t="s">
        <v>397</v>
      </c>
      <c r="G518" s="108" t="s">
        <v>9</v>
      </c>
      <c r="H518" s="126">
        <f>H519+H543</f>
        <v>0</v>
      </c>
      <c r="L518" s="20">
        <v>1706232.36</v>
      </c>
      <c r="M518" s="20">
        <v>1662278.45</v>
      </c>
      <c r="N518" s="20">
        <v>1665909.5899999999</v>
      </c>
      <c r="O518" s="20">
        <f t="shared" si="64"/>
        <v>-1706232.36</v>
      </c>
      <c r="P518" s="20" t="e">
        <f>#REF!-M518</f>
        <v>#REF!</v>
      </c>
      <c r="Q518" s="20" t="e">
        <f>#REF!-N518</f>
        <v>#REF!</v>
      </c>
      <c r="R518" s="17" t="str">
        <f t="shared" si="61"/>
        <v>01 0 00 00000000</v>
      </c>
    </row>
    <row r="519" spans="1:18" s="17" customFormat="1" ht="31.5">
      <c r="A519" s="14"/>
      <c r="B519" s="132" t="s">
        <v>398</v>
      </c>
      <c r="C519" s="109" t="s">
        <v>394</v>
      </c>
      <c r="D519" s="108" t="s">
        <v>229</v>
      </c>
      <c r="E519" s="108" t="s">
        <v>62</v>
      </c>
      <c r="F519" s="108" t="s">
        <v>399</v>
      </c>
      <c r="G519" s="108" t="s">
        <v>9</v>
      </c>
      <c r="H519" s="126">
        <f>H520+H537</f>
        <v>0</v>
      </c>
      <c r="L519" s="20">
        <v>1702512.36</v>
      </c>
      <c r="M519" s="20">
        <v>1655458.8299999998</v>
      </c>
      <c r="N519" s="20">
        <v>1665909.5899999999</v>
      </c>
      <c r="O519" s="20">
        <f t="shared" si="64"/>
        <v>-1702512.36</v>
      </c>
      <c r="P519" s="20" t="e">
        <f>#REF!-M519</f>
        <v>#REF!</v>
      </c>
      <c r="Q519" s="20" t="e">
        <f>#REF!-N519</f>
        <v>#REF!</v>
      </c>
      <c r="R519" s="17" t="str">
        <f t="shared" si="61"/>
        <v>01 1 00 00000000</v>
      </c>
    </row>
    <row r="520" spans="1:18" s="17" customFormat="1" ht="63">
      <c r="A520" s="14"/>
      <c r="B520" s="132" t="s">
        <v>439</v>
      </c>
      <c r="C520" s="109" t="s">
        <v>394</v>
      </c>
      <c r="D520" s="108" t="s">
        <v>229</v>
      </c>
      <c r="E520" s="108" t="s">
        <v>62</v>
      </c>
      <c r="F520" s="108" t="s">
        <v>440</v>
      </c>
      <c r="G520" s="108" t="s">
        <v>9</v>
      </c>
      <c r="H520" s="126">
        <f>H521+H530</f>
        <v>0</v>
      </c>
      <c r="L520" s="20">
        <v>1643131.26</v>
      </c>
      <c r="M520" s="20">
        <v>1651458.8299999998</v>
      </c>
      <c r="N520" s="20">
        <v>1661909.5899999999</v>
      </c>
      <c r="O520" s="20">
        <f t="shared" si="64"/>
        <v>-1643131.26</v>
      </c>
      <c r="P520" s="20" t="e">
        <f>#REF!-M520</f>
        <v>#REF!</v>
      </c>
      <c r="Q520" s="20" t="e">
        <f>#REF!-N520</f>
        <v>#REF!</v>
      </c>
      <c r="R520" s="17" t="str">
        <f t="shared" si="61"/>
        <v>01 1 02 00000000</v>
      </c>
    </row>
    <row r="521" spans="1:18" s="17" customFormat="1" ht="31.5">
      <c r="A521" s="14"/>
      <c r="B521" s="132" t="s">
        <v>136</v>
      </c>
      <c r="C521" s="109" t="s">
        <v>394</v>
      </c>
      <c r="D521" s="108" t="s">
        <v>229</v>
      </c>
      <c r="E521" s="108" t="s">
        <v>62</v>
      </c>
      <c r="F521" s="108" t="s">
        <v>441</v>
      </c>
      <c r="G521" s="108" t="s">
        <v>9</v>
      </c>
      <c r="H521" s="126">
        <f>H522+H525+H528</f>
        <v>0</v>
      </c>
      <c r="L521" s="20">
        <v>571162.1399999999</v>
      </c>
      <c r="M521" s="20">
        <v>569815.42999999993</v>
      </c>
      <c r="N521" s="20">
        <v>569815.42999999993</v>
      </c>
      <c r="O521" s="20">
        <f t="shared" si="64"/>
        <v>-571162.1399999999</v>
      </c>
      <c r="P521" s="20" t="e">
        <f>#REF!-M521</f>
        <v>#REF!</v>
      </c>
      <c r="Q521" s="20" t="e">
        <f>#REF!-N521</f>
        <v>#REF!</v>
      </c>
      <c r="R521" s="17" t="str">
        <f t="shared" si="61"/>
        <v>01 1 02 11010000</v>
      </c>
    </row>
    <row r="522" spans="1:18" s="17" customFormat="1" ht="15.75">
      <c r="A522" s="14"/>
      <c r="B522" s="132" t="s">
        <v>403</v>
      </c>
      <c r="C522" s="109" t="s">
        <v>394</v>
      </c>
      <c r="D522" s="108" t="s">
        <v>229</v>
      </c>
      <c r="E522" s="108" t="s">
        <v>62</v>
      </c>
      <c r="F522" s="108" t="s">
        <v>441</v>
      </c>
      <c r="G522" s="108" t="s">
        <v>404</v>
      </c>
      <c r="H522" s="126">
        <f>SUM(H523:H524)</f>
        <v>0</v>
      </c>
      <c r="L522" s="20">
        <v>527917.66999999993</v>
      </c>
      <c r="M522" s="20">
        <v>526570.96</v>
      </c>
      <c r="N522" s="20">
        <v>526570.96</v>
      </c>
      <c r="O522" s="20">
        <f t="shared" si="64"/>
        <v>-527917.66999999993</v>
      </c>
      <c r="P522" s="20" t="e">
        <f>#REF!-M522</f>
        <v>#REF!</v>
      </c>
      <c r="Q522" s="20" t="e">
        <f>#REF!-N522</f>
        <v>#REF!</v>
      </c>
      <c r="R522" s="17" t="str">
        <f t="shared" si="61"/>
        <v>01 1 02 11010610</v>
      </c>
    </row>
    <row r="523" spans="1:18" s="24" customFormat="1" ht="63">
      <c r="A523" s="21"/>
      <c r="B523" s="127" t="s">
        <v>405</v>
      </c>
      <c r="C523" s="109" t="s">
        <v>394</v>
      </c>
      <c r="D523" s="108" t="s">
        <v>229</v>
      </c>
      <c r="E523" s="108" t="s">
        <v>62</v>
      </c>
      <c r="F523" s="108" t="s">
        <v>441</v>
      </c>
      <c r="G523" s="108" t="s">
        <v>406</v>
      </c>
      <c r="H523" s="126"/>
      <c r="L523" s="22"/>
      <c r="M523" s="22"/>
      <c r="N523" s="22"/>
      <c r="O523" s="22"/>
      <c r="P523" s="22"/>
      <c r="Q523" s="22"/>
    </row>
    <row r="524" spans="1:18" s="24" customFormat="1" ht="15.75">
      <c r="A524" s="21"/>
      <c r="B524" s="127" t="s">
        <v>407</v>
      </c>
      <c r="C524" s="109" t="s">
        <v>394</v>
      </c>
      <c r="D524" s="108" t="s">
        <v>229</v>
      </c>
      <c r="E524" s="108" t="s">
        <v>62</v>
      </c>
      <c r="F524" s="108" t="s">
        <v>441</v>
      </c>
      <c r="G524" s="108" t="s">
        <v>408</v>
      </c>
      <c r="H524" s="126"/>
      <c r="L524" s="22"/>
      <c r="M524" s="22"/>
      <c r="N524" s="22"/>
      <c r="O524" s="22"/>
      <c r="P524" s="22"/>
      <c r="Q524" s="22"/>
    </row>
    <row r="525" spans="1:18" s="17" customFormat="1" ht="15.75">
      <c r="A525" s="14"/>
      <c r="B525" s="132" t="s">
        <v>409</v>
      </c>
      <c r="C525" s="109" t="s">
        <v>394</v>
      </c>
      <c r="D525" s="108" t="s">
        <v>229</v>
      </c>
      <c r="E525" s="108" t="s">
        <v>62</v>
      </c>
      <c r="F525" s="108" t="s">
        <v>441</v>
      </c>
      <c r="G525" s="108" t="s">
        <v>410</v>
      </c>
      <c r="H525" s="126">
        <f>SUM(H526:H527)</f>
        <v>0</v>
      </c>
      <c r="L525" s="20">
        <v>40167.490000000005</v>
      </c>
      <c r="M525" s="20">
        <v>40167.490000000005</v>
      </c>
      <c r="N525" s="20">
        <v>40167.490000000005</v>
      </c>
      <c r="O525" s="20">
        <f>H525-L525</f>
        <v>-40167.490000000005</v>
      </c>
      <c r="P525" s="20" t="e">
        <f>#REF!-M525</f>
        <v>#REF!</v>
      </c>
      <c r="Q525" s="20" t="e">
        <f>#REF!-N525</f>
        <v>#REF!</v>
      </c>
      <c r="R525" s="17" t="str">
        <f t="shared" si="61"/>
        <v>01 1 02 11010620</v>
      </c>
    </row>
    <row r="526" spans="1:18" s="24" customFormat="1" ht="63">
      <c r="A526" s="21"/>
      <c r="B526" s="127" t="s">
        <v>411</v>
      </c>
      <c r="C526" s="109" t="s">
        <v>394</v>
      </c>
      <c r="D526" s="108" t="s">
        <v>229</v>
      </c>
      <c r="E526" s="108" t="s">
        <v>62</v>
      </c>
      <c r="F526" s="108" t="s">
        <v>441</v>
      </c>
      <c r="G526" s="108" t="s">
        <v>412</v>
      </c>
      <c r="H526" s="126"/>
      <c r="L526" s="22"/>
      <c r="M526" s="22"/>
      <c r="N526" s="22"/>
      <c r="O526" s="22"/>
      <c r="P526" s="22"/>
      <c r="Q526" s="22"/>
    </row>
    <row r="527" spans="1:18" s="24" customFormat="1" ht="15.75">
      <c r="A527" s="21"/>
      <c r="B527" s="127" t="s">
        <v>428</v>
      </c>
      <c r="C527" s="109" t="s">
        <v>394</v>
      </c>
      <c r="D527" s="108" t="s">
        <v>229</v>
      </c>
      <c r="E527" s="108" t="s">
        <v>62</v>
      </c>
      <c r="F527" s="108" t="s">
        <v>441</v>
      </c>
      <c r="G527" s="108" t="s">
        <v>429</v>
      </c>
      <c r="H527" s="126"/>
      <c r="L527" s="22"/>
      <c r="M527" s="22"/>
      <c r="N527" s="22"/>
      <c r="O527" s="22"/>
      <c r="P527" s="22"/>
      <c r="Q527" s="22"/>
    </row>
    <row r="528" spans="1:18" s="17" customFormat="1" ht="47.25">
      <c r="A528" s="14"/>
      <c r="B528" s="125" t="s">
        <v>182</v>
      </c>
      <c r="C528" s="109" t="s">
        <v>394</v>
      </c>
      <c r="D528" s="108" t="s">
        <v>229</v>
      </c>
      <c r="E528" s="108" t="s">
        <v>62</v>
      </c>
      <c r="F528" s="108" t="s">
        <v>441</v>
      </c>
      <c r="G528" s="108" t="s">
        <v>183</v>
      </c>
      <c r="H528" s="126">
        <f>H529</f>
        <v>0</v>
      </c>
      <c r="L528" s="20">
        <v>3076.98</v>
      </c>
      <c r="M528" s="20">
        <v>3076.98</v>
      </c>
      <c r="N528" s="20">
        <v>3076.98</v>
      </c>
      <c r="O528" s="20">
        <f>H528-L528</f>
        <v>-3076.98</v>
      </c>
      <c r="P528" s="20" t="e">
        <f>#REF!-M528</f>
        <v>#REF!</v>
      </c>
      <c r="Q528" s="20" t="e">
        <f>#REF!-N528</f>
        <v>#REF!</v>
      </c>
      <c r="R528" s="17" t="str">
        <f t="shared" si="61"/>
        <v>01 1 02 11010630</v>
      </c>
    </row>
    <row r="529" spans="1:18" s="24" customFormat="1" ht="94.5">
      <c r="A529" s="21"/>
      <c r="B529" s="127" t="s">
        <v>1038</v>
      </c>
      <c r="C529" s="109" t="s">
        <v>394</v>
      </c>
      <c r="D529" s="108" t="s">
        <v>229</v>
      </c>
      <c r="E529" s="108" t="s">
        <v>62</v>
      </c>
      <c r="F529" s="108" t="s">
        <v>441</v>
      </c>
      <c r="G529" s="108" t="s">
        <v>416</v>
      </c>
      <c r="H529" s="126"/>
      <c r="L529" s="22"/>
      <c r="M529" s="22"/>
      <c r="N529" s="22"/>
      <c r="O529" s="22"/>
      <c r="P529" s="22"/>
      <c r="Q529" s="22"/>
    </row>
    <row r="530" spans="1:18" s="17" customFormat="1" ht="173.25">
      <c r="A530" s="14" t="s">
        <v>80</v>
      </c>
      <c r="B530" s="127" t="s">
        <v>442</v>
      </c>
      <c r="C530" s="109" t="s">
        <v>394</v>
      </c>
      <c r="D530" s="108" t="s">
        <v>229</v>
      </c>
      <c r="E530" s="108" t="s">
        <v>62</v>
      </c>
      <c r="F530" s="108" t="s">
        <v>443</v>
      </c>
      <c r="G530" s="108" t="s">
        <v>9</v>
      </c>
      <c r="H530" s="126">
        <f>H531+H533+H535</f>
        <v>0</v>
      </c>
      <c r="L530" s="20">
        <v>1071969.1200000001</v>
      </c>
      <c r="M530" s="20">
        <v>1081643.3999999999</v>
      </c>
      <c r="N530" s="20">
        <v>1092094.1599999999</v>
      </c>
      <c r="O530" s="20">
        <f>H530-L530</f>
        <v>-1071969.1200000001</v>
      </c>
      <c r="P530" s="20" t="e">
        <f>#REF!-M530</f>
        <v>#REF!</v>
      </c>
      <c r="Q530" s="20" t="e">
        <f>#REF!-N530</f>
        <v>#REF!</v>
      </c>
      <c r="R530" s="17" t="str">
        <f t="shared" si="61"/>
        <v>01 1 02 77160000</v>
      </c>
    </row>
    <row r="531" spans="1:18" s="17" customFormat="1" ht="15.75">
      <c r="A531" s="14"/>
      <c r="B531" s="132" t="s">
        <v>403</v>
      </c>
      <c r="C531" s="109" t="s">
        <v>394</v>
      </c>
      <c r="D531" s="108" t="s">
        <v>229</v>
      </c>
      <c r="E531" s="108" t="s">
        <v>62</v>
      </c>
      <c r="F531" s="108" t="s">
        <v>443</v>
      </c>
      <c r="G531" s="108" t="s">
        <v>404</v>
      </c>
      <c r="H531" s="126">
        <f>H532</f>
        <v>0</v>
      </c>
      <c r="L531" s="20">
        <v>953042.9</v>
      </c>
      <c r="M531" s="20">
        <v>961646.5</v>
      </c>
      <c r="N531" s="20">
        <v>971150.7</v>
      </c>
      <c r="O531" s="20">
        <f>H531-L531</f>
        <v>-953042.9</v>
      </c>
      <c r="P531" s="20" t="e">
        <f>#REF!-M531</f>
        <v>#REF!</v>
      </c>
      <c r="Q531" s="20" t="e">
        <f>#REF!-N531</f>
        <v>#REF!</v>
      </c>
      <c r="R531" s="17" t="str">
        <f t="shared" si="61"/>
        <v>01 1 02 77160610</v>
      </c>
    </row>
    <row r="532" spans="1:18" s="24" customFormat="1" ht="63">
      <c r="A532" s="21"/>
      <c r="B532" s="127" t="s">
        <v>405</v>
      </c>
      <c r="C532" s="109" t="s">
        <v>394</v>
      </c>
      <c r="D532" s="108" t="s">
        <v>229</v>
      </c>
      <c r="E532" s="108" t="s">
        <v>62</v>
      </c>
      <c r="F532" s="108" t="s">
        <v>443</v>
      </c>
      <c r="G532" s="108" t="s">
        <v>406</v>
      </c>
      <c r="H532" s="126"/>
      <c r="L532" s="22"/>
      <c r="M532" s="22"/>
      <c r="N532" s="22"/>
      <c r="O532" s="22"/>
      <c r="P532" s="22"/>
      <c r="Q532" s="22"/>
    </row>
    <row r="533" spans="1:18" s="17" customFormat="1" ht="15.75">
      <c r="A533" s="14"/>
      <c r="B533" s="132" t="s">
        <v>409</v>
      </c>
      <c r="C533" s="109" t="s">
        <v>394</v>
      </c>
      <c r="D533" s="108" t="s">
        <v>229</v>
      </c>
      <c r="E533" s="108" t="s">
        <v>62</v>
      </c>
      <c r="F533" s="108" t="s">
        <v>443</v>
      </c>
      <c r="G533" s="108" t="s">
        <v>410</v>
      </c>
      <c r="H533" s="126">
        <f>H534</f>
        <v>0</v>
      </c>
      <c r="L533" s="20">
        <v>114194.38</v>
      </c>
      <c r="M533" s="20">
        <v>115222.5</v>
      </c>
      <c r="N533" s="20">
        <v>116121.72</v>
      </c>
      <c r="O533" s="20">
        <f>H533-L533</f>
        <v>-114194.38</v>
      </c>
      <c r="P533" s="20" t="e">
        <f>#REF!-M533</f>
        <v>#REF!</v>
      </c>
      <c r="Q533" s="20" t="e">
        <f>#REF!-N533</f>
        <v>#REF!</v>
      </c>
      <c r="R533" s="17" t="str">
        <f t="shared" si="61"/>
        <v>01 1 02 77160620</v>
      </c>
    </row>
    <row r="534" spans="1:18" s="24" customFormat="1" ht="63">
      <c r="A534" s="21"/>
      <c r="B534" s="127" t="s">
        <v>411</v>
      </c>
      <c r="C534" s="109" t="s">
        <v>394</v>
      </c>
      <c r="D534" s="108" t="s">
        <v>229</v>
      </c>
      <c r="E534" s="108" t="s">
        <v>62</v>
      </c>
      <c r="F534" s="108" t="s">
        <v>443</v>
      </c>
      <c r="G534" s="108" t="s">
        <v>412</v>
      </c>
      <c r="H534" s="126"/>
      <c r="L534" s="22"/>
      <c r="M534" s="22"/>
      <c r="N534" s="22"/>
      <c r="O534" s="22"/>
      <c r="P534" s="22"/>
      <c r="Q534" s="22"/>
    </row>
    <row r="535" spans="1:18" s="17" customFormat="1" ht="47.25">
      <c r="A535" s="14"/>
      <c r="B535" s="125" t="s">
        <v>182</v>
      </c>
      <c r="C535" s="109" t="s">
        <v>394</v>
      </c>
      <c r="D535" s="108" t="s">
        <v>229</v>
      </c>
      <c r="E535" s="108" t="s">
        <v>62</v>
      </c>
      <c r="F535" s="108" t="s">
        <v>443</v>
      </c>
      <c r="G535" s="108" t="s">
        <v>183</v>
      </c>
      <c r="H535" s="126">
        <f>H536</f>
        <v>0</v>
      </c>
      <c r="L535" s="20">
        <v>4731.84</v>
      </c>
      <c r="M535" s="20">
        <v>4774.3999999999996</v>
      </c>
      <c r="N535" s="20">
        <v>4821.74</v>
      </c>
      <c r="O535" s="20">
        <f>H535-L535</f>
        <v>-4731.84</v>
      </c>
      <c r="P535" s="20" t="e">
        <f>#REF!-M535</f>
        <v>#REF!</v>
      </c>
      <c r="Q535" s="20" t="e">
        <f>#REF!-N535</f>
        <v>#REF!</v>
      </c>
      <c r="R535" s="17" t="str">
        <f t="shared" si="61"/>
        <v>01 1 02 77160630</v>
      </c>
    </row>
    <row r="536" spans="1:18" s="24" customFormat="1" ht="94.5">
      <c r="A536" s="21"/>
      <c r="B536" s="127" t="s">
        <v>1038</v>
      </c>
      <c r="C536" s="109" t="s">
        <v>394</v>
      </c>
      <c r="D536" s="108" t="s">
        <v>229</v>
      </c>
      <c r="E536" s="108" t="s">
        <v>62</v>
      </c>
      <c r="F536" s="108" t="s">
        <v>443</v>
      </c>
      <c r="G536" s="108" t="s">
        <v>416</v>
      </c>
      <c r="H536" s="126"/>
      <c r="L536" s="22"/>
      <c r="M536" s="22"/>
      <c r="N536" s="22"/>
      <c r="O536" s="22"/>
      <c r="P536" s="22"/>
      <c r="Q536" s="22"/>
    </row>
    <row r="537" spans="1:18" s="17" customFormat="1" ht="78.75">
      <c r="A537" s="14"/>
      <c r="B537" s="125" t="s">
        <v>417</v>
      </c>
      <c r="C537" s="109" t="s">
        <v>394</v>
      </c>
      <c r="D537" s="108" t="s">
        <v>229</v>
      </c>
      <c r="E537" s="108" t="s">
        <v>62</v>
      </c>
      <c r="F537" s="108" t="s">
        <v>418</v>
      </c>
      <c r="G537" s="108" t="s">
        <v>9</v>
      </c>
      <c r="H537" s="126">
        <f>H538</f>
        <v>0</v>
      </c>
      <c r="L537" s="20">
        <v>59381.100000000006</v>
      </c>
      <c r="M537" s="20">
        <v>4000</v>
      </c>
      <c r="N537" s="20">
        <v>4000</v>
      </c>
      <c r="O537" s="20">
        <f>H537-L537</f>
        <v>-59381.100000000006</v>
      </c>
      <c r="P537" s="20" t="e">
        <f>#REF!-M537</f>
        <v>#REF!</v>
      </c>
      <c r="Q537" s="20" t="e">
        <f>#REF!-N537</f>
        <v>#REF!</v>
      </c>
      <c r="R537" s="17" t="str">
        <f t="shared" si="61"/>
        <v>01 1 06 00000000</v>
      </c>
    </row>
    <row r="538" spans="1:18" s="17" customFormat="1" ht="31.5">
      <c r="A538" s="14"/>
      <c r="B538" s="132" t="s">
        <v>136</v>
      </c>
      <c r="C538" s="109" t="s">
        <v>394</v>
      </c>
      <c r="D538" s="108" t="s">
        <v>229</v>
      </c>
      <c r="E538" s="108" t="s">
        <v>62</v>
      </c>
      <c r="F538" s="108" t="s">
        <v>419</v>
      </c>
      <c r="G538" s="108" t="s">
        <v>9</v>
      </c>
      <c r="H538" s="126">
        <f>H539+H541</f>
        <v>0</v>
      </c>
      <c r="L538" s="20">
        <v>59381.100000000006</v>
      </c>
      <c r="M538" s="20">
        <v>4000</v>
      </c>
      <c r="N538" s="20">
        <v>4000</v>
      </c>
      <c r="O538" s="20">
        <f>H538-L538</f>
        <v>-59381.100000000006</v>
      </c>
      <c r="P538" s="20" t="e">
        <f>#REF!-M538</f>
        <v>#REF!</v>
      </c>
      <c r="Q538" s="20" t="e">
        <f>#REF!-N538</f>
        <v>#REF!</v>
      </c>
      <c r="R538" s="17" t="str">
        <f t="shared" si="61"/>
        <v>01 1 06 11010000</v>
      </c>
    </row>
    <row r="539" spans="1:18" s="17" customFormat="1" ht="15.75">
      <c r="A539" s="14"/>
      <c r="B539" s="132" t="s">
        <v>403</v>
      </c>
      <c r="C539" s="109" t="s">
        <v>394</v>
      </c>
      <c r="D539" s="108" t="s">
        <v>229</v>
      </c>
      <c r="E539" s="108" t="s">
        <v>62</v>
      </c>
      <c r="F539" s="108" t="s">
        <v>419</v>
      </c>
      <c r="G539" s="108" t="s">
        <v>404</v>
      </c>
      <c r="H539" s="126">
        <f>H540</f>
        <v>0</v>
      </c>
      <c r="L539" s="20">
        <v>53539.33</v>
      </c>
      <c r="M539" s="20">
        <v>4000</v>
      </c>
      <c r="N539" s="20">
        <v>4000</v>
      </c>
      <c r="O539" s="20">
        <f>H539-L539</f>
        <v>-53539.33</v>
      </c>
      <c r="P539" s="20" t="e">
        <f>#REF!-M539</f>
        <v>#REF!</v>
      </c>
      <c r="Q539" s="20" t="e">
        <f>#REF!-N539</f>
        <v>#REF!</v>
      </c>
      <c r="R539" s="17" t="str">
        <f t="shared" si="61"/>
        <v>01 1 06 11010610</v>
      </c>
    </row>
    <row r="540" spans="1:18" s="24" customFormat="1" ht="15.75">
      <c r="A540" s="21"/>
      <c r="B540" s="127" t="s">
        <v>407</v>
      </c>
      <c r="C540" s="109" t="s">
        <v>394</v>
      </c>
      <c r="D540" s="108" t="s">
        <v>229</v>
      </c>
      <c r="E540" s="108" t="s">
        <v>62</v>
      </c>
      <c r="F540" s="108" t="s">
        <v>419</v>
      </c>
      <c r="G540" s="108" t="s">
        <v>408</v>
      </c>
      <c r="H540" s="126"/>
      <c r="L540" s="22"/>
      <c r="M540" s="22"/>
      <c r="N540" s="22"/>
      <c r="O540" s="22"/>
      <c r="P540" s="22"/>
      <c r="Q540" s="22"/>
    </row>
    <row r="541" spans="1:18" s="17" customFormat="1" ht="15.75">
      <c r="A541" s="14"/>
      <c r="B541" s="132" t="s">
        <v>409</v>
      </c>
      <c r="C541" s="109" t="s">
        <v>394</v>
      </c>
      <c r="D541" s="108" t="s">
        <v>229</v>
      </c>
      <c r="E541" s="108" t="s">
        <v>62</v>
      </c>
      <c r="F541" s="108" t="s">
        <v>419</v>
      </c>
      <c r="G541" s="108" t="s">
        <v>410</v>
      </c>
      <c r="H541" s="126">
        <f>H542</f>
        <v>0</v>
      </c>
      <c r="L541" s="20">
        <v>5841.77</v>
      </c>
      <c r="M541" s="20">
        <v>0</v>
      </c>
      <c r="N541" s="20">
        <v>0</v>
      </c>
      <c r="O541" s="20">
        <f>H541-L541</f>
        <v>-5841.77</v>
      </c>
      <c r="P541" s="20" t="e">
        <f>#REF!-M541</f>
        <v>#REF!</v>
      </c>
      <c r="Q541" s="20" t="e">
        <f>#REF!-N541</f>
        <v>#REF!</v>
      </c>
      <c r="R541" s="17" t="str">
        <f t="shared" si="61"/>
        <v>01 1 06 11010620</v>
      </c>
    </row>
    <row r="542" spans="1:18" s="24" customFormat="1" ht="15.75">
      <c r="A542" s="21"/>
      <c r="B542" s="127" t="s">
        <v>428</v>
      </c>
      <c r="C542" s="109" t="s">
        <v>394</v>
      </c>
      <c r="D542" s="108" t="s">
        <v>229</v>
      </c>
      <c r="E542" s="108" t="s">
        <v>62</v>
      </c>
      <c r="F542" s="108" t="s">
        <v>419</v>
      </c>
      <c r="G542" s="108" t="s">
        <v>429</v>
      </c>
      <c r="H542" s="126"/>
      <c r="L542" s="22"/>
      <c r="M542" s="22"/>
      <c r="N542" s="22"/>
      <c r="O542" s="22"/>
      <c r="P542" s="22"/>
      <c r="Q542" s="22"/>
    </row>
    <row r="543" spans="1:18" s="17" customFormat="1" ht="47.25">
      <c r="A543" s="14"/>
      <c r="B543" s="132" t="s">
        <v>444</v>
      </c>
      <c r="C543" s="109" t="s">
        <v>394</v>
      </c>
      <c r="D543" s="108" t="s">
        <v>229</v>
      </c>
      <c r="E543" s="108" t="s">
        <v>62</v>
      </c>
      <c r="F543" s="108" t="s">
        <v>445</v>
      </c>
      <c r="G543" s="108" t="s">
        <v>9</v>
      </c>
      <c r="H543" s="126">
        <f>H544</f>
        <v>0</v>
      </c>
      <c r="L543" s="20">
        <v>3720</v>
      </c>
      <c r="M543" s="20">
        <v>6819.62</v>
      </c>
      <c r="N543" s="20">
        <v>0</v>
      </c>
      <c r="O543" s="20">
        <f>H543-L543</f>
        <v>-3720</v>
      </c>
      <c r="P543" s="20" t="e">
        <f>#REF!-M543</f>
        <v>#REF!</v>
      </c>
      <c r="Q543" s="20" t="e">
        <f>#REF!-N543</f>
        <v>#REF!</v>
      </c>
      <c r="R543" s="17" t="str">
        <f t="shared" si="61"/>
        <v>01 2 00 00000000</v>
      </c>
    </row>
    <row r="544" spans="1:18" s="17" customFormat="1" ht="63">
      <c r="A544" s="14"/>
      <c r="B544" s="132" t="s">
        <v>446</v>
      </c>
      <c r="C544" s="109" t="s">
        <v>394</v>
      </c>
      <c r="D544" s="108" t="s">
        <v>229</v>
      </c>
      <c r="E544" s="108" t="s">
        <v>62</v>
      </c>
      <c r="F544" s="108" t="s">
        <v>447</v>
      </c>
      <c r="G544" s="108" t="s">
        <v>9</v>
      </c>
      <c r="H544" s="126">
        <f>H545</f>
        <v>0</v>
      </c>
      <c r="L544" s="20">
        <v>3720</v>
      </c>
      <c r="M544" s="20">
        <v>6819.62</v>
      </c>
      <c r="N544" s="20">
        <v>0</v>
      </c>
      <c r="O544" s="20">
        <f>H544-L544</f>
        <v>-3720</v>
      </c>
      <c r="P544" s="20" t="e">
        <f>#REF!-M544</f>
        <v>#REF!</v>
      </c>
      <c r="Q544" s="20" t="e">
        <f>#REF!-N544</f>
        <v>#REF!</v>
      </c>
      <c r="R544" s="17" t="str">
        <f t="shared" si="61"/>
        <v>01 2 01 00000000</v>
      </c>
    </row>
    <row r="545" spans="1:18" s="17" customFormat="1" ht="47.25">
      <c r="A545" s="14"/>
      <c r="B545" s="132" t="s">
        <v>448</v>
      </c>
      <c r="C545" s="109" t="s">
        <v>394</v>
      </c>
      <c r="D545" s="108" t="s">
        <v>229</v>
      </c>
      <c r="E545" s="108" t="s">
        <v>62</v>
      </c>
      <c r="F545" s="108" t="s">
        <v>449</v>
      </c>
      <c r="G545" s="108" t="s">
        <v>9</v>
      </c>
      <c r="H545" s="126">
        <f>H546</f>
        <v>0</v>
      </c>
      <c r="L545" s="20">
        <v>3720</v>
      </c>
      <c r="M545" s="20">
        <v>6819.62</v>
      </c>
      <c r="N545" s="20">
        <v>0</v>
      </c>
      <c r="O545" s="20">
        <f>H545-L545</f>
        <v>-3720</v>
      </c>
      <c r="P545" s="20" t="e">
        <f>#REF!-M545</f>
        <v>#REF!</v>
      </c>
      <c r="Q545" s="20" t="e">
        <f>#REF!-N545</f>
        <v>#REF!</v>
      </c>
      <c r="R545" s="17" t="str">
        <f t="shared" si="61"/>
        <v>01 2 01 40010000</v>
      </c>
    </row>
    <row r="546" spans="1:18" s="17" customFormat="1" ht="126">
      <c r="A546" s="14"/>
      <c r="B546" s="132" t="s">
        <v>450</v>
      </c>
      <c r="C546" s="109" t="s">
        <v>394</v>
      </c>
      <c r="D546" s="108" t="s">
        <v>229</v>
      </c>
      <c r="E546" s="108" t="s">
        <v>62</v>
      </c>
      <c r="F546" s="108" t="s">
        <v>449</v>
      </c>
      <c r="G546" s="108" t="s">
        <v>451</v>
      </c>
      <c r="H546" s="126">
        <f>H547</f>
        <v>0</v>
      </c>
      <c r="L546" s="20">
        <v>3720</v>
      </c>
      <c r="M546" s="20">
        <v>6819.62</v>
      </c>
      <c r="N546" s="20">
        <v>0</v>
      </c>
      <c r="O546" s="20">
        <f>H546-L546</f>
        <v>-3720</v>
      </c>
      <c r="P546" s="20" t="e">
        <f>#REF!-M546</f>
        <v>#REF!</v>
      </c>
      <c r="Q546" s="20" t="e">
        <f>#REF!-N546</f>
        <v>#REF!</v>
      </c>
      <c r="R546" s="17" t="str">
        <f t="shared" si="61"/>
        <v>01 2 01 40010460</v>
      </c>
    </row>
    <row r="547" spans="1:18" s="24" customFormat="1" ht="63">
      <c r="A547" s="21"/>
      <c r="B547" s="127" t="s">
        <v>452</v>
      </c>
      <c r="C547" s="109" t="s">
        <v>394</v>
      </c>
      <c r="D547" s="108" t="s">
        <v>229</v>
      </c>
      <c r="E547" s="108" t="s">
        <v>62</v>
      </c>
      <c r="F547" s="108" t="s">
        <v>449</v>
      </c>
      <c r="G547" s="108" t="s">
        <v>453</v>
      </c>
      <c r="H547" s="126"/>
      <c r="L547" s="22"/>
      <c r="M547" s="22"/>
      <c r="N547" s="22"/>
      <c r="O547" s="22"/>
      <c r="P547" s="22"/>
      <c r="Q547" s="22"/>
      <c r="R547" s="24" t="str">
        <f t="shared" si="61"/>
        <v>01 2 01 40010465</v>
      </c>
    </row>
    <row r="548" spans="1:18" s="17" customFormat="1" ht="47.25">
      <c r="A548" s="14"/>
      <c r="B548" s="127" t="s">
        <v>146</v>
      </c>
      <c r="C548" s="109" t="s">
        <v>394</v>
      </c>
      <c r="D548" s="108" t="s">
        <v>229</v>
      </c>
      <c r="E548" s="108" t="s">
        <v>62</v>
      </c>
      <c r="F548" s="108" t="s">
        <v>147</v>
      </c>
      <c r="G548" s="108" t="s">
        <v>9</v>
      </c>
      <c r="H548" s="126">
        <f>H554+H559+H549</f>
        <v>0</v>
      </c>
      <c r="L548" s="20">
        <v>13591.95</v>
      </c>
      <c r="M548" s="20">
        <v>2671.95</v>
      </c>
      <c r="N548" s="20">
        <v>1891.95</v>
      </c>
      <c r="O548" s="20">
        <f>H548-L548</f>
        <v>-13591.95</v>
      </c>
      <c r="P548" s="20" t="e">
        <f>#REF!-M548</f>
        <v>#REF!</v>
      </c>
      <c r="Q548" s="20" t="e">
        <f>#REF!-N548</f>
        <v>#REF!</v>
      </c>
      <c r="R548" s="17" t="str">
        <f t="shared" si="61"/>
        <v>15 0 00 00000000</v>
      </c>
    </row>
    <row r="549" spans="1:18" s="17" customFormat="1" ht="15.75">
      <c r="A549" s="14"/>
      <c r="B549" s="132" t="s">
        <v>148</v>
      </c>
      <c r="C549" s="109" t="s">
        <v>394</v>
      </c>
      <c r="D549" s="108" t="s">
        <v>229</v>
      </c>
      <c r="E549" s="108" t="s">
        <v>62</v>
      </c>
      <c r="F549" s="108" t="s">
        <v>149</v>
      </c>
      <c r="G549" s="108" t="s">
        <v>9</v>
      </c>
      <c r="H549" s="126">
        <f>H550</f>
        <v>0</v>
      </c>
      <c r="L549" s="20">
        <v>11700</v>
      </c>
      <c r="M549" s="20">
        <v>780</v>
      </c>
      <c r="N549" s="20">
        <v>0</v>
      </c>
      <c r="O549" s="20">
        <f>H549-L549</f>
        <v>-11700</v>
      </c>
      <c r="P549" s="20" t="e">
        <f>#REF!-M549</f>
        <v>#REF!</v>
      </c>
      <c r="Q549" s="20" t="e">
        <f>#REF!-N549</f>
        <v>#REF!</v>
      </c>
      <c r="R549" s="17" t="str">
        <f t="shared" si="61"/>
        <v>15 1 00 00000000</v>
      </c>
    </row>
    <row r="550" spans="1:18" s="17" customFormat="1" ht="47.25">
      <c r="A550" s="14"/>
      <c r="B550" s="135" t="s">
        <v>273</v>
      </c>
      <c r="C550" s="109" t="s">
        <v>394</v>
      </c>
      <c r="D550" s="108" t="s">
        <v>229</v>
      </c>
      <c r="E550" s="108" t="s">
        <v>62</v>
      </c>
      <c r="F550" s="108" t="s">
        <v>274</v>
      </c>
      <c r="G550" s="108" t="s">
        <v>9</v>
      </c>
      <c r="H550" s="126">
        <f>H551</f>
        <v>0</v>
      </c>
      <c r="L550" s="20">
        <v>11700</v>
      </c>
      <c r="M550" s="20">
        <v>780</v>
      </c>
      <c r="N550" s="20">
        <v>0</v>
      </c>
      <c r="O550" s="20">
        <f>H550-L550</f>
        <v>-11700</v>
      </c>
      <c r="P550" s="20" t="e">
        <f>#REF!-M550</f>
        <v>#REF!</v>
      </c>
      <c r="Q550" s="20" t="e">
        <f>#REF!-N550</f>
        <v>#REF!</v>
      </c>
      <c r="R550" s="17" t="str">
        <f t="shared" si="61"/>
        <v>15 1 02 00000000</v>
      </c>
    </row>
    <row r="551" spans="1:18" s="17" customFormat="1" ht="47.25">
      <c r="A551" s="14"/>
      <c r="B551" s="132" t="s">
        <v>152</v>
      </c>
      <c r="C551" s="109" t="s">
        <v>394</v>
      </c>
      <c r="D551" s="108" t="s">
        <v>229</v>
      </c>
      <c r="E551" s="108" t="s">
        <v>62</v>
      </c>
      <c r="F551" s="108" t="s">
        <v>275</v>
      </c>
      <c r="G551" s="108" t="s">
        <v>9</v>
      </c>
      <c r="H551" s="126">
        <f>H552</f>
        <v>0</v>
      </c>
      <c r="L551" s="20">
        <v>11700</v>
      </c>
      <c r="M551" s="20">
        <v>780</v>
      </c>
      <c r="N551" s="20">
        <v>0</v>
      </c>
      <c r="O551" s="20">
        <f>H551-L551</f>
        <v>-11700</v>
      </c>
      <c r="P551" s="20" t="e">
        <f>#REF!-M551</f>
        <v>#REF!</v>
      </c>
      <c r="Q551" s="20" t="e">
        <f>#REF!-N551</f>
        <v>#REF!</v>
      </c>
      <c r="R551" s="17" t="str">
        <f t="shared" si="61"/>
        <v>15 1 02 20350000</v>
      </c>
    </row>
    <row r="552" spans="1:18" s="17" customFormat="1" ht="15.75">
      <c r="A552" s="14"/>
      <c r="B552" s="132" t="s">
        <v>403</v>
      </c>
      <c r="C552" s="109" t="s">
        <v>394</v>
      </c>
      <c r="D552" s="108" t="s">
        <v>229</v>
      </c>
      <c r="E552" s="108" t="s">
        <v>62</v>
      </c>
      <c r="F552" s="108" t="s">
        <v>275</v>
      </c>
      <c r="G552" s="108" t="s">
        <v>404</v>
      </c>
      <c r="H552" s="126">
        <f>H553</f>
        <v>0</v>
      </c>
      <c r="L552" s="20">
        <v>11700</v>
      </c>
      <c r="M552" s="20">
        <v>780</v>
      </c>
      <c r="N552" s="20">
        <v>0</v>
      </c>
      <c r="O552" s="20">
        <f>H552-L552</f>
        <v>-11700</v>
      </c>
      <c r="P552" s="20" t="e">
        <f>#REF!-M552</f>
        <v>#REF!</v>
      </c>
      <c r="Q552" s="20" t="e">
        <f>#REF!-N552</f>
        <v>#REF!</v>
      </c>
      <c r="R552" s="17" t="str">
        <f t="shared" si="61"/>
        <v>15 1 02 20350610</v>
      </c>
    </row>
    <row r="553" spans="1:18" s="24" customFormat="1" ht="15.75">
      <c r="A553" s="21"/>
      <c r="B553" s="127" t="s">
        <v>407</v>
      </c>
      <c r="C553" s="109" t="s">
        <v>394</v>
      </c>
      <c r="D553" s="108" t="s">
        <v>229</v>
      </c>
      <c r="E553" s="108" t="s">
        <v>62</v>
      </c>
      <c r="F553" s="108" t="s">
        <v>275</v>
      </c>
      <c r="G553" s="108" t="s">
        <v>408</v>
      </c>
      <c r="H553" s="126"/>
      <c r="L553" s="22"/>
      <c r="M553" s="22"/>
      <c r="N553" s="22"/>
      <c r="O553" s="22"/>
      <c r="P553" s="22"/>
      <c r="Q553" s="22"/>
    </row>
    <row r="554" spans="1:18" s="17" customFormat="1" ht="15.75">
      <c r="A554" s="14"/>
      <c r="B554" s="127" t="s">
        <v>154</v>
      </c>
      <c r="C554" s="109" t="s">
        <v>394</v>
      </c>
      <c r="D554" s="108" t="s">
        <v>229</v>
      </c>
      <c r="E554" s="108" t="s">
        <v>62</v>
      </c>
      <c r="F554" s="108" t="s">
        <v>155</v>
      </c>
      <c r="G554" s="108" t="s">
        <v>9</v>
      </c>
      <c r="H554" s="126">
        <f t="shared" ref="H554:H556" si="65">H555</f>
        <v>0</v>
      </c>
      <c r="L554" s="20">
        <v>217.15</v>
      </c>
      <c r="M554" s="20">
        <v>217.15</v>
      </c>
      <c r="N554" s="20">
        <v>217.15</v>
      </c>
      <c r="O554" s="20">
        <f>H554-L554</f>
        <v>-217.15</v>
      </c>
      <c r="P554" s="20" t="e">
        <f>#REF!-M554</f>
        <v>#REF!</v>
      </c>
      <c r="Q554" s="20" t="e">
        <f>#REF!-N554</f>
        <v>#REF!</v>
      </c>
      <c r="R554" s="17" t="str">
        <f t="shared" si="61"/>
        <v>15 2 00 00000000</v>
      </c>
    </row>
    <row r="555" spans="1:18" s="17" customFormat="1" ht="47.25">
      <c r="A555" s="14"/>
      <c r="B555" s="127" t="s">
        <v>160</v>
      </c>
      <c r="C555" s="109" t="s">
        <v>394</v>
      </c>
      <c r="D555" s="108" t="s">
        <v>229</v>
      </c>
      <c r="E555" s="108" t="s">
        <v>62</v>
      </c>
      <c r="F555" s="108" t="s">
        <v>161</v>
      </c>
      <c r="G555" s="108" t="s">
        <v>9</v>
      </c>
      <c r="H555" s="126">
        <f t="shared" si="65"/>
        <v>0</v>
      </c>
      <c r="L555" s="20">
        <v>217.15</v>
      </c>
      <c r="M555" s="20">
        <v>217.15</v>
      </c>
      <c r="N555" s="20">
        <v>217.15</v>
      </c>
      <c r="O555" s="20">
        <f>H555-L555</f>
        <v>-217.15</v>
      </c>
      <c r="P555" s="20" t="e">
        <f>#REF!-M555</f>
        <v>#REF!</v>
      </c>
      <c r="Q555" s="20" t="e">
        <f>#REF!-N555</f>
        <v>#REF!</v>
      </c>
      <c r="R555" s="17" t="str">
        <f t="shared" si="61"/>
        <v>15 2 02 00000000</v>
      </c>
    </row>
    <row r="556" spans="1:18" s="17" customFormat="1" ht="78.75">
      <c r="A556" s="14"/>
      <c r="B556" s="129" t="s">
        <v>158</v>
      </c>
      <c r="C556" s="109" t="s">
        <v>394</v>
      </c>
      <c r="D556" s="108" t="s">
        <v>229</v>
      </c>
      <c r="E556" s="108" t="s">
        <v>62</v>
      </c>
      <c r="F556" s="108" t="s">
        <v>162</v>
      </c>
      <c r="G556" s="108" t="s">
        <v>9</v>
      </c>
      <c r="H556" s="126">
        <f t="shared" si="65"/>
        <v>0</v>
      </c>
      <c r="L556" s="20">
        <v>217.15</v>
      </c>
      <c r="M556" s="20">
        <v>217.15</v>
      </c>
      <c r="N556" s="20">
        <v>217.15</v>
      </c>
      <c r="O556" s="20">
        <f>H556-L556</f>
        <v>-217.15</v>
      </c>
      <c r="P556" s="20" t="e">
        <f>#REF!-M556</f>
        <v>#REF!</v>
      </c>
      <c r="Q556" s="20" t="e">
        <f>#REF!-N556</f>
        <v>#REF!</v>
      </c>
      <c r="R556" s="17" t="str">
        <f t="shared" si="61"/>
        <v>15 2 02 20370000</v>
      </c>
    </row>
    <row r="557" spans="1:18" s="17" customFormat="1" ht="15.75">
      <c r="A557" s="14"/>
      <c r="B557" s="132" t="s">
        <v>403</v>
      </c>
      <c r="C557" s="109" t="s">
        <v>394</v>
      </c>
      <c r="D557" s="108" t="s">
        <v>229</v>
      </c>
      <c r="E557" s="108" t="s">
        <v>62</v>
      </c>
      <c r="F557" s="108" t="s">
        <v>162</v>
      </c>
      <c r="G557" s="108" t="s">
        <v>404</v>
      </c>
      <c r="H557" s="126">
        <f>H558</f>
        <v>0</v>
      </c>
      <c r="L557" s="20">
        <v>217.15</v>
      </c>
      <c r="M557" s="20">
        <v>217.15</v>
      </c>
      <c r="N557" s="20">
        <v>217.15</v>
      </c>
      <c r="O557" s="20">
        <f>H557-L557</f>
        <v>-217.15</v>
      </c>
      <c r="P557" s="20" t="e">
        <f>#REF!-M557</f>
        <v>#REF!</v>
      </c>
      <c r="Q557" s="20" t="e">
        <f>#REF!-N557</f>
        <v>#REF!</v>
      </c>
      <c r="R557" s="17" t="str">
        <f t="shared" si="61"/>
        <v>15 2 02 20370610</v>
      </c>
    </row>
    <row r="558" spans="1:18" s="24" customFormat="1" ht="15.75">
      <c r="A558" s="21"/>
      <c r="B558" s="127" t="s">
        <v>407</v>
      </c>
      <c r="C558" s="109" t="s">
        <v>394</v>
      </c>
      <c r="D558" s="108" t="s">
        <v>229</v>
      </c>
      <c r="E558" s="108" t="s">
        <v>62</v>
      </c>
      <c r="F558" s="108" t="s">
        <v>162</v>
      </c>
      <c r="G558" s="108" t="s">
        <v>408</v>
      </c>
      <c r="H558" s="126"/>
      <c r="L558" s="22"/>
      <c r="M558" s="22"/>
      <c r="N558" s="22"/>
      <c r="O558" s="22"/>
      <c r="P558" s="22"/>
      <c r="Q558" s="22"/>
    </row>
    <row r="559" spans="1:18" s="17" customFormat="1" ht="31.5">
      <c r="A559" s="14"/>
      <c r="B559" s="125" t="s">
        <v>168</v>
      </c>
      <c r="C559" s="109" t="s">
        <v>394</v>
      </c>
      <c r="D559" s="108" t="s">
        <v>229</v>
      </c>
      <c r="E559" s="108" t="s">
        <v>62</v>
      </c>
      <c r="F559" s="108" t="s">
        <v>169</v>
      </c>
      <c r="G559" s="108" t="s">
        <v>9</v>
      </c>
      <c r="H559" s="126">
        <f t="shared" ref="H559:H561" si="66">H560</f>
        <v>0</v>
      </c>
      <c r="L559" s="20">
        <v>1674.8</v>
      </c>
      <c r="M559" s="20">
        <v>1674.8</v>
      </c>
      <c r="N559" s="20">
        <v>1674.8</v>
      </c>
      <c r="O559" s="20">
        <f>H559-L559</f>
        <v>-1674.8</v>
      </c>
      <c r="P559" s="20" t="e">
        <f>#REF!-M559</f>
        <v>#REF!</v>
      </c>
      <c r="Q559" s="20" t="e">
        <f>#REF!-N559</f>
        <v>#REF!</v>
      </c>
      <c r="R559" s="17" t="str">
        <f t="shared" si="61"/>
        <v>15 3 00 00000000</v>
      </c>
    </row>
    <row r="560" spans="1:18" s="17" customFormat="1" ht="31.5">
      <c r="A560" s="14"/>
      <c r="B560" s="125" t="s">
        <v>374</v>
      </c>
      <c r="C560" s="109" t="s">
        <v>394</v>
      </c>
      <c r="D560" s="108" t="s">
        <v>229</v>
      </c>
      <c r="E560" s="108" t="s">
        <v>62</v>
      </c>
      <c r="F560" s="108" t="s">
        <v>375</v>
      </c>
      <c r="G560" s="108" t="s">
        <v>9</v>
      </c>
      <c r="H560" s="126">
        <f t="shared" si="66"/>
        <v>0</v>
      </c>
      <c r="L560" s="20">
        <v>1674.8</v>
      </c>
      <c r="M560" s="20">
        <v>1674.8</v>
      </c>
      <c r="N560" s="20">
        <v>1674.8</v>
      </c>
      <c r="O560" s="20">
        <f>H560-L560</f>
        <v>-1674.8</v>
      </c>
      <c r="P560" s="20" t="e">
        <f>#REF!-M560</f>
        <v>#REF!</v>
      </c>
      <c r="Q560" s="20" t="e">
        <f>#REF!-N560</f>
        <v>#REF!</v>
      </c>
      <c r="R560" s="17" t="str">
        <f t="shared" si="61"/>
        <v>15 3 01 00000000</v>
      </c>
    </row>
    <row r="561" spans="1:18" s="17" customFormat="1" ht="31.5">
      <c r="A561" s="14"/>
      <c r="B561" s="125" t="s">
        <v>376</v>
      </c>
      <c r="C561" s="109" t="s">
        <v>394</v>
      </c>
      <c r="D561" s="108" t="s">
        <v>229</v>
      </c>
      <c r="E561" s="108" t="s">
        <v>62</v>
      </c>
      <c r="F561" s="108" t="s">
        <v>377</v>
      </c>
      <c r="G561" s="108" t="s">
        <v>9</v>
      </c>
      <c r="H561" s="126">
        <f t="shared" si="66"/>
        <v>0</v>
      </c>
      <c r="L561" s="20">
        <v>1674.8</v>
      </c>
      <c r="M561" s="20">
        <v>1674.8</v>
      </c>
      <c r="N561" s="20">
        <v>1674.8</v>
      </c>
      <c r="O561" s="20">
        <f>H561-L561</f>
        <v>-1674.8</v>
      </c>
      <c r="P561" s="20" t="e">
        <f>#REF!-M561</f>
        <v>#REF!</v>
      </c>
      <c r="Q561" s="20" t="e">
        <f>#REF!-N561</f>
        <v>#REF!</v>
      </c>
      <c r="R561" s="17" t="str">
        <f t="shared" si="61"/>
        <v>15 3 01 20660000</v>
      </c>
    </row>
    <row r="562" spans="1:18" s="17" customFormat="1" ht="15.75">
      <c r="A562" s="14"/>
      <c r="B562" s="132" t="s">
        <v>403</v>
      </c>
      <c r="C562" s="109" t="s">
        <v>394</v>
      </c>
      <c r="D562" s="108" t="s">
        <v>229</v>
      </c>
      <c r="E562" s="108" t="s">
        <v>62</v>
      </c>
      <c r="F562" s="108" t="s">
        <v>377</v>
      </c>
      <c r="G562" s="108" t="s">
        <v>404</v>
      </c>
      <c r="H562" s="126">
        <f>H563</f>
        <v>0</v>
      </c>
      <c r="L562" s="20">
        <v>1674.8</v>
      </c>
      <c r="M562" s="20">
        <v>1674.8</v>
      </c>
      <c r="N562" s="20">
        <v>1674.8</v>
      </c>
      <c r="O562" s="20">
        <f>H562-L562</f>
        <v>-1674.8</v>
      </c>
      <c r="P562" s="20" t="e">
        <f>#REF!-M562</f>
        <v>#REF!</v>
      </c>
      <c r="Q562" s="20" t="e">
        <f>#REF!-N562</f>
        <v>#REF!</v>
      </c>
      <c r="R562" s="17" t="str">
        <f t="shared" si="61"/>
        <v>15 3 01 20660610</v>
      </c>
    </row>
    <row r="563" spans="1:18" s="24" customFormat="1" ht="15.75">
      <c r="A563" s="21"/>
      <c r="B563" s="127" t="s">
        <v>407</v>
      </c>
      <c r="C563" s="109" t="s">
        <v>394</v>
      </c>
      <c r="D563" s="108" t="s">
        <v>229</v>
      </c>
      <c r="E563" s="108" t="s">
        <v>62</v>
      </c>
      <c r="F563" s="108" t="s">
        <v>377</v>
      </c>
      <c r="G563" s="108" t="s">
        <v>408</v>
      </c>
      <c r="H563" s="126"/>
      <c r="L563" s="22"/>
      <c r="M563" s="22"/>
      <c r="N563" s="22"/>
      <c r="O563" s="22"/>
      <c r="P563" s="22"/>
      <c r="Q563" s="22"/>
    </row>
    <row r="564" spans="1:18" s="17" customFormat="1" ht="94.5">
      <c r="A564" s="14"/>
      <c r="B564" s="125" t="s">
        <v>420</v>
      </c>
      <c r="C564" s="109" t="s">
        <v>394</v>
      </c>
      <c r="D564" s="108" t="s">
        <v>229</v>
      </c>
      <c r="E564" s="108" t="s">
        <v>62</v>
      </c>
      <c r="F564" s="108" t="s">
        <v>421</v>
      </c>
      <c r="G564" s="108" t="s">
        <v>9</v>
      </c>
      <c r="H564" s="126">
        <f t="shared" ref="H564:H566" si="67">H565</f>
        <v>0</v>
      </c>
      <c r="L564" s="20">
        <v>2776.06</v>
      </c>
      <c r="M564" s="20">
        <v>2776.06</v>
      </c>
      <c r="N564" s="20">
        <v>2776.06</v>
      </c>
      <c r="O564" s="20">
        <f>H564-L564</f>
        <v>-2776.06</v>
      </c>
      <c r="P564" s="20" t="e">
        <f>#REF!-M564</f>
        <v>#REF!</v>
      </c>
      <c r="Q564" s="20" t="e">
        <f>#REF!-N564</f>
        <v>#REF!</v>
      </c>
      <c r="R564" s="17" t="str">
        <f t="shared" si="61"/>
        <v>16 0 00 00000000</v>
      </c>
    </row>
    <row r="565" spans="1:18" s="17" customFormat="1" ht="31.5">
      <c r="A565" s="14"/>
      <c r="B565" s="125" t="s">
        <v>422</v>
      </c>
      <c r="C565" s="109" t="s">
        <v>394</v>
      </c>
      <c r="D565" s="108" t="s">
        <v>229</v>
      </c>
      <c r="E565" s="108" t="s">
        <v>62</v>
      </c>
      <c r="F565" s="108" t="s">
        <v>423</v>
      </c>
      <c r="G565" s="108" t="s">
        <v>9</v>
      </c>
      <c r="H565" s="126">
        <f t="shared" si="67"/>
        <v>0</v>
      </c>
      <c r="L565" s="20">
        <v>2776.06</v>
      </c>
      <c r="M565" s="20">
        <v>2776.06</v>
      </c>
      <c r="N565" s="20">
        <v>2776.06</v>
      </c>
      <c r="O565" s="20">
        <f>H565-L565</f>
        <v>-2776.06</v>
      </c>
      <c r="P565" s="20" t="e">
        <f>#REF!-M565</f>
        <v>#REF!</v>
      </c>
      <c r="Q565" s="20" t="e">
        <f>#REF!-N565</f>
        <v>#REF!</v>
      </c>
      <c r="R565" s="17" t="str">
        <f t="shared" si="61"/>
        <v>16 2 00 00000000</v>
      </c>
    </row>
    <row r="566" spans="1:18" s="17" customFormat="1" ht="47.25">
      <c r="A566" s="14"/>
      <c r="B566" s="125" t="s">
        <v>424</v>
      </c>
      <c r="C566" s="109" t="s">
        <v>394</v>
      </c>
      <c r="D566" s="108" t="s">
        <v>229</v>
      </c>
      <c r="E566" s="108" t="s">
        <v>62</v>
      </c>
      <c r="F566" s="108" t="s">
        <v>425</v>
      </c>
      <c r="G566" s="108" t="s">
        <v>9</v>
      </c>
      <c r="H566" s="126">
        <f t="shared" si="67"/>
        <v>0</v>
      </c>
      <c r="L566" s="20">
        <v>2776.06</v>
      </c>
      <c r="M566" s="20">
        <v>2776.06</v>
      </c>
      <c r="N566" s="20">
        <v>2776.06</v>
      </c>
      <c r="O566" s="20">
        <f>H566-L566</f>
        <v>-2776.06</v>
      </c>
      <c r="P566" s="20" t="e">
        <f>#REF!-M566</f>
        <v>#REF!</v>
      </c>
      <c r="Q566" s="20" t="e">
        <f>#REF!-N566</f>
        <v>#REF!</v>
      </c>
      <c r="R566" s="17" t="str">
        <f t="shared" si="61"/>
        <v>16 2 02 00000000</v>
      </c>
    </row>
    <row r="567" spans="1:18" s="17" customFormat="1" ht="47.25">
      <c r="A567" s="14"/>
      <c r="B567" s="125" t="s">
        <v>426</v>
      </c>
      <c r="C567" s="109" t="s">
        <v>394</v>
      </c>
      <c r="D567" s="108" t="s">
        <v>229</v>
      </c>
      <c r="E567" s="108" t="s">
        <v>62</v>
      </c>
      <c r="F567" s="108" t="s">
        <v>427</v>
      </c>
      <c r="G567" s="108" t="s">
        <v>9</v>
      </c>
      <c r="H567" s="126">
        <f>H568+H570</f>
        <v>0</v>
      </c>
      <c r="L567" s="20">
        <v>2776.06</v>
      </c>
      <c r="M567" s="20">
        <v>2776.06</v>
      </c>
      <c r="N567" s="20">
        <v>2776.06</v>
      </c>
      <c r="O567" s="20">
        <f>H567-L567</f>
        <v>-2776.06</v>
      </c>
      <c r="P567" s="20" t="e">
        <f>#REF!-M567</f>
        <v>#REF!</v>
      </c>
      <c r="Q567" s="20" t="e">
        <f>#REF!-N567</f>
        <v>#REF!</v>
      </c>
      <c r="R567" s="17" t="str">
        <f t="shared" si="61"/>
        <v>16 2 02 20550000</v>
      </c>
    </row>
    <row r="568" spans="1:18" s="17" customFormat="1" ht="15.75">
      <c r="A568" s="14"/>
      <c r="B568" s="132" t="s">
        <v>403</v>
      </c>
      <c r="C568" s="109" t="s">
        <v>394</v>
      </c>
      <c r="D568" s="108" t="s">
        <v>229</v>
      </c>
      <c r="E568" s="108" t="s">
        <v>62</v>
      </c>
      <c r="F568" s="108" t="s">
        <v>427</v>
      </c>
      <c r="G568" s="108" t="s">
        <v>404</v>
      </c>
      <c r="H568" s="126">
        <f>H569</f>
        <v>0</v>
      </c>
      <c r="L568" s="20">
        <v>2627.36</v>
      </c>
      <c r="M568" s="20">
        <v>2627.36</v>
      </c>
      <c r="N568" s="20">
        <v>2627.36</v>
      </c>
      <c r="O568" s="20">
        <f>H568-L568</f>
        <v>-2627.36</v>
      </c>
      <c r="P568" s="20" t="e">
        <f>#REF!-M568</f>
        <v>#REF!</v>
      </c>
      <c r="Q568" s="20" t="e">
        <f>#REF!-N568</f>
        <v>#REF!</v>
      </c>
      <c r="R568" s="17" t="str">
        <f t="shared" si="61"/>
        <v>16 2 02 20550610</v>
      </c>
    </row>
    <row r="569" spans="1:18" s="24" customFormat="1" ht="15.75">
      <c r="A569" s="21"/>
      <c r="B569" s="127" t="s">
        <v>407</v>
      </c>
      <c r="C569" s="109" t="s">
        <v>394</v>
      </c>
      <c r="D569" s="108" t="s">
        <v>229</v>
      </c>
      <c r="E569" s="108" t="s">
        <v>62</v>
      </c>
      <c r="F569" s="108" t="s">
        <v>427</v>
      </c>
      <c r="G569" s="108" t="s">
        <v>408</v>
      </c>
      <c r="H569" s="126"/>
      <c r="L569" s="22"/>
      <c r="M569" s="22"/>
      <c r="N569" s="22"/>
      <c r="O569" s="22"/>
      <c r="P569" s="22"/>
      <c r="Q569" s="22"/>
    </row>
    <row r="570" spans="1:18" s="17" customFormat="1" ht="15.75">
      <c r="A570" s="14"/>
      <c r="B570" s="132" t="s">
        <v>409</v>
      </c>
      <c r="C570" s="109" t="s">
        <v>394</v>
      </c>
      <c r="D570" s="108" t="s">
        <v>229</v>
      </c>
      <c r="E570" s="108" t="s">
        <v>62</v>
      </c>
      <c r="F570" s="108" t="s">
        <v>427</v>
      </c>
      <c r="G570" s="108" t="s">
        <v>410</v>
      </c>
      <c r="H570" s="126">
        <f>H571</f>
        <v>0</v>
      </c>
      <c r="L570" s="20">
        <v>148.69999999999999</v>
      </c>
      <c r="M570" s="20">
        <v>148.69999999999999</v>
      </c>
      <c r="N570" s="20">
        <v>148.69999999999999</v>
      </c>
      <c r="O570" s="20">
        <f>H570-L570</f>
        <v>-148.69999999999999</v>
      </c>
      <c r="P570" s="20" t="e">
        <f>#REF!-M570</f>
        <v>#REF!</v>
      </c>
      <c r="Q570" s="20" t="e">
        <f>#REF!-N570</f>
        <v>#REF!</v>
      </c>
      <c r="R570" s="17" t="str">
        <f t="shared" si="61"/>
        <v>16 2 02 20550620</v>
      </c>
    </row>
    <row r="571" spans="1:18" s="24" customFormat="1" ht="15.75">
      <c r="A571" s="21"/>
      <c r="B571" s="127" t="s">
        <v>428</v>
      </c>
      <c r="C571" s="109" t="s">
        <v>394</v>
      </c>
      <c r="D571" s="108" t="s">
        <v>229</v>
      </c>
      <c r="E571" s="108" t="s">
        <v>62</v>
      </c>
      <c r="F571" s="108" t="s">
        <v>427</v>
      </c>
      <c r="G571" s="108" t="s">
        <v>429</v>
      </c>
      <c r="H571" s="126"/>
      <c r="L571" s="22"/>
      <c r="M571" s="22"/>
      <c r="N571" s="22"/>
      <c r="O571" s="22"/>
      <c r="P571" s="22"/>
      <c r="Q571" s="22"/>
    </row>
    <row r="572" spans="1:18" s="17" customFormat="1" ht="47.25">
      <c r="A572" s="14"/>
      <c r="B572" s="125" t="s">
        <v>430</v>
      </c>
      <c r="C572" s="109" t="s">
        <v>394</v>
      </c>
      <c r="D572" s="108" t="s">
        <v>229</v>
      </c>
      <c r="E572" s="108" t="s">
        <v>62</v>
      </c>
      <c r="F572" s="108" t="s">
        <v>431</v>
      </c>
      <c r="G572" s="108" t="s">
        <v>9</v>
      </c>
      <c r="H572" s="126">
        <f t="shared" ref="H572:H573" si="68">H573</f>
        <v>0</v>
      </c>
      <c r="L572" s="20">
        <v>2538.87</v>
      </c>
      <c r="M572" s="20">
        <v>2538.87</v>
      </c>
      <c r="N572" s="20">
        <v>2538.87</v>
      </c>
      <c r="O572" s="20">
        <f>H572-L572</f>
        <v>-2538.87</v>
      </c>
      <c r="P572" s="20" t="e">
        <f>#REF!-M572</f>
        <v>#REF!</v>
      </c>
      <c r="Q572" s="20" t="e">
        <f>#REF!-N572</f>
        <v>#REF!</v>
      </c>
      <c r="R572" s="17" t="str">
        <f t="shared" si="61"/>
        <v>17 0 00 00000000</v>
      </c>
    </row>
    <row r="573" spans="1:18" s="17" customFormat="1" ht="47.25">
      <c r="A573" s="14"/>
      <c r="B573" s="129" t="s">
        <v>432</v>
      </c>
      <c r="C573" s="109" t="s">
        <v>394</v>
      </c>
      <c r="D573" s="108" t="s">
        <v>229</v>
      </c>
      <c r="E573" s="108" t="s">
        <v>62</v>
      </c>
      <c r="F573" s="108" t="s">
        <v>433</v>
      </c>
      <c r="G573" s="108" t="s">
        <v>9</v>
      </c>
      <c r="H573" s="126">
        <f t="shared" si="68"/>
        <v>0</v>
      </c>
      <c r="L573" s="20">
        <v>2538.87</v>
      </c>
      <c r="M573" s="20">
        <v>2538.87</v>
      </c>
      <c r="N573" s="20">
        <v>2538.87</v>
      </c>
      <c r="O573" s="20">
        <f>H573-L573</f>
        <v>-2538.87</v>
      </c>
      <c r="P573" s="20" t="e">
        <f>#REF!-M573</f>
        <v>#REF!</v>
      </c>
      <c r="Q573" s="20" t="e">
        <f>#REF!-N573</f>
        <v>#REF!</v>
      </c>
      <c r="R573" s="17" t="str">
        <f t="shared" si="61"/>
        <v>17 Б 00 00000000</v>
      </c>
    </row>
    <row r="574" spans="1:18" s="17" customFormat="1" ht="31.5">
      <c r="A574" s="14"/>
      <c r="B574" s="125" t="s">
        <v>434</v>
      </c>
      <c r="C574" s="109" t="s">
        <v>394</v>
      </c>
      <c r="D574" s="108" t="s">
        <v>229</v>
      </c>
      <c r="E574" s="108" t="s">
        <v>62</v>
      </c>
      <c r="F574" s="108" t="s">
        <v>435</v>
      </c>
      <c r="G574" s="108" t="s">
        <v>9</v>
      </c>
      <c r="H574" s="126">
        <f>H576</f>
        <v>0</v>
      </c>
      <c r="L574" s="20">
        <v>2538.87</v>
      </c>
      <c r="M574" s="20">
        <v>2538.87</v>
      </c>
      <c r="N574" s="20">
        <v>2538.87</v>
      </c>
      <c r="O574" s="20">
        <f>H574-L574</f>
        <v>-2538.87</v>
      </c>
      <c r="P574" s="20" t="e">
        <f>#REF!-M574</f>
        <v>#REF!</v>
      </c>
      <c r="Q574" s="20" t="e">
        <f>#REF!-N574</f>
        <v>#REF!</v>
      </c>
      <c r="R574" s="17" t="str">
        <f t="shared" ref="R574:R659" si="69">CONCATENATE(F574,G574)</f>
        <v>17 Б 01 00000000</v>
      </c>
    </row>
    <row r="575" spans="1:18" s="17" customFormat="1" ht="47.25">
      <c r="A575" s="14"/>
      <c r="B575" s="132" t="s">
        <v>436</v>
      </c>
      <c r="C575" s="109" t="s">
        <v>394</v>
      </c>
      <c r="D575" s="108" t="s">
        <v>229</v>
      </c>
      <c r="E575" s="108" t="s">
        <v>62</v>
      </c>
      <c r="F575" s="108" t="s">
        <v>437</v>
      </c>
      <c r="G575" s="108" t="s">
        <v>9</v>
      </c>
      <c r="H575" s="126">
        <f>H576</f>
        <v>0</v>
      </c>
      <c r="L575" s="20">
        <v>2538.87</v>
      </c>
      <c r="M575" s="20">
        <v>2538.87</v>
      </c>
      <c r="N575" s="20">
        <v>2538.87</v>
      </c>
      <c r="O575" s="20">
        <f>H575-L575</f>
        <v>-2538.87</v>
      </c>
      <c r="P575" s="20" t="e">
        <f>#REF!-M575</f>
        <v>#REF!</v>
      </c>
      <c r="Q575" s="20" t="e">
        <f>#REF!-N575</f>
        <v>#REF!</v>
      </c>
      <c r="R575" s="17" t="str">
        <f t="shared" si="69"/>
        <v>17 Б 01 20490000</v>
      </c>
    </row>
    <row r="576" spans="1:18" s="17" customFormat="1" ht="15.75">
      <c r="A576" s="14"/>
      <c r="B576" s="132" t="s">
        <v>403</v>
      </c>
      <c r="C576" s="109" t="s">
        <v>394</v>
      </c>
      <c r="D576" s="108" t="s">
        <v>229</v>
      </c>
      <c r="E576" s="108" t="s">
        <v>62</v>
      </c>
      <c r="F576" s="108" t="s">
        <v>437</v>
      </c>
      <c r="G576" s="108" t="s">
        <v>404</v>
      </c>
      <c r="H576" s="126">
        <f>H577</f>
        <v>0</v>
      </c>
      <c r="L576" s="20">
        <v>2538.87</v>
      </c>
      <c r="M576" s="20">
        <v>2538.87</v>
      </c>
      <c r="N576" s="20">
        <v>2538.87</v>
      </c>
      <c r="O576" s="20">
        <f>H576-L576</f>
        <v>-2538.87</v>
      </c>
      <c r="P576" s="20" t="e">
        <f>#REF!-M576</f>
        <v>#REF!</v>
      </c>
      <c r="Q576" s="20" t="e">
        <f>#REF!-N576</f>
        <v>#REF!</v>
      </c>
      <c r="R576" s="17" t="str">
        <f t="shared" si="69"/>
        <v>17 Б 01 20490610</v>
      </c>
    </row>
    <row r="577" spans="1:18" s="24" customFormat="1" ht="15.75">
      <c r="A577" s="21"/>
      <c r="B577" s="127" t="s">
        <v>407</v>
      </c>
      <c r="C577" s="109" t="s">
        <v>394</v>
      </c>
      <c r="D577" s="108" t="s">
        <v>229</v>
      </c>
      <c r="E577" s="108" t="s">
        <v>62</v>
      </c>
      <c r="F577" s="108" t="s">
        <v>437</v>
      </c>
      <c r="G577" s="108" t="s">
        <v>408</v>
      </c>
      <c r="H577" s="126"/>
      <c r="L577" s="22"/>
      <c r="M577" s="22"/>
      <c r="N577" s="22"/>
      <c r="O577" s="22"/>
      <c r="P577" s="22"/>
      <c r="Q577" s="22"/>
    </row>
    <row r="578" spans="1:18" s="17" customFormat="1" ht="31.5">
      <c r="A578" s="14"/>
      <c r="B578" s="132" t="s">
        <v>174</v>
      </c>
      <c r="C578" s="109" t="s">
        <v>394</v>
      </c>
      <c r="D578" s="108" t="s">
        <v>229</v>
      </c>
      <c r="E578" s="108" t="s">
        <v>62</v>
      </c>
      <c r="F578" s="108" t="s">
        <v>175</v>
      </c>
      <c r="G578" s="108" t="s">
        <v>9</v>
      </c>
      <c r="H578" s="126">
        <f t="shared" ref="H578:H581" si="70">H579</f>
        <v>0</v>
      </c>
      <c r="L578" s="20">
        <v>91.8</v>
      </c>
      <c r="M578" s="20">
        <v>91.8</v>
      </c>
      <c r="N578" s="20">
        <v>91.8</v>
      </c>
      <c r="O578" s="20">
        <f>H578-L578</f>
        <v>-91.8</v>
      </c>
      <c r="P578" s="20" t="e">
        <f>#REF!-M578</f>
        <v>#REF!</v>
      </c>
      <c r="Q578" s="20" t="e">
        <f>#REF!-N578</f>
        <v>#REF!</v>
      </c>
      <c r="R578" s="17" t="str">
        <f t="shared" si="69"/>
        <v>18 0 00 00000000</v>
      </c>
    </row>
    <row r="579" spans="1:18" s="17" customFormat="1" ht="31.5">
      <c r="A579" s="14"/>
      <c r="B579" s="132" t="s">
        <v>176</v>
      </c>
      <c r="C579" s="109" t="s">
        <v>394</v>
      </c>
      <c r="D579" s="108" t="s">
        <v>229</v>
      </c>
      <c r="E579" s="108" t="s">
        <v>62</v>
      </c>
      <c r="F579" s="108" t="s">
        <v>177</v>
      </c>
      <c r="G579" s="108" t="s">
        <v>9</v>
      </c>
      <c r="H579" s="126">
        <f t="shared" si="70"/>
        <v>0</v>
      </c>
      <c r="L579" s="20">
        <v>91.8</v>
      </c>
      <c r="M579" s="20">
        <v>91.8</v>
      </c>
      <c r="N579" s="20">
        <v>91.8</v>
      </c>
      <c r="O579" s="20">
        <f>H579-L579</f>
        <v>-91.8</v>
      </c>
      <c r="P579" s="20" t="e">
        <f>#REF!-M579</f>
        <v>#REF!</v>
      </c>
      <c r="Q579" s="20" t="e">
        <f>#REF!-N579</f>
        <v>#REF!</v>
      </c>
      <c r="R579" s="17" t="str">
        <f t="shared" si="69"/>
        <v>18 Б 00 00000000</v>
      </c>
    </row>
    <row r="580" spans="1:18" s="17" customFormat="1" ht="78.75">
      <c r="A580" s="14"/>
      <c r="B580" s="125" t="s">
        <v>454</v>
      </c>
      <c r="C580" s="109" t="s">
        <v>394</v>
      </c>
      <c r="D580" s="108" t="s">
        <v>229</v>
      </c>
      <c r="E580" s="108" t="s">
        <v>62</v>
      </c>
      <c r="F580" s="108" t="s">
        <v>455</v>
      </c>
      <c r="G580" s="108" t="s">
        <v>9</v>
      </c>
      <c r="H580" s="126">
        <f t="shared" si="70"/>
        <v>0</v>
      </c>
      <c r="L580" s="20">
        <v>91.8</v>
      </c>
      <c r="M580" s="20">
        <v>91.8</v>
      </c>
      <c r="N580" s="20">
        <v>91.8</v>
      </c>
      <c r="O580" s="20">
        <f>H580-L580</f>
        <v>-91.8</v>
      </c>
      <c r="P580" s="20" t="e">
        <f>#REF!-M580</f>
        <v>#REF!</v>
      </c>
      <c r="Q580" s="20" t="e">
        <f>#REF!-N580</f>
        <v>#REF!</v>
      </c>
      <c r="R580" s="17" t="str">
        <f t="shared" si="69"/>
        <v>18 Б 02 00000000</v>
      </c>
    </row>
    <row r="581" spans="1:18" s="17" customFormat="1" ht="47.25">
      <c r="A581" s="14"/>
      <c r="B581" s="125" t="s">
        <v>456</v>
      </c>
      <c r="C581" s="109" t="s">
        <v>394</v>
      </c>
      <c r="D581" s="108" t="s">
        <v>229</v>
      </c>
      <c r="E581" s="108" t="s">
        <v>62</v>
      </c>
      <c r="F581" s="108" t="s">
        <v>457</v>
      </c>
      <c r="G581" s="108" t="s">
        <v>9</v>
      </c>
      <c r="H581" s="126">
        <f t="shared" si="70"/>
        <v>0</v>
      </c>
      <c r="L581" s="20">
        <v>91.8</v>
      </c>
      <c r="M581" s="20">
        <v>91.8</v>
      </c>
      <c r="N581" s="20">
        <v>91.8</v>
      </c>
      <c r="O581" s="20">
        <f>H581-L581</f>
        <v>-91.8</v>
      </c>
      <c r="P581" s="20" t="e">
        <f>#REF!-M581</f>
        <v>#REF!</v>
      </c>
      <c r="Q581" s="20" t="e">
        <f>#REF!-N581</f>
        <v>#REF!</v>
      </c>
      <c r="R581" s="17" t="str">
        <f t="shared" si="69"/>
        <v>18 Б 02 20360000</v>
      </c>
    </row>
    <row r="582" spans="1:18" s="17" customFormat="1" ht="15.75">
      <c r="A582" s="14"/>
      <c r="B582" s="132" t="s">
        <v>403</v>
      </c>
      <c r="C582" s="109" t="s">
        <v>394</v>
      </c>
      <c r="D582" s="108" t="s">
        <v>229</v>
      </c>
      <c r="E582" s="108" t="s">
        <v>62</v>
      </c>
      <c r="F582" s="108" t="s">
        <v>457</v>
      </c>
      <c r="G582" s="108" t="s">
        <v>404</v>
      </c>
      <c r="H582" s="126">
        <f>H583</f>
        <v>0</v>
      </c>
      <c r="L582" s="20">
        <v>91.8</v>
      </c>
      <c r="M582" s="20">
        <v>91.8</v>
      </c>
      <c r="N582" s="20">
        <v>91.8</v>
      </c>
      <c r="O582" s="20">
        <f>H582-L582</f>
        <v>-91.8</v>
      </c>
      <c r="P582" s="20" t="e">
        <f>#REF!-M582</f>
        <v>#REF!</v>
      </c>
      <c r="Q582" s="20" t="e">
        <f>#REF!-N582</f>
        <v>#REF!</v>
      </c>
      <c r="R582" s="17" t="str">
        <f t="shared" si="69"/>
        <v>18 Б 02 20360610</v>
      </c>
    </row>
    <row r="583" spans="1:18" s="24" customFormat="1" ht="15.75">
      <c r="A583" s="21"/>
      <c r="B583" s="127" t="s">
        <v>407</v>
      </c>
      <c r="C583" s="109" t="s">
        <v>394</v>
      </c>
      <c r="D583" s="108" t="s">
        <v>229</v>
      </c>
      <c r="E583" s="108" t="s">
        <v>62</v>
      </c>
      <c r="F583" s="108" t="s">
        <v>457</v>
      </c>
      <c r="G583" s="108" t="s">
        <v>408</v>
      </c>
      <c r="H583" s="126"/>
      <c r="L583" s="22"/>
      <c r="M583" s="22"/>
      <c r="N583" s="22"/>
      <c r="O583" s="22"/>
      <c r="P583" s="22"/>
      <c r="Q583" s="22"/>
    </row>
    <row r="584" spans="1:18" s="17" customFormat="1" ht="15.75">
      <c r="A584" s="14"/>
      <c r="B584" s="121" t="s">
        <v>458</v>
      </c>
      <c r="C584" s="122" t="s">
        <v>394</v>
      </c>
      <c r="D584" s="123" t="s">
        <v>229</v>
      </c>
      <c r="E584" s="123" t="s">
        <v>13</v>
      </c>
      <c r="F584" s="123" t="s">
        <v>8</v>
      </c>
      <c r="G584" s="123" t="s">
        <v>9</v>
      </c>
      <c r="H584" s="124">
        <f>H585+H613+H597</f>
        <v>0</v>
      </c>
      <c r="L584" s="19">
        <v>198508.06</v>
      </c>
      <c r="M584" s="19">
        <v>196366.84</v>
      </c>
      <c r="N584" s="19">
        <v>196366.84</v>
      </c>
      <c r="O584" s="19">
        <f t="shared" ref="O584:O589" si="71">H584-L584</f>
        <v>-198508.06</v>
      </c>
      <c r="P584" s="19" t="e">
        <f>#REF!-M584</f>
        <v>#REF!</v>
      </c>
      <c r="Q584" s="19" t="e">
        <f>#REF!-N584</f>
        <v>#REF!</v>
      </c>
      <c r="R584" s="17" t="str">
        <f t="shared" si="69"/>
        <v>00 0 00 00000000</v>
      </c>
    </row>
    <row r="585" spans="1:18" s="17" customFormat="1" ht="31.5">
      <c r="A585" s="14"/>
      <c r="B585" s="132" t="s">
        <v>396</v>
      </c>
      <c r="C585" s="109" t="s">
        <v>394</v>
      </c>
      <c r="D585" s="108" t="s">
        <v>229</v>
      </c>
      <c r="E585" s="108" t="s">
        <v>13</v>
      </c>
      <c r="F585" s="108" t="s">
        <v>397</v>
      </c>
      <c r="G585" s="108" t="s">
        <v>9</v>
      </c>
      <c r="H585" s="126">
        <f>H586</f>
        <v>0</v>
      </c>
      <c r="L585" s="20">
        <v>197128.16</v>
      </c>
      <c r="M585" s="20">
        <v>195886.94</v>
      </c>
      <c r="N585" s="20">
        <v>195886.94</v>
      </c>
      <c r="O585" s="20">
        <f t="shared" si="71"/>
        <v>-197128.16</v>
      </c>
      <c r="P585" s="20" t="e">
        <f>#REF!-M585</f>
        <v>#REF!</v>
      </c>
      <c r="Q585" s="20" t="e">
        <f>#REF!-N585</f>
        <v>#REF!</v>
      </c>
      <c r="R585" s="17" t="str">
        <f t="shared" si="69"/>
        <v>01 0 00 00000000</v>
      </c>
    </row>
    <row r="586" spans="1:18" s="17" customFormat="1" ht="31.5">
      <c r="A586" s="14"/>
      <c r="B586" s="132" t="s">
        <v>398</v>
      </c>
      <c r="C586" s="109" t="s">
        <v>394</v>
      </c>
      <c r="D586" s="108" t="s">
        <v>229</v>
      </c>
      <c r="E586" s="108" t="s">
        <v>13</v>
      </c>
      <c r="F586" s="108" t="s">
        <v>399</v>
      </c>
      <c r="G586" s="108" t="s">
        <v>9</v>
      </c>
      <c r="H586" s="126">
        <f>H587+H593</f>
        <v>0</v>
      </c>
      <c r="L586" s="20">
        <v>197128.16</v>
      </c>
      <c r="M586" s="20">
        <v>195886.94</v>
      </c>
      <c r="N586" s="20">
        <v>195886.94</v>
      </c>
      <c r="O586" s="20">
        <f t="shared" si="71"/>
        <v>-197128.16</v>
      </c>
      <c r="P586" s="20" t="e">
        <f>#REF!-M586</f>
        <v>#REF!</v>
      </c>
      <c r="Q586" s="20" t="e">
        <f>#REF!-N586</f>
        <v>#REF!</v>
      </c>
      <c r="R586" s="17" t="str">
        <f t="shared" si="69"/>
        <v>01 1 00 00000000</v>
      </c>
    </row>
    <row r="587" spans="1:18" s="17" customFormat="1" ht="47.25">
      <c r="A587" s="14"/>
      <c r="B587" s="129" t="s">
        <v>459</v>
      </c>
      <c r="C587" s="130" t="s">
        <v>394</v>
      </c>
      <c r="D587" s="131" t="s">
        <v>229</v>
      </c>
      <c r="E587" s="131" t="s">
        <v>13</v>
      </c>
      <c r="F587" s="131" t="s">
        <v>460</v>
      </c>
      <c r="G587" s="131" t="s">
        <v>9</v>
      </c>
      <c r="H587" s="105">
        <f>H588</f>
        <v>0</v>
      </c>
      <c r="L587" s="26">
        <v>196878.16</v>
      </c>
      <c r="M587" s="26">
        <v>195886.94</v>
      </c>
      <c r="N587" s="26">
        <v>195886.94</v>
      </c>
      <c r="O587" s="26">
        <f t="shared" si="71"/>
        <v>-196878.16</v>
      </c>
      <c r="P587" s="26" t="e">
        <f>#REF!-M587</f>
        <v>#REF!</v>
      </c>
      <c r="Q587" s="26" t="e">
        <f>#REF!-N587</f>
        <v>#REF!</v>
      </c>
      <c r="R587" s="17" t="str">
        <f t="shared" si="69"/>
        <v>01 1 03 00000000</v>
      </c>
    </row>
    <row r="588" spans="1:18" s="17" customFormat="1" ht="31.5">
      <c r="A588" s="14"/>
      <c r="B588" s="140" t="s">
        <v>136</v>
      </c>
      <c r="C588" s="130" t="s">
        <v>394</v>
      </c>
      <c r="D588" s="131" t="s">
        <v>229</v>
      </c>
      <c r="E588" s="131" t="s">
        <v>13</v>
      </c>
      <c r="F588" s="131" t="s">
        <v>461</v>
      </c>
      <c r="G588" s="131" t="s">
        <v>9</v>
      </c>
      <c r="H588" s="105">
        <f>H589+H591</f>
        <v>0</v>
      </c>
      <c r="L588" s="26">
        <v>196878.16</v>
      </c>
      <c r="M588" s="26">
        <v>195886.94</v>
      </c>
      <c r="N588" s="26">
        <v>195886.94</v>
      </c>
      <c r="O588" s="26">
        <f t="shared" si="71"/>
        <v>-196878.16</v>
      </c>
      <c r="P588" s="26" t="e">
        <f>#REF!-M588</f>
        <v>#REF!</v>
      </c>
      <c r="Q588" s="26" t="e">
        <f>#REF!-N588</f>
        <v>#REF!</v>
      </c>
      <c r="R588" s="17" t="str">
        <f t="shared" si="69"/>
        <v>01 1 03 11010000</v>
      </c>
    </row>
    <row r="589" spans="1:18" s="17" customFormat="1" ht="15.75">
      <c r="A589" s="14"/>
      <c r="B589" s="140" t="s">
        <v>403</v>
      </c>
      <c r="C589" s="130" t="s">
        <v>394</v>
      </c>
      <c r="D589" s="131" t="s">
        <v>229</v>
      </c>
      <c r="E589" s="131" t="s">
        <v>13</v>
      </c>
      <c r="F589" s="131" t="s">
        <v>461</v>
      </c>
      <c r="G589" s="131" t="s">
        <v>404</v>
      </c>
      <c r="H589" s="126">
        <f>H590</f>
        <v>0</v>
      </c>
      <c r="L589" s="20">
        <v>177710.54</v>
      </c>
      <c r="M589" s="20">
        <v>176969.32</v>
      </c>
      <c r="N589" s="20">
        <v>176969.32</v>
      </c>
      <c r="O589" s="20">
        <f t="shared" si="71"/>
        <v>-177710.54</v>
      </c>
      <c r="P589" s="20" t="e">
        <f>#REF!-M589</f>
        <v>#REF!</v>
      </c>
      <c r="Q589" s="20" t="e">
        <f>#REF!-N589</f>
        <v>#REF!</v>
      </c>
      <c r="R589" s="17" t="str">
        <f t="shared" si="69"/>
        <v>01 1 03 11010610</v>
      </c>
    </row>
    <row r="590" spans="1:18" s="24" customFormat="1" ht="63">
      <c r="A590" s="21"/>
      <c r="B590" s="127" t="s">
        <v>405</v>
      </c>
      <c r="C590" s="130" t="s">
        <v>394</v>
      </c>
      <c r="D590" s="131" t="s">
        <v>229</v>
      </c>
      <c r="E590" s="131" t="s">
        <v>13</v>
      </c>
      <c r="F590" s="131" t="s">
        <v>461</v>
      </c>
      <c r="G590" s="108" t="s">
        <v>406</v>
      </c>
      <c r="H590" s="126"/>
      <c r="L590" s="22"/>
      <c r="M590" s="22"/>
      <c r="N590" s="22"/>
      <c r="O590" s="22"/>
      <c r="P590" s="22"/>
      <c r="Q590" s="22"/>
    </row>
    <row r="591" spans="1:18" s="17" customFormat="1" ht="15.75">
      <c r="A591" s="14"/>
      <c r="B591" s="140" t="s">
        <v>409</v>
      </c>
      <c r="C591" s="130" t="s">
        <v>394</v>
      </c>
      <c r="D591" s="131" t="s">
        <v>229</v>
      </c>
      <c r="E591" s="131" t="s">
        <v>13</v>
      </c>
      <c r="F591" s="131" t="s">
        <v>461</v>
      </c>
      <c r="G591" s="131" t="s">
        <v>410</v>
      </c>
      <c r="H591" s="126">
        <f>H592</f>
        <v>0</v>
      </c>
      <c r="L591" s="20">
        <v>19167.62</v>
      </c>
      <c r="M591" s="20">
        <v>18917.62</v>
      </c>
      <c r="N591" s="20">
        <v>18917.62</v>
      </c>
      <c r="O591" s="20">
        <f>H591-L591</f>
        <v>-19167.62</v>
      </c>
      <c r="P591" s="20" t="e">
        <f>#REF!-M591</f>
        <v>#REF!</v>
      </c>
      <c r="Q591" s="20" t="e">
        <f>#REF!-N591</f>
        <v>#REF!</v>
      </c>
      <c r="R591" s="17" t="str">
        <f t="shared" si="69"/>
        <v>01 1 03 11010620</v>
      </c>
    </row>
    <row r="592" spans="1:18" s="24" customFormat="1" ht="63">
      <c r="A592" s="21"/>
      <c r="B592" s="127" t="s">
        <v>411</v>
      </c>
      <c r="C592" s="130" t="s">
        <v>394</v>
      </c>
      <c r="D592" s="131" t="s">
        <v>229</v>
      </c>
      <c r="E592" s="131" t="s">
        <v>13</v>
      </c>
      <c r="F592" s="131" t="s">
        <v>461</v>
      </c>
      <c r="G592" s="108" t="s">
        <v>412</v>
      </c>
      <c r="H592" s="126"/>
      <c r="L592" s="22"/>
      <c r="M592" s="22"/>
      <c r="N592" s="22"/>
      <c r="O592" s="22"/>
      <c r="P592" s="22"/>
      <c r="Q592" s="22"/>
    </row>
    <row r="593" spans="1:18" s="17" customFormat="1" ht="78.75">
      <c r="A593" s="14"/>
      <c r="B593" s="125" t="s">
        <v>417</v>
      </c>
      <c r="C593" s="109" t="s">
        <v>394</v>
      </c>
      <c r="D593" s="108" t="s">
        <v>229</v>
      </c>
      <c r="E593" s="131" t="s">
        <v>13</v>
      </c>
      <c r="F593" s="108" t="s">
        <v>418</v>
      </c>
      <c r="G593" s="108" t="s">
        <v>9</v>
      </c>
      <c r="H593" s="126">
        <f>H594</f>
        <v>0</v>
      </c>
      <c r="L593" s="20">
        <v>250</v>
      </c>
      <c r="M593" s="20">
        <v>0</v>
      </c>
      <c r="N593" s="20">
        <v>0</v>
      </c>
      <c r="O593" s="20">
        <f>H593-L593</f>
        <v>-250</v>
      </c>
      <c r="P593" s="20" t="e">
        <f>#REF!-M593</f>
        <v>#REF!</v>
      </c>
      <c r="Q593" s="20" t="e">
        <f>#REF!-N593</f>
        <v>#REF!</v>
      </c>
      <c r="R593" s="17" t="str">
        <f t="shared" si="69"/>
        <v>01 1 06 00000000</v>
      </c>
    </row>
    <row r="594" spans="1:18" s="17" customFormat="1" ht="47.25">
      <c r="A594" s="14"/>
      <c r="B594" s="132" t="s">
        <v>462</v>
      </c>
      <c r="C594" s="109" t="s">
        <v>394</v>
      </c>
      <c r="D594" s="108" t="s">
        <v>229</v>
      </c>
      <c r="E594" s="131" t="s">
        <v>13</v>
      </c>
      <c r="F594" s="108" t="s">
        <v>463</v>
      </c>
      <c r="G594" s="108" t="s">
        <v>9</v>
      </c>
      <c r="H594" s="126">
        <f>H595</f>
        <v>0</v>
      </c>
      <c r="L594" s="20">
        <v>250</v>
      </c>
      <c r="M594" s="20">
        <v>0</v>
      </c>
      <c r="N594" s="20">
        <v>0</v>
      </c>
      <c r="O594" s="20">
        <f>H594-L594</f>
        <v>-250</v>
      </c>
      <c r="P594" s="20" t="e">
        <f>#REF!-M594</f>
        <v>#REF!</v>
      </c>
      <c r="Q594" s="20" t="e">
        <f>#REF!-N594</f>
        <v>#REF!</v>
      </c>
      <c r="R594" s="17" t="str">
        <f t="shared" si="69"/>
        <v>01 1 06 S6690000</v>
      </c>
    </row>
    <row r="595" spans="1:18" s="17" customFormat="1" ht="15.75">
      <c r="A595" s="14"/>
      <c r="B595" s="132" t="s">
        <v>403</v>
      </c>
      <c r="C595" s="109" t="s">
        <v>394</v>
      </c>
      <c r="D595" s="108" t="s">
        <v>229</v>
      </c>
      <c r="E595" s="131" t="s">
        <v>13</v>
      </c>
      <c r="F595" s="108" t="s">
        <v>463</v>
      </c>
      <c r="G595" s="108" t="s">
        <v>404</v>
      </c>
      <c r="H595" s="126">
        <f>H596</f>
        <v>0</v>
      </c>
      <c r="L595" s="20">
        <v>250</v>
      </c>
      <c r="M595" s="20">
        <v>0</v>
      </c>
      <c r="N595" s="20">
        <v>0</v>
      </c>
      <c r="O595" s="20">
        <f>H595-L595</f>
        <v>-250</v>
      </c>
      <c r="P595" s="20" t="e">
        <f>#REF!-M595</f>
        <v>#REF!</v>
      </c>
      <c r="Q595" s="20" t="e">
        <f>#REF!-N595</f>
        <v>#REF!</v>
      </c>
      <c r="R595" s="17" t="str">
        <f t="shared" si="69"/>
        <v>01 1 06 S6690610</v>
      </c>
    </row>
    <row r="596" spans="1:18" s="24" customFormat="1" ht="15.75">
      <c r="A596" s="21"/>
      <c r="B596" s="127" t="s">
        <v>407</v>
      </c>
      <c r="C596" s="109" t="s">
        <v>394</v>
      </c>
      <c r="D596" s="108" t="s">
        <v>229</v>
      </c>
      <c r="E596" s="131" t="s">
        <v>13</v>
      </c>
      <c r="F596" s="108" t="s">
        <v>463</v>
      </c>
      <c r="G596" s="108" t="s">
        <v>408</v>
      </c>
      <c r="H596" s="126"/>
      <c r="L596" s="22"/>
      <c r="M596" s="22"/>
      <c r="N596" s="22"/>
      <c r="O596" s="22"/>
      <c r="P596" s="22"/>
      <c r="Q596" s="22"/>
    </row>
    <row r="597" spans="1:18" s="17" customFormat="1" ht="47.25">
      <c r="A597" s="14"/>
      <c r="B597" s="127" t="s">
        <v>146</v>
      </c>
      <c r="C597" s="109" t="s">
        <v>394</v>
      </c>
      <c r="D597" s="108" t="s">
        <v>229</v>
      </c>
      <c r="E597" s="131" t="s">
        <v>13</v>
      </c>
      <c r="F597" s="108" t="s">
        <v>147</v>
      </c>
      <c r="G597" s="108" t="s">
        <v>9</v>
      </c>
      <c r="H597" s="126">
        <f>H608+H603+H598</f>
        <v>0</v>
      </c>
      <c r="L597" s="20">
        <v>1020</v>
      </c>
      <c r="M597" s="20">
        <v>120</v>
      </c>
      <c r="N597" s="20">
        <v>120</v>
      </c>
      <c r="O597" s="20">
        <f>H597-L597</f>
        <v>-1020</v>
      </c>
      <c r="P597" s="20" t="e">
        <f>#REF!-M597</f>
        <v>#REF!</v>
      </c>
      <c r="Q597" s="20" t="e">
        <f>#REF!-N597</f>
        <v>#REF!</v>
      </c>
      <c r="R597" s="17" t="str">
        <f t="shared" si="69"/>
        <v>15 0 00 00000000</v>
      </c>
    </row>
    <row r="598" spans="1:18" s="17" customFormat="1" ht="15.75">
      <c r="A598" s="14"/>
      <c r="B598" s="132" t="s">
        <v>148</v>
      </c>
      <c r="C598" s="109" t="s">
        <v>394</v>
      </c>
      <c r="D598" s="108" t="s">
        <v>229</v>
      </c>
      <c r="E598" s="131" t="s">
        <v>13</v>
      </c>
      <c r="F598" s="108" t="s">
        <v>149</v>
      </c>
      <c r="G598" s="108" t="s">
        <v>9</v>
      </c>
      <c r="H598" s="126">
        <f>H599</f>
        <v>0</v>
      </c>
      <c r="L598" s="20">
        <v>900</v>
      </c>
      <c r="M598" s="20">
        <v>0</v>
      </c>
      <c r="N598" s="20">
        <v>0</v>
      </c>
      <c r="O598" s="20">
        <f>H598-L598</f>
        <v>-900</v>
      </c>
      <c r="P598" s="20" t="e">
        <f>#REF!-M598</f>
        <v>#REF!</v>
      </c>
      <c r="Q598" s="20" t="e">
        <f>#REF!-N598</f>
        <v>#REF!</v>
      </c>
      <c r="R598" s="17" t="str">
        <f t="shared" si="69"/>
        <v>15 1 00 00000000</v>
      </c>
    </row>
    <row r="599" spans="1:18" s="17" customFormat="1" ht="47.25">
      <c r="A599" s="14"/>
      <c r="B599" s="135" t="s">
        <v>273</v>
      </c>
      <c r="C599" s="109" t="s">
        <v>394</v>
      </c>
      <c r="D599" s="108" t="s">
        <v>229</v>
      </c>
      <c r="E599" s="131" t="s">
        <v>13</v>
      </c>
      <c r="F599" s="108" t="s">
        <v>274</v>
      </c>
      <c r="G599" s="108" t="s">
        <v>9</v>
      </c>
      <c r="H599" s="126">
        <f>H600</f>
        <v>0</v>
      </c>
      <c r="L599" s="20">
        <v>900</v>
      </c>
      <c r="M599" s="20">
        <v>0</v>
      </c>
      <c r="N599" s="20">
        <v>0</v>
      </c>
      <c r="O599" s="20">
        <f>H599-L599</f>
        <v>-900</v>
      </c>
      <c r="P599" s="20" t="e">
        <f>#REF!-M599</f>
        <v>#REF!</v>
      </c>
      <c r="Q599" s="20" t="e">
        <f>#REF!-N599</f>
        <v>#REF!</v>
      </c>
      <c r="R599" s="17" t="str">
        <f t="shared" si="69"/>
        <v>15 1 02 00000000</v>
      </c>
    </row>
    <row r="600" spans="1:18" s="17" customFormat="1" ht="47.25">
      <c r="A600" s="14"/>
      <c r="B600" s="132" t="s">
        <v>152</v>
      </c>
      <c r="C600" s="109" t="s">
        <v>394</v>
      </c>
      <c r="D600" s="108" t="s">
        <v>229</v>
      </c>
      <c r="E600" s="131" t="s">
        <v>13</v>
      </c>
      <c r="F600" s="108" t="s">
        <v>275</v>
      </c>
      <c r="G600" s="108" t="s">
        <v>9</v>
      </c>
      <c r="H600" s="126">
        <f>H601</f>
        <v>0</v>
      </c>
      <c r="L600" s="20">
        <v>900</v>
      </c>
      <c r="M600" s="20">
        <v>0</v>
      </c>
      <c r="N600" s="20">
        <v>0</v>
      </c>
      <c r="O600" s="20">
        <f>H600-L600</f>
        <v>-900</v>
      </c>
      <c r="P600" s="20" t="e">
        <f>#REF!-M600</f>
        <v>#REF!</v>
      </c>
      <c r="Q600" s="20" t="e">
        <f>#REF!-N600</f>
        <v>#REF!</v>
      </c>
      <c r="R600" s="17" t="str">
        <f t="shared" si="69"/>
        <v>15 1 02 20350000</v>
      </c>
    </row>
    <row r="601" spans="1:18" s="17" customFormat="1" ht="15.75">
      <c r="A601" s="14"/>
      <c r="B601" s="132" t="s">
        <v>403</v>
      </c>
      <c r="C601" s="109" t="s">
        <v>394</v>
      </c>
      <c r="D601" s="108" t="s">
        <v>229</v>
      </c>
      <c r="E601" s="131" t="s">
        <v>13</v>
      </c>
      <c r="F601" s="108" t="s">
        <v>275</v>
      </c>
      <c r="G601" s="108" t="s">
        <v>404</v>
      </c>
      <c r="H601" s="126">
        <f>H602</f>
        <v>0</v>
      </c>
      <c r="L601" s="20">
        <v>900</v>
      </c>
      <c r="M601" s="20">
        <v>0</v>
      </c>
      <c r="N601" s="20">
        <v>0</v>
      </c>
      <c r="O601" s="20">
        <f>H601-L601</f>
        <v>-900</v>
      </c>
      <c r="P601" s="20" t="e">
        <f>#REF!-M601</f>
        <v>#REF!</v>
      </c>
      <c r="Q601" s="20" t="e">
        <f>#REF!-N601</f>
        <v>#REF!</v>
      </c>
      <c r="R601" s="17" t="str">
        <f t="shared" si="69"/>
        <v>15 1 02 20350610</v>
      </c>
    </row>
    <row r="602" spans="1:18" s="24" customFormat="1" ht="15.75">
      <c r="A602" s="21"/>
      <c r="B602" s="127" t="s">
        <v>407</v>
      </c>
      <c r="C602" s="109" t="s">
        <v>394</v>
      </c>
      <c r="D602" s="108" t="s">
        <v>229</v>
      </c>
      <c r="E602" s="131" t="s">
        <v>13</v>
      </c>
      <c r="F602" s="108" t="s">
        <v>275</v>
      </c>
      <c r="G602" s="108" t="s">
        <v>408</v>
      </c>
      <c r="H602" s="126"/>
      <c r="L602" s="22"/>
      <c r="M602" s="22"/>
      <c r="N602" s="22"/>
      <c r="O602" s="22"/>
      <c r="P602" s="22"/>
      <c r="Q602" s="22"/>
    </row>
    <row r="603" spans="1:18" s="17" customFormat="1" ht="15.75">
      <c r="A603" s="14"/>
      <c r="B603" s="127" t="s">
        <v>154</v>
      </c>
      <c r="C603" s="109" t="s">
        <v>394</v>
      </c>
      <c r="D603" s="108" t="s">
        <v>229</v>
      </c>
      <c r="E603" s="131" t="s">
        <v>13</v>
      </c>
      <c r="F603" s="108" t="s">
        <v>155</v>
      </c>
      <c r="G603" s="108" t="s">
        <v>9</v>
      </c>
      <c r="H603" s="126">
        <f>H604</f>
        <v>0</v>
      </c>
      <c r="L603" s="20">
        <v>20</v>
      </c>
      <c r="M603" s="20">
        <v>20</v>
      </c>
      <c r="N603" s="20">
        <v>20</v>
      </c>
      <c r="O603" s="20">
        <f>H603-L603</f>
        <v>-20</v>
      </c>
      <c r="P603" s="20" t="e">
        <f>#REF!-M603</f>
        <v>#REF!</v>
      </c>
      <c r="Q603" s="20" t="e">
        <f>#REF!-N603</f>
        <v>#REF!</v>
      </c>
      <c r="R603" s="17" t="str">
        <f t="shared" si="69"/>
        <v>15 2 00 00000000</v>
      </c>
    </row>
    <row r="604" spans="1:18" s="17" customFormat="1" ht="47.25">
      <c r="A604" s="14"/>
      <c r="B604" s="127" t="s">
        <v>160</v>
      </c>
      <c r="C604" s="109" t="s">
        <v>394</v>
      </c>
      <c r="D604" s="108" t="s">
        <v>229</v>
      </c>
      <c r="E604" s="131" t="s">
        <v>13</v>
      </c>
      <c r="F604" s="108" t="s">
        <v>161</v>
      </c>
      <c r="G604" s="108" t="s">
        <v>9</v>
      </c>
      <c r="H604" s="126">
        <f>H605</f>
        <v>0</v>
      </c>
      <c r="L604" s="20">
        <v>20</v>
      </c>
      <c r="M604" s="20">
        <v>20</v>
      </c>
      <c r="N604" s="20">
        <v>20</v>
      </c>
      <c r="O604" s="20">
        <f>H604-L604</f>
        <v>-20</v>
      </c>
      <c r="P604" s="20" t="e">
        <f>#REF!-M604</f>
        <v>#REF!</v>
      </c>
      <c r="Q604" s="20" t="e">
        <f>#REF!-N604</f>
        <v>#REF!</v>
      </c>
      <c r="R604" s="17" t="str">
        <f t="shared" si="69"/>
        <v>15 2 02 00000000</v>
      </c>
    </row>
    <row r="605" spans="1:18" s="17" customFormat="1" ht="78.75">
      <c r="A605" s="14"/>
      <c r="B605" s="129" t="s">
        <v>158</v>
      </c>
      <c r="C605" s="109" t="s">
        <v>394</v>
      </c>
      <c r="D605" s="108" t="s">
        <v>229</v>
      </c>
      <c r="E605" s="131" t="s">
        <v>13</v>
      </c>
      <c r="F605" s="108" t="s">
        <v>162</v>
      </c>
      <c r="G605" s="108" t="s">
        <v>9</v>
      </c>
      <c r="H605" s="126">
        <f>H606</f>
        <v>0</v>
      </c>
      <c r="L605" s="20">
        <v>20</v>
      </c>
      <c r="M605" s="20">
        <v>20</v>
      </c>
      <c r="N605" s="20">
        <v>20</v>
      </c>
      <c r="O605" s="20">
        <f>H605-L605</f>
        <v>-20</v>
      </c>
      <c r="P605" s="20" t="e">
        <f>#REF!-M605</f>
        <v>#REF!</v>
      </c>
      <c r="Q605" s="20" t="e">
        <f>#REF!-N605</f>
        <v>#REF!</v>
      </c>
      <c r="R605" s="17" t="str">
        <f t="shared" si="69"/>
        <v>15 2 02 20370000</v>
      </c>
    </row>
    <row r="606" spans="1:18" s="17" customFormat="1" ht="15.75">
      <c r="A606" s="14"/>
      <c r="B606" s="132" t="s">
        <v>403</v>
      </c>
      <c r="C606" s="109" t="s">
        <v>394</v>
      </c>
      <c r="D606" s="108" t="s">
        <v>229</v>
      </c>
      <c r="E606" s="131" t="s">
        <v>13</v>
      </c>
      <c r="F606" s="108" t="s">
        <v>162</v>
      </c>
      <c r="G606" s="108" t="s">
        <v>404</v>
      </c>
      <c r="H606" s="126">
        <f>H607</f>
        <v>0</v>
      </c>
      <c r="L606" s="20">
        <v>20</v>
      </c>
      <c r="M606" s="20">
        <v>20</v>
      </c>
      <c r="N606" s="20">
        <v>20</v>
      </c>
      <c r="O606" s="20">
        <f>H606-L606</f>
        <v>-20</v>
      </c>
      <c r="P606" s="20" t="e">
        <f>#REF!-M606</f>
        <v>#REF!</v>
      </c>
      <c r="Q606" s="20" t="e">
        <f>#REF!-N606</f>
        <v>#REF!</v>
      </c>
      <c r="R606" s="17" t="str">
        <f t="shared" si="69"/>
        <v>15 2 02 20370610</v>
      </c>
    </row>
    <row r="607" spans="1:18" s="24" customFormat="1" ht="15.75">
      <c r="A607" s="21"/>
      <c r="B607" s="127" t="s">
        <v>407</v>
      </c>
      <c r="C607" s="109" t="s">
        <v>394</v>
      </c>
      <c r="D607" s="108" t="s">
        <v>229</v>
      </c>
      <c r="E607" s="131" t="s">
        <v>13</v>
      </c>
      <c r="F607" s="108" t="s">
        <v>162</v>
      </c>
      <c r="G607" s="108" t="s">
        <v>408</v>
      </c>
      <c r="H607" s="126"/>
      <c r="L607" s="22"/>
      <c r="M607" s="22"/>
      <c r="N607" s="22"/>
      <c r="O607" s="22"/>
      <c r="P607" s="22"/>
      <c r="Q607" s="22"/>
    </row>
    <row r="608" spans="1:18" s="17" customFormat="1" ht="31.5">
      <c r="A608" s="14"/>
      <c r="B608" s="125" t="s">
        <v>168</v>
      </c>
      <c r="C608" s="109" t="s">
        <v>394</v>
      </c>
      <c r="D608" s="108" t="s">
        <v>229</v>
      </c>
      <c r="E608" s="131" t="s">
        <v>13</v>
      </c>
      <c r="F608" s="108" t="s">
        <v>169</v>
      </c>
      <c r="G608" s="108" t="s">
        <v>9</v>
      </c>
      <c r="H608" s="126">
        <f>H609</f>
        <v>0</v>
      </c>
      <c r="L608" s="20">
        <v>100</v>
      </c>
      <c r="M608" s="20">
        <v>100</v>
      </c>
      <c r="N608" s="20">
        <v>100</v>
      </c>
      <c r="O608" s="20">
        <f>H608-L608</f>
        <v>-100</v>
      </c>
      <c r="P608" s="20" t="e">
        <f>#REF!-M608</f>
        <v>#REF!</v>
      </c>
      <c r="Q608" s="20" t="e">
        <f>#REF!-N608</f>
        <v>#REF!</v>
      </c>
      <c r="R608" s="17" t="str">
        <f t="shared" si="69"/>
        <v>15 3 00 00000000</v>
      </c>
    </row>
    <row r="609" spans="1:18" s="17" customFormat="1" ht="31.5">
      <c r="A609" s="14"/>
      <c r="B609" s="125" t="s">
        <v>374</v>
      </c>
      <c r="C609" s="109" t="s">
        <v>394</v>
      </c>
      <c r="D609" s="108" t="s">
        <v>229</v>
      </c>
      <c r="E609" s="131" t="s">
        <v>13</v>
      </c>
      <c r="F609" s="108" t="s">
        <v>375</v>
      </c>
      <c r="G609" s="108" t="s">
        <v>9</v>
      </c>
      <c r="H609" s="126">
        <f>H610</f>
        <v>0</v>
      </c>
      <c r="L609" s="20">
        <v>100</v>
      </c>
      <c r="M609" s="20">
        <v>100</v>
      </c>
      <c r="N609" s="20">
        <v>100</v>
      </c>
      <c r="O609" s="20">
        <f>H609-L609</f>
        <v>-100</v>
      </c>
      <c r="P609" s="20" t="e">
        <f>#REF!-M609</f>
        <v>#REF!</v>
      </c>
      <c r="Q609" s="20" t="e">
        <f>#REF!-N609</f>
        <v>#REF!</v>
      </c>
      <c r="R609" s="17" t="str">
        <f t="shared" si="69"/>
        <v>15 3 01 00000000</v>
      </c>
    </row>
    <row r="610" spans="1:18" s="17" customFormat="1" ht="31.5">
      <c r="A610" s="14"/>
      <c r="B610" s="125" t="s">
        <v>376</v>
      </c>
      <c r="C610" s="109" t="s">
        <v>394</v>
      </c>
      <c r="D610" s="108" t="s">
        <v>229</v>
      </c>
      <c r="E610" s="131" t="s">
        <v>13</v>
      </c>
      <c r="F610" s="108" t="s">
        <v>377</v>
      </c>
      <c r="G610" s="108" t="s">
        <v>9</v>
      </c>
      <c r="H610" s="126">
        <f>H611</f>
        <v>0</v>
      </c>
      <c r="L610" s="20">
        <v>100</v>
      </c>
      <c r="M610" s="20">
        <v>100</v>
      </c>
      <c r="N610" s="20">
        <v>100</v>
      </c>
      <c r="O610" s="20">
        <f>H610-L610</f>
        <v>-100</v>
      </c>
      <c r="P610" s="20" t="e">
        <f>#REF!-M610</f>
        <v>#REF!</v>
      </c>
      <c r="Q610" s="20" t="e">
        <f>#REF!-N610</f>
        <v>#REF!</v>
      </c>
      <c r="R610" s="17" t="str">
        <f t="shared" si="69"/>
        <v>15 3 01 20660000</v>
      </c>
    </row>
    <row r="611" spans="1:18" s="17" customFormat="1" ht="15.75">
      <c r="A611" s="14"/>
      <c r="B611" s="132" t="s">
        <v>403</v>
      </c>
      <c r="C611" s="109" t="s">
        <v>394</v>
      </c>
      <c r="D611" s="108" t="s">
        <v>229</v>
      </c>
      <c r="E611" s="131" t="s">
        <v>13</v>
      </c>
      <c r="F611" s="108" t="s">
        <v>377</v>
      </c>
      <c r="G611" s="108" t="s">
        <v>404</v>
      </c>
      <c r="H611" s="126">
        <f>H612</f>
        <v>0</v>
      </c>
      <c r="L611" s="20">
        <v>100</v>
      </c>
      <c r="M611" s="20">
        <v>100</v>
      </c>
      <c r="N611" s="20">
        <v>100</v>
      </c>
      <c r="O611" s="20">
        <f>H611-L611</f>
        <v>-100</v>
      </c>
      <c r="P611" s="20" t="e">
        <f>#REF!-M611</f>
        <v>#REF!</v>
      </c>
      <c r="Q611" s="20" t="e">
        <f>#REF!-N611</f>
        <v>#REF!</v>
      </c>
      <c r="R611" s="17" t="str">
        <f t="shared" si="69"/>
        <v>15 3 01 20660610</v>
      </c>
    </row>
    <row r="612" spans="1:18" s="24" customFormat="1" ht="15.75">
      <c r="A612" s="21"/>
      <c r="B612" s="127" t="s">
        <v>407</v>
      </c>
      <c r="C612" s="109" t="s">
        <v>394</v>
      </c>
      <c r="D612" s="108" t="s">
        <v>229</v>
      </c>
      <c r="E612" s="131" t="s">
        <v>13</v>
      </c>
      <c r="F612" s="108" t="s">
        <v>377</v>
      </c>
      <c r="G612" s="108" t="s">
        <v>408</v>
      </c>
      <c r="H612" s="126"/>
      <c r="L612" s="22"/>
      <c r="M612" s="22"/>
      <c r="N612" s="22"/>
      <c r="O612" s="22"/>
      <c r="P612" s="22"/>
      <c r="Q612" s="22"/>
    </row>
    <row r="613" spans="1:18" s="17" customFormat="1" ht="94.5">
      <c r="A613" s="14"/>
      <c r="B613" s="125" t="s">
        <v>420</v>
      </c>
      <c r="C613" s="109" t="s">
        <v>394</v>
      </c>
      <c r="D613" s="131" t="s">
        <v>229</v>
      </c>
      <c r="E613" s="131" t="s">
        <v>13</v>
      </c>
      <c r="F613" s="108" t="s">
        <v>421</v>
      </c>
      <c r="G613" s="108" t="s">
        <v>9</v>
      </c>
      <c r="H613" s="126">
        <f t="shared" ref="H613:H615" si="72">H614</f>
        <v>0</v>
      </c>
      <c r="L613" s="20">
        <v>359.90000000000003</v>
      </c>
      <c r="M613" s="20">
        <v>359.90000000000003</v>
      </c>
      <c r="N613" s="20">
        <v>359.90000000000003</v>
      </c>
      <c r="O613" s="20">
        <f>H613-L613</f>
        <v>-359.90000000000003</v>
      </c>
      <c r="P613" s="20" t="e">
        <f>#REF!-M613</f>
        <v>#REF!</v>
      </c>
      <c r="Q613" s="20" t="e">
        <f>#REF!-N613</f>
        <v>#REF!</v>
      </c>
      <c r="R613" s="17" t="str">
        <f t="shared" si="69"/>
        <v>16 0 00 00000000</v>
      </c>
    </row>
    <row r="614" spans="1:18" s="17" customFormat="1" ht="31.5">
      <c r="A614" s="14"/>
      <c r="B614" s="125" t="s">
        <v>422</v>
      </c>
      <c r="C614" s="109" t="s">
        <v>394</v>
      </c>
      <c r="D614" s="131" t="s">
        <v>229</v>
      </c>
      <c r="E614" s="131" t="s">
        <v>13</v>
      </c>
      <c r="F614" s="108" t="s">
        <v>423</v>
      </c>
      <c r="G614" s="108" t="s">
        <v>9</v>
      </c>
      <c r="H614" s="126">
        <f t="shared" si="72"/>
        <v>0</v>
      </c>
      <c r="L614" s="20">
        <v>359.90000000000003</v>
      </c>
      <c r="M614" s="20">
        <v>359.90000000000003</v>
      </c>
      <c r="N614" s="20">
        <v>359.90000000000003</v>
      </c>
      <c r="O614" s="20">
        <f>H614-L614</f>
        <v>-359.90000000000003</v>
      </c>
      <c r="P614" s="20" t="e">
        <f>#REF!-M614</f>
        <v>#REF!</v>
      </c>
      <c r="Q614" s="20" t="e">
        <f>#REF!-N614</f>
        <v>#REF!</v>
      </c>
      <c r="R614" s="17" t="str">
        <f t="shared" si="69"/>
        <v>16 2 00 00000000</v>
      </c>
    </row>
    <row r="615" spans="1:18" s="17" customFormat="1" ht="47.25">
      <c r="A615" s="14"/>
      <c r="B615" s="125" t="s">
        <v>424</v>
      </c>
      <c r="C615" s="109" t="s">
        <v>394</v>
      </c>
      <c r="D615" s="131" t="s">
        <v>229</v>
      </c>
      <c r="E615" s="131" t="s">
        <v>13</v>
      </c>
      <c r="F615" s="108" t="s">
        <v>425</v>
      </c>
      <c r="G615" s="108" t="s">
        <v>9</v>
      </c>
      <c r="H615" s="126">
        <f t="shared" si="72"/>
        <v>0</v>
      </c>
      <c r="L615" s="20">
        <v>359.90000000000003</v>
      </c>
      <c r="M615" s="20">
        <v>359.90000000000003</v>
      </c>
      <c r="N615" s="20">
        <v>359.90000000000003</v>
      </c>
      <c r="O615" s="20">
        <f>H615-L615</f>
        <v>-359.90000000000003</v>
      </c>
      <c r="P615" s="20" t="e">
        <f>#REF!-M615</f>
        <v>#REF!</v>
      </c>
      <c r="Q615" s="20" t="e">
        <f>#REF!-N615</f>
        <v>#REF!</v>
      </c>
      <c r="R615" s="17" t="str">
        <f t="shared" si="69"/>
        <v>16 2 02 00000000</v>
      </c>
    </row>
    <row r="616" spans="1:18" s="17" customFormat="1" ht="47.25">
      <c r="A616" s="14"/>
      <c r="B616" s="125" t="s">
        <v>426</v>
      </c>
      <c r="C616" s="109" t="s">
        <v>394</v>
      </c>
      <c r="D616" s="131" t="s">
        <v>229</v>
      </c>
      <c r="E616" s="131" t="s">
        <v>13</v>
      </c>
      <c r="F616" s="108" t="s">
        <v>427</v>
      </c>
      <c r="G616" s="108" t="s">
        <v>9</v>
      </c>
      <c r="H616" s="126">
        <f>H617+H619</f>
        <v>0</v>
      </c>
      <c r="L616" s="20">
        <v>359.90000000000003</v>
      </c>
      <c r="M616" s="20">
        <v>359.90000000000003</v>
      </c>
      <c r="N616" s="20">
        <v>359.90000000000003</v>
      </c>
      <c r="O616" s="20">
        <f>H616-L616</f>
        <v>-359.90000000000003</v>
      </c>
      <c r="P616" s="20" t="e">
        <f>#REF!-M616</f>
        <v>#REF!</v>
      </c>
      <c r="Q616" s="20" t="e">
        <f>#REF!-N616</f>
        <v>#REF!</v>
      </c>
      <c r="R616" s="17" t="str">
        <f t="shared" si="69"/>
        <v>16 2 02 20550000</v>
      </c>
    </row>
    <row r="617" spans="1:18" s="17" customFormat="1" ht="15.75">
      <c r="A617" s="14"/>
      <c r="B617" s="140" t="s">
        <v>403</v>
      </c>
      <c r="C617" s="109" t="s">
        <v>394</v>
      </c>
      <c r="D617" s="131" t="s">
        <v>229</v>
      </c>
      <c r="E617" s="131" t="s">
        <v>13</v>
      </c>
      <c r="F617" s="108" t="s">
        <v>427</v>
      </c>
      <c r="G617" s="108" t="s">
        <v>404</v>
      </c>
      <c r="H617" s="126">
        <f>H618</f>
        <v>0</v>
      </c>
      <c r="L617" s="20">
        <v>301.3</v>
      </c>
      <c r="M617" s="20">
        <v>301.3</v>
      </c>
      <c r="N617" s="20">
        <v>301.3</v>
      </c>
      <c r="O617" s="20">
        <f>H617-L617</f>
        <v>-301.3</v>
      </c>
      <c r="P617" s="20" t="e">
        <f>#REF!-M617</f>
        <v>#REF!</v>
      </c>
      <c r="Q617" s="20" t="e">
        <f>#REF!-N617</f>
        <v>#REF!</v>
      </c>
      <c r="R617" s="17" t="str">
        <f t="shared" si="69"/>
        <v>16 2 02 20550610</v>
      </c>
    </row>
    <row r="618" spans="1:18" s="24" customFormat="1" ht="15.75">
      <c r="A618" s="21"/>
      <c r="B618" s="127" t="s">
        <v>407</v>
      </c>
      <c r="C618" s="109" t="s">
        <v>394</v>
      </c>
      <c r="D618" s="131" t="s">
        <v>229</v>
      </c>
      <c r="E618" s="131" t="s">
        <v>13</v>
      </c>
      <c r="F618" s="108" t="s">
        <v>427</v>
      </c>
      <c r="G618" s="108" t="s">
        <v>408</v>
      </c>
      <c r="H618" s="126"/>
      <c r="L618" s="22"/>
      <c r="M618" s="22"/>
      <c r="N618" s="22"/>
      <c r="O618" s="22"/>
      <c r="P618" s="22"/>
      <c r="Q618" s="22"/>
    </row>
    <row r="619" spans="1:18" s="17" customFormat="1" ht="15.75">
      <c r="A619" s="14"/>
      <c r="B619" s="132" t="s">
        <v>409</v>
      </c>
      <c r="C619" s="109" t="s">
        <v>394</v>
      </c>
      <c r="D619" s="131" t="s">
        <v>229</v>
      </c>
      <c r="E619" s="131" t="s">
        <v>13</v>
      </c>
      <c r="F619" s="108" t="s">
        <v>427</v>
      </c>
      <c r="G619" s="108" t="s">
        <v>410</v>
      </c>
      <c r="H619" s="126">
        <f>H620</f>
        <v>0</v>
      </c>
      <c r="L619" s="20">
        <v>58.6</v>
      </c>
      <c r="M619" s="20">
        <v>58.6</v>
      </c>
      <c r="N619" s="20">
        <v>58.6</v>
      </c>
      <c r="O619" s="20">
        <f>H619-L619</f>
        <v>-58.6</v>
      </c>
      <c r="P619" s="20" t="e">
        <f>#REF!-M619</f>
        <v>#REF!</v>
      </c>
      <c r="Q619" s="20" t="e">
        <f>#REF!-N619</f>
        <v>#REF!</v>
      </c>
      <c r="R619" s="17" t="str">
        <f t="shared" si="69"/>
        <v>16 2 02 20550620</v>
      </c>
    </row>
    <row r="620" spans="1:18" s="24" customFormat="1" ht="15.75">
      <c r="A620" s="21"/>
      <c r="B620" s="127" t="s">
        <v>428</v>
      </c>
      <c r="C620" s="109" t="s">
        <v>394</v>
      </c>
      <c r="D620" s="131" t="s">
        <v>229</v>
      </c>
      <c r="E620" s="131" t="s">
        <v>13</v>
      </c>
      <c r="F620" s="108" t="s">
        <v>427</v>
      </c>
      <c r="G620" s="108" t="s">
        <v>429</v>
      </c>
      <c r="H620" s="126"/>
      <c r="L620" s="22"/>
      <c r="M620" s="22"/>
      <c r="N620" s="22"/>
      <c r="O620" s="22"/>
      <c r="P620" s="22"/>
      <c r="Q620" s="22"/>
    </row>
    <row r="621" spans="1:18" s="17" customFormat="1" ht="15.75">
      <c r="A621" s="14"/>
      <c r="B621" s="121" t="s">
        <v>464</v>
      </c>
      <c r="C621" s="122" t="s">
        <v>394</v>
      </c>
      <c r="D621" s="123" t="s">
        <v>229</v>
      </c>
      <c r="E621" s="123" t="s">
        <v>229</v>
      </c>
      <c r="F621" s="123" t="s">
        <v>8</v>
      </c>
      <c r="G621" s="123" t="s">
        <v>9</v>
      </c>
      <c r="H621" s="124">
        <f>H622+H631</f>
        <v>0</v>
      </c>
      <c r="L621" s="19">
        <v>24978.05</v>
      </c>
      <c r="M621" s="19">
        <v>24978.05</v>
      </c>
      <c r="N621" s="19">
        <v>24978.05</v>
      </c>
      <c r="O621" s="19">
        <f t="shared" ref="O621:O626" si="73">H621-L621</f>
        <v>-24978.05</v>
      </c>
      <c r="P621" s="19" t="e">
        <f>#REF!-M621</f>
        <v>#REF!</v>
      </c>
      <c r="Q621" s="19" t="e">
        <f>#REF!-N621</f>
        <v>#REF!</v>
      </c>
      <c r="R621" s="17" t="str">
        <f t="shared" si="69"/>
        <v>00 0 00 00000000</v>
      </c>
    </row>
    <row r="622" spans="1:18" s="17" customFormat="1" ht="31.5">
      <c r="A622" s="14"/>
      <c r="B622" s="132" t="s">
        <v>396</v>
      </c>
      <c r="C622" s="109" t="s">
        <v>394</v>
      </c>
      <c r="D622" s="108" t="s">
        <v>229</v>
      </c>
      <c r="E622" s="108" t="s">
        <v>229</v>
      </c>
      <c r="F622" s="108" t="s">
        <v>397</v>
      </c>
      <c r="G622" s="108" t="s">
        <v>9</v>
      </c>
      <c r="H622" s="126">
        <f t="shared" ref="H622:H623" si="74">H623</f>
        <v>0</v>
      </c>
      <c r="L622" s="20">
        <v>24932.85</v>
      </c>
      <c r="M622" s="20">
        <v>24932.85</v>
      </c>
      <c r="N622" s="20">
        <v>24932.85</v>
      </c>
      <c r="O622" s="20">
        <f t="shared" si="73"/>
        <v>-24932.85</v>
      </c>
      <c r="P622" s="20" t="e">
        <f>#REF!-M622</f>
        <v>#REF!</v>
      </c>
      <c r="Q622" s="20" t="e">
        <f>#REF!-N622</f>
        <v>#REF!</v>
      </c>
      <c r="R622" s="17" t="str">
        <f t="shared" si="69"/>
        <v>01 0 00 00000000</v>
      </c>
    </row>
    <row r="623" spans="1:18" s="17" customFormat="1" ht="31.5">
      <c r="A623" s="14"/>
      <c r="B623" s="132" t="s">
        <v>398</v>
      </c>
      <c r="C623" s="109" t="s">
        <v>394</v>
      </c>
      <c r="D623" s="108" t="s">
        <v>229</v>
      </c>
      <c r="E623" s="108" t="s">
        <v>229</v>
      </c>
      <c r="F623" s="108" t="s">
        <v>399</v>
      </c>
      <c r="G623" s="108" t="s">
        <v>9</v>
      </c>
      <c r="H623" s="126">
        <f t="shared" si="74"/>
        <v>0</v>
      </c>
      <c r="L623" s="20">
        <v>24932.85</v>
      </c>
      <c r="M623" s="20">
        <v>24932.85</v>
      </c>
      <c r="N623" s="20">
        <v>24932.85</v>
      </c>
      <c r="O623" s="20">
        <f t="shared" si="73"/>
        <v>-24932.85</v>
      </c>
      <c r="P623" s="20" t="e">
        <f>#REF!-M623</f>
        <v>#REF!</v>
      </c>
      <c r="Q623" s="20" t="e">
        <f>#REF!-N623</f>
        <v>#REF!</v>
      </c>
      <c r="R623" s="17" t="str">
        <f t="shared" si="69"/>
        <v>01 1 00 00000000</v>
      </c>
    </row>
    <row r="624" spans="1:18" s="17" customFormat="1" ht="31.5">
      <c r="A624" s="14"/>
      <c r="B624" s="132" t="s">
        <v>465</v>
      </c>
      <c r="C624" s="109" t="s">
        <v>394</v>
      </c>
      <c r="D624" s="108" t="s">
        <v>229</v>
      </c>
      <c r="E624" s="108" t="s">
        <v>229</v>
      </c>
      <c r="F624" s="108" t="s">
        <v>466</v>
      </c>
      <c r="G624" s="108" t="s">
        <v>9</v>
      </c>
      <c r="H624" s="126">
        <f>H625+H628</f>
        <v>0</v>
      </c>
      <c r="L624" s="20">
        <v>24932.85</v>
      </c>
      <c r="M624" s="20">
        <v>24932.85</v>
      </c>
      <c r="N624" s="20">
        <v>24932.85</v>
      </c>
      <c r="O624" s="20">
        <f t="shared" si="73"/>
        <v>-24932.85</v>
      </c>
      <c r="P624" s="20" t="e">
        <f>#REF!-M624</f>
        <v>#REF!</v>
      </c>
      <c r="Q624" s="20" t="e">
        <f>#REF!-N624</f>
        <v>#REF!</v>
      </c>
      <c r="R624" s="17" t="str">
        <f t="shared" si="69"/>
        <v>01 1 04 00000000</v>
      </c>
    </row>
    <row r="625" spans="1:18" s="17" customFormat="1" ht="31.5">
      <c r="A625" s="14"/>
      <c r="B625" s="132" t="s">
        <v>136</v>
      </c>
      <c r="C625" s="109" t="s">
        <v>394</v>
      </c>
      <c r="D625" s="108" t="s">
        <v>229</v>
      </c>
      <c r="E625" s="108" t="s">
        <v>229</v>
      </c>
      <c r="F625" s="108" t="s">
        <v>467</v>
      </c>
      <c r="G625" s="108" t="s">
        <v>9</v>
      </c>
      <c r="H625" s="126">
        <f>H626</f>
        <v>0</v>
      </c>
      <c r="L625" s="20">
        <v>7065.48</v>
      </c>
      <c r="M625" s="20">
        <v>7065.48</v>
      </c>
      <c r="N625" s="20">
        <v>7065.48</v>
      </c>
      <c r="O625" s="20">
        <f t="shared" si="73"/>
        <v>-7065.48</v>
      </c>
      <c r="P625" s="20" t="e">
        <f>#REF!-M625</f>
        <v>#REF!</v>
      </c>
      <c r="Q625" s="20" t="e">
        <f>#REF!-N625</f>
        <v>#REF!</v>
      </c>
      <c r="R625" s="17" t="str">
        <f t="shared" si="69"/>
        <v>01 1 04 11010000</v>
      </c>
    </row>
    <row r="626" spans="1:18" s="17" customFormat="1" ht="15.75">
      <c r="A626" s="14"/>
      <c r="B626" s="132" t="s">
        <v>409</v>
      </c>
      <c r="C626" s="109" t="s">
        <v>394</v>
      </c>
      <c r="D626" s="108" t="s">
        <v>229</v>
      </c>
      <c r="E626" s="108" t="s">
        <v>229</v>
      </c>
      <c r="F626" s="108" t="s">
        <v>467</v>
      </c>
      <c r="G626" s="108" t="s">
        <v>410</v>
      </c>
      <c r="H626" s="126">
        <f>H627</f>
        <v>0</v>
      </c>
      <c r="L626" s="20">
        <v>7065.48</v>
      </c>
      <c r="M626" s="20">
        <v>7065.48</v>
      </c>
      <c r="N626" s="20">
        <v>7065.48</v>
      </c>
      <c r="O626" s="20">
        <f t="shared" si="73"/>
        <v>-7065.48</v>
      </c>
      <c r="P626" s="20" t="e">
        <f>#REF!-M626</f>
        <v>#REF!</v>
      </c>
      <c r="Q626" s="20" t="e">
        <f>#REF!-N626</f>
        <v>#REF!</v>
      </c>
      <c r="R626" s="17" t="str">
        <f t="shared" si="69"/>
        <v>01 1 04 11010620</v>
      </c>
    </row>
    <row r="627" spans="1:18" s="24" customFormat="1" ht="63">
      <c r="A627" s="21"/>
      <c r="B627" s="127" t="s">
        <v>411</v>
      </c>
      <c r="C627" s="109" t="s">
        <v>394</v>
      </c>
      <c r="D627" s="108" t="s">
        <v>229</v>
      </c>
      <c r="E627" s="108" t="s">
        <v>229</v>
      </c>
      <c r="F627" s="108" t="s">
        <v>467</v>
      </c>
      <c r="G627" s="108" t="s">
        <v>412</v>
      </c>
      <c r="H627" s="126"/>
      <c r="L627" s="22"/>
      <c r="M627" s="22"/>
      <c r="N627" s="22"/>
      <c r="O627" s="22"/>
      <c r="P627" s="22"/>
      <c r="Q627" s="22"/>
    </row>
    <row r="628" spans="1:18" s="17" customFormat="1" ht="31.5">
      <c r="A628" s="14"/>
      <c r="B628" s="125" t="s">
        <v>468</v>
      </c>
      <c r="C628" s="109" t="s">
        <v>394</v>
      </c>
      <c r="D628" s="108" t="s">
        <v>229</v>
      </c>
      <c r="E628" s="108" t="s">
        <v>229</v>
      </c>
      <c r="F628" s="108" t="s">
        <v>469</v>
      </c>
      <c r="G628" s="108" t="s">
        <v>9</v>
      </c>
      <c r="H628" s="126">
        <f>H629</f>
        <v>0</v>
      </c>
      <c r="L628" s="20">
        <v>17867.37</v>
      </c>
      <c r="M628" s="20">
        <v>17867.37</v>
      </c>
      <c r="N628" s="20">
        <v>17867.37</v>
      </c>
      <c r="O628" s="20">
        <f>H628-L628</f>
        <v>-17867.37</v>
      </c>
      <c r="P628" s="20" t="e">
        <f>#REF!-M628</f>
        <v>#REF!</v>
      </c>
      <c r="Q628" s="20" t="e">
        <f>#REF!-N628</f>
        <v>#REF!</v>
      </c>
      <c r="R628" s="17" t="str">
        <f t="shared" si="69"/>
        <v>01 1 04 20330000</v>
      </c>
    </row>
    <row r="629" spans="1:18" s="17" customFormat="1" ht="15.75">
      <c r="A629" s="14"/>
      <c r="B629" s="132" t="s">
        <v>403</v>
      </c>
      <c r="C629" s="109" t="s">
        <v>394</v>
      </c>
      <c r="D629" s="108" t="s">
        <v>229</v>
      </c>
      <c r="E629" s="108" t="s">
        <v>229</v>
      </c>
      <c r="F629" s="108" t="s">
        <v>469</v>
      </c>
      <c r="G629" s="108" t="s">
        <v>404</v>
      </c>
      <c r="H629" s="126">
        <f>H630</f>
        <v>0</v>
      </c>
      <c r="L629" s="20">
        <v>17867.37</v>
      </c>
      <c r="M629" s="20">
        <v>17867.37</v>
      </c>
      <c r="N629" s="20">
        <v>17867.37</v>
      </c>
      <c r="O629" s="20">
        <f>H629-L629</f>
        <v>-17867.37</v>
      </c>
      <c r="P629" s="20" t="e">
        <f>#REF!-M629</f>
        <v>#REF!</v>
      </c>
      <c r="Q629" s="20" t="e">
        <f>#REF!-N629</f>
        <v>#REF!</v>
      </c>
      <c r="R629" s="17" t="str">
        <f t="shared" si="69"/>
        <v>01 1 04 20330610</v>
      </c>
    </row>
    <row r="630" spans="1:18" s="24" customFormat="1" ht="15.75">
      <c r="A630" s="21"/>
      <c r="B630" s="127" t="s">
        <v>407</v>
      </c>
      <c r="C630" s="109" t="s">
        <v>394</v>
      </c>
      <c r="D630" s="108" t="s">
        <v>229</v>
      </c>
      <c r="E630" s="108" t="s">
        <v>229</v>
      </c>
      <c r="F630" s="108" t="s">
        <v>469</v>
      </c>
      <c r="G630" s="108" t="s">
        <v>408</v>
      </c>
      <c r="H630" s="126"/>
      <c r="L630" s="22"/>
      <c r="M630" s="22"/>
      <c r="N630" s="22"/>
      <c r="O630" s="22"/>
      <c r="P630" s="22"/>
      <c r="Q630" s="22"/>
    </row>
    <row r="631" spans="1:18" s="17" customFormat="1" ht="94.5">
      <c r="A631" s="14"/>
      <c r="B631" s="125" t="s">
        <v>420</v>
      </c>
      <c r="C631" s="109" t="s">
        <v>394</v>
      </c>
      <c r="D631" s="108" t="s">
        <v>229</v>
      </c>
      <c r="E631" s="108" t="s">
        <v>229</v>
      </c>
      <c r="F631" s="108" t="s">
        <v>421</v>
      </c>
      <c r="G631" s="108" t="s">
        <v>9</v>
      </c>
      <c r="H631" s="126">
        <f t="shared" ref="H631:H634" si="75">H632</f>
        <v>0</v>
      </c>
      <c r="L631" s="20">
        <v>45.2</v>
      </c>
      <c r="M631" s="20">
        <v>45.2</v>
      </c>
      <c r="N631" s="20">
        <v>45.2</v>
      </c>
      <c r="O631" s="20">
        <f>H631-L631</f>
        <v>-45.2</v>
      </c>
      <c r="P631" s="20" t="e">
        <f>#REF!-M631</f>
        <v>#REF!</v>
      </c>
      <c r="Q631" s="20" t="e">
        <f>#REF!-N631</f>
        <v>#REF!</v>
      </c>
      <c r="R631" s="17" t="str">
        <f t="shared" si="69"/>
        <v>16 0 00 00000000</v>
      </c>
    </row>
    <row r="632" spans="1:18" s="17" customFormat="1" ht="31.5">
      <c r="A632" s="14"/>
      <c r="B632" s="125" t="s">
        <v>422</v>
      </c>
      <c r="C632" s="109" t="s">
        <v>394</v>
      </c>
      <c r="D632" s="108" t="s">
        <v>229</v>
      </c>
      <c r="E632" s="108" t="s">
        <v>229</v>
      </c>
      <c r="F632" s="108" t="s">
        <v>423</v>
      </c>
      <c r="G632" s="108" t="s">
        <v>9</v>
      </c>
      <c r="H632" s="126">
        <f t="shared" si="75"/>
        <v>0</v>
      </c>
      <c r="L632" s="20">
        <v>45.2</v>
      </c>
      <c r="M632" s="20">
        <v>45.2</v>
      </c>
      <c r="N632" s="20">
        <v>45.2</v>
      </c>
      <c r="O632" s="20">
        <f>H632-L632</f>
        <v>-45.2</v>
      </c>
      <c r="P632" s="20" t="e">
        <f>#REF!-M632</f>
        <v>#REF!</v>
      </c>
      <c r="Q632" s="20" t="e">
        <f>#REF!-N632</f>
        <v>#REF!</v>
      </c>
      <c r="R632" s="17" t="str">
        <f t="shared" si="69"/>
        <v>16 2 00 00000000</v>
      </c>
    </row>
    <row r="633" spans="1:18" s="17" customFormat="1" ht="47.25">
      <c r="A633" s="14"/>
      <c r="B633" s="125" t="s">
        <v>424</v>
      </c>
      <c r="C633" s="109" t="s">
        <v>394</v>
      </c>
      <c r="D633" s="108" t="s">
        <v>229</v>
      </c>
      <c r="E633" s="108" t="s">
        <v>229</v>
      </c>
      <c r="F633" s="108" t="s">
        <v>425</v>
      </c>
      <c r="G633" s="108" t="s">
        <v>9</v>
      </c>
      <c r="H633" s="126">
        <f t="shared" si="75"/>
        <v>0</v>
      </c>
      <c r="L633" s="20">
        <v>45.2</v>
      </c>
      <c r="M633" s="20">
        <v>45.2</v>
      </c>
      <c r="N633" s="20">
        <v>45.2</v>
      </c>
      <c r="O633" s="20">
        <f>H633-L633</f>
        <v>-45.2</v>
      </c>
      <c r="P633" s="20" t="e">
        <f>#REF!-M633</f>
        <v>#REF!</v>
      </c>
      <c r="Q633" s="20" t="e">
        <f>#REF!-N633</f>
        <v>#REF!</v>
      </c>
      <c r="R633" s="17" t="str">
        <f t="shared" si="69"/>
        <v>16 2 02 00000000</v>
      </c>
    </row>
    <row r="634" spans="1:18" s="17" customFormat="1" ht="47.25">
      <c r="A634" s="14"/>
      <c r="B634" s="125" t="s">
        <v>426</v>
      </c>
      <c r="C634" s="109" t="s">
        <v>394</v>
      </c>
      <c r="D634" s="108" t="s">
        <v>229</v>
      </c>
      <c r="E634" s="108" t="s">
        <v>229</v>
      </c>
      <c r="F634" s="108" t="s">
        <v>427</v>
      </c>
      <c r="G634" s="108" t="s">
        <v>9</v>
      </c>
      <c r="H634" s="126">
        <f t="shared" si="75"/>
        <v>0</v>
      </c>
      <c r="L634" s="20">
        <v>45.2</v>
      </c>
      <c r="M634" s="20">
        <v>45.2</v>
      </c>
      <c r="N634" s="20">
        <v>45.2</v>
      </c>
      <c r="O634" s="20">
        <f>H634-L634</f>
        <v>-45.2</v>
      </c>
      <c r="P634" s="20" t="e">
        <f>#REF!-M634</f>
        <v>#REF!</v>
      </c>
      <c r="Q634" s="20" t="e">
        <f>#REF!-N634</f>
        <v>#REF!</v>
      </c>
      <c r="R634" s="17" t="str">
        <f t="shared" si="69"/>
        <v>16 2 02 20550000</v>
      </c>
    </row>
    <row r="635" spans="1:18" s="17" customFormat="1" ht="15.75">
      <c r="A635" s="14"/>
      <c r="B635" s="132" t="s">
        <v>409</v>
      </c>
      <c r="C635" s="109" t="s">
        <v>394</v>
      </c>
      <c r="D635" s="108" t="s">
        <v>229</v>
      </c>
      <c r="E635" s="108" t="s">
        <v>229</v>
      </c>
      <c r="F635" s="108" t="s">
        <v>427</v>
      </c>
      <c r="G635" s="108" t="s">
        <v>410</v>
      </c>
      <c r="H635" s="126">
        <f>H636</f>
        <v>0</v>
      </c>
      <c r="L635" s="20">
        <v>45.2</v>
      </c>
      <c r="M635" s="20">
        <v>45.2</v>
      </c>
      <c r="N635" s="20">
        <v>45.2</v>
      </c>
      <c r="O635" s="20">
        <f>H635-L635</f>
        <v>-45.2</v>
      </c>
      <c r="P635" s="20" t="e">
        <f>#REF!-M635</f>
        <v>#REF!</v>
      </c>
      <c r="Q635" s="20" t="e">
        <f>#REF!-N635</f>
        <v>#REF!</v>
      </c>
      <c r="R635" s="17" t="str">
        <f t="shared" si="69"/>
        <v>16 2 02 20550620</v>
      </c>
    </row>
    <row r="636" spans="1:18" s="24" customFormat="1" ht="15.75">
      <c r="A636" s="21"/>
      <c r="B636" s="127" t="s">
        <v>428</v>
      </c>
      <c r="C636" s="109" t="s">
        <v>394</v>
      </c>
      <c r="D636" s="108" t="s">
        <v>229</v>
      </c>
      <c r="E636" s="108" t="s">
        <v>229</v>
      </c>
      <c r="F636" s="108" t="s">
        <v>427</v>
      </c>
      <c r="G636" s="108" t="s">
        <v>429</v>
      </c>
      <c r="H636" s="126"/>
      <c r="L636" s="22"/>
      <c r="M636" s="22"/>
      <c r="N636" s="22"/>
      <c r="O636" s="22"/>
      <c r="P636" s="22"/>
      <c r="Q636" s="22"/>
    </row>
    <row r="637" spans="1:18" s="17" customFormat="1" ht="15.75">
      <c r="A637" s="14"/>
      <c r="B637" s="121" t="s">
        <v>470</v>
      </c>
      <c r="C637" s="122" t="s">
        <v>394</v>
      </c>
      <c r="D637" s="123" t="s">
        <v>229</v>
      </c>
      <c r="E637" s="123" t="s">
        <v>471</v>
      </c>
      <c r="F637" s="123" t="s">
        <v>8</v>
      </c>
      <c r="G637" s="123" t="s">
        <v>9</v>
      </c>
      <c r="H637" s="124">
        <f>H638+H652+H658</f>
        <v>0</v>
      </c>
      <c r="L637" s="19">
        <v>44600.35</v>
      </c>
      <c r="M637" s="19">
        <v>44503.65</v>
      </c>
      <c r="N637" s="19">
        <v>44503.65</v>
      </c>
      <c r="O637" s="19">
        <f t="shared" ref="O637:O642" si="76">H637-L637</f>
        <v>-44600.35</v>
      </c>
      <c r="P637" s="19" t="e">
        <f>#REF!-M637</f>
        <v>#REF!</v>
      </c>
      <c r="Q637" s="19" t="e">
        <f>#REF!-N637</f>
        <v>#REF!</v>
      </c>
      <c r="R637" s="17" t="str">
        <f t="shared" si="69"/>
        <v>00 0 00 00000000</v>
      </c>
    </row>
    <row r="638" spans="1:18" s="17" customFormat="1" ht="31.5">
      <c r="A638" s="14"/>
      <c r="B638" s="132" t="s">
        <v>396</v>
      </c>
      <c r="C638" s="109" t="s">
        <v>394</v>
      </c>
      <c r="D638" s="108" t="s">
        <v>229</v>
      </c>
      <c r="E638" s="108" t="s">
        <v>471</v>
      </c>
      <c r="F638" s="108" t="s">
        <v>397</v>
      </c>
      <c r="G638" s="108" t="s">
        <v>9</v>
      </c>
      <c r="H638" s="126">
        <f>H639</f>
        <v>0</v>
      </c>
      <c r="L638" s="20">
        <v>12029.32</v>
      </c>
      <c r="M638" s="20">
        <v>12029.32</v>
      </c>
      <c r="N638" s="20">
        <v>12029.32</v>
      </c>
      <c r="O638" s="20">
        <f t="shared" si="76"/>
        <v>-12029.32</v>
      </c>
      <c r="P638" s="20" t="e">
        <f>#REF!-M638</f>
        <v>#REF!</v>
      </c>
      <c r="Q638" s="20" t="e">
        <f>#REF!-N638</f>
        <v>#REF!</v>
      </c>
      <c r="R638" s="17" t="str">
        <f t="shared" si="69"/>
        <v>01 0 00 00000000</v>
      </c>
    </row>
    <row r="639" spans="1:18" s="17" customFormat="1" ht="31.5">
      <c r="A639" s="14"/>
      <c r="B639" s="132" t="s">
        <v>398</v>
      </c>
      <c r="C639" s="109" t="s">
        <v>394</v>
      </c>
      <c r="D639" s="108" t="s">
        <v>229</v>
      </c>
      <c r="E639" s="108" t="s">
        <v>471</v>
      </c>
      <c r="F639" s="108" t="s">
        <v>399</v>
      </c>
      <c r="G639" s="108" t="s">
        <v>9</v>
      </c>
      <c r="H639" s="126">
        <f>H640+H648</f>
        <v>0</v>
      </c>
      <c r="L639" s="20">
        <v>12029.32</v>
      </c>
      <c r="M639" s="20">
        <v>12029.32</v>
      </c>
      <c r="N639" s="20">
        <v>12029.32</v>
      </c>
      <c r="O639" s="20">
        <f t="shared" si="76"/>
        <v>-12029.32</v>
      </c>
      <c r="P639" s="20" t="e">
        <f>#REF!-M639</f>
        <v>#REF!</v>
      </c>
      <c r="Q639" s="20" t="e">
        <f>#REF!-N639</f>
        <v>#REF!</v>
      </c>
      <c r="R639" s="17" t="str">
        <f t="shared" si="69"/>
        <v>01 1 00 00000000</v>
      </c>
    </row>
    <row r="640" spans="1:18" s="17" customFormat="1" ht="63">
      <c r="A640" s="14"/>
      <c r="B640" s="132" t="s">
        <v>472</v>
      </c>
      <c r="C640" s="109" t="s">
        <v>394</v>
      </c>
      <c r="D640" s="108" t="s">
        <v>229</v>
      </c>
      <c r="E640" s="108" t="s">
        <v>471</v>
      </c>
      <c r="F640" s="108" t="s">
        <v>473</v>
      </c>
      <c r="G640" s="108" t="s">
        <v>9</v>
      </c>
      <c r="H640" s="126">
        <f>H641</f>
        <v>0</v>
      </c>
      <c r="L640" s="20">
        <v>5078.79</v>
      </c>
      <c r="M640" s="20">
        <v>5078.79</v>
      </c>
      <c r="N640" s="20">
        <v>5078.79</v>
      </c>
      <c r="O640" s="20">
        <f t="shared" si="76"/>
        <v>-5078.79</v>
      </c>
      <c r="P640" s="20" t="e">
        <f>#REF!-M640</f>
        <v>#REF!</v>
      </c>
      <c r="Q640" s="20" t="e">
        <f>#REF!-N640</f>
        <v>#REF!</v>
      </c>
      <c r="R640" s="17" t="str">
        <f t="shared" si="69"/>
        <v>01 1 05 00000000</v>
      </c>
    </row>
    <row r="641" spans="1:18" s="17" customFormat="1" ht="31.5">
      <c r="A641" s="14"/>
      <c r="B641" s="132" t="s">
        <v>474</v>
      </c>
      <c r="C641" s="109" t="s">
        <v>394</v>
      </c>
      <c r="D641" s="108" t="s">
        <v>229</v>
      </c>
      <c r="E641" s="108" t="s">
        <v>471</v>
      </c>
      <c r="F641" s="108" t="s">
        <v>475</v>
      </c>
      <c r="G641" s="108" t="s">
        <v>9</v>
      </c>
      <c r="H641" s="126">
        <f>H642+H644+H646</f>
        <v>0</v>
      </c>
      <c r="L641" s="20">
        <v>5078.79</v>
      </c>
      <c r="M641" s="20">
        <v>5078.79</v>
      </c>
      <c r="N641" s="20">
        <v>5078.79</v>
      </c>
      <c r="O641" s="20">
        <f t="shared" si="76"/>
        <v>-5078.79</v>
      </c>
      <c r="P641" s="20" t="e">
        <f>#REF!-M641</f>
        <v>#REF!</v>
      </c>
      <c r="Q641" s="20" t="e">
        <f>#REF!-N641</f>
        <v>#REF!</v>
      </c>
      <c r="R641" s="17" t="str">
        <f t="shared" si="69"/>
        <v>01 1 05 20240000</v>
      </c>
    </row>
    <row r="642" spans="1:18" s="17" customFormat="1" ht="31.5">
      <c r="A642" s="14"/>
      <c r="B642" s="125" t="s">
        <v>28</v>
      </c>
      <c r="C642" s="109" t="s">
        <v>394</v>
      </c>
      <c r="D642" s="108" t="s">
        <v>229</v>
      </c>
      <c r="E642" s="108" t="s">
        <v>471</v>
      </c>
      <c r="F642" s="108" t="s">
        <v>475</v>
      </c>
      <c r="G642" s="108" t="s">
        <v>29</v>
      </c>
      <c r="H642" s="126">
        <f>H643</f>
        <v>0</v>
      </c>
      <c r="L642" s="20">
        <v>200</v>
      </c>
      <c r="M642" s="20">
        <v>200</v>
      </c>
      <c r="N642" s="20">
        <v>200</v>
      </c>
      <c r="O642" s="20">
        <f t="shared" si="76"/>
        <v>-200</v>
      </c>
      <c r="P642" s="20" t="e">
        <f>#REF!-M642</f>
        <v>#REF!</v>
      </c>
      <c r="Q642" s="20" t="e">
        <f>#REF!-N642</f>
        <v>#REF!</v>
      </c>
      <c r="R642" s="17" t="str">
        <f t="shared" si="69"/>
        <v>01 1 05 20240240</v>
      </c>
    </row>
    <row r="643" spans="1:18" s="17" customFormat="1" ht="15.75">
      <c r="A643" s="14"/>
      <c r="B643" s="125" t="s">
        <v>30</v>
      </c>
      <c r="C643" s="109" t="s">
        <v>394</v>
      </c>
      <c r="D643" s="108" t="s">
        <v>229</v>
      </c>
      <c r="E643" s="108" t="s">
        <v>471</v>
      </c>
      <c r="F643" s="108" t="s">
        <v>475</v>
      </c>
      <c r="G643" s="108" t="s">
        <v>31</v>
      </c>
      <c r="H643" s="126"/>
      <c r="L643" s="20"/>
      <c r="M643" s="20"/>
      <c r="N643" s="20"/>
      <c r="O643" s="20"/>
      <c r="P643" s="20"/>
      <c r="Q643" s="20"/>
      <c r="R643" s="17" t="str">
        <f t="shared" si="69"/>
        <v>01 1 05 20240244</v>
      </c>
    </row>
    <row r="644" spans="1:18" s="17" customFormat="1" ht="15.75">
      <c r="A644" s="14"/>
      <c r="B644" s="132" t="s">
        <v>403</v>
      </c>
      <c r="C644" s="109" t="s">
        <v>394</v>
      </c>
      <c r="D644" s="108" t="s">
        <v>229</v>
      </c>
      <c r="E644" s="108" t="s">
        <v>471</v>
      </c>
      <c r="F644" s="108" t="s">
        <v>475</v>
      </c>
      <c r="G644" s="108" t="s">
        <v>404</v>
      </c>
      <c r="H644" s="126">
        <f>H645</f>
        <v>0</v>
      </c>
      <c r="L644" s="20">
        <v>4533.5</v>
      </c>
      <c r="M644" s="20">
        <v>4533.5</v>
      </c>
      <c r="N644" s="20">
        <v>4533.5</v>
      </c>
      <c r="O644" s="20">
        <f>H644-L644</f>
        <v>-4533.5</v>
      </c>
      <c r="P644" s="20" t="e">
        <f>#REF!-M644</f>
        <v>#REF!</v>
      </c>
      <c r="Q644" s="20" t="e">
        <f>#REF!-N644</f>
        <v>#REF!</v>
      </c>
      <c r="R644" s="17" t="str">
        <f t="shared" si="69"/>
        <v>01 1 05 20240610</v>
      </c>
    </row>
    <row r="645" spans="1:18" s="24" customFormat="1" ht="15.75">
      <c r="A645" s="21"/>
      <c r="B645" s="127" t="s">
        <v>407</v>
      </c>
      <c r="C645" s="109" t="s">
        <v>394</v>
      </c>
      <c r="D645" s="108" t="s">
        <v>229</v>
      </c>
      <c r="E645" s="108" t="s">
        <v>471</v>
      </c>
      <c r="F645" s="108" t="s">
        <v>475</v>
      </c>
      <c r="G645" s="108" t="s">
        <v>408</v>
      </c>
      <c r="H645" s="126"/>
      <c r="L645" s="22"/>
      <c r="M645" s="22"/>
      <c r="N645" s="22"/>
      <c r="O645" s="22"/>
      <c r="P645" s="22"/>
      <c r="Q645" s="22"/>
    </row>
    <row r="646" spans="1:18" s="17" customFormat="1" ht="15.75">
      <c r="A646" s="14"/>
      <c r="B646" s="132" t="s">
        <v>409</v>
      </c>
      <c r="C646" s="109" t="s">
        <v>394</v>
      </c>
      <c r="D646" s="108" t="s">
        <v>229</v>
      </c>
      <c r="E646" s="108" t="s">
        <v>471</v>
      </c>
      <c r="F646" s="108" t="s">
        <v>475</v>
      </c>
      <c r="G646" s="108" t="s">
        <v>410</v>
      </c>
      <c r="H646" s="126">
        <f>H647</f>
        <v>0</v>
      </c>
      <c r="L646" s="20">
        <v>345.29</v>
      </c>
      <c r="M646" s="20">
        <v>345.29</v>
      </c>
      <c r="N646" s="20">
        <v>345.29</v>
      </c>
      <c r="O646" s="20">
        <f>H646-L646</f>
        <v>-345.29</v>
      </c>
      <c r="P646" s="20" t="e">
        <f>#REF!-M646</f>
        <v>#REF!</v>
      </c>
      <c r="Q646" s="20" t="e">
        <f>#REF!-N646</f>
        <v>#REF!</v>
      </c>
      <c r="R646" s="17" t="str">
        <f t="shared" si="69"/>
        <v>01 1 05 20240620</v>
      </c>
    </row>
    <row r="647" spans="1:18" s="24" customFormat="1" ht="15.75">
      <c r="A647" s="21"/>
      <c r="B647" s="127" t="s">
        <v>428</v>
      </c>
      <c r="C647" s="109" t="s">
        <v>394</v>
      </c>
      <c r="D647" s="108" t="s">
        <v>229</v>
      </c>
      <c r="E647" s="108" t="s">
        <v>471</v>
      </c>
      <c r="F647" s="108" t="s">
        <v>475</v>
      </c>
      <c r="G647" s="108" t="s">
        <v>429</v>
      </c>
      <c r="H647" s="126"/>
      <c r="L647" s="22"/>
      <c r="M647" s="22"/>
      <c r="N647" s="22"/>
      <c r="O647" s="22"/>
      <c r="P647" s="22"/>
      <c r="Q647" s="22"/>
    </row>
    <row r="648" spans="1:18" s="17" customFormat="1" ht="31.5">
      <c r="A648" s="14"/>
      <c r="B648" s="129" t="s">
        <v>476</v>
      </c>
      <c r="C648" s="130" t="s">
        <v>394</v>
      </c>
      <c r="D648" s="131" t="s">
        <v>229</v>
      </c>
      <c r="E648" s="131" t="s">
        <v>471</v>
      </c>
      <c r="F648" s="131" t="s">
        <v>477</v>
      </c>
      <c r="G648" s="131" t="s">
        <v>9</v>
      </c>
      <c r="H648" s="105">
        <f>H649</f>
        <v>0</v>
      </c>
      <c r="L648" s="26">
        <v>6950.5300000000007</v>
      </c>
      <c r="M648" s="26">
        <v>6950.5300000000007</v>
      </c>
      <c r="N648" s="26">
        <v>6950.5300000000007</v>
      </c>
      <c r="O648" s="26">
        <f>H648-L648</f>
        <v>-6950.5300000000007</v>
      </c>
      <c r="P648" s="26" t="e">
        <f>#REF!-M648</f>
        <v>#REF!</v>
      </c>
      <c r="Q648" s="26" t="e">
        <f>#REF!-N648</f>
        <v>#REF!</v>
      </c>
      <c r="R648" s="17" t="str">
        <f t="shared" si="69"/>
        <v>01 1 08 00000000</v>
      </c>
    </row>
    <row r="649" spans="1:18" s="17" customFormat="1" ht="31.5">
      <c r="A649" s="14"/>
      <c r="B649" s="140" t="s">
        <v>136</v>
      </c>
      <c r="C649" s="130" t="s">
        <v>394</v>
      </c>
      <c r="D649" s="131" t="s">
        <v>229</v>
      </c>
      <c r="E649" s="131" t="s">
        <v>471</v>
      </c>
      <c r="F649" s="131" t="s">
        <v>478</v>
      </c>
      <c r="G649" s="131" t="s">
        <v>9</v>
      </c>
      <c r="H649" s="105">
        <f>SUM(H650:H650)</f>
        <v>0</v>
      </c>
      <c r="L649" s="26">
        <v>6950.5300000000007</v>
      </c>
      <c r="M649" s="26">
        <v>6950.5300000000007</v>
      </c>
      <c r="N649" s="26">
        <v>6950.5300000000007</v>
      </c>
      <c r="O649" s="26">
        <f>H649-L649</f>
        <v>-6950.5300000000007</v>
      </c>
      <c r="P649" s="26" t="e">
        <f>#REF!-M649</f>
        <v>#REF!</v>
      </c>
      <c r="Q649" s="26" t="e">
        <f>#REF!-N649</f>
        <v>#REF!</v>
      </c>
      <c r="R649" s="17" t="str">
        <f t="shared" si="69"/>
        <v>01 1 08 11010000</v>
      </c>
    </row>
    <row r="650" spans="1:18" s="17" customFormat="1" ht="15.75">
      <c r="A650" s="14"/>
      <c r="B650" s="140" t="s">
        <v>403</v>
      </c>
      <c r="C650" s="130" t="s">
        <v>394</v>
      </c>
      <c r="D650" s="131" t="s">
        <v>229</v>
      </c>
      <c r="E650" s="131" t="s">
        <v>471</v>
      </c>
      <c r="F650" s="131" t="s">
        <v>478</v>
      </c>
      <c r="G650" s="131" t="s">
        <v>404</v>
      </c>
      <c r="H650" s="126">
        <f>H651</f>
        <v>0</v>
      </c>
      <c r="L650" s="20">
        <v>6950.5300000000007</v>
      </c>
      <c r="M650" s="20">
        <v>6950.5300000000007</v>
      </c>
      <c r="N650" s="20">
        <v>6950.5300000000007</v>
      </c>
      <c r="O650" s="20">
        <f>H650-L650</f>
        <v>-6950.5300000000007</v>
      </c>
      <c r="P650" s="20" t="e">
        <f>#REF!-M650</f>
        <v>#REF!</v>
      </c>
      <c r="Q650" s="20" t="e">
        <f>#REF!-N650</f>
        <v>#REF!</v>
      </c>
      <c r="R650" s="17" t="str">
        <f t="shared" si="69"/>
        <v>01 1 08 11010610</v>
      </c>
    </row>
    <row r="651" spans="1:18" s="24" customFormat="1" ht="63">
      <c r="A651" s="21"/>
      <c r="B651" s="127" t="s">
        <v>405</v>
      </c>
      <c r="C651" s="130" t="s">
        <v>394</v>
      </c>
      <c r="D651" s="131" t="s">
        <v>229</v>
      </c>
      <c r="E651" s="131" t="s">
        <v>471</v>
      </c>
      <c r="F651" s="131" t="s">
        <v>478</v>
      </c>
      <c r="G651" s="108" t="s">
        <v>406</v>
      </c>
      <c r="H651" s="126"/>
      <c r="L651" s="22"/>
      <c r="M651" s="22"/>
      <c r="N651" s="22"/>
      <c r="O651" s="22"/>
      <c r="P651" s="22"/>
      <c r="Q651" s="22"/>
    </row>
    <row r="652" spans="1:18" s="17" customFormat="1" ht="94.5">
      <c r="A652" s="14"/>
      <c r="B652" s="125" t="s">
        <v>420</v>
      </c>
      <c r="C652" s="109" t="s">
        <v>394</v>
      </c>
      <c r="D652" s="108" t="s">
        <v>229</v>
      </c>
      <c r="E652" s="108" t="s">
        <v>471</v>
      </c>
      <c r="F652" s="108" t="s">
        <v>421</v>
      </c>
      <c r="G652" s="108" t="s">
        <v>9</v>
      </c>
      <c r="H652" s="126">
        <f t="shared" ref="H652:H655" si="77">H653</f>
        <v>0</v>
      </c>
      <c r="L652" s="20">
        <v>58.6</v>
      </c>
      <c r="M652" s="20">
        <v>58.6</v>
      </c>
      <c r="N652" s="20">
        <v>58.6</v>
      </c>
      <c r="O652" s="20">
        <f>H652-L652</f>
        <v>-58.6</v>
      </c>
      <c r="P652" s="20" t="e">
        <f>#REF!-M652</f>
        <v>#REF!</v>
      </c>
      <c r="Q652" s="20" t="e">
        <f>#REF!-N652</f>
        <v>#REF!</v>
      </c>
      <c r="R652" s="17" t="str">
        <f t="shared" si="69"/>
        <v>16 0 00 00000000</v>
      </c>
    </row>
    <row r="653" spans="1:18" s="17" customFormat="1" ht="31.5">
      <c r="A653" s="14"/>
      <c r="B653" s="125" t="s">
        <v>422</v>
      </c>
      <c r="C653" s="109" t="s">
        <v>394</v>
      </c>
      <c r="D653" s="108" t="s">
        <v>229</v>
      </c>
      <c r="E653" s="108" t="s">
        <v>471</v>
      </c>
      <c r="F653" s="108" t="s">
        <v>423</v>
      </c>
      <c r="G653" s="108" t="s">
        <v>9</v>
      </c>
      <c r="H653" s="126">
        <f t="shared" si="77"/>
        <v>0</v>
      </c>
      <c r="L653" s="20">
        <v>58.6</v>
      </c>
      <c r="M653" s="20">
        <v>58.6</v>
      </c>
      <c r="N653" s="20">
        <v>58.6</v>
      </c>
      <c r="O653" s="20">
        <f>H653-L653</f>
        <v>-58.6</v>
      </c>
      <c r="P653" s="20" t="e">
        <f>#REF!-M653</f>
        <v>#REF!</v>
      </c>
      <c r="Q653" s="20" t="e">
        <f>#REF!-N653</f>
        <v>#REF!</v>
      </c>
      <c r="R653" s="17" t="str">
        <f t="shared" si="69"/>
        <v>16 2 00 00000000</v>
      </c>
    </row>
    <row r="654" spans="1:18" s="17" customFormat="1" ht="47.25">
      <c r="A654" s="14"/>
      <c r="B654" s="125" t="s">
        <v>424</v>
      </c>
      <c r="C654" s="109" t="s">
        <v>394</v>
      </c>
      <c r="D654" s="108" t="s">
        <v>229</v>
      </c>
      <c r="E654" s="108" t="s">
        <v>471</v>
      </c>
      <c r="F654" s="108" t="s">
        <v>425</v>
      </c>
      <c r="G654" s="108" t="s">
        <v>9</v>
      </c>
      <c r="H654" s="126">
        <f t="shared" si="77"/>
        <v>0</v>
      </c>
      <c r="L654" s="20">
        <v>58.6</v>
      </c>
      <c r="M654" s="20">
        <v>58.6</v>
      </c>
      <c r="N654" s="20">
        <v>58.6</v>
      </c>
      <c r="O654" s="20">
        <f>H654-L654</f>
        <v>-58.6</v>
      </c>
      <c r="P654" s="20" t="e">
        <f>#REF!-M654</f>
        <v>#REF!</v>
      </c>
      <c r="Q654" s="20" t="e">
        <f>#REF!-N654</f>
        <v>#REF!</v>
      </c>
      <c r="R654" s="17" t="str">
        <f t="shared" si="69"/>
        <v>16 2 02 00000000</v>
      </c>
    </row>
    <row r="655" spans="1:18" s="17" customFormat="1" ht="47.25">
      <c r="A655" s="14"/>
      <c r="B655" s="125" t="s">
        <v>426</v>
      </c>
      <c r="C655" s="109" t="s">
        <v>394</v>
      </c>
      <c r="D655" s="108" t="s">
        <v>229</v>
      </c>
      <c r="E655" s="108" t="s">
        <v>471</v>
      </c>
      <c r="F655" s="108" t="s">
        <v>427</v>
      </c>
      <c r="G655" s="108" t="s">
        <v>9</v>
      </c>
      <c r="H655" s="126">
        <f t="shared" si="77"/>
        <v>0</v>
      </c>
      <c r="L655" s="20">
        <v>58.6</v>
      </c>
      <c r="M655" s="20">
        <v>58.6</v>
      </c>
      <c r="N655" s="20">
        <v>58.6</v>
      </c>
      <c r="O655" s="20">
        <f>H655-L655</f>
        <v>-58.6</v>
      </c>
      <c r="P655" s="20" t="e">
        <f>#REF!-M655</f>
        <v>#REF!</v>
      </c>
      <c r="Q655" s="20" t="e">
        <f>#REF!-N655</f>
        <v>#REF!</v>
      </c>
      <c r="R655" s="17" t="str">
        <f t="shared" si="69"/>
        <v>16 2 02 20550000</v>
      </c>
    </row>
    <row r="656" spans="1:18" s="17" customFormat="1" ht="15.75">
      <c r="A656" s="14"/>
      <c r="B656" s="132" t="s">
        <v>403</v>
      </c>
      <c r="C656" s="109" t="s">
        <v>394</v>
      </c>
      <c r="D656" s="108" t="s">
        <v>229</v>
      </c>
      <c r="E656" s="108" t="s">
        <v>471</v>
      </c>
      <c r="F656" s="108" t="s">
        <v>427</v>
      </c>
      <c r="G656" s="108" t="s">
        <v>404</v>
      </c>
      <c r="H656" s="126">
        <f>H657</f>
        <v>0</v>
      </c>
      <c r="L656" s="20">
        <v>58.6</v>
      </c>
      <c r="M656" s="20">
        <v>58.6</v>
      </c>
      <c r="N656" s="20">
        <v>58.6</v>
      </c>
      <c r="O656" s="20">
        <f>H656-L656</f>
        <v>-58.6</v>
      </c>
      <c r="P656" s="20" t="e">
        <f>#REF!-M656</f>
        <v>#REF!</v>
      </c>
      <c r="Q656" s="20" t="e">
        <f>#REF!-N656</f>
        <v>#REF!</v>
      </c>
      <c r="R656" s="17" t="str">
        <f t="shared" si="69"/>
        <v>16 2 02 20550610</v>
      </c>
    </row>
    <row r="657" spans="1:18" s="24" customFormat="1" ht="15.75">
      <c r="A657" s="21"/>
      <c r="B657" s="127" t="s">
        <v>407</v>
      </c>
      <c r="C657" s="109" t="s">
        <v>394</v>
      </c>
      <c r="D657" s="108" t="s">
        <v>229</v>
      </c>
      <c r="E657" s="108" t="s">
        <v>471</v>
      </c>
      <c r="F657" s="108" t="s">
        <v>427</v>
      </c>
      <c r="G657" s="108" t="s">
        <v>408</v>
      </c>
      <c r="H657" s="126"/>
      <c r="L657" s="22"/>
      <c r="M657" s="22"/>
      <c r="N657" s="22"/>
      <c r="O657" s="22"/>
      <c r="P657" s="22"/>
      <c r="Q657" s="22"/>
    </row>
    <row r="658" spans="1:18" s="17" customFormat="1" ht="31.5">
      <c r="A658" s="14"/>
      <c r="B658" s="125" t="s">
        <v>479</v>
      </c>
      <c r="C658" s="109" t="s">
        <v>394</v>
      </c>
      <c r="D658" s="108" t="s">
        <v>229</v>
      </c>
      <c r="E658" s="108" t="s">
        <v>471</v>
      </c>
      <c r="F658" s="108" t="s">
        <v>480</v>
      </c>
      <c r="G658" s="108" t="s">
        <v>9</v>
      </c>
      <c r="H658" s="126">
        <f>H659</f>
        <v>0</v>
      </c>
      <c r="L658" s="20">
        <v>32512.43</v>
      </c>
      <c r="M658" s="20">
        <v>32415.73</v>
      </c>
      <c r="N658" s="20">
        <v>32415.73</v>
      </c>
      <c r="O658" s="20">
        <f>H658-L658</f>
        <v>-32512.43</v>
      </c>
      <c r="P658" s="20" t="e">
        <f>#REF!-M658</f>
        <v>#REF!</v>
      </c>
      <c r="Q658" s="20" t="e">
        <f>#REF!-N658</f>
        <v>#REF!</v>
      </c>
      <c r="R658" s="17" t="str">
        <f t="shared" si="69"/>
        <v>75 0 00 00000000</v>
      </c>
    </row>
    <row r="659" spans="1:18" s="17" customFormat="1" ht="47.25">
      <c r="A659" s="14"/>
      <c r="B659" s="125" t="s">
        <v>481</v>
      </c>
      <c r="C659" s="109" t="s">
        <v>394</v>
      </c>
      <c r="D659" s="108" t="s">
        <v>229</v>
      </c>
      <c r="E659" s="108" t="s">
        <v>471</v>
      </c>
      <c r="F659" s="108" t="s">
        <v>482</v>
      </c>
      <c r="G659" s="108" t="s">
        <v>9</v>
      </c>
      <c r="H659" s="126">
        <f>H660+H670+H680+H674</f>
        <v>0</v>
      </c>
      <c r="L659" s="20">
        <v>32512.43</v>
      </c>
      <c r="M659" s="20">
        <v>32415.73</v>
      </c>
      <c r="N659" s="20">
        <v>32415.73</v>
      </c>
      <c r="O659" s="20">
        <f>H659-L659</f>
        <v>-32512.43</v>
      </c>
      <c r="P659" s="20" t="e">
        <f>#REF!-M659</f>
        <v>#REF!</v>
      </c>
      <c r="Q659" s="20" t="e">
        <f>#REF!-N659</f>
        <v>#REF!</v>
      </c>
      <c r="R659" s="17" t="str">
        <f t="shared" si="69"/>
        <v>75 1 00 00000000</v>
      </c>
    </row>
    <row r="660" spans="1:18" s="17" customFormat="1" ht="31.5">
      <c r="A660" s="14"/>
      <c r="B660" s="125" t="s">
        <v>18</v>
      </c>
      <c r="C660" s="109" t="s">
        <v>394</v>
      </c>
      <c r="D660" s="108" t="s">
        <v>229</v>
      </c>
      <c r="E660" s="108" t="s">
        <v>471</v>
      </c>
      <c r="F660" s="108" t="s">
        <v>483</v>
      </c>
      <c r="G660" s="108" t="s">
        <v>9</v>
      </c>
      <c r="H660" s="126">
        <f>H661+H664+H666</f>
        <v>0</v>
      </c>
      <c r="L660" s="20">
        <v>2420.89</v>
      </c>
      <c r="M660" s="20">
        <v>2420.89</v>
      </c>
      <c r="N660" s="20">
        <v>2420.89</v>
      </c>
      <c r="O660" s="20">
        <f>H660-L660</f>
        <v>-2420.89</v>
      </c>
      <c r="P660" s="20" t="e">
        <f>#REF!-M660</f>
        <v>#REF!</v>
      </c>
      <c r="Q660" s="20" t="e">
        <f>#REF!-N660</f>
        <v>#REF!</v>
      </c>
      <c r="R660" s="17" t="str">
        <f t="shared" ref="R660:R759" si="78">CONCATENATE(F660,G660)</f>
        <v>75 1 00 10010000</v>
      </c>
    </row>
    <row r="661" spans="1:18" s="17" customFormat="1" ht="31.5">
      <c r="A661" s="14"/>
      <c r="B661" s="125" t="s">
        <v>484</v>
      </c>
      <c r="C661" s="109" t="s">
        <v>394</v>
      </c>
      <c r="D661" s="108" t="s">
        <v>229</v>
      </c>
      <c r="E661" s="108" t="s">
        <v>471</v>
      </c>
      <c r="F661" s="108" t="s">
        <v>483</v>
      </c>
      <c r="G661" s="108" t="s">
        <v>21</v>
      </c>
      <c r="H661" s="126">
        <f>SUM(H662:H663)</f>
        <v>0</v>
      </c>
      <c r="L661" s="20">
        <v>677.24</v>
      </c>
      <c r="M661" s="20">
        <v>677.24</v>
      </c>
      <c r="N661" s="20">
        <v>677.24</v>
      </c>
      <c r="O661" s="20">
        <f>H661-L661</f>
        <v>-677.24</v>
      </c>
      <c r="P661" s="20" t="e">
        <f>#REF!-M661</f>
        <v>#REF!</v>
      </c>
      <c r="Q661" s="20" t="e">
        <f>#REF!-N661</f>
        <v>#REF!</v>
      </c>
      <c r="R661" s="17" t="str">
        <f t="shared" si="78"/>
        <v>75 1 00 10010120</v>
      </c>
    </row>
    <row r="662" spans="1:18" s="24" customFormat="1" ht="47.25">
      <c r="A662" s="21"/>
      <c r="B662" s="127" t="s">
        <v>22</v>
      </c>
      <c r="C662" s="109" t="s">
        <v>394</v>
      </c>
      <c r="D662" s="108" t="s">
        <v>229</v>
      </c>
      <c r="E662" s="108" t="s">
        <v>471</v>
      </c>
      <c r="F662" s="108" t="s">
        <v>483</v>
      </c>
      <c r="G662" s="108" t="s">
        <v>23</v>
      </c>
      <c r="H662" s="126"/>
      <c r="L662" s="22"/>
      <c r="M662" s="22"/>
      <c r="N662" s="22"/>
      <c r="O662" s="22"/>
      <c r="P662" s="22"/>
      <c r="Q662" s="22"/>
    </row>
    <row r="663" spans="1:18" s="24" customFormat="1" ht="63">
      <c r="A663" s="21"/>
      <c r="B663" s="127" t="s">
        <v>26</v>
      </c>
      <c r="C663" s="109" t="s">
        <v>394</v>
      </c>
      <c r="D663" s="108" t="s">
        <v>229</v>
      </c>
      <c r="E663" s="108" t="s">
        <v>471</v>
      </c>
      <c r="F663" s="108" t="s">
        <v>483</v>
      </c>
      <c r="G663" s="108" t="s">
        <v>27</v>
      </c>
      <c r="H663" s="126"/>
      <c r="L663" s="22"/>
      <c r="M663" s="22"/>
      <c r="N663" s="22"/>
      <c r="O663" s="22"/>
      <c r="P663" s="22"/>
      <c r="Q663" s="22"/>
    </row>
    <row r="664" spans="1:18" s="17" customFormat="1" ht="31.5">
      <c r="A664" s="14"/>
      <c r="B664" s="125" t="s">
        <v>28</v>
      </c>
      <c r="C664" s="109" t="s">
        <v>394</v>
      </c>
      <c r="D664" s="108" t="s">
        <v>229</v>
      </c>
      <c r="E664" s="108" t="s">
        <v>471</v>
      </c>
      <c r="F664" s="108" t="s">
        <v>483</v>
      </c>
      <c r="G664" s="108" t="s">
        <v>29</v>
      </c>
      <c r="H664" s="126">
        <f>H665</f>
        <v>0</v>
      </c>
      <c r="L664" s="20">
        <v>1690.51</v>
      </c>
      <c r="M664" s="20">
        <v>1690.51</v>
      </c>
      <c r="N664" s="20">
        <v>1690.51</v>
      </c>
      <c r="O664" s="20">
        <f>H664-L664</f>
        <v>-1690.51</v>
      </c>
      <c r="P664" s="20" t="e">
        <f>#REF!-M664</f>
        <v>#REF!</v>
      </c>
      <c r="Q664" s="20" t="e">
        <f>#REF!-N664</f>
        <v>#REF!</v>
      </c>
      <c r="R664" s="17" t="str">
        <f t="shared" si="78"/>
        <v>75 1 00 10010240</v>
      </c>
    </row>
    <row r="665" spans="1:18" s="17" customFormat="1" ht="15.75">
      <c r="A665" s="14"/>
      <c r="B665" s="125" t="s">
        <v>30</v>
      </c>
      <c r="C665" s="109" t="s">
        <v>394</v>
      </c>
      <c r="D665" s="108" t="s">
        <v>229</v>
      </c>
      <c r="E665" s="108" t="s">
        <v>471</v>
      </c>
      <c r="F665" s="108" t="s">
        <v>483</v>
      </c>
      <c r="G665" s="108" t="s">
        <v>31</v>
      </c>
      <c r="H665" s="126"/>
      <c r="L665" s="20"/>
      <c r="M665" s="20"/>
      <c r="N665" s="20"/>
      <c r="O665" s="20"/>
      <c r="P665" s="20"/>
      <c r="Q665" s="20"/>
    </row>
    <row r="666" spans="1:18" s="17" customFormat="1" ht="15.75">
      <c r="A666" s="14"/>
      <c r="B666" s="125" t="s">
        <v>32</v>
      </c>
      <c r="C666" s="109" t="s">
        <v>394</v>
      </c>
      <c r="D666" s="108" t="s">
        <v>229</v>
      </c>
      <c r="E666" s="108" t="s">
        <v>471</v>
      </c>
      <c r="F666" s="108" t="s">
        <v>483</v>
      </c>
      <c r="G666" s="108" t="s">
        <v>33</v>
      </c>
      <c r="H666" s="126">
        <f>SUM(H667:H669)</f>
        <v>0</v>
      </c>
      <c r="L666" s="20">
        <v>53.14</v>
      </c>
      <c r="M666" s="20">
        <v>53.14</v>
      </c>
      <c r="N666" s="20">
        <v>53.14</v>
      </c>
      <c r="O666" s="20">
        <f>H666-L666</f>
        <v>-53.14</v>
      </c>
      <c r="P666" s="20" t="e">
        <f>#REF!-M666</f>
        <v>#REF!</v>
      </c>
      <c r="Q666" s="20" t="e">
        <f>#REF!-N666</f>
        <v>#REF!</v>
      </c>
      <c r="R666" s="17" t="str">
        <f t="shared" si="78"/>
        <v>75 1 00 10010850</v>
      </c>
    </row>
    <row r="667" spans="1:18" s="24" customFormat="1" ht="31.5">
      <c r="A667" s="21"/>
      <c r="B667" s="127" t="s">
        <v>34</v>
      </c>
      <c r="C667" s="109" t="s">
        <v>394</v>
      </c>
      <c r="D667" s="108" t="s">
        <v>229</v>
      </c>
      <c r="E667" s="108" t="s">
        <v>471</v>
      </c>
      <c r="F667" s="108" t="s">
        <v>483</v>
      </c>
      <c r="G667" s="108" t="s">
        <v>35</v>
      </c>
      <c r="H667" s="126"/>
      <c r="L667" s="22"/>
      <c r="M667" s="22"/>
      <c r="N667" s="22"/>
      <c r="O667" s="22"/>
      <c r="P667" s="22"/>
      <c r="Q667" s="22"/>
    </row>
    <row r="668" spans="1:18" s="24" customFormat="1" ht="15.75">
      <c r="A668" s="21"/>
      <c r="B668" s="127" t="s">
        <v>36</v>
      </c>
      <c r="C668" s="109" t="s">
        <v>394</v>
      </c>
      <c r="D668" s="108" t="s">
        <v>229</v>
      </c>
      <c r="E668" s="108" t="s">
        <v>471</v>
      </c>
      <c r="F668" s="108" t="s">
        <v>483</v>
      </c>
      <c r="G668" s="108" t="s">
        <v>37</v>
      </c>
      <c r="H668" s="126"/>
      <c r="L668" s="22"/>
      <c r="M668" s="22"/>
      <c r="N668" s="22"/>
      <c r="O668" s="22"/>
      <c r="P668" s="22"/>
      <c r="Q668" s="22"/>
    </row>
    <row r="669" spans="1:18" s="24" customFormat="1" ht="15.75">
      <c r="A669" s="21"/>
      <c r="B669" s="127" t="s">
        <v>77</v>
      </c>
      <c r="C669" s="109" t="s">
        <v>394</v>
      </c>
      <c r="D669" s="108" t="s">
        <v>229</v>
      </c>
      <c r="E669" s="108" t="s">
        <v>471</v>
      </c>
      <c r="F669" s="108" t="s">
        <v>483</v>
      </c>
      <c r="G669" s="108" t="s">
        <v>78</v>
      </c>
      <c r="H669" s="126"/>
      <c r="L669" s="22"/>
      <c r="M669" s="22"/>
      <c r="N669" s="22"/>
      <c r="O669" s="22"/>
      <c r="P669" s="22"/>
      <c r="Q669" s="22"/>
    </row>
    <row r="670" spans="1:18" s="17" customFormat="1" ht="31.5">
      <c r="A670" s="14"/>
      <c r="B670" s="125" t="s">
        <v>38</v>
      </c>
      <c r="C670" s="109" t="s">
        <v>394</v>
      </c>
      <c r="D670" s="108" t="s">
        <v>229</v>
      </c>
      <c r="E670" s="108" t="s">
        <v>471</v>
      </c>
      <c r="F670" s="108" t="s">
        <v>485</v>
      </c>
      <c r="G670" s="108" t="s">
        <v>9</v>
      </c>
      <c r="H670" s="126">
        <f>H671</f>
        <v>0</v>
      </c>
      <c r="L670" s="20">
        <v>21313.48</v>
      </c>
      <c r="M670" s="20">
        <v>21313.48</v>
      </c>
      <c r="N670" s="20">
        <v>21313.48</v>
      </c>
      <c r="O670" s="20">
        <f>H670-L670</f>
        <v>-21313.48</v>
      </c>
      <c r="P670" s="20" t="e">
        <f>#REF!-M670</f>
        <v>#REF!</v>
      </c>
      <c r="Q670" s="20" t="e">
        <f>#REF!-N670</f>
        <v>#REF!</v>
      </c>
      <c r="R670" s="17" t="str">
        <f t="shared" si="78"/>
        <v>75 1 00 10020000</v>
      </c>
    </row>
    <row r="671" spans="1:18" s="17" customFormat="1" ht="31.5">
      <c r="A671" s="14"/>
      <c r="B671" s="125" t="s">
        <v>484</v>
      </c>
      <c r="C671" s="109" t="s">
        <v>394</v>
      </c>
      <c r="D671" s="108" t="s">
        <v>229</v>
      </c>
      <c r="E671" s="108" t="s">
        <v>471</v>
      </c>
      <c r="F671" s="108" t="s">
        <v>485</v>
      </c>
      <c r="G671" s="108" t="s">
        <v>21</v>
      </c>
      <c r="H671" s="126">
        <f>SUM(H672:H673)</f>
        <v>0</v>
      </c>
      <c r="L671" s="20">
        <v>21313.48</v>
      </c>
      <c r="M671" s="20">
        <v>21313.48</v>
      </c>
      <c r="N671" s="20">
        <v>21313.48</v>
      </c>
      <c r="O671" s="20">
        <f>H671-L671</f>
        <v>-21313.48</v>
      </c>
      <c r="P671" s="20" t="e">
        <f>#REF!-M671</f>
        <v>#REF!</v>
      </c>
      <c r="Q671" s="20" t="e">
        <f>#REF!-N671</f>
        <v>#REF!</v>
      </c>
      <c r="R671" s="17" t="str">
        <f t="shared" si="78"/>
        <v>75 1 00 10020120</v>
      </c>
    </row>
    <row r="672" spans="1:18" s="24" customFormat="1" ht="31.5">
      <c r="A672" s="21"/>
      <c r="B672" s="127" t="s">
        <v>40</v>
      </c>
      <c r="C672" s="109" t="s">
        <v>394</v>
      </c>
      <c r="D672" s="108" t="s">
        <v>229</v>
      </c>
      <c r="E672" s="108" t="s">
        <v>471</v>
      </c>
      <c r="F672" s="108" t="s">
        <v>485</v>
      </c>
      <c r="G672" s="108" t="s">
        <v>41</v>
      </c>
      <c r="H672" s="126"/>
      <c r="L672" s="22"/>
      <c r="M672" s="22"/>
      <c r="N672" s="22"/>
      <c r="O672" s="22"/>
      <c r="P672" s="22"/>
      <c r="Q672" s="22"/>
    </row>
    <row r="673" spans="1:18" s="24" customFormat="1" ht="63">
      <c r="A673" s="21"/>
      <c r="B673" s="127" t="s">
        <v>26</v>
      </c>
      <c r="C673" s="109" t="s">
        <v>394</v>
      </c>
      <c r="D673" s="108" t="s">
        <v>229</v>
      </c>
      <c r="E673" s="108" t="s">
        <v>471</v>
      </c>
      <c r="F673" s="108" t="s">
        <v>485</v>
      </c>
      <c r="G673" s="108" t="s">
        <v>27</v>
      </c>
      <c r="H673" s="126"/>
      <c r="L673" s="22"/>
      <c r="M673" s="22"/>
      <c r="N673" s="22"/>
      <c r="O673" s="22"/>
      <c r="P673" s="22"/>
      <c r="Q673" s="22"/>
    </row>
    <row r="674" spans="1:18" s="17" customFormat="1" ht="31.5">
      <c r="A674" s="14"/>
      <c r="B674" s="138" t="s">
        <v>136</v>
      </c>
      <c r="C674" s="109" t="s">
        <v>394</v>
      </c>
      <c r="D674" s="108" t="s">
        <v>229</v>
      </c>
      <c r="E674" s="108" t="s">
        <v>471</v>
      </c>
      <c r="F674" s="108" t="s">
        <v>486</v>
      </c>
      <c r="G674" s="108" t="s">
        <v>9</v>
      </c>
      <c r="H674" s="126">
        <f>H675+H678</f>
        <v>0</v>
      </c>
      <c r="L674" s="20">
        <v>6806.64</v>
      </c>
      <c r="M674" s="20">
        <v>6709.94</v>
      </c>
      <c r="N674" s="20">
        <v>6709.94</v>
      </c>
      <c r="O674" s="20">
        <f>H674-L674</f>
        <v>-6806.64</v>
      </c>
      <c r="P674" s="20" t="e">
        <f>#REF!-M674</f>
        <v>#REF!</v>
      </c>
      <c r="Q674" s="20" t="e">
        <f>#REF!-N674</f>
        <v>#REF!</v>
      </c>
      <c r="R674" s="17" t="str">
        <f t="shared" si="78"/>
        <v>75 1 00 11010000</v>
      </c>
    </row>
    <row r="675" spans="1:18" s="17" customFormat="1" ht="15.75">
      <c r="A675" s="14"/>
      <c r="B675" s="137" t="s">
        <v>138</v>
      </c>
      <c r="C675" s="109" t="s">
        <v>394</v>
      </c>
      <c r="D675" s="108" t="s">
        <v>229</v>
      </c>
      <c r="E675" s="108" t="s">
        <v>471</v>
      </c>
      <c r="F675" s="108" t="s">
        <v>486</v>
      </c>
      <c r="G675" s="108" t="s">
        <v>139</v>
      </c>
      <c r="H675" s="126">
        <f>SUM(H676:H677)</f>
        <v>0</v>
      </c>
      <c r="L675" s="20">
        <v>5943.04</v>
      </c>
      <c r="M675" s="20">
        <v>6483.32</v>
      </c>
      <c r="N675" s="20">
        <v>6483.32</v>
      </c>
      <c r="O675" s="20">
        <f>H675-L675</f>
        <v>-5943.04</v>
      </c>
      <c r="P675" s="20" t="e">
        <f>#REF!-M675</f>
        <v>#REF!</v>
      </c>
      <c r="Q675" s="20" t="e">
        <f>#REF!-N675</f>
        <v>#REF!</v>
      </c>
      <c r="R675" s="17" t="str">
        <f t="shared" si="78"/>
        <v>75 1 00 11010110</v>
      </c>
    </row>
    <row r="676" spans="1:18" s="24" customFormat="1" ht="15.75">
      <c r="A676" s="21"/>
      <c r="B676" s="127" t="s">
        <v>140</v>
      </c>
      <c r="C676" s="109" t="s">
        <v>394</v>
      </c>
      <c r="D676" s="108" t="s">
        <v>229</v>
      </c>
      <c r="E676" s="108" t="s">
        <v>471</v>
      </c>
      <c r="F676" s="108" t="s">
        <v>486</v>
      </c>
      <c r="G676" s="108" t="s">
        <v>141</v>
      </c>
      <c r="H676" s="126"/>
      <c r="L676" s="22"/>
      <c r="M676" s="22"/>
      <c r="N676" s="22"/>
      <c r="O676" s="22"/>
      <c r="P676" s="22"/>
      <c r="Q676" s="22"/>
    </row>
    <row r="677" spans="1:18" s="24" customFormat="1" ht="47.25">
      <c r="A677" s="21"/>
      <c r="B677" s="127" t="s">
        <v>487</v>
      </c>
      <c r="C677" s="109" t="s">
        <v>394</v>
      </c>
      <c r="D677" s="108" t="s">
        <v>229</v>
      </c>
      <c r="E677" s="108" t="s">
        <v>471</v>
      </c>
      <c r="F677" s="108" t="s">
        <v>486</v>
      </c>
      <c r="G677" s="108" t="s">
        <v>145</v>
      </c>
      <c r="H677" s="126"/>
      <c r="L677" s="22"/>
      <c r="M677" s="22"/>
      <c r="N677" s="22"/>
      <c r="O677" s="22"/>
      <c r="P677" s="22"/>
      <c r="Q677" s="22"/>
    </row>
    <row r="678" spans="1:18" s="17" customFormat="1" ht="31.5">
      <c r="A678" s="14"/>
      <c r="B678" s="125" t="s">
        <v>28</v>
      </c>
      <c r="C678" s="109" t="s">
        <v>394</v>
      </c>
      <c r="D678" s="108" t="s">
        <v>229</v>
      </c>
      <c r="E678" s="108" t="s">
        <v>471</v>
      </c>
      <c r="F678" s="108" t="s">
        <v>486</v>
      </c>
      <c r="G678" s="108" t="s">
        <v>29</v>
      </c>
      <c r="H678" s="126">
        <f>H679</f>
        <v>0</v>
      </c>
      <c r="L678" s="20">
        <v>863.6</v>
      </c>
      <c r="M678" s="20">
        <v>226.62</v>
      </c>
      <c r="N678" s="20">
        <v>226.62</v>
      </c>
      <c r="O678" s="20">
        <f>H678-L678</f>
        <v>-863.6</v>
      </c>
      <c r="P678" s="20" t="e">
        <f>#REF!-M678</f>
        <v>#REF!</v>
      </c>
      <c r="Q678" s="20" t="e">
        <f>#REF!-N678</f>
        <v>#REF!</v>
      </c>
      <c r="R678" s="17" t="str">
        <f t="shared" si="78"/>
        <v>75 1 00 11010240</v>
      </c>
    </row>
    <row r="679" spans="1:18" s="17" customFormat="1" ht="15.75">
      <c r="A679" s="14"/>
      <c r="B679" s="125" t="s">
        <v>30</v>
      </c>
      <c r="C679" s="109" t="s">
        <v>394</v>
      </c>
      <c r="D679" s="108" t="s">
        <v>229</v>
      </c>
      <c r="E679" s="108" t="s">
        <v>471</v>
      </c>
      <c r="F679" s="108" t="s">
        <v>486</v>
      </c>
      <c r="G679" s="108" t="s">
        <v>31</v>
      </c>
      <c r="H679" s="126"/>
      <c r="L679" s="20"/>
      <c r="M679" s="20"/>
      <c r="N679" s="20"/>
      <c r="O679" s="20"/>
      <c r="P679" s="20"/>
      <c r="Q679" s="20"/>
    </row>
    <row r="680" spans="1:18" s="17" customFormat="1" ht="63">
      <c r="A680" s="14" t="s">
        <v>80</v>
      </c>
      <c r="B680" s="125" t="s">
        <v>488</v>
      </c>
      <c r="C680" s="109" t="s">
        <v>394</v>
      </c>
      <c r="D680" s="108" t="s">
        <v>229</v>
      </c>
      <c r="E680" s="108" t="s">
        <v>471</v>
      </c>
      <c r="F680" s="108" t="s">
        <v>489</v>
      </c>
      <c r="G680" s="108" t="s">
        <v>9</v>
      </c>
      <c r="H680" s="126">
        <f>H681+H685</f>
        <v>0</v>
      </c>
      <c r="L680" s="20">
        <v>1971.42</v>
      </c>
      <c r="M680" s="20">
        <v>1971.42</v>
      </c>
      <c r="N680" s="20">
        <v>1971.42</v>
      </c>
      <c r="O680" s="20">
        <f>H680-L680</f>
        <v>-1971.42</v>
      </c>
      <c r="P680" s="20" t="e">
        <f>#REF!-M680</f>
        <v>#REF!</v>
      </c>
      <c r="Q680" s="20" t="e">
        <f>#REF!-N680</f>
        <v>#REF!</v>
      </c>
      <c r="R680" s="17" t="str">
        <f t="shared" si="78"/>
        <v>75 1 00 76200000</v>
      </c>
    </row>
    <row r="681" spans="1:18" s="17" customFormat="1" ht="31.5">
      <c r="A681" s="14"/>
      <c r="B681" s="125" t="s">
        <v>484</v>
      </c>
      <c r="C681" s="109" t="s">
        <v>394</v>
      </c>
      <c r="D681" s="108" t="s">
        <v>229</v>
      </c>
      <c r="E681" s="108" t="s">
        <v>471</v>
      </c>
      <c r="F681" s="108" t="s">
        <v>489</v>
      </c>
      <c r="G681" s="108" t="s">
        <v>21</v>
      </c>
      <c r="H681" s="126">
        <f>SUM(H682:H684)</f>
        <v>0</v>
      </c>
      <c r="L681" s="20">
        <v>1951.93</v>
      </c>
      <c r="M681" s="20">
        <v>1951.93</v>
      </c>
      <c r="N681" s="20">
        <v>1951.93</v>
      </c>
      <c r="O681" s="20">
        <f>H681-L681</f>
        <v>-1951.93</v>
      </c>
      <c r="P681" s="20" t="e">
        <f>#REF!-M681</f>
        <v>#REF!</v>
      </c>
      <c r="Q681" s="20" t="e">
        <f>#REF!-N681</f>
        <v>#REF!</v>
      </c>
      <c r="R681" s="17" t="str">
        <f t="shared" si="78"/>
        <v>75 1 00 76200120</v>
      </c>
    </row>
    <row r="682" spans="1:18" s="17" customFormat="1" ht="31.5">
      <c r="A682" s="14"/>
      <c r="B682" s="127" t="s">
        <v>40</v>
      </c>
      <c r="C682" s="109" t="s">
        <v>394</v>
      </c>
      <c r="D682" s="108" t="s">
        <v>229</v>
      </c>
      <c r="E682" s="108" t="s">
        <v>471</v>
      </c>
      <c r="F682" s="108" t="s">
        <v>489</v>
      </c>
      <c r="G682" s="108" t="s">
        <v>41</v>
      </c>
      <c r="H682" s="126"/>
      <c r="L682" s="20"/>
      <c r="M682" s="20"/>
      <c r="N682" s="20"/>
      <c r="O682" s="20"/>
      <c r="P682" s="20"/>
      <c r="Q682" s="20"/>
    </row>
    <row r="683" spans="1:18" s="24" customFormat="1" ht="47.25">
      <c r="A683" s="21"/>
      <c r="B683" s="127" t="s">
        <v>22</v>
      </c>
      <c r="C683" s="109" t="s">
        <v>394</v>
      </c>
      <c r="D683" s="108" t="s">
        <v>229</v>
      </c>
      <c r="E683" s="108" t="s">
        <v>471</v>
      </c>
      <c r="F683" s="108" t="s">
        <v>489</v>
      </c>
      <c r="G683" s="108" t="s">
        <v>23</v>
      </c>
      <c r="H683" s="126"/>
      <c r="L683" s="22"/>
      <c r="M683" s="22"/>
      <c r="N683" s="22"/>
      <c r="O683" s="22"/>
      <c r="P683" s="22"/>
      <c r="Q683" s="22"/>
    </row>
    <row r="684" spans="1:18" s="24" customFormat="1" ht="63">
      <c r="A684" s="21"/>
      <c r="B684" s="127" t="s">
        <v>26</v>
      </c>
      <c r="C684" s="109" t="s">
        <v>394</v>
      </c>
      <c r="D684" s="108" t="s">
        <v>229</v>
      </c>
      <c r="E684" s="108" t="s">
        <v>471</v>
      </c>
      <c r="F684" s="108" t="s">
        <v>489</v>
      </c>
      <c r="G684" s="108" t="s">
        <v>27</v>
      </c>
      <c r="H684" s="126"/>
      <c r="L684" s="22"/>
      <c r="M684" s="22"/>
      <c r="N684" s="22"/>
      <c r="O684" s="22"/>
      <c r="P684" s="22"/>
      <c r="Q684" s="22"/>
    </row>
    <row r="685" spans="1:18" s="17" customFormat="1" ht="31.5">
      <c r="A685" s="14"/>
      <c r="B685" s="125" t="s">
        <v>28</v>
      </c>
      <c r="C685" s="109" t="s">
        <v>394</v>
      </c>
      <c r="D685" s="108" t="s">
        <v>229</v>
      </c>
      <c r="E685" s="108" t="s">
        <v>471</v>
      </c>
      <c r="F685" s="108" t="s">
        <v>489</v>
      </c>
      <c r="G685" s="108" t="s">
        <v>29</v>
      </c>
      <c r="H685" s="126">
        <f>H686</f>
        <v>0</v>
      </c>
      <c r="L685" s="20">
        <v>19.489999999999998</v>
      </c>
      <c r="M685" s="20">
        <v>19.489999999999998</v>
      </c>
      <c r="N685" s="20">
        <v>19.489999999999998</v>
      </c>
      <c r="O685" s="20">
        <f>H685-L685</f>
        <v>-19.489999999999998</v>
      </c>
      <c r="P685" s="20" t="e">
        <f>#REF!-M685</f>
        <v>#REF!</v>
      </c>
      <c r="Q685" s="20" t="e">
        <f>#REF!-N685</f>
        <v>#REF!</v>
      </c>
      <c r="R685" s="17" t="str">
        <f t="shared" si="78"/>
        <v>75 1 00 76200240</v>
      </c>
    </row>
    <row r="686" spans="1:18" s="17" customFormat="1" ht="15.75">
      <c r="A686" s="14"/>
      <c r="B686" s="125" t="s">
        <v>30</v>
      </c>
      <c r="C686" s="109" t="s">
        <v>394</v>
      </c>
      <c r="D686" s="108" t="s">
        <v>229</v>
      </c>
      <c r="E686" s="108" t="s">
        <v>471</v>
      </c>
      <c r="F686" s="108" t="s">
        <v>489</v>
      </c>
      <c r="G686" s="108" t="s">
        <v>31</v>
      </c>
      <c r="H686" s="126"/>
      <c r="L686" s="20"/>
      <c r="M686" s="20"/>
      <c r="N686" s="20"/>
      <c r="O686" s="20"/>
      <c r="P686" s="20"/>
      <c r="Q686" s="20"/>
    </row>
    <row r="687" spans="1:18" s="17" customFormat="1" ht="15.75">
      <c r="A687" s="14"/>
      <c r="B687" s="117" t="s">
        <v>316</v>
      </c>
      <c r="C687" s="118" t="s">
        <v>394</v>
      </c>
      <c r="D687" s="119" t="s">
        <v>317</v>
      </c>
      <c r="E687" s="119" t="s">
        <v>7</v>
      </c>
      <c r="F687" s="119" t="s">
        <v>8</v>
      </c>
      <c r="G687" s="119" t="s">
        <v>9</v>
      </c>
      <c r="H687" s="120">
        <f t="shared" ref="H687:H689" si="79">H688</f>
        <v>0</v>
      </c>
      <c r="L687" s="18">
        <v>130554.89</v>
      </c>
      <c r="M687" s="18">
        <v>130554.89</v>
      </c>
      <c r="N687" s="18">
        <v>130554.89</v>
      </c>
      <c r="O687" s="18">
        <f t="shared" ref="O687:O693" si="80">H687-L687</f>
        <v>-130554.89</v>
      </c>
      <c r="P687" s="18" t="e">
        <f>#REF!-M687</f>
        <v>#REF!</v>
      </c>
      <c r="Q687" s="18" t="e">
        <f>#REF!-N687</f>
        <v>#REF!</v>
      </c>
      <c r="R687" s="17" t="str">
        <f t="shared" si="78"/>
        <v>00 0 00 00000000</v>
      </c>
    </row>
    <row r="688" spans="1:18" s="17" customFormat="1" ht="15.75">
      <c r="A688" s="14"/>
      <c r="B688" s="121" t="s">
        <v>490</v>
      </c>
      <c r="C688" s="122" t="s">
        <v>394</v>
      </c>
      <c r="D688" s="123" t="s">
        <v>317</v>
      </c>
      <c r="E688" s="123" t="s">
        <v>73</v>
      </c>
      <c r="F688" s="123" t="s">
        <v>8</v>
      </c>
      <c r="G688" s="123" t="s">
        <v>9</v>
      </c>
      <c r="H688" s="124">
        <f t="shared" si="79"/>
        <v>0</v>
      </c>
      <c r="L688" s="19">
        <v>130554.89</v>
      </c>
      <c r="M688" s="19">
        <v>130554.89</v>
      </c>
      <c r="N688" s="19">
        <v>130554.89</v>
      </c>
      <c r="O688" s="19">
        <f t="shared" si="80"/>
        <v>-130554.89</v>
      </c>
      <c r="P688" s="19" t="e">
        <f>#REF!-M688</f>
        <v>#REF!</v>
      </c>
      <c r="Q688" s="19" t="e">
        <f>#REF!-N688</f>
        <v>#REF!</v>
      </c>
      <c r="R688" s="17" t="str">
        <f t="shared" si="78"/>
        <v>00 0 00 00000000</v>
      </c>
    </row>
    <row r="689" spans="1:18" s="17" customFormat="1" ht="31.5">
      <c r="A689" s="14"/>
      <c r="B689" s="132" t="s">
        <v>396</v>
      </c>
      <c r="C689" s="109" t="s">
        <v>394</v>
      </c>
      <c r="D689" s="108" t="s">
        <v>317</v>
      </c>
      <c r="E689" s="108" t="s">
        <v>73</v>
      </c>
      <c r="F689" s="108" t="s">
        <v>397</v>
      </c>
      <c r="G689" s="108" t="s">
        <v>9</v>
      </c>
      <c r="H689" s="126">
        <f t="shared" si="79"/>
        <v>0</v>
      </c>
      <c r="L689" s="20">
        <v>130554.89</v>
      </c>
      <c r="M689" s="20">
        <v>130554.89</v>
      </c>
      <c r="N689" s="20">
        <v>130554.89</v>
      </c>
      <c r="O689" s="20">
        <f t="shared" si="80"/>
        <v>-130554.89</v>
      </c>
      <c r="P689" s="20" t="e">
        <f>#REF!-M689</f>
        <v>#REF!</v>
      </c>
      <c r="Q689" s="20" t="e">
        <f>#REF!-N689</f>
        <v>#REF!</v>
      </c>
      <c r="R689" s="17" t="str">
        <f t="shared" si="78"/>
        <v>01 0 00 00000000</v>
      </c>
    </row>
    <row r="690" spans="1:18" s="17" customFormat="1" ht="31.5">
      <c r="A690" s="14"/>
      <c r="B690" s="132" t="s">
        <v>398</v>
      </c>
      <c r="C690" s="109" t="s">
        <v>394</v>
      </c>
      <c r="D690" s="108" t="s">
        <v>317</v>
      </c>
      <c r="E690" s="108" t="s">
        <v>73</v>
      </c>
      <c r="F690" s="108" t="s">
        <v>399</v>
      </c>
      <c r="G690" s="108" t="s">
        <v>9</v>
      </c>
      <c r="H690" s="126">
        <f>H691+H697</f>
        <v>0</v>
      </c>
      <c r="L690" s="20">
        <v>130554.89</v>
      </c>
      <c r="M690" s="20">
        <v>130554.89</v>
      </c>
      <c r="N690" s="20">
        <v>130554.89</v>
      </c>
      <c r="O690" s="20">
        <f t="shared" si="80"/>
        <v>-130554.89</v>
      </c>
      <c r="P690" s="20" t="e">
        <f>#REF!-M690</f>
        <v>#REF!</v>
      </c>
      <c r="Q690" s="20" t="e">
        <f>#REF!-N690</f>
        <v>#REF!</v>
      </c>
      <c r="R690" s="17" t="str">
        <f t="shared" si="78"/>
        <v>01 1 00 00000000</v>
      </c>
    </row>
    <row r="691" spans="1:18" s="17" customFormat="1" ht="47.25">
      <c r="A691" s="14"/>
      <c r="B691" s="132" t="s">
        <v>400</v>
      </c>
      <c r="C691" s="109" t="s">
        <v>394</v>
      </c>
      <c r="D691" s="108" t="s">
        <v>317</v>
      </c>
      <c r="E691" s="108" t="s">
        <v>73</v>
      </c>
      <c r="F691" s="108" t="s">
        <v>401</v>
      </c>
      <c r="G691" s="108" t="s">
        <v>9</v>
      </c>
      <c r="H691" s="126">
        <f>H692</f>
        <v>0</v>
      </c>
      <c r="L691" s="20">
        <v>83933.4</v>
      </c>
      <c r="M691" s="20">
        <v>83933.4</v>
      </c>
      <c r="N691" s="20">
        <v>83933.4</v>
      </c>
      <c r="O691" s="20">
        <f t="shared" si="80"/>
        <v>-83933.4</v>
      </c>
      <c r="P691" s="20" t="e">
        <f>#REF!-M691</f>
        <v>#REF!</v>
      </c>
      <c r="Q691" s="20" t="e">
        <f>#REF!-N691</f>
        <v>#REF!</v>
      </c>
      <c r="R691" s="17" t="str">
        <f t="shared" si="78"/>
        <v>01 1 01 00000000</v>
      </c>
    </row>
    <row r="692" spans="1:18" s="17" customFormat="1" ht="78.75">
      <c r="A692" s="14" t="s">
        <v>80</v>
      </c>
      <c r="B692" s="132" t="s">
        <v>491</v>
      </c>
      <c r="C692" s="109" t="s">
        <v>394</v>
      </c>
      <c r="D692" s="108" t="s">
        <v>317</v>
      </c>
      <c r="E692" s="108" t="s">
        <v>73</v>
      </c>
      <c r="F692" s="108" t="s">
        <v>492</v>
      </c>
      <c r="G692" s="108" t="s">
        <v>9</v>
      </c>
      <c r="H692" s="126">
        <f>H693+H695</f>
        <v>0</v>
      </c>
      <c r="L692" s="20">
        <v>83933.4</v>
      </c>
      <c r="M692" s="20">
        <v>83933.4</v>
      </c>
      <c r="N692" s="20">
        <v>83933.4</v>
      </c>
      <c r="O692" s="20">
        <f t="shared" si="80"/>
        <v>-83933.4</v>
      </c>
      <c r="P692" s="20" t="e">
        <f>#REF!-M692</f>
        <v>#REF!</v>
      </c>
      <c r="Q692" s="20" t="e">
        <f>#REF!-N692</f>
        <v>#REF!</v>
      </c>
      <c r="R692" s="17" t="str">
        <f t="shared" si="78"/>
        <v>01 1 01 76140000</v>
      </c>
    </row>
    <row r="693" spans="1:18" s="17" customFormat="1" ht="31.5">
      <c r="A693" s="14"/>
      <c r="B693" s="125" t="s">
        <v>28</v>
      </c>
      <c r="C693" s="109" t="s">
        <v>394</v>
      </c>
      <c r="D693" s="108" t="s">
        <v>317</v>
      </c>
      <c r="E693" s="108" t="s">
        <v>73</v>
      </c>
      <c r="F693" s="108" t="s">
        <v>492</v>
      </c>
      <c r="G693" s="108" t="s">
        <v>29</v>
      </c>
      <c r="H693" s="126">
        <f>H694</f>
        <v>0</v>
      </c>
      <c r="L693" s="20">
        <v>1259</v>
      </c>
      <c r="M693" s="20">
        <v>1259</v>
      </c>
      <c r="N693" s="20">
        <v>1259</v>
      </c>
      <c r="O693" s="20">
        <f t="shared" si="80"/>
        <v>-1259</v>
      </c>
      <c r="P693" s="20" t="e">
        <f>#REF!-M693</f>
        <v>#REF!</v>
      </c>
      <c r="Q693" s="20" t="e">
        <f>#REF!-N693</f>
        <v>#REF!</v>
      </c>
      <c r="R693" s="17" t="str">
        <f t="shared" si="78"/>
        <v>01 1 01 76140240</v>
      </c>
    </row>
    <row r="694" spans="1:18" s="17" customFormat="1" ht="15.75">
      <c r="A694" s="14"/>
      <c r="B694" s="125" t="s">
        <v>30</v>
      </c>
      <c r="C694" s="109" t="s">
        <v>394</v>
      </c>
      <c r="D694" s="108" t="s">
        <v>317</v>
      </c>
      <c r="E694" s="108" t="s">
        <v>73</v>
      </c>
      <c r="F694" s="108" t="s">
        <v>492</v>
      </c>
      <c r="G694" s="108" t="s">
        <v>31</v>
      </c>
      <c r="H694" s="126"/>
      <c r="L694" s="20"/>
      <c r="M694" s="20"/>
      <c r="N694" s="20"/>
      <c r="O694" s="20"/>
      <c r="P694" s="20"/>
      <c r="Q694" s="20"/>
      <c r="R694" s="17" t="str">
        <f t="shared" si="78"/>
        <v>01 1 01 76140244</v>
      </c>
    </row>
    <row r="695" spans="1:18" s="17" customFormat="1" ht="31.5">
      <c r="A695" s="14"/>
      <c r="B695" s="132" t="s">
        <v>493</v>
      </c>
      <c r="C695" s="109" t="s">
        <v>394</v>
      </c>
      <c r="D695" s="108" t="s">
        <v>317</v>
      </c>
      <c r="E695" s="108" t="s">
        <v>73</v>
      </c>
      <c r="F695" s="108" t="s">
        <v>492</v>
      </c>
      <c r="G695" s="108" t="s">
        <v>494</v>
      </c>
      <c r="H695" s="126">
        <f>H696</f>
        <v>0</v>
      </c>
      <c r="L695" s="20">
        <v>82674.399999999994</v>
      </c>
      <c r="M695" s="20">
        <v>82674.399999999994</v>
      </c>
      <c r="N695" s="20">
        <v>82674.399999999994</v>
      </c>
      <c r="O695" s="20">
        <f>H695-L695</f>
        <v>-82674.399999999994</v>
      </c>
      <c r="P695" s="20" t="e">
        <f>#REF!-M695</f>
        <v>#REF!</v>
      </c>
      <c r="Q695" s="20" t="e">
        <f>#REF!-N695</f>
        <v>#REF!</v>
      </c>
      <c r="R695" s="17" t="str">
        <f t="shared" si="78"/>
        <v>01 1 01 76140310</v>
      </c>
    </row>
    <row r="696" spans="1:18" s="17" customFormat="1" ht="31.5">
      <c r="A696" s="14"/>
      <c r="B696" s="127" t="s">
        <v>495</v>
      </c>
      <c r="C696" s="109" t="s">
        <v>394</v>
      </c>
      <c r="D696" s="108" t="s">
        <v>317</v>
      </c>
      <c r="E696" s="108" t="s">
        <v>73</v>
      </c>
      <c r="F696" s="108" t="s">
        <v>492</v>
      </c>
      <c r="G696" s="108" t="s">
        <v>496</v>
      </c>
      <c r="H696" s="126"/>
      <c r="L696" s="20"/>
      <c r="M696" s="20"/>
      <c r="N696" s="20"/>
      <c r="O696" s="20"/>
      <c r="P696" s="20"/>
      <c r="Q696" s="20"/>
    </row>
    <row r="697" spans="1:18" s="17" customFormat="1" ht="47.25">
      <c r="A697" s="14" t="s">
        <v>80</v>
      </c>
      <c r="B697" s="132" t="s">
        <v>497</v>
      </c>
      <c r="C697" s="109" t="s">
        <v>394</v>
      </c>
      <c r="D697" s="108" t="s">
        <v>317</v>
      </c>
      <c r="E697" s="108" t="s">
        <v>73</v>
      </c>
      <c r="F697" s="108" t="s">
        <v>498</v>
      </c>
      <c r="G697" s="108" t="s">
        <v>9</v>
      </c>
      <c r="H697" s="126">
        <f>H698+H701+H704+H707</f>
        <v>0</v>
      </c>
      <c r="L697" s="20">
        <v>46621.490000000005</v>
      </c>
      <c r="M697" s="20">
        <v>46621.490000000005</v>
      </c>
      <c r="N697" s="20">
        <v>46621.490000000005</v>
      </c>
      <c r="O697" s="20">
        <f>H697-L697</f>
        <v>-46621.490000000005</v>
      </c>
      <c r="P697" s="20" t="e">
        <f>#REF!-M697</f>
        <v>#REF!</v>
      </c>
      <c r="Q697" s="20" t="e">
        <f>#REF!-N697</f>
        <v>#REF!</v>
      </c>
      <c r="R697" s="17" t="str">
        <f t="shared" si="78"/>
        <v>01 1 07 00000000</v>
      </c>
    </row>
    <row r="698" spans="1:18" s="17" customFormat="1" ht="31.5">
      <c r="A698" s="14"/>
      <c r="B698" s="132" t="s">
        <v>499</v>
      </c>
      <c r="C698" s="109" t="s">
        <v>394</v>
      </c>
      <c r="D698" s="108" t="s">
        <v>317</v>
      </c>
      <c r="E698" s="108" t="s">
        <v>73</v>
      </c>
      <c r="F698" s="108" t="s">
        <v>500</v>
      </c>
      <c r="G698" s="108" t="s">
        <v>9</v>
      </c>
      <c r="H698" s="126">
        <f>H699</f>
        <v>0</v>
      </c>
      <c r="L698" s="20">
        <v>28714.45</v>
      </c>
      <c r="M698" s="20">
        <v>28714.45</v>
      </c>
      <c r="N698" s="20">
        <v>28714.45</v>
      </c>
      <c r="O698" s="20">
        <f>H698-L698</f>
        <v>-28714.45</v>
      </c>
      <c r="P698" s="20" t="e">
        <f>#REF!-M698</f>
        <v>#REF!</v>
      </c>
      <c r="Q698" s="20" t="e">
        <f>#REF!-N698</f>
        <v>#REF!</v>
      </c>
      <c r="R698" s="17" t="str">
        <f t="shared" si="78"/>
        <v>01 1 07 78110000</v>
      </c>
    </row>
    <row r="699" spans="1:18" s="17" customFormat="1" ht="31.5">
      <c r="A699" s="14"/>
      <c r="B699" s="132" t="s">
        <v>327</v>
      </c>
      <c r="C699" s="109" t="s">
        <v>394</v>
      </c>
      <c r="D699" s="108" t="s">
        <v>317</v>
      </c>
      <c r="E699" s="108" t="s">
        <v>73</v>
      </c>
      <c r="F699" s="108" t="s">
        <v>500</v>
      </c>
      <c r="G699" s="108" t="s">
        <v>328</v>
      </c>
      <c r="H699" s="126">
        <f>H700</f>
        <v>0</v>
      </c>
      <c r="L699" s="20">
        <v>28714.45</v>
      </c>
      <c r="M699" s="20">
        <v>28714.45</v>
      </c>
      <c r="N699" s="20">
        <v>28714.45</v>
      </c>
      <c r="O699" s="20">
        <f>H699-L699</f>
        <v>-28714.45</v>
      </c>
      <c r="P699" s="20" t="e">
        <f>#REF!-M699</f>
        <v>#REF!</v>
      </c>
      <c r="Q699" s="20" t="e">
        <f>#REF!-N699</f>
        <v>#REF!</v>
      </c>
      <c r="R699" s="17" t="str">
        <f t="shared" si="78"/>
        <v>01 1 07 78110320</v>
      </c>
    </row>
    <row r="700" spans="1:18" s="17" customFormat="1" ht="31.5">
      <c r="A700" s="14"/>
      <c r="B700" s="125" t="s">
        <v>501</v>
      </c>
      <c r="C700" s="109" t="s">
        <v>394</v>
      </c>
      <c r="D700" s="108" t="s">
        <v>317</v>
      </c>
      <c r="E700" s="108" t="s">
        <v>73</v>
      </c>
      <c r="F700" s="108" t="s">
        <v>500</v>
      </c>
      <c r="G700" s="108" t="s">
        <v>502</v>
      </c>
      <c r="H700" s="126"/>
      <c r="L700" s="20"/>
      <c r="M700" s="20"/>
      <c r="N700" s="20"/>
      <c r="O700" s="20"/>
      <c r="P700" s="20"/>
      <c r="Q700" s="20"/>
    </row>
    <row r="701" spans="1:18" s="17" customFormat="1" ht="78.75">
      <c r="A701" s="14"/>
      <c r="B701" s="125" t="s">
        <v>503</v>
      </c>
      <c r="C701" s="109" t="s">
        <v>394</v>
      </c>
      <c r="D701" s="108" t="s">
        <v>317</v>
      </c>
      <c r="E701" s="108" t="s">
        <v>73</v>
      </c>
      <c r="F701" s="108" t="s">
        <v>504</v>
      </c>
      <c r="G701" s="108" t="s">
        <v>9</v>
      </c>
      <c r="H701" s="126">
        <f>H702</f>
        <v>0</v>
      </c>
      <c r="L701" s="20">
        <v>1642.42</v>
      </c>
      <c r="M701" s="20">
        <v>1642.42</v>
      </c>
      <c r="N701" s="20">
        <v>1642.42</v>
      </c>
      <c r="O701" s="20">
        <f>H701-L701</f>
        <v>-1642.42</v>
      </c>
      <c r="P701" s="20" t="e">
        <f>#REF!-M701</f>
        <v>#REF!</v>
      </c>
      <c r="Q701" s="20" t="e">
        <f>#REF!-N701</f>
        <v>#REF!</v>
      </c>
      <c r="R701" s="17" t="str">
        <f t="shared" si="78"/>
        <v>01 1 07 78120000</v>
      </c>
    </row>
    <row r="702" spans="1:18" s="17" customFormat="1" ht="31.5">
      <c r="A702" s="14"/>
      <c r="B702" s="132" t="s">
        <v>327</v>
      </c>
      <c r="C702" s="109" t="s">
        <v>394</v>
      </c>
      <c r="D702" s="108" t="s">
        <v>317</v>
      </c>
      <c r="E702" s="108" t="s">
        <v>73</v>
      </c>
      <c r="F702" s="108" t="s">
        <v>504</v>
      </c>
      <c r="G702" s="108" t="s">
        <v>328</v>
      </c>
      <c r="H702" s="126">
        <f>H703</f>
        <v>0</v>
      </c>
      <c r="L702" s="20">
        <v>1642.42</v>
      </c>
      <c r="M702" s="20">
        <v>1642.42</v>
      </c>
      <c r="N702" s="20">
        <v>1642.42</v>
      </c>
      <c r="O702" s="20">
        <f>H702-L702</f>
        <v>-1642.42</v>
      </c>
      <c r="P702" s="20" t="e">
        <f>#REF!-M702</f>
        <v>#REF!</v>
      </c>
      <c r="Q702" s="20" t="e">
        <f>#REF!-N702</f>
        <v>#REF!</v>
      </c>
      <c r="R702" s="17" t="str">
        <f t="shared" si="78"/>
        <v>01 1 07 78120320</v>
      </c>
    </row>
    <row r="703" spans="1:18" s="17" customFormat="1" ht="31.5">
      <c r="A703" s="14"/>
      <c r="B703" s="125" t="s">
        <v>501</v>
      </c>
      <c r="C703" s="109" t="s">
        <v>394</v>
      </c>
      <c r="D703" s="108" t="s">
        <v>317</v>
      </c>
      <c r="E703" s="108" t="s">
        <v>73</v>
      </c>
      <c r="F703" s="108" t="s">
        <v>504</v>
      </c>
      <c r="G703" s="108" t="s">
        <v>502</v>
      </c>
      <c r="H703" s="126"/>
      <c r="L703" s="20"/>
      <c r="M703" s="20"/>
      <c r="N703" s="20"/>
      <c r="O703" s="20"/>
      <c r="P703" s="20"/>
      <c r="Q703" s="20"/>
    </row>
    <row r="704" spans="1:18" s="17" customFormat="1" ht="63">
      <c r="A704" s="14"/>
      <c r="B704" s="125" t="s">
        <v>505</v>
      </c>
      <c r="C704" s="109" t="s">
        <v>394</v>
      </c>
      <c r="D704" s="108" t="s">
        <v>317</v>
      </c>
      <c r="E704" s="108" t="s">
        <v>73</v>
      </c>
      <c r="F704" s="108" t="s">
        <v>506</v>
      </c>
      <c r="G704" s="108" t="s">
        <v>9</v>
      </c>
      <c r="H704" s="126">
        <f>H705</f>
        <v>0</v>
      </c>
      <c r="L704" s="20">
        <v>12987.12</v>
      </c>
      <c r="M704" s="20">
        <v>12987.12</v>
      </c>
      <c r="N704" s="20">
        <v>12987.12</v>
      </c>
      <c r="O704" s="20">
        <f>H704-L704</f>
        <v>-12987.12</v>
      </c>
      <c r="P704" s="20" t="e">
        <f>#REF!-M704</f>
        <v>#REF!</v>
      </c>
      <c r="Q704" s="20" t="e">
        <f>#REF!-N704</f>
        <v>#REF!</v>
      </c>
      <c r="R704" s="17" t="str">
        <f t="shared" si="78"/>
        <v>01 1 07 78130000</v>
      </c>
    </row>
    <row r="705" spans="1:18" s="17" customFormat="1" ht="31.5">
      <c r="A705" s="14"/>
      <c r="B705" s="132" t="s">
        <v>327</v>
      </c>
      <c r="C705" s="109" t="s">
        <v>394</v>
      </c>
      <c r="D705" s="108" t="s">
        <v>317</v>
      </c>
      <c r="E705" s="108" t="s">
        <v>73</v>
      </c>
      <c r="F705" s="108" t="s">
        <v>506</v>
      </c>
      <c r="G705" s="108" t="s">
        <v>328</v>
      </c>
      <c r="H705" s="126">
        <f>H706</f>
        <v>0</v>
      </c>
      <c r="L705" s="20">
        <v>12987.12</v>
      </c>
      <c r="M705" s="20">
        <v>12987.12</v>
      </c>
      <c r="N705" s="20">
        <v>12987.12</v>
      </c>
      <c r="O705" s="20">
        <f>H705-L705</f>
        <v>-12987.12</v>
      </c>
      <c r="P705" s="20" t="e">
        <f>#REF!-M705</f>
        <v>#REF!</v>
      </c>
      <c r="Q705" s="20" t="e">
        <f>#REF!-N705</f>
        <v>#REF!</v>
      </c>
      <c r="R705" s="17" t="str">
        <f t="shared" si="78"/>
        <v>01 1 07 78130320</v>
      </c>
    </row>
    <row r="706" spans="1:18" s="17" customFormat="1" ht="31.5">
      <c r="A706" s="14"/>
      <c r="B706" s="125" t="s">
        <v>501</v>
      </c>
      <c r="C706" s="109" t="s">
        <v>394</v>
      </c>
      <c r="D706" s="108" t="s">
        <v>317</v>
      </c>
      <c r="E706" s="108" t="s">
        <v>73</v>
      </c>
      <c r="F706" s="108" t="s">
        <v>506</v>
      </c>
      <c r="G706" s="108" t="s">
        <v>502</v>
      </c>
      <c r="H706" s="126"/>
      <c r="L706" s="20"/>
      <c r="M706" s="20"/>
      <c r="N706" s="20"/>
      <c r="O706" s="20"/>
      <c r="P706" s="20"/>
      <c r="Q706" s="20"/>
    </row>
    <row r="707" spans="1:18" s="17" customFormat="1" ht="31.5">
      <c r="A707" s="14"/>
      <c r="B707" s="125" t="s">
        <v>507</v>
      </c>
      <c r="C707" s="109" t="s">
        <v>394</v>
      </c>
      <c r="D707" s="108" t="s">
        <v>317</v>
      </c>
      <c r="E707" s="108" t="s">
        <v>73</v>
      </c>
      <c r="F707" s="108" t="s">
        <v>508</v>
      </c>
      <c r="G707" s="108" t="s">
        <v>9</v>
      </c>
      <c r="H707" s="126">
        <f>H708</f>
        <v>0</v>
      </c>
      <c r="L707" s="20">
        <v>3277.5</v>
      </c>
      <c r="M707" s="20">
        <v>3277.5</v>
      </c>
      <c r="N707" s="20">
        <v>3277.5</v>
      </c>
      <c r="O707" s="20">
        <f>H707-L707</f>
        <v>-3277.5</v>
      </c>
      <c r="P707" s="20" t="e">
        <f>#REF!-M707</f>
        <v>#REF!</v>
      </c>
      <c r="Q707" s="20" t="e">
        <f>#REF!-N707</f>
        <v>#REF!</v>
      </c>
      <c r="R707" s="17" t="str">
        <f t="shared" si="78"/>
        <v>01 1 07 78140000</v>
      </c>
    </row>
    <row r="708" spans="1:18" s="17" customFormat="1" ht="31.5">
      <c r="A708" s="14"/>
      <c r="B708" s="132" t="s">
        <v>327</v>
      </c>
      <c r="C708" s="109" t="s">
        <v>394</v>
      </c>
      <c r="D708" s="108" t="s">
        <v>317</v>
      </c>
      <c r="E708" s="108" t="s">
        <v>73</v>
      </c>
      <c r="F708" s="108" t="s">
        <v>508</v>
      </c>
      <c r="G708" s="108" t="s">
        <v>328</v>
      </c>
      <c r="H708" s="126">
        <f>H709</f>
        <v>0</v>
      </c>
      <c r="L708" s="20">
        <v>3277.5</v>
      </c>
      <c r="M708" s="20">
        <v>3277.5</v>
      </c>
      <c r="N708" s="20">
        <v>3277.5</v>
      </c>
      <c r="O708" s="20">
        <f>H708-L708</f>
        <v>-3277.5</v>
      </c>
      <c r="P708" s="20" t="e">
        <f>#REF!-M708</f>
        <v>#REF!</v>
      </c>
      <c r="Q708" s="20" t="e">
        <f>#REF!-N708</f>
        <v>#REF!</v>
      </c>
      <c r="R708" s="17" t="str">
        <f t="shared" si="78"/>
        <v>01 1 07 78140320</v>
      </c>
    </row>
    <row r="709" spans="1:18" s="24" customFormat="1" ht="31.5">
      <c r="A709" s="21"/>
      <c r="B709" s="125" t="s">
        <v>501</v>
      </c>
      <c r="C709" s="109" t="s">
        <v>394</v>
      </c>
      <c r="D709" s="108" t="s">
        <v>317</v>
      </c>
      <c r="E709" s="108" t="s">
        <v>73</v>
      </c>
      <c r="F709" s="108" t="s">
        <v>508</v>
      </c>
      <c r="G709" s="108" t="s">
        <v>502</v>
      </c>
      <c r="H709" s="126"/>
      <c r="L709" s="22"/>
      <c r="M709" s="22"/>
      <c r="N709" s="22"/>
      <c r="O709" s="22"/>
      <c r="P709" s="22"/>
      <c r="Q709" s="22"/>
    </row>
    <row r="710" spans="1:18" s="17" customFormat="1" ht="15.75">
      <c r="A710" s="14"/>
      <c r="B710" s="132"/>
      <c r="C710" s="109"/>
      <c r="D710" s="108"/>
      <c r="E710" s="108"/>
      <c r="F710" s="108"/>
      <c r="G710" s="108"/>
      <c r="H710" s="126"/>
      <c r="L710" s="20"/>
      <c r="M710" s="20"/>
      <c r="N710" s="20"/>
      <c r="O710" s="20">
        <f t="shared" ref="O710:O717" si="81">H710-L710</f>
        <v>0</v>
      </c>
      <c r="P710" s="20" t="e">
        <f>#REF!-M710</f>
        <v>#REF!</v>
      </c>
      <c r="Q710" s="20" t="e">
        <f>#REF!-N710</f>
        <v>#REF!</v>
      </c>
      <c r="R710" s="17" t="str">
        <f t="shared" si="78"/>
        <v/>
      </c>
    </row>
    <row r="711" spans="1:18" s="16" customFormat="1" ht="31.5">
      <c r="A711" s="14"/>
      <c r="B711" s="67" t="s">
        <v>509</v>
      </c>
      <c r="C711" s="116" t="s">
        <v>510</v>
      </c>
      <c r="D711" s="69" t="s">
        <v>7</v>
      </c>
      <c r="E711" s="69" t="s">
        <v>7</v>
      </c>
      <c r="F711" s="69" t="s">
        <v>8</v>
      </c>
      <c r="G711" s="69" t="s">
        <v>9</v>
      </c>
      <c r="H711" s="70">
        <f>H712+H724+H822</f>
        <v>0</v>
      </c>
      <c r="L711" s="25">
        <v>347859.82999999996</v>
      </c>
      <c r="M711" s="25">
        <v>338559.18</v>
      </c>
      <c r="N711" s="25">
        <v>338559.18</v>
      </c>
      <c r="O711" s="25">
        <f t="shared" si="81"/>
        <v>-347859.82999999996</v>
      </c>
      <c r="P711" s="25" t="e">
        <f>#REF!-M711</f>
        <v>#REF!</v>
      </c>
      <c r="Q711" s="25" t="e">
        <f>#REF!-N711</f>
        <v>#REF!</v>
      </c>
      <c r="R711" s="17" t="str">
        <f t="shared" si="78"/>
        <v>00 0 00 00000000</v>
      </c>
    </row>
    <row r="712" spans="1:18" s="16" customFormat="1" ht="15.75">
      <c r="A712" s="14"/>
      <c r="B712" s="117" t="s">
        <v>10</v>
      </c>
      <c r="C712" s="118" t="s">
        <v>510</v>
      </c>
      <c r="D712" s="119" t="s">
        <v>11</v>
      </c>
      <c r="E712" s="119" t="s">
        <v>7</v>
      </c>
      <c r="F712" s="119" t="s">
        <v>8</v>
      </c>
      <c r="G712" s="119" t="s">
        <v>9</v>
      </c>
      <c r="H712" s="120">
        <f t="shared" ref="H712:H715" si="82">H713</f>
        <v>0</v>
      </c>
      <c r="L712" s="18">
        <v>1386.7</v>
      </c>
      <c r="M712" s="18">
        <v>1386.7</v>
      </c>
      <c r="N712" s="18">
        <v>1386.7</v>
      </c>
      <c r="O712" s="18">
        <f t="shared" si="81"/>
        <v>-1386.7</v>
      </c>
      <c r="P712" s="18" t="e">
        <f>#REF!-M712</f>
        <v>#REF!</v>
      </c>
      <c r="Q712" s="18" t="e">
        <f>#REF!-N712</f>
        <v>#REF!</v>
      </c>
      <c r="R712" s="17" t="str">
        <f t="shared" si="78"/>
        <v>00 0 00 00000000</v>
      </c>
    </row>
    <row r="713" spans="1:18" s="16" customFormat="1" ht="15.75">
      <c r="A713" s="14"/>
      <c r="B713" s="121" t="s">
        <v>50</v>
      </c>
      <c r="C713" s="122" t="s">
        <v>510</v>
      </c>
      <c r="D713" s="123" t="s">
        <v>11</v>
      </c>
      <c r="E713" s="123" t="s">
        <v>51</v>
      </c>
      <c r="F713" s="123" t="s">
        <v>8</v>
      </c>
      <c r="G713" s="123" t="s">
        <v>9</v>
      </c>
      <c r="H713" s="124">
        <f t="shared" si="82"/>
        <v>0</v>
      </c>
      <c r="L713" s="19">
        <v>1386.7</v>
      </c>
      <c r="M713" s="19">
        <v>1386.7</v>
      </c>
      <c r="N713" s="19">
        <v>1386.7</v>
      </c>
      <c r="O713" s="19">
        <f t="shared" si="81"/>
        <v>-1386.7</v>
      </c>
      <c r="P713" s="19" t="e">
        <f>#REF!-M713</f>
        <v>#REF!</v>
      </c>
      <c r="Q713" s="19" t="e">
        <f>#REF!-N713</f>
        <v>#REF!</v>
      </c>
      <c r="R713" s="17" t="str">
        <f t="shared" si="78"/>
        <v>00 0 00 00000000</v>
      </c>
    </row>
    <row r="714" spans="1:18" s="16" customFormat="1" ht="63">
      <c r="A714" s="14"/>
      <c r="B714" s="125" t="s">
        <v>87</v>
      </c>
      <c r="C714" s="109" t="s">
        <v>510</v>
      </c>
      <c r="D714" s="108" t="s">
        <v>11</v>
      </c>
      <c r="E714" s="108" t="s">
        <v>51</v>
      </c>
      <c r="F714" s="108" t="s">
        <v>88</v>
      </c>
      <c r="G714" s="108" t="s">
        <v>9</v>
      </c>
      <c r="H714" s="126">
        <f t="shared" si="82"/>
        <v>0</v>
      </c>
      <c r="L714" s="20">
        <v>1386.7</v>
      </c>
      <c r="M714" s="20">
        <v>1386.7</v>
      </c>
      <c r="N714" s="20">
        <v>1386.7</v>
      </c>
      <c r="O714" s="20">
        <f t="shared" si="81"/>
        <v>-1386.7</v>
      </c>
      <c r="P714" s="20" t="e">
        <f>#REF!-M714</f>
        <v>#REF!</v>
      </c>
      <c r="Q714" s="20" t="e">
        <f>#REF!-N714</f>
        <v>#REF!</v>
      </c>
      <c r="R714" s="17" t="str">
        <f t="shared" si="78"/>
        <v>98 0 00 00000000</v>
      </c>
    </row>
    <row r="715" spans="1:18" s="16" customFormat="1" ht="15.75">
      <c r="A715" s="14"/>
      <c r="B715" s="125" t="s">
        <v>89</v>
      </c>
      <c r="C715" s="109" t="s">
        <v>510</v>
      </c>
      <c r="D715" s="108" t="s">
        <v>11</v>
      </c>
      <c r="E715" s="108" t="s">
        <v>51</v>
      </c>
      <c r="F715" s="108" t="s">
        <v>90</v>
      </c>
      <c r="G715" s="108" t="s">
        <v>9</v>
      </c>
      <c r="H715" s="126">
        <f t="shared" si="82"/>
        <v>0</v>
      </c>
      <c r="L715" s="20">
        <v>1386.7</v>
      </c>
      <c r="M715" s="20">
        <v>1386.7</v>
      </c>
      <c r="N715" s="20">
        <v>1386.7</v>
      </c>
      <c r="O715" s="20">
        <f t="shared" si="81"/>
        <v>-1386.7</v>
      </c>
      <c r="P715" s="20" t="e">
        <f>#REF!-M715</f>
        <v>#REF!</v>
      </c>
      <c r="Q715" s="20" t="e">
        <f>#REF!-N715</f>
        <v>#REF!</v>
      </c>
      <c r="R715" s="17" t="str">
        <f t="shared" si="78"/>
        <v>98 1 00 00000000</v>
      </c>
    </row>
    <row r="716" spans="1:18" s="16" customFormat="1" ht="31.5">
      <c r="A716" s="14"/>
      <c r="B716" s="125" t="s">
        <v>511</v>
      </c>
      <c r="C716" s="109" t="s">
        <v>510</v>
      </c>
      <c r="D716" s="108" t="s">
        <v>11</v>
      </c>
      <c r="E716" s="108" t="s">
        <v>51</v>
      </c>
      <c r="F716" s="108" t="s">
        <v>512</v>
      </c>
      <c r="G716" s="108" t="s">
        <v>9</v>
      </c>
      <c r="H716" s="126">
        <f>H717+H719+H720+H722</f>
        <v>0</v>
      </c>
      <c r="L716" s="20">
        <v>1386.7</v>
      </c>
      <c r="M716" s="20">
        <v>1386.7</v>
      </c>
      <c r="N716" s="20">
        <v>1386.7</v>
      </c>
      <c r="O716" s="20">
        <f t="shared" si="81"/>
        <v>-1386.7</v>
      </c>
      <c r="P716" s="20" t="e">
        <f>#REF!-M716</f>
        <v>#REF!</v>
      </c>
      <c r="Q716" s="20" t="e">
        <f>#REF!-N716</f>
        <v>#REF!</v>
      </c>
      <c r="R716" s="17" t="str">
        <f t="shared" si="78"/>
        <v>98 1 00 20110000</v>
      </c>
    </row>
    <row r="717" spans="1:18" s="16" customFormat="1" ht="31.5">
      <c r="A717" s="14"/>
      <c r="B717" s="125" t="s">
        <v>28</v>
      </c>
      <c r="C717" s="109" t="s">
        <v>510</v>
      </c>
      <c r="D717" s="108" t="s">
        <v>11</v>
      </c>
      <c r="E717" s="108" t="s">
        <v>51</v>
      </c>
      <c r="F717" s="108" t="s">
        <v>512</v>
      </c>
      <c r="G717" s="108" t="s">
        <v>29</v>
      </c>
      <c r="H717" s="126">
        <f>H718</f>
        <v>0</v>
      </c>
      <c r="L717" s="20">
        <v>1058.3</v>
      </c>
      <c r="M717" s="20">
        <v>1058.3</v>
      </c>
      <c r="N717" s="20">
        <v>1058.3</v>
      </c>
      <c r="O717" s="20">
        <f t="shared" si="81"/>
        <v>-1058.3</v>
      </c>
      <c r="P717" s="20" t="e">
        <f>#REF!-M717</f>
        <v>#REF!</v>
      </c>
      <c r="Q717" s="20" t="e">
        <f>#REF!-N717</f>
        <v>#REF!</v>
      </c>
      <c r="R717" s="17" t="str">
        <f t="shared" si="78"/>
        <v>98 1 00 20110240</v>
      </c>
    </row>
    <row r="718" spans="1:18" s="16" customFormat="1" ht="15.75">
      <c r="A718" s="14"/>
      <c r="B718" s="125" t="s">
        <v>30</v>
      </c>
      <c r="C718" s="109" t="s">
        <v>510</v>
      </c>
      <c r="D718" s="108" t="s">
        <v>11</v>
      </c>
      <c r="E718" s="108" t="s">
        <v>51</v>
      </c>
      <c r="F718" s="108" t="s">
        <v>512</v>
      </c>
      <c r="G718" s="108" t="s">
        <v>31</v>
      </c>
      <c r="H718" s="126"/>
      <c r="L718" s="20"/>
      <c r="M718" s="20"/>
      <c r="N718" s="20"/>
      <c r="O718" s="20"/>
      <c r="P718" s="20"/>
      <c r="Q718" s="20"/>
      <c r="R718" s="17" t="str">
        <f t="shared" si="78"/>
        <v>98 1 00 20110244</v>
      </c>
    </row>
    <row r="719" spans="1:18" s="16" customFormat="1" ht="15.75">
      <c r="A719" s="14"/>
      <c r="B719" s="125" t="s">
        <v>513</v>
      </c>
      <c r="C719" s="109" t="s">
        <v>510</v>
      </c>
      <c r="D719" s="108" t="s">
        <v>11</v>
      </c>
      <c r="E719" s="108" t="s">
        <v>51</v>
      </c>
      <c r="F719" s="108" t="s">
        <v>512</v>
      </c>
      <c r="G719" s="108" t="s">
        <v>514</v>
      </c>
      <c r="H719" s="126"/>
      <c r="L719" s="20">
        <v>26.4</v>
      </c>
      <c r="M719" s="20">
        <v>26.4</v>
      </c>
      <c r="N719" s="20">
        <v>26.4</v>
      </c>
      <c r="O719" s="20">
        <f>H719-L719</f>
        <v>-26.4</v>
      </c>
      <c r="P719" s="20" t="e">
        <f>#REF!-M719</f>
        <v>#REF!</v>
      </c>
      <c r="Q719" s="20" t="e">
        <f>#REF!-N719</f>
        <v>#REF!</v>
      </c>
      <c r="R719" s="17" t="str">
        <f t="shared" si="78"/>
        <v>98 1 00 20110360</v>
      </c>
    </row>
    <row r="720" spans="1:18" s="16" customFormat="1" ht="15.75">
      <c r="A720" s="14"/>
      <c r="B720" s="125" t="s">
        <v>32</v>
      </c>
      <c r="C720" s="109" t="s">
        <v>510</v>
      </c>
      <c r="D720" s="108" t="s">
        <v>11</v>
      </c>
      <c r="E720" s="108" t="s">
        <v>51</v>
      </c>
      <c r="F720" s="108" t="s">
        <v>512</v>
      </c>
      <c r="G720" s="108" t="s">
        <v>33</v>
      </c>
      <c r="H720" s="126">
        <f>H721</f>
        <v>0</v>
      </c>
      <c r="L720" s="20">
        <v>42</v>
      </c>
      <c r="M720" s="20">
        <v>42</v>
      </c>
      <c r="N720" s="20">
        <v>42</v>
      </c>
      <c r="O720" s="20">
        <f>H720-L720</f>
        <v>-42</v>
      </c>
      <c r="P720" s="20" t="e">
        <f>#REF!-M720</f>
        <v>#REF!</v>
      </c>
      <c r="Q720" s="20" t="e">
        <f>#REF!-N720</f>
        <v>#REF!</v>
      </c>
      <c r="R720" s="17" t="str">
        <f t="shared" si="78"/>
        <v>98 1 00 20110850</v>
      </c>
    </row>
    <row r="721" spans="1:18" s="23" customFormat="1" ht="15.75">
      <c r="A721" s="21"/>
      <c r="B721" s="127" t="s">
        <v>77</v>
      </c>
      <c r="C721" s="109" t="s">
        <v>510</v>
      </c>
      <c r="D721" s="108" t="s">
        <v>11</v>
      </c>
      <c r="E721" s="108" t="s">
        <v>51</v>
      </c>
      <c r="F721" s="108" t="s">
        <v>512</v>
      </c>
      <c r="G721" s="108" t="s">
        <v>78</v>
      </c>
      <c r="H721" s="126"/>
      <c r="L721" s="22"/>
      <c r="M721" s="22"/>
      <c r="N721" s="22"/>
      <c r="O721" s="22"/>
      <c r="P721" s="22"/>
      <c r="Q721" s="22"/>
      <c r="R721" s="24"/>
    </row>
    <row r="722" spans="1:18" s="16" customFormat="1" ht="31.5">
      <c r="A722" s="14"/>
      <c r="B722" s="125" t="s">
        <v>515</v>
      </c>
      <c r="C722" s="109" t="s">
        <v>510</v>
      </c>
      <c r="D722" s="108" t="s">
        <v>11</v>
      </c>
      <c r="E722" s="108" t="s">
        <v>51</v>
      </c>
      <c r="F722" s="108" t="s">
        <v>512</v>
      </c>
      <c r="G722" s="108" t="s">
        <v>516</v>
      </c>
      <c r="H722" s="126">
        <f>H723</f>
        <v>0</v>
      </c>
      <c r="L722" s="20">
        <v>260</v>
      </c>
      <c r="M722" s="20">
        <v>260</v>
      </c>
      <c r="N722" s="20">
        <v>260</v>
      </c>
      <c r="O722" s="20">
        <f>H722-L722</f>
        <v>-260</v>
      </c>
      <c r="P722" s="20" t="e">
        <f>#REF!-M722</f>
        <v>#REF!</v>
      </c>
      <c r="Q722" s="20" t="e">
        <f>#REF!-N722</f>
        <v>#REF!</v>
      </c>
      <c r="R722" s="17" t="str">
        <f t="shared" si="78"/>
        <v>98 1 00 20110860</v>
      </c>
    </row>
    <row r="723" spans="1:18" s="16" customFormat="1" ht="15.75">
      <c r="A723" s="14"/>
      <c r="B723" s="127" t="s">
        <v>517</v>
      </c>
      <c r="C723" s="109" t="s">
        <v>510</v>
      </c>
      <c r="D723" s="108" t="s">
        <v>11</v>
      </c>
      <c r="E723" s="108" t="s">
        <v>51</v>
      </c>
      <c r="F723" s="108" t="s">
        <v>512</v>
      </c>
      <c r="G723" s="108" t="s">
        <v>518</v>
      </c>
      <c r="H723" s="126"/>
      <c r="L723" s="20"/>
      <c r="M723" s="20"/>
      <c r="N723" s="20"/>
      <c r="O723" s="20"/>
      <c r="P723" s="20"/>
      <c r="Q723" s="20"/>
      <c r="R723" s="17"/>
    </row>
    <row r="724" spans="1:18" s="16" customFormat="1" ht="15.75">
      <c r="A724" s="14"/>
      <c r="B724" s="117" t="s">
        <v>228</v>
      </c>
      <c r="C724" s="118" t="s">
        <v>510</v>
      </c>
      <c r="D724" s="119" t="s">
        <v>229</v>
      </c>
      <c r="E724" s="119" t="s">
        <v>7</v>
      </c>
      <c r="F724" s="119" t="s">
        <v>8</v>
      </c>
      <c r="G724" s="119" t="s">
        <v>9</v>
      </c>
      <c r="H724" s="120">
        <f>H725+H776</f>
        <v>0</v>
      </c>
      <c r="L724" s="18">
        <v>151254.91</v>
      </c>
      <c r="M724" s="18">
        <v>141348.04999999999</v>
      </c>
      <c r="N724" s="18">
        <v>140686.62</v>
      </c>
      <c r="O724" s="18">
        <f t="shared" ref="O724:O730" si="83">H724-L724</f>
        <v>-151254.91</v>
      </c>
      <c r="P724" s="18" t="e">
        <f>#REF!-M724</f>
        <v>#REF!</v>
      </c>
      <c r="Q724" s="18" t="e">
        <f>#REF!-N724</f>
        <v>#REF!</v>
      </c>
      <c r="R724" s="17" t="str">
        <f t="shared" si="78"/>
        <v>00 0 00 00000000</v>
      </c>
    </row>
    <row r="725" spans="1:18" s="16" customFormat="1" ht="15.75">
      <c r="A725" s="14"/>
      <c r="B725" s="121" t="s">
        <v>458</v>
      </c>
      <c r="C725" s="122" t="s">
        <v>510</v>
      </c>
      <c r="D725" s="123" t="s">
        <v>229</v>
      </c>
      <c r="E725" s="123" t="s">
        <v>13</v>
      </c>
      <c r="F725" s="123" t="s">
        <v>8</v>
      </c>
      <c r="G725" s="123" t="s">
        <v>9</v>
      </c>
      <c r="H725" s="124">
        <f>H726+H755+H763+H769</f>
        <v>0</v>
      </c>
      <c r="L725" s="19">
        <v>141211.71</v>
      </c>
      <c r="M725" s="19">
        <v>131694.84999999998</v>
      </c>
      <c r="N725" s="19">
        <v>131033.42</v>
      </c>
      <c r="O725" s="19">
        <f t="shared" si="83"/>
        <v>-141211.71</v>
      </c>
      <c r="P725" s="19" t="e">
        <f>#REF!-M725</f>
        <v>#REF!</v>
      </c>
      <c r="Q725" s="19" t="e">
        <f>#REF!-N725</f>
        <v>#REF!</v>
      </c>
      <c r="R725" s="17" t="str">
        <f t="shared" si="78"/>
        <v>00 0 00 00000000</v>
      </c>
    </row>
    <row r="726" spans="1:18" s="16" customFormat="1" ht="31.5">
      <c r="A726" s="14"/>
      <c r="B726" s="125" t="s">
        <v>240</v>
      </c>
      <c r="C726" s="109" t="s">
        <v>510</v>
      </c>
      <c r="D726" s="108" t="s">
        <v>229</v>
      </c>
      <c r="E726" s="108" t="s">
        <v>13</v>
      </c>
      <c r="F726" s="108" t="s">
        <v>241</v>
      </c>
      <c r="G726" s="108" t="s">
        <v>9</v>
      </c>
      <c r="H726" s="126">
        <f>H727+H734</f>
        <v>0</v>
      </c>
      <c r="L726" s="20">
        <v>140126.66</v>
      </c>
      <c r="M726" s="20">
        <v>130609.79999999999</v>
      </c>
      <c r="N726" s="20">
        <v>129948.37</v>
      </c>
      <c r="O726" s="20">
        <f t="shared" si="83"/>
        <v>-140126.66</v>
      </c>
      <c r="P726" s="20" t="e">
        <f>#REF!-M726</f>
        <v>#REF!</v>
      </c>
      <c r="Q726" s="20" t="e">
        <f>#REF!-N726</f>
        <v>#REF!</v>
      </c>
      <c r="R726" s="17" t="str">
        <f t="shared" si="78"/>
        <v>07 0 00 00000000</v>
      </c>
    </row>
    <row r="727" spans="1:18" s="16" customFormat="1" ht="78.75">
      <c r="A727" s="14"/>
      <c r="B727" s="125" t="s">
        <v>242</v>
      </c>
      <c r="C727" s="109" t="s">
        <v>510</v>
      </c>
      <c r="D727" s="108" t="s">
        <v>229</v>
      </c>
      <c r="E727" s="108" t="s">
        <v>13</v>
      </c>
      <c r="F727" s="108" t="s">
        <v>243</v>
      </c>
      <c r="G727" s="108" t="s">
        <v>9</v>
      </c>
      <c r="H727" s="126">
        <f t="shared" ref="H727:H728" si="84">H728</f>
        <v>0</v>
      </c>
      <c r="L727" s="20">
        <v>361.5</v>
      </c>
      <c r="M727" s="20">
        <v>361.5</v>
      </c>
      <c r="N727" s="20">
        <v>361.5</v>
      </c>
      <c r="O727" s="20">
        <f t="shared" si="83"/>
        <v>-361.5</v>
      </c>
      <c r="P727" s="20" t="e">
        <f>#REF!-M727</f>
        <v>#REF!</v>
      </c>
      <c r="Q727" s="20" t="e">
        <f>#REF!-N727</f>
        <v>#REF!</v>
      </c>
      <c r="R727" s="17" t="str">
        <f t="shared" si="78"/>
        <v>07 1 00 00000000</v>
      </c>
    </row>
    <row r="728" spans="1:18" s="16" customFormat="1" ht="110.25">
      <c r="A728" s="14"/>
      <c r="B728" s="125" t="s">
        <v>244</v>
      </c>
      <c r="C728" s="109" t="s">
        <v>510</v>
      </c>
      <c r="D728" s="108" t="s">
        <v>229</v>
      </c>
      <c r="E728" s="108" t="s">
        <v>13</v>
      </c>
      <c r="F728" s="108" t="s">
        <v>245</v>
      </c>
      <c r="G728" s="108" t="s">
        <v>9</v>
      </c>
      <c r="H728" s="126">
        <f t="shared" si="84"/>
        <v>0</v>
      </c>
      <c r="L728" s="20">
        <v>361.5</v>
      </c>
      <c r="M728" s="20">
        <v>361.5</v>
      </c>
      <c r="N728" s="20">
        <v>361.5</v>
      </c>
      <c r="O728" s="20">
        <f t="shared" si="83"/>
        <v>-361.5</v>
      </c>
      <c r="P728" s="20" t="e">
        <f>#REF!-M728</f>
        <v>#REF!</v>
      </c>
      <c r="Q728" s="20" t="e">
        <f>#REF!-N728</f>
        <v>#REF!</v>
      </c>
      <c r="R728" s="17" t="str">
        <f t="shared" si="78"/>
        <v>07 1 01 00000000</v>
      </c>
    </row>
    <row r="729" spans="1:18" s="16" customFormat="1" ht="31.5">
      <c r="A729" s="14"/>
      <c r="B729" s="125" t="s">
        <v>246</v>
      </c>
      <c r="C729" s="109" t="s">
        <v>510</v>
      </c>
      <c r="D729" s="108" t="s">
        <v>229</v>
      </c>
      <c r="E729" s="108" t="s">
        <v>13</v>
      </c>
      <c r="F729" s="108" t="s">
        <v>247</v>
      </c>
      <c r="G729" s="108" t="s">
        <v>9</v>
      </c>
      <c r="H729" s="126">
        <f>H730+H732</f>
        <v>0</v>
      </c>
      <c r="L729" s="20">
        <v>361.5</v>
      </c>
      <c r="M729" s="20">
        <v>361.5</v>
      </c>
      <c r="N729" s="20">
        <v>361.5</v>
      </c>
      <c r="O729" s="20">
        <f t="shared" si="83"/>
        <v>-361.5</v>
      </c>
      <c r="P729" s="20" t="e">
        <f>#REF!-M729</f>
        <v>#REF!</v>
      </c>
      <c r="Q729" s="20" t="e">
        <f>#REF!-N729</f>
        <v>#REF!</v>
      </c>
      <c r="R729" s="17" t="str">
        <f t="shared" si="78"/>
        <v>07 1 01 20060000</v>
      </c>
    </row>
    <row r="730" spans="1:18" s="16" customFormat="1" ht="15.75">
      <c r="A730" s="14"/>
      <c r="B730" s="132" t="s">
        <v>403</v>
      </c>
      <c r="C730" s="109" t="s">
        <v>510</v>
      </c>
      <c r="D730" s="108" t="s">
        <v>229</v>
      </c>
      <c r="E730" s="108" t="s">
        <v>13</v>
      </c>
      <c r="F730" s="108" t="s">
        <v>247</v>
      </c>
      <c r="G730" s="108" t="s">
        <v>404</v>
      </c>
      <c r="H730" s="126">
        <f>H731</f>
        <v>0</v>
      </c>
      <c r="L730" s="20">
        <v>296.5</v>
      </c>
      <c r="M730" s="20">
        <v>296.5</v>
      </c>
      <c r="N730" s="20">
        <v>296.5</v>
      </c>
      <c r="O730" s="20">
        <f t="shared" si="83"/>
        <v>-296.5</v>
      </c>
      <c r="P730" s="20" t="e">
        <f>#REF!-M730</f>
        <v>#REF!</v>
      </c>
      <c r="Q730" s="20" t="e">
        <f>#REF!-N730</f>
        <v>#REF!</v>
      </c>
      <c r="R730" s="17" t="str">
        <f t="shared" si="78"/>
        <v>07 1 01 20060610</v>
      </c>
    </row>
    <row r="731" spans="1:18" s="23" customFormat="1" ht="63">
      <c r="A731" s="21"/>
      <c r="B731" s="127" t="s">
        <v>405</v>
      </c>
      <c r="C731" s="109" t="s">
        <v>510</v>
      </c>
      <c r="D731" s="108" t="s">
        <v>229</v>
      </c>
      <c r="E731" s="108" t="s">
        <v>13</v>
      </c>
      <c r="F731" s="108" t="s">
        <v>247</v>
      </c>
      <c r="G731" s="108" t="s">
        <v>406</v>
      </c>
      <c r="H731" s="126"/>
      <c r="L731" s="22"/>
      <c r="M731" s="22"/>
      <c r="N731" s="22"/>
      <c r="O731" s="22"/>
      <c r="P731" s="22"/>
      <c r="Q731" s="22"/>
      <c r="R731" s="24"/>
    </row>
    <row r="732" spans="1:18" s="16" customFormat="1" ht="15.75">
      <c r="A732" s="14"/>
      <c r="B732" s="140" t="s">
        <v>409</v>
      </c>
      <c r="C732" s="109" t="s">
        <v>510</v>
      </c>
      <c r="D732" s="108" t="s">
        <v>229</v>
      </c>
      <c r="E732" s="108" t="s">
        <v>13</v>
      </c>
      <c r="F732" s="108" t="s">
        <v>247</v>
      </c>
      <c r="G732" s="108" t="s">
        <v>410</v>
      </c>
      <c r="H732" s="126">
        <f>H733</f>
        <v>0</v>
      </c>
      <c r="L732" s="20">
        <v>65</v>
      </c>
      <c r="M732" s="20">
        <v>65</v>
      </c>
      <c r="N732" s="20">
        <v>65</v>
      </c>
      <c r="O732" s="20">
        <f>H732-L732</f>
        <v>-65</v>
      </c>
      <c r="P732" s="20" t="e">
        <f>#REF!-M732</f>
        <v>#REF!</v>
      </c>
      <c r="Q732" s="20" t="e">
        <f>#REF!-N732</f>
        <v>#REF!</v>
      </c>
      <c r="R732" s="17" t="str">
        <f t="shared" si="78"/>
        <v>07 1 01 20060620</v>
      </c>
    </row>
    <row r="733" spans="1:18" s="23" customFormat="1" ht="63">
      <c r="A733" s="21"/>
      <c r="B733" s="127" t="s">
        <v>411</v>
      </c>
      <c r="C733" s="109" t="s">
        <v>510</v>
      </c>
      <c r="D733" s="108" t="s">
        <v>229</v>
      </c>
      <c r="E733" s="108" t="s">
        <v>13</v>
      </c>
      <c r="F733" s="108" t="s">
        <v>247</v>
      </c>
      <c r="G733" s="108" t="s">
        <v>412</v>
      </c>
      <c r="H733" s="126"/>
      <c r="L733" s="22"/>
      <c r="M733" s="22"/>
      <c r="N733" s="22"/>
      <c r="O733" s="22"/>
      <c r="P733" s="22"/>
      <c r="Q733" s="22"/>
      <c r="R733" s="24"/>
    </row>
    <row r="734" spans="1:18" s="16" customFormat="1" ht="15.75">
      <c r="A734" s="14"/>
      <c r="B734" s="125" t="s">
        <v>519</v>
      </c>
      <c r="C734" s="109" t="s">
        <v>510</v>
      </c>
      <c r="D734" s="108" t="s">
        <v>229</v>
      </c>
      <c r="E734" s="108" t="s">
        <v>13</v>
      </c>
      <c r="F734" s="108" t="s">
        <v>520</v>
      </c>
      <c r="G734" s="108" t="s">
        <v>9</v>
      </c>
      <c r="H734" s="126">
        <f>H735+H741+H745+H751</f>
        <v>0</v>
      </c>
      <c r="L734" s="20">
        <v>139765.16</v>
      </c>
      <c r="M734" s="20">
        <v>130248.29999999999</v>
      </c>
      <c r="N734" s="20">
        <v>129586.87</v>
      </c>
      <c r="O734" s="20">
        <f>H734-L734</f>
        <v>-139765.16</v>
      </c>
      <c r="P734" s="20" t="e">
        <f>#REF!-M734</f>
        <v>#REF!</v>
      </c>
      <c r="Q734" s="20" t="e">
        <f>#REF!-N734</f>
        <v>#REF!</v>
      </c>
      <c r="R734" s="17" t="str">
        <f t="shared" si="78"/>
        <v>07 2 00 00000000</v>
      </c>
    </row>
    <row r="735" spans="1:18" s="16" customFormat="1" ht="63">
      <c r="A735" s="14"/>
      <c r="B735" s="125" t="s">
        <v>521</v>
      </c>
      <c r="C735" s="109" t="s">
        <v>510</v>
      </c>
      <c r="D735" s="108" t="s">
        <v>229</v>
      </c>
      <c r="E735" s="108" t="s">
        <v>13</v>
      </c>
      <c r="F735" s="108" t="s">
        <v>522</v>
      </c>
      <c r="G735" s="108" t="s">
        <v>9</v>
      </c>
      <c r="H735" s="126">
        <f>H736</f>
        <v>0</v>
      </c>
      <c r="L735" s="20">
        <v>137429.12</v>
      </c>
      <c r="M735" s="20">
        <v>129218.47</v>
      </c>
      <c r="N735" s="20">
        <v>129218.47</v>
      </c>
      <c r="O735" s="20">
        <f>H735-L735</f>
        <v>-137429.12</v>
      </c>
      <c r="P735" s="20" t="e">
        <f>#REF!-M735</f>
        <v>#REF!</v>
      </c>
      <c r="Q735" s="20" t="e">
        <f>#REF!-N735</f>
        <v>#REF!</v>
      </c>
      <c r="R735" s="17" t="str">
        <f t="shared" si="78"/>
        <v>07 2 01 00000000</v>
      </c>
    </row>
    <row r="736" spans="1:18" s="16" customFormat="1" ht="31.5">
      <c r="A736" s="14"/>
      <c r="B736" s="125" t="s">
        <v>136</v>
      </c>
      <c r="C736" s="109" t="s">
        <v>510</v>
      </c>
      <c r="D736" s="108" t="s">
        <v>229</v>
      </c>
      <c r="E736" s="108" t="s">
        <v>13</v>
      </c>
      <c r="F736" s="108" t="s">
        <v>523</v>
      </c>
      <c r="G736" s="108" t="s">
        <v>9</v>
      </c>
      <c r="H736" s="126">
        <f>H737+H739</f>
        <v>0</v>
      </c>
      <c r="L736" s="20">
        <v>137429.12</v>
      </c>
      <c r="M736" s="20">
        <v>129218.47</v>
      </c>
      <c r="N736" s="20">
        <v>129218.47</v>
      </c>
      <c r="O736" s="20">
        <f>H736-L736</f>
        <v>-137429.12</v>
      </c>
      <c r="P736" s="20" t="e">
        <f>#REF!-M736</f>
        <v>#REF!</v>
      </c>
      <c r="Q736" s="20" t="e">
        <f>#REF!-N736</f>
        <v>#REF!</v>
      </c>
      <c r="R736" s="17" t="str">
        <f t="shared" si="78"/>
        <v>07 2 01 11010000</v>
      </c>
    </row>
    <row r="737" spans="1:18" s="16" customFormat="1" ht="15.75">
      <c r="A737" s="14"/>
      <c r="B737" s="125" t="s">
        <v>403</v>
      </c>
      <c r="C737" s="109" t="s">
        <v>510</v>
      </c>
      <c r="D737" s="108" t="s">
        <v>229</v>
      </c>
      <c r="E737" s="108" t="s">
        <v>13</v>
      </c>
      <c r="F737" s="108" t="s">
        <v>523</v>
      </c>
      <c r="G737" s="108" t="s">
        <v>404</v>
      </c>
      <c r="H737" s="126">
        <f>H738</f>
        <v>0</v>
      </c>
      <c r="L737" s="20">
        <v>121624.62</v>
      </c>
      <c r="M737" s="20">
        <v>114674.89</v>
      </c>
      <c r="N737" s="20">
        <v>114674.89</v>
      </c>
      <c r="O737" s="20">
        <f>H737-L737</f>
        <v>-121624.62</v>
      </c>
      <c r="P737" s="20" t="e">
        <f>#REF!-M737</f>
        <v>#REF!</v>
      </c>
      <c r="Q737" s="20" t="e">
        <f>#REF!-N737</f>
        <v>#REF!</v>
      </c>
      <c r="R737" s="17" t="str">
        <f t="shared" si="78"/>
        <v>07 2 01 11010610</v>
      </c>
    </row>
    <row r="738" spans="1:18" s="23" customFormat="1" ht="63">
      <c r="A738" s="21"/>
      <c r="B738" s="127" t="s">
        <v>405</v>
      </c>
      <c r="C738" s="109" t="s">
        <v>510</v>
      </c>
      <c r="D738" s="108" t="s">
        <v>229</v>
      </c>
      <c r="E738" s="108" t="s">
        <v>13</v>
      </c>
      <c r="F738" s="108" t="s">
        <v>523</v>
      </c>
      <c r="G738" s="108" t="s">
        <v>406</v>
      </c>
      <c r="H738" s="126"/>
      <c r="L738" s="22"/>
      <c r="M738" s="22"/>
      <c r="N738" s="22"/>
      <c r="O738" s="22"/>
      <c r="P738" s="22"/>
      <c r="Q738" s="22"/>
      <c r="R738" s="24"/>
    </row>
    <row r="739" spans="1:18" s="17" customFormat="1" ht="15.75">
      <c r="A739" s="14"/>
      <c r="B739" s="125" t="s">
        <v>409</v>
      </c>
      <c r="C739" s="109" t="s">
        <v>510</v>
      </c>
      <c r="D739" s="108" t="s">
        <v>229</v>
      </c>
      <c r="E739" s="108" t="s">
        <v>13</v>
      </c>
      <c r="F739" s="108" t="s">
        <v>523</v>
      </c>
      <c r="G739" s="108" t="s">
        <v>410</v>
      </c>
      <c r="H739" s="126">
        <f>H740</f>
        <v>0</v>
      </c>
      <c r="L739" s="20">
        <v>15804.5</v>
      </c>
      <c r="M739" s="20">
        <v>14543.58</v>
      </c>
      <c r="N739" s="20">
        <v>14543.58</v>
      </c>
      <c r="O739" s="20">
        <f>H739-L739</f>
        <v>-15804.5</v>
      </c>
      <c r="P739" s="20" t="e">
        <f>#REF!-M739</f>
        <v>#REF!</v>
      </c>
      <c r="Q739" s="20" t="e">
        <f>#REF!-N739</f>
        <v>#REF!</v>
      </c>
      <c r="R739" s="17" t="str">
        <f t="shared" si="78"/>
        <v>07 2 01 11010620</v>
      </c>
    </row>
    <row r="740" spans="1:18" s="24" customFormat="1" ht="63">
      <c r="A740" s="21"/>
      <c r="B740" s="127" t="s">
        <v>411</v>
      </c>
      <c r="C740" s="109" t="s">
        <v>510</v>
      </c>
      <c r="D740" s="108" t="s">
        <v>229</v>
      </c>
      <c r="E740" s="108" t="s">
        <v>13</v>
      </c>
      <c r="F740" s="108" t="s">
        <v>523</v>
      </c>
      <c r="G740" s="108" t="s">
        <v>412</v>
      </c>
      <c r="H740" s="126"/>
      <c r="L740" s="22"/>
      <c r="M740" s="22"/>
      <c r="N740" s="22"/>
      <c r="O740" s="22"/>
      <c r="P740" s="22"/>
      <c r="Q740" s="22"/>
    </row>
    <row r="741" spans="1:18" s="16" customFormat="1" ht="126">
      <c r="A741" s="14"/>
      <c r="B741" s="132" t="s">
        <v>528</v>
      </c>
      <c r="C741" s="109" t="s">
        <v>510</v>
      </c>
      <c r="D741" s="108" t="s">
        <v>229</v>
      </c>
      <c r="E741" s="108" t="s">
        <v>13</v>
      </c>
      <c r="F741" s="108" t="s">
        <v>529</v>
      </c>
      <c r="G741" s="108" t="s">
        <v>9</v>
      </c>
      <c r="H741" s="126">
        <f t="shared" ref="H741:H742" si="85">H742</f>
        <v>0</v>
      </c>
      <c r="L741" s="20">
        <v>955.2</v>
      </c>
      <c r="M741" s="20">
        <v>150</v>
      </c>
      <c r="N741" s="20">
        <v>150</v>
      </c>
      <c r="O741" s="20">
        <f>H741-L741</f>
        <v>-955.2</v>
      </c>
      <c r="P741" s="20" t="e">
        <f>#REF!-M741</f>
        <v>#REF!</v>
      </c>
      <c r="Q741" s="20" t="e">
        <f>#REF!-N741</f>
        <v>#REF!</v>
      </c>
      <c r="R741" s="17" t="str">
        <f t="shared" si="78"/>
        <v>07 2 08 00000000</v>
      </c>
    </row>
    <row r="742" spans="1:18" s="16" customFormat="1" ht="126">
      <c r="A742" s="14"/>
      <c r="B742" s="125" t="s">
        <v>530</v>
      </c>
      <c r="C742" s="109" t="s">
        <v>510</v>
      </c>
      <c r="D742" s="108" t="s">
        <v>229</v>
      </c>
      <c r="E742" s="108" t="s">
        <v>13</v>
      </c>
      <c r="F742" s="108" t="s">
        <v>531</v>
      </c>
      <c r="G742" s="108" t="s">
        <v>9</v>
      </c>
      <c r="H742" s="126">
        <f t="shared" si="85"/>
        <v>0</v>
      </c>
      <c r="L742" s="20">
        <v>955.2</v>
      </c>
      <c r="M742" s="20">
        <v>150</v>
      </c>
      <c r="N742" s="20">
        <v>150</v>
      </c>
      <c r="O742" s="20">
        <f>H742-L742</f>
        <v>-955.2</v>
      </c>
      <c r="P742" s="20" t="e">
        <f>#REF!-M742</f>
        <v>#REF!</v>
      </c>
      <c r="Q742" s="20" t="e">
        <f>#REF!-N742</f>
        <v>#REF!</v>
      </c>
      <c r="R742" s="17" t="str">
        <f t="shared" si="78"/>
        <v>07 2 08 21230000</v>
      </c>
    </row>
    <row r="743" spans="1:18" s="16" customFormat="1" ht="15.75">
      <c r="A743" s="14"/>
      <c r="B743" s="132" t="s">
        <v>403</v>
      </c>
      <c r="C743" s="109" t="s">
        <v>510</v>
      </c>
      <c r="D743" s="108" t="s">
        <v>229</v>
      </c>
      <c r="E743" s="108" t="s">
        <v>13</v>
      </c>
      <c r="F743" s="108" t="s">
        <v>531</v>
      </c>
      <c r="G743" s="108" t="s">
        <v>404</v>
      </c>
      <c r="H743" s="126">
        <f>H744</f>
        <v>0</v>
      </c>
      <c r="L743" s="20">
        <v>955.2</v>
      </c>
      <c r="M743" s="20">
        <v>150</v>
      </c>
      <c r="N743" s="20">
        <v>150</v>
      </c>
      <c r="O743" s="20">
        <f>H743-L743</f>
        <v>-955.2</v>
      </c>
      <c r="P743" s="20" t="e">
        <f>#REF!-M743</f>
        <v>#REF!</v>
      </c>
      <c r="Q743" s="20" t="e">
        <f>#REF!-N743</f>
        <v>#REF!</v>
      </c>
      <c r="R743" s="17" t="str">
        <f t="shared" si="78"/>
        <v>07 2 08 21230610</v>
      </c>
    </row>
    <row r="744" spans="1:18" s="23" customFormat="1" ht="15.75">
      <c r="A744" s="21"/>
      <c r="B744" s="127" t="s">
        <v>407</v>
      </c>
      <c r="C744" s="109" t="s">
        <v>510</v>
      </c>
      <c r="D744" s="108" t="s">
        <v>229</v>
      </c>
      <c r="E744" s="108" t="s">
        <v>13</v>
      </c>
      <c r="F744" s="108" t="s">
        <v>531</v>
      </c>
      <c r="G744" s="108" t="s">
        <v>408</v>
      </c>
      <c r="H744" s="126"/>
      <c r="L744" s="22"/>
      <c r="M744" s="22"/>
      <c r="N744" s="22"/>
      <c r="O744" s="22"/>
      <c r="P744" s="22"/>
      <c r="Q744" s="22"/>
      <c r="R744" s="24"/>
    </row>
    <row r="745" spans="1:18" s="16" customFormat="1" ht="47.25">
      <c r="A745" s="14"/>
      <c r="B745" s="132" t="s">
        <v>532</v>
      </c>
      <c r="C745" s="109" t="s">
        <v>510</v>
      </c>
      <c r="D745" s="108" t="s">
        <v>229</v>
      </c>
      <c r="E745" s="108" t="s">
        <v>13</v>
      </c>
      <c r="F745" s="108" t="s">
        <v>533</v>
      </c>
      <c r="G745" s="108" t="s">
        <v>9</v>
      </c>
      <c r="H745" s="126">
        <f>H746</f>
        <v>0</v>
      </c>
      <c r="L745" s="20">
        <v>218.4</v>
      </c>
      <c r="M745" s="20">
        <v>218.4</v>
      </c>
      <c r="N745" s="20">
        <v>218.4</v>
      </c>
      <c r="O745" s="20">
        <f>H745-L745</f>
        <v>-218.4</v>
      </c>
      <c r="P745" s="20" t="e">
        <f>#REF!-M745</f>
        <v>#REF!</v>
      </c>
      <c r="Q745" s="20" t="e">
        <f>#REF!-N745</f>
        <v>#REF!</v>
      </c>
      <c r="R745" s="17" t="str">
        <f t="shared" si="78"/>
        <v>07 2 09 00000000</v>
      </c>
    </row>
    <row r="746" spans="1:18" s="16" customFormat="1" ht="47.25">
      <c r="A746" s="14"/>
      <c r="B746" s="132" t="s">
        <v>534</v>
      </c>
      <c r="C746" s="109" t="s">
        <v>510</v>
      </c>
      <c r="D746" s="108" t="s">
        <v>229</v>
      </c>
      <c r="E746" s="108" t="s">
        <v>13</v>
      </c>
      <c r="F746" s="108" t="s">
        <v>535</v>
      </c>
      <c r="G746" s="108" t="s">
        <v>9</v>
      </c>
      <c r="H746" s="126">
        <f>H747+H749</f>
        <v>0</v>
      </c>
      <c r="L746" s="20">
        <v>218.4</v>
      </c>
      <c r="M746" s="20">
        <v>218.4</v>
      </c>
      <c r="N746" s="20">
        <v>218.4</v>
      </c>
      <c r="O746" s="20">
        <f>H746-L746</f>
        <v>-218.4</v>
      </c>
      <c r="P746" s="20" t="e">
        <f>#REF!-M746</f>
        <v>#REF!</v>
      </c>
      <c r="Q746" s="20" t="e">
        <f>#REF!-N746</f>
        <v>#REF!</v>
      </c>
      <c r="R746" s="17" t="str">
        <f t="shared" si="78"/>
        <v>07 2 09 21280000</v>
      </c>
    </row>
    <row r="747" spans="1:18" s="16" customFormat="1" ht="15.75">
      <c r="A747" s="14"/>
      <c r="B747" s="132" t="s">
        <v>403</v>
      </c>
      <c r="C747" s="109" t="s">
        <v>510</v>
      </c>
      <c r="D747" s="108" t="s">
        <v>229</v>
      </c>
      <c r="E747" s="108" t="s">
        <v>13</v>
      </c>
      <c r="F747" s="108" t="s">
        <v>535</v>
      </c>
      <c r="G747" s="108" t="s">
        <v>404</v>
      </c>
      <c r="H747" s="126">
        <f>H748</f>
        <v>0</v>
      </c>
      <c r="L747" s="20">
        <v>163.80000000000001</v>
      </c>
      <c r="M747" s="20">
        <v>163.80000000000001</v>
      </c>
      <c r="N747" s="20">
        <v>163.80000000000001</v>
      </c>
      <c r="O747" s="20">
        <f>H747-L747</f>
        <v>-163.80000000000001</v>
      </c>
      <c r="P747" s="20" t="e">
        <f>#REF!-M747</f>
        <v>#REF!</v>
      </c>
      <c r="Q747" s="20" t="e">
        <f>#REF!-N747</f>
        <v>#REF!</v>
      </c>
      <c r="R747" s="17" t="str">
        <f t="shared" si="78"/>
        <v>07 2 09 21280610</v>
      </c>
    </row>
    <row r="748" spans="1:18" s="23" customFormat="1" ht="15.75">
      <c r="A748" s="21"/>
      <c r="B748" s="127" t="s">
        <v>407</v>
      </c>
      <c r="C748" s="109" t="s">
        <v>510</v>
      </c>
      <c r="D748" s="108" t="s">
        <v>229</v>
      </c>
      <c r="E748" s="108" t="s">
        <v>13</v>
      </c>
      <c r="F748" s="108" t="s">
        <v>535</v>
      </c>
      <c r="G748" s="108" t="s">
        <v>408</v>
      </c>
      <c r="H748" s="126"/>
      <c r="L748" s="22"/>
      <c r="M748" s="22"/>
      <c r="N748" s="22"/>
      <c r="O748" s="22"/>
      <c r="P748" s="22"/>
      <c r="Q748" s="22"/>
      <c r="R748" s="24"/>
    </row>
    <row r="749" spans="1:18" s="16" customFormat="1" ht="15.75">
      <c r="A749" s="14"/>
      <c r="B749" s="132" t="s">
        <v>409</v>
      </c>
      <c r="C749" s="109" t="s">
        <v>510</v>
      </c>
      <c r="D749" s="108" t="s">
        <v>229</v>
      </c>
      <c r="E749" s="108" t="s">
        <v>13</v>
      </c>
      <c r="F749" s="108" t="s">
        <v>535</v>
      </c>
      <c r="G749" s="108" t="s">
        <v>410</v>
      </c>
      <c r="H749" s="126">
        <f>H750</f>
        <v>0</v>
      </c>
      <c r="L749" s="20">
        <v>54.6</v>
      </c>
      <c r="M749" s="20">
        <v>54.6</v>
      </c>
      <c r="N749" s="20">
        <v>54.6</v>
      </c>
      <c r="O749" s="20">
        <f>H749-L749</f>
        <v>-54.6</v>
      </c>
      <c r="P749" s="20" t="e">
        <f>#REF!-M749</f>
        <v>#REF!</v>
      </c>
      <c r="Q749" s="20" t="e">
        <f>#REF!-N749</f>
        <v>#REF!</v>
      </c>
      <c r="R749" s="17" t="str">
        <f t="shared" si="78"/>
        <v>07 2 09 21280620</v>
      </c>
    </row>
    <row r="750" spans="1:18" s="23" customFormat="1" ht="15.75">
      <c r="A750" s="21"/>
      <c r="B750" s="127" t="s">
        <v>428</v>
      </c>
      <c r="C750" s="109" t="s">
        <v>510</v>
      </c>
      <c r="D750" s="108" t="s">
        <v>229</v>
      </c>
      <c r="E750" s="108" t="s">
        <v>13</v>
      </c>
      <c r="F750" s="108" t="s">
        <v>535</v>
      </c>
      <c r="G750" s="108" t="s">
        <v>429</v>
      </c>
      <c r="H750" s="126"/>
      <c r="L750" s="22"/>
      <c r="M750" s="22"/>
      <c r="N750" s="22"/>
      <c r="O750" s="22"/>
      <c r="P750" s="22"/>
      <c r="Q750" s="22"/>
      <c r="R750" s="24"/>
    </row>
    <row r="751" spans="1:18" s="16" customFormat="1" ht="78.75">
      <c r="A751" s="14"/>
      <c r="B751" s="132" t="s">
        <v>536</v>
      </c>
      <c r="C751" s="109" t="s">
        <v>510</v>
      </c>
      <c r="D751" s="108" t="s">
        <v>229</v>
      </c>
      <c r="E751" s="108" t="s">
        <v>13</v>
      </c>
      <c r="F751" s="108" t="s">
        <v>537</v>
      </c>
      <c r="G751" s="108" t="s">
        <v>9</v>
      </c>
      <c r="H751" s="126">
        <f>H752</f>
        <v>0</v>
      </c>
      <c r="L751" s="20">
        <v>1162.44</v>
      </c>
      <c r="M751" s="20">
        <v>0</v>
      </c>
      <c r="N751" s="20">
        <v>0</v>
      </c>
      <c r="O751" s="20">
        <f>H751-L751</f>
        <v>-1162.44</v>
      </c>
      <c r="P751" s="20" t="e">
        <f>#REF!-M751</f>
        <v>#REF!</v>
      </c>
      <c r="Q751" s="20" t="e">
        <f>#REF!-N751</f>
        <v>#REF!</v>
      </c>
      <c r="R751" s="17" t="str">
        <f t="shared" si="78"/>
        <v>07 2 12 00000000</v>
      </c>
    </row>
    <row r="752" spans="1:18" s="16" customFormat="1" ht="47.25">
      <c r="A752" s="14"/>
      <c r="B752" s="138" t="s">
        <v>538</v>
      </c>
      <c r="C752" s="109" t="s">
        <v>510</v>
      </c>
      <c r="D752" s="108" t="s">
        <v>229</v>
      </c>
      <c r="E752" s="108" t="s">
        <v>13</v>
      </c>
      <c r="F752" s="108" t="s">
        <v>539</v>
      </c>
      <c r="G752" s="108" t="s">
        <v>9</v>
      </c>
      <c r="H752" s="126">
        <f>H753</f>
        <v>0</v>
      </c>
      <c r="L752" s="20">
        <v>1162.44</v>
      </c>
      <c r="M752" s="20">
        <v>0</v>
      </c>
      <c r="N752" s="20">
        <v>0</v>
      </c>
      <c r="O752" s="20">
        <f>H752-L752</f>
        <v>-1162.44</v>
      </c>
      <c r="P752" s="20" t="e">
        <f>#REF!-M752</f>
        <v>#REF!</v>
      </c>
      <c r="Q752" s="20" t="e">
        <f>#REF!-N752</f>
        <v>#REF!</v>
      </c>
      <c r="R752" s="17" t="str">
        <f t="shared" si="78"/>
        <v>07 2 12 21430000</v>
      </c>
    </row>
    <row r="753" spans="1:18" s="16" customFormat="1" ht="15.75">
      <c r="A753" s="14"/>
      <c r="B753" s="132" t="s">
        <v>409</v>
      </c>
      <c r="C753" s="109" t="s">
        <v>510</v>
      </c>
      <c r="D753" s="108" t="s">
        <v>229</v>
      </c>
      <c r="E753" s="108" t="s">
        <v>13</v>
      </c>
      <c r="F753" s="108" t="s">
        <v>539</v>
      </c>
      <c r="G753" s="108" t="s">
        <v>410</v>
      </c>
      <c r="H753" s="126">
        <f>H754</f>
        <v>0</v>
      </c>
      <c r="L753" s="20">
        <v>1162.44</v>
      </c>
      <c r="M753" s="20">
        <v>0</v>
      </c>
      <c r="N753" s="20">
        <v>0</v>
      </c>
      <c r="O753" s="20">
        <f>H753-L753</f>
        <v>-1162.44</v>
      </c>
      <c r="P753" s="20" t="e">
        <f>#REF!-M753</f>
        <v>#REF!</v>
      </c>
      <c r="Q753" s="20" t="e">
        <f>#REF!-N753</f>
        <v>#REF!</v>
      </c>
      <c r="R753" s="17" t="str">
        <f t="shared" si="78"/>
        <v>07 2 12 21430620</v>
      </c>
    </row>
    <row r="754" spans="1:18" s="23" customFormat="1" ht="15.75">
      <c r="A754" s="21"/>
      <c r="B754" s="127" t="s">
        <v>428</v>
      </c>
      <c r="C754" s="109" t="s">
        <v>510</v>
      </c>
      <c r="D754" s="108" t="s">
        <v>229</v>
      </c>
      <c r="E754" s="108" t="s">
        <v>13</v>
      </c>
      <c r="F754" s="108" t="s">
        <v>539</v>
      </c>
      <c r="G754" s="108" t="s">
        <v>429</v>
      </c>
      <c r="H754" s="126"/>
      <c r="L754" s="22"/>
      <c r="M754" s="22"/>
      <c r="N754" s="22"/>
      <c r="O754" s="22"/>
      <c r="P754" s="22"/>
      <c r="Q754" s="22"/>
      <c r="R754" s="24"/>
    </row>
    <row r="755" spans="1:18" s="16" customFormat="1" ht="94.5">
      <c r="A755" s="14"/>
      <c r="B755" s="125" t="s">
        <v>420</v>
      </c>
      <c r="C755" s="109" t="s">
        <v>510</v>
      </c>
      <c r="D755" s="108" t="s">
        <v>229</v>
      </c>
      <c r="E755" s="108" t="s">
        <v>13</v>
      </c>
      <c r="F755" s="108" t="s">
        <v>421</v>
      </c>
      <c r="G755" s="108" t="s">
        <v>9</v>
      </c>
      <c r="H755" s="126">
        <f t="shared" ref="H755:H757" si="86">H756</f>
        <v>0</v>
      </c>
      <c r="L755" s="20">
        <v>392.8</v>
      </c>
      <c r="M755" s="20">
        <v>392.8</v>
      </c>
      <c r="N755" s="20">
        <v>392.8</v>
      </c>
      <c r="O755" s="20">
        <f>H755-L755</f>
        <v>-392.8</v>
      </c>
      <c r="P755" s="20" t="e">
        <f>#REF!-M755</f>
        <v>#REF!</v>
      </c>
      <c r="Q755" s="20" t="e">
        <f>#REF!-N755</f>
        <v>#REF!</v>
      </c>
      <c r="R755" s="17" t="str">
        <f t="shared" si="78"/>
        <v>16 0 00 00000000</v>
      </c>
    </row>
    <row r="756" spans="1:18" s="16" customFormat="1" ht="31.5">
      <c r="A756" s="14"/>
      <c r="B756" s="125" t="s">
        <v>422</v>
      </c>
      <c r="C756" s="109" t="s">
        <v>510</v>
      </c>
      <c r="D756" s="108" t="s">
        <v>229</v>
      </c>
      <c r="E756" s="108" t="s">
        <v>13</v>
      </c>
      <c r="F756" s="108" t="s">
        <v>423</v>
      </c>
      <c r="G756" s="108" t="s">
        <v>9</v>
      </c>
      <c r="H756" s="126">
        <f t="shared" si="86"/>
        <v>0</v>
      </c>
      <c r="L756" s="20">
        <v>392.8</v>
      </c>
      <c r="M756" s="20">
        <v>392.8</v>
      </c>
      <c r="N756" s="20">
        <v>392.8</v>
      </c>
      <c r="O756" s="20">
        <f>H756-L756</f>
        <v>-392.8</v>
      </c>
      <c r="P756" s="20" t="e">
        <f>#REF!-M756</f>
        <v>#REF!</v>
      </c>
      <c r="Q756" s="20" t="e">
        <f>#REF!-N756</f>
        <v>#REF!</v>
      </c>
      <c r="R756" s="17" t="str">
        <f t="shared" si="78"/>
        <v>16 2 00 00000000</v>
      </c>
    </row>
    <row r="757" spans="1:18" s="16" customFormat="1" ht="47.25">
      <c r="A757" s="14"/>
      <c r="B757" s="125" t="s">
        <v>424</v>
      </c>
      <c r="C757" s="109" t="s">
        <v>510</v>
      </c>
      <c r="D757" s="108" t="s">
        <v>229</v>
      </c>
      <c r="E757" s="108" t="s">
        <v>13</v>
      </c>
      <c r="F757" s="108" t="s">
        <v>425</v>
      </c>
      <c r="G757" s="108" t="s">
        <v>9</v>
      </c>
      <c r="H757" s="126">
        <f t="shared" si="86"/>
        <v>0</v>
      </c>
      <c r="L757" s="20">
        <v>392.8</v>
      </c>
      <c r="M757" s="20">
        <v>392.8</v>
      </c>
      <c r="N757" s="20">
        <v>392.8</v>
      </c>
      <c r="O757" s="20">
        <f>H757-L757</f>
        <v>-392.8</v>
      </c>
      <c r="P757" s="20" t="e">
        <f>#REF!-M757</f>
        <v>#REF!</v>
      </c>
      <c r="Q757" s="20" t="e">
        <f>#REF!-N757</f>
        <v>#REF!</v>
      </c>
      <c r="R757" s="17" t="str">
        <f t="shared" si="78"/>
        <v>16 2 02 00000000</v>
      </c>
    </row>
    <row r="758" spans="1:18" s="16" customFormat="1" ht="47.25">
      <c r="A758" s="14"/>
      <c r="B758" s="125" t="s">
        <v>426</v>
      </c>
      <c r="C758" s="109" t="s">
        <v>510</v>
      </c>
      <c r="D758" s="108" t="s">
        <v>229</v>
      </c>
      <c r="E758" s="108" t="s">
        <v>13</v>
      </c>
      <c r="F758" s="108" t="s">
        <v>427</v>
      </c>
      <c r="G758" s="108" t="s">
        <v>9</v>
      </c>
      <c r="H758" s="126">
        <f>H759+H761</f>
        <v>0</v>
      </c>
      <c r="L758" s="20">
        <v>392.8</v>
      </c>
      <c r="M758" s="20">
        <v>392.8</v>
      </c>
      <c r="N758" s="20">
        <v>392.8</v>
      </c>
      <c r="O758" s="20">
        <f>H758-L758</f>
        <v>-392.8</v>
      </c>
      <c r="P758" s="20" t="e">
        <f>#REF!-M758</f>
        <v>#REF!</v>
      </c>
      <c r="Q758" s="20" t="e">
        <f>#REF!-N758</f>
        <v>#REF!</v>
      </c>
      <c r="R758" s="17" t="str">
        <f t="shared" si="78"/>
        <v>16 2 02 20550000</v>
      </c>
    </row>
    <row r="759" spans="1:18" s="16" customFormat="1" ht="15.75">
      <c r="A759" s="14"/>
      <c r="B759" s="132" t="s">
        <v>403</v>
      </c>
      <c r="C759" s="109" t="s">
        <v>510</v>
      </c>
      <c r="D759" s="108" t="s">
        <v>229</v>
      </c>
      <c r="E759" s="108" t="s">
        <v>13</v>
      </c>
      <c r="F759" s="108" t="s">
        <v>427</v>
      </c>
      <c r="G759" s="108" t="s">
        <v>404</v>
      </c>
      <c r="H759" s="126">
        <f>H760</f>
        <v>0</v>
      </c>
      <c r="L759" s="20">
        <v>344.8</v>
      </c>
      <c r="M759" s="20">
        <v>344.8</v>
      </c>
      <c r="N759" s="20">
        <v>344.8</v>
      </c>
      <c r="O759" s="20">
        <f>H759-L759</f>
        <v>-344.8</v>
      </c>
      <c r="P759" s="20" t="e">
        <f>#REF!-M759</f>
        <v>#REF!</v>
      </c>
      <c r="Q759" s="20" t="e">
        <f>#REF!-N759</f>
        <v>#REF!</v>
      </c>
      <c r="R759" s="17" t="str">
        <f t="shared" si="78"/>
        <v>16 2 02 20550610</v>
      </c>
    </row>
    <row r="760" spans="1:18" s="16" customFormat="1" ht="15.75">
      <c r="A760" s="14"/>
      <c r="B760" s="127" t="s">
        <v>407</v>
      </c>
      <c r="C760" s="109" t="s">
        <v>510</v>
      </c>
      <c r="D760" s="108" t="s">
        <v>229</v>
      </c>
      <c r="E760" s="108" t="s">
        <v>13</v>
      </c>
      <c r="F760" s="108" t="s">
        <v>427</v>
      </c>
      <c r="G760" s="108" t="s">
        <v>408</v>
      </c>
      <c r="H760" s="126"/>
      <c r="L760" s="20"/>
      <c r="M760" s="20"/>
      <c r="N760" s="20"/>
      <c r="O760" s="20"/>
      <c r="P760" s="20"/>
      <c r="Q760" s="20"/>
      <c r="R760" s="17"/>
    </row>
    <row r="761" spans="1:18" s="17" customFormat="1" ht="15.75">
      <c r="A761" s="14"/>
      <c r="B761" s="132" t="s">
        <v>409</v>
      </c>
      <c r="C761" s="109" t="s">
        <v>510</v>
      </c>
      <c r="D761" s="108" t="s">
        <v>229</v>
      </c>
      <c r="E761" s="108" t="s">
        <v>13</v>
      </c>
      <c r="F761" s="108" t="s">
        <v>427</v>
      </c>
      <c r="G761" s="108" t="s">
        <v>410</v>
      </c>
      <c r="H761" s="126">
        <f>H762</f>
        <v>0</v>
      </c>
      <c r="L761" s="20">
        <v>48</v>
      </c>
      <c r="M761" s="20">
        <v>48</v>
      </c>
      <c r="N761" s="20">
        <v>48</v>
      </c>
      <c r="O761" s="20">
        <f>H761-L761</f>
        <v>-48</v>
      </c>
      <c r="P761" s="20" t="e">
        <f>#REF!-M761</f>
        <v>#REF!</v>
      </c>
      <c r="Q761" s="20" t="e">
        <f>#REF!-N761</f>
        <v>#REF!</v>
      </c>
      <c r="R761" s="17" t="str">
        <f t="shared" ref="R761:R858" si="87">CONCATENATE(F761,G761)</f>
        <v>16 2 02 20550620</v>
      </c>
    </row>
    <row r="762" spans="1:18" s="24" customFormat="1" ht="15.75">
      <c r="A762" s="21"/>
      <c r="B762" s="127" t="s">
        <v>428</v>
      </c>
      <c r="C762" s="109" t="s">
        <v>510</v>
      </c>
      <c r="D762" s="108" t="s">
        <v>229</v>
      </c>
      <c r="E762" s="108" t="s">
        <v>13</v>
      </c>
      <c r="F762" s="108" t="s">
        <v>427</v>
      </c>
      <c r="G762" s="108" t="s">
        <v>429</v>
      </c>
      <c r="H762" s="126"/>
      <c r="L762" s="22"/>
      <c r="M762" s="22"/>
      <c r="N762" s="22"/>
      <c r="O762" s="22"/>
      <c r="P762" s="22"/>
      <c r="Q762" s="22"/>
    </row>
    <row r="763" spans="1:18" s="17" customFormat="1" ht="47.25">
      <c r="A763" s="14"/>
      <c r="B763" s="125" t="s">
        <v>430</v>
      </c>
      <c r="C763" s="109" t="s">
        <v>510</v>
      </c>
      <c r="D763" s="108" t="s">
        <v>229</v>
      </c>
      <c r="E763" s="108" t="s">
        <v>13</v>
      </c>
      <c r="F763" s="108" t="s">
        <v>431</v>
      </c>
      <c r="G763" s="108" t="s">
        <v>9</v>
      </c>
      <c r="H763" s="126">
        <f t="shared" ref="H763:H766" si="88">H764</f>
        <v>0</v>
      </c>
      <c r="L763" s="20">
        <v>692.25</v>
      </c>
      <c r="M763" s="20">
        <v>692.25</v>
      </c>
      <c r="N763" s="20">
        <v>692.25</v>
      </c>
      <c r="O763" s="20">
        <f>H763-L763</f>
        <v>-692.25</v>
      </c>
      <c r="P763" s="20" t="e">
        <f>#REF!-M763</f>
        <v>#REF!</v>
      </c>
      <c r="Q763" s="20" t="e">
        <f>#REF!-N763</f>
        <v>#REF!</v>
      </c>
      <c r="R763" s="17" t="str">
        <f t="shared" si="87"/>
        <v>17 0 00 00000000</v>
      </c>
    </row>
    <row r="764" spans="1:18" s="17" customFormat="1" ht="47.25">
      <c r="A764" s="14"/>
      <c r="B764" s="129" t="s">
        <v>432</v>
      </c>
      <c r="C764" s="109" t="s">
        <v>510</v>
      </c>
      <c r="D764" s="108" t="s">
        <v>229</v>
      </c>
      <c r="E764" s="108" t="s">
        <v>13</v>
      </c>
      <c r="F764" s="108" t="s">
        <v>433</v>
      </c>
      <c r="G764" s="108" t="s">
        <v>9</v>
      </c>
      <c r="H764" s="126">
        <f t="shared" si="88"/>
        <v>0</v>
      </c>
      <c r="L764" s="20">
        <v>692.25</v>
      </c>
      <c r="M764" s="20">
        <v>692.25</v>
      </c>
      <c r="N764" s="20">
        <v>692.25</v>
      </c>
      <c r="O764" s="20">
        <f>H764-L764</f>
        <v>-692.25</v>
      </c>
      <c r="P764" s="20" t="e">
        <f>#REF!-M764</f>
        <v>#REF!</v>
      </c>
      <c r="Q764" s="20" t="e">
        <f>#REF!-N764</f>
        <v>#REF!</v>
      </c>
      <c r="R764" s="17" t="str">
        <f t="shared" si="87"/>
        <v>17 Б 00 00000000</v>
      </c>
    </row>
    <row r="765" spans="1:18" s="17" customFormat="1" ht="31.5">
      <c r="A765" s="14"/>
      <c r="B765" s="125" t="s">
        <v>434</v>
      </c>
      <c r="C765" s="109" t="s">
        <v>510</v>
      </c>
      <c r="D765" s="108" t="s">
        <v>229</v>
      </c>
      <c r="E765" s="108" t="s">
        <v>13</v>
      </c>
      <c r="F765" s="108" t="s">
        <v>435</v>
      </c>
      <c r="G765" s="108" t="s">
        <v>9</v>
      </c>
      <c r="H765" s="126">
        <f t="shared" si="88"/>
        <v>0</v>
      </c>
      <c r="L765" s="20">
        <v>692.25</v>
      </c>
      <c r="M765" s="20">
        <v>692.25</v>
      </c>
      <c r="N765" s="20">
        <v>692.25</v>
      </c>
      <c r="O765" s="20">
        <f>H765-L765</f>
        <v>-692.25</v>
      </c>
      <c r="P765" s="20" t="e">
        <f>#REF!-M765</f>
        <v>#REF!</v>
      </c>
      <c r="Q765" s="20" t="e">
        <f>#REF!-N765</f>
        <v>#REF!</v>
      </c>
      <c r="R765" s="17" t="str">
        <f t="shared" si="87"/>
        <v>17 Б 01 00000000</v>
      </c>
    </row>
    <row r="766" spans="1:18" s="17" customFormat="1" ht="47.25">
      <c r="A766" s="14"/>
      <c r="B766" s="132" t="s">
        <v>436</v>
      </c>
      <c r="C766" s="109" t="s">
        <v>510</v>
      </c>
      <c r="D766" s="108" t="s">
        <v>229</v>
      </c>
      <c r="E766" s="108" t="s">
        <v>13</v>
      </c>
      <c r="F766" s="108" t="s">
        <v>437</v>
      </c>
      <c r="G766" s="108" t="s">
        <v>9</v>
      </c>
      <c r="H766" s="126">
        <f t="shared" si="88"/>
        <v>0</v>
      </c>
      <c r="L766" s="20">
        <v>692.25</v>
      </c>
      <c r="M766" s="20">
        <v>692.25</v>
      </c>
      <c r="N766" s="20">
        <v>692.25</v>
      </c>
      <c r="O766" s="20">
        <f>H766-L766</f>
        <v>-692.25</v>
      </c>
      <c r="P766" s="20" t="e">
        <f>#REF!-M766</f>
        <v>#REF!</v>
      </c>
      <c r="Q766" s="20" t="e">
        <f>#REF!-N766</f>
        <v>#REF!</v>
      </c>
      <c r="R766" s="17" t="str">
        <f t="shared" si="87"/>
        <v>17 Б 01 20490000</v>
      </c>
    </row>
    <row r="767" spans="1:18" s="17" customFormat="1" ht="15.75">
      <c r="A767" s="14"/>
      <c r="B767" s="132" t="s">
        <v>409</v>
      </c>
      <c r="C767" s="109" t="s">
        <v>510</v>
      </c>
      <c r="D767" s="108" t="s">
        <v>229</v>
      </c>
      <c r="E767" s="108" t="s">
        <v>13</v>
      </c>
      <c r="F767" s="108" t="s">
        <v>437</v>
      </c>
      <c r="G767" s="108" t="s">
        <v>410</v>
      </c>
      <c r="H767" s="126">
        <f>H768</f>
        <v>0</v>
      </c>
      <c r="L767" s="20">
        <v>692.25</v>
      </c>
      <c r="M767" s="20">
        <v>692.25</v>
      </c>
      <c r="N767" s="20">
        <v>692.25</v>
      </c>
      <c r="O767" s="20">
        <f>H767-L767</f>
        <v>-692.25</v>
      </c>
      <c r="P767" s="20" t="e">
        <f>#REF!-M767</f>
        <v>#REF!</v>
      </c>
      <c r="Q767" s="20" t="e">
        <f>#REF!-N767</f>
        <v>#REF!</v>
      </c>
      <c r="R767" s="17" t="str">
        <f t="shared" si="87"/>
        <v>17 Б 01 20490620</v>
      </c>
    </row>
    <row r="768" spans="1:18" s="24" customFormat="1" ht="15.75">
      <c r="A768" s="21"/>
      <c r="B768" s="127" t="s">
        <v>428</v>
      </c>
      <c r="C768" s="109" t="s">
        <v>510</v>
      </c>
      <c r="D768" s="108" t="s">
        <v>229</v>
      </c>
      <c r="E768" s="108" t="s">
        <v>13</v>
      </c>
      <c r="F768" s="108" t="s">
        <v>437</v>
      </c>
      <c r="G768" s="108" t="s">
        <v>429</v>
      </c>
      <c r="H768" s="126"/>
      <c r="L768" s="22"/>
      <c r="M768" s="22"/>
      <c r="N768" s="22"/>
      <c r="O768" s="22"/>
      <c r="P768" s="22"/>
      <c r="Q768" s="22"/>
    </row>
    <row r="769" spans="1:18" s="17" customFormat="1" ht="63">
      <c r="A769" s="14"/>
      <c r="B769" s="125" t="s">
        <v>87</v>
      </c>
      <c r="C769" s="109" t="s">
        <v>510</v>
      </c>
      <c r="D769" s="108" t="s">
        <v>229</v>
      </c>
      <c r="E769" s="108" t="s">
        <v>13</v>
      </c>
      <c r="F769" s="108" t="s">
        <v>88</v>
      </c>
      <c r="G769" s="108" t="s">
        <v>9</v>
      </c>
      <c r="H769" s="126">
        <f>H770</f>
        <v>0</v>
      </c>
      <c r="L769" s="20"/>
      <c r="M769" s="20"/>
      <c r="N769" s="20"/>
      <c r="O769" s="20">
        <f>H769-L769</f>
        <v>0</v>
      </c>
      <c r="P769" s="20" t="e">
        <f>#REF!-M769</f>
        <v>#REF!</v>
      </c>
      <c r="Q769" s="20" t="e">
        <f>#REF!-N769</f>
        <v>#REF!</v>
      </c>
      <c r="R769" s="17" t="str">
        <f t="shared" si="87"/>
        <v>98 0 00 00000000</v>
      </c>
    </row>
    <row r="770" spans="1:18" s="17" customFormat="1" ht="15.75">
      <c r="A770" s="14"/>
      <c r="B770" s="125" t="s">
        <v>89</v>
      </c>
      <c r="C770" s="109" t="s">
        <v>510</v>
      </c>
      <c r="D770" s="108" t="s">
        <v>229</v>
      </c>
      <c r="E770" s="108" t="s">
        <v>13</v>
      </c>
      <c r="F770" s="108" t="s">
        <v>90</v>
      </c>
      <c r="G770" s="108" t="s">
        <v>9</v>
      </c>
      <c r="H770" s="126">
        <f>H771</f>
        <v>0</v>
      </c>
      <c r="L770" s="20"/>
      <c r="M770" s="20"/>
      <c r="N770" s="20"/>
      <c r="O770" s="20">
        <f>H770-L770</f>
        <v>0</v>
      </c>
      <c r="P770" s="20" t="e">
        <f>#REF!-M770</f>
        <v>#REF!</v>
      </c>
      <c r="Q770" s="20" t="e">
        <f>#REF!-N770</f>
        <v>#REF!</v>
      </c>
      <c r="R770" s="17" t="str">
        <f t="shared" si="87"/>
        <v>98 1 00 00000000</v>
      </c>
    </row>
    <row r="771" spans="1:18" s="17" customFormat="1" ht="157.5">
      <c r="A771" s="14"/>
      <c r="B771" s="125" t="s">
        <v>540</v>
      </c>
      <c r="C771" s="109" t="s">
        <v>510</v>
      </c>
      <c r="D771" s="108" t="s">
        <v>229</v>
      </c>
      <c r="E771" s="108" t="s">
        <v>13</v>
      </c>
      <c r="F771" s="108" t="s">
        <v>541</v>
      </c>
      <c r="G771" s="108" t="s">
        <v>9</v>
      </c>
      <c r="H771" s="126">
        <f>H772+H774</f>
        <v>0</v>
      </c>
      <c r="L771" s="20"/>
      <c r="M771" s="20"/>
      <c r="N771" s="20"/>
      <c r="O771" s="20">
        <f>H771-L771</f>
        <v>0</v>
      </c>
      <c r="P771" s="20" t="e">
        <f>#REF!-M771</f>
        <v>#REF!</v>
      </c>
      <c r="Q771" s="20" t="e">
        <f>#REF!-N771</f>
        <v>#REF!</v>
      </c>
      <c r="R771" s="17" t="str">
        <f t="shared" si="87"/>
        <v>98 1 00 21530000</v>
      </c>
    </row>
    <row r="772" spans="1:18" s="17" customFormat="1" ht="15.75">
      <c r="A772" s="14"/>
      <c r="B772" s="132" t="s">
        <v>403</v>
      </c>
      <c r="C772" s="109" t="s">
        <v>510</v>
      </c>
      <c r="D772" s="108" t="s">
        <v>229</v>
      </c>
      <c r="E772" s="108" t="s">
        <v>13</v>
      </c>
      <c r="F772" s="108" t="s">
        <v>541</v>
      </c>
      <c r="G772" s="108" t="s">
        <v>404</v>
      </c>
      <c r="H772" s="126">
        <f>H773</f>
        <v>0</v>
      </c>
      <c r="L772" s="20"/>
      <c r="M772" s="20"/>
      <c r="N772" s="20"/>
      <c r="O772" s="20">
        <f>H772-L772</f>
        <v>0</v>
      </c>
      <c r="P772" s="20" t="e">
        <f>#REF!-M772</f>
        <v>#REF!</v>
      </c>
      <c r="Q772" s="20" t="e">
        <f>#REF!-N772</f>
        <v>#REF!</v>
      </c>
      <c r="R772" s="17" t="str">
        <f t="shared" si="87"/>
        <v>98 1 00 21530610</v>
      </c>
    </row>
    <row r="773" spans="1:18" s="24" customFormat="1" ht="15.75">
      <c r="A773" s="21"/>
      <c r="B773" s="127" t="s">
        <v>407</v>
      </c>
      <c r="C773" s="109" t="s">
        <v>510</v>
      </c>
      <c r="D773" s="108" t="s">
        <v>229</v>
      </c>
      <c r="E773" s="108" t="s">
        <v>13</v>
      </c>
      <c r="F773" s="108" t="s">
        <v>541</v>
      </c>
      <c r="G773" s="108" t="s">
        <v>408</v>
      </c>
      <c r="H773" s="126"/>
      <c r="L773" s="22"/>
      <c r="M773" s="22"/>
      <c r="N773" s="22"/>
      <c r="O773" s="22"/>
      <c r="P773" s="22"/>
      <c r="Q773" s="22"/>
    </row>
    <row r="774" spans="1:18" s="17" customFormat="1" ht="15.75">
      <c r="A774" s="14"/>
      <c r="B774" s="132" t="s">
        <v>409</v>
      </c>
      <c r="C774" s="109" t="s">
        <v>510</v>
      </c>
      <c r="D774" s="108" t="s">
        <v>229</v>
      </c>
      <c r="E774" s="108" t="s">
        <v>13</v>
      </c>
      <c r="F774" s="108" t="s">
        <v>541</v>
      </c>
      <c r="G774" s="108" t="s">
        <v>410</v>
      </c>
      <c r="H774" s="126">
        <f>H775</f>
        <v>0</v>
      </c>
      <c r="L774" s="20"/>
      <c r="M774" s="20"/>
      <c r="N774" s="20"/>
      <c r="O774" s="20">
        <f>H774-L774</f>
        <v>0</v>
      </c>
      <c r="P774" s="20" t="e">
        <f>#REF!-M774</f>
        <v>#REF!</v>
      </c>
      <c r="Q774" s="20" t="e">
        <f>#REF!-N774</f>
        <v>#REF!</v>
      </c>
      <c r="R774" s="17" t="str">
        <f t="shared" si="87"/>
        <v>98 1 00 21530620</v>
      </c>
    </row>
    <row r="775" spans="1:18" s="24" customFormat="1" ht="15.75">
      <c r="A775" s="21"/>
      <c r="B775" s="127" t="s">
        <v>428</v>
      </c>
      <c r="C775" s="109" t="s">
        <v>510</v>
      </c>
      <c r="D775" s="108" t="s">
        <v>229</v>
      </c>
      <c r="E775" s="108" t="s">
        <v>13</v>
      </c>
      <c r="F775" s="108" t="s">
        <v>541</v>
      </c>
      <c r="G775" s="108" t="s">
        <v>429</v>
      </c>
      <c r="H775" s="126"/>
      <c r="L775" s="22"/>
      <c r="M775" s="22"/>
      <c r="N775" s="22"/>
      <c r="O775" s="22"/>
      <c r="P775" s="22"/>
      <c r="Q775" s="22"/>
    </row>
    <row r="776" spans="1:18" s="17" customFormat="1" ht="15.75">
      <c r="A776" s="14"/>
      <c r="B776" s="121" t="s">
        <v>464</v>
      </c>
      <c r="C776" s="122" t="s">
        <v>510</v>
      </c>
      <c r="D776" s="123" t="s">
        <v>229</v>
      </c>
      <c r="E776" s="123" t="s">
        <v>229</v>
      </c>
      <c r="F776" s="123" t="s">
        <v>8</v>
      </c>
      <c r="G776" s="123" t="s">
        <v>9</v>
      </c>
      <c r="H776" s="124">
        <f>H783+H777+H816</f>
        <v>0</v>
      </c>
      <c r="L776" s="19">
        <v>10043.200000000001</v>
      </c>
      <c r="M776" s="19">
        <v>9653.2000000000007</v>
      </c>
      <c r="N776" s="19">
        <v>9653.2000000000007</v>
      </c>
      <c r="O776" s="19">
        <f t="shared" ref="O776:O781" si="89">H776-L776</f>
        <v>-10043.200000000001</v>
      </c>
      <c r="P776" s="19" t="e">
        <f>#REF!-M776</f>
        <v>#REF!</v>
      </c>
      <c r="Q776" s="19" t="e">
        <f>#REF!-N776</f>
        <v>#REF!</v>
      </c>
      <c r="R776" s="17" t="str">
        <f t="shared" si="87"/>
        <v>00 0 00 00000000</v>
      </c>
    </row>
    <row r="777" spans="1:18" s="17" customFormat="1" ht="63">
      <c r="A777" s="14"/>
      <c r="B777" s="127" t="s">
        <v>293</v>
      </c>
      <c r="C777" s="109" t="s">
        <v>510</v>
      </c>
      <c r="D777" s="108" t="s">
        <v>229</v>
      </c>
      <c r="E777" s="108" t="s">
        <v>229</v>
      </c>
      <c r="F777" s="108" t="s">
        <v>294</v>
      </c>
      <c r="G777" s="108" t="s">
        <v>9</v>
      </c>
      <c r="H777" s="126">
        <f t="shared" ref="H777:H780" si="90">H778</f>
        <v>0</v>
      </c>
      <c r="L777" s="20">
        <v>187.5</v>
      </c>
      <c r="M777" s="20">
        <v>187.5</v>
      </c>
      <c r="N777" s="20">
        <v>187.5</v>
      </c>
      <c r="O777" s="20">
        <f t="shared" si="89"/>
        <v>-187.5</v>
      </c>
      <c r="P777" s="20" t="e">
        <f>#REF!-M777</f>
        <v>#REF!</v>
      </c>
      <c r="Q777" s="20" t="e">
        <f>#REF!-N777</f>
        <v>#REF!</v>
      </c>
      <c r="R777" s="17" t="str">
        <f t="shared" si="87"/>
        <v>04 0 00 00000000</v>
      </c>
    </row>
    <row r="778" spans="1:18" s="17" customFormat="1" ht="31.5">
      <c r="A778" s="14"/>
      <c r="B778" s="125" t="s">
        <v>307</v>
      </c>
      <c r="C778" s="109" t="s">
        <v>510</v>
      </c>
      <c r="D778" s="108" t="s">
        <v>229</v>
      </c>
      <c r="E778" s="108" t="s">
        <v>229</v>
      </c>
      <c r="F778" s="108" t="s">
        <v>308</v>
      </c>
      <c r="G778" s="108" t="s">
        <v>9</v>
      </c>
      <c r="H778" s="126">
        <f t="shared" si="90"/>
        <v>0</v>
      </c>
      <c r="L778" s="20">
        <v>187.5</v>
      </c>
      <c r="M778" s="20">
        <v>187.5</v>
      </c>
      <c r="N778" s="20">
        <v>187.5</v>
      </c>
      <c r="O778" s="20">
        <f t="shared" si="89"/>
        <v>-187.5</v>
      </c>
      <c r="P778" s="20" t="e">
        <f>#REF!-M778</f>
        <v>#REF!</v>
      </c>
      <c r="Q778" s="20" t="e">
        <f>#REF!-N778</f>
        <v>#REF!</v>
      </c>
      <c r="R778" s="17" t="str">
        <f t="shared" si="87"/>
        <v>04 3 00 00000000</v>
      </c>
    </row>
    <row r="779" spans="1:18" s="17" customFormat="1" ht="31.5">
      <c r="A779" s="14"/>
      <c r="B779" s="138" t="s">
        <v>309</v>
      </c>
      <c r="C779" s="109" t="s">
        <v>510</v>
      </c>
      <c r="D779" s="108" t="s">
        <v>229</v>
      </c>
      <c r="E779" s="108" t="s">
        <v>229</v>
      </c>
      <c r="F779" s="108" t="s">
        <v>310</v>
      </c>
      <c r="G779" s="108" t="s">
        <v>9</v>
      </c>
      <c r="H779" s="126">
        <f t="shared" si="90"/>
        <v>0</v>
      </c>
      <c r="L779" s="20">
        <v>187.5</v>
      </c>
      <c r="M779" s="20">
        <v>187.5</v>
      </c>
      <c r="N779" s="20">
        <v>187.5</v>
      </c>
      <c r="O779" s="20">
        <f t="shared" si="89"/>
        <v>-187.5</v>
      </c>
      <c r="P779" s="20" t="e">
        <f>#REF!-M779</f>
        <v>#REF!</v>
      </c>
      <c r="Q779" s="20" t="e">
        <f>#REF!-N779</f>
        <v>#REF!</v>
      </c>
      <c r="R779" s="17" t="str">
        <f t="shared" si="87"/>
        <v>04 3 04 00000000</v>
      </c>
    </row>
    <row r="780" spans="1:18" s="17" customFormat="1" ht="31.5">
      <c r="A780" s="14"/>
      <c r="B780" s="127" t="s">
        <v>542</v>
      </c>
      <c r="C780" s="109" t="s">
        <v>510</v>
      </c>
      <c r="D780" s="108" t="s">
        <v>229</v>
      </c>
      <c r="E780" s="108" t="s">
        <v>229</v>
      </c>
      <c r="F780" s="108" t="s">
        <v>543</v>
      </c>
      <c r="G780" s="108" t="s">
        <v>9</v>
      </c>
      <c r="H780" s="126">
        <f t="shared" si="90"/>
        <v>0</v>
      </c>
      <c r="L780" s="20">
        <v>187.5</v>
      </c>
      <c r="M780" s="20">
        <v>187.5</v>
      </c>
      <c r="N780" s="20">
        <v>187.5</v>
      </c>
      <c r="O780" s="20">
        <f t="shared" si="89"/>
        <v>-187.5</v>
      </c>
      <c r="P780" s="20" t="e">
        <f>#REF!-M780</f>
        <v>#REF!</v>
      </c>
      <c r="Q780" s="20" t="e">
        <f>#REF!-N780</f>
        <v>#REF!</v>
      </c>
      <c r="R780" s="17" t="str">
        <f t="shared" si="87"/>
        <v>04 3 04 20300000</v>
      </c>
    </row>
    <row r="781" spans="1:18" s="17" customFormat="1" ht="31.5">
      <c r="A781" s="14"/>
      <c r="B781" s="125" t="s">
        <v>28</v>
      </c>
      <c r="C781" s="109" t="s">
        <v>510</v>
      </c>
      <c r="D781" s="108" t="s">
        <v>229</v>
      </c>
      <c r="E781" s="108" t="s">
        <v>229</v>
      </c>
      <c r="F781" s="108" t="s">
        <v>543</v>
      </c>
      <c r="G781" s="108" t="s">
        <v>29</v>
      </c>
      <c r="H781" s="126">
        <f>H782</f>
        <v>0</v>
      </c>
      <c r="L781" s="20">
        <v>187.5</v>
      </c>
      <c r="M781" s="20">
        <v>187.5</v>
      </c>
      <c r="N781" s="20">
        <v>187.5</v>
      </c>
      <c r="O781" s="20">
        <f t="shared" si="89"/>
        <v>-187.5</v>
      </c>
      <c r="P781" s="20" t="e">
        <f>#REF!-M781</f>
        <v>#REF!</v>
      </c>
      <c r="Q781" s="20" t="e">
        <f>#REF!-N781</f>
        <v>#REF!</v>
      </c>
      <c r="R781" s="17" t="str">
        <f t="shared" si="87"/>
        <v>04 3 04 20300240</v>
      </c>
    </row>
    <row r="782" spans="1:18" s="17" customFormat="1" ht="15.75">
      <c r="A782" s="14"/>
      <c r="B782" s="125" t="s">
        <v>30</v>
      </c>
      <c r="C782" s="109" t="s">
        <v>510</v>
      </c>
      <c r="D782" s="108" t="s">
        <v>229</v>
      </c>
      <c r="E782" s="108" t="s">
        <v>229</v>
      </c>
      <c r="F782" s="108" t="s">
        <v>543</v>
      </c>
      <c r="G782" s="108" t="s">
        <v>31</v>
      </c>
      <c r="H782" s="126"/>
      <c r="L782" s="20"/>
      <c r="M782" s="20"/>
      <c r="N782" s="20"/>
      <c r="O782" s="20"/>
      <c r="P782" s="20"/>
      <c r="Q782" s="20"/>
      <c r="R782" s="17" t="str">
        <f t="shared" si="87"/>
        <v>04 3 04 20300244</v>
      </c>
    </row>
    <row r="783" spans="1:18" s="17" customFormat="1" ht="31.5">
      <c r="A783" s="14"/>
      <c r="B783" s="145" t="s">
        <v>544</v>
      </c>
      <c r="C783" s="109" t="s">
        <v>510</v>
      </c>
      <c r="D783" s="108" t="s">
        <v>229</v>
      </c>
      <c r="E783" s="108" t="s">
        <v>229</v>
      </c>
      <c r="F783" s="108" t="s">
        <v>545</v>
      </c>
      <c r="G783" s="108" t="s">
        <v>9</v>
      </c>
      <c r="H783" s="126">
        <f>H784</f>
        <v>0</v>
      </c>
      <c r="L783" s="20">
        <v>9465.7000000000007</v>
      </c>
      <c r="M783" s="20">
        <v>9465.7000000000007</v>
      </c>
      <c r="N783" s="20">
        <v>9465.7000000000007</v>
      </c>
      <c r="O783" s="20">
        <f>H783-L783</f>
        <v>-9465.7000000000007</v>
      </c>
      <c r="P783" s="20" t="e">
        <f>#REF!-M783</f>
        <v>#REF!</v>
      </c>
      <c r="Q783" s="20" t="e">
        <f>#REF!-N783</f>
        <v>#REF!</v>
      </c>
      <c r="R783" s="17" t="str">
        <f t="shared" si="87"/>
        <v>09 0 00 00000000</v>
      </c>
    </row>
    <row r="784" spans="1:18" s="17" customFormat="1" ht="31.5">
      <c r="A784" s="14"/>
      <c r="B784" s="145" t="s">
        <v>546</v>
      </c>
      <c r="C784" s="109" t="s">
        <v>510</v>
      </c>
      <c r="D784" s="108" t="s">
        <v>229</v>
      </c>
      <c r="E784" s="108" t="s">
        <v>229</v>
      </c>
      <c r="F784" s="108" t="s">
        <v>547</v>
      </c>
      <c r="G784" s="108" t="s">
        <v>9</v>
      </c>
      <c r="H784" s="126">
        <f>H785+H789+H800+H804+H808+H812</f>
        <v>0</v>
      </c>
      <c r="L784" s="20">
        <v>9465.7000000000007</v>
      </c>
      <c r="M784" s="20">
        <v>9465.7000000000007</v>
      </c>
      <c r="N784" s="20">
        <v>9465.7000000000007</v>
      </c>
      <c r="O784" s="20">
        <f>H784-L784</f>
        <v>-9465.7000000000007</v>
      </c>
      <c r="P784" s="20" t="e">
        <f>#REF!-M784</f>
        <v>#REF!</v>
      </c>
      <c r="Q784" s="20" t="e">
        <f>#REF!-N784</f>
        <v>#REF!</v>
      </c>
      <c r="R784" s="17" t="str">
        <f t="shared" si="87"/>
        <v>09 Б 00 00000000</v>
      </c>
    </row>
    <row r="785" spans="1:18" s="17" customFormat="1" ht="47.25">
      <c r="A785" s="14"/>
      <c r="B785" s="127" t="s">
        <v>548</v>
      </c>
      <c r="C785" s="109" t="s">
        <v>510</v>
      </c>
      <c r="D785" s="108" t="s">
        <v>229</v>
      </c>
      <c r="E785" s="108" t="s">
        <v>229</v>
      </c>
      <c r="F785" s="108" t="s">
        <v>549</v>
      </c>
      <c r="G785" s="108" t="s">
        <v>9</v>
      </c>
      <c r="H785" s="126">
        <f t="shared" ref="H785:H786" si="91">H786</f>
        <v>0</v>
      </c>
      <c r="L785" s="20">
        <v>779</v>
      </c>
      <c r="M785" s="20">
        <v>779</v>
      </c>
      <c r="N785" s="20">
        <v>779</v>
      </c>
      <c r="O785" s="20">
        <f>H785-L785</f>
        <v>-779</v>
      </c>
      <c r="P785" s="20" t="e">
        <f>#REF!-M785</f>
        <v>#REF!</v>
      </c>
      <c r="Q785" s="20" t="e">
        <f>#REF!-N785</f>
        <v>#REF!</v>
      </c>
      <c r="R785" s="17" t="str">
        <f t="shared" si="87"/>
        <v>09 Б 01 00000000</v>
      </c>
    </row>
    <row r="786" spans="1:18" s="17" customFormat="1" ht="63">
      <c r="A786" s="14"/>
      <c r="B786" s="125" t="s">
        <v>550</v>
      </c>
      <c r="C786" s="109" t="s">
        <v>510</v>
      </c>
      <c r="D786" s="108" t="s">
        <v>229</v>
      </c>
      <c r="E786" s="108" t="s">
        <v>229</v>
      </c>
      <c r="F786" s="108" t="s">
        <v>551</v>
      </c>
      <c r="G786" s="108" t="s">
        <v>9</v>
      </c>
      <c r="H786" s="126">
        <f t="shared" si="91"/>
        <v>0</v>
      </c>
      <c r="L786" s="20">
        <v>779</v>
      </c>
      <c r="M786" s="20">
        <v>779</v>
      </c>
      <c r="N786" s="20">
        <v>779</v>
      </c>
      <c r="O786" s="20">
        <f>H786-L786</f>
        <v>-779</v>
      </c>
      <c r="P786" s="20" t="e">
        <f>#REF!-M786</f>
        <v>#REF!</v>
      </c>
      <c r="Q786" s="20" t="e">
        <f>#REF!-N786</f>
        <v>#REF!</v>
      </c>
      <c r="R786" s="17" t="str">
        <f t="shared" si="87"/>
        <v>09 Б 01 20460000</v>
      </c>
    </row>
    <row r="787" spans="1:18" s="17" customFormat="1" ht="15.75">
      <c r="A787" s="14"/>
      <c r="B787" s="132" t="s">
        <v>403</v>
      </c>
      <c r="C787" s="109" t="s">
        <v>510</v>
      </c>
      <c r="D787" s="108" t="s">
        <v>229</v>
      </c>
      <c r="E787" s="108" t="s">
        <v>229</v>
      </c>
      <c r="F787" s="108" t="s">
        <v>551</v>
      </c>
      <c r="G787" s="108" t="s">
        <v>404</v>
      </c>
      <c r="H787" s="126">
        <f>H788</f>
        <v>0</v>
      </c>
      <c r="L787" s="20">
        <v>779</v>
      </c>
      <c r="M787" s="20">
        <v>779</v>
      </c>
      <c r="N787" s="20">
        <v>779</v>
      </c>
      <c r="O787" s="20">
        <f>H787-L787</f>
        <v>-779</v>
      </c>
      <c r="P787" s="20" t="e">
        <f>#REF!-M787</f>
        <v>#REF!</v>
      </c>
      <c r="Q787" s="20" t="e">
        <f>#REF!-N787</f>
        <v>#REF!</v>
      </c>
      <c r="R787" s="17" t="str">
        <f t="shared" si="87"/>
        <v>09 Б 01 20460610</v>
      </c>
    </row>
    <row r="788" spans="1:18" s="24" customFormat="1" ht="63">
      <c r="A788" s="21"/>
      <c r="B788" s="127" t="s">
        <v>405</v>
      </c>
      <c r="C788" s="109" t="s">
        <v>510</v>
      </c>
      <c r="D788" s="108" t="s">
        <v>229</v>
      </c>
      <c r="E788" s="108" t="s">
        <v>229</v>
      </c>
      <c r="F788" s="108" t="s">
        <v>551</v>
      </c>
      <c r="G788" s="108" t="s">
        <v>406</v>
      </c>
      <c r="H788" s="126"/>
      <c r="L788" s="22"/>
      <c r="M788" s="22"/>
      <c r="N788" s="22"/>
      <c r="O788" s="22"/>
      <c r="P788" s="22"/>
      <c r="Q788" s="22"/>
    </row>
    <row r="789" spans="1:18" s="17" customFormat="1" ht="47.25">
      <c r="A789" s="14"/>
      <c r="B789" s="127" t="s">
        <v>552</v>
      </c>
      <c r="C789" s="109" t="s">
        <v>510</v>
      </c>
      <c r="D789" s="108" t="s">
        <v>229</v>
      </c>
      <c r="E789" s="108" t="s">
        <v>229</v>
      </c>
      <c r="F789" s="108" t="s">
        <v>553</v>
      </c>
      <c r="G789" s="108" t="s">
        <v>9</v>
      </c>
      <c r="H789" s="126">
        <f>H790+H797</f>
        <v>0</v>
      </c>
      <c r="L789" s="20">
        <v>4764.5</v>
      </c>
      <c r="M789" s="20">
        <v>4764.5</v>
      </c>
      <c r="N789" s="20">
        <v>4764.5</v>
      </c>
      <c r="O789" s="20">
        <f>H789-L789</f>
        <v>-4764.5</v>
      </c>
      <c r="P789" s="20" t="e">
        <f>#REF!-M789</f>
        <v>#REF!</v>
      </c>
      <c r="Q789" s="20" t="e">
        <f>#REF!-N789</f>
        <v>#REF!</v>
      </c>
      <c r="R789" s="17" t="str">
        <f t="shared" si="87"/>
        <v>09 Б 02 00000000</v>
      </c>
    </row>
    <row r="790" spans="1:18" s="17" customFormat="1" ht="63">
      <c r="A790" s="14"/>
      <c r="B790" s="125" t="s">
        <v>550</v>
      </c>
      <c r="C790" s="109" t="s">
        <v>510</v>
      </c>
      <c r="D790" s="108" t="s">
        <v>229</v>
      </c>
      <c r="E790" s="108" t="s">
        <v>229</v>
      </c>
      <c r="F790" s="108" t="s">
        <v>554</v>
      </c>
      <c r="G790" s="108" t="s">
        <v>9</v>
      </c>
      <c r="H790" s="126">
        <f>H791+H795+H794+H793</f>
        <v>0</v>
      </c>
      <c r="L790" s="20">
        <v>4764.5</v>
      </c>
      <c r="M790" s="20">
        <v>4764.5</v>
      </c>
      <c r="N790" s="20">
        <v>4764.5</v>
      </c>
      <c r="O790" s="20">
        <f>H790-L790</f>
        <v>-4764.5</v>
      </c>
      <c r="P790" s="20" t="e">
        <f>#REF!-M790</f>
        <v>#REF!</v>
      </c>
      <c r="Q790" s="20" t="e">
        <f>#REF!-N790</f>
        <v>#REF!</v>
      </c>
      <c r="R790" s="17" t="str">
        <f t="shared" si="87"/>
        <v>09 Б 02 20460000</v>
      </c>
    </row>
    <row r="791" spans="1:18" s="17" customFormat="1" ht="31.5">
      <c r="A791" s="14"/>
      <c r="B791" s="125" t="s">
        <v>28</v>
      </c>
      <c r="C791" s="109" t="s">
        <v>510</v>
      </c>
      <c r="D791" s="108" t="s">
        <v>229</v>
      </c>
      <c r="E791" s="108" t="s">
        <v>229</v>
      </c>
      <c r="F791" s="108" t="s">
        <v>554</v>
      </c>
      <c r="G791" s="108" t="s">
        <v>29</v>
      </c>
      <c r="H791" s="126">
        <f>H792</f>
        <v>0</v>
      </c>
      <c r="L791" s="20">
        <v>549.5</v>
      </c>
      <c r="M791" s="20">
        <v>549.5</v>
      </c>
      <c r="N791" s="20">
        <v>549.5</v>
      </c>
      <c r="O791" s="20">
        <f>H791-L791</f>
        <v>-549.5</v>
      </c>
      <c r="P791" s="20" t="e">
        <f>#REF!-M791</f>
        <v>#REF!</v>
      </c>
      <c r="Q791" s="20" t="e">
        <f>#REF!-N791</f>
        <v>#REF!</v>
      </c>
      <c r="R791" s="17" t="str">
        <f t="shared" si="87"/>
        <v>09 Б 02 20460240</v>
      </c>
    </row>
    <row r="792" spans="1:18" s="17" customFormat="1" ht="15.75">
      <c r="A792" s="14"/>
      <c r="B792" s="125" t="s">
        <v>30</v>
      </c>
      <c r="C792" s="109" t="s">
        <v>510</v>
      </c>
      <c r="D792" s="108" t="s">
        <v>229</v>
      </c>
      <c r="E792" s="108" t="s">
        <v>229</v>
      </c>
      <c r="F792" s="108" t="s">
        <v>554</v>
      </c>
      <c r="G792" s="108" t="s">
        <v>31</v>
      </c>
      <c r="H792" s="126"/>
      <c r="L792" s="20"/>
      <c r="M792" s="20"/>
      <c r="N792" s="20"/>
      <c r="O792" s="20"/>
      <c r="P792" s="20"/>
      <c r="Q792" s="20"/>
      <c r="R792" s="17" t="str">
        <f t="shared" si="87"/>
        <v>09 Б 02 20460244</v>
      </c>
    </row>
    <row r="793" spans="1:18" s="17" customFormat="1" ht="15.75">
      <c r="A793" s="14"/>
      <c r="B793" s="125" t="s">
        <v>555</v>
      </c>
      <c r="C793" s="109" t="s">
        <v>510</v>
      </c>
      <c r="D793" s="108" t="s">
        <v>229</v>
      </c>
      <c r="E793" s="108" t="s">
        <v>229</v>
      </c>
      <c r="F793" s="108" t="s">
        <v>554</v>
      </c>
      <c r="G793" s="108" t="s">
        <v>556</v>
      </c>
      <c r="H793" s="126"/>
      <c r="L793" s="20">
        <v>2835</v>
      </c>
      <c r="M793" s="20">
        <v>2835</v>
      </c>
      <c r="N793" s="20">
        <v>2835</v>
      </c>
      <c r="O793" s="20">
        <f>H793-L793</f>
        <v>-2835</v>
      </c>
      <c r="P793" s="20" t="e">
        <f>#REF!-M793</f>
        <v>#REF!</v>
      </c>
      <c r="Q793" s="20" t="e">
        <f>#REF!-N793</f>
        <v>#REF!</v>
      </c>
      <c r="R793" s="17" t="str">
        <f t="shared" si="87"/>
        <v>09 Б 02 20460340</v>
      </c>
    </row>
    <row r="794" spans="1:18" s="17" customFormat="1" ht="15.75">
      <c r="A794" s="14"/>
      <c r="B794" s="125" t="s">
        <v>163</v>
      </c>
      <c r="C794" s="109" t="s">
        <v>510</v>
      </c>
      <c r="D794" s="108" t="s">
        <v>229</v>
      </c>
      <c r="E794" s="108" t="s">
        <v>229</v>
      </c>
      <c r="F794" s="108" t="s">
        <v>554</v>
      </c>
      <c r="G794" s="108" t="s">
        <v>164</v>
      </c>
      <c r="H794" s="126"/>
      <c r="L794" s="20">
        <v>250</v>
      </c>
      <c r="M794" s="20">
        <v>250</v>
      </c>
      <c r="N794" s="20">
        <v>250</v>
      </c>
      <c r="O794" s="20">
        <f>H794-L794</f>
        <v>-250</v>
      </c>
      <c r="P794" s="20" t="e">
        <f>#REF!-M794</f>
        <v>#REF!</v>
      </c>
      <c r="Q794" s="20" t="e">
        <f>#REF!-N794</f>
        <v>#REF!</v>
      </c>
      <c r="R794" s="17" t="str">
        <f t="shared" si="87"/>
        <v>09 Б 02 20460350</v>
      </c>
    </row>
    <row r="795" spans="1:18" s="17" customFormat="1" ht="15.75">
      <c r="A795" s="14"/>
      <c r="B795" s="132" t="s">
        <v>403</v>
      </c>
      <c r="C795" s="109" t="s">
        <v>510</v>
      </c>
      <c r="D795" s="108" t="s">
        <v>229</v>
      </c>
      <c r="E795" s="108" t="s">
        <v>229</v>
      </c>
      <c r="F795" s="108" t="s">
        <v>554</v>
      </c>
      <c r="G795" s="108" t="s">
        <v>404</v>
      </c>
      <c r="H795" s="126">
        <f>H796</f>
        <v>0</v>
      </c>
      <c r="L795" s="20">
        <v>1130</v>
      </c>
      <c r="M795" s="20">
        <v>1130</v>
      </c>
      <c r="N795" s="20">
        <v>1130</v>
      </c>
      <c r="O795" s="20">
        <f>H795-L795</f>
        <v>-1130</v>
      </c>
      <c r="P795" s="20" t="e">
        <f>#REF!-M795</f>
        <v>#REF!</v>
      </c>
      <c r="Q795" s="20" t="e">
        <f>#REF!-N795</f>
        <v>#REF!</v>
      </c>
      <c r="R795" s="17" t="str">
        <f t="shared" si="87"/>
        <v>09 Б 02 20460610</v>
      </c>
    </row>
    <row r="796" spans="1:18" s="24" customFormat="1" ht="63">
      <c r="A796" s="21"/>
      <c r="B796" s="127" t="s">
        <v>405</v>
      </c>
      <c r="C796" s="109" t="s">
        <v>510</v>
      </c>
      <c r="D796" s="108" t="s">
        <v>229</v>
      </c>
      <c r="E796" s="108" t="s">
        <v>229</v>
      </c>
      <c r="F796" s="108" t="s">
        <v>554</v>
      </c>
      <c r="G796" s="108" t="s">
        <v>406</v>
      </c>
      <c r="H796" s="126"/>
      <c r="L796" s="22"/>
      <c r="M796" s="22"/>
      <c r="N796" s="22"/>
      <c r="O796" s="22"/>
      <c r="P796" s="22"/>
      <c r="Q796" s="22"/>
    </row>
    <row r="797" spans="1:18" s="24" customFormat="1" ht="47.25">
      <c r="A797" s="21"/>
      <c r="B797" s="132" t="s">
        <v>1041</v>
      </c>
      <c r="C797" s="109" t="s">
        <v>510</v>
      </c>
      <c r="D797" s="108" t="s">
        <v>229</v>
      </c>
      <c r="E797" s="108" t="s">
        <v>229</v>
      </c>
      <c r="F797" s="108" t="s">
        <v>1042</v>
      </c>
      <c r="G797" s="108" t="s">
        <v>9</v>
      </c>
      <c r="H797" s="126">
        <f>H798</f>
        <v>0</v>
      </c>
      <c r="L797" s="22"/>
      <c r="M797" s="22"/>
      <c r="N797" s="22"/>
      <c r="O797" s="22"/>
      <c r="P797" s="22"/>
      <c r="Q797" s="22"/>
    </row>
    <row r="798" spans="1:18" s="24" customFormat="1" ht="15.75">
      <c r="A798" s="21"/>
      <c r="B798" s="137" t="s">
        <v>409</v>
      </c>
      <c r="C798" s="109" t="s">
        <v>510</v>
      </c>
      <c r="D798" s="108" t="s">
        <v>229</v>
      </c>
      <c r="E798" s="108" t="s">
        <v>229</v>
      </c>
      <c r="F798" s="108" t="s">
        <v>1042</v>
      </c>
      <c r="G798" s="108" t="s">
        <v>410</v>
      </c>
      <c r="H798" s="126">
        <f>H799</f>
        <v>0</v>
      </c>
      <c r="L798" s="22"/>
      <c r="M798" s="22"/>
      <c r="N798" s="22"/>
      <c r="O798" s="22"/>
      <c r="P798" s="22"/>
      <c r="Q798" s="22"/>
    </row>
    <row r="799" spans="1:18" s="24" customFormat="1" ht="15.75">
      <c r="A799" s="21"/>
      <c r="B799" s="127" t="s">
        <v>428</v>
      </c>
      <c r="C799" s="109" t="s">
        <v>510</v>
      </c>
      <c r="D799" s="108" t="s">
        <v>229</v>
      </c>
      <c r="E799" s="108" t="s">
        <v>229</v>
      </c>
      <c r="F799" s="108" t="s">
        <v>1042</v>
      </c>
      <c r="G799" s="108" t="s">
        <v>429</v>
      </c>
      <c r="H799" s="126"/>
      <c r="L799" s="22"/>
      <c r="M799" s="22"/>
      <c r="N799" s="22"/>
      <c r="O799" s="22"/>
      <c r="P799" s="22"/>
      <c r="Q799" s="22"/>
    </row>
    <row r="800" spans="1:18" s="17" customFormat="1" ht="31.5">
      <c r="A800" s="14"/>
      <c r="B800" s="127" t="s">
        <v>557</v>
      </c>
      <c r="C800" s="109" t="s">
        <v>510</v>
      </c>
      <c r="D800" s="108" t="s">
        <v>229</v>
      </c>
      <c r="E800" s="108" t="s">
        <v>229</v>
      </c>
      <c r="F800" s="108" t="s">
        <v>558</v>
      </c>
      <c r="G800" s="108" t="s">
        <v>9</v>
      </c>
      <c r="H800" s="126">
        <f t="shared" ref="H800:H801" si="92">H801</f>
        <v>0</v>
      </c>
      <c r="L800" s="20">
        <v>180</v>
      </c>
      <c r="M800" s="20">
        <v>180</v>
      </c>
      <c r="N800" s="20">
        <v>180</v>
      </c>
      <c r="O800" s="20">
        <f>H800-L800</f>
        <v>-180</v>
      </c>
      <c r="P800" s="20" t="e">
        <f>#REF!-M800</f>
        <v>#REF!</v>
      </c>
      <c r="Q800" s="20" t="e">
        <f>#REF!-N800</f>
        <v>#REF!</v>
      </c>
      <c r="R800" s="17" t="str">
        <f t="shared" si="87"/>
        <v>09 Б 03 00000000</v>
      </c>
    </row>
    <row r="801" spans="1:18" s="17" customFormat="1" ht="63">
      <c r="A801" s="14"/>
      <c r="B801" s="125" t="s">
        <v>550</v>
      </c>
      <c r="C801" s="109" t="s">
        <v>510</v>
      </c>
      <c r="D801" s="108" t="s">
        <v>229</v>
      </c>
      <c r="E801" s="108" t="s">
        <v>229</v>
      </c>
      <c r="F801" s="108" t="s">
        <v>559</v>
      </c>
      <c r="G801" s="108" t="s">
        <v>9</v>
      </c>
      <c r="H801" s="126">
        <f t="shared" si="92"/>
        <v>0</v>
      </c>
      <c r="L801" s="20">
        <v>180</v>
      </c>
      <c r="M801" s="20">
        <v>180</v>
      </c>
      <c r="N801" s="20">
        <v>180</v>
      </c>
      <c r="O801" s="20">
        <f>H801-L801</f>
        <v>-180</v>
      </c>
      <c r="P801" s="20" t="e">
        <f>#REF!-M801</f>
        <v>#REF!</v>
      </c>
      <c r="Q801" s="20" t="e">
        <f>#REF!-N801</f>
        <v>#REF!</v>
      </c>
      <c r="R801" s="17" t="str">
        <f t="shared" si="87"/>
        <v>09 Б 03 20460000</v>
      </c>
    </row>
    <row r="802" spans="1:18" s="17" customFormat="1" ht="15.75">
      <c r="A802" s="14"/>
      <c r="B802" s="132" t="s">
        <v>403</v>
      </c>
      <c r="C802" s="109" t="s">
        <v>510</v>
      </c>
      <c r="D802" s="108" t="s">
        <v>229</v>
      </c>
      <c r="E802" s="108" t="s">
        <v>229</v>
      </c>
      <c r="F802" s="108" t="s">
        <v>559</v>
      </c>
      <c r="G802" s="108" t="s">
        <v>404</v>
      </c>
      <c r="H802" s="126">
        <f>H803</f>
        <v>0</v>
      </c>
      <c r="L802" s="20">
        <v>180</v>
      </c>
      <c r="M802" s="20">
        <v>180</v>
      </c>
      <c r="N802" s="20">
        <v>180</v>
      </c>
      <c r="O802" s="20">
        <f>H802-L802</f>
        <v>-180</v>
      </c>
      <c r="P802" s="20" t="e">
        <f>#REF!-M802</f>
        <v>#REF!</v>
      </c>
      <c r="Q802" s="20" t="e">
        <f>#REF!-N802</f>
        <v>#REF!</v>
      </c>
      <c r="R802" s="17" t="str">
        <f t="shared" si="87"/>
        <v>09 Б 03 20460610</v>
      </c>
    </row>
    <row r="803" spans="1:18" s="24" customFormat="1" ht="63">
      <c r="A803" s="21"/>
      <c r="B803" s="127" t="s">
        <v>405</v>
      </c>
      <c r="C803" s="109" t="s">
        <v>510</v>
      </c>
      <c r="D803" s="108" t="s">
        <v>229</v>
      </c>
      <c r="E803" s="108" t="s">
        <v>229</v>
      </c>
      <c r="F803" s="108" t="s">
        <v>559</v>
      </c>
      <c r="G803" s="108" t="s">
        <v>406</v>
      </c>
      <c r="H803" s="126"/>
      <c r="L803" s="22"/>
      <c r="M803" s="22"/>
      <c r="N803" s="22"/>
      <c r="O803" s="22"/>
      <c r="P803" s="22"/>
      <c r="Q803" s="22"/>
    </row>
    <row r="804" spans="1:18" s="17" customFormat="1" ht="47.25">
      <c r="A804" s="14"/>
      <c r="B804" s="127" t="s">
        <v>560</v>
      </c>
      <c r="C804" s="109" t="s">
        <v>510</v>
      </c>
      <c r="D804" s="108" t="s">
        <v>229</v>
      </c>
      <c r="E804" s="108" t="s">
        <v>229</v>
      </c>
      <c r="F804" s="108" t="s">
        <v>561</v>
      </c>
      <c r="G804" s="108" t="s">
        <v>9</v>
      </c>
      <c r="H804" s="126">
        <f t="shared" ref="H804:H805" si="93">H805</f>
        <v>0</v>
      </c>
      <c r="L804" s="20">
        <v>310</v>
      </c>
      <c r="M804" s="20">
        <v>310</v>
      </c>
      <c r="N804" s="20">
        <v>310</v>
      </c>
      <c r="O804" s="20">
        <f>H804-L804</f>
        <v>-310</v>
      </c>
      <c r="P804" s="20" t="e">
        <f>#REF!-M804</f>
        <v>#REF!</v>
      </c>
      <c r="Q804" s="20" t="e">
        <f>#REF!-N804</f>
        <v>#REF!</v>
      </c>
      <c r="R804" s="17" t="str">
        <f t="shared" si="87"/>
        <v>09 Б 04 00000000</v>
      </c>
    </row>
    <row r="805" spans="1:18" s="17" customFormat="1" ht="63">
      <c r="A805" s="14"/>
      <c r="B805" s="125" t="s">
        <v>550</v>
      </c>
      <c r="C805" s="109" t="s">
        <v>510</v>
      </c>
      <c r="D805" s="108" t="s">
        <v>229</v>
      </c>
      <c r="E805" s="108" t="s">
        <v>229</v>
      </c>
      <c r="F805" s="108" t="s">
        <v>562</v>
      </c>
      <c r="G805" s="108" t="s">
        <v>9</v>
      </c>
      <c r="H805" s="126">
        <f t="shared" si="93"/>
        <v>0</v>
      </c>
      <c r="L805" s="20">
        <v>310</v>
      </c>
      <c r="M805" s="20">
        <v>310</v>
      </c>
      <c r="N805" s="20">
        <v>310</v>
      </c>
      <c r="O805" s="20">
        <f>H805-L805</f>
        <v>-310</v>
      </c>
      <c r="P805" s="20" t="e">
        <f>#REF!-M805</f>
        <v>#REF!</v>
      </c>
      <c r="Q805" s="20" t="e">
        <f>#REF!-N805</f>
        <v>#REF!</v>
      </c>
      <c r="R805" s="17" t="str">
        <f t="shared" si="87"/>
        <v>09 Б 04 20460000</v>
      </c>
    </row>
    <row r="806" spans="1:18" s="17" customFormat="1" ht="15.75">
      <c r="A806" s="14"/>
      <c r="B806" s="132" t="s">
        <v>403</v>
      </c>
      <c r="C806" s="109" t="s">
        <v>510</v>
      </c>
      <c r="D806" s="108" t="s">
        <v>229</v>
      </c>
      <c r="E806" s="108" t="s">
        <v>229</v>
      </c>
      <c r="F806" s="108" t="s">
        <v>562</v>
      </c>
      <c r="G806" s="108" t="s">
        <v>404</v>
      </c>
      <c r="H806" s="126">
        <f>H807</f>
        <v>0</v>
      </c>
      <c r="L806" s="20">
        <v>310</v>
      </c>
      <c r="M806" s="20">
        <v>310</v>
      </c>
      <c r="N806" s="20">
        <v>310</v>
      </c>
      <c r="O806" s="20">
        <f>H806-L806</f>
        <v>-310</v>
      </c>
      <c r="P806" s="20" t="e">
        <f>#REF!-M806</f>
        <v>#REF!</v>
      </c>
      <c r="Q806" s="20" t="e">
        <f>#REF!-N806</f>
        <v>#REF!</v>
      </c>
      <c r="R806" s="17" t="str">
        <f t="shared" si="87"/>
        <v>09 Б 04 20460610</v>
      </c>
    </row>
    <row r="807" spans="1:18" s="24" customFormat="1" ht="63">
      <c r="A807" s="21"/>
      <c r="B807" s="127" t="s">
        <v>405</v>
      </c>
      <c r="C807" s="109" t="s">
        <v>510</v>
      </c>
      <c r="D807" s="108" t="s">
        <v>229</v>
      </c>
      <c r="E807" s="108" t="s">
        <v>229</v>
      </c>
      <c r="F807" s="108" t="s">
        <v>562</v>
      </c>
      <c r="G807" s="108" t="s">
        <v>406</v>
      </c>
      <c r="H807" s="126"/>
      <c r="L807" s="22"/>
      <c r="M807" s="22"/>
      <c r="N807" s="22"/>
      <c r="O807" s="22"/>
      <c r="P807" s="22"/>
      <c r="Q807" s="22"/>
    </row>
    <row r="808" spans="1:18" s="17" customFormat="1" ht="47.25">
      <c r="A808" s="14"/>
      <c r="B808" s="127" t="s">
        <v>563</v>
      </c>
      <c r="C808" s="109" t="s">
        <v>510</v>
      </c>
      <c r="D808" s="108" t="s">
        <v>229</v>
      </c>
      <c r="E808" s="108" t="s">
        <v>229</v>
      </c>
      <c r="F808" s="108" t="s">
        <v>564</v>
      </c>
      <c r="G808" s="108" t="s">
        <v>9</v>
      </c>
      <c r="H808" s="126">
        <f t="shared" ref="H808:H809" si="94">H809</f>
        <v>0</v>
      </c>
      <c r="L808" s="20">
        <v>25.54</v>
      </c>
      <c r="M808" s="20">
        <v>25.54</v>
      </c>
      <c r="N808" s="20">
        <v>25.54</v>
      </c>
      <c r="O808" s="20">
        <f>H808-L808</f>
        <v>-25.54</v>
      </c>
      <c r="P808" s="20" t="e">
        <f>#REF!-M808</f>
        <v>#REF!</v>
      </c>
      <c r="Q808" s="20" t="e">
        <f>#REF!-N808</f>
        <v>#REF!</v>
      </c>
      <c r="R808" s="17" t="str">
        <f t="shared" si="87"/>
        <v>09 Б 05 00000000</v>
      </c>
    </row>
    <row r="809" spans="1:18" s="17" customFormat="1" ht="63">
      <c r="A809" s="14"/>
      <c r="B809" s="125" t="s">
        <v>550</v>
      </c>
      <c r="C809" s="109" t="s">
        <v>510</v>
      </c>
      <c r="D809" s="108" t="s">
        <v>229</v>
      </c>
      <c r="E809" s="108" t="s">
        <v>229</v>
      </c>
      <c r="F809" s="108" t="s">
        <v>565</v>
      </c>
      <c r="G809" s="108" t="s">
        <v>9</v>
      </c>
      <c r="H809" s="126">
        <f t="shared" si="94"/>
        <v>0</v>
      </c>
      <c r="L809" s="20">
        <v>25.54</v>
      </c>
      <c r="M809" s="20">
        <v>25.54</v>
      </c>
      <c r="N809" s="20">
        <v>25.54</v>
      </c>
      <c r="O809" s="20">
        <f>H809-L809</f>
        <v>-25.54</v>
      </c>
      <c r="P809" s="20" t="e">
        <f>#REF!-M809</f>
        <v>#REF!</v>
      </c>
      <c r="Q809" s="20" t="e">
        <f>#REF!-N809</f>
        <v>#REF!</v>
      </c>
      <c r="R809" s="17" t="str">
        <f t="shared" si="87"/>
        <v>09 Б 05 20460000</v>
      </c>
    </row>
    <row r="810" spans="1:18" s="17" customFormat="1" ht="15.75">
      <c r="A810" s="14"/>
      <c r="B810" s="132" t="s">
        <v>403</v>
      </c>
      <c r="C810" s="109" t="s">
        <v>510</v>
      </c>
      <c r="D810" s="108" t="s">
        <v>229</v>
      </c>
      <c r="E810" s="108" t="s">
        <v>229</v>
      </c>
      <c r="F810" s="108" t="s">
        <v>565</v>
      </c>
      <c r="G810" s="108" t="s">
        <v>404</v>
      </c>
      <c r="H810" s="126">
        <f>H811</f>
        <v>0</v>
      </c>
      <c r="L810" s="20">
        <v>25.54</v>
      </c>
      <c r="M810" s="20">
        <v>25.54</v>
      </c>
      <c r="N810" s="20">
        <v>25.54</v>
      </c>
      <c r="O810" s="20">
        <f>H810-L810</f>
        <v>-25.54</v>
      </c>
      <c r="P810" s="20" t="e">
        <f>#REF!-M810</f>
        <v>#REF!</v>
      </c>
      <c r="Q810" s="20" t="e">
        <f>#REF!-N810</f>
        <v>#REF!</v>
      </c>
      <c r="R810" s="17" t="str">
        <f t="shared" si="87"/>
        <v>09 Б 05 20460610</v>
      </c>
    </row>
    <row r="811" spans="1:18" s="24" customFormat="1" ht="63">
      <c r="A811" s="21"/>
      <c r="B811" s="127" t="s">
        <v>405</v>
      </c>
      <c r="C811" s="109" t="s">
        <v>510</v>
      </c>
      <c r="D811" s="108" t="s">
        <v>229</v>
      </c>
      <c r="E811" s="108" t="s">
        <v>229</v>
      </c>
      <c r="F811" s="108" t="s">
        <v>565</v>
      </c>
      <c r="G811" s="108" t="s">
        <v>406</v>
      </c>
      <c r="H811" s="126"/>
      <c r="L811" s="22"/>
      <c r="M811" s="22"/>
      <c r="N811" s="22"/>
      <c r="O811" s="22"/>
      <c r="P811" s="22"/>
      <c r="Q811" s="22"/>
    </row>
    <row r="812" spans="1:18" s="17" customFormat="1" ht="47.25">
      <c r="A812" s="14"/>
      <c r="B812" s="127" t="s">
        <v>566</v>
      </c>
      <c r="C812" s="109" t="s">
        <v>510</v>
      </c>
      <c r="D812" s="108" t="s">
        <v>229</v>
      </c>
      <c r="E812" s="108" t="s">
        <v>229</v>
      </c>
      <c r="F812" s="108" t="s">
        <v>567</v>
      </c>
      <c r="G812" s="108" t="s">
        <v>9</v>
      </c>
      <c r="H812" s="126">
        <f t="shared" ref="H812:H813" si="95">H813</f>
        <v>0</v>
      </c>
      <c r="L812" s="20">
        <v>3406.66</v>
      </c>
      <c r="M812" s="20">
        <v>3406.66</v>
      </c>
      <c r="N812" s="20">
        <v>3406.66</v>
      </c>
      <c r="O812" s="20">
        <f>H812-L812</f>
        <v>-3406.66</v>
      </c>
      <c r="P812" s="20" t="e">
        <f>#REF!-M812</f>
        <v>#REF!</v>
      </c>
      <c r="Q812" s="20" t="e">
        <f>#REF!-N812</f>
        <v>#REF!</v>
      </c>
      <c r="R812" s="17" t="str">
        <f t="shared" si="87"/>
        <v>09 Б 06 00000000</v>
      </c>
    </row>
    <row r="813" spans="1:18" s="17" customFormat="1" ht="31.5">
      <c r="A813" s="14"/>
      <c r="B813" s="127" t="s">
        <v>136</v>
      </c>
      <c r="C813" s="109" t="s">
        <v>510</v>
      </c>
      <c r="D813" s="108" t="s">
        <v>229</v>
      </c>
      <c r="E813" s="108" t="s">
        <v>229</v>
      </c>
      <c r="F813" s="108" t="s">
        <v>568</v>
      </c>
      <c r="G813" s="108" t="s">
        <v>9</v>
      </c>
      <c r="H813" s="126">
        <f t="shared" si="95"/>
        <v>0</v>
      </c>
      <c r="L813" s="20">
        <v>3406.66</v>
      </c>
      <c r="M813" s="20">
        <v>3406.66</v>
      </c>
      <c r="N813" s="20">
        <v>3406.66</v>
      </c>
      <c r="O813" s="20">
        <f>H813-L813</f>
        <v>-3406.66</v>
      </c>
      <c r="P813" s="20" t="e">
        <f>#REF!-M813</f>
        <v>#REF!</v>
      </c>
      <c r="Q813" s="20" t="e">
        <f>#REF!-N813</f>
        <v>#REF!</v>
      </c>
      <c r="R813" s="17" t="str">
        <f t="shared" si="87"/>
        <v>09 Б 06 11010000</v>
      </c>
    </row>
    <row r="814" spans="1:18" s="17" customFormat="1" ht="15.75">
      <c r="A814" s="14"/>
      <c r="B814" s="132" t="s">
        <v>403</v>
      </c>
      <c r="C814" s="109" t="s">
        <v>510</v>
      </c>
      <c r="D814" s="108" t="s">
        <v>229</v>
      </c>
      <c r="E814" s="108" t="s">
        <v>229</v>
      </c>
      <c r="F814" s="108" t="s">
        <v>568</v>
      </c>
      <c r="G814" s="108" t="s">
        <v>404</v>
      </c>
      <c r="H814" s="126">
        <f>H815</f>
        <v>0</v>
      </c>
      <c r="L814" s="20">
        <v>3406.66</v>
      </c>
      <c r="M814" s="20">
        <v>3406.66</v>
      </c>
      <c r="N814" s="20">
        <v>3406.66</v>
      </c>
      <c r="O814" s="20">
        <f>H814-L814</f>
        <v>-3406.66</v>
      </c>
      <c r="P814" s="20" t="e">
        <f>#REF!-M814</f>
        <v>#REF!</v>
      </c>
      <c r="Q814" s="20" t="e">
        <f>#REF!-N814</f>
        <v>#REF!</v>
      </c>
      <c r="R814" s="17" t="str">
        <f t="shared" si="87"/>
        <v>09 Б 06 11010610</v>
      </c>
    </row>
    <row r="815" spans="1:18" s="24" customFormat="1" ht="63">
      <c r="A815" s="21"/>
      <c r="B815" s="127" t="s">
        <v>405</v>
      </c>
      <c r="C815" s="109" t="s">
        <v>510</v>
      </c>
      <c r="D815" s="108" t="s">
        <v>229</v>
      </c>
      <c r="E815" s="108" t="s">
        <v>229</v>
      </c>
      <c r="F815" s="108" t="s">
        <v>568</v>
      </c>
      <c r="G815" s="108" t="s">
        <v>406</v>
      </c>
      <c r="H815" s="126"/>
      <c r="L815" s="22"/>
      <c r="M815" s="22"/>
      <c r="N815" s="22"/>
      <c r="O815" s="22"/>
      <c r="P815" s="22"/>
      <c r="Q815" s="22"/>
    </row>
    <row r="816" spans="1:18" s="16" customFormat="1" ht="47.25">
      <c r="A816" s="14"/>
      <c r="B816" s="127" t="s">
        <v>146</v>
      </c>
      <c r="C816" s="109" t="s">
        <v>510</v>
      </c>
      <c r="D816" s="108" t="s">
        <v>229</v>
      </c>
      <c r="E816" s="108" t="s">
        <v>229</v>
      </c>
      <c r="F816" s="130" t="s">
        <v>147</v>
      </c>
      <c r="G816" s="130" t="s">
        <v>9</v>
      </c>
      <c r="H816" s="134">
        <f>H817</f>
        <v>0</v>
      </c>
      <c r="L816" s="27">
        <v>390</v>
      </c>
      <c r="M816" s="27">
        <v>0</v>
      </c>
      <c r="N816" s="27">
        <v>0</v>
      </c>
      <c r="O816" s="27">
        <f>H816-L816</f>
        <v>-390</v>
      </c>
      <c r="P816" s="27" t="e">
        <f>#REF!-M816</f>
        <v>#REF!</v>
      </c>
      <c r="Q816" s="27" t="e">
        <f>#REF!-N816</f>
        <v>#REF!</v>
      </c>
      <c r="R816" s="17" t="str">
        <f t="shared" ref="R816:R820" si="96">CONCATENATE(F816,G816)</f>
        <v>15 0 00 00000000</v>
      </c>
    </row>
    <row r="817" spans="1:18" s="16" customFormat="1" ht="15.75">
      <c r="A817" s="14"/>
      <c r="B817" s="125" t="s">
        <v>148</v>
      </c>
      <c r="C817" s="109" t="s">
        <v>510</v>
      </c>
      <c r="D817" s="108" t="s">
        <v>229</v>
      </c>
      <c r="E817" s="108" t="s">
        <v>229</v>
      </c>
      <c r="F817" s="130" t="s">
        <v>149</v>
      </c>
      <c r="G817" s="130" t="s">
        <v>9</v>
      </c>
      <c r="H817" s="134">
        <f>H818</f>
        <v>0</v>
      </c>
      <c r="L817" s="27">
        <v>390</v>
      </c>
      <c r="M817" s="27">
        <v>0</v>
      </c>
      <c r="N817" s="27">
        <v>0</v>
      </c>
      <c r="O817" s="27">
        <f>H817-L817</f>
        <v>-390</v>
      </c>
      <c r="P817" s="27" t="e">
        <f>#REF!-M817</f>
        <v>#REF!</v>
      </c>
      <c r="Q817" s="27" t="e">
        <f>#REF!-N817</f>
        <v>#REF!</v>
      </c>
      <c r="R817" s="17" t="str">
        <f t="shared" si="96"/>
        <v>15 1 00 00000000</v>
      </c>
    </row>
    <row r="818" spans="1:18" s="16" customFormat="1" ht="78.75">
      <c r="A818" s="14"/>
      <c r="B818" s="129" t="s">
        <v>150</v>
      </c>
      <c r="C818" s="109" t="s">
        <v>510</v>
      </c>
      <c r="D818" s="108" t="s">
        <v>229</v>
      </c>
      <c r="E818" s="108" t="s">
        <v>229</v>
      </c>
      <c r="F818" s="109" t="s">
        <v>151</v>
      </c>
      <c r="G818" s="130" t="s">
        <v>9</v>
      </c>
      <c r="H818" s="134">
        <f>H819</f>
        <v>0</v>
      </c>
      <c r="L818" s="27">
        <v>390</v>
      </c>
      <c r="M818" s="27">
        <v>0</v>
      </c>
      <c r="N818" s="27">
        <v>0</v>
      </c>
      <c r="O818" s="27">
        <f>H818-L818</f>
        <v>-390</v>
      </c>
      <c r="P818" s="27" t="e">
        <f>#REF!-M818</f>
        <v>#REF!</v>
      </c>
      <c r="Q818" s="27" t="e">
        <f>#REF!-N818</f>
        <v>#REF!</v>
      </c>
      <c r="R818" s="17" t="str">
        <f t="shared" si="96"/>
        <v>15 1 01 00000000</v>
      </c>
    </row>
    <row r="819" spans="1:18" s="16" customFormat="1" ht="47.25">
      <c r="A819" s="14"/>
      <c r="B819" s="129" t="s">
        <v>152</v>
      </c>
      <c r="C819" s="109" t="s">
        <v>510</v>
      </c>
      <c r="D819" s="108" t="s">
        <v>229</v>
      </c>
      <c r="E819" s="108" t="s">
        <v>229</v>
      </c>
      <c r="F819" s="109" t="s">
        <v>153</v>
      </c>
      <c r="G819" s="130" t="s">
        <v>9</v>
      </c>
      <c r="H819" s="134">
        <f>SUM(H820:H820)</f>
        <v>0</v>
      </c>
      <c r="L819" s="27">
        <v>390</v>
      </c>
      <c r="M819" s="27">
        <v>0</v>
      </c>
      <c r="N819" s="27">
        <v>0</v>
      </c>
      <c r="O819" s="27">
        <f>H819-L819</f>
        <v>-390</v>
      </c>
      <c r="P819" s="27" t="e">
        <f>#REF!-M819</f>
        <v>#REF!</v>
      </c>
      <c r="Q819" s="27" t="e">
        <f>#REF!-N819</f>
        <v>#REF!</v>
      </c>
      <c r="R819" s="17" t="str">
        <f t="shared" si="96"/>
        <v>15 1 01 20350000</v>
      </c>
    </row>
    <row r="820" spans="1:18" s="16" customFormat="1" ht="15.75">
      <c r="A820" s="14"/>
      <c r="B820" s="132" t="s">
        <v>403</v>
      </c>
      <c r="C820" s="109" t="s">
        <v>510</v>
      </c>
      <c r="D820" s="108" t="s">
        <v>229</v>
      </c>
      <c r="E820" s="108" t="s">
        <v>229</v>
      </c>
      <c r="F820" s="109" t="s">
        <v>153</v>
      </c>
      <c r="G820" s="130" t="s">
        <v>404</v>
      </c>
      <c r="H820" s="126">
        <f>H821</f>
        <v>0</v>
      </c>
      <c r="L820" s="20">
        <v>390</v>
      </c>
      <c r="M820" s="20">
        <v>0</v>
      </c>
      <c r="N820" s="20">
        <v>0</v>
      </c>
      <c r="O820" s="20">
        <f>H820-L820</f>
        <v>-390</v>
      </c>
      <c r="P820" s="20" t="e">
        <f>#REF!-M820</f>
        <v>#REF!</v>
      </c>
      <c r="Q820" s="20" t="e">
        <f>#REF!-N820</f>
        <v>#REF!</v>
      </c>
      <c r="R820" s="17" t="str">
        <f t="shared" si="96"/>
        <v>15 1 01 20350610</v>
      </c>
    </row>
    <row r="821" spans="1:18" s="23" customFormat="1" ht="15.75">
      <c r="A821" s="21"/>
      <c r="B821" s="127" t="s">
        <v>407</v>
      </c>
      <c r="C821" s="109" t="s">
        <v>510</v>
      </c>
      <c r="D821" s="108" t="s">
        <v>229</v>
      </c>
      <c r="E821" s="108" t="s">
        <v>229</v>
      </c>
      <c r="F821" s="109" t="s">
        <v>153</v>
      </c>
      <c r="G821" s="109" t="s">
        <v>408</v>
      </c>
      <c r="H821" s="126"/>
      <c r="L821" s="22"/>
      <c r="M821" s="22"/>
      <c r="N821" s="22"/>
      <c r="O821" s="22"/>
      <c r="P821" s="22"/>
      <c r="Q821" s="22"/>
      <c r="R821" s="24"/>
    </row>
    <row r="822" spans="1:18" s="16" customFormat="1" ht="15.75">
      <c r="A822" s="14"/>
      <c r="B822" s="117" t="s">
        <v>569</v>
      </c>
      <c r="C822" s="118" t="s">
        <v>510</v>
      </c>
      <c r="D822" s="119" t="s">
        <v>238</v>
      </c>
      <c r="E822" s="119" t="s">
        <v>7</v>
      </c>
      <c r="F822" s="119" t="s">
        <v>8</v>
      </c>
      <c r="G822" s="119" t="s">
        <v>9</v>
      </c>
      <c r="H822" s="120">
        <f>H823+H904</f>
        <v>0</v>
      </c>
      <c r="L822" s="18">
        <v>195218.21999999997</v>
      </c>
      <c r="M822" s="18">
        <v>195824.43</v>
      </c>
      <c r="N822" s="18">
        <v>196485.86</v>
      </c>
      <c r="O822" s="18">
        <f t="shared" ref="O822:O828" si="97">H822-L822</f>
        <v>-195218.21999999997</v>
      </c>
      <c r="P822" s="18" t="e">
        <f>#REF!-M822</f>
        <v>#REF!</v>
      </c>
      <c r="Q822" s="18" t="e">
        <f>#REF!-N822</f>
        <v>#REF!</v>
      </c>
      <c r="R822" s="17" t="str">
        <f t="shared" si="87"/>
        <v>00 0 00 00000000</v>
      </c>
    </row>
    <row r="823" spans="1:18" s="16" customFormat="1" ht="15.75">
      <c r="A823" s="14"/>
      <c r="B823" s="121" t="s">
        <v>239</v>
      </c>
      <c r="C823" s="122" t="s">
        <v>510</v>
      </c>
      <c r="D823" s="123" t="s">
        <v>238</v>
      </c>
      <c r="E823" s="123" t="s">
        <v>11</v>
      </c>
      <c r="F823" s="123" t="s">
        <v>8</v>
      </c>
      <c r="G823" s="123" t="s">
        <v>9</v>
      </c>
      <c r="H823" s="124">
        <f>H824+H887+H881+H893+H899</f>
        <v>0</v>
      </c>
      <c r="L823" s="19">
        <v>181607.75999999998</v>
      </c>
      <c r="M823" s="19">
        <v>182213.97</v>
      </c>
      <c r="N823" s="19">
        <v>182875.4</v>
      </c>
      <c r="O823" s="19">
        <f t="shared" si="97"/>
        <v>-181607.75999999998</v>
      </c>
      <c r="P823" s="19" t="e">
        <f>#REF!-M823</f>
        <v>#REF!</v>
      </c>
      <c r="Q823" s="19" t="e">
        <f>#REF!-N823</f>
        <v>#REF!</v>
      </c>
      <c r="R823" s="17" t="str">
        <f t="shared" si="87"/>
        <v>00 0 00 00000000</v>
      </c>
    </row>
    <row r="824" spans="1:18" s="16" customFormat="1" ht="31.5">
      <c r="A824" s="14"/>
      <c r="B824" s="125" t="s">
        <v>240</v>
      </c>
      <c r="C824" s="109" t="s">
        <v>510</v>
      </c>
      <c r="D824" s="108" t="s">
        <v>238</v>
      </c>
      <c r="E824" s="108" t="s">
        <v>11</v>
      </c>
      <c r="F824" s="108" t="s">
        <v>241</v>
      </c>
      <c r="G824" s="108" t="s">
        <v>9</v>
      </c>
      <c r="H824" s="126">
        <f>H825+H832</f>
        <v>0</v>
      </c>
      <c r="L824" s="20">
        <v>180779.58</v>
      </c>
      <c r="M824" s="20">
        <v>181385.79</v>
      </c>
      <c r="N824" s="20">
        <v>182047.22</v>
      </c>
      <c r="O824" s="20">
        <f t="shared" si="97"/>
        <v>-180779.58</v>
      </c>
      <c r="P824" s="20" t="e">
        <f>#REF!-M824</f>
        <v>#REF!</v>
      </c>
      <c r="Q824" s="20" t="e">
        <f>#REF!-N824</f>
        <v>#REF!</v>
      </c>
      <c r="R824" s="17" t="str">
        <f t="shared" si="87"/>
        <v>07 0 00 00000000</v>
      </c>
    </row>
    <row r="825" spans="1:18" s="16" customFormat="1" ht="78.75">
      <c r="A825" s="14"/>
      <c r="B825" s="125" t="s">
        <v>242</v>
      </c>
      <c r="C825" s="109" t="s">
        <v>510</v>
      </c>
      <c r="D825" s="108" t="s">
        <v>238</v>
      </c>
      <c r="E825" s="108" t="s">
        <v>11</v>
      </c>
      <c r="F825" s="108" t="s">
        <v>243</v>
      </c>
      <c r="G825" s="108" t="s">
        <v>9</v>
      </c>
      <c r="H825" s="126">
        <f t="shared" ref="H825:H826" si="98">H826</f>
        <v>0</v>
      </c>
      <c r="L825" s="20">
        <v>5644</v>
      </c>
      <c r="M825" s="20">
        <v>5644</v>
      </c>
      <c r="N825" s="20">
        <v>5644</v>
      </c>
      <c r="O825" s="20">
        <f t="shared" si="97"/>
        <v>-5644</v>
      </c>
      <c r="P825" s="20" t="e">
        <f>#REF!-M825</f>
        <v>#REF!</v>
      </c>
      <c r="Q825" s="20" t="e">
        <f>#REF!-N825</f>
        <v>#REF!</v>
      </c>
      <c r="R825" s="17" t="str">
        <f t="shared" si="87"/>
        <v>07 1 00 00000000</v>
      </c>
    </row>
    <row r="826" spans="1:18" s="16" customFormat="1" ht="110.25">
      <c r="A826" s="14"/>
      <c r="B826" s="125" t="s">
        <v>244</v>
      </c>
      <c r="C826" s="109" t="s">
        <v>510</v>
      </c>
      <c r="D826" s="108" t="s">
        <v>238</v>
      </c>
      <c r="E826" s="108" t="s">
        <v>11</v>
      </c>
      <c r="F826" s="108" t="s">
        <v>245</v>
      </c>
      <c r="G826" s="108" t="s">
        <v>9</v>
      </c>
      <c r="H826" s="126">
        <f t="shared" si="98"/>
        <v>0</v>
      </c>
      <c r="L826" s="20">
        <v>5644</v>
      </c>
      <c r="M826" s="20">
        <v>5644</v>
      </c>
      <c r="N826" s="20">
        <v>5644</v>
      </c>
      <c r="O826" s="20">
        <f t="shared" si="97"/>
        <v>-5644</v>
      </c>
      <c r="P826" s="20" t="e">
        <f>#REF!-M826</f>
        <v>#REF!</v>
      </c>
      <c r="Q826" s="20" t="e">
        <f>#REF!-N826</f>
        <v>#REF!</v>
      </c>
      <c r="R826" s="17" t="str">
        <f t="shared" si="87"/>
        <v>07 1 01 00000000</v>
      </c>
    </row>
    <row r="827" spans="1:18" s="16" customFormat="1" ht="31.5">
      <c r="A827" s="14"/>
      <c r="B827" s="125" t="s">
        <v>246</v>
      </c>
      <c r="C827" s="109" t="s">
        <v>510</v>
      </c>
      <c r="D827" s="108" t="s">
        <v>238</v>
      </c>
      <c r="E827" s="108" t="s">
        <v>11</v>
      </c>
      <c r="F827" s="108" t="s">
        <v>247</v>
      </c>
      <c r="G827" s="108" t="s">
        <v>9</v>
      </c>
      <c r="H827" s="126">
        <f>H828+H830</f>
        <v>0</v>
      </c>
      <c r="L827" s="20">
        <v>5644</v>
      </c>
      <c r="M827" s="20">
        <v>5644</v>
      </c>
      <c r="N827" s="20">
        <v>5644</v>
      </c>
      <c r="O827" s="20">
        <f t="shared" si="97"/>
        <v>-5644</v>
      </c>
      <c r="P827" s="20" t="e">
        <f>#REF!-M827</f>
        <v>#REF!</v>
      </c>
      <c r="Q827" s="20" t="e">
        <f>#REF!-N827</f>
        <v>#REF!</v>
      </c>
      <c r="R827" s="17" t="str">
        <f t="shared" si="87"/>
        <v>07 1 01 20060000</v>
      </c>
    </row>
    <row r="828" spans="1:18" s="16" customFormat="1" ht="15.75">
      <c r="A828" s="14"/>
      <c r="B828" s="132" t="s">
        <v>403</v>
      </c>
      <c r="C828" s="109" t="s">
        <v>510</v>
      </c>
      <c r="D828" s="108" t="s">
        <v>238</v>
      </c>
      <c r="E828" s="108" t="s">
        <v>11</v>
      </c>
      <c r="F828" s="108" t="s">
        <v>247</v>
      </c>
      <c r="G828" s="108" t="s">
        <v>404</v>
      </c>
      <c r="H828" s="126">
        <f>H829</f>
        <v>0</v>
      </c>
      <c r="L828" s="20">
        <v>3172.5</v>
      </c>
      <c r="M828" s="20">
        <v>3172.5</v>
      </c>
      <c r="N828" s="20">
        <v>3172.5</v>
      </c>
      <c r="O828" s="20">
        <f t="shared" si="97"/>
        <v>-3172.5</v>
      </c>
      <c r="P828" s="20" t="e">
        <f>#REF!-M828</f>
        <v>#REF!</v>
      </c>
      <c r="Q828" s="20" t="e">
        <f>#REF!-N828</f>
        <v>#REF!</v>
      </c>
      <c r="R828" s="17" t="str">
        <f t="shared" si="87"/>
        <v>07 1 01 20060610</v>
      </c>
    </row>
    <row r="829" spans="1:18" s="23" customFormat="1" ht="63">
      <c r="A829" s="21"/>
      <c r="B829" s="127" t="s">
        <v>405</v>
      </c>
      <c r="C829" s="109" t="s">
        <v>510</v>
      </c>
      <c r="D829" s="108" t="s">
        <v>238</v>
      </c>
      <c r="E829" s="108" t="s">
        <v>11</v>
      </c>
      <c r="F829" s="108" t="s">
        <v>247</v>
      </c>
      <c r="G829" s="108" t="s">
        <v>406</v>
      </c>
      <c r="H829" s="126"/>
      <c r="L829" s="22"/>
      <c r="M829" s="22"/>
      <c r="N829" s="22"/>
      <c r="O829" s="22"/>
      <c r="P829" s="22"/>
      <c r="Q829" s="22"/>
      <c r="R829" s="24"/>
    </row>
    <row r="830" spans="1:18" s="16" customFormat="1" ht="15.75">
      <c r="A830" s="14"/>
      <c r="B830" s="132" t="s">
        <v>409</v>
      </c>
      <c r="C830" s="109" t="s">
        <v>510</v>
      </c>
      <c r="D830" s="108" t="s">
        <v>238</v>
      </c>
      <c r="E830" s="108" t="s">
        <v>11</v>
      </c>
      <c r="F830" s="108" t="s">
        <v>247</v>
      </c>
      <c r="G830" s="108" t="s">
        <v>410</v>
      </c>
      <c r="H830" s="126">
        <f>H831</f>
        <v>0</v>
      </c>
      <c r="L830" s="20">
        <v>2471.5</v>
      </c>
      <c r="M830" s="20">
        <v>2471.5</v>
      </c>
      <c r="N830" s="20">
        <v>2471.5</v>
      </c>
      <c r="O830" s="20">
        <f>H830-L830</f>
        <v>-2471.5</v>
      </c>
      <c r="P830" s="20" t="e">
        <f>#REF!-M830</f>
        <v>#REF!</v>
      </c>
      <c r="Q830" s="20" t="e">
        <f>#REF!-N830</f>
        <v>#REF!</v>
      </c>
      <c r="R830" s="17" t="str">
        <f t="shared" si="87"/>
        <v>07 1 01 20060620</v>
      </c>
    </row>
    <row r="831" spans="1:18" s="23" customFormat="1" ht="63">
      <c r="A831" s="21"/>
      <c r="B831" s="127" t="s">
        <v>411</v>
      </c>
      <c r="C831" s="109" t="s">
        <v>510</v>
      </c>
      <c r="D831" s="108" t="s">
        <v>238</v>
      </c>
      <c r="E831" s="108" t="s">
        <v>11</v>
      </c>
      <c r="F831" s="108" t="s">
        <v>247</v>
      </c>
      <c r="G831" s="108" t="s">
        <v>412</v>
      </c>
      <c r="H831" s="126"/>
      <c r="L831" s="22"/>
      <c r="M831" s="22"/>
      <c r="N831" s="22"/>
      <c r="O831" s="22"/>
      <c r="P831" s="22"/>
      <c r="Q831" s="22"/>
      <c r="R831" s="24"/>
    </row>
    <row r="832" spans="1:18" s="16" customFormat="1" ht="15.75">
      <c r="A832" s="14"/>
      <c r="B832" s="125" t="s">
        <v>519</v>
      </c>
      <c r="C832" s="109" t="s">
        <v>510</v>
      </c>
      <c r="D832" s="108" t="s">
        <v>238</v>
      </c>
      <c r="E832" s="108" t="s">
        <v>11</v>
      </c>
      <c r="F832" s="108" t="s">
        <v>520</v>
      </c>
      <c r="G832" s="108" t="s">
        <v>9</v>
      </c>
      <c r="H832" s="126">
        <f>H833+H839+H843+H850+H873+H856+H877+H860</f>
        <v>0</v>
      </c>
      <c r="L832" s="20">
        <v>175135.58</v>
      </c>
      <c r="M832" s="20">
        <v>175741.79</v>
      </c>
      <c r="N832" s="20">
        <v>176403.22</v>
      </c>
      <c r="O832" s="20">
        <f>H832-L832</f>
        <v>-175135.58</v>
      </c>
      <c r="P832" s="20" t="e">
        <f>#REF!-M832</f>
        <v>#REF!</v>
      </c>
      <c r="Q832" s="20" t="e">
        <f>#REF!-N832</f>
        <v>#REF!</v>
      </c>
      <c r="R832" s="17" t="str">
        <f t="shared" si="87"/>
        <v>07 2 00 00000000</v>
      </c>
    </row>
    <row r="833" spans="1:18" s="16" customFormat="1" ht="47.25">
      <c r="A833" s="14"/>
      <c r="B833" s="125" t="s">
        <v>570</v>
      </c>
      <c r="C833" s="109" t="s">
        <v>510</v>
      </c>
      <c r="D833" s="108" t="s">
        <v>238</v>
      </c>
      <c r="E833" s="108" t="s">
        <v>11</v>
      </c>
      <c r="F833" s="108" t="s">
        <v>571</v>
      </c>
      <c r="G833" s="108" t="s">
        <v>9</v>
      </c>
      <c r="H833" s="126">
        <f>H834</f>
        <v>0</v>
      </c>
      <c r="L833" s="20">
        <v>61284.66</v>
      </c>
      <c r="M833" s="20">
        <v>61284.66</v>
      </c>
      <c r="N833" s="20">
        <v>61284.66</v>
      </c>
      <c r="O833" s="20">
        <f>H833-L833</f>
        <v>-61284.66</v>
      </c>
      <c r="P833" s="20" t="e">
        <f>#REF!-M833</f>
        <v>#REF!</v>
      </c>
      <c r="Q833" s="20" t="e">
        <f>#REF!-N833</f>
        <v>#REF!</v>
      </c>
      <c r="R833" s="17" t="str">
        <f t="shared" si="87"/>
        <v>07 2 02 00000000</v>
      </c>
    </row>
    <row r="834" spans="1:18" s="16" customFormat="1" ht="31.5">
      <c r="A834" s="14"/>
      <c r="B834" s="125" t="s">
        <v>136</v>
      </c>
      <c r="C834" s="109" t="s">
        <v>510</v>
      </c>
      <c r="D834" s="108" t="s">
        <v>238</v>
      </c>
      <c r="E834" s="108" t="s">
        <v>11</v>
      </c>
      <c r="F834" s="108" t="s">
        <v>572</v>
      </c>
      <c r="G834" s="108" t="s">
        <v>9</v>
      </c>
      <c r="H834" s="126">
        <f>H835+H837</f>
        <v>0</v>
      </c>
      <c r="L834" s="20">
        <v>61284.66</v>
      </c>
      <c r="M834" s="20">
        <v>61284.66</v>
      </c>
      <c r="N834" s="20">
        <v>61284.66</v>
      </c>
      <c r="O834" s="20">
        <f>H834-L834</f>
        <v>-61284.66</v>
      </c>
      <c r="P834" s="20" t="e">
        <f>#REF!-M834</f>
        <v>#REF!</v>
      </c>
      <c r="Q834" s="20" t="e">
        <f>#REF!-N834</f>
        <v>#REF!</v>
      </c>
      <c r="R834" s="17" t="str">
        <f t="shared" si="87"/>
        <v>07 2 02 11010000</v>
      </c>
    </row>
    <row r="835" spans="1:18" s="16" customFormat="1" ht="15.75">
      <c r="A835" s="14"/>
      <c r="B835" s="132" t="s">
        <v>403</v>
      </c>
      <c r="C835" s="109" t="s">
        <v>510</v>
      </c>
      <c r="D835" s="108" t="s">
        <v>238</v>
      </c>
      <c r="E835" s="108" t="s">
        <v>11</v>
      </c>
      <c r="F835" s="108" t="s">
        <v>572</v>
      </c>
      <c r="G835" s="108" t="s">
        <v>404</v>
      </c>
      <c r="H835" s="126">
        <f>H836</f>
        <v>0</v>
      </c>
      <c r="L835" s="20">
        <v>40143.19</v>
      </c>
      <c r="M835" s="20">
        <v>40143.19</v>
      </c>
      <c r="N835" s="20">
        <v>40143.19</v>
      </c>
      <c r="O835" s="20">
        <f>H835-L835</f>
        <v>-40143.19</v>
      </c>
      <c r="P835" s="20" t="e">
        <f>#REF!-M835</f>
        <v>#REF!</v>
      </c>
      <c r="Q835" s="20" t="e">
        <f>#REF!-N835</f>
        <v>#REF!</v>
      </c>
      <c r="R835" s="17" t="str">
        <f t="shared" si="87"/>
        <v>07 2 02 11010610</v>
      </c>
    </row>
    <row r="836" spans="1:18" s="23" customFormat="1" ht="63">
      <c r="A836" s="21"/>
      <c r="B836" s="127" t="s">
        <v>405</v>
      </c>
      <c r="C836" s="109" t="s">
        <v>510</v>
      </c>
      <c r="D836" s="108" t="s">
        <v>238</v>
      </c>
      <c r="E836" s="108" t="s">
        <v>11</v>
      </c>
      <c r="F836" s="108" t="s">
        <v>572</v>
      </c>
      <c r="G836" s="108" t="s">
        <v>406</v>
      </c>
      <c r="H836" s="126"/>
      <c r="L836" s="22"/>
      <c r="M836" s="22"/>
      <c r="N836" s="22"/>
      <c r="O836" s="22"/>
      <c r="P836" s="22"/>
      <c r="Q836" s="22"/>
      <c r="R836" s="24"/>
    </row>
    <row r="837" spans="1:18" s="16" customFormat="1" ht="15.75">
      <c r="A837" s="14"/>
      <c r="B837" s="132" t="s">
        <v>409</v>
      </c>
      <c r="C837" s="109" t="s">
        <v>510</v>
      </c>
      <c r="D837" s="108" t="s">
        <v>238</v>
      </c>
      <c r="E837" s="108" t="s">
        <v>11</v>
      </c>
      <c r="F837" s="108" t="s">
        <v>572</v>
      </c>
      <c r="G837" s="108" t="s">
        <v>410</v>
      </c>
      <c r="H837" s="126">
        <f>H838</f>
        <v>0</v>
      </c>
      <c r="L837" s="20">
        <v>21141.47</v>
      </c>
      <c r="M837" s="20">
        <v>21141.47</v>
      </c>
      <c r="N837" s="20">
        <v>21141.47</v>
      </c>
      <c r="O837" s="20">
        <f>H837-L837</f>
        <v>-21141.47</v>
      </c>
      <c r="P837" s="20" t="e">
        <f>#REF!-M837</f>
        <v>#REF!</v>
      </c>
      <c r="Q837" s="20" t="e">
        <f>#REF!-N837</f>
        <v>#REF!</v>
      </c>
      <c r="R837" s="17" t="str">
        <f t="shared" si="87"/>
        <v>07 2 02 11010620</v>
      </c>
    </row>
    <row r="838" spans="1:18" s="23" customFormat="1" ht="63">
      <c r="A838" s="21"/>
      <c r="B838" s="127" t="s">
        <v>411</v>
      </c>
      <c r="C838" s="109" t="s">
        <v>510</v>
      </c>
      <c r="D838" s="108" t="s">
        <v>238</v>
      </c>
      <c r="E838" s="108" t="s">
        <v>11</v>
      </c>
      <c r="F838" s="108" t="s">
        <v>572</v>
      </c>
      <c r="G838" s="108" t="s">
        <v>412</v>
      </c>
      <c r="H838" s="126"/>
      <c r="L838" s="22"/>
      <c r="M838" s="22"/>
      <c r="N838" s="22"/>
      <c r="O838" s="22"/>
      <c r="P838" s="22"/>
      <c r="Q838" s="22"/>
      <c r="R838" s="24"/>
    </row>
    <row r="839" spans="1:18" s="16" customFormat="1" ht="47.25">
      <c r="A839" s="14"/>
      <c r="B839" s="125" t="s">
        <v>573</v>
      </c>
      <c r="C839" s="109" t="s">
        <v>510</v>
      </c>
      <c r="D839" s="108" t="s">
        <v>238</v>
      </c>
      <c r="E839" s="108" t="s">
        <v>11</v>
      </c>
      <c r="F839" s="108" t="s">
        <v>574</v>
      </c>
      <c r="G839" s="108" t="s">
        <v>9</v>
      </c>
      <c r="H839" s="126">
        <f>H840</f>
        <v>0</v>
      </c>
      <c r="L839" s="20">
        <v>3557.02</v>
      </c>
      <c r="M839" s="20">
        <v>3557.02</v>
      </c>
      <c r="N839" s="20">
        <v>3557.02</v>
      </c>
      <c r="O839" s="20">
        <f>H839-L839</f>
        <v>-3557.02</v>
      </c>
      <c r="P839" s="20" t="e">
        <f>#REF!-M839</f>
        <v>#REF!</v>
      </c>
      <c r="Q839" s="20" t="e">
        <f>#REF!-N839</f>
        <v>#REF!</v>
      </c>
      <c r="R839" s="17" t="str">
        <f t="shared" si="87"/>
        <v>07 2 03 00000000</v>
      </c>
    </row>
    <row r="840" spans="1:18" s="16" customFormat="1" ht="31.5">
      <c r="A840" s="14"/>
      <c r="B840" s="125" t="s">
        <v>136</v>
      </c>
      <c r="C840" s="109" t="s">
        <v>510</v>
      </c>
      <c r="D840" s="108" t="s">
        <v>238</v>
      </c>
      <c r="E840" s="108" t="s">
        <v>11</v>
      </c>
      <c r="F840" s="108" t="s">
        <v>575</v>
      </c>
      <c r="G840" s="108" t="s">
        <v>9</v>
      </c>
      <c r="H840" s="126">
        <f t="shared" ref="H840" si="99">H841</f>
        <v>0</v>
      </c>
      <c r="L840" s="20">
        <v>3557.02</v>
      </c>
      <c r="M840" s="20">
        <v>3557.02</v>
      </c>
      <c r="N840" s="20">
        <v>3557.02</v>
      </c>
      <c r="O840" s="20">
        <f>H840-L840</f>
        <v>-3557.02</v>
      </c>
      <c r="P840" s="20" t="e">
        <f>#REF!-M840</f>
        <v>#REF!</v>
      </c>
      <c r="Q840" s="20" t="e">
        <f>#REF!-N840</f>
        <v>#REF!</v>
      </c>
      <c r="R840" s="17" t="str">
        <f t="shared" si="87"/>
        <v>07 2 03 11010000</v>
      </c>
    </row>
    <row r="841" spans="1:18" s="16" customFormat="1" ht="15.75">
      <c r="A841" s="14"/>
      <c r="B841" s="132" t="s">
        <v>403</v>
      </c>
      <c r="C841" s="109" t="s">
        <v>510</v>
      </c>
      <c r="D841" s="108" t="s">
        <v>238</v>
      </c>
      <c r="E841" s="108" t="s">
        <v>11</v>
      </c>
      <c r="F841" s="108" t="s">
        <v>575</v>
      </c>
      <c r="G841" s="108" t="s">
        <v>404</v>
      </c>
      <c r="H841" s="126">
        <f>H842</f>
        <v>0</v>
      </c>
      <c r="L841" s="20">
        <v>3557.02</v>
      </c>
      <c r="M841" s="20">
        <v>3557.02</v>
      </c>
      <c r="N841" s="20">
        <v>3557.02</v>
      </c>
      <c r="O841" s="20">
        <f>H841-L841</f>
        <v>-3557.02</v>
      </c>
      <c r="P841" s="20" t="e">
        <f>#REF!-M841</f>
        <v>#REF!</v>
      </c>
      <c r="Q841" s="20" t="e">
        <f>#REF!-N841</f>
        <v>#REF!</v>
      </c>
      <c r="R841" s="17" t="str">
        <f t="shared" si="87"/>
        <v>07 2 03 11010610</v>
      </c>
    </row>
    <row r="842" spans="1:18" s="23" customFormat="1" ht="63">
      <c r="A842" s="21"/>
      <c r="B842" s="127" t="s">
        <v>405</v>
      </c>
      <c r="C842" s="109" t="s">
        <v>510</v>
      </c>
      <c r="D842" s="108" t="s">
        <v>238</v>
      </c>
      <c r="E842" s="108" t="s">
        <v>11</v>
      </c>
      <c r="F842" s="108" t="s">
        <v>575</v>
      </c>
      <c r="G842" s="108" t="s">
        <v>406</v>
      </c>
      <c r="H842" s="126"/>
      <c r="L842" s="22"/>
      <c r="M842" s="22"/>
      <c r="N842" s="22"/>
      <c r="O842" s="22"/>
      <c r="P842" s="22"/>
      <c r="Q842" s="22"/>
      <c r="R842" s="24"/>
    </row>
    <row r="843" spans="1:18" s="16" customFormat="1" ht="47.25">
      <c r="A843" s="14"/>
      <c r="B843" s="125" t="s">
        <v>576</v>
      </c>
      <c r="C843" s="109" t="s">
        <v>510</v>
      </c>
      <c r="D843" s="108" t="s">
        <v>238</v>
      </c>
      <c r="E843" s="108" t="s">
        <v>11</v>
      </c>
      <c r="F843" s="108" t="s">
        <v>577</v>
      </c>
      <c r="G843" s="108" t="s">
        <v>9</v>
      </c>
      <c r="H843" s="126">
        <f>H844+H847</f>
        <v>0</v>
      </c>
      <c r="L843" s="20">
        <v>50161.369999999995</v>
      </c>
      <c r="M843" s="20">
        <v>50816.57</v>
      </c>
      <c r="N843" s="20">
        <v>50816.57</v>
      </c>
      <c r="O843" s="20">
        <f>H843-L843</f>
        <v>-50161.369999999995</v>
      </c>
      <c r="P843" s="20" t="e">
        <f>#REF!-M843</f>
        <v>#REF!</v>
      </c>
      <c r="Q843" s="20" t="e">
        <f>#REF!-N843</f>
        <v>#REF!</v>
      </c>
      <c r="R843" s="17" t="str">
        <f t="shared" si="87"/>
        <v>07 2 04 00000000</v>
      </c>
    </row>
    <row r="844" spans="1:18" s="16" customFormat="1" ht="31.5">
      <c r="A844" s="14"/>
      <c r="B844" s="125" t="s">
        <v>136</v>
      </c>
      <c r="C844" s="109" t="s">
        <v>510</v>
      </c>
      <c r="D844" s="108" t="s">
        <v>238</v>
      </c>
      <c r="E844" s="108" t="s">
        <v>11</v>
      </c>
      <c r="F844" s="108" t="s">
        <v>578</v>
      </c>
      <c r="G844" s="108" t="s">
        <v>9</v>
      </c>
      <c r="H844" s="126">
        <f>H845</f>
        <v>0</v>
      </c>
      <c r="L844" s="20">
        <v>49039.27</v>
      </c>
      <c r="M844" s="20">
        <v>49039.27</v>
      </c>
      <c r="N844" s="20">
        <v>49039.27</v>
      </c>
      <c r="O844" s="20">
        <f>H844-L844</f>
        <v>-49039.27</v>
      </c>
      <c r="P844" s="20" t="e">
        <f>#REF!-M844</f>
        <v>#REF!</v>
      </c>
      <c r="Q844" s="20" t="e">
        <f>#REF!-N844</f>
        <v>#REF!</v>
      </c>
      <c r="R844" s="17" t="str">
        <f t="shared" si="87"/>
        <v>07 2 04 11010000</v>
      </c>
    </row>
    <row r="845" spans="1:18" s="16" customFormat="1" ht="15.75">
      <c r="A845" s="14"/>
      <c r="B845" s="132" t="s">
        <v>403</v>
      </c>
      <c r="C845" s="109" t="s">
        <v>510</v>
      </c>
      <c r="D845" s="108" t="s">
        <v>238</v>
      </c>
      <c r="E845" s="108" t="s">
        <v>11</v>
      </c>
      <c r="F845" s="108" t="s">
        <v>578</v>
      </c>
      <c r="G845" s="108" t="s">
        <v>404</v>
      </c>
      <c r="H845" s="126">
        <f>H846</f>
        <v>0</v>
      </c>
      <c r="L845" s="20">
        <v>49039.27</v>
      </c>
      <c r="M845" s="20">
        <v>49039.27</v>
      </c>
      <c r="N845" s="20">
        <v>49039.27</v>
      </c>
      <c r="O845" s="20">
        <f>H845-L845</f>
        <v>-49039.27</v>
      </c>
      <c r="P845" s="20" t="e">
        <f>#REF!-M845</f>
        <v>#REF!</v>
      </c>
      <c r="Q845" s="20" t="e">
        <f>#REF!-N845</f>
        <v>#REF!</v>
      </c>
      <c r="R845" s="17" t="str">
        <f t="shared" si="87"/>
        <v>07 2 04 11010610</v>
      </c>
    </row>
    <row r="846" spans="1:18" s="23" customFormat="1" ht="63">
      <c r="A846" s="21"/>
      <c r="B846" s="127" t="s">
        <v>405</v>
      </c>
      <c r="C846" s="109" t="s">
        <v>510</v>
      </c>
      <c r="D846" s="108" t="s">
        <v>238</v>
      </c>
      <c r="E846" s="108" t="s">
        <v>11</v>
      </c>
      <c r="F846" s="108" t="s">
        <v>578</v>
      </c>
      <c r="G846" s="108" t="s">
        <v>406</v>
      </c>
      <c r="H846" s="126"/>
      <c r="L846" s="22"/>
      <c r="M846" s="22"/>
      <c r="N846" s="22"/>
      <c r="O846" s="22"/>
      <c r="P846" s="22"/>
      <c r="Q846" s="22"/>
      <c r="R846" s="24"/>
    </row>
    <row r="847" spans="1:18" s="16" customFormat="1" ht="47.25">
      <c r="A847" s="14"/>
      <c r="B847" s="132" t="s">
        <v>579</v>
      </c>
      <c r="C847" s="109" t="s">
        <v>510</v>
      </c>
      <c r="D847" s="108" t="s">
        <v>238</v>
      </c>
      <c r="E847" s="108" t="s">
        <v>11</v>
      </c>
      <c r="F847" s="108" t="s">
        <v>580</v>
      </c>
      <c r="G847" s="108" t="s">
        <v>9</v>
      </c>
      <c r="H847" s="126">
        <f>H848</f>
        <v>0</v>
      </c>
      <c r="L847" s="20">
        <v>1122.0999999999999</v>
      </c>
      <c r="M847" s="20">
        <v>1777.3</v>
      </c>
      <c r="N847" s="20">
        <v>1777.3</v>
      </c>
      <c r="O847" s="20">
        <f>H847-L847</f>
        <v>-1122.0999999999999</v>
      </c>
      <c r="P847" s="20" t="e">
        <f>#REF!-M847</f>
        <v>#REF!</v>
      </c>
      <c r="Q847" s="20" t="e">
        <f>#REF!-N847</f>
        <v>#REF!</v>
      </c>
      <c r="R847" s="17" t="str">
        <f t="shared" si="87"/>
        <v>07 2 04 L5194000</v>
      </c>
    </row>
    <row r="848" spans="1:18" s="16" customFormat="1" ht="15.75">
      <c r="A848" s="14"/>
      <c r="B848" s="132" t="s">
        <v>403</v>
      </c>
      <c r="C848" s="109" t="s">
        <v>510</v>
      </c>
      <c r="D848" s="108" t="s">
        <v>238</v>
      </c>
      <c r="E848" s="108" t="s">
        <v>11</v>
      </c>
      <c r="F848" s="108" t="s">
        <v>580</v>
      </c>
      <c r="G848" s="108" t="s">
        <v>404</v>
      </c>
      <c r="H848" s="126">
        <f>H849</f>
        <v>0</v>
      </c>
      <c r="L848" s="20">
        <v>1122.0999999999999</v>
      </c>
      <c r="M848" s="20">
        <v>1777.3</v>
      </c>
      <c r="N848" s="20">
        <v>1777.3</v>
      </c>
      <c r="O848" s="20">
        <f>H848-L848</f>
        <v>-1122.0999999999999</v>
      </c>
      <c r="P848" s="20" t="e">
        <f>#REF!-M848</f>
        <v>#REF!</v>
      </c>
      <c r="Q848" s="20" t="e">
        <f>#REF!-N848</f>
        <v>#REF!</v>
      </c>
      <c r="R848" s="17" t="str">
        <f t="shared" si="87"/>
        <v>07 2 04 L5194610</v>
      </c>
    </row>
    <row r="849" spans="1:18" s="16" customFormat="1" ht="63">
      <c r="A849" s="14"/>
      <c r="B849" s="127" t="s">
        <v>405</v>
      </c>
      <c r="C849" s="109" t="s">
        <v>510</v>
      </c>
      <c r="D849" s="108" t="s">
        <v>238</v>
      </c>
      <c r="E849" s="108" t="s">
        <v>11</v>
      </c>
      <c r="F849" s="108" t="s">
        <v>580</v>
      </c>
      <c r="G849" s="108" t="s">
        <v>406</v>
      </c>
      <c r="H849" s="126"/>
      <c r="L849" s="20"/>
      <c r="M849" s="20"/>
      <c r="N849" s="20"/>
      <c r="O849" s="20"/>
      <c r="P849" s="20"/>
      <c r="Q849" s="20"/>
      <c r="R849" s="17"/>
    </row>
    <row r="850" spans="1:18" s="16" customFormat="1" ht="47.25">
      <c r="A850" s="14"/>
      <c r="B850" s="125" t="s">
        <v>581</v>
      </c>
      <c r="C850" s="109" t="s">
        <v>510</v>
      </c>
      <c r="D850" s="108" t="s">
        <v>238</v>
      </c>
      <c r="E850" s="108" t="s">
        <v>11</v>
      </c>
      <c r="F850" s="108" t="s">
        <v>582</v>
      </c>
      <c r="G850" s="108" t="s">
        <v>9</v>
      </c>
      <c r="H850" s="126">
        <f>H851</f>
        <v>0</v>
      </c>
      <c r="L850" s="20">
        <v>57181.409999999996</v>
      </c>
      <c r="M850" s="20">
        <v>57181.409999999996</v>
      </c>
      <c r="N850" s="20">
        <v>57181.409999999996</v>
      </c>
      <c r="O850" s="20">
        <f>H850-L850</f>
        <v>-57181.409999999996</v>
      </c>
      <c r="P850" s="20" t="e">
        <f>#REF!-M850</f>
        <v>#REF!</v>
      </c>
      <c r="Q850" s="20" t="e">
        <f>#REF!-N850</f>
        <v>#REF!</v>
      </c>
      <c r="R850" s="17" t="str">
        <f t="shared" si="87"/>
        <v>07 2 05 00000000</v>
      </c>
    </row>
    <row r="851" spans="1:18" s="16" customFormat="1" ht="31.5">
      <c r="A851" s="14"/>
      <c r="B851" s="125" t="s">
        <v>136</v>
      </c>
      <c r="C851" s="109" t="s">
        <v>510</v>
      </c>
      <c r="D851" s="108" t="s">
        <v>238</v>
      </c>
      <c r="E851" s="108" t="s">
        <v>11</v>
      </c>
      <c r="F851" s="108" t="s">
        <v>583</v>
      </c>
      <c r="G851" s="108" t="s">
        <v>9</v>
      </c>
      <c r="H851" s="126">
        <f>H852+H854</f>
        <v>0</v>
      </c>
      <c r="L851" s="20">
        <v>57181.409999999996</v>
      </c>
      <c r="M851" s="20">
        <v>57181.409999999996</v>
      </c>
      <c r="N851" s="20">
        <v>57181.409999999996</v>
      </c>
      <c r="O851" s="20">
        <f>H851-L851</f>
        <v>-57181.409999999996</v>
      </c>
      <c r="P851" s="20" t="e">
        <f>#REF!-M851</f>
        <v>#REF!</v>
      </c>
      <c r="Q851" s="20" t="e">
        <f>#REF!-N851</f>
        <v>#REF!</v>
      </c>
      <c r="R851" s="17" t="str">
        <f t="shared" si="87"/>
        <v>07 2 05 11010000</v>
      </c>
    </row>
    <row r="852" spans="1:18" s="16" customFormat="1" ht="15.75">
      <c r="A852" s="14"/>
      <c r="B852" s="132" t="s">
        <v>403</v>
      </c>
      <c r="C852" s="109" t="s">
        <v>510</v>
      </c>
      <c r="D852" s="108" t="s">
        <v>238</v>
      </c>
      <c r="E852" s="108" t="s">
        <v>11</v>
      </c>
      <c r="F852" s="108" t="s">
        <v>583</v>
      </c>
      <c r="G852" s="108" t="s">
        <v>404</v>
      </c>
      <c r="H852" s="126">
        <f>H853</f>
        <v>0</v>
      </c>
      <c r="L852" s="20">
        <v>46565.7</v>
      </c>
      <c r="M852" s="20">
        <v>46565.7</v>
      </c>
      <c r="N852" s="20">
        <v>46565.7</v>
      </c>
      <c r="O852" s="20">
        <f>H852-L852</f>
        <v>-46565.7</v>
      </c>
      <c r="P852" s="20" t="e">
        <f>#REF!-M852</f>
        <v>#REF!</v>
      </c>
      <c r="Q852" s="20" t="e">
        <f>#REF!-N852</f>
        <v>#REF!</v>
      </c>
      <c r="R852" s="17" t="str">
        <f t="shared" si="87"/>
        <v>07 2 05 11010610</v>
      </c>
    </row>
    <row r="853" spans="1:18" s="23" customFormat="1" ht="63">
      <c r="A853" s="21"/>
      <c r="B853" s="127" t="s">
        <v>405</v>
      </c>
      <c r="C853" s="109" t="s">
        <v>510</v>
      </c>
      <c r="D853" s="108" t="s">
        <v>238</v>
      </c>
      <c r="E853" s="108" t="s">
        <v>11</v>
      </c>
      <c r="F853" s="108" t="s">
        <v>583</v>
      </c>
      <c r="G853" s="108" t="s">
        <v>406</v>
      </c>
      <c r="H853" s="126"/>
      <c r="L853" s="22"/>
      <c r="M853" s="22"/>
      <c r="N853" s="22"/>
      <c r="O853" s="22"/>
      <c r="P853" s="22"/>
      <c r="Q853" s="22"/>
      <c r="R853" s="24"/>
    </row>
    <row r="854" spans="1:18" s="16" customFormat="1" ht="15.75">
      <c r="A854" s="14"/>
      <c r="B854" s="132" t="s">
        <v>409</v>
      </c>
      <c r="C854" s="109" t="s">
        <v>510</v>
      </c>
      <c r="D854" s="108" t="s">
        <v>238</v>
      </c>
      <c r="E854" s="108" t="s">
        <v>11</v>
      </c>
      <c r="F854" s="108" t="s">
        <v>583</v>
      </c>
      <c r="G854" s="108" t="s">
        <v>410</v>
      </c>
      <c r="H854" s="126">
        <f>H855</f>
        <v>0</v>
      </c>
      <c r="L854" s="20">
        <v>10615.71</v>
      </c>
      <c r="M854" s="20">
        <v>10615.71</v>
      </c>
      <c r="N854" s="20">
        <v>10615.71</v>
      </c>
      <c r="O854" s="20">
        <f>H854-L854</f>
        <v>-10615.71</v>
      </c>
      <c r="P854" s="20" t="e">
        <f>#REF!-M854</f>
        <v>#REF!</v>
      </c>
      <c r="Q854" s="20" t="e">
        <f>#REF!-N854</f>
        <v>#REF!</v>
      </c>
      <c r="R854" s="17" t="str">
        <f t="shared" si="87"/>
        <v>07 2 05 11010620</v>
      </c>
    </row>
    <row r="855" spans="1:18" s="23" customFormat="1" ht="63">
      <c r="A855" s="21"/>
      <c r="B855" s="127" t="s">
        <v>411</v>
      </c>
      <c r="C855" s="109" t="s">
        <v>510</v>
      </c>
      <c r="D855" s="108" t="s">
        <v>238</v>
      </c>
      <c r="E855" s="108" t="s">
        <v>11</v>
      </c>
      <c r="F855" s="108" t="s">
        <v>583</v>
      </c>
      <c r="G855" s="108" t="s">
        <v>412</v>
      </c>
      <c r="H855" s="126"/>
      <c r="L855" s="22"/>
      <c r="M855" s="22"/>
      <c r="N855" s="22"/>
      <c r="O855" s="22"/>
      <c r="P855" s="22"/>
      <c r="Q855" s="22"/>
      <c r="R855" s="24"/>
    </row>
    <row r="856" spans="1:18" s="16" customFormat="1" ht="63">
      <c r="A856" s="14"/>
      <c r="B856" s="125" t="s">
        <v>524</v>
      </c>
      <c r="C856" s="109" t="s">
        <v>510</v>
      </c>
      <c r="D856" s="108" t="s">
        <v>238</v>
      </c>
      <c r="E856" s="108" t="s">
        <v>11</v>
      </c>
      <c r="F856" s="108" t="s">
        <v>525</v>
      </c>
      <c r="G856" s="108" t="s">
        <v>9</v>
      </c>
      <c r="H856" s="126">
        <f t="shared" ref="H856:H857" si="100">H857</f>
        <v>0</v>
      </c>
      <c r="L856" s="20">
        <v>1034.08</v>
      </c>
      <c r="M856" s="20">
        <v>1934.53</v>
      </c>
      <c r="N856" s="20">
        <v>2595.96</v>
      </c>
      <c r="O856" s="20">
        <f>H856-L856</f>
        <v>-1034.08</v>
      </c>
      <c r="P856" s="20" t="e">
        <f>#REF!-M856</f>
        <v>#REF!</v>
      </c>
      <c r="Q856" s="20" t="e">
        <f>#REF!-N856</f>
        <v>#REF!</v>
      </c>
      <c r="R856" s="17" t="str">
        <f t="shared" si="87"/>
        <v>07 2 06 00000000</v>
      </c>
    </row>
    <row r="857" spans="1:18" s="16" customFormat="1" ht="47.25">
      <c r="A857" s="14"/>
      <c r="B857" s="125" t="s">
        <v>526</v>
      </c>
      <c r="C857" s="109" t="s">
        <v>510</v>
      </c>
      <c r="D857" s="108" t="s">
        <v>238</v>
      </c>
      <c r="E857" s="108" t="s">
        <v>11</v>
      </c>
      <c r="F857" s="108" t="s">
        <v>527</v>
      </c>
      <c r="G857" s="108" t="s">
        <v>9</v>
      </c>
      <c r="H857" s="126">
        <f t="shared" si="100"/>
        <v>0</v>
      </c>
      <c r="L857" s="20">
        <v>1034.08</v>
      </c>
      <c r="M857" s="20">
        <v>1934.53</v>
      </c>
      <c r="N857" s="20">
        <v>2595.96</v>
      </c>
      <c r="O857" s="20">
        <f>H857-L857</f>
        <v>-1034.08</v>
      </c>
      <c r="P857" s="20" t="e">
        <f>#REF!-M857</f>
        <v>#REF!</v>
      </c>
      <c r="Q857" s="20" t="e">
        <f>#REF!-N857</f>
        <v>#REF!</v>
      </c>
      <c r="R857" s="17" t="str">
        <f t="shared" si="87"/>
        <v>07 2 06 20400000</v>
      </c>
    </row>
    <row r="858" spans="1:18" s="16" customFormat="1" ht="15.75">
      <c r="A858" s="14"/>
      <c r="B858" s="132" t="s">
        <v>403</v>
      </c>
      <c r="C858" s="109" t="s">
        <v>510</v>
      </c>
      <c r="D858" s="108" t="s">
        <v>238</v>
      </c>
      <c r="E858" s="108" t="s">
        <v>11</v>
      </c>
      <c r="F858" s="108" t="s">
        <v>527</v>
      </c>
      <c r="G858" s="108" t="s">
        <v>404</v>
      </c>
      <c r="H858" s="126">
        <f>H859</f>
        <v>0</v>
      </c>
      <c r="L858" s="20">
        <v>1034.08</v>
      </c>
      <c r="M858" s="20">
        <v>1934.53</v>
      </c>
      <c r="N858" s="20">
        <v>2595.96</v>
      </c>
      <c r="O858" s="20">
        <f>H858-L858</f>
        <v>-1034.08</v>
      </c>
      <c r="P858" s="20" t="e">
        <f>#REF!-M858</f>
        <v>#REF!</v>
      </c>
      <c r="Q858" s="20" t="e">
        <f>#REF!-N858</f>
        <v>#REF!</v>
      </c>
      <c r="R858" s="17" t="str">
        <f t="shared" si="87"/>
        <v>07 2 06 20400610</v>
      </c>
    </row>
    <row r="859" spans="1:18" s="23" customFormat="1" ht="15.75">
      <c r="A859" s="21"/>
      <c r="B859" s="127" t="s">
        <v>407</v>
      </c>
      <c r="C859" s="109" t="s">
        <v>510</v>
      </c>
      <c r="D859" s="108" t="s">
        <v>238</v>
      </c>
      <c r="E859" s="108" t="s">
        <v>11</v>
      </c>
      <c r="F859" s="108" t="s">
        <v>527</v>
      </c>
      <c r="G859" s="108" t="s">
        <v>408</v>
      </c>
      <c r="H859" s="126"/>
      <c r="L859" s="22"/>
      <c r="M859" s="22"/>
      <c r="N859" s="22"/>
      <c r="O859" s="22"/>
      <c r="P859" s="22"/>
      <c r="Q859" s="22"/>
      <c r="R859" s="24"/>
    </row>
    <row r="860" spans="1:18" s="23" customFormat="1" ht="78.75">
      <c r="A860" s="21"/>
      <c r="B860" s="125" t="s">
        <v>1052</v>
      </c>
      <c r="C860" s="109" t="s">
        <v>510</v>
      </c>
      <c r="D860" s="108" t="s">
        <v>238</v>
      </c>
      <c r="E860" s="108" t="s">
        <v>11</v>
      </c>
      <c r="F860" s="108" t="s">
        <v>1053</v>
      </c>
      <c r="G860" s="108" t="s">
        <v>9</v>
      </c>
      <c r="H860" s="126">
        <f>H861+H867</f>
        <v>0</v>
      </c>
      <c r="L860" s="22"/>
      <c r="M860" s="22"/>
      <c r="N860" s="22"/>
      <c r="O860" s="22"/>
      <c r="P860" s="22"/>
      <c r="Q860" s="22"/>
      <c r="R860" s="24"/>
    </row>
    <row r="861" spans="1:18" s="23" customFormat="1" ht="47.25">
      <c r="A861" s="21"/>
      <c r="B861" s="125" t="s">
        <v>1043</v>
      </c>
      <c r="C861" s="109" t="s">
        <v>510</v>
      </c>
      <c r="D861" s="108" t="s">
        <v>238</v>
      </c>
      <c r="E861" s="108" t="s">
        <v>11</v>
      </c>
      <c r="F861" s="108" t="s">
        <v>1044</v>
      </c>
      <c r="G861" s="108" t="s">
        <v>9</v>
      </c>
      <c r="H861" s="126">
        <f>H865</f>
        <v>0</v>
      </c>
      <c r="L861" s="22"/>
      <c r="M861" s="22"/>
      <c r="N861" s="22"/>
      <c r="O861" s="22"/>
      <c r="P861" s="22"/>
      <c r="Q861" s="22"/>
      <c r="R861" s="24"/>
    </row>
    <row r="862" spans="1:18" s="23" customFormat="1" ht="15.75">
      <c r="A862" s="21"/>
      <c r="B862" s="132" t="s">
        <v>1045</v>
      </c>
      <c r="C862" s="109"/>
      <c r="D862" s="108"/>
      <c r="E862" s="108"/>
      <c r="F862" s="108"/>
      <c r="G862" s="108"/>
      <c r="H862" s="126"/>
      <c r="L862" s="22"/>
      <c r="M862" s="22"/>
      <c r="N862" s="22"/>
      <c r="O862" s="22"/>
      <c r="P862" s="22"/>
      <c r="Q862" s="22"/>
      <c r="R862" s="24"/>
    </row>
    <row r="863" spans="1:18" s="23" customFormat="1" ht="15.75">
      <c r="A863" s="21"/>
      <c r="B863" s="125" t="s">
        <v>1046</v>
      </c>
      <c r="C863" s="109" t="s">
        <v>510</v>
      </c>
      <c r="D863" s="108" t="s">
        <v>238</v>
      </c>
      <c r="E863" s="108" t="s">
        <v>11</v>
      </c>
      <c r="F863" s="108" t="s">
        <v>1044</v>
      </c>
      <c r="G863" s="108" t="s">
        <v>9</v>
      </c>
      <c r="H863" s="126"/>
      <c r="L863" s="22"/>
      <c r="M863" s="22"/>
      <c r="N863" s="22"/>
      <c r="O863" s="22"/>
      <c r="P863" s="22"/>
      <c r="Q863" s="22"/>
      <c r="R863" s="24"/>
    </row>
    <row r="864" spans="1:18" s="23" customFormat="1" ht="15.75">
      <c r="A864" s="21"/>
      <c r="B864" s="125" t="s">
        <v>1047</v>
      </c>
      <c r="C864" s="109" t="s">
        <v>510</v>
      </c>
      <c r="D864" s="108" t="s">
        <v>238</v>
      </c>
      <c r="E864" s="108" t="s">
        <v>11</v>
      </c>
      <c r="F864" s="108" t="s">
        <v>1044</v>
      </c>
      <c r="G864" s="108" t="s">
        <v>9</v>
      </c>
      <c r="H864" s="126"/>
      <c r="L864" s="22"/>
      <c r="M864" s="22"/>
      <c r="N864" s="22"/>
      <c r="O864" s="22"/>
      <c r="P864" s="22"/>
      <c r="Q864" s="22"/>
      <c r="R864" s="24"/>
    </row>
    <row r="865" spans="1:18" s="23" customFormat="1" ht="15.75">
      <c r="A865" s="21"/>
      <c r="B865" s="132" t="s">
        <v>409</v>
      </c>
      <c r="C865" s="109" t="s">
        <v>510</v>
      </c>
      <c r="D865" s="108" t="s">
        <v>238</v>
      </c>
      <c r="E865" s="108" t="s">
        <v>11</v>
      </c>
      <c r="F865" s="108" t="s">
        <v>1044</v>
      </c>
      <c r="G865" s="108" t="s">
        <v>410</v>
      </c>
      <c r="H865" s="126">
        <f>H866</f>
        <v>0</v>
      </c>
      <c r="L865" s="22"/>
      <c r="M865" s="22"/>
      <c r="N865" s="22"/>
      <c r="O865" s="22"/>
      <c r="P865" s="22"/>
      <c r="Q865" s="22"/>
      <c r="R865" s="24"/>
    </row>
    <row r="866" spans="1:18" s="23" customFormat="1" ht="15.75">
      <c r="A866" s="21"/>
      <c r="B866" s="127" t="s">
        <v>428</v>
      </c>
      <c r="C866" s="109" t="s">
        <v>510</v>
      </c>
      <c r="D866" s="108" t="s">
        <v>238</v>
      </c>
      <c r="E866" s="108" t="s">
        <v>11</v>
      </c>
      <c r="F866" s="108" t="s">
        <v>1044</v>
      </c>
      <c r="G866" s="108" t="s">
        <v>429</v>
      </c>
      <c r="H866" s="126"/>
      <c r="L866" s="22"/>
      <c r="M866" s="22"/>
      <c r="N866" s="22"/>
      <c r="O866" s="22"/>
      <c r="P866" s="22"/>
      <c r="Q866" s="22"/>
      <c r="R866" s="24"/>
    </row>
    <row r="867" spans="1:18" s="23" customFormat="1" ht="47.25">
      <c r="A867" s="21"/>
      <c r="B867" s="127" t="s">
        <v>1048</v>
      </c>
      <c r="C867" s="109" t="s">
        <v>510</v>
      </c>
      <c r="D867" s="108" t="s">
        <v>238</v>
      </c>
      <c r="E867" s="108" t="s">
        <v>11</v>
      </c>
      <c r="F867" s="108" t="s">
        <v>1049</v>
      </c>
      <c r="G867" s="108" t="s">
        <v>9</v>
      </c>
      <c r="H867" s="126">
        <f>H871</f>
        <v>0</v>
      </c>
      <c r="L867" s="22"/>
      <c r="M867" s="22"/>
      <c r="N867" s="22"/>
      <c r="O867" s="22"/>
      <c r="P867" s="22"/>
      <c r="Q867" s="22"/>
      <c r="R867" s="24"/>
    </row>
    <row r="868" spans="1:18" s="23" customFormat="1" ht="15.75">
      <c r="A868" s="21"/>
      <c r="B868" s="132" t="s">
        <v>1045</v>
      </c>
      <c r="C868" s="109"/>
      <c r="D868" s="108"/>
      <c r="E868" s="108"/>
      <c r="F868" s="108"/>
      <c r="G868" s="108"/>
      <c r="H868" s="126"/>
      <c r="L868" s="22"/>
      <c r="M868" s="22"/>
      <c r="N868" s="22"/>
      <c r="O868" s="22"/>
      <c r="P868" s="22"/>
      <c r="Q868" s="22"/>
      <c r="R868" s="24"/>
    </row>
    <row r="869" spans="1:18" s="23" customFormat="1" ht="15.75">
      <c r="A869" s="21"/>
      <c r="B869" s="125" t="s">
        <v>1050</v>
      </c>
      <c r="C869" s="109" t="s">
        <v>510</v>
      </c>
      <c r="D869" s="108" t="s">
        <v>238</v>
      </c>
      <c r="E869" s="108" t="s">
        <v>11</v>
      </c>
      <c r="F869" s="108" t="s">
        <v>1049</v>
      </c>
      <c r="G869" s="108" t="s">
        <v>9</v>
      </c>
      <c r="H869" s="126"/>
      <c r="L869" s="22"/>
      <c r="M869" s="22"/>
      <c r="N869" s="22"/>
      <c r="O869" s="22"/>
      <c r="P869" s="22"/>
      <c r="Q869" s="22"/>
      <c r="R869" s="24"/>
    </row>
    <row r="870" spans="1:18" s="23" customFormat="1" ht="15.75">
      <c r="A870" s="21"/>
      <c r="B870" s="125" t="s">
        <v>1051</v>
      </c>
      <c r="C870" s="109" t="s">
        <v>510</v>
      </c>
      <c r="D870" s="108" t="s">
        <v>238</v>
      </c>
      <c r="E870" s="108" t="s">
        <v>11</v>
      </c>
      <c r="F870" s="108" t="s">
        <v>1049</v>
      </c>
      <c r="G870" s="108" t="s">
        <v>9</v>
      </c>
      <c r="H870" s="126"/>
      <c r="L870" s="22"/>
      <c r="M870" s="22"/>
      <c r="N870" s="22"/>
      <c r="O870" s="22"/>
      <c r="P870" s="22"/>
      <c r="Q870" s="22"/>
      <c r="R870" s="24"/>
    </row>
    <row r="871" spans="1:18" s="23" customFormat="1" ht="15.75">
      <c r="A871" s="21"/>
      <c r="B871" s="132" t="s">
        <v>409</v>
      </c>
      <c r="C871" s="109" t="s">
        <v>510</v>
      </c>
      <c r="D871" s="108" t="s">
        <v>238</v>
      </c>
      <c r="E871" s="108" t="s">
        <v>11</v>
      </c>
      <c r="F871" s="108" t="s">
        <v>1049</v>
      </c>
      <c r="G871" s="108" t="s">
        <v>410</v>
      </c>
      <c r="H871" s="126">
        <f>H872</f>
        <v>0</v>
      </c>
      <c r="L871" s="22"/>
      <c r="M871" s="22"/>
      <c r="N871" s="22"/>
      <c r="O871" s="22"/>
      <c r="P871" s="22"/>
      <c r="Q871" s="22"/>
      <c r="R871" s="24"/>
    </row>
    <row r="872" spans="1:18" s="23" customFormat="1" ht="15.75">
      <c r="A872" s="21"/>
      <c r="B872" s="127" t="s">
        <v>428</v>
      </c>
      <c r="C872" s="109" t="s">
        <v>510</v>
      </c>
      <c r="D872" s="108" t="s">
        <v>238</v>
      </c>
      <c r="E872" s="108" t="s">
        <v>11</v>
      </c>
      <c r="F872" s="108" t="s">
        <v>1049</v>
      </c>
      <c r="G872" s="108" t="s">
        <v>429</v>
      </c>
      <c r="H872" s="126">
        <f>H869+H870</f>
        <v>0</v>
      </c>
      <c r="L872" s="22"/>
      <c r="M872" s="22"/>
      <c r="N872" s="22"/>
      <c r="O872" s="22"/>
      <c r="P872" s="22"/>
      <c r="Q872" s="22"/>
      <c r="R872" s="24"/>
    </row>
    <row r="873" spans="1:18" s="16" customFormat="1" ht="47.25">
      <c r="A873" s="14"/>
      <c r="B873" s="132" t="s">
        <v>532</v>
      </c>
      <c r="C873" s="109" t="s">
        <v>510</v>
      </c>
      <c r="D873" s="108" t="s">
        <v>238</v>
      </c>
      <c r="E873" s="108" t="s">
        <v>11</v>
      </c>
      <c r="F873" s="108" t="s">
        <v>533</v>
      </c>
      <c r="G873" s="108" t="s">
        <v>9</v>
      </c>
      <c r="H873" s="126">
        <f t="shared" ref="H873:H874" si="101">H874</f>
        <v>0</v>
      </c>
      <c r="L873" s="20">
        <v>817.6</v>
      </c>
      <c r="M873" s="20">
        <v>817.6</v>
      </c>
      <c r="N873" s="20">
        <v>817.6</v>
      </c>
      <c r="O873" s="20">
        <f>H873-L873</f>
        <v>-817.6</v>
      </c>
      <c r="P873" s="20" t="e">
        <f>#REF!-M873</f>
        <v>#REF!</v>
      </c>
      <c r="Q873" s="20" t="e">
        <f>#REF!-N873</f>
        <v>#REF!</v>
      </c>
      <c r="R873" s="17" t="str">
        <f t="shared" ref="R873:R953" si="102">CONCATENATE(F873,G873)</f>
        <v>07 2 09 00000000</v>
      </c>
    </row>
    <row r="874" spans="1:18" s="16" customFormat="1" ht="47.25">
      <c r="A874" s="14"/>
      <c r="B874" s="132" t="s">
        <v>534</v>
      </c>
      <c r="C874" s="109" t="s">
        <v>510</v>
      </c>
      <c r="D874" s="108" t="s">
        <v>238</v>
      </c>
      <c r="E874" s="108" t="s">
        <v>11</v>
      </c>
      <c r="F874" s="108" t="s">
        <v>535</v>
      </c>
      <c r="G874" s="108" t="s">
        <v>9</v>
      </c>
      <c r="H874" s="126">
        <f t="shared" si="101"/>
        <v>0</v>
      </c>
      <c r="L874" s="20">
        <v>817.6</v>
      </c>
      <c r="M874" s="20">
        <v>817.6</v>
      </c>
      <c r="N874" s="20">
        <v>817.6</v>
      </c>
      <c r="O874" s="20">
        <f>H874-L874</f>
        <v>-817.6</v>
      </c>
      <c r="P874" s="20" t="e">
        <f>#REF!-M874</f>
        <v>#REF!</v>
      </c>
      <c r="Q874" s="20" t="e">
        <f>#REF!-N874</f>
        <v>#REF!</v>
      </c>
      <c r="R874" s="17" t="str">
        <f t="shared" si="102"/>
        <v>07 2 09 21280000</v>
      </c>
    </row>
    <row r="875" spans="1:18" s="16" customFormat="1" ht="15.75">
      <c r="A875" s="14"/>
      <c r="B875" s="132" t="s">
        <v>403</v>
      </c>
      <c r="C875" s="109" t="s">
        <v>510</v>
      </c>
      <c r="D875" s="108" t="s">
        <v>238</v>
      </c>
      <c r="E875" s="108" t="s">
        <v>11</v>
      </c>
      <c r="F875" s="108" t="s">
        <v>535</v>
      </c>
      <c r="G875" s="108" t="s">
        <v>404</v>
      </c>
      <c r="H875" s="126">
        <f>H876</f>
        <v>0</v>
      </c>
      <c r="L875" s="20">
        <v>817.6</v>
      </c>
      <c r="M875" s="20">
        <v>817.6</v>
      </c>
      <c r="N875" s="20">
        <v>817.6</v>
      </c>
      <c r="O875" s="20">
        <f>H875-L875</f>
        <v>-817.6</v>
      </c>
      <c r="P875" s="20" t="e">
        <f>#REF!-M875</f>
        <v>#REF!</v>
      </c>
      <c r="Q875" s="20" t="e">
        <f>#REF!-N875</f>
        <v>#REF!</v>
      </c>
      <c r="R875" s="17" t="str">
        <f t="shared" si="102"/>
        <v>07 2 09 21280610</v>
      </c>
    </row>
    <row r="876" spans="1:18" s="23" customFormat="1" ht="15.75">
      <c r="A876" s="21"/>
      <c r="B876" s="127" t="s">
        <v>407</v>
      </c>
      <c r="C876" s="109" t="s">
        <v>510</v>
      </c>
      <c r="D876" s="108" t="s">
        <v>238</v>
      </c>
      <c r="E876" s="108" t="s">
        <v>11</v>
      </c>
      <c r="F876" s="108" t="s">
        <v>535</v>
      </c>
      <c r="G876" s="108" t="s">
        <v>408</v>
      </c>
      <c r="H876" s="126"/>
      <c r="L876" s="22"/>
      <c r="M876" s="22"/>
      <c r="N876" s="22"/>
      <c r="O876" s="22"/>
      <c r="P876" s="22"/>
      <c r="Q876" s="22"/>
      <c r="R876" s="24"/>
    </row>
    <row r="877" spans="1:18" s="16" customFormat="1" ht="78.75">
      <c r="A877" s="14"/>
      <c r="B877" s="132" t="s">
        <v>536</v>
      </c>
      <c r="C877" s="109" t="s">
        <v>510</v>
      </c>
      <c r="D877" s="108" t="s">
        <v>238</v>
      </c>
      <c r="E877" s="108" t="s">
        <v>11</v>
      </c>
      <c r="F877" s="108" t="s">
        <v>537</v>
      </c>
      <c r="G877" s="108" t="s">
        <v>9</v>
      </c>
      <c r="H877" s="126">
        <f>H878</f>
        <v>0</v>
      </c>
      <c r="L877" s="20">
        <v>1099.44</v>
      </c>
      <c r="M877" s="20">
        <v>0</v>
      </c>
      <c r="N877" s="20">
        <v>0</v>
      </c>
      <c r="O877" s="20">
        <f>H877-L877</f>
        <v>-1099.44</v>
      </c>
      <c r="P877" s="20" t="e">
        <f>#REF!-M877</f>
        <v>#REF!</v>
      </c>
      <c r="Q877" s="20" t="e">
        <f>#REF!-N877</f>
        <v>#REF!</v>
      </c>
      <c r="R877" s="17" t="str">
        <f t="shared" si="102"/>
        <v>07 2 12 00000000</v>
      </c>
    </row>
    <row r="878" spans="1:18" s="16" customFormat="1" ht="47.25">
      <c r="A878" s="14"/>
      <c r="B878" s="138" t="s">
        <v>538</v>
      </c>
      <c r="C878" s="109" t="s">
        <v>510</v>
      </c>
      <c r="D878" s="108" t="s">
        <v>238</v>
      </c>
      <c r="E878" s="108" t="s">
        <v>11</v>
      </c>
      <c r="F878" s="108" t="s">
        <v>539</v>
      </c>
      <c r="G878" s="108" t="s">
        <v>9</v>
      </c>
      <c r="H878" s="126">
        <f>H879</f>
        <v>0</v>
      </c>
      <c r="L878" s="20">
        <v>1099.44</v>
      </c>
      <c r="M878" s="20">
        <v>0</v>
      </c>
      <c r="N878" s="20">
        <v>0</v>
      </c>
      <c r="O878" s="20">
        <f>H878-L878</f>
        <v>-1099.44</v>
      </c>
      <c r="P878" s="20" t="e">
        <f>#REF!-M878</f>
        <v>#REF!</v>
      </c>
      <c r="Q878" s="20" t="e">
        <f>#REF!-N878</f>
        <v>#REF!</v>
      </c>
      <c r="R878" s="17" t="str">
        <f t="shared" si="102"/>
        <v>07 2 12 21430000</v>
      </c>
    </row>
    <row r="879" spans="1:18" s="16" customFormat="1" ht="15.75">
      <c r="A879" s="14"/>
      <c r="B879" s="132" t="s">
        <v>403</v>
      </c>
      <c r="C879" s="109" t="s">
        <v>510</v>
      </c>
      <c r="D879" s="108" t="s">
        <v>238</v>
      </c>
      <c r="E879" s="108" t="s">
        <v>11</v>
      </c>
      <c r="F879" s="108" t="s">
        <v>539</v>
      </c>
      <c r="G879" s="108" t="s">
        <v>404</v>
      </c>
      <c r="H879" s="126">
        <f>H880</f>
        <v>0</v>
      </c>
      <c r="L879" s="20">
        <v>1099.44</v>
      </c>
      <c r="M879" s="20">
        <v>0</v>
      </c>
      <c r="N879" s="20">
        <v>0</v>
      </c>
      <c r="O879" s="20">
        <f>H879-L879</f>
        <v>-1099.44</v>
      </c>
      <c r="P879" s="20" t="e">
        <f>#REF!-M879</f>
        <v>#REF!</v>
      </c>
      <c r="Q879" s="20" t="e">
        <f>#REF!-N879</f>
        <v>#REF!</v>
      </c>
      <c r="R879" s="17" t="str">
        <f t="shared" si="102"/>
        <v>07 2 12 21430610</v>
      </c>
    </row>
    <row r="880" spans="1:18" s="23" customFormat="1" ht="15.75">
      <c r="A880" s="21"/>
      <c r="B880" s="127" t="s">
        <v>407</v>
      </c>
      <c r="C880" s="109" t="s">
        <v>510</v>
      </c>
      <c r="D880" s="108" t="s">
        <v>238</v>
      </c>
      <c r="E880" s="108" t="s">
        <v>11</v>
      </c>
      <c r="F880" s="108" t="s">
        <v>539</v>
      </c>
      <c r="G880" s="108" t="s">
        <v>408</v>
      </c>
      <c r="H880" s="126"/>
      <c r="L880" s="22"/>
      <c r="M880" s="22"/>
      <c r="N880" s="22"/>
      <c r="O880" s="22"/>
      <c r="P880" s="22"/>
      <c r="Q880" s="22"/>
      <c r="R880" s="24"/>
    </row>
    <row r="881" spans="1:18" s="16" customFormat="1" ht="47.25">
      <c r="A881" s="14"/>
      <c r="B881" s="127" t="s">
        <v>146</v>
      </c>
      <c r="C881" s="109" t="s">
        <v>510</v>
      </c>
      <c r="D881" s="108" t="s">
        <v>238</v>
      </c>
      <c r="E881" s="108" t="s">
        <v>11</v>
      </c>
      <c r="F881" s="130" t="s">
        <v>147</v>
      </c>
      <c r="G881" s="130" t="s">
        <v>9</v>
      </c>
      <c r="H881" s="134">
        <f>H882</f>
        <v>0</v>
      </c>
      <c r="L881" s="27">
        <v>76.5</v>
      </c>
      <c r="M881" s="27">
        <v>76.5</v>
      </c>
      <c r="N881" s="27">
        <v>76.5</v>
      </c>
      <c r="O881" s="27">
        <f>H881-L881</f>
        <v>-76.5</v>
      </c>
      <c r="P881" s="27" t="e">
        <f>#REF!-M881</f>
        <v>#REF!</v>
      </c>
      <c r="Q881" s="27" t="e">
        <f>#REF!-N881</f>
        <v>#REF!</v>
      </c>
      <c r="R881" s="17" t="str">
        <f t="shared" si="102"/>
        <v>15 0 00 00000000</v>
      </c>
    </row>
    <row r="882" spans="1:18" s="16" customFormat="1" ht="15.75">
      <c r="A882" s="14"/>
      <c r="B882" s="125" t="s">
        <v>148</v>
      </c>
      <c r="C882" s="109" t="s">
        <v>510</v>
      </c>
      <c r="D882" s="108" t="s">
        <v>238</v>
      </c>
      <c r="E882" s="108" t="s">
        <v>11</v>
      </c>
      <c r="F882" s="130" t="s">
        <v>149</v>
      </c>
      <c r="G882" s="130" t="s">
        <v>9</v>
      </c>
      <c r="H882" s="134">
        <f>H883</f>
        <v>0</v>
      </c>
      <c r="L882" s="27">
        <v>76.5</v>
      </c>
      <c r="M882" s="27">
        <v>76.5</v>
      </c>
      <c r="N882" s="27">
        <v>76.5</v>
      </c>
      <c r="O882" s="27">
        <f>H882-L882</f>
        <v>-76.5</v>
      </c>
      <c r="P882" s="27" t="e">
        <f>#REF!-M882</f>
        <v>#REF!</v>
      </c>
      <c r="Q882" s="27" t="e">
        <f>#REF!-N882</f>
        <v>#REF!</v>
      </c>
      <c r="R882" s="17" t="str">
        <f t="shared" si="102"/>
        <v>15 1 00 00000000</v>
      </c>
    </row>
    <row r="883" spans="1:18" s="16" customFormat="1" ht="78.75">
      <c r="A883" s="14"/>
      <c r="B883" s="129" t="s">
        <v>150</v>
      </c>
      <c r="C883" s="109" t="s">
        <v>510</v>
      </c>
      <c r="D883" s="108" t="s">
        <v>238</v>
      </c>
      <c r="E883" s="108" t="s">
        <v>11</v>
      </c>
      <c r="F883" s="109" t="s">
        <v>151</v>
      </c>
      <c r="G883" s="130" t="s">
        <v>9</v>
      </c>
      <c r="H883" s="134">
        <f>H884</f>
        <v>0</v>
      </c>
      <c r="L883" s="27">
        <v>76.5</v>
      </c>
      <c r="M883" s="27">
        <v>76.5</v>
      </c>
      <c r="N883" s="27">
        <v>76.5</v>
      </c>
      <c r="O883" s="27">
        <f>H883-L883</f>
        <v>-76.5</v>
      </c>
      <c r="P883" s="27" t="e">
        <f>#REF!-M883</f>
        <v>#REF!</v>
      </c>
      <c r="Q883" s="27" t="e">
        <f>#REF!-N883</f>
        <v>#REF!</v>
      </c>
      <c r="R883" s="17" t="str">
        <f t="shared" si="102"/>
        <v>15 1 01 00000000</v>
      </c>
    </row>
    <row r="884" spans="1:18" s="16" customFormat="1" ht="47.25">
      <c r="A884" s="14"/>
      <c r="B884" s="129" t="s">
        <v>152</v>
      </c>
      <c r="C884" s="109" t="s">
        <v>510</v>
      </c>
      <c r="D884" s="108" t="s">
        <v>238</v>
      </c>
      <c r="E884" s="108" t="s">
        <v>11</v>
      </c>
      <c r="F884" s="109" t="s">
        <v>153</v>
      </c>
      <c r="G884" s="130" t="s">
        <v>9</v>
      </c>
      <c r="H884" s="134">
        <f>SUM(H885:H885)</f>
        <v>0</v>
      </c>
      <c r="L884" s="27">
        <v>76.5</v>
      </c>
      <c r="M884" s="27">
        <v>76.5</v>
      </c>
      <c r="N884" s="27">
        <v>76.5</v>
      </c>
      <c r="O884" s="27">
        <f>H884-L884</f>
        <v>-76.5</v>
      </c>
      <c r="P884" s="27" t="e">
        <f>#REF!-M884</f>
        <v>#REF!</v>
      </c>
      <c r="Q884" s="27" t="e">
        <f>#REF!-N884</f>
        <v>#REF!</v>
      </c>
      <c r="R884" s="17" t="str">
        <f t="shared" si="102"/>
        <v>15 1 01 20350000</v>
      </c>
    </row>
    <row r="885" spans="1:18" s="16" customFormat="1" ht="15.75">
      <c r="A885" s="14"/>
      <c r="B885" s="132" t="s">
        <v>403</v>
      </c>
      <c r="C885" s="109" t="s">
        <v>510</v>
      </c>
      <c r="D885" s="108" t="s">
        <v>238</v>
      </c>
      <c r="E885" s="108" t="s">
        <v>11</v>
      </c>
      <c r="F885" s="109" t="s">
        <v>153</v>
      </c>
      <c r="G885" s="130" t="s">
        <v>404</v>
      </c>
      <c r="H885" s="126">
        <f>H886</f>
        <v>0</v>
      </c>
      <c r="L885" s="20">
        <v>76.5</v>
      </c>
      <c r="M885" s="20">
        <v>76.5</v>
      </c>
      <c r="N885" s="20">
        <v>76.5</v>
      </c>
      <c r="O885" s="20">
        <f>H885-L885</f>
        <v>-76.5</v>
      </c>
      <c r="P885" s="20" t="e">
        <f>#REF!-M885</f>
        <v>#REF!</v>
      </c>
      <c r="Q885" s="20" t="e">
        <f>#REF!-N885</f>
        <v>#REF!</v>
      </c>
      <c r="R885" s="17" t="str">
        <f t="shared" si="102"/>
        <v>15 1 01 20350610</v>
      </c>
    </row>
    <row r="886" spans="1:18" s="23" customFormat="1" ht="15.75">
      <c r="A886" s="21"/>
      <c r="B886" s="127" t="s">
        <v>407</v>
      </c>
      <c r="C886" s="109" t="s">
        <v>510</v>
      </c>
      <c r="D886" s="108" t="s">
        <v>238</v>
      </c>
      <c r="E886" s="108" t="s">
        <v>11</v>
      </c>
      <c r="F886" s="109" t="s">
        <v>153</v>
      </c>
      <c r="G886" s="109" t="s">
        <v>408</v>
      </c>
      <c r="H886" s="126"/>
      <c r="L886" s="22"/>
      <c r="M886" s="22"/>
      <c r="N886" s="22"/>
      <c r="O886" s="22"/>
      <c r="P886" s="22"/>
      <c r="Q886" s="22"/>
      <c r="R886" s="24"/>
    </row>
    <row r="887" spans="1:18" s="16" customFormat="1" ht="94.5">
      <c r="A887" s="14"/>
      <c r="B887" s="125" t="s">
        <v>420</v>
      </c>
      <c r="C887" s="109" t="s">
        <v>510</v>
      </c>
      <c r="D887" s="108" t="s">
        <v>238</v>
      </c>
      <c r="E887" s="108" t="s">
        <v>11</v>
      </c>
      <c r="F887" s="108" t="s">
        <v>421</v>
      </c>
      <c r="G887" s="108" t="s">
        <v>9</v>
      </c>
      <c r="H887" s="126">
        <f t="shared" ref="H887:H890" si="103">H888</f>
        <v>0</v>
      </c>
      <c r="L887" s="20">
        <v>547.85</v>
      </c>
      <c r="M887" s="20">
        <v>547.85</v>
      </c>
      <c r="N887" s="20">
        <v>547.85</v>
      </c>
      <c r="O887" s="20">
        <f>H887-L887</f>
        <v>-547.85</v>
      </c>
      <c r="P887" s="20" t="e">
        <f>#REF!-M887</f>
        <v>#REF!</v>
      </c>
      <c r="Q887" s="20" t="e">
        <f>#REF!-N887</f>
        <v>#REF!</v>
      </c>
      <c r="R887" s="17" t="str">
        <f t="shared" si="102"/>
        <v>16 0 00 00000000</v>
      </c>
    </row>
    <row r="888" spans="1:18" s="16" customFormat="1" ht="31.5">
      <c r="A888" s="14"/>
      <c r="B888" s="125" t="s">
        <v>422</v>
      </c>
      <c r="C888" s="109" t="s">
        <v>510</v>
      </c>
      <c r="D888" s="108" t="s">
        <v>238</v>
      </c>
      <c r="E888" s="108" t="s">
        <v>11</v>
      </c>
      <c r="F888" s="108" t="s">
        <v>423</v>
      </c>
      <c r="G888" s="108" t="s">
        <v>9</v>
      </c>
      <c r="H888" s="126">
        <f t="shared" si="103"/>
        <v>0</v>
      </c>
      <c r="L888" s="20">
        <v>547.85</v>
      </c>
      <c r="M888" s="20">
        <v>547.85</v>
      </c>
      <c r="N888" s="20">
        <v>547.85</v>
      </c>
      <c r="O888" s="20">
        <f>H888-L888</f>
        <v>-547.85</v>
      </c>
      <c r="P888" s="20" t="e">
        <f>#REF!-M888</f>
        <v>#REF!</v>
      </c>
      <c r="Q888" s="20" t="e">
        <f>#REF!-N888</f>
        <v>#REF!</v>
      </c>
      <c r="R888" s="17" t="str">
        <f t="shared" si="102"/>
        <v>16 2 00 00000000</v>
      </c>
    </row>
    <row r="889" spans="1:18" s="16" customFormat="1" ht="47.25">
      <c r="A889" s="14"/>
      <c r="B889" s="125" t="s">
        <v>424</v>
      </c>
      <c r="C889" s="109" t="s">
        <v>510</v>
      </c>
      <c r="D889" s="108" t="s">
        <v>238</v>
      </c>
      <c r="E889" s="108" t="s">
        <v>11</v>
      </c>
      <c r="F889" s="108" t="s">
        <v>425</v>
      </c>
      <c r="G889" s="108" t="s">
        <v>9</v>
      </c>
      <c r="H889" s="126">
        <f t="shared" si="103"/>
        <v>0</v>
      </c>
      <c r="L889" s="20">
        <v>547.85</v>
      </c>
      <c r="M889" s="20">
        <v>547.85</v>
      </c>
      <c r="N889" s="20">
        <v>547.85</v>
      </c>
      <c r="O889" s="20">
        <f>H889-L889</f>
        <v>-547.85</v>
      </c>
      <c r="P889" s="20" t="e">
        <f>#REF!-M889</f>
        <v>#REF!</v>
      </c>
      <c r="Q889" s="20" t="e">
        <f>#REF!-N889</f>
        <v>#REF!</v>
      </c>
      <c r="R889" s="17" t="str">
        <f t="shared" si="102"/>
        <v>16 2 02 00000000</v>
      </c>
    </row>
    <row r="890" spans="1:18" s="16" customFormat="1" ht="47.25">
      <c r="A890" s="14"/>
      <c r="B890" s="125" t="s">
        <v>426</v>
      </c>
      <c r="C890" s="109" t="s">
        <v>510</v>
      </c>
      <c r="D890" s="108" t="s">
        <v>238</v>
      </c>
      <c r="E890" s="108" t="s">
        <v>11</v>
      </c>
      <c r="F890" s="108" t="s">
        <v>427</v>
      </c>
      <c r="G890" s="108" t="s">
        <v>9</v>
      </c>
      <c r="H890" s="126">
        <f t="shared" si="103"/>
        <v>0</v>
      </c>
      <c r="L890" s="20">
        <v>547.85</v>
      </c>
      <c r="M890" s="20">
        <v>547.85</v>
      </c>
      <c r="N890" s="20">
        <v>547.85</v>
      </c>
      <c r="O890" s="20">
        <f>H890-L890</f>
        <v>-547.85</v>
      </c>
      <c r="P890" s="20" t="e">
        <f>#REF!-M890</f>
        <v>#REF!</v>
      </c>
      <c r="Q890" s="20" t="e">
        <f>#REF!-N890</f>
        <v>#REF!</v>
      </c>
      <c r="R890" s="17" t="str">
        <f t="shared" si="102"/>
        <v>16 2 02 20550000</v>
      </c>
    </row>
    <row r="891" spans="1:18" s="16" customFormat="1" ht="15.75">
      <c r="A891" s="14"/>
      <c r="B891" s="132" t="s">
        <v>403</v>
      </c>
      <c r="C891" s="109" t="s">
        <v>510</v>
      </c>
      <c r="D891" s="108" t="s">
        <v>238</v>
      </c>
      <c r="E891" s="108" t="s">
        <v>11</v>
      </c>
      <c r="F891" s="108" t="s">
        <v>427</v>
      </c>
      <c r="G891" s="108" t="s">
        <v>404</v>
      </c>
      <c r="H891" s="126">
        <f>H892</f>
        <v>0</v>
      </c>
      <c r="L891" s="20">
        <v>547.85</v>
      </c>
      <c r="M891" s="20">
        <v>547.85</v>
      </c>
      <c r="N891" s="20">
        <v>547.85</v>
      </c>
      <c r="O891" s="20">
        <f>H891-L891</f>
        <v>-547.85</v>
      </c>
      <c r="P891" s="20" t="e">
        <f>#REF!-M891</f>
        <v>#REF!</v>
      </c>
      <c r="Q891" s="20" t="e">
        <f>#REF!-N891</f>
        <v>#REF!</v>
      </c>
      <c r="R891" s="17" t="str">
        <f t="shared" si="102"/>
        <v>16 2 02 20550610</v>
      </c>
    </row>
    <row r="892" spans="1:18" s="23" customFormat="1" ht="15.75">
      <c r="A892" s="21"/>
      <c r="B892" s="127" t="s">
        <v>407</v>
      </c>
      <c r="C892" s="109" t="s">
        <v>510</v>
      </c>
      <c r="D892" s="108" t="s">
        <v>238</v>
      </c>
      <c r="E892" s="108" t="s">
        <v>11</v>
      </c>
      <c r="F892" s="108" t="s">
        <v>427</v>
      </c>
      <c r="G892" s="108" t="s">
        <v>408</v>
      </c>
      <c r="H892" s="126"/>
      <c r="L892" s="22"/>
      <c r="M892" s="22"/>
      <c r="N892" s="22"/>
      <c r="O892" s="22"/>
      <c r="P892" s="22"/>
      <c r="Q892" s="22"/>
      <c r="R892" s="24"/>
    </row>
    <row r="893" spans="1:18" s="16" customFormat="1" ht="47.25">
      <c r="A893" s="14"/>
      <c r="B893" s="125" t="s">
        <v>430</v>
      </c>
      <c r="C893" s="109" t="s">
        <v>510</v>
      </c>
      <c r="D893" s="108" t="s">
        <v>238</v>
      </c>
      <c r="E893" s="108" t="s">
        <v>11</v>
      </c>
      <c r="F893" s="108" t="s">
        <v>431</v>
      </c>
      <c r="G893" s="108" t="s">
        <v>9</v>
      </c>
      <c r="H893" s="126">
        <f>H894</f>
        <v>0</v>
      </c>
      <c r="L893" s="20">
        <v>203.83</v>
      </c>
      <c r="M893" s="20">
        <v>203.83</v>
      </c>
      <c r="N893" s="20">
        <v>203.83</v>
      </c>
      <c r="O893" s="20">
        <f>H893-L893</f>
        <v>-203.83</v>
      </c>
      <c r="P893" s="20" t="e">
        <f>#REF!-M893</f>
        <v>#REF!</v>
      </c>
      <c r="Q893" s="20" t="e">
        <f>#REF!-N893</f>
        <v>#REF!</v>
      </c>
      <c r="R893" s="17" t="str">
        <f t="shared" si="102"/>
        <v>17 0 00 00000000</v>
      </c>
    </row>
    <row r="894" spans="1:18" s="16" customFormat="1" ht="47.25">
      <c r="A894" s="14"/>
      <c r="B894" s="125" t="s">
        <v>432</v>
      </c>
      <c r="C894" s="109" t="s">
        <v>510</v>
      </c>
      <c r="D894" s="108" t="s">
        <v>238</v>
      </c>
      <c r="E894" s="108" t="s">
        <v>11</v>
      </c>
      <c r="F894" s="108" t="s">
        <v>433</v>
      </c>
      <c r="G894" s="108" t="s">
        <v>9</v>
      </c>
      <c r="H894" s="126">
        <f>H895</f>
        <v>0</v>
      </c>
      <c r="L894" s="20">
        <v>203.83</v>
      </c>
      <c r="M894" s="20">
        <v>203.83</v>
      </c>
      <c r="N894" s="20">
        <v>203.83</v>
      </c>
      <c r="O894" s="20">
        <f>H894-L894</f>
        <v>-203.83</v>
      </c>
      <c r="P894" s="20" t="e">
        <f>#REF!-M894</f>
        <v>#REF!</v>
      </c>
      <c r="Q894" s="20" t="e">
        <f>#REF!-N894</f>
        <v>#REF!</v>
      </c>
      <c r="R894" s="17" t="str">
        <f t="shared" si="102"/>
        <v>17 Б 00 00000000</v>
      </c>
    </row>
    <row r="895" spans="1:18" s="16" customFormat="1" ht="31.5">
      <c r="A895" s="14"/>
      <c r="B895" s="125" t="s">
        <v>434</v>
      </c>
      <c r="C895" s="109" t="s">
        <v>510</v>
      </c>
      <c r="D895" s="108" t="s">
        <v>238</v>
      </c>
      <c r="E895" s="108" t="s">
        <v>11</v>
      </c>
      <c r="F895" s="108" t="s">
        <v>435</v>
      </c>
      <c r="G895" s="108" t="s">
        <v>9</v>
      </c>
      <c r="H895" s="126">
        <f>H896</f>
        <v>0</v>
      </c>
      <c r="L895" s="20">
        <v>203.83</v>
      </c>
      <c r="M895" s="20">
        <v>203.83</v>
      </c>
      <c r="N895" s="20">
        <v>203.83</v>
      </c>
      <c r="O895" s="20">
        <f>H895-L895</f>
        <v>-203.83</v>
      </c>
      <c r="P895" s="20" t="e">
        <f>#REF!-M895</f>
        <v>#REF!</v>
      </c>
      <c r="Q895" s="20" t="e">
        <f>#REF!-N895</f>
        <v>#REF!</v>
      </c>
      <c r="R895" s="17" t="str">
        <f t="shared" si="102"/>
        <v>17 Б 01 00000000</v>
      </c>
    </row>
    <row r="896" spans="1:18" s="16" customFormat="1" ht="47.25">
      <c r="A896" s="14"/>
      <c r="B896" s="132" t="s">
        <v>436</v>
      </c>
      <c r="C896" s="109" t="s">
        <v>510</v>
      </c>
      <c r="D896" s="108" t="s">
        <v>238</v>
      </c>
      <c r="E896" s="108" t="s">
        <v>11</v>
      </c>
      <c r="F896" s="108" t="s">
        <v>437</v>
      </c>
      <c r="G896" s="108" t="s">
        <v>9</v>
      </c>
      <c r="H896" s="126">
        <f>H897</f>
        <v>0</v>
      </c>
      <c r="L896" s="20">
        <v>203.83</v>
      </c>
      <c r="M896" s="20">
        <v>203.83</v>
      </c>
      <c r="N896" s="20">
        <v>203.83</v>
      </c>
      <c r="O896" s="20">
        <f>H896-L896</f>
        <v>-203.83</v>
      </c>
      <c r="P896" s="20" t="e">
        <f>#REF!-M896</f>
        <v>#REF!</v>
      </c>
      <c r="Q896" s="20" t="e">
        <f>#REF!-N896</f>
        <v>#REF!</v>
      </c>
      <c r="R896" s="17" t="str">
        <f t="shared" si="102"/>
        <v>17 Б 01 20490000</v>
      </c>
    </row>
    <row r="897" spans="1:18" s="16" customFormat="1" ht="15.75">
      <c r="A897" s="14"/>
      <c r="B897" s="125" t="s">
        <v>403</v>
      </c>
      <c r="C897" s="109" t="s">
        <v>510</v>
      </c>
      <c r="D897" s="108" t="s">
        <v>238</v>
      </c>
      <c r="E897" s="108" t="s">
        <v>11</v>
      </c>
      <c r="F897" s="108" t="s">
        <v>437</v>
      </c>
      <c r="G897" s="108" t="s">
        <v>404</v>
      </c>
      <c r="H897" s="126">
        <f>H898</f>
        <v>0</v>
      </c>
      <c r="L897" s="20">
        <v>203.83</v>
      </c>
      <c r="M897" s="20">
        <v>203.83</v>
      </c>
      <c r="N897" s="20">
        <v>203.83</v>
      </c>
      <c r="O897" s="20">
        <f>H897-L897</f>
        <v>-203.83</v>
      </c>
      <c r="P897" s="20" t="e">
        <f>#REF!-M897</f>
        <v>#REF!</v>
      </c>
      <c r="Q897" s="20" t="e">
        <f>#REF!-N897</f>
        <v>#REF!</v>
      </c>
      <c r="R897" s="17" t="str">
        <f t="shared" si="102"/>
        <v>17 Б 01 20490610</v>
      </c>
    </row>
    <row r="898" spans="1:18" s="23" customFormat="1" ht="19.5" customHeight="1">
      <c r="A898" s="21"/>
      <c r="B898" s="127" t="s">
        <v>407</v>
      </c>
      <c r="C898" s="109" t="s">
        <v>510</v>
      </c>
      <c r="D898" s="108" t="s">
        <v>238</v>
      </c>
      <c r="E898" s="108" t="s">
        <v>11</v>
      </c>
      <c r="F898" s="108" t="s">
        <v>437</v>
      </c>
      <c r="G898" s="108" t="s">
        <v>408</v>
      </c>
      <c r="H898" s="126"/>
      <c r="L898" s="22"/>
      <c r="M898" s="22"/>
      <c r="N898" s="22"/>
      <c r="O898" s="22"/>
      <c r="P898" s="22"/>
      <c r="Q898" s="22"/>
      <c r="R898" s="24"/>
    </row>
    <row r="899" spans="1:18" s="23" customFormat="1" ht="19.5" customHeight="1">
      <c r="A899" s="21"/>
      <c r="B899" s="125" t="s">
        <v>87</v>
      </c>
      <c r="C899" s="109" t="s">
        <v>510</v>
      </c>
      <c r="D899" s="108" t="s">
        <v>238</v>
      </c>
      <c r="E899" s="108" t="s">
        <v>11</v>
      </c>
      <c r="F899" s="108" t="s">
        <v>88</v>
      </c>
      <c r="G899" s="108" t="s">
        <v>9</v>
      </c>
      <c r="H899" s="126">
        <f>H900</f>
        <v>0</v>
      </c>
      <c r="L899" s="22"/>
      <c r="M899" s="22"/>
      <c r="N899" s="22"/>
      <c r="O899" s="22"/>
      <c r="P899" s="22"/>
      <c r="Q899" s="22"/>
      <c r="R899" s="24"/>
    </row>
    <row r="900" spans="1:18" s="23" customFormat="1" ht="19.5" customHeight="1">
      <c r="A900" s="21"/>
      <c r="B900" s="125" t="s">
        <v>89</v>
      </c>
      <c r="C900" s="109" t="s">
        <v>510</v>
      </c>
      <c r="D900" s="108" t="s">
        <v>238</v>
      </c>
      <c r="E900" s="108" t="s">
        <v>11</v>
      </c>
      <c r="F900" s="108" t="s">
        <v>90</v>
      </c>
      <c r="G900" s="108" t="s">
        <v>9</v>
      </c>
      <c r="H900" s="126">
        <f>H901</f>
        <v>0</v>
      </c>
      <c r="L900" s="22"/>
      <c r="M900" s="22"/>
      <c r="N900" s="22"/>
      <c r="O900" s="22"/>
      <c r="P900" s="22"/>
      <c r="Q900" s="22"/>
      <c r="R900" s="24"/>
    </row>
    <row r="901" spans="1:18" s="23" customFormat="1" ht="19.5" customHeight="1">
      <c r="A901" s="21"/>
      <c r="B901" s="125" t="s">
        <v>1054</v>
      </c>
      <c r="C901" s="109" t="s">
        <v>510</v>
      </c>
      <c r="D901" s="108" t="s">
        <v>238</v>
      </c>
      <c r="E901" s="108" t="s">
        <v>11</v>
      </c>
      <c r="F901" s="108" t="s">
        <v>1055</v>
      </c>
      <c r="G901" s="108" t="s">
        <v>9</v>
      </c>
      <c r="H901" s="126">
        <f>H902</f>
        <v>0</v>
      </c>
      <c r="L901" s="22"/>
      <c r="M901" s="22"/>
      <c r="N901" s="22"/>
      <c r="O901" s="22"/>
      <c r="P901" s="22"/>
      <c r="Q901" s="22"/>
      <c r="R901" s="24"/>
    </row>
    <row r="902" spans="1:18" s="23" customFormat="1" ht="19.5" customHeight="1">
      <c r="A902" s="21"/>
      <c r="B902" s="125" t="s">
        <v>403</v>
      </c>
      <c r="C902" s="109" t="s">
        <v>510</v>
      </c>
      <c r="D902" s="108" t="s">
        <v>238</v>
      </c>
      <c r="E902" s="108" t="s">
        <v>11</v>
      </c>
      <c r="F902" s="108" t="s">
        <v>1055</v>
      </c>
      <c r="G902" s="108" t="s">
        <v>404</v>
      </c>
      <c r="H902" s="126">
        <f>H903</f>
        <v>0</v>
      </c>
      <c r="L902" s="22"/>
      <c r="M902" s="22"/>
      <c r="N902" s="22"/>
      <c r="O902" s="22"/>
      <c r="P902" s="22"/>
      <c r="Q902" s="22"/>
      <c r="R902" s="24"/>
    </row>
    <row r="903" spans="1:18" s="23" customFormat="1" ht="19.5" customHeight="1">
      <c r="A903" s="21"/>
      <c r="B903" s="127" t="s">
        <v>407</v>
      </c>
      <c r="C903" s="109" t="s">
        <v>510</v>
      </c>
      <c r="D903" s="108" t="s">
        <v>238</v>
      </c>
      <c r="E903" s="108" t="s">
        <v>11</v>
      </c>
      <c r="F903" s="108" t="s">
        <v>1055</v>
      </c>
      <c r="G903" s="108" t="s">
        <v>408</v>
      </c>
      <c r="H903" s="126"/>
      <c r="L903" s="22"/>
      <c r="M903" s="22"/>
      <c r="N903" s="22"/>
      <c r="O903" s="22"/>
      <c r="P903" s="22"/>
      <c r="Q903" s="22"/>
      <c r="R903" s="24"/>
    </row>
    <row r="904" spans="1:18" s="16" customFormat="1" ht="15.75">
      <c r="A904" s="14"/>
      <c r="B904" s="121" t="s">
        <v>584</v>
      </c>
      <c r="C904" s="122" t="s">
        <v>510</v>
      </c>
      <c r="D904" s="123" t="s">
        <v>238</v>
      </c>
      <c r="E904" s="123" t="s">
        <v>73</v>
      </c>
      <c r="F904" s="123" t="s">
        <v>8</v>
      </c>
      <c r="G904" s="123" t="s">
        <v>9</v>
      </c>
      <c r="H904" s="124">
        <f>H905</f>
        <v>0</v>
      </c>
      <c r="L904" s="19">
        <v>13610.46</v>
      </c>
      <c r="M904" s="19">
        <v>13610.46</v>
      </c>
      <c r="N904" s="19">
        <v>13610.46</v>
      </c>
      <c r="O904" s="19">
        <f>H904-L904</f>
        <v>-13610.46</v>
      </c>
      <c r="P904" s="19" t="e">
        <f>#REF!-M904</f>
        <v>#REF!</v>
      </c>
      <c r="Q904" s="19" t="e">
        <f>#REF!-N904</f>
        <v>#REF!</v>
      </c>
      <c r="R904" s="17" t="str">
        <f t="shared" si="102"/>
        <v>00 0 00 00000000</v>
      </c>
    </row>
    <row r="905" spans="1:18" s="16" customFormat="1" ht="47.25">
      <c r="A905" s="14"/>
      <c r="B905" s="125" t="s">
        <v>585</v>
      </c>
      <c r="C905" s="109" t="s">
        <v>510</v>
      </c>
      <c r="D905" s="108" t="s">
        <v>238</v>
      </c>
      <c r="E905" s="108" t="s">
        <v>73</v>
      </c>
      <c r="F905" s="108" t="s">
        <v>586</v>
      </c>
      <c r="G905" s="108" t="s">
        <v>9</v>
      </c>
      <c r="H905" s="126">
        <f>H906+H921</f>
        <v>0</v>
      </c>
      <c r="L905" s="20">
        <v>13610.46</v>
      </c>
      <c r="M905" s="20">
        <v>13610.46</v>
      </c>
      <c r="N905" s="20">
        <v>13610.46</v>
      </c>
      <c r="O905" s="20">
        <f>H905-L905</f>
        <v>-13610.46</v>
      </c>
      <c r="P905" s="20" t="e">
        <f>#REF!-M905</f>
        <v>#REF!</v>
      </c>
      <c r="Q905" s="20" t="e">
        <f>#REF!-N905</f>
        <v>#REF!</v>
      </c>
      <c r="R905" s="17" t="str">
        <f t="shared" si="102"/>
        <v>76 0 00 00000000</v>
      </c>
    </row>
    <row r="906" spans="1:18" s="16" customFormat="1" ht="47.25">
      <c r="A906" s="14"/>
      <c r="B906" s="125" t="s">
        <v>587</v>
      </c>
      <c r="C906" s="109" t="s">
        <v>510</v>
      </c>
      <c r="D906" s="108" t="s">
        <v>238</v>
      </c>
      <c r="E906" s="108" t="s">
        <v>73</v>
      </c>
      <c r="F906" s="108" t="s">
        <v>588</v>
      </c>
      <c r="G906" s="108" t="s">
        <v>9</v>
      </c>
      <c r="H906" s="126">
        <f>H907+H917</f>
        <v>0</v>
      </c>
      <c r="L906" s="20">
        <v>13450.46</v>
      </c>
      <c r="M906" s="20">
        <v>13450.46</v>
      </c>
      <c r="N906" s="20">
        <v>13450.46</v>
      </c>
      <c r="O906" s="20">
        <f>H906-L906</f>
        <v>-13450.46</v>
      </c>
      <c r="P906" s="20" t="e">
        <f>#REF!-M906</f>
        <v>#REF!</v>
      </c>
      <c r="Q906" s="20" t="e">
        <f>#REF!-N906</f>
        <v>#REF!</v>
      </c>
      <c r="R906" s="17" t="str">
        <f t="shared" si="102"/>
        <v>76 1 00 00000000</v>
      </c>
    </row>
    <row r="907" spans="1:18" s="16" customFormat="1" ht="31.5">
      <c r="A907" s="14"/>
      <c r="B907" s="125" t="s">
        <v>18</v>
      </c>
      <c r="C907" s="109" t="s">
        <v>510</v>
      </c>
      <c r="D907" s="108" t="s">
        <v>238</v>
      </c>
      <c r="E907" s="108" t="s">
        <v>73</v>
      </c>
      <c r="F907" s="108" t="s">
        <v>589</v>
      </c>
      <c r="G907" s="108" t="s">
        <v>9</v>
      </c>
      <c r="H907" s="126">
        <f>H908+H911+H913</f>
        <v>0</v>
      </c>
      <c r="L907" s="20">
        <v>1480.34</v>
      </c>
      <c r="M907" s="20">
        <v>1480.34</v>
      </c>
      <c r="N907" s="20">
        <v>1480.34</v>
      </c>
      <c r="O907" s="20">
        <f>H907-L907</f>
        <v>-1480.34</v>
      </c>
      <c r="P907" s="20" t="e">
        <f>#REF!-M907</f>
        <v>#REF!</v>
      </c>
      <c r="Q907" s="20" t="e">
        <f>#REF!-N907</f>
        <v>#REF!</v>
      </c>
      <c r="R907" s="17" t="str">
        <f t="shared" si="102"/>
        <v>76 1 00 10010000</v>
      </c>
    </row>
    <row r="908" spans="1:18" s="16" customFormat="1" ht="31.5">
      <c r="A908" s="14"/>
      <c r="B908" s="127" t="s">
        <v>20</v>
      </c>
      <c r="C908" s="109" t="s">
        <v>510</v>
      </c>
      <c r="D908" s="108" t="s">
        <v>238</v>
      </c>
      <c r="E908" s="108" t="s">
        <v>73</v>
      </c>
      <c r="F908" s="108" t="s">
        <v>589</v>
      </c>
      <c r="G908" s="108" t="s">
        <v>21</v>
      </c>
      <c r="H908" s="126">
        <f>SUM(H909:H910)</f>
        <v>0</v>
      </c>
      <c r="L908" s="20">
        <v>357.33</v>
      </c>
      <c r="M908" s="20">
        <v>357.33</v>
      </c>
      <c r="N908" s="20">
        <v>357.33</v>
      </c>
      <c r="O908" s="20">
        <f>H908-L908</f>
        <v>-357.33</v>
      </c>
      <c r="P908" s="20" t="e">
        <f>#REF!-M908</f>
        <v>#REF!</v>
      </c>
      <c r="Q908" s="20" t="e">
        <f>#REF!-N908</f>
        <v>#REF!</v>
      </c>
      <c r="R908" s="17" t="str">
        <f t="shared" si="102"/>
        <v>76 1 00 10010120</v>
      </c>
    </row>
    <row r="909" spans="1:18" s="23" customFormat="1" ht="47.25">
      <c r="A909" s="21"/>
      <c r="B909" s="127" t="s">
        <v>22</v>
      </c>
      <c r="C909" s="109" t="s">
        <v>510</v>
      </c>
      <c r="D909" s="108" t="s">
        <v>238</v>
      </c>
      <c r="E909" s="108" t="s">
        <v>73</v>
      </c>
      <c r="F909" s="108" t="s">
        <v>589</v>
      </c>
      <c r="G909" s="108" t="s">
        <v>23</v>
      </c>
      <c r="H909" s="126"/>
      <c r="L909" s="22"/>
      <c r="M909" s="22"/>
      <c r="N909" s="22"/>
      <c r="O909" s="22"/>
      <c r="P909" s="22"/>
      <c r="Q909" s="22"/>
      <c r="R909" s="24"/>
    </row>
    <row r="910" spans="1:18" s="23" customFormat="1" ht="63">
      <c r="A910" s="21"/>
      <c r="B910" s="127" t="s">
        <v>26</v>
      </c>
      <c r="C910" s="109" t="s">
        <v>510</v>
      </c>
      <c r="D910" s="108" t="s">
        <v>238</v>
      </c>
      <c r="E910" s="108" t="s">
        <v>73</v>
      </c>
      <c r="F910" s="108" t="s">
        <v>589</v>
      </c>
      <c r="G910" s="108" t="s">
        <v>27</v>
      </c>
      <c r="H910" s="126"/>
      <c r="L910" s="22"/>
      <c r="M910" s="22"/>
      <c r="N910" s="22"/>
      <c r="O910" s="22"/>
      <c r="P910" s="22"/>
      <c r="Q910" s="22"/>
      <c r="R910" s="24"/>
    </row>
    <row r="911" spans="1:18" s="16" customFormat="1" ht="31.5">
      <c r="A911" s="14"/>
      <c r="B911" s="125" t="s">
        <v>28</v>
      </c>
      <c r="C911" s="109" t="s">
        <v>510</v>
      </c>
      <c r="D911" s="108" t="s">
        <v>238</v>
      </c>
      <c r="E911" s="108" t="s">
        <v>73</v>
      </c>
      <c r="F911" s="108" t="s">
        <v>589</v>
      </c>
      <c r="G911" s="108" t="s">
        <v>29</v>
      </c>
      <c r="H911" s="126">
        <f>H912</f>
        <v>0</v>
      </c>
      <c r="L911" s="20">
        <v>941.81</v>
      </c>
      <c r="M911" s="20">
        <v>941.81</v>
      </c>
      <c r="N911" s="20">
        <v>941.81</v>
      </c>
      <c r="O911" s="20">
        <f>H911-L911</f>
        <v>-941.81</v>
      </c>
      <c r="P911" s="20" t="e">
        <f>#REF!-M911</f>
        <v>#REF!</v>
      </c>
      <c r="Q911" s="20" t="e">
        <f>#REF!-N911</f>
        <v>#REF!</v>
      </c>
      <c r="R911" s="17" t="str">
        <f t="shared" si="102"/>
        <v>76 1 00 10010240</v>
      </c>
    </row>
    <row r="912" spans="1:18" s="16" customFormat="1" ht="15.75">
      <c r="A912" s="14"/>
      <c r="B912" s="125" t="s">
        <v>30</v>
      </c>
      <c r="C912" s="109" t="s">
        <v>510</v>
      </c>
      <c r="D912" s="108" t="s">
        <v>238</v>
      </c>
      <c r="E912" s="108" t="s">
        <v>73</v>
      </c>
      <c r="F912" s="108" t="s">
        <v>589</v>
      </c>
      <c r="G912" s="108" t="s">
        <v>31</v>
      </c>
      <c r="H912" s="126"/>
      <c r="L912" s="20"/>
      <c r="M912" s="20"/>
      <c r="N912" s="20"/>
      <c r="O912" s="20"/>
      <c r="P912" s="20"/>
      <c r="Q912" s="20"/>
      <c r="R912" s="17"/>
    </row>
    <row r="913" spans="1:18" s="16" customFormat="1" ht="15.75">
      <c r="A913" s="14"/>
      <c r="B913" s="125" t="s">
        <v>32</v>
      </c>
      <c r="C913" s="109" t="s">
        <v>510</v>
      </c>
      <c r="D913" s="108" t="s">
        <v>238</v>
      </c>
      <c r="E913" s="108" t="s">
        <v>73</v>
      </c>
      <c r="F913" s="108" t="s">
        <v>589</v>
      </c>
      <c r="G913" s="108" t="s">
        <v>33</v>
      </c>
      <c r="H913" s="126">
        <f>SUM(H914:H916)</f>
        <v>0</v>
      </c>
      <c r="L913" s="20">
        <v>181.2</v>
      </c>
      <c r="M913" s="20">
        <v>181.2</v>
      </c>
      <c r="N913" s="20">
        <v>181.2</v>
      </c>
      <c r="O913" s="20">
        <f>H913-L913</f>
        <v>-181.2</v>
      </c>
      <c r="P913" s="20" t="e">
        <f>#REF!-M913</f>
        <v>#REF!</v>
      </c>
      <c r="Q913" s="20" t="e">
        <f>#REF!-N913</f>
        <v>#REF!</v>
      </c>
      <c r="R913" s="17" t="str">
        <f t="shared" si="102"/>
        <v>76 1 00 10010850</v>
      </c>
    </row>
    <row r="914" spans="1:18" s="23" customFormat="1" ht="31.5">
      <c r="A914" s="21"/>
      <c r="B914" s="127" t="s">
        <v>34</v>
      </c>
      <c r="C914" s="109" t="s">
        <v>510</v>
      </c>
      <c r="D914" s="108" t="s">
        <v>238</v>
      </c>
      <c r="E914" s="108" t="s">
        <v>73</v>
      </c>
      <c r="F914" s="108" t="s">
        <v>589</v>
      </c>
      <c r="G914" s="108" t="s">
        <v>35</v>
      </c>
      <c r="H914" s="126"/>
      <c r="L914" s="22"/>
      <c r="M914" s="22"/>
      <c r="N914" s="22"/>
      <c r="O914" s="22"/>
      <c r="P914" s="22"/>
      <c r="Q914" s="22"/>
      <c r="R914" s="24"/>
    </row>
    <row r="915" spans="1:18" s="23" customFormat="1" ht="15.75">
      <c r="A915" s="21"/>
      <c r="B915" s="127" t="s">
        <v>36</v>
      </c>
      <c r="C915" s="109" t="s">
        <v>510</v>
      </c>
      <c r="D915" s="108" t="s">
        <v>238</v>
      </c>
      <c r="E915" s="108" t="s">
        <v>73</v>
      </c>
      <c r="F915" s="108" t="s">
        <v>589</v>
      </c>
      <c r="G915" s="108" t="s">
        <v>37</v>
      </c>
      <c r="H915" s="126"/>
      <c r="L915" s="22"/>
      <c r="M915" s="22"/>
      <c r="N915" s="22"/>
      <c r="O915" s="22"/>
      <c r="P915" s="22"/>
      <c r="Q915" s="22"/>
      <c r="R915" s="24"/>
    </row>
    <row r="916" spans="1:18" s="23" customFormat="1" ht="15.75">
      <c r="A916" s="21"/>
      <c r="B916" s="127" t="s">
        <v>77</v>
      </c>
      <c r="C916" s="109" t="s">
        <v>510</v>
      </c>
      <c r="D916" s="108" t="s">
        <v>238</v>
      </c>
      <c r="E916" s="108" t="s">
        <v>73</v>
      </c>
      <c r="F916" s="108" t="s">
        <v>589</v>
      </c>
      <c r="G916" s="108" t="s">
        <v>78</v>
      </c>
      <c r="H916" s="126"/>
      <c r="L916" s="22"/>
      <c r="M916" s="22"/>
      <c r="N916" s="22"/>
      <c r="O916" s="22"/>
      <c r="P916" s="22"/>
      <c r="Q916" s="22"/>
      <c r="R916" s="24"/>
    </row>
    <row r="917" spans="1:18" s="16" customFormat="1" ht="31.5">
      <c r="A917" s="14"/>
      <c r="B917" s="125" t="s">
        <v>38</v>
      </c>
      <c r="C917" s="109" t="s">
        <v>510</v>
      </c>
      <c r="D917" s="108" t="s">
        <v>238</v>
      </c>
      <c r="E917" s="108" t="s">
        <v>73</v>
      </c>
      <c r="F917" s="108" t="s">
        <v>590</v>
      </c>
      <c r="G917" s="108" t="s">
        <v>9</v>
      </c>
      <c r="H917" s="126">
        <f>H918</f>
        <v>0</v>
      </c>
      <c r="L917" s="20">
        <v>11970.119999999999</v>
      </c>
      <c r="M917" s="20">
        <v>11970.119999999999</v>
      </c>
      <c r="N917" s="20">
        <v>11970.119999999999</v>
      </c>
      <c r="O917" s="20">
        <f>H917-L917</f>
        <v>-11970.119999999999</v>
      </c>
      <c r="P917" s="20" t="e">
        <f>#REF!-M917</f>
        <v>#REF!</v>
      </c>
      <c r="Q917" s="20" t="e">
        <f>#REF!-N917</f>
        <v>#REF!</v>
      </c>
      <c r="R917" s="17" t="str">
        <f t="shared" si="102"/>
        <v>76 1 00 10020000</v>
      </c>
    </row>
    <row r="918" spans="1:18" s="16" customFormat="1" ht="31.5">
      <c r="A918" s="14"/>
      <c r="B918" s="127" t="s">
        <v>20</v>
      </c>
      <c r="C918" s="109" t="s">
        <v>510</v>
      </c>
      <c r="D918" s="108" t="s">
        <v>238</v>
      </c>
      <c r="E918" s="108" t="s">
        <v>73</v>
      </c>
      <c r="F918" s="108" t="s">
        <v>590</v>
      </c>
      <c r="G918" s="108" t="s">
        <v>21</v>
      </c>
      <c r="H918" s="126">
        <f>SUM(H919:H920)</f>
        <v>0</v>
      </c>
      <c r="L918" s="20">
        <v>11970.119999999999</v>
      </c>
      <c r="M918" s="20">
        <v>11970.119999999999</v>
      </c>
      <c r="N918" s="20">
        <v>11970.119999999999</v>
      </c>
      <c r="O918" s="20">
        <f>H918-L918</f>
        <v>-11970.119999999999</v>
      </c>
      <c r="P918" s="20" t="e">
        <f>#REF!-M918</f>
        <v>#REF!</v>
      </c>
      <c r="Q918" s="20" t="e">
        <f>#REF!-N918</f>
        <v>#REF!</v>
      </c>
      <c r="R918" s="17" t="str">
        <f t="shared" si="102"/>
        <v>76 1 00 10020120</v>
      </c>
    </row>
    <row r="919" spans="1:18" s="23" customFormat="1" ht="31.5">
      <c r="A919" s="21"/>
      <c r="B919" s="127" t="s">
        <v>40</v>
      </c>
      <c r="C919" s="109" t="s">
        <v>510</v>
      </c>
      <c r="D919" s="108" t="s">
        <v>238</v>
      </c>
      <c r="E919" s="108" t="s">
        <v>73</v>
      </c>
      <c r="F919" s="108" t="s">
        <v>590</v>
      </c>
      <c r="G919" s="108" t="s">
        <v>41</v>
      </c>
      <c r="H919" s="126"/>
      <c r="L919" s="22"/>
      <c r="M919" s="22"/>
      <c r="N919" s="22"/>
      <c r="O919" s="22"/>
      <c r="P919" s="22"/>
      <c r="Q919" s="22"/>
      <c r="R919" s="24"/>
    </row>
    <row r="920" spans="1:18" s="23" customFormat="1" ht="63">
      <c r="A920" s="21"/>
      <c r="B920" s="127" t="s">
        <v>26</v>
      </c>
      <c r="C920" s="109" t="s">
        <v>510</v>
      </c>
      <c r="D920" s="108" t="s">
        <v>238</v>
      </c>
      <c r="E920" s="108" t="s">
        <v>73</v>
      </c>
      <c r="F920" s="108" t="s">
        <v>590</v>
      </c>
      <c r="G920" s="108" t="s">
        <v>27</v>
      </c>
      <c r="H920" s="126"/>
      <c r="L920" s="22"/>
      <c r="M920" s="22"/>
      <c r="N920" s="22"/>
      <c r="O920" s="22"/>
      <c r="P920" s="22"/>
      <c r="Q920" s="22"/>
      <c r="R920" s="24"/>
    </row>
    <row r="921" spans="1:18" s="16" customFormat="1" ht="15.75">
      <c r="A921" s="14"/>
      <c r="B921" s="127" t="s">
        <v>52</v>
      </c>
      <c r="C921" s="109" t="s">
        <v>510</v>
      </c>
      <c r="D921" s="108" t="s">
        <v>238</v>
      </c>
      <c r="E921" s="108" t="s">
        <v>73</v>
      </c>
      <c r="F921" s="108" t="s">
        <v>591</v>
      </c>
      <c r="G921" s="108" t="s">
        <v>9</v>
      </c>
      <c r="H921" s="126">
        <f t="shared" ref="H921:H922" si="104">H922</f>
        <v>0</v>
      </c>
      <c r="L921" s="20">
        <v>160</v>
      </c>
      <c r="M921" s="20">
        <v>160</v>
      </c>
      <c r="N921" s="20">
        <v>160</v>
      </c>
      <c r="O921" s="20">
        <f>H921-L921</f>
        <v>-160</v>
      </c>
      <c r="P921" s="20" t="e">
        <f>#REF!-M921</f>
        <v>#REF!</v>
      </c>
      <c r="Q921" s="20" t="e">
        <f>#REF!-N921</f>
        <v>#REF!</v>
      </c>
      <c r="R921" s="17" t="str">
        <f t="shared" si="102"/>
        <v>76 2 00 00000000</v>
      </c>
    </row>
    <row r="922" spans="1:18" s="16" customFormat="1" ht="47.25">
      <c r="A922" s="14"/>
      <c r="B922" s="125" t="s">
        <v>592</v>
      </c>
      <c r="C922" s="109" t="s">
        <v>510</v>
      </c>
      <c r="D922" s="108" t="s">
        <v>238</v>
      </c>
      <c r="E922" s="108" t="s">
        <v>73</v>
      </c>
      <c r="F922" s="108" t="s">
        <v>593</v>
      </c>
      <c r="G922" s="108" t="s">
        <v>9</v>
      </c>
      <c r="H922" s="126">
        <f t="shared" si="104"/>
        <v>0</v>
      </c>
      <c r="L922" s="20">
        <v>160</v>
      </c>
      <c r="M922" s="20">
        <v>160</v>
      </c>
      <c r="N922" s="20">
        <v>160</v>
      </c>
      <c r="O922" s="20">
        <f>H922-L922</f>
        <v>-160</v>
      </c>
      <c r="P922" s="20" t="e">
        <f>#REF!-M922</f>
        <v>#REF!</v>
      </c>
      <c r="Q922" s="20" t="e">
        <f>#REF!-N922</f>
        <v>#REF!</v>
      </c>
      <c r="R922" s="17" t="str">
        <f t="shared" si="102"/>
        <v>76 2 00 20250000</v>
      </c>
    </row>
    <row r="923" spans="1:18" s="16" customFormat="1" ht="31.5">
      <c r="A923" s="14"/>
      <c r="B923" s="125" t="s">
        <v>28</v>
      </c>
      <c r="C923" s="109" t="s">
        <v>510</v>
      </c>
      <c r="D923" s="108" t="s">
        <v>238</v>
      </c>
      <c r="E923" s="108" t="s">
        <v>73</v>
      </c>
      <c r="F923" s="108" t="s">
        <v>593</v>
      </c>
      <c r="G923" s="108" t="s">
        <v>29</v>
      </c>
      <c r="H923" s="126">
        <f>H924</f>
        <v>0</v>
      </c>
      <c r="L923" s="20">
        <v>160</v>
      </c>
      <c r="M923" s="20">
        <v>160</v>
      </c>
      <c r="N923" s="20">
        <v>160</v>
      </c>
      <c r="O923" s="20">
        <f>H923-L923</f>
        <v>-160</v>
      </c>
      <c r="P923" s="20" t="e">
        <f>#REF!-M923</f>
        <v>#REF!</v>
      </c>
      <c r="Q923" s="20" t="e">
        <f>#REF!-N923</f>
        <v>#REF!</v>
      </c>
      <c r="R923" s="17" t="str">
        <f t="shared" si="102"/>
        <v>76 2 00 20250240</v>
      </c>
    </row>
    <row r="924" spans="1:18" s="16" customFormat="1" ht="15.75">
      <c r="A924" s="14"/>
      <c r="B924" s="125" t="s">
        <v>30</v>
      </c>
      <c r="C924" s="109" t="s">
        <v>510</v>
      </c>
      <c r="D924" s="108" t="s">
        <v>238</v>
      </c>
      <c r="E924" s="108" t="s">
        <v>73</v>
      </c>
      <c r="F924" s="108" t="s">
        <v>593</v>
      </c>
      <c r="G924" s="108" t="s">
        <v>31</v>
      </c>
      <c r="H924" s="126"/>
      <c r="L924" s="20"/>
      <c r="M924" s="20"/>
      <c r="N924" s="20"/>
      <c r="O924" s="20"/>
      <c r="P924" s="20"/>
      <c r="Q924" s="20"/>
      <c r="R924" s="17"/>
    </row>
    <row r="925" spans="1:18" s="16" customFormat="1" ht="15.75">
      <c r="A925" s="14"/>
      <c r="B925" s="125"/>
      <c r="C925" s="109"/>
      <c r="D925" s="108"/>
      <c r="E925" s="108"/>
      <c r="F925" s="108"/>
      <c r="G925" s="108"/>
      <c r="H925" s="126"/>
      <c r="L925" s="20"/>
      <c r="M925" s="20"/>
      <c r="N925" s="20"/>
      <c r="O925" s="20">
        <f t="shared" ref="O925:O933" si="105">H925-L925</f>
        <v>0</v>
      </c>
      <c r="P925" s="20" t="e">
        <f>#REF!-M925</f>
        <v>#REF!</v>
      </c>
      <c r="Q925" s="20" t="e">
        <f>#REF!-N925</f>
        <v>#REF!</v>
      </c>
      <c r="R925" s="17" t="str">
        <f t="shared" si="102"/>
        <v/>
      </c>
    </row>
    <row r="926" spans="1:18" s="13" customFormat="1" ht="31.5">
      <c r="A926" s="1"/>
      <c r="B926" s="67" t="s">
        <v>594</v>
      </c>
      <c r="C926" s="116" t="s">
        <v>595</v>
      </c>
      <c r="D926" s="69" t="s">
        <v>7</v>
      </c>
      <c r="E926" s="69" t="s">
        <v>7</v>
      </c>
      <c r="F926" s="69" t="s">
        <v>8</v>
      </c>
      <c r="G926" s="69" t="s">
        <v>9</v>
      </c>
      <c r="H926" s="146">
        <f>H943+H927+H935</f>
        <v>0</v>
      </c>
      <c r="L926" s="35">
        <v>1878909.89</v>
      </c>
      <c r="M926" s="35">
        <v>1942584.3200000001</v>
      </c>
      <c r="N926" s="35">
        <v>1992223.5200000003</v>
      </c>
      <c r="O926" s="35">
        <f t="shared" si="105"/>
        <v>-1878909.89</v>
      </c>
      <c r="P926" s="35" t="e">
        <f>#REF!-M926</f>
        <v>#REF!</v>
      </c>
      <c r="Q926" s="35" t="e">
        <f>#REF!-N926</f>
        <v>#REF!</v>
      </c>
      <c r="R926" s="17" t="str">
        <f t="shared" si="102"/>
        <v>00 0 00 00000000</v>
      </c>
    </row>
    <row r="927" spans="1:18" s="29" customFormat="1" ht="15.75">
      <c r="A927" s="28"/>
      <c r="B927" s="117" t="s">
        <v>10</v>
      </c>
      <c r="C927" s="118" t="s">
        <v>595</v>
      </c>
      <c r="D927" s="119" t="s">
        <v>11</v>
      </c>
      <c r="E927" s="119" t="s">
        <v>7</v>
      </c>
      <c r="F927" s="119" t="s">
        <v>8</v>
      </c>
      <c r="G927" s="119" t="s">
        <v>9</v>
      </c>
      <c r="H927" s="120">
        <f t="shared" ref="H927:H932" si="106">H928</f>
        <v>0</v>
      </c>
      <c r="L927" s="18">
        <v>6.98</v>
      </c>
      <c r="M927" s="18">
        <v>6.98</v>
      </c>
      <c r="N927" s="18">
        <v>6.98</v>
      </c>
      <c r="O927" s="18">
        <f t="shared" si="105"/>
        <v>-6.98</v>
      </c>
      <c r="P927" s="18" t="e">
        <f>#REF!-M927</f>
        <v>#REF!</v>
      </c>
      <c r="Q927" s="18" t="e">
        <f>#REF!-N927</f>
        <v>#REF!</v>
      </c>
      <c r="R927" s="17" t="str">
        <f t="shared" si="102"/>
        <v>00 0 00 00000000</v>
      </c>
    </row>
    <row r="928" spans="1:18" s="29" customFormat="1" ht="15.75">
      <c r="A928" s="28"/>
      <c r="B928" s="121" t="s">
        <v>50</v>
      </c>
      <c r="C928" s="122" t="s">
        <v>595</v>
      </c>
      <c r="D928" s="123" t="s">
        <v>11</v>
      </c>
      <c r="E928" s="123" t="s">
        <v>51</v>
      </c>
      <c r="F928" s="123" t="s">
        <v>8</v>
      </c>
      <c r="G928" s="123" t="s">
        <v>9</v>
      </c>
      <c r="H928" s="124">
        <f>H929</f>
        <v>0</v>
      </c>
      <c r="L928" s="19">
        <v>6.98</v>
      </c>
      <c r="M928" s="19">
        <v>6.98</v>
      </c>
      <c r="N928" s="19">
        <v>6.98</v>
      </c>
      <c r="O928" s="19">
        <f t="shared" si="105"/>
        <v>-6.98</v>
      </c>
      <c r="P928" s="19" t="e">
        <f>#REF!-M928</f>
        <v>#REF!</v>
      </c>
      <c r="Q928" s="19" t="e">
        <f>#REF!-N928</f>
        <v>#REF!</v>
      </c>
      <c r="R928" s="17" t="str">
        <f t="shared" si="102"/>
        <v>00 0 00 00000000</v>
      </c>
    </row>
    <row r="929" spans="1:18" s="29" customFormat="1" ht="63">
      <c r="A929" s="28"/>
      <c r="B929" s="132" t="s">
        <v>257</v>
      </c>
      <c r="C929" s="109" t="s">
        <v>595</v>
      </c>
      <c r="D929" s="108" t="s">
        <v>11</v>
      </c>
      <c r="E929" s="108" t="s">
        <v>51</v>
      </c>
      <c r="F929" s="108" t="s">
        <v>258</v>
      </c>
      <c r="G929" s="108" t="s">
        <v>9</v>
      </c>
      <c r="H929" s="126">
        <f t="shared" si="106"/>
        <v>0</v>
      </c>
      <c r="L929" s="20">
        <v>6.98</v>
      </c>
      <c r="M929" s="20">
        <v>6.98</v>
      </c>
      <c r="N929" s="20">
        <v>6.98</v>
      </c>
      <c r="O929" s="20">
        <f t="shared" si="105"/>
        <v>-6.98</v>
      </c>
      <c r="P929" s="20" t="e">
        <f>#REF!-M929</f>
        <v>#REF!</v>
      </c>
      <c r="Q929" s="20" t="e">
        <f>#REF!-N929</f>
        <v>#REF!</v>
      </c>
      <c r="R929" s="17" t="str">
        <f t="shared" si="102"/>
        <v>11 0 00 00000000</v>
      </c>
    </row>
    <row r="930" spans="1:18" s="29" customFormat="1" ht="63">
      <c r="A930" s="28"/>
      <c r="B930" s="132" t="s">
        <v>259</v>
      </c>
      <c r="C930" s="109" t="s">
        <v>595</v>
      </c>
      <c r="D930" s="108" t="s">
        <v>11</v>
      </c>
      <c r="E930" s="108" t="s">
        <v>51</v>
      </c>
      <c r="F930" s="108" t="s">
        <v>260</v>
      </c>
      <c r="G930" s="108" t="s">
        <v>9</v>
      </c>
      <c r="H930" s="126">
        <f t="shared" si="106"/>
        <v>0</v>
      </c>
      <c r="L930" s="20">
        <v>6.98</v>
      </c>
      <c r="M930" s="20">
        <v>6.98</v>
      </c>
      <c r="N930" s="20">
        <v>6.98</v>
      </c>
      <c r="O930" s="20">
        <f t="shared" si="105"/>
        <v>-6.98</v>
      </c>
      <c r="P930" s="20" t="e">
        <f>#REF!-M930</f>
        <v>#REF!</v>
      </c>
      <c r="Q930" s="20" t="e">
        <f>#REF!-N930</f>
        <v>#REF!</v>
      </c>
      <c r="R930" s="17" t="str">
        <f t="shared" si="102"/>
        <v>11 Б 00 00000000</v>
      </c>
    </row>
    <row r="931" spans="1:18" s="29" customFormat="1" ht="47.25">
      <c r="A931" s="28"/>
      <c r="B931" s="125" t="s">
        <v>261</v>
      </c>
      <c r="C931" s="109" t="s">
        <v>595</v>
      </c>
      <c r="D931" s="108" t="s">
        <v>11</v>
      </c>
      <c r="E931" s="108" t="s">
        <v>51</v>
      </c>
      <c r="F931" s="108" t="s">
        <v>262</v>
      </c>
      <c r="G931" s="108" t="s">
        <v>9</v>
      </c>
      <c r="H931" s="126">
        <f t="shared" si="106"/>
        <v>0</v>
      </c>
      <c r="L931" s="20">
        <v>6.98</v>
      </c>
      <c r="M931" s="20">
        <v>6.98</v>
      </c>
      <c r="N931" s="20">
        <v>6.98</v>
      </c>
      <c r="O931" s="20">
        <f t="shared" si="105"/>
        <v>-6.98</v>
      </c>
      <c r="P931" s="20" t="e">
        <f>#REF!-M931</f>
        <v>#REF!</v>
      </c>
      <c r="Q931" s="20" t="e">
        <f>#REF!-N931</f>
        <v>#REF!</v>
      </c>
      <c r="R931" s="17" t="str">
        <f t="shared" si="102"/>
        <v>11 Б 01 00000000</v>
      </c>
    </row>
    <row r="932" spans="1:18" s="13" customFormat="1" ht="31.5">
      <c r="A932" s="1"/>
      <c r="B932" s="125" t="s">
        <v>267</v>
      </c>
      <c r="C932" s="109" t="s">
        <v>595</v>
      </c>
      <c r="D932" s="108" t="s">
        <v>11</v>
      </c>
      <c r="E932" s="108" t="s">
        <v>51</v>
      </c>
      <c r="F932" s="108" t="s">
        <v>268</v>
      </c>
      <c r="G932" s="108" t="s">
        <v>9</v>
      </c>
      <c r="H932" s="126">
        <f t="shared" si="106"/>
        <v>0</v>
      </c>
      <c r="L932" s="20">
        <v>6.98</v>
      </c>
      <c r="M932" s="20">
        <v>6.98</v>
      </c>
      <c r="N932" s="20">
        <v>6.98</v>
      </c>
      <c r="O932" s="20">
        <f t="shared" si="105"/>
        <v>-6.98</v>
      </c>
      <c r="P932" s="20" t="e">
        <f>#REF!-M932</f>
        <v>#REF!</v>
      </c>
      <c r="Q932" s="20" t="e">
        <f>#REF!-N932</f>
        <v>#REF!</v>
      </c>
      <c r="R932" s="17" t="str">
        <f t="shared" si="102"/>
        <v>11 Б 01 21120000</v>
      </c>
    </row>
    <row r="933" spans="1:18" s="13" customFormat="1" ht="31.5">
      <c r="A933" s="1"/>
      <c r="B933" s="125" t="s">
        <v>28</v>
      </c>
      <c r="C933" s="109" t="s">
        <v>595</v>
      </c>
      <c r="D933" s="108" t="s">
        <v>11</v>
      </c>
      <c r="E933" s="108" t="s">
        <v>51</v>
      </c>
      <c r="F933" s="108" t="s">
        <v>268</v>
      </c>
      <c r="G933" s="108" t="s">
        <v>29</v>
      </c>
      <c r="H933" s="126">
        <f>H934</f>
        <v>0</v>
      </c>
      <c r="L933" s="20">
        <v>6.98</v>
      </c>
      <c r="M933" s="20">
        <v>6.98</v>
      </c>
      <c r="N933" s="20">
        <v>6.98</v>
      </c>
      <c r="O933" s="20">
        <f t="shared" si="105"/>
        <v>-6.98</v>
      </c>
      <c r="P933" s="20" t="e">
        <f>#REF!-M933</f>
        <v>#REF!</v>
      </c>
      <c r="Q933" s="20" t="e">
        <f>#REF!-N933</f>
        <v>#REF!</v>
      </c>
      <c r="R933" s="17" t="str">
        <f t="shared" si="102"/>
        <v>11 Б 01 21120240</v>
      </c>
    </row>
    <row r="934" spans="1:18" s="13" customFormat="1" ht="15.75">
      <c r="A934" s="1"/>
      <c r="B934" s="125" t="s">
        <v>30</v>
      </c>
      <c r="C934" s="109" t="s">
        <v>595</v>
      </c>
      <c r="D934" s="108" t="s">
        <v>11</v>
      </c>
      <c r="E934" s="108" t="s">
        <v>51</v>
      </c>
      <c r="F934" s="108" t="s">
        <v>268</v>
      </c>
      <c r="G934" s="108" t="s">
        <v>31</v>
      </c>
      <c r="H934" s="126"/>
      <c r="L934" s="20"/>
      <c r="M934" s="20"/>
      <c r="N934" s="20"/>
      <c r="O934" s="20"/>
      <c r="P934" s="20"/>
      <c r="Q934" s="20"/>
      <c r="R934" s="17" t="str">
        <f t="shared" si="102"/>
        <v>11 Б 01 21120244</v>
      </c>
    </row>
    <row r="935" spans="1:18" s="13" customFormat="1" ht="15.75">
      <c r="A935" s="1"/>
      <c r="B935" s="117" t="s">
        <v>569</v>
      </c>
      <c r="C935" s="118" t="s">
        <v>595</v>
      </c>
      <c r="D935" s="119" t="s">
        <v>238</v>
      </c>
      <c r="E935" s="119" t="s">
        <v>7</v>
      </c>
      <c r="F935" s="119" t="s">
        <v>8</v>
      </c>
      <c r="G935" s="119" t="s">
        <v>9</v>
      </c>
      <c r="H935" s="120">
        <f>H936</f>
        <v>0</v>
      </c>
      <c r="L935" s="18">
        <v>2704.98</v>
      </c>
      <c r="M935" s="18">
        <v>2704.98</v>
      </c>
      <c r="N935" s="18">
        <v>2704.98</v>
      </c>
      <c r="O935" s="18">
        <f t="shared" ref="O935:O941" si="107">H935-L935</f>
        <v>-2704.98</v>
      </c>
      <c r="P935" s="18" t="e">
        <f>#REF!-M935</f>
        <v>#REF!</v>
      </c>
      <c r="Q935" s="18" t="e">
        <f>#REF!-N935</f>
        <v>#REF!</v>
      </c>
      <c r="R935" s="17" t="str">
        <f t="shared" si="102"/>
        <v>00 0 00 00000000</v>
      </c>
    </row>
    <row r="936" spans="1:18" s="13" customFormat="1" ht="15.75">
      <c r="A936" s="1"/>
      <c r="B936" s="121" t="s">
        <v>239</v>
      </c>
      <c r="C936" s="122" t="s">
        <v>595</v>
      </c>
      <c r="D936" s="123" t="s">
        <v>238</v>
      </c>
      <c r="E936" s="123" t="s">
        <v>11</v>
      </c>
      <c r="F936" s="123" t="s">
        <v>8</v>
      </c>
      <c r="G936" s="123" t="s">
        <v>9</v>
      </c>
      <c r="H936" s="124">
        <f>H937</f>
        <v>0</v>
      </c>
      <c r="L936" s="19">
        <v>2704.98</v>
      </c>
      <c r="M936" s="19">
        <v>2704.98</v>
      </c>
      <c r="N936" s="19">
        <v>2704.98</v>
      </c>
      <c r="O936" s="19">
        <f t="shared" si="107"/>
        <v>-2704.98</v>
      </c>
      <c r="P936" s="19" t="e">
        <f>#REF!-M936</f>
        <v>#REF!</v>
      </c>
      <c r="Q936" s="19" t="e">
        <f>#REF!-N936</f>
        <v>#REF!</v>
      </c>
      <c r="R936" s="17" t="str">
        <f t="shared" si="102"/>
        <v>00 0 00 00000000</v>
      </c>
    </row>
    <row r="937" spans="1:18" s="13" customFormat="1" ht="31.5">
      <c r="A937" s="1"/>
      <c r="B937" s="125" t="s">
        <v>240</v>
      </c>
      <c r="C937" s="109" t="s">
        <v>595</v>
      </c>
      <c r="D937" s="108" t="s">
        <v>238</v>
      </c>
      <c r="E937" s="108" t="s">
        <v>11</v>
      </c>
      <c r="F937" s="131" t="s">
        <v>241</v>
      </c>
      <c r="G937" s="108" t="s">
        <v>9</v>
      </c>
      <c r="H937" s="126">
        <f>H938</f>
        <v>0</v>
      </c>
      <c r="L937" s="20">
        <v>2704.98</v>
      </c>
      <c r="M937" s="20">
        <v>2704.98</v>
      </c>
      <c r="N937" s="20">
        <v>2704.98</v>
      </c>
      <c r="O937" s="20">
        <f t="shared" si="107"/>
        <v>-2704.98</v>
      </c>
      <c r="P937" s="20" t="e">
        <f>#REF!-M937</f>
        <v>#REF!</v>
      </c>
      <c r="Q937" s="20" t="e">
        <f>#REF!-N937</f>
        <v>#REF!</v>
      </c>
      <c r="R937" s="17" t="str">
        <f t="shared" si="102"/>
        <v>07 0 00 00000000</v>
      </c>
    </row>
    <row r="938" spans="1:18" s="13" customFormat="1" ht="78.75">
      <c r="A938" s="1"/>
      <c r="B938" s="125" t="s">
        <v>384</v>
      </c>
      <c r="C938" s="109" t="s">
        <v>595</v>
      </c>
      <c r="D938" s="108" t="s">
        <v>238</v>
      </c>
      <c r="E938" s="108" t="s">
        <v>11</v>
      </c>
      <c r="F938" s="131" t="s">
        <v>243</v>
      </c>
      <c r="G938" s="108" t="s">
        <v>9</v>
      </c>
      <c r="H938" s="126">
        <f t="shared" ref="H938:H940" si="108">H939</f>
        <v>0</v>
      </c>
      <c r="L938" s="20">
        <v>2704.98</v>
      </c>
      <c r="M938" s="20">
        <v>2704.98</v>
      </c>
      <c r="N938" s="20">
        <v>2704.98</v>
      </c>
      <c r="O938" s="20">
        <f t="shared" si="107"/>
        <v>-2704.98</v>
      </c>
      <c r="P938" s="20" t="e">
        <f>#REF!-M938</f>
        <v>#REF!</v>
      </c>
      <c r="Q938" s="20" t="e">
        <f>#REF!-N938</f>
        <v>#REF!</v>
      </c>
      <c r="R938" s="17" t="str">
        <f t="shared" si="102"/>
        <v>07 1 00 00000000</v>
      </c>
    </row>
    <row r="939" spans="1:18" s="13" customFormat="1" ht="110.25">
      <c r="A939" s="1"/>
      <c r="B939" s="125" t="s">
        <v>244</v>
      </c>
      <c r="C939" s="109" t="s">
        <v>595</v>
      </c>
      <c r="D939" s="108" t="s">
        <v>238</v>
      </c>
      <c r="E939" s="108" t="s">
        <v>11</v>
      </c>
      <c r="F939" s="131" t="s">
        <v>245</v>
      </c>
      <c r="G939" s="108" t="s">
        <v>9</v>
      </c>
      <c r="H939" s="126">
        <f t="shared" si="108"/>
        <v>0</v>
      </c>
      <c r="L939" s="20">
        <v>2704.98</v>
      </c>
      <c r="M939" s="20">
        <v>2704.98</v>
      </c>
      <c r="N939" s="20">
        <v>2704.98</v>
      </c>
      <c r="O939" s="20">
        <f t="shared" si="107"/>
        <v>-2704.98</v>
      </c>
      <c r="P939" s="20" t="e">
        <f>#REF!-M939</f>
        <v>#REF!</v>
      </c>
      <c r="Q939" s="20" t="e">
        <f>#REF!-N939</f>
        <v>#REF!</v>
      </c>
      <c r="R939" s="17" t="str">
        <f t="shared" si="102"/>
        <v>07 1 01 00000000</v>
      </c>
    </row>
    <row r="940" spans="1:18" s="13" customFormat="1" ht="31.5">
      <c r="A940" s="1"/>
      <c r="B940" s="125" t="s">
        <v>246</v>
      </c>
      <c r="C940" s="109" t="s">
        <v>595</v>
      </c>
      <c r="D940" s="108" t="s">
        <v>238</v>
      </c>
      <c r="E940" s="108" t="s">
        <v>11</v>
      </c>
      <c r="F940" s="131" t="s">
        <v>247</v>
      </c>
      <c r="G940" s="108" t="s">
        <v>9</v>
      </c>
      <c r="H940" s="126">
        <f t="shared" si="108"/>
        <v>0</v>
      </c>
      <c r="L940" s="20">
        <v>2704.98</v>
      </c>
      <c r="M940" s="20">
        <v>2704.98</v>
      </c>
      <c r="N940" s="20">
        <v>2704.98</v>
      </c>
      <c r="O940" s="20">
        <f t="shared" si="107"/>
        <v>-2704.98</v>
      </c>
      <c r="P940" s="20" t="e">
        <f>#REF!-M940</f>
        <v>#REF!</v>
      </c>
      <c r="Q940" s="20" t="e">
        <f>#REF!-N940</f>
        <v>#REF!</v>
      </c>
      <c r="R940" s="17" t="str">
        <f t="shared" si="102"/>
        <v>07 1 01 20060000</v>
      </c>
    </row>
    <row r="941" spans="1:18" s="13" customFormat="1" ht="31.5">
      <c r="A941" s="1"/>
      <c r="B941" s="127" t="s">
        <v>28</v>
      </c>
      <c r="C941" s="109" t="s">
        <v>595</v>
      </c>
      <c r="D941" s="108" t="s">
        <v>238</v>
      </c>
      <c r="E941" s="108" t="s">
        <v>11</v>
      </c>
      <c r="F941" s="131" t="s">
        <v>247</v>
      </c>
      <c r="G941" s="108" t="s">
        <v>29</v>
      </c>
      <c r="H941" s="126">
        <f>H942</f>
        <v>0</v>
      </c>
      <c r="L941" s="20">
        <v>2704.98</v>
      </c>
      <c r="M941" s="20">
        <v>2704.98</v>
      </c>
      <c r="N941" s="20">
        <v>2704.98</v>
      </c>
      <c r="O941" s="20">
        <f t="shared" si="107"/>
        <v>-2704.98</v>
      </c>
      <c r="P941" s="20" t="e">
        <f>#REF!-M941</f>
        <v>#REF!</v>
      </c>
      <c r="Q941" s="20" t="e">
        <f>#REF!-N941</f>
        <v>#REF!</v>
      </c>
      <c r="R941" s="17" t="str">
        <f t="shared" si="102"/>
        <v>07 1 01 20060240</v>
      </c>
    </row>
    <row r="942" spans="1:18" s="13" customFormat="1" ht="15.75">
      <c r="A942" s="1"/>
      <c r="B942" s="125" t="s">
        <v>30</v>
      </c>
      <c r="C942" s="109" t="s">
        <v>595</v>
      </c>
      <c r="D942" s="108" t="s">
        <v>238</v>
      </c>
      <c r="E942" s="108" t="s">
        <v>11</v>
      </c>
      <c r="F942" s="131" t="s">
        <v>247</v>
      </c>
      <c r="G942" s="108" t="s">
        <v>31</v>
      </c>
      <c r="H942" s="126"/>
      <c r="L942" s="20"/>
      <c r="M942" s="20"/>
      <c r="N942" s="20"/>
      <c r="O942" s="20"/>
      <c r="P942" s="20"/>
      <c r="Q942" s="20"/>
      <c r="R942" s="17" t="str">
        <f t="shared" si="102"/>
        <v>07 1 01 20060244</v>
      </c>
    </row>
    <row r="943" spans="1:18" s="17" customFormat="1" ht="15.75">
      <c r="A943" s="14"/>
      <c r="B943" s="117" t="s">
        <v>316</v>
      </c>
      <c r="C943" s="118" t="s">
        <v>595</v>
      </c>
      <c r="D943" s="119" t="s">
        <v>317</v>
      </c>
      <c r="E943" s="119" t="s">
        <v>7</v>
      </c>
      <c r="F943" s="119" t="s">
        <v>8</v>
      </c>
      <c r="G943" s="119" t="s">
        <v>9</v>
      </c>
      <c r="H943" s="120">
        <f>H944+H1077+H1087</f>
        <v>0</v>
      </c>
      <c r="L943" s="18">
        <v>1876197.93</v>
      </c>
      <c r="M943" s="18">
        <v>1939872.36</v>
      </c>
      <c r="N943" s="18">
        <v>1989511.5600000003</v>
      </c>
      <c r="O943" s="18">
        <f t="shared" ref="O943:O949" si="109">H943-L943</f>
        <v>-1876197.93</v>
      </c>
      <c r="P943" s="18" t="e">
        <f>#REF!-M943</f>
        <v>#REF!</v>
      </c>
      <c r="Q943" s="18" t="e">
        <f>#REF!-N943</f>
        <v>#REF!</v>
      </c>
      <c r="R943" s="17" t="str">
        <f t="shared" si="102"/>
        <v>00 0 00 00000000</v>
      </c>
    </row>
    <row r="944" spans="1:18" s="17" customFormat="1" ht="15.75">
      <c r="A944" s="14"/>
      <c r="B944" s="121" t="s">
        <v>318</v>
      </c>
      <c r="C944" s="122" t="s">
        <v>595</v>
      </c>
      <c r="D944" s="123" t="s">
        <v>317</v>
      </c>
      <c r="E944" s="123" t="s">
        <v>13</v>
      </c>
      <c r="F944" s="123" t="s">
        <v>8</v>
      </c>
      <c r="G944" s="123" t="s">
        <v>9</v>
      </c>
      <c r="H944" s="124">
        <f>H945</f>
        <v>0</v>
      </c>
      <c r="L944" s="19">
        <v>1547791.57</v>
      </c>
      <c r="M944" s="19">
        <v>1611474.33</v>
      </c>
      <c r="N944" s="19">
        <v>1661075.4700000004</v>
      </c>
      <c r="O944" s="19">
        <f t="shared" si="109"/>
        <v>-1547791.57</v>
      </c>
      <c r="P944" s="19" t="e">
        <f>#REF!-M944</f>
        <v>#REF!</v>
      </c>
      <c r="Q944" s="19" t="e">
        <f>#REF!-N944</f>
        <v>#REF!</v>
      </c>
      <c r="R944" s="17" t="str">
        <f t="shared" si="102"/>
        <v>00 0 00 00000000</v>
      </c>
    </row>
    <row r="945" spans="1:18" s="17" customFormat="1" ht="31.5">
      <c r="A945" s="14"/>
      <c r="B945" s="135" t="s">
        <v>385</v>
      </c>
      <c r="C945" s="109" t="s">
        <v>595</v>
      </c>
      <c r="D945" s="108" t="s">
        <v>317</v>
      </c>
      <c r="E945" s="108" t="s">
        <v>13</v>
      </c>
      <c r="F945" s="108" t="s">
        <v>386</v>
      </c>
      <c r="G945" s="108" t="s">
        <v>9</v>
      </c>
      <c r="H945" s="126">
        <f>H946+H1022+H1072</f>
        <v>0</v>
      </c>
      <c r="L945" s="36">
        <v>1547791.57</v>
      </c>
      <c r="M945" s="36">
        <v>1611474.33</v>
      </c>
      <c r="N945" s="36">
        <v>1661075.4700000004</v>
      </c>
      <c r="O945" s="36">
        <f t="shared" si="109"/>
        <v>-1547791.57</v>
      </c>
      <c r="P945" s="36" t="e">
        <f>#REF!-M945</f>
        <v>#REF!</v>
      </c>
      <c r="Q945" s="36" t="e">
        <f>#REF!-N945</f>
        <v>#REF!</v>
      </c>
      <c r="R945" s="17" t="str">
        <f t="shared" si="102"/>
        <v>03 0 00 00000000</v>
      </c>
    </row>
    <row r="946" spans="1:18" s="17" customFormat="1" ht="47.25">
      <c r="A946" s="14"/>
      <c r="B946" s="147" t="s">
        <v>596</v>
      </c>
      <c r="C946" s="109" t="s">
        <v>595</v>
      </c>
      <c r="D946" s="108" t="s">
        <v>317</v>
      </c>
      <c r="E946" s="108" t="s">
        <v>13</v>
      </c>
      <c r="F946" s="108" t="s">
        <v>597</v>
      </c>
      <c r="G946" s="108" t="s">
        <v>9</v>
      </c>
      <c r="H946" s="126">
        <f>H947+H1001</f>
        <v>0</v>
      </c>
      <c r="L946" s="36">
        <v>1524462.33</v>
      </c>
      <c r="M946" s="36">
        <v>1588079.09</v>
      </c>
      <c r="N946" s="36">
        <v>1607633.8800000004</v>
      </c>
      <c r="O946" s="36">
        <f t="shared" si="109"/>
        <v>-1524462.33</v>
      </c>
      <c r="P946" s="36" t="e">
        <f>#REF!-M946</f>
        <v>#REF!</v>
      </c>
      <c r="Q946" s="36" t="e">
        <f>#REF!-N946</f>
        <v>#REF!</v>
      </c>
      <c r="R946" s="17" t="str">
        <f t="shared" si="102"/>
        <v>03 1 00 00000 000</v>
      </c>
    </row>
    <row r="947" spans="1:18" s="17" customFormat="1" ht="47.25">
      <c r="A947" s="14" t="s">
        <v>598</v>
      </c>
      <c r="B947" s="148" t="s">
        <v>599</v>
      </c>
      <c r="C947" s="109" t="s">
        <v>595</v>
      </c>
      <c r="D947" s="108" t="s">
        <v>317</v>
      </c>
      <c r="E947" s="108" t="s">
        <v>13</v>
      </c>
      <c r="F947" s="108" t="s">
        <v>600</v>
      </c>
      <c r="G947" s="108" t="s">
        <v>9</v>
      </c>
      <c r="H947" s="126">
        <f>H948+H953+H958+H963+H971+H976+H981+H986+H991+H996+H966</f>
        <v>0</v>
      </c>
      <c r="L947" s="37">
        <v>1289482.9700000002</v>
      </c>
      <c r="M947" s="37">
        <v>1342429.75</v>
      </c>
      <c r="N947" s="37">
        <v>1346620.0200000003</v>
      </c>
      <c r="O947" s="37">
        <f t="shared" si="109"/>
        <v>-1289482.9700000002</v>
      </c>
      <c r="P947" s="37" t="e">
        <f>#REF!-M947</f>
        <v>#REF!</v>
      </c>
      <c r="Q947" s="37" t="e">
        <f>#REF!-N947</f>
        <v>#REF!</v>
      </c>
      <c r="R947" s="17" t="str">
        <f t="shared" si="102"/>
        <v>03 1 01 00000 000</v>
      </c>
    </row>
    <row r="948" spans="1:18" s="17" customFormat="1" ht="31.5">
      <c r="A948" s="14"/>
      <c r="B948" s="135" t="s">
        <v>601</v>
      </c>
      <c r="C948" s="109" t="s">
        <v>595</v>
      </c>
      <c r="D948" s="108" t="s">
        <v>317</v>
      </c>
      <c r="E948" s="108" t="s">
        <v>13</v>
      </c>
      <c r="F948" s="108" t="s">
        <v>602</v>
      </c>
      <c r="G948" s="108" t="s">
        <v>9</v>
      </c>
      <c r="H948" s="126">
        <f>H949+H951</f>
        <v>0</v>
      </c>
      <c r="L948" s="37">
        <v>15217.199999999999</v>
      </c>
      <c r="M948" s="37">
        <v>15825.1</v>
      </c>
      <c r="N948" s="37">
        <v>16463.5</v>
      </c>
      <c r="O948" s="37">
        <f t="shared" si="109"/>
        <v>-15217.199999999999</v>
      </c>
      <c r="P948" s="37" t="e">
        <f>#REF!-M948</f>
        <v>#REF!</v>
      </c>
      <c r="Q948" s="37" t="e">
        <f>#REF!-N948</f>
        <v>#REF!</v>
      </c>
      <c r="R948" s="17" t="str">
        <f t="shared" si="102"/>
        <v>03 1 01 52200000</v>
      </c>
    </row>
    <row r="949" spans="1:18" s="17" customFormat="1" ht="31.5">
      <c r="A949" s="14"/>
      <c r="B949" s="125" t="s">
        <v>28</v>
      </c>
      <c r="C949" s="109" t="s">
        <v>595</v>
      </c>
      <c r="D949" s="108" t="s">
        <v>317</v>
      </c>
      <c r="E949" s="108" t="s">
        <v>13</v>
      </c>
      <c r="F949" s="108" t="s">
        <v>602</v>
      </c>
      <c r="G949" s="108" t="s">
        <v>29</v>
      </c>
      <c r="H949" s="126">
        <f>H950</f>
        <v>0</v>
      </c>
      <c r="L949" s="37">
        <v>224.88</v>
      </c>
      <c r="M949" s="37">
        <v>233.87</v>
      </c>
      <c r="N949" s="37">
        <v>243.3</v>
      </c>
      <c r="O949" s="37">
        <f t="shared" si="109"/>
        <v>-224.88</v>
      </c>
      <c r="P949" s="37" t="e">
        <f>#REF!-M949</f>
        <v>#REF!</v>
      </c>
      <c r="Q949" s="37" t="e">
        <f>#REF!-N949</f>
        <v>#REF!</v>
      </c>
      <c r="R949" s="17" t="str">
        <f t="shared" si="102"/>
        <v>03 1 01 52200240</v>
      </c>
    </row>
    <row r="950" spans="1:18" s="17" customFormat="1" ht="15.75">
      <c r="A950" s="14"/>
      <c r="B950" s="125" t="s">
        <v>30</v>
      </c>
      <c r="C950" s="109" t="s">
        <v>595</v>
      </c>
      <c r="D950" s="108" t="s">
        <v>317</v>
      </c>
      <c r="E950" s="108" t="s">
        <v>13</v>
      </c>
      <c r="F950" s="108" t="s">
        <v>602</v>
      </c>
      <c r="G950" s="108" t="s">
        <v>31</v>
      </c>
      <c r="H950" s="126"/>
      <c r="L950" s="37"/>
      <c r="M950" s="37"/>
      <c r="N950" s="37"/>
      <c r="O950" s="37"/>
      <c r="P950" s="37"/>
      <c r="Q950" s="37"/>
      <c r="R950" s="17" t="str">
        <f t="shared" si="102"/>
        <v>03 1 01 52200244</v>
      </c>
    </row>
    <row r="951" spans="1:18" s="17" customFormat="1" ht="31.5">
      <c r="A951" s="14"/>
      <c r="B951" s="132" t="s">
        <v>493</v>
      </c>
      <c r="C951" s="109" t="s">
        <v>595</v>
      </c>
      <c r="D951" s="108" t="s">
        <v>317</v>
      </c>
      <c r="E951" s="108" t="s">
        <v>13</v>
      </c>
      <c r="F951" s="108" t="s">
        <v>602</v>
      </c>
      <c r="G951" s="108" t="s">
        <v>494</v>
      </c>
      <c r="H951" s="126">
        <f>H952</f>
        <v>0</v>
      </c>
      <c r="L951" s="37">
        <v>14992.32</v>
      </c>
      <c r="M951" s="37">
        <v>15591.23</v>
      </c>
      <c r="N951" s="37">
        <v>16220.2</v>
      </c>
      <c r="O951" s="37">
        <f>H951-L951</f>
        <v>-14992.32</v>
      </c>
      <c r="P951" s="37" t="e">
        <f>#REF!-M951</f>
        <v>#REF!</v>
      </c>
      <c r="Q951" s="37" t="e">
        <f>#REF!-N951</f>
        <v>#REF!</v>
      </c>
      <c r="R951" s="17" t="str">
        <f t="shared" si="102"/>
        <v>03 1 01 52200310</v>
      </c>
    </row>
    <row r="952" spans="1:18" s="24" customFormat="1" ht="31.5">
      <c r="A952" s="21"/>
      <c r="B952" s="127" t="s">
        <v>495</v>
      </c>
      <c r="C952" s="109" t="s">
        <v>595</v>
      </c>
      <c r="D952" s="108" t="s">
        <v>317</v>
      </c>
      <c r="E952" s="108" t="s">
        <v>13</v>
      </c>
      <c r="F952" s="108" t="s">
        <v>602</v>
      </c>
      <c r="G952" s="108" t="s">
        <v>496</v>
      </c>
      <c r="H952" s="126"/>
      <c r="L952" s="38"/>
      <c r="M952" s="38"/>
      <c r="N952" s="38"/>
      <c r="O952" s="38"/>
      <c r="P952" s="38"/>
      <c r="Q952" s="38"/>
      <c r="R952" s="24" t="str">
        <f t="shared" si="102"/>
        <v>03 1 01 52200313</v>
      </c>
    </row>
    <row r="953" spans="1:18" s="17" customFormat="1" ht="47.25">
      <c r="A953" s="14"/>
      <c r="B953" s="135" t="s">
        <v>603</v>
      </c>
      <c r="C953" s="109" t="s">
        <v>595</v>
      </c>
      <c r="D953" s="108" t="s">
        <v>317</v>
      </c>
      <c r="E953" s="108" t="s">
        <v>13</v>
      </c>
      <c r="F953" s="108" t="s">
        <v>604</v>
      </c>
      <c r="G953" s="108" t="s">
        <v>9</v>
      </c>
      <c r="H953" s="126">
        <f>H954+H956</f>
        <v>0</v>
      </c>
      <c r="L953" s="37">
        <v>335846.3</v>
      </c>
      <c r="M953" s="37">
        <v>342847.89999999997</v>
      </c>
      <c r="N953" s="37">
        <v>342746.10000000003</v>
      </c>
      <c r="O953" s="37">
        <f>H953-L953</f>
        <v>-335846.3</v>
      </c>
      <c r="P953" s="37" t="e">
        <f>#REF!-M953</f>
        <v>#REF!</v>
      </c>
      <c r="Q953" s="37" t="e">
        <f>#REF!-N953</f>
        <v>#REF!</v>
      </c>
      <c r="R953" s="17" t="str">
        <f t="shared" si="102"/>
        <v>03 1 01 52500000</v>
      </c>
    </row>
    <row r="954" spans="1:18" s="17" customFormat="1" ht="31.5">
      <c r="A954" s="14"/>
      <c r="B954" s="125" t="s">
        <v>28</v>
      </c>
      <c r="C954" s="109" t="s">
        <v>595</v>
      </c>
      <c r="D954" s="108" t="s">
        <v>317</v>
      </c>
      <c r="E954" s="108" t="s">
        <v>13</v>
      </c>
      <c r="F954" s="108" t="s">
        <v>604</v>
      </c>
      <c r="G954" s="108" t="s">
        <v>29</v>
      </c>
      <c r="H954" s="126">
        <f>H955</f>
        <v>0</v>
      </c>
      <c r="L954" s="37">
        <v>2454.87</v>
      </c>
      <c r="M954" s="37">
        <v>2558.35</v>
      </c>
      <c r="N954" s="37">
        <v>2556.84</v>
      </c>
      <c r="O954" s="37">
        <f>H954-L954</f>
        <v>-2454.87</v>
      </c>
      <c r="P954" s="37" t="e">
        <f>#REF!-M954</f>
        <v>#REF!</v>
      </c>
      <c r="Q954" s="37" t="e">
        <f>#REF!-N954</f>
        <v>#REF!</v>
      </c>
      <c r="R954" s="17" t="str">
        <f t="shared" ref="R954:R1039" si="110">CONCATENATE(F954,G954)</f>
        <v>03 1 01 52500240</v>
      </c>
    </row>
    <row r="955" spans="1:18" s="17" customFormat="1" ht="15.75">
      <c r="A955" s="14"/>
      <c r="B955" s="125" t="s">
        <v>30</v>
      </c>
      <c r="C955" s="109" t="s">
        <v>595</v>
      </c>
      <c r="D955" s="108" t="s">
        <v>317</v>
      </c>
      <c r="E955" s="108" t="s">
        <v>13</v>
      </c>
      <c r="F955" s="108" t="s">
        <v>604</v>
      </c>
      <c r="G955" s="108" t="s">
        <v>31</v>
      </c>
      <c r="H955" s="126"/>
      <c r="L955" s="37"/>
      <c r="M955" s="37"/>
      <c r="N955" s="37"/>
      <c r="O955" s="37"/>
      <c r="P955" s="37"/>
      <c r="Q955" s="37"/>
      <c r="R955" s="17" t="str">
        <f t="shared" si="110"/>
        <v>03 1 01 52500244</v>
      </c>
    </row>
    <row r="956" spans="1:18" s="17" customFormat="1" ht="31.5">
      <c r="A956" s="14"/>
      <c r="B956" s="132" t="s">
        <v>493</v>
      </c>
      <c r="C956" s="109" t="s">
        <v>595</v>
      </c>
      <c r="D956" s="108" t="s">
        <v>317</v>
      </c>
      <c r="E956" s="108" t="s">
        <v>13</v>
      </c>
      <c r="F956" s="108" t="s">
        <v>604</v>
      </c>
      <c r="G956" s="108" t="s">
        <v>494</v>
      </c>
      <c r="H956" s="126">
        <f>H957</f>
        <v>0</v>
      </c>
      <c r="L956" s="37">
        <v>333391.43</v>
      </c>
      <c r="M956" s="37">
        <v>340289.55</v>
      </c>
      <c r="N956" s="37">
        <v>340189.26</v>
      </c>
      <c r="O956" s="37">
        <f>H956-L956</f>
        <v>-333391.43</v>
      </c>
      <c r="P956" s="37" t="e">
        <f>#REF!-M956</f>
        <v>#REF!</v>
      </c>
      <c r="Q956" s="37" t="e">
        <f>#REF!-N956</f>
        <v>#REF!</v>
      </c>
      <c r="R956" s="17" t="str">
        <f t="shared" si="110"/>
        <v>03 1 01 52500310</v>
      </c>
    </row>
    <row r="957" spans="1:18" s="17" customFormat="1" ht="31.5">
      <c r="A957" s="14"/>
      <c r="B957" s="127" t="s">
        <v>495</v>
      </c>
      <c r="C957" s="109" t="s">
        <v>595</v>
      </c>
      <c r="D957" s="108" t="s">
        <v>317</v>
      </c>
      <c r="E957" s="108" t="s">
        <v>13</v>
      </c>
      <c r="F957" s="108" t="s">
        <v>604</v>
      </c>
      <c r="G957" s="108" t="s">
        <v>496</v>
      </c>
      <c r="H957" s="126"/>
      <c r="L957" s="37"/>
      <c r="M957" s="37"/>
      <c r="N957" s="37"/>
      <c r="O957" s="37"/>
      <c r="P957" s="37"/>
      <c r="Q957" s="37"/>
      <c r="R957" s="17" t="str">
        <f t="shared" si="110"/>
        <v>03 1 01 52500313</v>
      </c>
    </row>
    <row r="958" spans="1:18" s="17" customFormat="1" ht="173.25">
      <c r="A958" s="14"/>
      <c r="B958" s="137" t="s">
        <v>605</v>
      </c>
      <c r="C958" s="109" t="s">
        <v>595</v>
      </c>
      <c r="D958" s="108" t="s">
        <v>317</v>
      </c>
      <c r="E958" s="108" t="s">
        <v>13</v>
      </c>
      <c r="F958" s="108" t="s">
        <v>606</v>
      </c>
      <c r="G958" s="108" t="s">
        <v>9</v>
      </c>
      <c r="H958" s="126">
        <f>H959+H961</f>
        <v>0</v>
      </c>
      <c r="L958" s="37">
        <v>107.80000000000001</v>
      </c>
      <c r="M958" s="37">
        <v>74.900000000000006</v>
      </c>
      <c r="N958" s="37">
        <v>74.900000000000006</v>
      </c>
      <c r="O958" s="37">
        <f>H958-L958</f>
        <v>-107.80000000000001</v>
      </c>
      <c r="P958" s="37" t="e">
        <f>#REF!-M958</f>
        <v>#REF!</v>
      </c>
      <c r="Q958" s="37" t="e">
        <f>#REF!-N958</f>
        <v>#REF!</v>
      </c>
      <c r="R958" s="17" t="str">
        <f t="shared" si="110"/>
        <v>03 1 01 52800000</v>
      </c>
    </row>
    <row r="959" spans="1:18" s="17" customFormat="1" ht="31.5">
      <c r="A959" s="14"/>
      <c r="B959" s="125" t="s">
        <v>28</v>
      </c>
      <c r="C959" s="109" t="s">
        <v>595</v>
      </c>
      <c r="D959" s="108" t="s">
        <v>317</v>
      </c>
      <c r="E959" s="108" t="s">
        <v>13</v>
      </c>
      <c r="F959" s="108" t="s">
        <v>606</v>
      </c>
      <c r="G959" s="108" t="s">
        <v>29</v>
      </c>
      <c r="H959" s="126">
        <f>H960</f>
        <v>0</v>
      </c>
      <c r="L959" s="37">
        <v>1.43</v>
      </c>
      <c r="M959" s="37">
        <v>1</v>
      </c>
      <c r="N959" s="37">
        <v>1</v>
      </c>
      <c r="O959" s="37">
        <f>H959-L959</f>
        <v>-1.43</v>
      </c>
      <c r="P959" s="37" t="e">
        <f>#REF!-M959</f>
        <v>#REF!</v>
      </c>
      <c r="Q959" s="37" t="e">
        <f>#REF!-N959</f>
        <v>#REF!</v>
      </c>
      <c r="R959" s="17" t="str">
        <f t="shared" si="110"/>
        <v>03 1 01 52800240</v>
      </c>
    </row>
    <row r="960" spans="1:18" s="17" customFormat="1" ht="15.75">
      <c r="A960" s="14"/>
      <c r="B960" s="125" t="s">
        <v>30</v>
      </c>
      <c r="C960" s="109" t="s">
        <v>595</v>
      </c>
      <c r="D960" s="108" t="s">
        <v>317</v>
      </c>
      <c r="E960" s="108" t="s">
        <v>13</v>
      </c>
      <c r="F960" s="108" t="s">
        <v>606</v>
      </c>
      <c r="G960" s="108" t="s">
        <v>31</v>
      </c>
      <c r="H960" s="126"/>
      <c r="L960" s="37"/>
      <c r="M960" s="37"/>
      <c r="N960" s="37"/>
      <c r="O960" s="37"/>
      <c r="P960" s="37"/>
      <c r="Q960" s="37"/>
      <c r="R960" s="17" t="str">
        <f t="shared" si="110"/>
        <v>03 1 01 52800244</v>
      </c>
    </row>
    <row r="961" spans="1:18" s="17" customFormat="1" ht="31.5">
      <c r="A961" s="14"/>
      <c r="B961" s="132" t="s">
        <v>493</v>
      </c>
      <c r="C961" s="109" t="s">
        <v>595</v>
      </c>
      <c r="D961" s="108" t="s">
        <v>317</v>
      </c>
      <c r="E961" s="108" t="s">
        <v>13</v>
      </c>
      <c r="F961" s="108" t="s">
        <v>606</v>
      </c>
      <c r="G961" s="108" t="s">
        <v>494</v>
      </c>
      <c r="H961" s="126">
        <f>H962</f>
        <v>0</v>
      </c>
      <c r="L961" s="37">
        <v>106.37</v>
      </c>
      <c r="M961" s="37">
        <v>73.900000000000006</v>
      </c>
      <c r="N961" s="37">
        <v>73.900000000000006</v>
      </c>
      <c r="O961" s="37">
        <f>H961-L961</f>
        <v>-106.37</v>
      </c>
      <c r="P961" s="37" t="e">
        <f>#REF!-M961</f>
        <v>#REF!</v>
      </c>
      <c r="Q961" s="37" t="e">
        <f>#REF!-N961</f>
        <v>#REF!</v>
      </c>
      <c r="R961" s="17" t="str">
        <f t="shared" si="110"/>
        <v>03 1 01 52800310</v>
      </c>
    </row>
    <row r="962" spans="1:18" s="17" customFormat="1" ht="31.5">
      <c r="A962" s="14"/>
      <c r="B962" s="127" t="s">
        <v>495</v>
      </c>
      <c r="C962" s="109" t="s">
        <v>595</v>
      </c>
      <c r="D962" s="108" t="s">
        <v>317</v>
      </c>
      <c r="E962" s="108" t="s">
        <v>13</v>
      </c>
      <c r="F962" s="108" t="s">
        <v>606</v>
      </c>
      <c r="G962" s="108" t="s">
        <v>496</v>
      </c>
      <c r="H962" s="126"/>
      <c r="L962" s="37"/>
      <c r="M962" s="37"/>
      <c r="N962" s="37"/>
      <c r="O962" s="37"/>
      <c r="P962" s="37"/>
      <c r="Q962" s="37"/>
    </row>
    <row r="963" spans="1:18" s="17" customFormat="1" ht="47.25">
      <c r="A963" s="14"/>
      <c r="B963" s="149" t="s">
        <v>607</v>
      </c>
      <c r="C963" s="109" t="s">
        <v>595</v>
      </c>
      <c r="D963" s="108" t="s">
        <v>317</v>
      </c>
      <c r="E963" s="108" t="s">
        <v>13</v>
      </c>
      <c r="F963" s="108" t="s">
        <v>608</v>
      </c>
      <c r="G963" s="108" t="s">
        <v>9</v>
      </c>
      <c r="H963" s="126">
        <f>H964</f>
        <v>0</v>
      </c>
      <c r="L963" s="37">
        <v>7961.36</v>
      </c>
      <c r="M963" s="37">
        <v>7961.36</v>
      </c>
      <c r="N963" s="37">
        <v>7961.36</v>
      </c>
      <c r="O963" s="37">
        <f>H963-L963</f>
        <v>-7961.36</v>
      </c>
      <c r="P963" s="37" t="e">
        <f>#REF!-M963</f>
        <v>#REF!</v>
      </c>
      <c r="Q963" s="37" t="e">
        <f>#REF!-N963</f>
        <v>#REF!</v>
      </c>
      <c r="R963" s="17" t="str">
        <f t="shared" si="110"/>
        <v>03 1 01 76240000</v>
      </c>
    </row>
    <row r="964" spans="1:18" s="17" customFormat="1" ht="31.5">
      <c r="A964" s="14"/>
      <c r="B964" s="132" t="s">
        <v>493</v>
      </c>
      <c r="C964" s="109" t="s">
        <v>595</v>
      </c>
      <c r="D964" s="108" t="s">
        <v>317</v>
      </c>
      <c r="E964" s="108" t="s">
        <v>13</v>
      </c>
      <c r="F964" s="108" t="s">
        <v>608</v>
      </c>
      <c r="G964" s="108" t="s">
        <v>494</v>
      </c>
      <c r="H964" s="126">
        <f>H965</f>
        <v>0</v>
      </c>
      <c r="L964" s="37">
        <v>7961.36</v>
      </c>
      <c r="M964" s="37">
        <v>7961.36</v>
      </c>
      <c r="N964" s="37">
        <v>7961.36</v>
      </c>
      <c r="O964" s="37">
        <f>H964-L964</f>
        <v>-7961.36</v>
      </c>
      <c r="P964" s="37" t="e">
        <f>#REF!-M964</f>
        <v>#REF!</v>
      </c>
      <c r="Q964" s="37" t="e">
        <f>#REF!-N964</f>
        <v>#REF!</v>
      </c>
      <c r="R964" s="17" t="str">
        <f t="shared" si="110"/>
        <v>03 1 01 76240310</v>
      </c>
    </row>
    <row r="965" spans="1:18" s="17" customFormat="1" ht="31.5">
      <c r="A965" s="14"/>
      <c r="B965" s="127" t="s">
        <v>495</v>
      </c>
      <c r="C965" s="109" t="s">
        <v>595</v>
      </c>
      <c r="D965" s="108" t="s">
        <v>317</v>
      </c>
      <c r="E965" s="108" t="s">
        <v>13</v>
      </c>
      <c r="F965" s="108" t="s">
        <v>608</v>
      </c>
      <c r="G965" s="108" t="s">
        <v>496</v>
      </c>
      <c r="H965" s="126"/>
      <c r="L965" s="37"/>
      <c r="M965" s="37"/>
      <c r="N965" s="37"/>
      <c r="O965" s="37"/>
      <c r="P965" s="37"/>
      <c r="Q965" s="37"/>
      <c r="R965" s="17" t="str">
        <f t="shared" si="110"/>
        <v>03 1 01 76240313</v>
      </c>
    </row>
    <row r="966" spans="1:18" s="17" customFormat="1" ht="63">
      <c r="A966" s="14"/>
      <c r="B966" s="132" t="s">
        <v>609</v>
      </c>
      <c r="C966" s="109" t="s">
        <v>595</v>
      </c>
      <c r="D966" s="108" t="s">
        <v>317</v>
      </c>
      <c r="E966" s="108" t="s">
        <v>13</v>
      </c>
      <c r="F966" s="108" t="s">
        <v>610</v>
      </c>
      <c r="G966" s="108" t="s">
        <v>9</v>
      </c>
      <c r="H966" s="126">
        <f>H967+H969</f>
        <v>0</v>
      </c>
      <c r="L966" s="20">
        <v>4551.87</v>
      </c>
      <c r="M966" s="20">
        <v>4551.87</v>
      </c>
      <c r="N966" s="20">
        <v>4551.87</v>
      </c>
      <c r="O966" s="20">
        <f>H966-L966</f>
        <v>-4551.87</v>
      </c>
      <c r="P966" s="20" t="e">
        <f>#REF!-M966</f>
        <v>#REF!</v>
      </c>
      <c r="Q966" s="20" t="e">
        <f>#REF!-N966</f>
        <v>#REF!</v>
      </c>
      <c r="R966" s="17" t="str">
        <f t="shared" si="110"/>
        <v>03 1 01 77220 000</v>
      </c>
    </row>
    <row r="967" spans="1:18" s="17" customFormat="1" ht="31.5">
      <c r="A967" s="14"/>
      <c r="B967" s="132" t="s">
        <v>28</v>
      </c>
      <c r="C967" s="109" t="s">
        <v>595</v>
      </c>
      <c r="D967" s="108" t="s">
        <v>317</v>
      </c>
      <c r="E967" s="108" t="s">
        <v>13</v>
      </c>
      <c r="F967" s="108" t="s">
        <v>610</v>
      </c>
      <c r="G967" s="108" t="s">
        <v>29</v>
      </c>
      <c r="H967" s="126">
        <f>H968</f>
        <v>0</v>
      </c>
      <c r="L967" s="20">
        <v>50</v>
      </c>
      <c r="M967" s="20">
        <v>50</v>
      </c>
      <c r="N967" s="20">
        <v>50</v>
      </c>
      <c r="O967" s="20">
        <f>H967-L967</f>
        <v>-50</v>
      </c>
      <c r="P967" s="20" t="e">
        <f>#REF!-M967</f>
        <v>#REF!</v>
      </c>
      <c r="Q967" s="20" t="e">
        <f>#REF!-N967</f>
        <v>#REF!</v>
      </c>
      <c r="R967" s="17" t="str">
        <f t="shared" si="110"/>
        <v>03 1 01 77220 240</v>
      </c>
    </row>
    <row r="968" spans="1:18" s="17" customFormat="1" ht="15.75">
      <c r="A968" s="14"/>
      <c r="B968" s="125" t="s">
        <v>30</v>
      </c>
      <c r="C968" s="109" t="s">
        <v>595</v>
      </c>
      <c r="D968" s="108" t="s">
        <v>317</v>
      </c>
      <c r="E968" s="108" t="s">
        <v>13</v>
      </c>
      <c r="F968" s="108" t="s">
        <v>610</v>
      </c>
      <c r="G968" s="108" t="s">
        <v>31</v>
      </c>
      <c r="H968" s="126"/>
      <c r="L968" s="20"/>
      <c r="M968" s="20"/>
      <c r="N968" s="20"/>
      <c r="O968" s="20"/>
      <c r="P968" s="20"/>
      <c r="Q968" s="20"/>
      <c r="R968" s="17" t="str">
        <f t="shared" si="110"/>
        <v>03 1 01 77220 244</v>
      </c>
    </row>
    <row r="969" spans="1:18" s="17" customFormat="1" ht="31.5">
      <c r="A969" s="14"/>
      <c r="B969" s="132" t="s">
        <v>493</v>
      </c>
      <c r="C969" s="109" t="s">
        <v>595</v>
      </c>
      <c r="D969" s="108" t="s">
        <v>317</v>
      </c>
      <c r="E969" s="108" t="s">
        <v>13</v>
      </c>
      <c r="F969" s="108" t="s">
        <v>610</v>
      </c>
      <c r="G969" s="108" t="s">
        <v>494</v>
      </c>
      <c r="H969" s="126">
        <f>H970</f>
        <v>0</v>
      </c>
      <c r="L969" s="20">
        <v>4501.87</v>
      </c>
      <c r="M969" s="20">
        <v>4501.87</v>
      </c>
      <c r="N969" s="20">
        <v>4501.87</v>
      </c>
      <c r="O969" s="20">
        <f>H969-L969</f>
        <v>-4501.87</v>
      </c>
      <c r="P969" s="20" t="e">
        <f>#REF!-M969</f>
        <v>#REF!</v>
      </c>
      <c r="Q969" s="20" t="e">
        <f>#REF!-N969</f>
        <v>#REF!</v>
      </c>
      <c r="R969" s="17" t="str">
        <f t="shared" si="110"/>
        <v>03 1 01 77220 310</v>
      </c>
    </row>
    <row r="970" spans="1:18" s="17" customFormat="1" ht="31.5">
      <c r="A970" s="14"/>
      <c r="B970" s="127" t="s">
        <v>495</v>
      </c>
      <c r="C970" s="109" t="s">
        <v>595</v>
      </c>
      <c r="D970" s="108" t="s">
        <v>317</v>
      </c>
      <c r="E970" s="108" t="s">
        <v>13</v>
      </c>
      <c r="F970" s="108" t="s">
        <v>610</v>
      </c>
      <c r="G970" s="108" t="s">
        <v>496</v>
      </c>
      <c r="H970" s="126"/>
      <c r="L970" s="20"/>
      <c r="M970" s="20"/>
      <c r="N970" s="20"/>
      <c r="O970" s="20"/>
      <c r="P970" s="20"/>
      <c r="Q970" s="20"/>
      <c r="R970" s="17" t="str">
        <f t="shared" si="110"/>
        <v>03 1 01 77220 313</v>
      </c>
    </row>
    <row r="971" spans="1:18" s="17" customFormat="1" ht="110.25">
      <c r="A971" s="14"/>
      <c r="B971" s="149" t="s">
        <v>611</v>
      </c>
      <c r="C971" s="109" t="s">
        <v>595</v>
      </c>
      <c r="D971" s="108" t="s">
        <v>317</v>
      </c>
      <c r="E971" s="108" t="s">
        <v>13</v>
      </c>
      <c r="F971" s="108" t="s">
        <v>612</v>
      </c>
      <c r="G971" s="108" t="s">
        <v>9</v>
      </c>
      <c r="H971" s="126">
        <f>H972+H974</f>
        <v>0</v>
      </c>
      <c r="L971" s="37">
        <v>362001.94</v>
      </c>
      <c r="M971" s="37">
        <v>363794.9</v>
      </c>
      <c r="N971" s="37">
        <v>365617.96</v>
      </c>
      <c r="O971" s="37">
        <f>H971-L971</f>
        <v>-362001.94</v>
      </c>
      <c r="P971" s="37" t="e">
        <f>#REF!-M971</f>
        <v>#REF!</v>
      </c>
      <c r="Q971" s="37" t="e">
        <f>#REF!-N971</f>
        <v>#REF!</v>
      </c>
      <c r="R971" s="17" t="str">
        <f t="shared" si="110"/>
        <v>03 1 01 78210000</v>
      </c>
    </row>
    <row r="972" spans="1:18" s="17" customFormat="1" ht="31.5">
      <c r="A972" s="14"/>
      <c r="B972" s="125" t="s">
        <v>28</v>
      </c>
      <c r="C972" s="109" t="s">
        <v>595</v>
      </c>
      <c r="D972" s="108" t="s">
        <v>317</v>
      </c>
      <c r="E972" s="108" t="s">
        <v>13</v>
      </c>
      <c r="F972" s="108" t="s">
        <v>612</v>
      </c>
      <c r="G972" s="108" t="s">
        <v>29</v>
      </c>
      <c r="H972" s="126">
        <f>H973</f>
        <v>0</v>
      </c>
      <c r="L972" s="37">
        <v>5280</v>
      </c>
      <c r="M972" s="37">
        <v>5280</v>
      </c>
      <c r="N972" s="37">
        <v>5280</v>
      </c>
      <c r="O972" s="37">
        <f>H972-L972</f>
        <v>-5280</v>
      </c>
      <c r="P972" s="37" t="e">
        <f>#REF!-M972</f>
        <v>#REF!</v>
      </c>
      <c r="Q972" s="37" t="e">
        <f>#REF!-N972</f>
        <v>#REF!</v>
      </c>
      <c r="R972" s="17" t="str">
        <f t="shared" si="110"/>
        <v>03 1 01 78210240</v>
      </c>
    </row>
    <row r="973" spans="1:18" s="17" customFormat="1" ht="15.75">
      <c r="A973" s="14"/>
      <c r="B973" s="125" t="s">
        <v>30</v>
      </c>
      <c r="C973" s="109" t="s">
        <v>595</v>
      </c>
      <c r="D973" s="108" t="s">
        <v>317</v>
      </c>
      <c r="E973" s="108" t="s">
        <v>13</v>
      </c>
      <c r="F973" s="108" t="s">
        <v>612</v>
      </c>
      <c r="G973" s="108" t="s">
        <v>31</v>
      </c>
      <c r="H973" s="126"/>
      <c r="L973" s="37"/>
      <c r="M973" s="37"/>
      <c r="N973" s="37"/>
      <c r="O973" s="37"/>
      <c r="P973" s="37"/>
      <c r="Q973" s="37"/>
      <c r="R973" s="17" t="str">
        <f t="shared" si="110"/>
        <v>03 1 01 78210244</v>
      </c>
    </row>
    <row r="974" spans="1:18" s="17" customFormat="1" ht="31.5">
      <c r="A974" s="14"/>
      <c r="B974" s="132" t="s">
        <v>493</v>
      </c>
      <c r="C974" s="109" t="s">
        <v>595</v>
      </c>
      <c r="D974" s="108" t="s">
        <v>317</v>
      </c>
      <c r="E974" s="108" t="s">
        <v>13</v>
      </c>
      <c r="F974" s="108" t="s">
        <v>612</v>
      </c>
      <c r="G974" s="108" t="s">
        <v>494</v>
      </c>
      <c r="H974" s="126">
        <f>H975</f>
        <v>0</v>
      </c>
      <c r="L974" s="37">
        <v>356721.94</v>
      </c>
      <c r="M974" s="37">
        <v>358514.9</v>
      </c>
      <c r="N974" s="37">
        <v>360337.96</v>
      </c>
      <c r="O974" s="37">
        <f>H974-L974</f>
        <v>-356721.94</v>
      </c>
      <c r="P974" s="37" t="e">
        <f>#REF!-M974</f>
        <v>#REF!</v>
      </c>
      <c r="Q974" s="37" t="e">
        <f>#REF!-N974</f>
        <v>#REF!</v>
      </c>
      <c r="R974" s="17" t="str">
        <f t="shared" si="110"/>
        <v>03 1 01 78210310</v>
      </c>
    </row>
    <row r="975" spans="1:18" s="17" customFormat="1" ht="31.5">
      <c r="A975" s="14"/>
      <c r="B975" s="127" t="s">
        <v>495</v>
      </c>
      <c r="C975" s="109" t="s">
        <v>595</v>
      </c>
      <c r="D975" s="108" t="s">
        <v>317</v>
      </c>
      <c r="E975" s="108" t="s">
        <v>13</v>
      </c>
      <c r="F975" s="108" t="s">
        <v>612</v>
      </c>
      <c r="G975" s="108" t="s">
        <v>496</v>
      </c>
      <c r="H975" s="126"/>
      <c r="L975" s="37"/>
      <c r="M975" s="37"/>
      <c r="N975" s="37"/>
      <c r="O975" s="37"/>
      <c r="P975" s="37"/>
      <c r="Q975" s="37"/>
      <c r="R975" s="17" t="str">
        <f t="shared" si="110"/>
        <v>03 1 01 78210313</v>
      </c>
    </row>
    <row r="976" spans="1:18" s="17" customFormat="1" ht="47.25">
      <c r="A976" s="14"/>
      <c r="B976" s="132" t="s">
        <v>613</v>
      </c>
      <c r="C976" s="109" t="s">
        <v>595</v>
      </c>
      <c r="D976" s="108" t="s">
        <v>317</v>
      </c>
      <c r="E976" s="108" t="s">
        <v>13</v>
      </c>
      <c r="F976" s="108" t="s">
        <v>614</v>
      </c>
      <c r="G976" s="108" t="s">
        <v>9</v>
      </c>
      <c r="H976" s="126">
        <f>H977+H979</f>
        <v>0</v>
      </c>
      <c r="L976" s="37">
        <v>264670.36</v>
      </c>
      <c r="M976" s="37">
        <v>264670.36</v>
      </c>
      <c r="N976" s="37">
        <v>264670.36</v>
      </c>
      <c r="O976" s="37">
        <f>H976-L976</f>
        <v>-264670.36</v>
      </c>
      <c r="P976" s="37" t="e">
        <f>#REF!-M976</f>
        <v>#REF!</v>
      </c>
      <c r="Q976" s="37" t="e">
        <f>#REF!-N976</f>
        <v>#REF!</v>
      </c>
      <c r="R976" s="17" t="str">
        <f t="shared" si="110"/>
        <v>03 1 01 78220000</v>
      </c>
    </row>
    <row r="977" spans="1:18" s="17" customFormat="1" ht="31.5">
      <c r="A977" s="14"/>
      <c r="B977" s="132" t="s">
        <v>28</v>
      </c>
      <c r="C977" s="109" t="s">
        <v>595</v>
      </c>
      <c r="D977" s="108" t="s">
        <v>317</v>
      </c>
      <c r="E977" s="108" t="s">
        <v>13</v>
      </c>
      <c r="F977" s="108" t="s">
        <v>614</v>
      </c>
      <c r="G977" s="108" t="s">
        <v>29</v>
      </c>
      <c r="H977" s="126">
        <f>H978</f>
        <v>0</v>
      </c>
      <c r="L977" s="37">
        <v>3840</v>
      </c>
      <c r="M977" s="37">
        <v>3840</v>
      </c>
      <c r="N977" s="37">
        <v>3840</v>
      </c>
      <c r="O977" s="37">
        <f>H977-L977</f>
        <v>-3840</v>
      </c>
      <c r="P977" s="37" t="e">
        <f>#REF!-M977</f>
        <v>#REF!</v>
      </c>
      <c r="Q977" s="37" t="e">
        <f>#REF!-N977</f>
        <v>#REF!</v>
      </c>
      <c r="R977" s="17" t="str">
        <f t="shared" si="110"/>
        <v>03 1 01 78220240</v>
      </c>
    </row>
    <row r="978" spans="1:18" s="17" customFormat="1" ht="15.75">
      <c r="A978" s="14"/>
      <c r="B978" s="125" t="s">
        <v>30</v>
      </c>
      <c r="C978" s="109" t="s">
        <v>595</v>
      </c>
      <c r="D978" s="108" t="s">
        <v>317</v>
      </c>
      <c r="E978" s="108" t="s">
        <v>13</v>
      </c>
      <c r="F978" s="108" t="s">
        <v>614</v>
      </c>
      <c r="G978" s="108" t="s">
        <v>31</v>
      </c>
      <c r="H978" s="126"/>
      <c r="L978" s="37"/>
      <c r="M978" s="37"/>
      <c r="N978" s="37"/>
      <c r="O978" s="37"/>
      <c r="P978" s="37"/>
      <c r="Q978" s="37"/>
      <c r="R978" s="17" t="str">
        <f t="shared" si="110"/>
        <v>03 1 01 78220244</v>
      </c>
    </row>
    <row r="979" spans="1:18" s="17" customFormat="1" ht="31.5">
      <c r="A979" s="14"/>
      <c r="B979" s="132" t="s">
        <v>493</v>
      </c>
      <c r="C979" s="109" t="s">
        <v>595</v>
      </c>
      <c r="D979" s="108" t="s">
        <v>317</v>
      </c>
      <c r="E979" s="108" t="s">
        <v>13</v>
      </c>
      <c r="F979" s="108" t="s">
        <v>614</v>
      </c>
      <c r="G979" s="108" t="s">
        <v>494</v>
      </c>
      <c r="H979" s="126">
        <f>H980</f>
        <v>0</v>
      </c>
      <c r="L979" s="37">
        <v>260830.36</v>
      </c>
      <c r="M979" s="37">
        <v>260830.36</v>
      </c>
      <c r="N979" s="37">
        <v>260830.36</v>
      </c>
      <c r="O979" s="37">
        <f>H979-L979</f>
        <v>-260830.36</v>
      </c>
      <c r="P979" s="37" t="e">
        <f>#REF!-M979</f>
        <v>#REF!</v>
      </c>
      <c r="Q979" s="37" t="e">
        <f>#REF!-N979</f>
        <v>#REF!</v>
      </c>
      <c r="R979" s="17" t="str">
        <f t="shared" si="110"/>
        <v>03 1 01 78220310</v>
      </c>
    </row>
    <row r="980" spans="1:18" s="17" customFormat="1" ht="31.5">
      <c r="A980" s="14"/>
      <c r="B980" s="127" t="s">
        <v>495</v>
      </c>
      <c r="C980" s="109" t="s">
        <v>595</v>
      </c>
      <c r="D980" s="108" t="s">
        <v>317</v>
      </c>
      <c r="E980" s="108" t="s">
        <v>13</v>
      </c>
      <c r="F980" s="108" t="s">
        <v>614</v>
      </c>
      <c r="G980" s="108" t="s">
        <v>496</v>
      </c>
      <c r="H980" s="126"/>
      <c r="L980" s="37"/>
      <c r="M980" s="37"/>
      <c r="N980" s="37"/>
      <c r="O980" s="37"/>
      <c r="P980" s="37"/>
      <c r="Q980" s="37"/>
      <c r="R980" s="17" t="str">
        <f t="shared" si="110"/>
        <v>03 1 01 78220313</v>
      </c>
    </row>
    <row r="981" spans="1:18" s="17" customFormat="1" ht="47.25">
      <c r="A981" s="14"/>
      <c r="B981" s="149" t="s">
        <v>615</v>
      </c>
      <c r="C981" s="109" t="s">
        <v>595</v>
      </c>
      <c r="D981" s="108" t="s">
        <v>317</v>
      </c>
      <c r="E981" s="108" t="s">
        <v>13</v>
      </c>
      <c r="F981" s="108" t="s">
        <v>616</v>
      </c>
      <c r="G981" s="108" t="s">
        <v>9</v>
      </c>
      <c r="H981" s="126">
        <f>H982+H984</f>
        <v>0</v>
      </c>
      <c r="L981" s="37">
        <v>6066.83</v>
      </c>
      <c r="M981" s="37">
        <v>5877.65</v>
      </c>
      <c r="N981" s="37">
        <v>5705.66</v>
      </c>
      <c r="O981" s="37">
        <f>H981-L981</f>
        <v>-6066.83</v>
      </c>
      <c r="P981" s="37" t="e">
        <f>#REF!-M981</f>
        <v>#REF!</v>
      </c>
      <c r="Q981" s="37" t="e">
        <f>#REF!-N981</f>
        <v>#REF!</v>
      </c>
      <c r="R981" s="17" t="str">
        <f t="shared" si="110"/>
        <v>03 1 01 78230000</v>
      </c>
    </row>
    <row r="982" spans="1:18" s="17" customFormat="1" ht="31.5">
      <c r="A982" s="14"/>
      <c r="B982" s="125" t="s">
        <v>28</v>
      </c>
      <c r="C982" s="109" t="s">
        <v>595</v>
      </c>
      <c r="D982" s="108" t="s">
        <v>317</v>
      </c>
      <c r="E982" s="108" t="s">
        <v>13</v>
      </c>
      <c r="F982" s="108" t="s">
        <v>616</v>
      </c>
      <c r="G982" s="108" t="s">
        <v>29</v>
      </c>
      <c r="H982" s="126">
        <f>H983</f>
        <v>0</v>
      </c>
      <c r="L982" s="37">
        <v>94.8</v>
      </c>
      <c r="M982" s="37">
        <v>86</v>
      </c>
      <c r="N982" s="37">
        <v>84.8</v>
      </c>
      <c r="O982" s="37">
        <f>H982-L982</f>
        <v>-94.8</v>
      </c>
      <c r="P982" s="37" t="e">
        <f>#REF!-M982</f>
        <v>#REF!</v>
      </c>
      <c r="Q982" s="37" t="e">
        <f>#REF!-N982</f>
        <v>#REF!</v>
      </c>
      <c r="R982" s="17" t="str">
        <f t="shared" si="110"/>
        <v>03 1 01 78230240</v>
      </c>
    </row>
    <row r="983" spans="1:18" s="17" customFormat="1" ht="15.75">
      <c r="A983" s="14"/>
      <c r="B983" s="125" t="s">
        <v>30</v>
      </c>
      <c r="C983" s="109" t="s">
        <v>595</v>
      </c>
      <c r="D983" s="108" t="s">
        <v>317</v>
      </c>
      <c r="E983" s="108" t="s">
        <v>13</v>
      </c>
      <c r="F983" s="108" t="s">
        <v>616</v>
      </c>
      <c r="G983" s="108" t="s">
        <v>31</v>
      </c>
      <c r="H983" s="126"/>
      <c r="L983" s="37"/>
      <c r="M983" s="37"/>
      <c r="N983" s="37"/>
      <c r="O983" s="37"/>
      <c r="P983" s="37"/>
      <c r="Q983" s="37"/>
      <c r="R983" s="17" t="str">
        <f t="shared" si="110"/>
        <v>03 1 01 78230244</v>
      </c>
    </row>
    <row r="984" spans="1:18" s="17" customFormat="1" ht="31.5">
      <c r="A984" s="14"/>
      <c r="B984" s="132" t="s">
        <v>493</v>
      </c>
      <c r="C984" s="109" t="s">
        <v>595</v>
      </c>
      <c r="D984" s="108" t="s">
        <v>317</v>
      </c>
      <c r="E984" s="108" t="s">
        <v>13</v>
      </c>
      <c r="F984" s="108" t="s">
        <v>616</v>
      </c>
      <c r="G984" s="108" t="s">
        <v>494</v>
      </c>
      <c r="H984" s="126">
        <f>H985</f>
        <v>0</v>
      </c>
      <c r="L984" s="37">
        <v>5972.03</v>
      </c>
      <c r="M984" s="37">
        <v>5791.65</v>
      </c>
      <c r="N984" s="37">
        <v>5620.86</v>
      </c>
      <c r="O984" s="37">
        <f>H984-L984</f>
        <v>-5972.03</v>
      </c>
      <c r="P984" s="37" t="e">
        <f>#REF!-M984</f>
        <v>#REF!</v>
      </c>
      <c r="Q984" s="37" t="e">
        <f>#REF!-N984</f>
        <v>#REF!</v>
      </c>
      <c r="R984" s="17" t="str">
        <f t="shared" si="110"/>
        <v>03 1 01 78230310</v>
      </c>
    </row>
    <row r="985" spans="1:18" s="17" customFormat="1" ht="31.5">
      <c r="A985" s="14"/>
      <c r="B985" s="127" t="s">
        <v>495</v>
      </c>
      <c r="C985" s="109" t="s">
        <v>595</v>
      </c>
      <c r="D985" s="108" t="s">
        <v>317</v>
      </c>
      <c r="E985" s="108" t="s">
        <v>13</v>
      </c>
      <c r="F985" s="108" t="s">
        <v>616</v>
      </c>
      <c r="G985" s="108" t="s">
        <v>496</v>
      </c>
      <c r="H985" s="126"/>
      <c r="L985" s="37"/>
      <c r="M985" s="37"/>
      <c r="N985" s="37"/>
      <c r="O985" s="37"/>
      <c r="P985" s="37"/>
      <c r="Q985" s="37"/>
      <c r="R985" s="17" t="str">
        <f t="shared" si="110"/>
        <v>03 1 01 78230313</v>
      </c>
    </row>
    <row r="986" spans="1:18" s="17" customFormat="1" ht="47.25">
      <c r="A986" s="14"/>
      <c r="B986" s="149" t="s">
        <v>617</v>
      </c>
      <c r="C986" s="109" t="s">
        <v>595</v>
      </c>
      <c r="D986" s="108" t="s">
        <v>317</v>
      </c>
      <c r="E986" s="108" t="s">
        <v>13</v>
      </c>
      <c r="F986" s="108" t="s">
        <v>618</v>
      </c>
      <c r="G986" s="108" t="s">
        <v>9</v>
      </c>
      <c r="H986" s="126">
        <f>H987+H989</f>
        <v>0</v>
      </c>
      <c r="L986" s="37">
        <v>178.05</v>
      </c>
      <c r="M986" s="37">
        <v>178.05</v>
      </c>
      <c r="N986" s="37">
        <v>178.05</v>
      </c>
      <c r="O986" s="37">
        <f>H986-L986</f>
        <v>-178.05</v>
      </c>
      <c r="P986" s="37" t="e">
        <f>#REF!-M986</f>
        <v>#REF!</v>
      </c>
      <c r="Q986" s="37" t="e">
        <f>#REF!-N986</f>
        <v>#REF!</v>
      </c>
      <c r="R986" s="17" t="str">
        <f t="shared" si="110"/>
        <v>03 1 01 78240000</v>
      </c>
    </row>
    <row r="987" spans="1:18" s="17" customFormat="1" ht="31.5">
      <c r="A987" s="14"/>
      <c r="B987" s="125" t="s">
        <v>28</v>
      </c>
      <c r="C987" s="109" t="s">
        <v>595</v>
      </c>
      <c r="D987" s="108" t="s">
        <v>317</v>
      </c>
      <c r="E987" s="108" t="s">
        <v>13</v>
      </c>
      <c r="F987" s="108" t="s">
        <v>618</v>
      </c>
      <c r="G987" s="108" t="s">
        <v>29</v>
      </c>
      <c r="H987" s="126">
        <f>H988</f>
        <v>0</v>
      </c>
      <c r="L987" s="37">
        <v>0.84</v>
      </c>
      <c r="M987" s="37">
        <v>0.84</v>
      </c>
      <c r="N987" s="37">
        <v>0.84</v>
      </c>
      <c r="O987" s="37">
        <f>H987-L987</f>
        <v>-0.84</v>
      </c>
      <c r="P987" s="37" t="e">
        <f>#REF!-M987</f>
        <v>#REF!</v>
      </c>
      <c r="Q987" s="37" t="e">
        <f>#REF!-N987</f>
        <v>#REF!</v>
      </c>
      <c r="R987" s="17" t="str">
        <f t="shared" si="110"/>
        <v>03 1 01 78240240</v>
      </c>
    </row>
    <row r="988" spans="1:18" s="17" customFormat="1" ht="15.75">
      <c r="A988" s="14"/>
      <c r="B988" s="125" t="s">
        <v>30</v>
      </c>
      <c r="C988" s="109" t="s">
        <v>595</v>
      </c>
      <c r="D988" s="108" t="s">
        <v>317</v>
      </c>
      <c r="E988" s="108" t="s">
        <v>13</v>
      </c>
      <c r="F988" s="108" t="s">
        <v>618</v>
      </c>
      <c r="G988" s="108" t="s">
        <v>31</v>
      </c>
      <c r="H988" s="126"/>
      <c r="L988" s="37"/>
      <c r="M988" s="37"/>
      <c r="N988" s="37"/>
      <c r="O988" s="37"/>
      <c r="P988" s="37"/>
      <c r="Q988" s="37"/>
      <c r="R988" s="17" t="str">
        <f t="shared" si="110"/>
        <v>03 1 01 78240244</v>
      </c>
    </row>
    <row r="989" spans="1:18" s="17" customFormat="1" ht="31.5">
      <c r="A989" s="14"/>
      <c r="B989" s="132" t="s">
        <v>493</v>
      </c>
      <c r="C989" s="109" t="s">
        <v>595</v>
      </c>
      <c r="D989" s="108" t="s">
        <v>317</v>
      </c>
      <c r="E989" s="108" t="s">
        <v>13</v>
      </c>
      <c r="F989" s="108" t="s">
        <v>618</v>
      </c>
      <c r="G989" s="108" t="s">
        <v>494</v>
      </c>
      <c r="H989" s="126">
        <f>H990</f>
        <v>0</v>
      </c>
      <c r="L989" s="37">
        <v>177.21</v>
      </c>
      <c r="M989" s="37">
        <v>177.21</v>
      </c>
      <c r="N989" s="37">
        <v>177.21</v>
      </c>
      <c r="O989" s="37">
        <f>H989-L989</f>
        <v>-177.21</v>
      </c>
      <c r="P989" s="37" t="e">
        <f>#REF!-M989</f>
        <v>#REF!</v>
      </c>
      <c r="Q989" s="37" t="e">
        <f>#REF!-N989</f>
        <v>#REF!</v>
      </c>
      <c r="R989" s="17" t="str">
        <f t="shared" si="110"/>
        <v>03 1 01 78240310</v>
      </c>
    </row>
    <row r="990" spans="1:18" s="17" customFormat="1" ht="31.5">
      <c r="A990" s="14"/>
      <c r="B990" s="127" t="s">
        <v>495</v>
      </c>
      <c r="C990" s="109" t="s">
        <v>595</v>
      </c>
      <c r="D990" s="108" t="s">
        <v>317</v>
      </c>
      <c r="E990" s="108" t="s">
        <v>13</v>
      </c>
      <c r="F990" s="108" t="s">
        <v>618</v>
      </c>
      <c r="G990" s="108" t="s">
        <v>496</v>
      </c>
      <c r="H990" s="126"/>
      <c r="L990" s="37"/>
      <c r="M990" s="37"/>
      <c r="N990" s="37"/>
      <c r="O990" s="37"/>
      <c r="P990" s="37"/>
      <c r="Q990" s="37"/>
      <c r="R990" s="17" t="str">
        <f t="shared" si="110"/>
        <v>03 1 01 78240313</v>
      </c>
    </row>
    <row r="991" spans="1:18" s="17" customFormat="1" ht="31.5">
      <c r="A991" s="14"/>
      <c r="B991" s="149" t="s">
        <v>619</v>
      </c>
      <c r="C991" s="109" t="s">
        <v>595</v>
      </c>
      <c r="D991" s="108" t="s">
        <v>317</v>
      </c>
      <c r="E991" s="108" t="s">
        <v>13</v>
      </c>
      <c r="F991" s="108" t="s">
        <v>620</v>
      </c>
      <c r="G991" s="108" t="s">
        <v>9</v>
      </c>
      <c r="H991" s="126">
        <f>H992+H994</f>
        <v>0</v>
      </c>
      <c r="L991" s="37">
        <v>614.26</v>
      </c>
      <c r="M991" s="37">
        <v>614.26</v>
      </c>
      <c r="N991" s="37">
        <v>614.26</v>
      </c>
      <c r="O991" s="37">
        <f>H991-L991</f>
        <v>-614.26</v>
      </c>
      <c r="P991" s="37" t="e">
        <f>#REF!-M991</f>
        <v>#REF!</v>
      </c>
      <c r="Q991" s="37" t="e">
        <f>#REF!-N991</f>
        <v>#REF!</v>
      </c>
      <c r="R991" s="17" t="str">
        <f t="shared" si="110"/>
        <v>03 1 01 78250000</v>
      </c>
    </row>
    <row r="992" spans="1:18" s="17" customFormat="1" ht="31.5">
      <c r="A992" s="14"/>
      <c r="B992" s="125" t="s">
        <v>28</v>
      </c>
      <c r="C992" s="109" t="s">
        <v>595</v>
      </c>
      <c r="D992" s="108" t="s">
        <v>317</v>
      </c>
      <c r="E992" s="108" t="s">
        <v>13</v>
      </c>
      <c r="F992" s="108" t="s">
        <v>620</v>
      </c>
      <c r="G992" s="108" t="s">
        <v>29</v>
      </c>
      <c r="H992" s="126">
        <f>H993</f>
        <v>0</v>
      </c>
      <c r="L992" s="37">
        <v>8.4</v>
      </c>
      <c r="M992" s="37">
        <v>8.4</v>
      </c>
      <c r="N992" s="37">
        <v>8.4</v>
      </c>
      <c r="O992" s="37">
        <f>H992-L992</f>
        <v>-8.4</v>
      </c>
      <c r="P992" s="37" t="e">
        <f>#REF!-M992</f>
        <v>#REF!</v>
      </c>
      <c r="Q992" s="37" t="e">
        <f>#REF!-N992</f>
        <v>#REF!</v>
      </c>
      <c r="R992" s="17" t="str">
        <f t="shared" si="110"/>
        <v>03 1 01 78250240</v>
      </c>
    </row>
    <row r="993" spans="1:18" s="17" customFormat="1" ht="15.75">
      <c r="A993" s="14"/>
      <c r="B993" s="125" t="s">
        <v>30</v>
      </c>
      <c r="C993" s="109" t="s">
        <v>595</v>
      </c>
      <c r="D993" s="108" t="s">
        <v>317</v>
      </c>
      <c r="E993" s="108" t="s">
        <v>13</v>
      </c>
      <c r="F993" s="108" t="s">
        <v>620</v>
      </c>
      <c r="G993" s="108" t="s">
        <v>31</v>
      </c>
      <c r="H993" s="126"/>
      <c r="L993" s="37"/>
      <c r="M993" s="37"/>
      <c r="N993" s="37"/>
      <c r="O993" s="37"/>
      <c r="P993" s="37"/>
      <c r="Q993" s="37"/>
      <c r="R993" s="17" t="str">
        <f t="shared" si="110"/>
        <v>03 1 01 78250244</v>
      </c>
    </row>
    <row r="994" spans="1:18" s="17" customFormat="1" ht="31.5">
      <c r="A994" s="14"/>
      <c r="B994" s="132" t="s">
        <v>493</v>
      </c>
      <c r="C994" s="109" t="s">
        <v>595</v>
      </c>
      <c r="D994" s="108" t="s">
        <v>317</v>
      </c>
      <c r="E994" s="108" t="s">
        <v>13</v>
      </c>
      <c r="F994" s="108" t="s">
        <v>620</v>
      </c>
      <c r="G994" s="108" t="s">
        <v>494</v>
      </c>
      <c r="H994" s="126">
        <f>H995</f>
        <v>0</v>
      </c>
      <c r="L994" s="37">
        <v>605.86</v>
      </c>
      <c r="M994" s="37">
        <v>605.86</v>
      </c>
      <c r="N994" s="37">
        <v>605.86</v>
      </c>
      <c r="O994" s="37">
        <f>H994-L994</f>
        <v>-605.86</v>
      </c>
      <c r="P994" s="37" t="e">
        <f>#REF!-M994</f>
        <v>#REF!</v>
      </c>
      <c r="Q994" s="37" t="e">
        <f>#REF!-N994</f>
        <v>#REF!</v>
      </c>
      <c r="R994" s="17" t="str">
        <f t="shared" si="110"/>
        <v>03 1 01 78250310</v>
      </c>
    </row>
    <row r="995" spans="1:18" s="17" customFormat="1" ht="31.5">
      <c r="A995" s="14"/>
      <c r="B995" s="127" t="s">
        <v>495</v>
      </c>
      <c r="C995" s="109" t="s">
        <v>595</v>
      </c>
      <c r="D995" s="108" t="s">
        <v>317</v>
      </c>
      <c r="E995" s="108" t="s">
        <v>13</v>
      </c>
      <c r="F995" s="108" t="s">
        <v>620</v>
      </c>
      <c r="G995" s="108" t="s">
        <v>496</v>
      </c>
      <c r="H995" s="126"/>
      <c r="L995" s="37"/>
      <c r="M995" s="37"/>
      <c r="N995" s="37"/>
      <c r="O995" s="37"/>
      <c r="P995" s="37"/>
      <c r="Q995" s="37"/>
      <c r="R995" s="17" t="str">
        <f t="shared" si="110"/>
        <v>03 1 01 78250313</v>
      </c>
    </row>
    <row r="996" spans="1:18" s="17" customFormat="1" ht="31.5">
      <c r="A996" s="14"/>
      <c r="B996" s="149" t="s">
        <v>621</v>
      </c>
      <c r="C996" s="109" t="s">
        <v>595</v>
      </c>
      <c r="D996" s="108" t="s">
        <v>317</v>
      </c>
      <c r="E996" s="108" t="s">
        <v>13</v>
      </c>
      <c r="F996" s="108" t="s">
        <v>622</v>
      </c>
      <c r="G996" s="108" t="s">
        <v>9</v>
      </c>
      <c r="H996" s="126">
        <f>H997+H999</f>
        <v>0</v>
      </c>
      <c r="L996" s="37">
        <v>292267</v>
      </c>
      <c r="M996" s="37">
        <v>336033.4</v>
      </c>
      <c r="N996" s="37">
        <v>338036</v>
      </c>
      <c r="O996" s="37">
        <f>H996-L996</f>
        <v>-292267</v>
      </c>
      <c r="P996" s="37" t="e">
        <f>#REF!-M996</f>
        <v>#REF!</v>
      </c>
      <c r="Q996" s="37" t="e">
        <f>#REF!-N996</f>
        <v>#REF!</v>
      </c>
      <c r="R996" s="17" t="str">
        <f t="shared" si="110"/>
        <v>03 1 01 78260000</v>
      </c>
    </row>
    <row r="997" spans="1:18" s="17" customFormat="1" ht="31.5">
      <c r="A997" s="14"/>
      <c r="B997" s="125" t="s">
        <v>28</v>
      </c>
      <c r="C997" s="109" t="s">
        <v>595</v>
      </c>
      <c r="D997" s="108" t="s">
        <v>317</v>
      </c>
      <c r="E997" s="108" t="s">
        <v>13</v>
      </c>
      <c r="F997" s="108" t="s">
        <v>622</v>
      </c>
      <c r="G997" s="108" t="s">
        <v>29</v>
      </c>
      <c r="H997" s="126">
        <f>H998</f>
        <v>0</v>
      </c>
      <c r="L997" s="37">
        <v>4032.4</v>
      </c>
      <c r="M997" s="37">
        <v>4532.3999999999996</v>
      </c>
      <c r="N997" s="37">
        <v>4632.3999999999996</v>
      </c>
      <c r="O997" s="37">
        <f>H997-L997</f>
        <v>-4032.4</v>
      </c>
      <c r="P997" s="37" t="e">
        <f>#REF!-M997</f>
        <v>#REF!</v>
      </c>
      <c r="Q997" s="37" t="e">
        <f>#REF!-N997</f>
        <v>#REF!</v>
      </c>
      <c r="R997" s="17" t="str">
        <f t="shared" si="110"/>
        <v>03 1 01 78260240</v>
      </c>
    </row>
    <row r="998" spans="1:18" s="17" customFormat="1" ht="15.75">
      <c r="A998" s="14"/>
      <c r="B998" s="125" t="s">
        <v>30</v>
      </c>
      <c r="C998" s="109" t="s">
        <v>595</v>
      </c>
      <c r="D998" s="108" t="s">
        <v>317</v>
      </c>
      <c r="E998" s="108" t="s">
        <v>13</v>
      </c>
      <c r="F998" s="108" t="s">
        <v>622</v>
      </c>
      <c r="G998" s="108" t="s">
        <v>31</v>
      </c>
      <c r="H998" s="126"/>
      <c r="L998" s="37"/>
      <c r="M998" s="37"/>
      <c r="N998" s="37"/>
      <c r="O998" s="37"/>
      <c r="P998" s="37"/>
      <c r="Q998" s="37"/>
      <c r="R998" s="17" t="str">
        <f t="shared" si="110"/>
        <v>03 1 01 78260244</v>
      </c>
    </row>
    <row r="999" spans="1:18" s="17" customFormat="1" ht="31.5">
      <c r="A999" s="14"/>
      <c r="B999" s="132" t="s">
        <v>493</v>
      </c>
      <c r="C999" s="109" t="s">
        <v>595</v>
      </c>
      <c r="D999" s="108" t="s">
        <v>317</v>
      </c>
      <c r="E999" s="108" t="s">
        <v>13</v>
      </c>
      <c r="F999" s="108" t="s">
        <v>622</v>
      </c>
      <c r="G999" s="108" t="s">
        <v>494</v>
      </c>
      <c r="H999" s="126">
        <f>H1000</f>
        <v>0</v>
      </c>
      <c r="L999" s="37">
        <v>288234.59999999998</v>
      </c>
      <c r="M999" s="37">
        <v>331501</v>
      </c>
      <c r="N999" s="37">
        <v>333403.59999999998</v>
      </c>
      <c r="O999" s="37">
        <f>H999-L999</f>
        <v>-288234.59999999998</v>
      </c>
      <c r="P999" s="37" t="e">
        <f>#REF!-M999</f>
        <v>#REF!</v>
      </c>
      <c r="Q999" s="37" t="e">
        <f>#REF!-N999</f>
        <v>#REF!</v>
      </c>
      <c r="R999" s="17" t="str">
        <f t="shared" si="110"/>
        <v>03 1 01 78260310</v>
      </c>
    </row>
    <row r="1000" spans="1:18" s="17" customFormat="1" ht="31.5">
      <c r="A1000" s="14"/>
      <c r="B1000" s="127" t="s">
        <v>495</v>
      </c>
      <c r="C1000" s="109" t="s">
        <v>595</v>
      </c>
      <c r="D1000" s="108" t="s">
        <v>317</v>
      </c>
      <c r="E1000" s="108" t="s">
        <v>13</v>
      </c>
      <c r="F1000" s="108" t="s">
        <v>622</v>
      </c>
      <c r="G1000" s="108" t="s">
        <v>496</v>
      </c>
      <c r="H1000" s="126"/>
      <c r="L1000" s="37"/>
      <c r="M1000" s="37"/>
      <c r="N1000" s="37"/>
      <c r="O1000" s="37"/>
      <c r="P1000" s="37"/>
      <c r="Q1000" s="37"/>
      <c r="R1000" s="17" t="str">
        <f t="shared" si="110"/>
        <v>03 1 01 78260313</v>
      </c>
    </row>
    <row r="1001" spans="1:18" s="17" customFormat="1" ht="31.5">
      <c r="A1001" s="14" t="s">
        <v>598</v>
      </c>
      <c r="B1001" s="148" t="s">
        <v>623</v>
      </c>
      <c r="C1001" s="109" t="s">
        <v>595</v>
      </c>
      <c r="D1001" s="108" t="s">
        <v>317</v>
      </c>
      <c r="E1001" s="108" t="s">
        <v>13</v>
      </c>
      <c r="F1001" s="108" t="s">
        <v>624</v>
      </c>
      <c r="G1001" s="108" t="s">
        <v>9</v>
      </c>
      <c r="H1001" s="126">
        <f>H1002+H1017+H1007+H1012</f>
        <v>0</v>
      </c>
      <c r="L1001" s="36">
        <v>234979.36</v>
      </c>
      <c r="M1001" s="36">
        <v>245649.34000000003</v>
      </c>
      <c r="N1001" s="36">
        <v>261013.86</v>
      </c>
      <c r="O1001" s="36">
        <f>H1001-L1001</f>
        <v>-234979.36</v>
      </c>
      <c r="P1001" s="36" t="e">
        <f>#REF!-M1001</f>
        <v>#REF!</v>
      </c>
      <c r="Q1001" s="36" t="e">
        <f>#REF!-N1001</f>
        <v>#REF!</v>
      </c>
      <c r="R1001" s="17" t="str">
        <f t="shared" si="110"/>
        <v>03 1 02 00000000</v>
      </c>
    </row>
    <row r="1002" spans="1:18" s="17" customFormat="1" ht="94.5">
      <c r="A1002" s="14"/>
      <c r="B1002" s="149" t="s">
        <v>625</v>
      </c>
      <c r="C1002" s="109" t="s">
        <v>595</v>
      </c>
      <c r="D1002" s="108" t="s">
        <v>317</v>
      </c>
      <c r="E1002" s="108" t="s">
        <v>13</v>
      </c>
      <c r="F1002" s="108" t="s">
        <v>626</v>
      </c>
      <c r="G1002" s="108" t="s">
        <v>9</v>
      </c>
      <c r="H1002" s="126">
        <f>H1005+H1003</f>
        <v>0</v>
      </c>
      <c r="L1002" s="37">
        <v>188631.6</v>
      </c>
      <c r="M1002" s="37">
        <v>194738.30000000002</v>
      </c>
      <c r="N1002" s="37">
        <v>202950.5</v>
      </c>
      <c r="O1002" s="37">
        <f>H1002-L1002</f>
        <v>-188631.6</v>
      </c>
      <c r="P1002" s="37" t="e">
        <f>#REF!-M1002</f>
        <v>#REF!</v>
      </c>
      <c r="Q1002" s="37" t="e">
        <f>#REF!-N1002</f>
        <v>#REF!</v>
      </c>
      <c r="R1002" s="17" t="str">
        <f t="shared" si="110"/>
        <v>03 1 02 53800000</v>
      </c>
    </row>
    <row r="1003" spans="1:18" s="17" customFormat="1" ht="31.5">
      <c r="A1003" s="14"/>
      <c r="B1003" s="125" t="s">
        <v>28</v>
      </c>
      <c r="C1003" s="109" t="s">
        <v>595</v>
      </c>
      <c r="D1003" s="108" t="s">
        <v>317</v>
      </c>
      <c r="E1003" s="108" t="s">
        <v>13</v>
      </c>
      <c r="F1003" s="108" t="s">
        <v>626</v>
      </c>
      <c r="G1003" s="108" t="s">
        <v>29</v>
      </c>
      <c r="H1003" s="126">
        <f>H1004</f>
        <v>0</v>
      </c>
      <c r="L1003" s="37">
        <v>2787.66</v>
      </c>
      <c r="M1003" s="37">
        <v>2877.91</v>
      </c>
      <c r="N1003" s="37">
        <v>2999.27</v>
      </c>
      <c r="O1003" s="37">
        <f>H1003-L1003</f>
        <v>-2787.66</v>
      </c>
      <c r="P1003" s="37" t="e">
        <f>#REF!-M1003</f>
        <v>#REF!</v>
      </c>
      <c r="Q1003" s="37" t="e">
        <f>#REF!-N1003</f>
        <v>#REF!</v>
      </c>
      <c r="R1003" s="17" t="str">
        <f t="shared" si="110"/>
        <v>03 1 02 53800240</v>
      </c>
    </row>
    <row r="1004" spans="1:18" s="17" customFormat="1" ht="15.75">
      <c r="A1004" s="14"/>
      <c r="B1004" s="125" t="s">
        <v>30</v>
      </c>
      <c r="C1004" s="109" t="s">
        <v>595</v>
      </c>
      <c r="D1004" s="108" t="s">
        <v>317</v>
      </c>
      <c r="E1004" s="108" t="s">
        <v>13</v>
      </c>
      <c r="F1004" s="108" t="s">
        <v>626</v>
      </c>
      <c r="G1004" s="108" t="s">
        <v>31</v>
      </c>
      <c r="H1004" s="126"/>
      <c r="L1004" s="37"/>
      <c r="M1004" s="37"/>
      <c r="N1004" s="37"/>
      <c r="O1004" s="37"/>
      <c r="P1004" s="37"/>
      <c r="Q1004" s="37"/>
      <c r="R1004" s="17" t="str">
        <f t="shared" si="110"/>
        <v>03 1 02 53800244</v>
      </c>
    </row>
    <row r="1005" spans="1:18" s="17" customFormat="1" ht="31.5">
      <c r="A1005" s="14"/>
      <c r="B1005" s="132" t="s">
        <v>493</v>
      </c>
      <c r="C1005" s="109" t="s">
        <v>595</v>
      </c>
      <c r="D1005" s="108" t="s">
        <v>317</v>
      </c>
      <c r="E1005" s="108" t="s">
        <v>13</v>
      </c>
      <c r="F1005" s="108" t="s">
        <v>626</v>
      </c>
      <c r="G1005" s="108" t="s">
        <v>494</v>
      </c>
      <c r="H1005" s="126">
        <f>H1006</f>
        <v>0</v>
      </c>
      <c r="L1005" s="37">
        <v>185843.94</v>
      </c>
      <c r="M1005" s="37">
        <v>191860.39</v>
      </c>
      <c r="N1005" s="37">
        <v>199951.23</v>
      </c>
      <c r="O1005" s="37">
        <f>H1005-L1005</f>
        <v>-185843.94</v>
      </c>
      <c r="P1005" s="37" t="e">
        <f>#REF!-M1005</f>
        <v>#REF!</v>
      </c>
      <c r="Q1005" s="37" t="e">
        <f>#REF!-N1005</f>
        <v>#REF!</v>
      </c>
      <c r="R1005" s="17" t="str">
        <f t="shared" si="110"/>
        <v>03 1 02 53800310</v>
      </c>
    </row>
    <row r="1006" spans="1:18" s="17" customFormat="1" ht="31.5">
      <c r="A1006" s="14"/>
      <c r="B1006" s="127" t="s">
        <v>495</v>
      </c>
      <c r="C1006" s="109" t="s">
        <v>595</v>
      </c>
      <c r="D1006" s="108" t="s">
        <v>317</v>
      </c>
      <c r="E1006" s="108" t="s">
        <v>13</v>
      </c>
      <c r="F1006" s="108" t="s">
        <v>626</v>
      </c>
      <c r="G1006" s="108" t="s">
        <v>496</v>
      </c>
      <c r="H1006" s="126"/>
      <c r="L1006" s="37"/>
      <c r="M1006" s="37"/>
      <c r="N1006" s="37"/>
      <c r="O1006" s="37"/>
      <c r="P1006" s="37"/>
      <c r="Q1006" s="37"/>
      <c r="R1006" s="17" t="str">
        <f t="shared" si="110"/>
        <v>03 1 02 53800313</v>
      </c>
    </row>
    <row r="1007" spans="1:18" s="17" customFormat="1" ht="31.5">
      <c r="A1007" s="14"/>
      <c r="B1007" s="149" t="s">
        <v>627</v>
      </c>
      <c r="C1007" s="109" t="s">
        <v>595</v>
      </c>
      <c r="D1007" s="108" t="s">
        <v>317</v>
      </c>
      <c r="E1007" s="108" t="s">
        <v>13</v>
      </c>
      <c r="F1007" s="108" t="s">
        <v>628</v>
      </c>
      <c r="G1007" s="108" t="s">
        <v>9</v>
      </c>
      <c r="H1007" s="126">
        <f>H1008+H1010</f>
        <v>0</v>
      </c>
      <c r="L1007" s="37">
        <v>284.65000000000003</v>
      </c>
      <c r="M1007" s="37">
        <v>284.65000000000003</v>
      </c>
      <c r="N1007" s="37">
        <v>284.65000000000003</v>
      </c>
      <c r="O1007" s="37">
        <f>H1007-L1007</f>
        <v>-284.65000000000003</v>
      </c>
      <c r="P1007" s="37" t="e">
        <f>#REF!-M1007</f>
        <v>#REF!</v>
      </c>
      <c r="Q1007" s="37" t="e">
        <f>#REF!-N1007</f>
        <v>#REF!</v>
      </c>
      <c r="R1007" s="17" t="str">
        <f t="shared" si="110"/>
        <v>03 1 02 76260000</v>
      </c>
    </row>
    <row r="1008" spans="1:18" s="17" customFormat="1" ht="31.5">
      <c r="A1008" s="14"/>
      <c r="B1008" s="125" t="s">
        <v>28</v>
      </c>
      <c r="C1008" s="109" t="s">
        <v>595</v>
      </c>
      <c r="D1008" s="108" t="s">
        <v>317</v>
      </c>
      <c r="E1008" s="108" t="s">
        <v>13</v>
      </c>
      <c r="F1008" s="108" t="s">
        <v>628</v>
      </c>
      <c r="G1008" s="108" t="s">
        <v>29</v>
      </c>
      <c r="H1008" s="126">
        <f>H1009</f>
        <v>0</v>
      </c>
      <c r="L1008" s="37">
        <v>3.79</v>
      </c>
      <c r="M1008" s="37">
        <v>3.79</v>
      </c>
      <c r="N1008" s="37">
        <v>3.79</v>
      </c>
      <c r="O1008" s="37">
        <f>H1008-L1008</f>
        <v>-3.79</v>
      </c>
      <c r="P1008" s="37" t="e">
        <f>#REF!-M1008</f>
        <v>#REF!</v>
      </c>
      <c r="Q1008" s="37" t="e">
        <f>#REF!-N1008</f>
        <v>#REF!</v>
      </c>
      <c r="R1008" s="17" t="str">
        <f t="shared" si="110"/>
        <v>03 1 02 76260240</v>
      </c>
    </row>
    <row r="1009" spans="1:18" s="17" customFormat="1" ht="15.75">
      <c r="A1009" s="14"/>
      <c r="B1009" s="125" t="s">
        <v>30</v>
      </c>
      <c r="C1009" s="109" t="s">
        <v>595</v>
      </c>
      <c r="D1009" s="108" t="s">
        <v>317</v>
      </c>
      <c r="E1009" s="108" t="s">
        <v>13</v>
      </c>
      <c r="F1009" s="108" t="s">
        <v>628</v>
      </c>
      <c r="G1009" s="108" t="s">
        <v>31</v>
      </c>
      <c r="H1009" s="126"/>
      <c r="L1009" s="37"/>
      <c r="M1009" s="37"/>
      <c r="N1009" s="37"/>
      <c r="O1009" s="37"/>
      <c r="P1009" s="37"/>
      <c r="Q1009" s="37"/>
      <c r="R1009" s="17" t="str">
        <f t="shared" si="110"/>
        <v>03 1 02 76260244</v>
      </c>
    </row>
    <row r="1010" spans="1:18" s="17" customFormat="1" ht="31.5">
      <c r="A1010" s="14"/>
      <c r="B1010" s="132" t="s">
        <v>493</v>
      </c>
      <c r="C1010" s="109" t="s">
        <v>595</v>
      </c>
      <c r="D1010" s="108" t="s">
        <v>317</v>
      </c>
      <c r="E1010" s="108" t="s">
        <v>13</v>
      </c>
      <c r="F1010" s="108" t="s">
        <v>628</v>
      </c>
      <c r="G1010" s="108" t="s">
        <v>494</v>
      </c>
      <c r="H1010" s="126">
        <f>H1011</f>
        <v>0</v>
      </c>
      <c r="L1010" s="37">
        <v>280.86</v>
      </c>
      <c r="M1010" s="37">
        <v>280.86</v>
      </c>
      <c r="N1010" s="37">
        <v>280.86</v>
      </c>
      <c r="O1010" s="37">
        <f>H1010-L1010</f>
        <v>-280.86</v>
      </c>
      <c r="P1010" s="37" t="e">
        <f>#REF!-M1010</f>
        <v>#REF!</v>
      </c>
      <c r="Q1010" s="37" t="e">
        <f>#REF!-N1010</f>
        <v>#REF!</v>
      </c>
      <c r="R1010" s="17" t="str">
        <f t="shared" si="110"/>
        <v>03 1 02 76260310</v>
      </c>
    </row>
    <row r="1011" spans="1:18" s="17" customFormat="1" ht="31.5">
      <c r="A1011" s="14"/>
      <c r="B1011" s="127" t="s">
        <v>495</v>
      </c>
      <c r="C1011" s="109" t="s">
        <v>595</v>
      </c>
      <c r="D1011" s="108" t="s">
        <v>317</v>
      </c>
      <c r="E1011" s="108" t="s">
        <v>13</v>
      </c>
      <c r="F1011" s="108" t="s">
        <v>628</v>
      </c>
      <c r="G1011" s="108" t="s">
        <v>496</v>
      </c>
      <c r="H1011" s="126"/>
      <c r="L1011" s="37"/>
      <c r="M1011" s="37"/>
      <c r="N1011" s="37"/>
      <c r="O1011" s="37"/>
      <c r="P1011" s="37"/>
      <c r="Q1011" s="37"/>
      <c r="R1011" s="17" t="str">
        <f t="shared" si="110"/>
        <v>03 1 02 76260313</v>
      </c>
    </row>
    <row r="1012" spans="1:18" s="17" customFormat="1" ht="94.5">
      <c r="A1012" s="14"/>
      <c r="B1012" s="150" t="s">
        <v>629</v>
      </c>
      <c r="C1012" s="130" t="s">
        <v>595</v>
      </c>
      <c r="D1012" s="131" t="s">
        <v>317</v>
      </c>
      <c r="E1012" s="131" t="s">
        <v>13</v>
      </c>
      <c r="F1012" s="131" t="s">
        <v>630</v>
      </c>
      <c r="G1012" s="131" t="s">
        <v>9</v>
      </c>
      <c r="H1012" s="126">
        <f>H1015+H1013</f>
        <v>0</v>
      </c>
      <c r="L1012" s="36">
        <v>2933.28</v>
      </c>
      <c r="M1012" s="36">
        <v>2933.28</v>
      </c>
      <c r="N1012" s="36">
        <v>2933.28</v>
      </c>
      <c r="O1012" s="36">
        <f>H1012-L1012</f>
        <v>-2933.28</v>
      </c>
      <c r="P1012" s="36" t="e">
        <f>#REF!-M1012</f>
        <v>#REF!</v>
      </c>
      <c r="Q1012" s="36" t="e">
        <f>#REF!-N1012</f>
        <v>#REF!</v>
      </c>
      <c r="R1012" s="17" t="str">
        <f t="shared" si="110"/>
        <v>03 1 02 77190000</v>
      </c>
    </row>
    <row r="1013" spans="1:18" s="17" customFormat="1" ht="31.5">
      <c r="A1013" s="14"/>
      <c r="B1013" s="125" t="s">
        <v>28</v>
      </c>
      <c r="C1013" s="130" t="s">
        <v>595</v>
      </c>
      <c r="D1013" s="131" t="s">
        <v>317</v>
      </c>
      <c r="E1013" s="131" t="s">
        <v>13</v>
      </c>
      <c r="F1013" s="131" t="s">
        <v>630</v>
      </c>
      <c r="G1013" s="131" t="s">
        <v>29</v>
      </c>
      <c r="H1013" s="126">
        <f>H1014</f>
        <v>0</v>
      </c>
      <c r="L1013" s="37">
        <v>39.07</v>
      </c>
      <c r="M1013" s="37">
        <v>39.07</v>
      </c>
      <c r="N1013" s="37">
        <v>39.07</v>
      </c>
      <c r="O1013" s="37">
        <f>H1013-L1013</f>
        <v>-39.07</v>
      </c>
      <c r="P1013" s="37" t="e">
        <f>#REF!-M1013</f>
        <v>#REF!</v>
      </c>
      <c r="Q1013" s="37" t="e">
        <f>#REF!-N1013</f>
        <v>#REF!</v>
      </c>
      <c r="R1013" s="17" t="str">
        <f t="shared" si="110"/>
        <v>03 1 02 77190240</v>
      </c>
    </row>
    <row r="1014" spans="1:18" s="17" customFormat="1" ht="15.75">
      <c r="A1014" s="14"/>
      <c r="B1014" s="125" t="s">
        <v>30</v>
      </c>
      <c r="C1014" s="130" t="s">
        <v>595</v>
      </c>
      <c r="D1014" s="131" t="s">
        <v>317</v>
      </c>
      <c r="E1014" s="131" t="s">
        <v>13</v>
      </c>
      <c r="F1014" s="131" t="s">
        <v>630</v>
      </c>
      <c r="G1014" s="131" t="s">
        <v>31</v>
      </c>
      <c r="H1014" s="126"/>
      <c r="L1014" s="37"/>
      <c r="M1014" s="37"/>
      <c r="N1014" s="37"/>
      <c r="O1014" s="37"/>
      <c r="P1014" s="37"/>
      <c r="Q1014" s="37"/>
      <c r="R1014" s="17" t="str">
        <f t="shared" si="110"/>
        <v>03 1 02 77190244</v>
      </c>
    </row>
    <row r="1015" spans="1:18" s="17" customFormat="1" ht="31.5">
      <c r="A1015" s="14"/>
      <c r="B1015" s="140" t="s">
        <v>493</v>
      </c>
      <c r="C1015" s="130" t="s">
        <v>595</v>
      </c>
      <c r="D1015" s="131" t="s">
        <v>317</v>
      </c>
      <c r="E1015" s="131" t="s">
        <v>13</v>
      </c>
      <c r="F1015" s="131" t="s">
        <v>630</v>
      </c>
      <c r="G1015" s="131" t="s">
        <v>494</v>
      </c>
      <c r="H1015" s="126">
        <f>H1016</f>
        <v>0</v>
      </c>
      <c r="L1015" s="37">
        <v>2894.21</v>
      </c>
      <c r="M1015" s="37">
        <v>2894.21</v>
      </c>
      <c r="N1015" s="37">
        <v>2894.21</v>
      </c>
      <c r="O1015" s="37">
        <f>H1015-L1015</f>
        <v>-2894.21</v>
      </c>
      <c r="P1015" s="37" t="e">
        <f>#REF!-M1015</f>
        <v>#REF!</v>
      </c>
      <c r="Q1015" s="37" t="e">
        <f>#REF!-N1015</f>
        <v>#REF!</v>
      </c>
      <c r="R1015" s="17" t="str">
        <f t="shared" si="110"/>
        <v>03 1 02 77190310</v>
      </c>
    </row>
    <row r="1016" spans="1:18" s="17" customFormat="1" ht="31.5">
      <c r="A1016" s="14"/>
      <c r="B1016" s="127" t="s">
        <v>495</v>
      </c>
      <c r="C1016" s="130" t="s">
        <v>595</v>
      </c>
      <c r="D1016" s="131" t="s">
        <v>317</v>
      </c>
      <c r="E1016" s="131" t="s">
        <v>13</v>
      </c>
      <c r="F1016" s="131" t="s">
        <v>630</v>
      </c>
      <c r="G1016" s="131" t="s">
        <v>496</v>
      </c>
      <c r="H1016" s="126"/>
      <c r="L1016" s="37"/>
      <c r="M1016" s="37"/>
      <c r="N1016" s="37"/>
      <c r="O1016" s="37"/>
      <c r="P1016" s="37"/>
      <c r="Q1016" s="37"/>
      <c r="R1016" s="17" t="str">
        <f t="shared" si="110"/>
        <v>03 1 02 77190313</v>
      </c>
    </row>
    <row r="1017" spans="1:18" s="17" customFormat="1" ht="47.25">
      <c r="A1017" s="14"/>
      <c r="B1017" s="150" t="s">
        <v>631</v>
      </c>
      <c r="C1017" s="109" t="s">
        <v>595</v>
      </c>
      <c r="D1017" s="108" t="s">
        <v>317</v>
      </c>
      <c r="E1017" s="108" t="s">
        <v>13</v>
      </c>
      <c r="F1017" s="108" t="s">
        <v>632</v>
      </c>
      <c r="G1017" s="108" t="s">
        <v>9</v>
      </c>
      <c r="H1017" s="126">
        <f>H1018+H1020</f>
        <v>0</v>
      </c>
      <c r="L1017" s="37">
        <v>43129.83</v>
      </c>
      <c r="M1017" s="37">
        <v>47693.11</v>
      </c>
      <c r="N1017" s="37">
        <v>54845.43</v>
      </c>
      <c r="O1017" s="37">
        <f>H1017-L1017</f>
        <v>-43129.83</v>
      </c>
      <c r="P1017" s="37" t="e">
        <f>#REF!-M1017</f>
        <v>#REF!</v>
      </c>
      <c r="Q1017" s="37" t="e">
        <f>#REF!-N1017</f>
        <v>#REF!</v>
      </c>
      <c r="R1017" s="17" t="str">
        <f t="shared" si="110"/>
        <v>03 1 02 78280000</v>
      </c>
    </row>
    <row r="1018" spans="1:18" s="17" customFormat="1" ht="31.5">
      <c r="A1018" s="14"/>
      <c r="B1018" s="125" t="s">
        <v>28</v>
      </c>
      <c r="C1018" s="109" t="s">
        <v>595</v>
      </c>
      <c r="D1018" s="108" t="s">
        <v>317</v>
      </c>
      <c r="E1018" s="108" t="s">
        <v>13</v>
      </c>
      <c r="F1018" s="108" t="s">
        <v>632</v>
      </c>
      <c r="G1018" s="108" t="s">
        <v>29</v>
      </c>
      <c r="H1018" s="126">
        <f>H1019</f>
        <v>0</v>
      </c>
      <c r="L1018" s="37">
        <v>516.66999999999996</v>
      </c>
      <c r="M1018" s="37">
        <v>582.41</v>
      </c>
      <c r="N1018" s="37">
        <v>662.53</v>
      </c>
      <c r="O1018" s="37">
        <f>H1018-L1018</f>
        <v>-516.66999999999996</v>
      </c>
      <c r="P1018" s="37" t="e">
        <f>#REF!-M1018</f>
        <v>#REF!</v>
      </c>
      <c r="Q1018" s="37" t="e">
        <f>#REF!-N1018</f>
        <v>#REF!</v>
      </c>
      <c r="R1018" s="17" t="str">
        <f t="shared" si="110"/>
        <v>03 1 02 78280240</v>
      </c>
    </row>
    <row r="1019" spans="1:18" s="17" customFormat="1" ht="15.75">
      <c r="A1019" s="14"/>
      <c r="B1019" s="125" t="s">
        <v>30</v>
      </c>
      <c r="C1019" s="109" t="s">
        <v>595</v>
      </c>
      <c r="D1019" s="108" t="s">
        <v>317</v>
      </c>
      <c r="E1019" s="108" t="s">
        <v>13</v>
      </c>
      <c r="F1019" s="108" t="s">
        <v>632</v>
      </c>
      <c r="G1019" s="108" t="s">
        <v>31</v>
      </c>
      <c r="H1019" s="126"/>
      <c r="L1019" s="37"/>
      <c r="M1019" s="37"/>
      <c r="N1019" s="37"/>
      <c r="O1019" s="37"/>
      <c r="P1019" s="37"/>
      <c r="Q1019" s="37"/>
      <c r="R1019" s="17" t="str">
        <f t="shared" si="110"/>
        <v>03 1 02 78280244</v>
      </c>
    </row>
    <row r="1020" spans="1:18" s="17" customFormat="1" ht="31.5">
      <c r="A1020" s="14"/>
      <c r="B1020" s="132" t="s">
        <v>493</v>
      </c>
      <c r="C1020" s="109" t="s">
        <v>595</v>
      </c>
      <c r="D1020" s="108" t="s">
        <v>317</v>
      </c>
      <c r="E1020" s="108" t="s">
        <v>13</v>
      </c>
      <c r="F1020" s="108" t="s">
        <v>632</v>
      </c>
      <c r="G1020" s="108" t="s">
        <v>494</v>
      </c>
      <c r="H1020" s="126">
        <f>H1021</f>
        <v>0</v>
      </c>
      <c r="L1020" s="37">
        <v>42613.16</v>
      </c>
      <c r="M1020" s="37">
        <v>47110.7</v>
      </c>
      <c r="N1020" s="37">
        <v>54182.9</v>
      </c>
      <c r="O1020" s="37">
        <f>H1020-L1020</f>
        <v>-42613.16</v>
      </c>
      <c r="P1020" s="37" t="e">
        <f>#REF!-M1020</f>
        <v>#REF!</v>
      </c>
      <c r="Q1020" s="37" t="e">
        <f>#REF!-N1020</f>
        <v>#REF!</v>
      </c>
      <c r="R1020" s="17" t="str">
        <f t="shared" si="110"/>
        <v>03 1 02 78280310</v>
      </c>
    </row>
    <row r="1021" spans="1:18" s="17" customFormat="1" ht="31.5">
      <c r="A1021" s="14"/>
      <c r="B1021" s="127" t="s">
        <v>495</v>
      </c>
      <c r="C1021" s="109" t="s">
        <v>595</v>
      </c>
      <c r="D1021" s="108" t="s">
        <v>317</v>
      </c>
      <c r="E1021" s="108" t="s">
        <v>13</v>
      </c>
      <c r="F1021" s="108" t="s">
        <v>632</v>
      </c>
      <c r="G1021" s="108" t="s">
        <v>496</v>
      </c>
      <c r="H1021" s="126"/>
      <c r="L1021" s="37"/>
      <c r="M1021" s="37"/>
      <c r="N1021" s="37"/>
      <c r="O1021" s="37"/>
      <c r="P1021" s="37"/>
      <c r="Q1021" s="37"/>
      <c r="R1021" s="17" t="str">
        <f t="shared" si="110"/>
        <v>03 1 02 78280313</v>
      </c>
    </row>
    <row r="1022" spans="1:18" s="17" customFormat="1" ht="63">
      <c r="A1022" s="14"/>
      <c r="B1022" s="132" t="s">
        <v>387</v>
      </c>
      <c r="C1022" s="109" t="s">
        <v>595</v>
      </c>
      <c r="D1022" s="108" t="s">
        <v>317</v>
      </c>
      <c r="E1022" s="108" t="s">
        <v>13</v>
      </c>
      <c r="F1022" s="108" t="s">
        <v>388</v>
      </c>
      <c r="G1022" s="108" t="s">
        <v>9</v>
      </c>
      <c r="H1022" s="126">
        <f>H1023+H1060+H1064+H1068</f>
        <v>0</v>
      </c>
      <c r="L1022" s="37">
        <v>20720.739999999998</v>
      </c>
      <c r="M1022" s="37">
        <v>20786.739999999998</v>
      </c>
      <c r="N1022" s="37">
        <v>50833.09</v>
      </c>
      <c r="O1022" s="37">
        <f>H1022-L1022</f>
        <v>-20720.739999999998</v>
      </c>
      <c r="P1022" s="37" t="e">
        <f>#REF!-M1022</f>
        <v>#REF!</v>
      </c>
      <c r="Q1022" s="37" t="e">
        <f>#REF!-N1022</f>
        <v>#REF!</v>
      </c>
      <c r="R1022" s="17" t="str">
        <f t="shared" si="110"/>
        <v>03 2 00 00000000</v>
      </c>
    </row>
    <row r="1023" spans="1:18" s="17" customFormat="1" ht="47.25">
      <c r="A1023" s="14"/>
      <c r="B1023" s="148" t="s">
        <v>633</v>
      </c>
      <c r="C1023" s="109" t="s">
        <v>595</v>
      </c>
      <c r="D1023" s="108" t="s">
        <v>317</v>
      </c>
      <c r="E1023" s="108" t="s">
        <v>13</v>
      </c>
      <c r="F1023" s="108" t="s">
        <v>634</v>
      </c>
      <c r="G1023" s="108" t="s">
        <v>9</v>
      </c>
      <c r="H1023" s="126">
        <f>H1024+H1027+H1033+H1036+H1039+H1042+H1048+H1051+H1054+H1057+H1030+H1045</f>
        <v>0</v>
      </c>
      <c r="L1023" s="37">
        <v>20539.739999999998</v>
      </c>
      <c r="M1023" s="37">
        <v>20605.739999999998</v>
      </c>
      <c r="N1023" s="37">
        <v>50652.09</v>
      </c>
      <c r="O1023" s="37">
        <f>H1023-L1023</f>
        <v>-20539.739999999998</v>
      </c>
      <c r="P1023" s="37" t="e">
        <f>#REF!-M1023</f>
        <v>#REF!</v>
      </c>
      <c r="Q1023" s="37" t="e">
        <f>#REF!-N1023</f>
        <v>#REF!</v>
      </c>
      <c r="R1023" s="17" t="str">
        <f t="shared" si="110"/>
        <v>03 2 01 00000000</v>
      </c>
    </row>
    <row r="1024" spans="1:18" s="17" customFormat="1" ht="63">
      <c r="A1024" s="14"/>
      <c r="B1024" s="149" t="s">
        <v>635</v>
      </c>
      <c r="C1024" s="109" t="s">
        <v>595</v>
      </c>
      <c r="D1024" s="108" t="s">
        <v>317</v>
      </c>
      <c r="E1024" s="108" t="s">
        <v>13</v>
      </c>
      <c r="F1024" s="108" t="s">
        <v>636</v>
      </c>
      <c r="G1024" s="108" t="s">
        <v>9</v>
      </c>
      <c r="H1024" s="126">
        <f>H1025</f>
        <v>0</v>
      </c>
      <c r="L1024" s="37">
        <v>6350</v>
      </c>
      <c r="M1024" s="37">
        <v>6350</v>
      </c>
      <c r="N1024" s="37">
        <v>6350</v>
      </c>
      <c r="O1024" s="37">
        <f>H1024-L1024</f>
        <v>-6350</v>
      </c>
      <c r="P1024" s="37" t="e">
        <f>#REF!-M1024</f>
        <v>#REF!</v>
      </c>
      <c r="Q1024" s="37" t="e">
        <f>#REF!-N1024</f>
        <v>#REF!</v>
      </c>
      <c r="R1024" s="17" t="str">
        <f t="shared" si="110"/>
        <v>03 2 01 80030000</v>
      </c>
    </row>
    <row r="1025" spans="1:18" s="17" customFormat="1" ht="31.5">
      <c r="A1025" s="14"/>
      <c r="B1025" s="132" t="s">
        <v>493</v>
      </c>
      <c r="C1025" s="109" t="s">
        <v>595</v>
      </c>
      <c r="D1025" s="108" t="s">
        <v>317</v>
      </c>
      <c r="E1025" s="108" t="s">
        <v>13</v>
      </c>
      <c r="F1025" s="108" t="s">
        <v>636</v>
      </c>
      <c r="G1025" s="108" t="s">
        <v>494</v>
      </c>
      <c r="H1025" s="126">
        <f>H1026</f>
        <v>0</v>
      </c>
      <c r="L1025" s="37">
        <v>6350</v>
      </c>
      <c r="M1025" s="37">
        <v>6350</v>
      </c>
      <c r="N1025" s="37">
        <v>6350</v>
      </c>
      <c r="O1025" s="37">
        <f>H1025-L1025</f>
        <v>-6350</v>
      </c>
      <c r="P1025" s="37" t="e">
        <f>#REF!-M1025</f>
        <v>#REF!</v>
      </c>
      <c r="Q1025" s="37" t="e">
        <f>#REF!-N1025</f>
        <v>#REF!</v>
      </c>
      <c r="R1025" s="17" t="str">
        <f t="shared" si="110"/>
        <v>03 2 01 80030310</v>
      </c>
    </row>
    <row r="1026" spans="1:18" s="17" customFormat="1" ht="31.5">
      <c r="A1026" s="14"/>
      <c r="B1026" s="127" t="s">
        <v>495</v>
      </c>
      <c r="C1026" s="109" t="s">
        <v>595</v>
      </c>
      <c r="D1026" s="108" t="s">
        <v>317</v>
      </c>
      <c r="E1026" s="108" t="s">
        <v>13</v>
      </c>
      <c r="F1026" s="108" t="s">
        <v>636</v>
      </c>
      <c r="G1026" s="108" t="s">
        <v>496</v>
      </c>
      <c r="H1026" s="126"/>
      <c r="L1026" s="37"/>
      <c r="M1026" s="37"/>
      <c r="N1026" s="37"/>
      <c r="O1026" s="37"/>
      <c r="P1026" s="37"/>
      <c r="Q1026" s="37"/>
    </row>
    <row r="1027" spans="1:18" s="17" customFormat="1" ht="63">
      <c r="A1027" s="14"/>
      <c r="B1027" s="149" t="s">
        <v>637</v>
      </c>
      <c r="C1027" s="109" t="s">
        <v>595</v>
      </c>
      <c r="D1027" s="108" t="s">
        <v>317</v>
      </c>
      <c r="E1027" s="108" t="s">
        <v>13</v>
      </c>
      <c r="F1027" s="108" t="s">
        <v>638</v>
      </c>
      <c r="G1027" s="108" t="s">
        <v>9</v>
      </c>
      <c r="H1027" s="126">
        <f>H1028</f>
        <v>0</v>
      </c>
      <c r="L1027" s="37">
        <v>694.28</v>
      </c>
      <c r="M1027" s="37">
        <v>694.28</v>
      </c>
      <c r="N1027" s="37">
        <v>694.28</v>
      </c>
      <c r="O1027" s="37">
        <f>H1027-L1027</f>
        <v>-694.28</v>
      </c>
      <c r="P1027" s="37" t="e">
        <f>#REF!-M1027</f>
        <v>#REF!</v>
      </c>
      <c r="Q1027" s="37" t="e">
        <f>#REF!-N1027</f>
        <v>#REF!</v>
      </c>
      <c r="R1027" s="17" t="str">
        <f t="shared" si="110"/>
        <v>03 2 01 80070000</v>
      </c>
    </row>
    <row r="1028" spans="1:18" s="17" customFormat="1" ht="31.5">
      <c r="A1028" s="14"/>
      <c r="B1028" s="132" t="s">
        <v>493</v>
      </c>
      <c r="C1028" s="109" t="s">
        <v>595</v>
      </c>
      <c r="D1028" s="108" t="s">
        <v>317</v>
      </c>
      <c r="E1028" s="108" t="s">
        <v>13</v>
      </c>
      <c r="F1028" s="108" t="s">
        <v>638</v>
      </c>
      <c r="G1028" s="108" t="s">
        <v>494</v>
      </c>
      <c r="H1028" s="126">
        <f>H1029</f>
        <v>0</v>
      </c>
      <c r="L1028" s="37">
        <v>694.28</v>
      </c>
      <c r="M1028" s="37">
        <v>694.28</v>
      </c>
      <c r="N1028" s="37">
        <v>694.28</v>
      </c>
      <c r="O1028" s="37">
        <f>H1028-L1028</f>
        <v>-694.28</v>
      </c>
      <c r="P1028" s="37" t="e">
        <f>#REF!-M1028</f>
        <v>#REF!</v>
      </c>
      <c r="Q1028" s="37" t="e">
        <f>#REF!-N1028</f>
        <v>#REF!</v>
      </c>
      <c r="R1028" s="17" t="str">
        <f t="shared" si="110"/>
        <v>03 2 01 80070310</v>
      </c>
    </row>
    <row r="1029" spans="1:18" s="17" customFormat="1" ht="31.5">
      <c r="A1029" s="14"/>
      <c r="B1029" s="127" t="s">
        <v>495</v>
      </c>
      <c r="C1029" s="109" t="s">
        <v>595</v>
      </c>
      <c r="D1029" s="108" t="s">
        <v>317</v>
      </c>
      <c r="E1029" s="108" t="s">
        <v>13</v>
      </c>
      <c r="F1029" s="108" t="s">
        <v>638</v>
      </c>
      <c r="G1029" s="108" t="s">
        <v>496</v>
      </c>
      <c r="H1029" s="126"/>
      <c r="L1029" s="37"/>
      <c r="M1029" s="37"/>
      <c r="N1029" s="37"/>
      <c r="O1029" s="37"/>
      <c r="P1029" s="37"/>
      <c r="Q1029" s="37"/>
      <c r="R1029" s="17" t="str">
        <f t="shared" si="110"/>
        <v>03 2 01 80070313</v>
      </c>
    </row>
    <row r="1030" spans="1:18" s="17" customFormat="1" ht="31.5">
      <c r="A1030" s="14"/>
      <c r="B1030" s="149" t="s">
        <v>639</v>
      </c>
      <c r="C1030" s="109" t="s">
        <v>595</v>
      </c>
      <c r="D1030" s="108" t="s">
        <v>317</v>
      </c>
      <c r="E1030" s="108" t="s">
        <v>13</v>
      </c>
      <c r="F1030" s="108" t="s">
        <v>640</v>
      </c>
      <c r="G1030" s="108" t="s">
        <v>9</v>
      </c>
      <c r="H1030" s="126">
        <f>H1031</f>
        <v>0</v>
      </c>
      <c r="L1030" s="37">
        <v>1664</v>
      </c>
      <c r="M1030" s="37">
        <v>1730</v>
      </c>
      <c r="N1030" s="37">
        <v>1944.35</v>
      </c>
      <c r="O1030" s="37">
        <f>H1030-L1030</f>
        <v>-1664</v>
      </c>
      <c r="P1030" s="37" t="e">
        <f>#REF!-M1030</f>
        <v>#REF!</v>
      </c>
      <c r="Q1030" s="37" t="e">
        <f>#REF!-N1030</f>
        <v>#REF!</v>
      </c>
      <c r="R1030" s="17" t="str">
        <f t="shared" si="110"/>
        <v>03 2 01 80080000</v>
      </c>
    </row>
    <row r="1031" spans="1:18" s="17" customFormat="1" ht="31.5">
      <c r="A1031" s="14"/>
      <c r="B1031" s="132" t="s">
        <v>493</v>
      </c>
      <c r="C1031" s="109" t="s">
        <v>595</v>
      </c>
      <c r="D1031" s="108" t="s">
        <v>317</v>
      </c>
      <c r="E1031" s="108" t="s">
        <v>13</v>
      </c>
      <c r="F1031" s="108" t="s">
        <v>640</v>
      </c>
      <c r="G1031" s="108" t="s">
        <v>494</v>
      </c>
      <c r="H1031" s="126">
        <f>H1032</f>
        <v>0</v>
      </c>
      <c r="L1031" s="37">
        <v>1664</v>
      </c>
      <c r="M1031" s="37">
        <v>1730</v>
      </c>
      <c r="N1031" s="37">
        <v>1944.35</v>
      </c>
      <c r="O1031" s="37">
        <f>H1031-L1031</f>
        <v>-1664</v>
      </c>
      <c r="P1031" s="37" t="e">
        <f>#REF!-M1031</f>
        <v>#REF!</v>
      </c>
      <c r="Q1031" s="37" t="e">
        <f>#REF!-N1031</f>
        <v>#REF!</v>
      </c>
      <c r="R1031" s="17" t="str">
        <f t="shared" si="110"/>
        <v>03 2 01 80080310</v>
      </c>
    </row>
    <row r="1032" spans="1:18" s="17" customFormat="1" ht="31.5">
      <c r="A1032" s="14"/>
      <c r="B1032" s="127" t="s">
        <v>495</v>
      </c>
      <c r="C1032" s="109" t="s">
        <v>595</v>
      </c>
      <c r="D1032" s="108" t="s">
        <v>317</v>
      </c>
      <c r="E1032" s="108" t="s">
        <v>13</v>
      </c>
      <c r="F1032" s="108" t="s">
        <v>640</v>
      </c>
      <c r="G1032" s="108" t="s">
        <v>496</v>
      </c>
      <c r="H1032" s="126"/>
      <c r="L1032" s="37"/>
      <c r="M1032" s="37"/>
      <c r="N1032" s="37"/>
      <c r="O1032" s="37"/>
      <c r="P1032" s="37"/>
      <c r="Q1032" s="37"/>
    </row>
    <row r="1033" spans="1:18" s="17" customFormat="1" ht="31.5">
      <c r="A1033" s="14"/>
      <c r="B1033" s="149" t="s">
        <v>641</v>
      </c>
      <c r="C1033" s="109" t="s">
        <v>595</v>
      </c>
      <c r="D1033" s="108" t="s">
        <v>317</v>
      </c>
      <c r="E1033" s="108" t="s">
        <v>13</v>
      </c>
      <c r="F1033" s="108" t="s">
        <v>642</v>
      </c>
      <c r="G1033" s="108" t="s">
        <v>9</v>
      </c>
      <c r="H1033" s="126">
        <f>H1034</f>
        <v>0</v>
      </c>
      <c r="L1033" s="37">
        <v>5718</v>
      </c>
      <c r="M1033" s="37">
        <v>5718</v>
      </c>
      <c r="N1033" s="37">
        <v>5718</v>
      </c>
      <c r="O1033" s="37">
        <f>H1033-L1033</f>
        <v>-5718</v>
      </c>
      <c r="P1033" s="37" t="e">
        <f>#REF!-M1033</f>
        <v>#REF!</v>
      </c>
      <c r="Q1033" s="37" t="e">
        <f>#REF!-N1033</f>
        <v>#REF!</v>
      </c>
      <c r="R1033" s="17" t="str">
        <f t="shared" si="110"/>
        <v>03 2 01 80100000</v>
      </c>
    </row>
    <row r="1034" spans="1:18" s="17" customFormat="1" ht="31.5">
      <c r="A1034" s="14"/>
      <c r="B1034" s="132" t="s">
        <v>493</v>
      </c>
      <c r="C1034" s="109" t="s">
        <v>595</v>
      </c>
      <c r="D1034" s="108" t="s">
        <v>317</v>
      </c>
      <c r="E1034" s="108" t="s">
        <v>13</v>
      </c>
      <c r="F1034" s="108" t="s">
        <v>642</v>
      </c>
      <c r="G1034" s="108" t="s">
        <v>494</v>
      </c>
      <c r="H1034" s="126">
        <f>H1035</f>
        <v>0</v>
      </c>
      <c r="L1034" s="37">
        <v>5718</v>
      </c>
      <c r="M1034" s="37">
        <v>5718</v>
      </c>
      <c r="N1034" s="37">
        <v>5718</v>
      </c>
      <c r="O1034" s="37">
        <f>H1034-L1034</f>
        <v>-5718</v>
      </c>
      <c r="P1034" s="37" t="e">
        <f>#REF!-M1034</f>
        <v>#REF!</v>
      </c>
      <c r="Q1034" s="37" t="e">
        <f>#REF!-N1034</f>
        <v>#REF!</v>
      </c>
      <c r="R1034" s="17" t="str">
        <f t="shared" si="110"/>
        <v>03 2 01 80100310</v>
      </c>
    </row>
    <row r="1035" spans="1:18" s="17" customFormat="1" ht="31.5">
      <c r="A1035" s="14"/>
      <c r="B1035" s="127" t="s">
        <v>495</v>
      </c>
      <c r="C1035" s="109" t="s">
        <v>595</v>
      </c>
      <c r="D1035" s="108" t="s">
        <v>317</v>
      </c>
      <c r="E1035" s="108" t="s">
        <v>13</v>
      </c>
      <c r="F1035" s="108" t="s">
        <v>642</v>
      </c>
      <c r="G1035" s="108" t="s">
        <v>496</v>
      </c>
      <c r="H1035" s="126"/>
      <c r="L1035" s="37"/>
      <c r="M1035" s="37"/>
      <c r="N1035" s="37"/>
      <c r="O1035" s="37"/>
      <c r="P1035" s="37"/>
      <c r="Q1035" s="37"/>
      <c r="R1035" s="17" t="str">
        <f t="shared" si="110"/>
        <v>03 2 01 80100313</v>
      </c>
    </row>
    <row r="1036" spans="1:18" s="17" customFormat="1" ht="47.25">
      <c r="A1036" s="14"/>
      <c r="B1036" s="149" t="s">
        <v>643</v>
      </c>
      <c r="C1036" s="109" t="s">
        <v>595</v>
      </c>
      <c r="D1036" s="108" t="s">
        <v>317</v>
      </c>
      <c r="E1036" s="108" t="s">
        <v>13</v>
      </c>
      <c r="F1036" s="108" t="s">
        <v>644</v>
      </c>
      <c r="G1036" s="108" t="s">
        <v>9</v>
      </c>
      <c r="H1036" s="126">
        <f>H1037</f>
        <v>0</v>
      </c>
      <c r="L1036" s="37">
        <v>1080</v>
      </c>
      <c r="M1036" s="37">
        <v>1080</v>
      </c>
      <c r="N1036" s="37">
        <v>1080</v>
      </c>
      <c r="O1036" s="37">
        <f>H1036-L1036</f>
        <v>-1080</v>
      </c>
      <c r="P1036" s="37" t="e">
        <f>#REF!-M1036</f>
        <v>#REF!</v>
      </c>
      <c r="Q1036" s="37" t="e">
        <f>#REF!-N1036</f>
        <v>#REF!</v>
      </c>
      <c r="R1036" s="17" t="str">
        <f t="shared" si="110"/>
        <v>03 2 01 80110000</v>
      </c>
    </row>
    <row r="1037" spans="1:18" s="17" customFormat="1" ht="31.5">
      <c r="A1037" s="14"/>
      <c r="B1037" s="132" t="s">
        <v>493</v>
      </c>
      <c r="C1037" s="109" t="s">
        <v>595</v>
      </c>
      <c r="D1037" s="108" t="s">
        <v>317</v>
      </c>
      <c r="E1037" s="108" t="s">
        <v>13</v>
      </c>
      <c r="F1037" s="108" t="s">
        <v>644</v>
      </c>
      <c r="G1037" s="108" t="s">
        <v>494</v>
      </c>
      <c r="H1037" s="126">
        <f>H1038</f>
        <v>0</v>
      </c>
      <c r="L1037" s="37">
        <v>1080</v>
      </c>
      <c r="M1037" s="37">
        <v>1080</v>
      </c>
      <c r="N1037" s="37">
        <v>1080</v>
      </c>
      <c r="O1037" s="37">
        <f>H1037-L1037</f>
        <v>-1080</v>
      </c>
      <c r="P1037" s="37" t="e">
        <f>#REF!-M1037</f>
        <v>#REF!</v>
      </c>
      <c r="Q1037" s="37" t="e">
        <f>#REF!-N1037</f>
        <v>#REF!</v>
      </c>
      <c r="R1037" s="17" t="str">
        <f t="shared" si="110"/>
        <v>03 2 01 80110310</v>
      </c>
    </row>
    <row r="1038" spans="1:18" s="17" customFormat="1" ht="31.5">
      <c r="A1038" s="14"/>
      <c r="B1038" s="127" t="s">
        <v>495</v>
      </c>
      <c r="C1038" s="109" t="s">
        <v>595</v>
      </c>
      <c r="D1038" s="108" t="s">
        <v>317</v>
      </c>
      <c r="E1038" s="108" t="s">
        <v>13</v>
      </c>
      <c r="F1038" s="108" t="s">
        <v>644</v>
      </c>
      <c r="G1038" s="108" t="s">
        <v>496</v>
      </c>
      <c r="H1038" s="126"/>
      <c r="L1038" s="37"/>
      <c r="M1038" s="37"/>
      <c r="N1038" s="37"/>
      <c r="O1038" s="37"/>
      <c r="P1038" s="37"/>
      <c r="Q1038" s="37"/>
      <c r="R1038" s="17" t="str">
        <f t="shared" si="110"/>
        <v>03 2 01 80110313</v>
      </c>
    </row>
    <row r="1039" spans="1:18" s="17" customFormat="1" ht="157.5">
      <c r="A1039" s="14"/>
      <c r="B1039" s="149" t="s">
        <v>645</v>
      </c>
      <c r="C1039" s="109" t="s">
        <v>595</v>
      </c>
      <c r="D1039" s="108" t="s">
        <v>317</v>
      </c>
      <c r="E1039" s="108" t="s">
        <v>13</v>
      </c>
      <c r="F1039" s="108" t="s">
        <v>646</v>
      </c>
      <c r="G1039" s="108" t="s">
        <v>9</v>
      </c>
      <c r="H1039" s="126">
        <f>H1040</f>
        <v>0</v>
      </c>
      <c r="L1039" s="37">
        <v>1025.46</v>
      </c>
      <c r="M1039" s="37">
        <v>1025.46</v>
      </c>
      <c r="N1039" s="37">
        <v>1025.46</v>
      </c>
      <c r="O1039" s="37">
        <f>H1039-L1039</f>
        <v>-1025.46</v>
      </c>
      <c r="P1039" s="37" t="e">
        <f>#REF!-M1039</f>
        <v>#REF!</v>
      </c>
      <c r="Q1039" s="37" t="e">
        <f>#REF!-N1039</f>
        <v>#REF!</v>
      </c>
      <c r="R1039" s="17" t="str">
        <f t="shared" si="110"/>
        <v>03 2 01 80120000</v>
      </c>
    </row>
    <row r="1040" spans="1:18" s="17" customFormat="1" ht="31.5">
      <c r="A1040" s="14"/>
      <c r="B1040" s="132" t="s">
        <v>493</v>
      </c>
      <c r="C1040" s="109" t="s">
        <v>595</v>
      </c>
      <c r="D1040" s="108" t="s">
        <v>317</v>
      </c>
      <c r="E1040" s="108" t="s">
        <v>13</v>
      </c>
      <c r="F1040" s="108" t="s">
        <v>646</v>
      </c>
      <c r="G1040" s="108" t="s">
        <v>494</v>
      </c>
      <c r="H1040" s="126">
        <f>H1041</f>
        <v>0</v>
      </c>
      <c r="L1040" s="37">
        <v>1025.46</v>
      </c>
      <c r="M1040" s="37">
        <v>1025.46</v>
      </c>
      <c r="N1040" s="37">
        <v>1025.46</v>
      </c>
      <c r="O1040" s="37">
        <f>H1040-L1040</f>
        <v>-1025.46</v>
      </c>
      <c r="P1040" s="37" t="e">
        <f>#REF!-M1040</f>
        <v>#REF!</v>
      </c>
      <c r="Q1040" s="37" t="e">
        <f>#REF!-N1040</f>
        <v>#REF!</v>
      </c>
      <c r="R1040" s="17" t="str">
        <f t="shared" ref="R1040:R1133" si="111">CONCATENATE(F1040,G1040)</f>
        <v>03 2 01 80120310</v>
      </c>
    </row>
    <row r="1041" spans="1:18" s="17" customFormat="1" ht="31.5">
      <c r="A1041" s="14"/>
      <c r="B1041" s="127" t="s">
        <v>495</v>
      </c>
      <c r="C1041" s="109" t="s">
        <v>595</v>
      </c>
      <c r="D1041" s="108" t="s">
        <v>317</v>
      </c>
      <c r="E1041" s="108" t="s">
        <v>13</v>
      </c>
      <c r="F1041" s="108" t="s">
        <v>646</v>
      </c>
      <c r="G1041" s="108" t="s">
        <v>496</v>
      </c>
      <c r="H1041" s="126"/>
      <c r="L1041" s="37"/>
      <c r="M1041" s="37"/>
      <c r="N1041" s="37"/>
      <c r="O1041" s="37"/>
      <c r="P1041" s="37"/>
      <c r="Q1041" s="37"/>
      <c r="R1041" s="17" t="str">
        <f t="shared" si="111"/>
        <v>03 2 01 80120313</v>
      </c>
    </row>
    <row r="1042" spans="1:18" s="17" customFormat="1" ht="47.25">
      <c r="A1042" s="14"/>
      <c r="B1042" s="149" t="s">
        <v>647</v>
      </c>
      <c r="C1042" s="109" t="s">
        <v>595</v>
      </c>
      <c r="D1042" s="108" t="s">
        <v>317</v>
      </c>
      <c r="E1042" s="108" t="s">
        <v>13</v>
      </c>
      <c r="F1042" s="108" t="s">
        <v>648</v>
      </c>
      <c r="G1042" s="108" t="s">
        <v>9</v>
      </c>
      <c r="H1042" s="126">
        <f>H1043</f>
        <v>0</v>
      </c>
      <c r="L1042" s="37">
        <v>714</v>
      </c>
      <c r="M1042" s="37">
        <v>714</v>
      </c>
      <c r="N1042" s="37">
        <v>714</v>
      </c>
      <c r="O1042" s="37">
        <f>H1042-L1042</f>
        <v>-714</v>
      </c>
      <c r="P1042" s="37" t="e">
        <f>#REF!-M1042</f>
        <v>#REF!</v>
      </c>
      <c r="Q1042" s="37" t="e">
        <f>#REF!-N1042</f>
        <v>#REF!</v>
      </c>
      <c r="R1042" s="17" t="str">
        <f t="shared" si="111"/>
        <v>03 2 01 80140000</v>
      </c>
    </row>
    <row r="1043" spans="1:18" s="17" customFormat="1" ht="31.5">
      <c r="A1043" s="14"/>
      <c r="B1043" s="132" t="s">
        <v>493</v>
      </c>
      <c r="C1043" s="109" t="s">
        <v>595</v>
      </c>
      <c r="D1043" s="108" t="s">
        <v>317</v>
      </c>
      <c r="E1043" s="108" t="s">
        <v>13</v>
      </c>
      <c r="F1043" s="108" t="s">
        <v>648</v>
      </c>
      <c r="G1043" s="108" t="s">
        <v>494</v>
      </c>
      <c r="H1043" s="126">
        <f>H1044</f>
        <v>0</v>
      </c>
      <c r="L1043" s="37">
        <v>714</v>
      </c>
      <c r="M1043" s="37">
        <v>714</v>
      </c>
      <c r="N1043" s="37">
        <v>714</v>
      </c>
      <c r="O1043" s="37">
        <f>H1043-L1043</f>
        <v>-714</v>
      </c>
      <c r="P1043" s="37" t="e">
        <f>#REF!-M1043</f>
        <v>#REF!</v>
      </c>
      <c r="Q1043" s="37" t="e">
        <f>#REF!-N1043</f>
        <v>#REF!</v>
      </c>
      <c r="R1043" s="17" t="str">
        <f t="shared" si="111"/>
        <v>03 2 01 80140310</v>
      </c>
    </row>
    <row r="1044" spans="1:18" s="17" customFormat="1" ht="31.5">
      <c r="A1044" s="14"/>
      <c r="B1044" s="127" t="s">
        <v>495</v>
      </c>
      <c r="C1044" s="109" t="s">
        <v>595</v>
      </c>
      <c r="D1044" s="108" t="s">
        <v>317</v>
      </c>
      <c r="E1044" s="108" t="s">
        <v>13</v>
      </c>
      <c r="F1044" s="108" t="s">
        <v>648</v>
      </c>
      <c r="G1044" s="108" t="s">
        <v>496</v>
      </c>
      <c r="H1044" s="126"/>
      <c r="L1044" s="37"/>
      <c r="M1044" s="37"/>
      <c r="N1044" s="37"/>
      <c r="O1044" s="37"/>
      <c r="P1044" s="37"/>
      <c r="Q1044" s="37"/>
    </row>
    <row r="1045" spans="1:18" s="17" customFormat="1" ht="78.75">
      <c r="A1045" s="14"/>
      <c r="B1045" s="149" t="s">
        <v>649</v>
      </c>
      <c r="C1045" s="109" t="s">
        <v>595</v>
      </c>
      <c r="D1045" s="108" t="s">
        <v>317</v>
      </c>
      <c r="E1045" s="108" t="s">
        <v>13</v>
      </c>
      <c r="F1045" s="108" t="s">
        <v>650</v>
      </c>
      <c r="G1045" s="108" t="s">
        <v>9</v>
      </c>
      <c r="H1045" s="126">
        <f>H1046</f>
        <v>0</v>
      </c>
      <c r="L1045" s="37">
        <v>300</v>
      </c>
      <c r="M1045" s="37">
        <v>300</v>
      </c>
      <c r="N1045" s="37">
        <v>300</v>
      </c>
      <c r="O1045" s="37">
        <f>H1045-L1045</f>
        <v>-300</v>
      </c>
      <c r="P1045" s="37" t="e">
        <f>#REF!-M1045</f>
        <v>#REF!</v>
      </c>
      <c r="Q1045" s="37" t="e">
        <f>#REF!-N1045</f>
        <v>#REF!</v>
      </c>
      <c r="R1045" s="17" t="str">
        <f t="shared" si="111"/>
        <v>03 2 01 80150000</v>
      </c>
    </row>
    <row r="1046" spans="1:18" s="17" customFormat="1" ht="31.5">
      <c r="A1046" s="14"/>
      <c r="B1046" s="132" t="s">
        <v>493</v>
      </c>
      <c r="C1046" s="109" t="s">
        <v>595</v>
      </c>
      <c r="D1046" s="108" t="s">
        <v>317</v>
      </c>
      <c r="E1046" s="108" t="s">
        <v>13</v>
      </c>
      <c r="F1046" s="108" t="s">
        <v>650</v>
      </c>
      <c r="G1046" s="108" t="s">
        <v>494</v>
      </c>
      <c r="H1046" s="126">
        <f>H1047</f>
        <v>0</v>
      </c>
      <c r="L1046" s="37">
        <v>300</v>
      </c>
      <c r="M1046" s="37">
        <v>300</v>
      </c>
      <c r="N1046" s="37">
        <v>300</v>
      </c>
      <c r="O1046" s="37">
        <f>H1046-L1046</f>
        <v>-300</v>
      </c>
      <c r="P1046" s="37" t="e">
        <f>#REF!-M1046</f>
        <v>#REF!</v>
      </c>
      <c r="Q1046" s="37" t="e">
        <f>#REF!-N1046</f>
        <v>#REF!</v>
      </c>
      <c r="R1046" s="17" t="str">
        <f t="shared" si="111"/>
        <v>03 2 01 80150310</v>
      </c>
    </row>
    <row r="1047" spans="1:18" s="17" customFormat="1" ht="31.5">
      <c r="A1047" s="14"/>
      <c r="B1047" s="127" t="s">
        <v>495</v>
      </c>
      <c r="C1047" s="109" t="s">
        <v>595</v>
      </c>
      <c r="D1047" s="108" t="s">
        <v>317</v>
      </c>
      <c r="E1047" s="108" t="s">
        <v>13</v>
      </c>
      <c r="F1047" s="108" t="s">
        <v>650</v>
      </c>
      <c r="G1047" s="108" t="s">
        <v>496</v>
      </c>
      <c r="H1047" s="126"/>
      <c r="L1047" s="37"/>
      <c r="M1047" s="37"/>
      <c r="N1047" s="37"/>
      <c r="O1047" s="37"/>
      <c r="P1047" s="37"/>
      <c r="Q1047" s="37"/>
    </row>
    <row r="1048" spans="1:18" s="17" customFormat="1" ht="31.5">
      <c r="A1048" s="14"/>
      <c r="B1048" s="149" t="s">
        <v>651</v>
      </c>
      <c r="C1048" s="109" t="s">
        <v>595</v>
      </c>
      <c r="D1048" s="108" t="s">
        <v>317</v>
      </c>
      <c r="E1048" s="108" t="s">
        <v>13</v>
      </c>
      <c r="F1048" s="108" t="s">
        <v>652</v>
      </c>
      <c r="G1048" s="108" t="s">
        <v>9</v>
      </c>
      <c r="H1048" s="126">
        <f>H1049</f>
        <v>0</v>
      </c>
      <c r="L1048" s="37">
        <v>1020</v>
      </c>
      <c r="M1048" s="37">
        <v>1020</v>
      </c>
      <c r="N1048" s="37">
        <v>1020</v>
      </c>
      <c r="O1048" s="37">
        <f>H1048-L1048</f>
        <v>-1020</v>
      </c>
      <c r="P1048" s="37" t="e">
        <f>#REF!-M1048</f>
        <v>#REF!</v>
      </c>
      <c r="Q1048" s="37" t="e">
        <f>#REF!-N1048</f>
        <v>#REF!</v>
      </c>
      <c r="R1048" s="17" t="str">
        <f t="shared" si="111"/>
        <v>03 2 01 80160000</v>
      </c>
    </row>
    <row r="1049" spans="1:18" s="17" customFormat="1" ht="31.5">
      <c r="A1049" s="14"/>
      <c r="B1049" s="132" t="s">
        <v>493</v>
      </c>
      <c r="C1049" s="109" t="s">
        <v>595</v>
      </c>
      <c r="D1049" s="108" t="s">
        <v>317</v>
      </c>
      <c r="E1049" s="108" t="s">
        <v>13</v>
      </c>
      <c r="F1049" s="108" t="s">
        <v>652</v>
      </c>
      <c r="G1049" s="108" t="s">
        <v>494</v>
      </c>
      <c r="H1049" s="126">
        <f>H1050</f>
        <v>0</v>
      </c>
      <c r="L1049" s="37">
        <v>1020</v>
      </c>
      <c r="M1049" s="37">
        <v>1020</v>
      </c>
      <c r="N1049" s="37">
        <v>1020</v>
      </c>
      <c r="O1049" s="37">
        <f>H1049-L1049</f>
        <v>-1020</v>
      </c>
      <c r="P1049" s="37" t="e">
        <f>#REF!-M1049</f>
        <v>#REF!</v>
      </c>
      <c r="Q1049" s="37" t="e">
        <f>#REF!-N1049</f>
        <v>#REF!</v>
      </c>
      <c r="R1049" s="17" t="str">
        <f t="shared" si="111"/>
        <v>03 2 01 80160310</v>
      </c>
    </row>
    <row r="1050" spans="1:18" s="17" customFormat="1" ht="31.5">
      <c r="A1050" s="14"/>
      <c r="B1050" s="127" t="s">
        <v>495</v>
      </c>
      <c r="C1050" s="109" t="s">
        <v>595</v>
      </c>
      <c r="D1050" s="108" t="s">
        <v>317</v>
      </c>
      <c r="E1050" s="108" t="s">
        <v>13</v>
      </c>
      <c r="F1050" s="108" t="s">
        <v>652</v>
      </c>
      <c r="G1050" s="108" t="s">
        <v>496</v>
      </c>
      <c r="H1050" s="126"/>
      <c r="L1050" s="37"/>
      <c r="M1050" s="37"/>
      <c r="N1050" s="37"/>
      <c r="O1050" s="37"/>
      <c r="P1050" s="37"/>
      <c r="Q1050" s="37"/>
    </row>
    <row r="1051" spans="1:18" s="4" customFormat="1" ht="31.5">
      <c r="A1051" s="1"/>
      <c r="B1051" s="149" t="s">
        <v>653</v>
      </c>
      <c r="C1051" s="109" t="s">
        <v>595</v>
      </c>
      <c r="D1051" s="108" t="s">
        <v>317</v>
      </c>
      <c r="E1051" s="108" t="s">
        <v>13</v>
      </c>
      <c r="F1051" s="108" t="s">
        <v>654</v>
      </c>
      <c r="G1051" s="108" t="s">
        <v>9</v>
      </c>
      <c r="H1051" s="126">
        <f>H1052</f>
        <v>0</v>
      </c>
      <c r="L1051" s="37">
        <v>1854</v>
      </c>
      <c r="M1051" s="37">
        <v>1854</v>
      </c>
      <c r="N1051" s="37">
        <v>1854</v>
      </c>
      <c r="O1051" s="37">
        <f>H1051-L1051</f>
        <v>-1854</v>
      </c>
      <c r="P1051" s="37" t="e">
        <f>#REF!-M1051</f>
        <v>#REF!</v>
      </c>
      <c r="Q1051" s="37" t="e">
        <f>#REF!-N1051</f>
        <v>#REF!</v>
      </c>
      <c r="R1051" s="17" t="str">
        <f t="shared" si="111"/>
        <v>03 2 01 80180000</v>
      </c>
    </row>
    <row r="1052" spans="1:18" s="4" customFormat="1" ht="31.5">
      <c r="A1052" s="1"/>
      <c r="B1052" s="132" t="s">
        <v>493</v>
      </c>
      <c r="C1052" s="109" t="s">
        <v>595</v>
      </c>
      <c r="D1052" s="108" t="s">
        <v>317</v>
      </c>
      <c r="E1052" s="108" t="s">
        <v>13</v>
      </c>
      <c r="F1052" s="108" t="s">
        <v>654</v>
      </c>
      <c r="G1052" s="108" t="s">
        <v>494</v>
      </c>
      <c r="H1052" s="126">
        <f>H1053</f>
        <v>0</v>
      </c>
      <c r="L1052" s="37">
        <v>1854</v>
      </c>
      <c r="M1052" s="37">
        <v>1854</v>
      </c>
      <c r="N1052" s="37">
        <v>1854</v>
      </c>
      <c r="O1052" s="37">
        <f>H1052-L1052</f>
        <v>-1854</v>
      </c>
      <c r="P1052" s="37" t="e">
        <f>#REF!-M1052</f>
        <v>#REF!</v>
      </c>
      <c r="Q1052" s="37" t="e">
        <f>#REF!-N1052</f>
        <v>#REF!</v>
      </c>
      <c r="R1052" s="17" t="str">
        <f t="shared" si="111"/>
        <v>03 2 01 80180310</v>
      </c>
    </row>
    <row r="1053" spans="1:18" s="4" customFormat="1" ht="31.5">
      <c r="A1053" s="1"/>
      <c r="B1053" s="127" t="s">
        <v>495</v>
      </c>
      <c r="C1053" s="109" t="s">
        <v>595</v>
      </c>
      <c r="D1053" s="108" t="s">
        <v>317</v>
      </c>
      <c r="E1053" s="108" t="s">
        <v>13</v>
      </c>
      <c r="F1053" s="108" t="s">
        <v>654</v>
      </c>
      <c r="G1053" s="108" t="s">
        <v>496</v>
      </c>
      <c r="H1053" s="126"/>
      <c r="L1053" s="37"/>
      <c r="M1053" s="37"/>
      <c r="N1053" s="37"/>
      <c r="O1053" s="37"/>
      <c r="P1053" s="37"/>
      <c r="Q1053" s="37"/>
      <c r="R1053" s="17"/>
    </row>
    <row r="1054" spans="1:18" s="4" customFormat="1" ht="31.5">
      <c r="A1054" s="1"/>
      <c r="B1054" s="149" t="s">
        <v>655</v>
      </c>
      <c r="C1054" s="109" t="s">
        <v>595</v>
      </c>
      <c r="D1054" s="108" t="s">
        <v>317</v>
      </c>
      <c r="E1054" s="108" t="s">
        <v>13</v>
      </c>
      <c r="F1054" s="108" t="s">
        <v>656</v>
      </c>
      <c r="G1054" s="108" t="s">
        <v>9</v>
      </c>
      <c r="H1054" s="126">
        <f>H1055</f>
        <v>0</v>
      </c>
      <c r="L1054" s="37">
        <v>20</v>
      </c>
      <c r="M1054" s="37">
        <v>20</v>
      </c>
      <c r="N1054" s="37">
        <v>20</v>
      </c>
      <c r="O1054" s="37">
        <f>H1054-L1054</f>
        <v>-20</v>
      </c>
      <c r="P1054" s="37" t="e">
        <f>#REF!-M1054</f>
        <v>#REF!</v>
      </c>
      <c r="Q1054" s="37" t="e">
        <f>#REF!-N1054</f>
        <v>#REF!</v>
      </c>
      <c r="R1054" s="17" t="str">
        <f t="shared" si="111"/>
        <v>03 2 01 80190000</v>
      </c>
    </row>
    <row r="1055" spans="1:18" s="4" customFormat="1" ht="31.5">
      <c r="A1055" s="1"/>
      <c r="B1055" s="132" t="s">
        <v>493</v>
      </c>
      <c r="C1055" s="109" t="s">
        <v>595</v>
      </c>
      <c r="D1055" s="108" t="s">
        <v>317</v>
      </c>
      <c r="E1055" s="108" t="s">
        <v>13</v>
      </c>
      <c r="F1055" s="108" t="s">
        <v>656</v>
      </c>
      <c r="G1055" s="108" t="s">
        <v>494</v>
      </c>
      <c r="H1055" s="126">
        <f>H1056</f>
        <v>0</v>
      </c>
      <c r="L1055" s="37">
        <v>20</v>
      </c>
      <c r="M1055" s="37">
        <v>20</v>
      </c>
      <c r="N1055" s="37">
        <v>20</v>
      </c>
      <c r="O1055" s="37">
        <f>H1055-L1055</f>
        <v>-20</v>
      </c>
      <c r="P1055" s="37" t="e">
        <f>#REF!-M1055</f>
        <v>#REF!</v>
      </c>
      <c r="Q1055" s="37" t="e">
        <f>#REF!-N1055</f>
        <v>#REF!</v>
      </c>
      <c r="R1055" s="17" t="str">
        <f t="shared" si="111"/>
        <v>03 2 01 80190310</v>
      </c>
    </row>
    <row r="1056" spans="1:18" s="4" customFormat="1" ht="31.5">
      <c r="A1056" s="1"/>
      <c r="B1056" s="127" t="s">
        <v>495</v>
      </c>
      <c r="C1056" s="109" t="s">
        <v>595</v>
      </c>
      <c r="D1056" s="108" t="s">
        <v>317</v>
      </c>
      <c r="E1056" s="108" t="s">
        <v>13</v>
      </c>
      <c r="F1056" s="108" t="s">
        <v>656</v>
      </c>
      <c r="G1056" s="108" t="s">
        <v>496</v>
      </c>
      <c r="H1056" s="126"/>
      <c r="L1056" s="37"/>
      <c r="M1056" s="37"/>
      <c r="N1056" s="37"/>
      <c r="O1056" s="37"/>
      <c r="P1056" s="37"/>
      <c r="Q1056" s="37"/>
      <c r="R1056" s="17"/>
    </row>
    <row r="1057" spans="1:18" s="4" customFormat="1" ht="78.75">
      <c r="A1057" s="1"/>
      <c r="B1057" s="149" t="s">
        <v>657</v>
      </c>
      <c r="C1057" s="109" t="s">
        <v>595</v>
      </c>
      <c r="D1057" s="108" t="s">
        <v>317</v>
      </c>
      <c r="E1057" s="108" t="s">
        <v>13</v>
      </c>
      <c r="F1057" s="108" t="s">
        <v>658</v>
      </c>
      <c r="G1057" s="108" t="s">
        <v>9</v>
      </c>
      <c r="H1057" s="126">
        <f>H1058</f>
        <v>0</v>
      </c>
      <c r="L1057" s="39">
        <v>100</v>
      </c>
      <c r="M1057" s="39">
        <v>100</v>
      </c>
      <c r="N1057" s="39">
        <v>100</v>
      </c>
      <c r="O1057" s="39">
        <f>H1057-L1057</f>
        <v>-100</v>
      </c>
      <c r="P1057" s="39" t="e">
        <f>#REF!-M1057</f>
        <v>#REF!</v>
      </c>
      <c r="Q1057" s="39" t="e">
        <f>#REF!-N1057</f>
        <v>#REF!</v>
      </c>
      <c r="R1057" s="17" t="str">
        <f t="shared" si="111"/>
        <v>03 2 01 80210000</v>
      </c>
    </row>
    <row r="1058" spans="1:18" s="4" customFormat="1" ht="31.5">
      <c r="A1058" s="1"/>
      <c r="B1058" s="132" t="s">
        <v>493</v>
      </c>
      <c r="C1058" s="109" t="s">
        <v>595</v>
      </c>
      <c r="D1058" s="108" t="s">
        <v>317</v>
      </c>
      <c r="E1058" s="108" t="s">
        <v>13</v>
      </c>
      <c r="F1058" s="108" t="s">
        <v>658</v>
      </c>
      <c r="G1058" s="108" t="s">
        <v>494</v>
      </c>
      <c r="H1058" s="126">
        <f>H1059</f>
        <v>0</v>
      </c>
      <c r="L1058" s="37">
        <v>100</v>
      </c>
      <c r="M1058" s="37">
        <v>100</v>
      </c>
      <c r="N1058" s="37">
        <v>100</v>
      </c>
      <c r="O1058" s="37">
        <f>H1058-L1058</f>
        <v>-100</v>
      </c>
      <c r="P1058" s="37" t="e">
        <f>#REF!-M1058</f>
        <v>#REF!</v>
      </c>
      <c r="Q1058" s="37" t="e">
        <f>#REF!-N1058</f>
        <v>#REF!</v>
      </c>
      <c r="R1058" s="17" t="str">
        <f t="shared" si="111"/>
        <v>03 2 01 80210310</v>
      </c>
    </row>
    <row r="1059" spans="1:18" s="4" customFormat="1" ht="31.5">
      <c r="A1059" s="1"/>
      <c r="B1059" s="127" t="s">
        <v>495</v>
      </c>
      <c r="C1059" s="109" t="s">
        <v>595</v>
      </c>
      <c r="D1059" s="108" t="s">
        <v>317</v>
      </c>
      <c r="E1059" s="108" t="s">
        <v>13</v>
      </c>
      <c r="F1059" s="108" t="s">
        <v>658</v>
      </c>
      <c r="G1059" s="108" t="s">
        <v>496</v>
      </c>
      <c r="H1059" s="126"/>
      <c r="L1059" s="37"/>
      <c r="M1059" s="37"/>
      <c r="N1059" s="37"/>
      <c r="O1059" s="37"/>
      <c r="P1059" s="37"/>
      <c r="Q1059" s="37"/>
      <c r="R1059" s="17"/>
    </row>
    <row r="1060" spans="1:18" s="4" customFormat="1" ht="31.5">
      <c r="A1060" s="1"/>
      <c r="B1060" s="149" t="s">
        <v>659</v>
      </c>
      <c r="C1060" s="109" t="s">
        <v>595</v>
      </c>
      <c r="D1060" s="108" t="s">
        <v>317</v>
      </c>
      <c r="E1060" s="108" t="s">
        <v>13</v>
      </c>
      <c r="F1060" s="108" t="s">
        <v>660</v>
      </c>
      <c r="G1060" s="108" t="s">
        <v>9</v>
      </c>
      <c r="H1060" s="126">
        <f>H1061</f>
        <v>0</v>
      </c>
      <c r="L1060" s="39">
        <v>81</v>
      </c>
      <c r="M1060" s="39">
        <v>81</v>
      </c>
      <c r="N1060" s="39">
        <v>81</v>
      </c>
      <c r="O1060" s="39">
        <f>H1060-L1060</f>
        <v>-81</v>
      </c>
      <c r="P1060" s="39" t="e">
        <f>#REF!-M1060</f>
        <v>#REF!</v>
      </c>
      <c r="Q1060" s="39" t="e">
        <f>#REF!-N1060</f>
        <v>#REF!</v>
      </c>
      <c r="R1060" s="17" t="str">
        <f t="shared" si="111"/>
        <v>03 2 05 00000000</v>
      </c>
    </row>
    <row r="1061" spans="1:18" s="4" customFormat="1" ht="31.5">
      <c r="A1061" s="1"/>
      <c r="B1061" s="135" t="s">
        <v>661</v>
      </c>
      <c r="C1061" s="109" t="s">
        <v>595</v>
      </c>
      <c r="D1061" s="108" t="s">
        <v>317</v>
      </c>
      <c r="E1061" s="108" t="s">
        <v>13</v>
      </c>
      <c r="F1061" s="108" t="s">
        <v>662</v>
      </c>
      <c r="G1061" s="108" t="s">
        <v>9</v>
      </c>
      <c r="H1061" s="126">
        <f>SUM(H1062:H1062)</f>
        <v>0</v>
      </c>
      <c r="L1061" s="39">
        <v>81</v>
      </c>
      <c r="M1061" s="39">
        <v>81</v>
      </c>
      <c r="N1061" s="39">
        <v>81</v>
      </c>
      <c r="O1061" s="39">
        <f>H1061-L1061</f>
        <v>-81</v>
      </c>
      <c r="P1061" s="39" t="e">
        <f>#REF!-M1061</f>
        <v>#REF!</v>
      </c>
      <c r="Q1061" s="39" t="e">
        <f>#REF!-N1061</f>
        <v>#REF!</v>
      </c>
      <c r="R1061" s="17" t="str">
        <f t="shared" si="111"/>
        <v>03 2 05 20500000</v>
      </c>
    </row>
    <row r="1062" spans="1:18" s="4" customFormat="1" ht="31.5">
      <c r="A1062" s="1"/>
      <c r="B1062" s="132" t="s">
        <v>327</v>
      </c>
      <c r="C1062" s="109" t="s">
        <v>595</v>
      </c>
      <c r="D1062" s="108" t="s">
        <v>317</v>
      </c>
      <c r="E1062" s="108" t="s">
        <v>13</v>
      </c>
      <c r="F1062" s="108" t="s">
        <v>662</v>
      </c>
      <c r="G1062" s="108" t="s">
        <v>328</v>
      </c>
      <c r="H1062" s="126">
        <f>H1063</f>
        <v>0</v>
      </c>
      <c r="L1062" s="37">
        <v>81</v>
      </c>
      <c r="M1062" s="37">
        <v>81</v>
      </c>
      <c r="N1062" s="37">
        <v>81</v>
      </c>
      <c r="O1062" s="37">
        <f>H1062-L1062</f>
        <v>-81</v>
      </c>
      <c r="P1062" s="37" t="e">
        <f>#REF!-M1062</f>
        <v>#REF!</v>
      </c>
      <c r="Q1062" s="37" t="e">
        <f>#REF!-N1062</f>
        <v>#REF!</v>
      </c>
      <c r="R1062" s="17" t="str">
        <f t="shared" si="111"/>
        <v>03 2 05 20500320</v>
      </c>
    </row>
    <row r="1063" spans="1:18" s="41" customFormat="1" ht="31.5">
      <c r="A1063" s="40"/>
      <c r="B1063" s="127" t="s">
        <v>501</v>
      </c>
      <c r="C1063" s="109" t="s">
        <v>595</v>
      </c>
      <c r="D1063" s="108" t="s">
        <v>317</v>
      </c>
      <c r="E1063" s="108" t="s">
        <v>13</v>
      </c>
      <c r="F1063" s="108" t="s">
        <v>662</v>
      </c>
      <c r="G1063" s="108" t="s">
        <v>502</v>
      </c>
      <c r="H1063" s="126"/>
      <c r="L1063" s="38"/>
      <c r="M1063" s="38"/>
      <c r="N1063" s="38"/>
      <c r="O1063" s="38"/>
      <c r="P1063" s="38"/>
      <c r="Q1063" s="38"/>
      <c r="R1063" s="24"/>
    </row>
    <row r="1064" spans="1:18" s="4" customFormat="1" ht="31.5">
      <c r="A1064" s="1"/>
      <c r="B1064" s="149" t="s">
        <v>663</v>
      </c>
      <c r="C1064" s="109" t="s">
        <v>595</v>
      </c>
      <c r="D1064" s="108" t="s">
        <v>317</v>
      </c>
      <c r="E1064" s="108" t="s">
        <v>13</v>
      </c>
      <c r="F1064" s="108" t="s">
        <v>664</v>
      </c>
      <c r="G1064" s="108" t="s">
        <v>9</v>
      </c>
      <c r="H1064" s="126">
        <f>H1065</f>
        <v>0</v>
      </c>
      <c r="L1064" s="39">
        <v>25</v>
      </c>
      <c r="M1064" s="39">
        <v>25</v>
      </c>
      <c r="N1064" s="39">
        <v>25</v>
      </c>
      <c r="O1064" s="39">
        <f>H1064-L1064</f>
        <v>-25</v>
      </c>
      <c r="P1064" s="39" t="e">
        <f>#REF!-M1064</f>
        <v>#REF!</v>
      </c>
      <c r="Q1064" s="39" t="e">
        <f>#REF!-N1064</f>
        <v>#REF!</v>
      </c>
      <c r="R1064" s="17" t="str">
        <f t="shared" si="111"/>
        <v>03 2 06 00000000</v>
      </c>
    </row>
    <row r="1065" spans="1:18" s="4" customFormat="1" ht="63">
      <c r="A1065" s="1"/>
      <c r="B1065" s="135" t="s">
        <v>665</v>
      </c>
      <c r="C1065" s="109" t="s">
        <v>595</v>
      </c>
      <c r="D1065" s="108" t="s">
        <v>317</v>
      </c>
      <c r="E1065" s="108" t="s">
        <v>13</v>
      </c>
      <c r="F1065" s="108" t="s">
        <v>666</v>
      </c>
      <c r="G1065" s="108" t="s">
        <v>9</v>
      </c>
      <c r="H1065" s="126">
        <f>H1066</f>
        <v>0</v>
      </c>
      <c r="L1065" s="39">
        <v>25</v>
      </c>
      <c r="M1065" s="39">
        <v>25</v>
      </c>
      <c r="N1065" s="39">
        <v>25</v>
      </c>
      <c r="O1065" s="39">
        <f>H1065-L1065</f>
        <v>-25</v>
      </c>
      <c r="P1065" s="39" t="e">
        <f>#REF!-M1065</f>
        <v>#REF!</v>
      </c>
      <c r="Q1065" s="39" t="e">
        <f>#REF!-N1065</f>
        <v>#REF!</v>
      </c>
      <c r="R1065" s="17" t="str">
        <f t="shared" si="111"/>
        <v>03 2 06 20520000</v>
      </c>
    </row>
    <row r="1066" spans="1:18" s="4" customFormat="1" ht="31.5">
      <c r="A1066" s="1"/>
      <c r="B1066" s="125" t="s">
        <v>28</v>
      </c>
      <c r="C1066" s="109" t="s">
        <v>595</v>
      </c>
      <c r="D1066" s="108" t="s">
        <v>317</v>
      </c>
      <c r="E1066" s="108" t="s">
        <v>13</v>
      </c>
      <c r="F1066" s="108" t="s">
        <v>666</v>
      </c>
      <c r="G1066" s="108" t="s">
        <v>29</v>
      </c>
      <c r="H1066" s="126">
        <f>H1067</f>
        <v>0</v>
      </c>
      <c r="L1066" s="37">
        <v>25</v>
      </c>
      <c r="M1066" s="37">
        <v>25</v>
      </c>
      <c r="N1066" s="37">
        <v>25</v>
      </c>
      <c r="O1066" s="37">
        <f>H1066-L1066</f>
        <v>-25</v>
      </c>
      <c r="P1066" s="37" t="e">
        <f>#REF!-M1066</f>
        <v>#REF!</v>
      </c>
      <c r="Q1066" s="37" t="e">
        <f>#REF!-N1066</f>
        <v>#REF!</v>
      </c>
      <c r="R1066" s="17" t="str">
        <f t="shared" si="111"/>
        <v>03 2 06 20520240</v>
      </c>
    </row>
    <row r="1067" spans="1:18" s="4" customFormat="1" ht="15.75">
      <c r="A1067" s="1"/>
      <c r="B1067" s="125" t="s">
        <v>30</v>
      </c>
      <c r="C1067" s="109" t="s">
        <v>595</v>
      </c>
      <c r="D1067" s="108" t="s">
        <v>317</v>
      </c>
      <c r="E1067" s="108" t="s">
        <v>13</v>
      </c>
      <c r="F1067" s="108" t="s">
        <v>666</v>
      </c>
      <c r="G1067" s="108" t="s">
        <v>31</v>
      </c>
      <c r="H1067" s="126"/>
      <c r="L1067" s="37"/>
      <c r="M1067" s="37"/>
      <c r="N1067" s="37"/>
      <c r="O1067" s="37"/>
      <c r="P1067" s="37"/>
      <c r="Q1067" s="37"/>
      <c r="R1067" s="17"/>
    </row>
    <row r="1068" spans="1:18" s="4" customFormat="1" ht="31.5">
      <c r="A1068" s="1"/>
      <c r="B1068" s="125" t="s">
        <v>667</v>
      </c>
      <c r="C1068" s="109" t="s">
        <v>595</v>
      </c>
      <c r="D1068" s="108" t="s">
        <v>317</v>
      </c>
      <c r="E1068" s="108" t="s">
        <v>13</v>
      </c>
      <c r="F1068" s="108" t="s">
        <v>668</v>
      </c>
      <c r="G1068" s="108" t="s">
        <v>9</v>
      </c>
      <c r="H1068" s="126">
        <f>H1069</f>
        <v>0</v>
      </c>
      <c r="L1068" s="37">
        <v>75</v>
      </c>
      <c r="M1068" s="37">
        <v>75</v>
      </c>
      <c r="N1068" s="37">
        <v>75</v>
      </c>
      <c r="O1068" s="37">
        <f>H1068-L1068</f>
        <v>-75</v>
      </c>
      <c r="P1068" s="37" t="e">
        <f>#REF!-M1068</f>
        <v>#REF!</v>
      </c>
      <c r="Q1068" s="37" t="e">
        <f>#REF!-N1068</f>
        <v>#REF!</v>
      </c>
      <c r="R1068" s="17" t="str">
        <f t="shared" si="111"/>
        <v>03 2 08 00000000</v>
      </c>
    </row>
    <row r="1069" spans="1:18" s="4" customFormat="1" ht="31.5">
      <c r="A1069" s="1"/>
      <c r="B1069" s="135" t="s">
        <v>669</v>
      </c>
      <c r="C1069" s="109" t="s">
        <v>595</v>
      </c>
      <c r="D1069" s="108" t="s">
        <v>317</v>
      </c>
      <c r="E1069" s="108" t="s">
        <v>13</v>
      </c>
      <c r="F1069" s="108" t="s">
        <v>670</v>
      </c>
      <c r="G1069" s="108" t="s">
        <v>9</v>
      </c>
      <c r="H1069" s="126">
        <f t="shared" ref="H1069" si="112">H1070</f>
        <v>0</v>
      </c>
      <c r="L1069" s="39">
        <v>75</v>
      </c>
      <c r="M1069" s="39">
        <v>75</v>
      </c>
      <c r="N1069" s="39">
        <v>75</v>
      </c>
      <c r="O1069" s="39">
        <f>H1069-L1069</f>
        <v>-75</v>
      </c>
      <c r="P1069" s="39" t="e">
        <f>#REF!-M1069</f>
        <v>#REF!</v>
      </c>
      <c r="Q1069" s="39" t="e">
        <f>#REF!-N1069</f>
        <v>#REF!</v>
      </c>
      <c r="R1069" s="17" t="str">
        <f t="shared" si="111"/>
        <v>03 2 08 20510000</v>
      </c>
    </row>
    <row r="1070" spans="1:18" s="4" customFormat="1" ht="31.5">
      <c r="A1070" s="1"/>
      <c r="B1070" s="125" t="s">
        <v>28</v>
      </c>
      <c r="C1070" s="109" t="s">
        <v>595</v>
      </c>
      <c r="D1070" s="108" t="s">
        <v>317</v>
      </c>
      <c r="E1070" s="108" t="s">
        <v>13</v>
      </c>
      <c r="F1070" s="108" t="s">
        <v>670</v>
      </c>
      <c r="G1070" s="108" t="s">
        <v>29</v>
      </c>
      <c r="H1070" s="126">
        <f>H1071</f>
        <v>0</v>
      </c>
      <c r="L1070" s="37">
        <v>75</v>
      </c>
      <c r="M1070" s="37">
        <v>75</v>
      </c>
      <c r="N1070" s="37">
        <v>75</v>
      </c>
      <c r="O1070" s="37">
        <f>H1070-L1070</f>
        <v>-75</v>
      </c>
      <c r="P1070" s="37" t="e">
        <f>#REF!-M1070</f>
        <v>#REF!</v>
      </c>
      <c r="Q1070" s="37" t="e">
        <f>#REF!-N1070</f>
        <v>#REF!</v>
      </c>
      <c r="R1070" s="17" t="str">
        <f t="shared" si="111"/>
        <v>03 2 08 20510240</v>
      </c>
    </row>
    <row r="1071" spans="1:18" s="4" customFormat="1" ht="15.75">
      <c r="A1071" s="1"/>
      <c r="B1071" s="125" t="s">
        <v>30</v>
      </c>
      <c r="C1071" s="109" t="s">
        <v>595</v>
      </c>
      <c r="D1071" s="108" t="s">
        <v>317</v>
      </c>
      <c r="E1071" s="108" t="s">
        <v>13</v>
      </c>
      <c r="F1071" s="108" t="s">
        <v>670</v>
      </c>
      <c r="G1071" s="108" t="s">
        <v>31</v>
      </c>
      <c r="H1071" s="126"/>
      <c r="L1071" s="37"/>
      <c r="M1071" s="37"/>
      <c r="N1071" s="37"/>
      <c r="O1071" s="37"/>
      <c r="P1071" s="37"/>
      <c r="Q1071" s="37"/>
      <c r="R1071" s="17"/>
    </row>
    <row r="1072" spans="1:18" s="4" customFormat="1" ht="15.75">
      <c r="A1072" s="1"/>
      <c r="B1072" s="135" t="s">
        <v>671</v>
      </c>
      <c r="C1072" s="109" t="s">
        <v>595</v>
      </c>
      <c r="D1072" s="108" t="s">
        <v>317</v>
      </c>
      <c r="E1072" s="108" t="s">
        <v>13</v>
      </c>
      <c r="F1072" s="108" t="s">
        <v>672</v>
      </c>
      <c r="G1072" s="108" t="s">
        <v>9</v>
      </c>
      <c r="H1072" s="126">
        <f t="shared" ref="H1072:H1074" si="113">H1073</f>
        <v>0</v>
      </c>
      <c r="L1072" s="39">
        <v>2608.5</v>
      </c>
      <c r="M1072" s="39">
        <v>2608.5</v>
      </c>
      <c r="N1072" s="39">
        <v>2608.5</v>
      </c>
      <c r="O1072" s="39">
        <f>H1072-L1072</f>
        <v>-2608.5</v>
      </c>
      <c r="P1072" s="39" t="e">
        <f>#REF!-M1072</f>
        <v>#REF!</v>
      </c>
      <c r="Q1072" s="39" t="e">
        <f>#REF!-N1072</f>
        <v>#REF!</v>
      </c>
      <c r="R1072" s="17" t="str">
        <f t="shared" si="111"/>
        <v>03 3 00 00000000</v>
      </c>
    </row>
    <row r="1073" spans="1:18" s="4" customFormat="1" ht="47.25">
      <c r="A1073" s="1"/>
      <c r="B1073" s="147" t="s">
        <v>673</v>
      </c>
      <c r="C1073" s="109" t="s">
        <v>595</v>
      </c>
      <c r="D1073" s="108" t="s">
        <v>317</v>
      </c>
      <c r="E1073" s="108" t="s">
        <v>13</v>
      </c>
      <c r="F1073" s="108" t="s">
        <v>674</v>
      </c>
      <c r="G1073" s="108" t="s">
        <v>9</v>
      </c>
      <c r="H1073" s="126">
        <f t="shared" si="113"/>
        <v>0</v>
      </c>
      <c r="L1073" s="39">
        <v>2608.5</v>
      </c>
      <c r="M1073" s="39">
        <v>2608.5</v>
      </c>
      <c r="N1073" s="39">
        <v>2608.5</v>
      </c>
      <c r="O1073" s="39">
        <f>H1073-L1073</f>
        <v>-2608.5</v>
      </c>
      <c r="P1073" s="39" t="e">
        <f>#REF!-M1073</f>
        <v>#REF!</v>
      </c>
      <c r="Q1073" s="39" t="e">
        <f>#REF!-N1073</f>
        <v>#REF!</v>
      </c>
      <c r="R1073" s="17" t="str">
        <f t="shared" si="111"/>
        <v>03 3 01 00000000</v>
      </c>
    </row>
    <row r="1074" spans="1:18" s="4" customFormat="1" ht="47.25">
      <c r="A1074" s="1"/>
      <c r="B1074" s="135" t="s">
        <v>675</v>
      </c>
      <c r="C1074" s="109" t="s">
        <v>595</v>
      </c>
      <c r="D1074" s="108" t="s">
        <v>317</v>
      </c>
      <c r="E1074" s="108" t="s">
        <v>13</v>
      </c>
      <c r="F1074" s="108" t="s">
        <v>676</v>
      </c>
      <c r="G1074" s="108" t="s">
        <v>9</v>
      </c>
      <c r="H1074" s="126">
        <f t="shared" si="113"/>
        <v>0</v>
      </c>
      <c r="L1074" s="39">
        <v>2608.5</v>
      </c>
      <c r="M1074" s="39">
        <v>2608.5</v>
      </c>
      <c r="N1074" s="39">
        <v>2608.5</v>
      </c>
      <c r="O1074" s="39">
        <f>H1074-L1074</f>
        <v>-2608.5</v>
      </c>
      <c r="P1074" s="39" t="e">
        <f>#REF!-M1074</f>
        <v>#REF!</v>
      </c>
      <c r="Q1074" s="39" t="e">
        <f>#REF!-N1074</f>
        <v>#REF!</v>
      </c>
      <c r="R1074" s="17" t="str">
        <f t="shared" si="111"/>
        <v>03 3 01 20530000</v>
      </c>
    </row>
    <row r="1075" spans="1:18" s="4" customFormat="1" ht="31.5">
      <c r="A1075" s="1"/>
      <c r="B1075" s="132" t="s">
        <v>327</v>
      </c>
      <c r="C1075" s="109" t="s">
        <v>595</v>
      </c>
      <c r="D1075" s="108" t="s">
        <v>317</v>
      </c>
      <c r="E1075" s="108" t="s">
        <v>13</v>
      </c>
      <c r="F1075" s="108" t="s">
        <v>676</v>
      </c>
      <c r="G1075" s="108" t="s">
        <v>328</v>
      </c>
      <c r="H1075" s="126">
        <f>H1076</f>
        <v>0</v>
      </c>
      <c r="L1075" s="37">
        <v>2608.5</v>
      </c>
      <c r="M1075" s="37">
        <v>2608.5</v>
      </c>
      <c r="N1075" s="37">
        <v>2608.5</v>
      </c>
      <c r="O1075" s="37">
        <f>H1075-L1075</f>
        <v>-2608.5</v>
      </c>
      <c r="P1075" s="37" t="e">
        <f>#REF!-M1075</f>
        <v>#REF!</v>
      </c>
      <c r="Q1075" s="37" t="e">
        <f>#REF!-N1075</f>
        <v>#REF!</v>
      </c>
      <c r="R1075" s="17" t="str">
        <f t="shared" si="111"/>
        <v>03 3 01 20530320</v>
      </c>
    </row>
    <row r="1076" spans="1:18" s="4" customFormat="1" ht="31.5">
      <c r="A1076" s="1"/>
      <c r="B1076" s="125" t="s">
        <v>501</v>
      </c>
      <c r="C1076" s="109" t="s">
        <v>595</v>
      </c>
      <c r="D1076" s="108" t="s">
        <v>317</v>
      </c>
      <c r="E1076" s="108" t="s">
        <v>13</v>
      </c>
      <c r="F1076" s="108" t="s">
        <v>676</v>
      </c>
      <c r="G1076" s="108" t="s">
        <v>502</v>
      </c>
      <c r="H1076" s="126"/>
      <c r="L1076" s="37"/>
      <c r="M1076" s="37"/>
      <c r="N1076" s="37"/>
      <c r="O1076" s="37"/>
      <c r="P1076" s="37"/>
      <c r="Q1076" s="37"/>
      <c r="R1076" s="17"/>
    </row>
    <row r="1077" spans="1:18" s="43" customFormat="1" ht="15.75">
      <c r="A1077" s="42"/>
      <c r="B1077" s="121" t="s">
        <v>490</v>
      </c>
      <c r="C1077" s="122" t="s">
        <v>595</v>
      </c>
      <c r="D1077" s="123" t="s">
        <v>317</v>
      </c>
      <c r="E1077" s="123" t="s">
        <v>73</v>
      </c>
      <c r="F1077" s="123" t="s">
        <v>8</v>
      </c>
      <c r="G1077" s="123" t="s">
        <v>9</v>
      </c>
      <c r="H1077" s="124">
        <f t="shared" ref="H1077:H1079" si="114">H1078</f>
        <v>0</v>
      </c>
      <c r="L1077" s="19">
        <v>260400.43</v>
      </c>
      <c r="M1077" s="19">
        <v>260400.43</v>
      </c>
      <c r="N1077" s="19">
        <v>260400.43</v>
      </c>
      <c r="O1077" s="19">
        <f t="shared" ref="O1077:O1082" si="115">H1077-L1077</f>
        <v>-260400.43</v>
      </c>
      <c r="P1077" s="19" t="e">
        <f>#REF!-M1077</f>
        <v>#REF!</v>
      </c>
      <c r="Q1077" s="19" t="e">
        <f>#REF!-N1077</f>
        <v>#REF!</v>
      </c>
      <c r="R1077" s="17" t="str">
        <f t="shared" si="111"/>
        <v>00 0 00 00000000</v>
      </c>
    </row>
    <row r="1078" spans="1:18" s="43" customFormat="1" ht="31.5">
      <c r="A1078" s="42"/>
      <c r="B1078" s="135" t="s">
        <v>385</v>
      </c>
      <c r="C1078" s="109" t="s">
        <v>595</v>
      </c>
      <c r="D1078" s="108" t="s">
        <v>317</v>
      </c>
      <c r="E1078" s="108" t="s">
        <v>73</v>
      </c>
      <c r="F1078" s="108" t="s">
        <v>386</v>
      </c>
      <c r="G1078" s="108" t="s">
        <v>9</v>
      </c>
      <c r="H1078" s="151">
        <f t="shared" si="114"/>
        <v>0</v>
      </c>
      <c r="L1078" s="39">
        <v>260400.43</v>
      </c>
      <c r="M1078" s="39">
        <v>260400.43</v>
      </c>
      <c r="N1078" s="39">
        <v>260400.43</v>
      </c>
      <c r="O1078" s="39">
        <f t="shared" si="115"/>
        <v>-260400.43</v>
      </c>
      <c r="P1078" s="39" t="e">
        <f>#REF!-M1078</f>
        <v>#REF!</v>
      </c>
      <c r="Q1078" s="39" t="e">
        <f>#REF!-N1078</f>
        <v>#REF!</v>
      </c>
      <c r="R1078" s="17" t="str">
        <f t="shared" si="111"/>
        <v>03 0 00 00000000</v>
      </c>
    </row>
    <row r="1079" spans="1:18" s="43" customFormat="1" ht="47.25">
      <c r="A1079" s="42"/>
      <c r="B1079" s="147" t="s">
        <v>596</v>
      </c>
      <c r="C1079" s="109" t="s">
        <v>595</v>
      </c>
      <c r="D1079" s="108" t="s">
        <v>317</v>
      </c>
      <c r="E1079" s="108" t="s">
        <v>73</v>
      </c>
      <c r="F1079" s="108" t="s">
        <v>597</v>
      </c>
      <c r="G1079" s="108" t="s">
        <v>9</v>
      </c>
      <c r="H1079" s="151">
        <f t="shared" si="114"/>
        <v>0</v>
      </c>
      <c r="L1079" s="39">
        <v>260400.43</v>
      </c>
      <c r="M1079" s="39">
        <v>260400.43</v>
      </c>
      <c r="N1079" s="39">
        <v>260400.43</v>
      </c>
      <c r="O1079" s="39">
        <f t="shared" si="115"/>
        <v>-260400.43</v>
      </c>
      <c r="P1079" s="39" t="e">
        <f>#REF!-M1079</f>
        <v>#REF!</v>
      </c>
      <c r="Q1079" s="39" t="e">
        <f>#REF!-N1079</f>
        <v>#REF!</v>
      </c>
      <c r="R1079" s="17" t="str">
        <f t="shared" si="111"/>
        <v>03 1 00 00000 000</v>
      </c>
    </row>
    <row r="1080" spans="1:18" s="17" customFormat="1" ht="31.5">
      <c r="A1080" s="14"/>
      <c r="B1080" s="148" t="s">
        <v>623</v>
      </c>
      <c r="C1080" s="109" t="s">
        <v>595</v>
      </c>
      <c r="D1080" s="108" t="s">
        <v>317</v>
      </c>
      <c r="E1080" s="108" t="s">
        <v>73</v>
      </c>
      <c r="F1080" s="108" t="s">
        <v>624</v>
      </c>
      <c r="G1080" s="108" t="s">
        <v>9</v>
      </c>
      <c r="H1080" s="152">
        <f>H1084+H1081</f>
        <v>0</v>
      </c>
      <c r="L1080" s="37">
        <v>260400.43</v>
      </c>
      <c r="M1080" s="37">
        <v>260400.43</v>
      </c>
      <c r="N1080" s="37">
        <v>260400.43</v>
      </c>
      <c r="O1080" s="37">
        <f t="shared" si="115"/>
        <v>-260400.43</v>
      </c>
      <c r="P1080" s="37" t="e">
        <f>#REF!-M1080</f>
        <v>#REF!</v>
      </c>
      <c r="Q1080" s="37" t="e">
        <f>#REF!-N1080</f>
        <v>#REF!</v>
      </c>
      <c r="R1080" s="17" t="str">
        <f t="shared" si="111"/>
        <v>03 1 02 00000000</v>
      </c>
    </row>
    <row r="1081" spans="1:18" s="17" customFormat="1" ht="15.75">
      <c r="A1081" s="14"/>
      <c r="B1081" s="149" t="s">
        <v>677</v>
      </c>
      <c r="C1081" s="109" t="s">
        <v>595</v>
      </c>
      <c r="D1081" s="108" t="s">
        <v>317</v>
      </c>
      <c r="E1081" s="108" t="s">
        <v>73</v>
      </c>
      <c r="F1081" s="108" t="s">
        <v>678</v>
      </c>
      <c r="G1081" s="108" t="s">
        <v>9</v>
      </c>
      <c r="H1081" s="152">
        <f>H1082</f>
        <v>0</v>
      </c>
      <c r="L1081" s="37">
        <v>122664.88</v>
      </c>
      <c r="M1081" s="37">
        <v>122664.88</v>
      </c>
      <c r="N1081" s="37">
        <v>122664.88</v>
      </c>
      <c r="O1081" s="37">
        <f t="shared" si="115"/>
        <v>-122664.88</v>
      </c>
      <c r="P1081" s="37" t="e">
        <f>#REF!-M1081</f>
        <v>#REF!</v>
      </c>
      <c r="Q1081" s="37" t="e">
        <f>#REF!-N1081</f>
        <v>#REF!</v>
      </c>
      <c r="R1081" s="17" t="str">
        <f t="shared" si="111"/>
        <v>03 1 02 76270000</v>
      </c>
    </row>
    <row r="1082" spans="1:18" s="17" customFormat="1" ht="31.5">
      <c r="A1082" s="14"/>
      <c r="B1082" s="132" t="s">
        <v>493</v>
      </c>
      <c r="C1082" s="109" t="s">
        <v>595</v>
      </c>
      <c r="D1082" s="108" t="s">
        <v>317</v>
      </c>
      <c r="E1082" s="108" t="s">
        <v>73</v>
      </c>
      <c r="F1082" s="108" t="s">
        <v>678</v>
      </c>
      <c r="G1082" s="108" t="s">
        <v>494</v>
      </c>
      <c r="H1082" s="126">
        <f>H1083</f>
        <v>0</v>
      </c>
      <c r="L1082" s="37">
        <v>122664.88</v>
      </c>
      <c r="M1082" s="37">
        <v>122664.88</v>
      </c>
      <c r="N1082" s="37">
        <v>122664.88</v>
      </c>
      <c r="O1082" s="37">
        <f t="shared" si="115"/>
        <v>-122664.88</v>
      </c>
      <c r="P1082" s="37" t="e">
        <f>#REF!-M1082</f>
        <v>#REF!</v>
      </c>
      <c r="Q1082" s="37" t="e">
        <f>#REF!-N1082</f>
        <v>#REF!</v>
      </c>
      <c r="R1082" s="17" t="str">
        <f t="shared" si="111"/>
        <v>03 1 02 76270310</v>
      </c>
    </row>
    <row r="1083" spans="1:18" s="17" customFormat="1" ht="31.5">
      <c r="A1083" s="14"/>
      <c r="B1083" s="127" t="s">
        <v>495</v>
      </c>
      <c r="C1083" s="109" t="s">
        <v>595</v>
      </c>
      <c r="D1083" s="108" t="s">
        <v>317</v>
      </c>
      <c r="E1083" s="108" t="s">
        <v>73</v>
      </c>
      <c r="F1083" s="108" t="s">
        <v>678</v>
      </c>
      <c r="G1083" s="108" t="s">
        <v>496</v>
      </c>
      <c r="H1083" s="126"/>
      <c r="L1083" s="37"/>
      <c r="M1083" s="37"/>
      <c r="N1083" s="37"/>
      <c r="O1083" s="37"/>
      <c r="P1083" s="37"/>
      <c r="Q1083" s="37"/>
    </row>
    <row r="1084" spans="1:18" s="17" customFormat="1" ht="78.75">
      <c r="A1084" s="14" t="s">
        <v>80</v>
      </c>
      <c r="B1084" s="149" t="s">
        <v>679</v>
      </c>
      <c r="C1084" s="109" t="s">
        <v>595</v>
      </c>
      <c r="D1084" s="108" t="s">
        <v>317</v>
      </c>
      <c r="E1084" s="108" t="s">
        <v>73</v>
      </c>
      <c r="F1084" s="108" t="s">
        <v>680</v>
      </c>
      <c r="G1084" s="108" t="s">
        <v>9</v>
      </c>
      <c r="H1084" s="152">
        <f>H1085</f>
        <v>0</v>
      </c>
      <c r="L1084" s="37">
        <v>137735.54999999999</v>
      </c>
      <c r="M1084" s="37">
        <v>137735.54999999999</v>
      </c>
      <c r="N1084" s="37">
        <v>137735.54999999999</v>
      </c>
      <c r="O1084" s="37">
        <f>H1084-L1084</f>
        <v>-137735.54999999999</v>
      </c>
      <c r="P1084" s="37" t="e">
        <f>#REF!-M1084</f>
        <v>#REF!</v>
      </c>
      <c r="Q1084" s="37" t="e">
        <f>#REF!-N1084</f>
        <v>#REF!</v>
      </c>
      <c r="R1084" s="17" t="str">
        <f>CONCATENATE(F1084,G1084)</f>
        <v>03 1 02 R0840000</v>
      </c>
    </row>
    <row r="1085" spans="1:18" s="17" customFormat="1" ht="31.5">
      <c r="A1085" s="14"/>
      <c r="B1085" s="132" t="s">
        <v>493</v>
      </c>
      <c r="C1085" s="109" t="s">
        <v>595</v>
      </c>
      <c r="D1085" s="108" t="s">
        <v>317</v>
      </c>
      <c r="E1085" s="108" t="s">
        <v>73</v>
      </c>
      <c r="F1085" s="108" t="s">
        <v>680</v>
      </c>
      <c r="G1085" s="108" t="s">
        <v>494</v>
      </c>
      <c r="H1085" s="126">
        <f>H1086</f>
        <v>0</v>
      </c>
      <c r="L1085" s="37">
        <v>137735.54999999999</v>
      </c>
      <c r="M1085" s="37">
        <v>137735.54999999999</v>
      </c>
      <c r="N1085" s="37">
        <v>137735.54999999999</v>
      </c>
      <c r="O1085" s="37">
        <f>H1085-L1085</f>
        <v>-137735.54999999999</v>
      </c>
      <c r="P1085" s="37" t="e">
        <f>#REF!-M1085</f>
        <v>#REF!</v>
      </c>
      <c r="Q1085" s="37" t="e">
        <f>#REF!-N1085</f>
        <v>#REF!</v>
      </c>
      <c r="R1085" s="17" t="str">
        <f>CONCATENATE(F1085,G1085)</f>
        <v>03 1 02 R0840310</v>
      </c>
    </row>
    <row r="1086" spans="1:18" s="17" customFormat="1" ht="31.5">
      <c r="A1086" s="14"/>
      <c r="B1086" s="127" t="s">
        <v>495</v>
      </c>
      <c r="C1086" s="109" t="s">
        <v>595</v>
      </c>
      <c r="D1086" s="108" t="s">
        <v>317</v>
      </c>
      <c r="E1086" s="108" t="s">
        <v>73</v>
      </c>
      <c r="F1086" s="108" t="s">
        <v>680</v>
      </c>
      <c r="G1086" s="108" t="s">
        <v>496</v>
      </c>
      <c r="H1086" s="126"/>
      <c r="L1086" s="37"/>
      <c r="M1086" s="37"/>
      <c r="N1086" s="37"/>
      <c r="O1086" s="37"/>
      <c r="P1086" s="37"/>
      <c r="Q1086" s="37"/>
    </row>
    <row r="1087" spans="1:18" s="45" customFormat="1" ht="15.75">
      <c r="A1087" s="44"/>
      <c r="B1087" s="121" t="s">
        <v>681</v>
      </c>
      <c r="C1087" s="122" t="s">
        <v>595</v>
      </c>
      <c r="D1087" s="123" t="s">
        <v>317</v>
      </c>
      <c r="E1087" s="123" t="s">
        <v>334</v>
      </c>
      <c r="F1087" s="123" t="s">
        <v>8</v>
      </c>
      <c r="G1087" s="123" t="s">
        <v>9</v>
      </c>
      <c r="H1087" s="124">
        <f>H1088+H1111</f>
        <v>0</v>
      </c>
      <c r="L1087" s="19">
        <v>68005.930000000008</v>
      </c>
      <c r="M1087" s="19">
        <v>67997.600000000006</v>
      </c>
      <c r="N1087" s="19">
        <v>68035.66</v>
      </c>
      <c r="O1087" s="19">
        <f t="shared" ref="O1087:O1092" si="116">H1087-L1087</f>
        <v>-68005.930000000008</v>
      </c>
      <c r="P1087" s="19" t="e">
        <f>#REF!-M1087</f>
        <v>#REF!</v>
      </c>
      <c r="Q1087" s="19" t="e">
        <f>#REF!-N1087</f>
        <v>#REF!</v>
      </c>
      <c r="R1087" s="17" t="str">
        <f t="shared" si="111"/>
        <v>00 0 00 00000000</v>
      </c>
    </row>
    <row r="1088" spans="1:18" s="17" customFormat="1" ht="31.5">
      <c r="A1088" s="14"/>
      <c r="B1088" s="135" t="s">
        <v>385</v>
      </c>
      <c r="C1088" s="109" t="s">
        <v>595</v>
      </c>
      <c r="D1088" s="108" t="s">
        <v>317</v>
      </c>
      <c r="E1088" s="108" t="s">
        <v>334</v>
      </c>
      <c r="F1088" s="108" t="s">
        <v>386</v>
      </c>
      <c r="G1088" s="108" t="s">
        <v>9</v>
      </c>
      <c r="H1088" s="152">
        <f>H1095+H1100+H1089</f>
        <v>0</v>
      </c>
      <c r="L1088" s="37">
        <v>5561.92</v>
      </c>
      <c r="M1088" s="37">
        <v>5561.92</v>
      </c>
      <c r="N1088" s="37">
        <v>5561.92</v>
      </c>
      <c r="O1088" s="37">
        <f t="shared" si="116"/>
        <v>-5561.92</v>
      </c>
      <c r="P1088" s="37" t="e">
        <f>#REF!-M1088</f>
        <v>#REF!</v>
      </c>
      <c r="Q1088" s="37" t="e">
        <f>#REF!-N1088</f>
        <v>#REF!</v>
      </c>
      <c r="R1088" s="17" t="str">
        <f t="shared" si="111"/>
        <v>03 0 00 00000000</v>
      </c>
    </row>
    <row r="1089" spans="1:18" s="4" customFormat="1" ht="47.25">
      <c r="A1089" s="1" t="s">
        <v>682</v>
      </c>
      <c r="B1089" s="147" t="s">
        <v>596</v>
      </c>
      <c r="C1089" s="109" t="s">
        <v>595</v>
      </c>
      <c r="D1089" s="108" t="s">
        <v>317</v>
      </c>
      <c r="E1089" s="108" t="s">
        <v>334</v>
      </c>
      <c r="F1089" s="108" t="s">
        <v>597</v>
      </c>
      <c r="G1089" s="108" t="s">
        <v>9</v>
      </c>
      <c r="H1089" s="152">
        <f>H1090</f>
        <v>0</v>
      </c>
      <c r="L1089" s="37">
        <v>2546</v>
      </c>
      <c r="M1089" s="37">
        <v>2546</v>
      </c>
      <c r="N1089" s="37">
        <v>2546</v>
      </c>
      <c r="O1089" s="37">
        <f t="shared" si="116"/>
        <v>-2546</v>
      </c>
      <c r="P1089" s="37" t="e">
        <f>#REF!-M1089</f>
        <v>#REF!</v>
      </c>
      <c r="Q1089" s="37" t="e">
        <f>#REF!-N1089</f>
        <v>#REF!</v>
      </c>
      <c r="R1089" s="17" t="str">
        <f>CONCATENATE(F1089,G1089)</f>
        <v>03 1 00 00000 000</v>
      </c>
    </row>
    <row r="1090" spans="1:18" s="4" customFormat="1" ht="47.25">
      <c r="A1090" s="1"/>
      <c r="B1090" s="148" t="s">
        <v>599</v>
      </c>
      <c r="C1090" s="109" t="s">
        <v>595</v>
      </c>
      <c r="D1090" s="108" t="s">
        <v>317</v>
      </c>
      <c r="E1090" s="108" t="s">
        <v>334</v>
      </c>
      <c r="F1090" s="108" t="s">
        <v>600</v>
      </c>
      <c r="G1090" s="108" t="s">
        <v>9</v>
      </c>
      <c r="H1090" s="152">
        <f>H1091</f>
        <v>0</v>
      </c>
      <c r="L1090" s="37">
        <v>2546</v>
      </c>
      <c r="M1090" s="37">
        <v>2546</v>
      </c>
      <c r="N1090" s="37">
        <v>2546</v>
      </c>
      <c r="O1090" s="37">
        <f t="shared" si="116"/>
        <v>-2546</v>
      </c>
      <c r="P1090" s="37" t="e">
        <f>#REF!-M1090</f>
        <v>#REF!</v>
      </c>
      <c r="Q1090" s="37" t="e">
        <f>#REF!-N1090</f>
        <v>#REF!</v>
      </c>
      <c r="R1090" s="17" t="str">
        <f>CONCATENATE(F1090,G1090)</f>
        <v>03 1 01 00000 000</v>
      </c>
    </row>
    <row r="1091" spans="1:18" s="4" customFormat="1" ht="47.25">
      <c r="A1091" s="1"/>
      <c r="B1091" s="135" t="s">
        <v>603</v>
      </c>
      <c r="C1091" s="109" t="s">
        <v>595</v>
      </c>
      <c r="D1091" s="108" t="s">
        <v>317</v>
      </c>
      <c r="E1091" s="108" t="s">
        <v>334</v>
      </c>
      <c r="F1091" s="108" t="s">
        <v>604</v>
      </c>
      <c r="G1091" s="108" t="s">
        <v>9</v>
      </c>
      <c r="H1091" s="152">
        <f>H1092</f>
        <v>0</v>
      </c>
      <c r="L1091" s="37">
        <v>2546</v>
      </c>
      <c r="M1091" s="37">
        <v>2546</v>
      </c>
      <c r="N1091" s="37">
        <v>2546</v>
      </c>
      <c r="O1091" s="37">
        <f t="shared" si="116"/>
        <v>-2546</v>
      </c>
      <c r="P1091" s="37" t="e">
        <f>#REF!-M1091</f>
        <v>#REF!</v>
      </c>
      <c r="Q1091" s="37" t="e">
        <f>#REF!-N1091</f>
        <v>#REF!</v>
      </c>
      <c r="R1091" s="17" t="str">
        <f>CONCATENATE(F1091,G1091)</f>
        <v>03 1 01 52500000</v>
      </c>
    </row>
    <row r="1092" spans="1:18" s="4" customFormat="1" ht="31.5">
      <c r="A1092" s="1"/>
      <c r="B1092" s="125" t="s">
        <v>20</v>
      </c>
      <c r="C1092" s="109" t="s">
        <v>595</v>
      </c>
      <c r="D1092" s="108" t="s">
        <v>317</v>
      </c>
      <c r="E1092" s="108" t="s">
        <v>334</v>
      </c>
      <c r="F1092" s="108" t="s">
        <v>604</v>
      </c>
      <c r="G1092" s="108" t="s">
        <v>21</v>
      </c>
      <c r="H1092" s="126">
        <f>SUM(H1093:H1094)</f>
        <v>0</v>
      </c>
      <c r="L1092" s="37">
        <v>2546</v>
      </c>
      <c r="M1092" s="37">
        <v>2546</v>
      </c>
      <c r="N1092" s="37">
        <v>2546</v>
      </c>
      <c r="O1092" s="37">
        <f t="shared" si="116"/>
        <v>-2546</v>
      </c>
      <c r="P1092" s="37" t="e">
        <f>#REF!-M1092</f>
        <v>#REF!</v>
      </c>
      <c r="Q1092" s="37" t="e">
        <f>#REF!-N1092</f>
        <v>#REF!</v>
      </c>
      <c r="R1092" s="17" t="str">
        <f>CONCATENATE(F1092,G1092)</f>
        <v>03 1 01 52500120</v>
      </c>
    </row>
    <row r="1093" spans="1:18" s="41" customFormat="1" ht="31.5">
      <c r="A1093" s="40"/>
      <c r="B1093" s="127" t="s">
        <v>40</v>
      </c>
      <c r="C1093" s="109" t="s">
        <v>595</v>
      </c>
      <c r="D1093" s="108" t="s">
        <v>317</v>
      </c>
      <c r="E1093" s="108" t="s">
        <v>334</v>
      </c>
      <c r="F1093" s="108" t="s">
        <v>604</v>
      </c>
      <c r="G1093" s="108" t="s">
        <v>41</v>
      </c>
      <c r="H1093" s="126"/>
      <c r="L1093" s="38"/>
      <c r="M1093" s="38"/>
      <c r="N1093" s="38"/>
      <c r="O1093" s="38"/>
      <c r="P1093" s="38"/>
      <c r="Q1093" s="38"/>
      <c r="R1093" s="24"/>
    </row>
    <row r="1094" spans="1:18" s="41" customFormat="1" ht="63">
      <c r="A1094" s="40"/>
      <c r="B1094" s="127" t="s">
        <v>26</v>
      </c>
      <c r="C1094" s="109" t="s">
        <v>595</v>
      </c>
      <c r="D1094" s="108" t="s">
        <v>317</v>
      </c>
      <c r="E1094" s="108" t="s">
        <v>334</v>
      </c>
      <c r="F1094" s="108" t="s">
        <v>604</v>
      </c>
      <c r="G1094" s="108" t="s">
        <v>27</v>
      </c>
      <c r="H1094" s="126"/>
      <c r="L1094" s="38"/>
      <c r="M1094" s="38"/>
      <c r="N1094" s="38"/>
      <c r="O1094" s="38"/>
      <c r="P1094" s="38"/>
      <c r="Q1094" s="38"/>
      <c r="R1094" s="24"/>
    </row>
    <row r="1095" spans="1:18" s="4" customFormat="1" ht="63">
      <c r="A1095" s="1"/>
      <c r="B1095" s="135" t="s">
        <v>387</v>
      </c>
      <c r="C1095" s="109" t="s">
        <v>595</v>
      </c>
      <c r="D1095" s="108" t="s">
        <v>317</v>
      </c>
      <c r="E1095" s="108" t="s">
        <v>334</v>
      </c>
      <c r="F1095" s="108" t="s">
        <v>388</v>
      </c>
      <c r="G1095" s="108" t="s">
        <v>9</v>
      </c>
      <c r="H1095" s="151">
        <f t="shared" ref="H1095:H1097" si="117">H1096</f>
        <v>0</v>
      </c>
      <c r="L1095" s="39">
        <v>1160.51</v>
      </c>
      <c r="M1095" s="39">
        <v>1160.51</v>
      </c>
      <c r="N1095" s="39">
        <v>1160.51</v>
      </c>
      <c r="O1095" s="39">
        <f>H1095-L1095</f>
        <v>-1160.51</v>
      </c>
      <c r="P1095" s="39" t="e">
        <f>#REF!-M1095</f>
        <v>#REF!</v>
      </c>
      <c r="Q1095" s="39" t="e">
        <f>#REF!-N1095</f>
        <v>#REF!</v>
      </c>
      <c r="R1095" s="17" t="str">
        <f t="shared" si="111"/>
        <v>03 2 00 00000000</v>
      </c>
    </row>
    <row r="1096" spans="1:18" s="4" customFormat="1" ht="31.5">
      <c r="A1096" s="1"/>
      <c r="B1096" s="135" t="s">
        <v>683</v>
      </c>
      <c r="C1096" s="109" t="s">
        <v>595</v>
      </c>
      <c r="D1096" s="108" t="s">
        <v>317</v>
      </c>
      <c r="E1096" s="108" t="s">
        <v>334</v>
      </c>
      <c r="F1096" s="108" t="s">
        <v>684</v>
      </c>
      <c r="G1096" s="108" t="s">
        <v>9</v>
      </c>
      <c r="H1096" s="151">
        <f t="shared" si="117"/>
        <v>0</v>
      </c>
      <c r="L1096" s="39">
        <v>1160.51</v>
      </c>
      <c r="M1096" s="39">
        <v>1160.51</v>
      </c>
      <c r="N1096" s="39">
        <v>1160.51</v>
      </c>
      <c r="O1096" s="39">
        <f>H1096-L1096</f>
        <v>-1160.51</v>
      </c>
      <c r="P1096" s="39" t="e">
        <f>#REF!-M1096</f>
        <v>#REF!</v>
      </c>
      <c r="Q1096" s="39" t="e">
        <f>#REF!-N1096</f>
        <v>#REF!</v>
      </c>
      <c r="R1096" s="17" t="str">
        <f t="shared" si="111"/>
        <v>03 2 07 00000000</v>
      </c>
    </row>
    <row r="1097" spans="1:18" s="4" customFormat="1" ht="31.5">
      <c r="A1097" s="1"/>
      <c r="B1097" s="135" t="s">
        <v>685</v>
      </c>
      <c r="C1097" s="109" t="s">
        <v>595</v>
      </c>
      <c r="D1097" s="108" t="s">
        <v>317</v>
      </c>
      <c r="E1097" s="108" t="s">
        <v>334</v>
      </c>
      <c r="F1097" s="108" t="s">
        <v>686</v>
      </c>
      <c r="G1097" s="108" t="s">
        <v>9</v>
      </c>
      <c r="H1097" s="151">
        <f t="shared" si="117"/>
        <v>0</v>
      </c>
      <c r="L1097" s="39">
        <v>1160.51</v>
      </c>
      <c r="M1097" s="39">
        <v>1160.51</v>
      </c>
      <c r="N1097" s="39">
        <v>1160.51</v>
      </c>
      <c r="O1097" s="39">
        <f>H1097-L1097</f>
        <v>-1160.51</v>
      </c>
      <c r="P1097" s="39" t="e">
        <f>#REF!-M1097</f>
        <v>#REF!</v>
      </c>
      <c r="Q1097" s="39" t="e">
        <f>#REF!-N1097</f>
        <v>#REF!</v>
      </c>
      <c r="R1097" s="17" t="str">
        <f t="shared" si="111"/>
        <v>03 2 07 60040000</v>
      </c>
    </row>
    <row r="1098" spans="1:18" s="4" customFormat="1" ht="47.25">
      <c r="A1098" s="1"/>
      <c r="B1098" s="135" t="s">
        <v>182</v>
      </c>
      <c r="C1098" s="109" t="s">
        <v>595</v>
      </c>
      <c r="D1098" s="108" t="s">
        <v>317</v>
      </c>
      <c r="E1098" s="108" t="s">
        <v>334</v>
      </c>
      <c r="F1098" s="108" t="s">
        <v>686</v>
      </c>
      <c r="G1098" s="108" t="s">
        <v>183</v>
      </c>
      <c r="H1098" s="126">
        <f>H1099</f>
        <v>0</v>
      </c>
      <c r="L1098" s="37">
        <v>1160.51</v>
      </c>
      <c r="M1098" s="37">
        <v>1160.51</v>
      </c>
      <c r="N1098" s="37">
        <v>1160.51</v>
      </c>
      <c r="O1098" s="37">
        <f>H1098-L1098</f>
        <v>-1160.51</v>
      </c>
      <c r="P1098" s="37" t="e">
        <f>#REF!-M1098</f>
        <v>#REF!</v>
      </c>
      <c r="Q1098" s="37" t="e">
        <f>#REF!-N1098</f>
        <v>#REF!</v>
      </c>
      <c r="R1098" s="17" t="str">
        <f t="shared" si="111"/>
        <v>03 2 07 60040630</v>
      </c>
    </row>
    <row r="1099" spans="1:18" s="4" customFormat="1" ht="94.5">
      <c r="A1099" s="1"/>
      <c r="B1099" s="127" t="s">
        <v>1038</v>
      </c>
      <c r="C1099" s="109" t="s">
        <v>595</v>
      </c>
      <c r="D1099" s="108" t="s">
        <v>317</v>
      </c>
      <c r="E1099" s="108" t="s">
        <v>334</v>
      </c>
      <c r="F1099" s="108" t="s">
        <v>686</v>
      </c>
      <c r="G1099" s="108" t="s">
        <v>416</v>
      </c>
      <c r="H1099" s="126"/>
      <c r="L1099" s="37"/>
      <c r="M1099" s="37"/>
      <c r="N1099" s="37"/>
      <c r="O1099" s="37"/>
      <c r="P1099" s="37"/>
      <c r="Q1099" s="37"/>
      <c r="R1099" s="17"/>
    </row>
    <row r="1100" spans="1:18" s="4" customFormat="1" ht="15.75">
      <c r="A1100" s="1"/>
      <c r="B1100" s="135" t="s">
        <v>671</v>
      </c>
      <c r="C1100" s="109" t="s">
        <v>595</v>
      </c>
      <c r="D1100" s="108" t="s">
        <v>317</v>
      </c>
      <c r="E1100" s="108" t="s">
        <v>334</v>
      </c>
      <c r="F1100" s="108" t="s">
        <v>672</v>
      </c>
      <c r="G1100" s="108" t="s">
        <v>9</v>
      </c>
      <c r="H1100" s="152">
        <f>H1101</f>
        <v>0</v>
      </c>
      <c r="L1100" s="37">
        <v>1855.4099999999999</v>
      </c>
      <c r="M1100" s="37">
        <v>1855.4099999999999</v>
      </c>
      <c r="N1100" s="37">
        <v>1855.4099999999999</v>
      </c>
      <c r="O1100" s="37">
        <f>H1100-L1100</f>
        <v>-1855.4099999999999</v>
      </c>
      <c r="P1100" s="37" t="e">
        <f>#REF!-M1100</f>
        <v>#REF!</v>
      </c>
      <c r="Q1100" s="37" t="e">
        <f>#REF!-N1100</f>
        <v>#REF!</v>
      </c>
      <c r="R1100" s="17" t="str">
        <f t="shared" si="111"/>
        <v>03 3 00 00000000</v>
      </c>
    </row>
    <row r="1101" spans="1:18" s="4" customFormat="1" ht="47.25">
      <c r="A1101" s="1"/>
      <c r="B1101" s="135" t="s">
        <v>673</v>
      </c>
      <c r="C1101" s="109" t="s">
        <v>595</v>
      </c>
      <c r="D1101" s="108" t="s">
        <v>317</v>
      </c>
      <c r="E1101" s="108" t="s">
        <v>334</v>
      </c>
      <c r="F1101" s="108" t="s">
        <v>674</v>
      </c>
      <c r="G1101" s="108" t="s">
        <v>9</v>
      </c>
      <c r="H1101" s="152">
        <f>H1102+H1108</f>
        <v>0</v>
      </c>
      <c r="L1101" s="37">
        <v>1855.4099999999999</v>
      </c>
      <c r="M1101" s="37">
        <v>1855.4099999999999</v>
      </c>
      <c r="N1101" s="37">
        <v>1855.4099999999999</v>
      </c>
      <c r="O1101" s="37">
        <f>H1101-L1101</f>
        <v>-1855.4099999999999</v>
      </c>
      <c r="P1101" s="37" t="e">
        <f>#REF!-M1101</f>
        <v>#REF!</v>
      </c>
      <c r="Q1101" s="37" t="e">
        <f>#REF!-N1101</f>
        <v>#REF!</v>
      </c>
      <c r="R1101" s="17" t="str">
        <f t="shared" si="111"/>
        <v>03 3 01 00000000</v>
      </c>
    </row>
    <row r="1102" spans="1:18" s="4" customFormat="1" ht="47.25">
      <c r="A1102" s="1"/>
      <c r="B1102" s="135" t="s">
        <v>675</v>
      </c>
      <c r="C1102" s="109" t="s">
        <v>595</v>
      </c>
      <c r="D1102" s="108" t="s">
        <v>317</v>
      </c>
      <c r="E1102" s="108" t="s">
        <v>334</v>
      </c>
      <c r="F1102" s="108" t="s">
        <v>676</v>
      </c>
      <c r="G1102" s="108" t="s">
        <v>9</v>
      </c>
      <c r="H1102" s="152">
        <f>H1103+H1105</f>
        <v>0</v>
      </c>
      <c r="L1102" s="37">
        <v>103.55</v>
      </c>
      <c r="M1102" s="37">
        <v>103.55</v>
      </c>
      <c r="N1102" s="37">
        <v>103.55</v>
      </c>
      <c r="O1102" s="37">
        <f>H1102-L1102</f>
        <v>-103.55</v>
      </c>
      <c r="P1102" s="37" t="e">
        <f>#REF!-M1102</f>
        <v>#REF!</v>
      </c>
      <c r="Q1102" s="37" t="e">
        <f>#REF!-N1102</f>
        <v>#REF!</v>
      </c>
      <c r="R1102" s="17" t="str">
        <f t="shared" si="111"/>
        <v>03 3 01 20530000</v>
      </c>
    </row>
    <row r="1103" spans="1:18" s="4" customFormat="1" ht="31.5">
      <c r="A1103" s="1"/>
      <c r="B1103" s="125" t="s">
        <v>28</v>
      </c>
      <c r="C1103" s="109" t="s">
        <v>595</v>
      </c>
      <c r="D1103" s="108" t="s">
        <v>317</v>
      </c>
      <c r="E1103" s="108" t="s">
        <v>334</v>
      </c>
      <c r="F1103" s="108" t="s">
        <v>676</v>
      </c>
      <c r="G1103" s="108" t="s">
        <v>29</v>
      </c>
      <c r="H1103" s="126">
        <f>H1104</f>
        <v>0</v>
      </c>
      <c r="L1103" s="37">
        <v>68.69</v>
      </c>
      <c r="M1103" s="37">
        <v>68.69</v>
      </c>
      <c r="N1103" s="37">
        <v>68.69</v>
      </c>
      <c r="O1103" s="37">
        <f>H1103-L1103</f>
        <v>-68.69</v>
      </c>
      <c r="P1103" s="37" t="e">
        <f>#REF!-M1103</f>
        <v>#REF!</v>
      </c>
      <c r="Q1103" s="37" t="e">
        <f>#REF!-N1103</f>
        <v>#REF!</v>
      </c>
      <c r="R1103" s="17" t="str">
        <f t="shared" si="111"/>
        <v>03 3 01 20530240</v>
      </c>
    </row>
    <row r="1104" spans="1:18" s="4" customFormat="1" ht="15.75">
      <c r="A1104" s="1"/>
      <c r="B1104" s="125" t="s">
        <v>30</v>
      </c>
      <c r="C1104" s="109" t="s">
        <v>595</v>
      </c>
      <c r="D1104" s="108" t="s">
        <v>317</v>
      </c>
      <c r="E1104" s="108" t="s">
        <v>334</v>
      </c>
      <c r="F1104" s="108" t="s">
        <v>676</v>
      </c>
      <c r="G1104" s="108" t="s">
        <v>31</v>
      </c>
      <c r="H1104" s="126"/>
      <c r="L1104" s="37"/>
      <c r="M1104" s="37"/>
      <c r="N1104" s="37"/>
      <c r="O1104" s="37"/>
      <c r="P1104" s="37"/>
      <c r="Q1104" s="37"/>
      <c r="R1104" s="17"/>
    </row>
    <row r="1105" spans="1:18" s="4" customFormat="1" ht="15.75">
      <c r="A1105" s="1"/>
      <c r="B1105" s="125" t="s">
        <v>32</v>
      </c>
      <c r="C1105" s="109" t="s">
        <v>595</v>
      </c>
      <c r="D1105" s="108" t="s">
        <v>317</v>
      </c>
      <c r="E1105" s="108" t="s">
        <v>334</v>
      </c>
      <c r="F1105" s="108" t="s">
        <v>676</v>
      </c>
      <c r="G1105" s="108" t="s">
        <v>33</v>
      </c>
      <c r="H1105" s="126">
        <f>H1106+H1107</f>
        <v>0</v>
      </c>
      <c r="L1105" s="37">
        <v>34.86</v>
      </c>
      <c r="M1105" s="37">
        <v>34.86</v>
      </c>
      <c r="N1105" s="37">
        <v>34.86</v>
      </c>
      <c r="O1105" s="37">
        <f>H1105-L1105</f>
        <v>-34.86</v>
      </c>
      <c r="P1105" s="37" t="e">
        <f>#REF!-M1105</f>
        <v>#REF!</v>
      </c>
      <c r="Q1105" s="37" t="e">
        <f>#REF!-N1105</f>
        <v>#REF!</v>
      </c>
      <c r="R1105" s="17" t="str">
        <f t="shared" si="111"/>
        <v>03 3 01 20530850</v>
      </c>
    </row>
    <row r="1106" spans="1:18" s="4" customFormat="1" ht="31.5">
      <c r="A1106" s="1"/>
      <c r="B1106" s="127" t="s">
        <v>34</v>
      </c>
      <c r="C1106" s="109" t="s">
        <v>595</v>
      </c>
      <c r="D1106" s="108" t="s">
        <v>317</v>
      </c>
      <c r="E1106" s="108" t="s">
        <v>334</v>
      </c>
      <c r="F1106" s="108" t="s">
        <v>676</v>
      </c>
      <c r="G1106" s="108" t="s">
        <v>35</v>
      </c>
      <c r="H1106" s="126"/>
      <c r="L1106" s="37"/>
      <c r="M1106" s="37"/>
      <c r="N1106" s="37"/>
      <c r="O1106" s="37"/>
      <c r="P1106" s="37"/>
      <c r="Q1106" s="37"/>
      <c r="R1106" s="17"/>
    </row>
    <row r="1107" spans="1:18" s="4" customFormat="1" ht="15.75">
      <c r="A1107" s="1"/>
      <c r="B1107" s="127" t="s">
        <v>36</v>
      </c>
      <c r="C1107" s="109" t="s">
        <v>595</v>
      </c>
      <c r="D1107" s="108" t="s">
        <v>317</v>
      </c>
      <c r="E1107" s="108" t="s">
        <v>334</v>
      </c>
      <c r="F1107" s="108" t="s">
        <v>676</v>
      </c>
      <c r="G1107" s="108" t="s">
        <v>37</v>
      </c>
      <c r="H1107" s="126"/>
      <c r="L1107" s="37"/>
      <c r="M1107" s="37"/>
      <c r="N1107" s="37"/>
      <c r="O1107" s="37"/>
      <c r="P1107" s="37"/>
      <c r="Q1107" s="37"/>
      <c r="R1107" s="17"/>
    </row>
    <row r="1108" spans="1:18" s="4" customFormat="1" ht="47.25">
      <c r="A1108" s="1"/>
      <c r="B1108" s="135" t="s">
        <v>687</v>
      </c>
      <c r="C1108" s="109" t="s">
        <v>595</v>
      </c>
      <c r="D1108" s="108" t="s">
        <v>317</v>
      </c>
      <c r="E1108" s="108" t="s">
        <v>334</v>
      </c>
      <c r="F1108" s="108" t="s">
        <v>688</v>
      </c>
      <c r="G1108" s="108" t="s">
        <v>9</v>
      </c>
      <c r="H1108" s="152">
        <f>H1109</f>
        <v>0</v>
      </c>
      <c r="L1108" s="37">
        <v>1751.86</v>
      </c>
      <c r="M1108" s="37">
        <v>1751.86</v>
      </c>
      <c r="N1108" s="37">
        <v>1751.86</v>
      </c>
      <c r="O1108" s="37">
        <f>H1108-L1108</f>
        <v>-1751.86</v>
      </c>
      <c r="P1108" s="37" t="e">
        <f>#REF!-M1108</f>
        <v>#REF!</v>
      </c>
      <c r="Q1108" s="37" t="e">
        <f>#REF!-N1108</f>
        <v>#REF!</v>
      </c>
      <c r="R1108" s="17" t="str">
        <f t="shared" si="111"/>
        <v>03 3 01 S0270000</v>
      </c>
    </row>
    <row r="1109" spans="1:18" s="4" customFormat="1" ht="31.5">
      <c r="A1109" s="1"/>
      <c r="B1109" s="135" t="s">
        <v>28</v>
      </c>
      <c r="C1109" s="109" t="s">
        <v>595</v>
      </c>
      <c r="D1109" s="108" t="s">
        <v>317</v>
      </c>
      <c r="E1109" s="108" t="s">
        <v>334</v>
      </c>
      <c r="F1109" s="108" t="s">
        <v>688</v>
      </c>
      <c r="G1109" s="108" t="s">
        <v>29</v>
      </c>
      <c r="H1109" s="126">
        <f>H1110</f>
        <v>0</v>
      </c>
      <c r="L1109" s="37">
        <v>1751.86</v>
      </c>
      <c r="M1109" s="37">
        <v>1751.86</v>
      </c>
      <c r="N1109" s="37">
        <v>1751.86</v>
      </c>
      <c r="O1109" s="37">
        <f>H1109-L1109</f>
        <v>-1751.86</v>
      </c>
      <c r="P1109" s="37" t="e">
        <f>#REF!-M1109</f>
        <v>#REF!</v>
      </c>
      <c r="Q1109" s="37" t="e">
        <f>#REF!-N1109</f>
        <v>#REF!</v>
      </c>
      <c r="R1109" s="17" t="str">
        <f t="shared" si="111"/>
        <v>03 3 01 S0270240</v>
      </c>
    </row>
    <row r="1110" spans="1:18" s="4" customFormat="1" ht="15.75">
      <c r="A1110" s="1"/>
      <c r="B1110" s="125" t="s">
        <v>30</v>
      </c>
      <c r="C1110" s="109" t="s">
        <v>595</v>
      </c>
      <c r="D1110" s="108" t="s">
        <v>317</v>
      </c>
      <c r="E1110" s="108" t="s">
        <v>334</v>
      </c>
      <c r="F1110" s="108" t="s">
        <v>688</v>
      </c>
      <c r="G1110" s="108" t="s">
        <v>31</v>
      </c>
      <c r="H1110" s="126"/>
      <c r="L1110" s="37"/>
      <c r="M1110" s="37"/>
      <c r="N1110" s="37"/>
      <c r="O1110" s="37"/>
      <c r="P1110" s="37"/>
      <c r="Q1110" s="37"/>
      <c r="R1110" s="17"/>
    </row>
    <row r="1111" spans="1:18" s="4" customFormat="1" ht="47.25">
      <c r="A1111" s="1"/>
      <c r="B1111" s="147" t="s">
        <v>689</v>
      </c>
      <c r="C1111" s="109" t="s">
        <v>595</v>
      </c>
      <c r="D1111" s="108" t="s">
        <v>317</v>
      </c>
      <c r="E1111" s="108" t="s">
        <v>334</v>
      </c>
      <c r="F1111" s="109" t="s">
        <v>690</v>
      </c>
      <c r="G1111" s="108" t="s">
        <v>9</v>
      </c>
      <c r="H1111" s="151">
        <f>H1112</f>
        <v>0</v>
      </c>
      <c r="L1111" s="39">
        <v>62444.01</v>
      </c>
      <c r="M1111" s="39">
        <v>62435.68</v>
      </c>
      <c r="N1111" s="39">
        <v>62473.740000000005</v>
      </c>
      <c r="O1111" s="39">
        <f>H1111-L1111</f>
        <v>-62444.01</v>
      </c>
      <c r="P1111" s="39" t="e">
        <f>#REF!-M1111</f>
        <v>#REF!</v>
      </c>
      <c r="Q1111" s="39" t="e">
        <f>#REF!-N1111</f>
        <v>#REF!</v>
      </c>
      <c r="R1111" s="17" t="str">
        <f t="shared" si="111"/>
        <v>77 0 00 00000000</v>
      </c>
    </row>
    <row r="1112" spans="1:18" s="4" customFormat="1" ht="47.25">
      <c r="A1112" s="1"/>
      <c r="B1112" s="147" t="s">
        <v>691</v>
      </c>
      <c r="C1112" s="109" t="s">
        <v>595</v>
      </c>
      <c r="D1112" s="108" t="s">
        <v>317</v>
      </c>
      <c r="E1112" s="108" t="s">
        <v>334</v>
      </c>
      <c r="F1112" s="109" t="s">
        <v>692</v>
      </c>
      <c r="G1112" s="108" t="s">
        <v>9</v>
      </c>
      <c r="H1112" s="151">
        <f>H1113+H1121+H1125+H1132</f>
        <v>0</v>
      </c>
      <c r="L1112" s="39">
        <v>62444.01</v>
      </c>
      <c r="M1112" s="39">
        <v>62435.68</v>
      </c>
      <c r="N1112" s="39">
        <v>62473.740000000005</v>
      </c>
      <c r="O1112" s="39">
        <f>H1112-L1112</f>
        <v>-62444.01</v>
      </c>
      <c r="P1112" s="39" t="e">
        <f>#REF!-M1112</f>
        <v>#REF!</v>
      </c>
      <c r="Q1112" s="39" t="e">
        <f>#REF!-N1112</f>
        <v>#REF!</v>
      </c>
      <c r="R1112" s="17" t="str">
        <f t="shared" si="111"/>
        <v>77 1 00 00000000</v>
      </c>
    </row>
    <row r="1113" spans="1:18" s="4" customFormat="1" ht="31.5">
      <c r="A1113" s="1"/>
      <c r="B1113" s="153" t="s">
        <v>18</v>
      </c>
      <c r="C1113" s="109" t="s">
        <v>595</v>
      </c>
      <c r="D1113" s="108" t="s">
        <v>317</v>
      </c>
      <c r="E1113" s="108" t="s">
        <v>334</v>
      </c>
      <c r="F1113" s="154" t="s">
        <v>693</v>
      </c>
      <c r="G1113" s="108" t="s">
        <v>9</v>
      </c>
      <c r="H1113" s="151">
        <f>H1114+H1117+H1119</f>
        <v>0</v>
      </c>
      <c r="L1113" s="39">
        <v>1377.6100000000001</v>
      </c>
      <c r="M1113" s="39">
        <v>1138.6100000000001</v>
      </c>
      <c r="N1113" s="39">
        <v>1138.6100000000001</v>
      </c>
      <c r="O1113" s="39">
        <f>H1113-L1113</f>
        <v>-1377.6100000000001</v>
      </c>
      <c r="P1113" s="39" t="e">
        <f>#REF!-M1113</f>
        <v>#REF!</v>
      </c>
      <c r="Q1113" s="39" t="e">
        <f>#REF!-N1113</f>
        <v>#REF!</v>
      </c>
      <c r="R1113" s="17" t="str">
        <f t="shared" si="111"/>
        <v>77 1 00 10010000</v>
      </c>
    </row>
    <row r="1114" spans="1:18" s="4" customFormat="1" ht="31.5">
      <c r="A1114" s="1"/>
      <c r="B1114" s="127" t="s">
        <v>20</v>
      </c>
      <c r="C1114" s="109" t="s">
        <v>595</v>
      </c>
      <c r="D1114" s="108" t="s">
        <v>317</v>
      </c>
      <c r="E1114" s="108" t="s">
        <v>334</v>
      </c>
      <c r="F1114" s="154" t="s">
        <v>693</v>
      </c>
      <c r="G1114" s="108" t="s">
        <v>21</v>
      </c>
      <c r="H1114" s="126">
        <f>SUM(H1115:H1116)</f>
        <v>0</v>
      </c>
      <c r="L1114" s="37">
        <v>144.04</v>
      </c>
      <c r="M1114" s="37">
        <v>144.04</v>
      </c>
      <c r="N1114" s="37">
        <v>144.04</v>
      </c>
      <c r="O1114" s="37">
        <f>H1114-L1114</f>
        <v>-144.04</v>
      </c>
      <c r="P1114" s="37" t="e">
        <f>#REF!-M1114</f>
        <v>#REF!</v>
      </c>
      <c r="Q1114" s="37" t="e">
        <f>#REF!-N1114</f>
        <v>#REF!</v>
      </c>
      <c r="R1114" s="17" t="str">
        <f t="shared" si="111"/>
        <v>77 1 00 10010120</v>
      </c>
    </row>
    <row r="1115" spans="1:18" s="41" customFormat="1" ht="47.25">
      <c r="A1115" s="40"/>
      <c r="B1115" s="127" t="s">
        <v>22</v>
      </c>
      <c r="C1115" s="109" t="s">
        <v>595</v>
      </c>
      <c r="D1115" s="108" t="s">
        <v>317</v>
      </c>
      <c r="E1115" s="108" t="s">
        <v>334</v>
      </c>
      <c r="F1115" s="154" t="s">
        <v>693</v>
      </c>
      <c r="G1115" s="108" t="s">
        <v>23</v>
      </c>
      <c r="H1115" s="126"/>
      <c r="L1115" s="38"/>
      <c r="M1115" s="38"/>
      <c r="N1115" s="38"/>
      <c r="O1115" s="38"/>
      <c r="P1115" s="38"/>
      <c r="Q1115" s="38"/>
      <c r="R1115" s="24"/>
    </row>
    <row r="1116" spans="1:18" s="41" customFormat="1" ht="63">
      <c r="A1116" s="40"/>
      <c r="B1116" s="127" t="s">
        <v>26</v>
      </c>
      <c r="C1116" s="109" t="s">
        <v>595</v>
      </c>
      <c r="D1116" s="108" t="s">
        <v>317</v>
      </c>
      <c r="E1116" s="108" t="s">
        <v>334</v>
      </c>
      <c r="F1116" s="154" t="s">
        <v>693</v>
      </c>
      <c r="G1116" s="108" t="s">
        <v>27</v>
      </c>
      <c r="H1116" s="126"/>
      <c r="L1116" s="38"/>
      <c r="M1116" s="38"/>
      <c r="N1116" s="38"/>
      <c r="O1116" s="38"/>
      <c r="P1116" s="38"/>
      <c r="Q1116" s="38"/>
      <c r="R1116" s="24"/>
    </row>
    <row r="1117" spans="1:18" s="4" customFormat="1" ht="31.5">
      <c r="A1117" s="1"/>
      <c r="B1117" s="125" t="s">
        <v>28</v>
      </c>
      <c r="C1117" s="109" t="s">
        <v>595</v>
      </c>
      <c r="D1117" s="108" t="s">
        <v>317</v>
      </c>
      <c r="E1117" s="108" t="s">
        <v>334</v>
      </c>
      <c r="F1117" s="154" t="s">
        <v>693</v>
      </c>
      <c r="G1117" s="108" t="s">
        <v>29</v>
      </c>
      <c r="H1117" s="126">
        <f>H1118</f>
        <v>0</v>
      </c>
      <c r="L1117" s="37">
        <v>1231.6300000000001</v>
      </c>
      <c r="M1117" s="37">
        <v>992.63</v>
      </c>
      <c r="N1117" s="37">
        <v>992.63</v>
      </c>
      <c r="O1117" s="37">
        <f>H1117-L1117</f>
        <v>-1231.6300000000001</v>
      </c>
      <c r="P1117" s="37" t="e">
        <f>#REF!-M1117</f>
        <v>#REF!</v>
      </c>
      <c r="Q1117" s="37" t="e">
        <f>#REF!-N1117</f>
        <v>#REF!</v>
      </c>
      <c r="R1117" s="17" t="str">
        <f t="shared" si="111"/>
        <v>77 1 00 10010240</v>
      </c>
    </row>
    <row r="1118" spans="1:18" s="4" customFormat="1" ht="15.75">
      <c r="A1118" s="1"/>
      <c r="B1118" s="125" t="s">
        <v>30</v>
      </c>
      <c r="C1118" s="109" t="s">
        <v>595</v>
      </c>
      <c r="D1118" s="108" t="s">
        <v>317</v>
      </c>
      <c r="E1118" s="108" t="s">
        <v>334</v>
      </c>
      <c r="F1118" s="154" t="s">
        <v>693</v>
      </c>
      <c r="G1118" s="108" t="s">
        <v>31</v>
      </c>
      <c r="H1118" s="126"/>
      <c r="L1118" s="37"/>
      <c r="M1118" s="37"/>
      <c r="N1118" s="37"/>
      <c r="O1118" s="37"/>
      <c r="P1118" s="37"/>
      <c r="Q1118" s="37"/>
      <c r="R1118" s="17"/>
    </row>
    <row r="1119" spans="1:18" s="4" customFormat="1" ht="15.75">
      <c r="A1119" s="1"/>
      <c r="B1119" s="125" t="s">
        <v>32</v>
      </c>
      <c r="C1119" s="109" t="s">
        <v>595</v>
      </c>
      <c r="D1119" s="108" t="s">
        <v>317</v>
      </c>
      <c r="E1119" s="108" t="s">
        <v>334</v>
      </c>
      <c r="F1119" s="154" t="s">
        <v>693</v>
      </c>
      <c r="G1119" s="108" t="s">
        <v>33</v>
      </c>
      <c r="H1119" s="126">
        <f>H1120</f>
        <v>0</v>
      </c>
      <c r="L1119" s="37">
        <v>1.94</v>
      </c>
      <c r="M1119" s="37">
        <v>1.94</v>
      </c>
      <c r="N1119" s="37">
        <v>1.94</v>
      </c>
      <c r="O1119" s="37">
        <f>H1119-L1119</f>
        <v>-1.94</v>
      </c>
      <c r="P1119" s="37" t="e">
        <f>#REF!-M1119</f>
        <v>#REF!</v>
      </c>
      <c r="Q1119" s="37" t="e">
        <f>#REF!-N1119</f>
        <v>#REF!</v>
      </c>
      <c r="R1119" s="17" t="str">
        <f t="shared" si="111"/>
        <v>77 1 00 10010850</v>
      </c>
    </row>
    <row r="1120" spans="1:18" s="41" customFormat="1" ht="15.75">
      <c r="A1120" s="40"/>
      <c r="B1120" s="127" t="s">
        <v>36</v>
      </c>
      <c r="C1120" s="109" t="s">
        <v>595</v>
      </c>
      <c r="D1120" s="108" t="s">
        <v>317</v>
      </c>
      <c r="E1120" s="108" t="s">
        <v>334</v>
      </c>
      <c r="F1120" s="154" t="s">
        <v>693</v>
      </c>
      <c r="G1120" s="108" t="s">
        <v>37</v>
      </c>
      <c r="H1120" s="126"/>
      <c r="L1120" s="38"/>
      <c r="M1120" s="38"/>
      <c r="N1120" s="38"/>
      <c r="O1120" s="38"/>
      <c r="P1120" s="38"/>
      <c r="Q1120" s="38"/>
      <c r="R1120" s="24"/>
    </row>
    <row r="1121" spans="1:18" s="4" customFormat="1" ht="31.5">
      <c r="A1121" s="1"/>
      <c r="B1121" s="153" t="s">
        <v>38</v>
      </c>
      <c r="C1121" s="109" t="s">
        <v>595</v>
      </c>
      <c r="D1121" s="108" t="s">
        <v>317</v>
      </c>
      <c r="E1121" s="108" t="s">
        <v>334</v>
      </c>
      <c r="F1121" s="154" t="s">
        <v>694</v>
      </c>
      <c r="G1121" s="108" t="s">
        <v>9</v>
      </c>
      <c r="H1121" s="151">
        <f>H1122</f>
        <v>0</v>
      </c>
      <c r="L1121" s="39">
        <v>6126.9500000000007</v>
      </c>
      <c r="M1121" s="39">
        <v>6126.9500000000007</v>
      </c>
      <c r="N1121" s="39">
        <v>6126.9500000000007</v>
      </c>
      <c r="O1121" s="39">
        <f>H1121-L1121</f>
        <v>-6126.9500000000007</v>
      </c>
      <c r="P1121" s="39" t="e">
        <f>#REF!-M1121</f>
        <v>#REF!</v>
      </c>
      <c r="Q1121" s="39" t="e">
        <f>#REF!-N1121</f>
        <v>#REF!</v>
      </c>
      <c r="R1121" s="17" t="str">
        <f t="shared" si="111"/>
        <v>77 1 00 10020000</v>
      </c>
    </row>
    <row r="1122" spans="1:18" s="4" customFormat="1" ht="31.5">
      <c r="A1122" s="1"/>
      <c r="B1122" s="127" t="s">
        <v>20</v>
      </c>
      <c r="C1122" s="109" t="s">
        <v>595</v>
      </c>
      <c r="D1122" s="108" t="s">
        <v>317</v>
      </c>
      <c r="E1122" s="108" t="s">
        <v>334</v>
      </c>
      <c r="F1122" s="154" t="s">
        <v>694</v>
      </c>
      <c r="G1122" s="108" t="s">
        <v>21</v>
      </c>
      <c r="H1122" s="126">
        <f>SUM(H1123:H1124)</f>
        <v>0</v>
      </c>
      <c r="L1122" s="37">
        <v>6126.9500000000007</v>
      </c>
      <c r="M1122" s="37">
        <v>6126.9500000000007</v>
      </c>
      <c r="N1122" s="37">
        <v>6126.9500000000007</v>
      </c>
      <c r="O1122" s="37">
        <f>H1122-L1122</f>
        <v>-6126.9500000000007</v>
      </c>
      <c r="P1122" s="37" t="e">
        <f>#REF!-M1122</f>
        <v>#REF!</v>
      </c>
      <c r="Q1122" s="37" t="e">
        <f>#REF!-N1122</f>
        <v>#REF!</v>
      </c>
      <c r="R1122" s="17" t="str">
        <f t="shared" si="111"/>
        <v>77 1 00 10020120</v>
      </c>
    </row>
    <row r="1123" spans="1:18" s="41" customFormat="1" ht="31.5">
      <c r="A1123" s="40"/>
      <c r="B1123" s="127" t="s">
        <v>40</v>
      </c>
      <c r="C1123" s="109" t="s">
        <v>595</v>
      </c>
      <c r="D1123" s="108" t="s">
        <v>317</v>
      </c>
      <c r="E1123" s="108" t="s">
        <v>334</v>
      </c>
      <c r="F1123" s="154" t="s">
        <v>694</v>
      </c>
      <c r="G1123" s="108" t="s">
        <v>41</v>
      </c>
      <c r="H1123" s="126"/>
      <c r="L1123" s="38"/>
      <c r="M1123" s="38"/>
      <c r="N1123" s="38"/>
      <c r="O1123" s="38"/>
      <c r="P1123" s="38"/>
      <c r="Q1123" s="38"/>
      <c r="R1123" s="24"/>
    </row>
    <row r="1124" spans="1:18" s="41" customFormat="1" ht="63">
      <c r="A1124" s="40"/>
      <c r="B1124" s="127" t="s">
        <v>26</v>
      </c>
      <c r="C1124" s="109" t="s">
        <v>595</v>
      </c>
      <c r="D1124" s="108" t="s">
        <v>317</v>
      </c>
      <c r="E1124" s="108" t="s">
        <v>334</v>
      </c>
      <c r="F1124" s="154" t="s">
        <v>694</v>
      </c>
      <c r="G1124" s="108" t="s">
        <v>27</v>
      </c>
      <c r="H1124" s="126"/>
      <c r="L1124" s="38"/>
      <c r="M1124" s="38"/>
      <c r="N1124" s="38"/>
      <c r="O1124" s="38"/>
      <c r="P1124" s="38"/>
      <c r="Q1124" s="38"/>
      <c r="R1124" s="24"/>
    </row>
    <row r="1125" spans="1:18" s="4" customFormat="1" ht="63">
      <c r="A1125" s="1" t="s">
        <v>80</v>
      </c>
      <c r="B1125" s="153" t="s">
        <v>695</v>
      </c>
      <c r="C1125" s="109" t="s">
        <v>595</v>
      </c>
      <c r="D1125" s="108" t="s">
        <v>317</v>
      </c>
      <c r="E1125" s="108" t="s">
        <v>334</v>
      </c>
      <c r="F1125" s="154" t="s">
        <v>696</v>
      </c>
      <c r="G1125" s="108" t="s">
        <v>9</v>
      </c>
      <c r="H1125" s="151">
        <f t="shared" ref="H1125" si="118">H1126+H1130</f>
        <v>0</v>
      </c>
      <c r="L1125" s="39">
        <v>1396.91</v>
      </c>
      <c r="M1125" s="39">
        <v>1396.91</v>
      </c>
      <c r="N1125" s="39">
        <v>1396.91</v>
      </c>
      <c r="O1125" s="39">
        <f>H1125-L1125</f>
        <v>-1396.91</v>
      </c>
      <c r="P1125" s="39" t="e">
        <f>#REF!-M1125</f>
        <v>#REF!</v>
      </c>
      <c r="Q1125" s="39" t="e">
        <f>#REF!-N1125</f>
        <v>#REF!</v>
      </c>
      <c r="R1125" s="17" t="str">
        <f t="shared" si="111"/>
        <v>77 1 00 76100000</v>
      </c>
    </row>
    <row r="1126" spans="1:18" s="4" customFormat="1" ht="31.5">
      <c r="A1126" s="1"/>
      <c r="B1126" s="127" t="s">
        <v>20</v>
      </c>
      <c r="C1126" s="109" t="s">
        <v>595</v>
      </c>
      <c r="D1126" s="108" t="s">
        <v>317</v>
      </c>
      <c r="E1126" s="108" t="s">
        <v>334</v>
      </c>
      <c r="F1126" s="154" t="s">
        <v>696</v>
      </c>
      <c r="G1126" s="108" t="s">
        <v>21</v>
      </c>
      <c r="H1126" s="126">
        <f>SUM(H1127:H1129)</f>
        <v>0</v>
      </c>
      <c r="L1126" s="37">
        <v>1193.94</v>
      </c>
      <c r="M1126" s="37">
        <v>1193.94</v>
      </c>
      <c r="N1126" s="37">
        <v>1193.94</v>
      </c>
      <c r="O1126" s="37">
        <f>H1126-L1126</f>
        <v>-1193.94</v>
      </c>
      <c r="P1126" s="37" t="e">
        <f>#REF!-M1126</f>
        <v>#REF!</v>
      </c>
      <c r="Q1126" s="37" t="e">
        <f>#REF!-N1126</f>
        <v>#REF!</v>
      </c>
      <c r="R1126" s="17" t="str">
        <f t="shared" si="111"/>
        <v>77 1 00 76100120</v>
      </c>
    </row>
    <row r="1127" spans="1:18" s="41" customFormat="1" ht="31.5">
      <c r="A1127" s="40"/>
      <c r="B1127" s="127" t="s">
        <v>40</v>
      </c>
      <c r="C1127" s="109" t="s">
        <v>595</v>
      </c>
      <c r="D1127" s="108" t="s">
        <v>317</v>
      </c>
      <c r="E1127" s="108" t="s">
        <v>334</v>
      </c>
      <c r="F1127" s="154" t="s">
        <v>696</v>
      </c>
      <c r="G1127" s="108" t="s">
        <v>41</v>
      </c>
      <c r="H1127" s="126"/>
      <c r="L1127" s="38"/>
      <c r="M1127" s="38"/>
      <c r="N1127" s="38"/>
      <c r="O1127" s="38"/>
      <c r="P1127" s="38"/>
      <c r="Q1127" s="38"/>
      <c r="R1127" s="24"/>
    </row>
    <row r="1128" spans="1:18" s="41" customFormat="1" ht="47.25">
      <c r="A1128" s="40"/>
      <c r="B1128" s="127" t="s">
        <v>22</v>
      </c>
      <c r="C1128" s="109" t="s">
        <v>595</v>
      </c>
      <c r="D1128" s="108" t="s">
        <v>317</v>
      </c>
      <c r="E1128" s="108" t="s">
        <v>334</v>
      </c>
      <c r="F1128" s="154" t="s">
        <v>696</v>
      </c>
      <c r="G1128" s="108" t="s">
        <v>23</v>
      </c>
      <c r="H1128" s="126"/>
      <c r="L1128" s="38"/>
      <c r="M1128" s="38"/>
      <c r="N1128" s="38"/>
      <c r="O1128" s="38"/>
      <c r="P1128" s="38"/>
      <c r="Q1128" s="38"/>
      <c r="R1128" s="24"/>
    </row>
    <row r="1129" spans="1:18" s="41" customFormat="1" ht="63">
      <c r="A1129" s="40"/>
      <c r="B1129" s="127" t="s">
        <v>26</v>
      </c>
      <c r="C1129" s="109" t="s">
        <v>595</v>
      </c>
      <c r="D1129" s="108" t="s">
        <v>317</v>
      </c>
      <c r="E1129" s="108" t="s">
        <v>334</v>
      </c>
      <c r="F1129" s="154" t="s">
        <v>696</v>
      </c>
      <c r="G1129" s="108" t="s">
        <v>27</v>
      </c>
      <c r="H1129" s="126"/>
      <c r="L1129" s="38"/>
      <c r="M1129" s="38"/>
      <c r="N1129" s="38"/>
      <c r="O1129" s="38"/>
      <c r="P1129" s="38"/>
      <c r="Q1129" s="38"/>
      <c r="R1129" s="24"/>
    </row>
    <row r="1130" spans="1:18" s="4" customFormat="1" ht="31.5">
      <c r="A1130" s="1"/>
      <c r="B1130" s="125" t="s">
        <v>28</v>
      </c>
      <c r="C1130" s="109" t="s">
        <v>595</v>
      </c>
      <c r="D1130" s="108" t="s">
        <v>317</v>
      </c>
      <c r="E1130" s="108" t="s">
        <v>334</v>
      </c>
      <c r="F1130" s="154" t="s">
        <v>696</v>
      </c>
      <c r="G1130" s="108" t="s">
        <v>29</v>
      </c>
      <c r="H1130" s="126">
        <f>H1131</f>
        <v>0</v>
      </c>
      <c r="L1130" s="37">
        <v>202.97</v>
      </c>
      <c r="M1130" s="37">
        <v>202.97</v>
      </c>
      <c r="N1130" s="37">
        <v>202.97</v>
      </c>
      <c r="O1130" s="37">
        <f>H1130-L1130</f>
        <v>-202.97</v>
      </c>
      <c r="P1130" s="37" t="e">
        <f>#REF!-M1130</f>
        <v>#REF!</v>
      </c>
      <c r="Q1130" s="37" t="e">
        <f>#REF!-N1130</f>
        <v>#REF!</v>
      </c>
      <c r="R1130" s="17" t="str">
        <f t="shared" si="111"/>
        <v>77 1 00 76100240</v>
      </c>
    </row>
    <row r="1131" spans="1:18" s="4" customFormat="1" ht="15.75">
      <c r="A1131" s="1"/>
      <c r="B1131" s="125" t="s">
        <v>30</v>
      </c>
      <c r="C1131" s="109" t="s">
        <v>595</v>
      </c>
      <c r="D1131" s="108" t="s">
        <v>317</v>
      </c>
      <c r="E1131" s="108" t="s">
        <v>334</v>
      </c>
      <c r="F1131" s="154" t="s">
        <v>696</v>
      </c>
      <c r="G1131" s="108" t="s">
        <v>31</v>
      </c>
      <c r="H1131" s="126"/>
      <c r="L1131" s="37"/>
      <c r="M1131" s="37"/>
      <c r="N1131" s="37"/>
      <c r="O1131" s="37"/>
      <c r="P1131" s="37"/>
      <c r="Q1131" s="37"/>
      <c r="R1131" s="17"/>
    </row>
    <row r="1132" spans="1:18" s="4" customFormat="1" ht="63">
      <c r="A1132" s="1" t="s">
        <v>80</v>
      </c>
      <c r="B1132" s="153" t="s">
        <v>697</v>
      </c>
      <c r="C1132" s="109" t="s">
        <v>595</v>
      </c>
      <c r="D1132" s="108" t="s">
        <v>317</v>
      </c>
      <c r="E1132" s="108" t="s">
        <v>334</v>
      </c>
      <c r="F1132" s="154" t="s">
        <v>698</v>
      </c>
      <c r="G1132" s="108" t="s">
        <v>9</v>
      </c>
      <c r="H1132" s="151">
        <f>H1133+H1137+H1139</f>
        <v>0</v>
      </c>
      <c r="L1132" s="39">
        <v>53542.54</v>
      </c>
      <c r="M1132" s="39">
        <v>53773.21</v>
      </c>
      <c r="N1132" s="39">
        <v>53811.270000000004</v>
      </c>
      <c r="O1132" s="39">
        <f>H1132-L1132</f>
        <v>-53542.54</v>
      </c>
      <c r="P1132" s="39" t="e">
        <f>#REF!-M1132</f>
        <v>#REF!</v>
      </c>
      <c r="Q1132" s="39" t="e">
        <f>#REF!-N1132</f>
        <v>#REF!</v>
      </c>
      <c r="R1132" s="17" t="str">
        <f t="shared" si="111"/>
        <v>77 1 00 76210000</v>
      </c>
    </row>
    <row r="1133" spans="1:18" s="4" customFormat="1" ht="31.5">
      <c r="A1133" s="1"/>
      <c r="B1133" s="127" t="s">
        <v>20</v>
      </c>
      <c r="C1133" s="109" t="s">
        <v>595</v>
      </c>
      <c r="D1133" s="108" t="s">
        <v>317</v>
      </c>
      <c r="E1133" s="108" t="s">
        <v>334</v>
      </c>
      <c r="F1133" s="154" t="s">
        <v>698</v>
      </c>
      <c r="G1133" s="108" t="s">
        <v>21</v>
      </c>
      <c r="H1133" s="126">
        <f>SUM(H1134:H1136)</f>
        <v>0</v>
      </c>
      <c r="L1133" s="37">
        <v>52040.04</v>
      </c>
      <c r="M1133" s="37">
        <v>52140.04</v>
      </c>
      <c r="N1133" s="37">
        <v>52140.04</v>
      </c>
      <c r="O1133" s="37">
        <f>H1133-L1133</f>
        <v>-52040.04</v>
      </c>
      <c r="P1133" s="37" t="e">
        <f>#REF!-M1133</f>
        <v>#REF!</v>
      </c>
      <c r="Q1133" s="37" t="e">
        <f>#REF!-N1133</f>
        <v>#REF!</v>
      </c>
      <c r="R1133" s="17" t="str">
        <f t="shared" si="111"/>
        <v>77 1 00 76210120</v>
      </c>
    </row>
    <row r="1134" spans="1:18" s="41" customFormat="1" ht="31.5">
      <c r="A1134" s="40"/>
      <c r="B1134" s="127" t="s">
        <v>40</v>
      </c>
      <c r="C1134" s="109" t="s">
        <v>595</v>
      </c>
      <c r="D1134" s="108" t="s">
        <v>317</v>
      </c>
      <c r="E1134" s="108" t="s">
        <v>334</v>
      </c>
      <c r="F1134" s="154" t="s">
        <v>698</v>
      </c>
      <c r="G1134" s="108" t="s">
        <v>41</v>
      </c>
      <c r="H1134" s="126"/>
      <c r="L1134" s="38"/>
      <c r="M1134" s="38"/>
      <c r="N1134" s="38"/>
      <c r="O1134" s="38"/>
      <c r="P1134" s="38"/>
      <c r="Q1134" s="38"/>
      <c r="R1134" s="24"/>
    </row>
    <row r="1135" spans="1:18" s="41" customFormat="1" ht="47.25">
      <c r="A1135" s="40"/>
      <c r="B1135" s="127" t="s">
        <v>22</v>
      </c>
      <c r="C1135" s="109" t="s">
        <v>595</v>
      </c>
      <c r="D1135" s="108" t="s">
        <v>317</v>
      </c>
      <c r="E1135" s="108" t="s">
        <v>334</v>
      </c>
      <c r="F1135" s="154" t="s">
        <v>698</v>
      </c>
      <c r="G1135" s="108" t="s">
        <v>23</v>
      </c>
      <c r="H1135" s="126"/>
      <c r="L1135" s="38"/>
      <c r="M1135" s="38"/>
      <c r="N1135" s="38"/>
      <c r="O1135" s="38"/>
      <c r="P1135" s="38"/>
      <c r="Q1135" s="38"/>
      <c r="R1135" s="24"/>
    </row>
    <row r="1136" spans="1:18" s="41" customFormat="1" ht="63">
      <c r="A1136" s="40"/>
      <c r="B1136" s="127" t="s">
        <v>26</v>
      </c>
      <c r="C1136" s="109" t="s">
        <v>595</v>
      </c>
      <c r="D1136" s="108" t="s">
        <v>317</v>
      </c>
      <c r="E1136" s="108" t="s">
        <v>334</v>
      </c>
      <c r="F1136" s="154" t="s">
        <v>698</v>
      </c>
      <c r="G1136" s="108" t="s">
        <v>27</v>
      </c>
      <c r="H1136" s="126"/>
      <c r="L1136" s="38"/>
      <c r="M1136" s="38"/>
      <c r="N1136" s="38"/>
      <c r="O1136" s="38"/>
      <c r="P1136" s="38"/>
      <c r="Q1136" s="38"/>
      <c r="R1136" s="24"/>
    </row>
    <row r="1137" spans="1:18" s="4" customFormat="1" ht="31.5">
      <c r="A1137" s="1"/>
      <c r="B1137" s="125" t="s">
        <v>28</v>
      </c>
      <c r="C1137" s="109" t="s">
        <v>595</v>
      </c>
      <c r="D1137" s="108" t="s">
        <v>317</v>
      </c>
      <c r="E1137" s="108" t="s">
        <v>334</v>
      </c>
      <c r="F1137" s="154" t="s">
        <v>698</v>
      </c>
      <c r="G1137" s="108" t="s">
        <v>29</v>
      </c>
      <c r="H1137" s="126">
        <f>H1138</f>
        <v>0</v>
      </c>
      <c r="L1137" s="37">
        <v>1400</v>
      </c>
      <c r="M1137" s="37">
        <v>1530.67</v>
      </c>
      <c r="N1137" s="37">
        <v>1568.73</v>
      </c>
      <c r="O1137" s="37">
        <f>H1137-L1137</f>
        <v>-1400</v>
      </c>
      <c r="P1137" s="37" t="e">
        <f>#REF!-M1137</f>
        <v>#REF!</v>
      </c>
      <c r="Q1137" s="37" t="e">
        <f>#REF!-N1137</f>
        <v>#REF!</v>
      </c>
      <c r="R1137" s="17" t="str">
        <f t="shared" ref="R1137:R1208" si="119">CONCATENATE(F1137,G1137)</f>
        <v>77 1 00 76210240</v>
      </c>
    </row>
    <row r="1138" spans="1:18" s="4" customFormat="1" ht="15.75">
      <c r="A1138" s="1"/>
      <c r="B1138" s="125" t="s">
        <v>30</v>
      </c>
      <c r="C1138" s="109" t="s">
        <v>595</v>
      </c>
      <c r="D1138" s="108" t="s">
        <v>317</v>
      </c>
      <c r="E1138" s="108" t="s">
        <v>334</v>
      </c>
      <c r="F1138" s="154" t="s">
        <v>698</v>
      </c>
      <c r="G1138" s="108" t="s">
        <v>31</v>
      </c>
      <c r="H1138" s="126"/>
      <c r="L1138" s="37"/>
      <c r="M1138" s="37"/>
      <c r="N1138" s="37"/>
      <c r="O1138" s="37"/>
      <c r="P1138" s="37"/>
      <c r="Q1138" s="37"/>
      <c r="R1138" s="17"/>
    </row>
    <row r="1139" spans="1:18" s="4" customFormat="1" ht="15.75">
      <c r="A1139" s="1"/>
      <c r="B1139" s="125" t="s">
        <v>32</v>
      </c>
      <c r="C1139" s="109" t="s">
        <v>595</v>
      </c>
      <c r="D1139" s="108" t="s">
        <v>317</v>
      </c>
      <c r="E1139" s="108" t="s">
        <v>334</v>
      </c>
      <c r="F1139" s="154" t="s">
        <v>698</v>
      </c>
      <c r="G1139" s="108" t="s">
        <v>33</v>
      </c>
      <c r="H1139" s="126">
        <f>SUM(H1140:H1141)</f>
        <v>0</v>
      </c>
      <c r="L1139" s="37">
        <v>102.5</v>
      </c>
      <c r="M1139" s="37">
        <v>102.5</v>
      </c>
      <c r="N1139" s="37">
        <v>102.5</v>
      </c>
      <c r="O1139" s="37">
        <f>H1139-L1139</f>
        <v>-102.5</v>
      </c>
      <c r="P1139" s="37" t="e">
        <f>#REF!-M1139</f>
        <v>#REF!</v>
      </c>
      <c r="Q1139" s="37" t="e">
        <f>#REF!-N1139</f>
        <v>#REF!</v>
      </c>
      <c r="R1139" s="17" t="str">
        <f t="shared" si="119"/>
        <v>77 1 00 76210850</v>
      </c>
    </row>
    <row r="1140" spans="1:18" s="41" customFormat="1" ht="31.5">
      <c r="A1140" s="40"/>
      <c r="B1140" s="127" t="s">
        <v>34</v>
      </c>
      <c r="C1140" s="109" t="s">
        <v>595</v>
      </c>
      <c r="D1140" s="108" t="s">
        <v>317</v>
      </c>
      <c r="E1140" s="108" t="s">
        <v>334</v>
      </c>
      <c r="F1140" s="154" t="s">
        <v>698</v>
      </c>
      <c r="G1140" s="108" t="s">
        <v>35</v>
      </c>
      <c r="H1140" s="126"/>
      <c r="L1140" s="38"/>
      <c r="M1140" s="38"/>
      <c r="N1140" s="38"/>
      <c r="O1140" s="38"/>
      <c r="P1140" s="38"/>
      <c r="Q1140" s="38"/>
      <c r="R1140" s="24"/>
    </row>
    <row r="1141" spans="1:18" s="41" customFormat="1" ht="15.75">
      <c r="A1141" s="40"/>
      <c r="B1141" s="127" t="s">
        <v>36</v>
      </c>
      <c r="C1141" s="109" t="s">
        <v>595</v>
      </c>
      <c r="D1141" s="108" t="s">
        <v>317</v>
      </c>
      <c r="E1141" s="108" t="s">
        <v>334</v>
      </c>
      <c r="F1141" s="154" t="s">
        <v>698</v>
      </c>
      <c r="G1141" s="108" t="s">
        <v>37</v>
      </c>
      <c r="H1141" s="126"/>
      <c r="L1141" s="38"/>
      <c r="M1141" s="38"/>
      <c r="N1141" s="38"/>
      <c r="O1141" s="38"/>
      <c r="P1141" s="38"/>
      <c r="Q1141" s="38"/>
      <c r="R1141" s="24"/>
    </row>
    <row r="1142" spans="1:18" s="4" customFormat="1" ht="15.75">
      <c r="A1142" s="1"/>
      <c r="B1142" s="125"/>
      <c r="C1142" s="109"/>
      <c r="D1142" s="108"/>
      <c r="E1142" s="108"/>
      <c r="F1142" s="154"/>
      <c r="G1142" s="108"/>
      <c r="H1142" s="152"/>
      <c r="L1142" s="37"/>
      <c r="M1142" s="37"/>
      <c r="N1142" s="37"/>
      <c r="O1142" s="37">
        <f t="shared" ref="O1142:O1150" si="120">H1142-L1142</f>
        <v>0</v>
      </c>
      <c r="P1142" s="37" t="e">
        <f>#REF!-M1142</f>
        <v>#REF!</v>
      </c>
      <c r="Q1142" s="37" t="e">
        <f>#REF!-N1142</f>
        <v>#REF!</v>
      </c>
      <c r="R1142" s="17" t="str">
        <f t="shared" si="119"/>
        <v/>
      </c>
    </row>
    <row r="1143" spans="1:18" s="16" customFormat="1" ht="31.5">
      <c r="A1143" s="14"/>
      <c r="B1143" s="67" t="s">
        <v>699</v>
      </c>
      <c r="C1143" s="116" t="s">
        <v>406</v>
      </c>
      <c r="D1143" s="69" t="s">
        <v>7</v>
      </c>
      <c r="E1143" s="69" t="s">
        <v>7</v>
      </c>
      <c r="F1143" s="69" t="s">
        <v>8</v>
      </c>
      <c r="G1143" s="69" t="s">
        <v>9</v>
      </c>
      <c r="H1143" s="70">
        <f>H1144+H1158</f>
        <v>0</v>
      </c>
      <c r="L1143" s="25">
        <v>189408.93999999997</v>
      </c>
      <c r="M1143" s="25">
        <v>186094.75999999998</v>
      </c>
      <c r="N1143" s="25">
        <v>186094.75999999998</v>
      </c>
      <c r="O1143" s="25">
        <f t="shared" si="120"/>
        <v>-189408.93999999997</v>
      </c>
      <c r="P1143" s="25" t="e">
        <f>#REF!-M1143</f>
        <v>#REF!</v>
      </c>
      <c r="Q1143" s="25" t="e">
        <f>#REF!-N1143</f>
        <v>#REF!</v>
      </c>
      <c r="R1143" s="17" t="str">
        <f t="shared" si="119"/>
        <v>00 0 00 00000000</v>
      </c>
    </row>
    <row r="1144" spans="1:18" s="16" customFormat="1" ht="15.75">
      <c r="A1144" s="14"/>
      <c r="B1144" s="117" t="s">
        <v>228</v>
      </c>
      <c r="C1144" s="118" t="s">
        <v>406</v>
      </c>
      <c r="D1144" s="119" t="s">
        <v>229</v>
      </c>
      <c r="E1144" s="119" t="s">
        <v>7</v>
      </c>
      <c r="F1144" s="119" t="s">
        <v>8</v>
      </c>
      <c r="G1144" s="119" t="s">
        <v>9</v>
      </c>
      <c r="H1144" s="120">
        <f>H1145</f>
        <v>0</v>
      </c>
      <c r="L1144" s="18">
        <v>153120.24999999997</v>
      </c>
      <c r="M1144" s="18">
        <v>151306.06999999998</v>
      </c>
      <c r="N1144" s="18">
        <v>151306.06999999998</v>
      </c>
      <c r="O1144" s="18">
        <f t="shared" si="120"/>
        <v>-153120.24999999997</v>
      </c>
      <c r="P1144" s="18" t="e">
        <f>#REF!-M1144</f>
        <v>#REF!</v>
      </c>
      <c r="Q1144" s="18" t="e">
        <f>#REF!-N1144</f>
        <v>#REF!</v>
      </c>
      <c r="R1144" s="17" t="str">
        <f t="shared" si="119"/>
        <v>00 0 00 00000000</v>
      </c>
    </row>
    <row r="1145" spans="1:18" s="16" customFormat="1" ht="15.75">
      <c r="A1145" s="14"/>
      <c r="B1145" s="121" t="s">
        <v>458</v>
      </c>
      <c r="C1145" s="122" t="s">
        <v>406</v>
      </c>
      <c r="D1145" s="123" t="s">
        <v>229</v>
      </c>
      <c r="E1145" s="123" t="s">
        <v>13</v>
      </c>
      <c r="F1145" s="123" t="s">
        <v>8</v>
      </c>
      <c r="G1145" s="123" t="s">
        <v>9</v>
      </c>
      <c r="H1145" s="124">
        <f>H1146+H1152</f>
        <v>0</v>
      </c>
      <c r="L1145" s="19">
        <v>153120.24999999997</v>
      </c>
      <c r="M1145" s="19">
        <v>151306.06999999998</v>
      </c>
      <c r="N1145" s="19">
        <v>151306.06999999998</v>
      </c>
      <c r="O1145" s="19">
        <f t="shared" si="120"/>
        <v>-153120.24999999997</v>
      </c>
      <c r="P1145" s="19" t="e">
        <f>#REF!-M1145</f>
        <v>#REF!</v>
      </c>
      <c r="Q1145" s="19" t="e">
        <f>#REF!-N1145</f>
        <v>#REF!</v>
      </c>
      <c r="R1145" s="17" t="str">
        <f t="shared" si="119"/>
        <v>00 0 00 00000000</v>
      </c>
    </row>
    <row r="1146" spans="1:18" s="16" customFormat="1" ht="31.5">
      <c r="A1146" s="14"/>
      <c r="B1146" s="125" t="s">
        <v>700</v>
      </c>
      <c r="C1146" s="109" t="s">
        <v>406</v>
      </c>
      <c r="D1146" s="108" t="s">
        <v>229</v>
      </c>
      <c r="E1146" s="108" t="s">
        <v>13</v>
      </c>
      <c r="F1146" s="108" t="s">
        <v>701</v>
      </c>
      <c r="G1146" s="108" t="s">
        <v>9</v>
      </c>
      <c r="H1146" s="126">
        <f t="shared" ref="H1146:H1149" si="121">H1147</f>
        <v>0</v>
      </c>
      <c r="L1146" s="20">
        <v>152886.69999999998</v>
      </c>
      <c r="M1146" s="20">
        <v>151072.51999999999</v>
      </c>
      <c r="N1146" s="20">
        <v>151072.51999999999</v>
      </c>
      <c r="O1146" s="20">
        <f t="shared" si="120"/>
        <v>-152886.69999999998</v>
      </c>
      <c r="P1146" s="20" t="e">
        <f>#REF!-M1146</f>
        <v>#REF!</v>
      </c>
      <c r="Q1146" s="20" t="e">
        <f>#REF!-N1146</f>
        <v>#REF!</v>
      </c>
      <c r="R1146" s="17" t="str">
        <f t="shared" si="119"/>
        <v>08 0 00 00000000</v>
      </c>
    </row>
    <row r="1147" spans="1:18" s="16" customFormat="1" ht="47.25">
      <c r="A1147" s="14"/>
      <c r="B1147" s="125" t="s">
        <v>702</v>
      </c>
      <c r="C1147" s="109" t="s">
        <v>406</v>
      </c>
      <c r="D1147" s="108" t="s">
        <v>229</v>
      </c>
      <c r="E1147" s="108" t="s">
        <v>13</v>
      </c>
      <c r="F1147" s="108" t="s">
        <v>703</v>
      </c>
      <c r="G1147" s="108" t="s">
        <v>9</v>
      </c>
      <c r="H1147" s="126">
        <f t="shared" si="121"/>
        <v>0</v>
      </c>
      <c r="L1147" s="20">
        <v>152886.69999999998</v>
      </c>
      <c r="M1147" s="20">
        <v>151072.51999999999</v>
      </c>
      <c r="N1147" s="20">
        <v>151072.51999999999</v>
      </c>
      <c r="O1147" s="20">
        <f t="shared" si="120"/>
        <v>-152886.69999999998</v>
      </c>
      <c r="P1147" s="20" t="e">
        <f>#REF!-M1147</f>
        <v>#REF!</v>
      </c>
      <c r="Q1147" s="20" t="e">
        <f>#REF!-N1147</f>
        <v>#REF!</v>
      </c>
      <c r="R1147" s="17" t="str">
        <f t="shared" si="119"/>
        <v>08 1 00 00000000</v>
      </c>
    </row>
    <row r="1148" spans="1:18" s="16" customFormat="1" ht="63">
      <c r="A1148" s="14"/>
      <c r="B1148" s="125" t="s">
        <v>704</v>
      </c>
      <c r="C1148" s="109" t="s">
        <v>406</v>
      </c>
      <c r="D1148" s="108" t="s">
        <v>229</v>
      </c>
      <c r="E1148" s="108" t="s">
        <v>13</v>
      </c>
      <c r="F1148" s="108" t="s">
        <v>705</v>
      </c>
      <c r="G1148" s="108" t="s">
        <v>9</v>
      </c>
      <c r="H1148" s="126">
        <f>H1149</f>
        <v>0</v>
      </c>
      <c r="L1148" s="20">
        <v>152886.69999999998</v>
      </c>
      <c r="M1148" s="20">
        <v>151072.51999999999</v>
      </c>
      <c r="N1148" s="20">
        <v>151072.51999999999</v>
      </c>
      <c r="O1148" s="20">
        <f t="shared" si="120"/>
        <v>-152886.69999999998</v>
      </c>
      <c r="P1148" s="20" t="e">
        <f>#REF!-M1148</f>
        <v>#REF!</v>
      </c>
      <c r="Q1148" s="20" t="e">
        <f>#REF!-N1148</f>
        <v>#REF!</v>
      </c>
      <c r="R1148" s="17" t="str">
        <f t="shared" si="119"/>
        <v>08 1 01 00000000</v>
      </c>
    </row>
    <row r="1149" spans="1:18" s="16" customFormat="1" ht="31.5">
      <c r="A1149" s="14"/>
      <c r="B1149" s="127" t="s">
        <v>136</v>
      </c>
      <c r="C1149" s="109" t="s">
        <v>406</v>
      </c>
      <c r="D1149" s="108" t="s">
        <v>229</v>
      </c>
      <c r="E1149" s="108" t="s">
        <v>13</v>
      </c>
      <c r="F1149" s="108" t="s">
        <v>706</v>
      </c>
      <c r="G1149" s="108" t="s">
        <v>9</v>
      </c>
      <c r="H1149" s="126">
        <f t="shared" si="121"/>
        <v>0</v>
      </c>
      <c r="L1149" s="20">
        <v>152886.69999999998</v>
      </c>
      <c r="M1149" s="20">
        <v>151072.51999999999</v>
      </c>
      <c r="N1149" s="20">
        <v>151072.51999999999</v>
      </c>
      <c r="O1149" s="20">
        <f t="shared" si="120"/>
        <v>-152886.69999999998</v>
      </c>
      <c r="P1149" s="20" t="e">
        <f>#REF!-M1149</f>
        <v>#REF!</v>
      </c>
      <c r="Q1149" s="20" t="e">
        <f>#REF!-N1149</f>
        <v>#REF!</v>
      </c>
      <c r="R1149" s="17" t="str">
        <f t="shared" si="119"/>
        <v>08 1 01 11010000</v>
      </c>
    </row>
    <row r="1150" spans="1:18" s="16" customFormat="1" ht="15.75">
      <c r="A1150" s="14"/>
      <c r="B1150" s="132" t="s">
        <v>403</v>
      </c>
      <c r="C1150" s="109" t="s">
        <v>406</v>
      </c>
      <c r="D1150" s="108" t="s">
        <v>229</v>
      </c>
      <c r="E1150" s="108" t="s">
        <v>13</v>
      </c>
      <c r="F1150" s="108" t="s">
        <v>706</v>
      </c>
      <c r="G1150" s="108" t="s">
        <v>404</v>
      </c>
      <c r="H1150" s="126">
        <f>H1151</f>
        <v>0</v>
      </c>
      <c r="L1150" s="20">
        <v>152886.69999999998</v>
      </c>
      <c r="M1150" s="20">
        <v>151072.51999999999</v>
      </c>
      <c r="N1150" s="20">
        <v>151072.51999999999</v>
      </c>
      <c r="O1150" s="20">
        <f t="shared" si="120"/>
        <v>-152886.69999999998</v>
      </c>
      <c r="P1150" s="20" t="e">
        <f>#REF!-M1150</f>
        <v>#REF!</v>
      </c>
      <c r="Q1150" s="20" t="e">
        <f>#REF!-N1150</f>
        <v>#REF!</v>
      </c>
      <c r="R1150" s="17" t="str">
        <f t="shared" si="119"/>
        <v>08 1 01 11010610</v>
      </c>
    </row>
    <row r="1151" spans="1:18" s="23" customFormat="1" ht="63">
      <c r="A1151" s="21"/>
      <c r="B1151" s="127" t="s">
        <v>405</v>
      </c>
      <c r="C1151" s="109" t="s">
        <v>406</v>
      </c>
      <c r="D1151" s="108" t="s">
        <v>229</v>
      </c>
      <c r="E1151" s="108" t="s">
        <v>13</v>
      </c>
      <c r="F1151" s="108" t="s">
        <v>706</v>
      </c>
      <c r="G1151" s="108" t="s">
        <v>406</v>
      </c>
      <c r="H1151" s="126"/>
      <c r="L1151" s="22"/>
      <c r="M1151" s="22"/>
      <c r="N1151" s="22"/>
      <c r="O1151" s="22"/>
      <c r="P1151" s="22"/>
      <c r="Q1151" s="22"/>
      <c r="R1151" s="24"/>
    </row>
    <row r="1152" spans="1:18" s="16" customFormat="1" ht="94.5">
      <c r="A1152" s="14"/>
      <c r="B1152" s="125" t="s">
        <v>420</v>
      </c>
      <c r="C1152" s="109" t="s">
        <v>406</v>
      </c>
      <c r="D1152" s="108" t="s">
        <v>229</v>
      </c>
      <c r="E1152" s="108" t="s">
        <v>13</v>
      </c>
      <c r="F1152" s="108" t="s">
        <v>421</v>
      </c>
      <c r="G1152" s="108" t="s">
        <v>9</v>
      </c>
      <c r="H1152" s="126">
        <f t="shared" ref="H1152:H1155" si="122">H1153</f>
        <v>0</v>
      </c>
      <c r="L1152" s="20">
        <v>233.55</v>
      </c>
      <c r="M1152" s="20">
        <v>233.55</v>
      </c>
      <c r="N1152" s="20">
        <v>233.55</v>
      </c>
      <c r="O1152" s="20">
        <f>H1152-L1152</f>
        <v>-233.55</v>
      </c>
      <c r="P1152" s="20" t="e">
        <f>#REF!-M1152</f>
        <v>#REF!</v>
      </c>
      <c r="Q1152" s="20" t="e">
        <f>#REF!-N1152</f>
        <v>#REF!</v>
      </c>
      <c r="R1152" s="17" t="str">
        <f t="shared" si="119"/>
        <v>16 0 00 00000000</v>
      </c>
    </row>
    <row r="1153" spans="1:18" s="16" customFormat="1" ht="31.5">
      <c r="A1153" s="14"/>
      <c r="B1153" s="125" t="s">
        <v>422</v>
      </c>
      <c r="C1153" s="109" t="s">
        <v>406</v>
      </c>
      <c r="D1153" s="108" t="s">
        <v>229</v>
      </c>
      <c r="E1153" s="108" t="s">
        <v>13</v>
      </c>
      <c r="F1153" s="108" t="s">
        <v>423</v>
      </c>
      <c r="G1153" s="108" t="s">
        <v>9</v>
      </c>
      <c r="H1153" s="126">
        <f t="shared" si="122"/>
        <v>0</v>
      </c>
      <c r="L1153" s="20">
        <v>233.55</v>
      </c>
      <c r="M1153" s="20">
        <v>233.55</v>
      </c>
      <c r="N1153" s="20">
        <v>233.55</v>
      </c>
      <c r="O1153" s="20">
        <f>H1153-L1153</f>
        <v>-233.55</v>
      </c>
      <c r="P1153" s="20" t="e">
        <f>#REF!-M1153</f>
        <v>#REF!</v>
      </c>
      <c r="Q1153" s="20" t="e">
        <f>#REF!-N1153</f>
        <v>#REF!</v>
      </c>
      <c r="R1153" s="17" t="str">
        <f t="shared" si="119"/>
        <v>16 2 00 00000000</v>
      </c>
    </row>
    <row r="1154" spans="1:18" s="16" customFormat="1" ht="47.25">
      <c r="A1154" s="14"/>
      <c r="B1154" s="125" t="s">
        <v>424</v>
      </c>
      <c r="C1154" s="109" t="s">
        <v>406</v>
      </c>
      <c r="D1154" s="108" t="s">
        <v>229</v>
      </c>
      <c r="E1154" s="108" t="s">
        <v>13</v>
      </c>
      <c r="F1154" s="108" t="s">
        <v>425</v>
      </c>
      <c r="G1154" s="108" t="s">
        <v>9</v>
      </c>
      <c r="H1154" s="126">
        <f t="shared" si="122"/>
        <v>0</v>
      </c>
      <c r="L1154" s="20">
        <v>233.55</v>
      </c>
      <c r="M1154" s="20">
        <v>233.55</v>
      </c>
      <c r="N1154" s="20">
        <v>233.55</v>
      </c>
      <c r="O1154" s="20">
        <f>H1154-L1154</f>
        <v>-233.55</v>
      </c>
      <c r="P1154" s="20" t="e">
        <f>#REF!-M1154</f>
        <v>#REF!</v>
      </c>
      <c r="Q1154" s="20" t="e">
        <f>#REF!-N1154</f>
        <v>#REF!</v>
      </c>
      <c r="R1154" s="17" t="str">
        <f t="shared" si="119"/>
        <v>16 2 02 00000000</v>
      </c>
    </row>
    <row r="1155" spans="1:18" s="16" customFormat="1" ht="47.25">
      <c r="A1155" s="14"/>
      <c r="B1155" s="125" t="s">
        <v>426</v>
      </c>
      <c r="C1155" s="109" t="s">
        <v>406</v>
      </c>
      <c r="D1155" s="108" t="s">
        <v>229</v>
      </c>
      <c r="E1155" s="108" t="s">
        <v>13</v>
      </c>
      <c r="F1155" s="108" t="s">
        <v>427</v>
      </c>
      <c r="G1155" s="108" t="s">
        <v>9</v>
      </c>
      <c r="H1155" s="126">
        <f t="shared" si="122"/>
        <v>0</v>
      </c>
      <c r="L1155" s="20">
        <v>233.55</v>
      </c>
      <c r="M1155" s="20">
        <v>233.55</v>
      </c>
      <c r="N1155" s="20">
        <v>233.55</v>
      </c>
      <c r="O1155" s="20">
        <f>H1155-L1155</f>
        <v>-233.55</v>
      </c>
      <c r="P1155" s="20" t="e">
        <f>#REF!-M1155</f>
        <v>#REF!</v>
      </c>
      <c r="Q1155" s="20" t="e">
        <f>#REF!-N1155</f>
        <v>#REF!</v>
      </c>
      <c r="R1155" s="17" t="str">
        <f t="shared" si="119"/>
        <v>16 2 02 20550000</v>
      </c>
    </row>
    <row r="1156" spans="1:18" s="16" customFormat="1" ht="15.75">
      <c r="A1156" s="14"/>
      <c r="B1156" s="132" t="s">
        <v>403</v>
      </c>
      <c r="C1156" s="109" t="s">
        <v>406</v>
      </c>
      <c r="D1156" s="108" t="s">
        <v>229</v>
      </c>
      <c r="E1156" s="108" t="s">
        <v>13</v>
      </c>
      <c r="F1156" s="108" t="s">
        <v>427</v>
      </c>
      <c r="G1156" s="108" t="s">
        <v>404</v>
      </c>
      <c r="H1156" s="126">
        <f>H1157</f>
        <v>0</v>
      </c>
      <c r="L1156" s="20">
        <v>233.55</v>
      </c>
      <c r="M1156" s="20">
        <v>233.55</v>
      </c>
      <c r="N1156" s="20">
        <v>233.55</v>
      </c>
      <c r="O1156" s="20">
        <f>H1156-L1156</f>
        <v>-233.55</v>
      </c>
      <c r="P1156" s="20" t="e">
        <f>#REF!-M1156</f>
        <v>#REF!</v>
      </c>
      <c r="Q1156" s="20" t="e">
        <f>#REF!-N1156</f>
        <v>#REF!</v>
      </c>
      <c r="R1156" s="17" t="str">
        <f t="shared" si="119"/>
        <v>16 2 02 20550610</v>
      </c>
    </row>
    <row r="1157" spans="1:18" s="16" customFormat="1" ht="15.75">
      <c r="A1157" s="14"/>
      <c r="B1157" s="127" t="s">
        <v>407</v>
      </c>
      <c r="C1157" s="109" t="s">
        <v>406</v>
      </c>
      <c r="D1157" s="108" t="s">
        <v>229</v>
      </c>
      <c r="E1157" s="108" t="s">
        <v>13</v>
      </c>
      <c r="F1157" s="108" t="s">
        <v>427</v>
      </c>
      <c r="G1157" s="108" t="s">
        <v>408</v>
      </c>
      <c r="H1157" s="126"/>
      <c r="L1157" s="20"/>
      <c r="M1157" s="20"/>
      <c r="N1157" s="20"/>
      <c r="O1157" s="20"/>
      <c r="P1157" s="20"/>
      <c r="Q1157" s="20"/>
      <c r="R1157" s="17"/>
    </row>
    <row r="1158" spans="1:18" s="16" customFormat="1" ht="15.75">
      <c r="A1158" s="14"/>
      <c r="B1158" s="117" t="s">
        <v>707</v>
      </c>
      <c r="C1158" s="118" t="s">
        <v>406</v>
      </c>
      <c r="D1158" s="119" t="s">
        <v>342</v>
      </c>
      <c r="E1158" s="119" t="s">
        <v>7</v>
      </c>
      <c r="F1158" s="119" t="s">
        <v>8</v>
      </c>
      <c r="G1158" s="119" t="s">
        <v>9</v>
      </c>
      <c r="H1158" s="120">
        <f>H1159+H1166+H1188+H1195</f>
        <v>0</v>
      </c>
      <c r="L1158" s="18">
        <v>36288.69</v>
      </c>
      <c r="M1158" s="18">
        <v>34788.69</v>
      </c>
      <c r="N1158" s="18">
        <v>34788.69</v>
      </c>
      <c r="O1158" s="18">
        <f t="shared" ref="O1158:O1164" si="123">H1158-L1158</f>
        <v>-36288.69</v>
      </c>
      <c r="P1158" s="18" t="e">
        <f>#REF!-M1158</f>
        <v>#REF!</v>
      </c>
      <c r="Q1158" s="18" t="e">
        <f>#REF!-N1158</f>
        <v>#REF!</v>
      </c>
      <c r="R1158" s="17" t="str">
        <f t="shared" si="119"/>
        <v>00 0 00 00000000</v>
      </c>
    </row>
    <row r="1159" spans="1:18" s="16" customFormat="1" ht="15.75">
      <c r="A1159" s="14"/>
      <c r="B1159" s="121" t="s">
        <v>708</v>
      </c>
      <c r="C1159" s="122" t="s">
        <v>406</v>
      </c>
      <c r="D1159" s="123" t="s">
        <v>342</v>
      </c>
      <c r="E1159" s="123" t="s">
        <v>11</v>
      </c>
      <c r="F1159" s="123" t="s">
        <v>8</v>
      </c>
      <c r="G1159" s="123" t="s">
        <v>9</v>
      </c>
      <c r="H1159" s="124">
        <f t="shared" ref="H1159:H1163" si="124">H1160</f>
        <v>0</v>
      </c>
      <c r="L1159" s="19">
        <v>2903.54</v>
      </c>
      <c r="M1159" s="19">
        <v>2903.54</v>
      </c>
      <c r="N1159" s="19">
        <v>2903.54</v>
      </c>
      <c r="O1159" s="19">
        <f t="shared" si="123"/>
        <v>-2903.54</v>
      </c>
      <c r="P1159" s="19" t="e">
        <f>#REF!-M1159</f>
        <v>#REF!</v>
      </c>
      <c r="Q1159" s="19" t="e">
        <f>#REF!-N1159</f>
        <v>#REF!</v>
      </c>
      <c r="R1159" s="17" t="str">
        <f t="shared" si="119"/>
        <v>00 0 00 00000000</v>
      </c>
    </row>
    <row r="1160" spans="1:18" s="16" customFormat="1" ht="31.5">
      <c r="A1160" s="14"/>
      <c r="B1160" s="125" t="s">
        <v>700</v>
      </c>
      <c r="C1160" s="109" t="s">
        <v>406</v>
      </c>
      <c r="D1160" s="108" t="s">
        <v>342</v>
      </c>
      <c r="E1160" s="108" t="s">
        <v>11</v>
      </c>
      <c r="F1160" s="108" t="s">
        <v>701</v>
      </c>
      <c r="G1160" s="108" t="s">
        <v>9</v>
      </c>
      <c r="H1160" s="126">
        <f t="shared" si="124"/>
        <v>0</v>
      </c>
      <c r="L1160" s="20">
        <v>2903.54</v>
      </c>
      <c r="M1160" s="20">
        <v>2903.54</v>
      </c>
      <c r="N1160" s="20">
        <v>2903.54</v>
      </c>
      <c r="O1160" s="20">
        <f t="shared" si="123"/>
        <v>-2903.54</v>
      </c>
      <c r="P1160" s="20" t="e">
        <f>#REF!-M1160</f>
        <v>#REF!</v>
      </c>
      <c r="Q1160" s="20" t="e">
        <f>#REF!-N1160</f>
        <v>#REF!</v>
      </c>
      <c r="R1160" s="17" t="str">
        <f t="shared" si="119"/>
        <v>08 0 00 00000000</v>
      </c>
    </row>
    <row r="1161" spans="1:18" s="16" customFormat="1" ht="47.25">
      <c r="A1161" s="14"/>
      <c r="B1161" s="125" t="s">
        <v>702</v>
      </c>
      <c r="C1161" s="109" t="s">
        <v>406</v>
      </c>
      <c r="D1161" s="108" t="s">
        <v>342</v>
      </c>
      <c r="E1161" s="108" t="s">
        <v>11</v>
      </c>
      <c r="F1161" s="108" t="s">
        <v>703</v>
      </c>
      <c r="G1161" s="108" t="s">
        <v>9</v>
      </c>
      <c r="H1161" s="126">
        <f>H1162</f>
        <v>0</v>
      </c>
      <c r="L1161" s="20">
        <v>2903.54</v>
      </c>
      <c r="M1161" s="20">
        <v>2903.54</v>
      </c>
      <c r="N1161" s="20">
        <v>2903.54</v>
      </c>
      <c r="O1161" s="20">
        <f t="shared" si="123"/>
        <v>-2903.54</v>
      </c>
      <c r="P1161" s="20" t="e">
        <f>#REF!-M1161</f>
        <v>#REF!</v>
      </c>
      <c r="Q1161" s="20" t="e">
        <f>#REF!-N1161</f>
        <v>#REF!</v>
      </c>
      <c r="R1161" s="17" t="str">
        <f t="shared" si="119"/>
        <v>08 1 00 00000000</v>
      </c>
    </row>
    <row r="1162" spans="1:18" s="16" customFormat="1" ht="31.5">
      <c r="A1162" s="14"/>
      <c r="B1162" s="129" t="s">
        <v>709</v>
      </c>
      <c r="C1162" s="130" t="s">
        <v>406</v>
      </c>
      <c r="D1162" s="131" t="s">
        <v>342</v>
      </c>
      <c r="E1162" s="131" t="s">
        <v>11</v>
      </c>
      <c r="F1162" s="131" t="s">
        <v>710</v>
      </c>
      <c r="G1162" s="131" t="s">
        <v>9</v>
      </c>
      <c r="H1162" s="105">
        <f>H1163</f>
        <v>0</v>
      </c>
      <c r="L1162" s="26">
        <v>2903.54</v>
      </c>
      <c r="M1162" s="26">
        <v>2903.54</v>
      </c>
      <c r="N1162" s="26">
        <v>2903.54</v>
      </c>
      <c r="O1162" s="26">
        <f t="shared" si="123"/>
        <v>-2903.54</v>
      </c>
      <c r="P1162" s="26" t="e">
        <f>#REF!-M1162</f>
        <v>#REF!</v>
      </c>
      <c r="Q1162" s="26" t="e">
        <f>#REF!-N1162</f>
        <v>#REF!</v>
      </c>
      <c r="R1162" s="17" t="str">
        <f t="shared" si="119"/>
        <v>08 1 02 00000000</v>
      </c>
    </row>
    <row r="1163" spans="1:18" s="16" customFormat="1" ht="31.5">
      <c r="A1163" s="14"/>
      <c r="B1163" s="127" t="s">
        <v>136</v>
      </c>
      <c r="C1163" s="130" t="s">
        <v>406</v>
      </c>
      <c r="D1163" s="131" t="s">
        <v>342</v>
      </c>
      <c r="E1163" s="131" t="s">
        <v>11</v>
      </c>
      <c r="F1163" s="131" t="s">
        <v>711</v>
      </c>
      <c r="G1163" s="131" t="s">
        <v>9</v>
      </c>
      <c r="H1163" s="105">
        <f t="shared" si="124"/>
        <v>0</v>
      </c>
      <c r="L1163" s="26">
        <v>2903.54</v>
      </c>
      <c r="M1163" s="26">
        <v>2903.54</v>
      </c>
      <c r="N1163" s="26">
        <v>2903.54</v>
      </c>
      <c r="O1163" s="26">
        <f t="shared" si="123"/>
        <v>-2903.54</v>
      </c>
      <c r="P1163" s="26" t="e">
        <f>#REF!-M1163</f>
        <v>#REF!</v>
      </c>
      <c r="Q1163" s="26" t="e">
        <f>#REF!-N1163</f>
        <v>#REF!</v>
      </c>
      <c r="R1163" s="17" t="str">
        <f t="shared" si="119"/>
        <v>08 1 02 11010000</v>
      </c>
    </row>
    <row r="1164" spans="1:18" s="16" customFormat="1" ht="15.75">
      <c r="A1164" s="14"/>
      <c r="B1164" s="132" t="s">
        <v>403</v>
      </c>
      <c r="C1164" s="130" t="s">
        <v>406</v>
      </c>
      <c r="D1164" s="131" t="s">
        <v>342</v>
      </c>
      <c r="E1164" s="131" t="s">
        <v>11</v>
      </c>
      <c r="F1164" s="131" t="s">
        <v>711</v>
      </c>
      <c r="G1164" s="131" t="s">
        <v>404</v>
      </c>
      <c r="H1164" s="126">
        <f>H1165</f>
        <v>0</v>
      </c>
      <c r="L1164" s="20">
        <v>2903.54</v>
      </c>
      <c r="M1164" s="20">
        <v>2903.54</v>
      </c>
      <c r="N1164" s="20">
        <v>2903.54</v>
      </c>
      <c r="O1164" s="20">
        <f t="shared" si="123"/>
        <v>-2903.54</v>
      </c>
      <c r="P1164" s="20" t="e">
        <f>#REF!-M1164</f>
        <v>#REF!</v>
      </c>
      <c r="Q1164" s="20" t="e">
        <f>#REF!-N1164</f>
        <v>#REF!</v>
      </c>
      <c r="R1164" s="17" t="str">
        <f t="shared" si="119"/>
        <v>08 1 02 11010610</v>
      </c>
    </row>
    <row r="1165" spans="1:18" s="23" customFormat="1" ht="63">
      <c r="A1165" s="21"/>
      <c r="B1165" s="127" t="s">
        <v>405</v>
      </c>
      <c r="C1165" s="130" t="s">
        <v>406</v>
      </c>
      <c r="D1165" s="131" t="s">
        <v>342</v>
      </c>
      <c r="E1165" s="131" t="s">
        <v>11</v>
      </c>
      <c r="F1165" s="131" t="s">
        <v>711</v>
      </c>
      <c r="G1165" s="108" t="s">
        <v>406</v>
      </c>
      <c r="H1165" s="126"/>
      <c r="L1165" s="22"/>
      <c r="M1165" s="22"/>
      <c r="N1165" s="22"/>
      <c r="O1165" s="22"/>
      <c r="P1165" s="22"/>
      <c r="Q1165" s="22"/>
      <c r="R1165" s="24"/>
    </row>
    <row r="1166" spans="1:18" s="16" customFormat="1" ht="15.75">
      <c r="A1166" s="14"/>
      <c r="B1166" s="121" t="s">
        <v>712</v>
      </c>
      <c r="C1166" s="122" t="s">
        <v>406</v>
      </c>
      <c r="D1166" s="123" t="s">
        <v>342</v>
      </c>
      <c r="E1166" s="123" t="s">
        <v>62</v>
      </c>
      <c r="F1166" s="123" t="s">
        <v>8</v>
      </c>
      <c r="G1166" s="123" t="s">
        <v>9</v>
      </c>
      <c r="H1166" s="124">
        <f>H1167</f>
        <v>0</v>
      </c>
      <c r="L1166" s="19">
        <v>14924</v>
      </c>
      <c r="M1166" s="19">
        <v>14924</v>
      </c>
      <c r="N1166" s="19">
        <v>14924</v>
      </c>
      <c r="O1166" s="19">
        <f t="shared" ref="O1166:O1171" si="125">H1166-L1166</f>
        <v>-14924</v>
      </c>
      <c r="P1166" s="19" t="e">
        <f>#REF!-M1166</f>
        <v>#REF!</v>
      </c>
      <c r="Q1166" s="19" t="e">
        <f>#REF!-N1166</f>
        <v>#REF!</v>
      </c>
      <c r="R1166" s="17" t="str">
        <f t="shared" si="119"/>
        <v>00 0 00 00000000</v>
      </c>
    </row>
    <row r="1167" spans="1:18" s="16" customFormat="1" ht="31.5">
      <c r="A1167" s="14"/>
      <c r="B1167" s="125" t="s">
        <v>700</v>
      </c>
      <c r="C1167" s="109" t="s">
        <v>406</v>
      </c>
      <c r="D1167" s="108" t="s">
        <v>342</v>
      </c>
      <c r="E1167" s="108" t="s">
        <v>62</v>
      </c>
      <c r="F1167" s="108" t="s">
        <v>701</v>
      </c>
      <c r="G1167" s="108" t="s">
        <v>9</v>
      </c>
      <c r="H1167" s="126">
        <f>H1168+H1173</f>
        <v>0</v>
      </c>
      <c r="L1167" s="20">
        <v>14924</v>
      </c>
      <c r="M1167" s="20">
        <v>14924</v>
      </c>
      <c r="N1167" s="20">
        <v>14924</v>
      </c>
      <c r="O1167" s="20">
        <f t="shared" si="125"/>
        <v>-14924</v>
      </c>
      <c r="P1167" s="20" t="e">
        <f>#REF!-M1167</f>
        <v>#REF!</v>
      </c>
      <c r="Q1167" s="20" t="e">
        <f>#REF!-N1167</f>
        <v>#REF!</v>
      </c>
      <c r="R1167" s="17" t="str">
        <f t="shared" si="119"/>
        <v>08 0 00 00000000</v>
      </c>
    </row>
    <row r="1168" spans="1:18" s="16" customFormat="1" ht="47.25">
      <c r="A1168" s="14"/>
      <c r="B1168" s="125" t="s">
        <v>702</v>
      </c>
      <c r="C1168" s="109" t="s">
        <v>406</v>
      </c>
      <c r="D1168" s="108" t="s">
        <v>342</v>
      </c>
      <c r="E1168" s="108" t="s">
        <v>62</v>
      </c>
      <c r="F1168" s="108" t="s">
        <v>703</v>
      </c>
      <c r="G1168" s="108" t="s">
        <v>9</v>
      </c>
      <c r="H1168" s="126">
        <f t="shared" ref="H1168" si="126">H1169</f>
        <v>0</v>
      </c>
      <c r="L1168" s="20">
        <v>9606.5</v>
      </c>
      <c r="M1168" s="20">
        <v>9606.5</v>
      </c>
      <c r="N1168" s="20">
        <v>9606.5</v>
      </c>
      <c r="O1168" s="20">
        <f t="shared" si="125"/>
        <v>-9606.5</v>
      </c>
      <c r="P1168" s="20" t="e">
        <f>#REF!-M1168</f>
        <v>#REF!</v>
      </c>
      <c r="Q1168" s="20" t="e">
        <f>#REF!-N1168</f>
        <v>#REF!</v>
      </c>
      <c r="R1168" s="17" t="str">
        <f t="shared" si="119"/>
        <v>08 1 00 00000000</v>
      </c>
    </row>
    <row r="1169" spans="1:18" s="16" customFormat="1" ht="94.5">
      <c r="A1169" s="14"/>
      <c r="B1169" s="125" t="s">
        <v>713</v>
      </c>
      <c r="C1169" s="109" t="s">
        <v>406</v>
      </c>
      <c r="D1169" s="108" t="s">
        <v>342</v>
      </c>
      <c r="E1169" s="108" t="s">
        <v>62</v>
      </c>
      <c r="F1169" s="108" t="s">
        <v>714</v>
      </c>
      <c r="G1169" s="108" t="s">
        <v>9</v>
      </c>
      <c r="H1169" s="126">
        <f>H1170</f>
        <v>0</v>
      </c>
      <c r="L1169" s="20">
        <v>9606.5</v>
      </c>
      <c r="M1169" s="20">
        <v>9606.5</v>
      </c>
      <c r="N1169" s="20">
        <v>9606.5</v>
      </c>
      <c r="O1169" s="20">
        <f t="shared" si="125"/>
        <v>-9606.5</v>
      </c>
      <c r="P1169" s="20" t="e">
        <f>#REF!-M1169</f>
        <v>#REF!</v>
      </c>
      <c r="Q1169" s="20" t="e">
        <f>#REF!-N1169</f>
        <v>#REF!</v>
      </c>
      <c r="R1169" s="17" t="str">
        <f t="shared" si="119"/>
        <v>08 1 03 00000000</v>
      </c>
    </row>
    <row r="1170" spans="1:18" s="16" customFormat="1" ht="31.5">
      <c r="A1170" s="14"/>
      <c r="B1170" s="127" t="s">
        <v>136</v>
      </c>
      <c r="C1170" s="130" t="s">
        <v>406</v>
      </c>
      <c r="D1170" s="108" t="s">
        <v>342</v>
      </c>
      <c r="E1170" s="108" t="s">
        <v>62</v>
      </c>
      <c r="F1170" s="131" t="s">
        <v>715</v>
      </c>
      <c r="G1170" s="131" t="s">
        <v>9</v>
      </c>
      <c r="H1170" s="105">
        <f t="shared" ref="H1170" si="127">H1171</f>
        <v>0</v>
      </c>
      <c r="L1170" s="26">
        <v>9606.5</v>
      </c>
      <c r="M1170" s="26">
        <v>9606.5</v>
      </c>
      <c r="N1170" s="26">
        <v>9606.5</v>
      </c>
      <c r="O1170" s="26">
        <f t="shared" si="125"/>
        <v>-9606.5</v>
      </c>
      <c r="P1170" s="26" t="e">
        <f>#REF!-M1170</f>
        <v>#REF!</v>
      </c>
      <c r="Q1170" s="26" t="e">
        <f>#REF!-N1170</f>
        <v>#REF!</v>
      </c>
      <c r="R1170" s="17" t="str">
        <f t="shared" si="119"/>
        <v>08 1 03 11010000</v>
      </c>
    </row>
    <row r="1171" spans="1:18" s="16" customFormat="1" ht="15.75">
      <c r="A1171" s="14"/>
      <c r="B1171" s="132" t="s">
        <v>403</v>
      </c>
      <c r="C1171" s="130" t="s">
        <v>406</v>
      </c>
      <c r="D1171" s="108" t="s">
        <v>342</v>
      </c>
      <c r="E1171" s="108" t="s">
        <v>62</v>
      </c>
      <c r="F1171" s="131" t="s">
        <v>715</v>
      </c>
      <c r="G1171" s="131" t="s">
        <v>404</v>
      </c>
      <c r="H1171" s="126">
        <f>H1172</f>
        <v>0</v>
      </c>
      <c r="L1171" s="20">
        <v>9606.5</v>
      </c>
      <c r="M1171" s="20">
        <v>9606.5</v>
      </c>
      <c r="N1171" s="20">
        <v>9606.5</v>
      </c>
      <c r="O1171" s="20">
        <f t="shared" si="125"/>
        <v>-9606.5</v>
      </c>
      <c r="P1171" s="20" t="e">
        <f>#REF!-M1171</f>
        <v>#REF!</v>
      </c>
      <c r="Q1171" s="20" t="e">
        <f>#REF!-N1171</f>
        <v>#REF!</v>
      </c>
      <c r="R1171" s="17" t="str">
        <f t="shared" si="119"/>
        <v>08 1 03 11010610</v>
      </c>
    </row>
    <row r="1172" spans="1:18" s="23" customFormat="1" ht="63">
      <c r="A1172" s="21"/>
      <c r="B1172" s="127" t="s">
        <v>405</v>
      </c>
      <c r="C1172" s="130" t="s">
        <v>406</v>
      </c>
      <c r="D1172" s="108" t="s">
        <v>342</v>
      </c>
      <c r="E1172" s="108" t="s">
        <v>62</v>
      </c>
      <c r="F1172" s="131" t="s">
        <v>715</v>
      </c>
      <c r="G1172" s="108" t="s">
        <v>406</v>
      </c>
      <c r="H1172" s="126"/>
      <c r="L1172" s="22"/>
      <c r="M1172" s="22"/>
      <c r="N1172" s="22"/>
      <c r="O1172" s="22"/>
      <c r="P1172" s="22"/>
      <c r="Q1172" s="22"/>
      <c r="R1172" s="24"/>
    </row>
    <row r="1173" spans="1:18" s="16" customFormat="1" ht="47.25">
      <c r="A1173" s="14"/>
      <c r="B1173" s="125" t="s">
        <v>716</v>
      </c>
      <c r="C1173" s="109" t="s">
        <v>406</v>
      </c>
      <c r="D1173" s="108" t="s">
        <v>342</v>
      </c>
      <c r="E1173" s="108" t="s">
        <v>62</v>
      </c>
      <c r="F1173" s="108" t="s">
        <v>717</v>
      </c>
      <c r="G1173" s="108" t="s">
        <v>9</v>
      </c>
      <c r="H1173" s="126">
        <f>H1174+H1180+H1184</f>
        <v>0</v>
      </c>
      <c r="L1173" s="20">
        <v>5317.5</v>
      </c>
      <c r="M1173" s="20">
        <v>5317.5</v>
      </c>
      <c r="N1173" s="20">
        <v>5317.5</v>
      </c>
      <c r="O1173" s="20">
        <f>H1173-L1173</f>
        <v>-5317.5</v>
      </c>
      <c r="P1173" s="20" t="e">
        <f>#REF!-M1173</f>
        <v>#REF!</v>
      </c>
      <c r="Q1173" s="20" t="e">
        <f>#REF!-N1173</f>
        <v>#REF!</v>
      </c>
      <c r="R1173" s="17" t="str">
        <f t="shared" si="119"/>
        <v>08 2 00 00000000</v>
      </c>
    </row>
    <row r="1174" spans="1:18" s="16" customFormat="1" ht="47.25">
      <c r="A1174" s="14"/>
      <c r="B1174" s="125" t="s">
        <v>718</v>
      </c>
      <c r="C1174" s="109" t="s">
        <v>406</v>
      </c>
      <c r="D1174" s="108" t="s">
        <v>342</v>
      </c>
      <c r="E1174" s="108" t="s">
        <v>62</v>
      </c>
      <c r="F1174" s="108" t="s">
        <v>719</v>
      </c>
      <c r="G1174" s="108" t="s">
        <v>9</v>
      </c>
      <c r="H1174" s="126">
        <f>H1175</f>
        <v>0</v>
      </c>
      <c r="L1174" s="20">
        <v>5250</v>
      </c>
      <c r="M1174" s="20">
        <v>5250</v>
      </c>
      <c r="N1174" s="20">
        <v>5250</v>
      </c>
      <c r="O1174" s="20">
        <f>H1174-L1174</f>
        <v>-5250</v>
      </c>
      <c r="P1174" s="20" t="e">
        <f>#REF!-M1174</f>
        <v>#REF!</v>
      </c>
      <c r="Q1174" s="20" t="e">
        <f>#REF!-N1174</f>
        <v>#REF!</v>
      </c>
      <c r="R1174" s="17" t="str">
        <f t="shared" si="119"/>
        <v>08 2 01 00000000</v>
      </c>
    </row>
    <row r="1175" spans="1:18" s="16" customFormat="1" ht="31.5">
      <c r="A1175" s="14"/>
      <c r="B1175" s="125" t="s">
        <v>720</v>
      </c>
      <c r="C1175" s="109" t="s">
        <v>406</v>
      </c>
      <c r="D1175" s="108" t="s">
        <v>342</v>
      </c>
      <c r="E1175" s="108" t="s">
        <v>62</v>
      </c>
      <c r="F1175" s="108" t="s">
        <v>721</v>
      </c>
      <c r="G1175" s="108" t="s">
        <v>9</v>
      </c>
      <c r="H1175" s="126">
        <f>H1178+H1176</f>
        <v>0</v>
      </c>
      <c r="L1175" s="20">
        <v>5250</v>
      </c>
      <c r="M1175" s="20">
        <v>5250</v>
      </c>
      <c r="N1175" s="20">
        <v>5250</v>
      </c>
      <c r="O1175" s="20">
        <f>H1175-L1175</f>
        <v>-5250</v>
      </c>
      <c r="P1175" s="20" t="e">
        <f>#REF!-M1175</f>
        <v>#REF!</v>
      </c>
      <c r="Q1175" s="20" t="e">
        <f>#REF!-N1175</f>
        <v>#REF!</v>
      </c>
      <c r="R1175" s="17" t="str">
        <f t="shared" si="119"/>
        <v>08 2 01 20420000</v>
      </c>
    </row>
    <row r="1176" spans="1:18" s="16" customFormat="1" ht="15.75">
      <c r="A1176" s="14"/>
      <c r="B1176" s="125" t="s">
        <v>138</v>
      </c>
      <c r="C1176" s="109" t="s">
        <v>406</v>
      </c>
      <c r="D1176" s="108" t="s">
        <v>342</v>
      </c>
      <c r="E1176" s="108" t="s">
        <v>62</v>
      </c>
      <c r="F1176" s="108" t="s">
        <v>721</v>
      </c>
      <c r="G1176" s="108" t="s">
        <v>139</v>
      </c>
      <c r="H1176" s="126">
        <f>H1177</f>
        <v>0</v>
      </c>
      <c r="L1176" s="20">
        <v>3250</v>
      </c>
      <c r="M1176" s="20">
        <v>3250</v>
      </c>
      <c r="N1176" s="20">
        <v>3250</v>
      </c>
      <c r="O1176" s="20">
        <f>H1176-L1176</f>
        <v>-3250</v>
      </c>
      <c r="P1176" s="20" t="e">
        <f>#REF!-M1176</f>
        <v>#REF!</v>
      </c>
      <c r="Q1176" s="20" t="e">
        <f>#REF!-N1176</f>
        <v>#REF!</v>
      </c>
      <c r="R1176" s="17" t="str">
        <f t="shared" si="119"/>
        <v>08 2 01 20420110</v>
      </c>
    </row>
    <row r="1177" spans="1:18" s="23" customFormat="1" ht="63">
      <c r="A1177" s="21"/>
      <c r="B1177" s="127" t="s">
        <v>144</v>
      </c>
      <c r="C1177" s="109" t="s">
        <v>406</v>
      </c>
      <c r="D1177" s="108" t="s">
        <v>342</v>
      </c>
      <c r="E1177" s="108" t="s">
        <v>62</v>
      </c>
      <c r="F1177" s="108" t="s">
        <v>721</v>
      </c>
      <c r="G1177" s="108" t="s">
        <v>722</v>
      </c>
      <c r="H1177" s="126"/>
      <c r="L1177" s="22"/>
      <c r="M1177" s="22"/>
      <c r="N1177" s="22"/>
      <c r="O1177" s="22"/>
      <c r="P1177" s="22"/>
      <c r="Q1177" s="22"/>
      <c r="R1177" s="24"/>
    </row>
    <row r="1178" spans="1:18" s="16" customFormat="1" ht="31.5">
      <c r="A1178" s="14"/>
      <c r="B1178" s="125" t="s">
        <v>28</v>
      </c>
      <c r="C1178" s="109" t="s">
        <v>406</v>
      </c>
      <c r="D1178" s="108" t="s">
        <v>342</v>
      </c>
      <c r="E1178" s="108" t="s">
        <v>62</v>
      </c>
      <c r="F1178" s="108" t="s">
        <v>721</v>
      </c>
      <c r="G1178" s="108" t="s">
        <v>29</v>
      </c>
      <c r="H1178" s="126">
        <f>H1179</f>
        <v>0</v>
      </c>
      <c r="L1178" s="20">
        <v>2000</v>
      </c>
      <c r="M1178" s="20">
        <v>2000</v>
      </c>
      <c r="N1178" s="20">
        <v>2000</v>
      </c>
      <c r="O1178" s="20">
        <f>H1178-L1178</f>
        <v>-2000</v>
      </c>
      <c r="P1178" s="20" t="e">
        <f>#REF!-M1178</f>
        <v>#REF!</v>
      </c>
      <c r="Q1178" s="20" t="e">
        <f>#REF!-N1178</f>
        <v>#REF!</v>
      </c>
      <c r="R1178" s="17" t="str">
        <f t="shared" si="119"/>
        <v>08 2 01 20420240</v>
      </c>
    </row>
    <row r="1179" spans="1:18" s="16" customFormat="1" ht="15.75">
      <c r="A1179" s="14"/>
      <c r="B1179" s="125" t="s">
        <v>30</v>
      </c>
      <c r="C1179" s="109" t="s">
        <v>406</v>
      </c>
      <c r="D1179" s="108" t="s">
        <v>342</v>
      </c>
      <c r="E1179" s="108" t="s">
        <v>62</v>
      </c>
      <c r="F1179" s="108" t="s">
        <v>721</v>
      </c>
      <c r="G1179" s="108" t="s">
        <v>31</v>
      </c>
      <c r="H1179" s="126"/>
      <c r="L1179" s="20"/>
      <c r="M1179" s="20"/>
      <c r="N1179" s="20"/>
      <c r="O1179" s="20"/>
      <c r="P1179" s="20"/>
      <c r="Q1179" s="20"/>
      <c r="R1179" s="17"/>
    </row>
    <row r="1180" spans="1:18" s="16" customFormat="1" ht="47.25">
      <c r="A1180" s="14"/>
      <c r="B1180" s="140" t="s">
        <v>723</v>
      </c>
      <c r="C1180" s="109" t="s">
        <v>406</v>
      </c>
      <c r="D1180" s="108" t="s">
        <v>342</v>
      </c>
      <c r="E1180" s="108" t="s">
        <v>62</v>
      </c>
      <c r="F1180" s="108" t="s">
        <v>724</v>
      </c>
      <c r="G1180" s="108" t="s">
        <v>9</v>
      </c>
      <c r="H1180" s="126">
        <f>H1181</f>
        <v>0</v>
      </c>
      <c r="L1180" s="20">
        <v>11.25</v>
      </c>
      <c r="M1180" s="20">
        <v>11.25</v>
      </c>
      <c r="N1180" s="20">
        <v>11.25</v>
      </c>
      <c r="O1180" s="20">
        <f>H1180-L1180</f>
        <v>-11.25</v>
      </c>
      <c r="P1180" s="20" t="e">
        <f>#REF!-M1180</f>
        <v>#REF!</v>
      </c>
      <c r="Q1180" s="20" t="e">
        <f>#REF!-N1180</f>
        <v>#REF!</v>
      </c>
      <c r="R1180" s="17" t="str">
        <f t="shared" si="119"/>
        <v>08 2 02 00000000</v>
      </c>
    </row>
    <row r="1181" spans="1:18" s="16" customFormat="1" ht="15.75">
      <c r="A1181" s="14"/>
      <c r="B1181" s="127" t="s">
        <v>725</v>
      </c>
      <c r="C1181" s="109" t="s">
        <v>406</v>
      </c>
      <c r="D1181" s="108" t="s">
        <v>342</v>
      </c>
      <c r="E1181" s="108" t="s">
        <v>62</v>
      </c>
      <c r="F1181" s="108" t="s">
        <v>726</v>
      </c>
      <c r="G1181" s="108" t="s">
        <v>9</v>
      </c>
      <c r="H1181" s="126">
        <f>H1182</f>
        <v>0</v>
      </c>
      <c r="L1181" s="20">
        <v>11.25</v>
      </c>
      <c r="M1181" s="20">
        <v>11.25</v>
      </c>
      <c r="N1181" s="20">
        <v>11.25</v>
      </c>
      <c r="O1181" s="20">
        <f>H1181-L1181</f>
        <v>-11.25</v>
      </c>
      <c r="P1181" s="20" t="e">
        <f>#REF!-M1181</f>
        <v>#REF!</v>
      </c>
      <c r="Q1181" s="20" t="e">
        <f>#REF!-N1181</f>
        <v>#REF!</v>
      </c>
      <c r="R1181" s="17" t="str">
        <f t="shared" si="119"/>
        <v>08 2 02 20440000</v>
      </c>
    </row>
    <row r="1182" spans="1:18" s="16" customFormat="1" ht="31.5">
      <c r="A1182" s="14"/>
      <c r="B1182" s="125" t="s">
        <v>28</v>
      </c>
      <c r="C1182" s="109" t="s">
        <v>406</v>
      </c>
      <c r="D1182" s="108" t="s">
        <v>342</v>
      </c>
      <c r="E1182" s="108" t="s">
        <v>62</v>
      </c>
      <c r="F1182" s="108" t="s">
        <v>726</v>
      </c>
      <c r="G1182" s="108" t="s">
        <v>29</v>
      </c>
      <c r="H1182" s="126">
        <f>H1183</f>
        <v>0</v>
      </c>
      <c r="L1182" s="20">
        <v>11.25</v>
      </c>
      <c r="M1182" s="20">
        <v>11.25</v>
      </c>
      <c r="N1182" s="20">
        <v>11.25</v>
      </c>
      <c r="O1182" s="20">
        <f>H1182-L1182</f>
        <v>-11.25</v>
      </c>
      <c r="P1182" s="20" t="e">
        <f>#REF!-M1182</f>
        <v>#REF!</v>
      </c>
      <c r="Q1182" s="20" t="e">
        <f>#REF!-N1182</f>
        <v>#REF!</v>
      </c>
      <c r="R1182" s="17" t="str">
        <f t="shared" si="119"/>
        <v>08 2 02 20440240</v>
      </c>
    </row>
    <row r="1183" spans="1:18" s="16" customFormat="1" ht="15.75">
      <c r="A1183" s="14"/>
      <c r="B1183" s="125" t="s">
        <v>30</v>
      </c>
      <c r="C1183" s="109" t="s">
        <v>406</v>
      </c>
      <c r="D1183" s="108" t="s">
        <v>342</v>
      </c>
      <c r="E1183" s="108" t="s">
        <v>62</v>
      </c>
      <c r="F1183" s="108" t="s">
        <v>726</v>
      </c>
      <c r="G1183" s="108" t="s">
        <v>31</v>
      </c>
      <c r="H1183" s="126"/>
      <c r="L1183" s="20"/>
      <c r="M1183" s="20"/>
      <c r="N1183" s="20"/>
      <c r="O1183" s="20"/>
      <c r="P1183" s="20"/>
      <c r="Q1183" s="20"/>
      <c r="R1183" s="17"/>
    </row>
    <row r="1184" spans="1:18" s="16" customFormat="1" ht="63">
      <c r="A1184" s="14"/>
      <c r="B1184" s="140" t="s">
        <v>727</v>
      </c>
      <c r="C1184" s="109" t="s">
        <v>406</v>
      </c>
      <c r="D1184" s="108" t="s">
        <v>342</v>
      </c>
      <c r="E1184" s="108" t="s">
        <v>62</v>
      </c>
      <c r="F1184" s="108" t="s">
        <v>728</v>
      </c>
      <c r="G1184" s="108" t="s">
        <v>9</v>
      </c>
      <c r="H1184" s="126">
        <f t="shared" ref="H1184" si="128">H1185</f>
        <v>0</v>
      </c>
      <c r="L1184" s="20">
        <v>56.25</v>
      </c>
      <c r="M1184" s="20">
        <v>56.25</v>
      </c>
      <c r="N1184" s="20">
        <v>56.25</v>
      </c>
      <c r="O1184" s="20">
        <f>H1184-L1184</f>
        <v>-56.25</v>
      </c>
      <c r="P1184" s="20" t="e">
        <f>#REF!-M1184</f>
        <v>#REF!</v>
      </c>
      <c r="Q1184" s="20" t="e">
        <f>#REF!-N1184</f>
        <v>#REF!</v>
      </c>
      <c r="R1184" s="17" t="str">
        <f t="shared" si="119"/>
        <v>08 2 03 00000000</v>
      </c>
    </row>
    <row r="1185" spans="1:18" s="16" customFormat="1" ht="31.5">
      <c r="A1185" s="14"/>
      <c r="B1185" s="127" t="s">
        <v>729</v>
      </c>
      <c r="C1185" s="109" t="s">
        <v>406</v>
      </c>
      <c r="D1185" s="108" t="s">
        <v>342</v>
      </c>
      <c r="E1185" s="108" t="s">
        <v>62</v>
      </c>
      <c r="F1185" s="108" t="s">
        <v>730</v>
      </c>
      <c r="G1185" s="108" t="s">
        <v>9</v>
      </c>
      <c r="H1185" s="126">
        <f>H1186</f>
        <v>0</v>
      </c>
      <c r="L1185" s="20">
        <v>56.25</v>
      </c>
      <c r="M1185" s="20">
        <v>56.25</v>
      </c>
      <c r="N1185" s="20">
        <v>56.25</v>
      </c>
      <c r="O1185" s="20">
        <f>H1185-L1185</f>
        <v>-56.25</v>
      </c>
      <c r="P1185" s="20" t="e">
        <f>#REF!-M1185</f>
        <v>#REF!</v>
      </c>
      <c r="Q1185" s="20" t="e">
        <f>#REF!-N1185</f>
        <v>#REF!</v>
      </c>
      <c r="R1185" s="17" t="str">
        <f t="shared" si="119"/>
        <v>08 2 03 21060000</v>
      </c>
    </row>
    <row r="1186" spans="1:18" s="16" customFormat="1" ht="31.5">
      <c r="A1186" s="14"/>
      <c r="B1186" s="125" t="s">
        <v>28</v>
      </c>
      <c r="C1186" s="109" t="s">
        <v>406</v>
      </c>
      <c r="D1186" s="108" t="s">
        <v>342</v>
      </c>
      <c r="E1186" s="108" t="s">
        <v>62</v>
      </c>
      <c r="F1186" s="108" t="s">
        <v>730</v>
      </c>
      <c r="G1186" s="108" t="s">
        <v>29</v>
      </c>
      <c r="H1186" s="126">
        <f>H1187</f>
        <v>0</v>
      </c>
      <c r="L1186" s="20">
        <v>56.25</v>
      </c>
      <c r="M1186" s="20">
        <v>56.25</v>
      </c>
      <c r="N1186" s="20">
        <v>56.25</v>
      </c>
      <c r="O1186" s="20">
        <f>H1186-L1186</f>
        <v>-56.25</v>
      </c>
      <c r="P1186" s="20" t="e">
        <f>#REF!-M1186</f>
        <v>#REF!</v>
      </c>
      <c r="Q1186" s="20" t="e">
        <f>#REF!-N1186</f>
        <v>#REF!</v>
      </c>
      <c r="R1186" s="17" t="str">
        <f t="shared" si="119"/>
        <v>08 2 03 21060240</v>
      </c>
    </row>
    <row r="1187" spans="1:18" s="16" customFormat="1" ht="15.75">
      <c r="A1187" s="14"/>
      <c r="B1187" s="125" t="s">
        <v>30</v>
      </c>
      <c r="C1187" s="109" t="s">
        <v>406</v>
      </c>
      <c r="D1187" s="108" t="s">
        <v>342</v>
      </c>
      <c r="E1187" s="108" t="s">
        <v>62</v>
      </c>
      <c r="F1187" s="108" t="s">
        <v>730</v>
      </c>
      <c r="G1187" s="108" t="s">
        <v>31</v>
      </c>
      <c r="H1187" s="126"/>
      <c r="L1187" s="20"/>
      <c r="M1187" s="20"/>
      <c r="N1187" s="20"/>
      <c r="O1187" s="20"/>
      <c r="P1187" s="20"/>
      <c r="Q1187" s="20"/>
      <c r="R1187" s="17"/>
    </row>
    <row r="1188" spans="1:18" s="16" customFormat="1" ht="15.75">
      <c r="A1188" s="14"/>
      <c r="B1188" s="121" t="s">
        <v>731</v>
      </c>
      <c r="C1188" s="122" t="s">
        <v>406</v>
      </c>
      <c r="D1188" s="123" t="s">
        <v>342</v>
      </c>
      <c r="E1188" s="123" t="s">
        <v>13</v>
      </c>
      <c r="F1188" s="123" t="s">
        <v>8</v>
      </c>
      <c r="G1188" s="123" t="s">
        <v>9</v>
      </c>
      <c r="H1188" s="124">
        <f>H1189</f>
        <v>0</v>
      </c>
      <c r="L1188" s="19">
        <v>1500</v>
      </c>
      <c r="M1188" s="19">
        <v>0</v>
      </c>
      <c r="N1188" s="19">
        <v>0</v>
      </c>
      <c r="O1188" s="19">
        <f t="shared" ref="O1188:O1193" si="129">H1188-L1188</f>
        <v>-1500</v>
      </c>
      <c r="P1188" s="19" t="e">
        <f>#REF!-M1188</f>
        <v>#REF!</v>
      </c>
      <c r="Q1188" s="19" t="e">
        <f>#REF!-N1188</f>
        <v>#REF!</v>
      </c>
      <c r="R1188" s="17" t="str">
        <f t="shared" si="119"/>
        <v>00 0 00 00000000</v>
      </c>
    </row>
    <row r="1189" spans="1:18" s="16" customFormat="1" ht="31.5">
      <c r="A1189" s="14"/>
      <c r="B1189" s="125" t="s">
        <v>700</v>
      </c>
      <c r="C1189" s="109" t="s">
        <v>406</v>
      </c>
      <c r="D1189" s="108" t="s">
        <v>342</v>
      </c>
      <c r="E1189" s="108" t="s">
        <v>13</v>
      </c>
      <c r="F1189" s="108" t="s">
        <v>701</v>
      </c>
      <c r="G1189" s="108" t="s">
        <v>9</v>
      </c>
      <c r="H1189" s="126">
        <f t="shared" ref="H1189:H1192" si="130">H1190</f>
        <v>0</v>
      </c>
      <c r="L1189" s="20">
        <v>1500</v>
      </c>
      <c r="M1189" s="20">
        <v>0</v>
      </c>
      <c r="N1189" s="20">
        <v>0</v>
      </c>
      <c r="O1189" s="20">
        <f t="shared" si="129"/>
        <v>-1500</v>
      </c>
      <c r="P1189" s="20" t="e">
        <f>#REF!-M1189</f>
        <v>#REF!</v>
      </c>
      <c r="Q1189" s="20" t="e">
        <f>#REF!-N1189</f>
        <v>#REF!</v>
      </c>
      <c r="R1189" s="17" t="str">
        <f t="shared" si="119"/>
        <v>08 0 00 00000000</v>
      </c>
    </row>
    <row r="1190" spans="1:18" s="16" customFormat="1" ht="47.25">
      <c r="A1190" s="14"/>
      <c r="B1190" s="125" t="s">
        <v>716</v>
      </c>
      <c r="C1190" s="109" t="s">
        <v>406</v>
      </c>
      <c r="D1190" s="108" t="s">
        <v>342</v>
      </c>
      <c r="E1190" s="108" t="s">
        <v>13</v>
      </c>
      <c r="F1190" s="108" t="s">
        <v>717</v>
      </c>
      <c r="G1190" s="108" t="s">
        <v>9</v>
      </c>
      <c r="H1190" s="126">
        <f>H1191</f>
        <v>0</v>
      </c>
      <c r="L1190" s="20">
        <v>1500</v>
      </c>
      <c r="M1190" s="20">
        <v>0</v>
      </c>
      <c r="N1190" s="20">
        <v>0</v>
      </c>
      <c r="O1190" s="20">
        <f t="shared" si="129"/>
        <v>-1500</v>
      </c>
      <c r="P1190" s="20" t="e">
        <f>#REF!-M1190</f>
        <v>#REF!</v>
      </c>
      <c r="Q1190" s="20" t="e">
        <f>#REF!-N1190</f>
        <v>#REF!</v>
      </c>
      <c r="R1190" s="17" t="str">
        <f t="shared" si="119"/>
        <v>08 2 00 00000000</v>
      </c>
    </row>
    <row r="1191" spans="1:18" s="16" customFormat="1" ht="63">
      <c r="A1191" s="14"/>
      <c r="B1191" s="125" t="s">
        <v>732</v>
      </c>
      <c r="C1191" s="109" t="s">
        <v>406</v>
      </c>
      <c r="D1191" s="108" t="s">
        <v>342</v>
      </c>
      <c r="E1191" s="108" t="s">
        <v>13</v>
      </c>
      <c r="F1191" s="108" t="s">
        <v>733</v>
      </c>
      <c r="G1191" s="108" t="s">
        <v>9</v>
      </c>
      <c r="H1191" s="126">
        <f>H1192</f>
        <v>0</v>
      </c>
      <c r="L1191" s="20">
        <v>1500</v>
      </c>
      <c r="M1191" s="20">
        <v>0</v>
      </c>
      <c r="N1191" s="20">
        <v>0</v>
      </c>
      <c r="O1191" s="20">
        <f t="shared" si="129"/>
        <v>-1500</v>
      </c>
      <c r="P1191" s="20" t="e">
        <f>#REF!-M1191</f>
        <v>#REF!</v>
      </c>
      <c r="Q1191" s="20" t="e">
        <f>#REF!-N1191</f>
        <v>#REF!</v>
      </c>
      <c r="R1191" s="17" t="str">
        <f t="shared" si="119"/>
        <v>08 2 04 00000000</v>
      </c>
    </row>
    <row r="1192" spans="1:18" s="16" customFormat="1" ht="78.75">
      <c r="A1192" s="14"/>
      <c r="B1192" s="125" t="s">
        <v>734</v>
      </c>
      <c r="C1192" s="109" t="s">
        <v>406</v>
      </c>
      <c r="D1192" s="108" t="s">
        <v>342</v>
      </c>
      <c r="E1192" s="108" t="s">
        <v>13</v>
      </c>
      <c r="F1192" s="108" t="s">
        <v>735</v>
      </c>
      <c r="G1192" s="108" t="s">
        <v>9</v>
      </c>
      <c r="H1192" s="126">
        <f t="shared" si="130"/>
        <v>0</v>
      </c>
      <c r="L1192" s="20">
        <v>1500</v>
      </c>
      <c r="M1192" s="20">
        <v>0</v>
      </c>
      <c r="N1192" s="20">
        <v>0</v>
      </c>
      <c r="O1192" s="20">
        <f t="shared" si="129"/>
        <v>-1500</v>
      </c>
      <c r="P1192" s="20" t="e">
        <f>#REF!-M1192</f>
        <v>#REF!</v>
      </c>
      <c r="Q1192" s="20" t="e">
        <f>#REF!-N1192</f>
        <v>#REF!</v>
      </c>
      <c r="R1192" s="17" t="str">
        <f t="shared" si="119"/>
        <v>08 2 04 60120000</v>
      </c>
    </row>
    <row r="1193" spans="1:18" s="16" customFormat="1" ht="47.25">
      <c r="A1193" s="14"/>
      <c r="B1193" s="125" t="s">
        <v>182</v>
      </c>
      <c r="C1193" s="109" t="s">
        <v>406</v>
      </c>
      <c r="D1193" s="108" t="s">
        <v>342</v>
      </c>
      <c r="E1193" s="108" t="s">
        <v>13</v>
      </c>
      <c r="F1193" s="108" t="s">
        <v>735</v>
      </c>
      <c r="G1193" s="108" t="s">
        <v>183</v>
      </c>
      <c r="H1193" s="126">
        <f>H1194</f>
        <v>0</v>
      </c>
      <c r="L1193" s="20">
        <v>1500</v>
      </c>
      <c r="M1193" s="20">
        <v>0</v>
      </c>
      <c r="N1193" s="20">
        <v>0</v>
      </c>
      <c r="O1193" s="20">
        <f t="shared" si="129"/>
        <v>-1500</v>
      </c>
      <c r="P1193" s="20" t="e">
        <f>#REF!-M1193</f>
        <v>#REF!</v>
      </c>
      <c r="Q1193" s="20" t="e">
        <f>#REF!-N1193</f>
        <v>#REF!</v>
      </c>
      <c r="R1193" s="17" t="str">
        <f t="shared" si="119"/>
        <v>08 2 04 60120630</v>
      </c>
    </row>
    <row r="1194" spans="1:18" s="16" customFormat="1" ht="47.25">
      <c r="A1194" s="14"/>
      <c r="B1194" s="125" t="s">
        <v>736</v>
      </c>
      <c r="C1194" s="109" t="s">
        <v>406</v>
      </c>
      <c r="D1194" s="108" t="s">
        <v>342</v>
      </c>
      <c r="E1194" s="108" t="s">
        <v>13</v>
      </c>
      <c r="F1194" s="108" t="s">
        <v>735</v>
      </c>
      <c r="G1194" s="108" t="s">
        <v>214</v>
      </c>
      <c r="H1194" s="126"/>
      <c r="L1194" s="20"/>
      <c r="M1194" s="20"/>
      <c r="N1194" s="20"/>
      <c r="O1194" s="20"/>
      <c r="P1194" s="20"/>
      <c r="Q1194" s="20"/>
      <c r="R1194" s="17"/>
    </row>
    <row r="1195" spans="1:18" s="16" customFormat="1" ht="31.5">
      <c r="A1195" s="14"/>
      <c r="B1195" s="121" t="s">
        <v>737</v>
      </c>
      <c r="C1195" s="122" t="s">
        <v>406</v>
      </c>
      <c r="D1195" s="123" t="s">
        <v>342</v>
      </c>
      <c r="E1195" s="123" t="s">
        <v>86</v>
      </c>
      <c r="F1195" s="123" t="s">
        <v>8</v>
      </c>
      <c r="G1195" s="123" t="s">
        <v>9</v>
      </c>
      <c r="H1195" s="124">
        <f t="shared" ref="H1195" si="131">H1196</f>
        <v>0</v>
      </c>
      <c r="L1195" s="19">
        <v>16961.150000000001</v>
      </c>
      <c r="M1195" s="19">
        <v>16961.150000000001</v>
      </c>
      <c r="N1195" s="19">
        <v>16961.150000000001</v>
      </c>
      <c r="O1195" s="19">
        <f>H1195-L1195</f>
        <v>-16961.150000000001</v>
      </c>
      <c r="P1195" s="19" t="e">
        <f>#REF!-M1195</f>
        <v>#REF!</v>
      </c>
      <c r="Q1195" s="19" t="e">
        <f>#REF!-N1195</f>
        <v>#REF!</v>
      </c>
      <c r="R1195" s="17" t="str">
        <f t="shared" si="119"/>
        <v>00 0 00 00000000</v>
      </c>
    </row>
    <row r="1196" spans="1:18" s="16" customFormat="1" ht="31.5">
      <c r="A1196" s="14"/>
      <c r="B1196" s="125" t="s">
        <v>738</v>
      </c>
      <c r="C1196" s="109" t="s">
        <v>406</v>
      </c>
      <c r="D1196" s="108" t="s">
        <v>342</v>
      </c>
      <c r="E1196" s="108" t="s">
        <v>86</v>
      </c>
      <c r="F1196" s="108" t="s">
        <v>739</v>
      </c>
      <c r="G1196" s="108" t="s">
        <v>9</v>
      </c>
      <c r="H1196" s="126">
        <f>H1197</f>
        <v>0</v>
      </c>
      <c r="L1196" s="20">
        <v>16961.150000000001</v>
      </c>
      <c r="M1196" s="20">
        <v>16961.150000000001</v>
      </c>
      <c r="N1196" s="20">
        <v>16961.150000000001</v>
      </c>
      <c r="O1196" s="20">
        <f>H1196-L1196</f>
        <v>-16961.150000000001</v>
      </c>
      <c r="P1196" s="20" t="e">
        <f>#REF!-M1196</f>
        <v>#REF!</v>
      </c>
      <c r="Q1196" s="20" t="e">
        <f>#REF!-N1196</f>
        <v>#REF!</v>
      </c>
      <c r="R1196" s="17" t="str">
        <f t="shared" si="119"/>
        <v>78 0 00 00000000</v>
      </c>
    </row>
    <row r="1197" spans="1:18" s="16" customFormat="1" ht="47.25">
      <c r="A1197" s="14"/>
      <c r="B1197" s="125" t="s">
        <v>740</v>
      </c>
      <c r="C1197" s="109" t="s">
        <v>406</v>
      </c>
      <c r="D1197" s="108" t="s">
        <v>342</v>
      </c>
      <c r="E1197" s="108" t="s">
        <v>86</v>
      </c>
      <c r="F1197" s="108" t="s">
        <v>741</v>
      </c>
      <c r="G1197" s="108" t="s">
        <v>9</v>
      </c>
      <c r="H1197" s="126">
        <f>H1198+H1207+H1211</f>
        <v>0</v>
      </c>
      <c r="L1197" s="20">
        <v>16961.150000000001</v>
      </c>
      <c r="M1197" s="20">
        <v>16961.150000000001</v>
      </c>
      <c r="N1197" s="20">
        <v>16961.150000000001</v>
      </c>
      <c r="O1197" s="20">
        <f>H1197-L1197</f>
        <v>-16961.150000000001</v>
      </c>
      <c r="P1197" s="20" t="e">
        <f>#REF!-M1197</f>
        <v>#REF!</v>
      </c>
      <c r="Q1197" s="20" t="e">
        <f>#REF!-N1197</f>
        <v>#REF!</v>
      </c>
      <c r="R1197" s="17" t="str">
        <f t="shared" si="119"/>
        <v>78 1 00 00000000</v>
      </c>
    </row>
    <row r="1198" spans="1:18" s="16" customFormat="1" ht="31.5">
      <c r="A1198" s="14"/>
      <c r="B1198" s="125" t="s">
        <v>18</v>
      </c>
      <c r="C1198" s="109" t="s">
        <v>406</v>
      </c>
      <c r="D1198" s="108" t="s">
        <v>342</v>
      </c>
      <c r="E1198" s="108" t="s">
        <v>86</v>
      </c>
      <c r="F1198" s="108" t="s">
        <v>742</v>
      </c>
      <c r="G1198" s="108" t="s">
        <v>9</v>
      </c>
      <c r="H1198" s="126">
        <f>H1199+H1202+H1204</f>
        <v>0</v>
      </c>
      <c r="L1198" s="20">
        <v>778.21</v>
      </c>
      <c r="M1198" s="20">
        <v>778.21</v>
      </c>
      <c r="N1198" s="20">
        <v>778.21</v>
      </c>
      <c r="O1198" s="20">
        <f>H1198-L1198</f>
        <v>-778.21</v>
      </c>
      <c r="P1198" s="20" t="e">
        <f>#REF!-M1198</f>
        <v>#REF!</v>
      </c>
      <c r="Q1198" s="20" t="e">
        <f>#REF!-N1198</f>
        <v>#REF!</v>
      </c>
      <c r="R1198" s="17" t="str">
        <f t="shared" si="119"/>
        <v>78 1 00 10010000</v>
      </c>
    </row>
    <row r="1199" spans="1:18" s="16" customFormat="1" ht="31.5">
      <c r="A1199" s="14"/>
      <c r="B1199" s="127" t="s">
        <v>20</v>
      </c>
      <c r="C1199" s="109" t="s">
        <v>406</v>
      </c>
      <c r="D1199" s="108" t="s">
        <v>342</v>
      </c>
      <c r="E1199" s="108" t="s">
        <v>86</v>
      </c>
      <c r="F1199" s="108" t="s">
        <v>742</v>
      </c>
      <c r="G1199" s="108" t="s">
        <v>21</v>
      </c>
      <c r="H1199" s="126">
        <f>SUM(H1200:H1201)</f>
        <v>0</v>
      </c>
      <c r="L1199" s="20">
        <v>202.21</v>
      </c>
      <c r="M1199" s="20">
        <v>202.21</v>
      </c>
      <c r="N1199" s="20">
        <v>202.21</v>
      </c>
      <c r="O1199" s="20">
        <f>H1199-L1199</f>
        <v>-202.21</v>
      </c>
      <c r="P1199" s="20" t="e">
        <f>#REF!-M1199</f>
        <v>#REF!</v>
      </c>
      <c r="Q1199" s="20" t="e">
        <f>#REF!-N1199</f>
        <v>#REF!</v>
      </c>
      <c r="R1199" s="17" t="str">
        <f t="shared" si="119"/>
        <v>78 1 00 10010120</v>
      </c>
    </row>
    <row r="1200" spans="1:18" s="23" customFormat="1" ht="47.25">
      <c r="A1200" s="21"/>
      <c r="B1200" s="127" t="s">
        <v>22</v>
      </c>
      <c r="C1200" s="109" t="s">
        <v>406</v>
      </c>
      <c r="D1200" s="108" t="s">
        <v>342</v>
      </c>
      <c r="E1200" s="108" t="s">
        <v>86</v>
      </c>
      <c r="F1200" s="108" t="s">
        <v>742</v>
      </c>
      <c r="G1200" s="108" t="s">
        <v>23</v>
      </c>
      <c r="H1200" s="126"/>
      <c r="L1200" s="22"/>
      <c r="M1200" s="22"/>
      <c r="N1200" s="22"/>
      <c r="O1200" s="22"/>
      <c r="P1200" s="22"/>
      <c r="Q1200" s="22"/>
      <c r="R1200" s="24"/>
    </row>
    <row r="1201" spans="1:18" s="23" customFormat="1" ht="63">
      <c r="A1201" s="21"/>
      <c r="B1201" s="127" t="s">
        <v>26</v>
      </c>
      <c r="C1201" s="109" t="s">
        <v>406</v>
      </c>
      <c r="D1201" s="108" t="s">
        <v>342</v>
      </c>
      <c r="E1201" s="108" t="s">
        <v>86</v>
      </c>
      <c r="F1201" s="108" t="s">
        <v>742</v>
      </c>
      <c r="G1201" s="108" t="s">
        <v>27</v>
      </c>
      <c r="H1201" s="126"/>
      <c r="L1201" s="22"/>
      <c r="M1201" s="22"/>
      <c r="N1201" s="22"/>
      <c r="O1201" s="22"/>
      <c r="P1201" s="22"/>
      <c r="Q1201" s="22"/>
      <c r="R1201" s="24"/>
    </row>
    <row r="1202" spans="1:18" s="16" customFormat="1" ht="31.5">
      <c r="A1202" s="14"/>
      <c r="B1202" s="125" t="s">
        <v>28</v>
      </c>
      <c r="C1202" s="109" t="s">
        <v>406</v>
      </c>
      <c r="D1202" s="108" t="s">
        <v>342</v>
      </c>
      <c r="E1202" s="108" t="s">
        <v>86</v>
      </c>
      <c r="F1202" s="108" t="s">
        <v>742</v>
      </c>
      <c r="G1202" s="108" t="s">
        <v>29</v>
      </c>
      <c r="H1202" s="126">
        <f>H1203</f>
        <v>0</v>
      </c>
      <c r="L1202" s="20">
        <v>568</v>
      </c>
      <c r="M1202" s="20">
        <v>568</v>
      </c>
      <c r="N1202" s="20">
        <v>568</v>
      </c>
      <c r="O1202" s="20">
        <f>H1202-L1202</f>
        <v>-568</v>
      </c>
      <c r="P1202" s="20" t="e">
        <f>#REF!-M1202</f>
        <v>#REF!</v>
      </c>
      <c r="Q1202" s="20" t="e">
        <f>#REF!-N1202</f>
        <v>#REF!</v>
      </c>
      <c r="R1202" s="17" t="str">
        <f t="shared" si="119"/>
        <v>78 1 00 10010240</v>
      </c>
    </row>
    <row r="1203" spans="1:18" s="16" customFormat="1" ht="15.75">
      <c r="A1203" s="14"/>
      <c r="B1203" s="125" t="s">
        <v>30</v>
      </c>
      <c r="C1203" s="109" t="s">
        <v>406</v>
      </c>
      <c r="D1203" s="108" t="s">
        <v>342</v>
      </c>
      <c r="E1203" s="108" t="s">
        <v>86</v>
      </c>
      <c r="F1203" s="108" t="s">
        <v>742</v>
      </c>
      <c r="G1203" s="108" t="s">
        <v>31</v>
      </c>
      <c r="H1203" s="126"/>
      <c r="L1203" s="20"/>
      <c r="M1203" s="20"/>
      <c r="N1203" s="20"/>
      <c r="O1203" s="20"/>
      <c r="P1203" s="20"/>
      <c r="Q1203" s="20"/>
      <c r="R1203" s="17"/>
    </row>
    <row r="1204" spans="1:18" s="16" customFormat="1" ht="15.75">
      <c r="A1204" s="14"/>
      <c r="B1204" s="125" t="s">
        <v>32</v>
      </c>
      <c r="C1204" s="109" t="s">
        <v>406</v>
      </c>
      <c r="D1204" s="108" t="s">
        <v>342</v>
      </c>
      <c r="E1204" s="108" t="s">
        <v>86</v>
      </c>
      <c r="F1204" s="108" t="s">
        <v>742</v>
      </c>
      <c r="G1204" s="108" t="s">
        <v>33</v>
      </c>
      <c r="H1204" s="126">
        <f>SUM(H1205:H1206)</f>
        <v>0</v>
      </c>
      <c r="L1204" s="20">
        <v>8</v>
      </c>
      <c r="M1204" s="20">
        <v>8</v>
      </c>
      <c r="N1204" s="20">
        <v>8</v>
      </c>
      <c r="O1204" s="20">
        <f>H1204-L1204</f>
        <v>-8</v>
      </c>
      <c r="P1204" s="20" t="e">
        <f>#REF!-M1204</f>
        <v>#REF!</v>
      </c>
      <c r="Q1204" s="20" t="e">
        <f>#REF!-N1204</f>
        <v>#REF!</v>
      </c>
      <c r="R1204" s="17" t="str">
        <f t="shared" si="119"/>
        <v>78 1 00 10010850</v>
      </c>
    </row>
    <row r="1205" spans="1:18" s="23" customFormat="1" ht="31.5">
      <c r="A1205" s="21"/>
      <c r="B1205" s="127" t="s">
        <v>34</v>
      </c>
      <c r="C1205" s="109" t="s">
        <v>406</v>
      </c>
      <c r="D1205" s="108" t="s">
        <v>342</v>
      </c>
      <c r="E1205" s="108" t="s">
        <v>86</v>
      </c>
      <c r="F1205" s="108" t="s">
        <v>742</v>
      </c>
      <c r="G1205" s="108" t="s">
        <v>35</v>
      </c>
      <c r="H1205" s="126"/>
      <c r="L1205" s="22"/>
      <c r="M1205" s="22"/>
      <c r="N1205" s="22"/>
      <c r="O1205" s="22"/>
      <c r="P1205" s="22"/>
      <c r="Q1205" s="22"/>
      <c r="R1205" s="24"/>
    </row>
    <row r="1206" spans="1:18" s="23" customFormat="1" ht="15.75">
      <c r="A1206" s="21"/>
      <c r="B1206" s="127" t="s">
        <v>36</v>
      </c>
      <c r="C1206" s="109" t="s">
        <v>406</v>
      </c>
      <c r="D1206" s="108" t="s">
        <v>342</v>
      </c>
      <c r="E1206" s="108" t="s">
        <v>86</v>
      </c>
      <c r="F1206" s="108" t="s">
        <v>742</v>
      </c>
      <c r="G1206" s="108" t="s">
        <v>37</v>
      </c>
      <c r="H1206" s="126"/>
      <c r="L1206" s="22"/>
      <c r="M1206" s="22"/>
      <c r="N1206" s="22"/>
      <c r="O1206" s="22"/>
      <c r="P1206" s="22"/>
      <c r="Q1206" s="22"/>
      <c r="R1206" s="24"/>
    </row>
    <row r="1207" spans="1:18" s="16" customFormat="1" ht="31.5">
      <c r="A1207" s="14"/>
      <c r="B1207" s="125" t="s">
        <v>38</v>
      </c>
      <c r="C1207" s="109" t="s">
        <v>406</v>
      </c>
      <c r="D1207" s="108" t="s">
        <v>342</v>
      </c>
      <c r="E1207" s="108" t="s">
        <v>86</v>
      </c>
      <c r="F1207" s="108" t="s">
        <v>743</v>
      </c>
      <c r="G1207" s="108" t="s">
        <v>9</v>
      </c>
      <c r="H1207" s="126">
        <f>H1208</f>
        <v>0</v>
      </c>
      <c r="L1207" s="20">
        <v>7074.5400000000009</v>
      </c>
      <c r="M1207" s="20">
        <v>7074.5400000000009</v>
      </c>
      <c r="N1207" s="20">
        <v>7074.5400000000009</v>
      </c>
      <c r="O1207" s="20">
        <f>H1207-L1207</f>
        <v>-7074.5400000000009</v>
      </c>
      <c r="P1207" s="20" t="e">
        <f>#REF!-M1207</f>
        <v>#REF!</v>
      </c>
      <c r="Q1207" s="20" t="e">
        <f>#REF!-N1207</f>
        <v>#REF!</v>
      </c>
      <c r="R1207" s="17" t="str">
        <f t="shared" si="119"/>
        <v>78 1 00 10020000</v>
      </c>
    </row>
    <row r="1208" spans="1:18" s="16" customFormat="1" ht="31.5">
      <c r="A1208" s="14"/>
      <c r="B1208" s="127" t="s">
        <v>20</v>
      </c>
      <c r="C1208" s="109" t="s">
        <v>406</v>
      </c>
      <c r="D1208" s="108" t="s">
        <v>342</v>
      </c>
      <c r="E1208" s="108" t="s">
        <v>86</v>
      </c>
      <c r="F1208" s="108" t="s">
        <v>743</v>
      </c>
      <c r="G1208" s="108" t="s">
        <v>21</v>
      </c>
      <c r="H1208" s="126">
        <f>SUM(H1209:H1210)</f>
        <v>0</v>
      </c>
      <c r="L1208" s="20">
        <v>7074.5400000000009</v>
      </c>
      <c r="M1208" s="20">
        <v>7074.5400000000009</v>
      </c>
      <c r="N1208" s="20">
        <v>7074.5400000000009</v>
      </c>
      <c r="O1208" s="20">
        <f>H1208-L1208</f>
        <v>-7074.5400000000009</v>
      </c>
      <c r="P1208" s="20" t="e">
        <f>#REF!-M1208</f>
        <v>#REF!</v>
      </c>
      <c r="Q1208" s="20" t="e">
        <f>#REF!-N1208</f>
        <v>#REF!</v>
      </c>
      <c r="R1208" s="17" t="str">
        <f t="shared" si="119"/>
        <v>78 1 00 10020120</v>
      </c>
    </row>
    <row r="1209" spans="1:18" s="23" customFormat="1" ht="31.5">
      <c r="A1209" s="21"/>
      <c r="B1209" s="127" t="s">
        <v>40</v>
      </c>
      <c r="C1209" s="109" t="s">
        <v>406</v>
      </c>
      <c r="D1209" s="108" t="s">
        <v>342</v>
      </c>
      <c r="E1209" s="108" t="s">
        <v>86</v>
      </c>
      <c r="F1209" s="108" t="s">
        <v>743</v>
      </c>
      <c r="G1209" s="108" t="s">
        <v>41</v>
      </c>
      <c r="H1209" s="126"/>
      <c r="L1209" s="22"/>
      <c r="M1209" s="22"/>
      <c r="N1209" s="22"/>
      <c r="O1209" s="22"/>
      <c r="P1209" s="22"/>
      <c r="Q1209" s="22"/>
      <c r="R1209" s="24"/>
    </row>
    <row r="1210" spans="1:18" s="23" customFormat="1" ht="63">
      <c r="A1210" s="21"/>
      <c r="B1210" s="127" t="s">
        <v>26</v>
      </c>
      <c r="C1210" s="109" t="s">
        <v>406</v>
      </c>
      <c r="D1210" s="108" t="s">
        <v>342</v>
      </c>
      <c r="E1210" s="108" t="s">
        <v>86</v>
      </c>
      <c r="F1210" s="108" t="s">
        <v>743</v>
      </c>
      <c r="G1210" s="108" t="s">
        <v>27</v>
      </c>
      <c r="H1210" s="126"/>
      <c r="L1210" s="22"/>
      <c r="M1210" s="22"/>
      <c r="N1210" s="22"/>
      <c r="O1210" s="22"/>
      <c r="P1210" s="22"/>
      <c r="Q1210" s="22"/>
      <c r="R1210" s="24"/>
    </row>
    <row r="1211" spans="1:18" s="16" customFormat="1" ht="31.5">
      <c r="A1211" s="14"/>
      <c r="B1211" s="138" t="s">
        <v>136</v>
      </c>
      <c r="C1211" s="109" t="s">
        <v>406</v>
      </c>
      <c r="D1211" s="108" t="s">
        <v>342</v>
      </c>
      <c r="E1211" s="108" t="s">
        <v>86</v>
      </c>
      <c r="F1211" s="142" t="s">
        <v>744</v>
      </c>
      <c r="G1211" s="142" t="s">
        <v>9</v>
      </c>
      <c r="H1211" s="126">
        <f>H1212+H1215</f>
        <v>0</v>
      </c>
      <c r="L1211" s="20">
        <v>9108.4</v>
      </c>
      <c r="M1211" s="20">
        <v>9108.4</v>
      </c>
      <c r="N1211" s="20">
        <v>9108.4</v>
      </c>
      <c r="O1211" s="20">
        <f>H1211-L1211</f>
        <v>-9108.4</v>
      </c>
      <c r="P1211" s="20" t="e">
        <f>#REF!-M1211</f>
        <v>#REF!</v>
      </c>
      <c r="Q1211" s="20" t="e">
        <f>#REF!-N1211</f>
        <v>#REF!</v>
      </c>
      <c r="R1211" s="17" t="str">
        <f t="shared" ref="R1211:R1317" si="132">CONCATENATE(F1211,G1211)</f>
        <v>78 1 00 11010000</v>
      </c>
    </row>
    <row r="1212" spans="1:18" s="16" customFormat="1" ht="15.75">
      <c r="A1212" s="14"/>
      <c r="B1212" s="137" t="s">
        <v>138</v>
      </c>
      <c r="C1212" s="109" t="s">
        <v>406</v>
      </c>
      <c r="D1212" s="108" t="s">
        <v>342</v>
      </c>
      <c r="E1212" s="108" t="s">
        <v>86</v>
      </c>
      <c r="F1212" s="142" t="s">
        <v>744</v>
      </c>
      <c r="G1212" s="142" t="s">
        <v>139</v>
      </c>
      <c r="H1212" s="126">
        <f>SUM(H1213:H1214)</f>
        <v>0</v>
      </c>
      <c r="L1212" s="20">
        <v>7968.4</v>
      </c>
      <c r="M1212" s="20">
        <v>7968.4</v>
      </c>
      <c r="N1212" s="20">
        <v>7968.4</v>
      </c>
      <c r="O1212" s="20">
        <f>H1212-L1212</f>
        <v>-7968.4</v>
      </c>
      <c r="P1212" s="20" t="e">
        <f>#REF!-M1212</f>
        <v>#REF!</v>
      </c>
      <c r="Q1212" s="20" t="e">
        <f>#REF!-N1212</f>
        <v>#REF!</v>
      </c>
      <c r="R1212" s="17" t="str">
        <f t="shared" si="132"/>
        <v>78 1 00 11010110</v>
      </c>
    </row>
    <row r="1213" spans="1:18" s="23" customFormat="1" ht="15.75">
      <c r="A1213" s="21"/>
      <c r="B1213" s="127" t="s">
        <v>140</v>
      </c>
      <c r="C1213" s="109" t="s">
        <v>406</v>
      </c>
      <c r="D1213" s="108" t="s">
        <v>342</v>
      </c>
      <c r="E1213" s="108" t="s">
        <v>86</v>
      </c>
      <c r="F1213" s="142" t="s">
        <v>744</v>
      </c>
      <c r="G1213" s="142" t="s">
        <v>141</v>
      </c>
      <c r="H1213" s="126"/>
      <c r="L1213" s="22"/>
      <c r="M1213" s="22"/>
      <c r="N1213" s="22"/>
      <c r="O1213" s="22"/>
      <c r="P1213" s="22"/>
      <c r="Q1213" s="22"/>
      <c r="R1213" s="24"/>
    </row>
    <row r="1214" spans="1:18" s="23" customFormat="1" ht="47.25">
      <c r="A1214" s="21"/>
      <c r="B1214" s="127" t="s">
        <v>487</v>
      </c>
      <c r="C1214" s="109" t="s">
        <v>406</v>
      </c>
      <c r="D1214" s="108" t="s">
        <v>342</v>
      </c>
      <c r="E1214" s="108" t="s">
        <v>86</v>
      </c>
      <c r="F1214" s="142" t="s">
        <v>744</v>
      </c>
      <c r="G1214" s="142" t="s">
        <v>145</v>
      </c>
      <c r="H1214" s="126"/>
      <c r="L1214" s="22"/>
      <c r="M1214" s="22"/>
      <c r="N1214" s="22"/>
      <c r="O1214" s="22"/>
      <c r="P1214" s="22"/>
      <c r="Q1214" s="22"/>
      <c r="R1214" s="24"/>
    </row>
    <row r="1215" spans="1:18" s="16" customFormat="1" ht="31.5">
      <c r="A1215" s="14"/>
      <c r="B1215" s="125" t="s">
        <v>28</v>
      </c>
      <c r="C1215" s="109" t="s">
        <v>406</v>
      </c>
      <c r="D1215" s="108" t="s">
        <v>342</v>
      </c>
      <c r="E1215" s="108" t="s">
        <v>86</v>
      </c>
      <c r="F1215" s="142" t="s">
        <v>744</v>
      </c>
      <c r="G1215" s="142" t="s">
        <v>29</v>
      </c>
      <c r="H1215" s="126">
        <f>H1216</f>
        <v>0</v>
      </c>
      <c r="L1215" s="20">
        <v>1140</v>
      </c>
      <c r="M1215" s="20">
        <v>1140</v>
      </c>
      <c r="N1215" s="20">
        <v>1140</v>
      </c>
      <c r="O1215" s="20">
        <f>H1215-L1215</f>
        <v>-1140</v>
      </c>
      <c r="P1215" s="20" t="e">
        <f>#REF!-M1215</f>
        <v>#REF!</v>
      </c>
      <c r="Q1215" s="20" t="e">
        <f>#REF!-N1215</f>
        <v>#REF!</v>
      </c>
      <c r="R1215" s="17" t="str">
        <f t="shared" si="132"/>
        <v>78 1 00 11010240</v>
      </c>
    </row>
    <row r="1216" spans="1:18" s="16" customFormat="1" ht="15.75">
      <c r="A1216" s="14"/>
      <c r="B1216" s="125" t="s">
        <v>30</v>
      </c>
      <c r="C1216" s="109" t="s">
        <v>406</v>
      </c>
      <c r="D1216" s="108" t="s">
        <v>342</v>
      </c>
      <c r="E1216" s="108" t="s">
        <v>86</v>
      </c>
      <c r="F1216" s="142" t="s">
        <v>744</v>
      </c>
      <c r="G1216" s="142" t="s">
        <v>31</v>
      </c>
      <c r="H1216" s="126"/>
      <c r="L1216" s="20"/>
      <c r="M1216" s="20"/>
      <c r="N1216" s="20"/>
      <c r="O1216" s="20"/>
      <c r="P1216" s="20"/>
      <c r="Q1216" s="20"/>
      <c r="R1216" s="17"/>
    </row>
    <row r="1217" spans="1:18" s="16" customFormat="1" ht="15.75">
      <c r="A1217" s="14"/>
      <c r="B1217" s="127"/>
      <c r="C1217" s="109"/>
      <c r="D1217" s="108"/>
      <c r="E1217" s="108"/>
      <c r="F1217" s="108"/>
      <c r="G1217" s="108"/>
      <c r="H1217" s="126"/>
      <c r="L1217" s="20"/>
      <c r="M1217" s="20"/>
      <c r="N1217" s="20"/>
      <c r="O1217" s="20">
        <f t="shared" ref="O1217:O1224" si="133">H1217-L1217</f>
        <v>0</v>
      </c>
      <c r="P1217" s="20" t="e">
        <f>#REF!-M1217</f>
        <v>#REF!</v>
      </c>
      <c r="Q1217" s="20" t="e">
        <f>#REF!-N1217</f>
        <v>#REF!</v>
      </c>
      <c r="R1217" s="17" t="str">
        <f t="shared" si="132"/>
        <v/>
      </c>
    </row>
    <row r="1218" spans="1:18" s="16" customFormat="1" ht="31.5">
      <c r="A1218" s="14"/>
      <c r="B1218" s="67" t="s">
        <v>745</v>
      </c>
      <c r="C1218" s="116" t="s">
        <v>746</v>
      </c>
      <c r="D1218" s="69" t="s">
        <v>7</v>
      </c>
      <c r="E1218" s="69" t="s">
        <v>7</v>
      </c>
      <c r="F1218" s="69" t="s">
        <v>8</v>
      </c>
      <c r="G1218" s="69" t="s">
        <v>9</v>
      </c>
      <c r="H1218" s="70">
        <f>H1219+H1261+H1272+H1311</f>
        <v>0</v>
      </c>
      <c r="L1218" s="25">
        <v>136890.37999999998</v>
      </c>
      <c r="M1218" s="25">
        <v>136743.88999999998</v>
      </c>
      <c r="N1218" s="25">
        <v>144115.65</v>
      </c>
      <c r="O1218" s="25">
        <f t="shared" si="133"/>
        <v>-136890.37999999998</v>
      </c>
      <c r="P1218" s="25" t="e">
        <f>#REF!-M1218</f>
        <v>#REF!</v>
      </c>
      <c r="Q1218" s="25" t="e">
        <f>#REF!-N1218</f>
        <v>#REF!</v>
      </c>
      <c r="R1218" s="17" t="str">
        <f t="shared" si="132"/>
        <v>00 0 00 00000000</v>
      </c>
    </row>
    <row r="1219" spans="1:18" s="16" customFormat="1" ht="15.75">
      <c r="A1219" s="14"/>
      <c r="B1219" s="117" t="s">
        <v>10</v>
      </c>
      <c r="C1219" s="118" t="s">
        <v>746</v>
      </c>
      <c r="D1219" s="119" t="s">
        <v>11</v>
      </c>
      <c r="E1219" s="119" t="s">
        <v>7</v>
      </c>
      <c r="F1219" s="119" t="s">
        <v>8</v>
      </c>
      <c r="G1219" s="119" t="s">
        <v>9</v>
      </c>
      <c r="H1219" s="120">
        <f>H1220+H1246</f>
        <v>0</v>
      </c>
      <c r="L1219" s="18">
        <v>35074.359999999993</v>
      </c>
      <c r="M1219" s="18">
        <v>33719.359999999993</v>
      </c>
      <c r="N1219" s="18">
        <v>33719.359999999993</v>
      </c>
      <c r="O1219" s="18">
        <f t="shared" si="133"/>
        <v>-35074.359999999993</v>
      </c>
      <c r="P1219" s="18" t="e">
        <f>#REF!-M1219</f>
        <v>#REF!</v>
      </c>
      <c r="Q1219" s="18" t="e">
        <f>#REF!-N1219</f>
        <v>#REF!</v>
      </c>
      <c r="R1219" s="17" t="str">
        <f t="shared" si="132"/>
        <v>00 0 00 00000000</v>
      </c>
    </row>
    <row r="1220" spans="1:18" s="16" customFormat="1" ht="63">
      <c r="A1220" s="14"/>
      <c r="B1220" s="121" t="s">
        <v>72</v>
      </c>
      <c r="C1220" s="122" t="s">
        <v>746</v>
      </c>
      <c r="D1220" s="123" t="s">
        <v>11</v>
      </c>
      <c r="E1220" s="123" t="s">
        <v>73</v>
      </c>
      <c r="F1220" s="123" t="s">
        <v>8</v>
      </c>
      <c r="G1220" s="123" t="s">
        <v>9</v>
      </c>
      <c r="H1220" s="124">
        <f t="shared" ref="H1220:H1221" si="134">H1221</f>
        <v>0</v>
      </c>
      <c r="L1220" s="19">
        <v>33329.159999999996</v>
      </c>
      <c r="M1220" s="19">
        <v>33329.159999999996</v>
      </c>
      <c r="N1220" s="19">
        <v>33329.159999999996</v>
      </c>
      <c r="O1220" s="19">
        <f t="shared" si="133"/>
        <v>-33329.159999999996</v>
      </c>
      <c r="P1220" s="19" t="e">
        <f>#REF!-M1220</f>
        <v>#REF!</v>
      </c>
      <c r="Q1220" s="19" t="e">
        <f>#REF!-N1220</f>
        <v>#REF!</v>
      </c>
      <c r="R1220" s="17" t="str">
        <f t="shared" si="132"/>
        <v>00 0 00 00000000</v>
      </c>
    </row>
    <row r="1221" spans="1:18" s="16" customFormat="1" ht="31.5">
      <c r="A1221" s="14"/>
      <c r="B1221" s="140" t="s">
        <v>747</v>
      </c>
      <c r="C1221" s="130" t="s">
        <v>746</v>
      </c>
      <c r="D1221" s="131" t="s">
        <v>11</v>
      </c>
      <c r="E1221" s="131" t="s">
        <v>73</v>
      </c>
      <c r="F1221" s="131" t="s">
        <v>748</v>
      </c>
      <c r="G1221" s="131" t="s">
        <v>9</v>
      </c>
      <c r="H1221" s="105">
        <f t="shared" si="134"/>
        <v>0</v>
      </c>
      <c r="L1221" s="26">
        <v>33329.159999999996</v>
      </c>
      <c r="M1221" s="26">
        <v>33329.159999999996</v>
      </c>
      <c r="N1221" s="26">
        <v>33329.159999999996</v>
      </c>
      <c r="O1221" s="26">
        <f t="shared" si="133"/>
        <v>-33329.159999999996</v>
      </c>
      <c r="P1221" s="26" t="e">
        <f>#REF!-M1221</f>
        <v>#REF!</v>
      </c>
      <c r="Q1221" s="26" t="e">
        <f>#REF!-N1221</f>
        <v>#REF!</v>
      </c>
      <c r="R1221" s="17" t="str">
        <f t="shared" si="132"/>
        <v>80 0 00 00000000</v>
      </c>
    </row>
    <row r="1222" spans="1:18" s="16" customFormat="1" ht="47.25">
      <c r="A1222" s="14"/>
      <c r="B1222" s="140" t="s">
        <v>749</v>
      </c>
      <c r="C1222" s="130" t="s">
        <v>746</v>
      </c>
      <c r="D1222" s="131" t="s">
        <v>11</v>
      </c>
      <c r="E1222" s="131" t="s">
        <v>73</v>
      </c>
      <c r="F1222" s="131" t="s">
        <v>750</v>
      </c>
      <c r="G1222" s="131" t="s">
        <v>9</v>
      </c>
      <c r="H1222" s="105">
        <f>H1223+H1232+H1236+H1243</f>
        <v>0</v>
      </c>
      <c r="L1222" s="26">
        <v>33329.159999999996</v>
      </c>
      <c r="M1222" s="26">
        <v>33329.159999999996</v>
      </c>
      <c r="N1222" s="26">
        <v>33329.159999999996</v>
      </c>
      <c r="O1222" s="26">
        <f t="shared" si="133"/>
        <v>-33329.159999999996</v>
      </c>
      <c r="P1222" s="26" t="e">
        <f>#REF!-M1222</f>
        <v>#REF!</v>
      </c>
      <c r="Q1222" s="26" t="e">
        <f>#REF!-N1222</f>
        <v>#REF!</v>
      </c>
      <c r="R1222" s="17" t="str">
        <f t="shared" si="132"/>
        <v>80 1 00 00000000</v>
      </c>
    </row>
    <row r="1223" spans="1:18" s="16" customFormat="1" ht="31.5">
      <c r="A1223" s="14"/>
      <c r="B1223" s="125" t="s">
        <v>18</v>
      </c>
      <c r="C1223" s="130" t="s">
        <v>746</v>
      </c>
      <c r="D1223" s="131" t="s">
        <v>11</v>
      </c>
      <c r="E1223" s="131" t="s">
        <v>73</v>
      </c>
      <c r="F1223" s="131" t="s">
        <v>751</v>
      </c>
      <c r="G1223" s="131" t="s">
        <v>9</v>
      </c>
      <c r="H1223" s="105">
        <f>H1224+H1227+H1229</f>
        <v>0</v>
      </c>
      <c r="L1223" s="26">
        <v>4038.21</v>
      </c>
      <c r="M1223" s="26">
        <v>4038.21</v>
      </c>
      <c r="N1223" s="26">
        <v>4038.21</v>
      </c>
      <c r="O1223" s="26">
        <f t="shared" si="133"/>
        <v>-4038.21</v>
      </c>
      <c r="P1223" s="26" t="e">
        <f>#REF!-M1223</f>
        <v>#REF!</v>
      </c>
      <c r="Q1223" s="26" t="e">
        <f>#REF!-N1223</f>
        <v>#REF!</v>
      </c>
      <c r="R1223" s="17" t="str">
        <f t="shared" si="132"/>
        <v>80 1 00 10010000</v>
      </c>
    </row>
    <row r="1224" spans="1:18" s="16" customFormat="1" ht="31.5">
      <c r="A1224" s="14"/>
      <c r="B1224" s="127" t="s">
        <v>20</v>
      </c>
      <c r="C1224" s="130" t="s">
        <v>746</v>
      </c>
      <c r="D1224" s="131" t="s">
        <v>11</v>
      </c>
      <c r="E1224" s="131" t="s">
        <v>73</v>
      </c>
      <c r="F1224" s="131" t="s">
        <v>751</v>
      </c>
      <c r="G1224" s="131" t="s">
        <v>21</v>
      </c>
      <c r="H1224" s="126">
        <f>SUM(H1225:H1226)</f>
        <v>0</v>
      </c>
      <c r="L1224" s="26">
        <v>620.46</v>
      </c>
      <c r="M1224" s="26">
        <v>620.46</v>
      </c>
      <c r="N1224" s="26">
        <v>620.46</v>
      </c>
      <c r="O1224" s="26">
        <f t="shared" si="133"/>
        <v>-620.46</v>
      </c>
      <c r="P1224" s="26" t="e">
        <f>#REF!-M1224</f>
        <v>#REF!</v>
      </c>
      <c r="Q1224" s="26" t="e">
        <f>#REF!-N1224</f>
        <v>#REF!</v>
      </c>
      <c r="R1224" s="17" t="str">
        <f t="shared" si="132"/>
        <v>80 1 00 10010120</v>
      </c>
    </row>
    <row r="1225" spans="1:18" s="23" customFormat="1" ht="47.25">
      <c r="A1225" s="21"/>
      <c r="B1225" s="127" t="s">
        <v>22</v>
      </c>
      <c r="C1225" s="130" t="s">
        <v>746</v>
      </c>
      <c r="D1225" s="131" t="s">
        <v>11</v>
      </c>
      <c r="E1225" s="131" t="s">
        <v>73</v>
      </c>
      <c r="F1225" s="131" t="s">
        <v>751</v>
      </c>
      <c r="G1225" s="108" t="s">
        <v>23</v>
      </c>
      <c r="H1225" s="126"/>
      <c r="L1225" s="22"/>
      <c r="M1225" s="22"/>
      <c r="N1225" s="22"/>
      <c r="O1225" s="22"/>
      <c r="P1225" s="22"/>
      <c r="Q1225" s="22"/>
      <c r="R1225" s="24"/>
    </row>
    <row r="1226" spans="1:18" s="23" customFormat="1" ht="63">
      <c r="A1226" s="21"/>
      <c r="B1226" s="127" t="s">
        <v>26</v>
      </c>
      <c r="C1226" s="130" t="s">
        <v>746</v>
      </c>
      <c r="D1226" s="131" t="s">
        <v>11</v>
      </c>
      <c r="E1226" s="131" t="s">
        <v>73</v>
      </c>
      <c r="F1226" s="131" t="s">
        <v>751</v>
      </c>
      <c r="G1226" s="108" t="s">
        <v>27</v>
      </c>
      <c r="H1226" s="126"/>
      <c r="L1226" s="22"/>
      <c r="M1226" s="22"/>
      <c r="N1226" s="22"/>
      <c r="O1226" s="22"/>
      <c r="P1226" s="22"/>
      <c r="Q1226" s="22"/>
      <c r="R1226" s="24"/>
    </row>
    <row r="1227" spans="1:18" s="16" customFormat="1" ht="31.5">
      <c r="A1227" s="14"/>
      <c r="B1227" s="125" t="s">
        <v>28</v>
      </c>
      <c r="C1227" s="130" t="s">
        <v>746</v>
      </c>
      <c r="D1227" s="131" t="s">
        <v>11</v>
      </c>
      <c r="E1227" s="131" t="s">
        <v>73</v>
      </c>
      <c r="F1227" s="131" t="s">
        <v>751</v>
      </c>
      <c r="G1227" s="131" t="s">
        <v>29</v>
      </c>
      <c r="H1227" s="126">
        <f>H1228</f>
        <v>0</v>
      </c>
      <c r="L1227" s="26">
        <v>3320.75</v>
      </c>
      <c r="M1227" s="26">
        <v>3320.75</v>
      </c>
      <c r="N1227" s="26">
        <v>3320.75</v>
      </c>
      <c r="O1227" s="26">
        <f>H1227-L1227</f>
        <v>-3320.75</v>
      </c>
      <c r="P1227" s="26" t="e">
        <f>#REF!-M1227</f>
        <v>#REF!</v>
      </c>
      <c r="Q1227" s="26" t="e">
        <f>#REF!-N1227</f>
        <v>#REF!</v>
      </c>
      <c r="R1227" s="17" t="str">
        <f t="shared" si="132"/>
        <v>80 1 00 10010240</v>
      </c>
    </row>
    <row r="1228" spans="1:18" s="16" customFormat="1" ht="15.75">
      <c r="A1228" s="14"/>
      <c r="B1228" s="125" t="s">
        <v>30</v>
      </c>
      <c r="C1228" s="130" t="s">
        <v>746</v>
      </c>
      <c r="D1228" s="131" t="s">
        <v>11</v>
      </c>
      <c r="E1228" s="131" t="s">
        <v>73</v>
      </c>
      <c r="F1228" s="131" t="s">
        <v>751</v>
      </c>
      <c r="G1228" s="131" t="s">
        <v>31</v>
      </c>
      <c r="H1228" s="126"/>
      <c r="L1228" s="26"/>
      <c r="M1228" s="26"/>
      <c r="N1228" s="26"/>
      <c r="O1228" s="26"/>
      <c r="P1228" s="26"/>
      <c r="Q1228" s="26"/>
      <c r="R1228" s="17"/>
    </row>
    <row r="1229" spans="1:18" s="16" customFormat="1" ht="15.75">
      <c r="A1229" s="14"/>
      <c r="B1229" s="125" t="s">
        <v>32</v>
      </c>
      <c r="C1229" s="130" t="s">
        <v>746</v>
      </c>
      <c r="D1229" s="131" t="s">
        <v>11</v>
      </c>
      <c r="E1229" s="131" t="s">
        <v>73</v>
      </c>
      <c r="F1229" s="131" t="s">
        <v>751</v>
      </c>
      <c r="G1229" s="131" t="s">
        <v>33</v>
      </c>
      <c r="H1229" s="126">
        <f>SUM(H1230:H1231)</f>
        <v>0</v>
      </c>
      <c r="L1229" s="26">
        <v>97</v>
      </c>
      <c r="M1229" s="26">
        <v>97</v>
      </c>
      <c r="N1229" s="26">
        <v>97</v>
      </c>
      <c r="O1229" s="26">
        <f>H1229-L1229</f>
        <v>-97</v>
      </c>
      <c r="P1229" s="26" t="e">
        <f>#REF!-M1229</f>
        <v>#REF!</v>
      </c>
      <c r="Q1229" s="26" t="e">
        <f>#REF!-N1229</f>
        <v>#REF!</v>
      </c>
      <c r="R1229" s="17" t="str">
        <f t="shared" si="132"/>
        <v>80 1 00 10010850</v>
      </c>
    </row>
    <row r="1230" spans="1:18" s="23" customFormat="1" ht="31.5">
      <c r="A1230" s="21"/>
      <c r="B1230" s="127" t="s">
        <v>34</v>
      </c>
      <c r="C1230" s="130" t="s">
        <v>746</v>
      </c>
      <c r="D1230" s="131" t="s">
        <v>11</v>
      </c>
      <c r="E1230" s="131" t="s">
        <v>73</v>
      </c>
      <c r="F1230" s="131" t="s">
        <v>751</v>
      </c>
      <c r="G1230" s="108" t="s">
        <v>35</v>
      </c>
      <c r="H1230" s="126"/>
      <c r="L1230" s="22"/>
      <c r="M1230" s="22"/>
      <c r="N1230" s="22"/>
      <c r="O1230" s="22"/>
      <c r="P1230" s="22"/>
      <c r="Q1230" s="22"/>
      <c r="R1230" s="24"/>
    </row>
    <row r="1231" spans="1:18" s="23" customFormat="1" ht="15.75">
      <c r="A1231" s="21"/>
      <c r="B1231" s="127" t="s">
        <v>36</v>
      </c>
      <c r="C1231" s="130" t="s">
        <v>746</v>
      </c>
      <c r="D1231" s="131" t="s">
        <v>11</v>
      </c>
      <c r="E1231" s="131" t="s">
        <v>73</v>
      </c>
      <c r="F1231" s="131" t="s">
        <v>751</v>
      </c>
      <c r="G1231" s="108" t="s">
        <v>37</v>
      </c>
      <c r="H1231" s="126"/>
      <c r="L1231" s="22"/>
      <c r="M1231" s="22"/>
      <c r="N1231" s="22"/>
      <c r="O1231" s="22"/>
      <c r="P1231" s="22"/>
      <c r="Q1231" s="22"/>
      <c r="R1231" s="24"/>
    </row>
    <row r="1232" spans="1:18" s="16" customFormat="1" ht="31.5">
      <c r="A1232" s="14"/>
      <c r="B1232" s="125" t="s">
        <v>38</v>
      </c>
      <c r="C1232" s="130" t="s">
        <v>746</v>
      </c>
      <c r="D1232" s="131" t="s">
        <v>11</v>
      </c>
      <c r="E1232" s="131" t="s">
        <v>73</v>
      </c>
      <c r="F1232" s="131" t="s">
        <v>752</v>
      </c>
      <c r="G1232" s="131" t="s">
        <v>9</v>
      </c>
      <c r="H1232" s="126">
        <f>H1233</f>
        <v>0</v>
      </c>
      <c r="L1232" s="20">
        <v>28172.3</v>
      </c>
      <c r="M1232" s="20">
        <v>28172.3</v>
      </c>
      <c r="N1232" s="20">
        <v>28172.3</v>
      </c>
      <c r="O1232" s="20">
        <f>H1232-L1232</f>
        <v>-28172.3</v>
      </c>
      <c r="P1232" s="20" t="e">
        <f>#REF!-M1232</f>
        <v>#REF!</v>
      </c>
      <c r="Q1232" s="20" t="e">
        <f>#REF!-N1232</f>
        <v>#REF!</v>
      </c>
      <c r="R1232" s="17" t="str">
        <f t="shared" si="132"/>
        <v>80 1 00 10020000</v>
      </c>
    </row>
    <row r="1233" spans="1:18" s="16" customFormat="1" ht="31.5">
      <c r="A1233" s="14"/>
      <c r="B1233" s="127" t="s">
        <v>20</v>
      </c>
      <c r="C1233" s="130" t="s">
        <v>746</v>
      </c>
      <c r="D1233" s="131" t="s">
        <v>11</v>
      </c>
      <c r="E1233" s="131" t="s">
        <v>73</v>
      </c>
      <c r="F1233" s="131" t="s">
        <v>752</v>
      </c>
      <c r="G1233" s="131" t="s">
        <v>21</v>
      </c>
      <c r="H1233" s="126">
        <f>SUM(H1234:H1235)</f>
        <v>0</v>
      </c>
      <c r="L1233" s="20">
        <v>28172.3</v>
      </c>
      <c r="M1233" s="20">
        <v>28172.3</v>
      </c>
      <c r="N1233" s="20">
        <v>28172.3</v>
      </c>
      <c r="O1233" s="20">
        <f>H1233-L1233</f>
        <v>-28172.3</v>
      </c>
      <c r="P1233" s="20" t="e">
        <f>#REF!-M1233</f>
        <v>#REF!</v>
      </c>
      <c r="Q1233" s="20" t="e">
        <f>#REF!-N1233</f>
        <v>#REF!</v>
      </c>
      <c r="R1233" s="17" t="str">
        <f t="shared" si="132"/>
        <v>80 1 00 10020120</v>
      </c>
    </row>
    <row r="1234" spans="1:18" s="23" customFormat="1" ht="31.5">
      <c r="A1234" s="21"/>
      <c r="B1234" s="127" t="s">
        <v>40</v>
      </c>
      <c r="C1234" s="130" t="s">
        <v>746</v>
      </c>
      <c r="D1234" s="131" t="s">
        <v>11</v>
      </c>
      <c r="E1234" s="131" t="s">
        <v>73</v>
      </c>
      <c r="F1234" s="131" t="s">
        <v>752</v>
      </c>
      <c r="G1234" s="108" t="s">
        <v>41</v>
      </c>
      <c r="H1234" s="126"/>
      <c r="L1234" s="22"/>
      <c r="M1234" s="22"/>
      <c r="N1234" s="22"/>
      <c r="O1234" s="22"/>
      <c r="P1234" s="22"/>
      <c r="Q1234" s="22"/>
      <c r="R1234" s="24"/>
    </row>
    <row r="1235" spans="1:18" s="23" customFormat="1" ht="63">
      <c r="A1235" s="21"/>
      <c r="B1235" s="127" t="s">
        <v>26</v>
      </c>
      <c r="C1235" s="130" t="s">
        <v>746</v>
      </c>
      <c r="D1235" s="131" t="s">
        <v>11</v>
      </c>
      <c r="E1235" s="131" t="s">
        <v>73</v>
      </c>
      <c r="F1235" s="131" t="s">
        <v>752</v>
      </c>
      <c r="G1235" s="108" t="s">
        <v>27</v>
      </c>
      <c r="H1235" s="126"/>
      <c r="L1235" s="22"/>
      <c r="M1235" s="22"/>
      <c r="N1235" s="22"/>
      <c r="O1235" s="22"/>
      <c r="P1235" s="22"/>
      <c r="Q1235" s="22"/>
      <c r="R1235" s="24"/>
    </row>
    <row r="1236" spans="1:18" s="16" customFormat="1" ht="63">
      <c r="A1236" s="14" t="s">
        <v>80</v>
      </c>
      <c r="B1236" s="150" t="s">
        <v>488</v>
      </c>
      <c r="C1236" s="130" t="s">
        <v>746</v>
      </c>
      <c r="D1236" s="131" t="s">
        <v>11</v>
      </c>
      <c r="E1236" s="131" t="s">
        <v>73</v>
      </c>
      <c r="F1236" s="131" t="s">
        <v>753</v>
      </c>
      <c r="G1236" s="131" t="s">
        <v>9</v>
      </c>
      <c r="H1236" s="126">
        <f>H1237+H1241</f>
        <v>0</v>
      </c>
      <c r="L1236" s="20">
        <v>1047.75</v>
      </c>
      <c r="M1236" s="20">
        <v>1047.75</v>
      </c>
      <c r="N1236" s="20">
        <v>1047.75</v>
      </c>
      <c r="O1236" s="20">
        <f>H1236-L1236</f>
        <v>-1047.75</v>
      </c>
      <c r="P1236" s="20" t="e">
        <f>#REF!-M1236</f>
        <v>#REF!</v>
      </c>
      <c r="Q1236" s="20" t="e">
        <f>#REF!-N1236</f>
        <v>#REF!</v>
      </c>
      <c r="R1236" s="17" t="str">
        <f t="shared" si="132"/>
        <v>80 1 00 76200000</v>
      </c>
    </row>
    <row r="1237" spans="1:18" s="16" customFormat="1" ht="31.5">
      <c r="A1237" s="14"/>
      <c r="B1237" s="129" t="s">
        <v>20</v>
      </c>
      <c r="C1237" s="130" t="s">
        <v>746</v>
      </c>
      <c r="D1237" s="131" t="s">
        <v>11</v>
      </c>
      <c r="E1237" s="131" t="s">
        <v>73</v>
      </c>
      <c r="F1237" s="131" t="s">
        <v>753</v>
      </c>
      <c r="G1237" s="131" t="s">
        <v>21</v>
      </c>
      <c r="H1237" s="126">
        <f>SUM(H1238:H1240)</f>
        <v>0</v>
      </c>
      <c r="L1237" s="26">
        <v>989.33</v>
      </c>
      <c r="M1237" s="26">
        <v>989.33</v>
      </c>
      <c r="N1237" s="26">
        <v>989.33</v>
      </c>
      <c r="O1237" s="26">
        <f>H1237-L1237</f>
        <v>-989.33</v>
      </c>
      <c r="P1237" s="26" t="e">
        <f>#REF!-M1237</f>
        <v>#REF!</v>
      </c>
      <c r="Q1237" s="26" t="e">
        <f>#REF!-N1237</f>
        <v>#REF!</v>
      </c>
      <c r="R1237" s="17" t="str">
        <f t="shared" si="132"/>
        <v>80 1 00 76200120</v>
      </c>
    </row>
    <row r="1238" spans="1:18" s="23" customFormat="1" ht="31.5">
      <c r="A1238" s="21"/>
      <c r="B1238" s="127" t="s">
        <v>40</v>
      </c>
      <c r="C1238" s="130" t="s">
        <v>746</v>
      </c>
      <c r="D1238" s="131" t="s">
        <v>11</v>
      </c>
      <c r="E1238" s="131" t="s">
        <v>73</v>
      </c>
      <c r="F1238" s="131" t="s">
        <v>753</v>
      </c>
      <c r="G1238" s="108" t="s">
        <v>41</v>
      </c>
      <c r="H1238" s="126"/>
      <c r="L1238" s="22"/>
      <c r="M1238" s="22"/>
      <c r="N1238" s="22"/>
      <c r="O1238" s="22"/>
      <c r="P1238" s="22"/>
      <c r="Q1238" s="22"/>
      <c r="R1238" s="24"/>
    </row>
    <row r="1239" spans="1:18" s="23" customFormat="1" ht="47.25">
      <c r="A1239" s="21"/>
      <c r="B1239" s="127" t="s">
        <v>22</v>
      </c>
      <c r="C1239" s="130" t="s">
        <v>746</v>
      </c>
      <c r="D1239" s="131" t="s">
        <v>11</v>
      </c>
      <c r="E1239" s="131" t="s">
        <v>73</v>
      </c>
      <c r="F1239" s="131" t="s">
        <v>753</v>
      </c>
      <c r="G1239" s="108" t="s">
        <v>23</v>
      </c>
      <c r="H1239" s="126"/>
      <c r="L1239" s="22"/>
      <c r="M1239" s="22"/>
      <c r="N1239" s="22"/>
      <c r="O1239" s="22"/>
      <c r="P1239" s="22"/>
      <c r="Q1239" s="22"/>
      <c r="R1239" s="24"/>
    </row>
    <row r="1240" spans="1:18" s="23" customFormat="1" ht="63">
      <c r="A1240" s="21"/>
      <c r="B1240" s="127" t="s">
        <v>26</v>
      </c>
      <c r="C1240" s="130" t="s">
        <v>746</v>
      </c>
      <c r="D1240" s="131" t="s">
        <v>11</v>
      </c>
      <c r="E1240" s="131" t="s">
        <v>73</v>
      </c>
      <c r="F1240" s="131" t="s">
        <v>753</v>
      </c>
      <c r="G1240" s="108" t="s">
        <v>27</v>
      </c>
      <c r="H1240" s="126"/>
      <c r="L1240" s="22"/>
      <c r="M1240" s="22"/>
      <c r="N1240" s="22"/>
      <c r="O1240" s="22"/>
      <c r="P1240" s="22"/>
      <c r="Q1240" s="22"/>
      <c r="R1240" s="24"/>
    </row>
    <row r="1241" spans="1:18" s="16" customFormat="1" ht="31.5">
      <c r="A1241" s="14"/>
      <c r="B1241" s="125" t="s">
        <v>28</v>
      </c>
      <c r="C1241" s="130" t="s">
        <v>746</v>
      </c>
      <c r="D1241" s="131" t="s">
        <v>11</v>
      </c>
      <c r="E1241" s="131" t="s">
        <v>73</v>
      </c>
      <c r="F1241" s="131" t="s">
        <v>753</v>
      </c>
      <c r="G1241" s="131" t="s">
        <v>29</v>
      </c>
      <c r="H1241" s="126">
        <f>H1242</f>
        <v>0</v>
      </c>
      <c r="L1241" s="26">
        <v>58.42</v>
      </c>
      <c r="M1241" s="26">
        <v>58.42</v>
      </c>
      <c r="N1241" s="26">
        <v>58.42</v>
      </c>
      <c r="O1241" s="26">
        <f>H1241-L1241</f>
        <v>-58.42</v>
      </c>
      <c r="P1241" s="26" t="e">
        <f>#REF!-M1241</f>
        <v>#REF!</v>
      </c>
      <c r="Q1241" s="26" t="e">
        <f>#REF!-N1241</f>
        <v>#REF!</v>
      </c>
      <c r="R1241" s="17" t="str">
        <f t="shared" si="132"/>
        <v>80 1 00 76200240</v>
      </c>
    </row>
    <row r="1242" spans="1:18" s="16" customFormat="1" ht="15.75">
      <c r="A1242" s="14"/>
      <c r="B1242" s="125" t="s">
        <v>30</v>
      </c>
      <c r="C1242" s="130" t="s">
        <v>746</v>
      </c>
      <c r="D1242" s="131" t="s">
        <v>11</v>
      </c>
      <c r="E1242" s="131" t="s">
        <v>73</v>
      </c>
      <c r="F1242" s="131" t="s">
        <v>753</v>
      </c>
      <c r="G1242" s="131" t="s">
        <v>31</v>
      </c>
      <c r="H1242" s="126"/>
      <c r="L1242" s="26"/>
      <c r="M1242" s="26"/>
      <c r="N1242" s="26"/>
      <c r="O1242" s="26"/>
      <c r="P1242" s="26"/>
      <c r="Q1242" s="26"/>
      <c r="R1242" s="17"/>
    </row>
    <row r="1243" spans="1:18" s="16" customFormat="1" ht="63">
      <c r="A1243" s="14" t="s">
        <v>80</v>
      </c>
      <c r="B1243" s="129" t="s">
        <v>754</v>
      </c>
      <c r="C1243" s="130" t="s">
        <v>746</v>
      </c>
      <c r="D1243" s="131" t="s">
        <v>11</v>
      </c>
      <c r="E1243" s="131" t="s">
        <v>73</v>
      </c>
      <c r="F1243" s="131" t="s">
        <v>755</v>
      </c>
      <c r="G1243" s="131" t="s">
        <v>9</v>
      </c>
      <c r="H1243" s="105">
        <f>H1244</f>
        <v>0</v>
      </c>
      <c r="L1243" s="26">
        <v>70.900000000000006</v>
      </c>
      <c r="M1243" s="26">
        <v>70.900000000000006</v>
      </c>
      <c r="N1243" s="26">
        <v>70.900000000000006</v>
      </c>
      <c r="O1243" s="26">
        <f>H1243-L1243</f>
        <v>-70.900000000000006</v>
      </c>
      <c r="P1243" s="26" t="e">
        <f>#REF!-M1243</f>
        <v>#REF!</v>
      </c>
      <c r="Q1243" s="26" t="e">
        <f>#REF!-N1243</f>
        <v>#REF!</v>
      </c>
      <c r="R1243" s="17" t="str">
        <f t="shared" si="132"/>
        <v>80 1 00 76360000</v>
      </c>
    </row>
    <row r="1244" spans="1:18" s="16" customFormat="1" ht="31.5">
      <c r="A1244" s="14"/>
      <c r="B1244" s="125" t="s">
        <v>28</v>
      </c>
      <c r="C1244" s="130" t="s">
        <v>746</v>
      </c>
      <c r="D1244" s="131" t="s">
        <v>11</v>
      </c>
      <c r="E1244" s="131" t="s">
        <v>73</v>
      </c>
      <c r="F1244" s="131" t="s">
        <v>755</v>
      </c>
      <c r="G1244" s="131" t="s">
        <v>29</v>
      </c>
      <c r="H1244" s="126">
        <f>H1245</f>
        <v>0</v>
      </c>
      <c r="L1244" s="26">
        <v>70.900000000000006</v>
      </c>
      <c r="M1244" s="26">
        <v>70.900000000000006</v>
      </c>
      <c r="N1244" s="26">
        <v>70.900000000000006</v>
      </c>
      <c r="O1244" s="26">
        <f>H1244-L1244</f>
        <v>-70.900000000000006</v>
      </c>
      <c r="P1244" s="26" t="e">
        <f>#REF!-M1244</f>
        <v>#REF!</v>
      </c>
      <c r="Q1244" s="26" t="e">
        <f>#REF!-N1244</f>
        <v>#REF!</v>
      </c>
      <c r="R1244" s="17" t="str">
        <f t="shared" si="132"/>
        <v>80 1 00 76360240</v>
      </c>
    </row>
    <row r="1245" spans="1:18" s="16" customFormat="1" ht="15.75">
      <c r="A1245" s="14"/>
      <c r="B1245" s="125" t="s">
        <v>30</v>
      </c>
      <c r="C1245" s="130" t="s">
        <v>746</v>
      </c>
      <c r="D1245" s="131" t="s">
        <v>11</v>
      </c>
      <c r="E1245" s="131" t="s">
        <v>73</v>
      </c>
      <c r="F1245" s="131" t="s">
        <v>755</v>
      </c>
      <c r="G1245" s="131" t="s">
        <v>31</v>
      </c>
      <c r="H1245" s="126"/>
      <c r="L1245" s="26"/>
      <c r="M1245" s="26"/>
      <c r="N1245" s="26"/>
      <c r="O1245" s="26"/>
      <c r="P1245" s="26"/>
      <c r="Q1245" s="26"/>
      <c r="R1245" s="17"/>
    </row>
    <row r="1246" spans="1:18" s="16" customFormat="1" ht="15.75">
      <c r="A1246" s="14"/>
      <c r="B1246" s="121" t="s">
        <v>50</v>
      </c>
      <c r="C1246" s="122" t="s">
        <v>746</v>
      </c>
      <c r="D1246" s="123" t="s">
        <v>11</v>
      </c>
      <c r="E1246" s="123" t="s">
        <v>51</v>
      </c>
      <c r="F1246" s="123" t="s">
        <v>8</v>
      </c>
      <c r="G1246" s="123" t="s">
        <v>9</v>
      </c>
      <c r="H1246" s="124">
        <f>H1247+H1256</f>
        <v>0</v>
      </c>
      <c r="L1246" s="19">
        <v>1745.2</v>
      </c>
      <c r="M1246" s="19">
        <v>390.2</v>
      </c>
      <c r="N1246" s="19">
        <v>390.2</v>
      </c>
      <c r="O1246" s="19">
        <f t="shared" ref="O1246:O1251" si="135">H1246-L1246</f>
        <v>-1745.2</v>
      </c>
      <c r="P1246" s="19" t="e">
        <f>#REF!-M1246</f>
        <v>#REF!</v>
      </c>
      <c r="Q1246" s="19" t="e">
        <f>#REF!-N1246</f>
        <v>#REF!</v>
      </c>
      <c r="R1246" s="17" t="str">
        <f t="shared" si="132"/>
        <v>00 0 00 00000000</v>
      </c>
    </row>
    <row r="1247" spans="1:18" s="16" customFormat="1" ht="63">
      <c r="A1247" s="14"/>
      <c r="B1247" s="132" t="s">
        <v>257</v>
      </c>
      <c r="C1247" s="130" t="s">
        <v>746</v>
      </c>
      <c r="D1247" s="131" t="s">
        <v>11</v>
      </c>
      <c r="E1247" s="131" t="s">
        <v>51</v>
      </c>
      <c r="F1247" s="131" t="s">
        <v>258</v>
      </c>
      <c r="G1247" s="131" t="s">
        <v>9</v>
      </c>
      <c r="H1247" s="105">
        <f t="shared" ref="H1247:H1250" si="136">H1248</f>
        <v>0</v>
      </c>
      <c r="L1247" s="26">
        <v>390.2</v>
      </c>
      <c r="M1247" s="26">
        <v>390.2</v>
      </c>
      <c r="N1247" s="26">
        <v>390.2</v>
      </c>
      <c r="O1247" s="26">
        <f t="shared" si="135"/>
        <v>-390.2</v>
      </c>
      <c r="P1247" s="26" t="e">
        <f>#REF!-M1247</f>
        <v>#REF!</v>
      </c>
      <c r="Q1247" s="26" t="e">
        <f>#REF!-N1247</f>
        <v>#REF!</v>
      </c>
      <c r="R1247" s="17" t="str">
        <f t="shared" si="132"/>
        <v>11 0 00 00000000</v>
      </c>
    </row>
    <row r="1248" spans="1:18" s="16" customFormat="1" ht="63">
      <c r="A1248" s="14"/>
      <c r="B1248" s="132" t="s">
        <v>259</v>
      </c>
      <c r="C1248" s="109" t="s">
        <v>746</v>
      </c>
      <c r="D1248" s="131" t="s">
        <v>11</v>
      </c>
      <c r="E1248" s="131" t="s">
        <v>51</v>
      </c>
      <c r="F1248" s="131" t="s">
        <v>260</v>
      </c>
      <c r="G1248" s="131" t="s">
        <v>9</v>
      </c>
      <c r="H1248" s="105">
        <f t="shared" si="136"/>
        <v>0</v>
      </c>
      <c r="L1248" s="26">
        <v>390.2</v>
      </c>
      <c r="M1248" s="26">
        <v>390.2</v>
      </c>
      <c r="N1248" s="26">
        <v>390.2</v>
      </c>
      <c r="O1248" s="26">
        <f t="shared" si="135"/>
        <v>-390.2</v>
      </c>
      <c r="P1248" s="26" t="e">
        <f>#REF!-M1248</f>
        <v>#REF!</v>
      </c>
      <c r="Q1248" s="26" t="e">
        <f>#REF!-N1248</f>
        <v>#REF!</v>
      </c>
      <c r="R1248" s="17" t="str">
        <f t="shared" si="132"/>
        <v>11 Б 00 00000000</v>
      </c>
    </row>
    <row r="1249" spans="1:18" s="16" customFormat="1" ht="47.25">
      <c r="A1249" s="14"/>
      <c r="B1249" s="125" t="s">
        <v>261</v>
      </c>
      <c r="C1249" s="109" t="s">
        <v>746</v>
      </c>
      <c r="D1249" s="131" t="s">
        <v>11</v>
      </c>
      <c r="E1249" s="131" t="s">
        <v>51</v>
      </c>
      <c r="F1249" s="131" t="s">
        <v>262</v>
      </c>
      <c r="G1249" s="131" t="s">
        <v>9</v>
      </c>
      <c r="H1249" s="105">
        <f>H1250+H1253</f>
        <v>0</v>
      </c>
      <c r="L1249" s="26">
        <v>390.2</v>
      </c>
      <c r="M1249" s="26">
        <v>390.2</v>
      </c>
      <c r="N1249" s="26">
        <v>390.2</v>
      </c>
      <c r="O1249" s="26">
        <f t="shared" si="135"/>
        <v>-390.2</v>
      </c>
      <c r="P1249" s="26" t="e">
        <f>#REF!-M1249</f>
        <v>#REF!</v>
      </c>
      <c r="Q1249" s="26" t="e">
        <f>#REF!-N1249</f>
        <v>#REF!</v>
      </c>
      <c r="R1249" s="17" t="str">
        <f t="shared" si="132"/>
        <v>11 Б 01 00000000</v>
      </c>
    </row>
    <row r="1250" spans="1:18" s="16" customFormat="1" ht="31.5">
      <c r="A1250" s="14"/>
      <c r="B1250" s="125" t="s">
        <v>756</v>
      </c>
      <c r="C1250" s="109" t="s">
        <v>746</v>
      </c>
      <c r="D1250" s="131" t="s">
        <v>11</v>
      </c>
      <c r="E1250" s="131" t="s">
        <v>51</v>
      </c>
      <c r="F1250" s="131" t="s">
        <v>757</v>
      </c>
      <c r="G1250" s="131" t="s">
        <v>9</v>
      </c>
      <c r="H1250" s="105">
        <f t="shared" si="136"/>
        <v>0</v>
      </c>
      <c r="L1250" s="26">
        <v>350</v>
      </c>
      <c r="M1250" s="26">
        <v>350</v>
      </c>
      <c r="N1250" s="26">
        <v>350</v>
      </c>
      <c r="O1250" s="26">
        <f t="shared" si="135"/>
        <v>-350</v>
      </c>
      <c r="P1250" s="26" t="e">
        <f>#REF!-M1250</f>
        <v>#REF!</v>
      </c>
      <c r="Q1250" s="26" t="e">
        <f>#REF!-N1250</f>
        <v>#REF!</v>
      </c>
      <c r="R1250" s="17" t="str">
        <f t="shared" si="132"/>
        <v>11 Б 01 20840000</v>
      </c>
    </row>
    <row r="1251" spans="1:18" s="16" customFormat="1" ht="31.5">
      <c r="A1251" s="14"/>
      <c r="B1251" s="125" t="s">
        <v>28</v>
      </c>
      <c r="C1251" s="109" t="s">
        <v>746</v>
      </c>
      <c r="D1251" s="131" t="s">
        <v>11</v>
      </c>
      <c r="E1251" s="131" t="s">
        <v>51</v>
      </c>
      <c r="F1251" s="131" t="s">
        <v>757</v>
      </c>
      <c r="G1251" s="131" t="s">
        <v>29</v>
      </c>
      <c r="H1251" s="126">
        <f>H1252</f>
        <v>0</v>
      </c>
      <c r="L1251" s="26">
        <v>350</v>
      </c>
      <c r="M1251" s="26">
        <v>350</v>
      </c>
      <c r="N1251" s="26">
        <v>350</v>
      </c>
      <c r="O1251" s="26">
        <f t="shared" si="135"/>
        <v>-350</v>
      </c>
      <c r="P1251" s="26" t="e">
        <f>#REF!-M1251</f>
        <v>#REF!</v>
      </c>
      <c r="Q1251" s="26" t="e">
        <f>#REF!-N1251</f>
        <v>#REF!</v>
      </c>
      <c r="R1251" s="17" t="str">
        <f t="shared" si="132"/>
        <v>11 Б 01 20840240</v>
      </c>
    </row>
    <row r="1252" spans="1:18" s="16" customFormat="1" ht="15.75">
      <c r="A1252" s="14"/>
      <c r="B1252" s="125" t="s">
        <v>30</v>
      </c>
      <c r="C1252" s="109" t="s">
        <v>746</v>
      </c>
      <c r="D1252" s="131" t="s">
        <v>11</v>
      </c>
      <c r="E1252" s="131" t="s">
        <v>51</v>
      </c>
      <c r="F1252" s="131" t="s">
        <v>757</v>
      </c>
      <c r="G1252" s="131" t="s">
        <v>31</v>
      </c>
      <c r="H1252" s="126"/>
      <c r="L1252" s="26"/>
      <c r="M1252" s="26"/>
      <c r="N1252" s="26"/>
      <c r="O1252" s="26"/>
      <c r="P1252" s="26"/>
      <c r="Q1252" s="26"/>
      <c r="R1252" s="17"/>
    </row>
    <row r="1253" spans="1:18" s="16" customFormat="1" ht="31.5">
      <c r="A1253" s="14"/>
      <c r="B1253" s="125" t="s">
        <v>267</v>
      </c>
      <c r="C1253" s="109" t="s">
        <v>746</v>
      </c>
      <c r="D1253" s="108" t="s">
        <v>11</v>
      </c>
      <c r="E1253" s="108" t="s">
        <v>51</v>
      </c>
      <c r="F1253" s="14" t="s">
        <v>268</v>
      </c>
      <c r="G1253" s="108" t="s">
        <v>9</v>
      </c>
      <c r="H1253" s="126">
        <f>H1254</f>
        <v>0</v>
      </c>
      <c r="L1253" s="20">
        <v>40.200000000000003</v>
      </c>
      <c r="M1253" s="20">
        <v>40.200000000000003</v>
      </c>
      <c r="N1253" s="20">
        <v>40.200000000000003</v>
      </c>
      <c r="O1253" s="20">
        <f>H1253-L1253</f>
        <v>-40.200000000000003</v>
      </c>
      <c r="P1253" s="20" t="e">
        <f>#REF!-M1253</f>
        <v>#REF!</v>
      </c>
      <c r="Q1253" s="20" t="e">
        <f>#REF!-N1253</f>
        <v>#REF!</v>
      </c>
      <c r="R1253" s="17" t="str">
        <f t="shared" si="132"/>
        <v>11 Б 01 21120000</v>
      </c>
    </row>
    <row r="1254" spans="1:18" s="16" customFormat="1" ht="31.5">
      <c r="A1254" s="14"/>
      <c r="B1254" s="125" t="s">
        <v>28</v>
      </c>
      <c r="C1254" s="109" t="s">
        <v>746</v>
      </c>
      <c r="D1254" s="108" t="s">
        <v>11</v>
      </c>
      <c r="E1254" s="108" t="s">
        <v>51</v>
      </c>
      <c r="F1254" s="14" t="s">
        <v>268</v>
      </c>
      <c r="G1254" s="108" t="s">
        <v>29</v>
      </c>
      <c r="H1254" s="126">
        <f>H1255</f>
        <v>0</v>
      </c>
      <c r="L1254" s="20">
        <v>40.200000000000003</v>
      </c>
      <c r="M1254" s="20">
        <v>40.200000000000003</v>
      </c>
      <c r="N1254" s="20">
        <v>40.200000000000003</v>
      </c>
      <c r="O1254" s="20">
        <f>H1254-L1254</f>
        <v>-40.200000000000003</v>
      </c>
      <c r="P1254" s="20" t="e">
        <f>#REF!-M1254</f>
        <v>#REF!</v>
      </c>
      <c r="Q1254" s="20" t="e">
        <f>#REF!-N1254</f>
        <v>#REF!</v>
      </c>
      <c r="R1254" s="17" t="str">
        <f t="shared" si="132"/>
        <v>11 Б 01 21120240</v>
      </c>
    </row>
    <row r="1255" spans="1:18" s="16" customFormat="1" ht="15.75">
      <c r="A1255" s="14"/>
      <c r="B1255" s="125" t="s">
        <v>30</v>
      </c>
      <c r="C1255" s="109" t="s">
        <v>746</v>
      </c>
      <c r="D1255" s="108" t="s">
        <v>11</v>
      </c>
      <c r="E1255" s="108" t="s">
        <v>51</v>
      </c>
      <c r="F1255" s="14" t="s">
        <v>268</v>
      </c>
      <c r="G1255" s="108" t="s">
        <v>31</v>
      </c>
      <c r="H1255" s="126"/>
      <c r="L1255" s="20"/>
      <c r="M1255" s="20"/>
      <c r="N1255" s="20"/>
      <c r="O1255" s="20"/>
      <c r="P1255" s="20"/>
      <c r="Q1255" s="20"/>
      <c r="R1255" s="17"/>
    </row>
    <row r="1256" spans="1:18" s="16" customFormat="1" ht="63">
      <c r="A1256" s="14"/>
      <c r="B1256" s="127" t="s">
        <v>87</v>
      </c>
      <c r="C1256" s="109" t="s">
        <v>746</v>
      </c>
      <c r="D1256" s="108" t="s">
        <v>11</v>
      </c>
      <c r="E1256" s="108" t="s">
        <v>51</v>
      </c>
      <c r="F1256" s="14" t="s">
        <v>88</v>
      </c>
      <c r="G1256" s="108" t="s">
        <v>9</v>
      </c>
      <c r="H1256" s="126">
        <f>H1257</f>
        <v>0</v>
      </c>
      <c r="L1256" s="20">
        <v>1355</v>
      </c>
      <c r="M1256" s="20">
        <v>0</v>
      </c>
      <c r="N1256" s="20">
        <v>0</v>
      </c>
      <c r="O1256" s="20">
        <f>H1256-L1256</f>
        <v>-1355</v>
      </c>
      <c r="P1256" s="20" t="e">
        <f>#REF!-M1256</f>
        <v>#REF!</v>
      </c>
      <c r="Q1256" s="20" t="e">
        <f>#REF!-N1256</f>
        <v>#REF!</v>
      </c>
      <c r="R1256" s="17" t="str">
        <f t="shared" si="132"/>
        <v>98 0 00 00000000</v>
      </c>
    </row>
    <row r="1257" spans="1:18" s="16" customFormat="1" ht="15.75">
      <c r="A1257" s="14"/>
      <c r="B1257" s="127" t="s">
        <v>89</v>
      </c>
      <c r="C1257" s="109" t="s">
        <v>746</v>
      </c>
      <c r="D1257" s="108" t="s">
        <v>11</v>
      </c>
      <c r="E1257" s="108" t="s">
        <v>51</v>
      </c>
      <c r="F1257" s="14" t="s">
        <v>90</v>
      </c>
      <c r="G1257" s="108" t="s">
        <v>9</v>
      </c>
      <c r="H1257" s="126">
        <f>H1258</f>
        <v>0</v>
      </c>
      <c r="L1257" s="20">
        <v>1355</v>
      </c>
      <c r="M1257" s="20">
        <v>0</v>
      </c>
      <c r="N1257" s="20">
        <v>0</v>
      </c>
      <c r="O1257" s="20">
        <f>H1257-L1257</f>
        <v>-1355</v>
      </c>
      <c r="P1257" s="20" t="e">
        <f>#REF!-M1257</f>
        <v>#REF!</v>
      </c>
      <c r="Q1257" s="20" t="e">
        <f>#REF!-N1257</f>
        <v>#REF!</v>
      </c>
      <c r="R1257" s="17" t="str">
        <f t="shared" si="132"/>
        <v>98 1 00 00000000</v>
      </c>
    </row>
    <row r="1258" spans="1:18" s="16" customFormat="1" ht="78.75">
      <c r="A1258" s="14"/>
      <c r="B1258" s="127" t="s">
        <v>758</v>
      </c>
      <c r="C1258" s="109" t="s">
        <v>746</v>
      </c>
      <c r="D1258" s="108" t="s">
        <v>11</v>
      </c>
      <c r="E1258" s="108" t="s">
        <v>51</v>
      </c>
      <c r="F1258" s="14" t="s">
        <v>759</v>
      </c>
      <c r="G1258" s="108" t="s">
        <v>9</v>
      </c>
      <c r="H1258" s="126">
        <f>H1259</f>
        <v>0</v>
      </c>
      <c r="L1258" s="20">
        <v>1355</v>
      </c>
      <c r="M1258" s="20">
        <v>0</v>
      </c>
      <c r="N1258" s="20">
        <v>0</v>
      </c>
      <c r="O1258" s="20">
        <f>H1258-L1258</f>
        <v>-1355</v>
      </c>
      <c r="P1258" s="20" t="e">
        <f>#REF!-M1258</f>
        <v>#REF!</v>
      </c>
      <c r="Q1258" s="20" t="e">
        <f>#REF!-N1258</f>
        <v>#REF!</v>
      </c>
      <c r="R1258" s="17" t="str">
        <f t="shared" si="132"/>
        <v>98 1 00 21020000</v>
      </c>
    </row>
    <row r="1259" spans="1:18" s="16" customFormat="1" ht="31.5">
      <c r="A1259" s="14"/>
      <c r="B1259" s="125" t="s">
        <v>28</v>
      </c>
      <c r="C1259" s="109" t="s">
        <v>746</v>
      </c>
      <c r="D1259" s="108" t="s">
        <v>11</v>
      </c>
      <c r="E1259" s="108" t="s">
        <v>51</v>
      </c>
      <c r="F1259" s="14" t="s">
        <v>759</v>
      </c>
      <c r="G1259" s="131" t="s">
        <v>29</v>
      </c>
      <c r="H1259" s="126">
        <f>H1260</f>
        <v>0</v>
      </c>
      <c r="L1259" s="20">
        <v>1355</v>
      </c>
      <c r="M1259" s="20">
        <v>0</v>
      </c>
      <c r="N1259" s="20">
        <v>0</v>
      </c>
      <c r="O1259" s="20">
        <f>H1259-L1259</f>
        <v>-1355</v>
      </c>
      <c r="P1259" s="20" t="e">
        <f>#REF!-M1259</f>
        <v>#REF!</v>
      </c>
      <c r="Q1259" s="20" t="e">
        <f>#REF!-N1259</f>
        <v>#REF!</v>
      </c>
      <c r="R1259" s="17" t="str">
        <f t="shared" si="132"/>
        <v>98 1 00 21020240</v>
      </c>
    </row>
    <row r="1260" spans="1:18" s="16" customFormat="1" ht="15.75">
      <c r="A1260" s="14"/>
      <c r="B1260" s="125" t="s">
        <v>30</v>
      </c>
      <c r="C1260" s="109" t="s">
        <v>746</v>
      </c>
      <c r="D1260" s="108" t="s">
        <v>11</v>
      </c>
      <c r="E1260" s="108" t="s">
        <v>51</v>
      </c>
      <c r="F1260" s="14" t="s">
        <v>759</v>
      </c>
      <c r="G1260" s="131" t="s">
        <v>31</v>
      </c>
      <c r="H1260" s="126"/>
      <c r="L1260" s="20"/>
      <c r="M1260" s="20"/>
      <c r="N1260" s="20"/>
      <c r="O1260" s="20"/>
      <c r="P1260" s="20"/>
      <c r="Q1260" s="20"/>
      <c r="R1260" s="17"/>
    </row>
    <row r="1261" spans="1:18" s="16" customFormat="1" ht="15.75">
      <c r="A1261" s="14"/>
      <c r="B1261" s="117" t="s">
        <v>195</v>
      </c>
      <c r="C1261" s="118" t="s">
        <v>746</v>
      </c>
      <c r="D1261" s="119" t="s">
        <v>73</v>
      </c>
      <c r="E1261" s="119" t="s">
        <v>7</v>
      </c>
      <c r="F1261" s="119" t="s">
        <v>8</v>
      </c>
      <c r="G1261" s="119" t="s">
        <v>9</v>
      </c>
      <c r="H1261" s="120">
        <f t="shared" ref="H1261:H1264" si="137">H1262</f>
        <v>0</v>
      </c>
      <c r="L1261" s="18">
        <v>74504.899999999994</v>
      </c>
      <c r="M1261" s="18">
        <v>81217.409999999989</v>
      </c>
      <c r="N1261" s="18">
        <v>88601.17</v>
      </c>
      <c r="O1261" s="18">
        <f t="shared" ref="O1261:O1267" si="138">H1261-L1261</f>
        <v>-74504.899999999994</v>
      </c>
      <c r="P1261" s="18" t="e">
        <f>#REF!-M1261</f>
        <v>#REF!</v>
      </c>
      <c r="Q1261" s="18" t="e">
        <f>#REF!-N1261</f>
        <v>#REF!</v>
      </c>
      <c r="R1261" s="17" t="str">
        <f t="shared" si="132"/>
        <v>00 0 00 00000000</v>
      </c>
    </row>
    <row r="1262" spans="1:18" s="16" customFormat="1" ht="15.75">
      <c r="A1262" s="14"/>
      <c r="B1262" s="121" t="s">
        <v>760</v>
      </c>
      <c r="C1262" s="122" t="s">
        <v>746</v>
      </c>
      <c r="D1262" s="123" t="s">
        <v>73</v>
      </c>
      <c r="E1262" s="123" t="s">
        <v>471</v>
      </c>
      <c r="F1262" s="123" t="s">
        <v>8</v>
      </c>
      <c r="G1262" s="123" t="s">
        <v>9</v>
      </c>
      <c r="H1262" s="124">
        <f t="shared" si="137"/>
        <v>0</v>
      </c>
      <c r="L1262" s="19">
        <v>74504.899999999994</v>
      </c>
      <c r="M1262" s="19">
        <v>81217.409999999989</v>
      </c>
      <c r="N1262" s="19">
        <v>88601.17</v>
      </c>
      <c r="O1262" s="19">
        <f t="shared" si="138"/>
        <v>-74504.899999999994</v>
      </c>
      <c r="P1262" s="19" t="e">
        <f>#REF!-M1262</f>
        <v>#REF!</v>
      </c>
      <c r="Q1262" s="19" t="e">
        <f>#REF!-N1262</f>
        <v>#REF!</v>
      </c>
      <c r="R1262" s="17" t="str">
        <f t="shared" si="132"/>
        <v>00 0 00 00000000</v>
      </c>
    </row>
    <row r="1263" spans="1:18" s="16" customFormat="1" ht="63">
      <c r="A1263" s="14"/>
      <c r="B1263" s="127" t="s">
        <v>293</v>
      </c>
      <c r="C1263" s="130" t="s">
        <v>746</v>
      </c>
      <c r="D1263" s="131" t="s">
        <v>73</v>
      </c>
      <c r="E1263" s="131" t="s">
        <v>471</v>
      </c>
      <c r="F1263" s="131" t="s">
        <v>294</v>
      </c>
      <c r="G1263" s="131" t="s">
        <v>9</v>
      </c>
      <c r="H1263" s="105">
        <f t="shared" si="137"/>
        <v>0</v>
      </c>
      <c r="L1263" s="26">
        <v>74504.899999999994</v>
      </c>
      <c r="M1263" s="26">
        <v>81217.409999999989</v>
      </c>
      <c r="N1263" s="26">
        <v>88601.17</v>
      </c>
      <c r="O1263" s="26">
        <f t="shared" si="138"/>
        <v>-74504.899999999994</v>
      </c>
      <c r="P1263" s="26" t="e">
        <f>#REF!-M1263</f>
        <v>#REF!</v>
      </c>
      <c r="Q1263" s="26" t="e">
        <f>#REF!-N1263</f>
        <v>#REF!</v>
      </c>
      <c r="R1263" s="17" t="str">
        <f t="shared" si="132"/>
        <v>04 0 00 00000000</v>
      </c>
    </row>
    <row r="1264" spans="1:18" s="16" customFormat="1" ht="63">
      <c r="A1264" s="14"/>
      <c r="B1264" s="140" t="s">
        <v>295</v>
      </c>
      <c r="C1264" s="130" t="s">
        <v>746</v>
      </c>
      <c r="D1264" s="131" t="s">
        <v>73</v>
      </c>
      <c r="E1264" s="131" t="s">
        <v>471</v>
      </c>
      <c r="F1264" s="131" t="s">
        <v>296</v>
      </c>
      <c r="G1264" s="131" t="s">
        <v>9</v>
      </c>
      <c r="H1264" s="105">
        <f t="shared" si="137"/>
        <v>0</v>
      </c>
      <c r="L1264" s="26">
        <v>74504.899999999994</v>
      </c>
      <c r="M1264" s="26">
        <v>81217.409999999989</v>
      </c>
      <c r="N1264" s="26">
        <v>88601.17</v>
      </c>
      <c r="O1264" s="26">
        <f t="shared" si="138"/>
        <v>-74504.899999999994</v>
      </c>
      <c r="P1264" s="26" t="e">
        <f>#REF!-M1264</f>
        <v>#REF!</v>
      </c>
      <c r="Q1264" s="26" t="e">
        <f>#REF!-N1264</f>
        <v>#REF!</v>
      </c>
      <c r="R1264" s="17" t="str">
        <f t="shared" si="132"/>
        <v>04 2 00 00000000</v>
      </c>
    </row>
    <row r="1265" spans="1:18" s="16" customFormat="1" ht="63">
      <c r="A1265" s="14"/>
      <c r="B1265" s="140" t="s">
        <v>297</v>
      </c>
      <c r="C1265" s="130" t="s">
        <v>746</v>
      </c>
      <c r="D1265" s="131" t="s">
        <v>73</v>
      </c>
      <c r="E1265" s="131" t="s">
        <v>471</v>
      </c>
      <c r="F1265" s="131" t="s">
        <v>298</v>
      </c>
      <c r="G1265" s="131" t="s">
        <v>9</v>
      </c>
      <c r="H1265" s="105">
        <f>H1269+H1266</f>
        <v>0</v>
      </c>
      <c r="L1265" s="26">
        <v>74504.899999999994</v>
      </c>
      <c r="M1265" s="26">
        <v>81217.409999999989</v>
      </c>
      <c r="N1265" s="26">
        <v>88601.17</v>
      </c>
      <c r="O1265" s="26">
        <f t="shared" si="138"/>
        <v>-74504.899999999994</v>
      </c>
      <c r="P1265" s="26" t="e">
        <f>#REF!-M1265</f>
        <v>#REF!</v>
      </c>
      <c r="Q1265" s="26" t="e">
        <f>#REF!-N1265</f>
        <v>#REF!</v>
      </c>
      <c r="R1265" s="17" t="str">
        <f t="shared" si="132"/>
        <v>04 2 02 00000000</v>
      </c>
    </row>
    <row r="1266" spans="1:18" s="47" customFormat="1" ht="47.25">
      <c r="A1266" s="46"/>
      <c r="B1266" s="125" t="s">
        <v>761</v>
      </c>
      <c r="C1266" s="109" t="s">
        <v>746</v>
      </c>
      <c r="D1266" s="108" t="s">
        <v>73</v>
      </c>
      <c r="E1266" s="108" t="s">
        <v>471</v>
      </c>
      <c r="F1266" s="108" t="s">
        <v>762</v>
      </c>
      <c r="G1266" s="108" t="s">
        <v>9</v>
      </c>
      <c r="H1266" s="126">
        <f>H1267</f>
        <v>0</v>
      </c>
      <c r="L1266" s="20">
        <v>10379.76</v>
      </c>
      <c r="M1266" s="20">
        <v>10379.76</v>
      </c>
      <c r="N1266" s="20">
        <v>10379.76</v>
      </c>
      <c r="O1266" s="20">
        <f t="shared" si="138"/>
        <v>-10379.76</v>
      </c>
      <c r="P1266" s="20" t="e">
        <f>#REF!-M1266</f>
        <v>#REF!</v>
      </c>
      <c r="Q1266" s="20" t="e">
        <f>#REF!-N1266</f>
        <v>#REF!</v>
      </c>
      <c r="R1266" s="17" t="str">
        <f t="shared" si="132"/>
        <v>04 2 02 20820000</v>
      </c>
    </row>
    <row r="1267" spans="1:18" s="47" customFormat="1" ht="31.5">
      <c r="A1267" s="46"/>
      <c r="B1267" s="125" t="s">
        <v>28</v>
      </c>
      <c r="C1267" s="109" t="s">
        <v>746</v>
      </c>
      <c r="D1267" s="108" t="s">
        <v>73</v>
      </c>
      <c r="E1267" s="108" t="s">
        <v>471</v>
      </c>
      <c r="F1267" s="108" t="s">
        <v>762</v>
      </c>
      <c r="G1267" s="108" t="s">
        <v>29</v>
      </c>
      <c r="H1267" s="126">
        <f>H1268</f>
        <v>0</v>
      </c>
      <c r="L1267" s="20">
        <v>10379.76</v>
      </c>
      <c r="M1267" s="20">
        <v>10379.76</v>
      </c>
      <c r="N1267" s="20">
        <v>10379.76</v>
      </c>
      <c r="O1267" s="20">
        <f t="shared" si="138"/>
        <v>-10379.76</v>
      </c>
      <c r="P1267" s="20" t="e">
        <f>#REF!-M1267</f>
        <v>#REF!</v>
      </c>
      <c r="Q1267" s="20" t="e">
        <f>#REF!-N1267</f>
        <v>#REF!</v>
      </c>
      <c r="R1267" s="17" t="str">
        <f t="shared" si="132"/>
        <v>04 2 02 20820240</v>
      </c>
    </row>
    <row r="1268" spans="1:18" s="47" customFormat="1" ht="15.75">
      <c r="A1268" s="46"/>
      <c r="B1268" s="125" t="s">
        <v>30</v>
      </c>
      <c r="C1268" s="109" t="s">
        <v>746</v>
      </c>
      <c r="D1268" s="108" t="s">
        <v>73</v>
      </c>
      <c r="E1268" s="108" t="s">
        <v>471</v>
      </c>
      <c r="F1268" s="108" t="s">
        <v>762</v>
      </c>
      <c r="G1268" s="108" t="s">
        <v>31</v>
      </c>
      <c r="H1268" s="126"/>
      <c r="L1268" s="20"/>
      <c r="M1268" s="20"/>
      <c r="N1268" s="20"/>
      <c r="O1268" s="20"/>
      <c r="P1268" s="20"/>
      <c r="Q1268" s="20"/>
      <c r="R1268" s="17"/>
    </row>
    <row r="1269" spans="1:18" s="16" customFormat="1" ht="31.5">
      <c r="A1269" s="14"/>
      <c r="B1269" s="125" t="s">
        <v>763</v>
      </c>
      <c r="C1269" s="109" t="s">
        <v>746</v>
      </c>
      <c r="D1269" s="108" t="s">
        <v>73</v>
      </c>
      <c r="E1269" s="108" t="s">
        <v>471</v>
      </c>
      <c r="F1269" s="108" t="s">
        <v>764</v>
      </c>
      <c r="G1269" s="108" t="s">
        <v>9</v>
      </c>
      <c r="H1269" s="126">
        <f>H1270</f>
        <v>0</v>
      </c>
      <c r="L1269" s="20">
        <v>64125.14</v>
      </c>
      <c r="M1269" s="20">
        <v>70837.649999999994</v>
      </c>
      <c r="N1269" s="20">
        <v>78221.41</v>
      </c>
      <c r="O1269" s="20">
        <f>H1269-L1269</f>
        <v>-64125.14</v>
      </c>
      <c r="P1269" s="20" t="e">
        <f>#REF!-M1269</f>
        <v>#REF!</v>
      </c>
      <c r="Q1269" s="20" t="e">
        <f>#REF!-N1269</f>
        <v>#REF!</v>
      </c>
      <c r="R1269" s="17" t="str">
        <f t="shared" si="132"/>
        <v>04 2 02 21090000</v>
      </c>
    </row>
    <row r="1270" spans="1:18" s="16" customFormat="1" ht="31.5">
      <c r="A1270" s="14"/>
      <c r="B1270" s="125" t="s">
        <v>28</v>
      </c>
      <c r="C1270" s="109" t="s">
        <v>746</v>
      </c>
      <c r="D1270" s="108" t="s">
        <v>73</v>
      </c>
      <c r="E1270" s="108" t="s">
        <v>471</v>
      </c>
      <c r="F1270" s="108" t="s">
        <v>764</v>
      </c>
      <c r="G1270" s="108" t="s">
        <v>29</v>
      </c>
      <c r="H1270" s="126">
        <f>H1271</f>
        <v>0</v>
      </c>
      <c r="L1270" s="20">
        <v>64125.14</v>
      </c>
      <c r="M1270" s="20">
        <v>70837.649999999994</v>
      </c>
      <c r="N1270" s="20">
        <v>78221.41</v>
      </c>
      <c r="O1270" s="20">
        <f>H1270-L1270</f>
        <v>-64125.14</v>
      </c>
      <c r="P1270" s="20" t="e">
        <f>#REF!-M1270</f>
        <v>#REF!</v>
      </c>
      <c r="Q1270" s="20" t="e">
        <f>#REF!-N1270</f>
        <v>#REF!</v>
      </c>
      <c r="R1270" s="17" t="str">
        <f t="shared" si="132"/>
        <v>04 2 02 21090240</v>
      </c>
    </row>
    <row r="1271" spans="1:18" s="16" customFormat="1" ht="15.75">
      <c r="A1271" s="14"/>
      <c r="B1271" s="125" t="s">
        <v>30</v>
      </c>
      <c r="C1271" s="109" t="s">
        <v>746</v>
      </c>
      <c r="D1271" s="108" t="s">
        <v>73</v>
      </c>
      <c r="E1271" s="108" t="s">
        <v>471</v>
      </c>
      <c r="F1271" s="108" t="s">
        <v>764</v>
      </c>
      <c r="G1271" s="108" t="s">
        <v>31</v>
      </c>
      <c r="H1271" s="126"/>
      <c r="L1271" s="20"/>
      <c r="M1271" s="20"/>
      <c r="N1271" s="20"/>
      <c r="O1271" s="20"/>
      <c r="P1271" s="20"/>
      <c r="Q1271" s="20"/>
      <c r="R1271" s="17"/>
    </row>
    <row r="1272" spans="1:18" s="16" customFormat="1" ht="15.75">
      <c r="A1272" s="14"/>
      <c r="B1272" s="117" t="s">
        <v>305</v>
      </c>
      <c r="C1272" s="118" t="s">
        <v>746</v>
      </c>
      <c r="D1272" s="119" t="s">
        <v>86</v>
      </c>
      <c r="E1272" s="119" t="s">
        <v>7</v>
      </c>
      <c r="F1272" s="119" t="s">
        <v>8</v>
      </c>
      <c r="G1272" s="119" t="s">
        <v>9</v>
      </c>
      <c r="H1272" s="120">
        <f>H1273+H1281</f>
        <v>0</v>
      </c>
      <c r="L1272" s="18">
        <v>25720.12</v>
      </c>
      <c r="M1272" s="18">
        <v>20216.12</v>
      </c>
      <c r="N1272" s="18">
        <v>20204.12</v>
      </c>
      <c r="O1272" s="18">
        <f t="shared" ref="O1272:O1278" si="139">H1272-L1272</f>
        <v>-25720.12</v>
      </c>
      <c r="P1272" s="18" t="e">
        <f>#REF!-M1272</f>
        <v>#REF!</v>
      </c>
      <c r="Q1272" s="18" t="e">
        <f>#REF!-N1272</f>
        <v>#REF!</v>
      </c>
      <c r="R1272" s="17" t="str">
        <f t="shared" si="132"/>
        <v>00 0 00 00000000</v>
      </c>
    </row>
    <row r="1273" spans="1:18" s="16" customFormat="1" ht="15.75">
      <c r="A1273" s="14"/>
      <c r="B1273" s="121" t="s">
        <v>765</v>
      </c>
      <c r="C1273" s="122" t="s">
        <v>746</v>
      </c>
      <c r="D1273" s="123" t="s">
        <v>86</v>
      </c>
      <c r="E1273" s="123" t="s">
        <v>11</v>
      </c>
      <c r="F1273" s="123" t="s">
        <v>8</v>
      </c>
      <c r="G1273" s="123" t="s">
        <v>9</v>
      </c>
      <c r="H1273" s="124">
        <f>H1274</f>
        <v>0</v>
      </c>
      <c r="L1273" s="19">
        <v>1543</v>
      </c>
      <c r="M1273" s="19">
        <v>1539</v>
      </c>
      <c r="N1273" s="19">
        <v>1527</v>
      </c>
      <c r="O1273" s="19">
        <f t="shared" si="139"/>
        <v>-1543</v>
      </c>
      <c r="P1273" s="19" t="e">
        <f>#REF!-M1273</f>
        <v>#REF!</v>
      </c>
      <c r="Q1273" s="19" t="e">
        <f>#REF!-N1273</f>
        <v>#REF!</v>
      </c>
      <c r="R1273" s="17" t="str">
        <f t="shared" si="132"/>
        <v>00 0 00 00000000</v>
      </c>
    </row>
    <row r="1274" spans="1:18" s="16" customFormat="1" ht="63">
      <c r="A1274" s="14"/>
      <c r="B1274" s="127" t="s">
        <v>293</v>
      </c>
      <c r="C1274" s="130" t="s">
        <v>746</v>
      </c>
      <c r="D1274" s="131" t="s">
        <v>86</v>
      </c>
      <c r="E1274" s="131" t="s">
        <v>11</v>
      </c>
      <c r="F1274" s="131" t="s">
        <v>294</v>
      </c>
      <c r="G1274" s="131" t="s">
        <v>9</v>
      </c>
      <c r="H1274" s="105">
        <f t="shared" ref="H1274:H1277" si="140">H1275</f>
        <v>0</v>
      </c>
      <c r="L1274" s="26">
        <v>1543</v>
      </c>
      <c r="M1274" s="26">
        <v>1539</v>
      </c>
      <c r="N1274" s="26">
        <v>1527</v>
      </c>
      <c r="O1274" s="26">
        <f t="shared" si="139"/>
        <v>-1543</v>
      </c>
      <c r="P1274" s="26" t="e">
        <f>#REF!-M1274</f>
        <v>#REF!</v>
      </c>
      <c r="Q1274" s="26" t="e">
        <f>#REF!-N1274</f>
        <v>#REF!</v>
      </c>
      <c r="R1274" s="17" t="str">
        <f t="shared" si="132"/>
        <v>04 0 00 00000000</v>
      </c>
    </row>
    <row r="1275" spans="1:18" s="16" customFormat="1" ht="31.5">
      <c r="A1275" s="14"/>
      <c r="B1275" s="140" t="s">
        <v>766</v>
      </c>
      <c r="C1275" s="130" t="s">
        <v>746</v>
      </c>
      <c r="D1275" s="131" t="s">
        <v>86</v>
      </c>
      <c r="E1275" s="131" t="s">
        <v>11</v>
      </c>
      <c r="F1275" s="131" t="s">
        <v>767</v>
      </c>
      <c r="G1275" s="131" t="s">
        <v>9</v>
      </c>
      <c r="H1275" s="105">
        <f t="shared" si="140"/>
        <v>0</v>
      </c>
      <c r="L1275" s="26">
        <v>1543</v>
      </c>
      <c r="M1275" s="26">
        <v>1539</v>
      </c>
      <c r="N1275" s="26">
        <v>1527</v>
      </c>
      <c r="O1275" s="26">
        <f t="shared" si="139"/>
        <v>-1543</v>
      </c>
      <c r="P1275" s="26" t="e">
        <f>#REF!-M1275</f>
        <v>#REF!</v>
      </c>
      <c r="Q1275" s="26" t="e">
        <f>#REF!-N1275</f>
        <v>#REF!</v>
      </c>
      <c r="R1275" s="17" t="str">
        <f t="shared" si="132"/>
        <v>04 1 00 00000000</v>
      </c>
    </row>
    <row r="1276" spans="1:18" s="16" customFormat="1" ht="47.25">
      <c r="A1276" s="14"/>
      <c r="B1276" s="140" t="s">
        <v>768</v>
      </c>
      <c r="C1276" s="130" t="s">
        <v>746</v>
      </c>
      <c r="D1276" s="131" t="s">
        <v>86</v>
      </c>
      <c r="E1276" s="131" t="s">
        <v>11</v>
      </c>
      <c r="F1276" s="131" t="s">
        <v>769</v>
      </c>
      <c r="G1276" s="131" t="s">
        <v>9</v>
      </c>
      <c r="H1276" s="105">
        <f>H1277</f>
        <v>0</v>
      </c>
      <c r="L1276" s="26">
        <v>1543</v>
      </c>
      <c r="M1276" s="26">
        <v>1539</v>
      </c>
      <c r="N1276" s="26">
        <v>1527</v>
      </c>
      <c r="O1276" s="26">
        <f t="shared" si="139"/>
        <v>-1543</v>
      </c>
      <c r="P1276" s="26" t="e">
        <f>#REF!-M1276</f>
        <v>#REF!</v>
      </c>
      <c r="Q1276" s="26" t="e">
        <f>#REF!-N1276</f>
        <v>#REF!</v>
      </c>
      <c r="R1276" s="17" t="str">
        <f t="shared" si="132"/>
        <v>04 1 01 00000000</v>
      </c>
    </row>
    <row r="1277" spans="1:18" s="16" customFormat="1" ht="31.5">
      <c r="A1277" s="14"/>
      <c r="B1277" s="125" t="s">
        <v>770</v>
      </c>
      <c r="C1277" s="130" t="s">
        <v>746</v>
      </c>
      <c r="D1277" s="131" t="s">
        <v>86</v>
      </c>
      <c r="E1277" s="131" t="s">
        <v>11</v>
      </c>
      <c r="F1277" s="131" t="s">
        <v>771</v>
      </c>
      <c r="G1277" s="131" t="s">
        <v>9</v>
      </c>
      <c r="H1277" s="105">
        <f t="shared" si="140"/>
        <v>0</v>
      </c>
      <c r="L1277" s="26">
        <v>1543</v>
      </c>
      <c r="M1277" s="26">
        <v>1539</v>
      </c>
      <c r="N1277" s="26">
        <v>1527</v>
      </c>
      <c r="O1277" s="26">
        <f t="shared" si="139"/>
        <v>-1543</v>
      </c>
      <c r="P1277" s="26" t="e">
        <f>#REF!-M1277</f>
        <v>#REF!</v>
      </c>
      <c r="Q1277" s="26" t="e">
        <f>#REF!-N1277</f>
        <v>#REF!</v>
      </c>
      <c r="R1277" s="17" t="str">
        <f t="shared" si="132"/>
        <v>04 1 01 20190000</v>
      </c>
    </row>
    <row r="1278" spans="1:18" s="16" customFormat="1" ht="31.5">
      <c r="A1278" s="14"/>
      <c r="B1278" s="125" t="s">
        <v>28</v>
      </c>
      <c r="C1278" s="130" t="s">
        <v>746</v>
      </c>
      <c r="D1278" s="131" t="s">
        <v>86</v>
      </c>
      <c r="E1278" s="131" t="s">
        <v>11</v>
      </c>
      <c r="F1278" s="131" t="s">
        <v>771</v>
      </c>
      <c r="G1278" s="131" t="s">
        <v>29</v>
      </c>
      <c r="H1278" s="126">
        <f>SUM(H1279:H1280)</f>
        <v>0</v>
      </c>
      <c r="L1278" s="26">
        <v>1543</v>
      </c>
      <c r="M1278" s="26">
        <v>1539</v>
      </c>
      <c r="N1278" s="26">
        <v>1527</v>
      </c>
      <c r="O1278" s="26">
        <f t="shared" si="139"/>
        <v>-1543</v>
      </c>
      <c r="P1278" s="26" t="e">
        <f>#REF!-M1278</f>
        <v>#REF!</v>
      </c>
      <c r="Q1278" s="26" t="e">
        <f>#REF!-N1278</f>
        <v>#REF!</v>
      </c>
      <c r="R1278" s="17" t="str">
        <f t="shared" si="132"/>
        <v>04 1 01 20190240</v>
      </c>
    </row>
    <row r="1279" spans="1:18" s="16" customFormat="1" ht="47.25">
      <c r="A1279" s="14"/>
      <c r="B1279" s="127" t="s">
        <v>772</v>
      </c>
      <c r="C1279" s="109" t="s">
        <v>746</v>
      </c>
      <c r="D1279" s="108" t="s">
        <v>86</v>
      </c>
      <c r="E1279" s="108" t="s">
        <v>11</v>
      </c>
      <c r="F1279" s="108" t="s">
        <v>771</v>
      </c>
      <c r="G1279" s="108" t="s">
        <v>773</v>
      </c>
      <c r="H1279" s="126"/>
      <c r="L1279" s="26"/>
      <c r="M1279" s="26"/>
      <c r="N1279" s="26"/>
      <c r="O1279" s="26"/>
      <c r="P1279" s="26"/>
      <c r="Q1279" s="26"/>
      <c r="R1279" s="17"/>
    </row>
    <row r="1280" spans="1:18" s="16" customFormat="1" ht="15.75">
      <c r="A1280" s="14"/>
      <c r="B1280" s="125" t="s">
        <v>30</v>
      </c>
      <c r="C1280" s="109" t="s">
        <v>746</v>
      </c>
      <c r="D1280" s="108" t="s">
        <v>86</v>
      </c>
      <c r="E1280" s="108" t="s">
        <v>11</v>
      </c>
      <c r="F1280" s="108" t="s">
        <v>771</v>
      </c>
      <c r="G1280" s="108" t="s">
        <v>31</v>
      </c>
      <c r="H1280" s="126"/>
      <c r="L1280" s="26"/>
      <c r="M1280" s="26"/>
      <c r="N1280" s="26"/>
      <c r="O1280" s="26"/>
      <c r="P1280" s="26"/>
      <c r="Q1280" s="26"/>
      <c r="R1280" s="17"/>
    </row>
    <row r="1281" spans="1:18" s="16" customFormat="1" ht="15.75">
      <c r="A1281" s="14"/>
      <c r="B1281" s="121" t="s">
        <v>306</v>
      </c>
      <c r="C1281" s="122" t="s">
        <v>746</v>
      </c>
      <c r="D1281" s="123" t="s">
        <v>86</v>
      </c>
      <c r="E1281" s="123" t="s">
        <v>13</v>
      </c>
      <c r="F1281" s="123" t="s">
        <v>8</v>
      </c>
      <c r="G1281" s="123" t="s">
        <v>9</v>
      </c>
      <c r="H1281" s="124">
        <f>H1282+H1306</f>
        <v>0</v>
      </c>
      <c r="L1281" s="19">
        <v>24177.119999999999</v>
      </c>
      <c r="M1281" s="19">
        <v>18677.12</v>
      </c>
      <c r="N1281" s="19">
        <v>18677.12</v>
      </c>
      <c r="O1281" s="19">
        <f t="shared" ref="O1281:O1286" si="141">H1281-L1281</f>
        <v>-24177.119999999999</v>
      </c>
      <c r="P1281" s="19" t="e">
        <f>#REF!-M1281</f>
        <v>#REF!</v>
      </c>
      <c r="Q1281" s="19" t="e">
        <f>#REF!-N1281</f>
        <v>#REF!</v>
      </c>
      <c r="R1281" s="17" t="str">
        <f t="shared" si="132"/>
        <v>00 0 00 00000000</v>
      </c>
    </row>
    <row r="1282" spans="1:18" s="16" customFormat="1" ht="63">
      <c r="A1282" s="14"/>
      <c r="B1282" s="127" t="s">
        <v>293</v>
      </c>
      <c r="C1282" s="130" t="s">
        <v>746</v>
      </c>
      <c r="D1282" s="131" t="s">
        <v>86</v>
      </c>
      <c r="E1282" s="131" t="s">
        <v>13</v>
      </c>
      <c r="F1282" s="131" t="s">
        <v>294</v>
      </c>
      <c r="G1282" s="131" t="s">
        <v>9</v>
      </c>
      <c r="H1282" s="105">
        <f t="shared" ref="H1282:H1283" si="142">H1283</f>
        <v>0</v>
      </c>
      <c r="L1282" s="26">
        <v>21677.119999999999</v>
      </c>
      <c r="M1282" s="26">
        <v>18677.12</v>
      </c>
      <c r="N1282" s="26">
        <v>18677.12</v>
      </c>
      <c r="O1282" s="26">
        <f t="shared" si="141"/>
        <v>-21677.119999999999</v>
      </c>
      <c r="P1282" s="26" t="e">
        <f>#REF!-M1282</f>
        <v>#REF!</v>
      </c>
      <c r="Q1282" s="26" t="e">
        <f>#REF!-N1282</f>
        <v>#REF!</v>
      </c>
      <c r="R1282" s="17" t="str">
        <f t="shared" si="132"/>
        <v>04 0 00 00000000</v>
      </c>
    </row>
    <row r="1283" spans="1:18" s="16" customFormat="1" ht="31.5">
      <c r="A1283" s="14"/>
      <c r="B1283" s="125" t="s">
        <v>307</v>
      </c>
      <c r="C1283" s="130" t="s">
        <v>746</v>
      </c>
      <c r="D1283" s="131" t="s">
        <v>86</v>
      </c>
      <c r="E1283" s="131" t="s">
        <v>13</v>
      </c>
      <c r="F1283" s="131" t="s">
        <v>308</v>
      </c>
      <c r="G1283" s="131" t="s">
        <v>9</v>
      </c>
      <c r="H1283" s="105">
        <f t="shared" si="142"/>
        <v>0</v>
      </c>
      <c r="L1283" s="26">
        <v>21677.119999999999</v>
      </c>
      <c r="M1283" s="26">
        <v>18677.12</v>
      </c>
      <c r="N1283" s="26">
        <v>18677.12</v>
      </c>
      <c r="O1283" s="26">
        <f t="shared" si="141"/>
        <v>-21677.119999999999</v>
      </c>
      <c r="P1283" s="26" t="e">
        <f>#REF!-M1283</f>
        <v>#REF!</v>
      </c>
      <c r="Q1283" s="26" t="e">
        <f>#REF!-N1283</f>
        <v>#REF!</v>
      </c>
      <c r="R1283" s="17" t="str">
        <f t="shared" si="132"/>
        <v>04 3 00 00000000</v>
      </c>
    </row>
    <row r="1284" spans="1:18" s="16" customFormat="1" ht="31.5">
      <c r="A1284" s="14"/>
      <c r="B1284" s="138" t="s">
        <v>309</v>
      </c>
      <c r="C1284" s="130" t="s">
        <v>746</v>
      </c>
      <c r="D1284" s="131" t="s">
        <v>86</v>
      </c>
      <c r="E1284" s="131" t="s">
        <v>13</v>
      </c>
      <c r="F1284" s="108" t="s">
        <v>310</v>
      </c>
      <c r="G1284" s="131" t="s">
        <v>9</v>
      </c>
      <c r="H1284" s="105">
        <f>H1285+H1288+H1291+H1294+H1300</f>
        <v>0</v>
      </c>
      <c r="L1284" s="26">
        <v>21677.119999999999</v>
      </c>
      <c r="M1284" s="26">
        <v>18677.12</v>
      </c>
      <c r="N1284" s="26">
        <v>18677.12</v>
      </c>
      <c r="O1284" s="26">
        <f t="shared" si="141"/>
        <v>-21677.119999999999</v>
      </c>
      <c r="P1284" s="26" t="e">
        <f>#REF!-M1284</f>
        <v>#REF!</v>
      </c>
      <c r="Q1284" s="26" t="e">
        <f>#REF!-N1284</f>
        <v>#REF!</v>
      </c>
      <c r="R1284" s="17" t="str">
        <f t="shared" si="132"/>
        <v>04 3 04 00000000</v>
      </c>
    </row>
    <row r="1285" spans="1:18" s="16" customFormat="1" ht="31.5">
      <c r="A1285" s="14"/>
      <c r="B1285" s="125" t="s">
        <v>542</v>
      </c>
      <c r="C1285" s="130" t="s">
        <v>746</v>
      </c>
      <c r="D1285" s="131" t="s">
        <v>86</v>
      </c>
      <c r="E1285" s="131" t="s">
        <v>13</v>
      </c>
      <c r="F1285" s="131" t="s">
        <v>543</v>
      </c>
      <c r="G1285" s="131" t="s">
        <v>9</v>
      </c>
      <c r="H1285" s="105">
        <f>H1286</f>
        <v>0</v>
      </c>
      <c r="L1285" s="26">
        <v>8259.32</v>
      </c>
      <c r="M1285" s="26">
        <v>8259.32</v>
      </c>
      <c r="N1285" s="26">
        <v>8259.32</v>
      </c>
      <c r="O1285" s="26">
        <f t="shared" si="141"/>
        <v>-8259.32</v>
      </c>
      <c r="P1285" s="26" t="e">
        <f>#REF!-M1285</f>
        <v>#REF!</v>
      </c>
      <c r="Q1285" s="26" t="e">
        <f>#REF!-N1285</f>
        <v>#REF!</v>
      </c>
      <c r="R1285" s="17" t="str">
        <f t="shared" si="132"/>
        <v>04 3 04 20300000</v>
      </c>
    </row>
    <row r="1286" spans="1:18" s="16" customFormat="1" ht="31.5">
      <c r="A1286" s="14"/>
      <c r="B1286" s="125" t="s">
        <v>28</v>
      </c>
      <c r="C1286" s="130" t="s">
        <v>746</v>
      </c>
      <c r="D1286" s="131" t="s">
        <v>86</v>
      </c>
      <c r="E1286" s="131" t="s">
        <v>13</v>
      </c>
      <c r="F1286" s="131" t="s">
        <v>543</v>
      </c>
      <c r="G1286" s="131" t="s">
        <v>29</v>
      </c>
      <c r="H1286" s="126">
        <f>H1287</f>
        <v>0</v>
      </c>
      <c r="L1286" s="26">
        <v>8259.32</v>
      </c>
      <c r="M1286" s="26">
        <v>8259.32</v>
      </c>
      <c r="N1286" s="26">
        <v>8259.32</v>
      </c>
      <c r="O1286" s="26">
        <f t="shared" si="141"/>
        <v>-8259.32</v>
      </c>
      <c r="P1286" s="26" t="e">
        <f>#REF!-M1286</f>
        <v>#REF!</v>
      </c>
      <c r="Q1286" s="26" t="e">
        <f>#REF!-N1286</f>
        <v>#REF!</v>
      </c>
      <c r="R1286" s="17" t="str">
        <f t="shared" si="132"/>
        <v>04 3 04 20300240</v>
      </c>
    </row>
    <row r="1287" spans="1:18" s="16" customFormat="1" ht="15.75">
      <c r="A1287" s="14"/>
      <c r="B1287" s="125" t="s">
        <v>30</v>
      </c>
      <c r="C1287" s="130" t="s">
        <v>746</v>
      </c>
      <c r="D1287" s="131" t="s">
        <v>86</v>
      </c>
      <c r="E1287" s="131" t="s">
        <v>13</v>
      </c>
      <c r="F1287" s="131" t="s">
        <v>543</v>
      </c>
      <c r="G1287" s="131" t="s">
        <v>31</v>
      </c>
      <c r="H1287" s="126"/>
      <c r="L1287" s="26"/>
      <c r="M1287" s="26"/>
      <c r="N1287" s="26"/>
      <c r="O1287" s="26"/>
      <c r="P1287" s="26"/>
      <c r="Q1287" s="26"/>
      <c r="R1287" s="17"/>
    </row>
    <row r="1288" spans="1:18" s="16" customFormat="1" ht="31.5">
      <c r="A1288" s="14"/>
      <c r="B1288" s="127" t="s">
        <v>774</v>
      </c>
      <c r="C1288" s="130" t="s">
        <v>746</v>
      </c>
      <c r="D1288" s="131" t="s">
        <v>86</v>
      </c>
      <c r="E1288" s="131" t="s">
        <v>13</v>
      </c>
      <c r="F1288" s="131" t="s">
        <v>775</v>
      </c>
      <c r="G1288" s="131" t="s">
        <v>9</v>
      </c>
      <c r="H1288" s="105">
        <f>H1289</f>
        <v>0</v>
      </c>
      <c r="L1288" s="26">
        <v>941.72</v>
      </c>
      <c r="M1288" s="26">
        <v>941.72</v>
      </c>
      <c r="N1288" s="26">
        <v>941.72</v>
      </c>
      <c r="O1288" s="26">
        <f>H1288-L1288</f>
        <v>-941.72</v>
      </c>
      <c r="P1288" s="26" t="e">
        <f>#REF!-M1288</f>
        <v>#REF!</v>
      </c>
      <c r="Q1288" s="26" t="e">
        <f>#REF!-N1288</f>
        <v>#REF!</v>
      </c>
      <c r="R1288" s="17" t="str">
        <f t="shared" si="132"/>
        <v>04 3 04 21070000</v>
      </c>
    </row>
    <row r="1289" spans="1:18" s="16" customFormat="1" ht="31.5">
      <c r="A1289" s="14"/>
      <c r="B1289" s="125" t="s">
        <v>28</v>
      </c>
      <c r="C1289" s="130" t="s">
        <v>746</v>
      </c>
      <c r="D1289" s="131" t="s">
        <v>86</v>
      </c>
      <c r="E1289" s="131" t="s">
        <v>13</v>
      </c>
      <c r="F1289" s="131" t="s">
        <v>775</v>
      </c>
      <c r="G1289" s="131" t="s">
        <v>29</v>
      </c>
      <c r="H1289" s="126">
        <f>H1290</f>
        <v>0</v>
      </c>
      <c r="L1289" s="26">
        <v>941.72</v>
      </c>
      <c r="M1289" s="26">
        <v>941.72</v>
      </c>
      <c r="N1289" s="26">
        <v>941.72</v>
      </c>
      <c r="O1289" s="26">
        <f>H1289-L1289</f>
        <v>-941.72</v>
      </c>
      <c r="P1289" s="26" t="e">
        <f>#REF!-M1289</f>
        <v>#REF!</v>
      </c>
      <c r="Q1289" s="26" t="e">
        <f>#REF!-N1289</f>
        <v>#REF!</v>
      </c>
      <c r="R1289" s="17" t="str">
        <f t="shared" si="132"/>
        <v>04 3 04 21070240</v>
      </c>
    </row>
    <row r="1290" spans="1:18" s="16" customFormat="1" ht="15.75">
      <c r="A1290" s="14"/>
      <c r="B1290" s="125" t="s">
        <v>30</v>
      </c>
      <c r="C1290" s="130" t="s">
        <v>746</v>
      </c>
      <c r="D1290" s="131" t="s">
        <v>86</v>
      </c>
      <c r="E1290" s="131" t="s">
        <v>13</v>
      </c>
      <c r="F1290" s="131" t="s">
        <v>775</v>
      </c>
      <c r="G1290" s="131" t="s">
        <v>31</v>
      </c>
      <c r="H1290" s="126"/>
      <c r="L1290" s="26"/>
      <c r="M1290" s="26"/>
      <c r="N1290" s="26"/>
      <c r="O1290" s="26"/>
      <c r="P1290" s="26"/>
      <c r="Q1290" s="26"/>
      <c r="R1290" s="17"/>
    </row>
    <row r="1291" spans="1:18" s="16" customFormat="1" ht="78.75">
      <c r="A1291" s="14" t="s">
        <v>80</v>
      </c>
      <c r="B1291" s="127" t="s">
        <v>776</v>
      </c>
      <c r="C1291" s="130" t="s">
        <v>746</v>
      </c>
      <c r="D1291" s="131" t="s">
        <v>86</v>
      </c>
      <c r="E1291" s="131" t="s">
        <v>13</v>
      </c>
      <c r="F1291" s="131" t="s">
        <v>777</v>
      </c>
      <c r="G1291" s="131" t="s">
        <v>9</v>
      </c>
      <c r="H1291" s="105">
        <f>H1292</f>
        <v>0</v>
      </c>
      <c r="L1291" s="26">
        <v>12476.08</v>
      </c>
      <c r="M1291" s="26">
        <v>9476.08</v>
      </c>
      <c r="N1291" s="26">
        <v>9476.08</v>
      </c>
      <c r="O1291" s="26">
        <f>H1291-L1291</f>
        <v>-12476.08</v>
      </c>
      <c r="P1291" s="26" t="e">
        <f>#REF!-M1291</f>
        <v>#REF!</v>
      </c>
      <c r="Q1291" s="26" t="e">
        <f>#REF!-N1291</f>
        <v>#REF!</v>
      </c>
      <c r="R1291" s="17" t="str">
        <f t="shared" si="132"/>
        <v>04 3 04 21080000</v>
      </c>
    </row>
    <row r="1292" spans="1:18" s="16" customFormat="1" ht="31.5">
      <c r="A1292" s="14"/>
      <c r="B1292" s="125" t="s">
        <v>28</v>
      </c>
      <c r="C1292" s="130" t="s">
        <v>746</v>
      </c>
      <c r="D1292" s="131" t="s">
        <v>86</v>
      </c>
      <c r="E1292" s="131" t="s">
        <v>13</v>
      </c>
      <c r="F1292" s="131" t="s">
        <v>777</v>
      </c>
      <c r="G1292" s="131" t="s">
        <v>29</v>
      </c>
      <c r="H1292" s="126">
        <f>H1293</f>
        <v>0</v>
      </c>
      <c r="L1292" s="26">
        <v>12476.08</v>
      </c>
      <c r="M1292" s="26">
        <v>9476.08</v>
      </c>
      <c r="N1292" s="26">
        <v>9476.08</v>
      </c>
      <c r="O1292" s="26">
        <f>H1292-L1292</f>
        <v>-12476.08</v>
      </c>
      <c r="P1292" s="26" t="e">
        <f>#REF!-M1292</f>
        <v>#REF!</v>
      </c>
      <c r="Q1292" s="26" t="e">
        <f>#REF!-N1292</f>
        <v>#REF!</v>
      </c>
      <c r="R1292" s="17" t="str">
        <f t="shared" si="132"/>
        <v>04 3 04 21080240</v>
      </c>
    </row>
    <row r="1293" spans="1:18" s="16" customFormat="1" ht="15.75">
      <c r="A1293" s="14"/>
      <c r="B1293" s="125" t="s">
        <v>30</v>
      </c>
      <c r="C1293" s="130" t="s">
        <v>746</v>
      </c>
      <c r="D1293" s="131" t="s">
        <v>86</v>
      </c>
      <c r="E1293" s="131" t="s">
        <v>13</v>
      </c>
      <c r="F1293" s="131" t="s">
        <v>777</v>
      </c>
      <c r="G1293" s="131" t="s">
        <v>31</v>
      </c>
      <c r="H1293" s="126"/>
      <c r="L1293" s="26"/>
      <c r="M1293" s="26"/>
      <c r="N1293" s="26"/>
      <c r="O1293" s="26"/>
      <c r="P1293" s="26"/>
      <c r="Q1293" s="26"/>
      <c r="R1293" s="17"/>
    </row>
    <row r="1294" spans="1:18" s="16" customFormat="1" ht="47.25">
      <c r="A1294" s="14"/>
      <c r="B1294" s="125" t="s">
        <v>1043</v>
      </c>
      <c r="C1294" s="130" t="s">
        <v>746</v>
      </c>
      <c r="D1294" s="131" t="s">
        <v>86</v>
      </c>
      <c r="E1294" s="131" t="s">
        <v>13</v>
      </c>
      <c r="F1294" s="131" t="s">
        <v>1056</v>
      </c>
      <c r="G1294" s="131" t="s">
        <v>9</v>
      </c>
      <c r="H1294" s="105">
        <f>H1299</f>
        <v>0</v>
      </c>
      <c r="L1294" s="26"/>
      <c r="M1294" s="26"/>
      <c r="N1294" s="26"/>
      <c r="O1294" s="26"/>
      <c r="P1294" s="26"/>
      <c r="Q1294" s="26"/>
      <c r="R1294" s="17"/>
    </row>
    <row r="1295" spans="1:18" s="16" customFormat="1" ht="15.75">
      <c r="A1295" s="14"/>
      <c r="B1295" s="132" t="s">
        <v>1045</v>
      </c>
      <c r="C1295" s="130"/>
      <c r="D1295" s="131"/>
      <c r="E1295" s="131"/>
      <c r="F1295" s="131"/>
      <c r="G1295" s="131"/>
      <c r="H1295" s="105"/>
      <c r="L1295" s="26"/>
      <c r="M1295" s="26"/>
      <c r="N1295" s="26"/>
      <c r="O1295" s="26"/>
      <c r="P1295" s="26"/>
      <c r="Q1295" s="26"/>
      <c r="R1295" s="17"/>
    </row>
    <row r="1296" spans="1:18" s="16" customFormat="1" ht="15.75">
      <c r="A1296" s="14"/>
      <c r="B1296" s="125" t="s">
        <v>1046</v>
      </c>
      <c r="C1296" s="130" t="s">
        <v>746</v>
      </c>
      <c r="D1296" s="131" t="s">
        <v>86</v>
      </c>
      <c r="E1296" s="131" t="s">
        <v>13</v>
      </c>
      <c r="F1296" s="131" t="s">
        <v>1056</v>
      </c>
      <c r="G1296" s="131" t="s">
        <v>9</v>
      </c>
      <c r="H1296" s="105"/>
      <c r="L1296" s="26"/>
      <c r="M1296" s="26"/>
      <c r="N1296" s="26"/>
      <c r="O1296" s="26"/>
      <c r="P1296" s="26"/>
      <c r="Q1296" s="26"/>
      <c r="R1296" s="17"/>
    </row>
    <row r="1297" spans="1:18" s="16" customFormat="1" ht="15.75">
      <c r="A1297" s="14"/>
      <c r="B1297" s="125" t="s">
        <v>1047</v>
      </c>
      <c r="C1297" s="130" t="s">
        <v>746</v>
      </c>
      <c r="D1297" s="131" t="s">
        <v>86</v>
      </c>
      <c r="E1297" s="131" t="s">
        <v>13</v>
      </c>
      <c r="F1297" s="131" t="s">
        <v>1056</v>
      </c>
      <c r="G1297" s="131" t="s">
        <v>9</v>
      </c>
      <c r="H1297" s="105"/>
      <c r="L1297" s="26"/>
      <c r="M1297" s="26"/>
      <c r="N1297" s="26"/>
      <c r="O1297" s="26"/>
      <c r="P1297" s="26"/>
      <c r="Q1297" s="26"/>
      <c r="R1297" s="17"/>
    </row>
    <row r="1298" spans="1:18" s="16" customFormat="1" ht="31.5">
      <c r="A1298" s="14"/>
      <c r="B1298" s="125" t="s">
        <v>28</v>
      </c>
      <c r="C1298" s="130" t="s">
        <v>746</v>
      </c>
      <c r="D1298" s="131" t="s">
        <v>86</v>
      </c>
      <c r="E1298" s="131" t="s">
        <v>13</v>
      </c>
      <c r="F1298" s="131" t="s">
        <v>1056</v>
      </c>
      <c r="G1298" s="131" t="s">
        <v>29</v>
      </c>
      <c r="H1298" s="105">
        <f>H1299</f>
        <v>0</v>
      </c>
      <c r="L1298" s="26"/>
      <c r="M1298" s="26"/>
      <c r="N1298" s="26"/>
      <c r="O1298" s="26"/>
      <c r="P1298" s="26"/>
      <c r="Q1298" s="26"/>
      <c r="R1298" s="17"/>
    </row>
    <row r="1299" spans="1:18" s="16" customFormat="1" ht="15.75">
      <c r="A1299" s="14"/>
      <c r="B1299" s="125" t="s">
        <v>30</v>
      </c>
      <c r="C1299" s="130" t="s">
        <v>746</v>
      </c>
      <c r="D1299" s="131" t="s">
        <v>86</v>
      </c>
      <c r="E1299" s="131" t="s">
        <v>13</v>
      </c>
      <c r="F1299" s="131" t="s">
        <v>1056</v>
      </c>
      <c r="G1299" s="131" t="s">
        <v>31</v>
      </c>
      <c r="H1299" s="105"/>
      <c r="L1299" s="26"/>
      <c r="M1299" s="26"/>
      <c r="N1299" s="26"/>
      <c r="O1299" s="26"/>
      <c r="P1299" s="26"/>
      <c r="Q1299" s="26"/>
      <c r="R1299" s="17"/>
    </row>
    <row r="1300" spans="1:18" s="16" customFormat="1" ht="47.25">
      <c r="A1300" s="14"/>
      <c r="B1300" s="127" t="s">
        <v>1048</v>
      </c>
      <c r="C1300" s="130" t="s">
        <v>746</v>
      </c>
      <c r="D1300" s="131" t="s">
        <v>86</v>
      </c>
      <c r="E1300" s="131" t="s">
        <v>13</v>
      </c>
      <c r="F1300" s="131" t="s">
        <v>1057</v>
      </c>
      <c r="G1300" s="131" t="s">
        <v>9</v>
      </c>
      <c r="H1300" s="105">
        <f>H1305</f>
        <v>0</v>
      </c>
      <c r="L1300" s="26"/>
      <c r="M1300" s="26"/>
      <c r="N1300" s="26"/>
      <c r="O1300" s="26"/>
      <c r="P1300" s="26"/>
      <c r="Q1300" s="26"/>
      <c r="R1300" s="17"/>
    </row>
    <row r="1301" spans="1:18" s="16" customFormat="1" ht="15.75">
      <c r="A1301" s="14"/>
      <c r="B1301" s="132" t="s">
        <v>1045</v>
      </c>
      <c r="C1301" s="130"/>
      <c r="D1301" s="131"/>
      <c r="E1301" s="131"/>
      <c r="F1301" s="131"/>
      <c r="G1301" s="131"/>
      <c r="H1301" s="105"/>
      <c r="L1301" s="26"/>
      <c r="M1301" s="26"/>
      <c r="N1301" s="26"/>
      <c r="O1301" s="26"/>
      <c r="P1301" s="26"/>
      <c r="Q1301" s="26"/>
      <c r="R1301" s="17"/>
    </row>
    <row r="1302" spans="1:18" s="16" customFormat="1" ht="15.75">
      <c r="A1302" s="14"/>
      <c r="B1302" s="125" t="s">
        <v>1050</v>
      </c>
      <c r="C1302" s="130" t="s">
        <v>746</v>
      </c>
      <c r="D1302" s="131" t="s">
        <v>86</v>
      </c>
      <c r="E1302" s="131" t="s">
        <v>13</v>
      </c>
      <c r="F1302" s="131" t="s">
        <v>1057</v>
      </c>
      <c r="G1302" s="131" t="s">
        <v>9</v>
      </c>
      <c r="H1302" s="105"/>
      <c r="L1302" s="26"/>
      <c r="M1302" s="26"/>
      <c r="N1302" s="26"/>
      <c r="O1302" s="26"/>
      <c r="P1302" s="26"/>
      <c r="Q1302" s="26"/>
      <c r="R1302" s="17"/>
    </row>
    <row r="1303" spans="1:18" s="16" customFormat="1" ht="15.75">
      <c r="A1303" s="14"/>
      <c r="B1303" s="125" t="s">
        <v>1051</v>
      </c>
      <c r="C1303" s="130" t="s">
        <v>746</v>
      </c>
      <c r="D1303" s="131" t="s">
        <v>86</v>
      </c>
      <c r="E1303" s="131" t="s">
        <v>13</v>
      </c>
      <c r="F1303" s="131" t="s">
        <v>1057</v>
      </c>
      <c r="G1303" s="131" t="s">
        <v>9</v>
      </c>
      <c r="H1303" s="105"/>
      <c r="L1303" s="26"/>
      <c r="M1303" s="26"/>
      <c r="N1303" s="26"/>
      <c r="O1303" s="26"/>
      <c r="P1303" s="26"/>
      <c r="Q1303" s="26"/>
      <c r="R1303" s="17"/>
    </row>
    <row r="1304" spans="1:18" s="16" customFormat="1" ht="31.5">
      <c r="A1304" s="14"/>
      <c r="B1304" s="125" t="s">
        <v>28</v>
      </c>
      <c r="C1304" s="130" t="s">
        <v>746</v>
      </c>
      <c r="D1304" s="131" t="s">
        <v>86</v>
      </c>
      <c r="E1304" s="131" t="s">
        <v>13</v>
      </c>
      <c r="F1304" s="131" t="s">
        <v>1057</v>
      </c>
      <c r="G1304" s="131" t="s">
        <v>29</v>
      </c>
      <c r="H1304" s="105">
        <f>H1305</f>
        <v>0</v>
      </c>
      <c r="L1304" s="26"/>
      <c r="M1304" s="26"/>
      <c r="N1304" s="26"/>
      <c r="O1304" s="26"/>
      <c r="P1304" s="26"/>
      <c r="Q1304" s="26"/>
      <c r="R1304" s="17"/>
    </row>
    <row r="1305" spans="1:18" s="16" customFormat="1" ht="15.75">
      <c r="A1305" s="14"/>
      <c r="B1305" s="125" t="s">
        <v>30</v>
      </c>
      <c r="C1305" s="130" t="s">
        <v>746</v>
      </c>
      <c r="D1305" s="131" t="s">
        <v>86</v>
      </c>
      <c r="E1305" s="131" t="s">
        <v>13</v>
      </c>
      <c r="F1305" s="131" t="s">
        <v>1057</v>
      </c>
      <c r="G1305" s="108" t="s">
        <v>31</v>
      </c>
      <c r="H1305" s="126"/>
      <c r="L1305" s="26"/>
      <c r="M1305" s="26"/>
      <c r="N1305" s="26"/>
      <c r="O1305" s="26"/>
      <c r="P1305" s="26"/>
      <c r="Q1305" s="26"/>
      <c r="R1305" s="17"/>
    </row>
    <row r="1306" spans="1:18" s="16" customFormat="1" ht="63">
      <c r="A1306" s="14"/>
      <c r="B1306" s="140" t="s">
        <v>87</v>
      </c>
      <c r="C1306" s="130" t="s">
        <v>746</v>
      </c>
      <c r="D1306" s="131" t="s">
        <v>86</v>
      </c>
      <c r="E1306" s="131" t="s">
        <v>13</v>
      </c>
      <c r="F1306" s="131" t="s">
        <v>88</v>
      </c>
      <c r="G1306" s="131" t="s">
        <v>9</v>
      </c>
      <c r="H1306" s="105">
        <f>H1307</f>
        <v>0</v>
      </c>
      <c r="L1306" s="26">
        <v>2500</v>
      </c>
      <c r="M1306" s="26">
        <v>0</v>
      </c>
      <c r="N1306" s="26">
        <v>0</v>
      </c>
      <c r="O1306" s="26">
        <f>H1306-L1306</f>
        <v>-2500</v>
      </c>
      <c r="P1306" s="26" t="e">
        <f>#REF!-M1306</f>
        <v>#REF!</v>
      </c>
      <c r="Q1306" s="26" t="e">
        <f>#REF!-N1306</f>
        <v>#REF!</v>
      </c>
      <c r="R1306" s="17" t="str">
        <f t="shared" si="132"/>
        <v>98 0 00 00000000</v>
      </c>
    </row>
    <row r="1307" spans="1:18" s="16" customFormat="1" ht="15.75">
      <c r="A1307" s="14"/>
      <c r="B1307" s="140" t="s">
        <v>89</v>
      </c>
      <c r="C1307" s="130" t="s">
        <v>746</v>
      </c>
      <c r="D1307" s="131" t="s">
        <v>86</v>
      </c>
      <c r="E1307" s="131" t="s">
        <v>13</v>
      </c>
      <c r="F1307" s="131" t="s">
        <v>90</v>
      </c>
      <c r="G1307" s="131" t="s">
        <v>9</v>
      </c>
      <c r="H1307" s="105">
        <f>H1308</f>
        <v>0</v>
      </c>
      <c r="L1307" s="26">
        <v>2500</v>
      </c>
      <c r="M1307" s="26">
        <v>0</v>
      </c>
      <c r="N1307" s="26">
        <v>0</v>
      </c>
      <c r="O1307" s="26">
        <f>H1307-L1307</f>
        <v>-2500</v>
      </c>
      <c r="P1307" s="26" t="e">
        <f>#REF!-M1307</f>
        <v>#REF!</v>
      </c>
      <c r="Q1307" s="26" t="e">
        <f>#REF!-N1307</f>
        <v>#REF!</v>
      </c>
      <c r="R1307" s="17" t="str">
        <f t="shared" si="132"/>
        <v>98 1 00 00000000</v>
      </c>
    </row>
    <row r="1308" spans="1:18" s="16" customFormat="1" ht="31.5">
      <c r="A1308" s="14"/>
      <c r="B1308" s="125" t="s">
        <v>778</v>
      </c>
      <c r="C1308" s="130" t="s">
        <v>746</v>
      </c>
      <c r="D1308" s="131" t="s">
        <v>86</v>
      </c>
      <c r="E1308" s="131" t="s">
        <v>13</v>
      </c>
      <c r="F1308" s="131" t="s">
        <v>779</v>
      </c>
      <c r="G1308" s="131" t="s">
        <v>9</v>
      </c>
      <c r="H1308" s="105">
        <f>H1309</f>
        <v>0</v>
      </c>
      <c r="L1308" s="26">
        <v>2500</v>
      </c>
      <c r="M1308" s="26">
        <v>0</v>
      </c>
      <c r="N1308" s="26">
        <v>0</v>
      </c>
      <c r="O1308" s="26">
        <f>H1308-L1308</f>
        <v>-2500</v>
      </c>
      <c r="P1308" s="26" t="e">
        <f>#REF!-M1308</f>
        <v>#REF!</v>
      </c>
      <c r="Q1308" s="26" t="e">
        <f>#REF!-N1308</f>
        <v>#REF!</v>
      </c>
      <c r="R1308" s="17" t="str">
        <f t="shared" si="132"/>
        <v>98 1 00 21450000</v>
      </c>
    </row>
    <row r="1309" spans="1:18" s="16" customFormat="1" ht="31.5">
      <c r="A1309" s="14"/>
      <c r="B1309" s="125" t="s">
        <v>28</v>
      </c>
      <c r="C1309" s="130" t="s">
        <v>746</v>
      </c>
      <c r="D1309" s="131" t="s">
        <v>86</v>
      </c>
      <c r="E1309" s="131" t="s">
        <v>13</v>
      </c>
      <c r="F1309" s="131" t="s">
        <v>779</v>
      </c>
      <c r="G1309" s="131" t="s">
        <v>29</v>
      </c>
      <c r="H1309" s="126">
        <f>H1310</f>
        <v>0</v>
      </c>
      <c r="L1309" s="26">
        <v>2500</v>
      </c>
      <c r="M1309" s="26">
        <v>0</v>
      </c>
      <c r="N1309" s="26">
        <v>0</v>
      </c>
      <c r="O1309" s="26">
        <f>H1309-L1309</f>
        <v>-2500</v>
      </c>
      <c r="P1309" s="26" t="e">
        <f>#REF!-M1309</f>
        <v>#REF!</v>
      </c>
      <c r="Q1309" s="26" t="e">
        <f>#REF!-N1309</f>
        <v>#REF!</v>
      </c>
      <c r="R1309" s="17" t="str">
        <f t="shared" si="132"/>
        <v>98 1 00 21450240</v>
      </c>
    </row>
    <row r="1310" spans="1:18" s="16" customFormat="1" ht="15.75">
      <c r="A1310" s="14"/>
      <c r="B1310" s="125" t="s">
        <v>30</v>
      </c>
      <c r="C1310" s="130" t="s">
        <v>746</v>
      </c>
      <c r="D1310" s="131" t="s">
        <v>86</v>
      </c>
      <c r="E1310" s="131" t="s">
        <v>13</v>
      </c>
      <c r="F1310" s="131" t="s">
        <v>779</v>
      </c>
      <c r="G1310" s="131" t="s">
        <v>31</v>
      </c>
      <c r="H1310" s="126"/>
      <c r="L1310" s="26"/>
      <c r="M1310" s="26"/>
      <c r="N1310" s="26"/>
      <c r="O1310" s="26"/>
      <c r="P1310" s="26"/>
      <c r="Q1310" s="26"/>
      <c r="R1310" s="17"/>
    </row>
    <row r="1311" spans="1:18" s="16" customFormat="1" ht="15.75">
      <c r="A1311" s="14"/>
      <c r="B1311" s="117" t="s">
        <v>237</v>
      </c>
      <c r="C1311" s="118" t="s">
        <v>746</v>
      </c>
      <c r="D1311" s="119" t="s">
        <v>238</v>
      </c>
      <c r="E1311" s="119" t="s">
        <v>7</v>
      </c>
      <c r="F1311" s="119" t="s">
        <v>8</v>
      </c>
      <c r="G1311" s="119" t="s">
        <v>9</v>
      </c>
      <c r="H1311" s="120">
        <f t="shared" ref="H1311:H1314" si="143">H1312</f>
        <v>0</v>
      </c>
      <c r="L1311" s="18">
        <v>1591</v>
      </c>
      <c r="M1311" s="18">
        <v>1591</v>
      </c>
      <c r="N1311" s="18">
        <v>1591</v>
      </c>
      <c r="O1311" s="18">
        <f t="shared" ref="O1311:O1317" si="144">H1311-L1311</f>
        <v>-1591</v>
      </c>
      <c r="P1311" s="18" t="e">
        <f>#REF!-M1311</f>
        <v>#REF!</v>
      </c>
      <c r="Q1311" s="18" t="e">
        <f>#REF!-N1311</f>
        <v>#REF!</v>
      </c>
      <c r="R1311" s="17" t="str">
        <f t="shared" si="132"/>
        <v>00 0 00 00000000</v>
      </c>
    </row>
    <row r="1312" spans="1:18" s="16" customFormat="1" ht="15.75">
      <c r="A1312" s="14"/>
      <c r="B1312" s="121" t="s">
        <v>239</v>
      </c>
      <c r="C1312" s="122" t="s">
        <v>746</v>
      </c>
      <c r="D1312" s="123" t="s">
        <v>238</v>
      </c>
      <c r="E1312" s="123" t="s">
        <v>11</v>
      </c>
      <c r="F1312" s="123" t="s">
        <v>8</v>
      </c>
      <c r="G1312" s="123" t="s">
        <v>9</v>
      </c>
      <c r="H1312" s="124">
        <f t="shared" si="143"/>
        <v>0</v>
      </c>
      <c r="L1312" s="19">
        <v>1591</v>
      </c>
      <c r="M1312" s="19">
        <v>1591</v>
      </c>
      <c r="N1312" s="19">
        <v>1591</v>
      </c>
      <c r="O1312" s="19">
        <f t="shared" si="144"/>
        <v>-1591</v>
      </c>
      <c r="P1312" s="19" t="e">
        <f>#REF!-M1312</f>
        <v>#REF!</v>
      </c>
      <c r="Q1312" s="19" t="e">
        <f>#REF!-N1312</f>
        <v>#REF!</v>
      </c>
      <c r="R1312" s="17" t="str">
        <f t="shared" si="132"/>
        <v>00 0 00 00000000</v>
      </c>
    </row>
    <row r="1313" spans="1:18" s="16" customFormat="1" ht="31.5">
      <c r="A1313" s="14"/>
      <c r="B1313" s="125" t="s">
        <v>240</v>
      </c>
      <c r="C1313" s="130" t="s">
        <v>746</v>
      </c>
      <c r="D1313" s="131" t="s">
        <v>238</v>
      </c>
      <c r="E1313" s="131" t="s">
        <v>11</v>
      </c>
      <c r="F1313" s="131" t="s">
        <v>241</v>
      </c>
      <c r="G1313" s="131" t="s">
        <v>9</v>
      </c>
      <c r="H1313" s="105">
        <f t="shared" si="143"/>
        <v>0</v>
      </c>
      <c r="L1313" s="26">
        <v>1591</v>
      </c>
      <c r="M1313" s="26">
        <v>1591</v>
      </c>
      <c r="N1313" s="26">
        <v>1591</v>
      </c>
      <c r="O1313" s="26">
        <f t="shared" si="144"/>
        <v>-1591</v>
      </c>
      <c r="P1313" s="26" t="e">
        <f>#REF!-M1313</f>
        <v>#REF!</v>
      </c>
      <c r="Q1313" s="26" t="e">
        <f>#REF!-N1313</f>
        <v>#REF!</v>
      </c>
      <c r="R1313" s="17" t="str">
        <f t="shared" si="132"/>
        <v>07 0 00 00000000</v>
      </c>
    </row>
    <row r="1314" spans="1:18" s="16" customFormat="1" ht="78.75">
      <c r="A1314" s="14"/>
      <c r="B1314" s="140" t="s">
        <v>242</v>
      </c>
      <c r="C1314" s="130" t="s">
        <v>746</v>
      </c>
      <c r="D1314" s="131" t="s">
        <v>238</v>
      </c>
      <c r="E1314" s="131" t="s">
        <v>11</v>
      </c>
      <c r="F1314" s="131" t="s">
        <v>243</v>
      </c>
      <c r="G1314" s="131" t="s">
        <v>9</v>
      </c>
      <c r="H1314" s="105">
        <f t="shared" si="143"/>
        <v>0</v>
      </c>
      <c r="L1314" s="26">
        <v>1591</v>
      </c>
      <c r="M1314" s="26">
        <v>1591</v>
      </c>
      <c r="N1314" s="26">
        <v>1591</v>
      </c>
      <c r="O1314" s="26">
        <f t="shared" si="144"/>
        <v>-1591</v>
      </c>
      <c r="P1314" s="26" t="e">
        <f>#REF!-M1314</f>
        <v>#REF!</v>
      </c>
      <c r="Q1314" s="26" t="e">
        <f>#REF!-N1314</f>
        <v>#REF!</v>
      </c>
      <c r="R1314" s="17" t="str">
        <f t="shared" si="132"/>
        <v>07 1 00 00000000</v>
      </c>
    </row>
    <row r="1315" spans="1:18" s="16" customFormat="1" ht="110.25">
      <c r="A1315" s="14"/>
      <c r="B1315" s="140" t="s">
        <v>244</v>
      </c>
      <c r="C1315" s="130" t="s">
        <v>746</v>
      </c>
      <c r="D1315" s="131" t="s">
        <v>238</v>
      </c>
      <c r="E1315" s="131" t="s">
        <v>11</v>
      </c>
      <c r="F1315" s="131" t="s">
        <v>245</v>
      </c>
      <c r="G1315" s="131" t="s">
        <v>9</v>
      </c>
      <c r="H1315" s="105">
        <f>H1316+H1319</f>
        <v>0</v>
      </c>
      <c r="L1315" s="26">
        <v>1591</v>
      </c>
      <c r="M1315" s="26">
        <v>1591</v>
      </c>
      <c r="N1315" s="26">
        <v>1591</v>
      </c>
      <c r="O1315" s="26">
        <f t="shared" si="144"/>
        <v>-1591</v>
      </c>
      <c r="P1315" s="26" t="e">
        <f>#REF!-M1315</f>
        <v>#REF!</v>
      </c>
      <c r="Q1315" s="26" t="e">
        <f>#REF!-N1315</f>
        <v>#REF!</v>
      </c>
      <c r="R1315" s="17" t="str">
        <f t="shared" si="132"/>
        <v>07 1 01 00000000</v>
      </c>
    </row>
    <row r="1316" spans="1:18" s="16" customFormat="1" ht="31.5">
      <c r="A1316" s="14"/>
      <c r="B1316" s="125" t="s">
        <v>246</v>
      </c>
      <c r="C1316" s="130" t="s">
        <v>746</v>
      </c>
      <c r="D1316" s="131" t="s">
        <v>238</v>
      </c>
      <c r="E1316" s="131" t="s">
        <v>11</v>
      </c>
      <c r="F1316" s="131" t="s">
        <v>247</v>
      </c>
      <c r="G1316" s="131" t="s">
        <v>9</v>
      </c>
      <c r="H1316" s="105">
        <f>H1317</f>
        <v>0</v>
      </c>
      <c r="L1316" s="26">
        <v>1095.45</v>
      </c>
      <c r="M1316" s="26">
        <v>1095.45</v>
      </c>
      <c r="N1316" s="26">
        <v>1095.45</v>
      </c>
      <c r="O1316" s="26">
        <f t="shared" si="144"/>
        <v>-1095.45</v>
      </c>
      <c r="P1316" s="26" t="e">
        <f>#REF!-M1316</f>
        <v>#REF!</v>
      </c>
      <c r="Q1316" s="26" t="e">
        <f>#REF!-N1316</f>
        <v>#REF!</v>
      </c>
      <c r="R1316" s="17" t="str">
        <f t="shared" si="132"/>
        <v>07 1 01 20060000</v>
      </c>
    </row>
    <row r="1317" spans="1:18" s="16" customFormat="1" ht="31.5">
      <c r="A1317" s="14"/>
      <c r="B1317" s="125" t="s">
        <v>28</v>
      </c>
      <c r="C1317" s="130" t="s">
        <v>746</v>
      </c>
      <c r="D1317" s="131" t="s">
        <v>238</v>
      </c>
      <c r="E1317" s="131" t="s">
        <v>11</v>
      </c>
      <c r="F1317" s="131" t="s">
        <v>247</v>
      </c>
      <c r="G1317" s="131" t="s">
        <v>29</v>
      </c>
      <c r="H1317" s="126">
        <f>H1318</f>
        <v>0</v>
      </c>
      <c r="L1317" s="26">
        <v>1095.45</v>
      </c>
      <c r="M1317" s="26">
        <v>1095.45</v>
      </c>
      <c r="N1317" s="26">
        <v>1095.45</v>
      </c>
      <c r="O1317" s="26">
        <f t="shared" si="144"/>
        <v>-1095.45</v>
      </c>
      <c r="P1317" s="26" t="e">
        <f>#REF!-M1317</f>
        <v>#REF!</v>
      </c>
      <c r="Q1317" s="26" t="e">
        <f>#REF!-N1317</f>
        <v>#REF!</v>
      </c>
      <c r="R1317" s="17" t="str">
        <f t="shared" si="132"/>
        <v>07 1 01 20060240</v>
      </c>
    </row>
    <row r="1318" spans="1:18" s="16" customFormat="1" ht="15.75">
      <c r="A1318" s="14"/>
      <c r="B1318" s="125" t="s">
        <v>30</v>
      </c>
      <c r="C1318" s="130" t="s">
        <v>746</v>
      </c>
      <c r="D1318" s="131" t="s">
        <v>238</v>
      </c>
      <c r="E1318" s="131" t="s">
        <v>11</v>
      </c>
      <c r="F1318" s="131" t="s">
        <v>247</v>
      </c>
      <c r="G1318" s="131" t="s">
        <v>31</v>
      </c>
      <c r="H1318" s="126"/>
      <c r="L1318" s="26"/>
      <c r="M1318" s="26"/>
      <c r="N1318" s="26"/>
      <c r="O1318" s="26"/>
      <c r="P1318" s="26"/>
      <c r="Q1318" s="26"/>
      <c r="R1318" s="17"/>
    </row>
    <row r="1319" spans="1:18" s="16" customFormat="1" ht="47.25">
      <c r="A1319" s="14"/>
      <c r="B1319" s="127" t="s">
        <v>780</v>
      </c>
      <c r="C1319" s="130" t="s">
        <v>746</v>
      </c>
      <c r="D1319" s="131" t="s">
        <v>238</v>
      </c>
      <c r="E1319" s="131" t="s">
        <v>11</v>
      </c>
      <c r="F1319" s="131" t="s">
        <v>781</v>
      </c>
      <c r="G1319" s="131" t="s">
        <v>9</v>
      </c>
      <c r="H1319" s="105">
        <f>H1320</f>
        <v>0</v>
      </c>
      <c r="L1319" s="26">
        <v>495.55</v>
      </c>
      <c r="M1319" s="26">
        <v>495.55</v>
      </c>
      <c r="N1319" s="26">
        <v>495.55</v>
      </c>
      <c r="O1319" s="26">
        <f>H1319-L1319</f>
        <v>-495.55</v>
      </c>
      <c r="P1319" s="26" t="e">
        <f>#REF!-M1319</f>
        <v>#REF!</v>
      </c>
      <c r="Q1319" s="26" t="e">
        <f>#REF!-N1319</f>
        <v>#REF!</v>
      </c>
      <c r="R1319" s="17" t="str">
        <f t="shared" ref="R1319:R1417" si="145">CONCATENATE(F1319,G1319)</f>
        <v>07 1 01 21130000</v>
      </c>
    </row>
    <row r="1320" spans="1:18" ht="31.5">
      <c r="B1320" s="125" t="s">
        <v>28</v>
      </c>
      <c r="C1320" s="130" t="s">
        <v>746</v>
      </c>
      <c r="D1320" s="131" t="s">
        <v>238</v>
      </c>
      <c r="E1320" s="131" t="s">
        <v>11</v>
      </c>
      <c r="F1320" s="131" t="s">
        <v>781</v>
      </c>
      <c r="G1320" s="131" t="s">
        <v>29</v>
      </c>
      <c r="H1320" s="126">
        <f>H1321</f>
        <v>0</v>
      </c>
      <c r="L1320" s="26">
        <v>495.55</v>
      </c>
      <c r="M1320" s="26">
        <v>495.55</v>
      </c>
      <c r="N1320" s="26">
        <v>495.55</v>
      </c>
      <c r="O1320" s="26">
        <f>H1320-L1320</f>
        <v>-495.55</v>
      </c>
      <c r="P1320" s="26" t="e">
        <f>#REF!-M1320</f>
        <v>#REF!</v>
      </c>
      <c r="Q1320" s="26" t="e">
        <f>#REF!-N1320</f>
        <v>#REF!</v>
      </c>
      <c r="R1320" s="17" t="str">
        <f t="shared" si="145"/>
        <v>07 1 01 21130240</v>
      </c>
    </row>
    <row r="1321" spans="1:18">
      <c r="B1321" s="125" t="s">
        <v>30</v>
      </c>
      <c r="C1321" s="130" t="s">
        <v>746</v>
      </c>
      <c r="D1321" s="131" t="s">
        <v>238</v>
      </c>
      <c r="E1321" s="131" t="s">
        <v>11</v>
      </c>
      <c r="F1321" s="131" t="s">
        <v>781</v>
      </c>
      <c r="G1321" s="131" t="s">
        <v>31</v>
      </c>
      <c r="H1321" s="126"/>
      <c r="L1321" s="26"/>
      <c r="M1321" s="26"/>
      <c r="N1321" s="26"/>
      <c r="O1321" s="26"/>
      <c r="P1321" s="26"/>
      <c r="Q1321" s="26"/>
      <c r="R1321" s="17"/>
    </row>
    <row r="1322" spans="1:18">
      <c r="B1322" s="125"/>
      <c r="C1322" s="130"/>
      <c r="D1322" s="131"/>
      <c r="E1322" s="131"/>
      <c r="F1322" s="131"/>
      <c r="G1322" s="131"/>
      <c r="H1322" s="105"/>
      <c r="L1322" s="26"/>
      <c r="M1322" s="26"/>
      <c r="N1322" s="26"/>
      <c r="O1322" s="26">
        <f t="shared" ref="O1322:O1329" si="146">H1322-L1322</f>
        <v>0</v>
      </c>
      <c r="P1322" s="26" t="e">
        <f>#REF!-M1322</f>
        <v>#REF!</v>
      </c>
      <c r="Q1322" s="26" t="e">
        <f>#REF!-N1322</f>
        <v>#REF!</v>
      </c>
      <c r="R1322" s="17" t="str">
        <f t="shared" si="145"/>
        <v/>
      </c>
    </row>
    <row r="1323" spans="1:18" s="16" customFormat="1" ht="31.5">
      <c r="A1323" s="14"/>
      <c r="B1323" s="67" t="s">
        <v>782</v>
      </c>
      <c r="C1323" s="116" t="s">
        <v>783</v>
      </c>
      <c r="D1323" s="69" t="s">
        <v>7</v>
      </c>
      <c r="E1323" s="69" t="s">
        <v>7</v>
      </c>
      <c r="F1323" s="69" t="s">
        <v>8</v>
      </c>
      <c r="G1323" s="69" t="s">
        <v>9</v>
      </c>
      <c r="H1323" s="70">
        <f>H1324+H1358+H1369+H1408</f>
        <v>0</v>
      </c>
      <c r="L1323" s="25">
        <v>123389.62</v>
      </c>
      <c r="M1323" s="25">
        <v>116997.78</v>
      </c>
      <c r="N1323" s="25">
        <v>122066.77</v>
      </c>
      <c r="O1323" s="25">
        <f t="shared" si="146"/>
        <v>-123389.62</v>
      </c>
      <c r="P1323" s="25" t="e">
        <f>#REF!-M1323</f>
        <v>#REF!</v>
      </c>
      <c r="Q1323" s="25" t="e">
        <f>#REF!-N1323</f>
        <v>#REF!</v>
      </c>
      <c r="R1323" s="17" t="str">
        <f t="shared" si="145"/>
        <v>00 0 00 00000000</v>
      </c>
    </row>
    <row r="1324" spans="1:18" s="16" customFormat="1" ht="15.75">
      <c r="A1324" s="14"/>
      <c r="B1324" s="117" t="s">
        <v>10</v>
      </c>
      <c r="C1324" s="118" t="s">
        <v>783</v>
      </c>
      <c r="D1324" s="119" t="s">
        <v>11</v>
      </c>
      <c r="E1324" s="119" t="s">
        <v>7</v>
      </c>
      <c r="F1324" s="119" t="s">
        <v>8</v>
      </c>
      <c r="G1324" s="119" t="s">
        <v>9</v>
      </c>
      <c r="H1324" s="120">
        <f>H1325+H1351</f>
        <v>0</v>
      </c>
      <c r="L1324" s="18">
        <v>31479.460000000003</v>
      </c>
      <c r="M1324" s="18">
        <v>31479.460000000003</v>
      </c>
      <c r="N1324" s="18">
        <v>31479.460000000003</v>
      </c>
      <c r="O1324" s="18">
        <f t="shared" si="146"/>
        <v>-31479.460000000003</v>
      </c>
      <c r="P1324" s="18" t="e">
        <f>#REF!-M1324</f>
        <v>#REF!</v>
      </c>
      <c r="Q1324" s="18" t="e">
        <f>#REF!-N1324</f>
        <v>#REF!</v>
      </c>
      <c r="R1324" s="17" t="str">
        <f t="shared" si="145"/>
        <v>00 0 00 00000000</v>
      </c>
    </row>
    <row r="1325" spans="1:18" s="16" customFormat="1" ht="63">
      <c r="A1325" s="14"/>
      <c r="B1325" s="121" t="s">
        <v>72</v>
      </c>
      <c r="C1325" s="122" t="s">
        <v>783</v>
      </c>
      <c r="D1325" s="123" t="s">
        <v>11</v>
      </c>
      <c r="E1325" s="123" t="s">
        <v>73</v>
      </c>
      <c r="F1325" s="123" t="s">
        <v>8</v>
      </c>
      <c r="G1325" s="123" t="s">
        <v>9</v>
      </c>
      <c r="H1325" s="124">
        <f t="shared" ref="H1325:H1326" si="147">H1326</f>
        <v>0</v>
      </c>
      <c r="L1325" s="19">
        <v>31121.610000000004</v>
      </c>
      <c r="M1325" s="19">
        <v>31121.610000000004</v>
      </c>
      <c r="N1325" s="19">
        <v>31121.610000000004</v>
      </c>
      <c r="O1325" s="19">
        <f t="shared" si="146"/>
        <v>-31121.610000000004</v>
      </c>
      <c r="P1325" s="19" t="e">
        <f>#REF!-M1325</f>
        <v>#REF!</v>
      </c>
      <c r="Q1325" s="19" t="e">
        <f>#REF!-N1325</f>
        <v>#REF!</v>
      </c>
      <c r="R1325" s="17" t="str">
        <f t="shared" si="145"/>
        <v>00 0 00 00000000</v>
      </c>
    </row>
    <row r="1326" spans="1:18" s="16" customFormat="1" ht="31.5">
      <c r="A1326" s="14"/>
      <c r="B1326" s="125" t="s">
        <v>784</v>
      </c>
      <c r="C1326" s="109" t="s">
        <v>783</v>
      </c>
      <c r="D1326" s="108" t="s">
        <v>11</v>
      </c>
      <c r="E1326" s="108" t="s">
        <v>73</v>
      </c>
      <c r="F1326" s="108" t="s">
        <v>785</v>
      </c>
      <c r="G1326" s="108" t="s">
        <v>9</v>
      </c>
      <c r="H1326" s="126">
        <f t="shared" si="147"/>
        <v>0</v>
      </c>
      <c r="L1326" s="20">
        <v>31121.610000000004</v>
      </c>
      <c r="M1326" s="20">
        <v>31121.610000000004</v>
      </c>
      <c r="N1326" s="20">
        <v>31121.610000000004</v>
      </c>
      <c r="O1326" s="20">
        <f t="shared" si="146"/>
        <v>-31121.610000000004</v>
      </c>
      <c r="P1326" s="20" t="e">
        <f>#REF!-M1326</f>
        <v>#REF!</v>
      </c>
      <c r="Q1326" s="20" t="e">
        <f>#REF!-N1326</f>
        <v>#REF!</v>
      </c>
      <c r="R1326" s="17" t="str">
        <f t="shared" si="145"/>
        <v>81 0 00 00000000</v>
      </c>
    </row>
    <row r="1327" spans="1:18" s="16" customFormat="1" ht="47.25">
      <c r="A1327" s="14"/>
      <c r="B1327" s="125" t="s">
        <v>786</v>
      </c>
      <c r="C1327" s="109" t="s">
        <v>783</v>
      </c>
      <c r="D1327" s="108" t="s">
        <v>11</v>
      </c>
      <c r="E1327" s="108" t="s">
        <v>73</v>
      </c>
      <c r="F1327" s="108" t="s">
        <v>787</v>
      </c>
      <c r="G1327" s="108" t="s">
        <v>9</v>
      </c>
      <c r="H1327" s="126">
        <f>H1328+H1337+H1341+H1348</f>
        <v>0</v>
      </c>
      <c r="L1327" s="20">
        <v>31121.610000000004</v>
      </c>
      <c r="M1327" s="20">
        <v>31121.610000000004</v>
      </c>
      <c r="N1327" s="20">
        <v>31121.610000000004</v>
      </c>
      <c r="O1327" s="20">
        <f t="shared" si="146"/>
        <v>-31121.610000000004</v>
      </c>
      <c r="P1327" s="20" t="e">
        <f>#REF!-M1327</f>
        <v>#REF!</v>
      </c>
      <c r="Q1327" s="20" t="e">
        <f>#REF!-N1327</f>
        <v>#REF!</v>
      </c>
      <c r="R1327" s="17" t="str">
        <f t="shared" si="145"/>
        <v>81 1 00 00000000</v>
      </c>
    </row>
    <row r="1328" spans="1:18" s="16" customFormat="1" ht="31.5">
      <c r="A1328" s="14"/>
      <c r="B1328" s="125" t="s">
        <v>18</v>
      </c>
      <c r="C1328" s="109" t="s">
        <v>783</v>
      </c>
      <c r="D1328" s="108" t="s">
        <v>11</v>
      </c>
      <c r="E1328" s="108" t="s">
        <v>73</v>
      </c>
      <c r="F1328" s="108" t="s">
        <v>788</v>
      </c>
      <c r="G1328" s="108" t="s">
        <v>9</v>
      </c>
      <c r="H1328" s="126">
        <f>H1329+H1332+H1334</f>
        <v>0</v>
      </c>
      <c r="L1328" s="20">
        <v>4289.08</v>
      </c>
      <c r="M1328" s="20">
        <v>4289.08</v>
      </c>
      <c r="N1328" s="20">
        <v>4289.08</v>
      </c>
      <c r="O1328" s="20">
        <f t="shared" si="146"/>
        <v>-4289.08</v>
      </c>
      <c r="P1328" s="20" t="e">
        <f>#REF!-M1328</f>
        <v>#REF!</v>
      </c>
      <c r="Q1328" s="20" t="e">
        <f>#REF!-N1328</f>
        <v>#REF!</v>
      </c>
      <c r="R1328" s="17" t="str">
        <f t="shared" si="145"/>
        <v>81 1 00 10010000</v>
      </c>
    </row>
    <row r="1329" spans="1:18" s="16" customFormat="1" ht="31.5">
      <c r="A1329" s="14"/>
      <c r="B1329" s="129" t="s">
        <v>20</v>
      </c>
      <c r="C1329" s="109" t="s">
        <v>783</v>
      </c>
      <c r="D1329" s="108" t="s">
        <v>11</v>
      </c>
      <c r="E1329" s="108" t="s">
        <v>73</v>
      </c>
      <c r="F1329" s="108" t="s">
        <v>788</v>
      </c>
      <c r="G1329" s="108" t="s">
        <v>21</v>
      </c>
      <c r="H1329" s="126">
        <f>SUM(H1330:H1331)</f>
        <v>0</v>
      </c>
      <c r="L1329" s="20">
        <v>640.11</v>
      </c>
      <c r="M1329" s="20">
        <v>640.11</v>
      </c>
      <c r="N1329" s="20">
        <v>640.11</v>
      </c>
      <c r="O1329" s="20">
        <f t="shared" si="146"/>
        <v>-640.11</v>
      </c>
      <c r="P1329" s="20" t="e">
        <f>#REF!-M1329</f>
        <v>#REF!</v>
      </c>
      <c r="Q1329" s="20" t="e">
        <f>#REF!-N1329</f>
        <v>#REF!</v>
      </c>
      <c r="R1329" s="17" t="str">
        <f t="shared" si="145"/>
        <v>81 1 00 10010120</v>
      </c>
    </row>
    <row r="1330" spans="1:18" s="23" customFormat="1" ht="47.25">
      <c r="A1330" s="21"/>
      <c r="B1330" s="127" t="s">
        <v>22</v>
      </c>
      <c r="C1330" s="109" t="s">
        <v>783</v>
      </c>
      <c r="D1330" s="108" t="s">
        <v>11</v>
      </c>
      <c r="E1330" s="108" t="s">
        <v>73</v>
      </c>
      <c r="F1330" s="108" t="s">
        <v>788</v>
      </c>
      <c r="G1330" s="108" t="s">
        <v>23</v>
      </c>
      <c r="H1330" s="126"/>
      <c r="L1330" s="22"/>
      <c r="M1330" s="22"/>
      <c r="N1330" s="22"/>
      <c r="O1330" s="22"/>
      <c r="P1330" s="22"/>
      <c r="Q1330" s="22"/>
      <c r="R1330" s="24"/>
    </row>
    <row r="1331" spans="1:18" s="23" customFormat="1" ht="63">
      <c r="A1331" s="21"/>
      <c r="B1331" s="127" t="s">
        <v>26</v>
      </c>
      <c r="C1331" s="109" t="s">
        <v>783</v>
      </c>
      <c r="D1331" s="108" t="s">
        <v>11</v>
      </c>
      <c r="E1331" s="108" t="s">
        <v>73</v>
      </c>
      <c r="F1331" s="108" t="s">
        <v>788</v>
      </c>
      <c r="G1331" s="108" t="s">
        <v>27</v>
      </c>
      <c r="H1331" s="126"/>
      <c r="L1331" s="22"/>
      <c r="M1331" s="22"/>
      <c r="N1331" s="22"/>
      <c r="O1331" s="22"/>
      <c r="P1331" s="22"/>
      <c r="Q1331" s="22"/>
      <c r="R1331" s="24"/>
    </row>
    <row r="1332" spans="1:18" s="16" customFormat="1" ht="31.5">
      <c r="A1332" s="14"/>
      <c r="B1332" s="125" t="s">
        <v>28</v>
      </c>
      <c r="C1332" s="109" t="s">
        <v>783</v>
      </c>
      <c r="D1332" s="108" t="s">
        <v>11</v>
      </c>
      <c r="E1332" s="108" t="s">
        <v>73</v>
      </c>
      <c r="F1332" s="108" t="s">
        <v>788</v>
      </c>
      <c r="G1332" s="108" t="s">
        <v>29</v>
      </c>
      <c r="H1332" s="126">
        <f>H1333</f>
        <v>0</v>
      </c>
      <c r="L1332" s="20">
        <v>3598.47</v>
      </c>
      <c r="M1332" s="20">
        <v>3598.47</v>
      </c>
      <c r="N1332" s="20">
        <v>3598.47</v>
      </c>
      <c r="O1332" s="20">
        <f>H1332-L1332</f>
        <v>-3598.47</v>
      </c>
      <c r="P1332" s="20" t="e">
        <f>#REF!-M1332</f>
        <v>#REF!</v>
      </c>
      <c r="Q1332" s="20" t="e">
        <f>#REF!-N1332</f>
        <v>#REF!</v>
      </c>
      <c r="R1332" s="17" t="str">
        <f t="shared" si="145"/>
        <v>81 1 00 10010240</v>
      </c>
    </row>
    <row r="1333" spans="1:18" s="16" customFormat="1" ht="15.75">
      <c r="A1333" s="14"/>
      <c r="B1333" s="125" t="s">
        <v>30</v>
      </c>
      <c r="C1333" s="109" t="s">
        <v>783</v>
      </c>
      <c r="D1333" s="108" t="s">
        <v>11</v>
      </c>
      <c r="E1333" s="108" t="s">
        <v>73</v>
      </c>
      <c r="F1333" s="108" t="s">
        <v>788</v>
      </c>
      <c r="G1333" s="108" t="s">
        <v>31</v>
      </c>
      <c r="H1333" s="126"/>
      <c r="L1333" s="20"/>
      <c r="M1333" s="20"/>
      <c r="N1333" s="20"/>
      <c r="O1333" s="20"/>
      <c r="P1333" s="20"/>
      <c r="Q1333" s="20"/>
      <c r="R1333" s="17"/>
    </row>
    <row r="1334" spans="1:18" s="16" customFormat="1" ht="15.75">
      <c r="A1334" s="14"/>
      <c r="B1334" s="125" t="s">
        <v>32</v>
      </c>
      <c r="C1334" s="109" t="s">
        <v>783</v>
      </c>
      <c r="D1334" s="108" t="s">
        <v>11</v>
      </c>
      <c r="E1334" s="108" t="s">
        <v>73</v>
      </c>
      <c r="F1334" s="108" t="s">
        <v>788</v>
      </c>
      <c r="G1334" s="108" t="s">
        <v>33</v>
      </c>
      <c r="H1334" s="126">
        <f>SUM(H1335:H1336)</f>
        <v>0</v>
      </c>
      <c r="L1334" s="20">
        <v>50.5</v>
      </c>
      <c r="M1334" s="20">
        <v>50.5</v>
      </c>
      <c r="N1334" s="20">
        <v>50.5</v>
      </c>
      <c r="O1334" s="20">
        <f>H1334-L1334</f>
        <v>-50.5</v>
      </c>
      <c r="P1334" s="20" t="e">
        <f>#REF!-M1334</f>
        <v>#REF!</v>
      </c>
      <c r="Q1334" s="20" t="e">
        <f>#REF!-N1334</f>
        <v>#REF!</v>
      </c>
      <c r="R1334" s="17" t="str">
        <f t="shared" si="145"/>
        <v>81 1 00 10010850</v>
      </c>
    </row>
    <row r="1335" spans="1:18" s="23" customFormat="1" ht="31.5">
      <c r="A1335" s="21"/>
      <c r="B1335" s="127" t="s">
        <v>34</v>
      </c>
      <c r="C1335" s="109" t="s">
        <v>783</v>
      </c>
      <c r="D1335" s="108" t="s">
        <v>11</v>
      </c>
      <c r="E1335" s="108" t="s">
        <v>73</v>
      </c>
      <c r="F1335" s="108" t="s">
        <v>788</v>
      </c>
      <c r="G1335" s="108" t="s">
        <v>35</v>
      </c>
      <c r="H1335" s="126"/>
      <c r="L1335" s="22"/>
      <c r="M1335" s="22"/>
      <c r="N1335" s="22"/>
      <c r="O1335" s="22"/>
      <c r="P1335" s="22"/>
      <c r="Q1335" s="22"/>
      <c r="R1335" s="24"/>
    </row>
    <row r="1336" spans="1:18" s="23" customFormat="1" ht="15.75">
      <c r="A1336" s="21"/>
      <c r="B1336" s="127" t="s">
        <v>36</v>
      </c>
      <c r="C1336" s="109" t="s">
        <v>783</v>
      </c>
      <c r="D1336" s="108" t="s">
        <v>11</v>
      </c>
      <c r="E1336" s="108" t="s">
        <v>73</v>
      </c>
      <c r="F1336" s="108" t="s">
        <v>788</v>
      </c>
      <c r="G1336" s="108" t="s">
        <v>37</v>
      </c>
      <c r="H1336" s="126"/>
      <c r="L1336" s="22"/>
      <c r="M1336" s="22"/>
      <c r="N1336" s="22"/>
      <c r="O1336" s="22"/>
      <c r="P1336" s="22"/>
      <c r="Q1336" s="22"/>
      <c r="R1336" s="24"/>
    </row>
    <row r="1337" spans="1:18" s="16" customFormat="1" ht="31.5">
      <c r="A1337" s="14"/>
      <c r="B1337" s="129" t="s">
        <v>789</v>
      </c>
      <c r="C1337" s="109" t="s">
        <v>783</v>
      </c>
      <c r="D1337" s="108" t="s">
        <v>11</v>
      </c>
      <c r="E1337" s="108" t="s">
        <v>73</v>
      </c>
      <c r="F1337" s="108" t="s">
        <v>790</v>
      </c>
      <c r="G1337" s="108" t="s">
        <v>9</v>
      </c>
      <c r="H1337" s="126">
        <f>H1338</f>
        <v>0</v>
      </c>
      <c r="L1337" s="20">
        <v>25543</v>
      </c>
      <c r="M1337" s="20">
        <v>25543</v>
      </c>
      <c r="N1337" s="20">
        <v>25543</v>
      </c>
      <c r="O1337" s="20">
        <f>H1337-L1337</f>
        <v>-25543</v>
      </c>
      <c r="P1337" s="20" t="e">
        <f>#REF!-M1337</f>
        <v>#REF!</v>
      </c>
      <c r="Q1337" s="20" t="e">
        <f>#REF!-N1337</f>
        <v>#REF!</v>
      </c>
      <c r="R1337" s="17" t="str">
        <f t="shared" si="145"/>
        <v>81 1 00 10020000</v>
      </c>
    </row>
    <row r="1338" spans="1:18" s="16" customFormat="1" ht="31.5">
      <c r="A1338" s="14"/>
      <c r="B1338" s="129" t="s">
        <v>20</v>
      </c>
      <c r="C1338" s="109" t="s">
        <v>783</v>
      </c>
      <c r="D1338" s="108" t="s">
        <v>11</v>
      </c>
      <c r="E1338" s="108" t="s">
        <v>73</v>
      </c>
      <c r="F1338" s="108" t="s">
        <v>790</v>
      </c>
      <c r="G1338" s="108" t="s">
        <v>21</v>
      </c>
      <c r="H1338" s="126">
        <f>SUM(H1339:H1340)</f>
        <v>0</v>
      </c>
      <c r="L1338" s="20">
        <v>25543</v>
      </c>
      <c r="M1338" s="20">
        <v>25543</v>
      </c>
      <c r="N1338" s="20">
        <v>25543</v>
      </c>
      <c r="O1338" s="20">
        <f>H1338-L1338</f>
        <v>-25543</v>
      </c>
      <c r="P1338" s="20" t="e">
        <f>#REF!-M1338</f>
        <v>#REF!</v>
      </c>
      <c r="Q1338" s="20" t="e">
        <f>#REF!-N1338</f>
        <v>#REF!</v>
      </c>
      <c r="R1338" s="17" t="str">
        <f t="shared" si="145"/>
        <v>81 1 00 10020120</v>
      </c>
    </row>
    <row r="1339" spans="1:18" s="23" customFormat="1" ht="31.5">
      <c r="A1339" s="21"/>
      <c r="B1339" s="127" t="s">
        <v>40</v>
      </c>
      <c r="C1339" s="109" t="s">
        <v>783</v>
      </c>
      <c r="D1339" s="108" t="s">
        <v>11</v>
      </c>
      <c r="E1339" s="108" t="s">
        <v>73</v>
      </c>
      <c r="F1339" s="108" t="s">
        <v>790</v>
      </c>
      <c r="G1339" s="108" t="s">
        <v>41</v>
      </c>
      <c r="H1339" s="126"/>
      <c r="L1339" s="22"/>
      <c r="M1339" s="22"/>
      <c r="N1339" s="22"/>
      <c r="O1339" s="22"/>
      <c r="P1339" s="22"/>
      <c r="Q1339" s="22"/>
      <c r="R1339" s="24"/>
    </row>
    <row r="1340" spans="1:18" s="23" customFormat="1" ht="63">
      <c r="A1340" s="21"/>
      <c r="B1340" s="127" t="s">
        <v>26</v>
      </c>
      <c r="C1340" s="109" t="s">
        <v>783</v>
      </c>
      <c r="D1340" s="108" t="s">
        <v>11</v>
      </c>
      <c r="E1340" s="108" t="s">
        <v>73</v>
      </c>
      <c r="F1340" s="108" t="s">
        <v>790</v>
      </c>
      <c r="G1340" s="108" t="s">
        <v>27</v>
      </c>
      <c r="H1340" s="126"/>
      <c r="L1340" s="22"/>
      <c r="M1340" s="22"/>
      <c r="N1340" s="22"/>
      <c r="O1340" s="22"/>
      <c r="P1340" s="22"/>
      <c r="Q1340" s="22"/>
      <c r="R1340" s="24"/>
    </row>
    <row r="1341" spans="1:18" s="16" customFormat="1" ht="63">
      <c r="A1341" s="14" t="s">
        <v>80</v>
      </c>
      <c r="B1341" s="150" t="s">
        <v>488</v>
      </c>
      <c r="C1341" s="109" t="s">
        <v>783</v>
      </c>
      <c r="D1341" s="108" t="s">
        <v>11</v>
      </c>
      <c r="E1341" s="108" t="s">
        <v>73</v>
      </c>
      <c r="F1341" s="108" t="s">
        <v>791</v>
      </c>
      <c r="G1341" s="108" t="s">
        <v>9</v>
      </c>
      <c r="H1341" s="126">
        <f>H1342+H1346</f>
        <v>0</v>
      </c>
      <c r="L1341" s="20">
        <v>1218.6300000000001</v>
      </c>
      <c r="M1341" s="20">
        <v>1218.6300000000001</v>
      </c>
      <c r="N1341" s="20">
        <v>1218.6300000000001</v>
      </c>
      <c r="O1341" s="20">
        <f>H1341-L1341</f>
        <v>-1218.6300000000001</v>
      </c>
      <c r="P1341" s="20" t="e">
        <f>#REF!-M1341</f>
        <v>#REF!</v>
      </c>
      <c r="Q1341" s="20" t="e">
        <f>#REF!-N1341</f>
        <v>#REF!</v>
      </c>
      <c r="R1341" s="17" t="str">
        <f t="shared" si="145"/>
        <v>81 1 00 76200000</v>
      </c>
    </row>
    <row r="1342" spans="1:18" s="16" customFormat="1" ht="31.5">
      <c r="A1342" s="14"/>
      <c r="B1342" s="129" t="s">
        <v>20</v>
      </c>
      <c r="C1342" s="109" t="s">
        <v>783</v>
      </c>
      <c r="D1342" s="108" t="s">
        <v>11</v>
      </c>
      <c r="E1342" s="108" t="s">
        <v>73</v>
      </c>
      <c r="F1342" s="108" t="s">
        <v>791</v>
      </c>
      <c r="G1342" s="108" t="s">
        <v>21</v>
      </c>
      <c r="H1342" s="126">
        <f>SUM(H1343:H1345)</f>
        <v>0</v>
      </c>
      <c r="L1342" s="20">
        <v>1059.71</v>
      </c>
      <c r="M1342" s="20">
        <v>1059.71</v>
      </c>
      <c r="N1342" s="20">
        <v>1059.71</v>
      </c>
      <c r="O1342" s="20">
        <f>H1342-L1342</f>
        <v>-1059.71</v>
      </c>
      <c r="P1342" s="20" t="e">
        <f>#REF!-M1342</f>
        <v>#REF!</v>
      </c>
      <c r="Q1342" s="20" t="e">
        <f>#REF!-N1342</f>
        <v>#REF!</v>
      </c>
      <c r="R1342" s="17" t="str">
        <f t="shared" si="145"/>
        <v>81 1 00 76200120</v>
      </c>
    </row>
    <row r="1343" spans="1:18" s="16" customFormat="1" ht="31.5">
      <c r="A1343" s="14"/>
      <c r="B1343" s="127" t="s">
        <v>40</v>
      </c>
      <c r="C1343" s="109" t="s">
        <v>783</v>
      </c>
      <c r="D1343" s="108" t="s">
        <v>11</v>
      </c>
      <c r="E1343" s="108" t="s">
        <v>73</v>
      </c>
      <c r="F1343" s="108" t="s">
        <v>791</v>
      </c>
      <c r="G1343" s="108" t="s">
        <v>41</v>
      </c>
      <c r="H1343" s="126"/>
      <c r="L1343" s="20"/>
      <c r="M1343" s="20"/>
      <c r="N1343" s="20"/>
      <c r="O1343" s="20"/>
      <c r="P1343" s="20"/>
      <c r="Q1343" s="20"/>
      <c r="R1343" s="17"/>
    </row>
    <row r="1344" spans="1:18" s="23" customFormat="1" ht="47.25">
      <c r="A1344" s="21"/>
      <c r="B1344" s="127" t="s">
        <v>22</v>
      </c>
      <c r="C1344" s="109" t="s">
        <v>783</v>
      </c>
      <c r="D1344" s="108" t="s">
        <v>11</v>
      </c>
      <c r="E1344" s="108" t="s">
        <v>73</v>
      </c>
      <c r="F1344" s="108" t="s">
        <v>791</v>
      </c>
      <c r="G1344" s="108" t="s">
        <v>23</v>
      </c>
      <c r="H1344" s="126"/>
      <c r="L1344" s="22"/>
      <c r="M1344" s="22"/>
      <c r="N1344" s="22"/>
      <c r="O1344" s="22"/>
      <c r="P1344" s="22"/>
      <c r="Q1344" s="22"/>
      <c r="R1344" s="24"/>
    </row>
    <row r="1345" spans="1:18" s="23" customFormat="1" ht="63">
      <c r="A1345" s="21"/>
      <c r="B1345" s="127" t="s">
        <v>26</v>
      </c>
      <c r="C1345" s="109" t="s">
        <v>783</v>
      </c>
      <c r="D1345" s="108" t="s">
        <v>11</v>
      </c>
      <c r="E1345" s="108" t="s">
        <v>73</v>
      </c>
      <c r="F1345" s="108" t="s">
        <v>791</v>
      </c>
      <c r="G1345" s="108" t="s">
        <v>27</v>
      </c>
      <c r="H1345" s="126"/>
      <c r="L1345" s="22"/>
      <c r="M1345" s="22"/>
      <c r="N1345" s="22"/>
      <c r="O1345" s="22"/>
      <c r="P1345" s="22"/>
      <c r="Q1345" s="22"/>
      <c r="R1345" s="24"/>
    </row>
    <row r="1346" spans="1:18" s="16" customFormat="1" ht="31.5">
      <c r="A1346" s="14"/>
      <c r="B1346" s="125" t="s">
        <v>28</v>
      </c>
      <c r="C1346" s="109" t="s">
        <v>783</v>
      </c>
      <c r="D1346" s="108" t="s">
        <v>11</v>
      </c>
      <c r="E1346" s="108" t="s">
        <v>73</v>
      </c>
      <c r="F1346" s="108" t="s">
        <v>791</v>
      </c>
      <c r="G1346" s="108" t="s">
        <v>29</v>
      </c>
      <c r="H1346" s="126">
        <f>H1347</f>
        <v>0</v>
      </c>
      <c r="L1346" s="20">
        <v>158.91999999999999</v>
      </c>
      <c r="M1346" s="20">
        <v>158.91999999999999</v>
      </c>
      <c r="N1346" s="20">
        <v>158.91999999999999</v>
      </c>
      <c r="O1346" s="20">
        <f>H1346-L1346</f>
        <v>-158.91999999999999</v>
      </c>
      <c r="P1346" s="20" t="e">
        <f>#REF!-M1346</f>
        <v>#REF!</v>
      </c>
      <c r="Q1346" s="20" t="e">
        <f>#REF!-N1346</f>
        <v>#REF!</v>
      </c>
      <c r="R1346" s="17" t="str">
        <f t="shared" si="145"/>
        <v>81 1 00 76200240</v>
      </c>
    </row>
    <row r="1347" spans="1:18" s="16" customFormat="1" ht="15.75">
      <c r="A1347" s="14"/>
      <c r="B1347" s="125" t="s">
        <v>30</v>
      </c>
      <c r="C1347" s="109" t="s">
        <v>783</v>
      </c>
      <c r="D1347" s="108" t="s">
        <v>11</v>
      </c>
      <c r="E1347" s="108" t="s">
        <v>73</v>
      </c>
      <c r="F1347" s="108" t="s">
        <v>791</v>
      </c>
      <c r="G1347" s="108" t="s">
        <v>31</v>
      </c>
      <c r="H1347" s="126"/>
      <c r="L1347" s="20"/>
      <c r="M1347" s="20"/>
      <c r="N1347" s="20"/>
      <c r="O1347" s="20"/>
      <c r="P1347" s="20"/>
      <c r="Q1347" s="20"/>
      <c r="R1347" s="17"/>
    </row>
    <row r="1348" spans="1:18" s="16" customFormat="1" ht="63">
      <c r="A1348" s="14" t="s">
        <v>80</v>
      </c>
      <c r="B1348" s="129" t="s">
        <v>754</v>
      </c>
      <c r="C1348" s="109" t="str">
        <f t="shared" ref="C1348:E1349" si="148">C1337</f>
        <v>618</v>
      </c>
      <c r="D1348" s="108" t="str">
        <f t="shared" si="148"/>
        <v>01</v>
      </c>
      <c r="E1348" s="108" t="str">
        <f t="shared" si="148"/>
        <v>04</v>
      </c>
      <c r="F1348" s="108" t="s">
        <v>792</v>
      </c>
      <c r="G1348" s="108" t="s">
        <v>9</v>
      </c>
      <c r="H1348" s="126">
        <f>H1349</f>
        <v>0</v>
      </c>
      <c r="L1348" s="20">
        <v>70.900000000000006</v>
      </c>
      <c r="M1348" s="20">
        <v>70.900000000000006</v>
      </c>
      <c r="N1348" s="20">
        <v>70.900000000000006</v>
      </c>
      <c r="O1348" s="20">
        <f>H1348-L1348</f>
        <v>-70.900000000000006</v>
      </c>
      <c r="P1348" s="20" t="e">
        <f>#REF!-M1348</f>
        <v>#REF!</v>
      </c>
      <c r="Q1348" s="20" t="e">
        <f>#REF!-N1348</f>
        <v>#REF!</v>
      </c>
      <c r="R1348" s="17" t="str">
        <f t="shared" si="145"/>
        <v>81 1 00 76360000</v>
      </c>
    </row>
    <row r="1349" spans="1:18" s="16" customFormat="1" ht="31.5">
      <c r="A1349" s="14"/>
      <c r="B1349" s="125" t="s">
        <v>28</v>
      </c>
      <c r="C1349" s="109" t="str">
        <f t="shared" si="148"/>
        <v>618</v>
      </c>
      <c r="D1349" s="108" t="str">
        <f t="shared" si="148"/>
        <v>01</v>
      </c>
      <c r="E1349" s="108" t="str">
        <f t="shared" si="148"/>
        <v>04</v>
      </c>
      <c r="F1349" s="108" t="s">
        <v>792</v>
      </c>
      <c r="G1349" s="108" t="s">
        <v>29</v>
      </c>
      <c r="H1349" s="126">
        <f>H1350</f>
        <v>0</v>
      </c>
      <c r="L1349" s="20">
        <v>70.900000000000006</v>
      </c>
      <c r="M1349" s="20">
        <v>70.900000000000006</v>
      </c>
      <c r="N1349" s="20">
        <v>70.900000000000006</v>
      </c>
      <c r="O1349" s="20">
        <f>H1349-L1349</f>
        <v>-70.900000000000006</v>
      </c>
      <c r="P1349" s="20" t="e">
        <f>#REF!-M1349</f>
        <v>#REF!</v>
      </c>
      <c r="Q1349" s="20" t="e">
        <f>#REF!-N1349</f>
        <v>#REF!</v>
      </c>
      <c r="R1349" s="17" t="str">
        <f t="shared" si="145"/>
        <v>81 1 00 76360240</v>
      </c>
    </row>
    <row r="1350" spans="1:18" s="16" customFormat="1" ht="15.75">
      <c r="A1350" s="14"/>
      <c r="B1350" s="125" t="s">
        <v>30</v>
      </c>
      <c r="C1350" s="109" t="s">
        <v>783</v>
      </c>
      <c r="D1350" s="108" t="s">
        <v>11</v>
      </c>
      <c r="E1350" s="108" t="s">
        <v>73</v>
      </c>
      <c r="F1350" s="108" t="s">
        <v>792</v>
      </c>
      <c r="G1350" s="108" t="s">
        <v>31</v>
      </c>
      <c r="H1350" s="126"/>
      <c r="L1350" s="20"/>
      <c r="M1350" s="20"/>
      <c r="N1350" s="20"/>
      <c r="O1350" s="20"/>
      <c r="P1350" s="20"/>
      <c r="Q1350" s="20"/>
      <c r="R1350" s="17"/>
    </row>
    <row r="1351" spans="1:18" s="16" customFormat="1" ht="15.75">
      <c r="A1351" s="14"/>
      <c r="B1351" s="121" t="s">
        <v>50</v>
      </c>
      <c r="C1351" s="122" t="s">
        <v>783</v>
      </c>
      <c r="D1351" s="123" t="s">
        <v>11</v>
      </c>
      <c r="E1351" s="123" t="s">
        <v>51</v>
      </c>
      <c r="F1351" s="123" t="s">
        <v>8</v>
      </c>
      <c r="G1351" s="123" t="s">
        <v>9</v>
      </c>
      <c r="H1351" s="124">
        <f>H1352</f>
        <v>0</v>
      </c>
      <c r="L1351" s="19">
        <v>357.85</v>
      </c>
      <c r="M1351" s="19">
        <v>357.85</v>
      </c>
      <c r="N1351" s="19">
        <v>357.85</v>
      </c>
      <c r="O1351" s="19">
        <f t="shared" ref="O1351:O1356" si="149">H1351-L1351</f>
        <v>-357.85</v>
      </c>
      <c r="P1351" s="19" t="e">
        <f>#REF!-M1351</f>
        <v>#REF!</v>
      </c>
      <c r="Q1351" s="19" t="e">
        <f>#REF!-N1351</f>
        <v>#REF!</v>
      </c>
      <c r="R1351" s="17" t="str">
        <f t="shared" si="145"/>
        <v>00 0 00 00000000</v>
      </c>
    </row>
    <row r="1352" spans="1:18" s="16" customFormat="1" ht="63">
      <c r="A1352" s="14"/>
      <c r="B1352" s="132" t="s">
        <v>257</v>
      </c>
      <c r="C1352" s="109" t="s">
        <v>783</v>
      </c>
      <c r="D1352" s="108" t="s">
        <v>11</v>
      </c>
      <c r="E1352" s="108" t="s">
        <v>51</v>
      </c>
      <c r="F1352" s="108" t="s">
        <v>258</v>
      </c>
      <c r="G1352" s="108" t="s">
        <v>9</v>
      </c>
      <c r="H1352" s="126">
        <f t="shared" ref="H1352:H1355" si="150">H1353</f>
        <v>0</v>
      </c>
      <c r="L1352" s="20">
        <v>357.85</v>
      </c>
      <c r="M1352" s="20">
        <v>357.85</v>
      </c>
      <c r="N1352" s="20">
        <v>357.85</v>
      </c>
      <c r="O1352" s="20">
        <f t="shared" si="149"/>
        <v>-357.85</v>
      </c>
      <c r="P1352" s="20" t="e">
        <f>#REF!-M1352</f>
        <v>#REF!</v>
      </c>
      <c r="Q1352" s="20" t="e">
        <f>#REF!-N1352</f>
        <v>#REF!</v>
      </c>
      <c r="R1352" s="17" t="str">
        <f t="shared" si="145"/>
        <v>11 0 00 00000000</v>
      </c>
    </row>
    <row r="1353" spans="1:18" s="16" customFormat="1" ht="63">
      <c r="A1353" s="14"/>
      <c r="B1353" s="132" t="s">
        <v>259</v>
      </c>
      <c r="C1353" s="109" t="s">
        <v>783</v>
      </c>
      <c r="D1353" s="108" t="s">
        <v>11</v>
      </c>
      <c r="E1353" s="108" t="s">
        <v>51</v>
      </c>
      <c r="F1353" s="108" t="s">
        <v>260</v>
      </c>
      <c r="G1353" s="108" t="s">
        <v>9</v>
      </c>
      <c r="H1353" s="126">
        <f t="shared" si="150"/>
        <v>0</v>
      </c>
      <c r="L1353" s="20">
        <v>357.85</v>
      </c>
      <c r="M1353" s="20">
        <v>357.85</v>
      </c>
      <c r="N1353" s="20">
        <v>357.85</v>
      </c>
      <c r="O1353" s="20">
        <f t="shared" si="149"/>
        <v>-357.85</v>
      </c>
      <c r="P1353" s="20" t="e">
        <f>#REF!-M1353</f>
        <v>#REF!</v>
      </c>
      <c r="Q1353" s="20" t="e">
        <f>#REF!-N1353</f>
        <v>#REF!</v>
      </c>
      <c r="R1353" s="17" t="str">
        <f t="shared" si="145"/>
        <v>11 Б 00 00000000</v>
      </c>
    </row>
    <row r="1354" spans="1:18" s="16" customFormat="1" ht="47.25">
      <c r="A1354" s="14"/>
      <c r="B1354" s="155" t="s">
        <v>261</v>
      </c>
      <c r="C1354" s="108" t="s">
        <v>783</v>
      </c>
      <c r="D1354" s="108" t="s">
        <v>11</v>
      </c>
      <c r="E1354" s="108" t="s">
        <v>51</v>
      </c>
      <c r="F1354" s="108" t="s">
        <v>262</v>
      </c>
      <c r="G1354" s="108" t="s">
        <v>9</v>
      </c>
      <c r="H1354" s="126">
        <f t="shared" si="150"/>
        <v>0</v>
      </c>
      <c r="L1354" s="20">
        <v>357.85</v>
      </c>
      <c r="M1354" s="20">
        <v>357.85</v>
      </c>
      <c r="N1354" s="20">
        <v>357.85</v>
      </c>
      <c r="O1354" s="20">
        <f t="shared" si="149"/>
        <v>-357.85</v>
      </c>
      <c r="P1354" s="20" t="e">
        <f>#REF!-M1354</f>
        <v>#REF!</v>
      </c>
      <c r="Q1354" s="20" t="e">
        <f>#REF!-N1354</f>
        <v>#REF!</v>
      </c>
      <c r="R1354" s="17" t="str">
        <f t="shared" si="145"/>
        <v>11 Б 01 00000000</v>
      </c>
    </row>
    <row r="1355" spans="1:18" s="16" customFormat="1" ht="31.5">
      <c r="A1355" s="14"/>
      <c r="B1355" s="125" t="s">
        <v>756</v>
      </c>
      <c r="C1355" s="109" t="s">
        <v>783</v>
      </c>
      <c r="D1355" s="108" t="s">
        <v>11</v>
      </c>
      <c r="E1355" s="108" t="s">
        <v>51</v>
      </c>
      <c r="F1355" s="108" t="s">
        <v>757</v>
      </c>
      <c r="G1355" s="108" t="s">
        <v>9</v>
      </c>
      <c r="H1355" s="126">
        <f t="shared" si="150"/>
        <v>0</v>
      </c>
      <c r="L1355" s="20">
        <v>357.85</v>
      </c>
      <c r="M1355" s="20">
        <v>357.85</v>
      </c>
      <c r="N1355" s="20">
        <v>357.85</v>
      </c>
      <c r="O1355" s="20">
        <f t="shared" si="149"/>
        <v>-357.85</v>
      </c>
      <c r="P1355" s="20" t="e">
        <f>#REF!-M1355</f>
        <v>#REF!</v>
      </c>
      <c r="Q1355" s="20" t="e">
        <f>#REF!-N1355</f>
        <v>#REF!</v>
      </c>
      <c r="R1355" s="17" t="str">
        <f t="shared" si="145"/>
        <v>11 Б 01 20840000</v>
      </c>
    </row>
    <row r="1356" spans="1:18" s="16" customFormat="1" ht="31.5">
      <c r="A1356" s="14"/>
      <c r="B1356" s="125" t="s">
        <v>28</v>
      </c>
      <c r="C1356" s="109" t="s">
        <v>783</v>
      </c>
      <c r="D1356" s="108" t="s">
        <v>11</v>
      </c>
      <c r="E1356" s="108" t="s">
        <v>51</v>
      </c>
      <c r="F1356" s="108" t="s">
        <v>757</v>
      </c>
      <c r="G1356" s="108" t="s">
        <v>29</v>
      </c>
      <c r="H1356" s="126">
        <f>H1357</f>
        <v>0</v>
      </c>
      <c r="L1356" s="20">
        <v>357.85</v>
      </c>
      <c r="M1356" s="20">
        <v>357.85</v>
      </c>
      <c r="N1356" s="20">
        <v>357.85</v>
      </c>
      <c r="O1356" s="20">
        <f t="shared" si="149"/>
        <v>-357.85</v>
      </c>
      <c r="P1356" s="20" t="e">
        <f>#REF!-M1356</f>
        <v>#REF!</v>
      </c>
      <c r="Q1356" s="20" t="e">
        <f>#REF!-N1356</f>
        <v>#REF!</v>
      </c>
      <c r="R1356" s="17" t="str">
        <f t="shared" si="145"/>
        <v>11 Б 01 20840240</v>
      </c>
    </row>
    <row r="1357" spans="1:18" s="16" customFormat="1" ht="15.75">
      <c r="A1357" s="14"/>
      <c r="B1357" s="125" t="s">
        <v>30</v>
      </c>
      <c r="C1357" s="109" t="s">
        <v>783</v>
      </c>
      <c r="D1357" s="108" t="s">
        <v>11</v>
      </c>
      <c r="E1357" s="108" t="s">
        <v>51</v>
      </c>
      <c r="F1357" s="108" t="s">
        <v>757</v>
      </c>
      <c r="G1357" s="108" t="s">
        <v>31</v>
      </c>
      <c r="H1357" s="126"/>
      <c r="L1357" s="20"/>
      <c r="M1357" s="20"/>
      <c r="N1357" s="20"/>
      <c r="O1357" s="20"/>
      <c r="P1357" s="20"/>
      <c r="Q1357" s="20"/>
      <c r="R1357" s="17"/>
    </row>
    <row r="1358" spans="1:18" s="16" customFormat="1" ht="15.75">
      <c r="A1358" s="14"/>
      <c r="B1358" s="117" t="s">
        <v>195</v>
      </c>
      <c r="C1358" s="118" t="s">
        <v>783</v>
      </c>
      <c r="D1358" s="119" t="s">
        <v>73</v>
      </c>
      <c r="E1358" s="119" t="s">
        <v>7</v>
      </c>
      <c r="F1358" s="119" t="s">
        <v>8</v>
      </c>
      <c r="G1358" s="119" t="s">
        <v>9</v>
      </c>
      <c r="H1358" s="120">
        <f t="shared" ref="H1358:H1361" si="151">H1359</f>
        <v>0</v>
      </c>
      <c r="L1358" s="18">
        <v>60223.26</v>
      </c>
      <c r="M1358" s="18">
        <v>64831.42</v>
      </c>
      <c r="N1358" s="18">
        <v>69900.41</v>
      </c>
      <c r="O1358" s="18">
        <f t="shared" ref="O1358:O1364" si="152">H1358-L1358</f>
        <v>-60223.26</v>
      </c>
      <c r="P1358" s="18" t="e">
        <f>#REF!-M1358</f>
        <v>#REF!</v>
      </c>
      <c r="Q1358" s="18" t="e">
        <f>#REF!-N1358</f>
        <v>#REF!</v>
      </c>
      <c r="R1358" s="17" t="str">
        <f t="shared" si="145"/>
        <v>00 0 00 00000000</v>
      </c>
    </row>
    <row r="1359" spans="1:18" s="16" customFormat="1" ht="15.75">
      <c r="A1359" s="14"/>
      <c r="B1359" s="121" t="s">
        <v>760</v>
      </c>
      <c r="C1359" s="122" t="s">
        <v>783</v>
      </c>
      <c r="D1359" s="123" t="s">
        <v>73</v>
      </c>
      <c r="E1359" s="123" t="s">
        <v>471</v>
      </c>
      <c r="F1359" s="123" t="s">
        <v>8</v>
      </c>
      <c r="G1359" s="123" t="s">
        <v>9</v>
      </c>
      <c r="H1359" s="124">
        <f t="shared" si="151"/>
        <v>0</v>
      </c>
      <c r="L1359" s="19">
        <v>60223.26</v>
      </c>
      <c r="M1359" s="19">
        <v>64831.42</v>
      </c>
      <c r="N1359" s="19">
        <v>69900.41</v>
      </c>
      <c r="O1359" s="19">
        <f t="shared" si="152"/>
        <v>-60223.26</v>
      </c>
      <c r="P1359" s="19" t="e">
        <f>#REF!-M1359</f>
        <v>#REF!</v>
      </c>
      <c r="Q1359" s="19" t="e">
        <f>#REF!-N1359</f>
        <v>#REF!</v>
      </c>
      <c r="R1359" s="17" t="str">
        <f t="shared" si="145"/>
        <v>00 0 00 00000000</v>
      </c>
    </row>
    <row r="1360" spans="1:18" s="16" customFormat="1" ht="63">
      <c r="A1360" s="14"/>
      <c r="B1360" s="127" t="s">
        <v>293</v>
      </c>
      <c r="C1360" s="109" t="s">
        <v>783</v>
      </c>
      <c r="D1360" s="108" t="s">
        <v>73</v>
      </c>
      <c r="E1360" s="108" t="s">
        <v>471</v>
      </c>
      <c r="F1360" s="108" t="s">
        <v>294</v>
      </c>
      <c r="G1360" s="108" t="s">
        <v>9</v>
      </c>
      <c r="H1360" s="126">
        <f t="shared" si="151"/>
        <v>0</v>
      </c>
      <c r="L1360" s="20">
        <v>60223.26</v>
      </c>
      <c r="M1360" s="20">
        <v>64831.42</v>
      </c>
      <c r="N1360" s="20">
        <v>69900.41</v>
      </c>
      <c r="O1360" s="20">
        <f t="shared" si="152"/>
        <v>-60223.26</v>
      </c>
      <c r="P1360" s="20" t="e">
        <f>#REF!-M1360</f>
        <v>#REF!</v>
      </c>
      <c r="Q1360" s="20" t="e">
        <f>#REF!-N1360</f>
        <v>#REF!</v>
      </c>
      <c r="R1360" s="17" t="str">
        <f t="shared" si="145"/>
        <v>04 0 00 00000000</v>
      </c>
    </row>
    <row r="1361" spans="1:18" s="16" customFormat="1" ht="63">
      <c r="A1361" s="14"/>
      <c r="B1361" s="140" t="s">
        <v>295</v>
      </c>
      <c r="C1361" s="109" t="s">
        <v>783</v>
      </c>
      <c r="D1361" s="108" t="s">
        <v>73</v>
      </c>
      <c r="E1361" s="108" t="s">
        <v>471</v>
      </c>
      <c r="F1361" s="108" t="s">
        <v>296</v>
      </c>
      <c r="G1361" s="108" t="s">
        <v>9</v>
      </c>
      <c r="H1361" s="126">
        <f t="shared" si="151"/>
        <v>0</v>
      </c>
      <c r="L1361" s="20">
        <v>60223.26</v>
      </c>
      <c r="M1361" s="20">
        <v>64831.42</v>
      </c>
      <c r="N1361" s="20">
        <v>69900.41</v>
      </c>
      <c r="O1361" s="20">
        <f t="shared" si="152"/>
        <v>-60223.26</v>
      </c>
      <c r="P1361" s="20" t="e">
        <f>#REF!-M1361</f>
        <v>#REF!</v>
      </c>
      <c r="Q1361" s="20" t="e">
        <f>#REF!-N1361</f>
        <v>#REF!</v>
      </c>
      <c r="R1361" s="17" t="str">
        <f t="shared" si="145"/>
        <v>04 2 00 00000000</v>
      </c>
    </row>
    <row r="1362" spans="1:18" s="16" customFormat="1" ht="63">
      <c r="A1362" s="14"/>
      <c r="B1362" s="140" t="s">
        <v>297</v>
      </c>
      <c r="C1362" s="109" t="s">
        <v>783</v>
      </c>
      <c r="D1362" s="108" t="s">
        <v>73</v>
      </c>
      <c r="E1362" s="108" t="s">
        <v>471</v>
      </c>
      <c r="F1362" s="108" t="s">
        <v>298</v>
      </c>
      <c r="G1362" s="108" t="s">
        <v>9</v>
      </c>
      <c r="H1362" s="126">
        <f>H1366+H1363</f>
        <v>0</v>
      </c>
      <c r="L1362" s="20">
        <v>60223.26</v>
      </c>
      <c r="M1362" s="20">
        <v>64831.42</v>
      </c>
      <c r="N1362" s="20">
        <v>69900.41</v>
      </c>
      <c r="O1362" s="20">
        <f t="shared" si="152"/>
        <v>-60223.26</v>
      </c>
      <c r="P1362" s="20" t="e">
        <f>#REF!-M1362</f>
        <v>#REF!</v>
      </c>
      <c r="Q1362" s="20" t="e">
        <f>#REF!-N1362</f>
        <v>#REF!</v>
      </c>
      <c r="R1362" s="17" t="str">
        <f t="shared" si="145"/>
        <v>04 2 02 00000000</v>
      </c>
    </row>
    <row r="1363" spans="1:18" s="16" customFormat="1" ht="47.25">
      <c r="A1363" s="14"/>
      <c r="B1363" s="127" t="s">
        <v>761</v>
      </c>
      <c r="C1363" s="109" t="s">
        <v>783</v>
      </c>
      <c r="D1363" s="108" t="s">
        <v>73</v>
      </c>
      <c r="E1363" s="108" t="s">
        <v>471</v>
      </c>
      <c r="F1363" s="108" t="s">
        <v>762</v>
      </c>
      <c r="G1363" s="108" t="s">
        <v>9</v>
      </c>
      <c r="H1363" s="126">
        <f>H1364</f>
        <v>0</v>
      </c>
      <c r="L1363" s="20">
        <v>10087.43</v>
      </c>
      <c r="M1363" s="20">
        <v>10087.43</v>
      </c>
      <c r="N1363" s="20">
        <v>10087.43</v>
      </c>
      <c r="O1363" s="20">
        <f t="shared" si="152"/>
        <v>-10087.43</v>
      </c>
      <c r="P1363" s="20" t="e">
        <f>#REF!-M1363</f>
        <v>#REF!</v>
      </c>
      <c r="Q1363" s="20" t="e">
        <f>#REF!-N1363</f>
        <v>#REF!</v>
      </c>
      <c r="R1363" s="17" t="str">
        <f t="shared" si="145"/>
        <v>04 2 02 20820000</v>
      </c>
    </row>
    <row r="1364" spans="1:18" s="16" customFormat="1" ht="31.5">
      <c r="A1364" s="14"/>
      <c r="B1364" s="125" t="s">
        <v>28</v>
      </c>
      <c r="C1364" s="109" t="s">
        <v>783</v>
      </c>
      <c r="D1364" s="108" t="s">
        <v>73</v>
      </c>
      <c r="E1364" s="108" t="s">
        <v>471</v>
      </c>
      <c r="F1364" s="108" t="s">
        <v>762</v>
      </c>
      <c r="G1364" s="108" t="s">
        <v>29</v>
      </c>
      <c r="H1364" s="126">
        <f>H1365</f>
        <v>0</v>
      </c>
      <c r="L1364" s="20">
        <v>10087.43</v>
      </c>
      <c r="M1364" s="20">
        <v>10087.43</v>
      </c>
      <c r="N1364" s="20">
        <v>10087.43</v>
      </c>
      <c r="O1364" s="20">
        <f t="shared" si="152"/>
        <v>-10087.43</v>
      </c>
      <c r="P1364" s="20" t="e">
        <f>#REF!-M1364</f>
        <v>#REF!</v>
      </c>
      <c r="Q1364" s="20" t="e">
        <f>#REF!-N1364</f>
        <v>#REF!</v>
      </c>
      <c r="R1364" s="17" t="str">
        <f t="shared" si="145"/>
        <v>04 2 02 20820240</v>
      </c>
    </row>
    <row r="1365" spans="1:18" s="16" customFormat="1" ht="15.75">
      <c r="A1365" s="14"/>
      <c r="B1365" s="125" t="s">
        <v>30</v>
      </c>
      <c r="C1365" s="109" t="s">
        <v>783</v>
      </c>
      <c r="D1365" s="108" t="s">
        <v>73</v>
      </c>
      <c r="E1365" s="108" t="s">
        <v>471</v>
      </c>
      <c r="F1365" s="108" t="s">
        <v>762</v>
      </c>
      <c r="G1365" s="108" t="s">
        <v>31</v>
      </c>
      <c r="H1365" s="126"/>
      <c r="L1365" s="20"/>
      <c r="M1365" s="20"/>
      <c r="N1365" s="20"/>
      <c r="O1365" s="20"/>
      <c r="P1365" s="20"/>
      <c r="Q1365" s="20"/>
      <c r="R1365" s="17"/>
    </row>
    <row r="1366" spans="1:18" s="16" customFormat="1" ht="31.5">
      <c r="A1366" s="14"/>
      <c r="B1366" s="125" t="s">
        <v>763</v>
      </c>
      <c r="C1366" s="109" t="s">
        <v>783</v>
      </c>
      <c r="D1366" s="108" t="s">
        <v>73</v>
      </c>
      <c r="E1366" s="108" t="s">
        <v>471</v>
      </c>
      <c r="F1366" s="108" t="s">
        <v>764</v>
      </c>
      <c r="G1366" s="108" t="s">
        <v>9</v>
      </c>
      <c r="H1366" s="126">
        <f>H1367</f>
        <v>0</v>
      </c>
      <c r="L1366" s="20">
        <v>50135.83</v>
      </c>
      <c r="M1366" s="20">
        <v>54743.99</v>
      </c>
      <c r="N1366" s="20">
        <v>59812.98</v>
      </c>
      <c r="O1366" s="20">
        <f>H1366-L1366</f>
        <v>-50135.83</v>
      </c>
      <c r="P1366" s="20" t="e">
        <f>#REF!-M1366</f>
        <v>#REF!</v>
      </c>
      <c r="Q1366" s="20" t="e">
        <f>#REF!-N1366</f>
        <v>#REF!</v>
      </c>
      <c r="R1366" s="17" t="str">
        <f t="shared" si="145"/>
        <v>04 2 02 21090000</v>
      </c>
    </row>
    <row r="1367" spans="1:18" s="16" customFormat="1" ht="31.5">
      <c r="A1367" s="14"/>
      <c r="B1367" s="125" t="s">
        <v>28</v>
      </c>
      <c r="C1367" s="109" t="s">
        <v>783</v>
      </c>
      <c r="D1367" s="108" t="s">
        <v>73</v>
      </c>
      <c r="E1367" s="108" t="s">
        <v>471</v>
      </c>
      <c r="F1367" s="108" t="s">
        <v>764</v>
      </c>
      <c r="G1367" s="108" t="s">
        <v>29</v>
      </c>
      <c r="H1367" s="126">
        <f>H1368</f>
        <v>0</v>
      </c>
      <c r="L1367" s="20">
        <v>50135.83</v>
      </c>
      <c r="M1367" s="20">
        <v>54743.99</v>
      </c>
      <c r="N1367" s="20">
        <v>59812.98</v>
      </c>
      <c r="O1367" s="20">
        <f>H1367-L1367</f>
        <v>-50135.83</v>
      </c>
      <c r="P1367" s="20" t="e">
        <f>#REF!-M1367</f>
        <v>#REF!</v>
      </c>
      <c r="Q1367" s="20" t="e">
        <f>#REF!-N1367</f>
        <v>#REF!</v>
      </c>
      <c r="R1367" s="17" t="str">
        <f t="shared" si="145"/>
        <v>04 2 02 21090240</v>
      </c>
    </row>
    <row r="1368" spans="1:18" s="16" customFormat="1" ht="15.75">
      <c r="A1368" s="14"/>
      <c r="B1368" s="125" t="s">
        <v>30</v>
      </c>
      <c r="C1368" s="109" t="s">
        <v>783</v>
      </c>
      <c r="D1368" s="108" t="s">
        <v>73</v>
      </c>
      <c r="E1368" s="108" t="s">
        <v>471</v>
      </c>
      <c r="F1368" s="108" t="s">
        <v>764</v>
      </c>
      <c r="G1368" s="108" t="s">
        <v>31</v>
      </c>
      <c r="H1368" s="126"/>
      <c r="L1368" s="20"/>
      <c r="M1368" s="20"/>
      <c r="N1368" s="20"/>
      <c r="O1368" s="20"/>
      <c r="P1368" s="20"/>
      <c r="Q1368" s="20"/>
      <c r="R1368" s="17"/>
    </row>
    <row r="1369" spans="1:18" s="16" customFormat="1" ht="15.75">
      <c r="A1369" s="14"/>
      <c r="B1369" s="117" t="s">
        <v>305</v>
      </c>
      <c r="C1369" s="118" t="s">
        <v>783</v>
      </c>
      <c r="D1369" s="119" t="s">
        <v>86</v>
      </c>
      <c r="E1369" s="119" t="s">
        <v>7</v>
      </c>
      <c r="F1369" s="119" t="s">
        <v>8</v>
      </c>
      <c r="G1369" s="119" t="s">
        <v>9</v>
      </c>
      <c r="H1369" s="120">
        <f>H1370+H1378</f>
        <v>0</v>
      </c>
      <c r="L1369" s="18">
        <v>30206.899999999998</v>
      </c>
      <c r="M1369" s="18">
        <v>19206.899999999998</v>
      </c>
      <c r="N1369" s="18">
        <v>19206.899999999998</v>
      </c>
      <c r="O1369" s="18">
        <f t="shared" ref="O1369:O1375" si="153">H1369-L1369</f>
        <v>-30206.899999999998</v>
      </c>
      <c r="P1369" s="18" t="e">
        <f>#REF!-M1369</f>
        <v>#REF!</v>
      </c>
      <c r="Q1369" s="18" t="e">
        <f>#REF!-N1369</f>
        <v>#REF!</v>
      </c>
      <c r="R1369" s="17" t="str">
        <f t="shared" si="145"/>
        <v>00 0 00 00000000</v>
      </c>
    </row>
    <row r="1370" spans="1:18" s="16" customFormat="1" ht="15.75">
      <c r="A1370" s="14"/>
      <c r="B1370" s="121" t="s">
        <v>765</v>
      </c>
      <c r="C1370" s="122" t="s">
        <v>783</v>
      </c>
      <c r="D1370" s="123" t="s">
        <v>86</v>
      </c>
      <c r="E1370" s="123" t="s">
        <v>11</v>
      </c>
      <c r="F1370" s="123" t="s">
        <v>8</v>
      </c>
      <c r="G1370" s="123" t="s">
        <v>9</v>
      </c>
      <c r="H1370" s="124">
        <f>H1371</f>
        <v>0</v>
      </c>
      <c r="L1370" s="19">
        <v>1723.26</v>
      </c>
      <c r="M1370" s="19">
        <v>1723.26</v>
      </c>
      <c r="N1370" s="19">
        <v>1723.26</v>
      </c>
      <c r="O1370" s="19">
        <f t="shared" si="153"/>
        <v>-1723.26</v>
      </c>
      <c r="P1370" s="19" t="e">
        <f>#REF!-M1370</f>
        <v>#REF!</v>
      </c>
      <c r="Q1370" s="19" t="e">
        <f>#REF!-N1370</f>
        <v>#REF!</v>
      </c>
      <c r="R1370" s="17" t="str">
        <f t="shared" si="145"/>
        <v>00 0 00 00000000</v>
      </c>
    </row>
    <row r="1371" spans="1:18" s="16" customFormat="1" ht="63">
      <c r="A1371" s="14"/>
      <c r="B1371" s="127" t="s">
        <v>293</v>
      </c>
      <c r="C1371" s="109" t="s">
        <v>783</v>
      </c>
      <c r="D1371" s="108" t="s">
        <v>86</v>
      </c>
      <c r="E1371" s="108" t="s">
        <v>11</v>
      </c>
      <c r="F1371" s="108" t="s">
        <v>294</v>
      </c>
      <c r="G1371" s="108" t="s">
        <v>9</v>
      </c>
      <c r="H1371" s="126">
        <f t="shared" ref="H1371" si="154">H1372</f>
        <v>0</v>
      </c>
      <c r="L1371" s="20">
        <v>1723.26</v>
      </c>
      <c r="M1371" s="20">
        <v>1723.26</v>
      </c>
      <c r="N1371" s="20">
        <v>1723.26</v>
      </c>
      <c r="O1371" s="20">
        <f t="shared" si="153"/>
        <v>-1723.26</v>
      </c>
      <c r="P1371" s="20" t="e">
        <f>#REF!-M1371</f>
        <v>#REF!</v>
      </c>
      <c r="Q1371" s="20" t="e">
        <f>#REF!-N1371</f>
        <v>#REF!</v>
      </c>
      <c r="R1371" s="17" t="str">
        <f t="shared" si="145"/>
        <v>04 0 00 00000000</v>
      </c>
    </row>
    <row r="1372" spans="1:18" s="16" customFormat="1" ht="31.5">
      <c r="A1372" s="14"/>
      <c r="B1372" s="125" t="s">
        <v>766</v>
      </c>
      <c r="C1372" s="109" t="s">
        <v>783</v>
      </c>
      <c r="D1372" s="108" t="s">
        <v>86</v>
      </c>
      <c r="E1372" s="108" t="s">
        <v>11</v>
      </c>
      <c r="F1372" s="108" t="s">
        <v>767</v>
      </c>
      <c r="G1372" s="108" t="s">
        <v>9</v>
      </c>
      <c r="H1372" s="126">
        <f>H1375</f>
        <v>0</v>
      </c>
      <c r="L1372" s="20">
        <v>1723.26</v>
      </c>
      <c r="M1372" s="20">
        <v>1723.26</v>
      </c>
      <c r="N1372" s="20">
        <v>1723.26</v>
      </c>
      <c r="O1372" s="20">
        <f t="shared" si="153"/>
        <v>-1723.26</v>
      </c>
      <c r="P1372" s="20" t="e">
        <f>#REF!-M1372</f>
        <v>#REF!</v>
      </c>
      <c r="Q1372" s="20" t="e">
        <f>#REF!-N1372</f>
        <v>#REF!</v>
      </c>
      <c r="R1372" s="17" t="str">
        <f t="shared" si="145"/>
        <v>04 1 00 00000000</v>
      </c>
    </row>
    <row r="1373" spans="1:18" s="16" customFormat="1" ht="47.25">
      <c r="A1373" s="14"/>
      <c r="B1373" s="140" t="s">
        <v>793</v>
      </c>
      <c r="C1373" s="130" t="s">
        <v>783</v>
      </c>
      <c r="D1373" s="131" t="s">
        <v>86</v>
      </c>
      <c r="E1373" s="131" t="s">
        <v>11</v>
      </c>
      <c r="F1373" s="131" t="s">
        <v>769</v>
      </c>
      <c r="G1373" s="131" t="s">
        <v>9</v>
      </c>
      <c r="H1373" s="105">
        <f t="shared" ref="H1373:H1374" si="155">H1374</f>
        <v>0</v>
      </c>
      <c r="L1373" s="26">
        <v>1723.26</v>
      </c>
      <c r="M1373" s="26">
        <v>1723.26</v>
      </c>
      <c r="N1373" s="26">
        <v>1723.26</v>
      </c>
      <c r="O1373" s="26">
        <f t="shared" si="153"/>
        <v>-1723.26</v>
      </c>
      <c r="P1373" s="26" t="e">
        <f>#REF!-M1373</f>
        <v>#REF!</v>
      </c>
      <c r="Q1373" s="26" t="e">
        <f>#REF!-N1373</f>
        <v>#REF!</v>
      </c>
      <c r="R1373" s="17" t="str">
        <f t="shared" si="145"/>
        <v>04 1 01 00000000</v>
      </c>
    </row>
    <row r="1374" spans="1:18" s="16" customFormat="1" ht="31.5">
      <c r="A1374" s="14"/>
      <c r="B1374" s="127" t="s">
        <v>770</v>
      </c>
      <c r="C1374" s="109" t="s">
        <v>783</v>
      </c>
      <c r="D1374" s="108" t="s">
        <v>86</v>
      </c>
      <c r="E1374" s="108" t="s">
        <v>11</v>
      </c>
      <c r="F1374" s="108" t="s">
        <v>771</v>
      </c>
      <c r="G1374" s="108" t="s">
        <v>9</v>
      </c>
      <c r="H1374" s="126">
        <f t="shared" si="155"/>
        <v>0</v>
      </c>
      <c r="L1374" s="20">
        <v>1723.26</v>
      </c>
      <c r="M1374" s="20">
        <v>1723.26</v>
      </c>
      <c r="N1374" s="20">
        <v>1723.26</v>
      </c>
      <c r="O1374" s="20">
        <f t="shared" si="153"/>
        <v>-1723.26</v>
      </c>
      <c r="P1374" s="20" t="e">
        <f>#REF!-M1374</f>
        <v>#REF!</v>
      </c>
      <c r="Q1374" s="20" t="e">
        <f>#REF!-N1374</f>
        <v>#REF!</v>
      </c>
      <c r="R1374" s="17" t="str">
        <f t="shared" si="145"/>
        <v>04 1 01 20190000</v>
      </c>
    </row>
    <row r="1375" spans="1:18" s="16" customFormat="1" ht="31.5">
      <c r="A1375" s="14"/>
      <c r="B1375" s="125" t="s">
        <v>28</v>
      </c>
      <c r="C1375" s="109" t="s">
        <v>783</v>
      </c>
      <c r="D1375" s="108" t="s">
        <v>86</v>
      </c>
      <c r="E1375" s="108" t="s">
        <v>11</v>
      </c>
      <c r="F1375" s="108" t="s">
        <v>771</v>
      </c>
      <c r="G1375" s="108" t="s">
        <v>29</v>
      </c>
      <c r="H1375" s="126">
        <f>SUM(H1376:H1377)</f>
        <v>0</v>
      </c>
      <c r="L1375" s="20">
        <v>1723.26</v>
      </c>
      <c r="M1375" s="20">
        <v>1723.26</v>
      </c>
      <c r="N1375" s="20">
        <v>1723.26</v>
      </c>
      <c r="O1375" s="20">
        <f t="shared" si="153"/>
        <v>-1723.26</v>
      </c>
      <c r="P1375" s="20" t="e">
        <f>#REF!-M1375</f>
        <v>#REF!</v>
      </c>
      <c r="Q1375" s="20" t="e">
        <f>#REF!-N1375</f>
        <v>#REF!</v>
      </c>
      <c r="R1375" s="17" t="str">
        <f t="shared" si="145"/>
        <v>04 1 01 20190240</v>
      </c>
    </row>
    <row r="1376" spans="1:18" s="16" customFormat="1" ht="47.25">
      <c r="A1376" s="14"/>
      <c r="B1376" s="127" t="s">
        <v>772</v>
      </c>
      <c r="C1376" s="109" t="s">
        <v>783</v>
      </c>
      <c r="D1376" s="108" t="s">
        <v>86</v>
      </c>
      <c r="E1376" s="108" t="s">
        <v>11</v>
      </c>
      <c r="F1376" s="108" t="s">
        <v>771</v>
      </c>
      <c r="G1376" s="108" t="s">
        <v>773</v>
      </c>
      <c r="H1376" s="126"/>
      <c r="L1376" s="20"/>
      <c r="M1376" s="20"/>
      <c r="N1376" s="20"/>
      <c r="O1376" s="20"/>
      <c r="P1376" s="20"/>
      <c r="Q1376" s="20"/>
      <c r="R1376" s="17"/>
    </row>
    <row r="1377" spans="1:18" s="16" customFormat="1" ht="15.75">
      <c r="A1377" s="14"/>
      <c r="B1377" s="125" t="s">
        <v>30</v>
      </c>
      <c r="C1377" s="109" t="s">
        <v>783</v>
      </c>
      <c r="D1377" s="108" t="s">
        <v>86</v>
      </c>
      <c r="E1377" s="108" t="s">
        <v>11</v>
      </c>
      <c r="F1377" s="108" t="s">
        <v>771</v>
      </c>
      <c r="G1377" s="108" t="s">
        <v>31</v>
      </c>
      <c r="H1377" s="126"/>
      <c r="L1377" s="20"/>
      <c r="M1377" s="20"/>
      <c r="N1377" s="20"/>
      <c r="O1377" s="20"/>
      <c r="P1377" s="20"/>
      <c r="Q1377" s="20"/>
      <c r="R1377" s="17"/>
    </row>
    <row r="1378" spans="1:18" s="16" customFormat="1" ht="15.75">
      <c r="A1378" s="14"/>
      <c r="B1378" s="121" t="s">
        <v>306</v>
      </c>
      <c r="C1378" s="122" t="s">
        <v>783</v>
      </c>
      <c r="D1378" s="123" t="s">
        <v>86</v>
      </c>
      <c r="E1378" s="123" t="s">
        <v>13</v>
      </c>
      <c r="F1378" s="123" t="s">
        <v>8</v>
      </c>
      <c r="G1378" s="123" t="s">
        <v>9</v>
      </c>
      <c r="H1378" s="124">
        <f>H1379+H1403</f>
        <v>0</v>
      </c>
      <c r="L1378" s="19">
        <v>28483.64</v>
      </c>
      <c r="M1378" s="19">
        <v>17483.64</v>
      </c>
      <c r="N1378" s="19">
        <v>17483.64</v>
      </c>
      <c r="O1378" s="19">
        <f t="shared" ref="O1378:O1383" si="156">H1378-L1378</f>
        <v>-28483.64</v>
      </c>
      <c r="P1378" s="19" t="e">
        <f>#REF!-M1378</f>
        <v>#REF!</v>
      </c>
      <c r="Q1378" s="19" t="e">
        <f>#REF!-N1378</f>
        <v>#REF!</v>
      </c>
      <c r="R1378" s="17" t="str">
        <f t="shared" si="145"/>
        <v>00 0 00 00000000</v>
      </c>
    </row>
    <row r="1379" spans="1:18" s="16" customFormat="1" ht="63">
      <c r="A1379" s="14"/>
      <c r="B1379" s="127" t="s">
        <v>293</v>
      </c>
      <c r="C1379" s="109" t="s">
        <v>783</v>
      </c>
      <c r="D1379" s="108" t="s">
        <v>86</v>
      </c>
      <c r="E1379" s="108" t="s">
        <v>13</v>
      </c>
      <c r="F1379" s="108" t="s">
        <v>294</v>
      </c>
      <c r="G1379" s="108" t="s">
        <v>9</v>
      </c>
      <c r="H1379" s="126">
        <f t="shared" ref="H1379:H1380" si="157">H1380</f>
        <v>0</v>
      </c>
      <c r="L1379" s="20">
        <v>26483.64</v>
      </c>
      <c r="M1379" s="20">
        <v>17483.64</v>
      </c>
      <c r="N1379" s="20">
        <v>17483.64</v>
      </c>
      <c r="O1379" s="20">
        <f t="shared" si="156"/>
        <v>-26483.64</v>
      </c>
      <c r="P1379" s="20" t="e">
        <f>#REF!-M1379</f>
        <v>#REF!</v>
      </c>
      <c r="Q1379" s="20" t="e">
        <f>#REF!-N1379</f>
        <v>#REF!</v>
      </c>
      <c r="R1379" s="17" t="str">
        <f t="shared" si="145"/>
        <v>04 0 00 00000000</v>
      </c>
    </row>
    <row r="1380" spans="1:18" s="16" customFormat="1" ht="31.5">
      <c r="A1380" s="14"/>
      <c r="B1380" s="125" t="s">
        <v>307</v>
      </c>
      <c r="C1380" s="109" t="s">
        <v>783</v>
      </c>
      <c r="D1380" s="108" t="s">
        <v>86</v>
      </c>
      <c r="E1380" s="108" t="s">
        <v>13</v>
      </c>
      <c r="F1380" s="108" t="s">
        <v>308</v>
      </c>
      <c r="G1380" s="108" t="s">
        <v>9</v>
      </c>
      <c r="H1380" s="126">
        <f t="shared" si="157"/>
        <v>0</v>
      </c>
      <c r="L1380" s="20">
        <v>26483.64</v>
      </c>
      <c r="M1380" s="20">
        <v>17483.64</v>
      </c>
      <c r="N1380" s="20">
        <v>17483.64</v>
      </c>
      <c r="O1380" s="20">
        <f t="shared" si="156"/>
        <v>-26483.64</v>
      </c>
      <c r="P1380" s="20" t="e">
        <f>#REF!-M1380</f>
        <v>#REF!</v>
      </c>
      <c r="Q1380" s="20" t="e">
        <f>#REF!-N1380</f>
        <v>#REF!</v>
      </c>
      <c r="R1380" s="17" t="str">
        <f t="shared" si="145"/>
        <v>04 3 00 00000000</v>
      </c>
    </row>
    <row r="1381" spans="1:18" s="16" customFormat="1" ht="31.5">
      <c r="A1381" s="14"/>
      <c r="B1381" s="138" t="s">
        <v>309</v>
      </c>
      <c r="C1381" s="130" t="s">
        <v>783</v>
      </c>
      <c r="D1381" s="131" t="s">
        <v>86</v>
      </c>
      <c r="E1381" s="131" t="s">
        <v>13</v>
      </c>
      <c r="F1381" s="108" t="s">
        <v>310</v>
      </c>
      <c r="G1381" s="131" t="s">
        <v>9</v>
      </c>
      <c r="H1381" s="105">
        <f>H1382+H1385+H1388+H1391+H1397</f>
        <v>0</v>
      </c>
      <c r="L1381" s="26">
        <v>26483.64</v>
      </c>
      <c r="M1381" s="26">
        <v>17483.64</v>
      </c>
      <c r="N1381" s="26">
        <v>17483.64</v>
      </c>
      <c r="O1381" s="26">
        <f t="shared" si="156"/>
        <v>-26483.64</v>
      </c>
      <c r="P1381" s="26" t="e">
        <f>#REF!-M1381</f>
        <v>#REF!</v>
      </c>
      <c r="Q1381" s="26" t="e">
        <f>#REF!-N1381</f>
        <v>#REF!</v>
      </c>
      <c r="R1381" s="17" t="str">
        <f t="shared" si="145"/>
        <v>04 3 04 00000000</v>
      </c>
    </row>
    <row r="1382" spans="1:18" s="16" customFormat="1" ht="31.5">
      <c r="A1382" s="14"/>
      <c r="B1382" s="125" t="s">
        <v>542</v>
      </c>
      <c r="C1382" s="109" t="s">
        <v>783</v>
      </c>
      <c r="D1382" s="108" t="s">
        <v>86</v>
      </c>
      <c r="E1382" s="108" t="s">
        <v>13</v>
      </c>
      <c r="F1382" s="108" t="s">
        <v>543</v>
      </c>
      <c r="G1382" s="108" t="s">
        <v>9</v>
      </c>
      <c r="H1382" s="126">
        <f>H1383</f>
        <v>0</v>
      </c>
      <c r="L1382" s="20">
        <v>9545.0499999999993</v>
      </c>
      <c r="M1382" s="20">
        <v>9545.0499999999993</v>
      </c>
      <c r="N1382" s="20">
        <v>9545.0499999999993</v>
      </c>
      <c r="O1382" s="20">
        <f t="shared" si="156"/>
        <v>-9545.0499999999993</v>
      </c>
      <c r="P1382" s="20" t="e">
        <f>#REF!-M1382</f>
        <v>#REF!</v>
      </c>
      <c r="Q1382" s="20" t="e">
        <f>#REF!-N1382</f>
        <v>#REF!</v>
      </c>
      <c r="R1382" s="17" t="str">
        <f t="shared" si="145"/>
        <v>04 3 04 20300000</v>
      </c>
    </row>
    <row r="1383" spans="1:18" s="16" customFormat="1" ht="31.5">
      <c r="A1383" s="14"/>
      <c r="B1383" s="125" t="s">
        <v>28</v>
      </c>
      <c r="C1383" s="109" t="s">
        <v>783</v>
      </c>
      <c r="D1383" s="108" t="s">
        <v>86</v>
      </c>
      <c r="E1383" s="108" t="s">
        <v>13</v>
      </c>
      <c r="F1383" s="108" t="s">
        <v>543</v>
      </c>
      <c r="G1383" s="108" t="s">
        <v>29</v>
      </c>
      <c r="H1383" s="126">
        <f>H1384</f>
        <v>0</v>
      </c>
      <c r="L1383" s="20">
        <v>9545.0499999999993</v>
      </c>
      <c r="M1383" s="20">
        <v>9545.0499999999993</v>
      </c>
      <c r="N1383" s="20">
        <v>9545.0499999999993</v>
      </c>
      <c r="O1383" s="20">
        <f t="shared" si="156"/>
        <v>-9545.0499999999993</v>
      </c>
      <c r="P1383" s="20" t="e">
        <f>#REF!-M1383</f>
        <v>#REF!</v>
      </c>
      <c r="Q1383" s="20" t="e">
        <f>#REF!-N1383</f>
        <v>#REF!</v>
      </c>
      <c r="R1383" s="17" t="str">
        <f t="shared" si="145"/>
        <v>04 3 04 20300240</v>
      </c>
    </row>
    <row r="1384" spans="1:18" s="16" customFormat="1" ht="15.75">
      <c r="A1384" s="14"/>
      <c r="B1384" s="125" t="s">
        <v>30</v>
      </c>
      <c r="C1384" s="109" t="s">
        <v>783</v>
      </c>
      <c r="D1384" s="108" t="s">
        <v>86</v>
      </c>
      <c r="E1384" s="108" t="s">
        <v>13</v>
      </c>
      <c r="F1384" s="108" t="s">
        <v>543</v>
      </c>
      <c r="G1384" s="108" t="s">
        <v>31</v>
      </c>
      <c r="H1384" s="126"/>
      <c r="L1384" s="20"/>
      <c r="M1384" s="20"/>
      <c r="N1384" s="20"/>
      <c r="O1384" s="20"/>
      <c r="P1384" s="20"/>
      <c r="Q1384" s="20"/>
      <c r="R1384" s="17"/>
    </row>
    <row r="1385" spans="1:18" s="16" customFormat="1" ht="31.5">
      <c r="A1385" s="14"/>
      <c r="B1385" s="127" t="s">
        <v>774</v>
      </c>
      <c r="C1385" s="109" t="s">
        <v>783</v>
      </c>
      <c r="D1385" s="131" t="s">
        <v>86</v>
      </c>
      <c r="E1385" s="131" t="s">
        <v>13</v>
      </c>
      <c r="F1385" s="131" t="s">
        <v>775</v>
      </c>
      <c r="G1385" s="131" t="s">
        <v>9</v>
      </c>
      <c r="H1385" s="126">
        <f>H1386</f>
        <v>0</v>
      </c>
      <c r="L1385" s="20">
        <v>941.72</v>
      </c>
      <c r="M1385" s="20">
        <v>941.72</v>
      </c>
      <c r="N1385" s="20">
        <v>941.72</v>
      </c>
      <c r="O1385" s="20">
        <f>H1385-L1385</f>
        <v>-941.72</v>
      </c>
      <c r="P1385" s="20" t="e">
        <f>#REF!-M1385</f>
        <v>#REF!</v>
      </c>
      <c r="Q1385" s="20" t="e">
        <f>#REF!-N1385</f>
        <v>#REF!</v>
      </c>
      <c r="R1385" s="17" t="str">
        <f t="shared" si="145"/>
        <v>04 3 04 21070000</v>
      </c>
    </row>
    <row r="1386" spans="1:18" s="16" customFormat="1" ht="31.5">
      <c r="A1386" s="14"/>
      <c r="B1386" s="125" t="s">
        <v>28</v>
      </c>
      <c r="C1386" s="109" t="s">
        <v>783</v>
      </c>
      <c r="D1386" s="131" t="s">
        <v>86</v>
      </c>
      <c r="E1386" s="131" t="s">
        <v>13</v>
      </c>
      <c r="F1386" s="131" t="s">
        <v>775</v>
      </c>
      <c r="G1386" s="131" t="s">
        <v>29</v>
      </c>
      <c r="H1386" s="126">
        <f>H1387</f>
        <v>0</v>
      </c>
      <c r="L1386" s="20">
        <v>941.72</v>
      </c>
      <c r="M1386" s="20">
        <v>941.72</v>
      </c>
      <c r="N1386" s="20">
        <v>941.72</v>
      </c>
      <c r="O1386" s="20">
        <f>H1386-L1386</f>
        <v>-941.72</v>
      </c>
      <c r="P1386" s="20" t="e">
        <f>#REF!-M1386</f>
        <v>#REF!</v>
      </c>
      <c r="Q1386" s="20" t="e">
        <f>#REF!-N1386</f>
        <v>#REF!</v>
      </c>
      <c r="R1386" s="17" t="str">
        <f t="shared" si="145"/>
        <v>04 3 04 21070240</v>
      </c>
    </row>
    <row r="1387" spans="1:18" s="16" customFormat="1" ht="15.75">
      <c r="A1387" s="14"/>
      <c r="B1387" s="125" t="s">
        <v>30</v>
      </c>
      <c r="C1387" s="109" t="s">
        <v>783</v>
      </c>
      <c r="D1387" s="131" t="s">
        <v>86</v>
      </c>
      <c r="E1387" s="131" t="s">
        <v>13</v>
      </c>
      <c r="F1387" s="131" t="s">
        <v>775</v>
      </c>
      <c r="G1387" s="131" t="s">
        <v>31</v>
      </c>
      <c r="H1387" s="126"/>
      <c r="L1387" s="20"/>
      <c r="M1387" s="20"/>
      <c r="N1387" s="20"/>
      <c r="O1387" s="20"/>
      <c r="P1387" s="20"/>
      <c r="Q1387" s="20"/>
      <c r="R1387" s="17"/>
    </row>
    <row r="1388" spans="1:18" s="16" customFormat="1" ht="78.75">
      <c r="A1388" s="14" t="s">
        <v>80</v>
      </c>
      <c r="B1388" s="127" t="s">
        <v>776</v>
      </c>
      <c r="C1388" s="130" t="s">
        <v>783</v>
      </c>
      <c r="D1388" s="131" t="s">
        <v>86</v>
      </c>
      <c r="E1388" s="131" t="s">
        <v>13</v>
      </c>
      <c r="F1388" s="108" t="s">
        <v>777</v>
      </c>
      <c r="G1388" s="131" t="s">
        <v>9</v>
      </c>
      <c r="H1388" s="105">
        <f>H1389</f>
        <v>0</v>
      </c>
      <c r="L1388" s="26">
        <v>15996.87</v>
      </c>
      <c r="M1388" s="26">
        <v>6996.87</v>
      </c>
      <c r="N1388" s="26">
        <v>6996.87</v>
      </c>
      <c r="O1388" s="26">
        <f>H1388-L1388</f>
        <v>-15996.87</v>
      </c>
      <c r="P1388" s="26" t="e">
        <f>#REF!-M1388</f>
        <v>#REF!</v>
      </c>
      <c r="Q1388" s="26" t="e">
        <f>#REF!-N1388</f>
        <v>#REF!</v>
      </c>
      <c r="R1388" s="17" t="str">
        <f t="shared" si="145"/>
        <v>04 3 04 21080000</v>
      </c>
    </row>
    <row r="1389" spans="1:18" s="16" customFormat="1" ht="31.5">
      <c r="A1389" s="14"/>
      <c r="B1389" s="125" t="s">
        <v>28</v>
      </c>
      <c r="C1389" s="109" t="s">
        <v>783</v>
      </c>
      <c r="D1389" s="108" t="s">
        <v>86</v>
      </c>
      <c r="E1389" s="108" t="s">
        <v>13</v>
      </c>
      <c r="F1389" s="108" t="s">
        <v>777</v>
      </c>
      <c r="G1389" s="108" t="s">
        <v>29</v>
      </c>
      <c r="H1389" s="126">
        <f>H1390</f>
        <v>0</v>
      </c>
      <c r="L1389" s="20">
        <v>15996.87</v>
      </c>
      <c r="M1389" s="20">
        <v>6996.87</v>
      </c>
      <c r="N1389" s="20">
        <v>6996.87</v>
      </c>
      <c r="O1389" s="20">
        <f>H1389-L1389</f>
        <v>-15996.87</v>
      </c>
      <c r="P1389" s="20" t="e">
        <f>#REF!-M1389</f>
        <v>#REF!</v>
      </c>
      <c r="Q1389" s="20" t="e">
        <f>#REF!-N1389</f>
        <v>#REF!</v>
      </c>
      <c r="R1389" s="17" t="str">
        <f t="shared" si="145"/>
        <v>04 3 04 21080240</v>
      </c>
    </row>
    <row r="1390" spans="1:18" s="16" customFormat="1" ht="15.75">
      <c r="A1390" s="14"/>
      <c r="B1390" s="125" t="s">
        <v>30</v>
      </c>
      <c r="C1390" s="109" t="s">
        <v>783</v>
      </c>
      <c r="D1390" s="108" t="s">
        <v>86</v>
      </c>
      <c r="E1390" s="108" t="s">
        <v>13</v>
      </c>
      <c r="F1390" s="108" t="s">
        <v>777</v>
      </c>
      <c r="G1390" s="108" t="s">
        <v>31</v>
      </c>
      <c r="H1390" s="126"/>
      <c r="L1390" s="20"/>
      <c r="M1390" s="20"/>
      <c r="N1390" s="20"/>
      <c r="O1390" s="20"/>
      <c r="P1390" s="20"/>
      <c r="Q1390" s="20"/>
      <c r="R1390" s="17"/>
    </row>
    <row r="1391" spans="1:18" s="16" customFormat="1" ht="47.25">
      <c r="A1391" s="14"/>
      <c r="B1391" s="125" t="s">
        <v>1043</v>
      </c>
      <c r="C1391" s="109" t="s">
        <v>783</v>
      </c>
      <c r="D1391" s="108" t="s">
        <v>86</v>
      </c>
      <c r="E1391" s="108" t="s">
        <v>13</v>
      </c>
      <c r="F1391" s="131" t="s">
        <v>1056</v>
      </c>
      <c r="G1391" s="131" t="s">
        <v>9</v>
      </c>
      <c r="H1391" s="126">
        <f>H1395</f>
        <v>0</v>
      </c>
      <c r="L1391" s="20"/>
      <c r="M1391" s="20"/>
      <c r="N1391" s="20"/>
      <c r="O1391" s="20"/>
      <c r="P1391" s="20"/>
      <c r="Q1391" s="20"/>
      <c r="R1391" s="17"/>
    </row>
    <row r="1392" spans="1:18" s="16" customFormat="1" ht="15.75">
      <c r="A1392" s="14"/>
      <c r="B1392" s="132" t="s">
        <v>1045</v>
      </c>
      <c r="C1392" s="109"/>
      <c r="D1392" s="108"/>
      <c r="E1392" s="108"/>
      <c r="F1392" s="131"/>
      <c r="G1392" s="131"/>
      <c r="H1392" s="126"/>
      <c r="L1392" s="20"/>
      <c r="M1392" s="20"/>
      <c r="N1392" s="20"/>
      <c r="O1392" s="20"/>
      <c r="P1392" s="20"/>
      <c r="Q1392" s="20"/>
      <c r="R1392" s="17"/>
    </row>
    <row r="1393" spans="1:18" s="16" customFormat="1" ht="15.75">
      <c r="A1393" s="14"/>
      <c r="B1393" s="125" t="s">
        <v>1046</v>
      </c>
      <c r="C1393" s="109" t="s">
        <v>783</v>
      </c>
      <c r="D1393" s="108" t="s">
        <v>86</v>
      </c>
      <c r="E1393" s="108" t="s">
        <v>13</v>
      </c>
      <c r="F1393" s="131" t="s">
        <v>1056</v>
      </c>
      <c r="G1393" s="131" t="s">
        <v>9</v>
      </c>
      <c r="H1393" s="126"/>
      <c r="L1393" s="20"/>
      <c r="M1393" s="20"/>
      <c r="N1393" s="20"/>
      <c r="O1393" s="20"/>
      <c r="P1393" s="20"/>
      <c r="Q1393" s="20"/>
      <c r="R1393" s="17"/>
    </row>
    <row r="1394" spans="1:18" s="16" customFormat="1" ht="15.75">
      <c r="A1394" s="14"/>
      <c r="B1394" s="125" t="s">
        <v>1047</v>
      </c>
      <c r="C1394" s="109" t="s">
        <v>783</v>
      </c>
      <c r="D1394" s="108" t="s">
        <v>86</v>
      </c>
      <c r="E1394" s="108" t="s">
        <v>13</v>
      </c>
      <c r="F1394" s="131" t="s">
        <v>1056</v>
      </c>
      <c r="G1394" s="131" t="s">
        <v>9</v>
      </c>
      <c r="H1394" s="126"/>
      <c r="L1394" s="20"/>
      <c r="M1394" s="20"/>
      <c r="N1394" s="20"/>
      <c r="O1394" s="20"/>
      <c r="P1394" s="20"/>
      <c r="Q1394" s="20"/>
      <c r="R1394" s="17"/>
    </row>
    <row r="1395" spans="1:18" s="16" customFormat="1" ht="31.5">
      <c r="A1395" s="14"/>
      <c r="B1395" s="125" t="s">
        <v>28</v>
      </c>
      <c r="C1395" s="109" t="s">
        <v>783</v>
      </c>
      <c r="D1395" s="108" t="s">
        <v>86</v>
      </c>
      <c r="E1395" s="108" t="s">
        <v>13</v>
      </c>
      <c r="F1395" s="131" t="s">
        <v>1056</v>
      </c>
      <c r="G1395" s="131" t="s">
        <v>29</v>
      </c>
      <c r="H1395" s="126">
        <f>H1396</f>
        <v>0</v>
      </c>
      <c r="L1395" s="20"/>
      <c r="M1395" s="20"/>
      <c r="N1395" s="20"/>
      <c r="O1395" s="20"/>
      <c r="P1395" s="20"/>
      <c r="Q1395" s="20"/>
      <c r="R1395" s="17"/>
    </row>
    <row r="1396" spans="1:18" s="16" customFormat="1" ht="15.75">
      <c r="A1396" s="14"/>
      <c r="B1396" s="125" t="s">
        <v>30</v>
      </c>
      <c r="C1396" s="109" t="s">
        <v>783</v>
      </c>
      <c r="D1396" s="108" t="s">
        <v>86</v>
      </c>
      <c r="E1396" s="108" t="s">
        <v>13</v>
      </c>
      <c r="F1396" s="131" t="s">
        <v>1056</v>
      </c>
      <c r="G1396" s="131" t="s">
        <v>31</v>
      </c>
      <c r="H1396" s="126">
        <f>H1393+H1394</f>
        <v>0</v>
      </c>
      <c r="L1396" s="20"/>
      <c r="M1396" s="20"/>
      <c r="N1396" s="20"/>
      <c r="O1396" s="20"/>
      <c r="P1396" s="20"/>
      <c r="Q1396" s="20"/>
      <c r="R1396" s="17"/>
    </row>
    <row r="1397" spans="1:18" s="16" customFormat="1" ht="47.25">
      <c r="A1397" s="14"/>
      <c r="B1397" s="127" t="s">
        <v>1048</v>
      </c>
      <c r="C1397" s="109" t="s">
        <v>783</v>
      </c>
      <c r="D1397" s="108" t="s">
        <v>86</v>
      </c>
      <c r="E1397" s="108" t="s">
        <v>13</v>
      </c>
      <c r="F1397" s="131" t="s">
        <v>1057</v>
      </c>
      <c r="G1397" s="131" t="s">
        <v>9</v>
      </c>
      <c r="H1397" s="126">
        <f>H1401</f>
        <v>0</v>
      </c>
      <c r="L1397" s="20"/>
      <c r="M1397" s="20"/>
      <c r="N1397" s="20"/>
      <c r="O1397" s="20"/>
      <c r="P1397" s="20"/>
      <c r="Q1397" s="20"/>
      <c r="R1397" s="17"/>
    </row>
    <row r="1398" spans="1:18" s="16" customFormat="1" ht="15.75">
      <c r="A1398" s="14"/>
      <c r="B1398" s="132" t="s">
        <v>1045</v>
      </c>
      <c r="C1398" s="109"/>
      <c r="D1398" s="108"/>
      <c r="E1398" s="108"/>
      <c r="F1398" s="131"/>
      <c r="G1398" s="131"/>
      <c r="H1398" s="126"/>
      <c r="L1398" s="20"/>
      <c r="M1398" s="20"/>
      <c r="N1398" s="20"/>
      <c r="O1398" s="20"/>
      <c r="P1398" s="20"/>
      <c r="Q1398" s="20"/>
      <c r="R1398" s="17"/>
    </row>
    <row r="1399" spans="1:18" s="16" customFormat="1" ht="15.75">
      <c r="A1399" s="14"/>
      <c r="B1399" s="125" t="s">
        <v>1050</v>
      </c>
      <c r="C1399" s="109" t="s">
        <v>783</v>
      </c>
      <c r="D1399" s="108" t="s">
        <v>86</v>
      </c>
      <c r="E1399" s="108" t="s">
        <v>13</v>
      </c>
      <c r="F1399" s="131" t="s">
        <v>1057</v>
      </c>
      <c r="G1399" s="131" t="s">
        <v>9</v>
      </c>
      <c r="H1399" s="126"/>
      <c r="L1399" s="20"/>
      <c r="M1399" s="20"/>
      <c r="N1399" s="20"/>
      <c r="O1399" s="20"/>
      <c r="P1399" s="20"/>
      <c r="Q1399" s="20"/>
      <c r="R1399" s="17"/>
    </row>
    <row r="1400" spans="1:18" s="16" customFormat="1" ht="15.75">
      <c r="A1400" s="14"/>
      <c r="B1400" s="125" t="s">
        <v>1051</v>
      </c>
      <c r="C1400" s="109" t="s">
        <v>783</v>
      </c>
      <c r="D1400" s="108" t="s">
        <v>86</v>
      </c>
      <c r="E1400" s="108" t="s">
        <v>13</v>
      </c>
      <c r="F1400" s="131" t="s">
        <v>1057</v>
      </c>
      <c r="G1400" s="131" t="s">
        <v>9</v>
      </c>
      <c r="H1400" s="126"/>
      <c r="L1400" s="20"/>
      <c r="M1400" s="20"/>
      <c r="N1400" s="20"/>
      <c r="O1400" s="20"/>
      <c r="P1400" s="20"/>
      <c r="Q1400" s="20"/>
      <c r="R1400" s="17"/>
    </row>
    <row r="1401" spans="1:18" s="16" customFormat="1" ht="15.75">
      <c r="A1401" s="14"/>
      <c r="B1401" s="125" t="s">
        <v>30</v>
      </c>
      <c r="C1401" s="109" t="s">
        <v>783</v>
      </c>
      <c r="D1401" s="108" t="s">
        <v>86</v>
      </c>
      <c r="E1401" s="108" t="s">
        <v>13</v>
      </c>
      <c r="F1401" s="131" t="s">
        <v>1057</v>
      </c>
      <c r="G1401" s="131" t="s">
        <v>29</v>
      </c>
      <c r="H1401" s="126">
        <f>H1402</f>
        <v>0</v>
      </c>
      <c r="L1401" s="20"/>
      <c r="M1401" s="20"/>
      <c r="N1401" s="20"/>
      <c r="O1401" s="20"/>
      <c r="P1401" s="20"/>
      <c r="Q1401" s="20"/>
      <c r="R1401" s="17"/>
    </row>
    <row r="1402" spans="1:18" s="16" customFormat="1" ht="15.75">
      <c r="A1402" s="14"/>
      <c r="B1402" s="125" t="s">
        <v>30</v>
      </c>
      <c r="C1402" s="109" t="s">
        <v>783</v>
      </c>
      <c r="D1402" s="108" t="s">
        <v>86</v>
      </c>
      <c r="E1402" s="108" t="s">
        <v>13</v>
      </c>
      <c r="F1402" s="131" t="s">
        <v>1057</v>
      </c>
      <c r="G1402" s="131" t="s">
        <v>31</v>
      </c>
      <c r="H1402" s="126">
        <f>H1400+H1399</f>
        <v>0</v>
      </c>
      <c r="L1402" s="20"/>
      <c r="M1402" s="20"/>
      <c r="N1402" s="20"/>
      <c r="O1402" s="20"/>
      <c r="P1402" s="20"/>
      <c r="Q1402" s="20"/>
      <c r="R1402" s="17"/>
    </row>
    <row r="1403" spans="1:18" s="16" customFormat="1" ht="63">
      <c r="A1403" s="14"/>
      <c r="B1403" s="140" t="s">
        <v>87</v>
      </c>
      <c r="C1403" s="109" t="s">
        <v>783</v>
      </c>
      <c r="D1403" s="131" t="s">
        <v>86</v>
      </c>
      <c r="E1403" s="131" t="s">
        <v>13</v>
      </c>
      <c r="F1403" s="131" t="s">
        <v>88</v>
      </c>
      <c r="G1403" s="131" t="s">
        <v>9</v>
      </c>
      <c r="H1403" s="105">
        <f>H1404</f>
        <v>0</v>
      </c>
      <c r="L1403" s="26">
        <v>2000</v>
      </c>
      <c r="M1403" s="26">
        <v>0</v>
      </c>
      <c r="N1403" s="26">
        <v>0</v>
      </c>
      <c r="O1403" s="26">
        <f>H1403-L1403</f>
        <v>-2000</v>
      </c>
      <c r="P1403" s="26" t="e">
        <f>#REF!-M1403</f>
        <v>#REF!</v>
      </c>
      <c r="Q1403" s="26" t="e">
        <f>#REF!-N1403</f>
        <v>#REF!</v>
      </c>
      <c r="R1403" s="17" t="str">
        <f t="shared" si="145"/>
        <v>98 0 00 00000000</v>
      </c>
    </row>
    <row r="1404" spans="1:18" s="16" customFormat="1" ht="15.75">
      <c r="A1404" s="14"/>
      <c r="B1404" s="140" t="s">
        <v>89</v>
      </c>
      <c r="C1404" s="109" t="s">
        <v>783</v>
      </c>
      <c r="D1404" s="131" t="s">
        <v>86</v>
      </c>
      <c r="E1404" s="131" t="s">
        <v>13</v>
      </c>
      <c r="F1404" s="131" t="s">
        <v>90</v>
      </c>
      <c r="G1404" s="131" t="s">
        <v>9</v>
      </c>
      <c r="H1404" s="105">
        <f>H1405</f>
        <v>0</v>
      </c>
      <c r="L1404" s="26">
        <v>2000</v>
      </c>
      <c r="M1404" s="26">
        <v>0</v>
      </c>
      <c r="N1404" s="26">
        <v>0</v>
      </c>
      <c r="O1404" s="26">
        <f>H1404-L1404</f>
        <v>-2000</v>
      </c>
      <c r="P1404" s="26" t="e">
        <f>#REF!-M1404</f>
        <v>#REF!</v>
      </c>
      <c r="Q1404" s="26" t="e">
        <f>#REF!-N1404</f>
        <v>#REF!</v>
      </c>
      <c r="R1404" s="17" t="str">
        <f t="shared" si="145"/>
        <v>98 1 00 00000000</v>
      </c>
    </row>
    <row r="1405" spans="1:18" s="16" customFormat="1" ht="31.5">
      <c r="A1405" s="14"/>
      <c r="B1405" s="125" t="s">
        <v>778</v>
      </c>
      <c r="C1405" s="109" t="s">
        <v>783</v>
      </c>
      <c r="D1405" s="131" t="s">
        <v>86</v>
      </c>
      <c r="E1405" s="131" t="s">
        <v>13</v>
      </c>
      <c r="F1405" s="131" t="s">
        <v>779</v>
      </c>
      <c r="G1405" s="131" t="s">
        <v>9</v>
      </c>
      <c r="H1405" s="105">
        <f>H1406</f>
        <v>0</v>
      </c>
      <c r="L1405" s="26">
        <v>2000</v>
      </c>
      <c r="M1405" s="26">
        <v>0</v>
      </c>
      <c r="N1405" s="26">
        <v>0</v>
      </c>
      <c r="O1405" s="26">
        <f>H1405-L1405</f>
        <v>-2000</v>
      </c>
      <c r="P1405" s="26" t="e">
        <f>#REF!-M1405</f>
        <v>#REF!</v>
      </c>
      <c r="Q1405" s="26" t="e">
        <f>#REF!-N1405</f>
        <v>#REF!</v>
      </c>
      <c r="R1405" s="17" t="str">
        <f t="shared" si="145"/>
        <v>98 1 00 21450000</v>
      </c>
    </row>
    <row r="1406" spans="1:18" s="16" customFormat="1" ht="31.5">
      <c r="A1406" s="14"/>
      <c r="B1406" s="125" t="s">
        <v>28</v>
      </c>
      <c r="C1406" s="109" t="s">
        <v>783</v>
      </c>
      <c r="D1406" s="131" t="s">
        <v>86</v>
      </c>
      <c r="E1406" s="131" t="s">
        <v>13</v>
      </c>
      <c r="F1406" s="131" t="s">
        <v>779</v>
      </c>
      <c r="G1406" s="131" t="s">
        <v>29</v>
      </c>
      <c r="H1406" s="126">
        <f>H1407</f>
        <v>0</v>
      </c>
      <c r="L1406" s="26">
        <v>2000</v>
      </c>
      <c r="M1406" s="26">
        <v>0</v>
      </c>
      <c r="N1406" s="26">
        <v>0</v>
      </c>
      <c r="O1406" s="26">
        <f>H1406-L1406</f>
        <v>-2000</v>
      </c>
      <c r="P1406" s="26" t="e">
        <f>#REF!-M1406</f>
        <v>#REF!</v>
      </c>
      <c r="Q1406" s="26" t="e">
        <f>#REF!-N1406</f>
        <v>#REF!</v>
      </c>
      <c r="R1406" s="17" t="str">
        <f t="shared" si="145"/>
        <v>98 1 00 21450240</v>
      </c>
    </row>
    <row r="1407" spans="1:18" s="16" customFormat="1" ht="15.75">
      <c r="A1407" s="14"/>
      <c r="B1407" s="125" t="s">
        <v>30</v>
      </c>
      <c r="C1407" s="109" t="s">
        <v>783</v>
      </c>
      <c r="D1407" s="131" t="s">
        <v>86</v>
      </c>
      <c r="E1407" s="131" t="s">
        <v>13</v>
      </c>
      <c r="F1407" s="131" t="s">
        <v>779</v>
      </c>
      <c r="G1407" s="131" t="s">
        <v>31</v>
      </c>
      <c r="H1407" s="126"/>
      <c r="L1407" s="26"/>
      <c r="M1407" s="26"/>
      <c r="N1407" s="26"/>
      <c r="O1407" s="26"/>
      <c r="P1407" s="26"/>
      <c r="Q1407" s="26"/>
      <c r="R1407" s="17"/>
    </row>
    <row r="1408" spans="1:18" s="16" customFormat="1" ht="15.75">
      <c r="A1408" s="14"/>
      <c r="B1408" s="117" t="s">
        <v>237</v>
      </c>
      <c r="C1408" s="118" t="s">
        <v>783</v>
      </c>
      <c r="D1408" s="119" t="s">
        <v>238</v>
      </c>
      <c r="E1408" s="119" t="s">
        <v>7</v>
      </c>
      <c r="F1408" s="119" t="s">
        <v>8</v>
      </c>
      <c r="G1408" s="119" t="s">
        <v>9</v>
      </c>
      <c r="H1408" s="120">
        <f t="shared" ref="H1408:H1411" si="158">H1409</f>
        <v>0</v>
      </c>
      <c r="L1408" s="18">
        <v>1480</v>
      </c>
      <c r="M1408" s="18">
        <v>1480</v>
      </c>
      <c r="N1408" s="18">
        <v>1480</v>
      </c>
      <c r="O1408" s="18">
        <f t="shared" ref="O1408:O1414" si="159">H1408-L1408</f>
        <v>-1480</v>
      </c>
      <c r="P1408" s="18" t="e">
        <f>#REF!-M1408</f>
        <v>#REF!</v>
      </c>
      <c r="Q1408" s="18" t="e">
        <f>#REF!-N1408</f>
        <v>#REF!</v>
      </c>
      <c r="R1408" s="17" t="str">
        <f t="shared" si="145"/>
        <v>00 0 00 00000000</v>
      </c>
    </row>
    <row r="1409" spans="1:18" s="16" customFormat="1" ht="15.75">
      <c r="A1409" s="14"/>
      <c r="B1409" s="121" t="s">
        <v>239</v>
      </c>
      <c r="C1409" s="122" t="s">
        <v>783</v>
      </c>
      <c r="D1409" s="123" t="s">
        <v>238</v>
      </c>
      <c r="E1409" s="123" t="s">
        <v>11</v>
      </c>
      <c r="F1409" s="123" t="s">
        <v>8</v>
      </c>
      <c r="G1409" s="123" t="s">
        <v>9</v>
      </c>
      <c r="H1409" s="124">
        <f t="shared" si="158"/>
        <v>0</v>
      </c>
      <c r="L1409" s="19">
        <v>1480</v>
      </c>
      <c r="M1409" s="19">
        <v>1480</v>
      </c>
      <c r="N1409" s="19">
        <v>1480</v>
      </c>
      <c r="O1409" s="19">
        <f t="shared" si="159"/>
        <v>-1480</v>
      </c>
      <c r="P1409" s="19" t="e">
        <f>#REF!-M1409</f>
        <v>#REF!</v>
      </c>
      <c r="Q1409" s="19" t="e">
        <f>#REF!-N1409</f>
        <v>#REF!</v>
      </c>
      <c r="R1409" s="17" t="str">
        <f t="shared" si="145"/>
        <v>00 0 00 00000000</v>
      </c>
    </row>
    <row r="1410" spans="1:18" s="16" customFormat="1" ht="31.5">
      <c r="A1410" s="14"/>
      <c r="B1410" s="125" t="s">
        <v>240</v>
      </c>
      <c r="C1410" s="109" t="s">
        <v>783</v>
      </c>
      <c r="D1410" s="108" t="s">
        <v>238</v>
      </c>
      <c r="E1410" s="108" t="s">
        <v>11</v>
      </c>
      <c r="F1410" s="108" t="s">
        <v>241</v>
      </c>
      <c r="G1410" s="108" t="s">
        <v>9</v>
      </c>
      <c r="H1410" s="126">
        <f t="shared" si="158"/>
        <v>0</v>
      </c>
      <c r="L1410" s="20">
        <v>1480</v>
      </c>
      <c r="M1410" s="20">
        <v>1480</v>
      </c>
      <c r="N1410" s="20">
        <v>1480</v>
      </c>
      <c r="O1410" s="20">
        <f t="shared" si="159"/>
        <v>-1480</v>
      </c>
      <c r="P1410" s="20" t="e">
        <f>#REF!-M1410</f>
        <v>#REF!</v>
      </c>
      <c r="Q1410" s="20" t="e">
        <f>#REF!-N1410</f>
        <v>#REF!</v>
      </c>
      <c r="R1410" s="17" t="str">
        <f t="shared" si="145"/>
        <v>07 0 00 00000000</v>
      </c>
    </row>
    <row r="1411" spans="1:18" s="16" customFormat="1" ht="78.75">
      <c r="A1411" s="14"/>
      <c r="B1411" s="127" t="s">
        <v>384</v>
      </c>
      <c r="C1411" s="109" t="s">
        <v>783</v>
      </c>
      <c r="D1411" s="108" t="s">
        <v>238</v>
      </c>
      <c r="E1411" s="108" t="s">
        <v>11</v>
      </c>
      <c r="F1411" s="108" t="s">
        <v>243</v>
      </c>
      <c r="G1411" s="108" t="s">
        <v>9</v>
      </c>
      <c r="H1411" s="126">
        <f t="shared" si="158"/>
        <v>0</v>
      </c>
      <c r="L1411" s="20">
        <v>1480</v>
      </c>
      <c r="M1411" s="20">
        <v>1480</v>
      </c>
      <c r="N1411" s="20">
        <v>1480</v>
      </c>
      <c r="O1411" s="20">
        <f t="shared" si="159"/>
        <v>-1480</v>
      </c>
      <c r="P1411" s="20" t="e">
        <f>#REF!-M1411</f>
        <v>#REF!</v>
      </c>
      <c r="Q1411" s="20" t="e">
        <f>#REF!-N1411</f>
        <v>#REF!</v>
      </c>
      <c r="R1411" s="17" t="str">
        <f t="shared" si="145"/>
        <v>07 1 00 00000000</v>
      </c>
    </row>
    <row r="1412" spans="1:18" s="16" customFormat="1" ht="110.25">
      <c r="A1412" s="14"/>
      <c r="B1412" s="140" t="s">
        <v>244</v>
      </c>
      <c r="C1412" s="130" t="s">
        <v>783</v>
      </c>
      <c r="D1412" s="131" t="s">
        <v>238</v>
      </c>
      <c r="E1412" s="131" t="s">
        <v>11</v>
      </c>
      <c r="F1412" s="131" t="s">
        <v>245</v>
      </c>
      <c r="G1412" s="131" t="s">
        <v>9</v>
      </c>
      <c r="H1412" s="105">
        <f>H1413+H1416</f>
        <v>0</v>
      </c>
      <c r="L1412" s="26">
        <v>1480</v>
      </c>
      <c r="M1412" s="26">
        <v>1480</v>
      </c>
      <c r="N1412" s="26">
        <v>1480</v>
      </c>
      <c r="O1412" s="26">
        <f t="shared" si="159"/>
        <v>-1480</v>
      </c>
      <c r="P1412" s="26" t="e">
        <f>#REF!-M1412</f>
        <v>#REF!</v>
      </c>
      <c r="Q1412" s="26" t="e">
        <f>#REF!-N1412</f>
        <v>#REF!</v>
      </c>
      <c r="R1412" s="17" t="str">
        <f t="shared" si="145"/>
        <v>07 1 01 00000000</v>
      </c>
    </row>
    <row r="1413" spans="1:18" s="16" customFormat="1" ht="31.5">
      <c r="A1413" s="14"/>
      <c r="B1413" s="125" t="s">
        <v>246</v>
      </c>
      <c r="C1413" s="109" t="s">
        <v>783</v>
      </c>
      <c r="D1413" s="108" t="s">
        <v>238</v>
      </c>
      <c r="E1413" s="108" t="s">
        <v>11</v>
      </c>
      <c r="F1413" s="108" t="s">
        <v>247</v>
      </c>
      <c r="G1413" s="108" t="s">
        <v>9</v>
      </c>
      <c r="H1413" s="126">
        <f>H1414</f>
        <v>0</v>
      </c>
      <c r="L1413" s="20">
        <v>919</v>
      </c>
      <c r="M1413" s="20">
        <v>919</v>
      </c>
      <c r="N1413" s="20">
        <v>919</v>
      </c>
      <c r="O1413" s="20">
        <f t="shared" si="159"/>
        <v>-919</v>
      </c>
      <c r="P1413" s="20" t="e">
        <f>#REF!-M1413</f>
        <v>#REF!</v>
      </c>
      <c r="Q1413" s="20" t="e">
        <f>#REF!-N1413</f>
        <v>#REF!</v>
      </c>
      <c r="R1413" s="17" t="str">
        <f t="shared" si="145"/>
        <v>07 1 01 20060000</v>
      </c>
    </row>
    <row r="1414" spans="1:18" s="16" customFormat="1" ht="31.5">
      <c r="A1414" s="14"/>
      <c r="B1414" s="125" t="s">
        <v>28</v>
      </c>
      <c r="C1414" s="109" t="s">
        <v>783</v>
      </c>
      <c r="D1414" s="108" t="s">
        <v>238</v>
      </c>
      <c r="E1414" s="108" t="s">
        <v>11</v>
      </c>
      <c r="F1414" s="108" t="s">
        <v>247</v>
      </c>
      <c r="G1414" s="108" t="s">
        <v>29</v>
      </c>
      <c r="H1414" s="126">
        <f>H1415</f>
        <v>0</v>
      </c>
      <c r="L1414" s="20">
        <v>919</v>
      </c>
      <c r="M1414" s="20">
        <v>919</v>
      </c>
      <c r="N1414" s="20">
        <v>919</v>
      </c>
      <c r="O1414" s="20">
        <f t="shared" si="159"/>
        <v>-919</v>
      </c>
      <c r="P1414" s="20" t="e">
        <f>#REF!-M1414</f>
        <v>#REF!</v>
      </c>
      <c r="Q1414" s="20" t="e">
        <f>#REF!-N1414</f>
        <v>#REF!</v>
      </c>
      <c r="R1414" s="17" t="str">
        <f t="shared" si="145"/>
        <v>07 1 01 20060240</v>
      </c>
    </row>
    <row r="1415" spans="1:18" s="16" customFormat="1" ht="15.75">
      <c r="A1415" s="14"/>
      <c r="B1415" s="125" t="s">
        <v>30</v>
      </c>
      <c r="C1415" s="109" t="s">
        <v>783</v>
      </c>
      <c r="D1415" s="108" t="s">
        <v>238</v>
      </c>
      <c r="E1415" s="108" t="s">
        <v>11</v>
      </c>
      <c r="F1415" s="108" t="s">
        <v>247</v>
      </c>
      <c r="G1415" s="108" t="s">
        <v>31</v>
      </c>
      <c r="H1415" s="126"/>
      <c r="L1415" s="20"/>
      <c r="M1415" s="20"/>
      <c r="N1415" s="20"/>
      <c r="O1415" s="20"/>
      <c r="P1415" s="20"/>
      <c r="Q1415" s="20"/>
      <c r="R1415" s="17"/>
    </row>
    <row r="1416" spans="1:18" s="16" customFormat="1" ht="47.25">
      <c r="A1416" s="14"/>
      <c r="B1416" s="127" t="s">
        <v>780</v>
      </c>
      <c r="C1416" s="109" t="s">
        <v>783</v>
      </c>
      <c r="D1416" s="108" t="s">
        <v>238</v>
      </c>
      <c r="E1416" s="108" t="s">
        <v>11</v>
      </c>
      <c r="F1416" s="108" t="s">
        <v>781</v>
      </c>
      <c r="G1416" s="108" t="s">
        <v>9</v>
      </c>
      <c r="H1416" s="126">
        <f>H1417</f>
        <v>0</v>
      </c>
      <c r="L1416" s="20">
        <v>561</v>
      </c>
      <c r="M1416" s="20">
        <v>561</v>
      </c>
      <c r="N1416" s="20">
        <v>561</v>
      </c>
      <c r="O1416" s="20">
        <f>H1416-L1416</f>
        <v>-561</v>
      </c>
      <c r="P1416" s="20" t="e">
        <f>#REF!-M1416</f>
        <v>#REF!</v>
      </c>
      <c r="Q1416" s="20" t="e">
        <f>#REF!-N1416</f>
        <v>#REF!</v>
      </c>
      <c r="R1416" s="17" t="str">
        <f t="shared" si="145"/>
        <v>07 1 01 21130000</v>
      </c>
    </row>
    <row r="1417" spans="1:18" s="16" customFormat="1" ht="31.5">
      <c r="A1417" s="14"/>
      <c r="B1417" s="125" t="s">
        <v>28</v>
      </c>
      <c r="C1417" s="109" t="s">
        <v>783</v>
      </c>
      <c r="D1417" s="108" t="s">
        <v>238</v>
      </c>
      <c r="E1417" s="108" t="s">
        <v>11</v>
      </c>
      <c r="F1417" s="108" t="s">
        <v>781</v>
      </c>
      <c r="G1417" s="108" t="s">
        <v>29</v>
      </c>
      <c r="H1417" s="126">
        <f>H1418</f>
        <v>0</v>
      </c>
      <c r="L1417" s="20">
        <v>561</v>
      </c>
      <c r="M1417" s="20">
        <v>561</v>
      </c>
      <c r="N1417" s="20">
        <v>561</v>
      </c>
      <c r="O1417" s="20">
        <f>H1417-L1417</f>
        <v>-561</v>
      </c>
      <c r="P1417" s="20" t="e">
        <f>#REF!-M1417</f>
        <v>#REF!</v>
      </c>
      <c r="Q1417" s="20" t="e">
        <f>#REF!-N1417</f>
        <v>#REF!</v>
      </c>
      <c r="R1417" s="17" t="str">
        <f t="shared" si="145"/>
        <v>07 1 01 21130240</v>
      </c>
    </row>
    <row r="1418" spans="1:18" s="16" customFormat="1" ht="15.75">
      <c r="A1418" s="14"/>
      <c r="B1418" s="125" t="s">
        <v>30</v>
      </c>
      <c r="C1418" s="109" t="s">
        <v>783</v>
      </c>
      <c r="D1418" s="108" t="s">
        <v>238</v>
      </c>
      <c r="E1418" s="108" t="s">
        <v>11</v>
      </c>
      <c r="F1418" s="108" t="s">
        <v>781</v>
      </c>
      <c r="G1418" s="108" t="s">
        <v>31</v>
      </c>
      <c r="H1418" s="126"/>
      <c r="L1418" s="20"/>
      <c r="M1418" s="20"/>
      <c r="N1418" s="20"/>
      <c r="O1418" s="20"/>
      <c r="P1418" s="20"/>
      <c r="Q1418" s="20"/>
      <c r="R1418" s="17"/>
    </row>
    <row r="1419" spans="1:18" s="16" customFormat="1" ht="15.75">
      <c r="A1419" s="14"/>
      <c r="B1419" s="129"/>
      <c r="C1419" s="109"/>
      <c r="D1419" s="108"/>
      <c r="E1419" s="108"/>
      <c r="F1419" s="108"/>
      <c r="G1419" s="108"/>
      <c r="H1419" s="126"/>
      <c r="L1419" s="20"/>
      <c r="M1419" s="20"/>
      <c r="N1419" s="20"/>
      <c r="O1419" s="20">
        <f t="shared" ref="O1419:O1426" si="160">H1419-L1419</f>
        <v>0</v>
      </c>
      <c r="P1419" s="20" t="e">
        <f>#REF!-M1419</f>
        <v>#REF!</v>
      </c>
      <c r="Q1419" s="20" t="e">
        <f>#REF!-N1419</f>
        <v>#REF!</v>
      </c>
      <c r="R1419" s="17" t="str">
        <f t="shared" ref="R1419:R1527" si="161">CONCATENATE(F1419,G1419)</f>
        <v/>
      </c>
    </row>
    <row r="1420" spans="1:18" s="16" customFormat="1" ht="31.5">
      <c r="A1420" s="14"/>
      <c r="B1420" s="67" t="s">
        <v>794</v>
      </c>
      <c r="C1420" s="116" t="s">
        <v>795</v>
      </c>
      <c r="D1420" s="69" t="s">
        <v>7</v>
      </c>
      <c r="E1420" s="69" t="s">
        <v>7</v>
      </c>
      <c r="F1420" s="156" t="s">
        <v>8</v>
      </c>
      <c r="G1420" s="69" t="s">
        <v>9</v>
      </c>
      <c r="H1420" s="70">
        <f>H1421+H1466+H1477+H1513</f>
        <v>0</v>
      </c>
      <c r="L1420" s="25">
        <v>194853.65</v>
      </c>
      <c r="M1420" s="25">
        <v>199261.83000000002</v>
      </c>
      <c r="N1420" s="25">
        <v>211041.97000000003</v>
      </c>
      <c r="O1420" s="25">
        <f t="shared" si="160"/>
        <v>-194853.65</v>
      </c>
      <c r="P1420" s="25" t="e">
        <f>#REF!-M1420</f>
        <v>#REF!</v>
      </c>
      <c r="Q1420" s="25" t="e">
        <f>#REF!-N1420</f>
        <v>#REF!</v>
      </c>
      <c r="R1420" s="17" t="str">
        <f t="shared" si="161"/>
        <v>00 0 00 00000000</v>
      </c>
    </row>
    <row r="1421" spans="1:18" s="16" customFormat="1" ht="15.75">
      <c r="A1421" s="14"/>
      <c r="B1421" s="117" t="s">
        <v>10</v>
      </c>
      <c r="C1421" s="118" t="s">
        <v>795</v>
      </c>
      <c r="D1421" s="119" t="s">
        <v>11</v>
      </c>
      <c r="E1421" s="119" t="s">
        <v>7</v>
      </c>
      <c r="F1421" s="119" t="s">
        <v>8</v>
      </c>
      <c r="G1421" s="119" t="s">
        <v>9</v>
      </c>
      <c r="H1421" s="120">
        <f>H1422+H1448</f>
        <v>0</v>
      </c>
      <c r="L1421" s="18">
        <v>44007.149999999994</v>
      </c>
      <c r="M1421" s="18">
        <v>43253.189999999995</v>
      </c>
      <c r="N1421" s="18">
        <v>43253.189999999995</v>
      </c>
      <c r="O1421" s="18">
        <f t="shared" si="160"/>
        <v>-44007.149999999994</v>
      </c>
      <c r="P1421" s="18" t="e">
        <f>#REF!-M1421</f>
        <v>#REF!</v>
      </c>
      <c r="Q1421" s="18" t="e">
        <f>#REF!-N1421</f>
        <v>#REF!</v>
      </c>
      <c r="R1421" s="17" t="str">
        <f t="shared" si="161"/>
        <v>00 0 00 00000000</v>
      </c>
    </row>
    <row r="1422" spans="1:18" s="16" customFormat="1" ht="63">
      <c r="A1422" s="14"/>
      <c r="B1422" s="121" t="s">
        <v>72</v>
      </c>
      <c r="C1422" s="122" t="s">
        <v>795</v>
      </c>
      <c r="D1422" s="123" t="s">
        <v>11</v>
      </c>
      <c r="E1422" s="123" t="s">
        <v>73</v>
      </c>
      <c r="F1422" s="123" t="s">
        <v>8</v>
      </c>
      <c r="G1422" s="123" t="s">
        <v>9</v>
      </c>
      <c r="H1422" s="124">
        <f t="shared" ref="H1422:H1423" si="162">H1423</f>
        <v>0</v>
      </c>
      <c r="L1422" s="19">
        <v>42676.389999999992</v>
      </c>
      <c r="M1422" s="19">
        <v>42676.389999999992</v>
      </c>
      <c r="N1422" s="19">
        <v>42676.389999999992</v>
      </c>
      <c r="O1422" s="19">
        <f t="shared" si="160"/>
        <v>-42676.389999999992</v>
      </c>
      <c r="P1422" s="19" t="e">
        <f>#REF!-M1422</f>
        <v>#REF!</v>
      </c>
      <c r="Q1422" s="19" t="e">
        <f>#REF!-N1422</f>
        <v>#REF!</v>
      </c>
      <c r="R1422" s="17" t="str">
        <f t="shared" si="161"/>
        <v>00 0 00 00000000</v>
      </c>
    </row>
    <row r="1423" spans="1:18" s="16" customFormat="1" ht="31.5">
      <c r="A1423" s="14"/>
      <c r="B1423" s="125" t="s">
        <v>796</v>
      </c>
      <c r="C1423" s="108" t="s">
        <v>795</v>
      </c>
      <c r="D1423" s="108" t="s">
        <v>11</v>
      </c>
      <c r="E1423" s="108" t="s">
        <v>73</v>
      </c>
      <c r="F1423" s="108" t="s">
        <v>797</v>
      </c>
      <c r="G1423" s="108" t="s">
        <v>9</v>
      </c>
      <c r="H1423" s="126">
        <f t="shared" si="162"/>
        <v>0</v>
      </c>
      <c r="L1423" s="20">
        <v>42676.389999999992</v>
      </c>
      <c r="M1423" s="20">
        <v>42676.389999999992</v>
      </c>
      <c r="N1423" s="20">
        <v>42676.389999999992</v>
      </c>
      <c r="O1423" s="20">
        <f t="shared" si="160"/>
        <v>-42676.389999999992</v>
      </c>
      <c r="P1423" s="20" t="e">
        <f>#REF!-M1423</f>
        <v>#REF!</v>
      </c>
      <c r="Q1423" s="20" t="e">
        <f>#REF!-N1423</f>
        <v>#REF!</v>
      </c>
      <c r="R1423" s="17" t="str">
        <f t="shared" si="161"/>
        <v>82 0 00 00000000</v>
      </c>
    </row>
    <row r="1424" spans="1:18" s="16" customFormat="1" ht="47.25">
      <c r="A1424" s="14"/>
      <c r="B1424" s="125" t="s">
        <v>798</v>
      </c>
      <c r="C1424" s="108" t="s">
        <v>795</v>
      </c>
      <c r="D1424" s="108" t="s">
        <v>11</v>
      </c>
      <c r="E1424" s="108" t="s">
        <v>73</v>
      </c>
      <c r="F1424" s="108" t="s">
        <v>799</v>
      </c>
      <c r="G1424" s="108" t="s">
        <v>9</v>
      </c>
      <c r="H1424" s="105">
        <f>H1445+H1438+H1434+H1425</f>
        <v>0</v>
      </c>
      <c r="L1424" s="26">
        <v>42676.389999999992</v>
      </c>
      <c r="M1424" s="26">
        <v>42676.389999999992</v>
      </c>
      <c r="N1424" s="26">
        <v>42676.389999999992</v>
      </c>
      <c r="O1424" s="26">
        <f t="shared" si="160"/>
        <v>-42676.389999999992</v>
      </c>
      <c r="P1424" s="26" t="e">
        <f>#REF!-M1424</f>
        <v>#REF!</v>
      </c>
      <c r="Q1424" s="26" t="e">
        <f>#REF!-N1424</f>
        <v>#REF!</v>
      </c>
      <c r="R1424" s="17" t="str">
        <f t="shared" si="161"/>
        <v>82 1 00 00000000</v>
      </c>
    </row>
    <row r="1425" spans="1:18" s="16" customFormat="1" ht="31.5">
      <c r="A1425" s="14"/>
      <c r="B1425" s="125" t="s">
        <v>18</v>
      </c>
      <c r="C1425" s="108" t="s">
        <v>795</v>
      </c>
      <c r="D1425" s="108" t="s">
        <v>11</v>
      </c>
      <c r="E1425" s="108" t="s">
        <v>73</v>
      </c>
      <c r="F1425" s="108" t="s">
        <v>800</v>
      </c>
      <c r="G1425" s="108" t="s">
        <v>9</v>
      </c>
      <c r="H1425" s="105">
        <f>H1426+H1429+H1431</f>
        <v>0</v>
      </c>
      <c r="L1425" s="26">
        <v>5112.3100000000004</v>
      </c>
      <c r="M1425" s="26">
        <v>5112.3100000000004</v>
      </c>
      <c r="N1425" s="26">
        <v>5112.3100000000004</v>
      </c>
      <c r="O1425" s="26">
        <f t="shared" si="160"/>
        <v>-5112.3100000000004</v>
      </c>
      <c r="P1425" s="26" t="e">
        <f>#REF!-M1425</f>
        <v>#REF!</v>
      </c>
      <c r="Q1425" s="26" t="e">
        <f>#REF!-N1425</f>
        <v>#REF!</v>
      </c>
      <c r="R1425" s="17" t="str">
        <f t="shared" si="161"/>
        <v>82 1 00 10010000</v>
      </c>
    </row>
    <row r="1426" spans="1:18" s="50" customFormat="1" ht="31.5">
      <c r="A1426" s="49"/>
      <c r="B1426" s="129" t="s">
        <v>20</v>
      </c>
      <c r="C1426" s="131" t="s">
        <v>795</v>
      </c>
      <c r="D1426" s="131" t="s">
        <v>11</v>
      </c>
      <c r="E1426" s="131" t="s">
        <v>73</v>
      </c>
      <c r="F1426" s="108" t="s">
        <v>800</v>
      </c>
      <c r="G1426" s="131" t="s">
        <v>21</v>
      </c>
      <c r="H1426" s="126">
        <f>SUM(H1427:H1428)</f>
        <v>0</v>
      </c>
      <c r="L1426" s="26">
        <v>836.55</v>
      </c>
      <c r="M1426" s="26">
        <v>836.55</v>
      </c>
      <c r="N1426" s="26">
        <v>836.55</v>
      </c>
      <c r="O1426" s="26">
        <f t="shared" si="160"/>
        <v>-836.55</v>
      </c>
      <c r="P1426" s="26" t="e">
        <f>#REF!-M1426</f>
        <v>#REF!</v>
      </c>
      <c r="Q1426" s="26" t="e">
        <f>#REF!-N1426</f>
        <v>#REF!</v>
      </c>
      <c r="R1426" s="17" t="str">
        <f t="shared" si="161"/>
        <v>82 1 00 10010120</v>
      </c>
    </row>
    <row r="1427" spans="1:18" s="23" customFormat="1" ht="47.25">
      <c r="A1427" s="21"/>
      <c r="B1427" s="127" t="s">
        <v>22</v>
      </c>
      <c r="C1427" s="131" t="s">
        <v>795</v>
      </c>
      <c r="D1427" s="131" t="s">
        <v>11</v>
      </c>
      <c r="E1427" s="131" t="s">
        <v>73</v>
      </c>
      <c r="F1427" s="108" t="s">
        <v>800</v>
      </c>
      <c r="G1427" s="108" t="s">
        <v>23</v>
      </c>
      <c r="H1427" s="126"/>
      <c r="L1427" s="22"/>
      <c r="M1427" s="22"/>
      <c r="N1427" s="22"/>
      <c r="O1427" s="22"/>
      <c r="P1427" s="22"/>
      <c r="Q1427" s="22"/>
      <c r="R1427" s="24"/>
    </row>
    <row r="1428" spans="1:18" s="23" customFormat="1" ht="63">
      <c r="A1428" s="21"/>
      <c r="B1428" s="127" t="s">
        <v>26</v>
      </c>
      <c r="C1428" s="131" t="s">
        <v>795</v>
      </c>
      <c r="D1428" s="131" t="s">
        <v>11</v>
      </c>
      <c r="E1428" s="131" t="s">
        <v>73</v>
      </c>
      <c r="F1428" s="108" t="s">
        <v>800</v>
      </c>
      <c r="G1428" s="108" t="s">
        <v>27</v>
      </c>
      <c r="H1428" s="126"/>
      <c r="L1428" s="22"/>
      <c r="M1428" s="22"/>
      <c r="N1428" s="22"/>
      <c r="O1428" s="22"/>
      <c r="P1428" s="22"/>
      <c r="Q1428" s="22"/>
      <c r="R1428" s="24"/>
    </row>
    <row r="1429" spans="1:18" s="16" customFormat="1" ht="31.5">
      <c r="A1429" s="14"/>
      <c r="B1429" s="125" t="s">
        <v>28</v>
      </c>
      <c r="C1429" s="131" t="s">
        <v>795</v>
      </c>
      <c r="D1429" s="131" t="s">
        <v>11</v>
      </c>
      <c r="E1429" s="131" t="s">
        <v>73</v>
      </c>
      <c r="F1429" s="108" t="s">
        <v>800</v>
      </c>
      <c r="G1429" s="108" t="s">
        <v>29</v>
      </c>
      <c r="H1429" s="126">
        <f>H1430</f>
        <v>0</v>
      </c>
      <c r="L1429" s="26">
        <v>3935.76</v>
      </c>
      <c r="M1429" s="26">
        <v>3935.76</v>
      </c>
      <c r="N1429" s="26">
        <v>3935.76</v>
      </c>
      <c r="O1429" s="26">
        <f>H1429-L1429</f>
        <v>-3935.76</v>
      </c>
      <c r="P1429" s="26" t="e">
        <f>#REF!-M1429</f>
        <v>#REF!</v>
      </c>
      <c r="Q1429" s="26" t="e">
        <f>#REF!-N1429</f>
        <v>#REF!</v>
      </c>
      <c r="R1429" s="17" t="str">
        <f t="shared" si="161"/>
        <v>82 1 00 10010240</v>
      </c>
    </row>
    <row r="1430" spans="1:18" s="16" customFormat="1" ht="15.75">
      <c r="A1430" s="14"/>
      <c r="B1430" s="125" t="s">
        <v>30</v>
      </c>
      <c r="C1430" s="131" t="s">
        <v>795</v>
      </c>
      <c r="D1430" s="131" t="s">
        <v>11</v>
      </c>
      <c r="E1430" s="131" t="s">
        <v>73</v>
      </c>
      <c r="F1430" s="108" t="s">
        <v>800</v>
      </c>
      <c r="G1430" s="108" t="s">
        <v>31</v>
      </c>
      <c r="H1430" s="126"/>
      <c r="L1430" s="26"/>
      <c r="M1430" s="26"/>
      <c r="N1430" s="26"/>
      <c r="O1430" s="26"/>
      <c r="P1430" s="26"/>
      <c r="Q1430" s="26"/>
      <c r="R1430" s="17"/>
    </row>
    <row r="1431" spans="1:18" s="16" customFormat="1" ht="15.75">
      <c r="A1431" s="14"/>
      <c r="B1431" s="125" t="s">
        <v>32</v>
      </c>
      <c r="C1431" s="131" t="s">
        <v>795</v>
      </c>
      <c r="D1431" s="131" t="s">
        <v>11</v>
      </c>
      <c r="E1431" s="131" t="s">
        <v>73</v>
      </c>
      <c r="F1431" s="108" t="s">
        <v>800</v>
      </c>
      <c r="G1431" s="131" t="s">
        <v>33</v>
      </c>
      <c r="H1431" s="126">
        <f>SUM(H1432:H1433)</f>
        <v>0</v>
      </c>
      <c r="L1431" s="26">
        <v>340</v>
      </c>
      <c r="M1431" s="26">
        <v>340</v>
      </c>
      <c r="N1431" s="26">
        <v>340</v>
      </c>
      <c r="O1431" s="26">
        <f>H1431-L1431</f>
        <v>-340</v>
      </c>
      <c r="P1431" s="26" t="e">
        <f>#REF!-M1431</f>
        <v>#REF!</v>
      </c>
      <c r="Q1431" s="26" t="e">
        <f>#REF!-N1431</f>
        <v>#REF!</v>
      </c>
      <c r="R1431" s="17" t="str">
        <f t="shared" si="161"/>
        <v>82 1 00 10010850</v>
      </c>
    </row>
    <row r="1432" spans="1:18" s="23" customFormat="1" ht="31.5">
      <c r="A1432" s="21"/>
      <c r="B1432" s="127" t="s">
        <v>34</v>
      </c>
      <c r="C1432" s="131" t="s">
        <v>795</v>
      </c>
      <c r="D1432" s="131" t="s">
        <v>11</v>
      </c>
      <c r="E1432" s="131" t="s">
        <v>73</v>
      </c>
      <c r="F1432" s="108" t="s">
        <v>800</v>
      </c>
      <c r="G1432" s="108" t="s">
        <v>35</v>
      </c>
      <c r="H1432" s="126"/>
      <c r="L1432" s="22"/>
      <c r="M1432" s="22"/>
      <c r="N1432" s="22"/>
      <c r="O1432" s="22"/>
      <c r="P1432" s="22"/>
      <c r="Q1432" s="22"/>
      <c r="R1432" s="24"/>
    </row>
    <row r="1433" spans="1:18" s="23" customFormat="1" ht="15.75">
      <c r="A1433" s="21"/>
      <c r="B1433" s="127" t="s">
        <v>36</v>
      </c>
      <c r="C1433" s="131" t="s">
        <v>795</v>
      </c>
      <c r="D1433" s="131" t="s">
        <v>11</v>
      </c>
      <c r="E1433" s="131" t="s">
        <v>73</v>
      </c>
      <c r="F1433" s="108" t="s">
        <v>800</v>
      </c>
      <c r="G1433" s="108" t="s">
        <v>37</v>
      </c>
      <c r="H1433" s="126"/>
      <c r="L1433" s="22"/>
      <c r="M1433" s="22"/>
      <c r="N1433" s="22"/>
      <c r="O1433" s="22"/>
      <c r="P1433" s="22"/>
      <c r="Q1433" s="22"/>
      <c r="R1433" s="24"/>
    </row>
    <row r="1434" spans="1:18" s="47" customFormat="1" ht="31.5">
      <c r="A1434" s="46"/>
      <c r="B1434" s="129" t="s">
        <v>789</v>
      </c>
      <c r="C1434" s="131" t="s">
        <v>795</v>
      </c>
      <c r="D1434" s="131" t="s">
        <v>11</v>
      </c>
      <c r="E1434" s="131" t="s">
        <v>73</v>
      </c>
      <c r="F1434" s="131" t="s">
        <v>801</v>
      </c>
      <c r="G1434" s="131" t="s">
        <v>9</v>
      </c>
      <c r="H1434" s="105">
        <f>H1435</f>
        <v>0</v>
      </c>
      <c r="L1434" s="26">
        <v>35958.199999999997</v>
      </c>
      <c r="M1434" s="26">
        <v>35958.199999999997</v>
      </c>
      <c r="N1434" s="26">
        <v>35958.199999999997</v>
      </c>
      <c r="O1434" s="26">
        <f>H1434-L1434</f>
        <v>-35958.199999999997</v>
      </c>
      <c r="P1434" s="26" t="e">
        <f>#REF!-M1434</f>
        <v>#REF!</v>
      </c>
      <c r="Q1434" s="26" t="e">
        <f>#REF!-N1434</f>
        <v>#REF!</v>
      </c>
      <c r="R1434" s="17" t="str">
        <f t="shared" si="161"/>
        <v>82 1 00 10020000</v>
      </c>
    </row>
    <row r="1435" spans="1:18" s="50" customFormat="1" ht="31.5">
      <c r="A1435" s="49"/>
      <c r="B1435" s="129" t="s">
        <v>20</v>
      </c>
      <c r="C1435" s="131" t="s">
        <v>795</v>
      </c>
      <c r="D1435" s="131" t="s">
        <v>11</v>
      </c>
      <c r="E1435" s="131" t="s">
        <v>73</v>
      </c>
      <c r="F1435" s="131" t="s">
        <v>801</v>
      </c>
      <c r="G1435" s="131" t="s">
        <v>21</v>
      </c>
      <c r="H1435" s="126">
        <f>SUM(H1436:H1437)</f>
        <v>0</v>
      </c>
      <c r="L1435" s="26">
        <v>35958.199999999997</v>
      </c>
      <c r="M1435" s="26">
        <v>35958.199999999997</v>
      </c>
      <c r="N1435" s="26">
        <v>35958.199999999997</v>
      </c>
      <c r="O1435" s="26">
        <f>H1435-L1435</f>
        <v>-35958.199999999997</v>
      </c>
      <c r="P1435" s="26" t="e">
        <f>#REF!-M1435</f>
        <v>#REF!</v>
      </c>
      <c r="Q1435" s="26" t="e">
        <f>#REF!-N1435</f>
        <v>#REF!</v>
      </c>
      <c r="R1435" s="17" t="str">
        <f t="shared" si="161"/>
        <v>82 1 00 10020120</v>
      </c>
    </row>
    <row r="1436" spans="1:18" s="23" customFormat="1" ht="31.5">
      <c r="A1436" s="21"/>
      <c r="B1436" s="127" t="s">
        <v>40</v>
      </c>
      <c r="C1436" s="131" t="s">
        <v>795</v>
      </c>
      <c r="D1436" s="131" t="s">
        <v>11</v>
      </c>
      <c r="E1436" s="131" t="s">
        <v>73</v>
      </c>
      <c r="F1436" s="131" t="s">
        <v>801</v>
      </c>
      <c r="G1436" s="108" t="s">
        <v>41</v>
      </c>
      <c r="H1436" s="126"/>
      <c r="L1436" s="22"/>
      <c r="M1436" s="22"/>
      <c r="N1436" s="22"/>
      <c r="O1436" s="22"/>
      <c r="P1436" s="22"/>
      <c r="Q1436" s="22"/>
      <c r="R1436" s="24"/>
    </row>
    <row r="1437" spans="1:18" s="23" customFormat="1" ht="63">
      <c r="A1437" s="21"/>
      <c r="B1437" s="127" t="s">
        <v>26</v>
      </c>
      <c r="C1437" s="131" t="s">
        <v>795</v>
      </c>
      <c r="D1437" s="131" t="s">
        <v>11</v>
      </c>
      <c r="E1437" s="131" t="s">
        <v>73</v>
      </c>
      <c r="F1437" s="131" t="s">
        <v>801</v>
      </c>
      <c r="G1437" s="108" t="s">
        <v>27</v>
      </c>
      <c r="H1437" s="126"/>
      <c r="L1437" s="22"/>
      <c r="M1437" s="22"/>
      <c r="N1437" s="22"/>
      <c r="O1437" s="22"/>
      <c r="P1437" s="22"/>
      <c r="Q1437" s="22"/>
      <c r="R1437" s="24"/>
    </row>
    <row r="1438" spans="1:18" s="47" customFormat="1" ht="63">
      <c r="A1438" s="14" t="s">
        <v>80</v>
      </c>
      <c r="B1438" s="150" t="s">
        <v>488</v>
      </c>
      <c r="C1438" s="131" t="s">
        <v>795</v>
      </c>
      <c r="D1438" s="131" t="s">
        <v>11</v>
      </c>
      <c r="E1438" s="131" t="s">
        <v>73</v>
      </c>
      <c r="F1438" s="131" t="s">
        <v>802</v>
      </c>
      <c r="G1438" s="131" t="s">
        <v>9</v>
      </c>
      <c r="H1438" s="105">
        <f>H1439+H1443</f>
        <v>0</v>
      </c>
      <c r="L1438" s="26">
        <v>1534.98</v>
      </c>
      <c r="M1438" s="26">
        <v>1534.98</v>
      </c>
      <c r="N1438" s="26">
        <v>1534.98</v>
      </c>
      <c r="O1438" s="26">
        <f>H1438-L1438</f>
        <v>-1534.98</v>
      </c>
      <c r="P1438" s="26" t="e">
        <f>#REF!-M1438</f>
        <v>#REF!</v>
      </c>
      <c r="Q1438" s="26" t="e">
        <f>#REF!-N1438</f>
        <v>#REF!</v>
      </c>
      <c r="R1438" s="17" t="str">
        <f t="shared" si="161"/>
        <v>82 1 00 76200000</v>
      </c>
    </row>
    <row r="1439" spans="1:18" s="50" customFormat="1" ht="31.5">
      <c r="A1439" s="49"/>
      <c r="B1439" s="129" t="s">
        <v>20</v>
      </c>
      <c r="C1439" s="131" t="s">
        <v>795</v>
      </c>
      <c r="D1439" s="131" t="s">
        <v>11</v>
      </c>
      <c r="E1439" s="131" t="s">
        <v>73</v>
      </c>
      <c r="F1439" s="131" t="s">
        <v>802</v>
      </c>
      <c r="G1439" s="131" t="s">
        <v>21</v>
      </c>
      <c r="H1439" s="126">
        <f>SUM(H1440:H1442)</f>
        <v>0</v>
      </c>
      <c r="L1439" s="26">
        <v>1338.68</v>
      </c>
      <c r="M1439" s="26">
        <v>1338.68</v>
      </c>
      <c r="N1439" s="26">
        <v>1338.68</v>
      </c>
      <c r="O1439" s="26">
        <f>H1439-L1439</f>
        <v>-1338.68</v>
      </c>
      <c r="P1439" s="26" t="e">
        <f>#REF!-M1439</f>
        <v>#REF!</v>
      </c>
      <c r="Q1439" s="26" t="e">
        <f>#REF!-N1439</f>
        <v>#REF!</v>
      </c>
      <c r="R1439" s="17" t="str">
        <f t="shared" si="161"/>
        <v>82 1 00 76200120</v>
      </c>
    </row>
    <row r="1440" spans="1:18" s="23" customFormat="1" ht="31.5">
      <c r="A1440" s="21"/>
      <c r="B1440" s="127" t="s">
        <v>40</v>
      </c>
      <c r="C1440" s="131" t="s">
        <v>795</v>
      </c>
      <c r="D1440" s="131" t="s">
        <v>11</v>
      </c>
      <c r="E1440" s="131" t="s">
        <v>73</v>
      </c>
      <c r="F1440" s="131" t="s">
        <v>802</v>
      </c>
      <c r="G1440" s="108" t="s">
        <v>41</v>
      </c>
      <c r="H1440" s="126"/>
      <c r="L1440" s="22"/>
      <c r="M1440" s="22"/>
      <c r="N1440" s="22"/>
      <c r="O1440" s="22"/>
      <c r="P1440" s="22"/>
      <c r="Q1440" s="22"/>
      <c r="R1440" s="24"/>
    </row>
    <row r="1441" spans="1:18" s="23" customFormat="1" ht="47.25">
      <c r="A1441" s="21"/>
      <c r="B1441" s="127" t="s">
        <v>22</v>
      </c>
      <c r="C1441" s="131" t="s">
        <v>795</v>
      </c>
      <c r="D1441" s="131" t="s">
        <v>11</v>
      </c>
      <c r="E1441" s="131" t="s">
        <v>73</v>
      </c>
      <c r="F1441" s="131" t="s">
        <v>802</v>
      </c>
      <c r="G1441" s="108" t="s">
        <v>23</v>
      </c>
      <c r="H1441" s="126"/>
      <c r="L1441" s="22"/>
      <c r="M1441" s="22"/>
      <c r="N1441" s="22"/>
      <c r="O1441" s="22"/>
      <c r="P1441" s="22"/>
      <c r="Q1441" s="22"/>
      <c r="R1441" s="24"/>
    </row>
    <row r="1442" spans="1:18" s="23" customFormat="1" ht="63">
      <c r="A1442" s="21"/>
      <c r="B1442" s="127" t="s">
        <v>26</v>
      </c>
      <c r="C1442" s="131" t="s">
        <v>795</v>
      </c>
      <c r="D1442" s="131" t="s">
        <v>11</v>
      </c>
      <c r="E1442" s="131" t="s">
        <v>73</v>
      </c>
      <c r="F1442" s="131" t="s">
        <v>802</v>
      </c>
      <c r="G1442" s="108" t="s">
        <v>27</v>
      </c>
      <c r="H1442" s="126"/>
      <c r="L1442" s="22"/>
      <c r="M1442" s="22"/>
      <c r="N1442" s="22"/>
      <c r="O1442" s="22"/>
      <c r="P1442" s="22"/>
      <c r="Q1442" s="22"/>
      <c r="R1442" s="24"/>
    </row>
    <row r="1443" spans="1:18" s="50" customFormat="1" ht="31.5">
      <c r="A1443" s="49"/>
      <c r="B1443" s="125" t="s">
        <v>28</v>
      </c>
      <c r="C1443" s="131" t="s">
        <v>795</v>
      </c>
      <c r="D1443" s="131" t="s">
        <v>11</v>
      </c>
      <c r="E1443" s="131" t="s">
        <v>73</v>
      </c>
      <c r="F1443" s="131" t="s">
        <v>802</v>
      </c>
      <c r="G1443" s="131" t="s">
        <v>29</v>
      </c>
      <c r="H1443" s="126">
        <f>H1444</f>
        <v>0</v>
      </c>
      <c r="L1443" s="26">
        <v>196.3</v>
      </c>
      <c r="M1443" s="26">
        <v>196.3</v>
      </c>
      <c r="N1443" s="26">
        <v>196.3</v>
      </c>
      <c r="O1443" s="26">
        <f>H1443-L1443</f>
        <v>-196.3</v>
      </c>
      <c r="P1443" s="26" t="e">
        <f>#REF!-M1443</f>
        <v>#REF!</v>
      </c>
      <c r="Q1443" s="26" t="e">
        <f>#REF!-N1443</f>
        <v>#REF!</v>
      </c>
      <c r="R1443" s="17" t="str">
        <f t="shared" si="161"/>
        <v>82 1 00 76200240</v>
      </c>
    </row>
    <row r="1444" spans="1:18" s="50" customFormat="1" ht="15.75">
      <c r="A1444" s="49"/>
      <c r="B1444" s="125" t="s">
        <v>30</v>
      </c>
      <c r="C1444" s="131" t="s">
        <v>795</v>
      </c>
      <c r="D1444" s="131" t="s">
        <v>11</v>
      </c>
      <c r="E1444" s="131" t="s">
        <v>73</v>
      </c>
      <c r="F1444" s="131" t="s">
        <v>802</v>
      </c>
      <c r="G1444" s="131" t="s">
        <v>31</v>
      </c>
      <c r="H1444" s="126"/>
      <c r="L1444" s="26"/>
      <c r="M1444" s="26"/>
      <c r="N1444" s="26"/>
      <c r="O1444" s="26"/>
      <c r="P1444" s="26"/>
      <c r="Q1444" s="26"/>
      <c r="R1444" s="17"/>
    </row>
    <row r="1445" spans="1:18" s="47" customFormat="1" ht="63">
      <c r="A1445" s="14" t="s">
        <v>80</v>
      </c>
      <c r="B1445" s="129" t="s">
        <v>754</v>
      </c>
      <c r="C1445" s="131" t="s">
        <v>795</v>
      </c>
      <c r="D1445" s="131" t="s">
        <v>11</v>
      </c>
      <c r="E1445" s="131" t="s">
        <v>73</v>
      </c>
      <c r="F1445" s="131" t="s">
        <v>803</v>
      </c>
      <c r="G1445" s="131" t="s">
        <v>9</v>
      </c>
      <c r="H1445" s="105">
        <f>H1446</f>
        <v>0</v>
      </c>
      <c r="L1445" s="26">
        <v>70.900000000000006</v>
      </c>
      <c r="M1445" s="26">
        <v>70.900000000000006</v>
      </c>
      <c r="N1445" s="26">
        <v>70.900000000000006</v>
      </c>
      <c r="O1445" s="26">
        <f>H1445-L1445</f>
        <v>-70.900000000000006</v>
      </c>
      <c r="P1445" s="26" t="e">
        <f>#REF!-M1445</f>
        <v>#REF!</v>
      </c>
      <c r="Q1445" s="26" t="e">
        <f>#REF!-N1445</f>
        <v>#REF!</v>
      </c>
      <c r="R1445" s="17" t="str">
        <f t="shared" si="161"/>
        <v>82 1 00 76360000</v>
      </c>
    </row>
    <row r="1446" spans="1:18" s="50" customFormat="1" ht="31.5">
      <c r="A1446" s="49"/>
      <c r="B1446" s="125" t="s">
        <v>28</v>
      </c>
      <c r="C1446" s="131" t="s">
        <v>795</v>
      </c>
      <c r="D1446" s="131" t="s">
        <v>11</v>
      </c>
      <c r="E1446" s="131" t="s">
        <v>73</v>
      </c>
      <c r="F1446" s="131" t="s">
        <v>803</v>
      </c>
      <c r="G1446" s="131" t="s">
        <v>29</v>
      </c>
      <c r="H1446" s="126">
        <f>H1447</f>
        <v>0</v>
      </c>
      <c r="L1446" s="26">
        <v>70.900000000000006</v>
      </c>
      <c r="M1446" s="26">
        <v>70.900000000000006</v>
      </c>
      <c r="N1446" s="26">
        <v>70.900000000000006</v>
      </c>
      <c r="O1446" s="26">
        <f>H1446-L1446</f>
        <v>-70.900000000000006</v>
      </c>
      <c r="P1446" s="26" t="e">
        <f>#REF!-M1446</f>
        <v>#REF!</v>
      </c>
      <c r="Q1446" s="26" t="e">
        <f>#REF!-N1446</f>
        <v>#REF!</v>
      </c>
      <c r="R1446" s="17" t="str">
        <f t="shared" si="161"/>
        <v>82 1 00 76360240</v>
      </c>
    </row>
    <row r="1447" spans="1:18" s="50" customFormat="1" ht="15.75">
      <c r="A1447" s="49"/>
      <c r="B1447" s="125" t="s">
        <v>30</v>
      </c>
      <c r="C1447" s="131" t="s">
        <v>795</v>
      </c>
      <c r="D1447" s="131" t="s">
        <v>11</v>
      </c>
      <c r="E1447" s="131" t="s">
        <v>73</v>
      </c>
      <c r="F1447" s="131" t="s">
        <v>803</v>
      </c>
      <c r="G1447" s="131" t="s">
        <v>31</v>
      </c>
      <c r="H1447" s="126"/>
      <c r="L1447" s="26"/>
      <c r="M1447" s="26"/>
      <c r="N1447" s="26"/>
      <c r="O1447" s="26"/>
      <c r="P1447" s="26"/>
      <c r="Q1447" s="26"/>
      <c r="R1447" s="17"/>
    </row>
    <row r="1448" spans="1:18" s="16" customFormat="1" ht="15.75">
      <c r="A1448" s="14"/>
      <c r="B1448" s="157" t="s">
        <v>50</v>
      </c>
      <c r="C1448" s="122" t="s">
        <v>795</v>
      </c>
      <c r="D1448" s="123" t="s">
        <v>11</v>
      </c>
      <c r="E1448" s="123" t="s">
        <v>51</v>
      </c>
      <c r="F1448" s="123" t="s">
        <v>8</v>
      </c>
      <c r="G1448" s="123" t="s">
        <v>9</v>
      </c>
      <c r="H1448" s="124">
        <f>H1449+H1458</f>
        <v>0</v>
      </c>
      <c r="L1448" s="19">
        <v>1330.76</v>
      </c>
      <c r="M1448" s="19">
        <v>576.79999999999995</v>
      </c>
      <c r="N1448" s="19">
        <v>576.79999999999995</v>
      </c>
      <c r="O1448" s="19">
        <f t="shared" ref="O1448:O1453" si="163">H1448-L1448</f>
        <v>-1330.76</v>
      </c>
      <c r="P1448" s="19" t="e">
        <f>#REF!-M1448</f>
        <v>#REF!</v>
      </c>
      <c r="Q1448" s="19" t="e">
        <f>#REF!-N1448</f>
        <v>#REF!</v>
      </c>
      <c r="R1448" s="17" t="str">
        <f t="shared" si="161"/>
        <v>00 0 00 00000000</v>
      </c>
    </row>
    <row r="1449" spans="1:18" s="16" customFormat="1" ht="63">
      <c r="A1449" s="14"/>
      <c r="B1449" s="132" t="s">
        <v>257</v>
      </c>
      <c r="C1449" s="108" t="s">
        <v>795</v>
      </c>
      <c r="D1449" s="108" t="s">
        <v>11</v>
      </c>
      <c r="E1449" s="108" t="s">
        <v>51</v>
      </c>
      <c r="F1449" s="108" t="s">
        <v>258</v>
      </c>
      <c r="G1449" s="108" t="s">
        <v>9</v>
      </c>
      <c r="H1449" s="126">
        <f>H1450</f>
        <v>0</v>
      </c>
      <c r="L1449" s="20">
        <v>576.79999999999995</v>
      </c>
      <c r="M1449" s="20">
        <v>576.79999999999995</v>
      </c>
      <c r="N1449" s="20">
        <v>576.79999999999995</v>
      </c>
      <c r="O1449" s="20">
        <f t="shared" si="163"/>
        <v>-576.79999999999995</v>
      </c>
      <c r="P1449" s="20" t="e">
        <f>#REF!-M1449</f>
        <v>#REF!</v>
      </c>
      <c r="Q1449" s="20" t="e">
        <f>#REF!-N1449</f>
        <v>#REF!</v>
      </c>
      <c r="R1449" s="17" t="str">
        <f t="shared" si="161"/>
        <v>11 0 00 00000000</v>
      </c>
    </row>
    <row r="1450" spans="1:18" s="16" customFormat="1" ht="63">
      <c r="A1450" s="14"/>
      <c r="B1450" s="132" t="s">
        <v>259</v>
      </c>
      <c r="C1450" s="108" t="s">
        <v>795</v>
      </c>
      <c r="D1450" s="108" t="s">
        <v>11</v>
      </c>
      <c r="E1450" s="108" t="s">
        <v>51</v>
      </c>
      <c r="F1450" s="108" t="s">
        <v>260</v>
      </c>
      <c r="G1450" s="108" t="s">
        <v>9</v>
      </c>
      <c r="H1450" s="126">
        <f>H1451</f>
        <v>0</v>
      </c>
      <c r="L1450" s="20">
        <v>576.79999999999995</v>
      </c>
      <c r="M1450" s="20">
        <v>576.79999999999995</v>
      </c>
      <c r="N1450" s="20">
        <v>576.79999999999995</v>
      </c>
      <c r="O1450" s="20">
        <f t="shared" si="163"/>
        <v>-576.79999999999995</v>
      </c>
      <c r="P1450" s="20" t="e">
        <f>#REF!-M1450</f>
        <v>#REF!</v>
      </c>
      <c r="Q1450" s="20" t="e">
        <f>#REF!-N1450</f>
        <v>#REF!</v>
      </c>
      <c r="R1450" s="17" t="str">
        <f t="shared" si="161"/>
        <v>11 Б 00 00000000</v>
      </c>
    </row>
    <row r="1451" spans="1:18" s="16" customFormat="1" ht="47.25">
      <c r="A1451" s="14"/>
      <c r="B1451" s="155" t="s">
        <v>261</v>
      </c>
      <c r="C1451" s="108" t="s">
        <v>795</v>
      </c>
      <c r="D1451" s="108" t="s">
        <v>11</v>
      </c>
      <c r="E1451" s="108" t="s">
        <v>51</v>
      </c>
      <c r="F1451" s="108" t="s">
        <v>262</v>
      </c>
      <c r="G1451" s="108" t="s">
        <v>9</v>
      </c>
      <c r="H1451" s="126">
        <f>H1452+H1455</f>
        <v>0</v>
      </c>
      <c r="L1451" s="20">
        <v>576.79999999999995</v>
      </c>
      <c r="M1451" s="20">
        <v>576.79999999999995</v>
      </c>
      <c r="N1451" s="20">
        <v>576.79999999999995</v>
      </c>
      <c r="O1451" s="20">
        <f t="shared" si="163"/>
        <v>-576.79999999999995</v>
      </c>
      <c r="P1451" s="20" t="e">
        <f>#REF!-M1451</f>
        <v>#REF!</v>
      </c>
      <c r="Q1451" s="20" t="e">
        <f>#REF!-N1451</f>
        <v>#REF!</v>
      </c>
      <c r="R1451" s="17" t="str">
        <f t="shared" si="161"/>
        <v>11 Б 01 00000000</v>
      </c>
    </row>
    <row r="1452" spans="1:18" s="16" customFormat="1" ht="31.5">
      <c r="A1452" s="14"/>
      <c r="B1452" s="147" t="s">
        <v>756</v>
      </c>
      <c r="C1452" s="108" t="s">
        <v>795</v>
      </c>
      <c r="D1452" s="108" t="s">
        <v>11</v>
      </c>
      <c r="E1452" s="108" t="s">
        <v>51</v>
      </c>
      <c r="F1452" s="108" t="s">
        <v>757</v>
      </c>
      <c r="G1452" s="108" t="s">
        <v>9</v>
      </c>
      <c r="H1452" s="126">
        <f>H1453</f>
        <v>0</v>
      </c>
      <c r="L1452" s="20">
        <v>476.64</v>
      </c>
      <c r="M1452" s="20">
        <v>476.64</v>
      </c>
      <c r="N1452" s="20">
        <v>476.64</v>
      </c>
      <c r="O1452" s="20">
        <f t="shared" si="163"/>
        <v>-476.64</v>
      </c>
      <c r="P1452" s="20" t="e">
        <f>#REF!-M1452</f>
        <v>#REF!</v>
      </c>
      <c r="Q1452" s="20" t="e">
        <f>#REF!-N1452</f>
        <v>#REF!</v>
      </c>
      <c r="R1452" s="17" t="str">
        <f t="shared" si="161"/>
        <v>11 Б 01 20840000</v>
      </c>
    </row>
    <row r="1453" spans="1:18" s="16" customFormat="1" ht="31.5">
      <c r="A1453" s="14"/>
      <c r="B1453" s="125" t="s">
        <v>28</v>
      </c>
      <c r="C1453" s="108" t="s">
        <v>795</v>
      </c>
      <c r="D1453" s="108" t="s">
        <v>11</v>
      </c>
      <c r="E1453" s="108" t="s">
        <v>51</v>
      </c>
      <c r="F1453" s="108" t="s">
        <v>757</v>
      </c>
      <c r="G1453" s="108" t="s">
        <v>29</v>
      </c>
      <c r="H1453" s="126">
        <f>H1454</f>
        <v>0</v>
      </c>
      <c r="L1453" s="26">
        <v>476.64</v>
      </c>
      <c r="M1453" s="26">
        <v>476.64</v>
      </c>
      <c r="N1453" s="26">
        <v>476.64</v>
      </c>
      <c r="O1453" s="26">
        <f t="shared" si="163"/>
        <v>-476.64</v>
      </c>
      <c r="P1453" s="26" t="e">
        <f>#REF!-M1453</f>
        <v>#REF!</v>
      </c>
      <c r="Q1453" s="26" t="e">
        <f>#REF!-N1453</f>
        <v>#REF!</v>
      </c>
      <c r="R1453" s="17" t="str">
        <f t="shared" si="161"/>
        <v>11 Б 01 20840240</v>
      </c>
    </row>
    <row r="1454" spans="1:18" s="16" customFormat="1" ht="15.75">
      <c r="A1454" s="14"/>
      <c r="B1454" s="125" t="s">
        <v>30</v>
      </c>
      <c r="C1454" s="108" t="s">
        <v>795</v>
      </c>
      <c r="D1454" s="108" t="s">
        <v>11</v>
      </c>
      <c r="E1454" s="108" t="s">
        <v>51</v>
      </c>
      <c r="F1454" s="108" t="s">
        <v>757</v>
      </c>
      <c r="G1454" s="108" t="s">
        <v>31</v>
      </c>
      <c r="H1454" s="126"/>
      <c r="L1454" s="26"/>
      <c r="M1454" s="26"/>
      <c r="N1454" s="26"/>
      <c r="O1454" s="26"/>
      <c r="P1454" s="26"/>
      <c r="Q1454" s="26"/>
      <c r="R1454" s="17"/>
    </row>
    <row r="1455" spans="1:18" s="16" customFormat="1" ht="31.5">
      <c r="A1455" s="14"/>
      <c r="B1455" s="125" t="s">
        <v>267</v>
      </c>
      <c r="C1455" s="108" t="s">
        <v>795</v>
      </c>
      <c r="D1455" s="131" t="s">
        <v>11</v>
      </c>
      <c r="E1455" s="131" t="s">
        <v>51</v>
      </c>
      <c r="F1455" s="14" t="s">
        <v>268</v>
      </c>
      <c r="G1455" s="108" t="s">
        <v>9</v>
      </c>
      <c r="H1455" s="126">
        <f>H1456</f>
        <v>0</v>
      </c>
      <c r="L1455" s="20">
        <v>100.16</v>
      </c>
      <c r="M1455" s="20">
        <v>100.16</v>
      </c>
      <c r="N1455" s="20">
        <v>100.16</v>
      </c>
      <c r="O1455" s="20">
        <f>H1455-L1455</f>
        <v>-100.16</v>
      </c>
      <c r="P1455" s="20" t="e">
        <f>#REF!-M1455</f>
        <v>#REF!</v>
      </c>
      <c r="Q1455" s="20" t="e">
        <f>#REF!-N1455</f>
        <v>#REF!</v>
      </c>
      <c r="R1455" s="17" t="str">
        <f t="shared" si="161"/>
        <v>11 Б 01 21120000</v>
      </c>
    </row>
    <row r="1456" spans="1:18" s="16" customFormat="1" ht="31.5">
      <c r="A1456" s="14"/>
      <c r="B1456" s="125" t="s">
        <v>28</v>
      </c>
      <c r="C1456" s="108" t="s">
        <v>795</v>
      </c>
      <c r="D1456" s="131" t="s">
        <v>11</v>
      </c>
      <c r="E1456" s="131" t="s">
        <v>51</v>
      </c>
      <c r="F1456" s="14" t="s">
        <v>268</v>
      </c>
      <c r="G1456" s="108" t="s">
        <v>29</v>
      </c>
      <c r="H1456" s="126">
        <f>H1457</f>
        <v>0</v>
      </c>
      <c r="L1456" s="20">
        <v>100.16</v>
      </c>
      <c r="M1456" s="20">
        <v>100.16</v>
      </c>
      <c r="N1456" s="20">
        <v>100.16</v>
      </c>
      <c r="O1456" s="20">
        <f>H1456-L1456</f>
        <v>-100.16</v>
      </c>
      <c r="P1456" s="20" t="e">
        <f>#REF!-M1456</f>
        <v>#REF!</v>
      </c>
      <c r="Q1456" s="20" t="e">
        <f>#REF!-N1456</f>
        <v>#REF!</v>
      </c>
      <c r="R1456" s="17" t="str">
        <f t="shared" si="161"/>
        <v>11 Б 01 21120240</v>
      </c>
    </row>
    <row r="1457" spans="1:18" s="16" customFormat="1" ht="15.75">
      <c r="A1457" s="14"/>
      <c r="B1457" s="125" t="s">
        <v>30</v>
      </c>
      <c r="C1457" s="108" t="s">
        <v>795</v>
      </c>
      <c r="D1457" s="131" t="s">
        <v>11</v>
      </c>
      <c r="E1457" s="131" t="s">
        <v>51</v>
      </c>
      <c r="F1457" s="14" t="s">
        <v>268</v>
      </c>
      <c r="G1457" s="108" t="s">
        <v>31</v>
      </c>
      <c r="H1457" s="126"/>
      <c r="L1457" s="20"/>
      <c r="M1457" s="20"/>
      <c r="N1457" s="20"/>
      <c r="O1457" s="20"/>
      <c r="P1457" s="20"/>
      <c r="Q1457" s="20"/>
      <c r="R1457" s="17"/>
    </row>
    <row r="1458" spans="1:18" s="16" customFormat="1" ht="63">
      <c r="A1458" s="14"/>
      <c r="B1458" s="127" t="s">
        <v>87</v>
      </c>
      <c r="C1458" s="108" t="s">
        <v>795</v>
      </c>
      <c r="D1458" s="108" t="s">
        <v>11</v>
      </c>
      <c r="E1458" s="108" t="s">
        <v>51</v>
      </c>
      <c r="F1458" s="14" t="s">
        <v>88</v>
      </c>
      <c r="G1458" s="108" t="s">
        <v>9</v>
      </c>
      <c r="H1458" s="126">
        <f>H1459</f>
        <v>0</v>
      </c>
      <c r="L1458" s="20">
        <v>753.96</v>
      </c>
      <c r="M1458" s="20">
        <v>0</v>
      </c>
      <c r="N1458" s="20">
        <v>0</v>
      </c>
      <c r="O1458" s="20">
        <f>H1458-L1458</f>
        <v>-753.96</v>
      </c>
      <c r="P1458" s="20" t="e">
        <f>#REF!-M1458</f>
        <v>#REF!</v>
      </c>
      <c r="Q1458" s="20" t="e">
        <f>#REF!-N1458</f>
        <v>#REF!</v>
      </c>
      <c r="R1458" s="17" t="str">
        <f t="shared" si="161"/>
        <v>98 0 00 00000000</v>
      </c>
    </row>
    <row r="1459" spans="1:18" s="16" customFormat="1" ht="15.75">
      <c r="A1459" s="14"/>
      <c r="B1459" s="127" t="s">
        <v>89</v>
      </c>
      <c r="C1459" s="108" t="s">
        <v>795</v>
      </c>
      <c r="D1459" s="108" t="s">
        <v>11</v>
      </c>
      <c r="E1459" s="108" t="s">
        <v>51</v>
      </c>
      <c r="F1459" s="14" t="s">
        <v>90</v>
      </c>
      <c r="G1459" s="108" t="s">
        <v>9</v>
      </c>
      <c r="H1459" s="126">
        <f>H1460+H1463</f>
        <v>0</v>
      </c>
      <c r="L1459" s="20">
        <v>753.96</v>
      </c>
      <c r="M1459" s="20">
        <v>0</v>
      </c>
      <c r="N1459" s="20">
        <v>0</v>
      </c>
      <c r="O1459" s="20">
        <f>H1459-L1459</f>
        <v>-753.96</v>
      </c>
      <c r="P1459" s="20" t="e">
        <f>#REF!-M1459</f>
        <v>#REF!</v>
      </c>
      <c r="Q1459" s="20" t="e">
        <f>#REF!-N1459</f>
        <v>#REF!</v>
      </c>
      <c r="R1459" s="17" t="str">
        <f t="shared" si="161"/>
        <v>98 1 00 00000000</v>
      </c>
    </row>
    <row r="1460" spans="1:18" s="16" customFormat="1" ht="78.75">
      <c r="A1460" s="14"/>
      <c r="B1460" s="127" t="s">
        <v>758</v>
      </c>
      <c r="C1460" s="108" t="s">
        <v>795</v>
      </c>
      <c r="D1460" s="108" t="s">
        <v>11</v>
      </c>
      <c r="E1460" s="108" t="s">
        <v>51</v>
      </c>
      <c r="F1460" s="14" t="s">
        <v>759</v>
      </c>
      <c r="G1460" s="108" t="s">
        <v>9</v>
      </c>
      <c r="H1460" s="126">
        <f>H1461</f>
        <v>0</v>
      </c>
      <c r="L1460" s="20">
        <v>753.96</v>
      </c>
      <c r="M1460" s="20">
        <v>0</v>
      </c>
      <c r="N1460" s="20">
        <v>0</v>
      </c>
      <c r="O1460" s="20">
        <f>H1460-L1460</f>
        <v>-753.96</v>
      </c>
      <c r="P1460" s="20" t="e">
        <f>#REF!-M1460</f>
        <v>#REF!</v>
      </c>
      <c r="Q1460" s="20" t="e">
        <f>#REF!-N1460</f>
        <v>#REF!</v>
      </c>
      <c r="R1460" s="17" t="str">
        <f t="shared" si="161"/>
        <v>98 1 00 21020000</v>
      </c>
    </row>
    <row r="1461" spans="1:18" s="16" customFormat="1" ht="31.5">
      <c r="A1461" s="14"/>
      <c r="B1461" s="125" t="s">
        <v>28</v>
      </c>
      <c r="C1461" s="108" t="s">
        <v>795</v>
      </c>
      <c r="D1461" s="108" t="s">
        <v>11</v>
      </c>
      <c r="E1461" s="108" t="s">
        <v>51</v>
      </c>
      <c r="F1461" s="14" t="s">
        <v>759</v>
      </c>
      <c r="G1461" s="131" t="s">
        <v>29</v>
      </c>
      <c r="H1461" s="126">
        <f>H1462</f>
        <v>0</v>
      </c>
      <c r="L1461" s="20">
        <v>753.96</v>
      </c>
      <c r="M1461" s="20">
        <v>0</v>
      </c>
      <c r="N1461" s="20">
        <v>0</v>
      </c>
      <c r="O1461" s="20">
        <f>H1461-L1461</f>
        <v>-753.96</v>
      </c>
      <c r="P1461" s="20" t="e">
        <f>#REF!-M1461</f>
        <v>#REF!</v>
      </c>
      <c r="Q1461" s="20" t="e">
        <f>#REF!-N1461</f>
        <v>#REF!</v>
      </c>
      <c r="R1461" s="17" t="str">
        <f t="shared" si="161"/>
        <v>98 1 00 21020240</v>
      </c>
    </row>
    <row r="1462" spans="1:18" s="16" customFormat="1" ht="15.75">
      <c r="A1462" s="14"/>
      <c r="B1462" s="125" t="s">
        <v>30</v>
      </c>
      <c r="C1462" s="108" t="s">
        <v>795</v>
      </c>
      <c r="D1462" s="108" t="s">
        <v>11</v>
      </c>
      <c r="E1462" s="108" t="s">
        <v>51</v>
      </c>
      <c r="F1462" s="14" t="s">
        <v>759</v>
      </c>
      <c r="G1462" s="131" t="s">
        <v>31</v>
      </c>
      <c r="H1462" s="126"/>
      <c r="L1462" s="20"/>
      <c r="M1462" s="20"/>
      <c r="N1462" s="20"/>
      <c r="O1462" s="20"/>
      <c r="P1462" s="20"/>
      <c r="Q1462" s="20"/>
      <c r="R1462" s="17"/>
    </row>
    <row r="1463" spans="1:18" s="16" customFormat="1" ht="31.5">
      <c r="A1463" s="14"/>
      <c r="B1463" s="138" t="s">
        <v>282</v>
      </c>
      <c r="C1463" s="108" t="s">
        <v>795</v>
      </c>
      <c r="D1463" s="108" t="s">
        <v>11</v>
      </c>
      <c r="E1463" s="108" t="s">
        <v>51</v>
      </c>
      <c r="F1463" s="108" t="s">
        <v>283</v>
      </c>
      <c r="G1463" s="108" t="s">
        <v>9</v>
      </c>
      <c r="H1463" s="126">
        <f>H1464</f>
        <v>0</v>
      </c>
      <c r="L1463" s="20"/>
      <c r="M1463" s="20"/>
      <c r="N1463" s="20"/>
      <c r="O1463" s="20">
        <f>H1463-L1463</f>
        <v>0</v>
      </c>
      <c r="P1463" s="20" t="e">
        <f>#REF!-M1463</f>
        <v>#REF!</v>
      </c>
      <c r="Q1463" s="20" t="e">
        <f>#REF!-N1463</f>
        <v>#REF!</v>
      </c>
      <c r="R1463" s="17" t="str">
        <f t="shared" si="161"/>
        <v>98 1 00 21350000</v>
      </c>
    </row>
    <row r="1464" spans="1:18" s="16" customFormat="1" ht="31.5">
      <c r="A1464" s="14"/>
      <c r="B1464" s="125" t="s">
        <v>28</v>
      </c>
      <c r="C1464" s="108" t="s">
        <v>795</v>
      </c>
      <c r="D1464" s="108" t="s">
        <v>11</v>
      </c>
      <c r="E1464" s="108" t="s">
        <v>51</v>
      </c>
      <c r="F1464" s="108" t="s">
        <v>283</v>
      </c>
      <c r="G1464" s="131" t="s">
        <v>29</v>
      </c>
      <c r="H1464" s="126">
        <f>H1465</f>
        <v>0</v>
      </c>
      <c r="L1464" s="20"/>
      <c r="M1464" s="20"/>
      <c r="N1464" s="20"/>
      <c r="O1464" s="20">
        <f>H1464-L1464</f>
        <v>0</v>
      </c>
      <c r="P1464" s="20" t="e">
        <f>#REF!-M1464</f>
        <v>#REF!</v>
      </c>
      <c r="Q1464" s="20" t="e">
        <f>#REF!-N1464</f>
        <v>#REF!</v>
      </c>
      <c r="R1464" s="17" t="str">
        <f>CONCATENATE(F1464,G1464)</f>
        <v>98 1 00 21350240</v>
      </c>
    </row>
    <row r="1465" spans="1:18" s="16" customFormat="1" ht="15.75">
      <c r="A1465" s="14"/>
      <c r="B1465" s="125" t="s">
        <v>30</v>
      </c>
      <c r="C1465" s="108" t="s">
        <v>795</v>
      </c>
      <c r="D1465" s="108" t="s">
        <v>11</v>
      </c>
      <c r="E1465" s="108" t="s">
        <v>51</v>
      </c>
      <c r="F1465" s="108" t="s">
        <v>283</v>
      </c>
      <c r="G1465" s="131" t="s">
        <v>31</v>
      </c>
      <c r="H1465" s="126"/>
      <c r="L1465" s="20"/>
      <c r="M1465" s="20"/>
      <c r="N1465" s="20"/>
      <c r="O1465" s="20"/>
      <c r="P1465" s="20"/>
      <c r="Q1465" s="20"/>
      <c r="R1465" s="17"/>
    </row>
    <row r="1466" spans="1:18" s="16" customFormat="1" ht="15.75">
      <c r="A1466" s="14"/>
      <c r="B1466" s="117" t="s">
        <v>195</v>
      </c>
      <c r="C1466" s="118" t="s">
        <v>795</v>
      </c>
      <c r="D1466" s="119" t="s">
        <v>73</v>
      </c>
      <c r="E1466" s="119" t="s">
        <v>7</v>
      </c>
      <c r="F1466" s="119" t="s">
        <v>8</v>
      </c>
      <c r="G1466" s="119" t="s">
        <v>9</v>
      </c>
      <c r="H1466" s="120">
        <f t="shared" ref="H1466:H1468" si="164">H1467</f>
        <v>0</v>
      </c>
      <c r="L1466" s="18">
        <v>118296.83</v>
      </c>
      <c r="M1466" s="18">
        <v>129176.97</v>
      </c>
      <c r="N1466" s="18">
        <v>141145.11000000002</v>
      </c>
      <c r="O1466" s="18">
        <f t="shared" ref="O1466:O1472" si="165">H1466-L1466</f>
        <v>-118296.83</v>
      </c>
      <c r="P1466" s="18" t="e">
        <f>#REF!-M1466</f>
        <v>#REF!</v>
      </c>
      <c r="Q1466" s="18" t="e">
        <f>#REF!-N1466</f>
        <v>#REF!</v>
      </c>
      <c r="R1466" s="17" t="str">
        <f t="shared" si="161"/>
        <v>00 0 00 00000000</v>
      </c>
    </row>
    <row r="1467" spans="1:18" s="16" customFormat="1" ht="15.75">
      <c r="A1467" s="14"/>
      <c r="B1467" s="121" t="s">
        <v>760</v>
      </c>
      <c r="C1467" s="122" t="s">
        <v>795</v>
      </c>
      <c r="D1467" s="123" t="s">
        <v>73</v>
      </c>
      <c r="E1467" s="123" t="s">
        <v>471</v>
      </c>
      <c r="F1467" s="123" t="s">
        <v>8</v>
      </c>
      <c r="G1467" s="123" t="s">
        <v>9</v>
      </c>
      <c r="H1467" s="124">
        <f>H1468</f>
        <v>0</v>
      </c>
      <c r="L1467" s="19">
        <v>118296.83</v>
      </c>
      <c r="M1467" s="19">
        <v>129176.97</v>
      </c>
      <c r="N1467" s="19">
        <v>141145.11000000002</v>
      </c>
      <c r="O1467" s="19">
        <f t="shared" si="165"/>
        <v>-118296.83</v>
      </c>
      <c r="P1467" s="19" t="e">
        <f>#REF!-M1467</f>
        <v>#REF!</v>
      </c>
      <c r="Q1467" s="19" t="e">
        <f>#REF!-N1467</f>
        <v>#REF!</v>
      </c>
      <c r="R1467" s="17" t="str">
        <f t="shared" si="161"/>
        <v>00 0 00 00000000</v>
      </c>
    </row>
    <row r="1468" spans="1:18" s="16" customFormat="1" ht="63">
      <c r="A1468" s="14"/>
      <c r="B1468" s="127" t="s">
        <v>293</v>
      </c>
      <c r="C1468" s="131" t="s">
        <v>795</v>
      </c>
      <c r="D1468" s="130" t="s">
        <v>73</v>
      </c>
      <c r="E1468" s="130" t="s">
        <v>471</v>
      </c>
      <c r="F1468" s="130" t="s">
        <v>294</v>
      </c>
      <c r="G1468" s="131" t="s">
        <v>9</v>
      </c>
      <c r="H1468" s="105">
        <f t="shared" si="164"/>
        <v>0</v>
      </c>
      <c r="L1468" s="51">
        <v>118296.83</v>
      </c>
      <c r="M1468" s="51">
        <v>129176.97</v>
      </c>
      <c r="N1468" s="51">
        <v>141145.11000000002</v>
      </c>
      <c r="O1468" s="51">
        <f t="shared" si="165"/>
        <v>-118296.83</v>
      </c>
      <c r="P1468" s="51" t="e">
        <f>#REF!-M1468</f>
        <v>#REF!</v>
      </c>
      <c r="Q1468" s="51" t="e">
        <f>#REF!-N1468</f>
        <v>#REF!</v>
      </c>
      <c r="R1468" s="17" t="str">
        <f t="shared" si="161"/>
        <v>04 0 00 00000000</v>
      </c>
    </row>
    <row r="1469" spans="1:18" s="16" customFormat="1" ht="63">
      <c r="A1469" s="14"/>
      <c r="B1469" s="140" t="s">
        <v>295</v>
      </c>
      <c r="C1469" s="131" t="s">
        <v>795</v>
      </c>
      <c r="D1469" s="130" t="s">
        <v>73</v>
      </c>
      <c r="E1469" s="130" t="s">
        <v>471</v>
      </c>
      <c r="F1469" s="130" t="s">
        <v>296</v>
      </c>
      <c r="G1469" s="130" t="s">
        <v>9</v>
      </c>
      <c r="H1469" s="105">
        <f>H1470</f>
        <v>0</v>
      </c>
      <c r="L1469" s="26">
        <v>118296.83</v>
      </c>
      <c r="M1469" s="26">
        <v>129176.97</v>
      </c>
      <c r="N1469" s="26">
        <v>141145.11000000002</v>
      </c>
      <c r="O1469" s="26">
        <f t="shared" si="165"/>
        <v>-118296.83</v>
      </c>
      <c r="P1469" s="26" t="e">
        <f>#REF!-M1469</f>
        <v>#REF!</v>
      </c>
      <c r="Q1469" s="26" t="e">
        <f>#REF!-N1469</f>
        <v>#REF!</v>
      </c>
      <c r="R1469" s="17" t="str">
        <f t="shared" si="161"/>
        <v>04 2 00 00000000</v>
      </c>
    </row>
    <row r="1470" spans="1:18" s="16" customFormat="1" ht="63">
      <c r="A1470" s="14"/>
      <c r="B1470" s="129" t="s">
        <v>297</v>
      </c>
      <c r="C1470" s="131" t="s">
        <v>795</v>
      </c>
      <c r="D1470" s="131" t="s">
        <v>73</v>
      </c>
      <c r="E1470" s="131" t="s">
        <v>471</v>
      </c>
      <c r="F1470" s="131" t="s">
        <v>298</v>
      </c>
      <c r="G1470" s="131" t="s">
        <v>9</v>
      </c>
      <c r="H1470" s="105">
        <f>H1474+H1471</f>
        <v>0</v>
      </c>
      <c r="L1470" s="26">
        <v>118296.83</v>
      </c>
      <c r="M1470" s="26">
        <v>129176.97</v>
      </c>
      <c r="N1470" s="26">
        <v>141145.11000000002</v>
      </c>
      <c r="O1470" s="26">
        <f t="shared" si="165"/>
        <v>-118296.83</v>
      </c>
      <c r="P1470" s="26" t="e">
        <f>#REF!-M1470</f>
        <v>#REF!</v>
      </c>
      <c r="Q1470" s="26" t="e">
        <f>#REF!-N1470</f>
        <v>#REF!</v>
      </c>
      <c r="R1470" s="17" t="str">
        <f t="shared" si="161"/>
        <v>04 2 02 00000000</v>
      </c>
    </row>
    <row r="1471" spans="1:18" s="16" customFormat="1" ht="47.25">
      <c r="A1471" s="14"/>
      <c r="B1471" s="143" t="s">
        <v>761</v>
      </c>
      <c r="C1471" s="131" t="s">
        <v>795</v>
      </c>
      <c r="D1471" s="131" t="s">
        <v>73</v>
      </c>
      <c r="E1471" s="131" t="s">
        <v>471</v>
      </c>
      <c r="F1471" s="131" t="s">
        <v>762</v>
      </c>
      <c r="G1471" s="131" t="s">
        <v>9</v>
      </c>
      <c r="H1471" s="105">
        <f>H1472</f>
        <v>0</v>
      </c>
      <c r="L1471" s="26">
        <v>10095.51</v>
      </c>
      <c r="M1471" s="26">
        <v>10095.51</v>
      </c>
      <c r="N1471" s="26">
        <v>10095.51</v>
      </c>
      <c r="O1471" s="26">
        <f t="shared" si="165"/>
        <v>-10095.51</v>
      </c>
      <c r="P1471" s="26" t="e">
        <f>#REF!-M1471</f>
        <v>#REF!</v>
      </c>
      <c r="Q1471" s="26" t="e">
        <f>#REF!-N1471</f>
        <v>#REF!</v>
      </c>
      <c r="R1471" s="17" t="str">
        <f t="shared" si="161"/>
        <v>04 2 02 20820000</v>
      </c>
    </row>
    <row r="1472" spans="1:18" s="47" customFormat="1" ht="31.5">
      <c r="A1472" s="46"/>
      <c r="B1472" s="125" t="s">
        <v>28</v>
      </c>
      <c r="C1472" s="131" t="s">
        <v>795</v>
      </c>
      <c r="D1472" s="131" t="s">
        <v>73</v>
      </c>
      <c r="E1472" s="131" t="s">
        <v>471</v>
      </c>
      <c r="F1472" s="131" t="s">
        <v>762</v>
      </c>
      <c r="G1472" s="131" t="s">
        <v>29</v>
      </c>
      <c r="H1472" s="126">
        <f>H1473</f>
        <v>0</v>
      </c>
      <c r="L1472" s="26">
        <v>10095.51</v>
      </c>
      <c r="M1472" s="26">
        <v>10095.51</v>
      </c>
      <c r="N1472" s="26">
        <v>10095.51</v>
      </c>
      <c r="O1472" s="26">
        <f t="shared" si="165"/>
        <v>-10095.51</v>
      </c>
      <c r="P1472" s="26" t="e">
        <f>#REF!-M1472</f>
        <v>#REF!</v>
      </c>
      <c r="Q1472" s="26" t="e">
        <f>#REF!-N1472</f>
        <v>#REF!</v>
      </c>
      <c r="R1472" s="17" t="str">
        <f t="shared" si="161"/>
        <v>04 2 02 20820240</v>
      </c>
    </row>
    <row r="1473" spans="1:18" s="47" customFormat="1" ht="15.75">
      <c r="A1473" s="46"/>
      <c r="B1473" s="125" t="s">
        <v>30</v>
      </c>
      <c r="C1473" s="131" t="s">
        <v>795</v>
      </c>
      <c r="D1473" s="131" t="s">
        <v>73</v>
      </c>
      <c r="E1473" s="131" t="s">
        <v>471</v>
      </c>
      <c r="F1473" s="131" t="s">
        <v>762</v>
      </c>
      <c r="G1473" s="131" t="s">
        <v>31</v>
      </c>
      <c r="H1473" s="126"/>
      <c r="L1473" s="26"/>
      <c r="M1473" s="26"/>
      <c r="N1473" s="26"/>
      <c r="O1473" s="26"/>
      <c r="P1473" s="26"/>
      <c r="Q1473" s="26"/>
      <c r="R1473" s="17"/>
    </row>
    <row r="1474" spans="1:18" s="16" customFormat="1" ht="31.5">
      <c r="A1474" s="14"/>
      <c r="B1474" s="125" t="s">
        <v>763</v>
      </c>
      <c r="C1474" s="131" t="s">
        <v>795</v>
      </c>
      <c r="D1474" s="131" t="s">
        <v>73</v>
      </c>
      <c r="E1474" s="131" t="s">
        <v>471</v>
      </c>
      <c r="F1474" s="108" t="s">
        <v>764</v>
      </c>
      <c r="G1474" s="131" t="s">
        <v>9</v>
      </c>
      <c r="H1474" s="105">
        <f>H1475</f>
        <v>0</v>
      </c>
      <c r="L1474" s="26">
        <v>108201.32</v>
      </c>
      <c r="M1474" s="26">
        <v>119081.46</v>
      </c>
      <c r="N1474" s="26">
        <v>131049.60000000001</v>
      </c>
      <c r="O1474" s="26">
        <f>H1474-L1474</f>
        <v>-108201.32</v>
      </c>
      <c r="P1474" s="26" t="e">
        <f>#REF!-M1474</f>
        <v>#REF!</v>
      </c>
      <c r="Q1474" s="26" t="e">
        <f>#REF!-N1474</f>
        <v>#REF!</v>
      </c>
      <c r="R1474" s="17" t="str">
        <f t="shared" si="161"/>
        <v>04 2 02 21090000</v>
      </c>
    </row>
    <row r="1475" spans="1:18" s="16" customFormat="1" ht="31.5">
      <c r="A1475" s="14"/>
      <c r="B1475" s="125" t="s">
        <v>28</v>
      </c>
      <c r="C1475" s="131" t="s">
        <v>795</v>
      </c>
      <c r="D1475" s="131" t="s">
        <v>73</v>
      </c>
      <c r="E1475" s="131" t="s">
        <v>471</v>
      </c>
      <c r="F1475" s="108" t="s">
        <v>764</v>
      </c>
      <c r="G1475" s="131" t="s">
        <v>29</v>
      </c>
      <c r="H1475" s="126">
        <f>H1476</f>
        <v>0</v>
      </c>
      <c r="L1475" s="26">
        <v>108201.32</v>
      </c>
      <c r="M1475" s="26">
        <v>119081.46</v>
      </c>
      <c r="N1475" s="26">
        <v>131049.60000000001</v>
      </c>
      <c r="O1475" s="26">
        <f>H1475-L1475</f>
        <v>-108201.32</v>
      </c>
      <c r="P1475" s="26" t="e">
        <f>#REF!-M1475</f>
        <v>#REF!</v>
      </c>
      <c r="Q1475" s="26" t="e">
        <f>#REF!-N1475</f>
        <v>#REF!</v>
      </c>
      <c r="R1475" s="17" t="str">
        <f t="shared" si="161"/>
        <v>04 2 02 21090240</v>
      </c>
    </row>
    <row r="1476" spans="1:18" s="16" customFormat="1" ht="15.75">
      <c r="A1476" s="14"/>
      <c r="B1476" s="125" t="s">
        <v>30</v>
      </c>
      <c r="C1476" s="131" t="s">
        <v>795</v>
      </c>
      <c r="D1476" s="131" t="s">
        <v>73</v>
      </c>
      <c r="E1476" s="131" t="s">
        <v>471</v>
      </c>
      <c r="F1476" s="108" t="s">
        <v>764</v>
      </c>
      <c r="G1476" s="131" t="s">
        <v>31</v>
      </c>
      <c r="H1476" s="126"/>
      <c r="L1476" s="26"/>
      <c r="M1476" s="26"/>
      <c r="N1476" s="26"/>
      <c r="O1476" s="26"/>
      <c r="P1476" s="26"/>
      <c r="Q1476" s="26"/>
      <c r="R1476" s="17"/>
    </row>
    <row r="1477" spans="1:18" s="47" customFormat="1" ht="15.75">
      <c r="A1477" s="46"/>
      <c r="B1477" s="117" t="s">
        <v>305</v>
      </c>
      <c r="C1477" s="118" t="s">
        <v>795</v>
      </c>
      <c r="D1477" s="119" t="s">
        <v>86</v>
      </c>
      <c r="E1477" s="119" t="s">
        <v>7</v>
      </c>
      <c r="F1477" s="119" t="s">
        <v>8</v>
      </c>
      <c r="G1477" s="119" t="s">
        <v>9</v>
      </c>
      <c r="H1477" s="120">
        <f>H1478+H1486</f>
        <v>0</v>
      </c>
      <c r="L1477" s="18">
        <v>31000.670000000002</v>
      </c>
      <c r="M1477" s="18">
        <v>25282.670000000002</v>
      </c>
      <c r="N1477" s="18">
        <v>25094.670000000002</v>
      </c>
      <c r="O1477" s="18">
        <f t="shared" ref="O1477:O1483" si="166">H1477-L1477</f>
        <v>-31000.670000000002</v>
      </c>
      <c r="P1477" s="18" t="e">
        <f>#REF!-M1477</f>
        <v>#REF!</v>
      </c>
      <c r="Q1477" s="18" t="e">
        <f>#REF!-N1477</f>
        <v>#REF!</v>
      </c>
      <c r="R1477" s="17" t="str">
        <f t="shared" si="161"/>
        <v>00 0 00 00000000</v>
      </c>
    </row>
    <row r="1478" spans="1:18" s="16" customFormat="1" ht="15.75">
      <c r="A1478" s="14"/>
      <c r="B1478" s="121" t="s">
        <v>765</v>
      </c>
      <c r="C1478" s="122" t="s">
        <v>795</v>
      </c>
      <c r="D1478" s="123" t="s">
        <v>86</v>
      </c>
      <c r="E1478" s="123" t="s">
        <v>11</v>
      </c>
      <c r="F1478" s="123" t="s">
        <v>8</v>
      </c>
      <c r="G1478" s="123" t="s">
        <v>9</v>
      </c>
      <c r="H1478" s="124">
        <f>H1479</f>
        <v>0</v>
      </c>
      <c r="L1478" s="52">
        <v>4069.93</v>
      </c>
      <c r="M1478" s="52">
        <v>3851.93</v>
      </c>
      <c r="N1478" s="52">
        <v>3663.93</v>
      </c>
      <c r="O1478" s="52">
        <f t="shared" si="166"/>
        <v>-4069.93</v>
      </c>
      <c r="P1478" s="52" t="e">
        <f>#REF!-M1478</f>
        <v>#REF!</v>
      </c>
      <c r="Q1478" s="52" t="e">
        <f>#REF!-N1478</f>
        <v>#REF!</v>
      </c>
      <c r="R1478" s="17" t="str">
        <f t="shared" si="161"/>
        <v>00 0 00 00000000</v>
      </c>
    </row>
    <row r="1479" spans="1:18" s="16" customFormat="1" ht="63">
      <c r="A1479" s="14"/>
      <c r="B1479" s="127" t="s">
        <v>293</v>
      </c>
      <c r="C1479" s="131" t="s">
        <v>795</v>
      </c>
      <c r="D1479" s="131" t="s">
        <v>86</v>
      </c>
      <c r="E1479" s="131" t="s">
        <v>11</v>
      </c>
      <c r="F1479" s="131" t="s">
        <v>294</v>
      </c>
      <c r="G1479" s="131" t="s">
        <v>9</v>
      </c>
      <c r="H1479" s="158">
        <f t="shared" ref="H1479:H1480" si="167">H1480</f>
        <v>0</v>
      </c>
      <c r="L1479" s="53">
        <v>4069.93</v>
      </c>
      <c r="M1479" s="53">
        <v>3851.93</v>
      </c>
      <c r="N1479" s="53">
        <v>3663.93</v>
      </c>
      <c r="O1479" s="53">
        <f t="shared" si="166"/>
        <v>-4069.93</v>
      </c>
      <c r="P1479" s="53" t="e">
        <f>#REF!-M1479</f>
        <v>#REF!</v>
      </c>
      <c r="Q1479" s="53" t="e">
        <f>#REF!-N1479</f>
        <v>#REF!</v>
      </c>
      <c r="R1479" s="17" t="str">
        <f t="shared" si="161"/>
        <v>04 0 00 00000000</v>
      </c>
    </row>
    <row r="1480" spans="1:18" s="47" customFormat="1" ht="31.5">
      <c r="A1480" s="46"/>
      <c r="B1480" s="155" t="s">
        <v>766</v>
      </c>
      <c r="C1480" s="131" t="s">
        <v>795</v>
      </c>
      <c r="D1480" s="131" t="s">
        <v>86</v>
      </c>
      <c r="E1480" s="131" t="s">
        <v>11</v>
      </c>
      <c r="F1480" s="131" t="s">
        <v>767</v>
      </c>
      <c r="G1480" s="131" t="s">
        <v>9</v>
      </c>
      <c r="H1480" s="105">
        <f t="shared" si="167"/>
        <v>0</v>
      </c>
      <c r="L1480" s="54">
        <v>4069.93</v>
      </c>
      <c r="M1480" s="54">
        <v>3851.93</v>
      </c>
      <c r="N1480" s="54">
        <v>3663.93</v>
      </c>
      <c r="O1480" s="54">
        <f t="shared" si="166"/>
        <v>-4069.93</v>
      </c>
      <c r="P1480" s="54" t="e">
        <f>#REF!-M1480</f>
        <v>#REF!</v>
      </c>
      <c r="Q1480" s="54" t="e">
        <f>#REF!-N1480</f>
        <v>#REF!</v>
      </c>
      <c r="R1480" s="17" t="str">
        <f t="shared" si="161"/>
        <v>04 1 00 00000000</v>
      </c>
    </row>
    <row r="1481" spans="1:18" s="16" customFormat="1" ht="47.25">
      <c r="A1481" s="14"/>
      <c r="B1481" s="129" t="s">
        <v>793</v>
      </c>
      <c r="C1481" s="131" t="s">
        <v>795</v>
      </c>
      <c r="D1481" s="131" t="s">
        <v>86</v>
      </c>
      <c r="E1481" s="131" t="s">
        <v>11</v>
      </c>
      <c r="F1481" s="131" t="s">
        <v>769</v>
      </c>
      <c r="G1481" s="131" t="s">
        <v>9</v>
      </c>
      <c r="H1481" s="105">
        <f>H1482</f>
        <v>0</v>
      </c>
      <c r="L1481" s="26">
        <v>4069.93</v>
      </c>
      <c r="M1481" s="26">
        <v>3851.93</v>
      </c>
      <c r="N1481" s="26">
        <v>3663.93</v>
      </c>
      <c r="O1481" s="26">
        <f t="shared" si="166"/>
        <v>-4069.93</v>
      </c>
      <c r="P1481" s="26" t="e">
        <f>#REF!-M1481</f>
        <v>#REF!</v>
      </c>
      <c r="Q1481" s="26" t="e">
        <f>#REF!-N1481</f>
        <v>#REF!</v>
      </c>
      <c r="R1481" s="17" t="str">
        <f t="shared" si="161"/>
        <v>04 1 01 00000000</v>
      </c>
    </row>
    <row r="1482" spans="1:18" s="16" customFormat="1" ht="31.5">
      <c r="A1482" s="14"/>
      <c r="B1482" s="159" t="s">
        <v>770</v>
      </c>
      <c r="C1482" s="131" t="s">
        <v>795</v>
      </c>
      <c r="D1482" s="131" t="s">
        <v>86</v>
      </c>
      <c r="E1482" s="131" t="s">
        <v>11</v>
      </c>
      <c r="F1482" s="131" t="s">
        <v>771</v>
      </c>
      <c r="G1482" s="131" t="s">
        <v>9</v>
      </c>
      <c r="H1482" s="105">
        <f>H1483</f>
        <v>0</v>
      </c>
      <c r="L1482" s="26">
        <v>4069.93</v>
      </c>
      <c r="M1482" s="26">
        <v>3851.93</v>
      </c>
      <c r="N1482" s="26">
        <v>3663.93</v>
      </c>
      <c r="O1482" s="26">
        <f t="shared" si="166"/>
        <v>-4069.93</v>
      </c>
      <c r="P1482" s="26" t="e">
        <f>#REF!-M1482</f>
        <v>#REF!</v>
      </c>
      <c r="Q1482" s="26" t="e">
        <f>#REF!-N1482</f>
        <v>#REF!</v>
      </c>
      <c r="R1482" s="17" t="str">
        <f t="shared" si="161"/>
        <v>04 1 01 20190000</v>
      </c>
    </row>
    <row r="1483" spans="1:18" s="16" customFormat="1" ht="31.5">
      <c r="A1483" s="14"/>
      <c r="B1483" s="125" t="s">
        <v>28</v>
      </c>
      <c r="C1483" s="131" t="s">
        <v>795</v>
      </c>
      <c r="D1483" s="131" t="s">
        <v>86</v>
      </c>
      <c r="E1483" s="131" t="s">
        <v>11</v>
      </c>
      <c r="F1483" s="131" t="s">
        <v>771</v>
      </c>
      <c r="G1483" s="131" t="s">
        <v>29</v>
      </c>
      <c r="H1483" s="126">
        <f>SUM(H1484:H1485)</f>
        <v>0</v>
      </c>
      <c r="L1483" s="26">
        <v>4069.93</v>
      </c>
      <c r="M1483" s="26">
        <v>3851.93</v>
      </c>
      <c r="N1483" s="26">
        <v>3663.93</v>
      </c>
      <c r="O1483" s="26">
        <f t="shared" si="166"/>
        <v>-4069.93</v>
      </c>
      <c r="P1483" s="26" t="e">
        <f>#REF!-M1483</f>
        <v>#REF!</v>
      </c>
      <c r="Q1483" s="26" t="e">
        <f>#REF!-N1483</f>
        <v>#REF!</v>
      </c>
      <c r="R1483" s="17" t="str">
        <f t="shared" si="161"/>
        <v>04 1 01 20190240</v>
      </c>
    </row>
    <row r="1484" spans="1:18" s="16" customFormat="1" ht="47.25">
      <c r="A1484" s="14"/>
      <c r="B1484" s="127" t="s">
        <v>772</v>
      </c>
      <c r="C1484" s="131" t="s">
        <v>795</v>
      </c>
      <c r="D1484" s="131" t="s">
        <v>86</v>
      </c>
      <c r="E1484" s="131" t="s">
        <v>11</v>
      </c>
      <c r="F1484" s="131" t="s">
        <v>771</v>
      </c>
      <c r="G1484" s="131" t="s">
        <v>773</v>
      </c>
      <c r="H1484" s="126"/>
      <c r="L1484" s="26"/>
      <c r="M1484" s="26"/>
      <c r="N1484" s="26"/>
      <c r="O1484" s="26"/>
      <c r="P1484" s="26"/>
      <c r="Q1484" s="26"/>
      <c r="R1484" s="17" t="str">
        <f t="shared" si="161"/>
        <v>04 1 01 20190243</v>
      </c>
    </row>
    <row r="1485" spans="1:18" s="16" customFormat="1" ht="15.75">
      <c r="A1485" s="14"/>
      <c r="B1485" s="125" t="s">
        <v>30</v>
      </c>
      <c r="C1485" s="131" t="s">
        <v>795</v>
      </c>
      <c r="D1485" s="131" t="s">
        <v>86</v>
      </c>
      <c r="E1485" s="131" t="s">
        <v>11</v>
      </c>
      <c r="F1485" s="131" t="s">
        <v>771</v>
      </c>
      <c r="G1485" s="131" t="s">
        <v>31</v>
      </c>
      <c r="H1485" s="126"/>
      <c r="L1485" s="26"/>
      <c r="M1485" s="26"/>
      <c r="N1485" s="26"/>
      <c r="O1485" s="26"/>
      <c r="P1485" s="26"/>
      <c r="Q1485" s="26"/>
      <c r="R1485" s="17"/>
    </row>
    <row r="1486" spans="1:18" s="16" customFormat="1" ht="15.75">
      <c r="A1486" s="14"/>
      <c r="B1486" s="157" t="s">
        <v>306</v>
      </c>
      <c r="C1486" s="122" t="s">
        <v>795</v>
      </c>
      <c r="D1486" s="123" t="s">
        <v>86</v>
      </c>
      <c r="E1486" s="123" t="s">
        <v>13</v>
      </c>
      <c r="F1486" s="123" t="s">
        <v>8</v>
      </c>
      <c r="G1486" s="123" t="s">
        <v>9</v>
      </c>
      <c r="H1486" s="124">
        <f>H1487+H1508</f>
        <v>0</v>
      </c>
      <c r="L1486" s="19">
        <v>26930.74</v>
      </c>
      <c r="M1486" s="19">
        <v>21430.74</v>
      </c>
      <c r="N1486" s="19">
        <v>21430.74</v>
      </c>
      <c r="O1486" s="19">
        <f t="shared" ref="O1486:O1491" si="168">H1486-L1486</f>
        <v>-26930.74</v>
      </c>
      <c r="P1486" s="19" t="e">
        <f>#REF!-M1486</f>
        <v>#REF!</v>
      </c>
      <c r="Q1486" s="19" t="e">
        <f>#REF!-N1486</f>
        <v>#REF!</v>
      </c>
      <c r="R1486" s="17" t="str">
        <f t="shared" si="161"/>
        <v>00 0 00 00000000</v>
      </c>
    </row>
    <row r="1487" spans="1:18" s="16" customFormat="1" ht="63">
      <c r="A1487" s="14"/>
      <c r="B1487" s="127" t="s">
        <v>293</v>
      </c>
      <c r="C1487" s="131" t="s">
        <v>795</v>
      </c>
      <c r="D1487" s="131" t="s">
        <v>86</v>
      </c>
      <c r="E1487" s="131" t="s">
        <v>13</v>
      </c>
      <c r="F1487" s="131" t="s">
        <v>294</v>
      </c>
      <c r="G1487" s="131" t="s">
        <v>9</v>
      </c>
      <c r="H1487" s="105">
        <f t="shared" ref="H1487:H1488" si="169">H1488</f>
        <v>0</v>
      </c>
      <c r="L1487" s="26">
        <v>21430.74</v>
      </c>
      <c r="M1487" s="26">
        <v>21430.74</v>
      </c>
      <c r="N1487" s="26">
        <v>21430.74</v>
      </c>
      <c r="O1487" s="26">
        <f t="shared" si="168"/>
        <v>-21430.74</v>
      </c>
      <c r="P1487" s="26" t="e">
        <f>#REF!-M1487</f>
        <v>#REF!</v>
      </c>
      <c r="Q1487" s="26" t="e">
        <f>#REF!-N1487</f>
        <v>#REF!</v>
      </c>
      <c r="R1487" s="17" t="str">
        <f t="shared" si="161"/>
        <v>04 0 00 00000000</v>
      </c>
    </row>
    <row r="1488" spans="1:18" s="16" customFormat="1" ht="31.5">
      <c r="A1488" s="14"/>
      <c r="B1488" s="125" t="s">
        <v>307</v>
      </c>
      <c r="C1488" s="131" t="s">
        <v>795</v>
      </c>
      <c r="D1488" s="131" t="s">
        <v>86</v>
      </c>
      <c r="E1488" s="131" t="s">
        <v>13</v>
      </c>
      <c r="F1488" s="131" t="s">
        <v>308</v>
      </c>
      <c r="G1488" s="131" t="s">
        <v>9</v>
      </c>
      <c r="H1488" s="105">
        <f t="shared" si="169"/>
        <v>0</v>
      </c>
      <c r="L1488" s="26">
        <v>21430.74</v>
      </c>
      <c r="M1488" s="26">
        <v>21430.74</v>
      </c>
      <c r="N1488" s="26">
        <v>21430.74</v>
      </c>
      <c r="O1488" s="26">
        <f t="shared" si="168"/>
        <v>-21430.74</v>
      </c>
      <c r="P1488" s="26" t="e">
        <f>#REF!-M1488</f>
        <v>#REF!</v>
      </c>
      <c r="Q1488" s="26" t="e">
        <f>#REF!-N1488</f>
        <v>#REF!</v>
      </c>
      <c r="R1488" s="17" t="str">
        <f t="shared" si="161"/>
        <v>04 3 00 00000000</v>
      </c>
    </row>
    <row r="1489" spans="1:18" s="16" customFormat="1" ht="31.5">
      <c r="A1489" s="14"/>
      <c r="B1489" s="138" t="s">
        <v>309</v>
      </c>
      <c r="C1489" s="131" t="s">
        <v>795</v>
      </c>
      <c r="D1489" s="131" t="s">
        <v>86</v>
      </c>
      <c r="E1489" s="131" t="s">
        <v>13</v>
      </c>
      <c r="F1489" s="108" t="s">
        <v>310</v>
      </c>
      <c r="G1489" s="131" t="s">
        <v>9</v>
      </c>
      <c r="H1489" s="105">
        <f>H1490+H1493+H1496+H1502</f>
        <v>0</v>
      </c>
      <c r="L1489" s="26">
        <v>21430.74</v>
      </c>
      <c r="M1489" s="26">
        <v>21430.74</v>
      </c>
      <c r="N1489" s="26">
        <v>21430.74</v>
      </c>
      <c r="O1489" s="26">
        <f t="shared" si="168"/>
        <v>-21430.74</v>
      </c>
      <c r="P1489" s="26" t="e">
        <f>#REF!-M1489</f>
        <v>#REF!</v>
      </c>
      <c r="Q1489" s="26" t="e">
        <f>#REF!-N1489</f>
        <v>#REF!</v>
      </c>
      <c r="R1489" s="17" t="str">
        <f t="shared" si="161"/>
        <v>04 3 04 00000000</v>
      </c>
    </row>
    <row r="1490" spans="1:18" s="16" customFormat="1" ht="31.5">
      <c r="A1490" s="14"/>
      <c r="B1490" s="160" t="s">
        <v>542</v>
      </c>
      <c r="C1490" s="131" t="s">
        <v>795</v>
      </c>
      <c r="D1490" s="131" t="s">
        <v>86</v>
      </c>
      <c r="E1490" s="131" t="s">
        <v>13</v>
      </c>
      <c r="F1490" s="108" t="s">
        <v>543</v>
      </c>
      <c r="G1490" s="131" t="s">
        <v>9</v>
      </c>
      <c r="H1490" s="105">
        <f>H1491</f>
        <v>0</v>
      </c>
      <c r="L1490" s="26">
        <v>20489.02</v>
      </c>
      <c r="M1490" s="26">
        <v>20489.02</v>
      </c>
      <c r="N1490" s="26">
        <v>20489.02</v>
      </c>
      <c r="O1490" s="26">
        <f t="shared" si="168"/>
        <v>-20489.02</v>
      </c>
      <c r="P1490" s="26" t="e">
        <f>#REF!-M1490</f>
        <v>#REF!</v>
      </c>
      <c r="Q1490" s="26" t="e">
        <f>#REF!-N1490</f>
        <v>#REF!</v>
      </c>
      <c r="R1490" s="17" t="str">
        <f t="shared" si="161"/>
        <v>04 3 04 20300000</v>
      </c>
    </row>
    <row r="1491" spans="1:18" s="16" customFormat="1" ht="31.5">
      <c r="A1491" s="14"/>
      <c r="B1491" s="125" t="s">
        <v>28</v>
      </c>
      <c r="C1491" s="131" t="s">
        <v>795</v>
      </c>
      <c r="D1491" s="131" t="s">
        <v>86</v>
      </c>
      <c r="E1491" s="131" t="s">
        <v>13</v>
      </c>
      <c r="F1491" s="108" t="s">
        <v>543</v>
      </c>
      <c r="G1491" s="131" t="s">
        <v>29</v>
      </c>
      <c r="H1491" s="126">
        <f>H1492</f>
        <v>0</v>
      </c>
      <c r="L1491" s="20">
        <v>20489.02</v>
      </c>
      <c r="M1491" s="20">
        <v>20489.02</v>
      </c>
      <c r="N1491" s="20">
        <v>20489.02</v>
      </c>
      <c r="O1491" s="20">
        <f t="shared" si="168"/>
        <v>-20489.02</v>
      </c>
      <c r="P1491" s="20" t="e">
        <f>#REF!-M1491</f>
        <v>#REF!</v>
      </c>
      <c r="Q1491" s="20" t="e">
        <f>#REF!-N1491</f>
        <v>#REF!</v>
      </c>
      <c r="R1491" s="17" t="str">
        <f t="shared" si="161"/>
        <v>04 3 04 20300240</v>
      </c>
    </row>
    <row r="1492" spans="1:18" s="16" customFormat="1" ht="15.75">
      <c r="A1492" s="14"/>
      <c r="B1492" s="125" t="s">
        <v>30</v>
      </c>
      <c r="C1492" s="131" t="s">
        <v>795</v>
      </c>
      <c r="D1492" s="131" t="s">
        <v>86</v>
      </c>
      <c r="E1492" s="131" t="s">
        <v>13</v>
      </c>
      <c r="F1492" s="108" t="s">
        <v>543</v>
      </c>
      <c r="G1492" s="131" t="s">
        <v>31</v>
      </c>
      <c r="H1492" s="126"/>
      <c r="L1492" s="20"/>
      <c r="M1492" s="20"/>
      <c r="N1492" s="20"/>
      <c r="O1492" s="20"/>
      <c r="P1492" s="20"/>
      <c r="Q1492" s="20"/>
      <c r="R1492" s="17"/>
    </row>
    <row r="1493" spans="1:18" s="16" customFormat="1" ht="31.5">
      <c r="A1493" s="14"/>
      <c r="B1493" s="127" t="s">
        <v>774</v>
      </c>
      <c r="C1493" s="131" t="s">
        <v>795</v>
      </c>
      <c r="D1493" s="131" t="s">
        <v>86</v>
      </c>
      <c r="E1493" s="131" t="s">
        <v>13</v>
      </c>
      <c r="F1493" s="131" t="s">
        <v>775</v>
      </c>
      <c r="G1493" s="131" t="s">
        <v>9</v>
      </c>
      <c r="H1493" s="105">
        <f>H1494</f>
        <v>0</v>
      </c>
      <c r="L1493" s="26">
        <v>941.72</v>
      </c>
      <c r="M1493" s="26">
        <v>941.72</v>
      </c>
      <c r="N1493" s="26">
        <v>941.72</v>
      </c>
      <c r="O1493" s="26">
        <f>H1493-L1493</f>
        <v>-941.72</v>
      </c>
      <c r="P1493" s="26" t="e">
        <f>#REF!-M1493</f>
        <v>#REF!</v>
      </c>
      <c r="Q1493" s="26" t="e">
        <f>#REF!-N1493</f>
        <v>#REF!</v>
      </c>
      <c r="R1493" s="17" t="str">
        <f t="shared" si="161"/>
        <v>04 3 04 21070000</v>
      </c>
    </row>
    <row r="1494" spans="1:18" s="16" customFormat="1" ht="31.5">
      <c r="A1494" s="14"/>
      <c r="B1494" s="125" t="s">
        <v>28</v>
      </c>
      <c r="C1494" s="131" t="s">
        <v>795</v>
      </c>
      <c r="D1494" s="131" t="s">
        <v>86</v>
      </c>
      <c r="E1494" s="131" t="s">
        <v>13</v>
      </c>
      <c r="F1494" s="131" t="s">
        <v>775</v>
      </c>
      <c r="G1494" s="131" t="s">
        <v>29</v>
      </c>
      <c r="H1494" s="126">
        <f>H1495</f>
        <v>0</v>
      </c>
      <c r="L1494" s="20">
        <v>941.72</v>
      </c>
      <c r="M1494" s="20">
        <v>941.72</v>
      </c>
      <c r="N1494" s="20">
        <v>941.72</v>
      </c>
      <c r="O1494" s="20">
        <f>H1494-L1494</f>
        <v>-941.72</v>
      </c>
      <c r="P1494" s="20" t="e">
        <f>#REF!-M1494</f>
        <v>#REF!</v>
      </c>
      <c r="Q1494" s="20" t="e">
        <f>#REF!-N1494</f>
        <v>#REF!</v>
      </c>
      <c r="R1494" s="17" t="str">
        <f t="shared" si="161"/>
        <v>04 3 04 21070240</v>
      </c>
    </row>
    <row r="1495" spans="1:18" s="16" customFormat="1" ht="15.75">
      <c r="A1495" s="14"/>
      <c r="B1495" s="125" t="s">
        <v>30</v>
      </c>
      <c r="C1495" s="131" t="s">
        <v>795</v>
      </c>
      <c r="D1495" s="131" t="s">
        <v>86</v>
      </c>
      <c r="E1495" s="131" t="s">
        <v>13</v>
      </c>
      <c r="F1495" s="131" t="s">
        <v>775</v>
      </c>
      <c r="G1495" s="131" t="s">
        <v>31</v>
      </c>
      <c r="H1495" s="126"/>
      <c r="L1495" s="20"/>
      <c r="M1495" s="20"/>
      <c r="N1495" s="20"/>
      <c r="O1495" s="20"/>
      <c r="P1495" s="20"/>
      <c r="Q1495" s="20"/>
      <c r="R1495" s="17"/>
    </row>
    <row r="1496" spans="1:18" s="16" customFormat="1" ht="47.25">
      <c r="A1496" s="14"/>
      <c r="B1496" s="125" t="s">
        <v>1043</v>
      </c>
      <c r="C1496" s="131" t="s">
        <v>795</v>
      </c>
      <c r="D1496" s="108" t="s">
        <v>86</v>
      </c>
      <c r="E1496" s="108" t="s">
        <v>13</v>
      </c>
      <c r="F1496" s="131" t="s">
        <v>1056</v>
      </c>
      <c r="G1496" s="131" t="s">
        <v>9</v>
      </c>
      <c r="H1496" s="126">
        <f>H1500</f>
        <v>0</v>
      </c>
      <c r="L1496" s="20"/>
      <c r="M1496" s="20"/>
      <c r="N1496" s="20"/>
      <c r="O1496" s="20"/>
      <c r="P1496" s="20"/>
      <c r="Q1496" s="20"/>
      <c r="R1496" s="17"/>
    </row>
    <row r="1497" spans="1:18" s="16" customFormat="1" ht="15.75">
      <c r="A1497" s="14"/>
      <c r="B1497" s="132" t="s">
        <v>1045</v>
      </c>
      <c r="C1497" s="131"/>
      <c r="D1497" s="108"/>
      <c r="E1497" s="108"/>
      <c r="F1497" s="131"/>
      <c r="G1497" s="131"/>
      <c r="H1497" s="126"/>
      <c r="L1497" s="20"/>
      <c r="M1497" s="20"/>
      <c r="N1497" s="20"/>
      <c r="O1497" s="20"/>
      <c r="P1497" s="20"/>
      <c r="Q1497" s="20"/>
      <c r="R1497" s="17"/>
    </row>
    <row r="1498" spans="1:18" s="16" customFormat="1" ht="15.75">
      <c r="A1498" s="14"/>
      <c r="B1498" s="125" t="s">
        <v>1046</v>
      </c>
      <c r="C1498" s="131" t="s">
        <v>795</v>
      </c>
      <c r="D1498" s="108" t="s">
        <v>86</v>
      </c>
      <c r="E1498" s="108" t="s">
        <v>13</v>
      </c>
      <c r="F1498" s="131" t="s">
        <v>1056</v>
      </c>
      <c r="G1498" s="131" t="s">
        <v>9</v>
      </c>
      <c r="H1498" s="126"/>
      <c r="L1498" s="20"/>
      <c r="M1498" s="20"/>
      <c r="N1498" s="20"/>
      <c r="O1498" s="20"/>
      <c r="P1498" s="20"/>
      <c r="Q1498" s="20"/>
      <c r="R1498" s="17"/>
    </row>
    <row r="1499" spans="1:18" s="16" customFormat="1" ht="15.75">
      <c r="A1499" s="14"/>
      <c r="B1499" s="125" t="s">
        <v>1047</v>
      </c>
      <c r="C1499" s="131" t="s">
        <v>795</v>
      </c>
      <c r="D1499" s="108" t="s">
        <v>86</v>
      </c>
      <c r="E1499" s="108" t="s">
        <v>13</v>
      </c>
      <c r="F1499" s="131" t="s">
        <v>1056</v>
      </c>
      <c r="G1499" s="131" t="s">
        <v>9</v>
      </c>
      <c r="H1499" s="126"/>
      <c r="L1499" s="20"/>
      <c r="M1499" s="20"/>
      <c r="N1499" s="20"/>
      <c r="O1499" s="20"/>
      <c r="P1499" s="20"/>
      <c r="Q1499" s="20"/>
      <c r="R1499" s="17"/>
    </row>
    <row r="1500" spans="1:18" s="16" customFormat="1" ht="31.5">
      <c r="A1500" s="14"/>
      <c r="B1500" s="125" t="s">
        <v>28</v>
      </c>
      <c r="C1500" s="131" t="s">
        <v>795</v>
      </c>
      <c r="D1500" s="108" t="s">
        <v>86</v>
      </c>
      <c r="E1500" s="108" t="s">
        <v>13</v>
      </c>
      <c r="F1500" s="131" t="s">
        <v>1056</v>
      </c>
      <c r="G1500" s="131" t="s">
        <v>29</v>
      </c>
      <c r="H1500" s="126">
        <f>H1501</f>
        <v>0</v>
      </c>
      <c r="L1500" s="20"/>
      <c r="M1500" s="20"/>
      <c r="N1500" s="20"/>
      <c r="O1500" s="20"/>
      <c r="P1500" s="20"/>
      <c r="Q1500" s="20"/>
      <c r="R1500" s="17"/>
    </row>
    <row r="1501" spans="1:18" s="16" customFormat="1" ht="15.75">
      <c r="A1501" s="14"/>
      <c r="B1501" s="125" t="s">
        <v>30</v>
      </c>
      <c r="C1501" s="131" t="s">
        <v>795</v>
      </c>
      <c r="D1501" s="108" t="s">
        <v>86</v>
      </c>
      <c r="E1501" s="108" t="s">
        <v>13</v>
      </c>
      <c r="F1501" s="131" t="s">
        <v>1056</v>
      </c>
      <c r="G1501" s="131" t="s">
        <v>31</v>
      </c>
      <c r="H1501" s="126">
        <f>H1498+H1499</f>
        <v>0</v>
      </c>
      <c r="L1501" s="20"/>
      <c r="M1501" s="20"/>
      <c r="N1501" s="20"/>
      <c r="O1501" s="20"/>
      <c r="P1501" s="20"/>
      <c r="Q1501" s="20"/>
      <c r="R1501" s="17"/>
    </row>
    <row r="1502" spans="1:18" s="16" customFormat="1" ht="47.25">
      <c r="A1502" s="14"/>
      <c r="B1502" s="127" t="s">
        <v>1048</v>
      </c>
      <c r="C1502" s="131" t="s">
        <v>795</v>
      </c>
      <c r="D1502" s="108" t="s">
        <v>86</v>
      </c>
      <c r="E1502" s="108" t="s">
        <v>13</v>
      </c>
      <c r="F1502" s="131" t="s">
        <v>1057</v>
      </c>
      <c r="G1502" s="131" t="s">
        <v>9</v>
      </c>
      <c r="H1502" s="126">
        <f>H1506</f>
        <v>0</v>
      </c>
      <c r="L1502" s="20"/>
      <c r="M1502" s="20"/>
      <c r="N1502" s="20"/>
      <c r="O1502" s="20"/>
      <c r="P1502" s="20"/>
      <c r="Q1502" s="20"/>
      <c r="R1502" s="17"/>
    </row>
    <row r="1503" spans="1:18" s="16" customFormat="1" ht="15.75">
      <c r="A1503" s="14"/>
      <c r="B1503" s="132" t="s">
        <v>1045</v>
      </c>
      <c r="C1503" s="131"/>
      <c r="D1503" s="108"/>
      <c r="E1503" s="108"/>
      <c r="F1503" s="131"/>
      <c r="G1503" s="131"/>
      <c r="H1503" s="126"/>
      <c r="L1503" s="20"/>
      <c r="M1503" s="20"/>
      <c r="N1503" s="20"/>
      <c r="O1503" s="20"/>
      <c r="P1503" s="20"/>
      <c r="Q1503" s="20"/>
      <c r="R1503" s="17"/>
    </row>
    <row r="1504" spans="1:18" s="16" customFormat="1" ht="15.75">
      <c r="A1504" s="14"/>
      <c r="B1504" s="125" t="s">
        <v>1050</v>
      </c>
      <c r="C1504" s="131" t="s">
        <v>795</v>
      </c>
      <c r="D1504" s="108" t="s">
        <v>86</v>
      </c>
      <c r="E1504" s="108" t="s">
        <v>13</v>
      </c>
      <c r="F1504" s="131" t="s">
        <v>1057</v>
      </c>
      <c r="G1504" s="131" t="s">
        <v>9</v>
      </c>
      <c r="H1504" s="126"/>
      <c r="L1504" s="20"/>
      <c r="M1504" s="20"/>
      <c r="N1504" s="20"/>
      <c r="O1504" s="20"/>
      <c r="P1504" s="20"/>
      <c r="Q1504" s="20"/>
      <c r="R1504" s="17"/>
    </row>
    <row r="1505" spans="1:18" s="16" customFormat="1" ht="15.75">
      <c r="A1505" s="14"/>
      <c r="B1505" s="125" t="s">
        <v>1051</v>
      </c>
      <c r="C1505" s="131" t="s">
        <v>795</v>
      </c>
      <c r="D1505" s="108" t="s">
        <v>86</v>
      </c>
      <c r="E1505" s="108" t="s">
        <v>13</v>
      </c>
      <c r="F1505" s="131" t="s">
        <v>1057</v>
      </c>
      <c r="G1505" s="131" t="s">
        <v>9</v>
      </c>
      <c r="H1505" s="126"/>
      <c r="L1505" s="20"/>
      <c r="M1505" s="20"/>
      <c r="N1505" s="20"/>
      <c r="O1505" s="20"/>
      <c r="P1505" s="20"/>
      <c r="Q1505" s="20"/>
      <c r="R1505" s="17"/>
    </row>
    <row r="1506" spans="1:18" s="16" customFormat="1" ht="15.75">
      <c r="A1506" s="14"/>
      <c r="B1506" s="125" t="s">
        <v>30</v>
      </c>
      <c r="C1506" s="131" t="s">
        <v>795</v>
      </c>
      <c r="D1506" s="108" t="s">
        <v>86</v>
      </c>
      <c r="E1506" s="108" t="s">
        <v>13</v>
      </c>
      <c r="F1506" s="131" t="s">
        <v>1057</v>
      </c>
      <c r="G1506" s="131" t="s">
        <v>29</v>
      </c>
      <c r="H1506" s="126">
        <f>H1507</f>
        <v>0</v>
      </c>
      <c r="L1506" s="20"/>
      <c r="M1506" s="20"/>
      <c r="N1506" s="20"/>
      <c r="O1506" s="20"/>
      <c r="P1506" s="20"/>
      <c r="Q1506" s="20"/>
      <c r="R1506" s="17"/>
    </row>
    <row r="1507" spans="1:18" s="16" customFormat="1" ht="15.75">
      <c r="A1507" s="14"/>
      <c r="B1507" s="125" t="s">
        <v>30</v>
      </c>
      <c r="C1507" s="131" t="s">
        <v>795</v>
      </c>
      <c r="D1507" s="108" t="s">
        <v>86</v>
      </c>
      <c r="E1507" s="108" t="s">
        <v>13</v>
      </c>
      <c r="F1507" s="131" t="s">
        <v>1057</v>
      </c>
      <c r="G1507" s="131" t="s">
        <v>31</v>
      </c>
      <c r="H1507" s="126">
        <f>H1505+H1504</f>
        <v>0</v>
      </c>
      <c r="L1507" s="20"/>
      <c r="M1507" s="20"/>
      <c r="N1507" s="20"/>
      <c r="O1507" s="20"/>
      <c r="P1507" s="20"/>
      <c r="Q1507" s="20"/>
      <c r="R1507" s="17"/>
    </row>
    <row r="1508" spans="1:18" s="16" customFormat="1" ht="63">
      <c r="A1508" s="14"/>
      <c r="B1508" s="140" t="s">
        <v>87</v>
      </c>
      <c r="C1508" s="131" t="s">
        <v>795</v>
      </c>
      <c r="D1508" s="131" t="s">
        <v>86</v>
      </c>
      <c r="E1508" s="131" t="s">
        <v>13</v>
      </c>
      <c r="F1508" s="131" t="s">
        <v>88</v>
      </c>
      <c r="G1508" s="131" t="s">
        <v>9</v>
      </c>
      <c r="H1508" s="105">
        <f>H1509</f>
        <v>0</v>
      </c>
      <c r="L1508" s="26">
        <v>5500</v>
      </c>
      <c r="M1508" s="26">
        <v>0</v>
      </c>
      <c r="N1508" s="26">
        <v>0</v>
      </c>
      <c r="O1508" s="26">
        <f>H1508-L1508</f>
        <v>-5500</v>
      </c>
      <c r="P1508" s="26" t="e">
        <f>#REF!-M1508</f>
        <v>#REF!</v>
      </c>
      <c r="Q1508" s="26" t="e">
        <f>#REF!-N1508</f>
        <v>#REF!</v>
      </c>
      <c r="R1508" s="17" t="str">
        <f t="shared" si="161"/>
        <v>98 0 00 00000000</v>
      </c>
    </row>
    <row r="1509" spans="1:18" s="16" customFormat="1" ht="15.75">
      <c r="A1509" s="14"/>
      <c r="B1509" s="140" t="s">
        <v>89</v>
      </c>
      <c r="C1509" s="131" t="s">
        <v>795</v>
      </c>
      <c r="D1509" s="131" t="s">
        <v>86</v>
      </c>
      <c r="E1509" s="131" t="s">
        <v>13</v>
      </c>
      <c r="F1509" s="131" t="s">
        <v>90</v>
      </c>
      <c r="G1509" s="131" t="s">
        <v>9</v>
      </c>
      <c r="H1509" s="105">
        <f>H1510</f>
        <v>0</v>
      </c>
      <c r="L1509" s="26">
        <v>5500</v>
      </c>
      <c r="M1509" s="26">
        <v>0</v>
      </c>
      <c r="N1509" s="26">
        <v>0</v>
      </c>
      <c r="O1509" s="26">
        <f>H1509-L1509</f>
        <v>-5500</v>
      </c>
      <c r="P1509" s="26" t="e">
        <f>#REF!-M1509</f>
        <v>#REF!</v>
      </c>
      <c r="Q1509" s="26" t="e">
        <f>#REF!-N1509</f>
        <v>#REF!</v>
      </c>
      <c r="R1509" s="17" t="str">
        <f t="shared" si="161"/>
        <v>98 1 00 00000000</v>
      </c>
    </row>
    <row r="1510" spans="1:18" s="16" customFormat="1" ht="31.5">
      <c r="A1510" s="14"/>
      <c r="B1510" s="125" t="s">
        <v>778</v>
      </c>
      <c r="C1510" s="131" t="s">
        <v>795</v>
      </c>
      <c r="D1510" s="131" t="s">
        <v>86</v>
      </c>
      <c r="E1510" s="131" t="s">
        <v>13</v>
      </c>
      <c r="F1510" s="131" t="s">
        <v>779</v>
      </c>
      <c r="G1510" s="131" t="s">
        <v>9</v>
      </c>
      <c r="H1510" s="105">
        <f>H1511</f>
        <v>0</v>
      </c>
      <c r="L1510" s="26">
        <v>5500</v>
      </c>
      <c r="M1510" s="26">
        <v>0</v>
      </c>
      <c r="N1510" s="26">
        <v>0</v>
      </c>
      <c r="O1510" s="26">
        <f>H1510-L1510</f>
        <v>-5500</v>
      </c>
      <c r="P1510" s="26" t="e">
        <f>#REF!-M1510</f>
        <v>#REF!</v>
      </c>
      <c r="Q1510" s="26" t="e">
        <f>#REF!-N1510</f>
        <v>#REF!</v>
      </c>
      <c r="R1510" s="17" t="str">
        <f t="shared" si="161"/>
        <v>98 1 00 21450000</v>
      </c>
    </row>
    <row r="1511" spans="1:18" s="16" customFormat="1" ht="31.5">
      <c r="A1511" s="14"/>
      <c r="B1511" s="125" t="s">
        <v>28</v>
      </c>
      <c r="C1511" s="131" t="s">
        <v>795</v>
      </c>
      <c r="D1511" s="131" t="s">
        <v>86</v>
      </c>
      <c r="E1511" s="131" t="s">
        <v>13</v>
      </c>
      <c r="F1511" s="131" t="s">
        <v>779</v>
      </c>
      <c r="G1511" s="131" t="s">
        <v>29</v>
      </c>
      <c r="H1511" s="126">
        <f>H1512</f>
        <v>0</v>
      </c>
      <c r="L1511" s="26">
        <v>5500</v>
      </c>
      <c r="M1511" s="26">
        <v>0</v>
      </c>
      <c r="N1511" s="26">
        <v>0</v>
      </c>
      <c r="O1511" s="26">
        <f>H1511-L1511</f>
        <v>-5500</v>
      </c>
      <c r="P1511" s="26" t="e">
        <f>#REF!-M1511</f>
        <v>#REF!</v>
      </c>
      <c r="Q1511" s="26" t="e">
        <f>#REF!-N1511</f>
        <v>#REF!</v>
      </c>
      <c r="R1511" s="17" t="str">
        <f t="shared" si="161"/>
        <v>98 1 00 21450240</v>
      </c>
    </row>
    <row r="1512" spans="1:18" s="16" customFormat="1" ht="15.75">
      <c r="A1512" s="14"/>
      <c r="B1512" s="125" t="s">
        <v>30</v>
      </c>
      <c r="C1512" s="131" t="s">
        <v>795</v>
      </c>
      <c r="D1512" s="131" t="s">
        <v>86</v>
      </c>
      <c r="E1512" s="131" t="s">
        <v>13</v>
      </c>
      <c r="F1512" s="131" t="s">
        <v>779</v>
      </c>
      <c r="G1512" s="131" t="s">
        <v>31</v>
      </c>
      <c r="H1512" s="126"/>
      <c r="L1512" s="26"/>
      <c r="M1512" s="26"/>
      <c r="N1512" s="26"/>
      <c r="O1512" s="26"/>
      <c r="P1512" s="26"/>
      <c r="Q1512" s="26"/>
      <c r="R1512" s="17"/>
    </row>
    <row r="1513" spans="1:18" s="16" customFormat="1" ht="15.75">
      <c r="A1513" s="14"/>
      <c r="B1513" s="117" t="s">
        <v>569</v>
      </c>
      <c r="C1513" s="118" t="s">
        <v>795</v>
      </c>
      <c r="D1513" s="119" t="s">
        <v>238</v>
      </c>
      <c r="E1513" s="119" t="s">
        <v>7</v>
      </c>
      <c r="F1513" s="119" t="s">
        <v>8</v>
      </c>
      <c r="G1513" s="119" t="s">
        <v>9</v>
      </c>
      <c r="H1513" s="120">
        <f t="shared" ref="H1513:H1516" si="170">H1514</f>
        <v>0</v>
      </c>
      <c r="L1513" s="18">
        <v>1549</v>
      </c>
      <c r="M1513" s="18">
        <v>1549</v>
      </c>
      <c r="N1513" s="18">
        <v>1549</v>
      </c>
      <c r="O1513" s="18">
        <f t="shared" ref="O1513:O1519" si="171">H1513-L1513</f>
        <v>-1549</v>
      </c>
      <c r="P1513" s="18" t="e">
        <f>#REF!-M1513</f>
        <v>#REF!</v>
      </c>
      <c r="Q1513" s="18" t="e">
        <f>#REF!-N1513</f>
        <v>#REF!</v>
      </c>
      <c r="R1513" s="17" t="str">
        <f t="shared" si="161"/>
        <v>00 0 00 00000000</v>
      </c>
    </row>
    <row r="1514" spans="1:18" s="16" customFormat="1" ht="15.75">
      <c r="A1514" s="14"/>
      <c r="B1514" s="157" t="s">
        <v>239</v>
      </c>
      <c r="C1514" s="122" t="s">
        <v>795</v>
      </c>
      <c r="D1514" s="123" t="s">
        <v>238</v>
      </c>
      <c r="E1514" s="123" t="s">
        <v>11</v>
      </c>
      <c r="F1514" s="123" t="s">
        <v>8</v>
      </c>
      <c r="G1514" s="123" t="s">
        <v>9</v>
      </c>
      <c r="H1514" s="124">
        <f t="shared" si="170"/>
        <v>0</v>
      </c>
      <c r="L1514" s="19">
        <v>1549</v>
      </c>
      <c r="M1514" s="19">
        <v>1549</v>
      </c>
      <c r="N1514" s="19">
        <v>1549</v>
      </c>
      <c r="O1514" s="19">
        <f t="shared" si="171"/>
        <v>-1549</v>
      </c>
      <c r="P1514" s="19" t="e">
        <f>#REF!-M1514</f>
        <v>#REF!</v>
      </c>
      <c r="Q1514" s="19" t="e">
        <f>#REF!-N1514</f>
        <v>#REF!</v>
      </c>
      <c r="R1514" s="17" t="str">
        <f t="shared" si="161"/>
        <v>00 0 00 00000000</v>
      </c>
    </row>
    <row r="1515" spans="1:18" s="16" customFormat="1" ht="31.5">
      <c r="A1515" s="14"/>
      <c r="B1515" s="125" t="s">
        <v>240</v>
      </c>
      <c r="C1515" s="108" t="s">
        <v>795</v>
      </c>
      <c r="D1515" s="108" t="s">
        <v>238</v>
      </c>
      <c r="E1515" s="108" t="s">
        <v>11</v>
      </c>
      <c r="F1515" s="108" t="s">
        <v>241</v>
      </c>
      <c r="G1515" s="108" t="s">
        <v>9</v>
      </c>
      <c r="H1515" s="126">
        <f t="shared" si="170"/>
        <v>0</v>
      </c>
      <c r="L1515" s="20">
        <v>1549</v>
      </c>
      <c r="M1515" s="20">
        <v>1549</v>
      </c>
      <c r="N1515" s="20">
        <v>1549</v>
      </c>
      <c r="O1515" s="20">
        <f t="shared" si="171"/>
        <v>-1549</v>
      </c>
      <c r="P1515" s="20" t="e">
        <f>#REF!-M1515</f>
        <v>#REF!</v>
      </c>
      <c r="Q1515" s="20" t="e">
        <f>#REF!-N1515</f>
        <v>#REF!</v>
      </c>
      <c r="R1515" s="17" t="str">
        <f t="shared" si="161"/>
        <v>07 0 00 00000000</v>
      </c>
    </row>
    <row r="1516" spans="1:18" s="16" customFormat="1" ht="78.75">
      <c r="A1516" s="14"/>
      <c r="B1516" s="129" t="s">
        <v>804</v>
      </c>
      <c r="C1516" s="131" t="s">
        <v>795</v>
      </c>
      <c r="D1516" s="131" t="s">
        <v>238</v>
      </c>
      <c r="E1516" s="131" t="s">
        <v>11</v>
      </c>
      <c r="F1516" s="131" t="s">
        <v>243</v>
      </c>
      <c r="G1516" s="131" t="s">
        <v>9</v>
      </c>
      <c r="H1516" s="105">
        <f t="shared" si="170"/>
        <v>0</v>
      </c>
      <c r="L1516" s="26">
        <v>1549</v>
      </c>
      <c r="M1516" s="26">
        <v>1549</v>
      </c>
      <c r="N1516" s="26">
        <v>1549</v>
      </c>
      <c r="O1516" s="26">
        <f t="shared" si="171"/>
        <v>-1549</v>
      </c>
      <c r="P1516" s="26" t="e">
        <f>#REF!-M1516</f>
        <v>#REF!</v>
      </c>
      <c r="Q1516" s="26" t="e">
        <f>#REF!-N1516</f>
        <v>#REF!</v>
      </c>
      <c r="R1516" s="17" t="str">
        <f t="shared" si="161"/>
        <v>07 1 00 00000000</v>
      </c>
    </row>
    <row r="1517" spans="1:18" s="16" customFormat="1" ht="110.25">
      <c r="A1517" s="14"/>
      <c r="B1517" s="155" t="s">
        <v>244</v>
      </c>
      <c r="C1517" s="131" t="s">
        <v>795</v>
      </c>
      <c r="D1517" s="131" t="s">
        <v>238</v>
      </c>
      <c r="E1517" s="131" t="s">
        <v>11</v>
      </c>
      <c r="F1517" s="131" t="s">
        <v>245</v>
      </c>
      <c r="G1517" s="131" t="s">
        <v>9</v>
      </c>
      <c r="H1517" s="105">
        <f>H1518+H1521</f>
        <v>0</v>
      </c>
      <c r="L1517" s="26">
        <v>1549</v>
      </c>
      <c r="M1517" s="26">
        <v>1549</v>
      </c>
      <c r="N1517" s="26">
        <v>1549</v>
      </c>
      <c r="O1517" s="26">
        <f t="shared" si="171"/>
        <v>-1549</v>
      </c>
      <c r="P1517" s="26" t="e">
        <f>#REF!-M1517</f>
        <v>#REF!</v>
      </c>
      <c r="Q1517" s="26" t="e">
        <f>#REF!-N1517</f>
        <v>#REF!</v>
      </c>
      <c r="R1517" s="17" t="str">
        <f t="shared" si="161"/>
        <v>07 1 01 00000000</v>
      </c>
    </row>
    <row r="1518" spans="1:18" s="16" customFormat="1" ht="31.5">
      <c r="A1518" s="14"/>
      <c r="B1518" s="129" t="s">
        <v>246</v>
      </c>
      <c r="C1518" s="131" t="s">
        <v>795</v>
      </c>
      <c r="D1518" s="131" t="s">
        <v>238</v>
      </c>
      <c r="E1518" s="131" t="s">
        <v>11</v>
      </c>
      <c r="F1518" s="131" t="s">
        <v>247</v>
      </c>
      <c r="G1518" s="131" t="s">
        <v>9</v>
      </c>
      <c r="H1518" s="105">
        <f>H1519</f>
        <v>0</v>
      </c>
      <c r="L1518" s="26">
        <v>911.5</v>
      </c>
      <c r="M1518" s="26">
        <v>911.5</v>
      </c>
      <c r="N1518" s="26">
        <v>911.5</v>
      </c>
      <c r="O1518" s="26">
        <f t="shared" si="171"/>
        <v>-911.5</v>
      </c>
      <c r="P1518" s="26" t="e">
        <f>#REF!-M1518</f>
        <v>#REF!</v>
      </c>
      <c r="Q1518" s="26" t="e">
        <f>#REF!-N1518</f>
        <v>#REF!</v>
      </c>
      <c r="R1518" s="17" t="str">
        <f t="shared" si="161"/>
        <v>07 1 01 20060000</v>
      </c>
    </row>
    <row r="1519" spans="1:18" s="16" customFormat="1" ht="31.5">
      <c r="A1519" s="14"/>
      <c r="B1519" s="125" t="s">
        <v>28</v>
      </c>
      <c r="C1519" s="131" t="s">
        <v>795</v>
      </c>
      <c r="D1519" s="131" t="s">
        <v>238</v>
      </c>
      <c r="E1519" s="131" t="s">
        <v>11</v>
      </c>
      <c r="F1519" s="131" t="s">
        <v>247</v>
      </c>
      <c r="G1519" s="131" t="s">
        <v>29</v>
      </c>
      <c r="H1519" s="126">
        <f>H1520</f>
        <v>0</v>
      </c>
      <c r="L1519" s="20">
        <v>911.5</v>
      </c>
      <c r="M1519" s="20">
        <v>911.5</v>
      </c>
      <c r="N1519" s="20">
        <v>911.5</v>
      </c>
      <c r="O1519" s="20">
        <f t="shared" si="171"/>
        <v>-911.5</v>
      </c>
      <c r="P1519" s="20" t="e">
        <f>#REF!-M1519</f>
        <v>#REF!</v>
      </c>
      <c r="Q1519" s="20" t="e">
        <f>#REF!-N1519</f>
        <v>#REF!</v>
      </c>
      <c r="R1519" s="17" t="str">
        <f t="shared" si="161"/>
        <v>07 1 01 20060240</v>
      </c>
    </row>
    <row r="1520" spans="1:18" s="16" customFormat="1" ht="15.75">
      <c r="A1520" s="14"/>
      <c r="B1520" s="125" t="s">
        <v>30</v>
      </c>
      <c r="C1520" s="131" t="s">
        <v>795</v>
      </c>
      <c r="D1520" s="131" t="s">
        <v>238</v>
      </c>
      <c r="E1520" s="131" t="s">
        <v>11</v>
      </c>
      <c r="F1520" s="131" t="s">
        <v>247</v>
      </c>
      <c r="G1520" s="131" t="s">
        <v>31</v>
      </c>
      <c r="H1520" s="126"/>
      <c r="L1520" s="20"/>
      <c r="M1520" s="20"/>
      <c r="N1520" s="20"/>
      <c r="O1520" s="20"/>
      <c r="P1520" s="20"/>
      <c r="Q1520" s="20"/>
      <c r="R1520" s="17"/>
    </row>
    <row r="1521" spans="1:18" s="16" customFormat="1" ht="47.25">
      <c r="A1521" s="14"/>
      <c r="B1521" s="127" t="s">
        <v>780</v>
      </c>
      <c r="C1521" s="131" t="s">
        <v>795</v>
      </c>
      <c r="D1521" s="131" t="s">
        <v>238</v>
      </c>
      <c r="E1521" s="131" t="s">
        <v>11</v>
      </c>
      <c r="F1521" s="131" t="s">
        <v>781</v>
      </c>
      <c r="G1521" s="131" t="s">
        <v>9</v>
      </c>
      <c r="H1521" s="161">
        <f>H1522</f>
        <v>0</v>
      </c>
      <c r="L1521" s="55">
        <v>637.5</v>
      </c>
      <c r="M1521" s="55">
        <v>637.5</v>
      </c>
      <c r="N1521" s="55">
        <v>637.5</v>
      </c>
      <c r="O1521" s="55">
        <f>H1521-L1521</f>
        <v>-637.5</v>
      </c>
      <c r="P1521" s="55" t="e">
        <f>#REF!-M1521</f>
        <v>#REF!</v>
      </c>
      <c r="Q1521" s="55" t="e">
        <f>#REF!-N1521</f>
        <v>#REF!</v>
      </c>
      <c r="R1521" s="17" t="str">
        <f t="shared" si="161"/>
        <v>07 1 01 21130000</v>
      </c>
    </row>
    <row r="1522" spans="1:18" s="16" customFormat="1" ht="31.5">
      <c r="A1522" s="14"/>
      <c r="B1522" s="125" t="s">
        <v>28</v>
      </c>
      <c r="C1522" s="131" t="s">
        <v>795</v>
      </c>
      <c r="D1522" s="131" t="s">
        <v>238</v>
      </c>
      <c r="E1522" s="131" t="s">
        <v>11</v>
      </c>
      <c r="F1522" s="131" t="s">
        <v>781</v>
      </c>
      <c r="G1522" s="131" t="s">
        <v>29</v>
      </c>
      <c r="H1522" s="126">
        <f>H1523</f>
        <v>0</v>
      </c>
      <c r="L1522" s="20">
        <v>637.5</v>
      </c>
      <c r="M1522" s="20">
        <v>637.5</v>
      </c>
      <c r="N1522" s="20">
        <v>637.5</v>
      </c>
      <c r="O1522" s="20">
        <f>H1522-L1522</f>
        <v>-637.5</v>
      </c>
      <c r="P1522" s="20" t="e">
        <f>#REF!-M1522</f>
        <v>#REF!</v>
      </c>
      <c r="Q1522" s="20" t="e">
        <f>#REF!-N1522</f>
        <v>#REF!</v>
      </c>
      <c r="R1522" s="17" t="str">
        <f t="shared" si="161"/>
        <v>07 1 01 21130240</v>
      </c>
    </row>
    <row r="1523" spans="1:18" s="16" customFormat="1" ht="15.75">
      <c r="A1523" s="14"/>
      <c r="B1523" s="125" t="s">
        <v>30</v>
      </c>
      <c r="C1523" s="131" t="s">
        <v>795</v>
      </c>
      <c r="D1523" s="131" t="s">
        <v>238</v>
      </c>
      <c r="E1523" s="131" t="s">
        <v>11</v>
      </c>
      <c r="F1523" s="131" t="s">
        <v>781</v>
      </c>
      <c r="G1523" s="131" t="s">
        <v>31</v>
      </c>
      <c r="H1523" s="126"/>
      <c r="L1523" s="20"/>
      <c r="M1523" s="20"/>
      <c r="N1523" s="20"/>
      <c r="O1523" s="20"/>
      <c r="P1523" s="20"/>
      <c r="Q1523" s="20"/>
      <c r="R1523" s="17"/>
    </row>
    <row r="1524" spans="1:18" s="16" customFormat="1" ht="15.75">
      <c r="A1524" s="14"/>
      <c r="B1524" s="125"/>
      <c r="C1524" s="131"/>
      <c r="D1524" s="131"/>
      <c r="E1524" s="131"/>
      <c r="F1524" s="131"/>
      <c r="G1524" s="131"/>
      <c r="H1524" s="126"/>
      <c r="L1524" s="20"/>
      <c r="M1524" s="20"/>
      <c r="N1524" s="20"/>
      <c r="O1524" s="20">
        <f t="shared" ref="O1524:O1532" si="172">H1524-L1524</f>
        <v>0</v>
      </c>
      <c r="P1524" s="20" t="e">
        <f>#REF!-M1524</f>
        <v>#REF!</v>
      </c>
      <c r="Q1524" s="20" t="e">
        <f>#REF!-N1524</f>
        <v>#REF!</v>
      </c>
      <c r="R1524" s="17" t="str">
        <f t="shared" si="161"/>
        <v/>
      </c>
    </row>
    <row r="1525" spans="1:18" s="16" customFormat="1" ht="31.5">
      <c r="A1525" s="14"/>
      <c r="B1525" s="67" t="s">
        <v>805</v>
      </c>
      <c r="C1525" s="116" t="s">
        <v>410</v>
      </c>
      <c r="D1525" s="69" t="s">
        <v>7</v>
      </c>
      <c r="E1525" s="69" t="s">
        <v>7</v>
      </c>
      <c r="F1525" s="69" t="s">
        <v>8</v>
      </c>
      <c r="G1525" s="69" t="s">
        <v>9</v>
      </c>
      <c r="H1525" s="162">
        <f>H1526+H1539+H1614+H1711+H1703</f>
        <v>0</v>
      </c>
      <c r="L1525" s="56">
        <v>613479.86</v>
      </c>
      <c r="M1525" s="56">
        <v>551006.57000000007</v>
      </c>
      <c r="N1525" s="56">
        <v>543634.79</v>
      </c>
      <c r="O1525" s="56">
        <f t="shared" si="172"/>
        <v>-613479.86</v>
      </c>
      <c r="P1525" s="56" t="e">
        <f>#REF!-M1525</f>
        <v>#REF!</v>
      </c>
      <c r="Q1525" s="56" t="e">
        <f>#REF!-N1525</f>
        <v>#REF!</v>
      </c>
      <c r="R1525" s="17" t="str">
        <f t="shared" si="161"/>
        <v>00 0 00 00000000</v>
      </c>
    </row>
    <row r="1526" spans="1:18" s="16" customFormat="1" ht="15.75">
      <c r="A1526" s="14"/>
      <c r="B1526" s="117" t="s">
        <v>10</v>
      </c>
      <c r="C1526" s="118" t="s">
        <v>410</v>
      </c>
      <c r="D1526" s="119" t="s">
        <v>11</v>
      </c>
      <c r="E1526" s="119" t="s">
        <v>7</v>
      </c>
      <c r="F1526" s="119" t="s">
        <v>8</v>
      </c>
      <c r="G1526" s="119" t="s">
        <v>9</v>
      </c>
      <c r="H1526" s="120">
        <f t="shared" ref="H1526:H1534" si="173">H1527</f>
        <v>0</v>
      </c>
      <c r="L1526" s="18">
        <v>571.66</v>
      </c>
      <c r="M1526" s="18">
        <v>571.66</v>
      </c>
      <c r="N1526" s="18">
        <v>571.66</v>
      </c>
      <c r="O1526" s="18">
        <f t="shared" si="172"/>
        <v>-571.66</v>
      </c>
      <c r="P1526" s="18" t="e">
        <f>#REF!-M1526</f>
        <v>#REF!</v>
      </c>
      <c r="Q1526" s="18" t="e">
        <f>#REF!-N1526</f>
        <v>#REF!</v>
      </c>
      <c r="R1526" s="17" t="str">
        <f t="shared" si="161"/>
        <v>00 0 00 00000000</v>
      </c>
    </row>
    <row r="1527" spans="1:18" s="16" customFormat="1" ht="15.75">
      <c r="A1527" s="14"/>
      <c r="B1527" s="121" t="s">
        <v>50</v>
      </c>
      <c r="C1527" s="122" t="s">
        <v>410</v>
      </c>
      <c r="D1527" s="123" t="s">
        <v>11</v>
      </c>
      <c r="E1527" s="123" t="s">
        <v>51</v>
      </c>
      <c r="F1527" s="123" t="s">
        <v>8</v>
      </c>
      <c r="G1527" s="123" t="s">
        <v>9</v>
      </c>
      <c r="H1527" s="124">
        <f>H1534+H1528</f>
        <v>0</v>
      </c>
      <c r="L1527" s="19">
        <v>571.66</v>
      </c>
      <c r="M1527" s="19">
        <v>571.66</v>
      </c>
      <c r="N1527" s="19">
        <v>571.66</v>
      </c>
      <c r="O1527" s="19">
        <f t="shared" si="172"/>
        <v>-571.66</v>
      </c>
      <c r="P1527" s="19" t="e">
        <f>#REF!-M1527</f>
        <v>#REF!</v>
      </c>
      <c r="Q1527" s="19" t="e">
        <f>#REF!-N1527</f>
        <v>#REF!</v>
      </c>
      <c r="R1527" s="17" t="str">
        <f t="shared" si="161"/>
        <v>00 0 00 00000000</v>
      </c>
    </row>
    <row r="1528" spans="1:18" s="16" customFormat="1" ht="63">
      <c r="A1528" s="14"/>
      <c r="B1528" s="125" t="s">
        <v>257</v>
      </c>
      <c r="C1528" s="109" t="s">
        <v>410</v>
      </c>
      <c r="D1528" s="108" t="s">
        <v>11</v>
      </c>
      <c r="E1528" s="108" t="s">
        <v>51</v>
      </c>
      <c r="F1528" s="14" t="s">
        <v>258</v>
      </c>
      <c r="G1528" s="108" t="s">
        <v>9</v>
      </c>
      <c r="H1528" s="126">
        <f>H1529</f>
        <v>0</v>
      </c>
      <c r="L1528" s="20">
        <v>71.66</v>
      </c>
      <c r="M1528" s="20">
        <v>71.66</v>
      </c>
      <c r="N1528" s="20">
        <v>71.66</v>
      </c>
      <c r="O1528" s="20">
        <f t="shared" si="172"/>
        <v>-71.66</v>
      </c>
      <c r="P1528" s="20" t="e">
        <f>#REF!-M1528</f>
        <v>#REF!</v>
      </c>
      <c r="Q1528" s="20" t="e">
        <f>#REF!-N1528</f>
        <v>#REF!</v>
      </c>
      <c r="R1528" s="17" t="str">
        <f t="shared" ref="R1528:R1597" si="174">CONCATENATE(F1528,G1528)</f>
        <v>11 0 00 00000000</v>
      </c>
    </row>
    <row r="1529" spans="1:18" s="16" customFormat="1" ht="63">
      <c r="A1529" s="14"/>
      <c r="B1529" s="125" t="s">
        <v>259</v>
      </c>
      <c r="C1529" s="109" t="s">
        <v>410</v>
      </c>
      <c r="D1529" s="108" t="s">
        <v>11</v>
      </c>
      <c r="E1529" s="108" t="s">
        <v>51</v>
      </c>
      <c r="F1529" s="14" t="s">
        <v>260</v>
      </c>
      <c r="G1529" s="108" t="s">
        <v>9</v>
      </c>
      <c r="H1529" s="126">
        <f>H1530</f>
        <v>0</v>
      </c>
      <c r="L1529" s="20">
        <v>71.66</v>
      </c>
      <c r="M1529" s="20">
        <v>71.66</v>
      </c>
      <c r="N1529" s="20">
        <v>71.66</v>
      </c>
      <c r="O1529" s="20">
        <f t="shared" si="172"/>
        <v>-71.66</v>
      </c>
      <c r="P1529" s="20" t="e">
        <f>#REF!-M1529</f>
        <v>#REF!</v>
      </c>
      <c r="Q1529" s="20" t="e">
        <f>#REF!-N1529</f>
        <v>#REF!</v>
      </c>
      <c r="R1529" s="17" t="str">
        <f t="shared" si="174"/>
        <v>11 Б 00 00000000</v>
      </c>
    </row>
    <row r="1530" spans="1:18" s="16" customFormat="1" ht="47.25">
      <c r="A1530" s="14"/>
      <c r="B1530" s="125" t="s">
        <v>261</v>
      </c>
      <c r="C1530" s="109" t="s">
        <v>410</v>
      </c>
      <c r="D1530" s="108" t="s">
        <v>11</v>
      </c>
      <c r="E1530" s="108" t="s">
        <v>51</v>
      </c>
      <c r="F1530" s="14" t="s">
        <v>262</v>
      </c>
      <c r="G1530" s="108" t="s">
        <v>9</v>
      </c>
      <c r="H1530" s="126">
        <f>H1531</f>
        <v>0</v>
      </c>
      <c r="L1530" s="20">
        <v>71.66</v>
      </c>
      <c r="M1530" s="20">
        <v>71.66</v>
      </c>
      <c r="N1530" s="20">
        <v>71.66</v>
      </c>
      <c r="O1530" s="20">
        <f t="shared" si="172"/>
        <v>-71.66</v>
      </c>
      <c r="P1530" s="20" t="e">
        <f>#REF!-M1530</f>
        <v>#REF!</v>
      </c>
      <c r="Q1530" s="20" t="e">
        <f>#REF!-N1530</f>
        <v>#REF!</v>
      </c>
      <c r="R1530" s="17" t="str">
        <f t="shared" si="174"/>
        <v>11 Б 01 00000000</v>
      </c>
    </row>
    <row r="1531" spans="1:18" s="16" customFormat="1" ht="31.5">
      <c r="A1531" s="14"/>
      <c r="B1531" s="125" t="s">
        <v>267</v>
      </c>
      <c r="C1531" s="109" t="s">
        <v>410</v>
      </c>
      <c r="D1531" s="108" t="s">
        <v>11</v>
      </c>
      <c r="E1531" s="108" t="s">
        <v>51</v>
      </c>
      <c r="F1531" s="14" t="s">
        <v>268</v>
      </c>
      <c r="G1531" s="108" t="s">
        <v>9</v>
      </c>
      <c r="H1531" s="126">
        <f>H1532</f>
        <v>0</v>
      </c>
      <c r="L1531" s="20">
        <v>71.66</v>
      </c>
      <c r="M1531" s="20">
        <v>71.66</v>
      </c>
      <c r="N1531" s="20">
        <v>71.66</v>
      </c>
      <c r="O1531" s="20">
        <f t="shared" si="172"/>
        <v>-71.66</v>
      </c>
      <c r="P1531" s="20" t="e">
        <f>#REF!-M1531</f>
        <v>#REF!</v>
      </c>
      <c r="Q1531" s="20" t="e">
        <f>#REF!-N1531</f>
        <v>#REF!</v>
      </c>
      <c r="R1531" s="17" t="str">
        <f t="shared" si="174"/>
        <v>11 Б 01 21120000</v>
      </c>
    </row>
    <row r="1532" spans="1:18" s="16" customFormat="1" ht="31.5">
      <c r="A1532" s="14"/>
      <c r="B1532" s="125" t="s">
        <v>28</v>
      </c>
      <c r="C1532" s="109" t="s">
        <v>410</v>
      </c>
      <c r="D1532" s="108" t="s">
        <v>11</v>
      </c>
      <c r="E1532" s="108" t="s">
        <v>51</v>
      </c>
      <c r="F1532" s="14" t="s">
        <v>268</v>
      </c>
      <c r="G1532" s="108" t="s">
        <v>29</v>
      </c>
      <c r="H1532" s="126">
        <f>H1533</f>
        <v>0</v>
      </c>
      <c r="L1532" s="20">
        <v>71.66</v>
      </c>
      <c r="M1532" s="20">
        <v>71.66</v>
      </c>
      <c r="N1532" s="20">
        <v>71.66</v>
      </c>
      <c r="O1532" s="20">
        <f t="shared" si="172"/>
        <v>-71.66</v>
      </c>
      <c r="P1532" s="20" t="e">
        <f>#REF!-M1532</f>
        <v>#REF!</v>
      </c>
      <c r="Q1532" s="20" t="e">
        <f>#REF!-N1532</f>
        <v>#REF!</v>
      </c>
      <c r="R1532" s="17" t="str">
        <f t="shared" si="174"/>
        <v>11 Б 01 21120240</v>
      </c>
    </row>
    <row r="1533" spans="1:18" s="16" customFormat="1" ht="15.75">
      <c r="A1533" s="14"/>
      <c r="B1533" s="125" t="s">
        <v>30</v>
      </c>
      <c r="C1533" s="109" t="s">
        <v>410</v>
      </c>
      <c r="D1533" s="108" t="s">
        <v>11</v>
      </c>
      <c r="E1533" s="108" t="s">
        <v>51</v>
      </c>
      <c r="F1533" s="14" t="s">
        <v>268</v>
      </c>
      <c r="G1533" s="108" t="s">
        <v>31</v>
      </c>
      <c r="H1533" s="126"/>
      <c r="L1533" s="20"/>
      <c r="M1533" s="20"/>
      <c r="N1533" s="20"/>
      <c r="O1533" s="20"/>
      <c r="P1533" s="20"/>
      <c r="Q1533" s="20"/>
      <c r="R1533" s="17"/>
    </row>
    <row r="1534" spans="1:18" s="16" customFormat="1" ht="31.5">
      <c r="A1534" s="14"/>
      <c r="B1534" s="125" t="s">
        <v>806</v>
      </c>
      <c r="C1534" s="108" t="s">
        <v>410</v>
      </c>
      <c r="D1534" s="108" t="s">
        <v>11</v>
      </c>
      <c r="E1534" s="108" t="s">
        <v>51</v>
      </c>
      <c r="F1534" s="108" t="s">
        <v>807</v>
      </c>
      <c r="G1534" s="108" t="s">
        <v>9</v>
      </c>
      <c r="H1534" s="126">
        <f t="shared" si="173"/>
        <v>0</v>
      </c>
      <c r="L1534" s="20">
        <v>500</v>
      </c>
      <c r="M1534" s="20">
        <v>500</v>
      </c>
      <c r="N1534" s="20">
        <v>500</v>
      </c>
      <c r="O1534" s="20">
        <f>H1534-L1534</f>
        <v>-500</v>
      </c>
      <c r="P1534" s="20" t="e">
        <f>#REF!-M1534</f>
        <v>#REF!</v>
      </c>
      <c r="Q1534" s="20" t="e">
        <f>#REF!-N1534</f>
        <v>#REF!</v>
      </c>
      <c r="R1534" s="17" t="str">
        <f t="shared" si="174"/>
        <v>83 0 00 00000000</v>
      </c>
    </row>
    <row r="1535" spans="1:18" s="16" customFormat="1" ht="47.25">
      <c r="A1535" s="14"/>
      <c r="B1535" s="125" t="s">
        <v>808</v>
      </c>
      <c r="C1535" s="108" t="s">
        <v>410</v>
      </c>
      <c r="D1535" s="108" t="s">
        <v>11</v>
      </c>
      <c r="E1535" s="108" t="s">
        <v>51</v>
      </c>
      <c r="F1535" s="108" t="s">
        <v>809</v>
      </c>
      <c r="G1535" s="108" t="s">
        <v>9</v>
      </c>
      <c r="H1535" s="126">
        <f>H1536</f>
        <v>0</v>
      </c>
      <c r="L1535" s="20">
        <v>500</v>
      </c>
      <c r="M1535" s="20">
        <v>500</v>
      </c>
      <c r="N1535" s="20">
        <v>500</v>
      </c>
      <c r="O1535" s="20">
        <f>H1535-L1535</f>
        <v>-500</v>
      </c>
      <c r="P1535" s="20" t="e">
        <f>#REF!-M1535</f>
        <v>#REF!</v>
      </c>
      <c r="Q1535" s="20" t="e">
        <f>#REF!-N1535</f>
        <v>#REF!</v>
      </c>
      <c r="R1535" s="17" t="str">
        <f t="shared" si="174"/>
        <v>83 1 00 00000000</v>
      </c>
    </row>
    <row r="1536" spans="1:18" s="16" customFormat="1" ht="31.5">
      <c r="A1536" s="14"/>
      <c r="B1536" s="125" t="s">
        <v>187</v>
      </c>
      <c r="C1536" s="108" t="s">
        <v>410</v>
      </c>
      <c r="D1536" s="108" t="s">
        <v>11</v>
      </c>
      <c r="E1536" s="108" t="s">
        <v>51</v>
      </c>
      <c r="F1536" s="108" t="s">
        <v>810</v>
      </c>
      <c r="G1536" s="108" t="s">
        <v>9</v>
      </c>
      <c r="H1536" s="126">
        <f>H1537</f>
        <v>0</v>
      </c>
      <c r="L1536" s="20">
        <v>500</v>
      </c>
      <c r="M1536" s="20">
        <v>500</v>
      </c>
      <c r="N1536" s="20">
        <v>500</v>
      </c>
      <c r="O1536" s="20">
        <f>H1536-L1536</f>
        <v>-500</v>
      </c>
      <c r="P1536" s="20" t="e">
        <f>#REF!-M1536</f>
        <v>#REF!</v>
      </c>
      <c r="Q1536" s="20" t="e">
        <f>#REF!-N1536</f>
        <v>#REF!</v>
      </c>
      <c r="R1536" s="17" t="str">
        <f t="shared" si="174"/>
        <v>83 1 00 20050000</v>
      </c>
    </row>
    <row r="1537" spans="1:18" s="16" customFormat="1" ht="15.75">
      <c r="A1537" s="14"/>
      <c r="B1537" s="125" t="s">
        <v>189</v>
      </c>
      <c r="C1537" s="108" t="s">
        <v>410</v>
      </c>
      <c r="D1537" s="108" t="s">
        <v>11</v>
      </c>
      <c r="E1537" s="108" t="s">
        <v>51</v>
      </c>
      <c r="F1537" s="108" t="s">
        <v>810</v>
      </c>
      <c r="G1537" s="108" t="s">
        <v>190</v>
      </c>
      <c r="H1537" s="126">
        <f>H1538</f>
        <v>0</v>
      </c>
      <c r="L1537" s="20">
        <v>500</v>
      </c>
      <c r="M1537" s="20">
        <v>500</v>
      </c>
      <c r="N1537" s="20">
        <v>500</v>
      </c>
      <c r="O1537" s="20">
        <f>H1537-L1537</f>
        <v>-500</v>
      </c>
      <c r="P1537" s="20" t="e">
        <f>#REF!-M1537</f>
        <v>#REF!</v>
      </c>
      <c r="Q1537" s="20" t="e">
        <f>#REF!-N1537</f>
        <v>#REF!</v>
      </c>
      <c r="R1537" s="17" t="str">
        <f t="shared" si="174"/>
        <v>83 1 00 20050830</v>
      </c>
    </row>
    <row r="1538" spans="1:18" s="16" customFormat="1" ht="47.25">
      <c r="A1538" s="14"/>
      <c r="B1538" s="125" t="s">
        <v>191</v>
      </c>
      <c r="C1538" s="108" t="s">
        <v>410</v>
      </c>
      <c r="D1538" s="108" t="s">
        <v>11</v>
      </c>
      <c r="E1538" s="108" t="s">
        <v>51</v>
      </c>
      <c r="F1538" s="108" t="s">
        <v>810</v>
      </c>
      <c r="G1538" s="108" t="s">
        <v>192</v>
      </c>
      <c r="H1538" s="126"/>
      <c r="L1538" s="20"/>
      <c r="M1538" s="20"/>
      <c r="N1538" s="20"/>
      <c r="O1538" s="20"/>
      <c r="P1538" s="20"/>
      <c r="Q1538" s="20"/>
      <c r="R1538" s="17"/>
    </row>
    <row r="1539" spans="1:18" s="16" customFormat="1" ht="15.75">
      <c r="A1539" s="14"/>
      <c r="B1539" s="117" t="s">
        <v>195</v>
      </c>
      <c r="C1539" s="118" t="s">
        <v>410</v>
      </c>
      <c r="D1539" s="119" t="s">
        <v>73</v>
      </c>
      <c r="E1539" s="119" t="s">
        <v>7</v>
      </c>
      <c r="F1539" s="119" t="s">
        <v>8</v>
      </c>
      <c r="G1539" s="119" t="s">
        <v>9</v>
      </c>
      <c r="H1539" s="120">
        <f>H1540+H1548+H1566+H1608</f>
        <v>0</v>
      </c>
      <c r="L1539" s="18">
        <v>307061.11</v>
      </c>
      <c r="M1539" s="18">
        <v>263240.06</v>
      </c>
      <c r="N1539" s="18">
        <v>252044.31999999998</v>
      </c>
      <c r="O1539" s="18">
        <f t="shared" ref="O1539:O1545" si="175">H1539-L1539</f>
        <v>-307061.11</v>
      </c>
      <c r="P1539" s="18" t="e">
        <f>#REF!-M1539</f>
        <v>#REF!</v>
      </c>
      <c r="Q1539" s="18" t="e">
        <f>#REF!-N1539</f>
        <v>#REF!</v>
      </c>
      <c r="R1539" s="17" t="str">
        <f t="shared" si="174"/>
        <v>00 0 00 00000000</v>
      </c>
    </row>
    <row r="1540" spans="1:18" s="16" customFormat="1" ht="15.75">
      <c r="A1540" s="14"/>
      <c r="B1540" s="121" t="s">
        <v>811</v>
      </c>
      <c r="C1540" s="122" t="s">
        <v>410</v>
      </c>
      <c r="D1540" s="123" t="s">
        <v>73</v>
      </c>
      <c r="E1540" s="123" t="s">
        <v>229</v>
      </c>
      <c r="F1540" s="123" t="s">
        <v>8</v>
      </c>
      <c r="G1540" s="123" t="s">
        <v>9</v>
      </c>
      <c r="H1540" s="124">
        <f t="shared" ref="H1540:H1544" si="176">H1541</f>
        <v>0</v>
      </c>
      <c r="L1540" s="19">
        <v>13609.359999999999</v>
      </c>
      <c r="M1540" s="19">
        <v>13609.359999999999</v>
      </c>
      <c r="N1540" s="19">
        <v>13609.359999999999</v>
      </c>
      <c r="O1540" s="19">
        <f t="shared" si="175"/>
        <v>-13609.359999999999</v>
      </c>
      <c r="P1540" s="19" t="e">
        <f>#REF!-M1540</f>
        <v>#REF!</v>
      </c>
      <c r="Q1540" s="19" t="e">
        <f>#REF!-N1540</f>
        <v>#REF!</v>
      </c>
      <c r="R1540" s="17" t="str">
        <f t="shared" si="174"/>
        <v>00 0 00 00000000</v>
      </c>
    </row>
    <row r="1541" spans="1:18" s="16" customFormat="1" ht="63">
      <c r="A1541" s="14"/>
      <c r="B1541" s="127" t="s">
        <v>293</v>
      </c>
      <c r="C1541" s="108" t="s">
        <v>410</v>
      </c>
      <c r="D1541" s="108" t="s">
        <v>73</v>
      </c>
      <c r="E1541" s="108" t="s">
        <v>229</v>
      </c>
      <c r="F1541" s="108" t="s">
        <v>294</v>
      </c>
      <c r="G1541" s="108" t="s">
        <v>9</v>
      </c>
      <c r="H1541" s="126">
        <f t="shared" si="176"/>
        <v>0</v>
      </c>
      <c r="L1541" s="20">
        <v>13609.359999999999</v>
      </c>
      <c r="M1541" s="20">
        <v>13609.359999999999</v>
      </c>
      <c r="N1541" s="20">
        <v>13609.359999999999</v>
      </c>
      <c r="O1541" s="20">
        <f t="shared" si="175"/>
        <v>-13609.359999999999</v>
      </c>
      <c r="P1541" s="20" t="e">
        <f>#REF!-M1541</f>
        <v>#REF!</v>
      </c>
      <c r="Q1541" s="20" t="e">
        <f>#REF!-N1541</f>
        <v>#REF!</v>
      </c>
      <c r="R1541" s="17" t="str">
        <f t="shared" si="174"/>
        <v>04 0 00 00000000</v>
      </c>
    </row>
    <row r="1542" spans="1:18" s="16" customFormat="1" ht="31.5">
      <c r="A1542" s="14"/>
      <c r="B1542" s="125" t="s">
        <v>307</v>
      </c>
      <c r="C1542" s="108" t="s">
        <v>410</v>
      </c>
      <c r="D1542" s="108" t="s">
        <v>73</v>
      </c>
      <c r="E1542" s="108" t="s">
        <v>229</v>
      </c>
      <c r="F1542" s="108" t="s">
        <v>308</v>
      </c>
      <c r="G1542" s="108" t="s">
        <v>9</v>
      </c>
      <c r="H1542" s="126">
        <f>H1543</f>
        <v>0</v>
      </c>
      <c r="L1542" s="20">
        <v>13609.359999999999</v>
      </c>
      <c r="M1542" s="20">
        <v>13609.359999999999</v>
      </c>
      <c r="N1542" s="20">
        <v>13609.359999999999</v>
      </c>
      <c r="O1542" s="20">
        <f t="shared" si="175"/>
        <v>-13609.359999999999</v>
      </c>
      <c r="P1542" s="20" t="e">
        <f>#REF!-M1542</f>
        <v>#REF!</v>
      </c>
      <c r="Q1542" s="20" t="e">
        <f>#REF!-N1542</f>
        <v>#REF!</v>
      </c>
      <c r="R1542" s="17" t="str">
        <f t="shared" si="174"/>
        <v>04 3 00 00000000</v>
      </c>
    </row>
    <row r="1543" spans="1:18" s="16" customFormat="1" ht="47.25">
      <c r="A1543" s="14"/>
      <c r="B1543" s="125" t="s">
        <v>812</v>
      </c>
      <c r="C1543" s="108" t="s">
        <v>410</v>
      </c>
      <c r="D1543" s="108" t="s">
        <v>73</v>
      </c>
      <c r="E1543" s="108" t="s">
        <v>229</v>
      </c>
      <c r="F1543" s="108" t="s">
        <v>813</v>
      </c>
      <c r="G1543" s="108" t="s">
        <v>9</v>
      </c>
      <c r="H1543" s="126">
        <f>H1544</f>
        <v>0</v>
      </c>
      <c r="L1543" s="20">
        <v>13609.359999999999</v>
      </c>
      <c r="M1543" s="20">
        <v>13609.359999999999</v>
      </c>
      <c r="N1543" s="20">
        <v>13609.359999999999</v>
      </c>
      <c r="O1543" s="20">
        <f t="shared" si="175"/>
        <v>-13609.359999999999</v>
      </c>
      <c r="P1543" s="20" t="e">
        <f>#REF!-M1543</f>
        <v>#REF!</v>
      </c>
      <c r="Q1543" s="20" t="e">
        <f>#REF!-N1543</f>
        <v>#REF!</v>
      </c>
      <c r="R1543" s="17" t="str">
        <f t="shared" si="174"/>
        <v>04 3 01 00000000</v>
      </c>
    </row>
    <row r="1544" spans="1:18" s="16" customFormat="1" ht="31.5">
      <c r="A1544" s="14"/>
      <c r="B1544" s="125" t="s">
        <v>136</v>
      </c>
      <c r="C1544" s="108" t="s">
        <v>410</v>
      </c>
      <c r="D1544" s="108" t="s">
        <v>73</v>
      </c>
      <c r="E1544" s="108" t="s">
        <v>229</v>
      </c>
      <c r="F1544" s="108" t="s">
        <v>814</v>
      </c>
      <c r="G1544" s="108" t="s">
        <v>9</v>
      </c>
      <c r="H1544" s="126">
        <f t="shared" si="176"/>
        <v>0</v>
      </c>
      <c r="L1544" s="20">
        <v>13609.359999999999</v>
      </c>
      <c r="M1544" s="20">
        <v>13609.359999999999</v>
      </c>
      <c r="N1544" s="20">
        <v>13609.359999999999</v>
      </c>
      <c r="O1544" s="20">
        <f t="shared" si="175"/>
        <v>-13609.359999999999</v>
      </c>
      <c r="P1544" s="20" t="e">
        <f>#REF!-M1544</f>
        <v>#REF!</v>
      </c>
      <c r="Q1544" s="20" t="e">
        <f>#REF!-N1544</f>
        <v>#REF!</v>
      </c>
      <c r="R1544" s="17" t="str">
        <f t="shared" si="174"/>
        <v>04 3 01 11010000</v>
      </c>
    </row>
    <row r="1545" spans="1:18" s="16" customFormat="1" ht="15.75">
      <c r="A1545" s="14"/>
      <c r="B1545" s="132" t="s">
        <v>403</v>
      </c>
      <c r="C1545" s="108" t="s">
        <v>410</v>
      </c>
      <c r="D1545" s="108" t="s">
        <v>73</v>
      </c>
      <c r="E1545" s="108" t="s">
        <v>229</v>
      </c>
      <c r="F1545" s="108" t="s">
        <v>814</v>
      </c>
      <c r="G1545" s="108" t="s">
        <v>404</v>
      </c>
      <c r="H1545" s="126">
        <f>SUM(H1546:H1547)</f>
        <v>0</v>
      </c>
      <c r="L1545" s="20">
        <v>13609.359999999999</v>
      </c>
      <c r="M1545" s="20">
        <v>13609.359999999999</v>
      </c>
      <c r="N1545" s="20">
        <v>13609.359999999999</v>
      </c>
      <c r="O1545" s="20">
        <f t="shared" si="175"/>
        <v>-13609.359999999999</v>
      </c>
      <c r="P1545" s="20" t="e">
        <f>#REF!-M1545</f>
        <v>#REF!</v>
      </c>
      <c r="Q1545" s="20" t="e">
        <f>#REF!-N1545</f>
        <v>#REF!</v>
      </c>
      <c r="R1545" s="17" t="str">
        <f t="shared" si="174"/>
        <v>04 3 01 11010610</v>
      </c>
    </row>
    <row r="1546" spans="1:18" s="23" customFormat="1" ht="63">
      <c r="A1546" s="21"/>
      <c r="B1546" s="127" t="s">
        <v>405</v>
      </c>
      <c r="C1546" s="108" t="s">
        <v>410</v>
      </c>
      <c r="D1546" s="108" t="s">
        <v>73</v>
      </c>
      <c r="E1546" s="108" t="s">
        <v>229</v>
      </c>
      <c r="F1546" s="108" t="s">
        <v>814</v>
      </c>
      <c r="G1546" s="108" t="s">
        <v>406</v>
      </c>
      <c r="H1546" s="126"/>
      <c r="L1546" s="22"/>
      <c r="M1546" s="22"/>
      <c r="N1546" s="22"/>
      <c r="O1546" s="22"/>
      <c r="P1546" s="22"/>
      <c r="Q1546" s="22"/>
      <c r="R1546" s="24"/>
    </row>
    <row r="1547" spans="1:18" s="23" customFormat="1" ht="15.75">
      <c r="A1547" s="21"/>
      <c r="B1547" s="127" t="s">
        <v>407</v>
      </c>
      <c r="C1547" s="108" t="s">
        <v>410</v>
      </c>
      <c r="D1547" s="108" t="s">
        <v>73</v>
      </c>
      <c r="E1547" s="108" t="s">
        <v>229</v>
      </c>
      <c r="F1547" s="108" t="s">
        <v>814</v>
      </c>
      <c r="G1547" s="108" t="s">
        <v>408</v>
      </c>
      <c r="H1547" s="126"/>
      <c r="L1547" s="22"/>
      <c r="M1547" s="22"/>
      <c r="N1547" s="22"/>
      <c r="O1547" s="22"/>
      <c r="P1547" s="22"/>
      <c r="Q1547" s="22"/>
      <c r="R1547" s="24"/>
    </row>
    <row r="1548" spans="1:18" s="16" customFormat="1" ht="15.75">
      <c r="A1548" s="14"/>
      <c r="B1548" s="121" t="s">
        <v>815</v>
      </c>
      <c r="C1548" s="122" t="s">
        <v>410</v>
      </c>
      <c r="D1548" s="123" t="s">
        <v>73</v>
      </c>
      <c r="E1548" s="123" t="s">
        <v>238</v>
      </c>
      <c r="F1548" s="123" t="s">
        <v>8</v>
      </c>
      <c r="G1548" s="123" t="s">
        <v>9</v>
      </c>
      <c r="H1548" s="124">
        <f>H1549+H1561</f>
        <v>0</v>
      </c>
      <c r="L1548" s="19">
        <v>52490.759999999995</v>
      </c>
      <c r="M1548" s="19">
        <v>55046.320000000007</v>
      </c>
      <c r="N1548" s="19">
        <v>25587.94</v>
      </c>
      <c r="O1548" s="19">
        <f t="shared" ref="O1548:O1553" si="177">H1548-L1548</f>
        <v>-52490.759999999995</v>
      </c>
      <c r="P1548" s="19" t="e">
        <f>#REF!-M1548</f>
        <v>#REF!</v>
      </c>
      <c r="Q1548" s="19" t="e">
        <f>#REF!-N1548</f>
        <v>#REF!</v>
      </c>
      <c r="R1548" s="17" t="str">
        <f t="shared" si="174"/>
        <v>00 0 00 00000000</v>
      </c>
    </row>
    <row r="1549" spans="1:18" s="16" customFormat="1" ht="63">
      <c r="A1549" s="14"/>
      <c r="B1549" s="127" t="s">
        <v>293</v>
      </c>
      <c r="C1549" s="108" t="s">
        <v>410</v>
      </c>
      <c r="D1549" s="108" t="s">
        <v>73</v>
      </c>
      <c r="E1549" s="108" t="s">
        <v>238</v>
      </c>
      <c r="F1549" s="108" t="s">
        <v>294</v>
      </c>
      <c r="G1549" s="108" t="s">
        <v>9</v>
      </c>
      <c r="H1549" s="126">
        <f>H1550</f>
        <v>0</v>
      </c>
      <c r="L1549" s="20">
        <v>52490.759999999995</v>
      </c>
      <c r="M1549" s="20">
        <v>55046.320000000007</v>
      </c>
      <c r="N1549" s="20">
        <v>25587.94</v>
      </c>
      <c r="O1549" s="20">
        <f t="shared" si="177"/>
        <v>-52490.759999999995</v>
      </c>
      <c r="P1549" s="20" t="e">
        <f>#REF!-M1549</f>
        <v>#REF!</v>
      </c>
      <c r="Q1549" s="20" t="e">
        <f>#REF!-N1549</f>
        <v>#REF!</v>
      </c>
      <c r="R1549" s="17" t="str">
        <f t="shared" si="174"/>
        <v>04 0 00 00000000</v>
      </c>
    </row>
    <row r="1550" spans="1:18" s="16" customFormat="1" ht="63">
      <c r="A1550" s="14"/>
      <c r="B1550" s="140" t="s">
        <v>295</v>
      </c>
      <c r="C1550" s="108" t="s">
        <v>410</v>
      </c>
      <c r="D1550" s="108" t="s">
        <v>73</v>
      </c>
      <c r="E1550" s="108" t="s">
        <v>238</v>
      </c>
      <c r="F1550" s="108" t="s">
        <v>296</v>
      </c>
      <c r="G1550" s="108" t="s">
        <v>9</v>
      </c>
      <c r="H1550" s="126">
        <f t="shared" ref="H1550" si="178">H1551</f>
        <v>0</v>
      </c>
      <c r="L1550" s="20">
        <v>52490.759999999995</v>
      </c>
      <c r="M1550" s="20">
        <v>55046.320000000007</v>
      </c>
      <c r="N1550" s="20">
        <v>25587.94</v>
      </c>
      <c r="O1550" s="20">
        <f t="shared" si="177"/>
        <v>-52490.759999999995</v>
      </c>
      <c r="P1550" s="20" t="e">
        <f>#REF!-M1550</f>
        <v>#REF!</v>
      </c>
      <c r="Q1550" s="20" t="e">
        <f>#REF!-N1550</f>
        <v>#REF!</v>
      </c>
      <c r="R1550" s="17" t="str">
        <f t="shared" si="174"/>
        <v>04 2 00 00000000</v>
      </c>
    </row>
    <row r="1551" spans="1:18" s="16" customFormat="1" ht="63">
      <c r="A1551" s="14"/>
      <c r="B1551" s="135" t="s">
        <v>816</v>
      </c>
      <c r="C1551" s="108" t="s">
        <v>410</v>
      </c>
      <c r="D1551" s="108" t="s">
        <v>73</v>
      </c>
      <c r="E1551" s="108" t="s">
        <v>238</v>
      </c>
      <c r="F1551" s="108" t="s">
        <v>817</v>
      </c>
      <c r="G1551" s="108" t="s">
        <v>9</v>
      </c>
      <c r="H1551" s="126">
        <f>H1552+H1555+H1558</f>
        <v>0</v>
      </c>
      <c r="L1551" s="20">
        <v>52490.759999999995</v>
      </c>
      <c r="M1551" s="20">
        <v>55046.320000000007</v>
      </c>
      <c r="N1551" s="20">
        <v>25587.94</v>
      </c>
      <c r="O1551" s="20">
        <f t="shared" si="177"/>
        <v>-52490.759999999995</v>
      </c>
      <c r="P1551" s="20" t="e">
        <f>#REF!-M1551</f>
        <v>#REF!</v>
      </c>
      <c r="Q1551" s="20" t="e">
        <f>#REF!-N1551</f>
        <v>#REF!</v>
      </c>
      <c r="R1551" s="17" t="str">
        <f t="shared" si="174"/>
        <v>04 2 01 00000000</v>
      </c>
    </row>
    <row r="1552" spans="1:18" s="16" customFormat="1" ht="31.5">
      <c r="A1552" s="14"/>
      <c r="B1552" s="135" t="s">
        <v>136</v>
      </c>
      <c r="C1552" s="108" t="s">
        <v>410</v>
      </c>
      <c r="D1552" s="108" t="s">
        <v>73</v>
      </c>
      <c r="E1552" s="108" t="s">
        <v>238</v>
      </c>
      <c r="F1552" s="108" t="s">
        <v>818</v>
      </c>
      <c r="G1552" s="108" t="s">
        <v>9</v>
      </c>
      <c r="H1552" s="126">
        <f>H1553</f>
        <v>0</v>
      </c>
      <c r="L1552" s="20">
        <v>4023.94</v>
      </c>
      <c r="M1552" s="20">
        <v>4023.94</v>
      </c>
      <c r="N1552" s="20">
        <v>4023.94</v>
      </c>
      <c r="O1552" s="20">
        <f t="shared" si="177"/>
        <v>-4023.94</v>
      </c>
      <c r="P1552" s="20" t="e">
        <f>#REF!-M1552</f>
        <v>#REF!</v>
      </c>
      <c r="Q1552" s="20" t="e">
        <f>#REF!-N1552</f>
        <v>#REF!</v>
      </c>
      <c r="R1552" s="17" t="str">
        <f t="shared" si="174"/>
        <v>04 2 01 11010000</v>
      </c>
    </row>
    <row r="1553" spans="1:18" s="16" customFormat="1" ht="15.75">
      <c r="A1553" s="14"/>
      <c r="B1553" s="132" t="s">
        <v>403</v>
      </c>
      <c r="C1553" s="108" t="s">
        <v>410</v>
      </c>
      <c r="D1553" s="108" t="s">
        <v>73</v>
      </c>
      <c r="E1553" s="108" t="s">
        <v>238</v>
      </c>
      <c r="F1553" s="108" t="s">
        <v>818</v>
      </c>
      <c r="G1553" s="108" t="s">
        <v>404</v>
      </c>
      <c r="H1553" s="126">
        <f>H1554</f>
        <v>0</v>
      </c>
      <c r="L1553" s="20">
        <v>4023.94</v>
      </c>
      <c r="M1553" s="20">
        <v>4023.94</v>
      </c>
      <c r="N1553" s="20">
        <v>4023.94</v>
      </c>
      <c r="O1553" s="20">
        <f t="shared" si="177"/>
        <v>-4023.94</v>
      </c>
      <c r="P1553" s="20" t="e">
        <f>#REF!-M1553</f>
        <v>#REF!</v>
      </c>
      <c r="Q1553" s="20" t="e">
        <f>#REF!-N1553</f>
        <v>#REF!</v>
      </c>
      <c r="R1553" s="17" t="str">
        <f t="shared" si="174"/>
        <v>04 2 01 11010610</v>
      </c>
    </row>
    <row r="1554" spans="1:18" s="23" customFormat="1" ht="63">
      <c r="A1554" s="21"/>
      <c r="B1554" s="127" t="s">
        <v>405</v>
      </c>
      <c r="C1554" s="108" t="s">
        <v>410</v>
      </c>
      <c r="D1554" s="108" t="s">
        <v>73</v>
      </c>
      <c r="E1554" s="108" t="s">
        <v>238</v>
      </c>
      <c r="F1554" s="108" t="s">
        <v>818</v>
      </c>
      <c r="G1554" s="108" t="s">
        <v>406</v>
      </c>
      <c r="H1554" s="126"/>
      <c r="L1554" s="22"/>
      <c r="M1554" s="22"/>
      <c r="N1554" s="22"/>
      <c r="O1554" s="22"/>
      <c r="P1554" s="22"/>
      <c r="Q1554" s="22"/>
      <c r="R1554" s="24"/>
    </row>
    <row r="1555" spans="1:18" s="16" customFormat="1" ht="31.5">
      <c r="A1555" s="14"/>
      <c r="B1555" s="135" t="s">
        <v>819</v>
      </c>
      <c r="C1555" s="108" t="s">
        <v>410</v>
      </c>
      <c r="D1555" s="108" t="s">
        <v>73</v>
      </c>
      <c r="E1555" s="108" t="s">
        <v>238</v>
      </c>
      <c r="F1555" s="108" t="s">
        <v>820</v>
      </c>
      <c r="G1555" s="108" t="s">
        <v>9</v>
      </c>
      <c r="H1555" s="126">
        <f>H1556</f>
        <v>0</v>
      </c>
      <c r="L1555" s="20">
        <v>11796.87</v>
      </c>
      <c r="M1555" s="20">
        <v>11796.87</v>
      </c>
      <c r="N1555" s="20">
        <v>21564</v>
      </c>
      <c r="O1555" s="20">
        <f>H1555-L1555</f>
        <v>-11796.87</v>
      </c>
      <c r="P1555" s="20" t="e">
        <f>#REF!-M1555</f>
        <v>#REF!</v>
      </c>
      <c r="Q1555" s="20" t="e">
        <f>#REF!-N1555</f>
        <v>#REF!</v>
      </c>
      <c r="R1555" s="17" t="str">
        <f t="shared" si="174"/>
        <v>04 2 01 60020000</v>
      </c>
    </row>
    <row r="1556" spans="1:18" s="16" customFormat="1" ht="63">
      <c r="A1556" s="14"/>
      <c r="B1556" s="129" t="s">
        <v>203</v>
      </c>
      <c r="C1556" s="108" t="s">
        <v>410</v>
      </c>
      <c r="D1556" s="108" t="s">
        <v>73</v>
      </c>
      <c r="E1556" s="108" t="s">
        <v>238</v>
      </c>
      <c r="F1556" s="108" t="s">
        <v>820</v>
      </c>
      <c r="G1556" s="108" t="s">
        <v>204</v>
      </c>
      <c r="H1556" s="126">
        <f>H1557</f>
        <v>0</v>
      </c>
      <c r="L1556" s="57">
        <v>11796.87</v>
      </c>
      <c r="M1556" s="57">
        <v>11796.87</v>
      </c>
      <c r="N1556" s="57">
        <v>21564</v>
      </c>
      <c r="O1556" s="57">
        <f>H1556-L1556</f>
        <v>-11796.87</v>
      </c>
      <c r="P1556" s="57" t="e">
        <f>#REF!-M1556</f>
        <v>#REF!</v>
      </c>
      <c r="Q1556" s="57" t="e">
        <f>#REF!-N1556</f>
        <v>#REF!</v>
      </c>
      <c r="R1556" s="17" t="str">
        <f t="shared" si="174"/>
        <v>04 2 01 60020810</v>
      </c>
    </row>
    <row r="1557" spans="1:18" s="23" customFormat="1" ht="110.25">
      <c r="A1557" s="21"/>
      <c r="B1557" s="127" t="s">
        <v>207</v>
      </c>
      <c r="C1557" s="108" t="s">
        <v>410</v>
      </c>
      <c r="D1557" s="108" t="s">
        <v>73</v>
      </c>
      <c r="E1557" s="108" t="s">
        <v>238</v>
      </c>
      <c r="F1557" s="108" t="s">
        <v>820</v>
      </c>
      <c r="G1557" s="108" t="s">
        <v>208</v>
      </c>
      <c r="H1557" s="126"/>
      <c r="L1557" s="58"/>
      <c r="M1557" s="58"/>
      <c r="N1557" s="58"/>
      <c r="O1557" s="58"/>
      <c r="P1557" s="58"/>
      <c r="Q1557" s="58"/>
      <c r="R1557" s="24"/>
    </row>
    <row r="1558" spans="1:18" s="59" customFormat="1" ht="157.5">
      <c r="A1558" s="92"/>
      <c r="B1558" s="129" t="s">
        <v>821</v>
      </c>
      <c r="C1558" s="108" t="s">
        <v>410</v>
      </c>
      <c r="D1558" s="108" t="s">
        <v>73</v>
      </c>
      <c r="E1558" s="108" t="s">
        <v>238</v>
      </c>
      <c r="F1558" s="108" t="s">
        <v>822</v>
      </c>
      <c r="G1558" s="108" t="s">
        <v>9</v>
      </c>
      <c r="H1558" s="126">
        <f>H1559</f>
        <v>0</v>
      </c>
      <c r="L1558" s="20">
        <v>36669.949999999997</v>
      </c>
      <c r="M1558" s="20">
        <v>39225.51</v>
      </c>
      <c r="N1558" s="20">
        <v>0</v>
      </c>
      <c r="O1558" s="20">
        <f>H1558-L1558</f>
        <v>-36669.949999999997</v>
      </c>
      <c r="P1558" s="20" t="e">
        <f>#REF!-M1558</f>
        <v>#REF!</v>
      </c>
      <c r="Q1558" s="20" t="e">
        <f>#REF!-N1558</f>
        <v>#REF!</v>
      </c>
      <c r="R1558" s="17" t="str">
        <f t="shared" si="174"/>
        <v>04 2 01 60070000</v>
      </c>
    </row>
    <row r="1559" spans="1:18" s="59" customFormat="1" ht="63">
      <c r="A1559" s="92"/>
      <c r="B1559" s="129" t="s">
        <v>203</v>
      </c>
      <c r="C1559" s="108" t="s">
        <v>410</v>
      </c>
      <c r="D1559" s="108" t="s">
        <v>73</v>
      </c>
      <c r="E1559" s="108" t="s">
        <v>238</v>
      </c>
      <c r="F1559" s="108" t="s">
        <v>822</v>
      </c>
      <c r="G1559" s="108" t="s">
        <v>204</v>
      </c>
      <c r="H1559" s="126">
        <f>H1560</f>
        <v>0</v>
      </c>
      <c r="L1559" s="20">
        <v>36669.949999999997</v>
      </c>
      <c r="M1559" s="20">
        <v>39225.51</v>
      </c>
      <c r="N1559" s="20">
        <v>0</v>
      </c>
      <c r="O1559" s="20">
        <f>H1559-L1559</f>
        <v>-36669.949999999997</v>
      </c>
      <c r="P1559" s="20" t="e">
        <f>#REF!-M1559</f>
        <v>#REF!</v>
      </c>
      <c r="Q1559" s="20" t="e">
        <f>#REF!-N1559</f>
        <v>#REF!</v>
      </c>
      <c r="R1559" s="17" t="str">
        <f t="shared" si="174"/>
        <v>04 2 01 60070810</v>
      </c>
    </row>
    <row r="1560" spans="1:18" s="59" customFormat="1" ht="110.25">
      <c r="A1560" s="92"/>
      <c r="B1560" s="125" t="s">
        <v>207</v>
      </c>
      <c r="C1560" s="108" t="s">
        <v>410</v>
      </c>
      <c r="D1560" s="108" t="s">
        <v>73</v>
      </c>
      <c r="E1560" s="108" t="s">
        <v>238</v>
      </c>
      <c r="F1560" s="108" t="s">
        <v>822</v>
      </c>
      <c r="G1560" s="108" t="s">
        <v>208</v>
      </c>
      <c r="H1560" s="126"/>
      <c r="L1560" s="20"/>
      <c r="M1560" s="20"/>
      <c r="N1560" s="20"/>
      <c r="O1560" s="20"/>
      <c r="P1560" s="20"/>
      <c r="Q1560" s="20"/>
      <c r="R1560" s="17"/>
    </row>
    <row r="1561" spans="1:18" s="59" customFormat="1" ht="63">
      <c r="A1561" s="92"/>
      <c r="B1561" s="129" t="s">
        <v>87</v>
      </c>
      <c r="C1561" s="108" t="s">
        <v>410</v>
      </c>
      <c r="D1561" s="108" t="s">
        <v>73</v>
      </c>
      <c r="E1561" s="108" t="s">
        <v>238</v>
      </c>
      <c r="F1561" s="108" t="s">
        <v>88</v>
      </c>
      <c r="G1561" s="108" t="s">
        <v>9</v>
      </c>
      <c r="H1561" s="126">
        <f>H1562</f>
        <v>0</v>
      </c>
      <c r="L1561" s="20"/>
      <c r="M1561" s="20"/>
      <c r="N1561" s="20"/>
      <c r="O1561" s="20">
        <f>H1561-L1561</f>
        <v>0</v>
      </c>
      <c r="P1561" s="20" t="e">
        <f>#REF!-M1561</f>
        <v>#REF!</v>
      </c>
      <c r="Q1561" s="20" t="e">
        <f>#REF!-N1561</f>
        <v>#REF!</v>
      </c>
      <c r="R1561" s="17" t="str">
        <f t="shared" si="174"/>
        <v>98 0 00 00000000</v>
      </c>
    </row>
    <row r="1562" spans="1:18" s="59" customFormat="1" ht="15.75">
      <c r="A1562" s="92"/>
      <c r="B1562" s="129" t="s">
        <v>89</v>
      </c>
      <c r="C1562" s="108" t="s">
        <v>410</v>
      </c>
      <c r="D1562" s="108" t="s">
        <v>73</v>
      </c>
      <c r="E1562" s="108" t="s">
        <v>238</v>
      </c>
      <c r="F1562" s="108" t="s">
        <v>90</v>
      </c>
      <c r="G1562" s="108" t="s">
        <v>9</v>
      </c>
      <c r="H1562" s="126">
        <f>H1563</f>
        <v>0</v>
      </c>
      <c r="L1562" s="20"/>
      <c r="M1562" s="20"/>
      <c r="N1562" s="20"/>
      <c r="O1562" s="20">
        <f>H1562-L1562</f>
        <v>0</v>
      </c>
      <c r="P1562" s="20" t="e">
        <f>#REF!-M1562</f>
        <v>#REF!</v>
      </c>
      <c r="Q1562" s="20" t="e">
        <f>#REF!-N1562</f>
        <v>#REF!</v>
      </c>
      <c r="R1562" s="17" t="str">
        <f t="shared" si="174"/>
        <v>98 1 00 00000000</v>
      </c>
    </row>
    <row r="1563" spans="1:18" s="59" customFormat="1" ht="31.5">
      <c r="A1563" s="92"/>
      <c r="B1563" s="129" t="s">
        <v>823</v>
      </c>
      <c r="C1563" s="108" t="s">
        <v>410</v>
      </c>
      <c r="D1563" s="108" t="s">
        <v>73</v>
      </c>
      <c r="E1563" s="108" t="s">
        <v>238</v>
      </c>
      <c r="F1563" s="108" t="s">
        <v>824</v>
      </c>
      <c r="G1563" s="108" t="s">
        <v>9</v>
      </c>
      <c r="H1563" s="126">
        <f>H1564</f>
        <v>0</v>
      </c>
      <c r="L1563" s="20"/>
      <c r="M1563" s="20"/>
      <c r="N1563" s="20"/>
      <c r="O1563" s="20">
        <f>H1563-L1563</f>
        <v>0</v>
      </c>
      <c r="P1563" s="20" t="e">
        <f>#REF!-M1563</f>
        <v>#REF!</v>
      </c>
      <c r="Q1563" s="20" t="e">
        <f>#REF!-N1563</f>
        <v>#REF!</v>
      </c>
      <c r="R1563" s="17" t="str">
        <f t="shared" si="174"/>
        <v>98 1 00 21170000</v>
      </c>
    </row>
    <row r="1564" spans="1:18" s="16" customFormat="1" ht="31.5">
      <c r="A1564" s="14"/>
      <c r="B1564" s="125" t="s">
        <v>28</v>
      </c>
      <c r="C1564" s="108" t="s">
        <v>410</v>
      </c>
      <c r="D1564" s="108" t="s">
        <v>73</v>
      </c>
      <c r="E1564" s="108" t="s">
        <v>238</v>
      </c>
      <c r="F1564" s="108" t="s">
        <v>824</v>
      </c>
      <c r="G1564" s="108" t="s">
        <v>29</v>
      </c>
      <c r="H1564" s="126">
        <f>H1565</f>
        <v>0</v>
      </c>
      <c r="L1564" s="20"/>
      <c r="M1564" s="20"/>
      <c r="N1564" s="20"/>
      <c r="O1564" s="20">
        <f>H1564-L1564</f>
        <v>0</v>
      </c>
      <c r="P1564" s="20" t="e">
        <f>#REF!-M1564</f>
        <v>#REF!</v>
      </c>
      <c r="Q1564" s="20" t="e">
        <f>#REF!-N1564</f>
        <v>#REF!</v>
      </c>
      <c r="R1564" s="17" t="str">
        <f t="shared" si="174"/>
        <v>98 1 00 21170240</v>
      </c>
    </row>
    <row r="1565" spans="1:18" s="16" customFormat="1" ht="15.75">
      <c r="A1565" s="14"/>
      <c r="B1565" s="125" t="s">
        <v>30</v>
      </c>
      <c r="C1565" s="108" t="s">
        <v>410</v>
      </c>
      <c r="D1565" s="108" t="s">
        <v>73</v>
      </c>
      <c r="E1565" s="108" t="s">
        <v>238</v>
      </c>
      <c r="F1565" s="108" t="s">
        <v>824</v>
      </c>
      <c r="G1565" s="108" t="s">
        <v>31</v>
      </c>
      <c r="H1565" s="126"/>
      <c r="L1565" s="60"/>
      <c r="M1565" s="60"/>
      <c r="N1565" s="60"/>
      <c r="O1565" s="60"/>
      <c r="P1565" s="60"/>
      <c r="Q1565" s="60"/>
      <c r="R1565" s="17"/>
    </row>
    <row r="1566" spans="1:18" s="16" customFormat="1" ht="15.75">
      <c r="A1566" s="14"/>
      <c r="B1566" s="121" t="s">
        <v>760</v>
      </c>
      <c r="C1566" s="122" t="s">
        <v>410</v>
      </c>
      <c r="D1566" s="123" t="s">
        <v>73</v>
      </c>
      <c r="E1566" s="123" t="s">
        <v>471</v>
      </c>
      <c r="F1566" s="123" t="s">
        <v>8</v>
      </c>
      <c r="G1566" s="123" t="s">
        <v>9</v>
      </c>
      <c r="H1566" s="124">
        <f>H1567+H1573</f>
        <v>0</v>
      </c>
      <c r="L1566" s="61">
        <v>240960.98999999996</v>
      </c>
      <c r="M1566" s="61">
        <v>194584.37999999998</v>
      </c>
      <c r="N1566" s="61">
        <v>212847.02</v>
      </c>
      <c r="O1566" s="61">
        <f t="shared" ref="O1566:O1571" si="179">H1566-L1566</f>
        <v>-240960.98999999996</v>
      </c>
      <c r="P1566" s="61" t="e">
        <f>#REF!-M1566</f>
        <v>#REF!</v>
      </c>
      <c r="Q1566" s="61" t="e">
        <f>#REF!-N1566</f>
        <v>#REF!</v>
      </c>
      <c r="R1566" s="17" t="str">
        <f t="shared" si="174"/>
        <v>00 0 00 00000000</v>
      </c>
    </row>
    <row r="1567" spans="1:18" s="16" customFormat="1" ht="63">
      <c r="A1567" s="14"/>
      <c r="B1567" s="135" t="s">
        <v>285</v>
      </c>
      <c r="C1567" s="109" t="s">
        <v>410</v>
      </c>
      <c r="D1567" s="109" t="s">
        <v>73</v>
      </c>
      <c r="E1567" s="109" t="s">
        <v>471</v>
      </c>
      <c r="F1567" s="109" t="s">
        <v>286</v>
      </c>
      <c r="G1567" s="109" t="s">
        <v>9</v>
      </c>
      <c r="H1567" s="141">
        <f t="shared" ref="H1567:H1570" si="180">H1568</f>
        <v>0</v>
      </c>
      <c r="L1567" s="32">
        <v>7251.46</v>
      </c>
      <c r="M1567" s="32">
        <v>5251.46</v>
      </c>
      <c r="N1567" s="32">
        <v>5251.46</v>
      </c>
      <c r="O1567" s="32">
        <f t="shared" si="179"/>
        <v>-7251.46</v>
      </c>
      <c r="P1567" s="32" t="e">
        <f>#REF!-M1567</f>
        <v>#REF!</v>
      </c>
      <c r="Q1567" s="32" t="e">
        <f>#REF!-N1567</f>
        <v>#REF!</v>
      </c>
      <c r="R1567" s="17" t="str">
        <f t="shared" si="174"/>
        <v>02 0 00 00000000</v>
      </c>
    </row>
    <row r="1568" spans="1:18" s="16" customFormat="1" ht="78.75">
      <c r="A1568" s="14"/>
      <c r="B1568" s="125" t="s">
        <v>287</v>
      </c>
      <c r="C1568" s="109" t="s">
        <v>410</v>
      </c>
      <c r="D1568" s="109" t="s">
        <v>73</v>
      </c>
      <c r="E1568" s="109" t="s">
        <v>471</v>
      </c>
      <c r="F1568" s="109" t="s">
        <v>288</v>
      </c>
      <c r="G1568" s="109" t="s">
        <v>9</v>
      </c>
      <c r="H1568" s="141">
        <f t="shared" si="180"/>
        <v>0</v>
      </c>
      <c r="L1568" s="32">
        <v>7251.46</v>
      </c>
      <c r="M1568" s="32">
        <v>5251.46</v>
      </c>
      <c r="N1568" s="32">
        <v>5251.46</v>
      </c>
      <c r="O1568" s="32">
        <f t="shared" si="179"/>
        <v>-7251.46</v>
      </c>
      <c r="P1568" s="32" t="e">
        <f>#REF!-M1568</f>
        <v>#REF!</v>
      </c>
      <c r="Q1568" s="32" t="e">
        <f>#REF!-N1568</f>
        <v>#REF!</v>
      </c>
      <c r="R1568" s="17" t="str">
        <f t="shared" si="174"/>
        <v>02 Б 00 00000000</v>
      </c>
    </row>
    <row r="1569" spans="1:18" s="16" customFormat="1" ht="78.75">
      <c r="A1569" s="14"/>
      <c r="B1569" s="127" t="s">
        <v>825</v>
      </c>
      <c r="C1569" s="109" t="s">
        <v>410</v>
      </c>
      <c r="D1569" s="109" t="s">
        <v>73</v>
      </c>
      <c r="E1569" s="109" t="s">
        <v>471</v>
      </c>
      <c r="F1569" s="109" t="s">
        <v>826</v>
      </c>
      <c r="G1569" s="109" t="s">
        <v>9</v>
      </c>
      <c r="H1569" s="141">
        <f t="shared" si="180"/>
        <v>0</v>
      </c>
      <c r="L1569" s="32">
        <v>7251.46</v>
      </c>
      <c r="M1569" s="32">
        <v>5251.46</v>
      </c>
      <c r="N1569" s="32">
        <v>5251.46</v>
      </c>
      <c r="O1569" s="32">
        <f t="shared" si="179"/>
        <v>-7251.46</v>
      </c>
      <c r="P1569" s="32" t="e">
        <f>#REF!-M1569</f>
        <v>#REF!</v>
      </c>
      <c r="Q1569" s="32" t="e">
        <f>#REF!-N1569</f>
        <v>#REF!</v>
      </c>
      <c r="R1569" s="17" t="str">
        <f t="shared" si="174"/>
        <v>02 Б 02 00000000</v>
      </c>
    </row>
    <row r="1570" spans="1:18" s="16" customFormat="1" ht="78.75">
      <c r="A1570" s="14"/>
      <c r="B1570" s="127" t="s">
        <v>827</v>
      </c>
      <c r="C1570" s="109" t="s">
        <v>410</v>
      </c>
      <c r="D1570" s="109" t="s">
        <v>73</v>
      </c>
      <c r="E1570" s="109" t="s">
        <v>471</v>
      </c>
      <c r="F1570" s="109" t="s">
        <v>828</v>
      </c>
      <c r="G1570" s="109" t="s">
        <v>9</v>
      </c>
      <c r="H1570" s="141">
        <f t="shared" si="180"/>
        <v>0</v>
      </c>
      <c r="L1570" s="32">
        <v>7251.46</v>
      </c>
      <c r="M1570" s="32">
        <v>5251.46</v>
      </c>
      <c r="N1570" s="32">
        <v>5251.46</v>
      </c>
      <c r="O1570" s="32">
        <f t="shared" si="179"/>
        <v>-7251.46</v>
      </c>
      <c r="P1570" s="32" t="e">
        <f>#REF!-M1570</f>
        <v>#REF!</v>
      </c>
      <c r="Q1570" s="32" t="e">
        <f>#REF!-N1570</f>
        <v>#REF!</v>
      </c>
      <c r="R1570" s="17" t="str">
        <f t="shared" si="174"/>
        <v>02 Б 02 20560000</v>
      </c>
    </row>
    <row r="1571" spans="1:18" s="16" customFormat="1" ht="31.5">
      <c r="A1571" s="14"/>
      <c r="B1571" s="125" t="s">
        <v>28</v>
      </c>
      <c r="C1571" s="109" t="s">
        <v>410</v>
      </c>
      <c r="D1571" s="109" t="s">
        <v>73</v>
      </c>
      <c r="E1571" s="109" t="s">
        <v>471</v>
      </c>
      <c r="F1571" s="109" t="s">
        <v>828</v>
      </c>
      <c r="G1571" s="109" t="s">
        <v>29</v>
      </c>
      <c r="H1571" s="126">
        <f>H1572</f>
        <v>0</v>
      </c>
      <c r="L1571" s="32">
        <v>7251.46</v>
      </c>
      <c r="M1571" s="32">
        <v>5251.46</v>
      </c>
      <c r="N1571" s="32">
        <v>5251.46</v>
      </c>
      <c r="O1571" s="32">
        <f t="shared" si="179"/>
        <v>-7251.46</v>
      </c>
      <c r="P1571" s="32" t="e">
        <f>#REF!-M1571</f>
        <v>#REF!</v>
      </c>
      <c r="Q1571" s="32" t="e">
        <f>#REF!-N1571</f>
        <v>#REF!</v>
      </c>
      <c r="R1571" s="17" t="str">
        <f t="shared" si="174"/>
        <v>02 Б 02 20560240</v>
      </c>
    </row>
    <row r="1572" spans="1:18" s="16" customFormat="1" ht="15.75">
      <c r="A1572" s="14"/>
      <c r="B1572" s="125" t="s">
        <v>30</v>
      </c>
      <c r="C1572" s="109" t="s">
        <v>410</v>
      </c>
      <c r="D1572" s="109" t="s">
        <v>73</v>
      </c>
      <c r="E1572" s="109" t="s">
        <v>471</v>
      </c>
      <c r="F1572" s="109" t="s">
        <v>828</v>
      </c>
      <c r="G1572" s="109" t="s">
        <v>31</v>
      </c>
      <c r="H1572" s="126"/>
      <c r="L1572" s="32"/>
      <c r="M1572" s="32"/>
      <c r="N1572" s="32"/>
      <c r="O1572" s="32"/>
      <c r="P1572" s="32"/>
      <c r="Q1572" s="32"/>
      <c r="R1572" s="17"/>
    </row>
    <row r="1573" spans="1:18" s="16" customFormat="1" ht="63">
      <c r="A1573" s="14"/>
      <c r="B1573" s="127" t="s">
        <v>293</v>
      </c>
      <c r="C1573" s="108" t="s">
        <v>410</v>
      </c>
      <c r="D1573" s="108" t="s">
        <v>73</v>
      </c>
      <c r="E1573" s="108" t="s">
        <v>471</v>
      </c>
      <c r="F1573" s="108" t="s">
        <v>294</v>
      </c>
      <c r="G1573" s="109" t="s">
        <v>9</v>
      </c>
      <c r="H1573" s="141">
        <f>H1574</f>
        <v>0</v>
      </c>
      <c r="L1573" s="32">
        <v>233709.52999999997</v>
      </c>
      <c r="M1573" s="32">
        <v>189332.91999999998</v>
      </c>
      <c r="N1573" s="32">
        <v>207595.56</v>
      </c>
      <c r="O1573" s="32">
        <f>H1573-L1573</f>
        <v>-233709.52999999997</v>
      </c>
      <c r="P1573" s="32" t="e">
        <f>#REF!-M1573</f>
        <v>#REF!</v>
      </c>
      <c r="Q1573" s="32" t="e">
        <f>#REF!-N1573</f>
        <v>#REF!</v>
      </c>
      <c r="R1573" s="17" t="str">
        <f t="shared" si="174"/>
        <v>04 0 00 00000000</v>
      </c>
    </row>
    <row r="1574" spans="1:18" s="16" customFormat="1" ht="63">
      <c r="A1574" s="14"/>
      <c r="B1574" s="140" t="s">
        <v>295</v>
      </c>
      <c r="C1574" s="108" t="s">
        <v>410</v>
      </c>
      <c r="D1574" s="108" t="s">
        <v>73</v>
      </c>
      <c r="E1574" s="108" t="s">
        <v>471</v>
      </c>
      <c r="F1574" s="108" t="s">
        <v>296</v>
      </c>
      <c r="G1574" s="109" t="s">
        <v>9</v>
      </c>
      <c r="H1574" s="141">
        <f>H1575+H1600</f>
        <v>0</v>
      </c>
      <c r="L1574" s="32">
        <v>233709.52999999997</v>
      </c>
      <c r="M1574" s="32">
        <v>189332.91999999998</v>
      </c>
      <c r="N1574" s="32">
        <v>207595.56</v>
      </c>
      <c r="O1574" s="32">
        <f>H1574-L1574</f>
        <v>-233709.52999999997</v>
      </c>
      <c r="P1574" s="32" t="e">
        <f>#REF!-M1574</f>
        <v>#REF!</v>
      </c>
      <c r="Q1574" s="32" t="e">
        <f>#REF!-N1574</f>
        <v>#REF!</v>
      </c>
      <c r="R1574" s="17" t="str">
        <f t="shared" si="174"/>
        <v>04 2 00 00000000</v>
      </c>
    </row>
    <row r="1575" spans="1:18" s="16" customFormat="1" ht="63">
      <c r="A1575" s="14"/>
      <c r="B1575" s="125" t="s">
        <v>297</v>
      </c>
      <c r="C1575" s="108" t="s">
        <v>410</v>
      </c>
      <c r="D1575" s="108" t="s">
        <v>73</v>
      </c>
      <c r="E1575" s="108" t="s">
        <v>471</v>
      </c>
      <c r="F1575" s="108" t="s">
        <v>298</v>
      </c>
      <c r="G1575" s="109" t="s">
        <v>9</v>
      </c>
      <c r="H1575" s="141">
        <f>H1576+H1579+H1582+H1594+H1597+H1585+H1588+H1591</f>
        <v>0</v>
      </c>
      <c r="L1575" s="32">
        <v>177184.91999999998</v>
      </c>
      <c r="M1575" s="32">
        <v>137808.31</v>
      </c>
      <c r="N1575" s="32">
        <v>156070.95000000001</v>
      </c>
      <c r="O1575" s="32">
        <f>H1575-L1575</f>
        <v>-177184.91999999998</v>
      </c>
      <c r="P1575" s="32" t="e">
        <f>#REF!-M1575</f>
        <v>#REF!</v>
      </c>
      <c r="Q1575" s="32" t="e">
        <f>#REF!-N1575</f>
        <v>#REF!</v>
      </c>
      <c r="R1575" s="17" t="str">
        <f t="shared" si="174"/>
        <v>04 2 02 00000000</v>
      </c>
    </row>
    <row r="1576" spans="1:18" s="16" customFormat="1" ht="31.5">
      <c r="A1576" s="14"/>
      <c r="B1576" s="125" t="s">
        <v>829</v>
      </c>
      <c r="C1576" s="108" t="s">
        <v>410</v>
      </c>
      <c r="D1576" s="108" t="s">
        <v>73</v>
      </c>
      <c r="E1576" s="108" t="s">
        <v>471</v>
      </c>
      <c r="F1576" s="108" t="s">
        <v>830</v>
      </c>
      <c r="G1576" s="109" t="s">
        <v>9</v>
      </c>
      <c r="H1576" s="141">
        <f>H1577</f>
        <v>0</v>
      </c>
      <c r="L1576" s="32">
        <v>78131.709999999992</v>
      </c>
      <c r="M1576" s="32">
        <v>72051.709999999992</v>
      </c>
      <c r="N1576" s="32">
        <v>72051.709999999992</v>
      </c>
      <c r="O1576" s="32">
        <f>H1576-L1576</f>
        <v>-78131.709999999992</v>
      </c>
      <c r="P1576" s="32" t="e">
        <f>#REF!-M1576</f>
        <v>#REF!</v>
      </c>
      <c r="Q1576" s="32" t="e">
        <f>#REF!-N1576</f>
        <v>#REF!</v>
      </c>
      <c r="R1576" s="17" t="str">
        <f t="shared" si="174"/>
        <v>04 2 02 20130000</v>
      </c>
    </row>
    <row r="1577" spans="1:18" s="16" customFormat="1" ht="31.5">
      <c r="A1577" s="14"/>
      <c r="B1577" s="125" t="s">
        <v>28</v>
      </c>
      <c r="C1577" s="108" t="s">
        <v>410</v>
      </c>
      <c r="D1577" s="108" t="s">
        <v>73</v>
      </c>
      <c r="E1577" s="108" t="s">
        <v>471</v>
      </c>
      <c r="F1577" s="108" t="s">
        <v>830</v>
      </c>
      <c r="G1577" s="109" t="s">
        <v>29</v>
      </c>
      <c r="H1577" s="126">
        <f>H1578</f>
        <v>0</v>
      </c>
      <c r="L1577" s="32">
        <v>78131.709999999992</v>
      </c>
      <c r="M1577" s="32">
        <v>72051.709999999992</v>
      </c>
      <c r="N1577" s="32">
        <v>72051.709999999992</v>
      </c>
      <c r="O1577" s="32">
        <f>H1577-L1577</f>
        <v>-78131.709999999992</v>
      </c>
      <c r="P1577" s="32" t="e">
        <f>#REF!-M1577</f>
        <v>#REF!</v>
      </c>
      <c r="Q1577" s="32" t="e">
        <f>#REF!-N1577</f>
        <v>#REF!</v>
      </c>
      <c r="R1577" s="17" t="str">
        <f t="shared" si="174"/>
        <v>04 2 02 20130240</v>
      </c>
    </row>
    <row r="1578" spans="1:18" s="16" customFormat="1" ht="15.75">
      <c r="A1578" s="14"/>
      <c r="B1578" s="125" t="s">
        <v>30</v>
      </c>
      <c r="C1578" s="108" t="s">
        <v>410</v>
      </c>
      <c r="D1578" s="108" t="s">
        <v>73</v>
      </c>
      <c r="E1578" s="108" t="s">
        <v>471</v>
      </c>
      <c r="F1578" s="108" t="s">
        <v>830</v>
      </c>
      <c r="G1578" s="109" t="s">
        <v>31</v>
      </c>
      <c r="H1578" s="126"/>
      <c r="L1578" s="32"/>
      <c r="M1578" s="32"/>
      <c r="N1578" s="32"/>
      <c r="O1578" s="32"/>
      <c r="P1578" s="32"/>
      <c r="Q1578" s="32"/>
      <c r="R1578" s="17"/>
    </row>
    <row r="1579" spans="1:18" s="16" customFormat="1" ht="126">
      <c r="A1579" s="14" t="s">
        <v>80</v>
      </c>
      <c r="B1579" s="125" t="s">
        <v>831</v>
      </c>
      <c r="C1579" s="108" t="s">
        <v>410</v>
      </c>
      <c r="D1579" s="108" t="s">
        <v>73</v>
      </c>
      <c r="E1579" s="108" t="s">
        <v>471</v>
      </c>
      <c r="F1579" s="108" t="s">
        <v>832</v>
      </c>
      <c r="G1579" s="109" t="s">
        <v>9</v>
      </c>
      <c r="H1579" s="141">
        <f>H1580</f>
        <v>0</v>
      </c>
      <c r="L1579" s="32">
        <v>18688.990000000002</v>
      </c>
      <c r="M1579" s="32">
        <v>18688.990000000002</v>
      </c>
      <c r="N1579" s="32">
        <v>18688.990000000002</v>
      </c>
      <c r="O1579" s="32">
        <f>H1579-L1579</f>
        <v>-18688.990000000002</v>
      </c>
      <c r="P1579" s="32" t="e">
        <f>#REF!-M1579</f>
        <v>#REF!</v>
      </c>
      <c r="Q1579" s="32" t="e">
        <f>#REF!-N1579</f>
        <v>#REF!</v>
      </c>
      <c r="R1579" s="17" t="str">
        <f t="shared" si="174"/>
        <v>04 2 02 20810000</v>
      </c>
    </row>
    <row r="1580" spans="1:18" s="16" customFormat="1" ht="31.5">
      <c r="A1580" s="14"/>
      <c r="B1580" s="125" t="s">
        <v>28</v>
      </c>
      <c r="C1580" s="108" t="s">
        <v>410</v>
      </c>
      <c r="D1580" s="108" t="s">
        <v>73</v>
      </c>
      <c r="E1580" s="108" t="s">
        <v>471</v>
      </c>
      <c r="F1580" s="108" t="s">
        <v>832</v>
      </c>
      <c r="G1580" s="109" t="s">
        <v>29</v>
      </c>
      <c r="H1580" s="126">
        <f>H1581</f>
        <v>0</v>
      </c>
      <c r="L1580" s="32">
        <v>18688.990000000002</v>
      </c>
      <c r="M1580" s="32">
        <v>18688.990000000002</v>
      </c>
      <c r="N1580" s="32">
        <v>18688.990000000002</v>
      </c>
      <c r="O1580" s="32">
        <f>H1580-L1580</f>
        <v>-18688.990000000002</v>
      </c>
      <c r="P1580" s="32" t="e">
        <f>#REF!-M1580</f>
        <v>#REF!</v>
      </c>
      <c r="Q1580" s="32" t="e">
        <f>#REF!-N1580</f>
        <v>#REF!</v>
      </c>
      <c r="R1580" s="17" t="str">
        <f t="shared" si="174"/>
        <v>04 2 02 20810240</v>
      </c>
    </row>
    <row r="1581" spans="1:18" s="16" customFormat="1" ht="15.75">
      <c r="A1581" s="14"/>
      <c r="B1581" s="125" t="s">
        <v>30</v>
      </c>
      <c r="C1581" s="108" t="s">
        <v>410</v>
      </c>
      <c r="D1581" s="108" t="s">
        <v>73</v>
      </c>
      <c r="E1581" s="108" t="s">
        <v>471</v>
      </c>
      <c r="F1581" s="108" t="s">
        <v>832</v>
      </c>
      <c r="G1581" s="109" t="s">
        <v>31</v>
      </c>
      <c r="H1581" s="126"/>
      <c r="L1581" s="32"/>
      <c r="M1581" s="32"/>
      <c r="N1581" s="32"/>
      <c r="O1581" s="32"/>
      <c r="P1581" s="32"/>
      <c r="Q1581" s="32"/>
      <c r="R1581" s="17"/>
    </row>
    <row r="1582" spans="1:18" s="16" customFormat="1" ht="31.5">
      <c r="A1582" s="14"/>
      <c r="B1582" s="125" t="s">
        <v>833</v>
      </c>
      <c r="C1582" s="108" t="s">
        <v>410</v>
      </c>
      <c r="D1582" s="108" t="s">
        <v>73</v>
      </c>
      <c r="E1582" s="108" t="s">
        <v>471</v>
      </c>
      <c r="F1582" s="108" t="s">
        <v>834</v>
      </c>
      <c r="G1582" s="109" t="s">
        <v>9</v>
      </c>
      <c r="H1582" s="141">
        <f>H1583</f>
        <v>0</v>
      </c>
      <c r="L1582" s="32">
        <v>1350</v>
      </c>
      <c r="M1582" s="32">
        <v>1350</v>
      </c>
      <c r="N1582" s="32">
        <v>1350</v>
      </c>
      <c r="O1582" s="32">
        <f>H1582-L1582</f>
        <v>-1350</v>
      </c>
      <c r="P1582" s="32" t="e">
        <f>#REF!-M1582</f>
        <v>#REF!</v>
      </c>
      <c r="Q1582" s="32" t="e">
        <f>#REF!-N1582</f>
        <v>#REF!</v>
      </c>
      <c r="R1582" s="17" t="str">
        <f t="shared" si="174"/>
        <v>04 2 02 20830000</v>
      </c>
    </row>
    <row r="1583" spans="1:18" s="16" customFormat="1" ht="31.5">
      <c r="A1583" s="14"/>
      <c r="B1583" s="125" t="s">
        <v>28</v>
      </c>
      <c r="C1583" s="108" t="s">
        <v>410</v>
      </c>
      <c r="D1583" s="108" t="s">
        <v>73</v>
      </c>
      <c r="E1583" s="108" t="s">
        <v>471</v>
      </c>
      <c r="F1583" s="108" t="s">
        <v>834</v>
      </c>
      <c r="G1583" s="109" t="s">
        <v>29</v>
      </c>
      <c r="H1583" s="126">
        <f>H1584</f>
        <v>0</v>
      </c>
      <c r="L1583" s="32">
        <v>1350</v>
      </c>
      <c r="M1583" s="32">
        <v>1350</v>
      </c>
      <c r="N1583" s="32">
        <v>1350</v>
      </c>
      <c r="O1583" s="32">
        <f>H1583-L1583</f>
        <v>-1350</v>
      </c>
      <c r="P1583" s="32" t="e">
        <f>#REF!-M1583</f>
        <v>#REF!</v>
      </c>
      <c r="Q1583" s="32" t="e">
        <f>#REF!-N1583</f>
        <v>#REF!</v>
      </c>
      <c r="R1583" s="17" t="str">
        <f t="shared" si="174"/>
        <v>04 2 02 20830240</v>
      </c>
    </row>
    <row r="1584" spans="1:18" s="16" customFormat="1" ht="15.75">
      <c r="A1584" s="14"/>
      <c r="B1584" s="125" t="s">
        <v>30</v>
      </c>
      <c r="C1584" s="108" t="s">
        <v>410</v>
      </c>
      <c r="D1584" s="108" t="s">
        <v>73</v>
      </c>
      <c r="E1584" s="108" t="s">
        <v>471</v>
      </c>
      <c r="F1584" s="108" t="s">
        <v>834</v>
      </c>
      <c r="G1584" s="109" t="s">
        <v>31</v>
      </c>
      <c r="H1584" s="126"/>
      <c r="L1584" s="32"/>
      <c r="M1584" s="32"/>
      <c r="N1584" s="32"/>
      <c r="O1584" s="32"/>
      <c r="P1584" s="32"/>
      <c r="Q1584" s="32"/>
      <c r="R1584" s="17"/>
    </row>
    <row r="1585" spans="1:18" s="16" customFormat="1" ht="47.25">
      <c r="A1585" s="14"/>
      <c r="B1585" s="125" t="s">
        <v>835</v>
      </c>
      <c r="C1585" s="108" t="s">
        <v>410</v>
      </c>
      <c r="D1585" s="108" t="s">
        <v>73</v>
      </c>
      <c r="E1585" s="108" t="s">
        <v>471</v>
      </c>
      <c r="F1585" s="108" t="s">
        <v>836</v>
      </c>
      <c r="G1585" s="109" t="s">
        <v>9</v>
      </c>
      <c r="H1585" s="141">
        <f>H1586</f>
        <v>0</v>
      </c>
      <c r="L1585" s="32">
        <v>21274.62</v>
      </c>
      <c r="M1585" s="32">
        <v>4435.2800000000007</v>
      </c>
      <c r="N1585" s="32">
        <v>22697.919999999998</v>
      </c>
      <c r="O1585" s="32">
        <f>H1585-L1585</f>
        <v>-21274.62</v>
      </c>
      <c r="P1585" s="32" t="e">
        <f>#REF!-M1585</f>
        <v>#REF!</v>
      </c>
      <c r="Q1585" s="32" t="e">
        <f>#REF!-N1585</f>
        <v>#REF!</v>
      </c>
      <c r="R1585" s="17" t="str">
        <f t="shared" si="174"/>
        <v>04 2 02 21180000</v>
      </c>
    </row>
    <row r="1586" spans="1:18" s="16" customFormat="1" ht="15.75">
      <c r="A1586" s="14"/>
      <c r="B1586" s="125" t="s">
        <v>837</v>
      </c>
      <c r="C1586" s="108" t="s">
        <v>410</v>
      </c>
      <c r="D1586" s="108" t="s">
        <v>73</v>
      </c>
      <c r="E1586" s="108" t="s">
        <v>471</v>
      </c>
      <c r="F1586" s="108" t="s">
        <v>836</v>
      </c>
      <c r="G1586" s="109" t="s">
        <v>838</v>
      </c>
      <c r="H1586" s="126">
        <f>H1587</f>
        <v>0</v>
      </c>
      <c r="L1586" s="32">
        <v>21274.62</v>
      </c>
      <c r="M1586" s="32">
        <v>4435.2800000000007</v>
      </c>
      <c r="N1586" s="32">
        <v>22697.919999999998</v>
      </c>
      <c r="O1586" s="32">
        <f>H1586-L1586</f>
        <v>-21274.62</v>
      </c>
      <c r="P1586" s="32" t="e">
        <f>#REF!-M1586</f>
        <v>#REF!</v>
      </c>
      <c r="Q1586" s="32" t="e">
        <f>#REF!-N1586</f>
        <v>#REF!</v>
      </c>
      <c r="R1586" s="17" t="str">
        <f t="shared" si="174"/>
        <v>04 2 02 21180410</v>
      </c>
    </row>
    <row r="1587" spans="1:18" s="16" customFormat="1" ht="47.25">
      <c r="A1587" s="14"/>
      <c r="B1587" s="125" t="s">
        <v>839</v>
      </c>
      <c r="C1587" s="108" t="s">
        <v>410</v>
      </c>
      <c r="D1587" s="108" t="s">
        <v>73</v>
      </c>
      <c r="E1587" s="108" t="s">
        <v>471</v>
      </c>
      <c r="F1587" s="108" t="s">
        <v>836</v>
      </c>
      <c r="G1587" s="109" t="s">
        <v>840</v>
      </c>
      <c r="H1587" s="126"/>
      <c r="L1587" s="32"/>
      <c r="M1587" s="32"/>
      <c r="N1587" s="32"/>
      <c r="O1587" s="32"/>
      <c r="P1587" s="32"/>
      <c r="Q1587" s="32"/>
      <c r="R1587" s="17" t="str">
        <f t="shared" si="174"/>
        <v>04 2 02 21180414</v>
      </c>
    </row>
    <row r="1588" spans="1:18" s="16" customFormat="1" ht="236.25">
      <c r="A1588" s="14"/>
      <c r="B1588" s="125" t="s">
        <v>841</v>
      </c>
      <c r="C1588" s="108" t="s">
        <v>410</v>
      </c>
      <c r="D1588" s="108" t="s">
        <v>73</v>
      </c>
      <c r="E1588" s="108" t="s">
        <v>471</v>
      </c>
      <c r="F1588" s="108" t="s">
        <v>842</v>
      </c>
      <c r="G1588" s="109" t="s">
        <v>9</v>
      </c>
      <c r="H1588" s="141">
        <f>H1589</f>
        <v>0</v>
      </c>
      <c r="L1588" s="32">
        <v>19287.71</v>
      </c>
      <c r="M1588" s="32">
        <v>0</v>
      </c>
      <c r="N1588" s="32">
        <v>0</v>
      </c>
      <c r="O1588" s="32">
        <f>H1588-L1588</f>
        <v>-19287.71</v>
      </c>
      <c r="P1588" s="32" t="e">
        <f>#REF!-M1588</f>
        <v>#REF!</v>
      </c>
      <c r="Q1588" s="32" t="e">
        <f>#REF!-N1588</f>
        <v>#REF!</v>
      </c>
      <c r="R1588" s="62" t="str">
        <f t="shared" si="174"/>
        <v>04 2 02 21460000</v>
      </c>
    </row>
    <row r="1589" spans="1:18" s="16" customFormat="1" ht="31.5">
      <c r="A1589" s="14"/>
      <c r="B1589" s="125" t="s">
        <v>28</v>
      </c>
      <c r="C1589" s="108" t="s">
        <v>410</v>
      </c>
      <c r="D1589" s="108" t="s">
        <v>73</v>
      </c>
      <c r="E1589" s="108" t="s">
        <v>471</v>
      </c>
      <c r="F1589" s="108" t="s">
        <v>842</v>
      </c>
      <c r="G1589" s="109" t="s">
        <v>29</v>
      </c>
      <c r="H1589" s="126">
        <f>H1590</f>
        <v>0</v>
      </c>
      <c r="L1589" s="32">
        <v>19287.71</v>
      </c>
      <c r="M1589" s="32">
        <v>0</v>
      </c>
      <c r="N1589" s="32">
        <v>0</v>
      </c>
      <c r="O1589" s="32">
        <f>H1589-L1589</f>
        <v>-19287.71</v>
      </c>
      <c r="P1589" s="32" t="e">
        <f>#REF!-M1589</f>
        <v>#REF!</v>
      </c>
      <c r="Q1589" s="32" t="e">
        <f>#REF!-N1589</f>
        <v>#REF!</v>
      </c>
      <c r="R1589" s="62" t="str">
        <f t="shared" si="174"/>
        <v>04 2 02 21460240</v>
      </c>
    </row>
    <row r="1590" spans="1:18" s="16" customFormat="1" ht="15.75">
      <c r="A1590" s="14"/>
      <c r="B1590" s="125" t="s">
        <v>30</v>
      </c>
      <c r="C1590" s="108" t="s">
        <v>410</v>
      </c>
      <c r="D1590" s="108" t="s">
        <v>73</v>
      </c>
      <c r="E1590" s="108" t="s">
        <v>471</v>
      </c>
      <c r="F1590" s="108" t="s">
        <v>842</v>
      </c>
      <c r="G1590" s="109" t="s">
        <v>31</v>
      </c>
      <c r="H1590" s="126"/>
      <c r="L1590" s="32"/>
      <c r="M1590" s="32"/>
      <c r="N1590" s="32"/>
      <c r="O1590" s="32"/>
      <c r="P1590" s="32"/>
      <c r="Q1590" s="32"/>
      <c r="R1590" s="62"/>
    </row>
    <row r="1591" spans="1:18" s="16" customFormat="1" ht="78.75">
      <c r="A1591" s="14"/>
      <c r="B1591" s="125" t="s">
        <v>843</v>
      </c>
      <c r="C1591" s="108" t="s">
        <v>410</v>
      </c>
      <c r="D1591" s="108" t="s">
        <v>73</v>
      </c>
      <c r="E1591" s="108" t="s">
        <v>471</v>
      </c>
      <c r="F1591" s="108" t="s">
        <v>844</v>
      </c>
      <c r="G1591" s="109" t="s">
        <v>9</v>
      </c>
      <c r="H1591" s="141">
        <f>H1592</f>
        <v>0</v>
      </c>
      <c r="L1591" s="32">
        <v>6350</v>
      </c>
      <c r="M1591" s="32">
        <v>0</v>
      </c>
      <c r="N1591" s="32">
        <v>0</v>
      </c>
      <c r="O1591" s="32">
        <f>H1591-L1591</f>
        <v>-6350</v>
      </c>
      <c r="P1591" s="32" t="e">
        <f>#REF!-M1591</f>
        <v>#REF!</v>
      </c>
      <c r="Q1591" s="32" t="e">
        <f>#REF!-N1591</f>
        <v>#REF!</v>
      </c>
      <c r="R1591" s="62" t="str">
        <f t="shared" si="174"/>
        <v>04 2 02 21490000</v>
      </c>
    </row>
    <row r="1592" spans="1:18" s="16" customFormat="1" ht="31.5">
      <c r="A1592" s="14"/>
      <c r="B1592" s="125" t="s">
        <v>28</v>
      </c>
      <c r="C1592" s="108" t="s">
        <v>410</v>
      </c>
      <c r="D1592" s="108" t="s">
        <v>73</v>
      </c>
      <c r="E1592" s="108" t="s">
        <v>471</v>
      </c>
      <c r="F1592" s="108" t="s">
        <v>844</v>
      </c>
      <c r="G1592" s="109" t="s">
        <v>29</v>
      </c>
      <c r="H1592" s="126">
        <f>H1593</f>
        <v>0</v>
      </c>
      <c r="L1592" s="32">
        <v>6350</v>
      </c>
      <c r="M1592" s="32">
        <v>0</v>
      </c>
      <c r="N1592" s="32">
        <v>0</v>
      </c>
      <c r="O1592" s="32">
        <f>H1592-L1592</f>
        <v>-6350</v>
      </c>
      <c r="P1592" s="32" t="e">
        <f>#REF!-M1592</f>
        <v>#REF!</v>
      </c>
      <c r="Q1592" s="32" t="e">
        <f>#REF!-N1592</f>
        <v>#REF!</v>
      </c>
      <c r="R1592" s="62" t="str">
        <f t="shared" si="174"/>
        <v>04 2 02 21490240</v>
      </c>
    </row>
    <row r="1593" spans="1:18" s="16" customFormat="1" ht="15.75">
      <c r="A1593" s="14"/>
      <c r="B1593" s="125" t="s">
        <v>30</v>
      </c>
      <c r="C1593" s="108" t="s">
        <v>410</v>
      </c>
      <c r="D1593" s="108" t="s">
        <v>73</v>
      </c>
      <c r="E1593" s="108" t="s">
        <v>471</v>
      </c>
      <c r="F1593" s="108" t="s">
        <v>844</v>
      </c>
      <c r="G1593" s="109" t="s">
        <v>31</v>
      </c>
      <c r="H1593" s="126"/>
      <c r="L1593" s="32"/>
      <c r="M1593" s="32"/>
      <c r="N1593" s="32"/>
      <c r="O1593" s="32"/>
      <c r="P1593" s="32"/>
      <c r="Q1593" s="32"/>
      <c r="R1593" s="62"/>
    </row>
    <row r="1594" spans="1:18" s="16" customFormat="1" ht="94.5">
      <c r="A1594" s="14"/>
      <c r="B1594" s="125" t="s">
        <v>845</v>
      </c>
      <c r="C1594" s="109" t="s">
        <v>410</v>
      </c>
      <c r="D1594" s="108" t="s">
        <v>73</v>
      </c>
      <c r="E1594" s="108" t="s">
        <v>471</v>
      </c>
      <c r="F1594" s="14" t="s">
        <v>846</v>
      </c>
      <c r="G1594" s="109" t="s">
        <v>9</v>
      </c>
      <c r="H1594" s="141">
        <f>H1595</f>
        <v>0</v>
      </c>
      <c r="L1594" s="32">
        <v>17260.62</v>
      </c>
      <c r="M1594" s="32">
        <v>26441.059999999998</v>
      </c>
      <c r="N1594" s="32">
        <v>26441.059999999998</v>
      </c>
      <c r="O1594" s="32">
        <f>H1594-L1594</f>
        <v>-17260.62</v>
      </c>
      <c r="P1594" s="32" t="e">
        <f>#REF!-M1594</f>
        <v>#REF!</v>
      </c>
      <c r="Q1594" s="32" t="e">
        <f>#REF!-N1594</f>
        <v>#REF!</v>
      </c>
      <c r="R1594" s="17" t="str">
        <f t="shared" si="174"/>
        <v>04 2 02 60090000</v>
      </c>
    </row>
    <row r="1595" spans="1:18" s="16" customFormat="1" ht="63">
      <c r="A1595" s="14"/>
      <c r="B1595" s="129" t="s">
        <v>203</v>
      </c>
      <c r="C1595" s="109" t="s">
        <v>410</v>
      </c>
      <c r="D1595" s="108" t="s">
        <v>73</v>
      </c>
      <c r="E1595" s="108" t="s">
        <v>471</v>
      </c>
      <c r="F1595" s="14" t="s">
        <v>846</v>
      </c>
      <c r="G1595" s="109" t="s">
        <v>204</v>
      </c>
      <c r="H1595" s="126">
        <f>H1596</f>
        <v>0</v>
      </c>
      <c r="L1595" s="32">
        <v>17260.62</v>
      </c>
      <c r="M1595" s="32">
        <v>26441.059999999998</v>
      </c>
      <c r="N1595" s="32">
        <v>26441.059999999998</v>
      </c>
      <c r="O1595" s="32">
        <f>H1595-L1595</f>
        <v>-17260.62</v>
      </c>
      <c r="P1595" s="32" t="e">
        <f>#REF!-M1595</f>
        <v>#REF!</v>
      </c>
      <c r="Q1595" s="32" t="e">
        <f>#REF!-N1595</f>
        <v>#REF!</v>
      </c>
      <c r="R1595" s="17" t="str">
        <f t="shared" si="174"/>
        <v>04 2 02 60090810</v>
      </c>
    </row>
    <row r="1596" spans="1:18" s="16" customFormat="1" ht="63">
      <c r="A1596" s="14"/>
      <c r="B1596" s="125" t="s">
        <v>205</v>
      </c>
      <c r="C1596" s="109" t="s">
        <v>410</v>
      </c>
      <c r="D1596" s="108" t="s">
        <v>73</v>
      </c>
      <c r="E1596" s="108" t="s">
        <v>471</v>
      </c>
      <c r="F1596" s="14" t="s">
        <v>846</v>
      </c>
      <c r="G1596" s="109" t="s">
        <v>206</v>
      </c>
      <c r="H1596" s="126"/>
      <c r="L1596" s="32"/>
      <c r="M1596" s="32"/>
      <c r="N1596" s="32"/>
      <c r="O1596" s="32"/>
      <c r="P1596" s="32"/>
      <c r="Q1596" s="32"/>
      <c r="R1596" s="17"/>
    </row>
    <row r="1597" spans="1:18" s="16" customFormat="1" ht="47.25">
      <c r="A1597" s="14"/>
      <c r="B1597" s="125" t="s">
        <v>847</v>
      </c>
      <c r="C1597" s="109" t="s">
        <v>410</v>
      </c>
      <c r="D1597" s="108" t="s">
        <v>73</v>
      </c>
      <c r="E1597" s="108" t="s">
        <v>471</v>
      </c>
      <c r="F1597" s="14" t="s">
        <v>848</v>
      </c>
      <c r="G1597" s="109" t="s">
        <v>9</v>
      </c>
      <c r="H1597" s="141">
        <f>H1598</f>
        <v>0</v>
      </c>
      <c r="L1597" s="32">
        <v>14841.27</v>
      </c>
      <c r="M1597" s="32">
        <v>14841.27</v>
      </c>
      <c r="N1597" s="32">
        <v>14841.27</v>
      </c>
      <c r="O1597" s="32">
        <f>H1597-L1597</f>
        <v>-14841.27</v>
      </c>
      <c r="P1597" s="32" t="e">
        <f>#REF!-M1597</f>
        <v>#REF!</v>
      </c>
      <c r="Q1597" s="32" t="e">
        <f>#REF!-N1597</f>
        <v>#REF!</v>
      </c>
      <c r="R1597" s="17" t="str">
        <f t="shared" si="174"/>
        <v>04 2 02 S6460000</v>
      </c>
    </row>
    <row r="1598" spans="1:18" s="16" customFormat="1" ht="31.5">
      <c r="A1598" s="14"/>
      <c r="B1598" s="125" t="s">
        <v>28</v>
      </c>
      <c r="C1598" s="109" t="s">
        <v>410</v>
      </c>
      <c r="D1598" s="108" t="s">
        <v>73</v>
      </c>
      <c r="E1598" s="108" t="s">
        <v>471</v>
      </c>
      <c r="F1598" s="14" t="s">
        <v>848</v>
      </c>
      <c r="G1598" s="109" t="s">
        <v>29</v>
      </c>
      <c r="H1598" s="126">
        <f>H1599</f>
        <v>0</v>
      </c>
      <c r="L1598" s="32">
        <v>14841.27</v>
      </c>
      <c r="M1598" s="32">
        <v>14841.27</v>
      </c>
      <c r="N1598" s="32">
        <v>14841.27</v>
      </c>
      <c r="O1598" s="32">
        <f>H1598-L1598</f>
        <v>-14841.27</v>
      </c>
      <c r="P1598" s="32" t="e">
        <f>#REF!-M1598</f>
        <v>#REF!</v>
      </c>
      <c r="Q1598" s="32" t="e">
        <f>#REF!-N1598</f>
        <v>#REF!</v>
      </c>
      <c r="R1598" s="17" t="str">
        <f t="shared" ref="R1598:R1700" si="181">CONCATENATE(F1598,G1598)</f>
        <v>04 2 02 S6460240</v>
      </c>
    </row>
    <row r="1599" spans="1:18" s="16" customFormat="1" ht="15.75">
      <c r="A1599" s="14"/>
      <c r="B1599" s="125" t="s">
        <v>30</v>
      </c>
      <c r="C1599" s="109" t="s">
        <v>410</v>
      </c>
      <c r="D1599" s="108" t="s">
        <v>73</v>
      </c>
      <c r="E1599" s="108" t="s">
        <v>471</v>
      </c>
      <c r="F1599" s="14" t="s">
        <v>848</v>
      </c>
      <c r="G1599" s="109" t="s">
        <v>31</v>
      </c>
      <c r="H1599" s="126"/>
      <c r="L1599" s="32"/>
      <c r="M1599" s="32"/>
      <c r="N1599" s="32"/>
      <c r="O1599" s="32"/>
      <c r="P1599" s="32"/>
      <c r="Q1599" s="32"/>
      <c r="R1599" s="17"/>
    </row>
    <row r="1600" spans="1:18" s="16" customFormat="1" ht="47.25">
      <c r="A1600" s="14"/>
      <c r="B1600" s="125" t="s">
        <v>849</v>
      </c>
      <c r="C1600" s="108" t="s">
        <v>410</v>
      </c>
      <c r="D1600" s="108" t="s">
        <v>73</v>
      </c>
      <c r="E1600" s="108" t="s">
        <v>471</v>
      </c>
      <c r="F1600" s="108" t="s">
        <v>850</v>
      </c>
      <c r="G1600" s="109" t="s">
        <v>9</v>
      </c>
      <c r="H1600" s="141">
        <f>H1605+H1601</f>
        <v>0</v>
      </c>
      <c r="L1600" s="32">
        <v>56524.61</v>
      </c>
      <c r="M1600" s="32">
        <v>51524.61</v>
      </c>
      <c r="N1600" s="32">
        <v>51524.61</v>
      </c>
      <c r="O1600" s="32">
        <f>H1600-L1600</f>
        <v>-56524.61</v>
      </c>
      <c r="P1600" s="32" t="e">
        <f>#REF!-M1600</f>
        <v>#REF!</v>
      </c>
      <c r="Q1600" s="32" t="e">
        <f>#REF!-N1600</f>
        <v>#REF!</v>
      </c>
      <c r="R1600" s="17" t="str">
        <f t="shared" si="181"/>
        <v>04 2 03 00000000</v>
      </c>
    </row>
    <row r="1601" spans="1:18" s="16" customFormat="1" ht="31.5">
      <c r="A1601" s="14"/>
      <c r="B1601" s="135" t="s">
        <v>136</v>
      </c>
      <c r="C1601" s="108" t="s">
        <v>410</v>
      </c>
      <c r="D1601" s="108" t="s">
        <v>73</v>
      </c>
      <c r="E1601" s="108" t="s">
        <v>471</v>
      </c>
      <c r="F1601" s="108" t="s">
        <v>851</v>
      </c>
      <c r="G1601" s="108" t="s">
        <v>9</v>
      </c>
      <c r="H1601" s="126">
        <f>H1602</f>
        <v>0</v>
      </c>
      <c r="L1601" s="20">
        <v>42580.75</v>
      </c>
      <c r="M1601" s="20">
        <v>42580.75</v>
      </c>
      <c r="N1601" s="20">
        <v>42580.75</v>
      </c>
      <c r="O1601" s="20">
        <f>H1601-L1601</f>
        <v>-42580.75</v>
      </c>
      <c r="P1601" s="20" t="e">
        <f>#REF!-M1601</f>
        <v>#REF!</v>
      </c>
      <c r="Q1601" s="20" t="e">
        <f>#REF!-N1601</f>
        <v>#REF!</v>
      </c>
      <c r="R1601" s="17" t="str">
        <f t="shared" si="181"/>
        <v>04 2 03 11010000</v>
      </c>
    </row>
    <row r="1602" spans="1:18" s="16" customFormat="1" ht="15.75">
      <c r="A1602" s="14"/>
      <c r="B1602" s="132" t="s">
        <v>403</v>
      </c>
      <c r="C1602" s="108" t="s">
        <v>410</v>
      </c>
      <c r="D1602" s="108" t="s">
        <v>73</v>
      </c>
      <c r="E1602" s="108" t="s">
        <v>471</v>
      </c>
      <c r="F1602" s="108" t="s">
        <v>851</v>
      </c>
      <c r="G1602" s="108" t="s">
        <v>404</v>
      </c>
      <c r="H1602" s="126">
        <f>SUM(H1603:H1604)</f>
        <v>0</v>
      </c>
      <c r="L1602" s="20">
        <v>42580.75</v>
      </c>
      <c r="M1602" s="20">
        <v>42580.75</v>
      </c>
      <c r="N1602" s="20">
        <v>42580.75</v>
      </c>
      <c r="O1602" s="20">
        <f>H1602-L1602</f>
        <v>-42580.75</v>
      </c>
      <c r="P1602" s="20" t="e">
        <f>#REF!-M1602</f>
        <v>#REF!</v>
      </c>
      <c r="Q1602" s="20" t="e">
        <f>#REF!-N1602</f>
        <v>#REF!</v>
      </c>
      <c r="R1602" s="17" t="str">
        <f t="shared" si="181"/>
        <v>04 2 03 11010610</v>
      </c>
    </row>
    <row r="1603" spans="1:18" s="23" customFormat="1" ht="63">
      <c r="A1603" s="21"/>
      <c r="B1603" s="127" t="s">
        <v>405</v>
      </c>
      <c r="C1603" s="108" t="s">
        <v>410</v>
      </c>
      <c r="D1603" s="108" t="s">
        <v>73</v>
      </c>
      <c r="E1603" s="108" t="s">
        <v>471</v>
      </c>
      <c r="F1603" s="108" t="s">
        <v>851</v>
      </c>
      <c r="G1603" s="108" t="s">
        <v>406</v>
      </c>
      <c r="H1603" s="126"/>
      <c r="L1603" s="22"/>
      <c r="M1603" s="22"/>
      <c r="N1603" s="22"/>
      <c r="O1603" s="22"/>
      <c r="P1603" s="22"/>
      <c r="Q1603" s="22"/>
      <c r="R1603" s="24"/>
    </row>
    <row r="1604" spans="1:18" s="23" customFormat="1" ht="15.75">
      <c r="A1604" s="21"/>
      <c r="B1604" s="127" t="s">
        <v>407</v>
      </c>
      <c r="C1604" s="108" t="s">
        <v>410</v>
      </c>
      <c r="D1604" s="108" t="s">
        <v>73</v>
      </c>
      <c r="E1604" s="108" t="s">
        <v>471</v>
      </c>
      <c r="F1604" s="108" t="s">
        <v>851</v>
      </c>
      <c r="G1604" s="108" t="s">
        <v>408</v>
      </c>
      <c r="H1604" s="126"/>
      <c r="L1604" s="22"/>
      <c r="M1604" s="22"/>
      <c r="N1604" s="22"/>
      <c r="O1604" s="22"/>
      <c r="P1604" s="22"/>
      <c r="Q1604" s="22"/>
      <c r="R1604" s="24"/>
    </row>
    <row r="1605" spans="1:18" s="16" customFormat="1" ht="63">
      <c r="A1605" s="14"/>
      <c r="B1605" s="125" t="s">
        <v>852</v>
      </c>
      <c r="C1605" s="108" t="s">
        <v>410</v>
      </c>
      <c r="D1605" s="108" t="s">
        <v>73</v>
      </c>
      <c r="E1605" s="108" t="s">
        <v>471</v>
      </c>
      <c r="F1605" s="108" t="s">
        <v>853</v>
      </c>
      <c r="G1605" s="109" t="s">
        <v>9</v>
      </c>
      <c r="H1605" s="141">
        <f>H1606</f>
        <v>0</v>
      </c>
      <c r="L1605" s="32">
        <v>13943.86</v>
      </c>
      <c r="M1605" s="32">
        <v>8943.86</v>
      </c>
      <c r="N1605" s="32">
        <v>8943.86</v>
      </c>
      <c r="O1605" s="32">
        <f>H1605-L1605</f>
        <v>-13943.86</v>
      </c>
      <c r="P1605" s="32" t="e">
        <f>#REF!-M1605</f>
        <v>#REF!</v>
      </c>
      <c r="Q1605" s="32" t="e">
        <f>#REF!-N1605</f>
        <v>#REF!</v>
      </c>
      <c r="R1605" s="17" t="str">
        <f t="shared" si="181"/>
        <v>04 2 03 20570000</v>
      </c>
    </row>
    <row r="1606" spans="1:18" s="16" customFormat="1" ht="31.5">
      <c r="A1606" s="14"/>
      <c r="B1606" s="125" t="s">
        <v>28</v>
      </c>
      <c r="C1606" s="108" t="s">
        <v>410</v>
      </c>
      <c r="D1606" s="108" t="s">
        <v>73</v>
      </c>
      <c r="E1606" s="108" t="s">
        <v>471</v>
      </c>
      <c r="F1606" s="108" t="s">
        <v>853</v>
      </c>
      <c r="G1606" s="109" t="s">
        <v>29</v>
      </c>
      <c r="H1606" s="126">
        <f>H1607</f>
        <v>0</v>
      </c>
      <c r="L1606" s="32">
        <v>13943.86</v>
      </c>
      <c r="M1606" s="32">
        <v>8943.86</v>
      </c>
      <c r="N1606" s="32">
        <v>8943.86</v>
      </c>
      <c r="O1606" s="32">
        <f>H1606-L1606</f>
        <v>-13943.86</v>
      </c>
      <c r="P1606" s="32" t="e">
        <f>#REF!-M1606</f>
        <v>#REF!</v>
      </c>
      <c r="Q1606" s="32" t="e">
        <f>#REF!-N1606</f>
        <v>#REF!</v>
      </c>
      <c r="R1606" s="17" t="str">
        <f t="shared" si="181"/>
        <v>04 2 03 20570240</v>
      </c>
    </row>
    <row r="1607" spans="1:18" s="16" customFormat="1" ht="15.75">
      <c r="A1607" s="14"/>
      <c r="B1607" s="125" t="s">
        <v>30</v>
      </c>
      <c r="C1607" s="108" t="s">
        <v>410</v>
      </c>
      <c r="D1607" s="108" t="s">
        <v>73</v>
      </c>
      <c r="E1607" s="108" t="s">
        <v>471</v>
      </c>
      <c r="F1607" s="108" t="s">
        <v>853</v>
      </c>
      <c r="G1607" s="109" t="s">
        <v>31</v>
      </c>
      <c r="H1607" s="126"/>
      <c r="L1607" s="32"/>
      <c r="M1607" s="32"/>
      <c r="N1607" s="32"/>
      <c r="O1607" s="32"/>
      <c r="P1607" s="32"/>
      <c r="Q1607" s="32"/>
      <c r="R1607" s="17"/>
    </row>
    <row r="1608" spans="1:18" s="16" customFormat="1" ht="15.75">
      <c r="A1608" s="14"/>
      <c r="B1608" s="121" t="s">
        <v>284</v>
      </c>
      <c r="C1608" s="122" t="s">
        <v>410</v>
      </c>
      <c r="D1608" s="123" t="s">
        <v>73</v>
      </c>
      <c r="E1608" s="123" t="s">
        <v>57</v>
      </c>
      <c r="F1608" s="123" t="s">
        <v>8</v>
      </c>
      <c r="G1608" s="123" t="s">
        <v>9</v>
      </c>
      <c r="H1608" s="124">
        <f>H1609</f>
        <v>0</v>
      </c>
      <c r="L1608" s="19"/>
      <c r="M1608" s="19"/>
      <c r="N1608" s="19"/>
      <c r="O1608" s="32">
        <f>H1608-L1608</f>
        <v>0</v>
      </c>
      <c r="P1608" s="32" t="e">
        <f>#REF!-M1608</f>
        <v>#REF!</v>
      </c>
      <c r="Q1608" s="32" t="e">
        <f>#REF!-N1608</f>
        <v>#REF!</v>
      </c>
      <c r="R1608" s="17" t="str">
        <f t="shared" si="181"/>
        <v>00 0 00 00000000</v>
      </c>
    </row>
    <row r="1609" spans="1:18" s="16" customFormat="1" ht="63">
      <c r="A1609" s="14"/>
      <c r="B1609" s="125" t="s">
        <v>87</v>
      </c>
      <c r="C1609" s="108" t="s">
        <v>410</v>
      </c>
      <c r="D1609" s="108" t="s">
        <v>73</v>
      </c>
      <c r="E1609" s="108" t="s">
        <v>57</v>
      </c>
      <c r="F1609" s="108" t="s">
        <v>88</v>
      </c>
      <c r="G1609" s="109" t="s">
        <v>9</v>
      </c>
      <c r="H1609" s="141">
        <f>H1610</f>
        <v>0</v>
      </c>
      <c r="L1609" s="32"/>
      <c r="M1609" s="32"/>
      <c r="N1609" s="32"/>
      <c r="O1609" s="32">
        <f>H1609-L1609</f>
        <v>0</v>
      </c>
      <c r="P1609" s="32" t="e">
        <f>#REF!-M1609</f>
        <v>#REF!</v>
      </c>
      <c r="Q1609" s="32" t="e">
        <f>#REF!-N1609</f>
        <v>#REF!</v>
      </c>
      <c r="R1609" s="17" t="str">
        <f t="shared" si="181"/>
        <v>98 0 00 00000000</v>
      </c>
    </row>
    <row r="1610" spans="1:18" s="16" customFormat="1" ht="15.75">
      <c r="A1610" s="14"/>
      <c r="B1610" s="125" t="s">
        <v>89</v>
      </c>
      <c r="C1610" s="108" t="s">
        <v>410</v>
      </c>
      <c r="D1610" s="108" t="s">
        <v>73</v>
      </c>
      <c r="E1610" s="108" t="s">
        <v>57</v>
      </c>
      <c r="F1610" s="108" t="s">
        <v>90</v>
      </c>
      <c r="G1610" s="109" t="s">
        <v>9</v>
      </c>
      <c r="H1610" s="141">
        <f>H1611</f>
        <v>0</v>
      </c>
      <c r="L1610" s="32"/>
      <c r="M1610" s="32"/>
      <c r="N1610" s="32"/>
      <c r="O1610" s="32">
        <f>H1610-L1610</f>
        <v>0</v>
      </c>
      <c r="P1610" s="32" t="e">
        <f>#REF!-M1610</f>
        <v>#REF!</v>
      </c>
      <c r="Q1610" s="32" t="e">
        <f>#REF!-N1610</f>
        <v>#REF!</v>
      </c>
      <c r="R1610" s="17" t="str">
        <f t="shared" si="181"/>
        <v>98 1 00 00000000</v>
      </c>
    </row>
    <row r="1611" spans="1:18" s="16" customFormat="1" ht="31.5">
      <c r="A1611" s="14"/>
      <c r="B1611" s="125" t="s">
        <v>854</v>
      </c>
      <c r="C1611" s="108" t="s">
        <v>410</v>
      </c>
      <c r="D1611" s="108" t="s">
        <v>73</v>
      </c>
      <c r="E1611" s="108" t="s">
        <v>57</v>
      </c>
      <c r="F1611" s="108" t="s">
        <v>855</v>
      </c>
      <c r="G1611" s="109" t="s">
        <v>9</v>
      </c>
      <c r="H1611" s="141">
        <f>H1612</f>
        <v>0</v>
      </c>
      <c r="L1611" s="32"/>
      <c r="M1611" s="32"/>
      <c r="N1611" s="32"/>
      <c r="O1611" s="32">
        <f>H1611-L1611</f>
        <v>0</v>
      </c>
      <c r="P1611" s="32" t="e">
        <f>#REF!-M1611</f>
        <v>#REF!</v>
      </c>
      <c r="Q1611" s="32" t="e">
        <f>#REF!-N1611</f>
        <v>#REF!</v>
      </c>
      <c r="R1611" s="17" t="str">
        <f t="shared" si="181"/>
        <v>98 1 00 21540000</v>
      </c>
    </row>
    <row r="1612" spans="1:18" s="16" customFormat="1" ht="31.5">
      <c r="A1612" s="14"/>
      <c r="B1612" s="125" t="s">
        <v>28</v>
      </c>
      <c r="C1612" s="108" t="s">
        <v>410</v>
      </c>
      <c r="D1612" s="108" t="s">
        <v>73</v>
      </c>
      <c r="E1612" s="108" t="s">
        <v>57</v>
      </c>
      <c r="F1612" s="108" t="s">
        <v>855</v>
      </c>
      <c r="G1612" s="109" t="s">
        <v>29</v>
      </c>
      <c r="H1612" s="126">
        <f>H1613</f>
        <v>0</v>
      </c>
      <c r="L1612" s="32"/>
      <c r="M1612" s="32"/>
      <c r="N1612" s="32"/>
      <c r="O1612" s="32">
        <f>H1612-L1612</f>
        <v>0</v>
      </c>
      <c r="P1612" s="32" t="e">
        <f>#REF!-M1612</f>
        <v>#REF!</v>
      </c>
      <c r="Q1612" s="32" t="e">
        <f>#REF!-N1612</f>
        <v>#REF!</v>
      </c>
      <c r="R1612" s="17" t="str">
        <f t="shared" si="181"/>
        <v>98 1 00 21540240</v>
      </c>
    </row>
    <row r="1613" spans="1:18" s="16" customFormat="1" ht="15.75">
      <c r="A1613" s="14"/>
      <c r="B1613" s="125" t="s">
        <v>30</v>
      </c>
      <c r="C1613" s="108" t="s">
        <v>410</v>
      </c>
      <c r="D1613" s="108" t="s">
        <v>73</v>
      </c>
      <c r="E1613" s="108" t="s">
        <v>57</v>
      </c>
      <c r="F1613" s="108" t="s">
        <v>855</v>
      </c>
      <c r="G1613" s="109" t="s">
        <v>31</v>
      </c>
      <c r="H1613" s="126"/>
      <c r="L1613" s="32"/>
      <c r="M1613" s="32"/>
      <c r="N1613" s="32"/>
      <c r="O1613" s="32"/>
      <c r="P1613" s="32"/>
      <c r="Q1613" s="32"/>
      <c r="R1613" s="17"/>
    </row>
    <row r="1614" spans="1:18" s="16" customFormat="1" ht="15.75">
      <c r="A1614" s="14"/>
      <c r="B1614" s="117" t="s">
        <v>305</v>
      </c>
      <c r="C1614" s="118" t="s">
        <v>410</v>
      </c>
      <c r="D1614" s="119" t="s">
        <v>86</v>
      </c>
      <c r="E1614" s="119" t="s">
        <v>7</v>
      </c>
      <c r="F1614" s="119" t="s">
        <v>8</v>
      </c>
      <c r="G1614" s="119" t="s">
        <v>9</v>
      </c>
      <c r="H1614" s="120">
        <f>H1615+H1622+H1633+H1687</f>
        <v>0</v>
      </c>
      <c r="L1614" s="18">
        <v>281198.81</v>
      </c>
      <c r="M1614" s="18">
        <v>262546.57</v>
      </c>
      <c r="N1614" s="18">
        <v>265456.62</v>
      </c>
      <c r="O1614" s="18">
        <f t="shared" ref="O1614:O1620" si="182">H1614-L1614</f>
        <v>-281198.81</v>
      </c>
      <c r="P1614" s="18" t="e">
        <f>#REF!-M1614</f>
        <v>#REF!</v>
      </c>
      <c r="Q1614" s="18" t="e">
        <f>#REF!-N1614</f>
        <v>#REF!</v>
      </c>
      <c r="R1614" s="17" t="str">
        <f t="shared" si="181"/>
        <v>00 0 00 00000000</v>
      </c>
    </row>
    <row r="1615" spans="1:18" s="16" customFormat="1" ht="15.75">
      <c r="A1615" s="14"/>
      <c r="B1615" s="121" t="s">
        <v>765</v>
      </c>
      <c r="C1615" s="122" t="s">
        <v>410</v>
      </c>
      <c r="D1615" s="123" t="s">
        <v>86</v>
      </c>
      <c r="E1615" s="123" t="s">
        <v>11</v>
      </c>
      <c r="F1615" s="123" t="s">
        <v>8</v>
      </c>
      <c r="G1615" s="123" t="s">
        <v>9</v>
      </c>
      <c r="H1615" s="124">
        <f>H1616</f>
        <v>0</v>
      </c>
      <c r="L1615" s="19">
        <v>90</v>
      </c>
      <c r="M1615" s="19">
        <v>90</v>
      </c>
      <c r="N1615" s="19">
        <v>90</v>
      </c>
      <c r="O1615" s="19">
        <f t="shared" si="182"/>
        <v>-90</v>
      </c>
      <c r="P1615" s="19" t="e">
        <f>#REF!-M1615</f>
        <v>#REF!</v>
      </c>
      <c r="Q1615" s="19" t="e">
        <f>#REF!-N1615</f>
        <v>#REF!</v>
      </c>
      <c r="R1615" s="17" t="str">
        <f t="shared" si="181"/>
        <v>00 0 00 00000000</v>
      </c>
    </row>
    <row r="1616" spans="1:18" s="16" customFormat="1" ht="63">
      <c r="A1616" s="14"/>
      <c r="B1616" s="127" t="s">
        <v>293</v>
      </c>
      <c r="C1616" s="109" t="s">
        <v>410</v>
      </c>
      <c r="D1616" s="108" t="s">
        <v>86</v>
      </c>
      <c r="E1616" s="108" t="s">
        <v>11</v>
      </c>
      <c r="F1616" s="14" t="s">
        <v>294</v>
      </c>
      <c r="G1616" s="108" t="s">
        <v>9</v>
      </c>
      <c r="H1616" s="141">
        <f t="shared" ref="H1616:H1617" si="183">H1617</f>
        <v>0</v>
      </c>
      <c r="L1616" s="32">
        <v>90</v>
      </c>
      <c r="M1616" s="32">
        <v>90</v>
      </c>
      <c r="N1616" s="32">
        <v>90</v>
      </c>
      <c r="O1616" s="32">
        <f t="shared" si="182"/>
        <v>-90</v>
      </c>
      <c r="P1616" s="32" t="e">
        <f>#REF!-M1616</f>
        <v>#REF!</v>
      </c>
      <c r="Q1616" s="32" t="e">
        <f>#REF!-N1616</f>
        <v>#REF!</v>
      </c>
      <c r="R1616" s="17" t="str">
        <f t="shared" si="181"/>
        <v>04 0 00 00000000</v>
      </c>
    </row>
    <row r="1617" spans="1:18" s="16" customFormat="1" ht="31.5">
      <c r="A1617" s="14"/>
      <c r="B1617" s="125" t="s">
        <v>766</v>
      </c>
      <c r="C1617" s="109" t="s">
        <v>410</v>
      </c>
      <c r="D1617" s="108" t="s">
        <v>86</v>
      </c>
      <c r="E1617" s="108" t="s">
        <v>11</v>
      </c>
      <c r="F1617" s="14" t="s">
        <v>767</v>
      </c>
      <c r="G1617" s="108" t="s">
        <v>9</v>
      </c>
      <c r="H1617" s="141">
        <f t="shared" si="183"/>
        <v>0</v>
      </c>
      <c r="L1617" s="32">
        <v>90</v>
      </c>
      <c r="M1617" s="32">
        <v>90</v>
      </c>
      <c r="N1617" s="32">
        <v>90</v>
      </c>
      <c r="O1617" s="32">
        <f t="shared" si="182"/>
        <v>-90</v>
      </c>
      <c r="P1617" s="32" t="e">
        <f>#REF!-M1617</f>
        <v>#REF!</v>
      </c>
      <c r="Q1617" s="32" t="e">
        <f>#REF!-N1617</f>
        <v>#REF!</v>
      </c>
      <c r="R1617" s="17" t="str">
        <f t="shared" si="181"/>
        <v>04 1 00 00000000</v>
      </c>
    </row>
    <row r="1618" spans="1:18" s="16" customFormat="1" ht="47.25">
      <c r="A1618" s="14"/>
      <c r="B1618" s="125" t="s">
        <v>793</v>
      </c>
      <c r="C1618" s="109" t="s">
        <v>410</v>
      </c>
      <c r="D1618" s="108" t="s">
        <v>86</v>
      </c>
      <c r="E1618" s="108" t="s">
        <v>11</v>
      </c>
      <c r="F1618" s="14" t="s">
        <v>769</v>
      </c>
      <c r="G1618" s="108" t="s">
        <v>9</v>
      </c>
      <c r="H1618" s="141">
        <f>H1619</f>
        <v>0</v>
      </c>
      <c r="L1618" s="32">
        <v>90</v>
      </c>
      <c r="M1618" s="32">
        <v>90</v>
      </c>
      <c r="N1618" s="32">
        <v>90</v>
      </c>
      <c r="O1618" s="32">
        <f t="shared" si="182"/>
        <v>-90</v>
      </c>
      <c r="P1618" s="32" t="e">
        <f>#REF!-M1618</f>
        <v>#REF!</v>
      </c>
      <c r="Q1618" s="32" t="e">
        <f>#REF!-N1618</f>
        <v>#REF!</v>
      </c>
      <c r="R1618" s="17" t="str">
        <f t="shared" si="181"/>
        <v>04 1 01 00000000</v>
      </c>
    </row>
    <row r="1619" spans="1:18" s="16" customFormat="1" ht="31.5">
      <c r="A1619" s="14"/>
      <c r="B1619" s="125" t="s">
        <v>856</v>
      </c>
      <c r="C1619" s="109" t="s">
        <v>410</v>
      </c>
      <c r="D1619" s="108" t="s">
        <v>86</v>
      </c>
      <c r="E1619" s="108" t="s">
        <v>11</v>
      </c>
      <c r="F1619" s="14" t="s">
        <v>857</v>
      </c>
      <c r="G1619" s="108" t="s">
        <v>9</v>
      </c>
      <c r="H1619" s="141">
        <f>H1620</f>
        <v>0</v>
      </c>
      <c r="L1619" s="32">
        <v>90</v>
      </c>
      <c r="M1619" s="32">
        <v>90</v>
      </c>
      <c r="N1619" s="32">
        <v>90</v>
      </c>
      <c r="O1619" s="32">
        <f t="shared" si="182"/>
        <v>-90</v>
      </c>
      <c r="P1619" s="32" t="e">
        <f>#REF!-M1619</f>
        <v>#REF!</v>
      </c>
      <c r="Q1619" s="32" t="e">
        <f>#REF!-N1619</f>
        <v>#REF!</v>
      </c>
      <c r="R1619" s="17" t="str">
        <f t="shared" si="181"/>
        <v>04 1 01 20200000</v>
      </c>
    </row>
    <row r="1620" spans="1:18" s="16" customFormat="1" ht="31.5">
      <c r="A1620" s="14"/>
      <c r="B1620" s="125" t="s">
        <v>28</v>
      </c>
      <c r="C1620" s="108" t="s">
        <v>410</v>
      </c>
      <c r="D1620" s="108" t="s">
        <v>86</v>
      </c>
      <c r="E1620" s="108" t="s">
        <v>11</v>
      </c>
      <c r="F1620" s="14" t="s">
        <v>857</v>
      </c>
      <c r="G1620" s="108" t="s">
        <v>29</v>
      </c>
      <c r="H1620" s="126">
        <f>H1621</f>
        <v>0</v>
      </c>
      <c r="L1620" s="32">
        <v>90</v>
      </c>
      <c r="M1620" s="32">
        <v>90</v>
      </c>
      <c r="N1620" s="32">
        <v>90</v>
      </c>
      <c r="O1620" s="32">
        <f t="shared" si="182"/>
        <v>-90</v>
      </c>
      <c r="P1620" s="32" t="e">
        <f>#REF!-M1620</f>
        <v>#REF!</v>
      </c>
      <c r="Q1620" s="32" t="e">
        <f>#REF!-N1620</f>
        <v>#REF!</v>
      </c>
      <c r="R1620" s="17" t="str">
        <f t="shared" si="181"/>
        <v>04 1 01 20200240</v>
      </c>
    </row>
    <row r="1621" spans="1:18" s="16" customFormat="1" ht="15.75">
      <c r="A1621" s="14"/>
      <c r="B1621" s="125" t="s">
        <v>30</v>
      </c>
      <c r="C1621" s="108" t="s">
        <v>410</v>
      </c>
      <c r="D1621" s="108" t="s">
        <v>86</v>
      </c>
      <c r="E1621" s="108" t="s">
        <v>11</v>
      </c>
      <c r="F1621" s="14" t="s">
        <v>857</v>
      </c>
      <c r="G1621" s="108" t="s">
        <v>31</v>
      </c>
      <c r="H1621" s="126"/>
      <c r="L1621" s="32"/>
      <c r="M1621" s="32"/>
      <c r="N1621" s="32"/>
      <c r="O1621" s="32"/>
      <c r="P1621" s="32"/>
      <c r="Q1621" s="32"/>
      <c r="R1621" s="17"/>
    </row>
    <row r="1622" spans="1:18" s="16" customFormat="1" ht="15.75">
      <c r="A1622" s="14"/>
      <c r="B1622" s="121" t="s">
        <v>858</v>
      </c>
      <c r="C1622" s="122">
        <v>620</v>
      </c>
      <c r="D1622" s="123" t="s">
        <v>86</v>
      </c>
      <c r="E1622" s="123" t="s">
        <v>62</v>
      </c>
      <c r="F1622" s="123" t="s">
        <v>8</v>
      </c>
      <c r="G1622" s="123" t="s">
        <v>9</v>
      </c>
      <c r="H1622" s="124">
        <f t="shared" ref="H1622:H1625" si="184">H1623</f>
        <v>0</v>
      </c>
      <c r="L1622" s="19">
        <v>120</v>
      </c>
      <c r="M1622" s="19">
        <v>20</v>
      </c>
      <c r="N1622" s="19">
        <v>20</v>
      </c>
      <c r="O1622" s="19">
        <f t="shared" ref="O1622:O1627" si="185">H1622-L1622</f>
        <v>-120</v>
      </c>
      <c r="P1622" s="19" t="e">
        <f>#REF!-M1622</f>
        <v>#REF!</v>
      </c>
      <c r="Q1622" s="19" t="e">
        <f>#REF!-N1622</f>
        <v>#REF!</v>
      </c>
      <c r="R1622" s="17" t="str">
        <f t="shared" si="181"/>
        <v>00 0 00 00000000</v>
      </c>
    </row>
    <row r="1623" spans="1:18" s="16" customFormat="1" ht="63">
      <c r="A1623" s="14"/>
      <c r="B1623" s="127" t="s">
        <v>293</v>
      </c>
      <c r="C1623" s="133">
        <v>620</v>
      </c>
      <c r="D1623" s="108" t="s">
        <v>86</v>
      </c>
      <c r="E1623" s="108" t="s">
        <v>62</v>
      </c>
      <c r="F1623" s="14" t="s">
        <v>294</v>
      </c>
      <c r="G1623" s="108" t="s">
        <v>9</v>
      </c>
      <c r="H1623" s="141">
        <f t="shared" si="184"/>
        <v>0</v>
      </c>
      <c r="L1623" s="32">
        <v>120</v>
      </c>
      <c r="M1623" s="32">
        <v>20</v>
      </c>
      <c r="N1623" s="32">
        <v>20</v>
      </c>
      <c r="O1623" s="32">
        <f t="shared" si="185"/>
        <v>-120</v>
      </c>
      <c r="P1623" s="32" t="e">
        <f>#REF!-M1623</f>
        <v>#REF!</v>
      </c>
      <c r="Q1623" s="32" t="e">
        <f>#REF!-N1623</f>
        <v>#REF!</v>
      </c>
      <c r="R1623" s="17" t="str">
        <f t="shared" si="181"/>
        <v>04 0 00 00000000</v>
      </c>
    </row>
    <row r="1624" spans="1:18" s="16" customFormat="1" ht="31.5">
      <c r="A1624" s="14"/>
      <c r="B1624" s="125" t="s">
        <v>766</v>
      </c>
      <c r="C1624" s="133">
        <v>620</v>
      </c>
      <c r="D1624" s="108" t="s">
        <v>86</v>
      </c>
      <c r="E1624" s="108" t="s">
        <v>62</v>
      </c>
      <c r="F1624" s="14" t="s">
        <v>767</v>
      </c>
      <c r="G1624" s="108" t="s">
        <v>9</v>
      </c>
      <c r="H1624" s="141">
        <f>H1625+H1629</f>
        <v>0</v>
      </c>
      <c r="L1624" s="32">
        <v>120</v>
      </c>
      <c r="M1624" s="32">
        <v>20</v>
      </c>
      <c r="N1624" s="32">
        <v>20</v>
      </c>
      <c r="O1624" s="32">
        <f t="shared" si="185"/>
        <v>-120</v>
      </c>
      <c r="P1624" s="32" t="e">
        <f>#REF!-M1624</f>
        <v>#REF!</v>
      </c>
      <c r="Q1624" s="32" t="e">
        <f>#REF!-N1624</f>
        <v>#REF!</v>
      </c>
      <c r="R1624" s="17" t="str">
        <f t="shared" si="181"/>
        <v>04 1 00 00000000</v>
      </c>
    </row>
    <row r="1625" spans="1:18" s="16" customFormat="1" ht="63">
      <c r="A1625" s="14"/>
      <c r="B1625" s="125" t="s">
        <v>859</v>
      </c>
      <c r="C1625" s="133">
        <v>620</v>
      </c>
      <c r="D1625" s="108" t="s">
        <v>86</v>
      </c>
      <c r="E1625" s="108" t="s">
        <v>62</v>
      </c>
      <c r="F1625" s="14" t="s">
        <v>860</v>
      </c>
      <c r="G1625" s="108" t="s">
        <v>9</v>
      </c>
      <c r="H1625" s="141">
        <f t="shared" si="184"/>
        <v>0</v>
      </c>
      <c r="L1625" s="32">
        <v>20</v>
      </c>
      <c r="M1625" s="32">
        <v>20</v>
      </c>
      <c r="N1625" s="32">
        <v>20</v>
      </c>
      <c r="O1625" s="32">
        <f t="shared" si="185"/>
        <v>-20</v>
      </c>
      <c r="P1625" s="32" t="e">
        <f>#REF!-M1625</f>
        <v>#REF!</v>
      </c>
      <c r="Q1625" s="32" t="e">
        <f>#REF!-N1625</f>
        <v>#REF!</v>
      </c>
      <c r="R1625" s="17" t="str">
        <f t="shared" si="181"/>
        <v>04 1 02 00000000</v>
      </c>
    </row>
    <row r="1626" spans="1:18" s="16" customFormat="1" ht="31.5">
      <c r="A1626" s="14"/>
      <c r="B1626" s="125" t="s">
        <v>861</v>
      </c>
      <c r="C1626" s="133">
        <v>620</v>
      </c>
      <c r="D1626" s="108" t="s">
        <v>86</v>
      </c>
      <c r="E1626" s="108" t="s">
        <v>62</v>
      </c>
      <c r="F1626" s="14" t="s">
        <v>862</v>
      </c>
      <c r="G1626" s="108" t="s">
        <v>9</v>
      </c>
      <c r="H1626" s="141">
        <f>H1627</f>
        <v>0</v>
      </c>
      <c r="L1626" s="32">
        <v>20</v>
      </c>
      <c r="M1626" s="32">
        <v>20</v>
      </c>
      <c r="N1626" s="32">
        <v>20</v>
      </c>
      <c r="O1626" s="32">
        <f t="shared" si="185"/>
        <v>-20</v>
      </c>
      <c r="P1626" s="32" t="e">
        <f>#REF!-M1626</f>
        <v>#REF!</v>
      </c>
      <c r="Q1626" s="32" t="e">
        <f>#REF!-N1626</f>
        <v>#REF!</v>
      </c>
      <c r="R1626" s="17" t="str">
        <f t="shared" si="181"/>
        <v>04 1 02 20220000</v>
      </c>
    </row>
    <row r="1627" spans="1:18" s="16" customFormat="1" ht="31.5">
      <c r="A1627" s="14"/>
      <c r="B1627" s="125" t="s">
        <v>28</v>
      </c>
      <c r="C1627" s="108" t="s">
        <v>410</v>
      </c>
      <c r="D1627" s="108" t="s">
        <v>86</v>
      </c>
      <c r="E1627" s="108" t="s">
        <v>62</v>
      </c>
      <c r="F1627" s="14" t="s">
        <v>862</v>
      </c>
      <c r="G1627" s="108" t="s">
        <v>29</v>
      </c>
      <c r="H1627" s="126">
        <f>H1628</f>
        <v>0</v>
      </c>
      <c r="L1627" s="32">
        <v>20</v>
      </c>
      <c r="M1627" s="32">
        <v>20</v>
      </c>
      <c r="N1627" s="32">
        <v>20</v>
      </c>
      <c r="O1627" s="32">
        <f t="shared" si="185"/>
        <v>-20</v>
      </c>
      <c r="P1627" s="32" t="e">
        <f>#REF!-M1627</f>
        <v>#REF!</v>
      </c>
      <c r="Q1627" s="32" t="e">
        <f>#REF!-N1627</f>
        <v>#REF!</v>
      </c>
      <c r="R1627" s="17" t="str">
        <f t="shared" si="181"/>
        <v>04 1 02 20220240</v>
      </c>
    </row>
    <row r="1628" spans="1:18" s="16" customFormat="1" ht="15.75">
      <c r="A1628" s="14"/>
      <c r="B1628" s="125" t="s">
        <v>30</v>
      </c>
      <c r="C1628" s="108" t="s">
        <v>410</v>
      </c>
      <c r="D1628" s="108" t="s">
        <v>86</v>
      </c>
      <c r="E1628" s="108" t="s">
        <v>62</v>
      </c>
      <c r="F1628" s="14" t="s">
        <v>862</v>
      </c>
      <c r="G1628" s="108" t="s">
        <v>31</v>
      </c>
      <c r="H1628" s="126"/>
      <c r="L1628" s="32"/>
      <c r="M1628" s="32"/>
      <c r="N1628" s="32"/>
      <c r="O1628" s="32"/>
      <c r="P1628" s="32"/>
      <c r="Q1628" s="32"/>
      <c r="R1628" s="17"/>
    </row>
    <row r="1629" spans="1:18" s="16" customFormat="1" ht="63">
      <c r="A1629" s="14"/>
      <c r="B1629" s="125" t="s">
        <v>863</v>
      </c>
      <c r="C1629" s="133">
        <v>620</v>
      </c>
      <c r="D1629" s="108" t="s">
        <v>86</v>
      </c>
      <c r="E1629" s="108" t="s">
        <v>62</v>
      </c>
      <c r="F1629" s="14" t="s">
        <v>864</v>
      </c>
      <c r="G1629" s="108" t="s">
        <v>9</v>
      </c>
      <c r="H1629" s="141">
        <f>H1630</f>
        <v>0</v>
      </c>
      <c r="L1629" s="32">
        <v>100</v>
      </c>
      <c r="M1629" s="32">
        <v>0</v>
      </c>
      <c r="N1629" s="32">
        <v>0</v>
      </c>
      <c r="O1629" s="32">
        <f>H1629-L1629</f>
        <v>-100</v>
      </c>
      <c r="P1629" s="32" t="e">
        <f>#REF!-M1629</f>
        <v>#REF!</v>
      </c>
      <c r="Q1629" s="32" t="e">
        <f>#REF!-N1629</f>
        <v>#REF!</v>
      </c>
      <c r="R1629" s="17" t="str">
        <f t="shared" si="181"/>
        <v>04 1 03 00000000</v>
      </c>
    </row>
    <row r="1630" spans="1:18" s="16" customFormat="1" ht="31.5">
      <c r="A1630" s="14"/>
      <c r="B1630" s="125" t="s">
        <v>861</v>
      </c>
      <c r="C1630" s="133">
        <v>620</v>
      </c>
      <c r="D1630" s="108" t="s">
        <v>86</v>
      </c>
      <c r="E1630" s="108" t="s">
        <v>62</v>
      </c>
      <c r="F1630" s="14" t="s">
        <v>865</v>
      </c>
      <c r="G1630" s="108" t="s">
        <v>9</v>
      </c>
      <c r="H1630" s="141">
        <f>H1631</f>
        <v>0</v>
      </c>
      <c r="L1630" s="32">
        <v>100</v>
      </c>
      <c r="M1630" s="32">
        <v>0</v>
      </c>
      <c r="N1630" s="32">
        <v>0</v>
      </c>
      <c r="O1630" s="32">
        <f>H1630-L1630</f>
        <v>-100</v>
      </c>
      <c r="P1630" s="32" t="e">
        <f>#REF!-M1630</f>
        <v>#REF!</v>
      </c>
      <c r="Q1630" s="32" t="e">
        <f>#REF!-N1630</f>
        <v>#REF!</v>
      </c>
      <c r="R1630" s="17" t="str">
        <f t="shared" si="181"/>
        <v>04 1 03 20220000</v>
      </c>
    </row>
    <row r="1631" spans="1:18" s="16" customFormat="1" ht="31.5">
      <c r="A1631" s="14"/>
      <c r="B1631" s="125" t="s">
        <v>28</v>
      </c>
      <c r="C1631" s="133">
        <v>620</v>
      </c>
      <c r="D1631" s="108" t="s">
        <v>86</v>
      </c>
      <c r="E1631" s="108" t="s">
        <v>62</v>
      </c>
      <c r="F1631" s="14" t="s">
        <v>865</v>
      </c>
      <c r="G1631" s="108" t="s">
        <v>29</v>
      </c>
      <c r="H1631" s="126">
        <f>H1632</f>
        <v>0</v>
      </c>
      <c r="L1631" s="32">
        <v>100</v>
      </c>
      <c r="M1631" s="32">
        <v>0</v>
      </c>
      <c r="N1631" s="32">
        <v>0</v>
      </c>
      <c r="O1631" s="32">
        <f>H1631-L1631</f>
        <v>-100</v>
      </c>
      <c r="P1631" s="32" t="e">
        <f>#REF!-M1631</f>
        <v>#REF!</v>
      </c>
      <c r="Q1631" s="32" t="e">
        <f>#REF!-N1631</f>
        <v>#REF!</v>
      </c>
      <c r="R1631" s="17" t="str">
        <f t="shared" si="181"/>
        <v>04 1 03 20220240</v>
      </c>
    </row>
    <row r="1632" spans="1:18" s="16" customFormat="1" ht="15.75">
      <c r="A1632" s="14"/>
      <c r="B1632" s="125" t="s">
        <v>30</v>
      </c>
      <c r="C1632" s="133">
        <v>620</v>
      </c>
      <c r="D1632" s="108" t="s">
        <v>86</v>
      </c>
      <c r="E1632" s="108" t="s">
        <v>62</v>
      </c>
      <c r="F1632" s="14" t="s">
        <v>865</v>
      </c>
      <c r="G1632" s="108" t="s">
        <v>31</v>
      </c>
      <c r="H1632" s="126"/>
      <c r="L1632" s="32"/>
      <c r="M1632" s="32"/>
      <c r="N1632" s="32"/>
      <c r="O1632" s="32"/>
      <c r="P1632" s="32"/>
      <c r="Q1632" s="32"/>
      <c r="R1632" s="17"/>
    </row>
    <row r="1633" spans="1:18" s="16" customFormat="1" ht="15.75">
      <c r="A1633" s="14"/>
      <c r="B1633" s="121" t="s">
        <v>306</v>
      </c>
      <c r="C1633" s="122" t="s">
        <v>410</v>
      </c>
      <c r="D1633" s="123" t="s">
        <v>86</v>
      </c>
      <c r="E1633" s="123" t="s">
        <v>13</v>
      </c>
      <c r="F1633" s="123" t="s">
        <v>8</v>
      </c>
      <c r="G1633" s="123" t="s">
        <v>9</v>
      </c>
      <c r="H1633" s="124">
        <f>H1634+H1667+H1673</f>
        <v>0</v>
      </c>
      <c r="L1633" s="19">
        <v>232730.36</v>
      </c>
      <c r="M1633" s="19">
        <v>214178.12</v>
      </c>
      <c r="N1633" s="19">
        <v>217088.16999999998</v>
      </c>
      <c r="O1633" s="19">
        <f t="shared" ref="O1633:O1638" si="186">H1633-L1633</f>
        <v>-232730.36</v>
      </c>
      <c r="P1633" s="19" t="e">
        <f>#REF!-M1633</f>
        <v>#REF!</v>
      </c>
      <c r="Q1633" s="19" t="e">
        <f>#REF!-N1633</f>
        <v>#REF!</v>
      </c>
      <c r="R1633" s="17" t="str">
        <f t="shared" si="181"/>
        <v>00 0 00 00000000</v>
      </c>
    </row>
    <row r="1634" spans="1:18" s="16" customFormat="1" ht="63">
      <c r="A1634" s="14"/>
      <c r="B1634" s="127" t="s">
        <v>293</v>
      </c>
      <c r="C1634" s="108" t="s">
        <v>410</v>
      </c>
      <c r="D1634" s="108" t="s">
        <v>86</v>
      </c>
      <c r="E1634" s="108" t="s">
        <v>13</v>
      </c>
      <c r="F1634" s="108" t="s">
        <v>294</v>
      </c>
      <c r="G1634" s="108" t="s">
        <v>9</v>
      </c>
      <c r="H1634" s="141">
        <f>H1635</f>
        <v>0</v>
      </c>
      <c r="L1634" s="32">
        <v>223074.72999999998</v>
      </c>
      <c r="M1634" s="32">
        <v>201612.44</v>
      </c>
      <c r="N1634" s="32">
        <v>201612.44</v>
      </c>
      <c r="O1634" s="32">
        <f t="shared" si="186"/>
        <v>-223074.72999999998</v>
      </c>
      <c r="P1634" s="32" t="e">
        <f>#REF!-M1634</f>
        <v>#REF!</v>
      </c>
      <c r="Q1634" s="32" t="e">
        <f>#REF!-N1634</f>
        <v>#REF!</v>
      </c>
      <c r="R1634" s="17" t="str">
        <f t="shared" si="181"/>
        <v>04 0 00 00000000</v>
      </c>
    </row>
    <row r="1635" spans="1:18" s="16" customFormat="1" ht="31.5">
      <c r="A1635" s="14"/>
      <c r="B1635" s="125" t="s">
        <v>307</v>
      </c>
      <c r="C1635" s="108" t="s">
        <v>410</v>
      </c>
      <c r="D1635" s="108" t="s">
        <v>86</v>
      </c>
      <c r="E1635" s="108" t="s">
        <v>13</v>
      </c>
      <c r="F1635" s="108" t="s">
        <v>308</v>
      </c>
      <c r="G1635" s="108" t="s">
        <v>9</v>
      </c>
      <c r="H1635" s="141">
        <f>H1636+H1640+H1644</f>
        <v>0</v>
      </c>
      <c r="L1635" s="32">
        <v>223074.72999999998</v>
      </c>
      <c r="M1635" s="32">
        <v>201612.44</v>
      </c>
      <c r="N1635" s="32">
        <v>201612.44</v>
      </c>
      <c r="O1635" s="32">
        <f t="shared" si="186"/>
        <v>-223074.72999999998</v>
      </c>
      <c r="P1635" s="32" t="e">
        <f>#REF!-M1635</f>
        <v>#REF!</v>
      </c>
      <c r="Q1635" s="32" t="e">
        <f>#REF!-N1635</f>
        <v>#REF!</v>
      </c>
      <c r="R1635" s="17" t="str">
        <f t="shared" si="181"/>
        <v>04 3 00 00000000</v>
      </c>
    </row>
    <row r="1636" spans="1:18" s="16" customFormat="1" ht="47.25">
      <c r="A1636" s="14"/>
      <c r="B1636" s="125" t="s">
        <v>866</v>
      </c>
      <c r="C1636" s="108" t="s">
        <v>410</v>
      </c>
      <c r="D1636" s="108" t="s">
        <v>86</v>
      </c>
      <c r="E1636" s="108" t="s">
        <v>13</v>
      </c>
      <c r="F1636" s="108" t="s">
        <v>867</v>
      </c>
      <c r="G1636" s="108" t="s">
        <v>9</v>
      </c>
      <c r="H1636" s="141">
        <f>H1637</f>
        <v>0</v>
      </c>
      <c r="L1636" s="32">
        <v>21821.77</v>
      </c>
      <c r="M1636" s="32">
        <v>16821.77</v>
      </c>
      <c r="N1636" s="32">
        <v>16821.77</v>
      </c>
      <c r="O1636" s="32">
        <f t="shared" si="186"/>
        <v>-21821.77</v>
      </c>
      <c r="P1636" s="32" t="e">
        <f>#REF!-M1636</f>
        <v>#REF!</v>
      </c>
      <c r="Q1636" s="32" t="e">
        <f>#REF!-N1636</f>
        <v>#REF!</v>
      </c>
      <c r="R1636" s="17" t="str">
        <f t="shared" si="181"/>
        <v>04 3 02 00000000</v>
      </c>
    </row>
    <row r="1637" spans="1:18" s="16" customFormat="1" ht="47.25">
      <c r="A1637" s="14"/>
      <c r="B1637" s="125" t="s">
        <v>868</v>
      </c>
      <c r="C1637" s="108" t="s">
        <v>410</v>
      </c>
      <c r="D1637" s="108" t="s">
        <v>86</v>
      </c>
      <c r="E1637" s="108" t="s">
        <v>13</v>
      </c>
      <c r="F1637" s="108" t="s">
        <v>869</v>
      </c>
      <c r="G1637" s="108" t="s">
        <v>9</v>
      </c>
      <c r="H1637" s="141">
        <f>H1638</f>
        <v>0</v>
      </c>
      <c r="L1637" s="32">
        <v>21821.77</v>
      </c>
      <c r="M1637" s="32">
        <v>16821.77</v>
      </c>
      <c r="N1637" s="32">
        <v>16821.77</v>
      </c>
      <c r="O1637" s="32">
        <f t="shared" si="186"/>
        <v>-21821.77</v>
      </c>
      <c r="P1637" s="32" t="e">
        <f>#REF!-M1637</f>
        <v>#REF!</v>
      </c>
      <c r="Q1637" s="32" t="e">
        <f>#REF!-N1637</f>
        <v>#REF!</v>
      </c>
      <c r="R1637" s="17" t="str">
        <f t="shared" si="181"/>
        <v>04 3 02 20290000</v>
      </c>
    </row>
    <row r="1638" spans="1:18" s="16" customFormat="1" ht="31.5">
      <c r="A1638" s="14"/>
      <c r="B1638" s="125" t="s">
        <v>28</v>
      </c>
      <c r="C1638" s="108" t="s">
        <v>410</v>
      </c>
      <c r="D1638" s="108" t="s">
        <v>86</v>
      </c>
      <c r="E1638" s="108" t="s">
        <v>13</v>
      </c>
      <c r="F1638" s="108" t="s">
        <v>869</v>
      </c>
      <c r="G1638" s="108" t="s">
        <v>29</v>
      </c>
      <c r="H1638" s="126">
        <f>H1639</f>
        <v>0</v>
      </c>
      <c r="L1638" s="32">
        <v>21821.77</v>
      </c>
      <c r="M1638" s="32">
        <v>16821.77</v>
      </c>
      <c r="N1638" s="32">
        <v>16821.77</v>
      </c>
      <c r="O1638" s="32">
        <f t="shared" si="186"/>
        <v>-21821.77</v>
      </c>
      <c r="P1638" s="32" t="e">
        <f>#REF!-M1638</f>
        <v>#REF!</v>
      </c>
      <c r="Q1638" s="32" t="e">
        <f>#REF!-N1638</f>
        <v>#REF!</v>
      </c>
      <c r="R1638" s="17" t="str">
        <f t="shared" si="181"/>
        <v>04 3 02 20290240</v>
      </c>
    </row>
    <row r="1639" spans="1:18" s="16" customFormat="1" ht="15.75">
      <c r="A1639" s="14"/>
      <c r="B1639" s="125" t="s">
        <v>30</v>
      </c>
      <c r="C1639" s="108" t="s">
        <v>410</v>
      </c>
      <c r="D1639" s="108" t="s">
        <v>86</v>
      </c>
      <c r="E1639" s="108" t="s">
        <v>13</v>
      </c>
      <c r="F1639" s="108" t="s">
        <v>869</v>
      </c>
      <c r="G1639" s="108" t="s">
        <v>31</v>
      </c>
      <c r="H1639" s="126"/>
      <c r="L1639" s="32"/>
      <c r="M1639" s="32"/>
      <c r="N1639" s="32"/>
      <c r="O1639" s="32"/>
      <c r="P1639" s="32"/>
      <c r="Q1639" s="32"/>
      <c r="R1639" s="17"/>
    </row>
    <row r="1640" spans="1:18" s="16" customFormat="1" ht="47.25">
      <c r="A1640" s="14"/>
      <c r="B1640" s="125" t="s">
        <v>870</v>
      </c>
      <c r="C1640" s="108" t="s">
        <v>410</v>
      </c>
      <c r="D1640" s="108" t="s">
        <v>86</v>
      </c>
      <c r="E1640" s="108" t="s">
        <v>13</v>
      </c>
      <c r="F1640" s="108" t="s">
        <v>871</v>
      </c>
      <c r="G1640" s="108" t="s">
        <v>9</v>
      </c>
      <c r="H1640" s="141">
        <f t="shared" ref="H1640:H1641" si="187">H1641</f>
        <v>0</v>
      </c>
      <c r="L1640" s="32">
        <v>2284.56</v>
      </c>
      <c r="M1640" s="32">
        <v>2284.56</v>
      </c>
      <c r="N1640" s="32">
        <v>2284.56</v>
      </c>
      <c r="O1640" s="32">
        <f>H1640-L1640</f>
        <v>-2284.56</v>
      </c>
      <c r="P1640" s="32" t="e">
        <f>#REF!-M1640</f>
        <v>#REF!</v>
      </c>
      <c r="Q1640" s="32" t="e">
        <f>#REF!-N1640</f>
        <v>#REF!</v>
      </c>
      <c r="R1640" s="17" t="str">
        <f t="shared" si="181"/>
        <v>04 3 03 00000000</v>
      </c>
    </row>
    <row r="1641" spans="1:18" s="16" customFormat="1" ht="47.25">
      <c r="A1641" s="14" t="s">
        <v>80</v>
      </c>
      <c r="B1641" s="125" t="s">
        <v>872</v>
      </c>
      <c r="C1641" s="108" t="s">
        <v>410</v>
      </c>
      <c r="D1641" s="108" t="s">
        <v>86</v>
      </c>
      <c r="E1641" s="108" t="s">
        <v>13</v>
      </c>
      <c r="F1641" s="108" t="s">
        <v>873</v>
      </c>
      <c r="G1641" s="108" t="s">
        <v>9</v>
      </c>
      <c r="H1641" s="141">
        <f t="shared" si="187"/>
        <v>0</v>
      </c>
      <c r="L1641" s="32">
        <v>2284.56</v>
      </c>
      <c r="M1641" s="32">
        <v>2284.56</v>
      </c>
      <c r="N1641" s="32">
        <v>2284.56</v>
      </c>
      <c r="O1641" s="32">
        <f>H1641-L1641</f>
        <v>-2284.56</v>
      </c>
      <c r="P1641" s="32" t="e">
        <f>#REF!-M1641</f>
        <v>#REF!</v>
      </c>
      <c r="Q1641" s="32" t="e">
        <f>#REF!-N1641</f>
        <v>#REF!</v>
      </c>
      <c r="R1641" s="17" t="str">
        <f t="shared" si="181"/>
        <v>04 3 03 77150000</v>
      </c>
    </row>
    <row r="1642" spans="1:18" s="16" customFormat="1" ht="31.5">
      <c r="A1642" s="14"/>
      <c r="B1642" s="125" t="s">
        <v>28</v>
      </c>
      <c r="C1642" s="108" t="s">
        <v>410</v>
      </c>
      <c r="D1642" s="108" t="s">
        <v>86</v>
      </c>
      <c r="E1642" s="108" t="s">
        <v>13</v>
      </c>
      <c r="F1642" s="108" t="s">
        <v>873</v>
      </c>
      <c r="G1642" s="108" t="s">
        <v>29</v>
      </c>
      <c r="H1642" s="126">
        <f>H1643</f>
        <v>0</v>
      </c>
      <c r="L1642" s="32">
        <v>2284.56</v>
      </c>
      <c r="M1642" s="32">
        <v>2284.56</v>
      </c>
      <c r="N1642" s="32">
        <v>2284.56</v>
      </c>
      <c r="O1642" s="32">
        <f>H1642-L1642</f>
        <v>-2284.56</v>
      </c>
      <c r="P1642" s="32" t="e">
        <f>#REF!-M1642</f>
        <v>#REF!</v>
      </c>
      <c r="Q1642" s="32" t="e">
        <f>#REF!-N1642</f>
        <v>#REF!</v>
      </c>
      <c r="R1642" s="17" t="str">
        <f t="shared" si="181"/>
        <v>04 3 03 77150240</v>
      </c>
    </row>
    <row r="1643" spans="1:18" s="16" customFormat="1" ht="15.75">
      <c r="A1643" s="14"/>
      <c r="B1643" s="125" t="s">
        <v>30</v>
      </c>
      <c r="C1643" s="108" t="s">
        <v>410</v>
      </c>
      <c r="D1643" s="108" t="s">
        <v>86</v>
      </c>
      <c r="E1643" s="108" t="s">
        <v>13</v>
      </c>
      <c r="F1643" s="108" t="s">
        <v>873</v>
      </c>
      <c r="G1643" s="108" t="s">
        <v>31</v>
      </c>
      <c r="H1643" s="126"/>
      <c r="L1643" s="32"/>
      <c r="M1643" s="32"/>
      <c r="N1643" s="32"/>
      <c r="O1643" s="32"/>
      <c r="P1643" s="32"/>
      <c r="Q1643" s="32"/>
      <c r="R1643" s="17"/>
    </row>
    <row r="1644" spans="1:18" s="16" customFormat="1" ht="31.5">
      <c r="A1644" s="14"/>
      <c r="B1644" s="138" t="s">
        <v>309</v>
      </c>
      <c r="C1644" s="108" t="s">
        <v>410</v>
      </c>
      <c r="D1644" s="108" t="s">
        <v>86</v>
      </c>
      <c r="E1644" s="108" t="s">
        <v>13</v>
      </c>
      <c r="F1644" s="108" t="s">
        <v>310</v>
      </c>
      <c r="G1644" s="108" t="s">
        <v>9</v>
      </c>
      <c r="H1644" s="141">
        <f>H1645+H1648+H1651+H1658+H1661+H1664</f>
        <v>0</v>
      </c>
      <c r="L1644" s="32">
        <v>198968.4</v>
      </c>
      <c r="M1644" s="32">
        <v>182506.11</v>
      </c>
      <c r="N1644" s="32">
        <v>182506.11</v>
      </c>
      <c r="O1644" s="32">
        <f>H1644-L1644</f>
        <v>-198968.4</v>
      </c>
      <c r="P1644" s="32" t="e">
        <f>#REF!-M1644</f>
        <v>#REF!</v>
      </c>
      <c r="Q1644" s="32" t="e">
        <f>#REF!-N1644</f>
        <v>#REF!</v>
      </c>
      <c r="R1644" s="17" t="str">
        <f t="shared" si="181"/>
        <v>04 3 04 00000000</v>
      </c>
    </row>
    <row r="1645" spans="1:18" s="16" customFormat="1" ht="31.5">
      <c r="A1645" s="14"/>
      <c r="B1645" s="125" t="s">
        <v>136</v>
      </c>
      <c r="C1645" s="108" t="s">
        <v>410</v>
      </c>
      <c r="D1645" s="108" t="s">
        <v>86</v>
      </c>
      <c r="E1645" s="108" t="s">
        <v>13</v>
      </c>
      <c r="F1645" s="108" t="s">
        <v>874</v>
      </c>
      <c r="G1645" s="108" t="s">
        <v>9</v>
      </c>
      <c r="H1645" s="141">
        <f>H1646</f>
        <v>0</v>
      </c>
      <c r="L1645" s="32">
        <v>17734.23</v>
      </c>
      <c r="M1645" s="32">
        <v>17734.23</v>
      </c>
      <c r="N1645" s="32">
        <v>17734.23</v>
      </c>
      <c r="O1645" s="32">
        <f>H1645-L1645</f>
        <v>-17734.23</v>
      </c>
      <c r="P1645" s="32" t="e">
        <f>#REF!-M1645</f>
        <v>#REF!</v>
      </c>
      <c r="Q1645" s="32" t="e">
        <f>#REF!-N1645</f>
        <v>#REF!</v>
      </c>
      <c r="R1645" s="17" t="str">
        <f t="shared" si="181"/>
        <v>04 3 04 11010000</v>
      </c>
    </row>
    <row r="1646" spans="1:18" s="16" customFormat="1" ht="15.75">
      <c r="A1646" s="14"/>
      <c r="B1646" s="132" t="s">
        <v>403</v>
      </c>
      <c r="C1646" s="108" t="s">
        <v>410</v>
      </c>
      <c r="D1646" s="108" t="s">
        <v>86</v>
      </c>
      <c r="E1646" s="108" t="s">
        <v>13</v>
      </c>
      <c r="F1646" s="108" t="s">
        <v>874</v>
      </c>
      <c r="G1646" s="108" t="s">
        <v>404</v>
      </c>
      <c r="H1646" s="126">
        <f>H1647</f>
        <v>0</v>
      </c>
      <c r="L1646" s="32">
        <v>17734.23</v>
      </c>
      <c r="M1646" s="32">
        <v>17734.23</v>
      </c>
      <c r="N1646" s="32">
        <v>17734.23</v>
      </c>
      <c r="O1646" s="32">
        <f>H1646-L1646</f>
        <v>-17734.23</v>
      </c>
      <c r="P1646" s="32" t="e">
        <f>#REF!-M1646</f>
        <v>#REF!</v>
      </c>
      <c r="Q1646" s="32" t="e">
        <f>#REF!-N1646</f>
        <v>#REF!</v>
      </c>
      <c r="R1646" s="17" t="str">
        <f t="shared" si="181"/>
        <v>04 3 04 11010610</v>
      </c>
    </row>
    <row r="1647" spans="1:18" s="23" customFormat="1" ht="63">
      <c r="A1647" s="21"/>
      <c r="B1647" s="127" t="s">
        <v>405</v>
      </c>
      <c r="C1647" s="108" t="s">
        <v>410</v>
      </c>
      <c r="D1647" s="108" t="s">
        <v>86</v>
      </c>
      <c r="E1647" s="108" t="s">
        <v>13</v>
      </c>
      <c r="F1647" s="108" t="s">
        <v>874</v>
      </c>
      <c r="G1647" s="108" t="s">
        <v>406</v>
      </c>
      <c r="H1647" s="126"/>
      <c r="L1647" s="63"/>
      <c r="M1647" s="63"/>
      <c r="N1647" s="63"/>
      <c r="O1647" s="63"/>
      <c r="P1647" s="63"/>
      <c r="Q1647" s="63"/>
      <c r="R1647" s="24"/>
    </row>
    <row r="1648" spans="1:18" s="16" customFormat="1" ht="31.5">
      <c r="A1648" s="14"/>
      <c r="B1648" s="125" t="s">
        <v>875</v>
      </c>
      <c r="C1648" s="108" t="s">
        <v>410</v>
      </c>
      <c r="D1648" s="108" t="s">
        <v>86</v>
      </c>
      <c r="E1648" s="108" t="s">
        <v>13</v>
      </c>
      <c r="F1648" s="108" t="s">
        <v>876</v>
      </c>
      <c r="G1648" s="108" t="s">
        <v>9</v>
      </c>
      <c r="H1648" s="141">
        <f>H1649</f>
        <v>0</v>
      </c>
      <c r="L1648" s="32">
        <v>108492.62</v>
      </c>
      <c r="M1648" s="32">
        <v>105992.62</v>
      </c>
      <c r="N1648" s="32">
        <v>105992.62</v>
      </c>
      <c r="O1648" s="32">
        <f>H1648-L1648</f>
        <v>-108492.62</v>
      </c>
      <c r="P1648" s="32" t="e">
        <f>#REF!-M1648</f>
        <v>#REF!</v>
      </c>
      <c r="Q1648" s="32" t="e">
        <f>#REF!-N1648</f>
        <v>#REF!</v>
      </c>
      <c r="R1648" s="17" t="str">
        <f t="shared" si="181"/>
        <v>04 3 04 20280000</v>
      </c>
    </row>
    <row r="1649" spans="1:18" s="16" customFormat="1" ht="31.5">
      <c r="A1649" s="14"/>
      <c r="B1649" s="125" t="s">
        <v>28</v>
      </c>
      <c r="C1649" s="108" t="s">
        <v>410</v>
      </c>
      <c r="D1649" s="108" t="s">
        <v>86</v>
      </c>
      <c r="E1649" s="108" t="s">
        <v>13</v>
      </c>
      <c r="F1649" s="108" t="s">
        <v>876</v>
      </c>
      <c r="G1649" s="108" t="s">
        <v>29</v>
      </c>
      <c r="H1649" s="126">
        <f>H1650</f>
        <v>0</v>
      </c>
      <c r="L1649" s="32">
        <v>108492.62</v>
      </c>
      <c r="M1649" s="32">
        <v>105992.62</v>
      </c>
      <c r="N1649" s="32">
        <v>105992.62</v>
      </c>
      <c r="O1649" s="32">
        <f>H1649-L1649</f>
        <v>-108492.62</v>
      </c>
      <c r="P1649" s="32" t="e">
        <f>#REF!-M1649</f>
        <v>#REF!</v>
      </c>
      <c r="Q1649" s="32" t="e">
        <f>#REF!-N1649</f>
        <v>#REF!</v>
      </c>
      <c r="R1649" s="17" t="str">
        <f t="shared" si="181"/>
        <v>04 3 04 20280240</v>
      </c>
    </row>
    <row r="1650" spans="1:18" s="16" customFormat="1" ht="15.75">
      <c r="A1650" s="14"/>
      <c r="B1650" s="125" t="s">
        <v>30</v>
      </c>
      <c r="C1650" s="108" t="s">
        <v>410</v>
      </c>
      <c r="D1650" s="108" t="s">
        <v>86</v>
      </c>
      <c r="E1650" s="108" t="s">
        <v>13</v>
      </c>
      <c r="F1650" s="108" t="s">
        <v>876</v>
      </c>
      <c r="G1650" s="108" t="s">
        <v>31</v>
      </c>
      <c r="H1650" s="126"/>
      <c r="L1650" s="32"/>
      <c r="M1650" s="32"/>
      <c r="N1650" s="32"/>
      <c r="O1650" s="32"/>
      <c r="P1650" s="32"/>
      <c r="Q1650" s="32"/>
      <c r="R1650" s="17"/>
    </row>
    <row r="1651" spans="1:18" s="16" customFormat="1" ht="31.5">
      <c r="A1651" s="14"/>
      <c r="B1651" s="125" t="s">
        <v>542</v>
      </c>
      <c r="C1651" s="108" t="s">
        <v>410</v>
      </c>
      <c r="D1651" s="108" t="s">
        <v>86</v>
      </c>
      <c r="E1651" s="108" t="s">
        <v>13</v>
      </c>
      <c r="F1651" s="108" t="s">
        <v>543</v>
      </c>
      <c r="G1651" s="108" t="s">
        <v>9</v>
      </c>
      <c r="H1651" s="141">
        <f>H1652+H1656+H1654</f>
        <v>0</v>
      </c>
      <c r="L1651" s="32">
        <v>10131.51</v>
      </c>
      <c r="M1651" s="32">
        <v>8531.51</v>
      </c>
      <c r="N1651" s="32">
        <v>8531.51</v>
      </c>
      <c r="O1651" s="32">
        <f>H1651-L1651</f>
        <v>-10131.51</v>
      </c>
      <c r="P1651" s="32" t="e">
        <f>#REF!-M1651</f>
        <v>#REF!</v>
      </c>
      <c r="Q1651" s="32" t="e">
        <f>#REF!-N1651</f>
        <v>#REF!</v>
      </c>
      <c r="R1651" s="17" t="str">
        <f t="shared" si="181"/>
        <v>04 3 04 20300000</v>
      </c>
    </row>
    <row r="1652" spans="1:18" s="16" customFormat="1" ht="31.5">
      <c r="A1652" s="14"/>
      <c r="B1652" s="125" t="s">
        <v>28</v>
      </c>
      <c r="C1652" s="108" t="s">
        <v>410</v>
      </c>
      <c r="D1652" s="108" t="s">
        <v>86</v>
      </c>
      <c r="E1652" s="108" t="s">
        <v>13</v>
      </c>
      <c r="F1652" s="108" t="s">
        <v>543</v>
      </c>
      <c r="G1652" s="108" t="s">
        <v>29</v>
      </c>
      <c r="H1652" s="126">
        <f>H1653</f>
        <v>0</v>
      </c>
      <c r="L1652" s="32">
        <v>9881.51</v>
      </c>
      <c r="M1652" s="32">
        <v>8381.51</v>
      </c>
      <c r="N1652" s="32">
        <v>8381.51</v>
      </c>
      <c r="O1652" s="32">
        <f>H1652-L1652</f>
        <v>-9881.51</v>
      </c>
      <c r="P1652" s="32" t="e">
        <f>#REF!-M1652</f>
        <v>#REF!</v>
      </c>
      <c r="Q1652" s="32" t="e">
        <f>#REF!-N1652</f>
        <v>#REF!</v>
      </c>
      <c r="R1652" s="17" t="str">
        <f t="shared" si="181"/>
        <v>04 3 04 20300240</v>
      </c>
    </row>
    <row r="1653" spans="1:18" s="16" customFormat="1" ht="15.75">
      <c r="A1653" s="14"/>
      <c r="B1653" s="125" t="s">
        <v>30</v>
      </c>
      <c r="C1653" s="108" t="s">
        <v>410</v>
      </c>
      <c r="D1653" s="108" t="s">
        <v>86</v>
      </c>
      <c r="E1653" s="108" t="s">
        <v>13</v>
      </c>
      <c r="F1653" s="108" t="s">
        <v>543</v>
      </c>
      <c r="G1653" s="108" t="s">
        <v>31</v>
      </c>
      <c r="H1653" s="126"/>
      <c r="L1653" s="32"/>
      <c r="M1653" s="32"/>
      <c r="N1653" s="32"/>
      <c r="O1653" s="32"/>
      <c r="P1653" s="32"/>
      <c r="Q1653" s="32"/>
      <c r="R1653" s="17"/>
    </row>
    <row r="1654" spans="1:18" s="16" customFormat="1" ht="15.75">
      <c r="A1654" s="14"/>
      <c r="B1654" s="125" t="s">
        <v>837</v>
      </c>
      <c r="C1654" s="108" t="s">
        <v>410</v>
      </c>
      <c r="D1654" s="108" t="s">
        <v>86</v>
      </c>
      <c r="E1654" s="108" t="s">
        <v>13</v>
      </c>
      <c r="F1654" s="108" t="s">
        <v>543</v>
      </c>
      <c r="G1654" s="109" t="s">
        <v>838</v>
      </c>
      <c r="H1654" s="126">
        <f>H1655</f>
        <v>0</v>
      </c>
      <c r="L1654" s="32">
        <v>100</v>
      </c>
      <c r="M1654" s="32">
        <v>0</v>
      </c>
      <c r="N1654" s="32">
        <v>0</v>
      </c>
      <c r="O1654" s="32">
        <f>H1654-L1654</f>
        <v>-100</v>
      </c>
      <c r="P1654" s="32" t="e">
        <f>#REF!-M1654</f>
        <v>#REF!</v>
      </c>
      <c r="Q1654" s="32" t="e">
        <f>#REF!-N1654</f>
        <v>#REF!</v>
      </c>
      <c r="R1654" s="17" t="str">
        <f t="shared" si="181"/>
        <v>04 3 04 20300410</v>
      </c>
    </row>
    <row r="1655" spans="1:18" s="16" customFormat="1" ht="47.25">
      <c r="A1655" s="14"/>
      <c r="B1655" s="125" t="s">
        <v>839</v>
      </c>
      <c r="C1655" s="108" t="s">
        <v>410</v>
      </c>
      <c r="D1655" s="108" t="s">
        <v>86</v>
      </c>
      <c r="E1655" s="108" t="s">
        <v>13</v>
      </c>
      <c r="F1655" s="108" t="s">
        <v>543</v>
      </c>
      <c r="G1655" s="109" t="s">
        <v>840</v>
      </c>
      <c r="H1655" s="126"/>
      <c r="L1655" s="32"/>
      <c r="M1655" s="32"/>
      <c r="N1655" s="32"/>
      <c r="O1655" s="32"/>
      <c r="P1655" s="32"/>
      <c r="Q1655" s="32"/>
      <c r="R1655" s="17"/>
    </row>
    <row r="1656" spans="1:18" s="16" customFormat="1" ht="63">
      <c r="A1656" s="14"/>
      <c r="B1656" s="125" t="s">
        <v>203</v>
      </c>
      <c r="C1656" s="108" t="s">
        <v>410</v>
      </c>
      <c r="D1656" s="108" t="s">
        <v>86</v>
      </c>
      <c r="E1656" s="108" t="s">
        <v>13</v>
      </c>
      <c r="F1656" s="108" t="s">
        <v>543</v>
      </c>
      <c r="G1656" s="108" t="s">
        <v>204</v>
      </c>
      <c r="H1656" s="126">
        <f>H1657</f>
        <v>0</v>
      </c>
      <c r="L1656" s="32">
        <v>150</v>
      </c>
      <c r="M1656" s="32">
        <v>150</v>
      </c>
      <c r="N1656" s="32">
        <v>150</v>
      </c>
      <c r="O1656" s="32">
        <f>H1656-L1656</f>
        <v>-150</v>
      </c>
      <c r="P1656" s="32" t="e">
        <f>#REF!-M1656</f>
        <v>#REF!</v>
      </c>
      <c r="Q1656" s="32" t="e">
        <f>#REF!-N1656</f>
        <v>#REF!</v>
      </c>
      <c r="R1656" s="17" t="str">
        <f t="shared" si="181"/>
        <v>04 3 04 20300810</v>
      </c>
    </row>
    <row r="1657" spans="1:18" s="16" customFormat="1" ht="110.25">
      <c r="A1657" s="14"/>
      <c r="B1657" s="125" t="s">
        <v>226</v>
      </c>
      <c r="C1657" s="108" t="s">
        <v>410</v>
      </c>
      <c r="D1657" s="108" t="s">
        <v>86</v>
      </c>
      <c r="E1657" s="108" t="s">
        <v>13</v>
      </c>
      <c r="F1657" s="108" t="s">
        <v>543</v>
      </c>
      <c r="G1657" s="108" t="s">
        <v>227</v>
      </c>
      <c r="H1657" s="126"/>
      <c r="L1657" s="32"/>
      <c r="M1657" s="32"/>
      <c r="N1657" s="32"/>
      <c r="O1657" s="32"/>
      <c r="P1657" s="32"/>
      <c r="Q1657" s="32"/>
      <c r="R1657" s="17"/>
    </row>
    <row r="1658" spans="1:18" s="16" customFormat="1" ht="31.5">
      <c r="A1658" s="14"/>
      <c r="B1658" s="135" t="s">
        <v>877</v>
      </c>
      <c r="C1658" s="108" t="s">
        <v>410</v>
      </c>
      <c r="D1658" s="108" t="s">
        <v>86</v>
      </c>
      <c r="E1658" s="108" t="s">
        <v>13</v>
      </c>
      <c r="F1658" s="108" t="s">
        <v>878</v>
      </c>
      <c r="G1658" s="108" t="s">
        <v>9</v>
      </c>
      <c r="H1658" s="141">
        <f>H1659</f>
        <v>0</v>
      </c>
      <c r="L1658" s="32">
        <v>35409.69</v>
      </c>
      <c r="M1658" s="32">
        <v>35409.69</v>
      </c>
      <c r="N1658" s="32">
        <v>35409.69</v>
      </c>
      <c r="O1658" s="32">
        <f>H1658-L1658</f>
        <v>-35409.69</v>
      </c>
      <c r="P1658" s="32" t="e">
        <f>#REF!-M1658</f>
        <v>#REF!</v>
      </c>
      <c r="Q1658" s="32" t="e">
        <f>#REF!-N1658</f>
        <v>#REF!</v>
      </c>
      <c r="R1658" s="17" t="str">
        <f t="shared" si="181"/>
        <v>04 3 04 20780000</v>
      </c>
    </row>
    <row r="1659" spans="1:18" s="16" customFormat="1" ht="31.5">
      <c r="A1659" s="14"/>
      <c r="B1659" s="125" t="s">
        <v>28</v>
      </c>
      <c r="C1659" s="108" t="s">
        <v>410</v>
      </c>
      <c r="D1659" s="108" t="s">
        <v>86</v>
      </c>
      <c r="E1659" s="108" t="s">
        <v>13</v>
      </c>
      <c r="F1659" s="108" t="s">
        <v>878</v>
      </c>
      <c r="G1659" s="108" t="s">
        <v>29</v>
      </c>
      <c r="H1659" s="126">
        <f>H1660</f>
        <v>0</v>
      </c>
      <c r="L1659" s="32">
        <v>35409.69</v>
      </c>
      <c r="M1659" s="32">
        <v>35409.69</v>
      </c>
      <c r="N1659" s="32">
        <v>35409.69</v>
      </c>
      <c r="O1659" s="32">
        <f>H1659-L1659</f>
        <v>-35409.69</v>
      </c>
      <c r="P1659" s="32" t="e">
        <f>#REF!-M1659</f>
        <v>#REF!</v>
      </c>
      <c r="Q1659" s="32" t="e">
        <f>#REF!-N1659</f>
        <v>#REF!</v>
      </c>
      <c r="R1659" s="17" t="str">
        <f t="shared" si="181"/>
        <v>04 3 04 20780240</v>
      </c>
    </row>
    <row r="1660" spans="1:18" s="16" customFormat="1" ht="15.75">
      <c r="A1660" s="14"/>
      <c r="B1660" s="125" t="s">
        <v>30</v>
      </c>
      <c r="C1660" s="108" t="s">
        <v>410</v>
      </c>
      <c r="D1660" s="108" t="s">
        <v>86</v>
      </c>
      <c r="E1660" s="108" t="s">
        <v>13</v>
      </c>
      <c r="F1660" s="108" t="s">
        <v>878</v>
      </c>
      <c r="G1660" s="108" t="s">
        <v>31</v>
      </c>
      <c r="H1660" s="126"/>
      <c r="L1660" s="32"/>
      <c r="M1660" s="32"/>
      <c r="N1660" s="32"/>
      <c r="O1660" s="32"/>
      <c r="P1660" s="32"/>
      <c r="Q1660" s="32"/>
      <c r="R1660" s="17"/>
    </row>
    <row r="1661" spans="1:18" s="16" customFormat="1" ht="94.5">
      <c r="A1661" s="14" t="s">
        <v>80</v>
      </c>
      <c r="B1661" s="125" t="s">
        <v>879</v>
      </c>
      <c r="C1661" s="108" t="s">
        <v>410</v>
      </c>
      <c r="D1661" s="108" t="s">
        <v>86</v>
      </c>
      <c r="E1661" s="108" t="s">
        <v>13</v>
      </c>
      <c r="F1661" s="108" t="s">
        <v>880</v>
      </c>
      <c r="G1661" s="108" t="s">
        <v>9</v>
      </c>
      <c r="H1661" s="141">
        <f>H1662</f>
        <v>0</v>
      </c>
      <c r="L1661" s="32">
        <v>19744.080000000002</v>
      </c>
      <c r="M1661" s="32">
        <v>14838.06</v>
      </c>
      <c r="N1661" s="32">
        <v>14838.06</v>
      </c>
      <c r="O1661" s="32">
        <f>H1661-L1661</f>
        <v>-19744.080000000002</v>
      </c>
      <c r="P1661" s="32" t="e">
        <f>#REF!-M1661</f>
        <v>#REF!</v>
      </c>
      <c r="Q1661" s="32" t="e">
        <f>#REF!-N1661</f>
        <v>#REF!</v>
      </c>
      <c r="R1661" s="17" t="str">
        <f t="shared" si="181"/>
        <v>04 3 04 20790000</v>
      </c>
    </row>
    <row r="1662" spans="1:18" s="16" customFormat="1" ht="31.5">
      <c r="A1662" s="14"/>
      <c r="B1662" s="125" t="s">
        <v>28</v>
      </c>
      <c r="C1662" s="108" t="s">
        <v>410</v>
      </c>
      <c r="D1662" s="108" t="s">
        <v>86</v>
      </c>
      <c r="E1662" s="108" t="s">
        <v>13</v>
      </c>
      <c r="F1662" s="108" t="s">
        <v>880</v>
      </c>
      <c r="G1662" s="108" t="s">
        <v>29</v>
      </c>
      <c r="H1662" s="126">
        <f>H1663</f>
        <v>0</v>
      </c>
      <c r="L1662" s="32">
        <v>19744.080000000002</v>
      </c>
      <c r="M1662" s="32">
        <v>14838.06</v>
      </c>
      <c r="N1662" s="32">
        <v>14838.06</v>
      </c>
      <c r="O1662" s="32">
        <f>H1662-L1662</f>
        <v>-19744.080000000002</v>
      </c>
      <c r="P1662" s="32" t="e">
        <f>#REF!-M1662</f>
        <v>#REF!</v>
      </c>
      <c r="Q1662" s="32" t="e">
        <f>#REF!-N1662</f>
        <v>#REF!</v>
      </c>
      <c r="R1662" s="17" t="str">
        <f t="shared" si="181"/>
        <v>04 3 04 20790240</v>
      </c>
    </row>
    <row r="1663" spans="1:18" s="16" customFormat="1" ht="15.75">
      <c r="A1663" s="14"/>
      <c r="B1663" s="125" t="s">
        <v>30</v>
      </c>
      <c r="C1663" s="108" t="s">
        <v>410</v>
      </c>
      <c r="D1663" s="108" t="s">
        <v>86</v>
      </c>
      <c r="E1663" s="108" t="s">
        <v>13</v>
      </c>
      <c r="F1663" s="108" t="s">
        <v>880</v>
      </c>
      <c r="G1663" s="108" t="s">
        <v>31</v>
      </c>
      <c r="H1663" s="126"/>
      <c r="L1663" s="32"/>
      <c r="M1663" s="32"/>
      <c r="N1663" s="32"/>
      <c r="O1663" s="32"/>
      <c r="P1663" s="32"/>
      <c r="Q1663" s="32"/>
      <c r="R1663" s="17"/>
    </row>
    <row r="1664" spans="1:18" s="16" customFormat="1" ht="141.75">
      <c r="A1664" s="14"/>
      <c r="B1664" s="125" t="s">
        <v>881</v>
      </c>
      <c r="C1664" s="130" t="s">
        <v>410</v>
      </c>
      <c r="D1664" s="131" t="s">
        <v>86</v>
      </c>
      <c r="E1664" s="131" t="s">
        <v>13</v>
      </c>
      <c r="F1664" s="131" t="s">
        <v>882</v>
      </c>
      <c r="G1664" s="131" t="s">
        <v>9</v>
      </c>
      <c r="H1664" s="105">
        <f t="shared" ref="H1664" si="188">H1665</f>
        <v>0</v>
      </c>
      <c r="L1664" s="26">
        <v>7456.27</v>
      </c>
      <c r="M1664" s="26">
        <v>0</v>
      </c>
      <c r="N1664" s="26">
        <v>0</v>
      </c>
      <c r="O1664" s="26">
        <f>H1664-L1664</f>
        <v>-7456.27</v>
      </c>
      <c r="P1664" s="26" t="e">
        <f>#REF!-M1664</f>
        <v>#REF!</v>
      </c>
      <c r="Q1664" s="26" t="e">
        <f>#REF!-N1664</f>
        <v>#REF!</v>
      </c>
      <c r="R1664" s="17" t="str">
        <f t="shared" si="181"/>
        <v>04 3 04 21480000</v>
      </c>
    </row>
    <row r="1665" spans="1:18" s="16" customFormat="1" ht="31.5">
      <c r="A1665" s="14"/>
      <c r="B1665" s="125" t="s">
        <v>28</v>
      </c>
      <c r="C1665" s="130" t="s">
        <v>410</v>
      </c>
      <c r="D1665" s="131" t="s">
        <v>86</v>
      </c>
      <c r="E1665" s="131" t="s">
        <v>13</v>
      </c>
      <c r="F1665" s="131" t="s">
        <v>882</v>
      </c>
      <c r="G1665" s="131" t="s">
        <v>29</v>
      </c>
      <c r="H1665" s="126">
        <f>H1666</f>
        <v>0</v>
      </c>
      <c r="L1665" s="26">
        <v>7456.27</v>
      </c>
      <c r="M1665" s="26">
        <v>0</v>
      </c>
      <c r="N1665" s="26">
        <v>0</v>
      </c>
      <c r="O1665" s="26">
        <f>H1665-L1665</f>
        <v>-7456.27</v>
      </c>
      <c r="P1665" s="26" t="e">
        <f>#REF!-M1665</f>
        <v>#REF!</v>
      </c>
      <c r="Q1665" s="26" t="e">
        <f>#REF!-N1665</f>
        <v>#REF!</v>
      </c>
      <c r="R1665" s="17" t="str">
        <f t="shared" si="181"/>
        <v>04 3 04 21480240</v>
      </c>
    </row>
    <row r="1666" spans="1:18" s="16" customFormat="1" ht="15.75">
      <c r="A1666" s="14"/>
      <c r="B1666" s="125" t="s">
        <v>30</v>
      </c>
      <c r="C1666" s="130" t="s">
        <v>410</v>
      </c>
      <c r="D1666" s="131" t="s">
        <v>86</v>
      </c>
      <c r="E1666" s="131" t="s">
        <v>13</v>
      </c>
      <c r="F1666" s="131" t="s">
        <v>882</v>
      </c>
      <c r="G1666" s="131" t="s">
        <v>31</v>
      </c>
      <c r="H1666" s="126"/>
      <c r="L1666" s="26"/>
      <c r="M1666" s="26"/>
      <c r="N1666" s="26"/>
      <c r="O1666" s="26"/>
      <c r="P1666" s="26"/>
      <c r="Q1666" s="26"/>
      <c r="R1666" s="17"/>
    </row>
    <row r="1667" spans="1:18" s="16" customFormat="1" ht="47.25">
      <c r="A1667" s="14"/>
      <c r="B1667" s="125" t="s">
        <v>430</v>
      </c>
      <c r="C1667" s="131" t="s">
        <v>410</v>
      </c>
      <c r="D1667" s="131" t="s">
        <v>86</v>
      </c>
      <c r="E1667" s="131" t="s">
        <v>13</v>
      </c>
      <c r="F1667" s="131" t="s">
        <v>431</v>
      </c>
      <c r="G1667" s="131" t="s">
        <v>9</v>
      </c>
      <c r="H1667" s="158">
        <f t="shared" ref="H1667:H1670" si="189">H1668</f>
        <v>0</v>
      </c>
      <c r="L1667" s="53">
        <v>3385.52</v>
      </c>
      <c r="M1667" s="53">
        <v>3385.52</v>
      </c>
      <c r="N1667" s="53">
        <v>3385.52</v>
      </c>
      <c r="O1667" s="53">
        <f>H1667-L1667</f>
        <v>-3385.52</v>
      </c>
      <c r="P1667" s="53" t="e">
        <f>#REF!-M1667</f>
        <v>#REF!</v>
      </c>
      <c r="Q1667" s="53" t="e">
        <f>#REF!-N1667</f>
        <v>#REF!</v>
      </c>
      <c r="R1667" s="17" t="str">
        <f t="shared" si="181"/>
        <v>17 0 00 00000000</v>
      </c>
    </row>
    <row r="1668" spans="1:18" s="16" customFormat="1" ht="47.25">
      <c r="A1668" s="14"/>
      <c r="B1668" s="129" t="s">
        <v>432</v>
      </c>
      <c r="C1668" s="131" t="s">
        <v>410</v>
      </c>
      <c r="D1668" s="131" t="s">
        <v>86</v>
      </c>
      <c r="E1668" s="131" t="s">
        <v>13</v>
      </c>
      <c r="F1668" s="131" t="s">
        <v>433</v>
      </c>
      <c r="G1668" s="131" t="s">
        <v>9</v>
      </c>
      <c r="H1668" s="158">
        <f t="shared" si="189"/>
        <v>0</v>
      </c>
      <c r="L1668" s="53">
        <v>3385.52</v>
      </c>
      <c r="M1668" s="53">
        <v>3385.52</v>
      </c>
      <c r="N1668" s="53">
        <v>3385.52</v>
      </c>
      <c r="O1668" s="53">
        <f>H1668-L1668</f>
        <v>-3385.52</v>
      </c>
      <c r="P1668" s="53" t="e">
        <f>#REF!-M1668</f>
        <v>#REF!</v>
      </c>
      <c r="Q1668" s="53" t="e">
        <f>#REF!-N1668</f>
        <v>#REF!</v>
      </c>
      <c r="R1668" s="17" t="str">
        <f t="shared" si="181"/>
        <v>17 Б 00 00000000</v>
      </c>
    </row>
    <row r="1669" spans="1:18" s="16" customFormat="1" ht="47.25">
      <c r="A1669" s="14"/>
      <c r="B1669" s="129" t="s">
        <v>883</v>
      </c>
      <c r="C1669" s="131" t="s">
        <v>410</v>
      </c>
      <c r="D1669" s="131" t="s">
        <v>86</v>
      </c>
      <c r="E1669" s="131" t="s">
        <v>13</v>
      </c>
      <c r="F1669" s="131" t="s">
        <v>884</v>
      </c>
      <c r="G1669" s="131" t="s">
        <v>9</v>
      </c>
      <c r="H1669" s="158">
        <f t="shared" si="189"/>
        <v>0</v>
      </c>
      <c r="L1669" s="53">
        <v>3385.52</v>
      </c>
      <c r="M1669" s="53">
        <v>3385.52</v>
      </c>
      <c r="N1669" s="53">
        <v>3385.52</v>
      </c>
      <c r="O1669" s="53">
        <f>H1669-L1669</f>
        <v>-3385.52</v>
      </c>
      <c r="P1669" s="53" t="e">
        <f>#REF!-M1669</f>
        <v>#REF!</v>
      </c>
      <c r="Q1669" s="53" t="e">
        <f>#REF!-N1669</f>
        <v>#REF!</v>
      </c>
      <c r="R1669" s="17" t="str">
        <f t="shared" si="181"/>
        <v>17 Б 02 00000000</v>
      </c>
    </row>
    <row r="1670" spans="1:18" s="16" customFormat="1" ht="47.25">
      <c r="A1670" s="14"/>
      <c r="B1670" s="132" t="s">
        <v>436</v>
      </c>
      <c r="C1670" s="108" t="s">
        <v>410</v>
      </c>
      <c r="D1670" s="108" t="s">
        <v>86</v>
      </c>
      <c r="E1670" s="108" t="s">
        <v>13</v>
      </c>
      <c r="F1670" s="108" t="s">
        <v>885</v>
      </c>
      <c r="G1670" s="108" t="s">
        <v>9</v>
      </c>
      <c r="H1670" s="163">
        <f t="shared" si="189"/>
        <v>0</v>
      </c>
      <c r="L1670" s="64">
        <v>3385.52</v>
      </c>
      <c r="M1670" s="64">
        <v>3385.52</v>
      </c>
      <c r="N1670" s="64">
        <v>3385.52</v>
      </c>
      <c r="O1670" s="64">
        <f>H1670-L1670</f>
        <v>-3385.52</v>
      </c>
      <c r="P1670" s="64" t="e">
        <f>#REF!-M1670</f>
        <v>#REF!</v>
      </c>
      <c r="Q1670" s="64" t="e">
        <f>#REF!-N1670</f>
        <v>#REF!</v>
      </c>
      <c r="R1670" s="17" t="str">
        <f t="shared" si="181"/>
        <v>17 Б 02 20490000</v>
      </c>
    </row>
    <row r="1671" spans="1:18" s="16" customFormat="1" ht="31.5">
      <c r="A1671" s="14"/>
      <c r="B1671" s="125" t="s">
        <v>28</v>
      </c>
      <c r="C1671" s="108" t="s">
        <v>410</v>
      </c>
      <c r="D1671" s="108" t="s">
        <v>86</v>
      </c>
      <c r="E1671" s="108" t="s">
        <v>13</v>
      </c>
      <c r="F1671" s="108" t="s">
        <v>885</v>
      </c>
      <c r="G1671" s="108" t="s">
        <v>29</v>
      </c>
      <c r="H1671" s="126">
        <f>H1672</f>
        <v>0</v>
      </c>
      <c r="L1671" s="64">
        <v>3385.52</v>
      </c>
      <c r="M1671" s="64">
        <v>3385.52</v>
      </c>
      <c r="N1671" s="64">
        <v>3385.52</v>
      </c>
      <c r="O1671" s="64">
        <f>H1671-L1671</f>
        <v>-3385.52</v>
      </c>
      <c r="P1671" s="64" t="e">
        <f>#REF!-M1671</f>
        <v>#REF!</v>
      </c>
      <c r="Q1671" s="64" t="e">
        <f>#REF!-N1671</f>
        <v>#REF!</v>
      </c>
      <c r="R1671" s="17" t="str">
        <f t="shared" si="181"/>
        <v>17 Б 02 20490240</v>
      </c>
    </row>
    <row r="1672" spans="1:18" s="16" customFormat="1" ht="15.75">
      <c r="A1672" s="14"/>
      <c r="B1672" s="125" t="s">
        <v>30</v>
      </c>
      <c r="C1672" s="108" t="s">
        <v>410</v>
      </c>
      <c r="D1672" s="108" t="s">
        <v>86</v>
      </c>
      <c r="E1672" s="108" t="s">
        <v>13</v>
      </c>
      <c r="F1672" s="108" t="s">
        <v>885</v>
      </c>
      <c r="G1672" s="108" t="s">
        <v>31</v>
      </c>
      <c r="H1672" s="126"/>
      <c r="L1672" s="64"/>
      <c r="M1672" s="64"/>
      <c r="N1672" s="64"/>
      <c r="O1672" s="64"/>
      <c r="P1672" s="64"/>
      <c r="Q1672" s="64"/>
      <c r="R1672" s="17"/>
    </row>
    <row r="1673" spans="1:18" s="16" customFormat="1" ht="47.25">
      <c r="A1673" s="14"/>
      <c r="B1673" s="125" t="s">
        <v>886</v>
      </c>
      <c r="C1673" s="108" t="s">
        <v>410</v>
      </c>
      <c r="D1673" s="108" t="s">
        <v>86</v>
      </c>
      <c r="E1673" s="108" t="s">
        <v>13</v>
      </c>
      <c r="F1673" s="108" t="s">
        <v>887</v>
      </c>
      <c r="G1673" s="108" t="s">
        <v>9</v>
      </c>
      <c r="H1673" s="163">
        <f>H1674</f>
        <v>0</v>
      </c>
      <c r="L1673" s="64">
        <v>6270.1100000000006</v>
      </c>
      <c r="M1673" s="64">
        <v>9180.16</v>
      </c>
      <c r="N1673" s="64">
        <v>12090.21</v>
      </c>
      <c r="O1673" s="64">
        <f>H1673-L1673</f>
        <v>-6270.1100000000006</v>
      </c>
      <c r="P1673" s="64" t="e">
        <f>#REF!-M1673</f>
        <v>#REF!</v>
      </c>
      <c r="Q1673" s="64" t="e">
        <f>#REF!-N1673</f>
        <v>#REF!</v>
      </c>
      <c r="R1673" s="17" t="str">
        <f t="shared" si="181"/>
        <v>20 0 00 00000000</v>
      </c>
    </row>
    <row r="1674" spans="1:18" s="16" customFormat="1" ht="47.25">
      <c r="A1674" s="14"/>
      <c r="B1674" s="125" t="s">
        <v>888</v>
      </c>
      <c r="C1674" s="108" t="s">
        <v>410</v>
      </c>
      <c r="D1674" s="108" t="s">
        <v>86</v>
      </c>
      <c r="E1674" s="108" t="s">
        <v>13</v>
      </c>
      <c r="F1674" s="108" t="s">
        <v>889</v>
      </c>
      <c r="G1674" s="108" t="s">
        <v>9</v>
      </c>
      <c r="H1674" s="163">
        <f>H1675+H1679+H1683</f>
        <v>0</v>
      </c>
      <c r="L1674" s="64">
        <v>6270.1100000000006</v>
      </c>
      <c r="M1674" s="64">
        <v>9180.16</v>
      </c>
      <c r="N1674" s="64">
        <v>12090.21</v>
      </c>
      <c r="O1674" s="64">
        <f>H1674-L1674</f>
        <v>-6270.1100000000006</v>
      </c>
      <c r="P1674" s="64" t="e">
        <f>#REF!-M1674</f>
        <v>#REF!</v>
      </c>
      <c r="Q1674" s="64" t="e">
        <f>#REF!-N1674</f>
        <v>#REF!</v>
      </c>
      <c r="R1674" s="17" t="str">
        <f t="shared" si="181"/>
        <v>20 Б 00 00000000</v>
      </c>
    </row>
    <row r="1675" spans="1:18" s="16" customFormat="1" ht="31.5">
      <c r="A1675" s="14"/>
      <c r="B1675" s="125" t="s">
        <v>890</v>
      </c>
      <c r="C1675" s="108" t="s">
        <v>410</v>
      </c>
      <c r="D1675" s="108" t="s">
        <v>86</v>
      </c>
      <c r="E1675" s="108" t="s">
        <v>13</v>
      </c>
      <c r="F1675" s="108" t="s">
        <v>891</v>
      </c>
      <c r="G1675" s="108" t="s">
        <v>9</v>
      </c>
      <c r="H1675" s="163">
        <f>H1676</f>
        <v>0</v>
      </c>
      <c r="L1675" s="64">
        <v>3880.07</v>
      </c>
      <c r="M1675" s="64">
        <v>5820.1</v>
      </c>
      <c r="N1675" s="64">
        <v>7760.13</v>
      </c>
      <c r="O1675" s="64">
        <f>H1675-L1675</f>
        <v>-3880.07</v>
      </c>
      <c r="P1675" s="64" t="e">
        <f>#REF!-M1675</f>
        <v>#REF!</v>
      </c>
      <c r="Q1675" s="64" t="e">
        <f>#REF!-N1675</f>
        <v>#REF!</v>
      </c>
      <c r="R1675" s="17" t="str">
        <f t="shared" si="181"/>
        <v>20 Б 01 00000000</v>
      </c>
    </row>
    <row r="1676" spans="1:18" s="16" customFormat="1" ht="31.5">
      <c r="A1676" s="14"/>
      <c r="B1676" s="125" t="s">
        <v>892</v>
      </c>
      <c r="C1676" s="108" t="s">
        <v>410</v>
      </c>
      <c r="D1676" s="108" t="s">
        <v>86</v>
      </c>
      <c r="E1676" s="108" t="s">
        <v>13</v>
      </c>
      <c r="F1676" s="108" t="s">
        <v>893</v>
      </c>
      <c r="G1676" s="108" t="s">
        <v>9</v>
      </c>
      <c r="H1676" s="163">
        <f>H1677</f>
        <v>0</v>
      </c>
      <c r="L1676" s="64">
        <v>3880.07</v>
      </c>
      <c r="M1676" s="64">
        <v>5820.1</v>
      </c>
      <c r="N1676" s="64">
        <v>7760.13</v>
      </c>
      <c r="O1676" s="64">
        <f>H1676-L1676</f>
        <v>-3880.07</v>
      </c>
      <c r="P1676" s="64" t="e">
        <f>#REF!-M1676</f>
        <v>#REF!</v>
      </c>
      <c r="Q1676" s="64" t="e">
        <f>#REF!-N1676</f>
        <v>#REF!</v>
      </c>
      <c r="R1676" s="17" t="str">
        <f t="shared" si="181"/>
        <v>20 Б 01 L5550000</v>
      </c>
    </row>
    <row r="1677" spans="1:18" s="16" customFormat="1" ht="31.5">
      <c r="A1677" s="14"/>
      <c r="B1677" s="125" t="s">
        <v>28</v>
      </c>
      <c r="C1677" s="108" t="s">
        <v>410</v>
      </c>
      <c r="D1677" s="108" t="s">
        <v>86</v>
      </c>
      <c r="E1677" s="108" t="s">
        <v>13</v>
      </c>
      <c r="F1677" s="108" t="s">
        <v>893</v>
      </c>
      <c r="G1677" s="108" t="s">
        <v>29</v>
      </c>
      <c r="H1677" s="126">
        <f>H1678</f>
        <v>0</v>
      </c>
      <c r="L1677" s="32">
        <v>3880.07</v>
      </c>
      <c r="M1677" s="32">
        <v>5820.1</v>
      </c>
      <c r="N1677" s="32">
        <v>7760.13</v>
      </c>
      <c r="O1677" s="32">
        <f>H1677-L1677</f>
        <v>-3880.07</v>
      </c>
      <c r="P1677" s="32" t="e">
        <f>#REF!-M1677</f>
        <v>#REF!</v>
      </c>
      <c r="Q1677" s="32" t="e">
        <f>#REF!-N1677</f>
        <v>#REF!</v>
      </c>
      <c r="R1677" s="17" t="str">
        <f t="shared" si="181"/>
        <v>20 Б 01 L5550240</v>
      </c>
    </row>
    <row r="1678" spans="1:18" s="16" customFormat="1" ht="15.75">
      <c r="A1678" s="14"/>
      <c r="B1678" s="125" t="s">
        <v>30</v>
      </c>
      <c r="C1678" s="108" t="s">
        <v>410</v>
      </c>
      <c r="D1678" s="108" t="s">
        <v>86</v>
      </c>
      <c r="E1678" s="108" t="s">
        <v>13</v>
      </c>
      <c r="F1678" s="108" t="s">
        <v>893</v>
      </c>
      <c r="G1678" s="108" t="s">
        <v>31</v>
      </c>
      <c r="H1678" s="126"/>
      <c r="L1678" s="32"/>
      <c r="M1678" s="32"/>
      <c r="N1678" s="32"/>
      <c r="O1678" s="32"/>
      <c r="P1678" s="32"/>
      <c r="Q1678" s="32"/>
      <c r="R1678" s="17"/>
    </row>
    <row r="1679" spans="1:18" s="16" customFormat="1" ht="31.5">
      <c r="A1679" s="14"/>
      <c r="B1679" s="125" t="s">
        <v>894</v>
      </c>
      <c r="C1679" s="108" t="s">
        <v>410</v>
      </c>
      <c r="D1679" s="108" t="s">
        <v>86</v>
      </c>
      <c r="E1679" s="108" t="s">
        <v>13</v>
      </c>
      <c r="F1679" s="108" t="s">
        <v>895</v>
      </c>
      <c r="G1679" s="108" t="s">
        <v>9</v>
      </c>
      <c r="H1679" s="163">
        <f>H1680</f>
        <v>0</v>
      </c>
      <c r="L1679" s="64">
        <v>1940.04</v>
      </c>
      <c r="M1679" s="64">
        <v>2910.06</v>
      </c>
      <c r="N1679" s="64">
        <v>3880.08</v>
      </c>
      <c r="O1679" s="64">
        <f>H1679-L1679</f>
        <v>-1940.04</v>
      </c>
      <c r="P1679" s="64" t="e">
        <f>#REF!-M1679</f>
        <v>#REF!</v>
      </c>
      <c r="Q1679" s="64" t="e">
        <f>#REF!-N1679</f>
        <v>#REF!</v>
      </c>
      <c r="R1679" s="17" t="str">
        <f t="shared" si="181"/>
        <v>20 Б 02 00000000</v>
      </c>
    </row>
    <row r="1680" spans="1:18" s="16" customFormat="1" ht="31.5">
      <c r="A1680" s="14"/>
      <c r="B1680" s="125" t="s">
        <v>892</v>
      </c>
      <c r="C1680" s="108" t="s">
        <v>410</v>
      </c>
      <c r="D1680" s="108" t="s">
        <v>86</v>
      </c>
      <c r="E1680" s="108" t="s">
        <v>13</v>
      </c>
      <c r="F1680" s="108" t="s">
        <v>896</v>
      </c>
      <c r="G1680" s="108" t="s">
        <v>9</v>
      </c>
      <c r="H1680" s="163">
        <f>H1681</f>
        <v>0</v>
      </c>
      <c r="L1680" s="64">
        <v>1940.04</v>
      </c>
      <c r="M1680" s="64">
        <v>2910.06</v>
      </c>
      <c r="N1680" s="64">
        <v>3880.08</v>
      </c>
      <c r="O1680" s="64">
        <f>H1680-L1680</f>
        <v>-1940.04</v>
      </c>
      <c r="P1680" s="64" t="e">
        <f>#REF!-M1680</f>
        <v>#REF!</v>
      </c>
      <c r="Q1680" s="64" t="e">
        <f>#REF!-N1680</f>
        <v>#REF!</v>
      </c>
      <c r="R1680" s="17" t="str">
        <f t="shared" si="181"/>
        <v>20 Б 02 L5550000</v>
      </c>
    </row>
    <row r="1681" spans="1:18" s="16" customFormat="1" ht="31.5">
      <c r="A1681" s="14"/>
      <c r="B1681" s="125" t="s">
        <v>28</v>
      </c>
      <c r="C1681" s="108" t="s">
        <v>410</v>
      </c>
      <c r="D1681" s="108" t="s">
        <v>86</v>
      </c>
      <c r="E1681" s="108" t="s">
        <v>13</v>
      </c>
      <c r="F1681" s="108" t="s">
        <v>896</v>
      </c>
      <c r="G1681" s="108" t="s">
        <v>29</v>
      </c>
      <c r="H1681" s="126">
        <f>H1682</f>
        <v>0</v>
      </c>
      <c r="L1681" s="32">
        <v>1940.04</v>
      </c>
      <c r="M1681" s="32">
        <v>2910.06</v>
      </c>
      <c r="N1681" s="32">
        <v>3880.08</v>
      </c>
      <c r="O1681" s="32">
        <f>H1681-L1681</f>
        <v>-1940.04</v>
      </c>
      <c r="P1681" s="32" t="e">
        <f>#REF!-M1681</f>
        <v>#REF!</v>
      </c>
      <c r="Q1681" s="32" t="e">
        <f>#REF!-N1681</f>
        <v>#REF!</v>
      </c>
      <c r="R1681" s="17" t="str">
        <f t="shared" si="181"/>
        <v>20 Б 02 L5550240</v>
      </c>
    </row>
    <row r="1682" spans="1:18" s="16" customFormat="1" ht="15.75">
      <c r="A1682" s="14"/>
      <c r="B1682" s="125" t="s">
        <v>30</v>
      </c>
      <c r="C1682" s="108" t="s">
        <v>410</v>
      </c>
      <c r="D1682" s="108" t="s">
        <v>86</v>
      </c>
      <c r="E1682" s="108" t="s">
        <v>13</v>
      </c>
      <c r="F1682" s="108" t="s">
        <v>896</v>
      </c>
      <c r="G1682" s="108" t="s">
        <v>31</v>
      </c>
      <c r="H1682" s="126"/>
      <c r="L1682" s="32"/>
      <c r="M1682" s="32"/>
      <c r="N1682" s="32"/>
      <c r="O1682" s="32"/>
      <c r="P1682" s="32"/>
      <c r="Q1682" s="32"/>
      <c r="R1682" s="17"/>
    </row>
    <row r="1683" spans="1:18" s="16" customFormat="1" ht="47.25">
      <c r="A1683" s="14"/>
      <c r="B1683" s="125" t="s">
        <v>897</v>
      </c>
      <c r="C1683" s="108" t="s">
        <v>410</v>
      </c>
      <c r="D1683" s="108" t="s">
        <v>86</v>
      </c>
      <c r="E1683" s="108" t="s">
        <v>13</v>
      </c>
      <c r="F1683" s="108" t="s">
        <v>898</v>
      </c>
      <c r="G1683" s="108" t="s">
        <v>9</v>
      </c>
      <c r="H1683" s="141">
        <f t="shared" ref="H1683:H1684" si="190">H1684</f>
        <v>0</v>
      </c>
      <c r="L1683" s="32">
        <v>450</v>
      </c>
      <c r="M1683" s="32">
        <v>450</v>
      </c>
      <c r="N1683" s="32">
        <v>450</v>
      </c>
      <c r="O1683" s="32">
        <f>H1683-L1683</f>
        <v>-450</v>
      </c>
      <c r="P1683" s="32" t="e">
        <f>#REF!-M1683</f>
        <v>#REF!</v>
      </c>
      <c r="Q1683" s="32" t="e">
        <f>#REF!-N1683</f>
        <v>#REF!</v>
      </c>
      <c r="R1683" s="17" t="str">
        <f t="shared" si="181"/>
        <v>20 Б 03 00000000</v>
      </c>
    </row>
    <row r="1684" spans="1:18" s="16" customFormat="1" ht="31.5">
      <c r="A1684" s="14"/>
      <c r="B1684" s="138" t="s">
        <v>542</v>
      </c>
      <c r="C1684" s="108" t="s">
        <v>410</v>
      </c>
      <c r="D1684" s="108" t="s">
        <v>86</v>
      </c>
      <c r="E1684" s="108" t="s">
        <v>13</v>
      </c>
      <c r="F1684" s="108" t="s">
        <v>899</v>
      </c>
      <c r="G1684" s="108" t="s">
        <v>9</v>
      </c>
      <c r="H1684" s="141">
        <f t="shared" si="190"/>
        <v>0</v>
      </c>
      <c r="L1684" s="32">
        <v>450</v>
      </c>
      <c r="M1684" s="32">
        <v>450</v>
      </c>
      <c r="N1684" s="32">
        <v>450</v>
      </c>
      <c r="O1684" s="32">
        <f>H1684-L1684</f>
        <v>-450</v>
      </c>
      <c r="P1684" s="32" t="e">
        <f>#REF!-M1684</f>
        <v>#REF!</v>
      </c>
      <c r="Q1684" s="32" t="e">
        <f>#REF!-N1684</f>
        <v>#REF!</v>
      </c>
      <c r="R1684" s="17" t="str">
        <f t="shared" si="181"/>
        <v>20 Б 03 20300000</v>
      </c>
    </row>
    <row r="1685" spans="1:18" s="16" customFormat="1" ht="31.5">
      <c r="A1685" s="14"/>
      <c r="B1685" s="138" t="s">
        <v>28</v>
      </c>
      <c r="C1685" s="108" t="s">
        <v>410</v>
      </c>
      <c r="D1685" s="108" t="s">
        <v>86</v>
      </c>
      <c r="E1685" s="108" t="s">
        <v>13</v>
      </c>
      <c r="F1685" s="108" t="s">
        <v>899</v>
      </c>
      <c r="G1685" s="108" t="s">
        <v>29</v>
      </c>
      <c r="H1685" s="126">
        <f>H1686</f>
        <v>0</v>
      </c>
      <c r="L1685" s="32">
        <v>450</v>
      </c>
      <c r="M1685" s="32">
        <v>450</v>
      </c>
      <c r="N1685" s="32">
        <v>450</v>
      </c>
      <c r="O1685" s="32">
        <f>H1685-L1685</f>
        <v>-450</v>
      </c>
      <c r="P1685" s="32" t="e">
        <f>#REF!-M1685</f>
        <v>#REF!</v>
      </c>
      <c r="Q1685" s="32" t="e">
        <f>#REF!-N1685</f>
        <v>#REF!</v>
      </c>
      <c r="R1685" s="17" t="str">
        <f t="shared" si="181"/>
        <v>20 Б 03 20300240</v>
      </c>
    </row>
    <row r="1686" spans="1:18" s="16" customFormat="1" ht="15.75">
      <c r="A1686" s="14"/>
      <c r="B1686" s="125" t="s">
        <v>30</v>
      </c>
      <c r="C1686" s="108" t="s">
        <v>410</v>
      </c>
      <c r="D1686" s="108" t="s">
        <v>86</v>
      </c>
      <c r="E1686" s="108" t="s">
        <v>13</v>
      </c>
      <c r="F1686" s="108" t="s">
        <v>899</v>
      </c>
      <c r="G1686" s="108" t="s">
        <v>31</v>
      </c>
      <c r="H1686" s="126"/>
      <c r="L1686" s="32"/>
      <c r="M1686" s="32"/>
      <c r="N1686" s="32"/>
      <c r="O1686" s="32"/>
      <c r="P1686" s="32"/>
      <c r="Q1686" s="32"/>
      <c r="R1686" s="17"/>
    </row>
    <row r="1687" spans="1:18" s="16" customFormat="1" ht="31.5">
      <c r="A1687" s="14"/>
      <c r="B1687" s="121" t="s">
        <v>313</v>
      </c>
      <c r="C1687" s="122" t="s">
        <v>410</v>
      </c>
      <c r="D1687" s="123" t="s">
        <v>86</v>
      </c>
      <c r="E1687" s="123" t="s">
        <v>86</v>
      </c>
      <c r="F1687" s="123" t="s">
        <v>8</v>
      </c>
      <c r="G1687" s="123" t="s">
        <v>9</v>
      </c>
      <c r="H1687" s="124">
        <f>H1688</f>
        <v>0</v>
      </c>
      <c r="L1687" s="19">
        <v>48258.450000000004</v>
      </c>
      <c r="M1687" s="19">
        <v>48258.450000000004</v>
      </c>
      <c r="N1687" s="19">
        <v>48258.450000000004</v>
      </c>
      <c r="O1687" s="19">
        <f>H1687-L1687</f>
        <v>-48258.450000000004</v>
      </c>
      <c r="P1687" s="19" t="e">
        <f>#REF!-M1687</f>
        <v>#REF!</v>
      </c>
      <c r="Q1687" s="19" t="e">
        <f>#REF!-N1687</f>
        <v>#REF!</v>
      </c>
      <c r="R1687" s="17" t="str">
        <f t="shared" si="181"/>
        <v>00 0 00 00000000</v>
      </c>
    </row>
    <row r="1688" spans="1:18" s="16" customFormat="1" ht="31.5">
      <c r="A1688" s="14"/>
      <c r="B1688" s="125" t="s">
        <v>806</v>
      </c>
      <c r="C1688" s="108" t="s">
        <v>410</v>
      </c>
      <c r="D1688" s="108" t="s">
        <v>86</v>
      </c>
      <c r="E1688" s="108" t="s">
        <v>86</v>
      </c>
      <c r="F1688" s="108" t="s">
        <v>807</v>
      </c>
      <c r="G1688" s="108" t="s">
        <v>9</v>
      </c>
      <c r="H1688" s="163">
        <f>H1689</f>
        <v>0</v>
      </c>
      <c r="L1688" s="64">
        <v>48258.450000000004</v>
      </c>
      <c r="M1688" s="64">
        <v>48258.450000000004</v>
      </c>
      <c r="N1688" s="64">
        <v>48258.450000000004</v>
      </c>
      <c r="O1688" s="64">
        <f>H1688-L1688</f>
        <v>-48258.450000000004</v>
      </c>
      <c r="P1688" s="64" t="e">
        <f>#REF!-M1688</f>
        <v>#REF!</v>
      </c>
      <c r="Q1688" s="64" t="e">
        <f>#REF!-N1688</f>
        <v>#REF!</v>
      </c>
      <c r="R1688" s="17" t="str">
        <f t="shared" si="181"/>
        <v>83 0 00 00000000</v>
      </c>
    </row>
    <row r="1689" spans="1:18" s="16" customFormat="1" ht="47.25">
      <c r="A1689" s="14"/>
      <c r="B1689" s="125" t="s">
        <v>808</v>
      </c>
      <c r="C1689" s="108" t="s">
        <v>410</v>
      </c>
      <c r="D1689" s="108" t="s">
        <v>86</v>
      </c>
      <c r="E1689" s="108" t="s">
        <v>86</v>
      </c>
      <c r="F1689" s="108" t="s">
        <v>809</v>
      </c>
      <c r="G1689" s="108" t="s">
        <v>9</v>
      </c>
      <c r="H1689" s="163">
        <f>H1690+H1699</f>
        <v>0</v>
      </c>
      <c r="L1689" s="64">
        <v>48258.450000000004</v>
      </c>
      <c r="M1689" s="64">
        <v>48258.450000000004</v>
      </c>
      <c r="N1689" s="64">
        <v>48258.450000000004</v>
      </c>
      <c r="O1689" s="64">
        <f>H1689-L1689</f>
        <v>-48258.450000000004</v>
      </c>
      <c r="P1689" s="64" t="e">
        <f>#REF!-M1689</f>
        <v>#REF!</v>
      </c>
      <c r="Q1689" s="64" t="e">
        <f>#REF!-N1689</f>
        <v>#REF!</v>
      </c>
      <c r="R1689" s="17" t="str">
        <f t="shared" si="181"/>
        <v>83 1 00 00000000</v>
      </c>
    </row>
    <row r="1690" spans="1:18" s="16" customFormat="1" ht="31.5">
      <c r="A1690" s="14"/>
      <c r="B1690" s="125" t="s">
        <v>18</v>
      </c>
      <c r="C1690" s="108" t="s">
        <v>410</v>
      </c>
      <c r="D1690" s="108" t="s">
        <v>86</v>
      </c>
      <c r="E1690" s="108" t="s">
        <v>86</v>
      </c>
      <c r="F1690" s="108" t="s">
        <v>900</v>
      </c>
      <c r="G1690" s="108" t="s">
        <v>9</v>
      </c>
      <c r="H1690" s="163">
        <f>H1691+H1694+H1696</f>
        <v>0</v>
      </c>
      <c r="L1690" s="64">
        <v>6747.7300000000005</v>
      </c>
      <c r="M1690" s="64">
        <v>6747.7300000000005</v>
      </c>
      <c r="N1690" s="64">
        <v>6747.7300000000005</v>
      </c>
      <c r="O1690" s="64">
        <f>H1690-L1690</f>
        <v>-6747.7300000000005</v>
      </c>
      <c r="P1690" s="64" t="e">
        <f>#REF!-M1690</f>
        <v>#REF!</v>
      </c>
      <c r="Q1690" s="64" t="e">
        <f>#REF!-N1690</f>
        <v>#REF!</v>
      </c>
      <c r="R1690" s="17" t="str">
        <f t="shared" si="181"/>
        <v>83 1 00 10010000</v>
      </c>
    </row>
    <row r="1691" spans="1:18" s="16" customFormat="1" ht="31.5">
      <c r="A1691" s="14"/>
      <c r="B1691" s="127" t="s">
        <v>20</v>
      </c>
      <c r="C1691" s="108" t="s">
        <v>410</v>
      </c>
      <c r="D1691" s="108" t="s">
        <v>86</v>
      </c>
      <c r="E1691" s="108" t="s">
        <v>86</v>
      </c>
      <c r="F1691" s="108" t="s">
        <v>900</v>
      </c>
      <c r="G1691" s="108" t="s">
        <v>21</v>
      </c>
      <c r="H1691" s="126">
        <f>SUM(H1692:H1693)</f>
        <v>0</v>
      </c>
      <c r="L1691" s="20">
        <v>1182.76</v>
      </c>
      <c r="M1691" s="20">
        <v>1182.76</v>
      </c>
      <c r="N1691" s="20">
        <v>1182.76</v>
      </c>
      <c r="O1691" s="20">
        <f>H1691-L1691</f>
        <v>-1182.76</v>
      </c>
      <c r="P1691" s="20" t="e">
        <f>#REF!-M1691</f>
        <v>#REF!</v>
      </c>
      <c r="Q1691" s="20" t="e">
        <f>#REF!-N1691</f>
        <v>#REF!</v>
      </c>
      <c r="R1691" s="17" t="str">
        <f t="shared" si="181"/>
        <v>83 1 00 10010120</v>
      </c>
    </row>
    <row r="1692" spans="1:18" s="23" customFormat="1" ht="47.25">
      <c r="A1692" s="21"/>
      <c r="B1692" s="127" t="s">
        <v>22</v>
      </c>
      <c r="C1692" s="108" t="s">
        <v>410</v>
      </c>
      <c r="D1692" s="108" t="s">
        <v>86</v>
      </c>
      <c r="E1692" s="108" t="s">
        <v>86</v>
      </c>
      <c r="F1692" s="108" t="s">
        <v>900</v>
      </c>
      <c r="G1692" s="108" t="s">
        <v>23</v>
      </c>
      <c r="H1692" s="126"/>
      <c r="L1692" s="22"/>
      <c r="M1692" s="22"/>
      <c r="N1692" s="22"/>
      <c r="O1692" s="22"/>
      <c r="P1692" s="22"/>
      <c r="Q1692" s="22"/>
      <c r="R1692" s="24"/>
    </row>
    <row r="1693" spans="1:18" s="23" customFormat="1" ht="63">
      <c r="A1693" s="21"/>
      <c r="B1693" s="127" t="s">
        <v>26</v>
      </c>
      <c r="C1693" s="108" t="s">
        <v>410</v>
      </c>
      <c r="D1693" s="108" t="s">
        <v>86</v>
      </c>
      <c r="E1693" s="108" t="s">
        <v>86</v>
      </c>
      <c r="F1693" s="108" t="s">
        <v>900</v>
      </c>
      <c r="G1693" s="108" t="s">
        <v>27</v>
      </c>
      <c r="H1693" s="126"/>
      <c r="L1693" s="22"/>
      <c r="M1693" s="22"/>
      <c r="N1693" s="22"/>
      <c r="O1693" s="22"/>
      <c r="P1693" s="22"/>
      <c r="Q1693" s="22"/>
      <c r="R1693" s="24"/>
    </row>
    <row r="1694" spans="1:18" s="16" customFormat="1" ht="31.5">
      <c r="A1694" s="14"/>
      <c r="B1694" s="125" t="s">
        <v>28</v>
      </c>
      <c r="C1694" s="108" t="s">
        <v>410</v>
      </c>
      <c r="D1694" s="108" t="s">
        <v>86</v>
      </c>
      <c r="E1694" s="108" t="s">
        <v>86</v>
      </c>
      <c r="F1694" s="108" t="s">
        <v>900</v>
      </c>
      <c r="G1694" s="108" t="s">
        <v>29</v>
      </c>
      <c r="H1694" s="126">
        <f>H1695</f>
        <v>0</v>
      </c>
      <c r="L1694" s="20">
        <v>5455.97</v>
      </c>
      <c r="M1694" s="20">
        <v>5455.97</v>
      </c>
      <c r="N1694" s="20">
        <v>5455.97</v>
      </c>
      <c r="O1694" s="20">
        <f>H1694-L1694</f>
        <v>-5455.97</v>
      </c>
      <c r="P1694" s="20" t="e">
        <f>#REF!-M1694</f>
        <v>#REF!</v>
      </c>
      <c r="Q1694" s="20" t="e">
        <f>#REF!-N1694</f>
        <v>#REF!</v>
      </c>
      <c r="R1694" s="17" t="str">
        <f t="shared" si="181"/>
        <v>83 1 00 10010240</v>
      </c>
    </row>
    <row r="1695" spans="1:18" s="16" customFormat="1" ht="15.75">
      <c r="A1695" s="14"/>
      <c r="B1695" s="125" t="s">
        <v>30</v>
      </c>
      <c r="C1695" s="108" t="s">
        <v>410</v>
      </c>
      <c r="D1695" s="108" t="s">
        <v>86</v>
      </c>
      <c r="E1695" s="108" t="s">
        <v>86</v>
      </c>
      <c r="F1695" s="108" t="s">
        <v>900</v>
      </c>
      <c r="G1695" s="108" t="s">
        <v>31</v>
      </c>
      <c r="H1695" s="126"/>
      <c r="L1695" s="20"/>
      <c r="M1695" s="20"/>
      <c r="N1695" s="20"/>
      <c r="O1695" s="20"/>
      <c r="P1695" s="20"/>
      <c r="Q1695" s="20"/>
      <c r="R1695" s="17"/>
    </row>
    <row r="1696" spans="1:18" s="16" customFormat="1" ht="15.75">
      <c r="A1696" s="14"/>
      <c r="B1696" s="125" t="s">
        <v>32</v>
      </c>
      <c r="C1696" s="108" t="s">
        <v>410</v>
      </c>
      <c r="D1696" s="108" t="s">
        <v>86</v>
      </c>
      <c r="E1696" s="108" t="s">
        <v>86</v>
      </c>
      <c r="F1696" s="108" t="s">
        <v>900</v>
      </c>
      <c r="G1696" s="108" t="s">
        <v>33</v>
      </c>
      <c r="H1696" s="126">
        <f>SUM(H1697:H1698)</f>
        <v>0</v>
      </c>
      <c r="L1696" s="20">
        <v>109</v>
      </c>
      <c r="M1696" s="20">
        <v>109</v>
      </c>
      <c r="N1696" s="20">
        <v>109</v>
      </c>
      <c r="O1696" s="20">
        <f>H1696-L1696</f>
        <v>-109</v>
      </c>
      <c r="P1696" s="20" t="e">
        <f>#REF!-M1696</f>
        <v>#REF!</v>
      </c>
      <c r="Q1696" s="20" t="e">
        <f>#REF!-N1696</f>
        <v>#REF!</v>
      </c>
      <c r="R1696" s="17" t="str">
        <f t="shared" si="181"/>
        <v>83 1 00 10010850</v>
      </c>
    </row>
    <row r="1697" spans="1:18" s="23" customFormat="1" ht="31.5">
      <c r="A1697" s="21"/>
      <c r="B1697" s="127" t="s">
        <v>34</v>
      </c>
      <c r="C1697" s="108" t="s">
        <v>410</v>
      </c>
      <c r="D1697" s="108" t="s">
        <v>86</v>
      </c>
      <c r="E1697" s="108" t="s">
        <v>86</v>
      </c>
      <c r="F1697" s="108" t="s">
        <v>900</v>
      </c>
      <c r="G1697" s="108" t="s">
        <v>35</v>
      </c>
      <c r="H1697" s="126"/>
      <c r="L1697" s="22"/>
      <c r="M1697" s="22"/>
      <c r="N1697" s="22"/>
      <c r="O1697" s="22"/>
      <c r="P1697" s="22"/>
      <c r="Q1697" s="22"/>
      <c r="R1697" s="24"/>
    </row>
    <row r="1698" spans="1:18" s="23" customFormat="1" ht="15.75">
      <c r="A1698" s="21"/>
      <c r="B1698" s="127" t="s">
        <v>36</v>
      </c>
      <c r="C1698" s="108" t="s">
        <v>410</v>
      </c>
      <c r="D1698" s="108" t="s">
        <v>86</v>
      </c>
      <c r="E1698" s="108" t="s">
        <v>86</v>
      </c>
      <c r="F1698" s="108" t="s">
        <v>900</v>
      </c>
      <c r="G1698" s="108" t="s">
        <v>37</v>
      </c>
      <c r="H1698" s="126"/>
      <c r="L1698" s="22"/>
      <c r="M1698" s="22"/>
      <c r="N1698" s="22"/>
      <c r="O1698" s="22"/>
      <c r="P1698" s="22"/>
      <c r="Q1698" s="22"/>
      <c r="R1698" s="24"/>
    </row>
    <row r="1699" spans="1:18" s="16" customFormat="1" ht="31.5">
      <c r="A1699" s="14"/>
      <c r="B1699" s="125" t="s">
        <v>38</v>
      </c>
      <c r="C1699" s="108" t="s">
        <v>410</v>
      </c>
      <c r="D1699" s="108" t="s">
        <v>86</v>
      </c>
      <c r="E1699" s="108" t="s">
        <v>86</v>
      </c>
      <c r="F1699" s="108" t="s">
        <v>901</v>
      </c>
      <c r="G1699" s="108" t="s">
        <v>9</v>
      </c>
      <c r="H1699" s="126">
        <f>H1700</f>
        <v>0</v>
      </c>
      <c r="L1699" s="20">
        <v>41510.720000000001</v>
      </c>
      <c r="M1699" s="20">
        <v>41510.720000000001</v>
      </c>
      <c r="N1699" s="20">
        <v>41510.720000000001</v>
      </c>
      <c r="O1699" s="20">
        <f>H1699-L1699</f>
        <v>-41510.720000000001</v>
      </c>
      <c r="P1699" s="20" t="e">
        <f>#REF!-M1699</f>
        <v>#REF!</v>
      </c>
      <c r="Q1699" s="20" t="e">
        <f>#REF!-N1699</f>
        <v>#REF!</v>
      </c>
      <c r="R1699" s="17" t="str">
        <f t="shared" si="181"/>
        <v>83 1 00 10020000</v>
      </c>
    </row>
    <row r="1700" spans="1:18" s="16" customFormat="1" ht="31.5">
      <c r="A1700" s="14"/>
      <c r="B1700" s="127" t="s">
        <v>20</v>
      </c>
      <c r="C1700" s="108" t="s">
        <v>410</v>
      </c>
      <c r="D1700" s="108" t="s">
        <v>86</v>
      </c>
      <c r="E1700" s="108" t="s">
        <v>86</v>
      </c>
      <c r="F1700" s="108" t="s">
        <v>901</v>
      </c>
      <c r="G1700" s="108" t="s">
        <v>21</v>
      </c>
      <c r="H1700" s="126">
        <f>SUM(H1701:H1702)</f>
        <v>0</v>
      </c>
      <c r="L1700" s="20">
        <v>41510.720000000001</v>
      </c>
      <c r="M1700" s="20">
        <v>41510.720000000001</v>
      </c>
      <c r="N1700" s="20">
        <v>41510.720000000001</v>
      </c>
      <c r="O1700" s="20">
        <f>H1700-L1700</f>
        <v>-41510.720000000001</v>
      </c>
      <c r="P1700" s="20" t="e">
        <f>#REF!-M1700</f>
        <v>#REF!</v>
      </c>
      <c r="Q1700" s="20" t="e">
        <f>#REF!-N1700</f>
        <v>#REF!</v>
      </c>
      <c r="R1700" s="17" t="str">
        <f t="shared" si="181"/>
        <v>83 1 00 10020120</v>
      </c>
    </row>
    <row r="1701" spans="1:18" s="23" customFormat="1" ht="31.5">
      <c r="A1701" s="21"/>
      <c r="B1701" s="127" t="s">
        <v>40</v>
      </c>
      <c r="C1701" s="108" t="s">
        <v>410</v>
      </c>
      <c r="D1701" s="108" t="s">
        <v>86</v>
      </c>
      <c r="E1701" s="108" t="s">
        <v>86</v>
      </c>
      <c r="F1701" s="108" t="s">
        <v>901</v>
      </c>
      <c r="G1701" s="108" t="s">
        <v>41</v>
      </c>
      <c r="H1701" s="126"/>
      <c r="L1701" s="22"/>
      <c r="M1701" s="22"/>
      <c r="N1701" s="22"/>
      <c r="O1701" s="22"/>
      <c r="P1701" s="22"/>
      <c r="Q1701" s="22"/>
      <c r="R1701" s="24"/>
    </row>
    <row r="1702" spans="1:18" s="23" customFormat="1" ht="63">
      <c r="A1702" s="21"/>
      <c r="B1702" s="127" t="s">
        <v>26</v>
      </c>
      <c r="C1702" s="108" t="s">
        <v>410</v>
      </c>
      <c r="D1702" s="108" t="s">
        <v>86</v>
      </c>
      <c r="E1702" s="108" t="s">
        <v>86</v>
      </c>
      <c r="F1702" s="108" t="s">
        <v>901</v>
      </c>
      <c r="G1702" s="108" t="s">
        <v>27</v>
      </c>
      <c r="H1702" s="126"/>
      <c r="L1702" s="22"/>
      <c r="M1702" s="22"/>
      <c r="N1702" s="22"/>
      <c r="O1702" s="22"/>
      <c r="P1702" s="22"/>
      <c r="Q1702" s="22"/>
      <c r="R1702" s="24"/>
    </row>
    <row r="1703" spans="1:18" s="16" customFormat="1" ht="15.75">
      <c r="A1703" s="14"/>
      <c r="B1703" s="117" t="s">
        <v>569</v>
      </c>
      <c r="C1703" s="118" t="s">
        <v>410</v>
      </c>
      <c r="D1703" s="119" t="s">
        <v>238</v>
      </c>
      <c r="E1703" s="119" t="s">
        <v>7</v>
      </c>
      <c r="F1703" s="119" t="s">
        <v>8</v>
      </c>
      <c r="G1703" s="119" t="s">
        <v>9</v>
      </c>
      <c r="H1703" s="120">
        <f>H1704</f>
        <v>0</v>
      </c>
      <c r="L1703" s="18">
        <v>1162.5</v>
      </c>
      <c r="M1703" s="18">
        <v>1162.5</v>
      </c>
      <c r="N1703" s="18">
        <v>1162.5</v>
      </c>
      <c r="O1703" s="18">
        <f t="shared" ref="O1703:O1709" si="191">H1703-L1703</f>
        <v>-1162.5</v>
      </c>
      <c r="P1703" s="18" t="e">
        <f>#REF!-M1703</f>
        <v>#REF!</v>
      </c>
      <c r="Q1703" s="18" t="e">
        <f>#REF!-N1703</f>
        <v>#REF!</v>
      </c>
      <c r="R1703" s="17" t="str">
        <f t="shared" ref="R1703:R1769" si="192">CONCATENATE(F1703,G1703)</f>
        <v>00 0 00 00000000</v>
      </c>
    </row>
    <row r="1704" spans="1:18" s="16" customFormat="1" ht="15.75">
      <c r="A1704" s="14"/>
      <c r="B1704" s="121" t="s">
        <v>239</v>
      </c>
      <c r="C1704" s="122" t="s">
        <v>410</v>
      </c>
      <c r="D1704" s="123" t="s">
        <v>238</v>
      </c>
      <c r="E1704" s="123" t="s">
        <v>11</v>
      </c>
      <c r="F1704" s="123" t="s">
        <v>8</v>
      </c>
      <c r="G1704" s="123" t="s">
        <v>9</v>
      </c>
      <c r="H1704" s="124">
        <f>H1705</f>
        <v>0</v>
      </c>
      <c r="L1704" s="19">
        <v>1162.5</v>
      </c>
      <c r="M1704" s="19">
        <v>1162.5</v>
      </c>
      <c r="N1704" s="19">
        <v>1162.5</v>
      </c>
      <c r="O1704" s="19">
        <f t="shared" si="191"/>
        <v>-1162.5</v>
      </c>
      <c r="P1704" s="19" t="e">
        <f>#REF!-M1704</f>
        <v>#REF!</v>
      </c>
      <c r="Q1704" s="19" t="e">
        <f>#REF!-N1704</f>
        <v>#REF!</v>
      </c>
      <c r="R1704" s="17" t="str">
        <f t="shared" si="192"/>
        <v>00 0 00 00000000</v>
      </c>
    </row>
    <row r="1705" spans="1:18" s="16" customFormat="1" ht="31.5">
      <c r="A1705" s="14"/>
      <c r="B1705" s="125" t="s">
        <v>240</v>
      </c>
      <c r="C1705" s="109" t="s">
        <v>410</v>
      </c>
      <c r="D1705" s="108" t="s">
        <v>238</v>
      </c>
      <c r="E1705" s="108" t="s">
        <v>11</v>
      </c>
      <c r="F1705" s="131" t="s">
        <v>241</v>
      </c>
      <c r="G1705" s="108" t="s">
        <v>9</v>
      </c>
      <c r="H1705" s="126">
        <f>H1706</f>
        <v>0</v>
      </c>
      <c r="L1705" s="20">
        <v>1162.5</v>
      </c>
      <c r="M1705" s="20">
        <v>1162.5</v>
      </c>
      <c r="N1705" s="20">
        <v>1162.5</v>
      </c>
      <c r="O1705" s="20">
        <f t="shared" si="191"/>
        <v>-1162.5</v>
      </c>
      <c r="P1705" s="20" t="e">
        <f>#REF!-M1705</f>
        <v>#REF!</v>
      </c>
      <c r="Q1705" s="20" t="e">
        <f>#REF!-N1705</f>
        <v>#REF!</v>
      </c>
      <c r="R1705" s="17" t="str">
        <f t="shared" si="192"/>
        <v>07 0 00 00000000</v>
      </c>
    </row>
    <row r="1706" spans="1:18" s="16" customFormat="1" ht="78.75">
      <c r="A1706" s="14"/>
      <c r="B1706" s="125" t="s">
        <v>384</v>
      </c>
      <c r="C1706" s="109" t="s">
        <v>410</v>
      </c>
      <c r="D1706" s="108" t="s">
        <v>238</v>
      </c>
      <c r="E1706" s="108" t="s">
        <v>11</v>
      </c>
      <c r="F1706" s="131" t="s">
        <v>243</v>
      </c>
      <c r="G1706" s="108" t="s">
        <v>9</v>
      </c>
      <c r="H1706" s="126">
        <f t="shared" ref="H1706:H1708" si="193">H1707</f>
        <v>0</v>
      </c>
      <c r="L1706" s="20">
        <v>1162.5</v>
      </c>
      <c r="M1706" s="20">
        <v>1162.5</v>
      </c>
      <c r="N1706" s="20">
        <v>1162.5</v>
      </c>
      <c r="O1706" s="20">
        <f t="shared" si="191"/>
        <v>-1162.5</v>
      </c>
      <c r="P1706" s="20" t="e">
        <f>#REF!-M1706</f>
        <v>#REF!</v>
      </c>
      <c r="Q1706" s="20" t="e">
        <f>#REF!-N1706</f>
        <v>#REF!</v>
      </c>
      <c r="R1706" s="17" t="str">
        <f t="shared" si="192"/>
        <v>07 1 00 00000000</v>
      </c>
    </row>
    <row r="1707" spans="1:18" s="16" customFormat="1" ht="110.25">
      <c r="A1707" s="14"/>
      <c r="B1707" s="125" t="s">
        <v>244</v>
      </c>
      <c r="C1707" s="109" t="s">
        <v>410</v>
      </c>
      <c r="D1707" s="108" t="s">
        <v>238</v>
      </c>
      <c r="E1707" s="108" t="s">
        <v>11</v>
      </c>
      <c r="F1707" s="131" t="s">
        <v>245</v>
      </c>
      <c r="G1707" s="108" t="s">
        <v>9</v>
      </c>
      <c r="H1707" s="126">
        <f t="shared" si="193"/>
        <v>0</v>
      </c>
      <c r="L1707" s="20">
        <v>1162.5</v>
      </c>
      <c r="M1707" s="20">
        <v>1162.5</v>
      </c>
      <c r="N1707" s="20">
        <v>1162.5</v>
      </c>
      <c r="O1707" s="20">
        <f t="shared" si="191"/>
        <v>-1162.5</v>
      </c>
      <c r="P1707" s="20" t="e">
        <f>#REF!-M1707</f>
        <v>#REF!</v>
      </c>
      <c r="Q1707" s="20" t="e">
        <f>#REF!-N1707</f>
        <v>#REF!</v>
      </c>
      <c r="R1707" s="17" t="str">
        <f t="shared" si="192"/>
        <v>07 1 01 00000000</v>
      </c>
    </row>
    <row r="1708" spans="1:18" s="16" customFormat="1" ht="31.5">
      <c r="A1708" s="14"/>
      <c r="B1708" s="125" t="s">
        <v>246</v>
      </c>
      <c r="C1708" s="109" t="s">
        <v>410</v>
      </c>
      <c r="D1708" s="108" t="s">
        <v>238</v>
      </c>
      <c r="E1708" s="108" t="s">
        <v>11</v>
      </c>
      <c r="F1708" s="131" t="s">
        <v>247</v>
      </c>
      <c r="G1708" s="108" t="s">
        <v>9</v>
      </c>
      <c r="H1708" s="126">
        <f t="shared" si="193"/>
        <v>0</v>
      </c>
      <c r="L1708" s="20">
        <v>1162.5</v>
      </c>
      <c r="M1708" s="20">
        <v>1162.5</v>
      </c>
      <c r="N1708" s="20">
        <v>1162.5</v>
      </c>
      <c r="O1708" s="20">
        <f t="shared" si="191"/>
        <v>-1162.5</v>
      </c>
      <c r="P1708" s="20" t="e">
        <f>#REF!-M1708</f>
        <v>#REF!</v>
      </c>
      <c r="Q1708" s="20" t="e">
        <f>#REF!-N1708</f>
        <v>#REF!</v>
      </c>
      <c r="R1708" s="17" t="str">
        <f t="shared" si="192"/>
        <v>07 1 01 20060000</v>
      </c>
    </row>
    <row r="1709" spans="1:18" s="16" customFormat="1" ht="31.5">
      <c r="A1709" s="14"/>
      <c r="B1709" s="127" t="s">
        <v>28</v>
      </c>
      <c r="C1709" s="109" t="s">
        <v>410</v>
      </c>
      <c r="D1709" s="108" t="s">
        <v>238</v>
      </c>
      <c r="E1709" s="108" t="s">
        <v>11</v>
      </c>
      <c r="F1709" s="131" t="s">
        <v>247</v>
      </c>
      <c r="G1709" s="108" t="s">
        <v>29</v>
      </c>
      <c r="H1709" s="126">
        <f>H1710</f>
        <v>0</v>
      </c>
      <c r="L1709" s="20">
        <v>1162.5</v>
      </c>
      <c r="M1709" s="20">
        <v>1162.5</v>
      </c>
      <c r="N1709" s="20">
        <v>1162.5</v>
      </c>
      <c r="O1709" s="20">
        <f t="shared" si="191"/>
        <v>-1162.5</v>
      </c>
      <c r="P1709" s="20" t="e">
        <f>#REF!-M1709</f>
        <v>#REF!</v>
      </c>
      <c r="Q1709" s="20" t="e">
        <f>#REF!-N1709</f>
        <v>#REF!</v>
      </c>
      <c r="R1709" s="17" t="str">
        <f t="shared" si="192"/>
        <v>07 1 01 20060240</v>
      </c>
    </row>
    <row r="1710" spans="1:18" s="16" customFormat="1" ht="15.75">
      <c r="A1710" s="14"/>
      <c r="B1710" s="125" t="s">
        <v>30</v>
      </c>
      <c r="C1710" s="109" t="s">
        <v>410</v>
      </c>
      <c r="D1710" s="108" t="s">
        <v>238</v>
      </c>
      <c r="E1710" s="108" t="s">
        <v>11</v>
      </c>
      <c r="F1710" s="108" t="s">
        <v>247</v>
      </c>
      <c r="G1710" s="108" t="s">
        <v>31</v>
      </c>
      <c r="H1710" s="126"/>
      <c r="L1710" s="20"/>
      <c r="M1710" s="20"/>
      <c r="N1710" s="20"/>
      <c r="O1710" s="20"/>
      <c r="P1710" s="20"/>
      <c r="Q1710" s="20"/>
      <c r="R1710" s="17"/>
    </row>
    <row r="1711" spans="1:18" s="16" customFormat="1" ht="15.75">
      <c r="A1711" s="14"/>
      <c r="B1711" s="117" t="s">
        <v>316</v>
      </c>
      <c r="C1711" s="118" t="s">
        <v>410</v>
      </c>
      <c r="D1711" s="119" t="s">
        <v>317</v>
      </c>
      <c r="E1711" s="119" t="s">
        <v>7</v>
      </c>
      <c r="F1711" s="119" t="s">
        <v>8</v>
      </c>
      <c r="G1711" s="119" t="s">
        <v>9</v>
      </c>
      <c r="H1711" s="120">
        <f>H1712</f>
        <v>0</v>
      </c>
      <c r="L1711" s="18">
        <v>23485.78</v>
      </c>
      <c r="M1711" s="18">
        <v>23485.78</v>
      </c>
      <c r="N1711" s="18">
        <v>24399.690000000002</v>
      </c>
      <c r="O1711" s="18">
        <f t="shared" ref="O1711:O1717" si="194">H1711-L1711</f>
        <v>-23485.78</v>
      </c>
      <c r="P1711" s="18" t="e">
        <f>#REF!-M1711</f>
        <v>#REF!</v>
      </c>
      <c r="Q1711" s="18" t="e">
        <f>#REF!-N1711</f>
        <v>#REF!</v>
      </c>
      <c r="R1711" s="17" t="str">
        <f t="shared" si="192"/>
        <v>00 0 00 00000000</v>
      </c>
    </row>
    <row r="1712" spans="1:18" s="16" customFormat="1" ht="15.75">
      <c r="A1712" s="14"/>
      <c r="B1712" s="121" t="s">
        <v>318</v>
      </c>
      <c r="C1712" s="122" t="s">
        <v>410</v>
      </c>
      <c r="D1712" s="123">
        <v>10</v>
      </c>
      <c r="E1712" s="123" t="s">
        <v>13</v>
      </c>
      <c r="F1712" s="123" t="s">
        <v>8</v>
      </c>
      <c r="G1712" s="123" t="s">
        <v>9</v>
      </c>
      <c r="H1712" s="124">
        <f>H1713</f>
        <v>0</v>
      </c>
      <c r="L1712" s="19">
        <v>23485.78</v>
      </c>
      <c r="M1712" s="19">
        <v>23485.78</v>
      </c>
      <c r="N1712" s="19">
        <v>24399.690000000002</v>
      </c>
      <c r="O1712" s="19">
        <f t="shared" si="194"/>
        <v>-23485.78</v>
      </c>
      <c r="P1712" s="19" t="e">
        <f>#REF!-M1712</f>
        <v>#REF!</v>
      </c>
      <c r="Q1712" s="19" t="e">
        <f>#REF!-N1712</f>
        <v>#REF!</v>
      </c>
      <c r="R1712" s="17" t="str">
        <f t="shared" si="192"/>
        <v>00 0 00 00000000</v>
      </c>
    </row>
    <row r="1713" spans="1:18" s="16" customFormat="1" ht="31.5">
      <c r="A1713" s="14"/>
      <c r="B1713" s="135" t="s">
        <v>385</v>
      </c>
      <c r="C1713" s="131" t="s">
        <v>410</v>
      </c>
      <c r="D1713" s="131">
        <v>10</v>
      </c>
      <c r="E1713" s="131" t="s">
        <v>13</v>
      </c>
      <c r="F1713" s="131" t="s">
        <v>386</v>
      </c>
      <c r="G1713" s="131" t="s">
        <v>9</v>
      </c>
      <c r="H1713" s="105">
        <f>H1714</f>
        <v>0</v>
      </c>
      <c r="L1713" s="26">
        <v>23485.78</v>
      </c>
      <c r="M1713" s="26">
        <v>23485.78</v>
      </c>
      <c r="N1713" s="26">
        <v>24399.690000000002</v>
      </c>
      <c r="O1713" s="26">
        <f t="shared" si="194"/>
        <v>-23485.78</v>
      </c>
      <c r="P1713" s="26" t="e">
        <f>#REF!-M1713</f>
        <v>#REF!</v>
      </c>
      <c r="Q1713" s="26" t="e">
        <f>#REF!-N1713</f>
        <v>#REF!</v>
      </c>
      <c r="R1713" s="17" t="str">
        <f t="shared" si="192"/>
        <v>03 0 00 00000000</v>
      </c>
    </row>
    <row r="1714" spans="1:18" s="16" customFormat="1" ht="63">
      <c r="A1714" s="14"/>
      <c r="B1714" s="135" t="s">
        <v>387</v>
      </c>
      <c r="C1714" s="131" t="s">
        <v>410</v>
      </c>
      <c r="D1714" s="131">
        <v>10</v>
      </c>
      <c r="E1714" s="131" t="s">
        <v>13</v>
      </c>
      <c r="F1714" s="131" t="s">
        <v>388</v>
      </c>
      <c r="G1714" s="131" t="s">
        <v>9</v>
      </c>
      <c r="H1714" s="105">
        <f>H1715+H1719</f>
        <v>0</v>
      </c>
      <c r="L1714" s="26">
        <v>23485.78</v>
      </c>
      <c r="M1714" s="26">
        <v>23485.78</v>
      </c>
      <c r="N1714" s="26">
        <v>24399.690000000002</v>
      </c>
      <c r="O1714" s="26">
        <f t="shared" si="194"/>
        <v>-23485.78</v>
      </c>
      <c r="P1714" s="26" t="e">
        <f>#REF!-M1714</f>
        <v>#REF!</v>
      </c>
      <c r="Q1714" s="26" t="e">
        <f>#REF!-N1714</f>
        <v>#REF!</v>
      </c>
      <c r="R1714" s="17" t="str">
        <f t="shared" si="192"/>
        <v>03 2 00 00000000</v>
      </c>
    </row>
    <row r="1715" spans="1:18" s="16" customFormat="1" ht="63">
      <c r="A1715" s="14"/>
      <c r="B1715" s="129" t="s">
        <v>902</v>
      </c>
      <c r="C1715" s="131" t="s">
        <v>410</v>
      </c>
      <c r="D1715" s="131">
        <v>10</v>
      </c>
      <c r="E1715" s="131" t="s">
        <v>13</v>
      </c>
      <c r="F1715" s="131" t="s">
        <v>903</v>
      </c>
      <c r="G1715" s="131" t="s">
        <v>9</v>
      </c>
      <c r="H1715" s="105">
        <f t="shared" ref="H1715:H1716" si="195">H1716</f>
        <v>0</v>
      </c>
      <c r="L1715" s="26">
        <v>2109.2600000000002</v>
      </c>
      <c r="M1715" s="26">
        <v>2109.2600000000002</v>
      </c>
      <c r="N1715" s="26">
        <v>2109.2600000000002</v>
      </c>
      <c r="O1715" s="26">
        <f t="shared" si="194"/>
        <v>-2109.2600000000002</v>
      </c>
      <c r="P1715" s="26" t="e">
        <f>#REF!-M1715</f>
        <v>#REF!</v>
      </c>
      <c r="Q1715" s="26" t="e">
        <f>#REF!-N1715</f>
        <v>#REF!</v>
      </c>
      <c r="R1715" s="17" t="str">
        <f t="shared" si="192"/>
        <v>03 2 03 00000000</v>
      </c>
    </row>
    <row r="1716" spans="1:18" s="16" customFormat="1" ht="63">
      <c r="A1716" s="14"/>
      <c r="B1716" s="125" t="s">
        <v>904</v>
      </c>
      <c r="C1716" s="108" t="s">
        <v>410</v>
      </c>
      <c r="D1716" s="108">
        <v>10</v>
      </c>
      <c r="E1716" s="108" t="s">
        <v>13</v>
      </c>
      <c r="F1716" s="108" t="s">
        <v>905</v>
      </c>
      <c r="G1716" s="108" t="s">
        <v>9</v>
      </c>
      <c r="H1716" s="126">
        <f t="shared" si="195"/>
        <v>0</v>
      </c>
      <c r="L1716" s="20">
        <v>2109.2600000000002</v>
      </c>
      <c r="M1716" s="20">
        <v>2109.2600000000002</v>
      </c>
      <c r="N1716" s="20">
        <v>2109.2600000000002</v>
      </c>
      <c r="O1716" s="20">
        <f t="shared" si="194"/>
        <v>-2109.2600000000002</v>
      </c>
      <c r="P1716" s="20" t="e">
        <f>#REF!-M1716</f>
        <v>#REF!</v>
      </c>
      <c r="Q1716" s="20" t="e">
        <f>#REF!-N1716</f>
        <v>#REF!</v>
      </c>
      <c r="R1716" s="17" t="str">
        <f t="shared" si="192"/>
        <v>03 2 03 80020000</v>
      </c>
    </row>
    <row r="1717" spans="1:18" s="16" customFormat="1" ht="63">
      <c r="A1717" s="14"/>
      <c r="B1717" s="125" t="s">
        <v>203</v>
      </c>
      <c r="C1717" s="108" t="s">
        <v>410</v>
      </c>
      <c r="D1717" s="108">
        <v>10</v>
      </c>
      <c r="E1717" s="108" t="s">
        <v>13</v>
      </c>
      <c r="F1717" s="108" t="s">
        <v>905</v>
      </c>
      <c r="G1717" s="108" t="s">
        <v>204</v>
      </c>
      <c r="H1717" s="126">
        <f>H1718</f>
        <v>0</v>
      </c>
      <c r="L1717" s="20">
        <v>2109.2600000000002</v>
      </c>
      <c r="M1717" s="20">
        <v>2109.2600000000002</v>
      </c>
      <c r="N1717" s="20">
        <v>2109.2600000000002</v>
      </c>
      <c r="O1717" s="20">
        <f t="shared" si="194"/>
        <v>-2109.2600000000002</v>
      </c>
      <c r="P1717" s="20" t="e">
        <f>#REF!-M1717</f>
        <v>#REF!</v>
      </c>
      <c r="Q1717" s="20" t="e">
        <f>#REF!-N1717</f>
        <v>#REF!</v>
      </c>
      <c r="R1717" s="17" t="str">
        <f t="shared" si="192"/>
        <v>03 2 03 80020810</v>
      </c>
    </row>
    <row r="1718" spans="1:18" s="16" customFormat="1" ht="63">
      <c r="A1718" s="14"/>
      <c r="B1718" s="125" t="s">
        <v>205</v>
      </c>
      <c r="C1718" s="108" t="s">
        <v>410</v>
      </c>
      <c r="D1718" s="108">
        <v>10</v>
      </c>
      <c r="E1718" s="108" t="s">
        <v>13</v>
      </c>
      <c r="F1718" s="108" t="s">
        <v>905</v>
      </c>
      <c r="G1718" s="108" t="s">
        <v>206</v>
      </c>
      <c r="H1718" s="126"/>
      <c r="L1718" s="20"/>
      <c r="M1718" s="20"/>
      <c r="N1718" s="20"/>
      <c r="O1718" s="20"/>
      <c r="P1718" s="20"/>
      <c r="Q1718" s="20"/>
      <c r="R1718" s="17" t="str">
        <f t="shared" si="192"/>
        <v>03 2 03 80020811</v>
      </c>
    </row>
    <row r="1719" spans="1:18" s="16" customFormat="1" ht="78.75">
      <c r="A1719" s="14"/>
      <c r="B1719" s="129" t="s">
        <v>906</v>
      </c>
      <c r="C1719" s="131" t="s">
        <v>410</v>
      </c>
      <c r="D1719" s="131">
        <v>10</v>
      </c>
      <c r="E1719" s="131" t="s">
        <v>13</v>
      </c>
      <c r="F1719" s="131" t="s">
        <v>907</v>
      </c>
      <c r="G1719" s="131" t="s">
        <v>9</v>
      </c>
      <c r="H1719" s="105">
        <f t="shared" ref="H1719:H1720" si="196">H1720</f>
        <v>0</v>
      </c>
      <c r="L1719" s="26">
        <v>21376.52</v>
      </c>
      <c r="M1719" s="26">
        <v>21376.52</v>
      </c>
      <c r="N1719" s="26">
        <v>22290.43</v>
      </c>
      <c r="O1719" s="26">
        <f>H1719-L1719</f>
        <v>-21376.52</v>
      </c>
      <c r="P1719" s="26" t="e">
        <f>#REF!-M1719</f>
        <v>#REF!</v>
      </c>
      <c r="Q1719" s="26" t="e">
        <f>#REF!-N1719</f>
        <v>#REF!</v>
      </c>
      <c r="R1719" s="17" t="str">
        <f t="shared" si="192"/>
        <v>03 2 04 00000000</v>
      </c>
    </row>
    <row r="1720" spans="1:18" s="16" customFormat="1" ht="63">
      <c r="A1720" s="14"/>
      <c r="B1720" s="125" t="s">
        <v>908</v>
      </c>
      <c r="C1720" s="108" t="s">
        <v>410</v>
      </c>
      <c r="D1720" s="108">
        <v>10</v>
      </c>
      <c r="E1720" s="108" t="s">
        <v>13</v>
      </c>
      <c r="F1720" s="108" t="s">
        <v>909</v>
      </c>
      <c r="G1720" s="108" t="s">
        <v>9</v>
      </c>
      <c r="H1720" s="126">
        <f t="shared" si="196"/>
        <v>0</v>
      </c>
      <c r="L1720" s="20">
        <v>21376.52</v>
      </c>
      <c r="M1720" s="20">
        <v>21376.52</v>
      </c>
      <c r="N1720" s="20">
        <v>22290.43</v>
      </c>
      <c r="O1720" s="20">
        <f>H1720-L1720</f>
        <v>-21376.52</v>
      </c>
      <c r="P1720" s="20" t="e">
        <f>#REF!-M1720</f>
        <v>#REF!</v>
      </c>
      <c r="Q1720" s="20" t="e">
        <f>#REF!-N1720</f>
        <v>#REF!</v>
      </c>
      <c r="R1720" s="17" t="str">
        <f t="shared" si="192"/>
        <v>03 2 04 80220000</v>
      </c>
    </row>
    <row r="1721" spans="1:18" s="16" customFormat="1" ht="63">
      <c r="A1721" s="14"/>
      <c r="B1721" s="125" t="s">
        <v>203</v>
      </c>
      <c r="C1721" s="108" t="s">
        <v>410</v>
      </c>
      <c r="D1721" s="108">
        <v>10</v>
      </c>
      <c r="E1721" s="108" t="s">
        <v>13</v>
      </c>
      <c r="F1721" s="108" t="s">
        <v>909</v>
      </c>
      <c r="G1721" s="108" t="s">
        <v>204</v>
      </c>
      <c r="H1721" s="126">
        <f>H1722</f>
        <v>0</v>
      </c>
      <c r="L1721" s="20">
        <v>21376.52</v>
      </c>
      <c r="M1721" s="20">
        <v>21376.52</v>
      </c>
      <c r="N1721" s="20">
        <v>22290.43</v>
      </c>
      <c r="O1721" s="20">
        <f>H1721-L1721</f>
        <v>-21376.52</v>
      </c>
      <c r="P1721" s="20" t="e">
        <f>#REF!-M1721</f>
        <v>#REF!</v>
      </c>
      <c r="Q1721" s="20" t="e">
        <f>#REF!-N1721</f>
        <v>#REF!</v>
      </c>
      <c r="R1721" s="17" t="str">
        <f t="shared" si="192"/>
        <v>03 2 04 80220810</v>
      </c>
    </row>
    <row r="1722" spans="1:18" s="16" customFormat="1" ht="110.25">
      <c r="A1722" s="14"/>
      <c r="B1722" s="125" t="s">
        <v>207</v>
      </c>
      <c r="C1722" s="108" t="s">
        <v>410</v>
      </c>
      <c r="D1722" s="108">
        <v>10</v>
      </c>
      <c r="E1722" s="108" t="s">
        <v>13</v>
      </c>
      <c r="F1722" s="108" t="s">
        <v>909</v>
      </c>
      <c r="G1722" s="108" t="s">
        <v>208</v>
      </c>
      <c r="H1722" s="126"/>
      <c r="L1722" s="20"/>
      <c r="M1722" s="20"/>
      <c r="N1722" s="20"/>
      <c r="O1722" s="20"/>
      <c r="P1722" s="20"/>
      <c r="Q1722" s="20"/>
      <c r="R1722" s="17" t="str">
        <f t="shared" si="192"/>
        <v>03 2 04 80220812</v>
      </c>
    </row>
    <row r="1723" spans="1:18" s="16" customFormat="1" ht="15.75">
      <c r="A1723" s="14"/>
      <c r="B1723" s="132"/>
      <c r="C1723" s="131"/>
      <c r="D1723" s="131"/>
      <c r="E1723" s="131"/>
      <c r="F1723" s="131"/>
      <c r="G1723" s="131"/>
      <c r="H1723" s="105"/>
      <c r="L1723" s="26"/>
      <c r="M1723" s="26"/>
      <c r="N1723" s="26"/>
      <c r="O1723" s="26">
        <f t="shared" ref="O1723:O1730" si="197">H1723-L1723</f>
        <v>0</v>
      </c>
      <c r="P1723" s="26" t="e">
        <f>#REF!-M1723</f>
        <v>#REF!</v>
      </c>
      <c r="Q1723" s="26" t="e">
        <f>#REF!-N1723</f>
        <v>#REF!</v>
      </c>
      <c r="R1723" s="17" t="str">
        <f t="shared" si="192"/>
        <v/>
      </c>
    </row>
    <row r="1724" spans="1:18" s="16" customFormat="1" ht="31.5">
      <c r="A1724" s="14"/>
      <c r="B1724" s="67" t="s">
        <v>910</v>
      </c>
      <c r="C1724" s="116" t="s">
        <v>412</v>
      </c>
      <c r="D1724" s="69" t="s">
        <v>7</v>
      </c>
      <c r="E1724" s="69" t="s">
        <v>7</v>
      </c>
      <c r="F1724" s="69" t="s">
        <v>8</v>
      </c>
      <c r="G1724" s="69" t="s">
        <v>9</v>
      </c>
      <c r="H1724" s="70">
        <f>H1725+H1752+H1789+H1797+H1769</f>
        <v>0</v>
      </c>
      <c r="L1724" s="25">
        <v>70127.8</v>
      </c>
      <c r="M1724" s="25">
        <v>89106.85</v>
      </c>
      <c r="N1724" s="25">
        <v>80479.070000000007</v>
      </c>
      <c r="O1724" s="25">
        <f t="shared" si="197"/>
        <v>-70127.8</v>
      </c>
      <c r="P1724" s="25" t="e">
        <f>#REF!-M1724</f>
        <v>#REF!</v>
      </c>
      <c r="Q1724" s="25" t="e">
        <f>#REF!-N1724</f>
        <v>#REF!</v>
      </c>
      <c r="R1724" s="17" t="str">
        <f t="shared" si="192"/>
        <v>00 0 00 00000000</v>
      </c>
    </row>
    <row r="1725" spans="1:18" s="16" customFormat="1" ht="15.75">
      <c r="A1725" s="14"/>
      <c r="B1725" s="117" t="s">
        <v>10</v>
      </c>
      <c r="C1725" s="118" t="s">
        <v>412</v>
      </c>
      <c r="D1725" s="119" t="s">
        <v>11</v>
      </c>
      <c r="E1725" s="119" t="s">
        <v>7</v>
      </c>
      <c r="F1725" s="119" t="s">
        <v>8</v>
      </c>
      <c r="G1725" s="119" t="s">
        <v>9</v>
      </c>
      <c r="H1725" s="120">
        <f>H1726</f>
        <v>0</v>
      </c>
      <c r="L1725" s="18">
        <v>51015.950000000004</v>
      </c>
      <c r="M1725" s="18">
        <v>51015.950000000004</v>
      </c>
      <c r="N1725" s="18">
        <v>51015.950000000004</v>
      </c>
      <c r="O1725" s="18">
        <f t="shared" si="197"/>
        <v>-51015.950000000004</v>
      </c>
      <c r="P1725" s="18" t="e">
        <f>#REF!-M1725</f>
        <v>#REF!</v>
      </c>
      <c r="Q1725" s="18" t="e">
        <f>#REF!-N1725</f>
        <v>#REF!</v>
      </c>
      <c r="R1725" s="17" t="str">
        <f t="shared" si="192"/>
        <v>00 0 00 00000000</v>
      </c>
    </row>
    <row r="1726" spans="1:18" s="16" customFormat="1" ht="15.75">
      <c r="A1726" s="14"/>
      <c r="B1726" s="121" t="s">
        <v>50</v>
      </c>
      <c r="C1726" s="122" t="s">
        <v>412</v>
      </c>
      <c r="D1726" s="123" t="s">
        <v>11</v>
      </c>
      <c r="E1726" s="123" t="s">
        <v>51</v>
      </c>
      <c r="F1726" s="123" t="s">
        <v>8</v>
      </c>
      <c r="G1726" s="123" t="s">
        <v>9</v>
      </c>
      <c r="H1726" s="124">
        <f>H1727</f>
        <v>0</v>
      </c>
      <c r="L1726" s="19">
        <v>51015.950000000004</v>
      </c>
      <c r="M1726" s="19">
        <v>51015.950000000004</v>
      </c>
      <c r="N1726" s="19">
        <v>51015.950000000004</v>
      </c>
      <c r="O1726" s="19">
        <f t="shared" si="197"/>
        <v>-51015.950000000004</v>
      </c>
      <c r="P1726" s="19" t="e">
        <f>#REF!-M1726</f>
        <v>#REF!</v>
      </c>
      <c r="Q1726" s="19" t="e">
        <f>#REF!-N1726</f>
        <v>#REF!</v>
      </c>
      <c r="R1726" s="17" t="str">
        <f t="shared" si="192"/>
        <v>00 0 00 00000000</v>
      </c>
    </row>
    <row r="1727" spans="1:18" s="16" customFormat="1" ht="31.5">
      <c r="A1727" s="14"/>
      <c r="B1727" s="164" t="s">
        <v>911</v>
      </c>
      <c r="C1727" s="109" t="s">
        <v>412</v>
      </c>
      <c r="D1727" s="108" t="s">
        <v>11</v>
      </c>
      <c r="E1727" s="108" t="s">
        <v>51</v>
      </c>
      <c r="F1727" s="108" t="s">
        <v>912</v>
      </c>
      <c r="G1727" s="108" t="s">
        <v>9</v>
      </c>
      <c r="H1727" s="126">
        <f>H1728+H1743</f>
        <v>0</v>
      </c>
      <c r="L1727" s="20">
        <v>51015.950000000004</v>
      </c>
      <c r="M1727" s="20">
        <v>51015.950000000004</v>
      </c>
      <c r="N1727" s="20">
        <v>51015.950000000004</v>
      </c>
      <c r="O1727" s="20">
        <f t="shared" si="197"/>
        <v>-51015.950000000004</v>
      </c>
      <c r="P1727" s="20" t="e">
        <f>#REF!-M1727</f>
        <v>#REF!</v>
      </c>
      <c r="Q1727" s="20" t="e">
        <f>#REF!-N1727</f>
        <v>#REF!</v>
      </c>
      <c r="R1727" s="17" t="str">
        <f t="shared" si="192"/>
        <v>84 0 00 00000000</v>
      </c>
    </row>
    <row r="1728" spans="1:18" s="16" customFormat="1" ht="47.25">
      <c r="A1728" s="14"/>
      <c r="B1728" s="164" t="s">
        <v>913</v>
      </c>
      <c r="C1728" s="109" t="s">
        <v>412</v>
      </c>
      <c r="D1728" s="108" t="s">
        <v>11</v>
      </c>
      <c r="E1728" s="108" t="s">
        <v>51</v>
      </c>
      <c r="F1728" s="108" t="s">
        <v>914</v>
      </c>
      <c r="G1728" s="108" t="s">
        <v>9</v>
      </c>
      <c r="H1728" s="126">
        <f>H1729+H1739</f>
        <v>0</v>
      </c>
      <c r="L1728" s="20">
        <v>46915.950000000004</v>
      </c>
      <c r="M1728" s="20">
        <v>46915.950000000004</v>
      </c>
      <c r="N1728" s="20">
        <v>46915.950000000004</v>
      </c>
      <c r="O1728" s="20">
        <f t="shared" si="197"/>
        <v>-46915.950000000004</v>
      </c>
      <c r="P1728" s="20" t="e">
        <f>#REF!-M1728</f>
        <v>#REF!</v>
      </c>
      <c r="Q1728" s="20" t="e">
        <f>#REF!-N1728</f>
        <v>#REF!</v>
      </c>
      <c r="R1728" s="17" t="str">
        <f t="shared" si="192"/>
        <v>84 1 00 00000000</v>
      </c>
    </row>
    <row r="1729" spans="1:18" s="16" customFormat="1" ht="31.5">
      <c r="A1729" s="14"/>
      <c r="B1729" s="164" t="s">
        <v>18</v>
      </c>
      <c r="C1729" s="109" t="s">
        <v>412</v>
      </c>
      <c r="D1729" s="108" t="s">
        <v>11</v>
      </c>
      <c r="E1729" s="108" t="s">
        <v>51</v>
      </c>
      <c r="F1729" s="108" t="s">
        <v>915</v>
      </c>
      <c r="G1729" s="108" t="s">
        <v>9</v>
      </c>
      <c r="H1729" s="126">
        <f>H1730+H1733+H1735</f>
        <v>0</v>
      </c>
      <c r="L1729" s="20">
        <v>4084.58</v>
      </c>
      <c r="M1729" s="20">
        <v>4084.58</v>
      </c>
      <c r="N1729" s="20">
        <v>4084.58</v>
      </c>
      <c r="O1729" s="20">
        <f t="shared" si="197"/>
        <v>-4084.58</v>
      </c>
      <c r="P1729" s="20" t="e">
        <f>#REF!-M1729</f>
        <v>#REF!</v>
      </c>
      <c r="Q1729" s="20" t="e">
        <f>#REF!-N1729</f>
        <v>#REF!</v>
      </c>
      <c r="R1729" s="17" t="str">
        <f t="shared" si="192"/>
        <v>84 1 00 10010000</v>
      </c>
    </row>
    <row r="1730" spans="1:18" s="16" customFormat="1" ht="31.5">
      <c r="A1730" s="14"/>
      <c r="B1730" s="164" t="s">
        <v>20</v>
      </c>
      <c r="C1730" s="109" t="s">
        <v>412</v>
      </c>
      <c r="D1730" s="108" t="s">
        <v>11</v>
      </c>
      <c r="E1730" s="108" t="s">
        <v>51</v>
      </c>
      <c r="F1730" s="108" t="s">
        <v>915</v>
      </c>
      <c r="G1730" s="108" t="s">
        <v>21</v>
      </c>
      <c r="H1730" s="126">
        <f>SUM(H1731:H1732)</f>
        <v>0</v>
      </c>
      <c r="L1730" s="20">
        <v>994.43</v>
      </c>
      <c r="M1730" s="20">
        <v>994.43</v>
      </c>
      <c r="N1730" s="20">
        <v>994.43</v>
      </c>
      <c r="O1730" s="20">
        <f t="shared" si="197"/>
        <v>-994.43</v>
      </c>
      <c r="P1730" s="20" t="e">
        <f>#REF!-M1730</f>
        <v>#REF!</v>
      </c>
      <c r="Q1730" s="20" t="e">
        <f>#REF!-N1730</f>
        <v>#REF!</v>
      </c>
      <c r="R1730" s="17" t="str">
        <f t="shared" si="192"/>
        <v>84 1 00 10010120</v>
      </c>
    </row>
    <row r="1731" spans="1:18" s="23" customFormat="1" ht="47.25">
      <c r="A1731" s="21"/>
      <c r="B1731" s="127" t="s">
        <v>22</v>
      </c>
      <c r="C1731" s="109" t="s">
        <v>412</v>
      </c>
      <c r="D1731" s="108" t="s">
        <v>11</v>
      </c>
      <c r="E1731" s="108" t="s">
        <v>51</v>
      </c>
      <c r="F1731" s="108" t="s">
        <v>915</v>
      </c>
      <c r="G1731" s="108" t="s">
        <v>23</v>
      </c>
      <c r="H1731" s="126"/>
      <c r="L1731" s="22"/>
      <c r="M1731" s="22"/>
      <c r="N1731" s="22"/>
      <c r="O1731" s="22"/>
      <c r="P1731" s="22"/>
      <c r="Q1731" s="22"/>
      <c r="R1731" s="24"/>
    </row>
    <row r="1732" spans="1:18" s="23" customFormat="1" ht="63">
      <c r="A1732" s="21"/>
      <c r="B1732" s="127" t="s">
        <v>26</v>
      </c>
      <c r="C1732" s="109" t="s">
        <v>412</v>
      </c>
      <c r="D1732" s="108" t="s">
        <v>11</v>
      </c>
      <c r="E1732" s="108" t="s">
        <v>51</v>
      </c>
      <c r="F1732" s="108" t="s">
        <v>915</v>
      </c>
      <c r="G1732" s="108" t="s">
        <v>27</v>
      </c>
      <c r="H1732" s="126"/>
      <c r="L1732" s="22"/>
      <c r="M1732" s="22"/>
      <c r="N1732" s="22"/>
      <c r="O1732" s="22"/>
      <c r="P1732" s="22"/>
      <c r="Q1732" s="22"/>
      <c r="R1732" s="24"/>
    </row>
    <row r="1733" spans="1:18" s="16" customFormat="1" ht="31.5">
      <c r="A1733" s="14"/>
      <c r="B1733" s="164" t="s">
        <v>28</v>
      </c>
      <c r="C1733" s="109" t="s">
        <v>412</v>
      </c>
      <c r="D1733" s="108" t="s">
        <v>11</v>
      </c>
      <c r="E1733" s="108" t="s">
        <v>51</v>
      </c>
      <c r="F1733" s="108" t="s">
        <v>915</v>
      </c>
      <c r="G1733" s="108" t="s">
        <v>29</v>
      </c>
      <c r="H1733" s="126">
        <f>H1734</f>
        <v>0</v>
      </c>
      <c r="L1733" s="20">
        <v>2863.85</v>
      </c>
      <c r="M1733" s="20">
        <v>2863.85</v>
      </c>
      <c r="N1733" s="20">
        <v>2863.85</v>
      </c>
      <c r="O1733" s="20">
        <f>H1733-L1733</f>
        <v>-2863.85</v>
      </c>
      <c r="P1733" s="20" t="e">
        <f>#REF!-M1733</f>
        <v>#REF!</v>
      </c>
      <c r="Q1733" s="20" t="e">
        <f>#REF!-N1733</f>
        <v>#REF!</v>
      </c>
      <c r="R1733" s="17" t="str">
        <f t="shared" si="192"/>
        <v>84 1 00 10010240</v>
      </c>
    </row>
    <row r="1734" spans="1:18" s="16" customFormat="1" ht="15.75">
      <c r="A1734" s="14"/>
      <c r="B1734" s="125" t="s">
        <v>30</v>
      </c>
      <c r="C1734" s="109" t="s">
        <v>412</v>
      </c>
      <c r="D1734" s="108" t="s">
        <v>11</v>
      </c>
      <c r="E1734" s="108" t="s">
        <v>51</v>
      </c>
      <c r="F1734" s="108" t="s">
        <v>915</v>
      </c>
      <c r="G1734" s="108" t="s">
        <v>31</v>
      </c>
      <c r="H1734" s="126"/>
      <c r="L1734" s="20"/>
      <c r="M1734" s="20"/>
      <c r="N1734" s="20"/>
      <c r="O1734" s="20"/>
      <c r="P1734" s="20"/>
      <c r="Q1734" s="20"/>
      <c r="R1734" s="17"/>
    </row>
    <row r="1735" spans="1:18" s="16" customFormat="1" ht="15.75">
      <c r="A1735" s="14"/>
      <c r="B1735" s="164" t="s">
        <v>32</v>
      </c>
      <c r="C1735" s="109" t="s">
        <v>412</v>
      </c>
      <c r="D1735" s="108" t="s">
        <v>11</v>
      </c>
      <c r="E1735" s="108" t="s">
        <v>51</v>
      </c>
      <c r="F1735" s="108" t="s">
        <v>915</v>
      </c>
      <c r="G1735" s="108" t="s">
        <v>33</v>
      </c>
      <c r="H1735" s="126">
        <f>SUM(H1736:H1738)</f>
        <v>0</v>
      </c>
      <c r="L1735" s="20">
        <v>226.3</v>
      </c>
      <c r="M1735" s="20">
        <v>226.3</v>
      </c>
      <c r="N1735" s="20">
        <v>226.3</v>
      </c>
      <c r="O1735" s="20">
        <f>H1735-L1735</f>
        <v>-226.3</v>
      </c>
      <c r="P1735" s="20" t="e">
        <f>#REF!-M1735</f>
        <v>#REF!</v>
      </c>
      <c r="Q1735" s="20" t="e">
        <f>#REF!-N1735</f>
        <v>#REF!</v>
      </c>
      <c r="R1735" s="17" t="str">
        <f t="shared" si="192"/>
        <v>84 1 00 10010850</v>
      </c>
    </row>
    <row r="1736" spans="1:18" s="23" customFormat="1" ht="31.5">
      <c r="A1736" s="21"/>
      <c r="B1736" s="127" t="s">
        <v>34</v>
      </c>
      <c r="C1736" s="109" t="s">
        <v>412</v>
      </c>
      <c r="D1736" s="108" t="s">
        <v>11</v>
      </c>
      <c r="E1736" s="108" t="s">
        <v>51</v>
      </c>
      <c r="F1736" s="108" t="s">
        <v>915</v>
      </c>
      <c r="G1736" s="108" t="s">
        <v>35</v>
      </c>
      <c r="H1736" s="126"/>
      <c r="L1736" s="22"/>
      <c r="M1736" s="22"/>
      <c r="N1736" s="22"/>
      <c r="O1736" s="22"/>
      <c r="P1736" s="22"/>
      <c r="Q1736" s="22"/>
      <c r="R1736" s="24"/>
    </row>
    <row r="1737" spans="1:18" s="23" customFormat="1" ht="15.75">
      <c r="A1737" s="21"/>
      <c r="B1737" s="127" t="s">
        <v>36</v>
      </c>
      <c r="C1737" s="109" t="s">
        <v>412</v>
      </c>
      <c r="D1737" s="108" t="s">
        <v>11</v>
      </c>
      <c r="E1737" s="108" t="s">
        <v>51</v>
      </c>
      <c r="F1737" s="108" t="s">
        <v>915</v>
      </c>
      <c r="G1737" s="108" t="s">
        <v>37</v>
      </c>
      <c r="H1737" s="126"/>
      <c r="L1737" s="22"/>
      <c r="M1737" s="22"/>
      <c r="N1737" s="22"/>
      <c r="O1737" s="22"/>
      <c r="P1737" s="22"/>
      <c r="Q1737" s="22"/>
      <c r="R1737" s="24"/>
    </row>
    <row r="1738" spans="1:18" s="23" customFormat="1" ht="15.75">
      <c r="A1738" s="21"/>
      <c r="B1738" s="127" t="s">
        <v>77</v>
      </c>
      <c r="C1738" s="109" t="s">
        <v>412</v>
      </c>
      <c r="D1738" s="108" t="s">
        <v>11</v>
      </c>
      <c r="E1738" s="108" t="s">
        <v>51</v>
      </c>
      <c r="F1738" s="108" t="s">
        <v>915</v>
      </c>
      <c r="G1738" s="108" t="s">
        <v>78</v>
      </c>
      <c r="H1738" s="126"/>
      <c r="L1738" s="22"/>
      <c r="M1738" s="22"/>
      <c r="N1738" s="22"/>
      <c r="O1738" s="22"/>
      <c r="P1738" s="22"/>
      <c r="Q1738" s="22"/>
      <c r="R1738" s="24"/>
    </row>
    <row r="1739" spans="1:18" s="16" customFormat="1" ht="31.5">
      <c r="A1739" s="14"/>
      <c r="B1739" s="164" t="s">
        <v>38</v>
      </c>
      <c r="C1739" s="109" t="s">
        <v>412</v>
      </c>
      <c r="D1739" s="108" t="s">
        <v>11</v>
      </c>
      <c r="E1739" s="108" t="s">
        <v>51</v>
      </c>
      <c r="F1739" s="108" t="s">
        <v>916</v>
      </c>
      <c r="G1739" s="108" t="s">
        <v>9</v>
      </c>
      <c r="H1739" s="126">
        <f>H1740</f>
        <v>0</v>
      </c>
      <c r="L1739" s="20">
        <v>42831.37</v>
      </c>
      <c r="M1739" s="20">
        <v>42831.37</v>
      </c>
      <c r="N1739" s="20">
        <v>42831.37</v>
      </c>
      <c r="O1739" s="20">
        <f>H1739-L1739</f>
        <v>-42831.37</v>
      </c>
      <c r="P1739" s="20" t="e">
        <f>#REF!-M1739</f>
        <v>#REF!</v>
      </c>
      <c r="Q1739" s="20" t="e">
        <f>#REF!-N1739</f>
        <v>#REF!</v>
      </c>
      <c r="R1739" s="17" t="str">
        <f t="shared" si="192"/>
        <v>84 1 00 10020000</v>
      </c>
    </row>
    <row r="1740" spans="1:18" s="16" customFormat="1" ht="31.5">
      <c r="A1740" s="14"/>
      <c r="B1740" s="164" t="s">
        <v>20</v>
      </c>
      <c r="C1740" s="109" t="s">
        <v>412</v>
      </c>
      <c r="D1740" s="108" t="s">
        <v>11</v>
      </c>
      <c r="E1740" s="108" t="s">
        <v>51</v>
      </c>
      <c r="F1740" s="108" t="s">
        <v>916</v>
      </c>
      <c r="G1740" s="108" t="s">
        <v>21</v>
      </c>
      <c r="H1740" s="126">
        <f>SUM(H1741:H1742)</f>
        <v>0</v>
      </c>
      <c r="L1740" s="20">
        <v>42831.37</v>
      </c>
      <c r="M1740" s="20">
        <v>42831.37</v>
      </c>
      <c r="N1740" s="20">
        <v>42831.37</v>
      </c>
      <c r="O1740" s="20">
        <f>H1740-L1740</f>
        <v>-42831.37</v>
      </c>
      <c r="P1740" s="20" t="e">
        <f>#REF!-M1740</f>
        <v>#REF!</v>
      </c>
      <c r="Q1740" s="20" t="e">
        <f>#REF!-N1740</f>
        <v>#REF!</v>
      </c>
      <c r="R1740" s="17" t="str">
        <f t="shared" si="192"/>
        <v>84 1 00 10020120</v>
      </c>
    </row>
    <row r="1741" spans="1:18" s="23" customFormat="1" ht="31.5">
      <c r="A1741" s="21"/>
      <c r="B1741" s="127" t="s">
        <v>40</v>
      </c>
      <c r="C1741" s="109" t="s">
        <v>412</v>
      </c>
      <c r="D1741" s="108" t="s">
        <v>11</v>
      </c>
      <c r="E1741" s="108" t="s">
        <v>51</v>
      </c>
      <c r="F1741" s="108" t="s">
        <v>916</v>
      </c>
      <c r="G1741" s="108" t="s">
        <v>41</v>
      </c>
      <c r="H1741" s="126"/>
      <c r="L1741" s="22"/>
      <c r="M1741" s="22"/>
      <c r="N1741" s="22"/>
      <c r="O1741" s="22"/>
      <c r="P1741" s="22"/>
      <c r="Q1741" s="22"/>
      <c r="R1741" s="24"/>
    </row>
    <row r="1742" spans="1:18" s="23" customFormat="1" ht="63">
      <c r="A1742" s="21"/>
      <c r="B1742" s="127" t="s">
        <v>26</v>
      </c>
      <c r="C1742" s="109" t="s">
        <v>412</v>
      </c>
      <c r="D1742" s="108" t="s">
        <v>11</v>
      </c>
      <c r="E1742" s="108" t="s">
        <v>51</v>
      </c>
      <c r="F1742" s="108" t="s">
        <v>916</v>
      </c>
      <c r="G1742" s="108" t="s">
        <v>27</v>
      </c>
      <c r="H1742" s="126"/>
      <c r="L1742" s="22"/>
      <c r="M1742" s="22"/>
      <c r="N1742" s="22"/>
      <c r="O1742" s="22"/>
      <c r="P1742" s="22"/>
      <c r="Q1742" s="22"/>
      <c r="R1742" s="24"/>
    </row>
    <row r="1743" spans="1:18" s="16" customFormat="1" ht="15.75">
      <c r="A1743" s="14"/>
      <c r="B1743" s="164" t="s">
        <v>52</v>
      </c>
      <c r="C1743" s="109" t="s">
        <v>412</v>
      </c>
      <c r="D1743" s="108" t="s">
        <v>11</v>
      </c>
      <c r="E1743" s="108" t="s">
        <v>51</v>
      </c>
      <c r="F1743" s="108" t="s">
        <v>917</v>
      </c>
      <c r="G1743" s="108" t="s">
        <v>9</v>
      </c>
      <c r="H1743" s="126">
        <f>H1749+H1744</f>
        <v>0</v>
      </c>
      <c r="L1743" s="20">
        <v>4100</v>
      </c>
      <c r="M1743" s="20">
        <v>4100</v>
      </c>
      <c r="N1743" s="20">
        <v>4100</v>
      </c>
      <c r="O1743" s="20">
        <f>H1743-L1743</f>
        <v>-4100</v>
      </c>
      <c r="P1743" s="20" t="e">
        <f>#REF!-M1743</f>
        <v>#REF!</v>
      </c>
      <c r="Q1743" s="20" t="e">
        <f>#REF!-N1743</f>
        <v>#REF!</v>
      </c>
      <c r="R1743" s="17" t="str">
        <f t="shared" si="192"/>
        <v>84 2 00 00000000</v>
      </c>
    </row>
    <row r="1744" spans="1:18" s="16" customFormat="1" ht="47.25">
      <c r="A1744" s="14"/>
      <c r="B1744" s="164" t="s">
        <v>918</v>
      </c>
      <c r="C1744" s="109" t="s">
        <v>412</v>
      </c>
      <c r="D1744" s="108" t="s">
        <v>11</v>
      </c>
      <c r="E1744" s="108" t="s">
        <v>51</v>
      </c>
      <c r="F1744" s="108" t="s">
        <v>919</v>
      </c>
      <c r="G1744" s="108" t="s">
        <v>9</v>
      </c>
      <c r="H1744" s="126">
        <f>H1745+H1747</f>
        <v>0</v>
      </c>
      <c r="L1744" s="20">
        <v>600</v>
      </c>
      <c r="M1744" s="20">
        <v>600</v>
      </c>
      <c r="N1744" s="20">
        <v>600</v>
      </c>
      <c r="O1744" s="20">
        <f>H1744-L1744</f>
        <v>-600</v>
      </c>
      <c r="P1744" s="20" t="e">
        <f>#REF!-M1744</f>
        <v>#REF!</v>
      </c>
      <c r="Q1744" s="20" t="e">
        <f>#REF!-N1744</f>
        <v>#REF!</v>
      </c>
      <c r="R1744" s="17" t="str">
        <f t="shared" si="192"/>
        <v>84 2 00 20740000</v>
      </c>
    </row>
    <row r="1745" spans="1:18" s="16" customFormat="1" ht="31.5">
      <c r="A1745" s="14"/>
      <c r="B1745" s="125" t="s">
        <v>28</v>
      </c>
      <c r="C1745" s="109" t="s">
        <v>412</v>
      </c>
      <c r="D1745" s="108" t="s">
        <v>11</v>
      </c>
      <c r="E1745" s="108" t="s">
        <v>51</v>
      </c>
      <c r="F1745" s="108" t="s">
        <v>919</v>
      </c>
      <c r="G1745" s="108" t="s">
        <v>29</v>
      </c>
      <c r="H1745" s="126">
        <f>H1746</f>
        <v>0</v>
      </c>
      <c r="L1745" s="20">
        <v>150</v>
      </c>
      <c r="M1745" s="20">
        <v>150</v>
      </c>
      <c r="N1745" s="20">
        <v>150</v>
      </c>
      <c r="O1745" s="20">
        <f>H1745-L1745</f>
        <v>-150</v>
      </c>
      <c r="P1745" s="20" t="e">
        <f>#REF!-M1745</f>
        <v>#REF!</v>
      </c>
      <c r="Q1745" s="20" t="e">
        <f>#REF!-N1745</f>
        <v>#REF!</v>
      </c>
      <c r="R1745" s="17" t="str">
        <f t="shared" si="192"/>
        <v>84 2 00 20740240</v>
      </c>
    </row>
    <row r="1746" spans="1:18" s="16" customFormat="1" ht="15.75">
      <c r="A1746" s="14"/>
      <c r="B1746" s="125" t="s">
        <v>30</v>
      </c>
      <c r="C1746" s="109" t="s">
        <v>412</v>
      </c>
      <c r="D1746" s="108" t="s">
        <v>11</v>
      </c>
      <c r="E1746" s="108" t="s">
        <v>51</v>
      </c>
      <c r="F1746" s="108" t="s">
        <v>919</v>
      </c>
      <c r="G1746" s="108" t="s">
        <v>31</v>
      </c>
      <c r="H1746" s="126"/>
      <c r="L1746" s="20"/>
      <c r="M1746" s="20"/>
      <c r="N1746" s="20"/>
      <c r="O1746" s="20"/>
      <c r="P1746" s="20"/>
      <c r="Q1746" s="20"/>
      <c r="R1746" s="17"/>
    </row>
    <row r="1747" spans="1:18" s="16" customFormat="1" ht="15.75">
      <c r="A1747" s="14"/>
      <c r="B1747" s="132" t="s">
        <v>189</v>
      </c>
      <c r="C1747" s="109" t="s">
        <v>412</v>
      </c>
      <c r="D1747" s="108" t="s">
        <v>11</v>
      </c>
      <c r="E1747" s="108" t="s">
        <v>51</v>
      </c>
      <c r="F1747" s="108" t="s">
        <v>919</v>
      </c>
      <c r="G1747" s="108" t="s">
        <v>190</v>
      </c>
      <c r="H1747" s="126">
        <f>H1748</f>
        <v>0</v>
      </c>
      <c r="L1747" s="20">
        <v>450</v>
      </c>
      <c r="M1747" s="20">
        <v>450</v>
      </c>
      <c r="N1747" s="20">
        <v>450</v>
      </c>
      <c r="O1747" s="20">
        <f>H1747-L1747</f>
        <v>-450</v>
      </c>
      <c r="P1747" s="20" t="e">
        <f>#REF!-M1747</f>
        <v>#REF!</v>
      </c>
      <c r="Q1747" s="20" t="e">
        <f>#REF!-N1747</f>
        <v>#REF!</v>
      </c>
      <c r="R1747" s="17" t="str">
        <f t="shared" si="192"/>
        <v>84 2 00 20740830</v>
      </c>
    </row>
    <row r="1748" spans="1:18" s="16" customFormat="1" ht="47.25">
      <c r="A1748" s="14"/>
      <c r="B1748" s="127" t="s">
        <v>191</v>
      </c>
      <c r="C1748" s="109" t="s">
        <v>412</v>
      </c>
      <c r="D1748" s="108" t="s">
        <v>11</v>
      </c>
      <c r="E1748" s="108" t="s">
        <v>51</v>
      </c>
      <c r="F1748" s="108" t="s">
        <v>919</v>
      </c>
      <c r="G1748" s="108" t="s">
        <v>192</v>
      </c>
      <c r="H1748" s="126"/>
      <c r="L1748" s="20"/>
      <c r="M1748" s="20"/>
      <c r="N1748" s="20"/>
      <c r="O1748" s="20"/>
      <c r="P1748" s="20"/>
      <c r="Q1748" s="20"/>
      <c r="R1748" s="17"/>
    </row>
    <row r="1749" spans="1:18" s="16" customFormat="1" ht="47.25">
      <c r="A1749" s="14"/>
      <c r="B1749" s="132" t="s">
        <v>920</v>
      </c>
      <c r="C1749" s="109" t="s">
        <v>412</v>
      </c>
      <c r="D1749" s="108" t="s">
        <v>11</v>
      </c>
      <c r="E1749" s="108" t="s">
        <v>51</v>
      </c>
      <c r="F1749" s="108" t="s">
        <v>921</v>
      </c>
      <c r="G1749" s="108" t="s">
        <v>9</v>
      </c>
      <c r="H1749" s="126">
        <f>H1750</f>
        <v>0</v>
      </c>
      <c r="L1749" s="20">
        <v>3500</v>
      </c>
      <c r="M1749" s="20">
        <v>3500</v>
      </c>
      <c r="N1749" s="20">
        <v>3500</v>
      </c>
      <c r="O1749" s="20">
        <f>H1749-L1749</f>
        <v>-3500</v>
      </c>
      <c r="P1749" s="20" t="e">
        <f>#REF!-M1749</f>
        <v>#REF!</v>
      </c>
      <c r="Q1749" s="20" t="e">
        <f>#REF!-N1749</f>
        <v>#REF!</v>
      </c>
      <c r="R1749" s="17" t="str">
        <f t="shared" si="192"/>
        <v>84 2 00 21100000</v>
      </c>
    </row>
    <row r="1750" spans="1:18" s="16" customFormat="1" ht="31.5">
      <c r="A1750" s="14"/>
      <c r="B1750" s="125" t="s">
        <v>28</v>
      </c>
      <c r="C1750" s="109" t="s">
        <v>412</v>
      </c>
      <c r="D1750" s="108" t="s">
        <v>11</v>
      </c>
      <c r="E1750" s="108" t="s">
        <v>51</v>
      </c>
      <c r="F1750" s="108" t="s">
        <v>921</v>
      </c>
      <c r="G1750" s="108" t="s">
        <v>29</v>
      </c>
      <c r="H1750" s="126">
        <f>H1751</f>
        <v>0</v>
      </c>
      <c r="L1750" s="20">
        <v>3500</v>
      </c>
      <c r="M1750" s="20">
        <v>3500</v>
      </c>
      <c r="N1750" s="20">
        <v>3500</v>
      </c>
      <c r="O1750" s="20">
        <f>H1750-L1750</f>
        <v>-3500</v>
      </c>
      <c r="P1750" s="20" t="e">
        <f>#REF!-M1750</f>
        <v>#REF!</v>
      </c>
      <c r="Q1750" s="20" t="e">
        <f>#REF!-N1750</f>
        <v>#REF!</v>
      </c>
      <c r="R1750" s="17" t="str">
        <f t="shared" si="192"/>
        <v>84 2 00 21100240</v>
      </c>
    </row>
    <row r="1751" spans="1:18" s="16" customFormat="1" ht="15.75">
      <c r="A1751" s="14"/>
      <c r="B1751" s="125" t="s">
        <v>30</v>
      </c>
      <c r="C1751" s="109" t="s">
        <v>412</v>
      </c>
      <c r="D1751" s="108" t="s">
        <v>11</v>
      </c>
      <c r="E1751" s="108" t="s">
        <v>51</v>
      </c>
      <c r="F1751" s="108" t="s">
        <v>921</v>
      </c>
      <c r="G1751" s="108" t="s">
        <v>31</v>
      </c>
      <c r="H1751" s="126"/>
      <c r="L1751" s="20"/>
      <c r="M1751" s="20"/>
      <c r="N1751" s="20"/>
      <c r="O1751" s="20"/>
      <c r="P1751" s="20"/>
      <c r="Q1751" s="20"/>
      <c r="R1751" s="17"/>
    </row>
    <row r="1752" spans="1:18" s="16" customFormat="1" ht="15.75">
      <c r="A1752" s="14"/>
      <c r="B1752" s="117" t="s">
        <v>195</v>
      </c>
      <c r="C1752" s="118" t="s">
        <v>412</v>
      </c>
      <c r="D1752" s="119" t="s">
        <v>73</v>
      </c>
      <c r="E1752" s="119" t="s">
        <v>7</v>
      </c>
      <c r="F1752" s="119" t="s">
        <v>8</v>
      </c>
      <c r="G1752" s="119" t="s">
        <v>9</v>
      </c>
      <c r="H1752" s="120">
        <f>H1753</f>
        <v>0</v>
      </c>
      <c r="L1752" s="18">
        <v>4903</v>
      </c>
      <c r="M1752" s="18">
        <v>9588.2999999999993</v>
      </c>
      <c r="N1752" s="18">
        <v>9588.2999999999993</v>
      </c>
      <c r="O1752" s="18">
        <f t="shared" ref="O1752:O1758" si="198">H1752-L1752</f>
        <v>-4903</v>
      </c>
      <c r="P1752" s="18" t="e">
        <f>#REF!-M1752</f>
        <v>#REF!</v>
      </c>
      <c r="Q1752" s="18" t="e">
        <f>#REF!-N1752</f>
        <v>#REF!</v>
      </c>
      <c r="R1752" s="17" t="str">
        <f t="shared" si="192"/>
        <v>00 0 00 00000000</v>
      </c>
    </row>
    <row r="1753" spans="1:18" s="16" customFormat="1" ht="15.75">
      <c r="A1753" s="14"/>
      <c r="B1753" s="121" t="s">
        <v>284</v>
      </c>
      <c r="C1753" s="122" t="s">
        <v>412</v>
      </c>
      <c r="D1753" s="123" t="s">
        <v>73</v>
      </c>
      <c r="E1753" s="123" t="s">
        <v>57</v>
      </c>
      <c r="F1753" s="123" t="s">
        <v>8</v>
      </c>
      <c r="G1753" s="123" t="s">
        <v>9</v>
      </c>
      <c r="H1753" s="124">
        <f>H1754+H1764</f>
        <v>0</v>
      </c>
      <c r="L1753" s="19">
        <v>4903</v>
      </c>
      <c r="M1753" s="19">
        <v>9588.2999999999993</v>
      </c>
      <c r="N1753" s="19">
        <v>9588.2999999999993</v>
      </c>
      <c r="O1753" s="19">
        <f t="shared" si="198"/>
        <v>-4903</v>
      </c>
      <c r="P1753" s="19" t="e">
        <f>#REF!-M1753</f>
        <v>#REF!</v>
      </c>
      <c r="Q1753" s="19" t="e">
        <f>#REF!-N1753</f>
        <v>#REF!</v>
      </c>
      <c r="R1753" s="17" t="str">
        <f t="shared" si="192"/>
        <v>00 0 00 00000000</v>
      </c>
    </row>
    <row r="1754" spans="1:18" s="16" customFormat="1" ht="31.5">
      <c r="A1754" s="14"/>
      <c r="B1754" s="125" t="s">
        <v>922</v>
      </c>
      <c r="C1754" s="109" t="s">
        <v>412</v>
      </c>
      <c r="D1754" s="109" t="s">
        <v>73</v>
      </c>
      <c r="E1754" s="109" t="s">
        <v>57</v>
      </c>
      <c r="F1754" s="109" t="s">
        <v>923</v>
      </c>
      <c r="G1754" s="109" t="s">
        <v>9</v>
      </c>
      <c r="H1754" s="141">
        <f>H1755</f>
        <v>0</v>
      </c>
      <c r="L1754" s="32">
        <v>4803</v>
      </c>
      <c r="M1754" s="32">
        <v>9488.2999999999993</v>
      </c>
      <c r="N1754" s="32">
        <v>9488.2999999999993</v>
      </c>
      <c r="O1754" s="32">
        <f t="shared" si="198"/>
        <v>-4803</v>
      </c>
      <c r="P1754" s="32" t="e">
        <f>#REF!-M1754</f>
        <v>#REF!</v>
      </c>
      <c r="Q1754" s="32" t="e">
        <f>#REF!-N1754</f>
        <v>#REF!</v>
      </c>
      <c r="R1754" s="17" t="str">
        <f t="shared" si="192"/>
        <v>05 0 00 00000000</v>
      </c>
    </row>
    <row r="1755" spans="1:18" s="16" customFormat="1" ht="47.25">
      <c r="A1755" s="14"/>
      <c r="B1755" s="125" t="s">
        <v>924</v>
      </c>
      <c r="C1755" s="109" t="s">
        <v>412</v>
      </c>
      <c r="D1755" s="109" t="s">
        <v>73</v>
      </c>
      <c r="E1755" s="109" t="s">
        <v>57</v>
      </c>
      <c r="F1755" s="109" t="s">
        <v>925</v>
      </c>
      <c r="G1755" s="109" t="s">
        <v>9</v>
      </c>
      <c r="H1755" s="141">
        <f>H1756+H1760</f>
        <v>0</v>
      </c>
      <c r="L1755" s="32">
        <v>4803</v>
      </c>
      <c r="M1755" s="32">
        <v>9488.2999999999993</v>
      </c>
      <c r="N1755" s="32">
        <v>9488.2999999999993</v>
      </c>
      <c r="O1755" s="32">
        <f t="shared" si="198"/>
        <v>-4803</v>
      </c>
      <c r="P1755" s="32" t="e">
        <f>#REF!-M1755</f>
        <v>#REF!</v>
      </c>
      <c r="Q1755" s="32" t="e">
        <f>#REF!-N1755</f>
        <v>#REF!</v>
      </c>
      <c r="R1755" s="17" t="str">
        <f t="shared" si="192"/>
        <v>05 Б 00 00000000</v>
      </c>
    </row>
    <row r="1756" spans="1:18" s="16" customFormat="1" ht="78.75">
      <c r="A1756" s="14"/>
      <c r="B1756" s="125" t="s">
        <v>926</v>
      </c>
      <c r="C1756" s="109" t="s">
        <v>412</v>
      </c>
      <c r="D1756" s="109" t="s">
        <v>73</v>
      </c>
      <c r="E1756" s="109" t="s">
        <v>57</v>
      </c>
      <c r="F1756" s="109" t="s">
        <v>927</v>
      </c>
      <c r="G1756" s="109" t="s">
        <v>9</v>
      </c>
      <c r="H1756" s="141">
        <f t="shared" ref="H1756:H1757" si="199">H1757</f>
        <v>0</v>
      </c>
      <c r="L1756" s="32">
        <v>4403</v>
      </c>
      <c r="M1756" s="32">
        <v>9488.2999999999993</v>
      </c>
      <c r="N1756" s="32">
        <v>9488.2999999999993</v>
      </c>
      <c r="O1756" s="32">
        <f t="shared" si="198"/>
        <v>-4403</v>
      </c>
      <c r="P1756" s="32" t="e">
        <f>#REF!-M1756</f>
        <v>#REF!</v>
      </c>
      <c r="Q1756" s="32" t="e">
        <f>#REF!-N1756</f>
        <v>#REF!</v>
      </c>
      <c r="R1756" s="17" t="str">
        <f t="shared" si="192"/>
        <v>05 Б 01 00000000</v>
      </c>
    </row>
    <row r="1757" spans="1:18" s="16" customFormat="1" ht="31.5">
      <c r="A1757" s="14"/>
      <c r="B1757" s="127" t="s">
        <v>928</v>
      </c>
      <c r="C1757" s="109" t="s">
        <v>412</v>
      </c>
      <c r="D1757" s="109" t="s">
        <v>73</v>
      </c>
      <c r="E1757" s="109" t="s">
        <v>57</v>
      </c>
      <c r="F1757" s="109" t="s">
        <v>929</v>
      </c>
      <c r="G1757" s="109" t="s">
        <v>9</v>
      </c>
      <c r="H1757" s="141">
        <f t="shared" si="199"/>
        <v>0</v>
      </c>
      <c r="L1757" s="32">
        <v>4403</v>
      </c>
      <c r="M1757" s="32">
        <v>9488.2999999999993</v>
      </c>
      <c r="N1757" s="32">
        <v>9488.2999999999993</v>
      </c>
      <c r="O1757" s="32">
        <f t="shared" si="198"/>
        <v>-4403</v>
      </c>
      <c r="P1757" s="32" t="e">
        <f>#REF!-M1757</f>
        <v>#REF!</v>
      </c>
      <c r="Q1757" s="32" t="e">
        <f>#REF!-N1757</f>
        <v>#REF!</v>
      </c>
      <c r="R1757" s="17" t="str">
        <f t="shared" si="192"/>
        <v>05 Б 01 20390000</v>
      </c>
    </row>
    <row r="1758" spans="1:18" s="16" customFormat="1" ht="31.5">
      <c r="A1758" s="14"/>
      <c r="B1758" s="125" t="s">
        <v>28</v>
      </c>
      <c r="C1758" s="109" t="s">
        <v>412</v>
      </c>
      <c r="D1758" s="109" t="s">
        <v>73</v>
      </c>
      <c r="E1758" s="109" t="s">
        <v>57</v>
      </c>
      <c r="F1758" s="109" t="s">
        <v>929</v>
      </c>
      <c r="G1758" s="109" t="s">
        <v>29</v>
      </c>
      <c r="H1758" s="126">
        <f>H1759</f>
        <v>0</v>
      </c>
      <c r="L1758" s="32">
        <v>4403</v>
      </c>
      <c r="M1758" s="32">
        <v>9488.2999999999993</v>
      </c>
      <c r="N1758" s="32">
        <v>9488.2999999999993</v>
      </c>
      <c r="O1758" s="32">
        <f t="shared" si="198"/>
        <v>-4403</v>
      </c>
      <c r="P1758" s="32" t="e">
        <f>#REF!-M1758</f>
        <v>#REF!</v>
      </c>
      <c r="Q1758" s="32" t="e">
        <f>#REF!-N1758</f>
        <v>#REF!</v>
      </c>
      <c r="R1758" s="17" t="str">
        <f t="shared" si="192"/>
        <v>05 Б 01 20390240</v>
      </c>
    </row>
    <row r="1759" spans="1:18" s="16" customFormat="1" ht="15.75">
      <c r="A1759" s="14"/>
      <c r="B1759" s="125" t="s">
        <v>30</v>
      </c>
      <c r="C1759" s="109" t="s">
        <v>412</v>
      </c>
      <c r="D1759" s="109" t="s">
        <v>73</v>
      </c>
      <c r="E1759" s="109" t="s">
        <v>57</v>
      </c>
      <c r="F1759" s="109" t="s">
        <v>929</v>
      </c>
      <c r="G1759" s="109" t="s">
        <v>31</v>
      </c>
      <c r="H1759" s="126"/>
      <c r="L1759" s="32"/>
      <c r="M1759" s="32"/>
      <c r="N1759" s="32"/>
      <c r="O1759" s="32"/>
      <c r="P1759" s="32"/>
      <c r="Q1759" s="32"/>
      <c r="R1759" s="17"/>
    </row>
    <row r="1760" spans="1:18" s="16" customFormat="1" ht="78.75">
      <c r="A1760" s="14"/>
      <c r="B1760" s="125" t="s">
        <v>930</v>
      </c>
      <c r="C1760" s="109" t="s">
        <v>412</v>
      </c>
      <c r="D1760" s="109" t="s">
        <v>73</v>
      </c>
      <c r="E1760" s="109" t="s">
        <v>57</v>
      </c>
      <c r="F1760" s="109" t="s">
        <v>931</v>
      </c>
      <c r="G1760" s="109" t="s">
        <v>9</v>
      </c>
      <c r="H1760" s="141">
        <f t="shared" ref="H1760:H1761" si="200">H1761</f>
        <v>0</v>
      </c>
      <c r="L1760" s="32">
        <v>400</v>
      </c>
      <c r="M1760" s="32">
        <v>0</v>
      </c>
      <c r="N1760" s="32">
        <v>0</v>
      </c>
      <c r="O1760" s="32">
        <f>H1760-L1760</f>
        <v>-400</v>
      </c>
      <c r="P1760" s="32" t="e">
        <f>#REF!-M1760</f>
        <v>#REF!</v>
      </c>
      <c r="Q1760" s="32" t="e">
        <f>#REF!-N1760</f>
        <v>#REF!</v>
      </c>
      <c r="R1760" s="17" t="str">
        <f t="shared" si="192"/>
        <v>05 Б 02 00000000</v>
      </c>
    </row>
    <row r="1761" spans="1:18" s="16" customFormat="1" ht="31.5">
      <c r="A1761" s="14"/>
      <c r="B1761" s="125" t="s">
        <v>932</v>
      </c>
      <c r="C1761" s="109" t="s">
        <v>412</v>
      </c>
      <c r="D1761" s="109" t="s">
        <v>73</v>
      </c>
      <c r="E1761" s="109" t="s">
        <v>57</v>
      </c>
      <c r="F1761" s="109" t="s">
        <v>933</v>
      </c>
      <c r="G1761" s="109" t="s">
        <v>9</v>
      </c>
      <c r="H1761" s="141">
        <f t="shared" si="200"/>
        <v>0</v>
      </c>
      <c r="L1761" s="32">
        <v>400</v>
      </c>
      <c r="M1761" s="32">
        <v>0</v>
      </c>
      <c r="N1761" s="32">
        <v>0</v>
      </c>
      <c r="O1761" s="32">
        <f>H1761-L1761</f>
        <v>-400</v>
      </c>
      <c r="P1761" s="32" t="e">
        <f>#REF!-M1761</f>
        <v>#REF!</v>
      </c>
      <c r="Q1761" s="32" t="e">
        <f>#REF!-N1761</f>
        <v>#REF!</v>
      </c>
      <c r="R1761" s="17" t="str">
        <f t="shared" si="192"/>
        <v>05 Б 02 21190000</v>
      </c>
    </row>
    <row r="1762" spans="1:18" s="16" customFormat="1" ht="31.5">
      <c r="A1762" s="14"/>
      <c r="B1762" s="125" t="s">
        <v>28</v>
      </c>
      <c r="C1762" s="109" t="s">
        <v>412</v>
      </c>
      <c r="D1762" s="109" t="s">
        <v>73</v>
      </c>
      <c r="E1762" s="109" t="s">
        <v>57</v>
      </c>
      <c r="F1762" s="109" t="s">
        <v>933</v>
      </c>
      <c r="G1762" s="109" t="s">
        <v>29</v>
      </c>
      <c r="H1762" s="126">
        <f>H1763</f>
        <v>0</v>
      </c>
      <c r="L1762" s="32">
        <v>400</v>
      </c>
      <c r="M1762" s="32">
        <v>0</v>
      </c>
      <c r="N1762" s="32">
        <v>0</v>
      </c>
      <c r="O1762" s="32">
        <f>H1762-L1762</f>
        <v>-400</v>
      </c>
      <c r="P1762" s="32" t="e">
        <f>#REF!-M1762</f>
        <v>#REF!</v>
      </c>
      <c r="Q1762" s="32" t="e">
        <f>#REF!-N1762</f>
        <v>#REF!</v>
      </c>
      <c r="R1762" s="17" t="str">
        <f t="shared" si="192"/>
        <v>05 Б 02 21190240</v>
      </c>
    </row>
    <row r="1763" spans="1:18" s="16" customFormat="1" ht="15.75">
      <c r="A1763" s="14"/>
      <c r="B1763" s="125" t="s">
        <v>30</v>
      </c>
      <c r="C1763" s="109" t="s">
        <v>412</v>
      </c>
      <c r="D1763" s="109" t="s">
        <v>73</v>
      </c>
      <c r="E1763" s="109" t="s">
        <v>57</v>
      </c>
      <c r="F1763" s="109" t="s">
        <v>933</v>
      </c>
      <c r="G1763" s="109" t="s">
        <v>31</v>
      </c>
      <c r="H1763" s="126"/>
      <c r="L1763" s="32"/>
      <c r="M1763" s="32"/>
      <c r="N1763" s="32"/>
      <c r="O1763" s="32"/>
      <c r="P1763" s="32"/>
      <c r="Q1763" s="32"/>
      <c r="R1763" s="17"/>
    </row>
    <row r="1764" spans="1:18" s="16" customFormat="1" ht="31.5">
      <c r="A1764" s="14"/>
      <c r="B1764" s="164" t="s">
        <v>911</v>
      </c>
      <c r="C1764" s="109" t="s">
        <v>412</v>
      </c>
      <c r="D1764" s="109" t="s">
        <v>73</v>
      </c>
      <c r="E1764" s="109" t="s">
        <v>57</v>
      </c>
      <c r="F1764" s="108" t="s">
        <v>912</v>
      </c>
      <c r="G1764" s="108" t="s">
        <v>9</v>
      </c>
      <c r="H1764" s="126">
        <f t="shared" ref="H1764:H1765" si="201">H1765</f>
        <v>0</v>
      </c>
      <c r="L1764" s="20">
        <v>100</v>
      </c>
      <c r="M1764" s="20">
        <v>100</v>
      </c>
      <c r="N1764" s="20">
        <v>100</v>
      </c>
      <c r="O1764" s="20">
        <f>H1764-L1764</f>
        <v>-100</v>
      </c>
      <c r="P1764" s="20" t="e">
        <f>#REF!-M1764</f>
        <v>#REF!</v>
      </c>
      <c r="Q1764" s="20" t="e">
        <f>#REF!-N1764</f>
        <v>#REF!</v>
      </c>
      <c r="R1764" s="17" t="str">
        <f t="shared" si="192"/>
        <v>84 0 00 00000000</v>
      </c>
    </row>
    <row r="1765" spans="1:18" s="16" customFormat="1" ht="15.75">
      <c r="A1765" s="14"/>
      <c r="B1765" s="164" t="s">
        <v>52</v>
      </c>
      <c r="C1765" s="109" t="s">
        <v>412</v>
      </c>
      <c r="D1765" s="109" t="s">
        <v>73</v>
      </c>
      <c r="E1765" s="109" t="s">
        <v>57</v>
      </c>
      <c r="F1765" s="108" t="s">
        <v>917</v>
      </c>
      <c r="G1765" s="108" t="s">
        <v>9</v>
      </c>
      <c r="H1765" s="126">
        <f t="shared" si="201"/>
        <v>0</v>
      </c>
      <c r="L1765" s="20">
        <v>100</v>
      </c>
      <c r="M1765" s="20">
        <v>100</v>
      </c>
      <c r="N1765" s="20">
        <v>100</v>
      </c>
      <c r="O1765" s="20">
        <f>H1765-L1765</f>
        <v>-100</v>
      </c>
      <c r="P1765" s="20" t="e">
        <f>#REF!-M1765</f>
        <v>#REF!</v>
      </c>
      <c r="Q1765" s="20" t="e">
        <f>#REF!-N1765</f>
        <v>#REF!</v>
      </c>
      <c r="R1765" s="17" t="str">
        <f t="shared" si="192"/>
        <v>84 2 00 00000000</v>
      </c>
    </row>
    <row r="1766" spans="1:18" s="16" customFormat="1" ht="31.5">
      <c r="A1766" s="14"/>
      <c r="B1766" s="164" t="s">
        <v>934</v>
      </c>
      <c r="C1766" s="109" t="s">
        <v>412</v>
      </c>
      <c r="D1766" s="109" t="s">
        <v>73</v>
      </c>
      <c r="E1766" s="109" t="s">
        <v>57</v>
      </c>
      <c r="F1766" s="108" t="s">
        <v>935</v>
      </c>
      <c r="G1766" s="108" t="s">
        <v>9</v>
      </c>
      <c r="H1766" s="126">
        <f>H1767</f>
        <v>0</v>
      </c>
      <c r="L1766" s="20">
        <v>100</v>
      </c>
      <c r="M1766" s="20">
        <v>100</v>
      </c>
      <c r="N1766" s="20">
        <v>100</v>
      </c>
      <c r="O1766" s="20">
        <f>H1766-L1766</f>
        <v>-100</v>
      </c>
      <c r="P1766" s="20" t="e">
        <f>#REF!-M1766</f>
        <v>#REF!</v>
      </c>
      <c r="Q1766" s="20" t="e">
        <f>#REF!-N1766</f>
        <v>#REF!</v>
      </c>
      <c r="R1766" s="17" t="str">
        <f t="shared" si="192"/>
        <v>84 2 00 21210000</v>
      </c>
    </row>
    <row r="1767" spans="1:18" s="16" customFormat="1" ht="31.5">
      <c r="A1767" s="14"/>
      <c r="B1767" s="125" t="s">
        <v>28</v>
      </c>
      <c r="C1767" s="109" t="s">
        <v>412</v>
      </c>
      <c r="D1767" s="109" t="s">
        <v>73</v>
      </c>
      <c r="E1767" s="109" t="s">
        <v>57</v>
      </c>
      <c r="F1767" s="108" t="s">
        <v>935</v>
      </c>
      <c r="G1767" s="108" t="s">
        <v>29</v>
      </c>
      <c r="H1767" s="126">
        <f>H1768</f>
        <v>0</v>
      </c>
      <c r="L1767" s="20">
        <v>100</v>
      </c>
      <c r="M1767" s="20">
        <v>100</v>
      </c>
      <c r="N1767" s="20">
        <v>100</v>
      </c>
      <c r="O1767" s="20">
        <f>H1767-L1767</f>
        <v>-100</v>
      </c>
      <c r="P1767" s="20" t="e">
        <f>#REF!-M1767</f>
        <v>#REF!</v>
      </c>
      <c r="Q1767" s="20" t="e">
        <f>#REF!-N1767</f>
        <v>#REF!</v>
      </c>
      <c r="R1767" s="17" t="str">
        <f t="shared" si="192"/>
        <v>84 2 00 21210240</v>
      </c>
    </row>
    <row r="1768" spans="1:18" s="16" customFormat="1" ht="15.75">
      <c r="A1768" s="14"/>
      <c r="B1768" s="125" t="s">
        <v>30</v>
      </c>
      <c r="C1768" s="109" t="s">
        <v>412</v>
      </c>
      <c r="D1768" s="109" t="s">
        <v>73</v>
      </c>
      <c r="E1768" s="109" t="s">
        <v>57</v>
      </c>
      <c r="F1768" s="108" t="s">
        <v>935</v>
      </c>
      <c r="G1768" s="108" t="s">
        <v>31</v>
      </c>
      <c r="H1768" s="126"/>
      <c r="L1768" s="20"/>
      <c r="M1768" s="20"/>
      <c r="N1768" s="20"/>
      <c r="O1768" s="20"/>
      <c r="P1768" s="20"/>
      <c r="Q1768" s="20"/>
      <c r="R1768" s="17"/>
    </row>
    <row r="1769" spans="1:18" s="16" customFormat="1" ht="15.75">
      <c r="A1769" s="14"/>
      <c r="B1769" s="117" t="s">
        <v>305</v>
      </c>
      <c r="C1769" s="118" t="s">
        <v>412</v>
      </c>
      <c r="D1769" s="119" t="s">
        <v>86</v>
      </c>
      <c r="E1769" s="119" t="s">
        <v>7</v>
      </c>
      <c r="F1769" s="119" t="s">
        <v>8</v>
      </c>
      <c r="G1769" s="119" t="s">
        <v>9</v>
      </c>
      <c r="H1769" s="120">
        <f t="shared" ref="H1769:H1774" si="202">H1770</f>
        <v>0</v>
      </c>
      <c r="L1769" s="18">
        <v>50</v>
      </c>
      <c r="M1769" s="18">
        <v>0</v>
      </c>
      <c r="N1769" s="18">
        <v>0</v>
      </c>
      <c r="O1769" s="18">
        <f t="shared" ref="O1769:O1775" si="203">H1769-L1769</f>
        <v>-50</v>
      </c>
      <c r="P1769" s="18" t="e">
        <f>#REF!-M1769</f>
        <v>#REF!</v>
      </c>
      <c r="Q1769" s="18" t="e">
        <f>#REF!-N1769</f>
        <v>#REF!</v>
      </c>
      <c r="R1769" s="17" t="str">
        <f t="shared" si="192"/>
        <v>00 0 00 00000000</v>
      </c>
    </row>
    <row r="1770" spans="1:18" s="16" customFormat="1" ht="15.75">
      <c r="A1770" s="14"/>
      <c r="B1770" s="121" t="s">
        <v>306</v>
      </c>
      <c r="C1770" s="122" t="s">
        <v>412</v>
      </c>
      <c r="D1770" s="123" t="s">
        <v>86</v>
      </c>
      <c r="E1770" s="123" t="s">
        <v>13</v>
      </c>
      <c r="F1770" s="123" t="s">
        <v>8</v>
      </c>
      <c r="G1770" s="123" t="s">
        <v>9</v>
      </c>
      <c r="H1770" s="124">
        <f t="shared" si="202"/>
        <v>0</v>
      </c>
      <c r="L1770" s="19">
        <v>50</v>
      </c>
      <c r="M1770" s="19">
        <v>0</v>
      </c>
      <c r="N1770" s="19">
        <v>0</v>
      </c>
      <c r="O1770" s="19">
        <f t="shared" si="203"/>
        <v>-50</v>
      </c>
      <c r="P1770" s="19" t="e">
        <f>#REF!-M1770</f>
        <v>#REF!</v>
      </c>
      <c r="Q1770" s="19" t="e">
        <f>#REF!-N1770</f>
        <v>#REF!</v>
      </c>
      <c r="R1770" s="17" t="str">
        <f t="shared" ref="R1770:R1839" si="204">CONCATENATE(F1770,G1770)</f>
        <v>00 0 00 00000000</v>
      </c>
    </row>
    <row r="1771" spans="1:18" s="16" customFormat="1" ht="63">
      <c r="A1771" s="14"/>
      <c r="B1771" s="127" t="s">
        <v>293</v>
      </c>
      <c r="C1771" s="108" t="s">
        <v>412</v>
      </c>
      <c r="D1771" s="108" t="s">
        <v>86</v>
      </c>
      <c r="E1771" s="108" t="s">
        <v>13</v>
      </c>
      <c r="F1771" s="108" t="s">
        <v>294</v>
      </c>
      <c r="G1771" s="108" t="s">
        <v>9</v>
      </c>
      <c r="H1771" s="141">
        <f t="shared" si="202"/>
        <v>0</v>
      </c>
      <c r="L1771" s="32">
        <v>50</v>
      </c>
      <c r="M1771" s="32">
        <v>0</v>
      </c>
      <c r="N1771" s="32">
        <v>0</v>
      </c>
      <c r="O1771" s="32">
        <f t="shared" si="203"/>
        <v>-50</v>
      </c>
      <c r="P1771" s="32" t="e">
        <f>#REF!-M1771</f>
        <v>#REF!</v>
      </c>
      <c r="Q1771" s="32" t="e">
        <f>#REF!-N1771</f>
        <v>#REF!</v>
      </c>
      <c r="R1771" s="17" t="str">
        <f t="shared" si="204"/>
        <v>04 0 00 00000000</v>
      </c>
    </row>
    <row r="1772" spans="1:18" s="16" customFormat="1" ht="31.5">
      <c r="A1772" s="14"/>
      <c r="B1772" s="125" t="s">
        <v>307</v>
      </c>
      <c r="C1772" s="108" t="s">
        <v>412</v>
      </c>
      <c r="D1772" s="108" t="s">
        <v>86</v>
      </c>
      <c r="E1772" s="108" t="s">
        <v>13</v>
      </c>
      <c r="F1772" s="108" t="s">
        <v>308</v>
      </c>
      <c r="G1772" s="108" t="s">
        <v>9</v>
      </c>
      <c r="H1772" s="141">
        <f t="shared" si="202"/>
        <v>0</v>
      </c>
      <c r="L1772" s="32">
        <v>50</v>
      </c>
      <c r="M1772" s="32">
        <v>0</v>
      </c>
      <c r="N1772" s="32">
        <v>0</v>
      </c>
      <c r="O1772" s="32">
        <f t="shared" si="203"/>
        <v>-50</v>
      </c>
      <c r="P1772" s="32" t="e">
        <f>#REF!-M1772</f>
        <v>#REF!</v>
      </c>
      <c r="Q1772" s="32" t="e">
        <f>#REF!-N1772</f>
        <v>#REF!</v>
      </c>
      <c r="R1772" s="17" t="str">
        <f t="shared" si="204"/>
        <v>04 3 00 00000000</v>
      </c>
    </row>
    <row r="1773" spans="1:18" s="16" customFormat="1" ht="31.5">
      <c r="A1773" s="14"/>
      <c r="B1773" s="138" t="s">
        <v>309</v>
      </c>
      <c r="C1773" s="130" t="s">
        <v>412</v>
      </c>
      <c r="D1773" s="131" t="s">
        <v>86</v>
      </c>
      <c r="E1773" s="131" t="s">
        <v>13</v>
      </c>
      <c r="F1773" s="108" t="s">
        <v>310</v>
      </c>
      <c r="G1773" s="131" t="s">
        <v>9</v>
      </c>
      <c r="H1773" s="105">
        <f>H1774+H1777+H1783</f>
        <v>0</v>
      </c>
      <c r="L1773" s="26">
        <v>50</v>
      </c>
      <c r="M1773" s="26">
        <v>0</v>
      </c>
      <c r="N1773" s="26">
        <v>0</v>
      </c>
      <c r="O1773" s="26">
        <f t="shared" si="203"/>
        <v>-50</v>
      </c>
      <c r="P1773" s="26" t="e">
        <f>#REF!-M1773</f>
        <v>#REF!</v>
      </c>
      <c r="Q1773" s="26" t="e">
        <f>#REF!-N1773</f>
        <v>#REF!</v>
      </c>
      <c r="R1773" s="17" t="str">
        <f t="shared" si="204"/>
        <v>04 3 04 00000000</v>
      </c>
    </row>
    <row r="1774" spans="1:18" s="16" customFormat="1" ht="31.5">
      <c r="A1774" s="14"/>
      <c r="B1774" s="138" t="s">
        <v>542</v>
      </c>
      <c r="C1774" s="130" t="s">
        <v>412</v>
      </c>
      <c r="D1774" s="131" t="s">
        <v>86</v>
      </c>
      <c r="E1774" s="131" t="s">
        <v>13</v>
      </c>
      <c r="F1774" s="142" t="s">
        <v>543</v>
      </c>
      <c r="G1774" s="142" t="s">
        <v>9</v>
      </c>
      <c r="H1774" s="126">
        <f t="shared" si="202"/>
        <v>0</v>
      </c>
      <c r="L1774" s="20">
        <v>50</v>
      </c>
      <c r="M1774" s="20">
        <v>0</v>
      </c>
      <c r="N1774" s="20">
        <v>0</v>
      </c>
      <c r="O1774" s="20">
        <f t="shared" si="203"/>
        <v>-50</v>
      </c>
      <c r="P1774" s="20" t="e">
        <f>#REF!-M1774</f>
        <v>#REF!</v>
      </c>
      <c r="Q1774" s="20" t="e">
        <f>#REF!-N1774</f>
        <v>#REF!</v>
      </c>
      <c r="R1774" s="17" t="str">
        <f t="shared" si="204"/>
        <v>04 3 04 20300000</v>
      </c>
    </row>
    <row r="1775" spans="1:18" s="16" customFormat="1" ht="31.5">
      <c r="A1775" s="14"/>
      <c r="B1775" s="138" t="s">
        <v>28</v>
      </c>
      <c r="C1775" s="130" t="s">
        <v>412</v>
      </c>
      <c r="D1775" s="131" t="s">
        <v>86</v>
      </c>
      <c r="E1775" s="131" t="s">
        <v>13</v>
      </c>
      <c r="F1775" s="142" t="s">
        <v>543</v>
      </c>
      <c r="G1775" s="142" t="s">
        <v>29</v>
      </c>
      <c r="H1775" s="126">
        <f>H1776</f>
        <v>0</v>
      </c>
      <c r="L1775" s="20">
        <v>50</v>
      </c>
      <c r="M1775" s="20">
        <v>0</v>
      </c>
      <c r="N1775" s="20">
        <v>0</v>
      </c>
      <c r="O1775" s="20">
        <f t="shared" si="203"/>
        <v>-50</v>
      </c>
      <c r="P1775" s="20" t="e">
        <f>#REF!-M1775</f>
        <v>#REF!</v>
      </c>
      <c r="Q1775" s="20" t="e">
        <f>#REF!-N1775</f>
        <v>#REF!</v>
      </c>
      <c r="R1775" s="17" t="str">
        <f t="shared" si="204"/>
        <v>04 3 04 20300240</v>
      </c>
    </row>
    <row r="1776" spans="1:18" s="16" customFormat="1" ht="15.75">
      <c r="A1776" s="14"/>
      <c r="B1776" s="125" t="s">
        <v>30</v>
      </c>
      <c r="C1776" s="130" t="s">
        <v>412</v>
      </c>
      <c r="D1776" s="131" t="s">
        <v>86</v>
      </c>
      <c r="E1776" s="131" t="s">
        <v>13</v>
      </c>
      <c r="F1776" s="142" t="s">
        <v>543</v>
      </c>
      <c r="G1776" s="142" t="s">
        <v>31</v>
      </c>
      <c r="H1776" s="126"/>
      <c r="L1776" s="20"/>
      <c r="M1776" s="20"/>
      <c r="N1776" s="20"/>
      <c r="O1776" s="20"/>
      <c r="P1776" s="20"/>
      <c r="Q1776" s="20"/>
      <c r="R1776" s="17"/>
    </row>
    <row r="1777" spans="1:18" s="16" customFormat="1" ht="47.25">
      <c r="A1777" s="14"/>
      <c r="B1777" s="125" t="s">
        <v>1043</v>
      </c>
      <c r="C1777" s="130" t="s">
        <v>412</v>
      </c>
      <c r="D1777" s="131" t="s">
        <v>86</v>
      </c>
      <c r="E1777" s="131" t="s">
        <v>13</v>
      </c>
      <c r="F1777" s="131" t="s">
        <v>1056</v>
      </c>
      <c r="G1777" s="131" t="s">
        <v>9</v>
      </c>
      <c r="H1777" s="126">
        <f>H1781</f>
        <v>0</v>
      </c>
      <c r="L1777" s="20"/>
      <c r="M1777" s="20"/>
      <c r="N1777" s="20"/>
      <c r="O1777" s="20"/>
      <c r="P1777" s="20"/>
      <c r="Q1777" s="20"/>
      <c r="R1777" s="17"/>
    </row>
    <row r="1778" spans="1:18" s="16" customFormat="1" ht="15.75">
      <c r="A1778" s="14"/>
      <c r="B1778" s="132" t="s">
        <v>1045</v>
      </c>
      <c r="C1778" s="130"/>
      <c r="D1778" s="131"/>
      <c r="E1778" s="131"/>
      <c r="F1778" s="131"/>
      <c r="G1778" s="131"/>
      <c r="H1778" s="126"/>
      <c r="L1778" s="20"/>
      <c r="M1778" s="20"/>
      <c r="N1778" s="20"/>
      <c r="O1778" s="20"/>
      <c r="P1778" s="20"/>
      <c r="Q1778" s="20"/>
      <c r="R1778" s="17"/>
    </row>
    <row r="1779" spans="1:18" s="16" customFormat="1" ht="15.75">
      <c r="A1779" s="14"/>
      <c r="B1779" s="125" t="s">
        <v>1046</v>
      </c>
      <c r="C1779" s="130" t="s">
        <v>412</v>
      </c>
      <c r="D1779" s="131" t="s">
        <v>86</v>
      </c>
      <c r="E1779" s="131" t="s">
        <v>13</v>
      </c>
      <c r="F1779" s="131" t="s">
        <v>1056</v>
      </c>
      <c r="G1779" s="131" t="s">
        <v>9</v>
      </c>
      <c r="H1779" s="126"/>
      <c r="L1779" s="20"/>
      <c r="M1779" s="20"/>
      <c r="N1779" s="20"/>
      <c r="O1779" s="20"/>
      <c r="P1779" s="20"/>
      <c r="Q1779" s="20"/>
      <c r="R1779" s="17"/>
    </row>
    <row r="1780" spans="1:18" s="16" customFormat="1" ht="15.75">
      <c r="A1780" s="14"/>
      <c r="B1780" s="125" t="s">
        <v>1047</v>
      </c>
      <c r="C1780" s="130" t="s">
        <v>412</v>
      </c>
      <c r="D1780" s="131" t="s">
        <v>86</v>
      </c>
      <c r="E1780" s="131" t="s">
        <v>13</v>
      </c>
      <c r="F1780" s="131" t="s">
        <v>1056</v>
      </c>
      <c r="G1780" s="131" t="s">
        <v>9</v>
      </c>
      <c r="H1780" s="126"/>
      <c r="L1780" s="20"/>
      <c r="M1780" s="20"/>
      <c r="N1780" s="20"/>
      <c r="O1780" s="20"/>
      <c r="P1780" s="20"/>
      <c r="Q1780" s="20"/>
      <c r="R1780" s="17"/>
    </row>
    <row r="1781" spans="1:18" s="16" customFormat="1" ht="31.5">
      <c r="A1781" s="14"/>
      <c r="B1781" s="125" t="s">
        <v>28</v>
      </c>
      <c r="C1781" s="130" t="s">
        <v>412</v>
      </c>
      <c r="D1781" s="131" t="s">
        <v>86</v>
      </c>
      <c r="E1781" s="131" t="s">
        <v>13</v>
      </c>
      <c r="F1781" s="131" t="s">
        <v>1056</v>
      </c>
      <c r="G1781" s="131" t="s">
        <v>29</v>
      </c>
      <c r="H1781" s="126">
        <f>H1782</f>
        <v>0</v>
      </c>
      <c r="L1781" s="20"/>
      <c r="M1781" s="20"/>
      <c r="N1781" s="20"/>
      <c r="O1781" s="20"/>
      <c r="P1781" s="20"/>
      <c r="Q1781" s="20"/>
      <c r="R1781" s="17"/>
    </row>
    <row r="1782" spans="1:18" s="16" customFormat="1" ht="15.75">
      <c r="A1782" s="14"/>
      <c r="B1782" s="125" t="s">
        <v>30</v>
      </c>
      <c r="C1782" s="130" t="s">
        <v>412</v>
      </c>
      <c r="D1782" s="131" t="s">
        <v>86</v>
      </c>
      <c r="E1782" s="131" t="s">
        <v>13</v>
      </c>
      <c r="F1782" s="131" t="s">
        <v>1056</v>
      </c>
      <c r="G1782" s="131" t="s">
        <v>31</v>
      </c>
      <c r="H1782" s="126">
        <f>H1779+H1780</f>
        <v>0</v>
      </c>
      <c r="L1782" s="20"/>
      <c r="M1782" s="20"/>
      <c r="N1782" s="20"/>
      <c r="O1782" s="20"/>
      <c r="P1782" s="20"/>
      <c r="Q1782" s="20"/>
      <c r="R1782" s="17"/>
    </row>
    <row r="1783" spans="1:18" s="16" customFormat="1" ht="47.25">
      <c r="A1783" s="14"/>
      <c r="B1783" s="127" t="s">
        <v>1048</v>
      </c>
      <c r="C1783" s="130" t="s">
        <v>412</v>
      </c>
      <c r="D1783" s="131" t="s">
        <v>86</v>
      </c>
      <c r="E1783" s="131" t="s">
        <v>13</v>
      </c>
      <c r="F1783" s="131" t="s">
        <v>1057</v>
      </c>
      <c r="G1783" s="131" t="s">
        <v>9</v>
      </c>
      <c r="H1783" s="126">
        <f>H1787</f>
        <v>0</v>
      </c>
      <c r="L1783" s="20"/>
      <c r="M1783" s="20"/>
      <c r="N1783" s="20"/>
      <c r="O1783" s="20"/>
      <c r="P1783" s="20"/>
      <c r="Q1783" s="20"/>
      <c r="R1783" s="17"/>
    </row>
    <row r="1784" spans="1:18" s="16" customFormat="1" ht="15.75">
      <c r="A1784" s="14"/>
      <c r="B1784" s="132" t="s">
        <v>1045</v>
      </c>
      <c r="C1784" s="130"/>
      <c r="D1784" s="131"/>
      <c r="E1784" s="131"/>
      <c r="F1784" s="131"/>
      <c r="G1784" s="131"/>
      <c r="H1784" s="126"/>
      <c r="L1784" s="20"/>
      <c r="M1784" s="20"/>
      <c r="N1784" s="20"/>
      <c r="O1784" s="20"/>
      <c r="P1784" s="20"/>
      <c r="Q1784" s="20"/>
      <c r="R1784" s="17"/>
    </row>
    <row r="1785" spans="1:18" s="16" customFormat="1" ht="15.75">
      <c r="A1785" s="14"/>
      <c r="B1785" s="125" t="s">
        <v>1050</v>
      </c>
      <c r="C1785" s="130" t="s">
        <v>412</v>
      </c>
      <c r="D1785" s="131" t="s">
        <v>86</v>
      </c>
      <c r="E1785" s="131" t="s">
        <v>13</v>
      </c>
      <c r="F1785" s="131" t="s">
        <v>1057</v>
      </c>
      <c r="G1785" s="131" t="s">
        <v>9</v>
      </c>
      <c r="H1785" s="126"/>
      <c r="L1785" s="20"/>
      <c r="M1785" s="20"/>
      <c r="N1785" s="20"/>
      <c r="O1785" s="20"/>
      <c r="P1785" s="20"/>
      <c r="Q1785" s="20"/>
      <c r="R1785" s="17"/>
    </row>
    <row r="1786" spans="1:18" s="16" customFormat="1" ht="15.75">
      <c r="A1786" s="14"/>
      <c r="B1786" s="125" t="s">
        <v>1051</v>
      </c>
      <c r="C1786" s="130" t="s">
        <v>412</v>
      </c>
      <c r="D1786" s="131" t="s">
        <v>86</v>
      </c>
      <c r="E1786" s="131" t="s">
        <v>13</v>
      </c>
      <c r="F1786" s="131" t="s">
        <v>1057</v>
      </c>
      <c r="G1786" s="131" t="s">
        <v>9</v>
      </c>
      <c r="H1786" s="126"/>
      <c r="L1786" s="20"/>
      <c r="M1786" s="20"/>
      <c r="N1786" s="20"/>
      <c r="O1786" s="20"/>
      <c r="P1786" s="20"/>
      <c r="Q1786" s="20"/>
      <c r="R1786" s="17"/>
    </row>
    <row r="1787" spans="1:18" s="16" customFormat="1" ht="31.5">
      <c r="A1787" s="14"/>
      <c r="B1787" s="125" t="s">
        <v>28</v>
      </c>
      <c r="C1787" s="130" t="s">
        <v>412</v>
      </c>
      <c r="D1787" s="131" t="s">
        <v>86</v>
      </c>
      <c r="E1787" s="131" t="s">
        <v>13</v>
      </c>
      <c r="F1787" s="131" t="s">
        <v>1057</v>
      </c>
      <c r="G1787" s="131" t="s">
        <v>29</v>
      </c>
      <c r="H1787" s="126">
        <f>H1788</f>
        <v>0</v>
      </c>
      <c r="L1787" s="20"/>
      <c r="M1787" s="20"/>
      <c r="N1787" s="20"/>
      <c r="O1787" s="20"/>
      <c r="P1787" s="20"/>
      <c r="Q1787" s="20"/>
      <c r="R1787" s="17"/>
    </row>
    <row r="1788" spans="1:18" s="16" customFormat="1" ht="15.75">
      <c r="A1788" s="14"/>
      <c r="B1788" s="125" t="s">
        <v>30</v>
      </c>
      <c r="C1788" s="130" t="s">
        <v>412</v>
      </c>
      <c r="D1788" s="131" t="s">
        <v>86</v>
      </c>
      <c r="E1788" s="131" t="s">
        <v>13</v>
      </c>
      <c r="F1788" s="131" t="s">
        <v>1057</v>
      </c>
      <c r="G1788" s="108" t="s">
        <v>31</v>
      </c>
      <c r="H1788" s="126">
        <f>H1785+H1786</f>
        <v>0</v>
      </c>
      <c r="L1788" s="20"/>
      <c r="M1788" s="20"/>
      <c r="N1788" s="20"/>
      <c r="O1788" s="20"/>
      <c r="P1788" s="20"/>
      <c r="Q1788" s="20"/>
      <c r="R1788" s="17"/>
    </row>
    <row r="1789" spans="1:18" s="16" customFormat="1" ht="15.75">
      <c r="A1789" s="14"/>
      <c r="B1789" s="117" t="s">
        <v>228</v>
      </c>
      <c r="C1789" s="118" t="s">
        <v>412</v>
      </c>
      <c r="D1789" s="119" t="s">
        <v>229</v>
      </c>
      <c r="E1789" s="119" t="s">
        <v>7</v>
      </c>
      <c r="F1789" s="119" t="s">
        <v>8</v>
      </c>
      <c r="G1789" s="119" t="s">
        <v>9</v>
      </c>
      <c r="H1789" s="120">
        <f>H1790</f>
        <v>0</v>
      </c>
      <c r="L1789" s="18">
        <v>13358.85</v>
      </c>
      <c r="M1789" s="18">
        <v>27702.6</v>
      </c>
      <c r="N1789" s="18">
        <v>19074.82</v>
      </c>
      <c r="O1789" s="18">
        <f t="shared" ref="O1789:O1795" si="205">H1789-L1789</f>
        <v>-13358.85</v>
      </c>
      <c r="P1789" s="18" t="e">
        <f>#REF!-M1789</f>
        <v>#REF!</v>
      </c>
      <c r="Q1789" s="18" t="e">
        <f>#REF!-N1789</f>
        <v>#REF!</v>
      </c>
      <c r="R1789" s="17" t="str">
        <f t="shared" si="204"/>
        <v>00 0 00 00000000</v>
      </c>
    </row>
    <row r="1790" spans="1:18" s="16" customFormat="1" ht="15.75">
      <c r="A1790" s="14"/>
      <c r="B1790" s="121" t="s">
        <v>438</v>
      </c>
      <c r="C1790" s="122" t="s">
        <v>412</v>
      </c>
      <c r="D1790" s="123" t="s">
        <v>229</v>
      </c>
      <c r="E1790" s="123" t="s">
        <v>62</v>
      </c>
      <c r="F1790" s="123" t="s">
        <v>8</v>
      </c>
      <c r="G1790" s="123" t="s">
        <v>9</v>
      </c>
      <c r="H1790" s="124">
        <f>H1791</f>
        <v>0</v>
      </c>
      <c r="L1790" s="19">
        <v>13358.85</v>
      </c>
      <c r="M1790" s="19">
        <v>7613.02</v>
      </c>
      <c r="N1790" s="19">
        <v>15579.71</v>
      </c>
      <c r="O1790" s="19">
        <f t="shared" si="205"/>
        <v>-13358.85</v>
      </c>
      <c r="P1790" s="19" t="e">
        <f>#REF!-M1790</f>
        <v>#REF!</v>
      </c>
      <c r="Q1790" s="19" t="e">
        <f>#REF!-N1790</f>
        <v>#REF!</v>
      </c>
      <c r="R1790" s="17" t="str">
        <f t="shared" si="204"/>
        <v>00 0 00 00000000</v>
      </c>
    </row>
    <row r="1791" spans="1:18" s="16" customFormat="1" ht="31.5">
      <c r="A1791" s="14"/>
      <c r="B1791" s="132" t="s">
        <v>396</v>
      </c>
      <c r="C1791" s="109" t="s">
        <v>412</v>
      </c>
      <c r="D1791" s="108" t="s">
        <v>229</v>
      </c>
      <c r="E1791" s="108" t="s">
        <v>62</v>
      </c>
      <c r="F1791" s="108" t="s">
        <v>397</v>
      </c>
      <c r="G1791" s="108" t="s">
        <v>9</v>
      </c>
      <c r="H1791" s="126">
        <f t="shared" ref="H1791:H1792" si="206">H1792</f>
        <v>0</v>
      </c>
      <c r="L1791" s="20">
        <v>13358.85</v>
      </c>
      <c r="M1791" s="20">
        <v>7613.02</v>
      </c>
      <c r="N1791" s="20">
        <v>15579.71</v>
      </c>
      <c r="O1791" s="20">
        <f t="shared" si="205"/>
        <v>-13358.85</v>
      </c>
      <c r="P1791" s="20" t="e">
        <f>#REF!-M1791</f>
        <v>#REF!</v>
      </c>
      <c r="Q1791" s="20" t="e">
        <f>#REF!-N1791</f>
        <v>#REF!</v>
      </c>
      <c r="R1791" s="17" t="str">
        <f t="shared" si="204"/>
        <v>01 0 00 00000000</v>
      </c>
    </row>
    <row r="1792" spans="1:18" s="16" customFormat="1" ht="47.25">
      <c r="A1792" s="14"/>
      <c r="B1792" s="125" t="s">
        <v>444</v>
      </c>
      <c r="C1792" s="109" t="s">
        <v>412</v>
      </c>
      <c r="D1792" s="108" t="s">
        <v>229</v>
      </c>
      <c r="E1792" s="108" t="s">
        <v>62</v>
      </c>
      <c r="F1792" s="108" t="s">
        <v>445</v>
      </c>
      <c r="G1792" s="108" t="s">
        <v>9</v>
      </c>
      <c r="H1792" s="126">
        <f t="shared" si="206"/>
        <v>0</v>
      </c>
      <c r="L1792" s="20">
        <v>13358.85</v>
      </c>
      <c r="M1792" s="20">
        <v>7613.02</v>
      </c>
      <c r="N1792" s="20">
        <v>15579.71</v>
      </c>
      <c r="O1792" s="20">
        <f t="shared" si="205"/>
        <v>-13358.85</v>
      </c>
      <c r="P1792" s="20" t="e">
        <f>#REF!-M1792</f>
        <v>#REF!</v>
      </c>
      <c r="Q1792" s="20" t="e">
        <f>#REF!-N1792</f>
        <v>#REF!</v>
      </c>
      <c r="R1792" s="17" t="str">
        <f t="shared" si="204"/>
        <v>01 2 00 00000000</v>
      </c>
    </row>
    <row r="1793" spans="1:18" s="16" customFormat="1" ht="63">
      <c r="A1793" s="14"/>
      <c r="B1793" s="125" t="s">
        <v>936</v>
      </c>
      <c r="C1793" s="109" t="s">
        <v>412</v>
      </c>
      <c r="D1793" s="108" t="s">
        <v>229</v>
      </c>
      <c r="E1793" s="108" t="s">
        <v>62</v>
      </c>
      <c r="F1793" s="108" t="s">
        <v>447</v>
      </c>
      <c r="G1793" s="108" t="s">
        <v>9</v>
      </c>
      <c r="H1793" s="126">
        <f>H1794</f>
        <v>0</v>
      </c>
      <c r="L1793" s="20">
        <v>13358.85</v>
      </c>
      <c r="M1793" s="20">
        <v>7613.02</v>
      </c>
      <c r="N1793" s="20">
        <v>15579.71</v>
      </c>
      <c r="O1793" s="20">
        <f t="shared" si="205"/>
        <v>-13358.85</v>
      </c>
      <c r="P1793" s="20" t="e">
        <f>#REF!-M1793</f>
        <v>#REF!</v>
      </c>
      <c r="Q1793" s="20" t="e">
        <f>#REF!-N1793</f>
        <v>#REF!</v>
      </c>
      <c r="R1793" s="17" t="str">
        <f t="shared" si="204"/>
        <v>01 2 01 00000000</v>
      </c>
    </row>
    <row r="1794" spans="1:18" s="16" customFormat="1" ht="47.25">
      <c r="A1794" s="14"/>
      <c r="B1794" s="125" t="s">
        <v>448</v>
      </c>
      <c r="C1794" s="109" t="s">
        <v>412</v>
      </c>
      <c r="D1794" s="108" t="s">
        <v>229</v>
      </c>
      <c r="E1794" s="108" t="s">
        <v>62</v>
      </c>
      <c r="F1794" s="108" t="s">
        <v>449</v>
      </c>
      <c r="G1794" s="108" t="s">
        <v>9</v>
      </c>
      <c r="H1794" s="126">
        <f>H1795</f>
        <v>0</v>
      </c>
      <c r="L1794" s="20">
        <v>13358.85</v>
      </c>
      <c r="M1794" s="20">
        <v>7613.02</v>
      </c>
      <c r="N1794" s="20">
        <v>15579.71</v>
      </c>
      <c r="O1794" s="20">
        <f t="shared" si="205"/>
        <v>-13358.85</v>
      </c>
      <c r="P1794" s="20" t="e">
        <f>#REF!-M1794</f>
        <v>#REF!</v>
      </c>
      <c r="Q1794" s="20" t="e">
        <f>#REF!-N1794</f>
        <v>#REF!</v>
      </c>
      <c r="R1794" s="17" t="str">
        <f t="shared" si="204"/>
        <v>01 2 01 40010000</v>
      </c>
    </row>
    <row r="1795" spans="1:18" s="16" customFormat="1" ht="15.75">
      <c r="A1795" s="14"/>
      <c r="B1795" s="125" t="s">
        <v>937</v>
      </c>
      <c r="C1795" s="109" t="s">
        <v>412</v>
      </c>
      <c r="D1795" s="108" t="s">
        <v>229</v>
      </c>
      <c r="E1795" s="108" t="s">
        <v>62</v>
      </c>
      <c r="F1795" s="108" t="s">
        <v>449</v>
      </c>
      <c r="G1795" s="108" t="s">
        <v>838</v>
      </c>
      <c r="H1795" s="126">
        <f>H1796</f>
        <v>0</v>
      </c>
      <c r="L1795" s="20">
        <v>13358.85</v>
      </c>
      <c r="M1795" s="20">
        <v>7613.02</v>
      </c>
      <c r="N1795" s="20">
        <v>15579.71</v>
      </c>
      <c r="O1795" s="20">
        <f t="shared" si="205"/>
        <v>-13358.85</v>
      </c>
      <c r="P1795" s="20" t="e">
        <f>#REF!-M1795</f>
        <v>#REF!</v>
      </c>
      <c r="Q1795" s="20" t="e">
        <f>#REF!-N1795</f>
        <v>#REF!</v>
      </c>
      <c r="R1795" s="17" t="str">
        <f t="shared" si="204"/>
        <v>01 2 01 40010410</v>
      </c>
    </row>
    <row r="1796" spans="1:18" s="16" customFormat="1" ht="47.25">
      <c r="A1796" s="14"/>
      <c r="B1796" s="125" t="s">
        <v>839</v>
      </c>
      <c r="C1796" s="109" t="s">
        <v>412</v>
      </c>
      <c r="D1796" s="108" t="s">
        <v>229</v>
      </c>
      <c r="E1796" s="108" t="s">
        <v>62</v>
      </c>
      <c r="F1796" s="108" t="s">
        <v>449</v>
      </c>
      <c r="G1796" s="108" t="s">
        <v>840</v>
      </c>
      <c r="H1796" s="126"/>
      <c r="L1796" s="20"/>
      <c r="M1796" s="20"/>
      <c r="N1796" s="20"/>
      <c r="O1796" s="20"/>
      <c r="P1796" s="20"/>
      <c r="Q1796" s="20"/>
      <c r="R1796" s="17" t="str">
        <f t="shared" si="204"/>
        <v>01 2 01 40010414</v>
      </c>
    </row>
    <row r="1797" spans="1:18" s="16" customFormat="1" ht="15.75">
      <c r="A1797" s="14"/>
      <c r="B1797" s="117" t="s">
        <v>569</v>
      </c>
      <c r="C1797" s="118" t="s">
        <v>412</v>
      </c>
      <c r="D1797" s="119" t="s">
        <v>238</v>
      </c>
      <c r="E1797" s="119" t="s">
        <v>7</v>
      </c>
      <c r="F1797" s="119" t="s">
        <v>8</v>
      </c>
      <c r="G1797" s="119" t="s">
        <v>9</v>
      </c>
      <c r="H1797" s="120">
        <f t="shared" ref="H1797" si="207">H1798</f>
        <v>0</v>
      </c>
      <c r="L1797" s="18">
        <v>800</v>
      </c>
      <c r="M1797" s="18">
        <v>800</v>
      </c>
      <c r="N1797" s="18">
        <v>800</v>
      </c>
      <c r="O1797" s="18">
        <f t="shared" ref="O1797:O1803" si="208">H1797-L1797</f>
        <v>-800</v>
      </c>
      <c r="P1797" s="18" t="e">
        <f>#REF!-M1797</f>
        <v>#REF!</v>
      </c>
      <c r="Q1797" s="18" t="e">
        <f>#REF!-N1797</f>
        <v>#REF!</v>
      </c>
      <c r="R1797" s="17" t="str">
        <f t="shared" si="204"/>
        <v>00 0 00 00000000</v>
      </c>
    </row>
    <row r="1798" spans="1:18" s="16" customFormat="1" ht="15.75">
      <c r="A1798" s="14"/>
      <c r="B1798" s="121" t="s">
        <v>239</v>
      </c>
      <c r="C1798" s="122" t="s">
        <v>412</v>
      </c>
      <c r="D1798" s="123" t="s">
        <v>238</v>
      </c>
      <c r="E1798" s="123" t="s">
        <v>11</v>
      </c>
      <c r="F1798" s="123" t="s">
        <v>8</v>
      </c>
      <c r="G1798" s="123" t="s">
        <v>9</v>
      </c>
      <c r="H1798" s="124">
        <f>H1799</f>
        <v>0</v>
      </c>
      <c r="L1798" s="19">
        <v>800</v>
      </c>
      <c r="M1798" s="19">
        <v>800</v>
      </c>
      <c r="N1798" s="19">
        <v>800</v>
      </c>
      <c r="O1798" s="19">
        <f t="shared" si="208"/>
        <v>-800</v>
      </c>
      <c r="P1798" s="19" t="e">
        <f>#REF!-M1798</f>
        <v>#REF!</v>
      </c>
      <c r="Q1798" s="19" t="e">
        <f>#REF!-N1798</f>
        <v>#REF!</v>
      </c>
      <c r="R1798" s="17" t="str">
        <f t="shared" si="204"/>
        <v>00 0 00 00000000</v>
      </c>
    </row>
    <row r="1799" spans="1:18" s="16" customFormat="1" ht="31.5">
      <c r="A1799" s="14"/>
      <c r="B1799" s="125" t="s">
        <v>240</v>
      </c>
      <c r="C1799" s="109" t="s">
        <v>412</v>
      </c>
      <c r="D1799" s="108" t="s">
        <v>238</v>
      </c>
      <c r="E1799" s="108" t="s">
        <v>11</v>
      </c>
      <c r="F1799" s="131" t="s">
        <v>241</v>
      </c>
      <c r="G1799" s="108" t="s">
        <v>9</v>
      </c>
      <c r="H1799" s="126">
        <f>H1800</f>
        <v>0</v>
      </c>
      <c r="L1799" s="20">
        <v>800</v>
      </c>
      <c r="M1799" s="20">
        <v>800</v>
      </c>
      <c r="N1799" s="20">
        <v>800</v>
      </c>
      <c r="O1799" s="20">
        <f t="shared" si="208"/>
        <v>-800</v>
      </c>
      <c r="P1799" s="20" t="e">
        <f>#REF!-M1799</f>
        <v>#REF!</v>
      </c>
      <c r="Q1799" s="20" t="e">
        <f>#REF!-N1799</f>
        <v>#REF!</v>
      </c>
      <c r="R1799" s="17" t="str">
        <f t="shared" si="204"/>
        <v>07 0 00 00000000</v>
      </c>
    </row>
    <row r="1800" spans="1:18" s="16" customFormat="1" ht="78.75">
      <c r="A1800" s="14"/>
      <c r="B1800" s="125" t="s">
        <v>384</v>
      </c>
      <c r="C1800" s="109" t="s">
        <v>412</v>
      </c>
      <c r="D1800" s="108" t="s">
        <v>238</v>
      </c>
      <c r="E1800" s="108" t="s">
        <v>11</v>
      </c>
      <c r="F1800" s="131" t="s">
        <v>243</v>
      </c>
      <c r="G1800" s="108" t="s">
        <v>9</v>
      </c>
      <c r="H1800" s="126">
        <f t="shared" ref="H1800:H1802" si="209">H1801</f>
        <v>0</v>
      </c>
      <c r="L1800" s="20">
        <v>800</v>
      </c>
      <c r="M1800" s="20">
        <v>800</v>
      </c>
      <c r="N1800" s="20">
        <v>800</v>
      </c>
      <c r="O1800" s="20">
        <f t="shared" si="208"/>
        <v>-800</v>
      </c>
      <c r="P1800" s="20" t="e">
        <f>#REF!-M1800</f>
        <v>#REF!</v>
      </c>
      <c r="Q1800" s="20" t="e">
        <f>#REF!-N1800</f>
        <v>#REF!</v>
      </c>
      <c r="R1800" s="17" t="str">
        <f t="shared" si="204"/>
        <v>07 1 00 00000000</v>
      </c>
    </row>
    <row r="1801" spans="1:18" s="16" customFormat="1" ht="110.25">
      <c r="A1801" s="14"/>
      <c r="B1801" s="125" t="s">
        <v>244</v>
      </c>
      <c r="C1801" s="109" t="s">
        <v>412</v>
      </c>
      <c r="D1801" s="108" t="s">
        <v>238</v>
      </c>
      <c r="E1801" s="108" t="s">
        <v>11</v>
      </c>
      <c r="F1801" s="131" t="s">
        <v>245</v>
      </c>
      <c r="G1801" s="108" t="s">
        <v>9</v>
      </c>
      <c r="H1801" s="126">
        <f t="shared" si="209"/>
        <v>0</v>
      </c>
      <c r="L1801" s="20">
        <v>800</v>
      </c>
      <c r="M1801" s="20">
        <v>800</v>
      </c>
      <c r="N1801" s="20">
        <v>800</v>
      </c>
      <c r="O1801" s="20">
        <f t="shared" si="208"/>
        <v>-800</v>
      </c>
      <c r="P1801" s="20" t="e">
        <f>#REF!-M1801</f>
        <v>#REF!</v>
      </c>
      <c r="Q1801" s="20" t="e">
        <f>#REF!-N1801</f>
        <v>#REF!</v>
      </c>
      <c r="R1801" s="17" t="str">
        <f t="shared" si="204"/>
        <v>07 1 01 00000000</v>
      </c>
    </row>
    <row r="1802" spans="1:18" s="16" customFormat="1" ht="31.5">
      <c r="A1802" s="14"/>
      <c r="B1802" s="125" t="s">
        <v>246</v>
      </c>
      <c r="C1802" s="109" t="s">
        <v>412</v>
      </c>
      <c r="D1802" s="108" t="s">
        <v>238</v>
      </c>
      <c r="E1802" s="108" t="s">
        <v>11</v>
      </c>
      <c r="F1802" s="131" t="s">
        <v>247</v>
      </c>
      <c r="G1802" s="108" t="s">
        <v>9</v>
      </c>
      <c r="H1802" s="126">
        <f t="shared" si="209"/>
        <v>0</v>
      </c>
      <c r="L1802" s="20">
        <v>800</v>
      </c>
      <c r="M1802" s="20">
        <v>800</v>
      </c>
      <c r="N1802" s="20">
        <v>800</v>
      </c>
      <c r="O1802" s="20">
        <f t="shared" si="208"/>
        <v>-800</v>
      </c>
      <c r="P1802" s="20" t="e">
        <f>#REF!-M1802</f>
        <v>#REF!</v>
      </c>
      <c r="Q1802" s="20" t="e">
        <f>#REF!-N1802</f>
        <v>#REF!</v>
      </c>
      <c r="R1802" s="17" t="str">
        <f t="shared" si="204"/>
        <v>07 1 01 20060000</v>
      </c>
    </row>
    <row r="1803" spans="1:18" s="16" customFormat="1" ht="31.5">
      <c r="A1803" s="14"/>
      <c r="B1803" s="127" t="s">
        <v>28</v>
      </c>
      <c r="C1803" s="109" t="s">
        <v>412</v>
      </c>
      <c r="D1803" s="108" t="s">
        <v>238</v>
      </c>
      <c r="E1803" s="108" t="s">
        <v>11</v>
      </c>
      <c r="F1803" s="131" t="s">
        <v>247</v>
      </c>
      <c r="G1803" s="108" t="s">
        <v>29</v>
      </c>
      <c r="H1803" s="126">
        <f>H1804</f>
        <v>0</v>
      </c>
      <c r="L1803" s="20">
        <v>800</v>
      </c>
      <c r="M1803" s="20">
        <v>800</v>
      </c>
      <c r="N1803" s="20">
        <v>800</v>
      </c>
      <c r="O1803" s="20">
        <f t="shared" si="208"/>
        <v>-800</v>
      </c>
      <c r="P1803" s="20" t="e">
        <f>#REF!-M1803</f>
        <v>#REF!</v>
      </c>
      <c r="Q1803" s="20" t="e">
        <f>#REF!-N1803</f>
        <v>#REF!</v>
      </c>
      <c r="R1803" s="17" t="str">
        <f t="shared" si="204"/>
        <v>07 1 01 20060240</v>
      </c>
    </row>
    <row r="1804" spans="1:18" s="16" customFormat="1" ht="15.75">
      <c r="A1804" s="14"/>
      <c r="B1804" s="125" t="s">
        <v>30</v>
      </c>
      <c r="C1804" s="109" t="s">
        <v>412</v>
      </c>
      <c r="D1804" s="108" t="s">
        <v>238</v>
      </c>
      <c r="E1804" s="108" t="s">
        <v>11</v>
      </c>
      <c r="F1804" s="131" t="s">
        <v>247</v>
      </c>
      <c r="G1804" s="108" t="s">
        <v>31</v>
      </c>
      <c r="H1804" s="126"/>
      <c r="L1804" s="20"/>
      <c r="M1804" s="20"/>
      <c r="N1804" s="20"/>
      <c r="O1804" s="20"/>
      <c r="P1804" s="20"/>
      <c r="Q1804" s="20"/>
      <c r="R1804" s="17"/>
    </row>
    <row r="1805" spans="1:18" s="16" customFormat="1" ht="15.75">
      <c r="A1805" s="14"/>
      <c r="B1805" s="125"/>
      <c r="C1805" s="109"/>
      <c r="D1805" s="108"/>
      <c r="E1805" s="108"/>
      <c r="F1805" s="108"/>
      <c r="G1805" s="108"/>
      <c r="H1805" s="126"/>
      <c r="L1805" s="20"/>
      <c r="M1805" s="20"/>
      <c r="N1805" s="20"/>
      <c r="O1805" s="20">
        <f t="shared" ref="O1805:O1813" si="210">H1805-L1805</f>
        <v>0</v>
      </c>
      <c r="P1805" s="20" t="e">
        <f>#REF!-M1805</f>
        <v>#REF!</v>
      </c>
      <c r="Q1805" s="20" t="e">
        <f>#REF!-N1805</f>
        <v>#REF!</v>
      </c>
      <c r="R1805" s="17" t="str">
        <f t="shared" si="204"/>
        <v/>
      </c>
    </row>
    <row r="1806" spans="1:18" s="16" customFormat="1" ht="47.25">
      <c r="A1806" s="14"/>
      <c r="B1806" s="67" t="s">
        <v>938</v>
      </c>
      <c r="C1806" s="116" t="s">
        <v>939</v>
      </c>
      <c r="D1806" s="69" t="s">
        <v>7</v>
      </c>
      <c r="E1806" s="69" t="s">
        <v>7</v>
      </c>
      <c r="F1806" s="69" t="s">
        <v>8</v>
      </c>
      <c r="G1806" s="69" t="s">
        <v>9</v>
      </c>
      <c r="H1806" s="70">
        <f>H1807</f>
        <v>0</v>
      </c>
      <c r="L1806" s="25">
        <v>71663.040000000008</v>
      </c>
      <c r="M1806" s="25">
        <v>71312.98000000001</v>
      </c>
      <c r="N1806" s="25">
        <v>71312.98000000001</v>
      </c>
      <c r="O1806" s="25">
        <f t="shared" si="210"/>
        <v>-71663.040000000008</v>
      </c>
      <c r="P1806" s="25" t="e">
        <f>#REF!-M1806</f>
        <v>#REF!</v>
      </c>
      <c r="Q1806" s="25" t="e">
        <f>#REF!-N1806</f>
        <v>#REF!</v>
      </c>
      <c r="R1806" s="17" t="str">
        <f t="shared" si="204"/>
        <v>00 0 00 00000000</v>
      </c>
    </row>
    <row r="1807" spans="1:18" s="16" customFormat="1" ht="31.5">
      <c r="A1807" s="14"/>
      <c r="B1807" s="117" t="s">
        <v>940</v>
      </c>
      <c r="C1807" s="118" t="s">
        <v>939</v>
      </c>
      <c r="D1807" s="119" t="s">
        <v>13</v>
      </c>
      <c r="E1807" s="119" t="s">
        <v>7</v>
      </c>
      <c r="F1807" s="119" t="s">
        <v>8</v>
      </c>
      <c r="G1807" s="119" t="s">
        <v>9</v>
      </c>
      <c r="H1807" s="120">
        <f t="shared" ref="H1807" si="211">H1808</f>
        <v>0</v>
      </c>
      <c r="L1807" s="18">
        <v>71663.040000000008</v>
      </c>
      <c r="M1807" s="18">
        <v>71312.98000000001</v>
      </c>
      <c r="N1807" s="18">
        <v>71312.98000000001</v>
      </c>
      <c r="O1807" s="18">
        <f t="shared" si="210"/>
        <v>-71663.040000000008</v>
      </c>
      <c r="P1807" s="18" t="e">
        <f>#REF!-M1807</f>
        <v>#REF!</v>
      </c>
      <c r="Q1807" s="18" t="e">
        <f>#REF!-N1807</f>
        <v>#REF!</v>
      </c>
      <c r="R1807" s="17" t="str">
        <f t="shared" si="204"/>
        <v>00 0 00 00000000</v>
      </c>
    </row>
    <row r="1808" spans="1:18" s="16" customFormat="1" ht="47.25">
      <c r="A1808" s="14"/>
      <c r="B1808" s="121" t="s">
        <v>941</v>
      </c>
      <c r="C1808" s="122" t="s">
        <v>939</v>
      </c>
      <c r="D1808" s="123" t="s">
        <v>13</v>
      </c>
      <c r="E1808" s="123" t="s">
        <v>471</v>
      </c>
      <c r="F1808" s="123" t="s">
        <v>8</v>
      </c>
      <c r="G1808" s="123" t="s">
        <v>9</v>
      </c>
      <c r="H1808" s="124">
        <f>H1809+H1815+H1867</f>
        <v>0</v>
      </c>
      <c r="L1808" s="19">
        <v>71663.040000000008</v>
      </c>
      <c r="M1808" s="19">
        <v>71312.98000000001</v>
      </c>
      <c r="N1808" s="19">
        <v>71312.98000000001</v>
      </c>
      <c r="O1808" s="19">
        <f t="shared" si="210"/>
        <v>-71663.040000000008</v>
      </c>
      <c r="P1808" s="19" t="e">
        <f>#REF!-M1808</f>
        <v>#REF!</v>
      </c>
      <c r="Q1808" s="19" t="e">
        <f>#REF!-N1808</f>
        <v>#REF!</v>
      </c>
      <c r="R1808" s="17" t="str">
        <f t="shared" si="204"/>
        <v>00 0 00 00000000</v>
      </c>
    </row>
    <row r="1809" spans="1:18" s="16" customFormat="1" ht="47.25">
      <c r="A1809" s="14"/>
      <c r="B1809" s="148" t="s">
        <v>146</v>
      </c>
      <c r="C1809" s="109" t="s">
        <v>939</v>
      </c>
      <c r="D1809" s="108" t="s">
        <v>13</v>
      </c>
      <c r="E1809" s="108" t="s">
        <v>471</v>
      </c>
      <c r="F1809" s="108" t="s">
        <v>147</v>
      </c>
      <c r="G1809" s="108" t="s">
        <v>9</v>
      </c>
      <c r="H1809" s="126">
        <f>H1810</f>
        <v>0</v>
      </c>
      <c r="L1809" s="20">
        <v>22.95</v>
      </c>
      <c r="M1809" s="20">
        <v>22.95</v>
      </c>
      <c r="N1809" s="20">
        <v>22.95</v>
      </c>
      <c r="O1809" s="20">
        <f t="shared" si="210"/>
        <v>-22.95</v>
      </c>
      <c r="P1809" s="20" t="e">
        <f>#REF!-M1809</f>
        <v>#REF!</v>
      </c>
      <c r="Q1809" s="20" t="e">
        <f>#REF!-N1809</f>
        <v>#REF!</v>
      </c>
      <c r="R1809" s="17" t="str">
        <f t="shared" si="204"/>
        <v>15 0 00 00000000</v>
      </c>
    </row>
    <row r="1810" spans="1:18" s="66" customFormat="1" ht="31.5">
      <c r="A1810" s="65"/>
      <c r="B1810" s="125" t="s">
        <v>168</v>
      </c>
      <c r="C1810" s="109" t="s">
        <v>939</v>
      </c>
      <c r="D1810" s="108" t="s">
        <v>13</v>
      </c>
      <c r="E1810" s="108" t="s">
        <v>471</v>
      </c>
      <c r="F1810" s="108" t="s">
        <v>169</v>
      </c>
      <c r="G1810" s="108" t="s">
        <v>9</v>
      </c>
      <c r="H1810" s="126">
        <f t="shared" ref="H1810:H1812" si="212">H1811</f>
        <v>0</v>
      </c>
      <c r="L1810" s="20">
        <v>22.95</v>
      </c>
      <c r="M1810" s="20">
        <v>22.95</v>
      </c>
      <c r="N1810" s="20">
        <v>22.95</v>
      </c>
      <c r="O1810" s="20">
        <f t="shared" si="210"/>
        <v>-22.95</v>
      </c>
      <c r="P1810" s="20" t="e">
        <f>#REF!-M1810</f>
        <v>#REF!</v>
      </c>
      <c r="Q1810" s="20" t="e">
        <f>#REF!-N1810</f>
        <v>#REF!</v>
      </c>
      <c r="R1810" s="17" t="str">
        <f t="shared" si="204"/>
        <v>15 3 00 00000000</v>
      </c>
    </row>
    <row r="1811" spans="1:18" s="16" customFormat="1" ht="31.5">
      <c r="A1811" s="14"/>
      <c r="B1811" s="148" t="s">
        <v>942</v>
      </c>
      <c r="C1811" s="109" t="s">
        <v>939</v>
      </c>
      <c r="D1811" s="108" t="s">
        <v>13</v>
      </c>
      <c r="E1811" s="108" t="s">
        <v>471</v>
      </c>
      <c r="F1811" s="108" t="s">
        <v>943</v>
      </c>
      <c r="G1811" s="108" t="s">
        <v>9</v>
      </c>
      <c r="H1811" s="126">
        <f t="shared" si="212"/>
        <v>0</v>
      </c>
      <c r="L1811" s="20">
        <v>22.95</v>
      </c>
      <c r="M1811" s="20">
        <v>22.95</v>
      </c>
      <c r="N1811" s="20">
        <v>22.95</v>
      </c>
      <c r="O1811" s="20">
        <f t="shared" si="210"/>
        <v>-22.95</v>
      </c>
      <c r="P1811" s="20" t="e">
        <f>#REF!-M1811</f>
        <v>#REF!</v>
      </c>
      <c r="Q1811" s="20" t="e">
        <f>#REF!-N1811</f>
        <v>#REF!</v>
      </c>
      <c r="R1811" s="17" t="str">
        <f t="shared" si="204"/>
        <v>15 3 02 00000000</v>
      </c>
    </row>
    <row r="1812" spans="1:18" s="16" customFormat="1" ht="47.25">
      <c r="A1812" s="14"/>
      <c r="B1812" s="148" t="s">
        <v>944</v>
      </c>
      <c r="C1812" s="109" t="s">
        <v>939</v>
      </c>
      <c r="D1812" s="108" t="s">
        <v>13</v>
      </c>
      <c r="E1812" s="108" t="s">
        <v>471</v>
      </c>
      <c r="F1812" s="108" t="s">
        <v>945</v>
      </c>
      <c r="G1812" s="108" t="s">
        <v>9</v>
      </c>
      <c r="H1812" s="126">
        <f t="shared" si="212"/>
        <v>0</v>
      </c>
      <c r="L1812" s="20">
        <v>22.95</v>
      </c>
      <c r="M1812" s="20">
        <v>22.95</v>
      </c>
      <c r="N1812" s="20">
        <v>22.95</v>
      </c>
      <c r="O1812" s="20">
        <f t="shared" si="210"/>
        <v>-22.95</v>
      </c>
      <c r="P1812" s="20" t="e">
        <f>#REF!-M1812</f>
        <v>#REF!</v>
      </c>
      <c r="Q1812" s="20" t="e">
        <f>#REF!-N1812</f>
        <v>#REF!</v>
      </c>
      <c r="R1812" s="17" t="str">
        <f t="shared" si="204"/>
        <v>15 3 02 21290000</v>
      </c>
    </row>
    <row r="1813" spans="1:18" s="16" customFormat="1" ht="31.5">
      <c r="A1813" s="14"/>
      <c r="B1813" s="148" t="s">
        <v>28</v>
      </c>
      <c r="C1813" s="109" t="s">
        <v>939</v>
      </c>
      <c r="D1813" s="108" t="s">
        <v>13</v>
      </c>
      <c r="E1813" s="108" t="s">
        <v>471</v>
      </c>
      <c r="F1813" s="108" t="s">
        <v>945</v>
      </c>
      <c r="G1813" s="108" t="s">
        <v>29</v>
      </c>
      <c r="H1813" s="126">
        <f>H1814</f>
        <v>0</v>
      </c>
      <c r="L1813" s="20">
        <v>22.95</v>
      </c>
      <c r="M1813" s="20">
        <v>22.95</v>
      </c>
      <c r="N1813" s="20">
        <v>22.95</v>
      </c>
      <c r="O1813" s="20">
        <f t="shared" si="210"/>
        <v>-22.95</v>
      </c>
      <c r="P1813" s="20" t="e">
        <f>#REF!-M1813</f>
        <v>#REF!</v>
      </c>
      <c r="Q1813" s="20" t="e">
        <f>#REF!-N1813</f>
        <v>#REF!</v>
      </c>
      <c r="R1813" s="17" t="str">
        <f t="shared" si="204"/>
        <v>15 3 02 21290240</v>
      </c>
    </row>
    <row r="1814" spans="1:18" s="16" customFormat="1" ht="15.75">
      <c r="A1814" s="14"/>
      <c r="B1814" s="125" t="s">
        <v>30</v>
      </c>
      <c r="C1814" s="109" t="s">
        <v>939</v>
      </c>
      <c r="D1814" s="108" t="s">
        <v>13</v>
      </c>
      <c r="E1814" s="108" t="s">
        <v>471</v>
      </c>
      <c r="F1814" s="108" t="s">
        <v>945</v>
      </c>
      <c r="G1814" s="108" t="s">
        <v>31</v>
      </c>
      <c r="H1814" s="126"/>
      <c r="L1814" s="20"/>
      <c r="M1814" s="20"/>
      <c r="N1814" s="20"/>
      <c r="O1814" s="20"/>
      <c r="P1814" s="20"/>
      <c r="Q1814" s="20"/>
      <c r="R1814" s="17"/>
    </row>
    <row r="1815" spans="1:18" s="16" customFormat="1" ht="94.5">
      <c r="A1815" s="14"/>
      <c r="B1815" s="125" t="s">
        <v>420</v>
      </c>
      <c r="C1815" s="109" t="s">
        <v>939</v>
      </c>
      <c r="D1815" s="108" t="s">
        <v>13</v>
      </c>
      <c r="E1815" s="108" t="s">
        <v>471</v>
      </c>
      <c r="F1815" s="108" t="s">
        <v>421</v>
      </c>
      <c r="G1815" s="108" t="s">
        <v>9</v>
      </c>
      <c r="H1815" s="126">
        <f>H1816+H1836+H1843</f>
        <v>0</v>
      </c>
      <c r="L1815" s="20">
        <v>56290.600000000006</v>
      </c>
      <c r="M1815" s="20">
        <v>55940.540000000008</v>
      </c>
      <c r="N1815" s="20">
        <v>55940.540000000008</v>
      </c>
      <c r="O1815" s="20">
        <f>H1815-L1815</f>
        <v>-56290.600000000006</v>
      </c>
      <c r="P1815" s="20" t="e">
        <f>#REF!-M1815</f>
        <v>#REF!</v>
      </c>
      <c r="Q1815" s="20" t="e">
        <f>#REF!-N1815</f>
        <v>#REF!</v>
      </c>
      <c r="R1815" s="17" t="str">
        <f t="shared" si="204"/>
        <v>16 0 00 00000000</v>
      </c>
    </row>
    <row r="1816" spans="1:18" s="66" customFormat="1" ht="47.25">
      <c r="A1816" s="65"/>
      <c r="B1816" s="125" t="s">
        <v>946</v>
      </c>
      <c r="C1816" s="109" t="s">
        <v>939</v>
      </c>
      <c r="D1816" s="108" t="s">
        <v>13</v>
      </c>
      <c r="E1816" s="108" t="s">
        <v>471</v>
      </c>
      <c r="F1816" s="108" t="s">
        <v>947</v>
      </c>
      <c r="G1816" s="108" t="s">
        <v>9</v>
      </c>
      <c r="H1816" s="126">
        <f>H1817+H1821+H1832</f>
        <v>0</v>
      </c>
      <c r="L1816" s="20">
        <v>31046.15</v>
      </c>
      <c r="M1816" s="20">
        <v>31046.15</v>
      </c>
      <c r="N1816" s="20">
        <v>31046.15</v>
      </c>
      <c r="O1816" s="20">
        <f>H1816-L1816</f>
        <v>-31046.15</v>
      </c>
      <c r="P1816" s="20" t="e">
        <f>#REF!-M1816</f>
        <v>#REF!</v>
      </c>
      <c r="Q1816" s="20" t="e">
        <f>#REF!-N1816</f>
        <v>#REF!</v>
      </c>
      <c r="R1816" s="17" t="str">
        <f t="shared" si="204"/>
        <v>16 1 00 00000000</v>
      </c>
    </row>
    <row r="1817" spans="1:18" s="16" customFormat="1" ht="63">
      <c r="A1817" s="14"/>
      <c r="B1817" s="125" t="s">
        <v>948</v>
      </c>
      <c r="C1817" s="109" t="s">
        <v>939</v>
      </c>
      <c r="D1817" s="108" t="s">
        <v>13</v>
      </c>
      <c r="E1817" s="108" t="s">
        <v>471</v>
      </c>
      <c r="F1817" s="108" t="s">
        <v>949</v>
      </c>
      <c r="G1817" s="108" t="s">
        <v>9</v>
      </c>
      <c r="H1817" s="126">
        <f t="shared" ref="H1817:H1818" si="213">H1818</f>
        <v>0</v>
      </c>
      <c r="L1817" s="20">
        <v>100</v>
      </c>
      <c r="M1817" s="20">
        <v>100</v>
      </c>
      <c r="N1817" s="20">
        <v>100</v>
      </c>
      <c r="O1817" s="20">
        <f>H1817-L1817</f>
        <v>-100</v>
      </c>
      <c r="P1817" s="20" t="e">
        <f>#REF!-M1817</f>
        <v>#REF!</v>
      </c>
      <c r="Q1817" s="20" t="e">
        <f>#REF!-N1817</f>
        <v>#REF!</v>
      </c>
      <c r="R1817" s="17" t="str">
        <f t="shared" si="204"/>
        <v>16 1 01 00000000</v>
      </c>
    </row>
    <row r="1818" spans="1:18" s="16" customFormat="1" ht="78.75">
      <c r="A1818" s="14"/>
      <c r="B1818" s="148" t="s">
        <v>950</v>
      </c>
      <c r="C1818" s="109" t="s">
        <v>939</v>
      </c>
      <c r="D1818" s="108" t="s">
        <v>13</v>
      </c>
      <c r="E1818" s="108" t="s">
        <v>471</v>
      </c>
      <c r="F1818" s="108" t="s">
        <v>951</v>
      </c>
      <c r="G1818" s="108" t="s">
        <v>9</v>
      </c>
      <c r="H1818" s="126">
        <f t="shared" si="213"/>
        <v>0</v>
      </c>
      <c r="L1818" s="20">
        <v>100</v>
      </c>
      <c r="M1818" s="20">
        <v>100</v>
      </c>
      <c r="N1818" s="20">
        <v>100</v>
      </c>
      <c r="O1818" s="20">
        <f>H1818-L1818</f>
        <v>-100</v>
      </c>
      <c r="P1818" s="20" t="e">
        <f>#REF!-M1818</f>
        <v>#REF!</v>
      </c>
      <c r="Q1818" s="20" t="e">
        <f>#REF!-N1818</f>
        <v>#REF!</v>
      </c>
      <c r="R1818" s="17" t="str">
        <f t="shared" si="204"/>
        <v>16 1 01 20120000</v>
      </c>
    </row>
    <row r="1819" spans="1:18" s="16" customFormat="1" ht="31.5">
      <c r="A1819" s="14"/>
      <c r="B1819" s="125" t="s">
        <v>28</v>
      </c>
      <c r="C1819" s="109" t="s">
        <v>939</v>
      </c>
      <c r="D1819" s="108" t="s">
        <v>13</v>
      </c>
      <c r="E1819" s="108" t="s">
        <v>471</v>
      </c>
      <c r="F1819" s="108" t="s">
        <v>951</v>
      </c>
      <c r="G1819" s="108" t="s">
        <v>29</v>
      </c>
      <c r="H1819" s="126">
        <f>H1820</f>
        <v>0</v>
      </c>
      <c r="L1819" s="20">
        <v>100</v>
      </c>
      <c r="M1819" s="20">
        <v>100</v>
      </c>
      <c r="N1819" s="20">
        <v>100</v>
      </c>
      <c r="O1819" s="20">
        <f>H1819-L1819</f>
        <v>-100</v>
      </c>
      <c r="P1819" s="20" t="e">
        <f>#REF!-M1819</f>
        <v>#REF!</v>
      </c>
      <c r="Q1819" s="20" t="e">
        <f>#REF!-N1819</f>
        <v>#REF!</v>
      </c>
      <c r="R1819" s="17" t="str">
        <f t="shared" si="204"/>
        <v>16 1 01 20120240</v>
      </c>
    </row>
    <row r="1820" spans="1:18" s="16" customFormat="1" ht="15.75">
      <c r="A1820" s="14"/>
      <c r="B1820" s="125" t="s">
        <v>30</v>
      </c>
      <c r="C1820" s="109" t="s">
        <v>939</v>
      </c>
      <c r="D1820" s="108" t="s">
        <v>13</v>
      </c>
      <c r="E1820" s="108" t="s">
        <v>471</v>
      </c>
      <c r="F1820" s="108" t="s">
        <v>951</v>
      </c>
      <c r="G1820" s="108" t="s">
        <v>31</v>
      </c>
      <c r="H1820" s="126"/>
      <c r="L1820" s="20"/>
      <c r="M1820" s="20"/>
      <c r="N1820" s="20"/>
      <c r="O1820" s="20"/>
      <c r="P1820" s="20"/>
      <c r="Q1820" s="20"/>
      <c r="R1820" s="17"/>
    </row>
    <row r="1821" spans="1:18" s="16" customFormat="1" ht="47.25">
      <c r="A1821" s="14"/>
      <c r="B1821" s="148" t="s">
        <v>952</v>
      </c>
      <c r="C1821" s="109" t="s">
        <v>939</v>
      </c>
      <c r="D1821" s="108" t="s">
        <v>13</v>
      </c>
      <c r="E1821" s="108" t="s">
        <v>471</v>
      </c>
      <c r="F1821" s="108" t="s">
        <v>953</v>
      </c>
      <c r="G1821" s="108" t="s">
        <v>9</v>
      </c>
      <c r="H1821" s="126">
        <f>H1822</f>
        <v>0</v>
      </c>
      <c r="L1821" s="20">
        <v>30516.15</v>
      </c>
      <c r="M1821" s="20">
        <v>30516.15</v>
      </c>
      <c r="N1821" s="20">
        <v>30516.15</v>
      </c>
      <c r="O1821" s="20">
        <f>H1821-L1821</f>
        <v>-30516.15</v>
      </c>
      <c r="P1821" s="20" t="e">
        <f>#REF!-M1821</f>
        <v>#REF!</v>
      </c>
      <c r="Q1821" s="20" t="e">
        <f>#REF!-N1821</f>
        <v>#REF!</v>
      </c>
      <c r="R1821" s="17" t="str">
        <f t="shared" si="204"/>
        <v>16 1 02 00000000</v>
      </c>
    </row>
    <row r="1822" spans="1:18" s="16" customFormat="1" ht="31.5">
      <c r="A1822" s="14"/>
      <c r="B1822" s="148" t="s">
        <v>136</v>
      </c>
      <c r="C1822" s="109" t="s">
        <v>939</v>
      </c>
      <c r="D1822" s="108" t="s">
        <v>13</v>
      </c>
      <c r="E1822" s="108" t="s">
        <v>471</v>
      </c>
      <c r="F1822" s="108" t="s">
        <v>954</v>
      </c>
      <c r="G1822" s="108" t="s">
        <v>9</v>
      </c>
      <c r="H1822" s="126">
        <f>H1823+H1826+H1828</f>
        <v>0</v>
      </c>
      <c r="L1822" s="20">
        <v>30516.15</v>
      </c>
      <c r="M1822" s="20">
        <v>30516.15</v>
      </c>
      <c r="N1822" s="20">
        <v>30516.15</v>
      </c>
      <c r="O1822" s="20">
        <f>H1822-L1822</f>
        <v>-30516.15</v>
      </c>
      <c r="P1822" s="20" t="e">
        <f>#REF!-M1822</f>
        <v>#REF!</v>
      </c>
      <c r="Q1822" s="20" t="e">
        <f>#REF!-N1822</f>
        <v>#REF!</v>
      </c>
      <c r="R1822" s="17" t="str">
        <f t="shared" si="204"/>
        <v>16 1 02 11010000</v>
      </c>
    </row>
    <row r="1823" spans="1:18" s="16" customFormat="1" ht="15.75">
      <c r="A1823" s="14"/>
      <c r="B1823" s="125" t="s">
        <v>138</v>
      </c>
      <c r="C1823" s="109" t="s">
        <v>939</v>
      </c>
      <c r="D1823" s="108" t="s">
        <v>13</v>
      </c>
      <c r="E1823" s="108" t="s">
        <v>471</v>
      </c>
      <c r="F1823" s="108" t="s">
        <v>954</v>
      </c>
      <c r="G1823" s="108" t="s">
        <v>139</v>
      </c>
      <c r="H1823" s="126">
        <f>SUM(H1824:H1825)</f>
        <v>0</v>
      </c>
      <c r="L1823" s="20">
        <v>25310.93</v>
      </c>
      <c r="M1823" s="20">
        <v>25310.93</v>
      </c>
      <c r="N1823" s="20">
        <v>25310.93</v>
      </c>
      <c r="O1823" s="20">
        <f>H1823-L1823</f>
        <v>-25310.93</v>
      </c>
      <c r="P1823" s="20" t="e">
        <f>#REF!-M1823</f>
        <v>#REF!</v>
      </c>
      <c r="Q1823" s="20" t="e">
        <f>#REF!-N1823</f>
        <v>#REF!</v>
      </c>
      <c r="R1823" s="17" t="str">
        <f t="shared" si="204"/>
        <v>16 1 02 11010110</v>
      </c>
    </row>
    <row r="1824" spans="1:18" s="23" customFormat="1" ht="15.75">
      <c r="A1824" s="21"/>
      <c r="B1824" s="127" t="s">
        <v>140</v>
      </c>
      <c r="C1824" s="109" t="s">
        <v>939</v>
      </c>
      <c r="D1824" s="108" t="s">
        <v>13</v>
      </c>
      <c r="E1824" s="108" t="s">
        <v>471</v>
      </c>
      <c r="F1824" s="108" t="s">
        <v>954</v>
      </c>
      <c r="G1824" s="108" t="s">
        <v>141</v>
      </c>
      <c r="H1824" s="126"/>
      <c r="L1824" s="22"/>
      <c r="M1824" s="22"/>
      <c r="N1824" s="22"/>
      <c r="O1824" s="22"/>
      <c r="P1824" s="22"/>
      <c r="Q1824" s="22"/>
      <c r="R1824" s="24"/>
    </row>
    <row r="1825" spans="1:18" s="23" customFormat="1" ht="47.25">
      <c r="A1825" s="21"/>
      <c r="B1825" s="127" t="s">
        <v>487</v>
      </c>
      <c r="C1825" s="109" t="s">
        <v>939</v>
      </c>
      <c r="D1825" s="108" t="s">
        <v>13</v>
      </c>
      <c r="E1825" s="108" t="s">
        <v>471</v>
      </c>
      <c r="F1825" s="108" t="s">
        <v>954</v>
      </c>
      <c r="G1825" s="108" t="s">
        <v>145</v>
      </c>
      <c r="H1825" s="126"/>
      <c r="L1825" s="22"/>
      <c r="M1825" s="22"/>
      <c r="N1825" s="22"/>
      <c r="O1825" s="22"/>
      <c r="P1825" s="22"/>
      <c r="Q1825" s="22"/>
      <c r="R1825" s="24"/>
    </row>
    <row r="1826" spans="1:18" s="16" customFormat="1" ht="31.5">
      <c r="A1826" s="14"/>
      <c r="B1826" s="148" t="s">
        <v>28</v>
      </c>
      <c r="C1826" s="109" t="s">
        <v>939</v>
      </c>
      <c r="D1826" s="108" t="s">
        <v>13</v>
      </c>
      <c r="E1826" s="108" t="s">
        <v>471</v>
      </c>
      <c r="F1826" s="108" t="s">
        <v>954</v>
      </c>
      <c r="G1826" s="108" t="s">
        <v>29</v>
      </c>
      <c r="H1826" s="126">
        <f>H1827</f>
        <v>0</v>
      </c>
      <c r="L1826" s="20">
        <v>4264.22</v>
      </c>
      <c r="M1826" s="20">
        <v>4264.22</v>
      </c>
      <c r="N1826" s="20">
        <v>4264.22</v>
      </c>
      <c r="O1826" s="20">
        <f>H1826-L1826</f>
        <v>-4264.22</v>
      </c>
      <c r="P1826" s="20" t="e">
        <f>#REF!-M1826</f>
        <v>#REF!</v>
      </c>
      <c r="Q1826" s="20" t="e">
        <f>#REF!-N1826</f>
        <v>#REF!</v>
      </c>
      <c r="R1826" s="17" t="str">
        <f t="shared" si="204"/>
        <v>16 1 02 11010240</v>
      </c>
    </row>
    <row r="1827" spans="1:18" s="16" customFormat="1" ht="15.75">
      <c r="A1827" s="14"/>
      <c r="B1827" s="125" t="s">
        <v>30</v>
      </c>
      <c r="C1827" s="109" t="s">
        <v>939</v>
      </c>
      <c r="D1827" s="108" t="s">
        <v>13</v>
      </c>
      <c r="E1827" s="108" t="s">
        <v>471</v>
      </c>
      <c r="F1827" s="108" t="s">
        <v>954</v>
      </c>
      <c r="G1827" s="108" t="s">
        <v>31</v>
      </c>
      <c r="H1827" s="126"/>
      <c r="L1827" s="20"/>
      <c r="M1827" s="20"/>
      <c r="N1827" s="20"/>
      <c r="O1827" s="20"/>
      <c r="P1827" s="20"/>
      <c r="Q1827" s="20"/>
      <c r="R1827" s="17"/>
    </row>
    <row r="1828" spans="1:18" s="16" customFormat="1" ht="15.75">
      <c r="A1828" s="14"/>
      <c r="B1828" s="148" t="s">
        <v>32</v>
      </c>
      <c r="C1828" s="109" t="s">
        <v>939</v>
      </c>
      <c r="D1828" s="108" t="s">
        <v>13</v>
      </c>
      <c r="E1828" s="108" t="s">
        <v>471</v>
      </c>
      <c r="F1828" s="108" t="s">
        <v>954</v>
      </c>
      <c r="G1828" s="108" t="s">
        <v>33</v>
      </c>
      <c r="H1828" s="126">
        <f>SUM(H1829:H1831)</f>
        <v>0</v>
      </c>
      <c r="L1828" s="20">
        <v>941</v>
      </c>
      <c r="M1828" s="20">
        <v>941</v>
      </c>
      <c r="N1828" s="20">
        <v>941</v>
      </c>
      <c r="O1828" s="20">
        <f>H1828-L1828</f>
        <v>-941</v>
      </c>
      <c r="P1828" s="20" t="e">
        <f>#REF!-M1828</f>
        <v>#REF!</v>
      </c>
      <c r="Q1828" s="20" t="e">
        <f>#REF!-N1828</f>
        <v>#REF!</v>
      </c>
      <c r="R1828" s="17" t="str">
        <f t="shared" si="204"/>
        <v>16 1 02 11010850</v>
      </c>
    </row>
    <row r="1829" spans="1:18" s="23" customFormat="1" ht="31.5">
      <c r="A1829" s="21"/>
      <c r="B1829" s="127" t="s">
        <v>34</v>
      </c>
      <c r="C1829" s="109" t="s">
        <v>939</v>
      </c>
      <c r="D1829" s="108" t="s">
        <v>13</v>
      </c>
      <c r="E1829" s="108" t="s">
        <v>471</v>
      </c>
      <c r="F1829" s="108" t="s">
        <v>954</v>
      </c>
      <c r="G1829" s="108">
        <v>851</v>
      </c>
      <c r="H1829" s="126"/>
      <c r="L1829" s="22"/>
      <c r="M1829" s="22"/>
      <c r="N1829" s="22"/>
      <c r="O1829" s="22"/>
      <c r="P1829" s="22"/>
      <c r="Q1829" s="22"/>
      <c r="R1829" s="24"/>
    </row>
    <row r="1830" spans="1:18" s="23" customFormat="1" ht="15.75">
      <c r="A1830" s="21"/>
      <c r="B1830" s="127" t="s">
        <v>36</v>
      </c>
      <c r="C1830" s="109" t="s">
        <v>939</v>
      </c>
      <c r="D1830" s="108" t="s">
        <v>13</v>
      </c>
      <c r="E1830" s="108" t="s">
        <v>471</v>
      </c>
      <c r="F1830" s="108" t="s">
        <v>954</v>
      </c>
      <c r="G1830" s="108" t="s">
        <v>37</v>
      </c>
      <c r="H1830" s="126"/>
      <c r="L1830" s="22"/>
      <c r="M1830" s="22"/>
      <c r="N1830" s="22"/>
      <c r="O1830" s="22"/>
      <c r="P1830" s="22"/>
      <c r="Q1830" s="22"/>
      <c r="R1830" s="24"/>
    </row>
    <row r="1831" spans="1:18" s="23" customFormat="1" ht="15.75">
      <c r="A1831" s="21"/>
      <c r="B1831" s="127" t="s">
        <v>77</v>
      </c>
      <c r="C1831" s="109" t="s">
        <v>939</v>
      </c>
      <c r="D1831" s="108" t="s">
        <v>13</v>
      </c>
      <c r="E1831" s="108" t="s">
        <v>471</v>
      </c>
      <c r="F1831" s="108" t="s">
        <v>954</v>
      </c>
      <c r="G1831" s="108" t="s">
        <v>78</v>
      </c>
      <c r="H1831" s="126"/>
      <c r="L1831" s="22"/>
      <c r="M1831" s="22"/>
      <c r="N1831" s="22"/>
      <c r="O1831" s="22"/>
      <c r="P1831" s="22"/>
      <c r="Q1831" s="22"/>
      <c r="R1831" s="24"/>
    </row>
    <row r="1832" spans="1:18" s="16" customFormat="1" ht="31.5">
      <c r="A1832" s="14"/>
      <c r="B1832" s="148" t="s">
        <v>942</v>
      </c>
      <c r="C1832" s="109" t="s">
        <v>939</v>
      </c>
      <c r="D1832" s="108" t="s">
        <v>13</v>
      </c>
      <c r="E1832" s="108" t="s">
        <v>471</v>
      </c>
      <c r="F1832" s="108" t="s">
        <v>955</v>
      </c>
      <c r="G1832" s="108" t="s">
        <v>9</v>
      </c>
      <c r="H1832" s="126">
        <f t="shared" ref="H1832" si="214">H1833</f>
        <v>0</v>
      </c>
      <c r="L1832" s="20">
        <v>430</v>
      </c>
      <c r="M1832" s="20">
        <v>430</v>
      </c>
      <c r="N1832" s="20">
        <v>430</v>
      </c>
      <c r="O1832" s="20">
        <f>H1832-L1832</f>
        <v>-430</v>
      </c>
      <c r="P1832" s="20" t="e">
        <f>#REF!-M1832</f>
        <v>#REF!</v>
      </c>
      <c r="Q1832" s="20" t="e">
        <f>#REF!-N1832</f>
        <v>#REF!</v>
      </c>
      <c r="R1832" s="17" t="str">
        <f t="shared" si="204"/>
        <v>16 1 03 00000000</v>
      </c>
    </row>
    <row r="1833" spans="1:18" s="16" customFormat="1" ht="78.75">
      <c r="A1833" s="14"/>
      <c r="B1833" s="125" t="s">
        <v>950</v>
      </c>
      <c r="C1833" s="109" t="s">
        <v>939</v>
      </c>
      <c r="D1833" s="108" t="s">
        <v>13</v>
      </c>
      <c r="E1833" s="108" t="s">
        <v>471</v>
      </c>
      <c r="F1833" s="108" t="s">
        <v>956</v>
      </c>
      <c r="G1833" s="108" t="s">
        <v>9</v>
      </c>
      <c r="H1833" s="126">
        <f>H1834</f>
        <v>0</v>
      </c>
      <c r="L1833" s="20">
        <v>430</v>
      </c>
      <c r="M1833" s="20">
        <v>430</v>
      </c>
      <c r="N1833" s="20">
        <v>430</v>
      </c>
      <c r="O1833" s="20">
        <f>H1833-L1833</f>
        <v>-430</v>
      </c>
      <c r="P1833" s="20" t="e">
        <f>#REF!-M1833</f>
        <v>#REF!</v>
      </c>
      <c r="Q1833" s="20" t="e">
        <f>#REF!-N1833</f>
        <v>#REF!</v>
      </c>
      <c r="R1833" s="17" t="str">
        <f t="shared" si="204"/>
        <v>16 1 03 20120000</v>
      </c>
    </row>
    <row r="1834" spans="1:18" s="16" customFormat="1" ht="31.5">
      <c r="A1834" s="14"/>
      <c r="B1834" s="148" t="s">
        <v>28</v>
      </c>
      <c r="C1834" s="109" t="s">
        <v>939</v>
      </c>
      <c r="D1834" s="108" t="s">
        <v>13</v>
      </c>
      <c r="E1834" s="108" t="s">
        <v>471</v>
      </c>
      <c r="F1834" s="108" t="s">
        <v>956</v>
      </c>
      <c r="G1834" s="108" t="s">
        <v>29</v>
      </c>
      <c r="H1834" s="126">
        <f>H1835</f>
        <v>0</v>
      </c>
      <c r="L1834" s="20">
        <v>430</v>
      </c>
      <c r="M1834" s="20">
        <v>430</v>
      </c>
      <c r="N1834" s="20">
        <v>430</v>
      </c>
      <c r="O1834" s="20">
        <f>H1834-L1834</f>
        <v>-430</v>
      </c>
      <c r="P1834" s="20" t="e">
        <f>#REF!-M1834</f>
        <v>#REF!</v>
      </c>
      <c r="Q1834" s="20" t="e">
        <f>#REF!-N1834</f>
        <v>#REF!</v>
      </c>
      <c r="R1834" s="17" t="str">
        <f t="shared" si="204"/>
        <v>16 1 03 20120240</v>
      </c>
    </row>
    <row r="1835" spans="1:18" s="16" customFormat="1" ht="15.75">
      <c r="A1835" s="14"/>
      <c r="B1835" s="125" t="s">
        <v>30</v>
      </c>
      <c r="C1835" s="109" t="s">
        <v>939</v>
      </c>
      <c r="D1835" s="108" t="s">
        <v>13</v>
      </c>
      <c r="E1835" s="108" t="s">
        <v>471</v>
      </c>
      <c r="F1835" s="108" t="s">
        <v>956</v>
      </c>
      <c r="G1835" s="108" t="s">
        <v>31</v>
      </c>
      <c r="H1835" s="126"/>
      <c r="L1835" s="20"/>
      <c r="M1835" s="20"/>
      <c r="N1835" s="20"/>
      <c r="O1835" s="20"/>
      <c r="P1835" s="20"/>
      <c r="Q1835" s="20"/>
      <c r="R1835" s="17"/>
    </row>
    <row r="1836" spans="1:18" s="66" customFormat="1" ht="31.5">
      <c r="A1836" s="65"/>
      <c r="B1836" s="125" t="s">
        <v>422</v>
      </c>
      <c r="C1836" s="109" t="s">
        <v>939</v>
      </c>
      <c r="D1836" s="108" t="s">
        <v>13</v>
      </c>
      <c r="E1836" s="108" t="s">
        <v>471</v>
      </c>
      <c r="F1836" s="108" t="s">
        <v>423</v>
      </c>
      <c r="G1836" s="108" t="s">
        <v>9</v>
      </c>
      <c r="H1836" s="126">
        <f t="shared" ref="H1836:H1837" si="215">H1837</f>
        <v>0</v>
      </c>
      <c r="L1836" s="20">
        <v>535</v>
      </c>
      <c r="M1836" s="20">
        <v>535</v>
      </c>
      <c r="N1836" s="20">
        <v>535</v>
      </c>
      <c r="O1836" s="20">
        <f>H1836-L1836</f>
        <v>-535</v>
      </c>
      <c r="P1836" s="20" t="e">
        <f>#REF!-M1836</f>
        <v>#REF!</v>
      </c>
      <c r="Q1836" s="20" t="e">
        <f>#REF!-N1836</f>
        <v>#REF!</v>
      </c>
      <c r="R1836" s="17" t="str">
        <f t="shared" si="204"/>
        <v>16 2 00 00000000</v>
      </c>
    </row>
    <row r="1837" spans="1:18" s="16" customFormat="1" ht="31.5">
      <c r="A1837" s="14"/>
      <c r="B1837" s="148" t="s">
        <v>957</v>
      </c>
      <c r="C1837" s="109" t="s">
        <v>939</v>
      </c>
      <c r="D1837" s="108" t="s">
        <v>13</v>
      </c>
      <c r="E1837" s="108" t="s">
        <v>471</v>
      </c>
      <c r="F1837" s="108" t="s">
        <v>958</v>
      </c>
      <c r="G1837" s="108" t="s">
        <v>9</v>
      </c>
      <c r="H1837" s="126">
        <f t="shared" si="215"/>
        <v>0</v>
      </c>
      <c r="L1837" s="20">
        <v>535</v>
      </c>
      <c r="M1837" s="20">
        <v>535</v>
      </c>
      <c r="N1837" s="20">
        <v>535</v>
      </c>
      <c r="O1837" s="20">
        <f>H1837-L1837</f>
        <v>-535</v>
      </c>
      <c r="P1837" s="20" t="e">
        <f>#REF!-M1837</f>
        <v>#REF!</v>
      </c>
      <c r="Q1837" s="20" t="e">
        <f>#REF!-N1837</f>
        <v>#REF!</v>
      </c>
      <c r="R1837" s="17" t="str">
        <f t="shared" si="204"/>
        <v>16 2 01 00000000</v>
      </c>
    </row>
    <row r="1838" spans="1:18" s="16" customFormat="1" ht="31.5">
      <c r="A1838" s="14"/>
      <c r="B1838" s="148" t="s">
        <v>959</v>
      </c>
      <c r="C1838" s="109" t="s">
        <v>939</v>
      </c>
      <c r="D1838" s="108" t="s">
        <v>13</v>
      </c>
      <c r="E1838" s="108" t="s">
        <v>471</v>
      </c>
      <c r="F1838" s="108" t="s">
        <v>960</v>
      </c>
      <c r="G1838" s="108" t="s">
        <v>9</v>
      </c>
      <c r="H1838" s="126">
        <f>H1839+H1841</f>
        <v>0</v>
      </c>
      <c r="L1838" s="20">
        <v>535</v>
      </c>
      <c r="M1838" s="20">
        <v>535</v>
      </c>
      <c r="N1838" s="20">
        <v>535</v>
      </c>
      <c r="O1838" s="20">
        <f>H1838-L1838</f>
        <v>-535</v>
      </c>
      <c r="P1838" s="20" t="e">
        <f>#REF!-M1838</f>
        <v>#REF!</v>
      </c>
      <c r="Q1838" s="20" t="e">
        <f>#REF!-N1838</f>
        <v>#REF!</v>
      </c>
      <c r="R1838" s="17" t="str">
        <f t="shared" si="204"/>
        <v>16 2 01 20540000</v>
      </c>
    </row>
    <row r="1839" spans="1:18" s="16" customFormat="1" ht="31.5">
      <c r="A1839" s="14"/>
      <c r="B1839" s="125" t="s">
        <v>28</v>
      </c>
      <c r="C1839" s="109" t="s">
        <v>939</v>
      </c>
      <c r="D1839" s="108" t="s">
        <v>13</v>
      </c>
      <c r="E1839" s="108" t="s">
        <v>471</v>
      </c>
      <c r="F1839" s="108" t="s">
        <v>960</v>
      </c>
      <c r="G1839" s="108" t="s">
        <v>29</v>
      </c>
      <c r="H1839" s="126">
        <f>H1840</f>
        <v>0</v>
      </c>
      <c r="L1839" s="20">
        <v>488</v>
      </c>
      <c r="M1839" s="20">
        <v>488</v>
      </c>
      <c r="N1839" s="20">
        <v>488</v>
      </c>
      <c r="O1839" s="20">
        <f>H1839-L1839</f>
        <v>-488</v>
      </c>
      <c r="P1839" s="20" t="e">
        <f>#REF!-M1839</f>
        <v>#REF!</v>
      </c>
      <c r="Q1839" s="20" t="e">
        <f>#REF!-N1839</f>
        <v>#REF!</v>
      </c>
      <c r="R1839" s="17" t="str">
        <f t="shared" si="204"/>
        <v>16 2 01 20540240</v>
      </c>
    </row>
    <row r="1840" spans="1:18" s="16" customFormat="1" ht="15.75">
      <c r="A1840" s="14"/>
      <c r="B1840" s="125" t="s">
        <v>30</v>
      </c>
      <c r="C1840" s="109" t="s">
        <v>939</v>
      </c>
      <c r="D1840" s="108" t="s">
        <v>13</v>
      </c>
      <c r="E1840" s="108" t="s">
        <v>471</v>
      </c>
      <c r="F1840" s="108" t="s">
        <v>960</v>
      </c>
      <c r="G1840" s="108" t="s">
        <v>31</v>
      </c>
      <c r="H1840" s="126"/>
      <c r="L1840" s="20"/>
      <c r="M1840" s="20"/>
      <c r="N1840" s="20"/>
      <c r="O1840" s="20"/>
      <c r="P1840" s="20"/>
      <c r="Q1840" s="20"/>
      <c r="R1840" s="17"/>
    </row>
    <row r="1841" spans="1:18" s="16" customFormat="1" ht="63">
      <c r="A1841" s="14"/>
      <c r="B1841" s="125" t="s">
        <v>203</v>
      </c>
      <c r="C1841" s="109" t="s">
        <v>939</v>
      </c>
      <c r="D1841" s="108" t="s">
        <v>13</v>
      </c>
      <c r="E1841" s="108" t="s">
        <v>471</v>
      </c>
      <c r="F1841" s="108" t="s">
        <v>960</v>
      </c>
      <c r="G1841" s="108" t="s">
        <v>204</v>
      </c>
      <c r="H1841" s="126">
        <f>H1842</f>
        <v>0</v>
      </c>
      <c r="L1841" s="20">
        <v>47</v>
      </c>
      <c r="M1841" s="20">
        <v>47</v>
      </c>
      <c r="N1841" s="20">
        <v>47</v>
      </c>
      <c r="O1841" s="20">
        <f>H1841-L1841</f>
        <v>-47</v>
      </c>
      <c r="P1841" s="20" t="e">
        <f>#REF!-M1841</f>
        <v>#REF!</v>
      </c>
      <c r="Q1841" s="20" t="e">
        <f>#REF!-N1841</f>
        <v>#REF!</v>
      </c>
      <c r="R1841" s="17" t="str">
        <f t="shared" ref="R1841:R1939" si="216">CONCATENATE(F1841,G1841)</f>
        <v>16 2 01 20540810</v>
      </c>
    </row>
    <row r="1842" spans="1:18" s="16" customFormat="1" ht="110.25">
      <c r="A1842" s="14"/>
      <c r="B1842" s="125" t="s">
        <v>226</v>
      </c>
      <c r="C1842" s="109" t="s">
        <v>939</v>
      </c>
      <c r="D1842" s="108" t="s">
        <v>13</v>
      </c>
      <c r="E1842" s="108" t="s">
        <v>471</v>
      </c>
      <c r="F1842" s="108" t="s">
        <v>960</v>
      </c>
      <c r="G1842" s="108" t="s">
        <v>227</v>
      </c>
      <c r="H1842" s="126"/>
      <c r="L1842" s="20"/>
      <c r="M1842" s="20"/>
      <c r="N1842" s="20"/>
      <c r="O1842" s="20"/>
      <c r="P1842" s="20"/>
      <c r="Q1842" s="20"/>
      <c r="R1842" s="17"/>
    </row>
    <row r="1843" spans="1:18" s="16" customFormat="1" ht="47.25">
      <c r="A1843" s="14"/>
      <c r="B1843" s="125" t="s">
        <v>961</v>
      </c>
      <c r="C1843" s="109" t="s">
        <v>939</v>
      </c>
      <c r="D1843" s="108" t="s">
        <v>13</v>
      </c>
      <c r="E1843" s="108" t="s">
        <v>471</v>
      </c>
      <c r="F1843" s="108" t="s">
        <v>962</v>
      </c>
      <c r="G1843" s="108" t="s">
        <v>9</v>
      </c>
      <c r="H1843" s="126">
        <f>H1844+H1855+H1859+H1863</f>
        <v>0</v>
      </c>
      <c r="L1843" s="20">
        <v>24709.450000000004</v>
      </c>
      <c r="M1843" s="20">
        <v>24359.390000000003</v>
      </c>
      <c r="N1843" s="20">
        <v>24359.390000000003</v>
      </c>
      <c r="O1843" s="20">
        <f>H1843-L1843</f>
        <v>-24709.450000000004</v>
      </c>
      <c r="P1843" s="20" t="e">
        <f>#REF!-M1843</f>
        <v>#REF!</v>
      </c>
      <c r="Q1843" s="20" t="e">
        <f>#REF!-N1843</f>
        <v>#REF!</v>
      </c>
      <c r="R1843" s="17" t="str">
        <f t="shared" si="216"/>
        <v>16 3 00 00000000</v>
      </c>
    </row>
    <row r="1844" spans="1:18" s="16" customFormat="1" ht="63">
      <c r="A1844" s="14"/>
      <c r="B1844" s="125" t="s">
        <v>963</v>
      </c>
      <c r="C1844" s="109" t="s">
        <v>939</v>
      </c>
      <c r="D1844" s="108" t="s">
        <v>13</v>
      </c>
      <c r="E1844" s="108" t="s">
        <v>471</v>
      </c>
      <c r="F1844" s="108" t="s">
        <v>964</v>
      </c>
      <c r="G1844" s="108" t="s">
        <v>9</v>
      </c>
      <c r="H1844" s="126">
        <f>H1845</f>
        <v>0</v>
      </c>
      <c r="L1844" s="20">
        <v>19042.640000000003</v>
      </c>
      <c r="M1844" s="20">
        <v>18692.580000000002</v>
      </c>
      <c r="N1844" s="20">
        <v>18692.580000000002</v>
      </c>
      <c r="O1844" s="20">
        <f>H1844-L1844</f>
        <v>-19042.640000000003</v>
      </c>
      <c r="P1844" s="20" t="e">
        <f>#REF!-M1844</f>
        <v>#REF!</v>
      </c>
      <c r="Q1844" s="20" t="e">
        <f>#REF!-N1844</f>
        <v>#REF!</v>
      </c>
      <c r="R1844" s="17" t="str">
        <f t="shared" si="216"/>
        <v>16 3 01 00000000</v>
      </c>
    </row>
    <row r="1845" spans="1:18" s="16" customFormat="1" ht="31.5">
      <c r="A1845" s="14"/>
      <c r="B1845" s="148" t="s">
        <v>136</v>
      </c>
      <c r="C1845" s="109" t="s">
        <v>939</v>
      </c>
      <c r="D1845" s="108" t="s">
        <v>13</v>
      </c>
      <c r="E1845" s="108" t="s">
        <v>471</v>
      </c>
      <c r="F1845" s="108" t="s">
        <v>965</v>
      </c>
      <c r="G1845" s="108" t="s">
        <v>9</v>
      </c>
      <c r="H1845" s="126">
        <f>H1846+H1849+H1851</f>
        <v>0</v>
      </c>
      <c r="L1845" s="20">
        <v>19042.640000000003</v>
      </c>
      <c r="M1845" s="20">
        <v>18692.580000000002</v>
      </c>
      <c r="N1845" s="20">
        <v>18692.580000000002</v>
      </c>
      <c r="O1845" s="20">
        <f>H1845-L1845</f>
        <v>-19042.640000000003</v>
      </c>
      <c r="P1845" s="20" t="e">
        <f>#REF!-M1845</f>
        <v>#REF!</v>
      </c>
      <c r="Q1845" s="20" t="e">
        <f>#REF!-N1845</f>
        <v>#REF!</v>
      </c>
      <c r="R1845" s="17" t="str">
        <f t="shared" si="216"/>
        <v>16 3 01 11010000</v>
      </c>
    </row>
    <row r="1846" spans="1:18" s="16" customFormat="1" ht="15.75">
      <c r="A1846" s="14"/>
      <c r="B1846" s="148" t="s">
        <v>138</v>
      </c>
      <c r="C1846" s="109" t="s">
        <v>939</v>
      </c>
      <c r="D1846" s="108" t="s">
        <v>13</v>
      </c>
      <c r="E1846" s="108" t="s">
        <v>471</v>
      </c>
      <c r="F1846" s="108" t="s">
        <v>965</v>
      </c>
      <c r="G1846" s="108" t="s">
        <v>139</v>
      </c>
      <c r="H1846" s="126">
        <f>SUM(H1847:H1848)</f>
        <v>0</v>
      </c>
      <c r="L1846" s="20">
        <v>16997.420000000002</v>
      </c>
      <c r="M1846" s="20">
        <v>16997.420000000002</v>
      </c>
      <c r="N1846" s="20">
        <v>16997.420000000002</v>
      </c>
      <c r="O1846" s="20">
        <f>H1846-L1846</f>
        <v>-16997.420000000002</v>
      </c>
      <c r="P1846" s="20" t="e">
        <f>#REF!-M1846</f>
        <v>#REF!</v>
      </c>
      <c r="Q1846" s="20" t="e">
        <f>#REF!-N1846</f>
        <v>#REF!</v>
      </c>
      <c r="R1846" s="17" t="str">
        <f t="shared" si="216"/>
        <v>16 3 01 11010110</v>
      </c>
    </row>
    <row r="1847" spans="1:18" s="23" customFormat="1" ht="15.75">
      <c r="A1847" s="21"/>
      <c r="B1847" s="127" t="s">
        <v>140</v>
      </c>
      <c r="C1847" s="109" t="s">
        <v>939</v>
      </c>
      <c r="D1847" s="108" t="s">
        <v>13</v>
      </c>
      <c r="E1847" s="108" t="s">
        <v>471</v>
      </c>
      <c r="F1847" s="108" t="s">
        <v>965</v>
      </c>
      <c r="G1847" s="108" t="s">
        <v>141</v>
      </c>
      <c r="H1847" s="126"/>
      <c r="L1847" s="22"/>
      <c r="M1847" s="22"/>
      <c r="N1847" s="22"/>
      <c r="O1847" s="22"/>
      <c r="P1847" s="22"/>
      <c r="Q1847" s="22"/>
      <c r="R1847" s="24"/>
    </row>
    <row r="1848" spans="1:18" s="23" customFormat="1" ht="47.25">
      <c r="A1848" s="21"/>
      <c r="B1848" s="127" t="s">
        <v>487</v>
      </c>
      <c r="C1848" s="109" t="s">
        <v>939</v>
      </c>
      <c r="D1848" s="108" t="s">
        <v>13</v>
      </c>
      <c r="E1848" s="108" t="s">
        <v>471</v>
      </c>
      <c r="F1848" s="108" t="s">
        <v>965</v>
      </c>
      <c r="G1848" s="108" t="s">
        <v>145</v>
      </c>
      <c r="H1848" s="126"/>
      <c r="L1848" s="22"/>
      <c r="M1848" s="22"/>
      <c r="N1848" s="22"/>
      <c r="O1848" s="22"/>
      <c r="P1848" s="22"/>
      <c r="Q1848" s="22"/>
      <c r="R1848" s="24"/>
    </row>
    <row r="1849" spans="1:18" s="16" customFormat="1" ht="31.5">
      <c r="A1849" s="14"/>
      <c r="B1849" s="125" t="s">
        <v>28</v>
      </c>
      <c r="C1849" s="109" t="s">
        <v>939</v>
      </c>
      <c r="D1849" s="108" t="s">
        <v>13</v>
      </c>
      <c r="E1849" s="108" t="s">
        <v>471</v>
      </c>
      <c r="F1849" s="108" t="s">
        <v>965</v>
      </c>
      <c r="G1849" s="108" t="s">
        <v>29</v>
      </c>
      <c r="H1849" s="126">
        <f>H1850</f>
        <v>0</v>
      </c>
      <c r="L1849" s="20">
        <v>1688.22</v>
      </c>
      <c r="M1849" s="20">
        <v>1338.16</v>
      </c>
      <c r="N1849" s="20">
        <v>1338.16</v>
      </c>
      <c r="O1849" s="20">
        <f>H1849-L1849</f>
        <v>-1688.22</v>
      </c>
      <c r="P1849" s="20" t="e">
        <f>#REF!-M1849</f>
        <v>#REF!</v>
      </c>
      <c r="Q1849" s="20" t="e">
        <f>#REF!-N1849</f>
        <v>#REF!</v>
      </c>
      <c r="R1849" s="17" t="str">
        <f t="shared" si="216"/>
        <v>16 3 01 11010240</v>
      </c>
    </row>
    <row r="1850" spans="1:18" s="16" customFormat="1" ht="15.75">
      <c r="A1850" s="14"/>
      <c r="B1850" s="125" t="s">
        <v>30</v>
      </c>
      <c r="C1850" s="109" t="s">
        <v>939</v>
      </c>
      <c r="D1850" s="108" t="s">
        <v>13</v>
      </c>
      <c r="E1850" s="108" t="s">
        <v>471</v>
      </c>
      <c r="F1850" s="108" t="s">
        <v>965</v>
      </c>
      <c r="G1850" s="108" t="s">
        <v>31</v>
      </c>
      <c r="H1850" s="126"/>
      <c r="L1850" s="20"/>
      <c r="M1850" s="20"/>
      <c r="N1850" s="20"/>
      <c r="O1850" s="20"/>
      <c r="P1850" s="20"/>
      <c r="Q1850" s="20"/>
      <c r="R1850" s="17"/>
    </row>
    <row r="1851" spans="1:18" s="16" customFormat="1" ht="15.75">
      <c r="A1851" s="14"/>
      <c r="B1851" s="148" t="s">
        <v>32</v>
      </c>
      <c r="C1851" s="109" t="s">
        <v>939</v>
      </c>
      <c r="D1851" s="108" t="s">
        <v>13</v>
      </c>
      <c r="E1851" s="108" t="s">
        <v>471</v>
      </c>
      <c r="F1851" s="108" t="s">
        <v>965</v>
      </c>
      <c r="G1851" s="108" t="s">
        <v>33</v>
      </c>
      <c r="H1851" s="126">
        <f>SUM(H1852:H1854)</f>
        <v>0</v>
      </c>
      <c r="L1851" s="20">
        <v>357</v>
      </c>
      <c r="M1851" s="20">
        <v>357</v>
      </c>
      <c r="N1851" s="20">
        <v>357</v>
      </c>
      <c r="O1851" s="20">
        <f>H1851-L1851</f>
        <v>-357</v>
      </c>
      <c r="P1851" s="20" t="e">
        <f>#REF!-M1851</f>
        <v>#REF!</v>
      </c>
      <c r="Q1851" s="20" t="e">
        <f>#REF!-N1851</f>
        <v>#REF!</v>
      </c>
      <c r="R1851" s="17" t="str">
        <f t="shared" si="216"/>
        <v>16 3 01 11010850</v>
      </c>
    </row>
    <row r="1852" spans="1:18" s="23" customFormat="1" ht="31.5">
      <c r="A1852" s="21"/>
      <c r="B1852" s="127" t="s">
        <v>34</v>
      </c>
      <c r="C1852" s="109" t="s">
        <v>939</v>
      </c>
      <c r="D1852" s="108" t="s">
        <v>13</v>
      </c>
      <c r="E1852" s="108" t="s">
        <v>471</v>
      </c>
      <c r="F1852" s="108" t="s">
        <v>965</v>
      </c>
      <c r="G1852" s="108">
        <v>851</v>
      </c>
      <c r="H1852" s="126"/>
      <c r="L1852" s="22"/>
      <c r="M1852" s="22"/>
      <c r="N1852" s="22"/>
      <c r="O1852" s="22"/>
      <c r="P1852" s="22"/>
      <c r="Q1852" s="22"/>
      <c r="R1852" s="24"/>
    </row>
    <row r="1853" spans="1:18" s="23" customFormat="1" ht="15.75">
      <c r="A1853" s="21"/>
      <c r="B1853" s="127" t="s">
        <v>36</v>
      </c>
      <c r="C1853" s="109" t="s">
        <v>939</v>
      </c>
      <c r="D1853" s="108" t="s">
        <v>13</v>
      </c>
      <c r="E1853" s="108" t="s">
        <v>471</v>
      </c>
      <c r="F1853" s="108" t="s">
        <v>965</v>
      </c>
      <c r="G1853" s="108" t="s">
        <v>37</v>
      </c>
      <c r="H1853" s="126"/>
      <c r="L1853" s="22"/>
      <c r="M1853" s="22"/>
      <c r="N1853" s="22"/>
      <c r="O1853" s="22"/>
      <c r="P1853" s="22"/>
      <c r="Q1853" s="22"/>
      <c r="R1853" s="24"/>
    </row>
    <row r="1854" spans="1:18" s="23" customFormat="1" ht="15.75">
      <c r="A1854" s="21"/>
      <c r="B1854" s="127" t="s">
        <v>77</v>
      </c>
      <c r="C1854" s="109" t="s">
        <v>939</v>
      </c>
      <c r="D1854" s="108" t="s">
        <v>13</v>
      </c>
      <c r="E1854" s="108" t="s">
        <v>471</v>
      </c>
      <c r="F1854" s="108" t="s">
        <v>965</v>
      </c>
      <c r="G1854" s="108" t="s">
        <v>78</v>
      </c>
      <c r="H1854" s="126"/>
      <c r="L1854" s="22"/>
      <c r="M1854" s="22"/>
      <c r="N1854" s="22"/>
      <c r="O1854" s="22"/>
      <c r="P1854" s="22"/>
      <c r="Q1854" s="22"/>
      <c r="R1854" s="24"/>
    </row>
    <row r="1855" spans="1:18" s="16" customFormat="1" ht="94.5">
      <c r="A1855" s="14"/>
      <c r="B1855" s="148" t="s">
        <v>966</v>
      </c>
      <c r="C1855" s="109" t="s">
        <v>939</v>
      </c>
      <c r="D1855" s="108" t="s">
        <v>13</v>
      </c>
      <c r="E1855" s="108" t="s">
        <v>471</v>
      </c>
      <c r="F1855" s="108" t="s">
        <v>967</v>
      </c>
      <c r="G1855" s="108" t="s">
        <v>9</v>
      </c>
      <c r="H1855" s="126">
        <f>H1856</f>
        <v>0</v>
      </c>
      <c r="L1855" s="20">
        <v>2201.81</v>
      </c>
      <c r="M1855" s="20">
        <v>2201.81</v>
      </c>
      <c r="N1855" s="20">
        <v>2201.81</v>
      </c>
      <c r="O1855" s="20">
        <f>H1855-L1855</f>
        <v>-2201.81</v>
      </c>
      <c r="P1855" s="20" t="e">
        <f>#REF!-M1855</f>
        <v>#REF!</v>
      </c>
      <c r="Q1855" s="20" t="e">
        <f>#REF!-N1855</f>
        <v>#REF!</v>
      </c>
      <c r="R1855" s="17" t="str">
        <f t="shared" si="216"/>
        <v>16 3 02 00000000</v>
      </c>
    </row>
    <row r="1856" spans="1:18" s="16" customFormat="1" ht="63">
      <c r="A1856" s="14"/>
      <c r="B1856" s="148" t="s">
        <v>968</v>
      </c>
      <c r="C1856" s="109" t="s">
        <v>939</v>
      </c>
      <c r="D1856" s="108" t="s">
        <v>13</v>
      </c>
      <c r="E1856" s="108" t="s">
        <v>471</v>
      </c>
      <c r="F1856" s="108" t="s">
        <v>969</v>
      </c>
      <c r="G1856" s="108" t="s">
        <v>9</v>
      </c>
      <c r="H1856" s="126">
        <f>H1857</f>
        <v>0</v>
      </c>
      <c r="L1856" s="20">
        <v>2201.81</v>
      </c>
      <c r="M1856" s="20">
        <v>2201.81</v>
      </c>
      <c r="N1856" s="20">
        <v>2201.81</v>
      </c>
      <c r="O1856" s="20">
        <f>H1856-L1856</f>
        <v>-2201.81</v>
      </c>
      <c r="P1856" s="20" t="e">
        <f>#REF!-M1856</f>
        <v>#REF!</v>
      </c>
      <c r="Q1856" s="20" t="e">
        <f>#REF!-N1856</f>
        <v>#REF!</v>
      </c>
      <c r="R1856" s="17" t="str">
        <f t="shared" si="216"/>
        <v>16 3 02 20690000</v>
      </c>
    </row>
    <row r="1857" spans="1:18" s="16" customFormat="1" ht="31.5">
      <c r="A1857" s="14"/>
      <c r="B1857" s="125" t="s">
        <v>28</v>
      </c>
      <c r="C1857" s="109" t="s">
        <v>939</v>
      </c>
      <c r="D1857" s="108" t="s">
        <v>13</v>
      </c>
      <c r="E1857" s="108" t="s">
        <v>471</v>
      </c>
      <c r="F1857" s="108" t="s">
        <v>969</v>
      </c>
      <c r="G1857" s="108" t="s">
        <v>29</v>
      </c>
      <c r="H1857" s="126">
        <f>H1858</f>
        <v>0</v>
      </c>
      <c r="L1857" s="20">
        <v>2201.81</v>
      </c>
      <c r="M1857" s="20">
        <v>2201.81</v>
      </c>
      <c r="N1857" s="20">
        <v>2201.81</v>
      </c>
      <c r="O1857" s="20">
        <f>H1857-L1857</f>
        <v>-2201.81</v>
      </c>
      <c r="P1857" s="20" t="e">
        <f>#REF!-M1857</f>
        <v>#REF!</v>
      </c>
      <c r="Q1857" s="20" t="e">
        <f>#REF!-N1857</f>
        <v>#REF!</v>
      </c>
      <c r="R1857" s="17" t="str">
        <f t="shared" si="216"/>
        <v>16 3 02 20690240</v>
      </c>
    </row>
    <row r="1858" spans="1:18" s="16" customFormat="1" ht="15.75">
      <c r="A1858" s="14"/>
      <c r="B1858" s="125" t="s">
        <v>30</v>
      </c>
      <c r="C1858" s="109" t="s">
        <v>939</v>
      </c>
      <c r="D1858" s="108" t="s">
        <v>13</v>
      </c>
      <c r="E1858" s="108" t="s">
        <v>471</v>
      </c>
      <c r="F1858" s="108" t="s">
        <v>969</v>
      </c>
      <c r="G1858" s="108" t="s">
        <v>31</v>
      </c>
      <c r="H1858" s="126"/>
      <c r="L1858" s="20"/>
      <c r="M1858" s="20"/>
      <c r="N1858" s="20"/>
      <c r="O1858" s="20"/>
      <c r="P1858" s="20"/>
      <c r="Q1858" s="20"/>
      <c r="R1858" s="17"/>
    </row>
    <row r="1859" spans="1:18" s="16" customFormat="1" ht="94.5">
      <c r="A1859" s="14"/>
      <c r="B1859" s="148" t="s">
        <v>970</v>
      </c>
      <c r="C1859" s="109" t="s">
        <v>939</v>
      </c>
      <c r="D1859" s="108" t="s">
        <v>13</v>
      </c>
      <c r="E1859" s="108" t="s">
        <v>471</v>
      </c>
      <c r="F1859" s="108" t="s">
        <v>971</v>
      </c>
      <c r="G1859" s="108" t="s">
        <v>9</v>
      </c>
      <c r="H1859" s="126">
        <f>H1860</f>
        <v>0</v>
      </c>
      <c r="L1859" s="20">
        <v>2700</v>
      </c>
      <c r="M1859" s="20">
        <v>2700</v>
      </c>
      <c r="N1859" s="20">
        <v>2700</v>
      </c>
      <c r="O1859" s="20">
        <f>H1859-L1859</f>
        <v>-2700</v>
      </c>
      <c r="P1859" s="20" t="e">
        <f>#REF!-M1859</f>
        <v>#REF!</v>
      </c>
      <c r="Q1859" s="20" t="e">
        <f>#REF!-N1859</f>
        <v>#REF!</v>
      </c>
      <c r="R1859" s="17" t="str">
        <f t="shared" si="216"/>
        <v>16 3 03 00000000</v>
      </c>
    </row>
    <row r="1860" spans="1:18" s="16" customFormat="1" ht="47.25">
      <c r="A1860" s="14"/>
      <c r="B1860" s="148" t="s">
        <v>152</v>
      </c>
      <c r="C1860" s="109" t="s">
        <v>939</v>
      </c>
      <c r="D1860" s="108" t="s">
        <v>13</v>
      </c>
      <c r="E1860" s="108" t="s">
        <v>471</v>
      </c>
      <c r="F1860" s="108" t="s">
        <v>972</v>
      </c>
      <c r="G1860" s="108" t="s">
        <v>9</v>
      </c>
      <c r="H1860" s="126">
        <f>H1861</f>
        <v>0</v>
      </c>
      <c r="L1860" s="20">
        <v>2700</v>
      </c>
      <c r="M1860" s="20">
        <v>2700</v>
      </c>
      <c r="N1860" s="20">
        <v>2700</v>
      </c>
      <c r="O1860" s="20">
        <f>H1860-L1860</f>
        <v>-2700</v>
      </c>
      <c r="P1860" s="20" t="e">
        <f>#REF!-M1860</f>
        <v>#REF!</v>
      </c>
      <c r="Q1860" s="20" t="e">
        <f>#REF!-N1860</f>
        <v>#REF!</v>
      </c>
      <c r="R1860" s="17" t="str">
        <f t="shared" si="216"/>
        <v>16 3 03 20350000</v>
      </c>
    </row>
    <row r="1861" spans="1:18" s="16" customFormat="1" ht="31.5">
      <c r="A1861" s="14"/>
      <c r="B1861" s="148" t="s">
        <v>28</v>
      </c>
      <c r="C1861" s="109" t="s">
        <v>939</v>
      </c>
      <c r="D1861" s="108" t="s">
        <v>13</v>
      </c>
      <c r="E1861" s="108" t="s">
        <v>471</v>
      </c>
      <c r="F1861" s="108" t="s">
        <v>972</v>
      </c>
      <c r="G1861" s="108" t="s">
        <v>29</v>
      </c>
      <c r="H1861" s="126">
        <f>H1862</f>
        <v>0</v>
      </c>
      <c r="L1861" s="20">
        <v>2700</v>
      </c>
      <c r="M1861" s="20">
        <v>2700</v>
      </c>
      <c r="N1861" s="20">
        <v>2700</v>
      </c>
      <c r="O1861" s="20">
        <f>H1861-L1861</f>
        <v>-2700</v>
      </c>
      <c r="P1861" s="20" t="e">
        <f>#REF!-M1861</f>
        <v>#REF!</v>
      </c>
      <c r="Q1861" s="20" t="e">
        <f>#REF!-N1861</f>
        <v>#REF!</v>
      </c>
      <c r="R1861" s="17" t="str">
        <f t="shared" si="216"/>
        <v>16 3 03 20350240</v>
      </c>
    </row>
    <row r="1862" spans="1:18" s="16" customFormat="1" ht="15.75">
      <c r="A1862" s="14"/>
      <c r="B1862" s="125" t="s">
        <v>30</v>
      </c>
      <c r="C1862" s="109" t="s">
        <v>939</v>
      </c>
      <c r="D1862" s="108" t="s">
        <v>13</v>
      </c>
      <c r="E1862" s="108" t="s">
        <v>471</v>
      </c>
      <c r="F1862" s="108" t="s">
        <v>972</v>
      </c>
      <c r="G1862" s="108" t="s">
        <v>31</v>
      </c>
      <c r="H1862" s="126"/>
      <c r="L1862" s="20"/>
      <c r="M1862" s="20"/>
      <c r="N1862" s="20"/>
      <c r="O1862" s="20"/>
      <c r="P1862" s="20"/>
      <c r="Q1862" s="20"/>
      <c r="R1862" s="17"/>
    </row>
    <row r="1863" spans="1:18" s="16" customFormat="1" ht="78.75">
      <c r="A1863" s="14"/>
      <c r="B1863" s="148" t="s">
        <v>973</v>
      </c>
      <c r="C1863" s="109" t="s">
        <v>939</v>
      </c>
      <c r="D1863" s="108" t="s">
        <v>13</v>
      </c>
      <c r="E1863" s="108" t="s">
        <v>471</v>
      </c>
      <c r="F1863" s="108" t="s">
        <v>974</v>
      </c>
      <c r="G1863" s="108" t="s">
        <v>9</v>
      </c>
      <c r="H1863" s="126">
        <f>H1864</f>
        <v>0</v>
      </c>
      <c r="L1863" s="20">
        <v>765</v>
      </c>
      <c r="M1863" s="20">
        <v>765</v>
      </c>
      <c r="N1863" s="20">
        <v>765</v>
      </c>
      <c r="O1863" s="20">
        <f>H1863-L1863</f>
        <v>-765</v>
      </c>
      <c r="P1863" s="20" t="e">
        <f>#REF!-M1863</f>
        <v>#REF!</v>
      </c>
      <c r="Q1863" s="20" t="e">
        <f>#REF!-N1863</f>
        <v>#REF!</v>
      </c>
      <c r="R1863" s="17" t="str">
        <f t="shared" si="216"/>
        <v>16 3 04 00000000</v>
      </c>
    </row>
    <row r="1864" spans="1:18" s="16" customFormat="1" ht="47.25">
      <c r="A1864" s="14"/>
      <c r="B1864" s="148" t="s">
        <v>152</v>
      </c>
      <c r="C1864" s="109" t="s">
        <v>939</v>
      </c>
      <c r="D1864" s="108" t="s">
        <v>13</v>
      </c>
      <c r="E1864" s="108" t="s">
        <v>471</v>
      </c>
      <c r="F1864" s="108" t="s">
        <v>975</v>
      </c>
      <c r="G1864" s="108" t="s">
        <v>9</v>
      </c>
      <c r="H1864" s="126">
        <f>H1865</f>
        <v>0</v>
      </c>
      <c r="L1864" s="20">
        <v>765</v>
      </c>
      <c r="M1864" s="20">
        <v>765</v>
      </c>
      <c r="N1864" s="20">
        <v>765</v>
      </c>
      <c r="O1864" s="20">
        <f>H1864-L1864</f>
        <v>-765</v>
      </c>
      <c r="P1864" s="20" t="e">
        <f>#REF!-M1864</f>
        <v>#REF!</v>
      </c>
      <c r="Q1864" s="20" t="e">
        <f>#REF!-N1864</f>
        <v>#REF!</v>
      </c>
      <c r="R1864" s="17" t="str">
        <f t="shared" si="216"/>
        <v>16 3 04 20350000</v>
      </c>
    </row>
    <row r="1865" spans="1:18" s="16" customFormat="1" ht="31.5">
      <c r="A1865" s="14"/>
      <c r="B1865" s="148" t="s">
        <v>28</v>
      </c>
      <c r="C1865" s="109" t="s">
        <v>939</v>
      </c>
      <c r="D1865" s="108" t="s">
        <v>13</v>
      </c>
      <c r="E1865" s="108" t="s">
        <v>471</v>
      </c>
      <c r="F1865" s="108" t="s">
        <v>975</v>
      </c>
      <c r="G1865" s="108" t="s">
        <v>29</v>
      </c>
      <c r="H1865" s="126">
        <f>H1866</f>
        <v>0</v>
      </c>
      <c r="L1865" s="20">
        <v>765</v>
      </c>
      <c r="M1865" s="20">
        <v>765</v>
      </c>
      <c r="N1865" s="20">
        <v>765</v>
      </c>
      <c r="O1865" s="20">
        <f>H1865-L1865</f>
        <v>-765</v>
      </c>
      <c r="P1865" s="20" t="e">
        <f>#REF!-M1865</f>
        <v>#REF!</v>
      </c>
      <c r="Q1865" s="20" t="e">
        <f>#REF!-N1865</f>
        <v>#REF!</v>
      </c>
      <c r="R1865" s="17" t="str">
        <f t="shared" si="216"/>
        <v>16 3 04 20350240</v>
      </c>
    </row>
    <row r="1866" spans="1:18" s="16" customFormat="1" ht="15.75">
      <c r="A1866" s="14"/>
      <c r="B1866" s="125" t="s">
        <v>30</v>
      </c>
      <c r="C1866" s="109" t="s">
        <v>939</v>
      </c>
      <c r="D1866" s="108" t="s">
        <v>13</v>
      </c>
      <c r="E1866" s="108" t="s">
        <v>471</v>
      </c>
      <c r="F1866" s="108" t="s">
        <v>975</v>
      </c>
      <c r="G1866" s="108" t="s">
        <v>31</v>
      </c>
      <c r="H1866" s="126"/>
      <c r="L1866" s="20"/>
      <c r="M1866" s="20"/>
      <c r="N1866" s="20"/>
      <c r="O1866" s="20"/>
      <c r="P1866" s="20"/>
      <c r="Q1866" s="20"/>
      <c r="R1866" s="17"/>
    </row>
    <row r="1867" spans="1:18" s="16" customFormat="1" ht="47.25">
      <c r="A1867" s="14"/>
      <c r="B1867" s="147" t="s">
        <v>976</v>
      </c>
      <c r="C1867" s="109" t="s">
        <v>939</v>
      </c>
      <c r="D1867" s="108" t="s">
        <v>13</v>
      </c>
      <c r="E1867" s="108" t="s">
        <v>471</v>
      </c>
      <c r="F1867" s="108" t="s">
        <v>977</v>
      </c>
      <c r="G1867" s="108" t="s">
        <v>9</v>
      </c>
      <c r="H1867" s="126">
        <f>H1868</f>
        <v>0</v>
      </c>
      <c r="L1867" s="20">
        <v>15349.49</v>
      </c>
      <c r="M1867" s="20">
        <v>15349.49</v>
      </c>
      <c r="N1867" s="20">
        <v>15349.49</v>
      </c>
      <c r="O1867" s="20">
        <f>H1867-L1867</f>
        <v>-15349.49</v>
      </c>
      <c r="P1867" s="20" t="e">
        <f>#REF!-M1867</f>
        <v>#REF!</v>
      </c>
      <c r="Q1867" s="20" t="e">
        <f>#REF!-N1867</f>
        <v>#REF!</v>
      </c>
      <c r="R1867" s="17" t="str">
        <f t="shared" si="216"/>
        <v>85 0 00 00000000</v>
      </c>
    </row>
    <row r="1868" spans="1:18" s="66" customFormat="1" ht="63">
      <c r="A1868" s="65"/>
      <c r="B1868" s="125" t="s">
        <v>978</v>
      </c>
      <c r="C1868" s="109" t="s">
        <v>939</v>
      </c>
      <c r="D1868" s="108" t="s">
        <v>13</v>
      </c>
      <c r="E1868" s="108" t="s">
        <v>471</v>
      </c>
      <c r="F1868" s="108" t="s">
        <v>979</v>
      </c>
      <c r="G1868" s="108" t="s">
        <v>9</v>
      </c>
      <c r="H1868" s="126">
        <f>H1869+H1878</f>
        <v>0</v>
      </c>
      <c r="L1868" s="20">
        <v>15349.49</v>
      </c>
      <c r="M1868" s="20">
        <v>15349.49</v>
      </c>
      <c r="N1868" s="20">
        <v>15349.49</v>
      </c>
      <c r="O1868" s="20">
        <f>H1868-L1868</f>
        <v>-15349.49</v>
      </c>
      <c r="P1868" s="20" t="e">
        <f>#REF!-M1868</f>
        <v>#REF!</v>
      </c>
      <c r="Q1868" s="20" t="e">
        <f>#REF!-N1868</f>
        <v>#REF!</v>
      </c>
      <c r="R1868" s="17" t="str">
        <f t="shared" si="216"/>
        <v>85 1 00 00000000</v>
      </c>
    </row>
    <row r="1869" spans="1:18" s="16" customFormat="1" ht="31.5">
      <c r="A1869" s="14"/>
      <c r="B1869" s="148" t="s">
        <v>18</v>
      </c>
      <c r="C1869" s="109" t="s">
        <v>939</v>
      </c>
      <c r="D1869" s="108" t="s">
        <v>13</v>
      </c>
      <c r="E1869" s="108" t="s">
        <v>471</v>
      </c>
      <c r="F1869" s="108" t="s">
        <v>980</v>
      </c>
      <c r="G1869" s="108" t="s">
        <v>9</v>
      </c>
      <c r="H1869" s="126">
        <f>H1870+H1873+H1875</f>
        <v>0</v>
      </c>
      <c r="L1869" s="20">
        <v>1772.94</v>
      </c>
      <c r="M1869" s="20">
        <v>1772.94</v>
      </c>
      <c r="N1869" s="20">
        <v>1772.94</v>
      </c>
      <c r="O1869" s="20">
        <f>H1869-L1869</f>
        <v>-1772.94</v>
      </c>
      <c r="P1869" s="20" t="e">
        <f>#REF!-M1869</f>
        <v>#REF!</v>
      </c>
      <c r="Q1869" s="20" t="e">
        <f>#REF!-N1869</f>
        <v>#REF!</v>
      </c>
      <c r="R1869" s="17" t="str">
        <f t="shared" si="216"/>
        <v>85 1 00 10010000</v>
      </c>
    </row>
    <row r="1870" spans="1:18" s="16" customFormat="1" ht="31.5">
      <c r="A1870" s="14"/>
      <c r="B1870" s="125" t="s">
        <v>20</v>
      </c>
      <c r="C1870" s="109" t="s">
        <v>939</v>
      </c>
      <c r="D1870" s="108" t="s">
        <v>13</v>
      </c>
      <c r="E1870" s="108" t="s">
        <v>471</v>
      </c>
      <c r="F1870" s="108" t="s">
        <v>980</v>
      </c>
      <c r="G1870" s="108" t="s">
        <v>21</v>
      </c>
      <c r="H1870" s="126">
        <f>SUM(H1871:H1872)</f>
        <v>0</v>
      </c>
      <c r="L1870" s="20">
        <v>387.25</v>
      </c>
      <c r="M1870" s="20">
        <v>387.25</v>
      </c>
      <c r="N1870" s="20">
        <v>387.25</v>
      </c>
      <c r="O1870" s="20">
        <f>H1870-L1870</f>
        <v>-387.25</v>
      </c>
      <c r="P1870" s="20" t="e">
        <f>#REF!-M1870</f>
        <v>#REF!</v>
      </c>
      <c r="Q1870" s="20" t="e">
        <f>#REF!-N1870</f>
        <v>#REF!</v>
      </c>
      <c r="R1870" s="17" t="str">
        <f t="shared" si="216"/>
        <v>85 1 00 10010120</v>
      </c>
    </row>
    <row r="1871" spans="1:18" s="16" customFormat="1" ht="47.25">
      <c r="A1871" s="14"/>
      <c r="B1871" s="125" t="s">
        <v>22</v>
      </c>
      <c r="C1871" s="109" t="s">
        <v>939</v>
      </c>
      <c r="D1871" s="108" t="s">
        <v>13</v>
      </c>
      <c r="E1871" s="108" t="s">
        <v>471</v>
      </c>
      <c r="F1871" s="108" t="s">
        <v>980</v>
      </c>
      <c r="G1871" s="108" t="s">
        <v>23</v>
      </c>
      <c r="H1871" s="126"/>
      <c r="L1871" s="20"/>
      <c r="M1871" s="20"/>
      <c r="N1871" s="20"/>
      <c r="O1871" s="20"/>
      <c r="P1871" s="20"/>
      <c r="Q1871" s="20"/>
      <c r="R1871" s="17"/>
    </row>
    <row r="1872" spans="1:18" s="16" customFormat="1" ht="63">
      <c r="A1872" s="14"/>
      <c r="B1872" s="125" t="s">
        <v>26</v>
      </c>
      <c r="C1872" s="109" t="s">
        <v>939</v>
      </c>
      <c r="D1872" s="108" t="s">
        <v>13</v>
      </c>
      <c r="E1872" s="108" t="s">
        <v>471</v>
      </c>
      <c r="F1872" s="108" t="s">
        <v>980</v>
      </c>
      <c r="G1872" s="108" t="s">
        <v>27</v>
      </c>
      <c r="H1872" s="126"/>
      <c r="L1872" s="20"/>
      <c r="M1872" s="20"/>
      <c r="N1872" s="20"/>
      <c r="O1872" s="20"/>
      <c r="P1872" s="20"/>
      <c r="Q1872" s="20"/>
      <c r="R1872" s="17"/>
    </row>
    <row r="1873" spans="1:18" s="16" customFormat="1" ht="31.5">
      <c r="A1873" s="14"/>
      <c r="B1873" s="125" t="s">
        <v>28</v>
      </c>
      <c r="C1873" s="109" t="s">
        <v>939</v>
      </c>
      <c r="D1873" s="108" t="s">
        <v>13</v>
      </c>
      <c r="E1873" s="108" t="s">
        <v>471</v>
      </c>
      <c r="F1873" s="108" t="s">
        <v>980</v>
      </c>
      <c r="G1873" s="108" t="s">
        <v>29</v>
      </c>
      <c r="H1873" s="126">
        <f>H1874</f>
        <v>0</v>
      </c>
      <c r="L1873" s="20">
        <v>1183.98</v>
      </c>
      <c r="M1873" s="20">
        <v>1183.98</v>
      </c>
      <c r="N1873" s="20">
        <v>1183.98</v>
      </c>
      <c r="O1873" s="20">
        <f>H1873-L1873</f>
        <v>-1183.98</v>
      </c>
      <c r="P1873" s="20" t="e">
        <f>#REF!-M1873</f>
        <v>#REF!</v>
      </c>
      <c r="Q1873" s="20" t="e">
        <f>#REF!-N1873</f>
        <v>#REF!</v>
      </c>
      <c r="R1873" s="17" t="str">
        <f t="shared" si="216"/>
        <v>85 1 00 10010240</v>
      </c>
    </row>
    <row r="1874" spans="1:18" s="16" customFormat="1" ht="15.75">
      <c r="A1874" s="14"/>
      <c r="B1874" s="125" t="s">
        <v>30</v>
      </c>
      <c r="C1874" s="109" t="s">
        <v>939</v>
      </c>
      <c r="D1874" s="108" t="s">
        <v>13</v>
      </c>
      <c r="E1874" s="108" t="s">
        <v>471</v>
      </c>
      <c r="F1874" s="108" t="s">
        <v>980</v>
      </c>
      <c r="G1874" s="108" t="s">
        <v>31</v>
      </c>
      <c r="H1874" s="126"/>
      <c r="L1874" s="20"/>
      <c r="M1874" s="20"/>
      <c r="N1874" s="20"/>
      <c r="O1874" s="20"/>
      <c r="P1874" s="20"/>
      <c r="Q1874" s="20"/>
      <c r="R1874" s="17"/>
    </row>
    <row r="1875" spans="1:18" s="16" customFormat="1" ht="15.75">
      <c r="A1875" s="14"/>
      <c r="B1875" s="125" t="s">
        <v>32</v>
      </c>
      <c r="C1875" s="109" t="s">
        <v>939</v>
      </c>
      <c r="D1875" s="108" t="s">
        <v>13</v>
      </c>
      <c r="E1875" s="108" t="s">
        <v>471</v>
      </c>
      <c r="F1875" s="108" t="s">
        <v>980</v>
      </c>
      <c r="G1875" s="108" t="s">
        <v>33</v>
      </c>
      <c r="H1875" s="126">
        <f>SUM(H1876:H1877)</f>
        <v>0</v>
      </c>
      <c r="L1875" s="20">
        <v>201.71</v>
      </c>
      <c r="M1875" s="20">
        <v>201.71</v>
      </c>
      <c r="N1875" s="20">
        <v>201.71</v>
      </c>
      <c r="O1875" s="20">
        <f>H1875-L1875</f>
        <v>-201.71</v>
      </c>
      <c r="P1875" s="20" t="e">
        <f>#REF!-M1875</f>
        <v>#REF!</v>
      </c>
      <c r="Q1875" s="20" t="e">
        <f>#REF!-N1875</f>
        <v>#REF!</v>
      </c>
      <c r="R1875" s="17" t="str">
        <f t="shared" si="216"/>
        <v>85 1 00 10010850</v>
      </c>
    </row>
    <row r="1876" spans="1:18" s="16" customFormat="1" ht="31.5">
      <c r="A1876" s="14"/>
      <c r="B1876" s="125" t="s">
        <v>34</v>
      </c>
      <c r="C1876" s="109" t="s">
        <v>939</v>
      </c>
      <c r="D1876" s="108" t="s">
        <v>13</v>
      </c>
      <c r="E1876" s="108" t="s">
        <v>471</v>
      </c>
      <c r="F1876" s="108" t="s">
        <v>980</v>
      </c>
      <c r="G1876" s="108">
        <v>851</v>
      </c>
      <c r="H1876" s="126"/>
      <c r="L1876" s="20"/>
      <c r="M1876" s="20"/>
      <c r="N1876" s="20"/>
      <c r="O1876" s="20"/>
      <c r="P1876" s="20"/>
      <c r="Q1876" s="20"/>
      <c r="R1876" s="17"/>
    </row>
    <row r="1877" spans="1:18" s="16" customFormat="1" ht="15.75">
      <c r="A1877" s="14"/>
      <c r="B1877" s="125" t="s">
        <v>77</v>
      </c>
      <c r="C1877" s="109" t="s">
        <v>939</v>
      </c>
      <c r="D1877" s="108" t="s">
        <v>13</v>
      </c>
      <c r="E1877" s="108" t="s">
        <v>471</v>
      </c>
      <c r="F1877" s="108" t="s">
        <v>980</v>
      </c>
      <c r="G1877" s="108" t="s">
        <v>78</v>
      </c>
      <c r="H1877" s="126"/>
      <c r="L1877" s="20"/>
      <c r="M1877" s="20"/>
      <c r="N1877" s="20"/>
      <c r="O1877" s="20"/>
      <c r="P1877" s="20"/>
      <c r="Q1877" s="20"/>
      <c r="R1877" s="17"/>
    </row>
    <row r="1878" spans="1:18" s="16" customFormat="1" ht="31.5">
      <c r="A1878" s="14"/>
      <c r="B1878" s="148" t="s">
        <v>38</v>
      </c>
      <c r="C1878" s="109" t="s">
        <v>939</v>
      </c>
      <c r="D1878" s="108" t="s">
        <v>13</v>
      </c>
      <c r="E1878" s="108" t="s">
        <v>471</v>
      </c>
      <c r="F1878" s="108" t="s">
        <v>981</v>
      </c>
      <c r="G1878" s="108" t="s">
        <v>9</v>
      </c>
      <c r="H1878" s="126">
        <f>H1879</f>
        <v>0</v>
      </c>
      <c r="L1878" s="20">
        <v>13576.55</v>
      </c>
      <c r="M1878" s="20">
        <v>13576.55</v>
      </c>
      <c r="N1878" s="20">
        <v>13576.55</v>
      </c>
      <c r="O1878" s="20">
        <f>H1878-L1878</f>
        <v>-13576.55</v>
      </c>
      <c r="P1878" s="20" t="e">
        <f>#REF!-M1878</f>
        <v>#REF!</v>
      </c>
      <c r="Q1878" s="20" t="e">
        <f>#REF!-N1878</f>
        <v>#REF!</v>
      </c>
      <c r="R1878" s="17" t="str">
        <f t="shared" si="216"/>
        <v>85 1 00 10020000</v>
      </c>
    </row>
    <row r="1879" spans="1:18" s="16" customFormat="1" ht="31.5">
      <c r="A1879" s="14"/>
      <c r="B1879" s="125" t="s">
        <v>20</v>
      </c>
      <c r="C1879" s="109" t="s">
        <v>939</v>
      </c>
      <c r="D1879" s="108" t="s">
        <v>13</v>
      </c>
      <c r="E1879" s="108" t="s">
        <v>471</v>
      </c>
      <c r="F1879" s="108" t="s">
        <v>981</v>
      </c>
      <c r="G1879" s="108" t="s">
        <v>21</v>
      </c>
      <c r="H1879" s="126">
        <f>SUM(H1880:H1881)</f>
        <v>0</v>
      </c>
      <c r="L1879" s="20">
        <v>13576.55</v>
      </c>
      <c r="M1879" s="20">
        <v>13576.55</v>
      </c>
      <c r="N1879" s="20">
        <v>13576.55</v>
      </c>
      <c r="O1879" s="20">
        <f>H1879-L1879</f>
        <v>-13576.55</v>
      </c>
      <c r="P1879" s="20" t="e">
        <f>#REF!-M1879</f>
        <v>#REF!</v>
      </c>
      <c r="Q1879" s="20" t="e">
        <f>#REF!-N1879</f>
        <v>#REF!</v>
      </c>
      <c r="R1879" s="17" t="str">
        <f t="shared" si="216"/>
        <v>85 1 00 10020120</v>
      </c>
    </row>
    <row r="1880" spans="1:18" s="23" customFormat="1" ht="31.5">
      <c r="A1880" s="21"/>
      <c r="B1880" s="127" t="s">
        <v>40</v>
      </c>
      <c r="C1880" s="109" t="s">
        <v>939</v>
      </c>
      <c r="D1880" s="108" t="s">
        <v>13</v>
      </c>
      <c r="E1880" s="108" t="s">
        <v>471</v>
      </c>
      <c r="F1880" s="108" t="s">
        <v>981</v>
      </c>
      <c r="G1880" s="108" t="s">
        <v>41</v>
      </c>
      <c r="H1880" s="126"/>
      <c r="L1880" s="22"/>
      <c r="M1880" s="22"/>
      <c r="N1880" s="22"/>
      <c r="O1880" s="22"/>
      <c r="P1880" s="22"/>
      <c r="Q1880" s="22"/>
      <c r="R1880" s="24"/>
    </row>
    <row r="1881" spans="1:18" s="23" customFormat="1" ht="63">
      <c r="A1881" s="21"/>
      <c r="B1881" s="127" t="s">
        <v>26</v>
      </c>
      <c r="C1881" s="109" t="s">
        <v>939</v>
      </c>
      <c r="D1881" s="108" t="s">
        <v>13</v>
      </c>
      <c r="E1881" s="108" t="s">
        <v>471</v>
      </c>
      <c r="F1881" s="108" t="s">
        <v>981</v>
      </c>
      <c r="G1881" s="108" t="s">
        <v>27</v>
      </c>
      <c r="H1881" s="126"/>
      <c r="L1881" s="22"/>
      <c r="M1881" s="22"/>
      <c r="N1881" s="22"/>
      <c r="O1881" s="22"/>
      <c r="P1881" s="22"/>
      <c r="Q1881" s="22"/>
      <c r="R1881" s="24"/>
    </row>
    <row r="1882" spans="1:18" s="16" customFormat="1" ht="15.75">
      <c r="A1882" s="14"/>
      <c r="B1882" s="125"/>
      <c r="C1882" s="109"/>
      <c r="D1882" s="108"/>
      <c r="E1882" s="108"/>
      <c r="F1882" s="108"/>
      <c r="G1882" s="108"/>
      <c r="H1882" s="126"/>
      <c r="L1882" s="20"/>
      <c r="M1882" s="20"/>
      <c r="N1882" s="20"/>
      <c r="O1882" s="20">
        <f t="shared" ref="O1882:O1889" si="217">H1882-L1882</f>
        <v>0</v>
      </c>
      <c r="P1882" s="20" t="e">
        <f>#REF!-M1882</f>
        <v>#REF!</v>
      </c>
      <c r="Q1882" s="20" t="e">
        <f>#REF!-N1882</f>
        <v>#REF!</v>
      </c>
      <c r="R1882" s="17" t="str">
        <f t="shared" si="216"/>
        <v/>
      </c>
    </row>
    <row r="1883" spans="1:18" s="16" customFormat="1" ht="15.75">
      <c r="A1883" s="14"/>
      <c r="B1883" s="67" t="s">
        <v>982</v>
      </c>
      <c r="C1883" s="116" t="s">
        <v>983</v>
      </c>
      <c r="D1883" s="69" t="s">
        <v>7</v>
      </c>
      <c r="E1883" s="69" t="s">
        <v>7</v>
      </c>
      <c r="F1883" s="69" t="s">
        <v>8</v>
      </c>
      <c r="G1883" s="69" t="s">
        <v>9</v>
      </c>
      <c r="H1883" s="70">
        <f t="shared" ref="H1883:H1886" si="218">H1884</f>
        <v>0</v>
      </c>
      <c r="L1883" s="25">
        <v>14384</v>
      </c>
      <c r="M1883" s="25">
        <v>14384</v>
      </c>
      <c r="N1883" s="25">
        <v>14384</v>
      </c>
      <c r="O1883" s="25">
        <f t="shared" si="217"/>
        <v>-14384</v>
      </c>
      <c r="P1883" s="25" t="e">
        <f>#REF!-M1883</f>
        <v>#REF!</v>
      </c>
      <c r="Q1883" s="25" t="e">
        <f>#REF!-N1883</f>
        <v>#REF!</v>
      </c>
      <c r="R1883" s="17" t="str">
        <f t="shared" si="216"/>
        <v>00 0 00 00000000</v>
      </c>
    </row>
    <row r="1884" spans="1:18" s="16" customFormat="1" ht="15.75">
      <c r="A1884" s="14"/>
      <c r="B1884" s="117" t="s">
        <v>10</v>
      </c>
      <c r="C1884" s="118" t="s">
        <v>983</v>
      </c>
      <c r="D1884" s="119" t="s">
        <v>11</v>
      </c>
      <c r="E1884" s="119" t="s">
        <v>7</v>
      </c>
      <c r="F1884" s="119" t="s">
        <v>8</v>
      </c>
      <c r="G1884" s="119" t="s">
        <v>9</v>
      </c>
      <c r="H1884" s="120">
        <f t="shared" si="218"/>
        <v>0</v>
      </c>
      <c r="L1884" s="18">
        <v>14384</v>
      </c>
      <c r="M1884" s="18">
        <v>14384</v>
      </c>
      <c r="N1884" s="18">
        <v>14384</v>
      </c>
      <c r="O1884" s="18">
        <f t="shared" si="217"/>
        <v>-14384</v>
      </c>
      <c r="P1884" s="18" t="e">
        <f>#REF!-M1884</f>
        <v>#REF!</v>
      </c>
      <c r="Q1884" s="18" t="e">
        <f>#REF!-N1884</f>
        <v>#REF!</v>
      </c>
      <c r="R1884" s="17" t="str">
        <f t="shared" si="216"/>
        <v>00 0 00 00000000</v>
      </c>
    </row>
    <row r="1885" spans="1:18" s="16" customFormat="1" ht="47.25">
      <c r="A1885" s="14"/>
      <c r="B1885" s="121" t="s">
        <v>333</v>
      </c>
      <c r="C1885" s="122" t="s">
        <v>983</v>
      </c>
      <c r="D1885" s="123" t="s">
        <v>11</v>
      </c>
      <c r="E1885" s="123" t="s">
        <v>334</v>
      </c>
      <c r="F1885" s="123" t="s">
        <v>8</v>
      </c>
      <c r="G1885" s="123" t="s">
        <v>9</v>
      </c>
      <c r="H1885" s="124">
        <f t="shared" si="218"/>
        <v>0</v>
      </c>
      <c r="L1885" s="19">
        <v>14384</v>
      </c>
      <c r="M1885" s="19">
        <v>14384</v>
      </c>
      <c r="N1885" s="19">
        <v>14384</v>
      </c>
      <c r="O1885" s="19">
        <f t="shared" si="217"/>
        <v>-14384</v>
      </c>
      <c r="P1885" s="19" t="e">
        <f>#REF!-M1885</f>
        <v>#REF!</v>
      </c>
      <c r="Q1885" s="19" t="e">
        <f>#REF!-N1885</f>
        <v>#REF!</v>
      </c>
      <c r="R1885" s="17" t="str">
        <f t="shared" si="216"/>
        <v>00 0 00 00000000</v>
      </c>
    </row>
    <row r="1886" spans="1:18" s="16" customFormat="1" ht="31.5">
      <c r="A1886" s="14"/>
      <c r="B1886" s="129" t="s">
        <v>984</v>
      </c>
      <c r="C1886" s="109" t="s">
        <v>983</v>
      </c>
      <c r="D1886" s="108" t="s">
        <v>11</v>
      </c>
      <c r="E1886" s="108" t="s">
        <v>334</v>
      </c>
      <c r="F1886" s="108" t="s">
        <v>985</v>
      </c>
      <c r="G1886" s="108" t="s">
        <v>9</v>
      </c>
      <c r="H1886" s="126">
        <f t="shared" si="218"/>
        <v>0</v>
      </c>
      <c r="L1886" s="20">
        <v>14384</v>
      </c>
      <c r="M1886" s="20">
        <v>14384</v>
      </c>
      <c r="N1886" s="20">
        <v>14384</v>
      </c>
      <c r="O1886" s="20">
        <f t="shared" si="217"/>
        <v>-14384</v>
      </c>
      <c r="P1886" s="20" t="e">
        <f>#REF!-M1886</f>
        <v>#REF!</v>
      </c>
      <c r="Q1886" s="20" t="e">
        <f>#REF!-N1886</f>
        <v>#REF!</v>
      </c>
      <c r="R1886" s="17" t="str">
        <f t="shared" si="216"/>
        <v>86 0 00 00000000</v>
      </c>
    </row>
    <row r="1887" spans="1:18" s="16" customFormat="1" ht="47.25">
      <c r="A1887" s="14"/>
      <c r="B1887" s="129" t="s">
        <v>986</v>
      </c>
      <c r="C1887" s="109" t="s">
        <v>983</v>
      </c>
      <c r="D1887" s="108" t="s">
        <v>11</v>
      </c>
      <c r="E1887" s="108" t="s">
        <v>334</v>
      </c>
      <c r="F1887" s="108" t="s">
        <v>987</v>
      </c>
      <c r="G1887" s="108" t="s">
        <v>9</v>
      </c>
      <c r="H1887" s="126">
        <f>H1888+H1898</f>
        <v>0</v>
      </c>
      <c r="L1887" s="20">
        <v>14384</v>
      </c>
      <c r="M1887" s="20">
        <v>14384</v>
      </c>
      <c r="N1887" s="20">
        <v>14384</v>
      </c>
      <c r="O1887" s="20">
        <f t="shared" si="217"/>
        <v>-14384</v>
      </c>
      <c r="P1887" s="20" t="e">
        <f>#REF!-M1887</f>
        <v>#REF!</v>
      </c>
      <c r="Q1887" s="20" t="e">
        <f>#REF!-N1887</f>
        <v>#REF!</v>
      </c>
      <c r="R1887" s="17" t="str">
        <f t="shared" si="216"/>
        <v>86 1 00 00000000</v>
      </c>
    </row>
    <row r="1888" spans="1:18" s="16" customFormat="1" ht="31.5">
      <c r="A1888" s="14"/>
      <c r="B1888" s="125" t="s">
        <v>18</v>
      </c>
      <c r="C1888" s="109" t="s">
        <v>983</v>
      </c>
      <c r="D1888" s="108" t="s">
        <v>11</v>
      </c>
      <c r="E1888" s="108" t="s">
        <v>334</v>
      </c>
      <c r="F1888" s="108" t="s">
        <v>988</v>
      </c>
      <c r="G1888" s="108" t="s">
        <v>9</v>
      </c>
      <c r="H1888" s="126">
        <f>H1889+H1892+H1894</f>
        <v>0</v>
      </c>
      <c r="L1888" s="20">
        <v>3916.21</v>
      </c>
      <c r="M1888" s="20">
        <v>3916.21</v>
      </c>
      <c r="N1888" s="20">
        <v>3916.21</v>
      </c>
      <c r="O1888" s="20">
        <f t="shared" si="217"/>
        <v>-3916.21</v>
      </c>
      <c r="P1888" s="20" t="e">
        <f>#REF!-M1888</f>
        <v>#REF!</v>
      </c>
      <c r="Q1888" s="20" t="e">
        <f>#REF!-N1888</f>
        <v>#REF!</v>
      </c>
      <c r="R1888" s="17" t="str">
        <f t="shared" si="216"/>
        <v>86 1 00 10010000</v>
      </c>
    </row>
    <row r="1889" spans="1:18" s="16" customFormat="1" ht="31.5">
      <c r="A1889" s="14"/>
      <c r="B1889" s="127" t="s">
        <v>20</v>
      </c>
      <c r="C1889" s="109" t="s">
        <v>983</v>
      </c>
      <c r="D1889" s="108" t="s">
        <v>11</v>
      </c>
      <c r="E1889" s="108" t="s">
        <v>334</v>
      </c>
      <c r="F1889" s="108" t="s">
        <v>988</v>
      </c>
      <c r="G1889" s="108" t="s">
        <v>21</v>
      </c>
      <c r="H1889" s="126">
        <f>SUM(H1890:H1891)</f>
        <v>0</v>
      </c>
      <c r="L1889" s="20">
        <v>546.53</v>
      </c>
      <c r="M1889" s="20">
        <v>546.53</v>
      </c>
      <c r="N1889" s="20">
        <v>546.53</v>
      </c>
      <c r="O1889" s="20">
        <f t="shared" si="217"/>
        <v>-546.53</v>
      </c>
      <c r="P1889" s="20" t="e">
        <f>#REF!-M1889</f>
        <v>#REF!</v>
      </c>
      <c r="Q1889" s="20" t="e">
        <f>#REF!-N1889</f>
        <v>#REF!</v>
      </c>
      <c r="R1889" s="17" t="str">
        <f t="shared" si="216"/>
        <v>86 1 00 10010120</v>
      </c>
    </row>
    <row r="1890" spans="1:18" s="23" customFormat="1" ht="47.25">
      <c r="A1890" s="21"/>
      <c r="B1890" s="127" t="s">
        <v>22</v>
      </c>
      <c r="C1890" s="109" t="s">
        <v>983</v>
      </c>
      <c r="D1890" s="108" t="s">
        <v>11</v>
      </c>
      <c r="E1890" s="108" t="s">
        <v>334</v>
      </c>
      <c r="F1890" s="108" t="s">
        <v>988</v>
      </c>
      <c r="G1890" s="108">
        <v>122</v>
      </c>
      <c r="H1890" s="126"/>
      <c r="L1890" s="22"/>
      <c r="M1890" s="22"/>
      <c r="N1890" s="22"/>
      <c r="O1890" s="22"/>
      <c r="P1890" s="22"/>
      <c r="Q1890" s="22"/>
      <c r="R1890" s="24"/>
    </row>
    <row r="1891" spans="1:18" s="23" customFormat="1" ht="63">
      <c r="A1891" s="21"/>
      <c r="B1891" s="127" t="s">
        <v>26</v>
      </c>
      <c r="C1891" s="109" t="s">
        <v>983</v>
      </c>
      <c r="D1891" s="108" t="s">
        <v>11</v>
      </c>
      <c r="E1891" s="108" t="s">
        <v>334</v>
      </c>
      <c r="F1891" s="108" t="s">
        <v>988</v>
      </c>
      <c r="G1891" s="108" t="s">
        <v>27</v>
      </c>
      <c r="H1891" s="126"/>
      <c r="L1891" s="22"/>
      <c r="M1891" s="22"/>
      <c r="N1891" s="22"/>
      <c r="O1891" s="22"/>
      <c r="P1891" s="22"/>
      <c r="Q1891" s="22"/>
      <c r="R1891" s="24"/>
    </row>
    <row r="1892" spans="1:18" s="16" customFormat="1" ht="31.5">
      <c r="A1892" s="14"/>
      <c r="B1892" s="125" t="s">
        <v>28</v>
      </c>
      <c r="C1892" s="109" t="s">
        <v>983</v>
      </c>
      <c r="D1892" s="108" t="s">
        <v>11</v>
      </c>
      <c r="E1892" s="108" t="s">
        <v>334</v>
      </c>
      <c r="F1892" s="108" t="s">
        <v>988</v>
      </c>
      <c r="G1892" s="108" t="s">
        <v>29</v>
      </c>
      <c r="H1892" s="126">
        <f>H1893</f>
        <v>0</v>
      </c>
      <c r="L1892" s="20">
        <v>3257.98</v>
      </c>
      <c r="M1892" s="20">
        <v>3257.98</v>
      </c>
      <c r="N1892" s="20">
        <v>3257.98</v>
      </c>
      <c r="O1892" s="20">
        <f>H1892-L1892</f>
        <v>-3257.98</v>
      </c>
      <c r="P1892" s="20" t="e">
        <f>#REF!-M1892</f>
        <v>#REF!</v>
      </c>
      <c r="Q1892" s="20" t="e">
        <f>#REF!-N1892</f>
        <v>#REF!</v>
      </c>
      <c r="R1892" s="17" t="str">
        <f t="shared" si="216"/>
        <v>86 1 00 10010240</v>
      </c>
    </row>
    <row r="1893" spans="1:18" s="16" customFormat="1" ht="15.75">
      <c r="A1893" s="14"/>
      <c r="B1893" s="125" t="s">
        <v>30</v>
      </c>
      <c r="C1893" s="109" t="s">
        <v>983</v>
      </c>
      <c r="D1893" s="108" t="s">
        <v>11</v>
      </c>
      <c r="E1893" s="108" t="s">
        <v>334</v>
      </c>
      <c r="F1893" s="108" t="s">
        <v>988</v>
      </c>
      <c r="G1893" s="108" t="s">
        <v>31</v>
      </c>
      <c r="H1893" s="126"/>
      <c r="L1893" s="20"/>
      <c r="M1893" s="20"/>
      <c r="N1893" s="20"/>
      <c r="O1893" s="20"/>
      <c r="P1893" s="20"/>
      <c r="Q1893" s="20"/>
      <c r="R1893" s="17"/>
    </row>
    <row r="1894" spans="1:18" s="16" customFormat="1" ht="15.75">
      <c r="A1894" s="14"/>
      <c r="B1894" s="125" t="s">
        <v>32</v>
      </c>
      <c r="C1894" s="109" t="s">
        <v>983</v>
      </c>
      <c r="D1894" s="108" t="s">
        <v>11</v>
      </c>
      <c r="E1894" s="108" t="s">
        <v>334</v>
      </c>
      <c r="F1894" s="108" t="s">
        <v>988</v>
      </c>
      <c r="G1894" s="108" t="s">
        <v>33</v>
      </c>
      <c r="H1894" s="126">
        <f>SUM(H1895:H1897)</f>
        <v>0</v>
      </c>
      <c r="L1894" s="20">
        <v>111.69999999999999</v>
      </c>
      <c r="M1894" s="20">
        <v>111.69999999999999</v>
      </c>
      <c r="N1894" s="20">
        <v>111.69999999999999</v>
      </c>
      <c r="O1894" s="20">
        <f>H1894-L1894</f>
        <v>-111.69999999999999</v>
      </c>
      <c r="P1894" s="20" t="e">
        <f>#REF!-M1894</f>
        <v>#REF!</v>
      </c>
      <c r="Q1894" s="20" t="e">
        <f>#REF!-N1894</f>
        <v>#REF!</v>
      </c>
      <c r="R1894" s="17" t="str">
        <f t="shared" si="216"/>
        <v>86 1 00 10010850</v>
      </c>
    </row>
    <row r="1895" spans="1:18" s="23" customFormat="1" ht="31.5">
      <c r="A1895" s="21"/>
      <c r="B1895" s="127" t="s">
        <v>34</v>
      </c>
      <c r="C1895" s="109" t="s">
        <v>983</v>
      </c>
      <c r="D1895" s="108" t="s">
        <v>11</v>
      </c>
      <c r="E1895" s="108" t="s">
        <v>334</v>
      </c>
      <c r="F1895" s="108" t="s">
        <v>988</v>
      </c>
      <c r="G1895" s="108" t="s">
        <v>35</v>
      </c>
      <c r="H1895" s="126"/>
      <c r="L1895" s="22"/>
      <c r="M1895" s="22"/>
      <c r="N1895" s="22"/>
      <c r="O1895" s="22"/>
      <c r="P1895" s="22"/>
      <c r="Q1895" s="22"/>
      <c r="R1895" s="24"/>
    </row>
    <row r="1896" spans="1:18" s="23" customFormat="1" ht="15.75">
      <c r="A1896" s="21"/>
      <c r="B1896" s="127" t="s">
        <v>36</v>
      </c>
      <c r="C1896" s="109" t="s">
        <v>983</v>
      </c>
      <c r="D1896" s="108" t="s">
        <v>11</v>
      </c>
      <c r="E1896" s="108" t="s">
        <v>334</v>
      </c>
      <c r="F1896" s="108" t="s">
        <v>988</v>
      </c>
      <c r="G1896" s="108" t="s">
        <v>37</v>
      </c>
      <c r="H1896" s="126"/>
      <c r="L1896" s="22"/>
      <c r="M1896" s="22"/>
      <c r="N1896" s="22"/>
      <c r="O1896" s="22"/>
      <c r="P1896" s="22"/>
      <c r="Q1896" s="22"/>
      <c r="R1896" s="24"/>
    </row>
    <row r="1897" spans="1:18" s="23" customFormat="1" ht="15.75">
      <c r="A1897" s="21"/>
      <c r="B1897" s="127" t="s">
        <v>77</v>
      </c>
      <c r="C1897" s="109" t="s">
        <v>983</v>
      </c>
      <c r="D1897" s="108" t="s">
        <v>11</v>
      </c>
      <c r="E1897" s="108" t="s">
        <v>334</v>
      </c>
      <c r="F1897" s="108" t="s">
        <v>988</v>
      </c>
      <c r="G1897" s="108" t="s">
        <v>78</v>
      </c>
      <c r="H1897" s="126"/>
      <c r="L1897" s="22"/>
      <c r="M1897" s="22"/>
      <c r="N1897" s="22"/>
      <c r="O1897" s="22"/>
      <c r="P1897" s="22"/>
      <c r="Q1897" s="22"/>
      <c r="R1897" s="24"/>
    </row>
    <row r="1898" spans="1:18" s="16" customFormat="1" ht="31.5">
      <c r="A1898" s="14"/>
      <c r="B1898" s="127" t="s">
        <v>38</v>
      </c>
      <c r="C1898" s="109" t="s">
        <v>983</v>
      </c>
      <c r="D1898" s="108" t="s">
        <v>11</v>
      </c>
      <c r="E1898" s="108" t="s">
        <v>334</v>
      </c>
      <c r="F1898" s="108" t="s">
        <v>989</v>
      </c>
      <c r="G1898" s="108" t="s">
        <v>9</v>
      </c>
      <c r="H1898" s="126">
        <f>H1899</f>
        <v>0</v>
      </c>
      <c r="L1898" s="20">
        <v>10467.790000000001</v>
      </c>
      <c r="M1898" s="20">
        <v>10467.790000000001</v>
      </c>
      <c r="N1898" s="20">
        <v>10467.790000000001</v>
      </c>
      <c r="O1898" s="20">
        <f>H1898-L1898</f>
        <v>-10467.790000000001</v>
      </c>
      <c r="P1898" s="20" t="e">
        <f>#REF!-M1898</f>
        <v>#REF!</v>
      </c>
      <c r="Q1898" s="20" t="e">
        <f>#REF!-N1898</f>
        <v>#REF!</v>
      </c>
      <c r="R1898" s="17" t="str">
        <f t="shared" si="216"/>
        <v>86 1 00 10020000</v>
      </c>
    </row>
    <row r="1899" spans="1:18" s="16" customFormat="1" ht="31.5">
      <c r="A1899" s="14"/>
      <c r="B1899" s="127" t="s">
        <v>20</v>
      </c>
      <c r="C1899" s="109" t="s">
        <v>983</v>
      </c>
      <c r="D1899" s="108" t="s">
        <v>11</v>
      </c>
      <c r="E1899" s="108" t="s">
        <v>334</v>
      </c>
      <c r="F1899" s="108" t="s">
        <v>989</v>
      </c>
      <c r="G1899" s="108" t="s">
        <v>21</v>
      </c>
      <c r="H1899" s="126">
        <f>SUM(H1900:H1901)</f>
        <v>0</v>
      </c>
      <c r="L1899" s="20">
        <v>10467.790000000001</v>
      </c>
      <c r="M1899" s="20">
        <v>10467.790000000001</v>
      </c>
      <c r="N1899" s="20">
        <v>10467.790000000001</v>
      </c>
      <c r="O1899" s="20">
        <f>H1899-L1899</f>
        <v>-10467.790000000001</v>
      </c>
      <c r="P1899" s="20" t="e">
        <f>#REF!-M1899</f>
        <v>#REF!</v>
      </c>
      <c r="Q1899" s="20" t="e">
        <f>#REF!-N1899</f>
        <v>#REF!</v>
      </c>
      <c r="R1899" s="17" t="str">
        <f t="shared" si="216"/>
        <v>86 1 00 10020120</v>
      </c>
    </row>
    <row r="1900" spans="1:18" s="23" customFormat="1" ht="31.5">
      <c r="A1900" s="21"/>
      <c r="B1900" s="127" t="s">
        <v>40</v>
      </c>
      <c r="C1900" s="109" t="s">
        <v>983</v>
      </c>
      <c r="D1900" s="108" t="s">
        <v>11</v>
      </c>
      <c r="E1900" s="108" t="s">
        <v>334</v>
      </c>
      <c r="F1900" s="108" t="s">
        <v>989</v>
      </c>
      <c r="G1900" s="108" t="s">
        <v>41</v>
      </c>
      <c r="H1900" s="126"/>
      <c r="L1900" s="22"/>
      <c r="M1900" s="22"/>
      <c r="N1900" s="22"/>
      <c r="O1900" s="22"/>
      <c r="P1900" s="22"/>
      <c r="Q1900" s="22"/>
      <c r="R1900" s="24"/>
    </row>
    <row r="1901" spans="1:18" s="23" customFormat="1" ht="63">
      <c r="A1901" s="21"/>
      <c r="B1901" s="127" t="s">
        <v>26</v>
      </c>
      <c r="C1901" s="109" t="s">
        <v>983</v>
      </c>
      <c r="D1901" s="108" t="s">
        <v>11</v>
      </c>
      <c r="E1901" s="108" t="s">
        <v>334</v>
      </c>
      <c r="F1901" s="108" t="s">
        <v>989</v>
      </c>
      <c r="G1901" s="108" t="s">
        <v>27</v>
      </c>
      <c r="H1901" s="126"/>
      <c r="L1901" s="22"/>
      <c r="M1901" s="22"/>
      <c r="N1901" s="22"/>
      <c r="O1901" s="22"/>
      <c r="P1901" s="22"/>
      <c r="Q1901" s="22"/>
      <c r="R1901" s="24"/>
    </row>
    <row r="1902" spans="1:18" s="16" customFormat="1" ht="15.75">
      <c r="A1902" s="14"/>
      <c r="B1902" s="129"/>
      <c r="C1902" s="109"/>
      <c r="D1902" s="108"/>
      <c r="E1902" s="108"/>
      <c r="F1902" s="108"/>
      <c r="G1902" s="108"/>
      <c r="H1902" s="126"/>
      <c r="L1902" s="20"/>
      <c r="M1902" s="20"/>
      <c r="N1902" s="20"/>
      <c r="O1902" s="20">
        <f>H1902-L1902</f>
        <v>0</v>
      </c>
      <c r="P1902" s="20" t="e">
        <f>#REF!-M1902</f>
        <v>#REF!</v>
      </c>
      <c r="Q1902" s="20" t="e">
        <f>#REF!-N1902</f>
        <v>#REF!</v>
      </c>
      <c r="R1902" s="17" t="str">
        <f t="shared" si="216"/>
        <v/>
      </c>
    </row>
    <row r="1903" spans="1:18">
      <c r="B1903" s="67" t="s">
        <v>990</v>
      </c>
      <c r="C1903" s="68"/>
      <c r="D1903" s="69"/>
      <c r="E1903" s="69"/>
      <c r="F1903" s="69"/>
      <c r="G1903" s="69"/>
      <c r="H1903" s="70">
        <f>H20+H77+H291+H385+H432+H474+H711+H926+H1143+H1218+H1323+H1420+H1525+H1806+H1724+H1883</f>
        <v>0</v>
      </c>
      <c r="L1903" s="25">
        <v>8029027.2400000012</v>
      </c>
      <c r="M1903" s="25">
        <v>8006432.7300000004</v>
      </c>
      <c r="N1903" s="25">
        <v>8125650.7400000002</v>
      </c>
      <c r="O1903" s="25">
        <f>H1903-L1903</f>
        <v>-8029027.2400000012</v>
      </c>
      <c r="P1903" s="25" t="e">
        <f>#REF!-M1903</f>
        <v>#REF!</v>
      </c>
      <c r="Q1903" s="25" t="e">
        <f>#REF!-N1903</f>
        <v>#REF!</v>
      </c>
      <c r="R1903" s="17"/>
    </row>
    <row r="1904" spans="1:18">
      <c r="B1904" s="67"/>
      <c r="C1904" s="68"/>
      <c r="D1904" s="69"/>
      <c r="E1904" s="69"/>
      <c r="F1904" s="69"/>
      <c r="G1904" s="69"/>
      <c r="H1904" s="70"/>
      <c r="L1904" s="71"/>
      <c r="M1904" s="71"/>
      <c r="N1904" s="25"/>
      <c r="O1904" s="71"/>
      <c r="P1904" s="71"/>
      <c r="Q1904" s="25"/>
      <c r="R1904" s="17"/>
    </row>
    <row r="1905" spans="1:18">
      <c r="B1905" s="103" t="s">
        <v>1009</v>
      </c>
      <c r="C1905" s="104"/>
      <c r="D1905" s="105"/>
      <c r="E1905" s="105"/>
      <c r="F1905" s="106"/>
      <c r="G1905" s="106"/>
      <c r="H1905" s="105"/>
      <c r="L1905" s="71"/>
      <c r="M1905" s="71"/>
      <c r="N1905" s="25"/>
      <c r="O1905" s="71"/>
      <c r="P1905" s="71"/>
      <c r="Q1905" s="25"/>
      <c r="R1905" s="17"/>
    </row>
    <row r="1906" spans="1:18">
      <c r="B1906" s="103" t="s">
        <v>1004</v>
      </c>
      <c r="C1906" s="104"/>
      <c r="D1906" s="105"/>
      <c r="E1906" s="105"/>
      <c r="F1906" s="106"/>
      <c r="G1906" s="106"/>
      <c r="H1906" s="105"/>
      <c r="L1906" s="71"/>
      <c r="M1906" s="71"/>
      <c r="N1906" s="25"/>
      <c r="O1906" s="71"/>
      <c r="P1906" s="71"/>
      <c r="Q1906" s="25"/>
      <c r="R1906" s="17"/>
    </row>
    <row r="1907" spans="1:18">
      <c r="B1907" s="103" t="s">
        <v>1005</v>
      </c>
      <c r="C1907" s="104"/>
      <c r="D1907" s="105"/>
      <c r="E1907" s="105"/>
      <c r="F1907" s="106"/>
      <c r="G1907" s="106"/>
      <c r="H1907" s="105"/>
      <c r="L1907" s="71"/>
      <c r="M1907" s="71"/>
      <c r="N1907" s="25"/>
      <c r="O1907" s="71"/>
      <c r="P1907" s="71"/>
      <c r="Q1907" s="25"/>
      <c r="R1907" s="17"/>
    </row>
    <row r="1908" spans="1:18">
      <c r="B1908" s="103" t="s">
        <v>992</v>
      </c>
      <c r="C1908" s="104"/>
      <c r="D1908" s="107"/>
      <c r="E1908" s="107"/>
      <c r="F1908" s="106"/>
      <c r="G1908" s="106"/>
      <c r="H1908" s="6"/>
      <c r="L1908" s="71"/>
      <c r="M1908" s="71"/>
      <c r="N1908" s="25"/>
      <c r="O1908" s="71"/>
      <c r="P1908" s="71"/>
      <c r="Q1908" s="25"/>
      <c r="R1908" s="17"/>
    </row>
    <row r="1909" spans="1:18">
      <c r="B1909" s="103" t="s">
        <v>1010</v>
      </c>
      <c r="C1909" s="3"/>
      <c r="D1909" s="97"/>
      <c r="E1909" s="97"/>
      <c r="F1909" s="97"/>
      <c r="G1909" s="97"/>
      <c r="H1909" s="100"/>
      <c r="L1909" s="71"/>
      <c r="M1909" s="71"/>
      <c r="N1909" s="25"/>
      <c r="O1909" s="71"/>
      <c r="P1909" s="71"/>
      <c r="Q1909" s="25"/>
      <c r="R1909" s="17"/>
    </row>
    <row r="1910" spans="1:18">
      <c r="B1910" s="103" t="s">
        <v>1007</v>
      </c>
      <c r="C1910" s="3"/>
      <c r="D1910" s="97"/>
      <c r="E1910" s="97"/>
      <c r="F1910" s="108"/>
      <c r="G1910" s="109"/>
      <c r="H1910" s="5" t="s">
        <v>1011</v>
      </c>
      <c r="L1910" s="71"/>
      <c r="M1910" s="71"/>
      <c r="N1910" s="25"/>
      <c r="O1910" s="71"/>
      <c r="P1910" s="71"/>
      <c r="Q1910" s="25"/>
      <c r="R1910" s="17"/>
    </row>
    <row r="1911" spans="1:18">
      <c r="B1911" s="67"/>
      <c r="C1911" s="68"/>
      <c r="D1911" s="69"/>
      <c r="E1911" s="69"/>
      <c r="F1911" s="69"/>
      <c r="G1911" s="69"/>
      <c r="H1911" s="70"/>
      <c r="L1911" s="71"/>
      <c r="M1911" s="71"/>
      <c r="N1911" s="25"/>
      <c r="O1911" s="71"/>
      <c r="P1911" s="71"/>
      <c r="Q1911" s="25"/>
      <c r="R1911" s="17"/>
    </row>
    <row r="1912" spans="1:18">
      <c r="B1912" s="67"/>
      <c r="C1912" s="68"/>
      <c r="D1912" s="69"/>
      <c r="E1912" s="69"/>
      <c r="F1912" s="69"/>
      <c r="G1912" s="69"/>
      <c r="H1912" s="70"/>
      <c r="L1912" s="71"/>
      <c r="M1912" s="71"/>
      <c r="N1912" s="25"/>
      <c r="O1912" s="71"/>
      <c r="P1912" s="71"/>
      <c r="Q1912" s="25"/>
      <c r="R1912" s="17"/>
    </row>
    <row r="1913" spans="1:18">
      <c r="B1913" s="67"/>
      <c r="C1913" s="68"/>
      <c r="D1913" s="69"/>
      <c r="E1913" s="69"/>
      <c r="F1913" s="69"/>
      <c r="G1913" s="69"/>
      <c r="H1913" s="70"/>
      <c r="L1913" s="70"/>
      <c r="M1913" s="70"/>
      <c r="N1913" s="18"/>
      <c r="O1913" s="70"/>
      <c r="P1913" s="70"/>
      <c r="Q1913" s="18"/>
      <c r="R1913" s="17"/>
    </row>
    <row r="1914" spans="1:18">
      <c r="B1914" s="93"/>
      <c r="C1914" s="94"/>
      <c r="D1914" s="90"/>
      <c r="E1914" s="90"/>
      <c r="F1914" s="90"/>
      <c r="G1914" s="90"/>
      <c r="H1914" s="77"/>
      <c r="M1914" s="76"/>
      <c r="N1914" s="18"/>
      <c r="P1914" s="76"/>
      <c r="Q1914" s="18"/>
      <c r="R1914" s="17"/>
    </row>
    <row r="1915" spans="1:18">
      <c r="B1915" s="93"/>
      <c r="C1915" s="94"/>
      <c r="D1915" s="90"/>
      <c r="E1915" s="90"/>
      <c r="F1915" s="90"/>
      <c r="G1915" s="90"/>
      <c r="H1915" s="77"/>
      <c r="M1915" s="76"/>
      <c r="N1915" s="18"/>
      <c r="P1915" s="76"/>
      <c r="Q1915" s="18"/>
      <c r="R1915" s="17"/>
    </row>
    <row r="1916" spans="1:18" s="81" customFormat="1" ht="15.75">
      <c r="A1916" s="78"/>
      <c r="B1916" s="95"/>
      <c r="C1916" s="83"/>
      <c r="D1916" s="79"/>
      <c r="E1916" s="79"/>
      <c r="F1916" s="79"/>
      <c r="G1916" s="79"/>
      <c r="H1916" s="80">
        <v>8029027240</v>
      </c>
      <c r="L1916" s="82"/>
      <c r="M1916" s="82"/>
      <c r="N1916" s="82"/>
      <c r="O1916" s="82"/>
      <c r="P1916" s="82"/>
      <c r="Q1916" s="82"/>
      <c r="R1916" s="17"/>
    </row>
    <row r="1917" spans="1:18" s="81" customFormat="1" ht="15.75">
      <c r="A1917" s="78"/>
      <c r="B1917" s="95"/>
      <c r="C1917" s="83"/>
      <c r="D1917" s="79"/>
      <c r="E1917" s="79"/>
      <c r="F1917" s="83" t="s">
        <v>991</v>
      </c>
      <c r="G1917" s="83"/>
      <c r="H1917" s="80">
        <v>-2</v>
      </c>
      <c r="L1917" s="82"/>
      <c r="M1917" s="82"/>
      <c r="N1917" s="82"/>
      <c r="O1917" s="82"/>
      <c r="P1917" s="82"/>
      <c r="Q1917" s="82"/>
      <c r="R1917" s="17"/>
    </row>
    <row r="1918" spans="1:18" s="81" customFormat="1" ht="15.75">
      <c r="A1918" s="78"/>
      <c r="B1918" s="95"/>
      <c r="C1918" s="83"/>
      <c r="D1918" s="79"/>
      <c r="E1918" s="79"/>
      <c r="F1918" s="79"/>
      <c r="G1918" s="79"/>
      <c r="H1918" s="80">
        <f>H1903-H1916-H1917</f>
        <v>-8029027238</v>
      </c>
      <c r="L1918" s="82"/>
      <c r="M1918" s="82"/>
      <c r="N1918" s="82"/>
      <c r="O1918" s="82"/>
      <c r="P1918" s="82"/>
      <c r="Q1918" s="82"/>
      <c r="R1918" s="17"/>
    </row>
    <row r="1919" spans="1:18" s="81" customFormat="1" ht="15.75">
      <c r="A1919" s="78"/>
      <c r="B1919" s="95"/>
      <c r="C1919" s="83"/>
      <c r="D1919" s="79"/>
      <c r="E1919" s="79"/>
      <c r="F1919" s="79"/>
      <c r="G1919" s="79"/>
      <c r="H1919" s="80"/>
      <c r="L1919" s="82"/>
      <c r="M1919" s="82"/>
      <c r="N1919" s="82"/>
      <c r="O1919" s="82"/>
      <c r="P1919" s="82"/>
      <c r="Q1919" s="82"/>
      <c r="R1919" s="17"/>
    </row>
    <row r="1920" spans="1:18" s="81" customFormat="1" ht="15.75">
      <c r="A1920" s="78"/>
      <c r="B1920" s="95"/>
      <c r="C1920" s="83"/>
      <c r="D1920" s="79"/>
      <c r="E1920" s="79"/>
      <c r="F1920" s="79"/>
      <c r="G1920" s="79"/>
      <c r="H1920" s="80"/>
      <c r="L1920" s="82"/>
      <c r="M1920" s="82"/>
      <c r="N1920" s="82"/>
      <c r="O1920" s="82"/>
      <c r="P1920" s="82"/>
      <c r="Q1920" s="82"/>
      <c r="R1920" s="17"/>
    </row>
    <row r="1921" spans="1:18" s="81" customFormat="1" ht="15.75">
      <c r="A1921" s="78"/>
      <c r="B1921" s="95"/>
      <c r="C1921" s="83"/>
      <c r="D1921" s="79"/>
      <c r="E1921" s="79"/>
      <c r="F1921" s="79"/>
      <c r="G1921" s="79"/>
      <c r="H1921" s="80"/>
      <c r="L1921" s="82"/>
      <c r="M1921" s="82"/>
      <c r="N1921" s="82"/>
      <c r="O1921" s="82"/>
      <c r="P1921" s="82"/>
      <c r="Q1921" s="82"/>
      <c r="R1921" s="17"/>
    </row>
    <row r="1922" spans="1:18" s="81" customFormat="1" ht="15.75">
      <c r="A1922" s="78"/>
      <c r="B1922" s="95"/>
      <c r="C1922" s="83"/>
      <c r="D1922" s="79"/>
      <c r="E1922" s="79"/>
      <c r="F1922" s="79"/>
      <c r="G1922" s="79"/>
      <c r="H1922" s="80"/>
      <c r="L1922" s="82"/>
      <c r="M1922" s="82"/>
      <c r="N1922" s="82"/>
      <c r="O1922" s="82"/>
      <c r="P1922" s="82"/>
      <c r="Q1922" s="82"/>
      <c r="R1922" s="17"/>
    </row>
    <row r="1923" spans="1:18">
      <c r="B1923" s="93"/>
      <c r="C1923" s="94"/>
      <c r="D1923" s="90"/>
      <c r="E1923" s="90"/>
      <c r="F1923" s="90"/>
      <c r="G1923" s="90"/>
      <c r="H1923" s="77"/>
      <c r="R1923" s="17"/>
    </row>
    <row r="1924" spans="1:18">
      <c r="B1924" s="93"/>
      <c r="C1924" s="94"/>
      <c r="D1924" s="90"/>
      <c r="E1924" s="90"/>
      <c r="F1924" s="90"/>
      <c r="G1924" s="90"/>
      <c r="H1924" s="77"/>
      <c r="R1924" s="17"/>
    </row>
    <row r="1925" spans="1:18" s="86" customFormat="1" ht="15.75">
      <c r="A1925" s="85"/>
      <c r="B1925" s="96"/>
      <c r="C1925" s="87"/>
      <c r="D1925" s="87"/>
      <c r="E1925" s="87"/>
      <c r="F1925" s="165"/>
      <c r="G1925" s="88"/>
      <c r="H1925" s="89"/>
      <c r="L1925" s="89"/>
      <c r="M1925" s="87"/>
      <c r="O1925" s="89"/>
      <c r="P1925" s="87"/>
      <c r="R1925" s="17"/>
    </row>
    <row r="1926" spans="1:18">
      <c r="B1926" s="24"/>
      <c r="C1926" s="23"/>
      <c r="D1926" s="23"/>
      <c r="E1926" s="23"/>
      <c r="F1926" s="94"/>
      <c r="G1926" s="90"/>
      <c r="H1926" s="89"/>
      <c r="L1926" s="89"/>
      <c r="M1926" s="23"/>
      <c r="N1926" s="48"/>
      <c r="O1926" s="89"/>
      <c r="P1926" s="23"/>
      <c r="Q1926" s="48"/>
      <c r="R1926" s="17"/>
    </row>
    <row r="1927" spans="1:18">
      <c r="B1927" s="24"/>
      <c r="C1927" s="23"/>
      <c r="D1927" s="23"/>
      <c r="E1927" s="23"/>
      <c r="F1927" s="94"/>
      <c r="G1927" s="90"/>
      <c r="H1927" s="89"/>
      <c r="L1927" s="89"/>
      <c r="M1927" s="23"/>
      <c r="N1927" s="48"/>
      <c r="O1927" s="89"/>
      <c r="P1927" s="23"/>
      <c r="Q1927" s="48"/>
      <c r="R1927" s="17"/>
    </row>
    <row r="1928" spans="1:18">
      <c r="B1928" s="24"/>
      <c r="C1928" s="23"/>
      <c r="D1928" s="23"/>
      <c r="E1928" s="23"/>
      <c r="F1928" s="90"/>
      <c r="G1928" s="90"/>
      <c r="H1928" s="89"/>
      <c r="L1928" s="89"/>
      <c r="M1928" s="23"/>
      <c r="N1928" s="48"/>
      <c r="O1928" s="89"/>
      <c r="P1928" s="23"/>
      <c r="Q1928" s="48"/>
      <c r="R1928" s="17"/>
    </row>
    <row r="1929" spans="1:18">
      <c r="B1929" s="93"/>
      <c r="C1929" s="94"/>
      <c r="D1929" s="90"/>
      <c r="E1929" s="90"/>
      <c r="F1929" s="94"/>
      <c r="G1929" s="90"/>
      <c r="H1929" s="89"/>
      <c r="L1929" s="89"/>
      <c r="M1929" s="77"/>
      <c r="O1929" s="89"/>
      <c r="P1929" s="77"/>
      <c r="R1929" s="17"/>
    </row>
    <row r="1930" spans="1:18">
      <c r="B1930" s="93"/>
      <c r="C1930" s="94"/>
      <c r="D1930" s="90"/>
      <c r="E1930" s="90"/>
      <c r="F1930" s="94"/>
      <c r="G1930" s="90"/>
      <c r="H1930" s="89"/>
      <c r="L1930" s="89"/>
      <c r="M1930" s="77"/>
      <c r="O1930" s="89"/>
      <c r="P1930" s="77"/>
      <c r="R1930" s="17"/>
    </row>
    <row r="1931" spans="1:18">
      <c r="B1931" s="93"/>
      <c r="C1931" s="94"/>
      <c r="D1931" s="90"/>
      <c r="E1931" s="90"/>
      <c r="F1931" s="94"/>
      <c r="G1931" s="90"/>
      <c r="H1931" s="89"/>
      <c r="L1931" s="89"/>
      <c r="M1931" s="77"/>
      <c r="O1931" s="89"/>
      <c r="P1931" s="77"/>
      <c r="R1931" s="17"/>
    </row>
    <row r="1932" spans="1:18">
      <c r="B1932" s="93"/>
      <c r="C1932" s="94"/>
      <c r="D1932" s="90"/>
      <c r="E1932" s="90"/>
      <c r="F1932" s="90"/>
      <c r="G1932" s="90"/>
      <c r="H1932" s="77"/>
      <c r="L1932" s="77"/>
      <c r="M1932" s="77"/>
      <c r="O1932" s="77"/>
      <c r="P1932" s="77"/>
      <c r="R1932" s="17"/>
    </row>
    <row r="1933" spans="1:18">
      <c r="B1933" s="93"/>
      <c r="C1933" s="94"/>
      <c r="D1933" s="90"/>
      <c r="E1933" s="90"/>
      <c r="F1933" s="90"/>
      <c r="G1933" s="90"/>
      <c r="H1933" s="77"/>
      <c r="R1933" s="17" t="str">
        <f t="shared" si="216"/>
        <v/>
      </c>
    </row>
    <row r="1934" spans="1:18">
      <c r="B1934" s="93"/>
      <c r="C1934" s="94"/>
      <c r="D1934" s="90"/>
      <c r="E1934" s="90"/>
      <c r="F1934" s="90"/>
      <c r="G1934" s="90"/>
      <c r="H1934" s="77"/>
      <c r="L1934" s="77"/>
      <c r="M1934" s="77"/>
      <c r="N1934" s="91"/>
      <c r="O1934" s="77"/>
      <c r="P1934" s="77"/>
      <c r="Q1934" s="91"/>
      <c r="R1934" s="17" t="str">
        <f t="shared" si="216"/>
        <v/>
      </c>
    </row>
    <row r="1935" spans="1:18">
      <c r="B1935" s="93"/>
      <c r="C1935" s="94"/>
      <c r="D1935" s="90"/>
      <c r="E1935" s="90"/>
      <c r="F1935" s="90"/>
      <c r="G1935" s="90"/>
      <c r="H1935" s="77"/>
      <c r="L1935" s="77"/>
      <c r="M1935" s="77"/>
      <c r="N1935" s="91"/>
      <c r="O1935" s="77"/>
      <c r="P1935" s="77"/>
      <c r="Q1935" s="91"/>
      <c r="R1935" s="17" t="str">
        <f t="shared" si="216"/>
        <v/>
      </c>
    </row>
    <row r="1936" spans="1:18">
      <c r="B1936" s="93"/>
      <c r="C1936" s="94"/>
      <c r="D1936" s="90"/>
      <c r="E1936" s="90"/>
      <c r="F1936" s="90"/>
      <c r="G1936" s="90"/>
      <c r="H1936" s="77"/>
      <c r="L1936" s="77"/>
      <c r="M1936" s="77"/>
      <c r="N1936" s="91"/>
      <c r="O1936" s="77"/>
      <c r="P1936" s="77"/>
      <c r="Q1936" s="91"/>
      <c r="R1936" s="17" t="str">
        <f t="shared" si="216"/>
        <v/>
      </c>
    </row>
    <row r="1937" spans="2:18">
      <c r="B1937" s="93"/>
      <c r="C1937" s="94"/>
      <c r="D1937" s="90"/>
      <c r="E1937" s="90"/>
      <c r="F1937" s="90"/>
      <c r="G1937" s="90"/>
      <c r="H1937" s="76"/>
      <c r="L1937" s="76"/>
      <c r="M1937" s="77"/>
      <c r="N1937" s="77"/>
      <c r="O1937" s="76"/>
      <c r="P1937" s="77"/>
      <c r="Q1937" s="77"/>
      <c r="R1937" s="17" t="str">
        <f t="shared" si="216"/>
        <v/>
      </c>
    </row>
    <row r="1938" spans="2:18">
      <c r="B1938" s="93"/>
      <c r="C1938" s="94"/>
      <c r="D1938" s="90"/>
      <c r="E1938" s="90"/>
      <c r="F1938" s="90"/>
      <c r="G1938" s="90"/>
      <c r="H1938" s="76"/>
      <c r="L1938" s="76"/>
      <c r="M1938" s="77"/>
      <c r="N1938" s="77"/>
      <c r="O1938" s="76"/>
      <c r="P1938" s="77"/>
      <c r="Q1938" s="77"/>
      <c r="R1938" s="17" t="str">
        <f t="shared" si="216"/>
        <v/>
      </c>
    </row>
    <row r="1939" spans="2:18">
      <c r="B1939" s="93"/>
      <c r="C1939" s="94"/>
      <c r="D1939" s="90"/>
      <c r="E1939" s="90"/>
      <c r="F1939" s="90"/>
      <c r="G1939" s="90"/>
      <c r="H1939" s="76"/>
      <c r="L1939" s="76"/>
      <c r="M1939" s="77"/>
      <c r="N1939" s="77"/>
      <c r="O1939" s="76"/>
      <c r="P1939" s="77"/>
      <c r="Q1939" s="77"/>
      <c r="R1939" s="17" t="str">
        <f t="shared" si="216"/>
        <v/>
      </c>
    </row>
    <row r="1940" spans="2:18">
      <c r="B1940" s="93"/>
      <c r="C1940" s="94"/>
      <c r="D1940" s="90"/>
      <c r="E1940" s="90"/>
      <c r="F1940" s="90"/>
      <c r="G1940" s="90"/>
      <c r="H1940" s="76"/>
      <c r="L1940" s="76"/>
      <c r="M1940" s="77"/>
      <c r="N1940" s="77"/>
      <c r="O1940" s="76"/>
      <c r="P1940" s="77"/>
      <c r="Q1940" s="77"/>
      <c r="R1940" s="17" t="str">
        <f t="shared" ref="R1940:R1990" si="219">CONCATENATE(F1940,G1940)</f>
        <v/>
      </c>
    </row>
    <row r="1941" spans="2:18">
      <c r="B1941" s="93"/>
      <c r="C1941" s="94"/>
      <c r="D1941" s="90"/>
      <c r="E1941" s="90"/>
      <c r="F1941" s="90"/>
      <c r="G1941" s="90"/>
      <c r="H1941" s="77"/>
      <c r="L1941" s="77"/>
      <c r="M1941" s="77"/>
      <c r="N1941" s="91"/>
      <c r="O1941" s="77"/>
      <c r="P1941" s="77"/>
      <c r="Q1941" s="91"/>
      <c r="R1941" s="17" t="str">
        <f t="shared" si="219"/>
        <v/>
      </c>
    </row>
    <row r="1942" spans="2:18">
      <c r="B1942" s="93"/>
      <c r="C1942" s="94"/>
      <c r="D1942" s="90"/>
      <c r="E1942" s="90"/>
      <c r="F1942" s="90"/>
      <c r="G1942" s="90"/>
      <c r="H1942" s="77"/>
      <c r="L1942" s="77"/>
      <c r="M1942" s="77"/>
      <c r="N1942" s="91"/>
      <c r="O1942" s="77"/>
      <c r="P1942" s="77"/>
      <c r="Q1942" s="91"/>
      <c r="R1942" s="17" t="str">
        <f t="shared" si="219"/>
        <v/>
      </c>
    </row>
    <row r="1943" spans="2:18">
      <c r="B1943" s="93"/>
      <c r="C1943" s="94"/>
      <c r="D1943" s="90"/>
      <c r="E1943" s="90"/>
      <c r="F1943" s="90"/>
      <c r="G1943" s="90"/>
      <c r="H1943" s="77"/>
      <c r="L1943" s="77"/>
      <c r="M1943" s="77"/>
      <c r="N1943" s="91"/>
      <c r="O1943" s="77"/>
      <c r="P1943" s="77"/>
      <c r="Q1943" s="91"/>
      <c r="R1943" s="17" t="str">
        <f t="shared" si="219"/>
        <v/>
      </c>
    </row>
    <row r="1944" spans="2:18">
      <c r="B1944" s="93"/>
      <c r="C1944" s="94"/>
      <c r="D1944" s="90"/>
      <c r="E1944" s="90"/>
      <c r="F1944" s="90"/>
      <c r="G1944" s="90"/>
      <c r="H1944" s="77"/>
      <c r="L1944" s="77"/>
      <c r="M1944" s="77"/>
      <c r="N1944" s="91"/>
      <c r="O1944" s="77"/>
      <c r="P1944" s="77"/>
      <c r="Q1944" s="91"/>
      <c r="R1944" s="17" t="str">
        <f t="shared" si="219"/>
        <v/>
      </c>
    </row>
    <row r="1945" spans="2:18">
      <c r="B1945" s="93"/>
      <c r="C1945" s="94"/>
      <c r="D1945" s="90"/>
      <c r="E1945" s="90"/>
      <c r="F1945" s="90"/>
      <c r="G1945" s="90"/>
      <c r="H1945" s="77"/>
      <c r="L1945" s="77"/>
      <c r="M1945" s="77"/>
      <c r="N1945" s="91"/>
      <c r="O1945" s="77"/>
      <c r="P1945" s="77"/>
      <c r="Q1945" s="91"/>
      <c r="R1945" s="17" t="str">
        <f t="shared" si="219"/>
        <v/>
      </c>
    </row>
    <row r="1946" spans="2:18">
      <c r="B1946" s="93"/>
      <c r="C1946" s="94"/>
      <c r="D1946" s="90"/>
      <c r="E1946" s="90"/>
      <c r="F1946" s="90"/>
      <c r="G1946" s="90"/>
      <c r="H1946" s="77"/>
      <c r="R1946" s="17" t="str">
        <f t="shared" si="219"/>
        <v/>
      </c>
    </row>
    <row r="1947" spans="2:18">
      <c r="B1947" s="93"/>
      <c r="C1947" s="94"/>
      <c r="D1947" s="90"/>
      <c r="E1947" s="90"/>
      <c r="F1947" s="90"/>
      <c r="G1947" s="90"/>
      <c r="H1947" s="77"/>
      <c r="R1947" s="17" t="str">
        <f t="shared" si="219"/>
        <v/>
      </c>
    </row>
    <row r="1948" spans="2:18">
      <c r="B1948" s="93"/>
      <c r="C1948" s="94"/>
      <c r="D1948" s="90"/>
      <c r="E1948" s="90"/>
      <c r="F1948" s="90"/>
      <c r="G1948" s="90"/>
      <c r="H1948" s="77"/>
      <c r="R1948" s="17" t="str">
        <f t="shared" si="219"/>
        <v/>
      </c>
    </row>
    <row r="1949" spans="2:18">
      <c r="B1949" s="93"/>
      <c r="C1949" s="94"/>
      <c r="D1949" s="90"/>
      <c r="E1949" s="90"/>
      <c r="F1949" s="90"/>
      <c r="G1949" s="90"/>
      <c r="H1949" s="77"/>
      <c r="R1949" s="17" t="str">
        <f t="shared" si="219"/>
        <v/>
      </c>
    </row>
    <row r="1950" spans="2:18">
      <c r="B1950" s="93"/>
      <c r="C1950" s="94"/>
      <c r="D1950" s="90"/>
      <c r="E1950" s="90"/>
      <c r="F1950" s="90"/>
      <c r="G1950" s="90"/>
      <c r="H1950" s="77"/>
      <c r="R1950" s="17" t="str">
        <f t="shared" si="219"/>
        <v/>
      </c>
    </row>
    <row r="1951" spans="2:18">
      <c r="B1951" s="93"/>
      <c r="C1951" s="94"/>
      <c r="D1951" s="90"/>
      <c r="E1951" s="90"/>
      <c r="F1951" s="90"/>
      <c r="G1951" s="90"/>
      <c r="H1951" s="77"/>
      <c r="R1951" s="17" t="str">
        <f t="shared" si="219"/>
        <v/>
      </c>
    </row>
    <row r="1952" spans="2:18">
      <c r="B1952" s="93"/>
      <c r="C1952" s="94"/>
      <c r="D1952" s="90"/>
      <c r="E1952" s="90"/>
      <c r="F1952" s="90"/>
      <c r="G1952" s="90"/>
      <c r="H1952" s="77"/>
      <c r="R1952" s="17" t="str">
        <f t="shared" si="219"/>
        <v/>
      </c>
    </row>
    <row r="1953" spans="2:18">
      <c r="B1953" s="93"/>
      <c r="C1953" s="94"/>
      <c r="D1953" s="90"/>
      <c r="E1953" s="90"/>
      <c r="F1953" s="90"/>
      <c r="G1953" s="90"/>
      <c r="H1953" s="77"/>
      <c r="R1953" s="17" t="str">
        <f t="shared" si="219"/>
        <v/>
      </c>
    </row>
    <row r="1954" spans="2:18">
      <c r="B1954" s="93"/>
      <c r="C1954" s="94"/>
      <c r="D1954" s="90"/>
      <c r="E1954" s="90"/>
      <c r="F1954" s="90"/>
      <c r="G1954" s="90"/>
      <c r="H1954" s="77"/>
      <c r="R1954" s="17" t="str">
        <f t="shared" si="219"/>
        <v/>
      </c>
    </row>
    <row r="1955" spans="2:18">
      <c r="B1955" s="93"/>
      <c r="C1955" s="94"/>
      <c r="D1955" s="90"/>
      <c r="E1955" s="90"/>
      <c r="F1955" s="90"/>
      <c r="G1955" s="90"/>
      <c r="H1955" s="77"/>
      <c r="R1955" s="17" t="str">
        <f t="shared" si="219"/>
        <v/>
      </c>
    </row>
    <row r="1956" spans="2:18">
      <c r="B1956" s="93"/>
      <c r="C1956" s="94"/>
      <c r="D1956" s="90"/>
      <c r="E1956" s="90"/>
      <c r="F1956" s="90"/>
      <c r="G1956" s="90"/>
      <c r="H1956" s="77"/>
      <c r="R1956" s="17" t="str">
        <f t="shared" si="219"/>
        <v/>
      </c>
    </row>
    <row r="1957" spans="2:18">
      <c r="B1957" s="93"/>
      <c r="C1957" s="94"/>
      <c r="D1957" s="90"/>
      <c r="E1957" s="90"/>
      <c r="F1957" s="90"/>
      <c r="G1957" s="90"/>
      <c r="H1957" s="77"/>
      <c r="R1957" s="17" t="str">
        <f t="shared" si="219"/>
        <v/>
      </c>
    </row>
    <row r="1958" spans="2:18">
      <c r="B1958" s="93"/>
      <c r="C1958" s="94"/>
      <c r="D1958" s="90"/>
      <c r="E1958" s="90"/>
      <c r="F1958" s="90"/>
      <c r="G1958" s="90"/>
      <c r="H1958" s="77"/>
      <c r="R1958" s="17" t="str">
        <f t="shared" si="219"/>
        <v/>
      </c>
    </row>
    <row r="1959" spans="2:18">
      <c r="B1959" s="93"/>
      <c r="C1959" s="94"/>
      <c r="D1959" s="90"/>
      <c r="E1959" s="90"/>
      <c r="F1959" s="90"/>
      <c r="G1959" s="90"/>
      <c r="H1959" s="77"/>
      <c r="R1959" s="17" t="str">
        <f t="shared" si="219"/>
        <v/>
      </c>
    </row>
    <row r="1960" spans="2:18">
      <c r="B1960" s="93"/>
      <c r="C1960" s="94"/>
      <c r="D1960" s="90"/>
      <c r="E1960" s="90"/>
      <c r="F1960" s="90"/>
      <c r="G1960" s="90"/>
      <c r="H1960" s="77"/>
      <c r="R1960" s="17" t="str">
        <f t="shared" si="219"/>
        <v/>
      </c>
    </row>
    <row r="1961" spans="2:18">
      <c r="B1961" s="93"/>
      <c r="C1961" s="94"/>
      <c r="D1961" s="90"/>
      <c r="E1961" s="90"/>
      <c r="F1961" s="90"/>
      <c r="G1961" s="90"/>
      <c r="H1961" s="77"/>
      <c r="R1961" s="17" t="str">
        <f t="shared" si="219"/>
        <v/>
      </c>
    </row>
    <row r="1962" spans="2:18">
      <c r="B1962" s="93"/>
      <c r="C1962" s="94"/>
      <c r="D1962" s="90"/>
      <c r="E1962" s="90"/>
      <c r="F1962" s="90"/>
      <c r="G1962" s="90"/>
      <c r="H1962" s="77"/>
      <c r="R1962" s="17" t="str">
        <f t="shared" si="219"/>
        <v/>
      </c>
    </row>
    <row r="1963" spans="2:18">
      <c r="B1963" s="93"/>
      <c r="C1963" s="94"/>
      <c r="D1963" s="90"/>
      <c r="E1963" s="90"/>
      <c r="F1963" s="90"/>
      <c r="G1963" s="90"/>
      <c r="H1963" s="77"/>
      <c r="R1963" s="17" t="str">
        <f t="shared" si="219"/>
        <v/>
      </c>
    </row>
    <row r="1964" spans="2:18">
      <c r="B1964" s="93"/>
      <c r="C1964" s="94"/>
      <c r="D1964" s="90"/>
      <c r="E1964" s="90"/>
      <c r="F1964" s="90"/>
      <c r="G1964" s="90"/>
      <c r="H1964" s="77"/>
      <c r="R1964" s="17" t="str">
        <f t="shared" si="219"/>
        <v/>
      </c>
    </row>
    <row r="1965" spans="2:18">
      <c r="B1965" s="93"/>
      <c r="C1965" s="94"/>
      <c r="D1965" s="90"/>
      <c r="E1965" s="90"/>
      <c r="F1965" s="90"/>
      <c r="G1965" s="90"/>
      <c r="H1965" s="77"/>
      <c r="R1965" s="17" t="str">
        <f t="shared" si="219"/>
        <v/>
      </c>
    </row>
    <row r="1966" spans="2:18">
      <c r="B1966" s="93"/>
      <c r="C1966" s="94"/>
      <c r="D1966" s="90"/>
      <c r="E1966" s="90"/>
      <c r="F1966" s="90"/>
      <c r="G1966" s="90"/>
      <c r="H1966" s="77"/>
      <c r="R1966" s="17" t="str">
        <f t="shared" si="219"/>
        <v/>
      </c>
    </row>
    <row r="1967" spans="2:18">
      <c r="B1967" s="93"/>
      <c r="C1967" s="94"/>
      <c r="D1967" s="90"/>
      <c r="E1967" s="90"/>
      <c r="F1967" s="90"/>
      <c r="G1967" s="90"/>
      <c r="H1967" s="77"/>
      <c r="R1967" s="17" t="str">
        <f t="shared" si="219"/>
        <v/>
      </c>
    </row>
    <row r="1968" spans="2:18">
      <c r="B1968" s="93"/>
      <c r="C1968" s="94"/>
      <c r="D1968" s="90"/>
      <c r="E1968" s="90"/>
      <c r="F1968" s="90"/>
      <c r="G1968" s="90"/>
      <c r="H1968" s="77"/>
      <c r="R1968" s="17" t="str">
        <f t="shared" si="219"/>
        <v/>
      </c>
    </row>
    <row r="1969" spans="2:18">
      <c r="B1969" s="93"/>
      <c r="C1969" s="94"/>
      <c r="D1969" s="90"/>
      <c r="E1969" s="90"/>
      <c r="F1969" s="90"/>
      <c r="G1969" s="90"/>
      <c r="H1969" s="77"/>
      <c r="R1969" s="17" t="str">
        <f t="shared" si="219"/>
        <v/>
      </c>
    </row>
    <row r="1970" spans="2:18">
      <c r="B1970" s="93"/>
      <c r="C1970" s="94"/>
      <c r="D1970" s="90"/>
      <c r="E1970" s="90"/>
      <c r="F1970" s="90"/>
      <c r="G1970" s="90"/>
      <c r="H1970" s="77"/>
      <c r="R1970" s="17" t="str">
        <f t="shared" si="219"/>
        <v/>
      </c>
    </row>
    <row r="1971" spans="2:18">
      <c r="B1971" s="93"/>
      <c r="C1971" s="94"/>
      <c r="D1971" s="90"/>
      <c r="E1971" s="90"/>
      <c r="F1971" s="90"/>
      <c r="G1971" s="90"/>
      <c r="H1971" s="77"/>
      <c r="R1971" s="17" t="str">
        <f t="shared" si="219"/>
        <v/>
      </c>
    </row>
    <row r="1972" spans="2:18">
      <c r="B1972" s="93"/>
      <c r="C1972" s="94"/>
      <c r="D1972" s="90"/>
      <c r="E1972" s="90"/>
      <c r="F1972" s="90"/>
      <c r="G1972" s="90"/>
      <c r="H1972" s="77"/>
      <c r="R1972" s="17" t="str">
        <f t="shared" si="219"/>
        <v/>
      </c>
    </row>
    <row r="1973" spans="2:18">
      <c r="B1973" s="93"/>
      <c r="C1973" s="94"/>
      <c r="D1973" s="90"/>
      <c r="E1973" s="90"/>
      <c r="F1973" s="90"/>
      <c r="G1973" s="90"/>
      <c r="H1973" s="77"/>
      <c r="R1973" s="17" t="str">
        <f t="shared" si="219"/>
        <v/>
      </c>
    </row>
    <row r="1974" spans="2:18">
      <c r="B1974" s="93"/>
      <c r="C1974" s="94"/>
      <c r="D1974" s="90"/>
      <c r="E1974" s="90"/>
      <c r="F1974" s="90"/>
      <c r="G1974" s="90"/>
      <c r="H1974" s="77"/>
      <c r="R1974" s="17" t="str">
        <f t="shared" si="219"/>
        <v/>
      </c>
    </row>
    <row r="1975" spans="2:18">
      <c r="B1975" s="93"/>
      <c r="C1975" s="94"/>
      <c r="D1975" s="90"/>
      <c r="E1975" s="90"/>
      <c r="F1975" s="90"/>
      <c r="G1975" s="90"/>
      <c r="H1975" s="77"/>
      <c r="R1975" s="17" t="str">
        <f t="shared" si="219"/>
        <v/>
      </c>
    </row>
    <row r="1976" spans="2:18">
      <c r="B1976" s="93"/>
      <c r="C1976" s="94"/>
      <c r="D1976" s="90"/>
      <c r="E1976" s="90"/>
      <c r="F1976" s="90"/>
      <c r="G1976" s="90"/>
      <c r="H1976" s="77"/>
      <c r="R1976" s="17" t="str">
        <f t="shared" si="219"/>
        <v/>
      </c>
    </row>
    <row r="1977" spans="2:18">
      <c r="B1977" s="93"/>
      <c r="C1977" s="94"/>
      <c r="D1977" s="90"/>
      <c r="E1977" s="90"/>
      <c r="F1977" s="90"/>
      <c r="G1977" s="90"/>
      <c r="H1977" s="77"/>
      <c r="R1977" s="17" t="str">
        <f t="shared" si="219"/>
        <v/>
      </c>
    </row>
    <row r="1978" spans="2:18">
      <c r="B1978" s="93"/>
      <c r="C1978" s="94"/>
      <c r="D1978" s="90"/>
      <c r="E1978" s="90"/>
      <c r="F1978" s="90"/>
      <c r="G1978" s="90"/>
      <c r="H1978" s="77"/>
      <c r="R1978" s="17" t="str">
        <f t="shared" si="219"/>
        <v/>
      </c>
    </row>
    <row r="1979" spans="2:18">
      <c r="B1979" s="93"/>
      <c r="C1979" s="94"/>
      <c r="D1979" s="90"/>
      <c r="E1979" s="90"/>
      <c r="F1979" s="90"/>
      <c r="G1979" s="90"/>
      <c r="H1979" s="77"/>
      <c r="R1979" s="17" t="str">
        <f t="shared" si="219"/>
        <v/>
      </c>
    </row>
    <row r="1980" spans="2:18">
      <c r="B1980" s="93"/>
      <c r="C1980" s="94"/>
      <c r="D1980" s="90"/>
      <c r="E1980" s="90"/>
      <c r="F1980" s="90"/>
      <c r="G1980" s="90"/>
      <c r="H1980" s="77"/>
      <c r="R1980" s="17" t="str">
        <f t="shared" si="219"/>
        <v/>
      </c>
    </row>
    <row r="1981" spans="2:18">
      <c r="B1981" s="93"/>
      <c r="C1981" s="94"/>
      <c r="D1981" s="90"/>
      <c r="E1981" s="90"/>
      <c r="F1981" s="90"/>
      <c r="G1981" s="90"/>
      <c r="H1981" s="77"/>
      <c r="R1981" s="17" t="str">
        <f t="shared" si="219"/>
        <v/>
      </c>
    </row>
    <row r="1982" spans="2:18">
      <c r="B1982" s="93"/>
      <c r="C1982" s="94"/>
      <c r="D1982" s="90"/>
      <c r="E1982" s="90"/>
      <c r="F1982" s="90"/>
      <c r="G1982" s="90"/>
      <c r="H1982" s="77"/>
      <c r="R1982" s="17" t="str">
        <f t="shared" si="219"/>
        <v/>
      </c>
    </row>
    <row r="1983" spans="2:18">
      <c r="B1983" s="93"/>
      <c r="C1983" s="94"/>
      <c r="D1983" s="90"/>
      <c r="E1983" s="90"/>
      <c r="F1983" s="90"/>
      <c r="G1983" s="90"/>
      <c r="H1983" s="77"/>
      <c r="R1983" s="17" t="str">
        <f t="shared" si="219"/>
        <v/>
      </c>
    </row>
    <row r="1984" spans="2:18">
      <c r="B1984" s="93"/>
      <c r="C1984" s="94"/>
      <c r="D1984" s="90"/>
      <c r="E1984" s="90"/>
      <c r="F1984" s="90"/>
      <c r="G1984" s="90"/>
      <c r="H1984" s="77"/>
      <c r="R1984" s="17" t="str">
        <f t="shared" si="219"/>
        <v/>
      </c>
    </row>
    <row r="1985" spans="1:19">
      <c r="B1985" s="93"/>
      <c r="C1985" s="94"/>
      <c r="D1985" s="90"/>
      <c r="E1985" s="90"/>
      <c r="F1985" s="90"/>
      <c r="G1985" s="90"/>
      <c r="H1985" s="77"/>
      <c r="R1985" s="17" t="str">
        <f t="shared" si="219"/>
        <v/>
      </c>
    </row>
    <row r="1986" spans="1:19">
      <c r="B1986" s="93"/>
      <c r="C1986" s="94"/>
      <c r="D1986" s="90"/>
      <c r="E1986" s="90"/>
      <c r="F1986" s="90"/>
      <c r="G1986" s="90"/>
      <c r="H1986" s="77"/>
      <c r="R1986" s="17" t="str">
        <f t="shared" si="219"/>
        <v/>
      </c>
    </row>
    <row r="1987" spans="1:19">
      <c r="B1987" s="93"/>
      <c r="C1987" s="94"/>
      <c r="D1987" s="90"/>
      <c r="E1987" s="90"/>
      <c r="F1987" s="90"/>
      <c r="G1987" s="90"/>
      <c r="H1987" s="77"/>
      <c r="R1987" s="17" t="str">
        <f t="shared" si="219"/>
        <v/>
      </c>
    </row>
    <row r="1988" spans="1:19">
      <c r="B1988" s="93"/>
      <c r="C1988" s="94"/>
      <c r="D1988" s="90"/>
      <c r="E1988" s="90"/>
      <c r="F1988" s="90"/>
      <c r="G1988" s="90"/>
      <c r="H1988" s="77"/>
      <c r="R1988" s="17" t="str">
        <f t="shared" si="219"/>
        <v/>
      </c>
    </row>
    <row r="1989" spans="1:19">
      <c r="B1989" s="93"/>
      <c r="C1989" s="94"/>
      <c r="D1989" s="90"/>
      <c r="E1989" s="90"/>
      <c r="F1989" s="90"/>
      <c r="G1989" s="90"/>
      <c r="H1989" s="77"/>
      <c r="R1989" s="17" t="str">
        <f t="shared" si="219"/>
        <v/>
      </c>
    </row>
    <row r="1990" spans="1:19">
      <c r="B1990" s="93"/>
      <c r="C1990" s="94"/>
      <c r="D1990" s="90"/>
      <c r="E1990" s="90"/>
      <c r="F1990" s="90"/>
      <c r="G1990" s="90"/>
      <c r="H1990" s="77"/>
      <c r="R1990" s="17" t="str">
        <f t="shared" si="219"/>
        <v/>
      </c>
    </row>
    <row r="1991" spans="1:19">
      <c r="B1991" s="93"/>
      <c r="C1991" s="94"/>
      <c r="D1991" s="90"/>
      <c r="E1991" s="90"/>
      <c r="F1991" s="90"/>
      <c r="G1991" s="90"/>
      <c r="H1991" s="77"/>
    </row>
    <row r="1992" spans="1:19">
      <c r="B1992" s="93"/>
      <c r="C1992" s="94"/>
      <c r="D1992" s="90"/>
      <c r="E1992" s="90"/>
      <c r="F1992" s="90"/>
      <c r="G1992" s="90"/>
      <c r="H1992" s="77"/>
    </row>
    <row r="1993" spans="1:19" customFormat="1">
      <c r="A1993" s="40"/>
      <c r="B1993" s="93"/>
      <c r="C1993" s="94"/>
      <c r="D1993" s="90"/>
      <c r="E1993" s="90"/>
      <c r="F1993" s="90"/>
      <c r="G1993" s="90"/>
      <c r="H1993" s="77"/>
      <c r="L1993" s="75"/>
      <c r="M1993" s="75"/>
      <c r="N1993" s="84"/>
      <c r="O1993" s="75"/>
      <c r="P1993" s="75"/>
      <c r="Q1993" s="84"/>
      <c r="R1993" s="48"/>
      <c r="S1993" s="48"/>
    </row>
    <row r="1994" spans="1:19" customFormat="1">
      <c r="A1994" s="40"/>
      <c r="B1994" s="93"/>
      <c r="C1994" s="94"/>
      <c r="D1994" s="90"/>
      <c r="E1994" s="90"/>
      <c r="F1994" s="90"/>
      <c r="G1994" s="90"/>
      <c r="H1994" s="77"/>
      <c r="L1994" s="75"/>
      <c r="M1994" s="75"/>
      <c r="N1994" s="84"/>
      <c r="O1994" s="75"/>
      <c r="P1994" s="75"/>
      <c r="Q1994" s="84"/>
      <c r="R1994" s="48"/>
      <c r="S1994" s="48"/>
    </row>
    <row r="1995" spans="1:19" customFormat="1">
      <c r="A1995" s="40"/>
      <c r="B1995" s="93"/>
      <c r="C1995" s="94"/>
      <c r="D1995" s="90"/>
      <c r="E1995" s="90"/>
      <c r="F1995" s="90"/>
      <c r="G1995" s="90"/>
      <c r="H1995" s="77"/>
      <c r="L1995" s="75"/>
      <c r="M1995" s="75"/>
      <c r="N1995" s="84"/>
      <c r="O1995" s="75"/>
      <c r="P1995" s="75"/>
      <c r="Q1995" s="84"/>
      <c r="R1995" s="48"/>
      <c r="S1995" s="48"/>
    </row>
    <row r="1996" spans="1:19" customFormat="1">
      <c r="A1996" s="40"/>
      <c r="B1996" s="93"/>
      <c r="C1996" s="94"/>
      <c r="D1996" s="90"/>
      <c r="E1996" s="90"/>
      <c r="F1996" s="90"/>
      <c r="G1996" s="90"/>
      <c r="H1996" s="77"/>
      <c r="L1996" s="75"/>
      <c r="M1996" s="75"/>
      <c r="N1996" s="84"/>
      <c r="O1996" s="75"/>
      <c r="P1996" s="75"/>
      <c r="Q1996" s="84"/>
      <c r="R1996" s="48"/>
      <c r="S1996" s="48"/>
    </row>
    <row r="1997" spans="1:19" customFormat="1">
      <c r="A1997" s="40"/>
      <c r="B1997" s="93"/>
      <c r="C1997" s="94"/>
      <c r="D1997" s="90"/>
      <c r="E1997" s="90"/>
      <c r="F1997" s="90"/>
      <c r="G1997" s="90"/>
      <c r="H1997" s="77"/>
      <c r="L1997" s="75"/>
      <c r="M1997" s="75"/>
      <c r="N1997" s="84"/>
      <c r="O1997" s="75"/>
      <c r="P1997" s="75"/>
      <c r="Q1997" s="84"/>
      <c r="R1997" s="48"/>
      <c r="S1997" s="48"/>
    </row>
    <row r="1998" spans="1:19" customFormat="1">
      <c r="A1998" s="40"/>
      <c r="B1998" s="93"/>
      <c r="C1998" s="94"/>
      <c r="D1998" s="90"/>
      <c r="E1998" s="90"/>
      <c r="F1998" s="90"/>
      <c r="G1998" s="90"/>
      <c r="H1998" s="77"/>
      <c r="L1998" s="75"/>
      <c r="M1998" s="75"/>
      <c r="N1998" s="84"/>
      <c r="O1998" s="75"/>
      <c r="P1998" s="75"/>
      <c r="Q1998" s="84"/>
      <c r="R1998" s="48"/>
      <c r="S1998" s="48"/>
    </row>
    <row r="1999" spans="1:19" customFormat="1">
      <c r="A1999" s="40"/>
      <c r="B1999" s="93"/>
      <c r="C1999" s="94"/>
      <c r="D1999" s="90"/>
      <c r="E1999" s="90"/>
      <c r="F1999" s="90"/>
      <c r="G1999" s="90"/>
      <c r="H1999" s="77"/>
      <c r="L1999" s="75"/>
      <c r="M1999" s="75"/>
      <c r="N1999" s="84"/>
      <c r="O1999" s="75"/>
      <c r="P1999" s="75"/>
      <c r="Q1999" s="84"/>
      <c r="R1999" s="48"/>
      <c r="S1999" s="48"/>
    </row>
    <row r="2000" spans="1:19" customFormat="1">
      <c r="A2000" s="40"/>
      <c r="B2000" s="93"/>
      <c r="C2000" s="94"/>
      <c r="D2000" s="90"/>
      <c r="E2000" s="90"/>
      <c r="F2000" s="90"/>
      <c r="G2000" s="90"/>
      <c r="H2000" s="77"/>
      <c r="L2000" s="75"/>
      <c r="M2000" s="75"/>
      <c r="N2000" s="84"/>
      <c r="O2000" s="75"/>
      <c r="P2000" s="75"/>
      <c r="Q2000" s="84"/>
      <c r="R2000" s="48"/>
      <c r="S2000" s="48"/>
    </row>
    <row r="2001" spans="1:19" customFormat="1">
      <c r="A2001" s="40"/>
      <c r="B2001" s="93"/>
      <c r="C2001" s="94"/>
      <c r="D2001" s="90"/>
      <c r="E2001" s="90"/>
      <c r="F2001" s="90"/>
      <c r="G2001" s="90"/>
      <c r="H2001" s="77"/>
      <c r="L2001" s="75"/>
      <c r="M2001" s="75"/>
      <c r="N2001" s="84"/>
      <c r="O2001" s="75"/>
      <c r="P2001" s="75"/>
      <c r="Q2001" s="84"/>
      <c r="R2001" s="48"/>
      <c r="S2001" s="48"/>
    </row>
    <row r="2002" spans="1:19" customFormat="1">
      <c r="A2002" s="40"/>
      <c r="B2002" s="93"/>
      <c r="C2002" s="94"/>
      <c r="D2002" s="90"/>
      <c r="E2002" s="90"/>
      <c r="F2002" s="90"/>
      <c r="G2002" s="90"/>
      <c r="H2002" s="77"/>
      <c r="L2002" s="75"/>
      <c r="M2002" s="75"/>
      <c r="N2002" s="84"/>
      <c r="O2002" s="75"/>
      <c r="P2002" s="75"/>
      <c r="Q2002" s="84"/>
      <c r="R2002" s="48"/>
      <c r="S2002" s="48"/>
    </row>
    <row r="2003" spans="1:19" customFormat="1">
      <c r="A2003" s="40"/>
      <c r="B2003" s="93"/>
      <c r="C2003" s="94"/>
      <c r="D2003" s="90"/>
      <c r="E2003" s="90"/>
      <c r="F2003" s="90"/>
      <c r="G2003" s="90"/>
      <c r="H2003" s="77"/>
      <c r="L2003" s="75"/>
      <c r="M2003" s="75"/>
      <c r="N2003" s="84"/>
      <c r="O2003" s="75"/>
      <c r="P2003" s="75"/>
      <c r="Q2003" s="84"/>
      <c r="R2003" s="48"/>
      <c r="S2003" s="48"/>
    </row>
    <row r="2004" spans="1:19" customFormat="1">
      <c r="A2004" s="40"/>
      <c r="B2004" s="93"/>
      <c r="C2004" s="94"/>
      <c r="D2004" s="90"/>
      <c r="E2004" s="90"/>
      <c r="F2004" s="90"/>
      <c r="G2004" s="90"/>
      <c r="H2004" s="77"/>
      <c r="L2004" s="75"/>
      <c r="M2004" s="75"/>
      <c r="N2004" s="84"/>
      <c r="O2004" s="75"/>
      <c r="P2004" s="75"/>
      <c r="Q2004" s="84"/>
      <c r="R2004" s="48"/>
      <c r="S2004" s="48"/>
    </row>
    <row r="2005" spans="1:19" customFormat="1">
      <c r="A2005" s="40"/>
      <c r="B2005" s="93"/>
      <c r="C2005" s="94"/>
      <c r="D2005" s="90"/>
      <c r="E2005" s="90"/>
      <c r="F2005" s="90"/>
      <c r="G2005" s="90"/>
      <c r="H2005" s="77"/>
      <c r="L2005" s="75"/>
      <c r="M2005" s="75"/>
      <c r="N2005" s="84"/>
      <c r="O2005" s="75"/>
      <c r="P2005" s="75"/>
      <c r="Q2005" s="84"/>
      <c r="R2005" s="48"/>
      <c r="S2005" s="48"/>
    </row>
    <row r="2006" spans="1:19" customFormat="1">
      <c r="A2006" s="40"/>
      <c r="B2006" s="93"/>
      <c r="C2006" s="94"/>
      <c r="D2006" s="90"/>
      <c r="E2006" s="90"/>
      <c r="F2006" s="90"/>
      <c r="G2006" s="90"/>
      <c r="H2006" s="77"/>
      <c r="L2006" s="75"/>
      <c r="M2006" s="75"/>
      <c r="N2006" s="84"/>
      <c r="O2006" s="75"/>
      <c r="P2006" s="75"/>
      <c r="Q2006" s="84"/>
      <c r="R2006" s="48"/>
      <c r="S2006" s="48"/>
    </row>
    <row r="2007" spans="1:19" customFormat="1">
      <c r="A2007" s="40"/>
      <c r="B2007" s="93"/>
      <c r="C2007" s="94"/>
      <c r="D2007" s="90"/>
      <c r="E2007" s="90"/>
      <c r="F2007" s="90"/>
      <c r="G2007" s="90"/>
      <c r="H2007" s="77"/>
      <c r="L2007" s="75"/>
      <c r="M2007" s="75"/>
      <c r="N2007" s="84"/>
      <c r="O2007" s="75"/>
      <c r="P2007" s="75"/>
      <c r="Q2007" s="84"/>
      <c r="R2007" s="48"/>
      <c r="S2007" s="48"/>
    </row>
    <row r="2008" spans="1:19" customFormat="1">
      <c r="A2008" s="40"/>
      <c r="B2008" s="93"/>
      <c r="C2008" s="94"/>
      <c r="D2008" s="90"/>
      <c r="E2008" s="90"/>
      <c r="F2008" s="90"/>
      <c r="G2008" s="90"/>
      <c r="H2008" s="77"/>
      <c r="L2008" s="75"/>
      <c r="M2008" s="75"/>
      <c r="N2008" s="84"/>
      <c r="O2008" s="75"/>
      <c r="P2008" s="75"/>
      <c r="Q2008" s="84"/>
      <c r="R2008" s="48"/>
      <c r="S2008" s="48"/>
    </row>
    <row r="2009" spans="1:19" customFormat="1">
      <c r="A2009" s="40"/>
      <c r="B2009" s="93"/>
      <c r="C2009" s="94"/>
      <c r="D2009" s="90"/>
      <c r="E2009" s="90"/>
      <c r="F2009" s="90"/>
      <c r="G2009" s="90"/>
      <c r="H2009" s="77"/>
      <c r="L2009" s="75"/>
      <c r="M2009" s="75"/>
      <c r="N2009" s="84"/>
      <c r="O2009" s="75"/>
      <c r="P2009" s="75"/>
      <c r="Q2009" s="84"/>
      <c r="R2009" s="48"/>
      <c r="S2009" s="48"/>
    </row>
    <row r="2010" spans="1:19" customFormat="1">
      <c r="A2010" s="40"/>
      <c r="B2010" s="93"/>
      <c r="C2010" s="94"/>
      <c r="D2010" s="90"/>
      <c r="E2010" s="90"/>
      <c r="F2010" s="90"/>
      <c r="G2010" s="90"/>
      <c r="H2010" s="77"/>
      <c r="L2010" s="75"/>
      <c r="M2010" s="75"/>
      <c r="N2010" s="84"/>
      <c r="O2010" s="75"/>
      <c r="P2010" s="75"/>
      <c r="Q2010" s="84"/>
      <c r="R2010" s="48"/>
      <c r="S2010" s="48"/>
    </row>
    <row r="2011" spans="1:19" customFormat="1">
      <c r="A2011" s="40"/>
      <c r="B2011" s="93"/>
      <c r="C2011" s="94"/>
      <c r="D2011" s="90"/>
      <c r="E2011" s="90"/>
      <c r="F2011" s="90"/>
      <c r="G2011" s="90"/>
      <c r="H2011" s="77"/>
      <c r="L2011" s="75"/>
      <c r="M2011" s="75"/>
      <c r="N2011" s="84"/>
      <c r="O2011" s="75"/>
      <c r="P2011" s="75"/>
      <c r="Q2011" s="84"/>
      <c r="R2011" s="48"/>
      <c r="S2011" s="48"/>
    </row>
    <row r="2012" spans="1:19" customFormat="1">
      <c r="A2012" s="40"/>
      <c r="B2012" s="93"/>
      <c r="C2012" s="94"/>
      <c r="D2012" s="90"/>
      <c r="E2012" s="90"/>
      <c r="F2012" s="90"/>
      <c r="G2012" s="90"/>
      <c r="H2012" s="77"/>
      <c r="L2012" s="75"/>
      <c r="M2012" s="75"/>
      <c r="N2012" s="84"/>
      <c r="O2012" s="75"/>
      <c r="P2012" s="75"/>
      <c r="Q2012" s="84"/>
      <c r="R2012" s="48"/>
      <c r="S2012" s="48"/>
    </row>
    <row r="2013" spans="1:19" customFormat="1">
      <c r="A2013" s="40"/>
      <c r="B2013" s="93"/>
      <c r="C2013" s="94"/>
      <c r="D2013" s="90"/>
      <c r="E2013" s="90"/>
      <c r="F2013" s="90"/>
      <c r="G2013" s="90"/>
      <c r="H2013" s="77"/>
      <c r="L2013" s="75"/>
      <c r="M2013" s="75"/>
      <c r="N2013" s="84"/>
      <c r="O2013" s="75"/>
      <c r="P2013" s="75"/>
      <c r="Q2013" s="84"/>
      <c r="R2013" s="48"/>
      <c r="S2013" s="48"/>
    </row>
    <row r="2014" spans="1:19" customFormat="1">
      <c r="A2014" s="40"/>
      <c r="B2014" s="93"/>
      <c r="C2014" s="94"/>
      <c r="D2014" s="90"/>
      <c r="E2014" s="90"/>
      <c r="F2014" s="90"/>
      <c r="G2014" s="90"/>
      <c r="H2014" s="77"/>
      <c r="L2014" s="75"/>
      <c r="M2014" s="75"/>
      <c r="N2014" s="84"/>
      <c r="O2014" s="75"/>
      <c r="P2014" s="75"/>
      <c r="Q2014" s="84"/>
      <c r="R2014" s="48"/>
      <c r="S2014" s="48"/>
    </row>
    <row r="2015" spans="1:19" customFormat="1">
      <c r="A2015" s="40"/>
      <c r="B2015" s="93"/>
      <c r="C2015" s="94"/>
      <c r="D2015" s="90"/>
      <c r="E2015" s="90"/>
      <c r="F2015" s="90"/>
      <c r="G2015" s="90"/>
      <c r="H2015" s="77"/>
      <c r="L2015" s="75"/>
      <c r="M2015" s="75"/>
      <c r="N2015" s="84"/>
      <c r="O2015" s="75"/>
      <c r="P2015" s="75"/>
      <c r="Q2015" s="84"/>
      <c r="R2015" s="48"/>
      <c r="S2015" s="48"/>
    </row>
    <row r="2016" spans="1:19" customFormat="1">
      <c r="A2016" s="40"/>
      <c r="B2016" s="93"/>
      <c r="C2016" s="94"/>
      <c r="D2016" s="90"/>
      <c r="E2016" s="90"/>
      <c r="F2016" s="90"/>
      <c r="G2016" s="90"/>
      <c r="H2016" s="77"/>
      <c r="L2016" s="75"/>
      <c r="M2016" s="75"/>
      <c r="N2016" s="84"/>
      <c r="O2016" s="75"/>
      <c r="P2016" s="75"/>
      <c r="Q2016" s="84"/>
      <c r="R2016" s="48"/>
      <c r="S2016" s="48"/>
    </row>
    <row r="2017" spans="1:19" customFormat="1">
      <c r="A2017" s="40"/>
      <c r="B2017" s="93"/>
      <c r="C2017" s="94"/>
      <c r="D2017" s="90"/>
      <c r="E2017" s="90"/>
      <c r="F2017" s="90"/>
      <c r="G2017" s="90"/>
      <c r="H2017" s="77"/>
      <c r="L2017" s="75"/>
      <c r="M2017" s="75"/>
      <c r="N2017" s="84"/>
      <c r="O2017" s="75"/>
      <c r="P2017" s="75"/>
      <c r="Q2017" s="84"/>
      <c r="R2017" s="48"/>
      <c r="S2017" s="48"/>
    </row>
    <row r="2018" spans="1:19" customFormat="1">
      <c r="A2018" s="40"/>
      <c r="B2018" s="93"/>
      <c r="C2018" s="94"/>
      <c r="D2018" s="90"/>
      <c r="E2018" s="90"/>
      <c r="F2018" s="90"/>
      <c r="G2018" s="90"/>
      <c r="H2018" s="77"/>
      <c r="L2018" s="75"/>
      <c r="M2018" s="75"/>
      <c r="N2018" s="84"/>
      <c r="O2018" s="75"/>
      <c r="P2018" s="75"/>
      <c r="Q2018" s="84"/>
      <c r="R2018" s="48"/>
      <c r="S2018" s="48"/>
    </row>
    <row r="2019" spans="1:19" customFormat="1">
      <c r="A2019" s="40"/>
      <c r="B2019" s="93"/>
      <c r="C2019" s="94"/>
      <c r="D2019" s="90"/>
      <c r="E2019" s="90"/>
      <c r="F2019" s="90"/>
      <c r="G2019" s="90"/>
      <c r="H2019" s="77"/>
      <c r="L2019" s="75"/>
      <c r="M2019" s="75"/>
      <c r="N2019" s="84"/>
      <c r="O2019" s="75"/>
      <c r="P2019" s="75"/>
      <c r="Q2019" s="84"/>
      <c r="R2019" s="48"/>
      <c r="S2019" s="48"/>
    </row>
    <row r="2020" spans="1:19" customFormat="1">
      <c r="A2020" s="40"/>
      <c r="B2020" s="93"/>
      <c r="C2020" s="94"/>
      <c r="D2020" s="90"/>
      <c r="E2020" s="90"/>
      <c r="F2020" s="90"/>
      <c r="G2020" s="90"/>
      <c r="H2020" s="77"/>
      <c r="L2020" s="75"/>
      <c r="M2020" s="75"/>
      <c r="N2020" s="84"/>
      <c r="O2020" s="75"/>
      <c r="P2020" s="75"/>
      <c r="Q2020" s="84"/>
      <c r="R2020" s="48"/>
      <c r="S2020" s="48"/>
    </row>
    <row r="2021" spans="1:19" customFormat="1">
      <c r="A2021" s="40"/>
      <c r="B2021" s="93"/>
      <c r="C2021" s="94"/>
      <c r="D2021" s="90"/>
      <c r="E2021" s="90"/>
      <c r="F2021" s="90"/>
      <c r="G2021" s="90"/>
      <c r="H2021" s="77"/>
      <c r="L2021" s="75"/>
      <c r="M2021" s="75"/>
      <c r="N2021" s="84"/>
      <c r="O2021" s="75"/>
      <c r="P2021" s="75"/>
      <c r="Q2021" s="84"/>
      <c r="R2021" s="48"/>
      <c r="S2021" s="48"/>
    </row>
    <row r="2022" spans="1:19" customFormat="1">
      <c r="A2022" s="40"/>
      <c r="B2022" s="93"/>
      <c r="C2022" s="94"/>
      <c r="D2022" s="90"/>
      <c r="E2022" s="90"/>
      <c r="F2022" s="90"/>
      <c r="G2022" s="90"/>
      <c r="H2022" s="77"/>
      <c r="L2022" s="75"/>
      <c r="M2022" s="75"/>
      <c r="N2022" s="84"/>
      <c r="O2022" s="75"/>
      <c r="P2022" s="75"/>
      <c r="Q2022" s="84"/>
      <c r="R2022" s="48"/>
      <c r="S2022" s="48"/>
    </row>
    <row r="2023" spans="1:19" customFormat="1">
      <c r="A2023" s="40"/>
      <c r="B2023" s="93"/>
      <c r="C2023" s="94"/>
      <c r="D2023" s="90"/>
      <c r="E2023" s="90"/>
      <c r="F2023" s="90"/>
      <c r="G2023" s="90"/>
      <c r="H2023" s="77"/>
      <c r="L2023" s="75"/>
      <c r="M2023" s="75"/>
      <c r="N2023" s="84"/>
      <c r="O2023" s="75"/>
      <c r="P2023" s="75"/>
      <c r="Q2023" s="84"/>
      <c r="R2023" s="48"/>
      <c r="S2023" s="48"/>
    </row>
    <row r="2024" spans="1:19" customFormat="1">
      <c r="A2024" s="40"/>
      <c r="B2024" s="93"/>
      <c r="C2024" s="94"/>
      <c r="D2024" s="90"/>
      <c r="E2024" s="90"/>
      <c r="F2024" s="90"/>
      <c r="G2024" s="90"/>
      <c r="H2024" s="77"/>
      <c r="L2024" s="75"/>
      <c r="M2024" s="75"/>
      <c r="N2024" s="84"/>
      <c r="O2024" s="75"/>
      <c r="P2024" s="75"/>
      <c r="Q2024" s="84"/>
      <c r="R2024" s="48"/>
      <c r="S2024" s="48"/>
    </row>
    <row r="2025" spans="1:19" customFormat="1">
      <c r="A2025" s="40"/>
      <c r="B2025" s="93"/>
      <c r="C2025" s="94"/>
      <c r="D2025" s="90"/>
      <c r="E2025" s="90"/>
      <c r="F2025" s="90"/>
      <c r="G2025" s="90"/>
      <c r="H2025" s="77"/>
      <c r="L2025" s="75"/>
      <c r="M2025" s="75"/>
      <c r="N2025" s="84"/>
      <c r="O2025" s="75"/>
      <c r="P2025" s="75"/>
      <c r="Q2025" s="84"/>
      <c r="R2025" s="48"/>
      <c r="S2025" s="48"/>
    </row>
    <row r="2026" spans="1:19" customFormat="1">
      <c r="A2026" s="40"/>
      <c r="B2026" s="93"/>
      <c r="C2026" s="94"/>
      <c r="D2026" s="90"/>
      <c r="E2026" s="90"/>
      <c r="F2026" s="90"/>
      <c r="G2026" s="90"/>
      <c r="H2026" s="77"/>
      <c r="L2026" s="75"/>
      <c r="M2026" s="75"/>
      <c r="N2026" s="84"/>
      <c r="O2026" s="75"/>
      <c r="P2026" s="75"/>
      <c r="Q2026" s="84"/>
      <c r="R2026" s="48"/>
      <c r="S2026" s="48"/>
    </row>
    <row r="2027" spans="1:19" customFormat="1">
      <c r="A2027" s="40"/>
      <c r="B2027" s="93"/>
      <c r="C2027" s="94"/>
      <c r="D2027" s="90"/>
      <c r="E2027" s="90"/>
      <c r="F2027" s="90"/>
      <c r="G2027" s="90"/>
      <c r="H2027" s="77"/>
      <c r="L2027" s="75"/>
      <c r="M2027" s="75"/>
      <c r="N2027" s="84"/>
      <c r="O2027" s="75"/>
      <c r="P2027" s="75"/>
      <c r="Q2027" s="84"/>
      <c r="R2027" s="48"/>
      <c r="S2027" s="48"/>
    </row>
    <row r="2028" spans="1:19" customFormat="1">
      <c r="A2028" s="40"/>
      <c r="B2028" s="93"/>
      <c r="C2028" s="94"/>
      <c r="D2028" s="90"/>
      <c r="E2028" s="90"/>
      <c r="F2028" s="90"/>
      <c r="G2028" s="90"/>
      <c r="H2028" s="77"/>
      <c r="L2028" s="75"/>
      <c r="M2028" s="75"/>
      <c r="N2028" s="84"/>
      <c r="O2028" s="75"/>
      <c r="P2028" s="75"/>
      <c r="Q2028" s="84"/>
      <c r="R2028" s="48"/>
      <c r="S2028" s="48"/>
    </row>
    <row r="2029" spans="1:19" customFormat="1">
      <c r="A2029" s="40"/>
      <c r="B2029" s="93"/>
      <c r="C2029" s="94"/>
      <c r="D2029" s="90"/>
      <c r="E2029" s="90"/>
      <c r="F2029" s="90"/>
      <c r="G2029" s="90"/>
      <c r="H2029" s="77"/>
      <c r="L2029" s="75"/>
      <c r="M2029" s="75"/>
      <c r="N2029" s="84"/>
      <c r="O2029" s="75"/>
      <c r="P2029" s="75"/>
      <c r="Q2029" s="84"/>
      <c r="R2029" s="48"/>
      <c r="S2029" s="48"/>
    </row>
    <row r="2030" spans="1:19" customFormat="1">
      <c r="A2030" s="40"/>
      <c r="B2030" s="93"/>
      <c r="C2030" s="94"/>
      <c r="D2030" s="90"/>
      <c r="E2030" s="90"/>
      <c r="F2030" s="90"/>
      <c r="G2030" s="90"/>
      <c r="H2030" s="77"/>
      <c r="L2030" s="75"/>
      <c r="M2030" s="75"/>
      <c r="N2030" s="84"/>
      <c r="O2030" s="75"/>
      <c r="P2030" s="75"/>
      <c r="Q2030" s="84"/>
      <c r="R2030" s="48"/>
      <c r="S2030" s="48"/>
    </row>
    <row r="2031" spans="1:19" customFormat="1">
      <c r="A2031" s="40"/>
      <c r="B2031" s="93"/>
      <c r="C2031" s="94"/>
      <c r="D2031" s="90"/>
      <c r="E2031" s="90"/>
      <c r="F2031" s="90"/>
      <c r="G2031" s="90"/>
      <c r="H2031" s="77"/>
      <c r="L2031" s="75"/>
      <c r="M2031" s="75"/>
      <c r="N2031" s="84"/>
      <c r="O2031" s="75"/>
      <c r="P2031" s="75"/>
      <c r="Q2031" s="84"/>
      <c r="R2031" s="48"/>
      <c r="S2031" s="48"/>
    </row>
    <row r="2032" spans="1:19" customFormat="1">
      <c r="A2032" s="40"/>
      <c r="B2032" s="93"/>
      <c r="C2032" s="94"/>
      <c r="D2032" s="90"/>
      <c r="E2032" s="90"/>
      <c r="F2032" s="90"/>
      <c r="G2032" s="90"/>
      <c r="H2032" s="77"/>
      <c r="L2032" s="75"/>
      <c r="M2032" s="75"/>
      <c r="N2032" s="84"/>
      <c r="O2032" s="75"/>
      <c r="P2032" s="75"/>
      <c r="Q2032" s="84"/>
      <c r="R2032" s="48"/>
      <c r="S2032" s="48"/>
    </row>
    <row r="2033" spans="1:19" customFormat="1">
      <c r="A2033" s="40"/>
      <c r="B2033" s="93"/>
      <c r="C2033" s="94"/>
      <c r="D2033" s="90"/>
      <c r="E2033" s="90"/>
      <c r="F2033" s="90"/>
      <c r="G2033" s="90"/>
      <c r="H2033" s="77"/>
      <c r="L2033" s="75"/>
      <c r="M2033" s="75"/>
      <c r="N2033" s="84"/>
      <c r="O2033" s="75"/>
      <c r="P2033" s="75"/>
      <c r="Q2033" s="84"/>
      <c r="R2033" s="48"/>
      <c r="S2033" s="48"/>
    </row>
    <row r="2034" spans="1:19" customFormat="1">
      <c r="A2034" s="40"/>
      <c r="B2034" s="93"/>
      <c r="C2034" s="94"/>
      <c r="D2034" s="90"/>
      <c r="E2034" s="90"/>
      <c r="F2034" s="90"/>
      <c r="G2034" s="90"/>
      <c r="H2034" s="77"/>
      <c r="L2034" s="75"/>
      <c r="M2034" s="75"/>
      <c r="N2034" s="84"/>
      <c r="O2034" s="75"/>
      <c r="P2034" s="75"/>
      <c r="Q2034" s="84"/>
      <c r="R2034" s="48"/>
      <c r="S2034" s="48"/>
    </row>
    <row r="2035" spans="1:19" customFormat="1">
      <c r="A2035" s="40"/>
      <c r="B2035" s="93"/>
      <c r="C2035" s="94"/>
      <c r="D2035" s="90"/>
      <c r="E2035" s="90"/>
      <c r="F2035" s="90"/>
      <c r="G2035" s="90"/>
      <c r="H2035" s="77"/>
      <c r="L2035" s="75"/>
      <c r="M2035" s="75"/>
      <c r="N2035" s="84"/>
      <c r="O2035" s="75"/>
      <c r="P2035" s="75"/>
      <c r="Q2035" s="84"/>
      <c r="R2035" s="48"/>
      <c r="S2035" s="48"/>
    </row>
    <row r="2036" spans="1:19" customFormat="1">
      <c r="A2036" s="40"/>
      <c r="B2036" s="93"/>
      <c r="C2036" s="94"/>
      <c r="D2036" s="90"/>
      <c r="E2036" s="90"/>
      <c r="F2036" s="90"/>
      <c r="G2036" s="90"/>
      <c r="H2036" s="77"/>
      <c r="L2036" s="75"/>
      <c r="M2036" s="75"/>
      <c r="N2036" s="84"/>
      <c r="O2036" s="75"/>
      <c r="P2036" s="75"/>
      <c r="Q2036" s="84"/>
      <c r="R2036" s="48"/>
      <c r="S2036" s="48"/>
    </row>
    <row r="2037" spans="1:19" customFormat="1">
      <c r="A2037" s="40"/>
      <c r="B2037" s="93"/>
      <c r="C2037" s="94"/>
      <c r="D2037" s="90"/>
      <c r="E2037" s="90"/>
      <c r="F2037" s="90"/>
      <c r="G2037" s="90"/>
      <c r="H2037" s="77"/>
      <c r="L2037" s="75"/>
      <c r="M2037" s="75"/>
      <c r="N2037" s="84"/>
      <c r="O2037" s="75"/>
      <c r="P2037" s="75"/>
      <c r="Q2037" s="84"/>
      <c r="R2037" s="48"/>
      <c r="S2037" s="48"/>
    </row>
    <row r="2038" spans="1:19" customFormat="1">
      <c r="A2038" s="40"/>
      <c r="B2038" s="93"/>
      <c r="C2038" s="94"/>
      <c r="D2038" s="90"/>
      <c r="E2038" s="90"/>
      <c r="F2038" s="90"/>
      <c r="G2038" s="90"/>
      <c r="H2038" s="77"/>
      <c r="L2038" s="75"/>
      <c r="M2038" s="75"/>
      <c r="N2038" s="84"/>
      <c r="O2038" s="75"/>
      <c r="P2038" s="75"/>
      <c r="Q2038" s="84"/>
      <c r="R2038" s="48"/>
      <c r="S2038" s="48"/>
    </row>
    <row r="2039" spans="1:19" customFormat="1">
      <c r="A2039" s="40"/>
      <c r="B2039" s="93"/>
      <c r="C2039" s="94"/>
      <c r="D2039" s="90"/>
      <c r="E2039" s="90"/>
      <c r="F2039" s="90"/>
      <c r="G2039" s="90"/>
      <c r="H2039" s="77"/>
      <c r="L2039" s="75"/>
      <c r="M2039" s="75"/>
      <c r="N2039" s="84"/>
      <c r="O2039" s="75"/>
      <c r="P2039" s="75"/>
      <c r="Q2039" s="84"/>
      <c r="R2039" s="48"/>
      <c r="S2039" s="48"/>
    </row>
    <row r="2040" spans="1:19" customFormat="1">
      <c r="A2040" s="40"/>
      <c r="B2040" s="93"/>
      <c r="C2040" s="94"/>
      <c r="D2040" s="90"/>
      <c r="E2040" s="90"/>
      <c r="F2040" s="90"/>
      <c r="G2040" s="90"/>
      <c r="H2040" s="77"/>
      <c r="L2040" s="75"/>
      <c r="M2040" s="75"/>
      <c r="N2040" s="84"/>
      <c r="O2040" s="75"/>
      <c r="P2040" s="75"/>
      <c r="Q2040" s="84"/>
      <c r="R2040" s="48"/>
      <c r="S2040" s="48"/>
    </row>
    <row r="2041" spans="1:19" customFormat="1">
      <c r="A2041" s="40"/>
      <c r="B2041" s="93"/>
      <c r="C2041" s="94"/>
      <c r="D2041" s="90"/>
      <c r="E2041" s="90"/>
      <c r="F2041" s="90"/>
      <c r="G2041" s="90"/>
      <c r="H2041" s="77"/>
      <c r="L2041" s="75"/>
      <c r="M2041" s="75"/>
      <c r="N2041" s="84"/>
      <c r="O2041" s="75"/>
      <c r="P2041" s="75"/>
      <c r="Q2041" s="84"/>
      <c r="R2041" s="48"/>
      <c r="S2041" s="48"/>
    </row>
    <row r="2042" spans="1:19" customFormat="1">
      <c r="A2042" s="40"/>
      <c r="B2042" s="93"/>
      <c r="C2042" s="94"/>
      <c r="D2042" s="90"/>
      <c r="E2042" s="90"/>
      <c r="F2042" s="90"/>
      <c r="G2042" s="90"/>
      <c r="H2042" s="77"/>
      <c r="L2042" s="75"/>
      <c r="M2042" s="75"/>
      <c r="N2042" s="84"/>
      <c r="O2042" s="75"/>
      <c r="P2042" s="75"/>
      <c r="Q2042" s="84"/>
      <c r="R2042" s="48"/>
      <c r="S2042" s="48"/>
    </row>
    <row r="2043" spans="1:19" customFormat="1">
      <c r="A2043" s="40"/>
      <c r="B2043" s="93"/>
      <c r="C2043" s="94"/>
      <c r="D2043" s="90"/>
      <c r="E2043" s="90"/>
      <c r="F2043" s="90"/>
      <c r="G2043" s="90"/>
      <c r="H2043" s="77"/>
      <c r="L2043" s="75"/>
      <c r="M2043" s="75"/>
      <c r="N2043" s="84"/>
      <c r="O2043" s="75"/>
      <c r="P2043" s="75"/>
      <c r="Q2043" s="84"/>
      <c r="R2043" s="48"/>
      <c r="S2043" s="48"/>
    </row>
    <row r="2044" spans="1:19" customFormat="1">
      <c r="A2044" s="40"/>
      <c r="B2044" s="93"/>
      <c r="C2044" s="94"/>
      <c r="D2044" s="90"/>
      <c r="E2044" s="90"/>
      <c r="F2044" s="90"/>
      <c r="G2044" s="90"/>
      <c r="H2044" s="77"/>
      <c r="L2044" s="75"/>
      <c r="M2044" s="75"/>
      <c r="N2044" s="84"/>
      <c r="O2044" s="75"/>
      <c r="P2044" s="75"/>
      <c r="Q2044" s="84"/>
      <c r="R2044" s="48"/>
      <c r="S2044" s="48"/>
    </row>
    <row r="2045" spans="1:19" customFormat="1">
      <c r="A2045" s="40"/>
      <c r="B2045" s="93"/>
      <c r="C2045" s="94"/>
      <c r="D2045" s="90"/>
      <c r="E2045" s="90"/>
      <c r="F2045" s="90"/>
      <c r="G2045" s="90"/>
      <c r="H2045" s="77"/>
      <c r="L2045" s="75"/>
      <c r="M2045" s="75"/>
      <c r="N2045" s="84"/>
      <c r="O2045" s="75"/>
      <c r="P2045" s="75"/>
      <c r="Q2045" s="84"/>
      <c r="R2045" s="48"/>
      <c r="S2045" s="48"/>
    </row>
    <row r="2046" spans="1:19" customFormat="1">
      <c r="A2046" s="40"/>
      <c r="B2046" s="93"/>
      <c r="C2046" s="94"/>
      <c r="D2046" s="90"/>
      <c r="E2046" s="90"/>
      <c r="F2046" s="90"/>
      <c r="G2046" s="90"/>
      <c r="H2046" s="77"/>
      <c r="L2046" s="75"/>
      <c r="M2046" s="75"/>
      <c r="N2046" s="84"/>
      <c r="O2046" s="75"/>
      <c r="P2046" s="75"/>
      <c r="Q2046" s="84"/>
      <c r="R2046" s="48"/>
      <c r="S2046" s="48"/>
    </row>
    <row r="2047" spans="1:19" customFormat="1">
      <c r="A2047" s="40"/>
      <c r="B2047" s="93"/>
      <c r="C2047" s="94"/>
      <c r="D2047" s="90"/>
      <c r="E2047" s="90"/>
      <c r="F2047" s="90"/>
      <c r="G2047" s="90"/>
      <c r="H2047" s="77"/>
      <c r="L2047" s="75"/>
      <c r="M2047" s="75"/>
      <c r="N2047" s="84"/>
      <c r="O2047" s="75"/>
      <c r="P2047" s="75"/>
      <c r="Q2047" s="84"/>
      <c r="R2047" s="48"/>
      <c r="S2047" s="48"/>
    </row>
    <row r="2048" spans="1:19" customFormat="1">
      <c r="A2048" s="40"/>
      <c r="B2048" s="93"/>
      <c r="C2048" s="94"/>
      <c r="D2048" s="90"/>
      <c r="E2048" s="90"/>
      <c r="F2048" s="90"/>
      <c r="G2048" s="90"/>
      <c r="H2048" s="77"/>
      <c r="L2048" s="75"/>
      <c r="M2048" s="75"/>
      <c r="N2048" s="84"/>
      <c r="O2048" s="75"/>
      <c r="P2048" s="75"/>
      <c r="Q2048" s="84"/>
      <c r="R2048" s="48"/>
      <c r="S2048" s="48"/>
    </row>
    <row r="2049" spans="1:19" customFormat="1">
      <c r="A2049" s="40"/>
      <c r="B2049" s="93"/>
      <c r="C2049" s="94"/>
      <c r="D2049" s="90"/>
      <c r="E2049" s="90"/>
      <c r="F2049" s="90"/>
      <c r="G2049" s="90"/>
      <c r="H2049" s="77"/>
      <c r="L2049" s="75"/>
      <c r="M2049" s="75"/>
      <c r="N2049" s="84"/>
      <c r="O2049" s="75"/>
      <c r="P2049" s="75"/>
      <c r="Q2049" s="84"/>
      <c r="R2049" s="48"/>
      <c r="S2049" s="48"/>
    </row>
    <row r="2050" spans="1:19" customFormat="1">
      <c r="A2050" s="40"/>
      <c r="B2050" s="93"/>
      <c r="C2050" s="94"/>
      <c r="D2050" s="90"/>
      <c r="E2050" s="90"/>
      <c r="F2050" s="90"/>
      <c r="G2050" s="90"/>
      <c r="H2050" s="77"/>
      <c r="L2050" s="75"/>
      <c r="M2050" s="75"/>
      <c r="N2050" s="84"/>
      <c r="O2050" s="75"/>
      <c r="P2050" s="75"/>
      <c r="Q2050" s="84"/>
      <c r="R2050" s="48"/>
      <c r="S2050" s="48"/>
    </row>
    <row r="2051" spans="1:19" customFormat="1">
      <c r="A2051" s="40"/>
      <c r="B2051" s="93"/>
      <c r="C2051" s="94"/>
      <c r="D2051" s="90"/>
      <c r="E2051" s="90"/>
      <c r="F2051" s="90"/>
      <c r="G2051" s="90"/>
      <c r="H2051" s="77"/>
      <c r="L2051" s="75"/>
      <c r="M2051" s="75"/>
      <c r="N2051" s="84"/>
      <c r="O2051" s="75"/>
      <c r="P2051" s="75"/>
      <c r="Q2051" s="84"/>
      <c r="R2051" s="48"/>
      <c r="S2051" s="48"/>
    </row>
    <row r="2052" spans="1:19" customFormat="1">
      <c r="A2052" s="40"/>
      <c r="B2052" s="93"/>
      <c r="C2052" s="94"/>
      <c r="D2052" s="90"/>
      <c r="E2052" s="90"/>
      <c r="F2052" s="90"/>
      <c r="G2052" s="90"/>
      <c r="H2052" s="77"/>
      <c r="L2052" s="75"/>
      <c r="M2052" s="75"/>
      <c r="N2052" s="84"/>
      <c r="O2052" s="75"/>
      <c r="P2052" s="75"/>
      <c r="Q2052" s="84"/>
      <c r="R2052" s="48"/>
      <c r="S2052" s="48"/>
    </row>
    <row r="2053" spans="1:19" customFormat="1">
      <c r="A2053" s="40"/>
      <c r="B2053" s="93"/>
      <c r="C2053" s="94"/>
      <c r="D2053" s="90"/>
      <c r="E2053" s="90"/>
      <c r="F2053" s="90"/>
      <c r="G2053" s="90"/>
      <c r="H2053" s="77"/>
      <c r="L2053" s="75"/>
      <c r="M2053" s="75"/>
      <c r="N2053" s="84"/>
      <c r="O2053" s="75"/>
      <c r="P2053" s="75"/>
      <c r="Q2053" s="84"/>
      <c r="R2053" s="48"/>
      <c r="S2053" s="48"/>
    </row>
    <row r="2054" spans="1:19" customFormat="1">
      <c r="A2054" s="40"/>
      <c r="B2054" s="93"/>
      <c r="C2054" s="94"/>
      <c r="D2054" s="90"/>
      <c r="E2054" s="90"/>
      <c r="F2054" s="90"/>
      <c r="G2054" s="90"/>
      <c r="H2054" s="77"/>
      <c r="L2054" s="75"/>
      <c r="M2054" s="75"/>
      <c r="N2054" s="84"/>
      <c r="O2054" s="75"/>
      <c r="P2054" s="75"/>
      <c r="Q2054" s="84"/>
      <c r="R2054" s="48"/>
      <c r="S2054" s="48"/>
    </row>
  </sheetData>
  <mergeCells count="8">
    <mergeCell ref="B17:B18"/>
    <mergeCell ref="C17:G17"/>
    <mergeCell ref="H17:H18"/>
    <mergeCell ref="B10:H10"/>
    <mergeCell ref="B11:H11"/>
    <mergeCell ref="B13:H13"/>
    <mergeCell ref="B14:H14"/>
    <mergeCell ref="B15:H15"/>
  </mergeCells>
  <pageMargins left="0.59055118110236227" right="0.15748031496062992" top="0.51181102362204722" bottom="0.27559055118110237" header="0.19685039370078741" footer="0.15748031496062992"/>
  <pageSetup paperSize="9" scale="95" fitToHeight="2" orientation="portrait" r:id="rId1"/>
  <headerFooter differentFirst="1" alignWithMargins="0">
    <oddHeader>&amp;C&amp;"Times New Roman,обычный"&amp;P</oddHeader>
  </headerFooter>
</worksheet>
</file>

<file path=xl/worksheets/sheet4.xml><?xml version="1.0" encoding="utf-8"?>
<worksheet xmlns="http://schemas.openxmlformats.org/spreadsheetml/2006/main" xmlns:r="http://schemas.openxmlformats.org/officeDocument/2006/relationships">
  <sheetPr codeName="Лист4">
    <tabColor rgb="FFFFFF00"/>
  </sheetPr>
  <dimension ref="A1:S2107"/>
  <sheetViews>
    <sheetView view="pageBreakPreview" topLeftCell="A6" zoomScale="98" zoomScaleNormal="100" zoomScaleSheetLayoutView="98" workbookViewId="0">
      <selection activeCell="I21" sqref="I21:I1954"/>
    </sheetView>
  </sheetViews>
  <sheetFormatPr defaultColWidth="8.7265625" defaultRowHeight="18"/>
  <cols>
    <col min="1" max="1" width="6.81640625" style="40" customWidth="1"/>
    <col min="2" max="2" width="35.90625" style="72" customWidth="1"/>
    <col min="3" max="3" width="4.90625" style="73" customWidth="1"/>
    <col min="4" max="4" width="3.36328125" style="74" customWidth="1"/>
    <col min="5" max="5" width="3" style="74" customWidth="1"/>
    <col min="6" max="6" width="10" style="74" customWidth="1"/>
    <col min="7" max="7" width="4" style="74" customWidth="1"/>
    <col min="8" max="8" width="11.90625" style="75" customWidth="1"/>
    <col min="12" max="12" width="10.08984375" style="75" hidden="1" customWidth="1"/>
    <col min="13" max="13" width="10.36328125" style="75" hidden="1" customWidth="1"/>
    <col min="14" max="14" width="10.36328125" style="84" hidden="1" customWidth="1"/>
    <col min="15" max="15" width="10.08984375" style="75" hidden="1" customWidth="1"/>
    <col min="16" max="16" width="10.36328125" style="75" hidden="1" customWidth="1"/>
    <col min="17" max="17" width="10.36328125" style="84" hidden="1" customWidth="1"/>
    <col min="18" max="19" width="0" style="48" hidden="1" customWidth="1"/>
    <col min="20" max="16384" width="8.7265625" style="48"/>
  </cols>
  <sheetData>
    <row r="1" spans="1:17" s="6" customFormat="1">
      <c r="A1" s="1"/>
      <c r="B1" s="2"/>
      <c r="C1" s="3"/>
      <c r="D1" s="97"/>
      <c r="E1" s="97"/>
      <c r="F1" s="97"/>
      <c r="G1" s="97"/>
      <c r="H1" s="5" t="s">
        <v>1002</v>
      </c>
      <c r="I1" s="101"/>
      <c r="J1" s="101"/>
      <c r="K1" s="101"/>
      <c r="L1" s="98"/>
      <c r="M1" s="98"/>
      <c r="N1" s="100"/>
      <c r="O1" s="98"/>
      <c r="P1" s="98"/>
      <c r="Q1" s="100"/>
    </row>
    <row r="2" spans="1:17" s="6" customFormat="1">
      <c r="A2" s="1"/>
      <c r="B2" s="2"/>
      <c r="C2" s="3"/>
      <c r="D2" s="97"/>
      <c r="E2" s="97"/>
      <c r="F2" s="97"/>
      <c r="G2" s="97"/>
      <c r="H2" s="5" t="s">
        <v>1003</v>
      </c>
      <c r="I2" s="101"/>
      <c r="J2" s="101"/>
      <c r="K2" s="101"/>
      <c r="L2" s="98"/>
      <c r="M2" s="98"/>
      <c r="N2" s="100"/>
      <c r="O2" s="98"/>
      <c r="P2" s="98"/>
      <c r="Q2" s="100"/>
    </row>
    <row r="3" spans="1:17" s="6" customFormat="1">
      <c r="A3" s="1"/>
      <c r="B3" s="2"/>
      <c r="C3" s="3"/>
      <c r="D3" s="97"/>
      <c r="E3" s="97"/>
      <c r="F3" s="97"/>
      <c r="G3" s="97"/>
      <c r="H3" s="5" t="s">
        <v>1004</v>
      </c>
      <c r="I3" s="101"/>
      <c r="J3" s="101"/>
      <c r="K3" s="101"/>
      <c r="L3" s="98"/>
      <c r="M3" s="98"/>
      <c r="N3" s="100"/>
      <c r="O3" s="98"/>
      <c r="P3" s="98"/>
      <c r="Q3" s="100"/>
    </row>
    <row r="4" spans="1:17" s="6" customFormat="1">
      <c r="A4" s="1"/>
      <c r="B4" s="2"/>
      <c r="C4" s="3"/>
      <c r="D4" s="97"/>
      <c r="E4" s="97"/>
      <c r="F4" s="97"/>
      <c r="G4" s="97"/>
      <c r="H4" s="5" t="s">
        <v>1005</v>
      </c>
      <c r="I4" s="101"/>
      <c r="J4" s="101"/>
      <c r="K4" s="101"/>
      <c r="L4" s="98"/>
      <c r="M4" s="98"/>
      <c r="N4" s="100"/>
      <c r="O4" s="98"/>
      <c r="P4" s="98"/>
      <c r="Q4" s="100"/>
    </row>
    <row r="5" spans="1:17" s="6" customFormat="1">
      <c r="A5" s="1"/>
      <c r="B5" s="2"/>
      <c r="C5" s="3"/>
      <c r="D5" s="97"/>
      <c r="E5" s="97"/>
      <c r="F5" s="97"/>
      <c r="G5" s="97"/>
      <c r="H5" s="5" t="s">
        <v>992</v>
      </c>
      <c r="I5" s="101"/>
      <c r="J5" s="101"/>
      <c r="K5" s="101"/>
      <c r="L5" s="98"/>
      <c r="M5" s="98"/>
      <c r="N5" s="100"/>
      <c r="O5" s="98"/>
      <c r="P5" s="98"/>
      <c r="Q5" s="100"/>
    </row>
    <row r="6" spans="1:17" s="6" customFormat="1">
      <c r="A6" s="1"/>
      <c r="B6" s="2"/>
      <c r="C6" s="3"/>
      <c r="D6" s="97"/>
      <c r="E6" s="97"/>
      <c r="F6" s="97"/>
      <c r="G6" s="97"/>
      <c r="H6" s="5" t="s">
        <v>1006</v>
      </c>
      <c r="I6" s="101"/>
      <c r="J6" s="101"/>
      <c r="K6" s="101"/>
      <c r="L6" s="98"/>
      <c r="M6" s="98"/>
      <c r="N6" s="100"/>
      <c r="O6" s="98"/>
      <c r="P6" s="98"/>
      <c r="Q6" s="100"/>
    </row>
    <row r="7" spans="1:17" s="6" customFormat="1">
      <c r="A7" s="1"/>
      <c r="B7" s="2"/>
      <c r="C7" s="3"/>
      <c r="D7" s="97"/>
      <c r="E7" s="97"/>
      <c r="F7" s="97"/>
      <c r="G7" s="97"/>
      <c r="H7" s="5" t="s">
        <v>1007</v>
      </c>
      <c r="I7" s="101"/>
      <c r="J7" s="101"/>
      <c r="K7" s="101"/>
      <c r="L7" s="98"/>
      <c r="M7" s="98"/>
      <c r="N7" s="100"/>
      <c r="O7" s="98"/>
      <c r="P7" s="98"/>
      <c r="Q7" s="100"/>
    </row>
    <row r="8" spans="1:17" s="6" customFormat="1">
      <c r="A8" s="1"/>
      <c r="B8" s="2"/>
      <c r="C8" s="3"/>
      <c r="D8" s="97"/>
      <c r="E8" s="97"/>
      <c r="F8" s="97"/>
      <c r="G8" s="97"/>
      <c r="H8" s="102" t="s">
        <v>1008</v>
      </c>
      <c r="I8" s="101"/>
      <c r="J8" s="101"/>
      <c r="K8" s="101"/>
      <c r="L8" s="98"/>
      <c r="M8" s="98"/>
      <c r="N8" s="100"/>
      <c r="O8" s="98"/>
      <c r="P8" s="98"/>
      <c r="Q8" s="100"/>
    </row>
    <row r="9" spans="1:17" s="6" customFormat="1">
      <c r="A9" s="1"/>
      <c r="B9" s="2"/>
      <c r="C9" s="3"/>
      <c r="D9" s="97"/>
      <c r="E9" s="97"/>
      <c r="F9" s="97"/>
      <c r="G9" s="97"/>
      <c r="H9" s="98"/>
      <c r="I9" s="101"/>
      <c r="J9" s="101"/>
      <c r="K9" s="101"/>
      <c r="L9" s="98"/>
      <c r="M9" s="98"/>
      <c r="N9" s="100"/>
      <c r="O9" s="98"/>
      <c r="P9" s="98"/>
      <c r="Q9" s="100"/>
    </row>
    <row r="10" spans="1:17" s="6" customFormat="1" ht="15.75">
      <c r="A10" s="1"/>
      <c r="B10" s="511" t="s">
        <v>993</v>
      </c>
      <c r="C10" s="511"/>
      <c r="D10" s="511"/>
      <c r="E10" s="511"/>
      <c r="F10" s="511"/>
      <c r="G10" s="511"/>
      <c r="H10" s="511"/>
      <c r="L10" s="3"/>
      <c r="M10" s="3"/>
      <c r="N10" s="5"/>
      <c r="O10" s="3"/>
      <c r="P10" s="3"/>
      <c r="Q10" s="5"/>
    </row>
    <row r="11" spans="1:17" s="6" customFormat="1" ht="15.75">
      <c r="A11" s="1"/>
      <c r="B11" s="512" t="s">
        <v>1001</v>
      </c>
      <c r="C11" s="512"/>
      <c r="D11" s="512"/>
      <c r="E11" s="512"/>
      <c r="F11" s="512"/>
      <c r="G11" s="512"/>
      <c r="H11" s="512"/>
      <c r="L11" s="3"/>
      <c r="M11" s="3"/>
      <c r="N11" s="5"/>
      <c r="O11" s="3"/>
      <c r="P11" s="3"/>
      <c r="Q11" s="5"/>
    </row>
    <row r="12" spans="1:17" s="6" customFormat="1" ht="15.75">
      <c r="A12" s="1"/>
      <c r="B12" s="171"/>
      <c r="C12" s="171"/>
      <c r="D12" s="171"/>
      <c r="E12" s="171"/>
      <c r="F12" s="171"/>
      <c r="G12" s="171"/>
      <c r="H12" s="171"/>
      <c r="L12" s="3"/>
      <c r="M12" s="3"/>
      <c r="N12" s="5"/>
      <c r="O12" s="3"/>
      <c r="P12" s="3"/>
      <c r="Q12" s="5"/>
    </row>
    <row r="13" spans="1:17" s="6" customFormat="1" ht="15.75">
      <c r="A13" s="1"/>
      <c r="B13" s="512" t="s">
        <v>994</v>
      </c>
      <c r="C13" s="512"/>
      <c r="D13" s="512"/>
      <c r="E13" s="512"/>
      <c r="F13" s="512"/>
      <c r="G13" s="512"/>
      <c r="H13" s="512"/>
      <c r="L13" s="3"/>
      <c r="M13" s="3"/>
      <c r="N13" s="5"/>
      <c r="O13" s="3"/>
      <c r="P13" s="3"/>
      <c r="Q13" s="5"/>
    </row>
    <row r="14" spans="1:17" s="6" customFormat="1" ht="15.75">
      <c r="A14" s="1"/>
      <c r="B14" s="512" t="s">
        <v>995</v>
      </c>
      <c r="C14" s="512"/>
      <c r="D14" s="512"/>
      <c r="E14" s="512"/>
      <c r="F14" s="512"/>
      <c r="G14" s="512"/>
      <c r="H14" s="512"/>
      <c r="L14" s="3"/>
      <c r="M14" s="3"/>
      <c r="N14" s="5"/>
      <c r="O14" s="3"/>
      <c r="P14" s="3"/>
      <c r="Q14" s="5"/>
    </row>
    <row r="15" spans="1:17" s="6" customFormat="1" ht="15.75">
      <c r="A15" s="1"/>
      <c r="B15" s="513"/>
      <c r="C15" s="513"/>
      <c r="D15" s="513"/>
      <c r="E15" s="513"/>
      <c r="F15" s="513"/>
      <c r="G15" s="513"/>
      <c r="H15" s="513"/>
      <c r="L15" s="3"/>
      <c r="M15" s="3"/>
      <c r="N15" s="5"/>
      <c r="O15" s="3"/>
      <c r="P15" s="3"/>
      <c r="Q15" s="5"/>
    </row>
    <row r="16" spans="1:17" s="6" customFormat="1" ht="15.75">
      <c r="A16" s="1"/>
      <c r="B16" s="171"/>
      <c r="C16" s="171"/>
      <c r="D16" s="171"/>
      <c r="E16" s="171"/>
      <c r="F16" s="171"/>
      <c r="G16" s="111"/>
      <c r="H16" s="112" t="s">
        <v>996</v>
      </c>
      <c r="L16" s="3"/>
      <c r="M16" s="3"/>
      <c r="N16" s="5"/>
      <c r="O16" s="3"/>
      <c r="P16" s="3"/>
      <c r="Q16" s="5"/>
    </row>
    <row r="17" spans="1:18" s="6" customFormat="1" ht="15.75">
      <c r="A17" s="1"/>
      <c r="B17" s="508" t="s">
        <v>997</v>
      </c>
      <c r="C17" s="508" t="s">
        <v>998</v>
      </c>
      <c r="D17" s="508"/>
      <c r="E17" s="508"/>
      <c r="F17" s="508"/>
      <c r="G17" s="508"/>
      <c r="H17" s="509" t="s">
        <v>999</v>
      </c>
      <c r="L17" s="3"/>
      <c r="M17" s="3"/>
      <c r="N17" s="5"/>
      <c r="O17" s="3"/>
      <c r="P17" s="3"/>
      <c r="Q17" s="5"/>
    </row>
    <row r="18" spans="1:18" s="6" customFormat="1" ht="16.5" thickBot="1">
      <c r="A18" s="1"/>
      <c r="B18" s="508"/>
      <c r="C18" s="170" t="s">
        <v>1000</v>
      </c>
      <c r="D18" s="170" t="s">
        <v>0</v>
      </c>
      <c r="E18" s="170" t="s">
        <v>1</v>
      </c>
      <c r="F18" s="170" t="s">
        <v>2</v>
      </c>
      <c r="G18" s="170" t="s">
        <v>3</v>
      </c>
      <c r="H18" s="510"/>
      <c r="L18" s="9"/>
      <c r="M18" s="10"/>
      <c r="N18" s="11"/>
      <c r="O18" s="9"/>
      <c r="P18" s="10"/>
      <c r="Q18" s="11"/>
    </row>
    <row r="19" spans="1:18" s="13" customFormat="1" ht="16.5" thickBot="1">
      <c r="A19" s="1"/>
      <c r="B19" s="114">
        <v>1</v>
      </c>
      <c r="C19" s="115">
        <v>2</v>
      </c>
      <c r="D19" s="115">
        <v>3</v>
      </c>
      <c r="E19" s="115" t="s">
        <v>4</v>
      </c>
      <c r="F19" s="115">
        <v>5</v>
      </c>
      <c r="G19" s="115">
        <v>6</v>
      </c>
      <c r="H19" s="115">
        <v>7</v>
      </c>
      <c r="L19" s="12"/>
      <c r="M19" s="12"/>
      <c r="N19" s="12"/>
      <c r="O19" s="12"/>
      <c r="P19" s="12"/>
      <c r="Q19" s="12"/>
    </row>
    <row r="20" spans="1:18" s="16" customFormat="1" ht="15.75">
      <c r="A20" s="14"/>
      <c r="B20" s="67" t="s">
        <v>5</v>
      </c>
      <c r="C20" s="116" t="s">
        <v>6</v>
      </c>
      <c r="D20" s="69" t="s">
        <v>7</v>
      </c>
      <c r="E20" s="69" t="s">
        <v>7</v>
      </c>
      <c r="F20" s="69" t="s">
        <v>8</v>
      </c>
      <c r="G20" s="69" t="s">
        <v>9</v>
      </c>
      <c r="H20" s="70">
        <f>H21+H63</f>
        <v>0</v>
      </c>
      <c r="I20" s="178" t="str">
        <f>C20&amp;D20&amp;E20&amp;F20&amp;G20</f>
        <v>600000000 0 00 00000000</v>
      </c>
      <c r="L20" s="15">
        <v>54679.56</v>
      </c>
      <c r="M20" s="15">
        <v>54679.56</v>
      </c>
      <c r="N20" s="15">
        <v>54679.56</v>
      </c>
      <c r="O20" s="15">
        <f t="shared" ref="O20:O26" si="0">H20-L20</f>
        <v>-54679.56</v>
      </c>
      <c r="P20" s="15" t="e">
        <f>#REF!-M20</f>
        <v>#REF!</v>
      </c>
      <c r="Q20" s="15" t="e">
        <f>#REF!-N20</f>
        <v>#REF!</v>
      </c>
      <c r="R20" s="17" t="str">
        <f>CONCATENATE(F20,G20)</f>
        <v>00 0 00 00000000</v>
      </c>
    </row>
    <row r="21" spans="1:18" s="16" customFormat="1" ht="15.75">
      <c r="A21" s="14"/>
      <c r="B21" s="117" t="s">
        <v>10</v>
      </c>
      <c r="C21" s="118" t="s">
        <v>6</v>
      </c>
      <c r="D21" s="119" t="s">
        <v>11</v>
      </c>
      <c r="E21" s="119" t="s">
        <v>7</v>
      </c>
      <c r="F21" s="119" t="s">
        <v>8</v>
      </c>
      <c r="G21" s="119" t="s">
        <v>9</v>
      </c>
      <c r="H21" s="120">
        <f>H22+H57</f>
        <v>0</v>
      </c>
      <c r="I21" s="178" t="str">
        <f t="shared" ref="I21:I84" si="1">C21&amp;D21&amp;E21&amp;F21&amp;G21</f>
        <v>600010000 0 00 00000000</v>
      </c>
      <c r="L21" s="18">
        <v>47589.06</v>
      </c>
      <c r="M21" s="18">
        <v>47589.06</v>
      </c>
      <c r="N21" s="18">
        <v>47589.06</v>
      </c>
      <c r="O21" s="18">
        <f t="shared" si="0"/>
        <v>-47589.06</v>
      </c>
      <c r="P21" s="18" t="e">
        <f>#REF!-M21</f>
        <v>#REF!</v>
      </c>
      <c r="Q21" s="18" t="e">
        <f>#REF!-N21</f>
        <v>#REF!</v>
      </c>
      <c r="R21" s="17" t="str">
        <f t="shared" ref="R21:R118" si="2">CONCATENATE(F21,G21)</f>
        <v>00 0 00 00000000</v>
      </c>
    </row>
    <row r="22" spans="1:18" s="16" customFormat="1" ht="63">
      <c r="A22" s="14"/>
      <c r="B22" s="121" t="s">
        <v>12</v>
      </c>
      <c r="C22" s="122" t="s">
        <v>6</v>
      </c>
      <c r="D22" s="123" t="s">
        <v>11</v>
      </c>
      <c r="E22" s="123" t="s">
        <v>13</v>
      </c>
      <c r="F22" s="123" t="s">
        <v>8</v>
      </c>
      <c r="G22" s="123" t="s">
        <v>9</v>
      </c>
      <c r="H22" s="124">
        <f>H23</f>
        <v>0</v>
      </c>
      <c r="I22" s="178" t="str">
        <f t="shared" si="1"/>
        <v>600010300 0 00 00000000</v>
      </c>
      <c r="L22" s="19">
        <v>47089.06</v>
      </c>
      <c r="M22" s="19">
        <v>47089.06</v>
      </c>
      <c r="N22" s="19">
        <v>47089.06</v>
      </c>
      <c r="O22" s="19">
        <f t="shared" si="0"/>
        <v>-47089.06</v>
      </c>
      <c r="P22" s="19" t="e">
        <f>#REF!-M22</f>
        <v>#REF!</v>
      </c>
      <c r="Q22" s="19" t="e">
        <f>#REF!-N22</f>
        <v>#REF!</v>
      </c>
      <c r="R22" s="17" t="str">
        <f t="shared" si="2"/>
        <v>00 0 00 00000000</v>
      </c>
    </row>
    <row r="23" spans="1:18" s="16" customFormat="1" ht="31.5">
      <c r="A23" s="14"/>
      <c r="B23" s="125" t="s">
        <v>14</v>
      </c>
      <c r="C23" s="109" t="s">
        <v>6</v>
      </c>
      <c r="D23" s="108" t="s">
        <v>11</v>
      </c>
      <c r="E23" s="108" t="s">
        <v>13</v>
      </c>
      <c r="F23" s="108" t="s">
        <v>15</v>
      </c>
      <c r="G23" s="108" t="s">
        <v>9</v>
      </c>
      <c r="H23" s="126">
        <f>H24+H48+H39</f>
        <v>0</v>
      </c>
      <c r="I23" s="178" t="str">
        <f t="shared" si="1"/>
        <v>600010370 0 00 00000000</v>
      </c>
      <c r="L23" s="20">
        <v>47089.06</v>
      </c>
      <c r="M23" s="20">
        <v>47089.06</v>
      </c>
      <c r="N23" s="20">
        <v>47089.06</v>
      </c>
      <c r="O23" s="20">
        <f t="shared" si="0"/>
        <v>-47089.06</v>
      </c>
      <c r="P23" s="20" t="e">
        <f>#REF!-M23</f>
        <v>#REF!</v>
      </c>
      <c r="Q23" s="20" t="e">
        <f>#REF!-N23</f>
        <v>#REF!</v>
      </c>
      <c r="R23" s="17" t="str">
        <f t="shared" si="2"/>
        <v>70 0 00 00000000</v>
      </c>
    </row>
    <row r="24" spans="1:18" s="16" customFormat="1" ht="31.5">
      <c r="A24" s="14"/>
      <c r="B24" s="125" t="s">
        <v>16</v>
      </c>
      <c r="C24" s="109" t="s">
        <v>6</v>
      </c>
      <c r="D24" s="108" t="s">
        <v>11</v>
      </c>
      <c r="E24" s="108" t="s">
        <v>13</v>
      </c>
      <c r="F24" s="108" t="s">
        <v>17</v>
      </c>
      <c r="G24" s="108" t="s">
        <v>9</v>
      </c>
      <c r="H24" s="126">
        <f>H25+H35</f>
        <v>0</v>
      </c>
      <c r="I24" s="178" t="str">
        <f t="shared" si="1"/>
        <v>600010370 1 00 00000000</v>
      </c>
      <c r="L24" s="20">
        <v>42983.74</v>
      </c>
      <c r="M24" s="20">
        <v>42983.74</v>
      </c>
      <c r="N24" s="20">
        <v>42983.74</v>
      </c>
      <c r="O24" s="20">
        <f t="shared" si="0"/>
        <v>-42983.74</v>
      </c>
      <c r="P24" s="20" t="e">
        <f>#REF!-M24</f>
        <v>#REF!</v>
      </c>
      <c r="Q24" s="20" t="e">
        <f>#REF!-N24</f>
        <v>#REF!</v>
      </c>
      <c r="R24" s="17" t="str">
        <f t="shared" si="2"/>
        <v>70 1 00 00000000</v>
      </c>
    </row>
    <row r="25" spans="1:18" s="16" customFormat="1" ht="31.5">
      <c r="A25" s="14"/>
      <c r="B25" s="125" t="s">
        <v>18</v>
      </c>
      <c r="C25" s="109" t="s">
        <v>6</v>
      </c>
      <c r="D25" s="108" t="s">
        <v>11</v>
      </c>
      <c r="E25" s="108" t="s">
        <v>13</v>
      </c>
      <c r="F25" s="108" t="s">
        <v>19</v>
      </c>
      <c r="G25" s="108" t="s">
        <v>9</v>
      </c>
      <c r="H25" s="126">
        <f>H26+H30+H32</f>
        <v>0</v>
      </c>
      <c r="I25" s="178" t="str">
        <f t="shared" si="1"/>
        <v>600010370 1 00 10010000</v>
      </c>
      <c r="L25" s="20">
        <v>10397.540000000001</v>
      </c>
      <c r="M25" s="20">
        <v>10397.540000000001</v>
      </c>
      <c r="N25" s="20">
        <v>10397.540000000001</v>
      </c>
      <c r="O25" s="20">
        <f t="shared" si="0"/>
        <v>-10397.540000000001</v>
      </c>
      <c r="P25" s="20" t="e">
        <f>#REF!-M25</f>
        <v>#REF!</v>
      </c>
      <c r="Q25" s="20" t="e">
        <f>#REF!-N25</f>
        <v>#REF!</v>
      </c>
      <c r="R25" s="17" t="str">
        <f t="shared" si="2"/>
        <v>70 1 00 10010000</v>
      </c>
    </row>
    <row r="26" spans="1:18" s="16" customFormat="1" ht="31.5">
      <c r="A26" s="14"/>
      <c r="B26" s="127" t="s">
        <v>20</v>
      </c>
      <c r="C26" s="109" t="s">
        <v>6</v>
      </c>
      <c r="D26" s="108" t="s">
        <v>11</v>
      </c>
      <c r="E26" s="108" t="s">
        <v>13</v>
      </c>
      <c r="F26" s="108" t="s">
        <v>19</v>
      </c>
      <c r="G26" s="108" t="s">
        <v>21</v>
      </c>
      <c r="H26" s="126">
        <f>SUM(H27:H29)</f>
        <v>0</v>
      </c>
      <c r="I26" s="178" t="str">
        <f t="shared" si="1"/>
        <v>600010370 1 00 10010120</v>
      </c>
      <c r="L26" s="20">
        <v>3836.7799999999997</v>
      </c>
      <c r="M26" s="20">
        <v>3836.7799999999997</v>
      </c>
      <c r="N26" s="20">
        <v>3836.7799999999997</v>
      </c>
      <c r="O26" s="20">
        <f t="shared" si="0"/>
        <v>-3836.7799999999997</v>
      </c>
      <c r="P26" s="20" t="e">
        <f>#REF!-M26</f>
        <v>#REF!</v>
      </c>
      <c r="Q26" s="20" t="e">
        <f>#REF!-N26</f>
        <v>#REF!</v>
      </c>
      <c r="R26" s="17" t="str">
        <f t="shared" si="2"/>
        <v>70 1 00 10010120</v>
      </c>
    </row>
    <row r="27" spans="1:18" s="23" customFormat="1" ht="47.25">
      <c r="A27" s="21"/>
      <c r="B27" s="127" t="s">
        <v>22</v>
      </c>
      <c r="C27" s="109" t="s">
        <v>6</v>
      </c>
      <c r="D27" s="108" t="s">
        <v>11</v>
      </c>
      <c r="E27" s="108" t="s">
        <v>13</v>
      </c>
      <c r="F27" s="108" t="s">
        <v>19</v>
      </c>
      <c r="G27" s="108" t="s">
        <v>23</v>
      </c>
      <c r="H27" s="126"/>
      <c r="I27" s="178" t="str">
        <f t="shared" si="1"/>
        <v>600010370 1 00 10010122</v>
      </c>
      <c r="L27" s="22"/>
      <c r="M27" s="22"/>
      <c r="N27" s="22"/>
      <c r="O27" s="22"/>
      <c r="P27" s="22"/>
      <c r="Q27" s="22"/>
      <c r="R27" s="24"/>
    </row>
    <row r="28" spans="1:18" s="23" customFormat="1" ht="63">
      <c r="A28" s="21"/>
      <c r="B28" s="127" t="s">
        <v>24</v>
      </c>
      <c r="C28" s="109" t="s">
        <v>6</v>
      </c>
      <c r="D28" s="108" t="s">
        <v>11</v>
      </c>
      <c r="E28" s="108" t="s">
        <v>13</v>
      </c>
      <c r="F28" s="108" t="s">
        <v>19</v>
      </c>
      <c r="G28" s="108" t="s">
        <v>25</v>
      </c>
      <c r="H28" s="126"/>
      <c r="I28" s="178" t="str">
        <f t="shared" si="1"/>
        <v>600010370 1 00 10010123</v>
      </c>
      <c r="L28" s="22"/>
      <c r="M28" s="22"/>
      <c r="N28" s="22"/>
      <c r="O28" s="22"/>
      <c r="P28" s="22"/>
      <c r="Q28" s="22"/>
      <c r="R28" s="24"/>
    </row>
    <row r="29" spans="1:18" s="23" customFormat="1" ht="63">
      <c r="A29" s="21"/>
      <c r="B29" s="127" t="s">
        <v>26</v>
      </c>
      <c r="C29" s="109" t="s">
        <v>6</v>
      </c>
      <c r="D29" s="108" t="s">
        <v>11</v>
      </c>
      <c r="E29" s="108" t="s">
        <v>13</v>
      </c>
      <c r="F29" s="108" t="s">
        <v>19</v>
      </c>
      <c r="G29" s="108" t="s">
        <v>27</v>
      </c>
      <c r="H29" s="126"/>
      <c r="I29" s="178" t="str">
        <f t="shared" si="1"/>
        <v>600010370 1 00 10010129</v>
      </c>
      <c r="L29" s="22"/>
      <c r="M29" s="22"/>
      <c r="N29" s="22"/>
      <c r="O29" s="22"/>
      <c r="P29" s="22"/>
      <c r="Q29" s="22"/>
      <c r="R29" s="24"/>
    </row>
    <row r="30" spans="1:18" s="16" customFormat="1" ht="31.5">
      <c r="A30" s="14"/>
      <c r="B30" s="125" t="s">
        <v>28</v>
      </c>
      <c r="C30" s="109" t="s">
        <v>6</v>
      </c>
      <c r="D30" s="108" t="s">
        <v>11</v>
      </c>
      <c r="E30" s="108" t="s">
        <v>13</v>
      </c>
      <c r="F30" s="108" t="s">
        <v>19</v>
      </c>
      <c r="G30" s="108" t="s">
        <v>29</v>
      </c>
      <c r="H30" s="126">
        <f>H31</f>
        <v>0</v>
      </c>
      <c r="I30" s="178" t="str">
        <f t="shared" si="1"/>
        <v>600010370 1 00 10010240</v>
      </c>
      <c r="L30" s="20">
        <v>6454.14</v>
      </c>
      <c r="M30" s="20">
        <v>6454.14</v>
      </c>
      <c r="N30" s="20">
        <v>6454.14</v>
      </c>
      <c r="O30" s="20">
        <f>H30-L30</f>
        <v>-6454.14</v>
      </c>
      <c r="P30" s="20" t="e">
        <f>#REF!-M30</f>
        <v>#REF!</v>
      </c>
      <c r="Q30" s="20" t="e">
        <f>#REF!-N30</f>
        <v>#REF!</v>
      </c>
      <c r="R30" s="17" t="str">
        <f t="shared" si="2"/>
        <v>70 1 00 10010240</v>
      </c>
    </row>
    <row r="31" spans="1:18" s="16" customFormat="1" ht="15.75">
      <c r="A31" s="14"/>
      <c r="B31" s="125" t="s">
        <v>30</v>
      </c>
      <c r="C31" s="109" t="s">
        <v>6</v>
      </c>
      <c r="D31" s="108" t="s">
        <v>11</v>
      </c>
      <c r="E31" s="108" t="s">
        <v>13</v>
      </c>
      <c r="F31" s="108" t="s">
        <v>19</v>
      </c>
      <c r="G31" s="108" t="s">
        <v>31</v>
      </c>
      <c r="H31" s="126"/>
      <c r="I31" s="178" t="str">
        <f t="shared" si="1"/>
        <v>600010370 1 00 10010244</v>
      </c>
      <c r="L31" s="20"/>
      <c r="M31" s="20"/>
      <c r="N31" s="20"/>
      <c r="O31" s="20"/>
      <c r="P31" s="20"/>
      <c r="Q31" s="20"/>
      <c r="R31" s="17"/>
    </row>
    <row r="32" spans="1:18" s="16" customFormat="1" ht="15.75">
      <c r="A32" s="14"/>
      <c r="B32" s="125" t="s">
        <v>32</v>
      </c>
      <c r="C32" s="109" t="s">
        <v>6</v>
      </c>
      <c r="D32" s="108" t="s">
        <v>11</v>
      </c>
      <c r="E32" s="108" t="s">
        <v>13</v>
      </c>
      <c r="F32" s="108" t="s">
        <v>19</v>
      </c>
      <c r="G32" s="108" t="s">
        <v>33</v>
      </c>
      <c r="H32" s="126">
        <f>SUM(H33:H34)</f>
        <v>0</v>
      </c>
      <c r="I32" s="178" t="str">
        <f t="shared" si="1"/>
        <v>600010370 1 00 10010850</v>
      </c>
      <c r="L32" s="20">
        <v>106.62</v>
      </c>
      <c r="M32" s="20">
        <v>106.62</v>
      </c>
      <c r="N32" s="20">
        <v>106.62</v>
      </c>
      <c r="O32" s="20">
        <f>H32-L32</f>
        <v>-106.62</v>
      </c>
      <c r="P32" s="20" t="e">
        <f>#REF!-M32</f>
        <v>#REF!</v>
      </c>
      <c r="Q32" s="20" t="e">
        <f>#REF!-N32</f>
        <v>#REF!</v>
      </c>
      <c r="R32" s="17" t="str">
        <f t="shared" si="2"/>
        <v>70 1 00 10010850</v>
      </c>
    </row>
    <row r="33" spans="1:18" s="23" customFormat="1" ht="31.5">
      <c r="A33" s="21"/>
      <c r="B33" s="127" t="s">
        <v>34</v>
      </c>
      <c r="C33" s="109" t="s">
        <v>6</v>
      </c>
      <c r="D33" s="108" t="s">
        <v>11</v>
      </c>
      <c r="E33" s="108" t="s">
        <v>13</v>
      </c>
      <c r="F33" s="108" t="s">
        <v>19</v>
      </c>
      <c r="G33" s="108" t="s">
        <v>35</v>
      </c>
      <c r="H33" s="128"/>
      <c r="I33" s="178" t="str">
        <f t="shared" si="1"/>
        <v>600010370 1 00 10010851</v>
      </c>
      <c r="L33" s="22"/>
      <c r="M33" s="22"/>
      <c r="N33" s="22"/>
      <c r="O33" s="22"/>
      <c r="P33" s="22"/>
      <c r="Q33" s="22"/>
      <c r="R33" s="24"/>
    </row>
    <row r="34" spans="1:18" s="23" customFormat="1" ht="15.75">
      <c r="A34" s="21"/>
      <c r="B34" s="127" t="s">
        <v>36</v>
      </c>
      <c r="C34" s="109" t="s">
        <v>6</v>
      </c>
      <c r="D34" s="108" t="s">
        <v>11</v>
      </c>
      <c r="E34" s="108" t="s">
        <v>13</v>
      </c>
      <c r="F34" s="108" t="s">
        <v>19</v>
      </c>
      <c r="G34" s="108" t="s">
        <v>37</v>
      </c>
      <c r="H34" s="128"/>
      <c r="I34" s="178" t="str">
        <f t="shared" si="1"/>
        <v>600010370 1 00 10010852</v>
      </c>
      <c r="L34" s="22"/>
      <c r="M34" s="22"/>
      <c r="N34" s="22"/>
      <c r="O34" s="22"/>
      <c r="P34" s="22"/>
      <c r="Q34" s="22"/>
      <c r="R34" s="24"/>
    </row>
    <row r="35" spans="1:18" s="16" customFormat="1" ht="31.5">
      <c r="A35" s="14"/>
      <c r="B35" s="127" t="s">
        <v>38</v>
      </c>
      <c r="C35" s="109" t="s">
        <v>6</v>
      </c>
      <c r="D35" s="108" t="s">
        <v>11</v>
      </c>
      <c r="E35" s="108" t="s">
        <v>13</v>
      </c>
      <c r="F35" s="108" t="s">
        <v>39</v>
      </c>
      <c r="G35" s="108" t="s">
        <v>9</v>
      </c>
      <c r="H35" s="126">
        <f>H36</f>
        <v>0</v>
      </c>
      <c r="I35" s="178" t="str">
        <f t="shared" si="1"/>
        <v>600010370 1 00 10020000</v>
      </c>
      <c r="L35" s="20">
        <v>32586.199999999997</v>
      </c>
      <c r="M35" s="20">
        <v>32586.199999999997</v>
      </c>
      <c r="N35" s="20">
        <v>32586.199999999997</v>
      </c>
      <c r="O35" s="20">
        <f>H35-L35</f>
        <v>-32586.199999999997</v>
      </c>
      <c r="P35" s="20" t="e">
        <f>#REF!-M35</f>
        <v>#REF!</v>
      </c>
      <c r="Q35" s="20" t="e">
        <f>#REF!-N35</f>
        <v>#REF!</v>
      </c>
      <c r="R35" s="17" t="str">
        <f t="shared" si="2"/>
        <v>70 1 00 10020000</v>
      </c>
    </row>
    <row r="36" spans="1:18" s="16" customFormat="1" ht="31.5">
      <c r="A36" s="14"/>
      <c r="B36" s="127" t="s">
        <v>20</v>
      </c>
      <c r="C36" s="109" t="s">
        <v>6</v>
      </c>
      <c r="D36" s="108" t="s">
        <v>11</v>
      </c>
      <c r="E36" s="108" t="s">
        <v>13</v>
      </c>
      <c r="F36" s="108" t="s">
        <v>39</v>
      </c>
      <c r="G36" s="108" t="s">
        <v>21</v>
      </c>
      <c r="H36" s="126">
        <f>SUM(H37:H38)</f>
        <v>0</v>
      </c>
      <c r="I36" s="178" t="str">
        <f t="shared" si="1"/>
        <v>600010370 1 00 10020120</v>
      </c>
      <c r="L36" s="20">
        <v>32586.199999999997</v>
      </c>
      <c r="M36" s="20">
        <v>32586.199999999997</v>
      </c>
      <c r="N36" s="20">
        <v>32586.199999999997</v>
      </c>
      <c r="O36" s="20">
        <f>H36-L36</f>
        <v>-32586.199999999997</v>
      </c>
      <c r="P36" s="20" t="e">
        <f>#REF!-M36</f>
        <v>#REF!</v>
      </c>
      <c r="Q36" s="20" t="e">
        <f>#REF!-N36</f>
        <v>#REF!</v>
      </c>
      <c r="R36" s="17" t="str">
        <f t="shared" si="2"/>
        <v>70 1 00 10020120</v>
      </c>
    </row>
    <row r="37" spans="1:18" s="23" customFormat="1" ht="31.5">
      <c r="A37" s="21"/>
      <c r="B37" s="127" t="s">
        <v>40</v>
      </c>
      <c r="C37" s="109" t="s">
        <v>6</v>
      </c>
      <c r="D37" s="108" t="s">
        <v>11</v>
      </c>
      <c r="E37" s="108" t="s">
        <v>13</v>
      </c>
      <c r="F37" s="108" t="s">
        <v>39</v>
      </c>
      <c r="G37" s="108" t="s">
        <v>41</v>
      </c>
      <c r="H37" s="126"/>
      <c r="I37" s="178" t="str">
        <f t="shared" si="1"/>
        <v>600010370 1 00 10020121</v>
      </c>
      <c r="L37" s="22"/>
      <c r="M37" s="22"/>
      <c r="N37" s="22"/>
      <c r="O37" s="22"/>
      <c r="P37" s="22"/>
      <c r="Q37" s="22"/>
      <c r="R37" s="24"/>
    </row>
    <row r="38" spans="1:18" s="23" customFormat="1" ht="63">
      <c r="A38" s="21"/>
      <c r="B38" s="127" t="s">
        <v>26</v>
      </c>
      <c r="C38" s="109" t="s">
        <v>6</v>
      </c>
      <c r="D38" s="108" t="s">
        <v>11</v>
      </c>
      <c r="E38" s="108" t="s">
        <v>13</v>
      </c>
      <c r="F38" s="108" t="s">
        <v>39</v>
      </c>
      <c r="G38" s="108" t="s">
        <v>27</v>
      </c>
      <c r="H38" s="126"/>
      <c r="I38" s="178" t="str">
        <f t="shared" si="1"/>
        <v>600010370 1 00 10020129</v>
      </c>
      <c r="L38" s="22"/>
      <c r="M38" s="22"/>
      <c r="N38" s="22"/>
      <c r="O38" s="22"/>
      <c r="P38" s="22"/>
      <c r="Q38" s="22"/>
      <c r="R38" s="24"/>
    </row>
    <row r="39" spans="1:18" s="16" customFormat="1" ht="31.5">
      <c r="A39" s="14"/>
      <c r="B39" s="127" t="s">
        <v>42</v>
      </c>
      <c r="C39" s="109" t="s">
        <v>6</v>
      </c>
      <c r="D39" s="108" t="s">
        <v>11</v>
      </c>
      <c r="E39" s="108" t="s">
        <v>13</v>
      </c>
      <c r="F39" s="108" t="s">
        <v>43</v>
      </c>
      <c r="G39" s="108" t="s">
        <v>9</v>
      </c>
      <c r="H39" s="126">
        <f>H44+H40</f>
        <v>0</v>
      </c>
      <c r="I39" s="178" t="str">
        <f t="shared" si="1"/>
        <v>600010370 2 00 00000000</v>
      </c>
      <c r="L39" s="20">
        <v>1593.55</v>
      </c>
      <c r="M39" s="20">
        <v>1593.55</v>
      </c>
      <c r="N39" s="20">
        <v>1593.55</v>
      </c>
      <c r="O39" s="20">
        <f>H39-L39</f>
        <v>-1593.55</v>
      </c>
      <c r="P39" s="20" t="e">
        <f>#REF!-M39</f>
        <v>#REF!</v>
      </c>
      <c r="Q39" s="20" t="e">
        <f>#REF!-N39</f>
        <v>#REF!</v>
      </c>
      <c r="R39" s="17" t="str">
        <f t="shared" si="2"/>
        <v>70 2 00 00000000</v>
      </c>
    </row>
    <row r="40" spans="1:18" s="16" customFormat="1" ht="31.5">
      <c r="A40" s="14"/>
      <c r="B40" s="125" t="s">
        <v>18</v>
      </c>
      <c r="C40" s="109" t="s">
        <v>6</v>
      </c>
      <c r="D40" s="108" t="s">
        <v>11</v>
      </c>
      <c r="E40" s="108" t="s">
        <v>13</v>
      </c>
      <c r="F40" s="108" t="s">
        <v>44</v>
      </c>
      <c r="G40" s="108" t="s">
        <v>9</v>
      </c>
      <c r="H40" s="126">
        <f>H41</f>
        <v>0</v>
      </c>
      <c r="I40" s="178" t="str">
        <f t="shared" si="1"/>
        <v>600010370 2 00 10010000</v>
      </c>
      <c r="L40" s="20">
        <v>41.55</v>
      </c>
      <c r="M40" s="20">
        <v>41.55</v>
      </c>
      <c r="N40" s="20">
        <v>41.55</v>
      </c>
      <c r="O40" s="20">
        <f>H40-L40</f>
        <v>-41.55</v>
      </c>
      <c r="P40" s="20" t="e">
        <f>#REF!-M40</f>
        <v>#REF!</v>
      </c>
      <c r="Q40" s="20" t="e">
        <f>#REF!-N40</f>
        <v>#REF!</v>
      </c>
      <c r="R40" s="17" t="str">
        <f t="shared" si="2"/>
        <v>70 2 00 10010000</v>
      </c>
    </row>
    <row r="41" spans="1:18" s="16" customFormat="1" ht="31.5">
      <c r="A41" s="14"/>
      <c r="B41" s="127" t="s">
        <v>20</v>
      </c>
      <c r="C41" s="109" t="s">
        <v>6</v>
      </c>
      <c r="D41" s="108" t="s">
        <v>11</v>
      </c>
      <c r="E41" s="108" t="s">
        <v>13</v>
      </c>
      <c r="F41" s="108" t="s">
        <v>44</v>
      </c>
      <c r="G41" s="108" t="s">
        <v>21</v>
      </c>
      <c r="H41" s="126">
        <f>SUM(H42:H43)</f>
        <v>0</v>
      </c>
      <c r="I41" s="178" t="str">
        <f t="shared" si="1"/>
        <v>600010370 2 00 10010120</v>
      </c>
      <c r="L41" s="20">
        <v>41.55</v>
      </c>
      <c r="M41" s="20">
        <v>41.55</v>
      </c>
      <c r="N41" s="20">
        <v>41.55</v>
      </c>
      <c r="O41" s="20">
        <f>H41-L41</f>
        <v>-41.55</v>
      </c>
      <c r="P41" s="20" t="e">
        <f>#REF!-M41</f>
        <v>#REF!</v>
      </c>
      <c r="Q41" s="20" t="e">
        <f>#REF!-N41</f>
        <v>#REF!</v>
      </c>
      <c r="R41" s="17" t="str">
        <f t="shared" si="2"/>
        <v>70 2 00 10010120</v>
      </c>
    </row>
    <row r="42" spans="1:18" s="23" customFormat="1" ht="47.25">
      <c r="A42" s="21"/>
      <c r="B42" s="127" t="s">
        <v>22</v>
      </c>
      <c r="C42" s="109" t="s">
        <v>6</v>
      </c>
      <c r="D42" s="108" t="s">
        <v>11</v>
      </c>
      <c r="E42" s="108" t="s">
        <v>13</v>
      </c>
      <c r="F42" s="108" t="s">
        <v>44</v>
      </c>
      <c r="G42" s="108" t="s">
        <v>23</v>
      </c>
      <c r="H42" s="128"/>
      <c r="I42" s="178" t="str">
        <f t="shared" si="1"/>
        <v>600010370 2 00 10010122</v>
      </c>
      <c r="L42" s="22"/>
      <c r="M42" s="22"/>
      <c r="N42" s="22"/>
      <c r="O42" s="22"/>
      <c r="P42" s="22"/>
      <c r="Q42" s="22"/>
      <c r="R42" s="24"/>
    </row>
    <row r="43" spans="1:18" s="23" customFormat="1" ht="63">
      <c r="A43" s="21"/>
      <c r="B43" s="127" t="s">
        <v>26</v>
      </c>
      <c r="C43" s="109" t="s">
        <v>6</v>
      </c>
      <c r="D43" s="108" t="s">
        <v>11</v>
      </c>
      <c r="E43" s="108" t="s">
        <v>13</v>
      </c>
      <c r="F43" s="108" t="s">
        <v>44</v>
      </c>
      <c r="G43" s="108" t="s">
        <v>27</v>
      </c>
      <c r="H43" s="128"/>
      <c r="I43" s="178" t="str">
        <f t="shared" si="1"/>
        <v>600010370 2 00 10010129</v>
      </c>
      <c r="L43" s="22"/>
      <c r="M43" s="22"/>
      <c r="N43" s="22"/>
      <c r="O43" s="22"/>
      <c r="P43" s="22"/>
      <c r="Q43" s="22"/>
      <c r="R43" s="24"/>
    </row>
    <row r="44" spans="1:18" s="16" customFormat="1" ht="31.5">
      <c r="A44" s="14"/>
      <c r="B44" s="127" t="s">
        <v>38</v>
      </c>
      <c r="C44" s="109" t="s">
        <v>6</v>
      </c>
      <c r="D44" s="108" t="s">
        <v>11</v>
      </c>
      <c r="E44" s="108" t="s">
        <v>13</v>
      </c>
      <c r="F44" s="108" t="s">
        <v>45</v>
      </c>
      <c r="G44" s="108" t="s">
        <v>9</v>
      </c>
      <c r="H44" s="126">
        <f>H45</f>
        <v>0</v>
      </c>
      <c r="I44" s="178" t="str">
        <f t="shared" si="1"/>
        <v>600010370 2 00 10020000</v>
      </c>
      <c r="L44" s="20">
        <v>1552</v>
      </c>
      <c r="M44" s="20">
        <v>1552</v>
      </c>
      <c r="N44" s="20">
        <v>1552</v>
      </c>
      <c r="O44" s="20">
        <f>H44-L44</f>
        <v>-1552</v>
      </c>
      <c r="P44" s="20" t="e">
        <f>#REF!-M44</f>
        <v>#REF!</v>
      </c>
      <c r="Q44" s="20" t="e">
        <f>#REF!-N44</f>
        <v>#REF!</v>
      </c>
      <c r="R44" s="17" t="str">
        <f t="shared" si="2"/>
        <v>70 2 00 10020000</v>
      </c>
    </row>
    <row r="45" spans="1:18" s="16" customFormat="1" ht="31.5">
      <c r="A45" s="14"/>
      <c r="B45" s="127" t="s">
        <v>20</v>
      </c>
      <c r="C45" s="109" t="s">
        <v>6</v>
      </c>
      <c r="D45" s="108" t="s">
        <v>11</v>
      </c>
      <c r="E45" s="108" t="s">
        <v>13</v>
      </c>
      <c r="F45" s="108" t="s">
        <v>45</v>
      </c>
      <c r="G45" s="108" t="s">
        <v>21</v>
      </c>
      <c r="H45" s="126">
        <f>SUM(H46:H47)</f>
        <v>0</v>
      </c>
      <c r="I45" s="178" t="str">
        <f t="shared" si="1"/>
        <v>600010370 2 00 10020120</v>
      </c>
      <c r="L45" s="20">
        <v>1552</v>
      </c>
      <c r="M45" s="20">
        <v>1552</v>
      </c>
      <c r="N45" s="20">
        <v>1552</v>
      </c>
      <c r="O45" s="20">
        <f>H45-L45</f>
        <v>-1552</v>
      </c>
      <c r="P45" s="20" t="e">
        <f>#REF!-M45</f>
        <v>#REF!</v>
      </c>
      <c r="Q45" s="20" t="e">
        <f>#REF!-N45</f>
        <v>#REF!</v>
      </c>
      <c r="R45" s="17" t="str">
        <f t="shared" si="2"/>
        <v>70 2 00 10020120</v>
      </c>
    </row>
    <row r="46" spans="1:18" s="16" customFormat="1" ht="31.5">
      <c r="A46" s="14"/>
      <c r="B46" s="125" t="s">
        <v>40</v>
      </c>
      <c r="C46" s="109" t="s">
        <v>6</v>
      </c>
      <c r="D46" s="108" t="s">
        <v>11</v>
      </c>
      <c r="E46" s="108" t="s">
        <v>13</v>
      </c>
      <c r="F46" s="108" t="s">
        <v>45</v>
      </c>
      <c r="G46" s="108" t="s">
        <v>41</v>
      </c>
      <c r="H46" s="128"/>
      <c r="I46" s="178" t="str">
        <f t="shared" si="1"/>
        <v>600010370 2 00 10020121</v>
      </c>
      <c r="L46" s="20"/>
      <c r="M46" s="20"/>
      <c r="N46" s="20"/>
      <c r="O46" s="20"/>
      <c r="P46" s="20"/>
      <c r="Q46" s="20"/>
      <c r="R46" s="17"/>
    </row>
    <row r="47" spans="1:18" s="16" customFormat="1" ht="63">
      <c r="A47" s="14"/>
      <c r="B47" s="125" t="s">
        <v>26</v>
      </c>
      <c r="C47" s="109" t="s">
        <v>6</v>
      </c>
      <c r="D47" s="108" t="s">
        <v>11</v>
      </c>
      <c r="E47" s="108" t="s">
        <v>13</v>
      </c>
      <c r="F47" s="108" t="s">
        <v>45</v>
      </c>
      <c r="G47" s="108" t="s">
        <v>27</v>
      </c>
      <c r="H47" s="128"/>
      <c r="I47" s="178" t="str">
        <f t="shared" si="1"/>
        <v>600010370 2 00 10020129</v>
      </c>
      <c r="L47" s="20"/>
      <c r="M47" s="20"/>
      <c r="N47" s="20"/>
      <c r="O47" s="20"/>
      <c r="P47" s="20"/>
      <c r="Q47" s="20"/>
      <c r="R47" s="17"/>
    </row>
    <row r="48" spans="1:18" s="16" customFormat="1" ht="31.5">
      <c r="A48" s="14"/>
      <c r="B48" s="127" t="s">
        <v>46</v>
      </c>
      <c r="C48" s="109" t="s">
        <v>6</v>
      </c>
      <c r="D48" s="108" t="s">
        <v>11</v>
      </c>
      <c r="E48" s="108" t="s">
        <v>13</v>
      </c>
      <c r="F48" s="108" t="s">
        <v>47</v>
      </c>
      <c r="G48" s="108" t="s">
        <v>9</v>
      </c>
      <c r="H48" s="126">
        <f>H53+H49</f>
        <v>0</v>
      </c>
      <c r="I48" s="178" t="str">
        <f t="shared" si="1"/>
        <v>600010370 3 00 00000000</v>
      </c>
      <c r="L48" s="20">
        <v>2511.77</v>
      </c>
      <c r="M48" s="20">
        <v>2511.77</v>
      </c>
      <c r="N48" s="20">
        <v>2511.77</v>
      </c>
      <c r="O48" s="20">
        <f>H48-L48</f>
        <v>-2511.77</v>
      </c>
      <c r="P48" s="20" t="e">
        <f>#REF!-M48</f>
        <v>#REF!</v>
      </c>
      <c r="Q48" s="20" t="e">
        <f>#REF!-N48</f>
        <v>#REF!</v>
      </c>
      <c r="R48" s="17" t="str">
        <f t="shared" si="2"/>
        <v>70 3 00 00000000</v>
      </c>
    </row>
    <row r="49" spans="1:18" s="16" customFormat="1" ht="31.5">
      <c r="A49" s="14"/>
      <c r="B49" s="125" t="s">
        <v>18</v>
      </c>
      <c r="C49" s="109" t="s">
        <v>6</v>
      </c>
      <c r="D49" s="108" t="s">
        <v>11</v>
      </c>
      <c r="E49" s="108" t="s">
        <v>13</v>
      </c>
      <c r="F49" s="108" t="s">
        <v>48</v>
      </c>
      <c r="G49" s="108" t="s">
        <v>9</v>
      </c>
      <c r="H49" s="126">
        <f>H50</f>
        <v>0</v>
      </c>
      <c r="I49" s="178" t="str">
        <f t="shared" si="1"/>
        <v>600010370 3 00 10010000</v>
      </c>
      <c r="L49" s="20">
        <v>83.11</v>
      </c>
      <c r="M49" s="20">
        <v>83.11</v>
      </c>
      <c r="N49" s="20">
        <v>83.11</v>
      </c>
      <c r="O49" s="20">
        <f>H49-L49</f>
        <v>-83.11</v>
      </c>
      <c r="P49" s="20" t="e">
        <f>#REF!-M49</f>
        <v>#REF!</v>
      </c>
      <c r="Q49" s="20" t="e">
        <f>#REF!-N49</f>
        <v>#REF!</v>
      </c>
      <c r="R49" s="17" t="str">
        <f t="shared" si="2"/>
        <v>70 3 00 10010000</v>
      </c>
    </row>
    <row r="50" spans="1:18" s="16" customFormat="1" ht="31.5">
      <c r="A50" s="14"/>
      <c r="B50" s="127" t="s">
        <v>20</v>
      </c>
      <c r="C50" s="109" t="s">
        <v>6</v>
      </c>
      <c r="D50" s="108" t="s">
        <v>11</v>
      </c>
      <c r="E50" s="108" t="s">
        <v>13</v>
      </c>
      <c r="F50" s="108" t="s">
        <v>48</v>
      </c>
      <c r="G50" s="108" t="s">
        <v>21</v>
      </c>
      <c r="H50" s="126">
        <f>SUM(H51:H52)</f>
        <v>0</v>
      </c>
      <c r="I50" s="178" t="str">
        <f t="shared" si="1"/>
        <v>600010370 3 00 10010120</v>
      </c>
      <c r="L50" s="20">
        <v>83.11</v>
      </c>
      <c r="M50" s="20">
        <v>83.11</v>
      </c>
      <c r="N50" s="20">
        <v>83.11</v>
      </c>
      <c r="O50" s="20">
        <f>H50-L50</f>
        <v>-83.11</v>
      </c>
      <c r="P50" s="20" t="e">
        <f>#REF!-M50</f>
        <v>#REF!</v>
      </c>
      <c r="Q50" s="20" t="e">
        <f>#REF!-N50</f>
        <v>#REF!</v>
      </c>
      <c r="R50" s="17" t="str">
        <f t="shared" si="2"/>
        <v>70 3 00 10010120</v>
      </c>
    </row>
    <row r="51" spans="1:18" s="16" customFormat="1" ht="47.25">
      <c r="A51" s="14"/>
      <c r="B51" s="127" t="s">
        <v>22</v>
      </c>
      <c r="C51" s="109" t="s">
        <v>6</v>
      </c>
      <c r="D51" s="108" t="s">
        <v>11</v>
      </c>
      <c r="E51" s="108" t="s">
        <v>13</v>
      </c>
      <c r="F51" s="108" t="s">
        <v>48</v>
      </c>
      <c r="G51" s="108" t="s">
        <v>23</v>
      </c>
      <c r="H51" s="128"/>
      <c r="I51" s="178" t="str">
        <f t="shared" si="1"/>
        <v>600010370 3 00 10010122</v>
      </c>
      <c r="L51" s="20"/>
      <c r="M51" s="20"/>
      <c r="N51" s="20"/>
      <c r="O51" s="20"/>
      <c r="P51" s="20"/>
      <c r="Q51" s="20"/>
      <c r="R51" s="17"/>
    </row>
    <row r="52" spans="1:18" s="16" customFormat="1" ht="63">
      <c r="A52" s="14"/>
      <c r="B52" s="127" t="s">
        <v>26</v>
      </c>
      <c r="C52" s="109" t="s">
        <v>6</v>
      </c>
      <c r="D52" s="108" t="s">
        <v>11</v>
      </c>
      <c r="E52" s="108" t="s">
        <v>13</v>
      </c>
      <c r="F52" s="108" t="s">
        <v>48</v>
      </c>
      <c r="G52" s="108" t="s">
        <v>27</v>
      </c>
      <c r="H52" s="128"/>
      <c r="I52" s="178" t="str">
        <f t="shared" si="1"/>
        <v>600010370 3 00 10010129</v>
      </c>
      <c r="L52" s="20"/>
      <c r="M52" s="20"/>
      <c r="N52" s="20"/>
      <c r="O52" s="20"/>
      <c r="P52" s="20"/>
      <c r="Q52" s="20"/>
      <c r="R52" s="17"/>
    </row>
    <row r="53" spans="1:18" s="16" customFormat="1" ht="31.5">
      <c r="A53" s="14"/>
      <c r="B53" s="127" t="s">
        <v>38</v>
      </c>
      <c r="C53" s="109" t="s">
        <v>6</v>
      </c>
      <c r="D53" s="108" t="s">
        <v>11</v>
      </c>
      <c r="E53" s="108" t="s">
        <v>13</v>
      </c>
      <c r="F53" s="108" t="s">
        <v>49</v>
      </c>
      <c r="G53" s="108" t="s">
        <v>9</v>
      </c>
      <c r="H53" s="126">
        <f>H54</f>
        <v>0</v>
      </c>
      <c r="I53" s="178" t="str">
        <f t="shared" si="1"/>
        <v>600010370 3 00 10020000</v>
      </c>
      <c r="L53" s="20">
        <v>2428.66</v>
      </c>
      <c r="M53" s="20">
        <v>2428.66</v>
      </c>
      <c r="N53" s="20">
        <v>2428.66</v>
      </c>
      <c r="O53" s="20">
        <f>H53-L53</f>
        <v>-2428.66</v>
      </c>
      <c r="P53" s="20" t="e">
        <f>#REF!-M53</f>
        <v>#REF!</v>
      </c>
      <c r="Q53" s="20" t="e">
        <f>#REF!-N53</f>
        <v>#REF!</v>
      </c>
      <c r="R53" s="17" t="str">
        <f t="shared" si="2"/>
        <v>70 3 00 10020000</v>
      </c>
    </row>
    <row r="54" spans="1:18" s="16" customFormat="1" ht="31.5">
      <c r="A54" s="14"/>
      <c r="B54" s="127" t="s">
        <v>20</v>
      </c>
      <c r="C54" s="109" t="s">
        <v>6</v>
      </c>
      <c r="D54" s="108" t="s">
        <v>11</v>
      </c>
      <c r="E54" s="108" t="s">
        <v>13</v>
      </c>
      <c r="F54" s="108" t="s">
        <v>49</v>
      </c>
      <c r="G54" s="108" t="s">
        <v>21</v>
      </c>
      <c r="H54" s="126">
        <f>SUM(H55:H56)</f>
        <v>0</v>
      </c>
      <c r="I54" s="178" t="str">
        <f t="shared" si="1"/>
        <v>600010370 3 00 10020120</v>
      </c>
      <c r="L54" s="20">
        <v>2428.66</v>
      </c>
      <c r="M54" s="20">
        <v>2428.66</v>
      </c>
      <c r="N54" s="20">
        <v>2428.66</v>
      </c>
      <c r="O54" s="20">
        <f>H54-L54</f>
        <v>-2428.66</v>
      </c>
      <c r="P54" s="20" t="e">
        <f>#REF!-M54</f>
        <v>#REF!</v>
      </c>
      <c r="Q54" s="20" t="e">
        <f>#REF!-N54</f>
        <v>#REF!</v>
      </c>
      <c r="R54" s="17" t="str">
        <f t="shared" si="2"/>
        <v>70 3 00 10020120</v>
      </c>
    </row>
    <row r="55" spans="1:18" s="16" customFormat="1" ht="31.5">
      <c r="A55" s="14"/>
      <c r="B55" s="127" t="s">
        <v>40</v>
      </c>
      <c r="C55" s="109" t="s">
        <v>6</v>
      </c>
      <c r="D55" s="108" t="s">
        <v>11</v>
      </c>
      <c r="E55" s="108" t="s">
        <v>13</v>
      </c>
      <c r="F55" s="108" t="s">
        <v>49</v>
      </c>
      <c r="G55" s="108" t="s">
        <v>41</v>
      </c>
      <c r="H55" s="128"/>
      <c r="I55" s="178" t="str">
        <f t="shared" si="1"/>
        <v>600010370 3 00 10020121</v>
      </c>
      <c r="L55" s="20"/>
      <c r="M55" s="20"/>
      <c r="N55" s="20"/>
      <c r="O55" s="20"/>
      <c r="P55" s="20"/>
      <c r="Q55" s="20"/>
      <c r="R55" s="17"/>
    </row>
    <row r="56" spans="1:18" s="16" customFormat="1" ht="63">
      <c r="A56" s="14"/>
      <c r="B56" s="127" t="s">
        <v>26</v>
      </c>
      <c r="C56" s="109" t="s">
        <v>6</v>
      </c>
      <c r="D56" s="108" t="s">
        <v>11</v>
      </c>
      <c r="E56" s="108" t="s">
        <v>13</v>
      </c>
      <c r="F56" s="108" t="s">
        <v>49</v>
      </c>
      <c r="G56" s="108" t="s">
        <v>27</v>
      </c>
      <c r="H56" s="128"/>
      <c r="I56" s="178" t="str">
        <f t="shared" si="1"/>
        <v>600010370 3 00 10020129</v>
      </c>
      <c r="L56" s="20"/>
      <c r="M56" s="20"/>
      <c r="N56" s="20"/>
      <c r="O56" s="20"/>
      <c r="P56" s="20"/>
      <c r="Q56" s="20"/>
      <c r="R56" s="17"/>
    </row>
    <row r="57" spans="1:18" s="16" customFormat="1" ht="15.75">
      <c r="A57" s="14"/>
      <c r="B57" s="121" t="s">
        <v>50</v>
      </c>
      <c r="C57" s="122" t="s">
        <v>6</v>
      </c>
      <c r="D57" s="123" t="s">
        <v>11</v>
      </c>
      <c r="E57" s="123" t="s">
        <v>51</v>
      </c>
      <c r="F57" s="123" t="s">
        <v>8</v>
      </c>
      <c r="G57" s="123" t="s">
        <v>9</v>
      </c>
      <c r="H57" s="124">
        <f t="shared" ref="H57" si="3">H58</f>
        <v>0</v>
      </c>
      <c r="I57" s="178" t="str">
        <f t="shared" si="1"/>
        <v>600011300 0 00 00000000</v>
      </c>
      <c r="L57" s="19">
        <v>500</v>
      </c>
      <c r="M57" s="19">
        <v>500</v>
      </c>
      <c r="N57" s="19">
        <v>500</v>
      </c>
      <c r="O57" s="19">
        <f>H57-L57</f>
        <v>-500</v>
      </c>
      <c r="P57" s="19" t="e">
        <f>#REF!-M57</f>
        <v>#REF!</v>
      </c>
      <c r="Q57" s="19" t="e">
        <f>#REF!-N57</f>
        <v>#REF!</v>
      </c>
      <c r="R57" s="17" t="str">
        <f t="shared" si="2"/>
        <v>00 0 00 00000000</v>
      </c>
    </row>
    <row r="58" spans="1:18" s="16" customFormat="1" ht="31.5">
      <c r="A58" s="14"/>
      <c r="B58" s="125" t="s">
        <v>14</v>
      </c>
      <c r="C58" s="109" t="s">
        <v>6</v>
      </c>
      <c r="D58" s="108" t="s">
        <v>11</v>
      </c>
      <c r="E58" s="108" t="s">
        <v>51</v>
      </c>
      <c r="F58" s="108" t="s">
        <v>15</v>
      </c>
      <c r="G58" s="108" t="s">
        <v>9</v>
      </c>
      <c r="H58" s="126">
        <f>H59</f>
        <v>0</v>
      </c>
      <c r="I58" s="178" t="str">
        <f t="shared" si="1"/>
        <v>600011370 0 00 00000000</v>
      </c>
      <c r="L58" s="20">
        <v>500</v>
      </c>
      <c r="M58" s="20">
        <v>500</v>
      </c>
      <c r="N58" s="20">
        <v>500</v>
      </c>
      <c r="O58" s="20">
        <f>H58-L58</f>
        <v>-500</v>
      </c>
      <c r="P58" s="20" t="e">
        <f>#REF!-M58</f>
        <v>#REF!</v>
      </c>
      <c r="Q58" s="20" t="e">
        <f>#REF!-N58</f>
        <v>#REF!</v>
      </c>
      <c r="R58" s="17" t="str">
        <f t="shared" si="2"/>
        <v>70 0 00 00000000</v>
      </c>
    </row>
    <row r="59" spans="1:18" s="16" customFormat="1" ht="15.75">
      <c r="A59" s="14"/>
      <c r="B59" s="125" t="s">
        <v>52</v>
      </c>
      <c r="C59" s="109" t="s">
        <v>6</v>
      </c>
      <c r="D59" s="108" t="s">
        <v>11</v>
      </c>
      <c r="E59" s="108" t="s">
        <v>51</v>
      </c>
      <c r="F59" s="108" t="s">
        <v>53</v>
      </c>
      <c r="G59" s="108" t="s">
        <v>9</v>
      </c>
      <c r="H59" s="126">
        <f>H60</f>
        <v>0</v>
      </c>
      <c r="I59" s="178" t="str">
        <f t="shared" si="1"/>
        <v>600011370 4 00 00000000</v>
      </c>
      <c r="L59" s="20">
        <v>500</v>
      </c>
      <c r="M59" s="20">
        <v>500</v>
      </c>
      <c r="N59" s="20">
        <v>500</v>
      </c>
      <c r="O59" s="20">
        <f>H59-L59</f>
        <v>-500</v>
      </c>
      <c r="P59" s="20" t="e">
        <f>#REF!-M59</f>
        <v>#REF!</v>
      </c>
      <c r="Q59" s="20" t="e">
        <f>#REF!-N59</f>
        <v>#REF!</v>
      </c>
      <c r="R59" s="17" t="str">
        <f t="shared" si="2"/>
        <v>70 4 00 00000000</v>
      </c>
    </row>
    <row r="60" spans="1:18" s="16" customFormat="1" ht="94.5">
      <c r="A60" s="14"/>
      <c r="B60" s="129" t="s">
        <v>54</v>
      </c>
      <c r="C60" s="109" t="s">
        <v>6</v>
      </c>
      <c r="D60" s="108" t="s">
        <v>11</v>
      </c>
      <c r="E60" s="108" t="s">
        <v>51</v>
      </c>
      <c r="F60" s="108" t="s">
        <v>55</v>
      </c>
      <c r="G60" s="108" t="s">
        <v>9</v>
      </c>
      <c r="H60" s="126">
        <f t="shared" ref="H60" si="4">H61</f>
        <v>0</v>
      </c>
      <c r="I60" s="178" t="str">
        <f t="shared" si="1"/>
        <v>600011370 4 00 20090000</v>
      </c>
      <c r="L60" s="20">
        <v>500</v>
      </c>
      <c r="M60" s="20">
        <v>500</v>
      </c>
      <c r="N60" s="20">
        <v>500</v>
      </c>
      <c r="O60" s="20">
        <f>H60-L60</f>
        <v>-500</v>
      </c>
      <c r="P60" s="20" t="e">
        <f>#REF!-M60</f>
        <v>#REF!</v>
      </c>
      <c r="Q60" s="20" t="e">
        <f>#REF!-N60</f>
        <v>#REF!</v>
      </c>
      <c r="R60" s="17" t="str">
        <f t="shared" si="2"/>
        <v>70 4 00 20090000</v>
      </c>
    </row>
    <row r="61" spans="1:18" s="16" customFormat="1" ht="31.5">
      <c r="A61" s="14"/>
      <c r="B61" s="125" t="s">
        <v>28</v>
      </c>
      <c r="C61" s="109" t="s">
        <v>6</v>
      </c>
      <c r="D61" s="108" t="s">
        <v>11</v>
      </c>
      <c r="E61" s="108" t="s">
        <v>51</v>
      </c>
      <c r="F61" s="108" t="s">
        <v>55</v>
      </c>
      <c r="G61" s="108" t="s">
        <v>29</v>
      </c>
      <c r="H61" s="126">
        <f>H62</f>
        <v>0</v>
      </c>
      <c r="I61" s="178" t="str">
        <f t="shared" si="1"/>
        <v>600011370 4 00 20090240</v>
      </c>
      <c r="L61" s="20">
        <v>500</v>
      </c>
      <c r="M61" s="20">
        <v>500</v>
      </c>
      <c r="N61" s="20">
        <v>500</v>
      </c>
      <c r="O61" s="20">
        <f>H61-L61</f>
        <v>-500</v>
      </c>
      <c r="P61" s="20" t="e">
        <f>#REF!-M61</f>
        <v>#REF!</v>
      </c>
      <c r="Q61" s="20" t="e">
        <f>#REF!-N61</f>
        <v>#REF!</v>
      </c>
      <c r="R61" s="17" t="str">
        <f t="shared" si="2"/>
        <v>70 4 00 20090240</v>
      </c>
    </row>
    <row r="62" spans="1:18" s="16" customFormat="1" ht="15.75">
      <c r="A62" s="14"/>
      <c r="B62" s="125" t="s">
        <v>30</v>
      </c>
      <c r="C62" s="109" t="s">
        <v>6</v>
      </c>
      <c r="D62" s="108" t="s">
        <v>11</v>
      </c>
      <c r="E62" s="108" t="s">
        <v>51</v>
      </c>
      <c r="F62" s="108" t="s">
        <v>55</v>
      </c>
      <c r="G62" s="108" t="s">
        <v>31</v>
      </c>
      <c r="H62" s="126"/>
      <c r="I62" s="178" t="str">
        <f t="shared" si="1"/>
        <v>600011370 4 00 20090244</v>
      </c>
      <c r="L62" s="20"/>
      <c r="M62" s="20"/>
      <c r="N62" s="20"/>
      <c r="O62" s="20"/>
      <c r="P62" s="20"/>
      <c r="Q62" s="20"/>
      <c r="R62" s="17" t="str">
        <f t="shared" si="2"/>
        <v>70 4 00 20090244</v>
      </c>
    </row>
    <row r="63" spans="1:18" s="6" customFormat="1" ht="15.75">
      <c r="A63" s="1"/>
      <c r="B63" s="117" t="s">
        <v>56</v>
      </c>
      <c r="C63" s="118" t="s">
        <v>6</v>
      </c>
      <c r="D63" s="119" t="s">
        <v>57</v>
      </c>
      <c r="E63" s="119" t="s">
        <v>7</v>
      </c>
      <c r="F63" s="119" t="s">
        <v>8</v>
      </c>
      <c r="G63" s="119" t="s">
        <v>9</v>
      </c>
      <c r="H63" s="120">
        <f>H70+H64</f>
        <v>0</v>
      </c>
      <c r="I63" s="178" t="str">
        <f t="shared" si="1"/>
        <v>600120000 0 00 00000000</v>
      </c>
      <c r="L63" s="18">
        <v>7090.5</v>
      </c>
      <c r="M63" s="18">
        <v>7090.5</v>
      </c>
      <c r="N63" s="18">
        <v>7090.5</v>
      </c>
      <c r="O63" s="18">
        <f t="shared" ref="O63:O68" si="5">H63-L63</f>
        <v>-7090.5</v>
      </c>
      <c r="P63" s="18" t="e">
        <f>#REF!-M63</f>
        <v>#REF!</v>
      </c>
      <c r="Q63" s="18" t="e">
        <f>#REF!-N63</f>
        <v>#REF!</v>
      </c>
      <c r="R63" s="17" t="str">
        <f t="shared" si="2"/>
        <v>00 0 00 00000000</v>
      </c>
    </row>
    <row r="64" spans="1:18" s="6" customFormat="1" ht="15.75">
      <c r="A64" s="1"/>
      <c r="B64" s="121" t="s">
        <v>58</v>
      </c>
      <c r="C64" s="122" t="s">
        <v>6</v>
      </c>
      <c r="D64" s="123" t="s">
        <v>57</v>
      </c>
      <c r="E64" s="123" t="s">
        <v>11</v>
      </c>
      <c r="F64" s="123" t="s">
        <v>8</v>
      </c>
      <c r="G64" s="123" t="s">
        <v>9</v>
      </c>
      <c r="H64" s="124">
        <f>H65</f>
        <v>0</v>
      </c>
      <c r="I64" s="178" t="str">
        <f t="shared" si="1"/>
        <v>600120100 0 00 00000000</v>
      </c>
      <c r="L64" s="19">
        <v>5090.5</v>
      </c>
      <c r="M64" s="19">
        <v>5090.5</v>
      </c>
      <c r="N64" s="19">
        <v>5090.5</v>
      </c>
      <c r="O64" s="19">
        <f t="shared" si="5"/>
        <v>-5090.5</v>
      </c>
      <c r="P64" s="19" t="e">
        <f>#REF!-M64</f>
        <v>#REF!</v>
      </c>
      <c r="Q64" s="19" t="e">
        <f>#REF!-N64</f>
        <v>#REF!</v>
      </c>
      <c r="R64" s="17" t="str">
        <f t="shared" si="2"/>
        <v>00 0 00 00000000</v>
      </c>
    </row>
    <row r="65" spans="1:18" s="16" customFormat="1" ht="31.5">
      <c r="A65" s="14"/>
      <c r="B65" s="125" t="s">
        <v>14</v>
      </c>
      <c r="C65" s="109" t="s">
        <v>6</v>
      </c>
      <c r="D65" s="108" t="s">
        <v>57</v>
      </c>
      <c r="E65" s="108" t="s">
        <v>11</v>
      </c>
      <c r="F65" s="108" t="s">
        <v>15</v>
      </c>
      <c r="G65" s="108" t="s">
        <v>9</v>
      </c>
      <c r="H65" s="126">
        <f>H66</f>
        <v>0</v>
      </c>
      <c r="I65" s="178" t="str">
        <f t="shared" si="1"/>
        <v>600120170 0 00 00000000</v>
      </c>
      <c r="L65" s="20">
        <v>5090.5</v>
      </c>
      <c r="M65" s="20">
        <v>5090.5</v>
      </c>
      <c r="N65" s="20">
        <v>5090.5</v>
      </c>
      <c r="O65" s="20">
        <f t="shared" si="5"/>
        <v>-5090.5</v>
      </c>
      <c r="P65" s="20" t="e">
        <f>#REF!-M65</f>
        <v>#REF!</v>
      </c>
      <c r="Q65" s="20" t="e">
        <f>#REF!-N65</f>
        <v>#REF!</v>
      </c>
      <c r="R65" s="17" t="str">
        <f t="shared" si="2"/>
        <v>70 0 00 00000000</v>
      </c>
    </row>
    <row r="66" spans="1:18" s="16" customFormat="1" ht="15.75">
      <c r="A66" s="14"/>
      <c r="B66" s="125" t="s">
        <v>52</v>
      </c>
      <c r="C66" s="109" t="s">
        <v>6</v>
      </c>
      <c r="D66" s="108" t="s">
        <v>57</v>
      </c>
      <c r="E66" s="108" t="s">
        <v>11</v>
      </c>
      <c r="F66" s="108" t="s">
        <v>53</v>
      </c>
      <c r="G66" s="108" t="s">
        <v>9</v>
      </c>
      <c r="H66" s="126">
        <f t="shared" ref="H66:H67" si="6">H67</f>
        <v>0</v>
      </c>
      <c r="I66" s="178" t="str">
        <f t="shared" si="1"/>
        <v>600120170 4 00 00000000</v>
      </c>
      <c r="L66" s="20">
        <v>5090.5</v>
      </c>
      <c r="M66" s="20">
        <v>5090.5</v>
      </c>
      <c r="N66" s="20">
        <v>5090.5</v>
      </c>
      <c r="O66" s="20">
        <f t="shared" si="5"/>
        <v>-5090.5</v>
      </c>
      <c r="P66" s="20" t="e">
        <f>#REF!-M66</f>
        <v>#REF!</v>
      </c>
      <c r="Q66" s="20" t="e">
        <f>#REF!-N66</f>
        <v>#REF!</v>
      </c>
      <c r="R66" s="17" t="str">
        <f t="shared" si="2"/>
        <v>70 4 00 00000000</v>
      </c>
    </row>
    <row r="67" spans="1:18" s="16" customFormat="1" ht="31.5">
      <c r="A67" s="14"/>
      <c r="B67" s="125" t="s">
        <v>59</v>
      </c>
      <c r="C67" s="109" t="s">
        <v>6</v>
      </c>
      <c r="D67" s="108" t="s">
        <v>57</v>
      </c>
      <c r="E67" s="108" t="s">
        <v>11</v>
      </c>
      <c r="F67" s="108" t="s">
        <v>60</v>
      </c>
      <c r="G67" s="108" t="s">
        <v>9</v>
      </c>
      <c r="H67" s="126">
        <f t="shared" si="6"/>
        <v>0</v>
      </c>
      <c r="I67" s="178" t="str">
        <f t="shared" si="1"/>
        <v>600120170 4 00 98710000</v>
      </c>
      <c r="L67" s="20">
        <v>5090.5</v>
      </c>
      <c r="M67" s="20">
        <v>5090.5</v>
      </c>
      <c r="N67" s="20">
        <v>5090.5</v>
      </c>
      <c r="O67" s="20">
        <f t="shared" si="5"/>
        <v>-5090.5</v>
      </c>
      <c r="P67" s="20" t="e">
        <f>#REF!-M67</f>
        <v>#REF!</v>
      </c>
      <c r="Q67" s="20" t="e">
        <f>#REF!-N67</f>
        <v>#REF!</v>
      </c>
      <c r="R67" s="17" t="str">
        <f t="shared" si="2"/>
        <v>70 4 00 98710000</v>
      </c>
    </row>
    <row r="68" spans="1:18" s="16" customFormat="1" ht="31.5">
      <c r="A68" s="14"/>
      <c r="B68" s="125" t="s">
        <v>28</v>
      </c>
      <c r="C68" s="109" t="s">
        <v>6</v>
      </c>
      <c r="D68" s="108" t="s">
        <v>57</v>
      </c>
      <c r="E68" s="108" t="s">
        <v>11</v>
      </c>
      <c r="F68" s="108" t="s">
        <v>60</v>
      </c>
      <c r="G68" s="108" t="s">
        <v>29</v>
      </c>
      <c r="H68" s="126">
        <f>H69</f>
        <v>0</v>
      </c>
      <c r="I68" s="178" t="str">
        <f t="shared" si="1"/>
        <v>600120170 4 00 98710240</v>
      </c>
      <c r="L68" s="20">
        <v>5090.5</v>
      </c>
      <c r="M68" s="20">
        <v>5090.5</v>
      </c>
      <c r="N68" s="20">
        <v>5090.5</v>
      </c>
      <c r="O68" s="20">
        <f t="shared" si="5"/>
        <v>-5090.5</v>
      </c>
      <c r="P68" s="20" t="e">
        <f>#REF!-M68</f>
        <v>#REF!</v>
      </c>
      <c r="Q68" s="20" t="e">
        <f>#REF!-N68</f>
        <v>#REF!</v>
      </c>
      <c r="R68" s="17" t="str">
        <f t="shared" si="2"/>
        <v>70 4 00 98710240</v>
      </c>
    </row>
    <row r="69" spans="1:18" s="16" customFormat="1" ht="15.75">
      <c r="A69" s="14"/>
      <c r="B69" s="125" t="s">
        <v>30</v>
      </c>
      <c r="C69" s="109" t="s">
        <v>6</v>
      </c>
      <c r="D69" s="108" t="s">
        <v>57</v>
      </c>
      <c r="E69" s="108" t="s">
        <v>11</v>
      </c>
      <c r="F69" s="108" t="s">
        <v>60</v>
      </c>
      <c r="G69" s="108" t="s">
        <v>31</v>
      </c>
      <c r="H69" s="126"/>
      <c r="I69" s="178" t="str">
        <f t="shared" si="1"/>
        <v>600120170 4 00 98710244</v>
      </c>
      <c r="L69" s="20"/>
      <c r="M69" s="20"/>
      <c r="N69" s="20"/>
      <c r="O69" s="20"/>
      <c r="P69" s="20"/>
      <c r="Q69" s="20"/>
      <c r="R69" s="17" t="str">
        <f t="shared" si="2"/>
        <v>70 4 00 98710244</v>
      </c>
    </row>
    <row r="70" spans="1:18" s="16" customFormat="1" ht="15.75">
      <c r="A70" s="14"/>
      <c r="B70" s="121" t="s">
        <v>61</v>
      </c>
      <c r="C70" s="122" t="s">
        <v>6</v>
      </c>
      <c r="D70" s="123" t="s">
        <v>57</v>
      </c>
      <c r="E70" s="123" t="s">
        <v>62</v>
      </c>
      <c r="F70" s="123" t="s">
        <v>8</v>
      </c>
      <c r="G70" s="123" t="s">
        <v>9</v>
      </c>
      <c r="H70" s="124">
        <f t="shared" ref="H70" si="7">H71</f>
        <v>0</v>
      </c>
      <c r="I70" s="178" t="str">
        <f t="shared" si="1"/>
        <v>600120200 0 00 00000000</v>
      </c>
      <c r="L70" s="19">
        <v>2000</v>
      </c>
      <c r="M70" s="19">
        <v>2000</v>
      </c>
      <c r="N70" s="19">
        <v>2000</v>
      </c>
      <c r="O70" s="19">
        <f>H70-L70</f>
        <v>-2000</v>
      </c>
      <c r="P70" s="19" t="e">
        <f>#REF!-M70</f>
        <v>#REF!</v>
      </c>
      <c r="Q70" s="19" t="e">
        <f>#REF!-N70</f>
        <v>#REF!</v>
      </c>
      <c r="R70" s="17" t="str">
        <f t="shared" si="2"/>
        <v>00 0 00 00000000</v>
      </c>
    </row>
    <row r="71" spans="1:18" s="16" customFormat="1" ht="31.5">
      <c r="A71" s="14"/>
      <c r="B71" s="125" t="s">
        <v>14</v>
      </c>
      <c r="C71" s="109" t="s">
        <v>6</v>
      </c>
      <c r="D71" s="108" t="s">
        <v>57</v>
      </c>
      <c r="E71" s="108" t="s">
        <v>62</v>
      </c>
      <c r="F71" s="108" t="s">
        <v>15</v>
      </c>
      <c r="G71" s="108" t="s">
        <v>9</v>
      </c>
      <c r="H71" s="126">
        <f>H72</f>
        <v>0</v>
      </c>
      <c r="I71" s="178" t="str">
        <f t="shared" si="1"/>
        <v>600120270 0 00 00000000</v>
      </c>
      <c r="L71" s="20">
        <v>2000</v>
      </c>
      <c r="M71" s="20">
        <v>2000</v>
      </c>
      <c r="N71" s="20">
        <v>2000</v>
      </c>
      <c r="O71" s="20">
        <f>H71-L71</f>
        <v>-2000</v>
      </c>
      <c r="P71" s="20" t="e">
        <f>#REF!-M71</f>
        <v>#REF!</v>
      </c>
      <c r="Q71" s="20" t="e">
        <f>#REF!-N71</f>
        <v>#REF!</v>
      </c>
      <c r="R71" s="17" t="str">
        <f t="shared" si="2"/>
        <v>70 0 00 00000000</v>
      </c>
    </row>
    <row r="72" spans="1:18" s="16" customFormat="1" ht="15.75">
      <c r="A72" s="14"/>
      <c r="B72" s="125" t="s">
        <v>52</v>
      </c>
      <c r="C72" s="109" t="s">
        <v>6</v>
      </c>
      <c r="D72" s="108" t="s">
        <v>57</v>
      </c>
      <c r="E72" s="108" t="s">
        <v>62</v>
      </c>
      <c r="F72" s="108" t="s">
        <v>53</v>
      </c>
      <c r="G72" s="108" t="s">
        <v>9</v>
      </c>
      <c r="H72" s="126">
        <f>H73</f>
        <v>0</v>
      </c>
      <c r="I72" s="178" t="str">
        <f t="shared" si="1"/>
        <v>600120270 4 00 00000000</v>
      </c>
      <c r="L72" s="20">
        <v>2000</v>
      </c>
      <c r="M72" s="20">
        <v>2000</v>
      </c>
      <c r="N72" s="20">
        <v>2000</v>
      </c>
      <c r="O72" s="20">
        <f>H72-L72</f>
        <v>-2000</v>
      </c>
      <c r="P72" s="20" t="e">
        <f>#REF!-M72</f>
        <v>#REF!</v>
      </c>
      <c r="Q72" s="20" t="e">
        <f>#REF!-N72</f>
        <v>#REF!</v>
      </c>
      <c r="R72" s="17" t="str">
        <f t="shared" si="2"/>
        <v>70 4 00 00000000</v>
      </c>
    </row>
    <row r="73" spans="1:18" s="16" customFormat="1" ht="31.5">
      <c r="A73" s="14"/>
      <c r="B73" s="125" t="s">
        <v>59</v>
      </c>
      <c r="C73" s="109" t="s">
        <v>6</v>
      </c>
      <c r="D73" s="108" t="s">
        <v>57</v>
      </c>
      <c r="E73" s="108" t="s">
        <v>62</v>
      </c>
      <c r="F73" s="108" t="s">
        <v>60</v>
      </c>
      <c r="G73" s="108" t="s">
        <v>9</v>
      </c>
      <c r="H73" s="126">
        <f>H74</f>
        <v>0</v>
      </c>
      <c r="I73" s="178" t="str">
        <f t="shared" si="1"/>
        <v>600120270 4 00 98710000</v>
      </c>
      <c r="L73" s="20">
        <v>2000</v>
      </c>
      <c r="M73" s="20">
        <v>2000</v>
      </c>
      <c r="N73" s="20">
        <v>2000</v>
      </c>
      <c r="O73" s="20">
        <f>H73-L73</f>
        <v>-2000</v>
      </c>
      <c r="P73" s="20" t="e">
        <f>#REF!-M73</f>
        <v>#REF!</v>
      </c>
      <c r="Q73" s="20" t="e">
        <f>#REF!-N73</f>
        <v>#REF!</v>
      </c>
      <c r="R73" s="17" t="str">
        <f t="shared" si="2"/>
        <v>70 4 00 98710000</v>
      </c>
    </row>
    <row r="74" spans="1:18" s="16" customFormat="1" ht="31.5">
      <c r="A74" s="14"/>
      <c r="B74" s="125" t="s">
        <v>28</v>
      </c>
      <c r="C74" s="109" t="s">
        <v>6</v>
      </c>
      <c r="D74" s="108" t="s">
        <v>57</v>
      </c>
      <c r="E74" s="108" t="s">
        <v>62</v>
      </c>
      <c r="F74" s="108" t="s">
        <v>60</v>
      </c>
      <c r="G74" s="108" t="s">
        <v>29</v>
      </c>
      <c r="H74" s="126">
        <f>H75</f>
        <v>0</v>
      </c>
      <c r="I74" s="178" t="str">
        <f t="shared" si="1"/>
        <v>600120270 4 00 98710240</v>
      </c>
      <c r="L74" s="20">
        <v>2000</v>
      </c>
      <c r="M74" s="20">
        <v>2000</v>
      </c>
      <c r="N74" s="20">
        <v>2000</v>
      </c>
      <c r="O74" s="20">
        <f>H74-L74</f>
        <v>-2000</v>
      </c>
      <c r="P74" s="20" t="e">
        <f>#REF!-M74</f>
        <v>#REF!</v>
      </c>
      <c r="Q74" s="20" t="e">
        <f>#REF!-N74</f>
        <v>#REF!</v>
      </c>
      <c r="R74" s="17" t="str">
        <f t="shared" si="2"/>
        <v>70 4 00 98710240</v>
      </c>
    </row>
    <row r="75" spans="1:18" s="16" customFormat="1" ht="15.75">
      <c r="A75" s="14"/>
      <c r="B75" s="125" t="s">
        <v>30</v>
      </c>
      <c r="C75" s="109" t="s">
        <v>6</v>
      </c>
      <c r="D75" s="108" t="s">
        <v>57</v>
      </c>
      <c r="E75" s="108" t="s">
        <v>62</v>
      </c>
      <c r="F75" s="108" t="s">
        <v>60</v>
      </c>
      <c r="G75" s="108" t="s">
        <v>31</v>
      </c>
      <c r="H75" s="126"/>
      <c r="I75" s="178" t="str">
        <f t="shared" si="1"/>
        <v>600120270 4 00 98710244</v>
      </c>
      <c r="L75" s="20"/>
      <c r="M75" s="20"/>
      <c r="N75" s="20"/>
      <c r="O75" s="20"/>
      <c r="P75" s="20"/>
      <c r="Q75" s="20"/>
      <c r="R75" s="17" t="str">
        <f t="shared" si="2"/>
        <v>70 4 00 98710244</v>
      </c>
    </row>
    <row r="76" spans="1:18" s="16" customFormat="1" ht="15.75">
      <c r="A76" s="14"/>
      <c r="B76" s="125"/>
      <c r="C76" s="109"/>
      <c r="D76" s="108"/>
      <c r="E76" s="108"/>
      <c r="F76" s="108"/>
      <c r="G76" s="108"/>
      <c r="H76" s="126"/>
      <c r="I76" s="178" t="str">
        <f t="shared" si="1"/>
        <v/>
      </c>
      <c r="L76" s="20"/>
      <c r="M76" s="20"/>
      <c r="N76" s="20"/>
      <c r="O76" s="20">
        <f t="shared" ref="O76:O83" si="8">H76-L76</f>
        <v>0</v>
      </c>
      <c r="P76" s="20" t="e">
        <f>#REF!-M76</f>
        <v>#REF!</v>
      </c>
      <c r="Q76" s="20" t="e">
        <f>#REF!-N76</f>
        <v>#REF!</v>
      </c>
      <c r="R76" s="17" t="str">
        <f t="shared" si="2"/>
        <v/>
      </c>
    </row>
    <row r="77" spans="1:18" s="16" customFormat="1" ht="15.75">
      <c r="A77" s="14"/>
      <c r="B77" s="67" t="s">
        <v>63</v>
      </c>
      <c r="C77" s="116" t="s">
        <v>64</v>
      </c>
      <c r="D77" s="69" t="s">
        <v>7</v>
      </c>
      <c r="E77" s="69" t="s">
        <v>7</v>
      </c>
      <c r="F77" s="69" t="s">
        <v>8</v>
      </c>
      <c r="G77" s="69" t="s">
        <v>9</v>
      </c>
      <c r="H77" s="70">
        <f>H78+H225+H255+H263+H271</f>
        <v>0</v>
      </c>
      <c r="I77" s="178" t="str">
        <f t="shared" si="1"/>
        <v>601000000 0 00 00000000</v>
      </c>
      <c r="L77" s="25">
        <v>289884.67</v>
      </c>
      <c r="M77" s="25">
        <v>273496.95</v>
      </c>
      <c r="N77" s="25">
        <v>273550.05</v>
      </c>
      <c r="O77" s="25">
        <f t="shared" si="8"/>
        <v>-289884.67</v>
      </c>
      <c r="P77" s="25" t="e">
        <f>#REF!-M77</f>
        <v>#REF!</v>
      </c>
      <c r="Q77" s="25" t="e">
        <f>#REF!-N77</f>
        <v>#REF!</v>
      </c>
      <c r="R77" s="17" t="str">
        <f t="shared" si="2"/>
        <v>00 0 00 00000000</v>
      </c>
    </row>
    <row r="78" spans="1:18" s="16" customFormat="1" ht="15.75">
      <c r="A78" s="14"/>
      <c r="B78" s="117" t="s">
        <v>10</v>
      </c>
      <c r="C78" s="118" t="s">
        <v>64</v>
      </c>
      <c r="D78" s="119" t="s">
        <v>11</v>
      </c>
      <c r="E78" s="119" t="s">
        <v>7</v>
      </c>
      <c r="F78" s="119" t="s">
        <v>8</v>
      </c>
      <c r="G78" s="119" t="s">
        <v>9</v>
      </c>
      <c r="H78" s="120">
        <f>H90+H115+H121+H79</f>
        <v>0</v>
      </c>
      <c r="I78" s="178" t="str">
        <f t="shared" si="1"/>
        <v>601010000 0 00 00000000</v>
      </c>
      <c r="L78" s="18">
        <v>255808.66999999998</v>
      </c>
      <c r="M78" s="18">
        <v>239420.95</v>
      </c>
      <c r="N78" s="18">
        <v>239474.05</v>
      </c>
      <c r="O78" s="18">
        <f t="shared" si="8"/>
        <v>-255808.66999999998</v>
      </c>
      <c r="P78" s="18" t="e">
        <f>#REF!-M78</f>
        <v>#REF!</v>
      </c>
      <c r="Q78" s="18" t="e">
        <f>#REF!-N78</f>
        <v>#REF!</v>
      </c>
      <c r="R78" s="17" t="str">
        <f t="shared" si="2"/>
        <v>00 0 00 00000000</v>
      </c>
    </row>
    <row r="79" spans="1:18" s="16" customFormat="1" ht="47.25">
      <c r="A79" s="14"/>
      <c r="B79" s="121" t="s">
        <v>65</v>
      </c>
      <c r="C79" s="122" t="s">
        <v>64</v>
      </c>
      <c r="D79" s="123" t="s">
        <v>11</v>
      </c>
      <c r="E79" s="123" t="s">
        <v>62</v>
      </c>
      <c r="F79" s="123" t="s">
        <v>8</v>
      </c>
      <c r="G79" s="123" t="s">
        <v>9</v>
      </c>
      <c r="H79" s="124">
        <f>H80</f>
        <v>0</v>
      </c>
      <c r="I79" s="178" t="str">
        <f t="shared" si="1"/>
        <v>601010200 0 00 00000000</v>
      </c>
      <c r="L79" s="19">
        <v>1593.55</v>
      </c>
      <c r="M79" s="19">
        <v>1593.55</v>
      </c>
      <c r="N79" s="19">
        <v>1593.55</v>
      </c>
      <c r="O79" s="19">
        <f t="shared" si="8"/>
        <v>-1593.55</v>
      </c>
      <c r="P79" s="19" t="e">
        <f>#REF!-M79</f>
        <v>#REF!</v>
      </c>
      <c r="Q79" s="19" t="e">
        <f>#REF!-N79</f>
        <v>#REF!</v>
      </c>
      <c r="R79" s="17" t="str">
        <f t="shared" si="2"/>
        <v>00 0 00 00000000</v>
      </c>
    </row>
    <row r="80" spans="1:18" s="16" customFormat="1" ht="31.5">
      <c r="A80" s="14"/>
      <c r="B80" s="129" t="s">
        <v>66</v>
      </c>
      <c r="C80" s="109" t="s">
        <v>64</v>
      </c>
      <c r="D80" s="108" t="s">
        <v>11</v>
      </c>
      <c r="E80" s="108" t="s">
        <v>62</v>
      </c>
      <c r="F80" s="108" t="s">
        <v>67</v>
      </c>
      <c r="G80" s="108" t="s">
        <v>9</v>
      </c>
      <c r="H80" s="126">
        <f>H81</f>
        <v>0</v>
      </c>
      <c r="I80" s="178" t="str">
        <f t="shared" si="1"/>
        <v>601010271 0 00 00000000</v>
      </c>
      <c r="L80" s="20">
        <v>1593.55</v>
      </c>
      <c r="M80" s="20">
        <v>1593.55</v>
      </c>
      <c r="N80" s="20">
        <v>1593.55</v>
      </c>
      <c r="O80" s="20">
        <f t="shared" si="8"/>
        <v>-1593.55</v>
      </c>
      <c r="P80" s="20" t="e">
        <f>#REF!-M80</f>
        <v>#REF!</v>
      </c>
      <c r="Q80" s="20" t="e">
        <f>#REF!-N80</f>
        <v>#REF!</v>
      </c>
      <c r="R80" s="17" t="str">
        <f t="shared" si="2"/>
        <v>71 0 00 00000000</v>
      </c>
    </row>
    <row r="81" spans="1:18" s="16" customFormat="1" ht="15.75">
      <c r="A81" s="14"/>
      <c r="B81" s="125" t="s">
        <v>68</v>
      </c>
      <c r="C81" s="109" t="s">
        <v>64</v>
      </c>
      <c r="D81" s="108" t="s">
        <v>11</v>
      </c>
      <c r="E81" s="108" t="s">
        <v>62</v>
      </c>
      <c r="F81" s="108" t="s">
        <v>69</v>
      </c>
      <c r="G81" s="108" t="s">
        <v>9</v>
      </c>
      <c r="H81" s="126">
        <f>H82+H86</f>
        <v>0</v>
      </c>
      <c r="I81" s="178" t="str">
        <f t="shared" si="1"/>
        <v>601010271 2 00 00000000</v>
      </c>
      <c r="L81" s="20">
        <v>1593.55</v>
      </c>
      <c r="M81" s="20">
        <v>1593.55</v>
      </c>
      <c r="N81" s="20">
        <v>1593.55</v>
      </c>
      <c r="O81" s="20">
        <f t="shared" si="8"/>
        <v>-1593.55</v>
      </c>
      <c r="P81" s="20" t="e">
        <f>#REF!-M81</f>
        <v>#REF!</v>
      </c>
      <c r="Q81" s="20" t="e">
        <f>#REF!-N81</f>
        <v>#REF!</v>
      </c>
      <c r="R81" s="17" t="str">
        <f t="shared" si="2"/>
        <v>71 2 00 00000000</v>
      </c>
    </row>
    <row r="82" spans="1:18" s="16" customFormat="1" ht="31.5">
      <c r="A82" s="14"/>
      <c r="B82" s="125" t="s">
        <v>18</v>
      </c>
      <c r="C82" s="109" t="s">
        <v>64</v>
      </c>
      <c r="D82" s="108" t="s">
        <v>11</v>
      </c>
      <c r="E82" s="108" t="s">
        <v>62</v>
      </c>
      <c r="F82" s="108" t="s">
        <v>70</v>
      </c>
      <c r="G82" s="108" t="s">
        <v>9</v>
      </c>
      <c r="H82" s="126">
        <f>H83</f>
        <v>0</v>
      </c>
      <c r="I82" s="178" t="str">
        <f t="shared" si="1"/>
        <v>601010271 2 00 10010000</v>
      </c>
      <c r="L82" s="20">
        <v>41.55</v>
      </c>
      <c r="M82" s="20">
        <v>41.55</v>
      </c>
      <c r="N82" s="20">
        <v>41.55</v>
      </c>
      <c r="O82" s="20">
        <f t="shared" si="8"/>
        <v>-41.55</v>
      </c>
      <c r="P82" s="20" t="e">
        <f>#REF!-M82</f>
        <v>#REF!</v>
      </c>
      <c r="Q82" s="20" t="e">
        <f>#REF!-N82</f>
        <v>#REF!</v>
      </c>
      <c r="R82" s="17" t="str">
        <f t="shared" si="2"/>
        <v>71 2 00 10010000</v>
      </c>
    </row>
    <row r="83" spans="1:18" s="16" customFormat="1" ht="31.5">
      <c r="A83" s="14"/>
      <c r="B83" s="127" t="s">
        <v>20</v>
      </c>
      <c r="C83" s="109" t="s">
        <v>64</v>
      </c>
      <c r="D83" s="108" t="s">
        <v>11</v>
      </c>
      <c r="E83" s="108" t="s">
        <v>62</v>
      </c>
      <c r="F83" s="108" t="s">
        <v>70</v>
      </c>
      <c r="G83" s="108" t="s">
        <v>21</v>
      </c>
      <c r="H83" s="126">
        <f>SUM(H84:H85)</f>
        <v>0</v>
      </c>
      <c r="I83" s="178" t="str">
        <f t="shared" si="1"/>
        <v>601010271 2 00 10010120</v>
      </c>
      <c r="L83" s="20">
        <v>41.55</v>
      </c>
      <c r="M83" s="20">
        <v>41.55</v>
      </c>
      <c r="N83" s="20">
        <v>41.55</v>
      </c>
      <c r="O83" s="20">
        <f t="shared" si="8"/>
        <v>-41.55</v>
      </c>
      <c r="P83" s="20" t="e">
        <f>#REF!-M83</f>
        <v>#REF!</v>
      </c>
      <c r="Q83" s="20" t="e">
        <f>#REF!-N83</f>
        <v>#REF!</v>
      </c>
      <c r="R83" s="17" t="str">
        <f t="shared" si="2"/>
        <v>71 2 00 10010120</v>
      </c>
    </row>
    <row r="84" spans="1:18" s="23" customFormat="1" ht="47.25">
      <c r="A84" s="21"/>
      <c r="B84" s="127" t="s">
        <v>22</v>
      </c>
      <c r="C84" s="109" t="s">
        <v>64</v>
      </c>
      <c r="D84" s="108" t="s">
        <v>11</v>
      </c>
      <c r="E84" s="108" t="s">
        <v>62</v>
      </c>
      <c r="F84" s="108" t="s">
        <v>70</v>
      </c>
      <c r="G84" s="108" t="s">
        <v>23</v>
      </c>
      <c r="H84" s="126"/>
      <c r="I84" s="178" t="str">
        <f t="shared" si="1"/>
        <v>601010271 2 00 10010122</v>
      </c>
      <c r="L84" s="22"/>
      <c r="M84" s="22"/>
      <c r="N84" s="22"/>
      <c r="O84" s="22"/>
      <c r="P84" s="22"/>
      <c r="Q84" s="22"/>
      <c r="R84" s="24"/>
    </row>
    <row r="85" spans="1:18" s="23" customFormat="1" ht="63">
      <c r="A85" s="21"/>
      <c r="B85" s="127" t="s">
        <v>26</v>
      </c>
      <c r="C85" s="109" t="s">
        <v>64</v>
      </c>
      <c r="D85" s="108" t="s">
        <v>11</v>
      </c>
      <c r="E85" s="108" t="s">
        <v>62</v>
      </c>
      <c r="F85" s="108" t="s">
        <v>70</v>
      </c>
      <c r="G85" s="108" t="s">
        <v>27</v>
      </c>
      <c r="H85" s="126"/>
      <c r="I85" s="178" t="str">
        <f t="shared" ref="I85:I148" si="9">C85&amp;D85&amp;E85&amp;F85&amp;G85</f>
        <v>601010271 2 00 10010129</v>
      </c>
      <c r="L85" s="22"/>
      <c r="M85" s="22"/>
      <c r="N85" s="22"/>
      <c r="O85" s="22"/>
      <c r="P85" s="22"/>
      <c r="Q85" s="22"/>
      <c r="R85" s="24"/>
    </row>
    <row r="86" spans="1:18" s="16" customFormat="1" ht="31.5">
      <c r="A86" s="14"/>
      <c r="B86" s="125" t="s">
        <v>38</v>
      </c>
      <c r="C86" s="109" t="s">
        <v>64</v>
      </c>
      <c r="D86" s="108" t="s">
        <v>11</v>
      </c>
      <c r="E86" s="108" t="s">
        <v>62</v>
      </c>
      <c r="F86" s="108" t="s">
        <v>71</v>
      </c>
      <c r="G86" s="108" t="s">
        <v>9</v>
      </c>
      <c r="H86" s="126">
        <f>H87</f>
        <v>0</v>
      </c>
      <c r="I86" s="178" t="str">
        <f t="shared" si="9"/>
        <v>601010271 2 00 10020000</v>
      </c>
      <c r="L86" s="20">
        <v>1552</v>
      </c>
      <c r="M86" s="20">
        <v>1552</v>
      </c>
      <c r="N86" s="20">
        <v>1552</v>
      </c>
      <c r="O86" s="20">
        <f>H86-L86</f>
        <v>-1552</v>
      </c>
      <c r="P86" s="20" t="e">
        <f>#REF!-M86</f>
        <v>#REF!</v>
      </c>
      <c r="Q86" s="20" t="e">
        <f>#REF!-N86</f>
        <v>#REF!</v>
      </c>
      <c r="R86" s="17" t="str">
        <f t="shared" si="2"/>
        <v>71 2 00 10020000</v>
      </c>
    </row>
    <row r="87" spans="1:18" s="16" customFormat="1" ht="31.5">
      <c r="A87" s="14"/>
      <c r="B87" s="127" t="s">
        <v>20</v>
      </c>
      <c r="C87" s="109" t="s">
        <v>64</v>
      </c>
      <c r="D87" s="108" t="s">
        <v>11</v>
      </c>
      <c r="E87" s="108" t="s">
        <v>62</v>
      </c>
      <c r="F87" s="108" t="s">
        <v>71</v>
      </c>
      <c r="G87" s="108" t="s">
        <v>21</v>
      </c>
      <c r="H87" s="126">
        <f>SUM(H88:H89)</f>
        <v>0</v>
      </c>
      <c r="I87" s="178" t="str">
        <f t="shared" si="9"/>
        <v>601010271 2 00 10020120</v>
      </c>
      <c r="L87" s="20">
        <v>1552</v>
      </c>
      <c r="M87" s="20">
        <v>1552</v>
      </c>
      <c r="N87" s="20">
        <v>1552</v>
      </c>
      <c r="O87" s="20">
        <f>H87-L87</f>
        <v>-1552</v>
      </c>
      <c r="P87" s="20" t="e">
        <f>#REF!-M87</f>
        <v>#REF!</v>
      </c>
      <c r="Q87" s="20" t="e">
        <f>#REF!-N87</f>
        <v>#REF!</v>
      </c>
      <c r="R87" s="17" t="str">
        <f t="shared" si="2"/>
        <v>71 2 00 10020120</v>
      </c>
    </row>
    <row r="88" spans="1:18" s="23" customFormat="1" ht="31.5">
      <c r="A88" s="21"/>
      <c r="B88" s="127" t="s">
        <v>40</v>
      </c>
      <c r="C88" s="109" t="s">
        <v>64</v>
      </c>
      <c r="D88" s="108" t="s">
        <v>11</v>
      </c>
      <c r="E88" s="108" t="s">
        <v>62</v>
      </c>
      <c r="F88" s="108" t="s">
        <v>71</v>
      </c>
      <c r="G88" s="108" t="s">
        <v>41</v>
      </c>
      <c r="H88" s="126"/>
      <c r="I88" s="178" t="str">
        <f t="shared" si="9"/>
        <v>601010271 2 00 10020121</v>
      </c>
      <c r="L88" s="22"/>
      <c r="M88" s="22"/>
      <c r="N88" s="22"/>
      <c r="O88" s="22"/>
      <c r="P88" s="22"/>
      <c r="Q88" s="22"/>
      <c r="R88" s="24"/>
    </row>
    <row r="89" spans="1:18" s="23" customFormat="1" ht="63">
      <c r="A89" s="21"/>
      <c r="B89" s="127" t="s">
        <v>26</v>
      </c>
      <c r="C89" s="109" t="s">
        <v>64</v>
      </c>
      <c r="D89" s="108" t="s">
        <v>11</v>
      </c>
      <c r="E89" s="108" t="s">
        <v>62</v>
      </c>
      <c r="F89" s="108" t="s">
        <v>71</v>
      </c>
      <c r="G89" s="108" t="s">
        <v>27</v>
      </c>
      <c r="H89" s="126"/>
      <c r="I89" s="178" t="str">
        <f t="shared" si="9"/>
        <v>601010271 2 00 10020129</v>
      </c>
      <c r="L89" s="22"/>
      <c r="M89" s="22"/>
      <c r="N89" s="22"/>
      <c r="O89" s="22"/>
      <c r="P89" s="22"/>
      <c r="Q89" s="22"/>
      <c r="R89" s="24"/>
    </row>
    <row r="90" spans="1:18" s="16" customFormat="1" ht="63">
      <c r="A90" s="14"/>
      <c r="B90" s="121" t="s">
        <v>72</v>
      </c>
      <c r="C90" s="122" t="s">
        <v>64</v>
      </c>
      <c r="D90" s="123" t="s">
        <v>11</v>
      </c>
      <c r="E90" s="123" t="s">
        <v>73</v>
      </c>
      <c r="F90" s="123" t="s">
        <v>8</v>
      </c>
      <c r="G90" s="123" t="s">
        <v>9</v>
      </c>
      <c r="H90" s="124">
        <f>H91</f>
        <v>0</v>
      </c>
      <c r="I90" s="178" t="str">
        <f t="shared" si="9"/>
        <v>601010400 0 00 00000000</v>
      </c>
      <c r="L90" s="19">
        <v>106659.61</v>
      </c>
      <c r="M90" s="19">
        <v>106659.61</v>
      </c>
      <c r="N90" s="19">
        <v>106659.61</v>
      </c>
      <c r="O90" s="19">
        <f>H90-L90</f>
        <v>-106659.61</v>
      </c>
      <c r="P90" s="19" t="e">
        <f>#REF!-M90</f>
        <v>#REF!</v>
      </c>
      <c r="Q90" s="19" t="e">
        <f>#REF!-N90</f>
        <v>#REF!</v>
      </c>
      <c r="R90" s="17" t="str">
        <f t="shared" si="2"/>
        <v>00 0 00 00000000</v>
      </c>
    </row>
    <row r="91" spans="1:18" s="16" customFormat="1" ht="31.5">
      <c r="A91" s="14"/>
      <c r="B91" s="129" t="s">
        <v>66</v>
      </c>
      <c r="C91" s="109" t="s">
        <v>64</v>
      </c>
      <c r="D91" s="108" t="s">
        <v>11</v>
      </c>
      <c r="E91" s="108" t="s">
        <v>73</v>
      </c>
      <c r="F91" s="108" t="s">
        <v>67</v>
      </c>
      <c r="G91" s="108" t="s">
        <v>9</v>
      </c>
      <c r="H91" s="126">
        <f>H92</f>
        <v>0</v>
      </c>
      <c r="I91" s="178" t="str">
        <f t="shared" si="9"/>
        <v>601010471 0 00 00000000</v>
      </c>
      <c r="L91" s="20">
        <v>106659.61</v>
      </c>
      <c r="M91" s="20">
        <v>106659.61</v>
      </c>
      <c r="N91" s="20">
        <v>106659.61</v>
      </c>
      <c r="O91" s="20">
        <f>H91-L91</f>
        <v>-106659.61</v>
      </c>
      <c r="P91" s="20" t="e">
        <f>#REF!-M91</f>
        <v>#REF!</v>
      </c>
      <c r="Q91" s="20" t="e">
        <f>#REF!-N91</f>
        <v>#REF!</v>
      </c>
      <c r="R91" s="17" t="str">
        <f t="shared" si="2"/>
        <v>71 0 00 00000000</v>
      </c>
    </row>
    <row r="92" spans="1:18" s="16" customFormat="1" ht="31.5">
      <c r="A92" s="14"/>
      <c r="B92" s="129" t="s">
        <v>74</v>
      </c>
      <c r="C92" s="109" t="s">
        <v>64</v>
      </c>
      <c r="D92" s="108" t="s">
        <v>11</v>
      </c>
      <c r="E92" s="108" t="s">
        <v>73</v>
      </c>
      <c r="F92" s="108" t="s">
        <v>75</v>
      </c>
      <c r="G92" s="108" t="s">
        <v>9</v>
      </c>
      <c r="H92" s="126">
        <f>H93+H102+H106+H112</f>
        <v>0</v>
      </c>
      <c r="I92" s="178" t="str">
        <f t="shared" si="9"/>
        <v>601010471 1 00 00000000</v>
      </c>
      <c r="L92" s="20">
        <v>106659.61</v>
      </c>
      <c r="M92" s="20">
        <v>106659.61</v>
      </c>
      <c r="N92" s="20">
        <v>106659.61</v>
      </c>
      <c r="O92" s="20">
        <f>H92-L92</f>
        <v>-106659.61</v>
      </c>
      <c r="P92" s="20" t="e">
        <f>#REF!-M92</f>
        <v>#REF!</v>
      </c>
      <c r="Q92" s="20" t="e">
        <f>#REF!-N92</f>
        <v>#REF!</v>
      </c>
      <c r="R92" s="17" t="str">
        <f t="shared" si="2"/>
        <v>71 1 00 00000000</v>
      </c>
    </row>
    <row r="93" spans="1:18" s="16" customFormat="1" ht="31.5">
      <c r="A93" s="14"/>
      <c r="B93" s="129" t="s">
        <v>18</v>
      </c>
      <c r="C93" s="130" t="s">
        <v>64</v>
      </c>
      <c r="D93" s="131" t="s">
        <v>11</v>
      </c>
      <c r="E93" s="131" t="s">
        <v>73</v>
      </c>
      <c r="F93" s="131" t="s">
        <v>76</v>
      </c>
      <c r="G93" s="131" t="s">
        <v>9</v>
      </c>
      <c r="H93" s="105">
        <f>H94+H97+H99</f>
        <v>0</v>
      </c>
      <c r="I93" s="178" t="str">
        <f t="shared" si="9"/>
        <v>601010471 1 00 10010000</v>
      </c>
      <c r="L93" s="26">
        <v>12140.56</v>
      </c>
      <c r="M93" s="26">
        <v>12140.56</v>
      </c>
      <c r="N93" s="26">
        <v>12140.56</v>
      </c>
      <c r="O93" s="26">
        <f>H93-L93</f>
        <v>-12140.56</v>
      </c>
      <c r="P93" s="26" t="e">
        <f>#REF!-M93</f>
        <v>#REF!</v>
      </c>
      <c r="Q93" s="26" t="e">
        <f>#REF!-N93</f>
        <v>#REF!</v>
      </c>
      <c r="R93" s="17" t="str">
        <f t="shared" si="2"/>
        <v>71 1 00 10010000</v>
      </c>
    </row>
    <row r="94" spans="1:18" s="16" customFormat="1" ht="31.5">
      <c r="A94" s="14"/>
      <c r="B94" s="127" t="s">
        <v>20</v>
      </c>
      <c r="C94" s="130" t="s">
        <v>64</v>
      </c>
      <c r="D94" s="131" t="s">
        <v>11</v>
      </c>
      <c r="E94" s="131" t="s">
        <v>73</v>
      </c>
      <c r="F94" s="131" t="s">
        <v>76</v>
      </c>
      <c r="G94" s="108" t="s">
        <v>21</v>
      </c>
      <c r="H94" s="126">
        <f>SUM(H95:H96)</f>
        <v>0</v>
      </c>
      <c r="I94" s="178" t="str">
        <f t="shared" si="9"/>
        <v>601010471 1 00 10010120</v>
      </c>
      <c r="L94" s="20">
        <v>4414.8999999999996</v>
      </c>
      <c r="M94" s="20">
        <v>4414.8999999999996</v>
      </c>
      <c r="N94" s="20">
        <v>4414.8999999999996</v>
      </c>
      <c r="O94" s="20">
        <f>H94-L94</f>
        <v>-4414.8999999999996</v>
      </c>
      <c r="P94" s="20" t="e">
        <f>#REF!-M94</f>
        <v>#REF!</v>
      </c>
      <c r="Q94" s="20" t="e">
        <f>#REF!-N94</f>
        <v>#REF!</v>
      </c>
      <c r="R94" s="17" t="str">
        <f t="shared" si="2"/>
        <v>71 1 00 10010120</v>
      </c>
    </row>
    <row r="95" spans="1:18" s="23" customFormat="1" ht="47.25">
      <c r="A95" s="21"/>
      <c r="B95" s="127" t="s">
        <v>22</v>
      </c>
      <c r="C95" s="130" t="s">
        <v>64</v>
      </c>
      <c r="D95" s="131" t="s">
        <v>11</v>
      </c>
      <c r="E95" s="131" t="s">
        <v>73</v>
      </c>
      <c r="F95" s="131" t="s">
        <v>76</v>
      </c>
      <c r="G95" s="108" t="s">
        <v>23</v>
      </c>
      <c r="H95" s="126"/>
      <c r="I95" s="178" t="str">
        <f t="shared" si="9"/>
        <v>601010471 1 00 10010122</v>
      </c>
      <c r="L95" s="22"/>
      <c r="M95" s="22"/>
      <c r="N95" s="22"/>
      <c r="O95" s="22"/>
      <c r="P95" s="22"/>
      <c r="Q95" s="22"/>
      <c r="R95" s="24"/>
    </row>
    <row r="96" spans="1:18" s="23" customFormat="1" ht="63">
      <c r="A96" s="21"/>
      <c r="B96" s="127" t="s">
        <v>26</v>
      </c>
      <c r="C96" s="130" t="s">
        <v>64</v>
      </c>
      <c r="D96" s="131" t="s">
        <v>11</v>
      </c>
      <c r="E96" s="131" t="s">
        <v>73</v>
      </c>
      <c r="F96" s="131" t="s">
        <v>76</v>
      </c>
      <c r="G96" s="108" t="s">
        <v>27</v>
      </c>
      <c r="H96" s="126"/>
      <c r="I96" s="178" t="str">
        <f t="shared" si="9"/>
        <v>601010471 1 00 10010129</v>
      </c>
      <c r="L96" s="22"/>
      <c r="M96" s="22"/>
      <c r="N96" s="22"/>
      <c r="O96" s="22"/>
      <c r="P96" s="22"/>
      <c r="Q96" s="22"/>
      <c r="R96" s="24"/>
    </row>
    <row r="97" spans="1:18" s="16" customFormat="1" ht="31.5">
      <c r="A97" s="14"/>
      <c r="B97" s="125" t="s">
        <v>28</v>
      </c>
      <c r="C97" s="130" t="s">
        <v>64</v>
      </c>
      <c r="D97" s="131" t="s">
        <v>11</v>
      </c>
      <c r="E97" s="131" t="s">
        <v>73</v>
      </c>
      <c r="F97" s="131" t="s">
        <v>76</v>
      </c>
      <c r="G97" s="108" t="s">
        <v>29</v>
      </c>
      <c r="H97" s="126">
        <f>H98</f>
        <v>0</v>
      </c>
      <c r="I97" s="178" t="str">
        <f t="shared" si="9"/>
        <v>601010471 1 00 10010240</v>
      </c>
      <c r="L97" s="20">
        <v>7701.66</v>
      </c>
      <c r="M97" s="20">
        <v>7701.66</v>
      </c>
      <c r="N97" s="20">
        <v>7701.66</v>
      </c>
      <c r="O97" s="20">
        <f>H97-L97</f>
        <v>-7701.66</v>
      </c>
      <c r="P97" s="20" t="e">
        <f>#REF!-M97</f>
        <v>#REF!</v>
      </c>
      <c r="Q97" s="20" t="e">
        <f>#REF!-N97</f>
        <v>#REF!</v>
      </c>
      <c r="R97" s="17" t="str">
        <f t="shared" si="2"/>
        <v>71 1 00 10010240</v>
      </c>
    </row>
    <row r="98" spans="1:18" s="16" customFormat="1" ht="15.75">
      <c r="A98" s="14"/>
      <c r="B98" s="125" t="s">
        <v>30</v>
      </c>
      <c r="C98" s="130" t="s">
        <v>64</v>
      </c>
      <c r="D98" s="131" t="s">
        <v>11</v>
      </c>
      <c r="E98" s="131" t="s">
        <v>73</v>
      </c>
      <c r="F98" s="131" t="s">
        <v>76</v>
      </c>
      <c r="G98" s="108" t="s">
        <v>31</v>
      </c>
      <c r="H98" s="126"/>
      <c r="I98" s="178" t="str">
        <f t="shared" si="9"/>
        <v>601010471 1 00 10010244</v>
      </c>
      <c r="L98" s="20"/>
      <c r="M98" s="20"/>
      <c r="N98" s="20"/>
      <c r="O98" s="20"/>
      <c r="P98" s="20"/>
      <c r="Q98" s="20"/>
      <c r="R98" s="17"/>
    </row>
    <row r="99" spans="1:18" s="16" customFormat="1" ht="15.75">
      <c r="A99" s="14"/>
      <c r="B99" s="125" t="s">
        <v>32</v>
      </c>
      <c r="C99" s="130" t="s">
        <v>64</v>
      </c>
      <c r="D99" s="131" t="s">
        <v>11</v>
      </c>
      <c r="E99" s="131" t="s">
        <v>73</v>
      </c>
      <c r="F99" s="131" t="s">
        <v>76</v>
      </c>
      <c r="G99" s="108" t="s">
        <v>33</v>
      </c>
      <c r="H99" s="126">
        <f>SUM(H100:H101)</f>
        <v>0</v>
      </c>
      <c r="I99" s="178" t="str">
        <f t="shared" si="9"/>
        <v>601010471 1 00 10010850</v>
      </c>
      <c r="L99" s="20">
        <v>24</v>
      </c>
      <c r="M99" s="20">
        <v>24</v>
      </c>
      <c r="N99" s="20">
        <v>24</v>
      </c>
      <c r="O99" s="20">
        <f>H99-L99</f>
        <v>-24</v>
      </c>
      <c r="P99" s="20" t="e">
        <f>#REF!-M99</f>
        <v>#REF!</v>
      </c>
      <c r="Q99" s="20" t="e">
        <f>#REF!-N99</f>
        <v>#REF!</v>
      </c>
      <c r="R99" s="17" t="str">
        <f t="shared" si="2"/>
        <v>71 1 00 10010850</v>
      </c>
    </row>
    <row r="100" spans="1:18" s="16" customFormat="1" ht="15.75">
      <c r="A100" s="14"/>
      <c r="B100" s="125" t="s">
        <v>36</v>
      </c>
      <c r="C100" s="109" t="s">
        <v>64</v>
      </c>
      <c r="D100" s="108" t="s">
        <v>11</v>
      </c>
      <c r="E100" s="108" t="s">
        <v>73</v>
      </c>
      <c r="F100" s="108" t="s">
        <v>76</v>
      </c>
      <c r="G100" s="108" t="s">
        <v>37</v>
      </c>
      <c r="H100" s="126"/>
      <c r="I100" s="178" t="str">
        <f t="shared" si="9"/>
        <v>601010471 1 00 10010852</v>
      </c>
      <c r="L100" s="20"/>
      <c r="M100" s="20"/>
      <c r="N100" s="20"/>
      <c r="O100" s="20"/>
      <c r="P100" s="20"/>
      <c r="Q100" s="20"/>
      <c r="R100" s="17"/>
    </row>
    <row r="101" spans="1:18" s="16" customFormat="1" ht="15.75">
      <c r="A101" s="14"/>
      <c r="B101" s="125" t="s">
        <v>77</v>
      </c>
      <c r="C101" s="109" t="s">
        <v>64</v>
      </c>
      <c r="D101" s="108" t="s">
        <v>11</v>
      </c>
      <c r="E101" s="108" t="s">
        <v>73</v>
      </c>
      <c r="F101" s="108" t="s">
        <v>76</v>
      </c>
      <c r="G101" s="108" t="s">
        <v>78</v>
      </c>
      <c r="H101" s="126"/>
      <c r="I101" s="178" t="str">
        <f t="shared" si="9"/>
        <v>601010471 1 00 10010853</v>
      </c>
      <c r="L101" s="20"/>
      <c r="M101" s="20"/>
      <c r="N101" s="20"/>
      <c r="O101" s="20"/>
      <c r="P101" s="20"/>
      <c r="Q101" s="20"/>
      <c r="R101" s="17"/>
    </row>
    <row r="102" spans="1:18" s="16" customFormat="1" ht="31.5">
      <c r="A102" s="14"/>
      <c r="B102" s="129" t="s">
        <v>38</v>
      </c>
      <c r="C102" s="109" t="s">
        <v>64</v>
      </c>
      <c r="D102" s="108" t="s">
        <v>11</v>
      </c>
      <c r="E102" s="108" t="s">
        <v>73</v>
      </c>
      <c r="F102" s="108" t="s">
        <v>79</v>
      </c>
      <c r="G102" s="131" t="s">
        <v>9</v>
      </c>
      <c r="H102" s="126">
        <f>H103</f>
        <v>0</v>
      </c>
      <c r="I102" s="178" t="str">
        <f t="shared" si="9"/>
        <v>601010471 1 00 10020000</v>
      </c>
      <c r="L102" s="20">
        <v>93494.03</v>
      </c>
      <c r="M102" s="20">
        <v>93494.03</v>
      </c>
      <c r="N102" s="20">
        <v>93494.03</v>
      </c>
      <c r="O102" s="20">
        <f>H102-L102</f>
        <v>-93494.03</v>
      </c>
      <c r="P102" s="20" t="e">
        <f>#REF!-M102</f>
        <v>#REF!</v>
      </c>
      <c r="Q102" s="20" t="e">
        <f>#REF!-N102</f>
        <v>#REF!</v>
      </c>
      <c r="R102" s="17" t="str">
        <f t="shared" si="2"/>
        <v>71 1 00 10020000</v>
      </c>
    </row>
    <row r="103" spans="1:18" s="16" customFormat="1" ht="31.5">
      <c r="A103" s="14"/>
      <c r="B103" s="127" t="s">
        <v>20</v>
      </c>
      <c r="C103" s="109" t="s">
        <v>64</v>
      </c>
      <c r="D103" s="108" t="s">
        <v>11</v>
      </c>
      <c r="E103" s="108" t="s">
        <v>73</v>
      </c>
      <c r="F103" s="108" t="s">
        <v>79</v>
      </c>
      <c r="G103" s="131" t="s">
        <v>21</v>
      </c>
      <c r="H103" s="126">
        <f>SUM(H104:H105)</f>
        <v>0</v>
      </c>
      <c r="I103" s="178" t="str">
        <f t="shared" si="9"/>
        <v>601010471 1 00 10020120</v>
      </c>
      <c r="L103" s="20">
        <v>93494.03</v>
      </c>
      <c r="M103" s="20">
        <v>93494.03</v>
      </c>
      <c r="N103" s="20">
        <v>93494.03</v>
      </c>
      <c r="O103" s="20">
        <f>H103-L103</f>
        <v>-93494.03</v>
      </c>
      <c r="P103" s="20" t="e">
        <f>#REF!-M103</f>
        <v>#REF!</v>
      </c>
      <c r="Q103" s="20" t="e">
        <f>#REF!-N103</f>
        <v>#REF!</v>
      </c>
      <c r="R103" s="17" t="str">
        <f t="shared" si="2"/>
        <v>71 1 00 10020120</v>
      </c>
    </row>
    <row r="104" spans="1:18" s="16" customFormat="1" ht="31.5">
      <c r="A104" s="14"/>
      <c r="B104" s="125" t="s">
        <v>40</v>
      </c>
      <c r="C104" s="109" t="s">
        <v>64</v>
      </c>
      <c r="D104" s="108" t="s">
        <v>11</v>
      </c>
      <c r="E104" s="108" t="s">
        <v>73</v>
      </c>
      <c r="F104" s="108" t="s">
        <v>79</v>
      </c>
      <c r="G104" s="108" t="s">
        <v>41</v>
      </c>
      <c r="H104" s="126"/>
      <c r="I104" s="178" t="str">
        <f t="shared" si="9"/>
        <v>601010471 1 00 10020121</v>
      </c>
      <c r="L104" s="20"/>
      <c r="M104" s="20"/>
      <c r="N104" s="20"/>
      <c r="O104" s="20"/>
      <c r="P104" s="20"/>
      <c r="Q104" s="20"/>
      <c r="R104" s="17"/>
    </row>
    <row r="105" spans="1:18" s="16" customFormat="1" ht="63">
      <c r="A105" s="14"/>
      <c r="B105" s="125" t="s">
        <v>26</v>
      </c>
      <c r="C105" s="109" t="s">
        <v>64</v>
      </c>
      <c r="D105" s="108" t="s">
        <v>11</v>
      </c>
      <c r="E105" s="108" t="s">
        <v>73</v>
      </c>
      <c r="F105" s="108" t="s">
        <v>79</v>
      </c>
      <c r="G105" s="108" t="s">
        <v>27</v>
      </c>
      <c r="H105" s="126"/>
      <c r="I105" s="178" t="str">
        <f t="shared" si="9"/>
        <v>601010471 1 00 10020129</v>
      </c>
      <c r="L105" s="20"/>
      <c r="M105" s="20"/>
      <c r="N105" s="20"/>
      <c r="O105" s="20"/>
      <c r="P105" s="20"/>
      <c r="Q105" s="20"/>
      <c r="R105" s="17"/>
    </row>
    <row r="106" spans="1:18" s="16" customFormat="1" ht="63">
      <c r="A106" s="14" t="s">
        <v>80</v>
      </c>
      <c r="B106" s="125" t="s">
        <v>81</v>
      </c>
      <c r="C106" s="130" t="s">
        <v>64</v>
      </c>
      <c r="D106" s="131" t="s">
        <v>11</v>
      </c>
      <c r="E106" s="131" t="s">
        <v>73</v>
      </c>
      <c r="F106" s="131" t="s">
        <v>82</v>
      </c>
      <c r="G106" s="131" t="s">
        <v>9</v>
      </c>
      <c r="H106" s="126">
        <f>H107+H110</f>
        <v>0</v>
      </c>
      <c r="I106" s="178" t="str">
        <f t="shared" si="9"/>
        <v>601010471 1 00 76630000</v>
      </c>
      <c r="L106" s="20">
        <v>1016.02</v>
      </c>
      <c r="M106" s="20">
        <v>1016.02</v>
      </c>
      <c r="N106" s="20">
        <v>1016.02</v>
      </c>
      <c r="O106" s="20">
        <f>H106-L106</f>
        <v>-1016.02</v>
      </c>
      <c r="P106" s="20" t="e">
        <f>#REF!-M106</f>
        <v>#REF!</v>
      </c>
      <c r="Q106" s="20" t="e">
        <f>#REF!-N106</f>
        <v>#REF!</v>
      </c>
      <c r="R106" s="17" t="str">
        <f t="shared" si="2"/>
        <v>71 1 00 76630000</v>
      </c>
    </row>
    <row r="107" spans="1:18" s="16" customFormat="1" ht="31.5">
      <c r="A107" s="14"/>
      <c r="B107" s="127" t="s">
        <v>20</v>
      </c>
      <c r="C107" s="130" t="s">
        <v>64</v>
      </c>
      <c r="D107" s="131" t="s">
        <v>11</v>
      </c>
      <c r="E107" s="131" t="s">
        <v>73</v>
      </c>
      <c r="F107" s="131" t="s">
        <v>82</v>
      </c>
      <c r="G107" s="131" t="s">
        <v>21</v>
      </c>
      <c r="H107" s="126">
        <f>SUM(H108:H109)</f>
        <v>0</v>
      </c>
      <c r="I107" s="178" t="str">
        <f t="shared" si="9"/>
        <v>601010471 1 00 76630120</v>
      </c>
      <c r="L107" s="20">
        <v>803.81</v>
      </c>
      <c r="M107" s="20">
        <v>803.81</v>
      </c>
      <c r="N107" s="20">
        <v>803.81</v>
      </c>
      <c r="O107" s="20">
        <f>H107-L107</f>
        <v>-803.81</v>
      </c>
      <c r="P107" s="20" t="e">
        <f>#REF!-M107</f>
        <v>#REF!</v>
      </c>
      <c r="Q107" s="20" t="e">
        <f>#REF!-N107</f>
        <v>#REF!</v>
      </c>
      <c r="R107" s="17" t="str">
        <f t="shared" si="2"/>
        <v>71 1 00 76630120</v>
      </c>
    </row>
    <row r="108" spans="1:18" s="23" customFormat="1" ht="31.5">
      <c r="A108" s="21"/>
      <c r="B108" s="127" t="s">
        <v>40</v>
      </c>
      <c r="C108" s="109" t="s">
        <v>64</v>
      </c>
      <c r="D108" s="108" t="s">
        <v>11</v>
      </c>
      <c r="E108" s="108" t="s">
        <v>73</v>
      </c>
      <c r="F108" s="108" t="s">
        <v>82</v>
      </c>
      <c r="G108" s="108" t="s">
        <v>41</v>
      </c>
      <c r="H108" s="126"/>
      <c r="I108" s="178" t="str">
        <f t="shared" si="9"/>
        <v>601010471 1 00 76630121</v>
      </c>
      <c r="L108" s="22"/>
      <c r="M108" s="22"/>
      <c r="N108" s="22"/>
      <c r="O108" s="22"/>
      <c r="P108" s="22"/>
      <c r="Q108" s="22"/>
      <c r="R108" s="24"/>
    </row>
    <row r="109" spans="1:18" s="23" customFormat="1" ht="63">
      <c r="A109" s="21"/>
      <c r="B109" s="127" t="s">
        <v>26</v>
      </c>
      <c r="C109" s="109" t="s">
        <v>64</v>
      </c>
      <c r="D109" s="108" t="s">
        <v>11</v>
      </c>
      <c r="E109" s="108" t="s">
        <v>73</v>
      </c>
      <c r="F109" s="108" t="s">
        <v>82</v>
      </c>
      <c r="G109" s="108" t="s">
        <v>27</v>
      </c>
      <c r="H109" s="126"/>
      <c r="I109" s="178" t="str">
        <f t="shared" si="9"/>
        <v>601010471 1 00 76630129</v>
      </c>
      <c r="L109" s="22"/>
      <c r="M109" s="22"/>
      <c r="N109" s="22"/>
      <c r="O109" s="22"/>
      <c r="P109" s="22"/>
      <c r="Q109" s="22"/>
      <c r="R109" s="24"/>
    </row>
    <row r="110" spans="1:18" s="16" customFormat="1" ht="31.5">
      <c r="A110" s="14"/>
      <c r="B110" s="125" t="s">
        <v>28</v>
      </c>
      <c r="C110" s="130" t="s">
        <v>64</v>
      </c>
      <c r="D110" s="131" t="s">
        <v>11</v>
      </c>
      <c r="E110" s="131" t="s">
        <v>73</v>
      </c>
      <c r="F110" s="131" t="s">
        <v>82</v>
      </c>
      <c r="G110" s="131" t="s">
        <v>29</v>
      </c>
      <c r="H110" s="126">
        <f>H111</f>
        <v>0</v>
      </c>
      <c r="I110" s="178" t="str">
        <f t="shared" si="9"/>
        <v>601010471 1 00 76630240</v>
      </c>
      <c r="L110" s="20">
        <v>212.21</v>
      </c>
      <c r="M110" s="20">
        <v>212.21</v>
      </c>
      <c r="N110" s="20">
        <v>212.21</v>
      </c>
      <c r="O110" s="20">
        <f>H110-L110</f>
        <v>-212.21</v>
      </c>
      <c r="P110" s="20" t="e">
        <f>#REF!-M110</f>
        <v>#REF!</v>
      </c>
      <c r="Q110" s="20" t="e">
        <f>#REF!-N110</f>
        <v>#REF!</v>
      </c>
      <c r="R110" s="17" t="str">
        <f t="shared" si="2"/>
        <v>71 1 00 76630240</v>
      </c>
    </row>
    <row r="111" spans="1:18" s="16" customFormat="1" ht="15.75">
      <c r="A111" s="14"/>
      <c r="B111" s="125" t="s">
        <v>30</v>
      </c>
      <c r="C111" s="130" t="s">
        <v>64</v>
      </c>
      <c r="D111" s="131" t="s">
        <v>11</v>
      </c>
      <c r="E111" s="131" t="s">
        <v>73</v>
      </c>
      <c r="F111" s="131" t="s">
        <v>82</v>
      </c>
      <c r="G111" s="131" t="s">
        <v>31</v>
      </c>
      <c r="H111" s="126"/>
      <c r="I111" s="178" t="str">
        <f t="shared" si="9"/>
        <v>601010471 1 00 76630244</v>
      </c>
      <c r="L111" s="20"/>
      <c r="M111" s="20"/>
      <c r="N111" s="20"/>
      <c r="O111" s="20"/>
      <c r="P111" s="20"/>
      <c r="Q111" s="20"/>
      <c r="R111" s="17"/>
    </row>
    <row r="112" spans="1:18" s="16" customFormat="1" ht="47.25">
      <c r="A112" s="14" t="s">
        <v>80</v>
      </c>
      <c r="B112" s="129" t="s">
        <v>83</v>
      </c>
      <c r="C112" s="130" t="s">
        <v>64</v>
      </c>
      <c r="D112" s="131" t="s">
        <v>11</v>
      </c>
      <c r="E112" s="131" t="s">
        <v>73</v>
      </c>
      <c r="F112" s="131" t="s">
        <v>84</v>
      </c>
      <c r="G112" s="131" t="s">
        <v>9</v>
      </c>
      <c r="H112" s="105">
        <f>H113</f>
        <v>0</v>
      </c>
      <c r="I112" s="178" t="str">
        <f t="shared" si="9"/>
        <v>601010471 1 00 76930000</v>
      </c>
      <c r="L112" s="26">
        <v>9</v>
      </c>
      <c r="M112" s="26">
        <v>9</v>
      </c>
      <c r="N112" s="26">
        <v>9</v>
      </c>
      <c r="O112" s="26">
        <f>H112-L112</f>
        <v>-9</v>
      </c>
      <c r="P112" s="26" t="e">
        <f>#REF!-M112</f>
        <v>#REF!</v>
      </c>
      <c r="Q112" s="26" t="e">
        <f>#REF!-N112</f>
        <v>#REF!</v>
      </c>
      <c r="R112" s="17" t="str">
        <f t="shared" si="2"/>
        <v>71 1 00 76930000</v>
      </c>
    </row>
    <row r="113" spans="1:18" s="16" customFormat="1" ht="31.5">
      <c r="A113" s="14"/>
      <c r="B113" s="125" t="s">
        <v>28</v>
      </c>
      <c r="C113" s="130" t="s">
        <v>64</v>
      </c>
      <c r="D113" s="131" t="s">
        <v>11</v>
      </c>
      <c r="E113" s="131" t="s">
        <v>73</v>
      </c>
      <c r="F113" s="131" t="s">
        <v>84</v>
      </c>
      <c r="G113" s="131" t="s">
        <v>29</v>
      </c>
      <c r="H113" s="126">
        <f>H114</f>
        <v>0</v>
      </c>
      <c r="I113" s="178" t="str">
        <f t="shared" si="9"/>
        <v>601010471 1 00 76930240</v>
      </c>
      <c r="L113" s="20">
        <v>9</v>
      </c>
      <c r="M113" s="20">
        <v>9</v>
      </c>
      <c r="N113" s="20">
        <v>9</v>
      </c>
      <c r="O113" s="20">
        <f>H113-L113</f>
        <v>-9</v>
      </c>
      <c r="P113" s="20" t="e">
        <f>#REF!-M113</f>
        <v>#REF!</v>
      </c>
      <c r="Q113" s="20" t="e">
        <f>#REF!-N113</f>
        <v>#REF!</v>
      </c>
      <c r="R113" s="17" t="str">
        <f t="shared" si="2"/>
        <v>71 1 00 76930240</v>
      </c>
    </row>
    <row r="114" spans="1:18" s="16" customFormat="1" ht="15.75">
      <c r="A114" s="14"/>
      <c r="B114" s="125" t="s">
        <v>30</v>
      </c>
      <c r="C114" s="130" t="s">
        <v>64</v>
      </c>
      <c r="D114" s="131" t="s">
        <v>11</v>
      </c>
      <c r="E114" s="131" t="s">
        <v>73</v>
      </c>
      <c r="F114" s="131" t="s">
        <v>84</v>
      </c>
      <c r="G114" s="131" t="s">
        <v>31</v>
      </c>
      <c r="H114" s="126"/>
      <c r="I114" s="178" t="str">
        <f t="shared" si="9"/>
        <v>601010471 1 00 76930244</v>
      </c>
      <c r="L114" s="20"/>
      <c r="M114" s="20"/>
      <c r="N114" s="20"/>
      <c r="O114" s="20"/>
      <c r="P114" s="20"/>
      <c r="Q114" s="20"/>
      <c r="R114" s="17"/>
    </row>
    <row r="115" spans="1:18" s="16" customFormat="1" ht="15.75">
      <c r="A115" s="14"/>
      <c r="B115" s="121" t="s">
        <v>85</v>
      </c>
      <c r="C115" s="122" t="s">
        <v>64</v>
      </c>
      <c r="D115" s="123" t="s">
        <v>11</v>
      </c>
      <c r="E115" s="123" t="s">
        <v>86</v>
      </c>
      <c r="F115" s="123" t="s">
        <v>8</v>
      </c>
      <c r="G115" s="123" t="s">
        <v>9</v>
      </c>
      <c r="H115" s="124">
        <f>H116</f>
        <v>0</v>
      </c>
      <c r="I115" s="178" t="str">
        <f t="shared" si="9"/>
        <v>601010500 0 00 00000000</v>
      </c>
      <c r="L115" s="19">
        <v>1291.44</v>
      </c>
      <c r="M115" s="19">
        <v>86.53</v>
      </c>
      <c r="N115" s="19">
        <v>139.63</v>
      </c>
      <c r="O115" s="19">
        <f>H115-L115</f>
        <v>-1291.44</v>
      </c>
      <c r="P115" s="19" t="e">
        <f>#REF!-M115</f>
        <v>#REF!</v>
      </c>
      <c r="Q115" s="19" t="e">
        <f>#REF!-N115</f>
        <v>#REF!</v>
      </c>
      <c r="R115" s="17" t="str">
        <f t="shared" si="2"/>
        <v>00 0 00 00000000</v>
      </c>
    </row>
    <row r="116" spans="1:18" s="16" customFormat="1" ht="63">
      <c r="A116" s="14"/>
      <c r="B116" s="125" t="s">
        <v>87</v>
      </c>
      <c r="C116" s="109" t="s">
        <v>64</v>
      </c>
      <c r="D116" s="108" t="s">
        <v>11</v>
      </c>
      <c r="E116" s="131" t="s">
        <v>86</v>
      </c>
      <c r="F116" s="108" t="s">
        <v>88</v>
      </c>
      <c r="G116" s="108" t="s">
        <v>9</v>
      </c>
      <c r="H116" s="126">
        <f t="shared" ref="H116:H118" si="10">H117</f>
        <v>0</v>
      </c>
      <c r="I116" s="178" t="str">
        <f t="shared" si="9"/>
        <v>601010598 0 00 00000000</v>
      </c>
      <c r="L116" s="20">
        <v>1291.44</v>
      </c>
      <c r="M116" s="20">
        <v>86.53</v>
      </c>
      <c r="N116" s="20">
        <v>139.63</v>
      </c>
      <c r="O116" s="20">
        <f>H116-L116</f>
        <v>-1291.44</v>
      </c>
      <c r="P116" s="20" t="e">
        <f>#REF!-M116</f>
        <v>#REF!</v>
      </c>
      <c r="Q116" s="20" t="e">
        <f>#REF!-N116</f>
        <v>#REF!</v>
      </c>
      <c r="R116" s="17" t="str">
        <f t="shared" si="2"/>
        <v>98 0 00 00000000</v>
      </c>
    </row>
    <row r="117" spans="1:18" s="16" customFormat="1" ht="15.75">
      <c r="A117" s="14"/>
      <c r="B117" s="125" t="s">
        <v>89</v>
      </c>
      <c r="C117" s="109" t="s">
        <v>64</v>
      </c>
      <c r="D117" s="108" t="s">
        <v>11</v>
      </c>
      <c r="E117" s="131" t="s">
        <v>86</v>
      </c>
      <c r="F117" s="108" t="s">
        <v>90</v>
      </c>
      <c r="G117" s="108" t="s">
        <v>9</v>
      </c>
      <c r="H117" s="126">
        <f t="shared" si="10"/>
        <v>0</v>
      </c>
      <c r="I117" s="178" t="str">
        <f t="shared" si="9"/>
        <v>601010598 1 00 00000000</v>
      </c>
      <c r="L117" s="20">
        <v>1291.44</v>
      </c>
      <c r="M117" s="20">
        <v>86.53</v>
      </c>
      <c r="N117" s="20">
        <v>139.63</v>
      </c>
      <c r="O117" s="20">
        <f>H117-L117</f>
        <v>-1291.44</v>
      </c>
      <c r="P117" s="20" t="e">
        <f>#REF!-M117</f>
        <v>#REF!</v>
      </c>
      <c r="Q117" s="20" t="e">
        <f>#REF!-N117</f>
        <v>#REF!</v>
      </c>
      <c r="R117" s="17" t="str">
        <f t="shared" si="2"/>
        <v>98 1 00 00000000</v>
      </c>
    </row>
    <row r="118" spans="1:18" s="16" customFormat="1" ht="63">
      <c r="A118" s="14" t="s">
        <v>91</v>
      </c>
      <c r="B118" s="129" t="s">
        <v>92</v>
      </c>
      <c r="C118" s="130" t="s">
        <v>64</v>
      </c>
      <c r="D118" s="131" t="s">
        <v>11</v>
      </c>
      <c r="E118" s="131" t="s">
        <v>86</v>
      </c>
      <c r="F118" s="131" t="s">
        <v>93</v>
      </c>
      <c r="G118" s="131" t="s">
        <v>9</v>
      </c>
      <c r="H118" s="105">
        <f t="shared" si="10"/>
        <v>0</v>
      </c>
      <c r="I118" s="178" t="str">
        <f t="shared" si="9"/>
        <v>601010598 1 00 51200000</v>
      </c>
      <c r="L118" s="26">
        <v>1291.44</v>
      </c>
      <c r="M118" s="26">
        <v>86.53</v>
      </c>
      <c r="N118" s="26">
        <v>139.63</v>
      </c>
      <c r="O118" s="26">
        <f>H118-L118</f>
        <v>-1291.44</v>
      </c>
      <c r="P118" s="26" t="e">
        <f>#REF!-M118</f>
        <v>#REF!</v>
      </c>
      <c r="Q118" s="26" t="e">
        <f>#REF!-N118</f>
        <v>#REF!</v>
      </c>
      <c r="R118" s="17" t="str">
        <f t="shared" si="2"/>
        <v>98 1 00 51200000</v>
      </c>
    </row>
    <row r="119" spans="1:18" s="16" customFormat="1" ht="31.5">
      <c r="A119" s="14"/>
      <c r="B119" s="125" t="s">
        <v>28</v>
      </c>
      <c r="C119" s="130" t="s">
        <v>64</v>
      </c>
      <c r="D119" s="131" t="s">
        <v>11</v>
      </c>
      <c r="E119" s="131" t="s">
        <v>86</v>
      </c>
      <c r="F119" s="131" t="s">
        <v>93</v>
      </c>
      <c r="G119" s="131" t="s">
        <v>29</v>
      </c>
      <c r="H119" s="126">
        <f>H120</f>
        <v>0</v>
      </c>
      <c r="I119" s="178" t="str">
        <f t="shared" si="9"/>
        <v>601010598 1 00 51200240</v>
      </c>
      <c r="L119" s="20">
        <v>1291.44</v>
      </c>
      <c r="M119" s="20">
        <v>86.53</v>
      </c>
      <c r="N119" s="20">
        <v>139.63</v>
      </c>
      <c r="O119" s="20">
        <f>H119-L119</f>
        <v>-1291.44</v>
      </c>
      <c r="P119" s="20" t="e">
        <f>#REF!-M119</f>
        <v>#REF!</v>
      </c>
      <c r="Q119" s="20" t="e">
        <f>#REF!-N119</f>
        <v>#REF!</v>
      </c>
      <c r="R119" s="17" t="str">
        <f t="shared" ref="R119:R203" si="11">CONCATENATE(F119,G119)</f>
        <v>98 1 00 51200240</v>
      </c>
    </row>
    <row r="120" spans="1:18" s="16" customFormat="1" ht="15.75">
      <c r="A120" s="14"/>
      <c r="B120" s="125" t="s">
        <v>30</v>
      </c>
      <c r="C120" s="130" t="s">
        <v>64</v>
      </c>
      <c r="D120" s="131" t="s">
        <v>11</v>
      </c>
      <c r="E120" s="131" t="s">
        <v>86</v>
      </c>
      <c r="F120" s="131" t="s">
        <v>93</v>
      </c>
      <c r="G120" s="131" t="s">
        <v>31</v>
      </c>
      <c r="H120" s="126"/>
      <c r="I120" s="178" t="str">
        <f t="shared" si="9"/>
        <v>601010598 1 00 51200244</v>
      </c>
      <c r="L120" s="20"/>
      <c r="M120" s="20"/>
      <c r="N120" s="20"/>
      <c r="O120" s="20"/>
      <c r="P120" s="20"/>
      <c r="Q120" s="20"/>
      <c r="R120" s="17"/>
    </row>
    <row r="121" spans="1:18" s="16" customFormat="1" ht="15.75">
      <c r="A121" s="14"/>
      <c r="B121" s="121" t="s">
        <v>50</v>
      </c>
      <c r="C121" s="122" t="s">
        <v>64</v>
      </c>
      <c r="D121" s="123" t="s">
        <v>11</v>
      </c>
      <c r="E121" s="123" t="s">
        <v>51</v>
      </c>
      <c r="F121" s="123" t="s">
        <v>8</v>
      </c>
      <c r="G121" s="123" t="s">
        <v>9</v>
      </c>
      <c r="H121" s="124">
        <f>H122+H131+H137+H172+H197+H203+H219</f>
        <v>0</v>
      </c>
      <c r="I121" s="178" t="str">
        <f t="shared" si="9"/>
        <v>601011300 0 00 00000000</v>
      </c>
      <c r="L121" s="19">
        <v>146264.07</v>
      </c>
      <c r="M121" s="19">
        <v>131081.26</v>
      </c>
      <c r="N121" s="19">
        <v>131081.26</v>
      </c>
      <c r="O121" s="19">
        <f t="shared" ref="O121:O126" si="12">H121-L121</f>
        <v>-146264.07</v>
      </c>
      <c r="P121" s="19" t="e">
        <f>#REF!-M121</f>
        <v>#REF!</v>
      </c>
      <c r="Q121" s="19" t="e">
        <f>#REF!-N121</f>
        <v>#REF!</v>
      </c>
      <c r="R121" s="17" t="str">
        <f t="shared" si="11"/>
        <v>00 0 00 00000000</v>
      </c>
    </row>
    <row r="122" spans="1:18" s="16" customFormat="1" ht="31.5">
      <c r="A122" s="14"/>
      <c r="B122" s="129" t="s">
        <v>94</v>
      </c>
      <c r="C122" s="109" t="s">
        <v>64</v>
      </c>
      <c r="D122" s="108" t="s">
        <v>11</v>
      </c>
      <c r="E122" s="108" t="s">
        <v>51</v>
      </c>
      <c r="F122" s="108" t="s">
        <v>95</v>
      </c>
      <c r="G122" s="108" t="s">
        <v>9</v>
      </c>
      <c r="H122" s="126">
        <f t="shared" ref="H122:H123" si="13">H123</f>
        <v>0</v>
      </c>
      <c r="I122" s="178" t="str">
        <f t="shared" si="9"/>
        <v>601011312 0 00 00000000</v>
      </c>
      <c r="L122" s="20">
        <v>2119.08</v>
      </c>
      <c r="M122" s="20">
        <v>2119.08</v>
      </c>
      <c r="N122" s="20">
        <v>2119.08</v>
      </c>
      <c r="O122" s="20">
        <f t="shared" si="12"/>
        <v>-2119.08</v>
      </c>
      <c r="P122" s="20" t="e">
        <f>#REF!-M122</f>
        <v>#REF!</v>
      </c>
      <c r="Q122" s="20" t="e">
        <f>#REF!-N122</f>
        <v>#REF!</v>
      </c>
      <c r="R122" s="17" t="str">
        <f t="shared" si="11"/>
        <v>12 0 00 00000000</v>
      </c>
    </row>
    <row r="123" spans="1:18" s="16" customFormat="1" ht="31.5">
      <c r="A123" s="14"/>
      <c r="B123" s="129" t="s">
        <v>96</v>
      </c>
      <c r="C123" s="109" t="s">
        <v>64</v>
      </c>
      <c r="D123" s="108" t="s">
        <v>11</v>
      </c>
      <c r="E123" s="108" t="s">
        <v>51</v>
      </c>
      <c r="F123" s="108" t="s">
        <v>97</v>
      </c>
      <c r="G123" s="108" t="s">
        <v>9</v>
      </c>
      <c r="H123" s="126">
        <f t="shared" si="13"/>
        <v>0</v>
      </c>
      <c r="I123" s="178" t="str">
        <f t="shared" si="9"/>
        <v>601011312 2 00 00000000</v>
      </c>
      <c r="L123" s="20">
        <v>2119.08</v>
      </c>
      <c r="M123" s="20">
        <v>2119.08</v>
      </c>
      <c r="N123" s="20">
        <v>2119.08</v>
      </c>
      <c r="O123" s="20">
        <f t="shared" si="12"/>
        <v>-2119.08</v>
      </c>
      <c r="P123" s="20" t="e">
        <f>#REF!-M123</f>
        <v>#REF!</v>
      </c>
      <c r="Q123" s="20" t="e">
        <f>#REF!-N123</f>
        <v>#REF!</v>
      </c>
      <c r="R123" s="17" t="str">
        <f t="shared" si="11"/>
        <v>12 2 00 00000000</v>
      </c>
    </row>
    <row r="124" spans="1:18" s="16" customFormat="1" ht="47.25">
      <c r="A124" s="14"/>
      <c r="B124" s="129" t="s">
        <v>98</v>
      </c>
      <c r="C124" s="109" t="s">
        <v>64</v>
      </c>
      <c r="D124" s="108" t="s">
        <v>11</v>
      </c>
      <c r="E124" s="108" t="s">
        <v>51</v>
      </c>
      <c r="F124" s="108" t="s">
        <v>99</v>
      </c>
      <c r="G124" s="108" t="s">
        <v>9</v>
      </c>
      <c r="H124" s="126">
        <f>H125+H128</f>
        <v>0</v>
      </c>
      <c r="I124" s="178" t="str">
        <f t="shared" si="9"/>
        <v>601011312 2 03 00000000</v>
      </c>
      <c r="L124" s="20">
        <v>2119.08</v>
      </c>
      <c r="M124" s="20">
        <v>2119.08</v>
      </c>
      <c r="N124" s="20">
        <v>2119.08</v>
      </c>
      <c r="O124" s="20">
        <f t="shared" si="12"/>
        <v>-2119.08</v>
      </c>
      <c r="P124" s="20" t="e">
        <f>#REF!-M124</f>
        <v>#REF!</v>
      </c>
      <c r="Q124" s="20" t="e">
        <f>#REF!-N124</f>
        <v>#REF!</v>
      </c>
      <c r="R124" s="17" t="str">
        <f t="shared" si="11"/>
        <v>12 2 03 00000000</v>
      </c>
    </row>
    <row r="125" spans="1:18" s="16" customFormat="1" ht="63">
      <c r="A125" s="14"/>
      <c r="B125" s="129" t="s">
        <v>100</v>
      </c>
      <c r="C125" s="109" t="s">
        <v>64</v>
      </c>
      <c r="D125" s="108" t="s">
        <v>11</v>
      </c>
      <c r="E125" s="108" t="s">
        <v>51</v>
      </c>
      <c r="F125" s="108" t="s">
        <v>101</v>
      </c>
      <c r="G125" s="108" t="s">
        <v>9</v>
      </c>
      <c r="H125" s="126">
        <f>H126</f>
        <v>0</v>
      </c>
      <c r="I125" s="178" t="str">
        <f t="shared" si="9"/>
        <v>601011312 2 03 20040000</v>
      </c>
      <c r="L125" s="20">
        <v>1329.08</v>
      </c>
      <c r="M125" s="20">
        <v>1329.08</v>
      </c>
      <c r="N125" s="20">
        <v>1329.08</v>
      </c>
      <c r="O125" s="20">
        <f t="shared" si="12"/>
        <v>-1329.08</v>
      </c>
      <c r="P125" s="20" t="e">
        <f>#REF!-M125</f>
        <v>#REF!</v>
      </c>
      <c r="Q125" s="20" t="e">
        <f>#REF!-N125</f>
        <v>#REF!</v>
      </c>
      <c r="R125" s="17" t="str">
        <f t="shared" si="11"/>
        <v>12 2 03 20040000</v>
      </c>
    </row>
    <row r="126" spans="1:18" s="16" customFormat="1" ht="15.75">
      <c r="A126" s="14"/>
      <c r="B126" s="125" t="s">
        <v>32</v>
      </c>
      <c r="C126" s="109" t="s">
        <v>64</v>
      </c>
      <c r="D126" s="108" t="s">
        <v>11</v>
      </c>
      <c r="E126" s="108" t="s">
        <v>51</v>
      </c>
      <c r="F126" s="108" t="s">
        <v>101</v>
      </c>
      <c r="G126" s="108" t="s">
        <v>33</v>
      </c>
      <c r="H126" s="126">
        <f>H127</f>
        <v>0</v>
      </c>
      <c r="I126" s="178" t="str">
        <f t="shared" si="9"/>
        <v>601011312 2 03 20040850</v>
      </c>
      <c r="L126" s="20">
        <v>1329.08</v>
      </c>
      <c r="M126" s="20">
        <v>1329.08</v>
      </c>
      <c r="N126" s="20">
        <v>1329.08</v>
      </c>
      <c r="O126" s="20">
        <f t="shared" si="12"/>
        <v>-1329.08</v>
      </c>
      <c r="P126" s="20" t="e">
        <f>#REF!-M126</f>
        <v>#REF!</v>
      </c>
      <c r="Q126" s="20" t="e">
        <f>#REF!-N126</f>
        <v>#REF!</v>
      </c>
      <c r="R126" s="17" t="str">
        <f t="shared" si="11"/>
        <v>12 2 03 20040850</v>
      </c>
    </row>
    <row r="127" spans="1:18" s="23" customFormat="1" ht="15.75">
      <c r="A127" s="21"/>
      <c r="B127" s="127" t="s">
        <v>77</v>
      </c>
      <c r="C127" s="109" t="s">
        <v>64</v>
      </c>
      <c r="D127" s="108" t="s">
        <v>11</v>
      </c>
      <c r="E127" s="108" t="s">
        <v>51</v>
      </c>
      <c r="F127" s="108" t="s">
        <v>101</v>
      </c>
      <c r="G127" s="108" t="s">
        <v>78</v>
      </c>
      <c r="H127" s="126"/>
      <c r="I127" s="178" t="str">
        <f t="shared" si="9"/>
        <v>601011312 2 03 20040853</v>
      </c>
      <c r="L127" s="22"/>
      <c r="M127" s="22"/>
      <c r="N127" s="22"/>
      <c r="O127" s="22"/>
      <c r="P127" s="22"/>
      <c r="Q127" s="22"/>
      <c r="R127" s="24"/>
    </row>
    <row r="128" spans="1:18" s="16" customFormat="1" ht="94.5">
      <c r="A128" s="14"/>
      <c r="B128" s="129" t="s">
        <v>54</v>
      </c>
      <c r="C128" s="109" t="s">
        <v>64</v>
      </c>
      <c r="D128" s="108" t="s">
        <v>11</v>
      </c>
      <c r="E128" s="108" t="s">
        <v>51</v>
      </c>
      <c r="F128" s="108" t="s">
        <v>102</v>
      </c>
      <c r="G128" s="108" t="s">
        <v>9</v>
      </c>
      <c r="H128" s="126">
        <f>H129</f>
        <v>0</v>
      </c>
      <c r="I128" s="178" t="str">
        <f t="shared" si="9"/>
        <v>601011312 2 03 20090000</v>
      </c>
      <c r="L128" s="20">
        <v>790</v>
      </c>
      <c r="M128" s="20">
        <v>790</v>
      </c>
      <c r="N128" s="20">
        <v>790</v>
      </c>
      <c r="O128" s="20">
        <f>H128-L128</f>
        <v>-790</v>
      </c>
      <c r="P128" s="20" t="e">
        <f>#REF!-M128</f>
        <v>#REF!</v>
      </c>
      <c r="Q128" s="20" t="e">
        <f>#REF!-N128</f>
        <v>#REF!</v>
      </c>
      <c r="R128" s="17" t="str">
        <f t="shared" si="11"/>
        <v>12 2 03 20090000</v>
      </c>
    </row>
    <row r="129" spans="1:18" s="16" customFormat="1" ht="31.5">
      <c r="A129" s="14"/>
      <c r="B129" s="125" t="s">
        <v>28</v>
      </c>
      <c r="C129" s="109" t="s">
        <v>64</v>
      </c>
      <c r="D129" s="108" t="s">
        <v>11</v>
      </c>
      <c r="E129" s="108" t="s">
        <v>51</v>
      </c>
      <c r="F129" s="108" t="s">
        <v>102</v>
      </c>
      <c r="G129" s="108" t="s">
        <v>29</v>
      </c>
      <c r="H129" s="126">
        <f>H130</f>
        <v>0</v>
      </c>
      <c r="I129" s="178" t="str">
        <f t="shared" si="9"/>
        <v>601011312 2 03 20090240</v>
      </c>
      <c r="L129" s="20">
        <v>790</v>
      </c>
      <c r="M129" s="20">
        <v>790</v>
      </c>
      <c r="N129" s="20">
        <v>790</v>
      </c>
      <c r="O129" s="20">
        <f>H129-L129</f>
        <v>-790</v>
      </c>
      <c r="P129" s="20" t="e">
        <f>#REF!-M129</f>
        <v>#REF!</v>
      </c>
      <c r="Q129" s="20" t="e">
        <f>#REF!-N129</f>
        <v>#REF!</v>
      </c>
      <c r="R129" s="17" t="str">
        <f t="shared" si="11"/>
        <v>12 2 03 20090240</v>
      </c>
    </row>
    <row r="130" spans="1:18" s="16" customFormat="1" ht="15.75">
      <c r="A130" s="14"/>
      <c r="B130" s="125" t="s">
        <v>30</v>
      </c>
      <c r="C130" s="109" t="s">
        <v>64</v>
      </c>
      <c r="D130" s="108" t="s">
        <v>11</v>
      </c>
      <c r="E130" s="108" t="s">
        <v>51</v>
      </c>
      <c r="F130" s="108" t="s">
        <v>102</v>
      </c>
      <c r="G130" s="108" t="s">
        <v>31</v>
      </c>
      <c r="H130" s="126"/>
      <c r="I130" s="178" t="str">
        <f t="shared" si="9"/>
        <v>601011312 2 03 20090244</v>
      </c>
      <c r="L130" s="20"/>
      <c r="M130" s="20"/>
      <c r="N130" s="20"/>
      <c r="O130" s="20"/>
      <c r="P130" s="20"/>
      <c r="Q130" s="20"/>
      <c r="R130" s="17" t="str">
        <f t="shared" si="11"/>
        <v>12 2 03 20090244</v>
      </c>
    </row>
    <row r="131" spans="1:18" s="16" customFormat="1" ht="47.25">
      <c r="A131" s="14"/>
      <c r="B131" s="129" t="s">
        <v>103</v>
      </c>
      <c r="C131" s="109" t="s">
        <v>64</v>
      </c>
      <c r="D131" s="108" t="s">
        <v>11</v>
      </c>
      <c r="E131" s="108" t="s">
        <v>51</v>
      </c>
      <c r="F131" s="108" t="s">
        <v>104</v>
      </c>
      <c r="G131" s="108" t="s">
        <v>9</v>
      </c>
      <c r="H131" s="126">
        <f>H132</f>
        <v>0</v>
      </c>
      <c r="I131" s="178" t="str">
        <f t="shared" si="9"/>
        <v>601011313 0 00 00000000</v>
      </c>
      <c r="L131" s="20">
        <v>100</v>
      </c>
      <c r="M131" s="20">
        <v>100</v>
      </c>
      <c r="N131" s="20">
        <v>100</v>
      </c>
      <c r="O131" s="20">
        <f>H131-L131</f>
        <v>-100</v>
      </c>
      <c r="P131" s="20" t="e">
        <f>#REF!-M131</f>
        <v>#REF!</v>
      </c>
      <c r="Q131" s="20" t="e">
        <f>#REF!-N131</f>
        <v>#REF!</v>
      </c>
      <c r="R131" s="17" t="str">
        <f t="shared" si="11"/>
        <v>13 0 00 00000000</v>
      </c>
    </row>
    <row r="132" spans="1:18" s="16" customFormat="1" ht="47.25">
      <c r="A132" s="14"/>
      <c r="B132" s="125" t="s">
        <v>105</v>
      </c>
      <c r="C132" s="109" t="s">
        <v>64</v>
      </c>
      <c r="D132" s="108" t="s">
        <v>11</v>
      </c>
      <c r="E132" s="108" t="s">
        <v>51</v>
      </c>
      <c r="F132" s="108" t="s">
        <v>106</v>
      </c>
      <c r="G132" s="108" t="s">
        <v>9</v>
      </c>
      <c r="H132" s="126">
        <f>H133</f>
        <v>0</v>
      </c>
      <c r="I132" s="178" t="str">
        <f t="shared" si="9"/>
        <v>601011313 2 00 00000000</v>
      </c>
      <c r="L132" s="20">
        <v>100</v>
      </c>
      <c r="M132" s="20">
        <v>100</v>
      </c>
      <c r="N132" s="20">
        <v>100</v>
      </c>
      <c r="O132" s="20">
        <f>H132-L132</f>
        <v>-100</v>
      </c>
      <c r="P132" s="20" t="e">
        <f>#REF!-M132</f>
        <v>#REF!</v>
      </c>
      <c r="Q132" s="20" t="e">
        <f>#REF!-N132</f>
        <v>#REF!</v>
      </c>
      <c r="R132" s="17" t="str">
        <f t="shared" si="11"/>
        <v>13 2 00 00000000</v>
      </c>
    </row>
    <row r="133" spans="1:18" s="16" customFormat="1" ht="31.5">
      <c r="A133" s="14"/>
      <c r="B133" s="129" t="s">
        <v>107</v>
      </c>
      <c r="C133" s="109" t="s">
        <v>64</v>
      </c>
      <c r="D133" s="108" t="s">
        <v>11</v>
      </c>
      <c r="E133" s="108" t="s">
        <v>51</v>
      </c>
      <c r="F133" s="108" t="s">
        <v>108</v>
      </c>
      <c r="G133" s="108" t="s">
        <v>9</v>
      </c>
      <c r="H133" s="126">
        <f>H134</f>
        <v>0</v>
      </c>
      <c r="I133" s="178" t="str">
        <f t="shared" si="9"/>
        <v>601011313 2 01 00000000</v>
      </c>
      <c r="L133" s="20">
        <v>100</v>
      </c>
      <c r="M133" s="20">
        <v>100</v>
      </c>
      <c r="N133" s="20">
        <v>100</v>
      </c>
      <c r="O133" s="20">
        <f>H133-L133</f>
        <v>-100</v>
      </c>
      <c r="P133" s="20" t="e">
        <f>#REF!-M133</f>
        <v>#REF!</v>
      </c>
      <c r="Q133" s="20" t="e">
        <f>#REF!-N133</f>
        <v>#REF!</v>
      </c>
      <c r="R133" s="17" t="str">
        <f t="shared" si="11"/>
        <v>13 2 01 00000000</v>
      </c>
    </row>
    <row r="134" spans="1:18" s="16" customFormat="1" ht="47.25">
      <c r="A134" s="14"/>
      <c r="B134" s="129" t="s">
        <v>109</v>
      </c>
      <c r="C134" s="109" t="s">
        <v>64</v>
      </c>
      <c r="D134" s="108" t="s">
        <v>11</v>
      </c>
      <c r="E134" s="108" t="s">
        <v>51</v>
      </c>
      <c r="F134" s="108" t="s">
        <v>110</v>
      </c>
      <c r="G134" s="108" t="s">
        <v>9</v>
      </c>
      <c r="H134" s="126">
        <f>H135</f>
        <v>0</v>
      </c>
      <c r="I134" s="178" t="str">
        <f t="shared" si="9"/>
        <v>601011313 2 01 20620000</v>
      </c>
      <c r="L134" s="20">
        <v>100</v>
      </c>
      <c r="M134" s="20">
        <v>100</v>
      </c>
      <c r="N134" s="20">
        <v>100</v>
      </c>
      <c r="O134" s="20">
        <f>H134-L134</f>
        <v>-100</v>
      </c>
      <c r="P134" s="20" t="e">
        <f>#REF!-M134</f>
        <v>#REF!</v>
      </c>
      <c r="Q134" s="20" t="e">
        <f>#REF!-N134</f>
        <v>#REF!</v>
      </c>
      <c r="R134" s="17" t="str">
        <f t="shared" si="11"/>
        <v>13 2 01 20620000</v>
      </c>
    </row>
    <row r="135" spans="1:18" s="16" customFormat="1" ht="31.5">
      <c r="A135" s="14"/>
      <c r="B135" s="125" t="s">
        <v>28</v>
      </c>
      <c r="C135" s="109" t="s">
        <v>64</v>
      </c>
      <c r="D135" s="108" t="s">
        <v>11</v>
      </c>
      <c r="E135" s="108" t="s">
        <v>51</v>
      </c>
      <c r="F135" s="108" t="s">
        <v>110</v>
      </c>
      <c r="G135" s="108" t="s">
        <v>29</v>
      </c>
      <c r="H135" s="126">
        <f>H136</f>
        <v>0</v>
      </c>
      <c r="I135" s="178" t="str">
        <f t="shared" si="9"/>
        <v>601011313 2 01 20620240</v>
      </c>
      <c r="L135" s="20">
        <v>100</v>
      </c>
      <c r="M135" s="20">
        <v>100</v>
      </c>
      <c r="N135" s="20">
        <v>100</v>
      </c>
      <c r="O135" s="20">
        <f>H135-L135</f>
        <v>-100</v>
      </c>
      <c r="P135" s="20" t="e">
        <f>#REF!-M135</f>
        <v>#REF!</v>
      </c>
      <c r="Q135" s="20" t="e">
        <f>#REF!-N135</f>
        <v>#REF!</v>
      </c>
      <c r="R135" s="17" t="str">
        <f t="shared" si="11"/>
        <v>13 2 01 20620240</v>
      </c>
    </row>
    <row r="136" spans="1:18" s="16" customFormat="1" ht="15.75">
      <c r="A136" s="14"/>
      <c r="B136" s="125" t="s">
        <v>30</v>
      </c>
      <c r="C136" s="109" t="s">
        <v>64</v>
      </c>
      <c r="D136" s="108" t="s">
        <v>11</v>
      </c>
      <c r="E136" s="108" t="s">
        <v>51</v>
      </c>
      <c r="F136" s="108" t="s">
        <v>110</v>
      </c>
      <c r="G136" s="108" t="s">
        <v>31</v>
      </c>
      <c r="H136" s="126"/>
      <c r="I136" s="178" t="str">
        <f t="shared" si="9"/>
        <v>601011313 2 01 20620244</v>
      </c>
      <c r="L136" s="20"/>
      <c r="M136" s="20"/>
      <c r="N136" s="20"/>
      <c r="O136" s="20"/>
      <c r="P136" s="20"/>
      <c r="Q136" s="20"/>
      <c r="R136" s="17" t="str">
        <f t="shared" si="11"/>
        <v>13 2 01 20620244</v>
      </c>
    </row>
    <row r="137" spans="1:18" s="16" customFormat="1" ht="63">
      <c r="A137" s="14"/>
      <c r="B137" s="129" t="s">
        <v>111</v>
      </c>
      <c r="C137" s="109" t="s">
        <v>64</v>
      </c>
      <c r="D137" s="108" t="s">
        <v>11</v>
      </c>
      <c r="E137" s="108" t="s">
        <v>51</v>
      </c>
      <c r="F137" s="108" t="s">
        <v>112</v>
      </c>
      <c r="G137" s="108" t="s">
        <v>9</v>
      </c>
      <c r="H137" s="126">
        <f>H138+H147</f>
        <v>0</v>
      </c>
      <c r="I137" s="178" t="str">
        <f t="shared" si="9"/>
        <v>601011314 0 00 00000000</v>
      </c>
      <c r="L137" s="20">
        <v>95957.5</v>
      </c>
      <c r="M137" s="20">
        <v>85824.690000000017</v>
      </c>
      <c r="N137" s="20">
        <v>85824.690000000017</v>
      </c>
      <c r="O137" s="20">
        <f>H137-L137</f>
        <v>-95957.5</v>
      </c>
      <c r="P137" s="20" t="e">
        <f>#REF!-M137</f>
        <v>#REF!</v>
      </c>
      <c r="Q137" s="20" t="e">
        <f>#REF!-N137</f>
        <v>#REF!</v>
      </c>
      <c r="R137" s="17" t="str">
        <f t="shared" si="11"/>
        <v>14 0 00 00000000</v>
      </c>
    </row>
    <row r="138" spans="1:18" s="16" customFormat="1" ht="31.5">
      <c r="A138" s="14"/>
      <c r="B138" s="129" t="s">
        <v>113</v>
      </c>
      <c r="C138" s="109" t="s">
        <v>64</v>
      </c>
      <c r="D138" s="108" t="s">
        <v>11</v>
      </c>
      <c r="E138" s="108" t="s">
        <v>51</v>
      </c>
      <c r="F138" s="108" t="s">
        <v>114</v>
      </c>
      <c r="G138" s="108" t="s">
        <v>9</v>
      </c>
      <c r="H138" s="126">
        <f>H139+H143</f>
        <v>0</v>
      </c>
      <c r="I138" s="178" t="str">
        <f t="shared" si="9"/>
        <v>601011314 1 00 00000000</v>
      </c>
      <c r="L138" s="20">
        <v>21574.29</v>
      </c>
      <c r="M138" s="20">
        <v>12061.880000000001</v>
      </c>
      <c r="N138" s="20">
        <v>12061.880000000001</v>
      </c>
      <c r="O138" s="20">
        <f>H138-L138</f>
        <v>-21574.29</v>
      </c>
      <c r="P138" s="20" t="e">
        <f>#REF!-M138</f>
        <v>#REF!</v>
      </c>
      <c r="Q138" s="20" t="e">
        <f>#REF!-N138</f>
        <v>#REF!</v>
      </c>
      <c r="R138" s="17" t="str">
        <f t="shared" si="11"/>
        <v>14 1 00 00000000</v>
      </c>
    </row>
    <row r="139" spans="1:18" s="16" customFormat="1" ht="47.25">
      <c r="A139" s="14"/>
      <c r="B139" s="129" t="s">
        <v>115</v>
      </c>
      <c r="C139" s="109" t="s">
        <v>64</v>
      </c>
      <c r="D139" s="108" t="s">
        <v>11</v>
      </c>
      <c r="E139" s="108" t="s">
        <v>51</v>
      </c>
      <c r="F139" s="108" t="s">
        <v>116</v>
      </c>
      <c r="G139" s="108" t="s">
        <v>9</v>
      </c>
      <c r="H139" s="126">
        <f>H140</f>
        <v>0</v>
      </c>
      <c r="I139" s="178" t="str">
        <f t="shared" si="9"/>
        <v>601011314 1 01 00000000</v>
      </c>
      <c r="L139" s="20">
        <v>15750.150000000001</v>
      </c>
      <c r="M139" s="20">
        <v>8250.85</v>
      </c>
      <c r="N139" s="20">
        <v>8250.85</v>
      </c>
      <c r="O139" s="20">
        <f>H139-L139</f>
        <v>-15750.150000000001</v>
      </c>
      <c r="P139" s="20" t="e">
        <f>#REF!-M139</f>
        <v>#REF!</v>
      </c>
      <c r="Q139" s="20" t="e">
        <f>#REF!-N139</f>
        <v>#REF!</v>
      </c>
      <c r="R139" s="17" t="str">
        <f t="shared" si="11"/>
        <v>14 1 01 00000000</v>
      </c>
    </row>
    <row r="140" spans="1:18" s="16" customFormat="1" ht="31.5">
      <c r="A140" s="14"/>
      <c r="B140" s="129" t="s">
        <v>117</v>
      </c>
      <c r="C140" s="109" t="s">
        <v>64</v>
      </c>
      <c r="D140" s="108" t="s">
        <v>11</v>
      </c>
      <c r="E140" s="108" t="s">
        <v>51</v>
      </c>
      <c r="F140" s="108" t="s">
        <v>118</v>
      </c>
      <c r="G140" s="108" t="s">
        <v>9</v>
      </c>
      <c r="H140" s="126">
        <f t="shared" ref="H140" si="14">H141</f>
        <v>0</v>
      </c>
      <c r="I140" s="178" t="str">
        <f t="shared" si="9"/>
        <v>601011314 1 01 20630000</v>
      </c>
      <c r="L140" s="20">
        <v>15750.150000000001</v>
      </c>
      <c r="M140" s="20">
        <v>8250.85</v>
      </c>
      <c r="N140" s="20">
        <v>8250.85</v>
      </c>
      <c r="O140" s="20">
        <f>H140-L140</f>
        <v>-15750.150000000001</v>
      </c>
      <c r="P140" s="20" t="e">
        <f>#REF!-M140</f>
        <v>#REF!</v>
      </c>
      <c r="Q140" s="20" t="e">
        <f>#REF!-N140</f>
        <v>#REF!</v>
      </c>
      <c r="R140" s="17" t="str">
        <f t="shared" si="11"/>
        <v>14 1 01 20630000</v>
      </c>
    </row>
    <row r="141" spans="1:18" s="16" customFormat="1" ht="31.5">
      <c r="A141" s="14"/>
      <c r="B141" s="125" t="s">
        <v>28</v>
      </c>
      <c r="C141" s="109" t="s">
        <v>64</v>
      </c>
      <c r="D141" s="108" t="s">
        <v>11</v>
      </c>
      <c r="E141" s="108" t="s">
        <v>51</v>
      </c>
      <c r="F141" s="108" t="s">
        <v>118</v>
      </c>
      <c r="G141" s="108" t="s">
        <v>29</v>
      </c>
      <c r="H141" s="126">
        <f>H142</f>
        <v>0</v>
      </c>
      <c r="I141" s="178" t="str">
        <f t="shared" si="9"/>
        <v>601011314 1 01 20630240</v>
      </c>
      <c r="L141" s="20">
        <v>15750.150000000001</v>
      </c>
      <c r="M141" s="20">
        <v>8250.85</v>
      </c>
      <c r="N141" s="20">
        <v>8250.85</v>
      </c>
      <c r="O141" s="20">
        <f>H141-L141</f>
        <v>-15750.150000000001</v>
      </c>
      <c r="P141" s="20" t="e">
        <f>#REF!-M141</f>
        <v>#REF!</v>
      </c>
      <c r="Q141" s="20" t="e">
        <f>#REF!-N141</f>
        <v>#REF!</v>
      </c>
      <c r="R141" s="17" t="str">
        <f t="shared" si="11"/>
        <v>14 1 01 20630240</v>
      </c>
    </row>
    <row r="142" spans="1:18" s="16" customFormat="1" ht="15.75">
      <c r="A142" s="14"/>
      <c r="B142" s="125" t="s">
        <v>30</v>
      </c>
      <c r="C142" s="109" t="s">
        <v>64</v>
      </c>
      <c r="D142" s="108" t="s">
        <v>11</v>
      </c>
      <c r="E142" s="108" t="s">
        <v>51</v>
      </c>
      <c r="F142" s="108" t="s">
        <v>118</v>
      </c>
      <c r="G142" s="108" t="s">
        <v>31</v>
      </c>
      <c r="H142" s="126"/>
      <c r="I142" s="178" t="str">
        <f t="shared" si="9"/>
        <v>601011314 1 01 20630244</v>
      </c>
      <c r="L142" s="20"/>
      <c r="M142" s="20"/>
      <c r="N142" s="20"/>
      <c r="O142" s="20"/>
      <c r="P142" s="20"/>
      <c r="Q142" s="20"/>
      <c r="R142" s="17" t="str">
        <f t="shared" si="11"/>
        <v>14 1 01 20630244</v>
      </c>
    </row>
    <row r="143" spans="1:18" s="16" customFormat="1" ht="63">
      <c r="A143" s="14"/>
      <c r="B143" s="129" t="s">
        <v>119</v>
      </c>
      <c r="C143" s="109" t="s">
        <v>64</v>
      </c>
      <c r="D143" s="108" t="s">
        <v>11</v>
      </c>
      <c r="E143" s="108" t="s">
        <v>51</v>
      </c>
      <c r="F143" s="108" t="s">
        <v>120</v>
      </c>
      <c r="G143" s="108" t="s">
        <v>9</v>
      </c>
      <c r="H143" s="126">
        <f t="shared" ref="H143:H144" si="15">H144</f>
        <v>0</v>
      </c>
      <c r="I143" s="178" t="str">
        <f t="shared" si="9"/>
        <v>601011314 1 02 00000000</v>
      </c>
      <c r="L143" s="20">
        <v>5824.1400000000012</v>
      </c>
      <c r="M143" s="20">
        <v>3811.03</v>
      </c>
      <c r="N143" s="20">
        <v>3811.03</v>
      </c>
      <c r="O143" s="20">
        <f>H143-L143</f>
        <v>-5824.1400000000012</v>
      </c>
      <c r="P143" s="20" t="e">
        <f>#REF!-M143</f>
        <v>#REF!</v>
      </c>
      <c r="Q143" s="20" t="e">
        <f>#REF!-N143</f>
        <v>#REF!</v>
      </c>
      <c r="R143" s="17" t="str">
        <f t="shared" si="11"/>
        <v>14 1 02 00000000</v>
      </c>
    </row>
    <row r="144" spans="1:18" s="16" customFormat="1" ht="31.5">
      <c r="A144" s="14"/>
      <c r="B144" s="129" t="s">
        <v>117</v>
      </c>
      <c r="C144" s="109" t="s">
        <v>64</v>
      </c>
      <c r="D144" s="108" t="s">
        <v>11</v>
      </c>
      <c r="E144" s="108" t="s">
        <v>51</v>
      </c>
      <c r="F144" s="108" t="s">
        <v>121</v>
      </c>
      <c r="G144" s="108" t="s">
        <v>9</v>
      </c>
      <c r="H144" s="126">
        <f t="shared" si="15"/>
        <v>0</v>
      </c>
      <c r="I144" s="178" t="str">
        <f t="shared" si="9"/>
        <v>601011314 1 02 20630000</v>
      </c>
      <c r="L144" s="20">
        <v>5824.1400000000012</v>
      </c>
      <c r="M144" s="20">
        <v>3811.03</v>
      </c>
      <c r="N144" s="20">
        <v>3811.03</v>
      </c>
      <c r="O144" s="20">
        <f>H144-L144</f>
        <v>-5824.1400000000012</v>
      </c>
      <c r="P144" s="20" t="e">
        <f>#REF!-M144</f>
        <v>#REF!</v>
      </c>
      <c r="Q144" s="20" t="e">
        <f>#REF!-N144</f>
        <v>#REF!</v>
      </c>
      <c r="R144" s="17" t="str">
        <f t="shared" si="11"/>
        <v>14 1 02 20630000</v>
      </c>
    </row>
    <row r="145" spans="1:18" s="16" customFormat="1" ht="31.5">
      <c r="A145" s="14"/>
      <c r="B145" s="125" t="s">
        <v>28</v>
      </c>
      <c r="C145" s="109" t="s">
        <v>64</v>
      </c>
      <c r="D145" s="108" t="s">
        <v>11</v>
      </c>
      <c r="E145" s="108" t="s">
        <v>51</v>
      </c>
      <c r="F145" s="108" t="s">
        <v>121</v>
      </c>
      <c r="G145" s="108" t="s">
        <v>29</v>
      </c>
      <c r="H145" s="126">
        <f>H146</f>
        <v>0</v>
      </c>
      <c r="I145" s="178" t="str">
        <f t="shared" si="9"/>
        <v>601011314 1 02 20630240</v>
      </c>
      <c r="L145" s="20">
        <v>5824.1400000000012</v>
      </c>
      <c r="M145" s="20">
        <v>3811.03</v>
      </c>
      <c r="N145" s="20">
        <v>3811.03</v>
      </c>
      <c r="O145" s="20">
        <f>H145-L145</f>
        <v>-5824.1400000000012</v>
      </c>
      <c r="P145" s="20" t="e">
        <f>#REF!-M145</f>
        <v>#REF!</v>
      </c>
      <c r="Q145" s="20" t="e">
        <f>#REF!-N145</f>
        <v>#REF!</v>
      </c>
      <c r="R145" s="17" t="str">
        <f t="shared" si="11"/>
        <v>14 1 02 20630240</v>
      </c>
    </row>
    <row r="146" spans="1:18" s="16" customFormat="1" ht="15.75">
      <c r="A146" s="14"/>
      <c r="B146" s="125" t="s">
        <v>30</v>
      </c>
      <c r="C146" s="109" t="s">
        <v>64</v>
      </c>
      <c r="D146" s="108" t="s">
        <v>11</v>
      </c>
      <c r="E146" s="108" t="s">
        <v>51</v>
      </c>
      <c r="F146" s="108" t="s">
        <v>121</v>
      </c>
      <c r="G146" s="108" t="s">
        <v>31</v>
      </c>
      <c r="H146" s="126"/>
      <c r="I146" s="178" t="str">
        <f t="shared" si="9"/>
        <v>601011314 1 02 20630244</v>
      </c>
      <c r="L146" s="20"/>
      <c r="M146" s="20"/>
      <c r="N146" s="20"/>
      <c r="O146" s="20"/>
      <c r="P146" s="20"/>
      <c r="Q146" s="20"/>
      <c r="R146" s="17"/>
    </row>
    <row r="147" spans="1:18" s="16" customFormat="1" ht="47.25">
      <c r="A147" s="14"/>
      <c r="B147" s="129" t="s">
        <v>122</v>
      </c>
      <c r="C147" s="109" t="s">
        <v>64</v>
      </c>
      <c r="D147" s="108" t="s">
        <v>11</v>
      </c>
      <c r="E147" s="108" t="s">
        <v>51</v>
      </c>
      <c r="F147" s="108" t="s">
        <v>123</v>
      </c>
      <c r="G147" s="108" t="s">
        <v>9</v>
      </c>
      <c r="H147" s="126">
        <f>H148+H152+H160+H156</f>
        <v>0</v>
      </c>
      <c r="I147" s="178" t="str">
        <f t="shared" si="9"/>
        <v>601011314 2 00 00000000</v>
      </c>
      <c r="L147" s="20">
        <v>74383.210000000006</v>
      </c>
      <c r="M147" s="20">
        <v>73762.810000000012</v>
      </c>
      <c r="N147" s="20">
        <v>73762.810000000012</v>
      </c>
      <c r="O147" s="20">
        <f>H147-L147</f>
        <v>-74383.210000000006</v>
      </c>
      <c r="P147" s="20" t="e">
        <f>#REF!-M147</f>
        <v>#REF!</v>
      </c>
      <c r="Q147" s="20" t="e">
        <f>#REF!-N147</f>
        <v>#REF!</v>
      </c>
      <c r="R147" s="17" t="str">
        <f t="shared" si="11"/>
        <v>14 2 00 00000000</v>
      </c>
    </row>
    <row r="148" spans="1:18" s="16" customFormat="1" ht="47.25">
      <c r="A148" s="14"/>
      <c r="B148" s="129" t="s">
        <v>124</v>
      </c>
      <c r="C148" s="109" t="s">
        <v>64</v>
      </c>
      <c r="D148" s="108" t="s">
        <v>11</v>
      </c>
      <c r="E148" s="108" t="s">
        <v>51</v>
      </c>
      <c r="F148" s="108" t="s">
        <v>125</v>
      </c>
      <c r="G148" s="108" t="s">
        <v>9</v>
      </c>
      <c r="H148" s="126">
        <f t="shared" ref="H148:H149" si="16">H149</f>
        <v>0</v>
      </c>
      <c r="I148" s="178" t="str">
        <f t="shared" si="9"/>
        <v>601011314 2 01 00000000</v>
      </c>
      <c r="L148" s="20">
        <v>450</v>
      </c>
      <c r="M148" s="20">
        <v>450</v>
      </c>
      <c r="N148" s="20">
        <v>450</v>
      </c>
      <c r="O148" s="20">
        <f>H148-L148</f>
        <v>-450</v>
      </c>
      <c r="P148" s="20" t="e">
        <f>#REF!-M148</f>
        <v>#REF!</v>
      </c>
      <c r="Q148" s="20" t="e">
        <f>#REF!-N148</f>
        <v>#REF!</v>
      </c>
      <c r="R148" s="17" t="str">
        <f t="shared" si="11"/>
        <v>14 2 01 00000000</v>
      </c>
    </row>
    <row r="149" spans="1:18" s="16" customFormat="1" ht="63">
      <c r="A149" s="14"/>
      <c r="B149" s="129" t="s">
        <v>126</v>
      </c>
      <c r="C149" s="109" t="s">
        <v>64</v>
      </c>
      <c r="D149" s="108" t="s">
        <v>11</v>
      </c>
      <c r="E149" s="108" t="s">
        <v>51</v>
      </c>
      <c r="F149" s="108" t="s">
        <v>127</v>
      </c>
      <c r="G149" s="108" t="s">
        <v>9</v>
      </c>
      <c r="H149" s="126">
        <f t="shared" si="16"/>
        <v>0</v>
      </c>
      <c r="I149" s="178" t="str">
        <f t="shared" ref="I149:I212" si="17">C149&amp;D149&amp;E149&amp;F149&amp;G149</f>
        <v>601011314 2 01 20710000</v>
      </c>
      <c r="L149" s="20">
        <v>450</v>
      </c>
      <c r="M149" s="20">
        <v>450</v>
      </c>
      <c r="N149" s="20">
        <v>450</v>
      </c>
      <c r="O149" s="20">
        <f>H149-L149</f>
        <v>-450</v>
      </c>
      <c r="P149" s="20" t="e">
        <f>#REF!-M149</f>
        <v>#REF!</v>
      </c>
      <c r="Q149" s="20" t="e">
        <f>#REF!-N149</f>
        <v>#REF!</v>
      </c>
      <c r="R149" s="17" t="str">
        <f t="shared" si="11"/>
        <v>14 2 01 20710000</v>
      </c>
    </row>
    <row r="150" spans="1:18" s="16" customFormat="1" ht="31.5">
      <c r="A150" s="14"/>
      <c r="B150" s="125" t="s">
        <v>28</v>
      </c>
      <c r="C150" s="109" t="s">
        <v>64</v>
      </c>
      <c r="D150" s="108" t="s">
        <v>11</v>
      </c>
      <c r="E150" s="108" t="s">
        <v>51</v>
      </c>
      <c r="F150" s="108" t="s">
        <v>127</v>
      </c>
      <c r="G150" s="108" t="s">
        <v>29</v>
      </c>
      <c r="H150" s="126">
        <f>H151</f>
        <v>0</v>
      </c>
      <c r="I150" s="178" t="str">
        <f t="shared" si="17"/>
        <v>601011314 2 01 20710240</v>
      </c>
      <c r="L150" s="20">
        <v>450</v>
      </c>
      <c r="M150" s="20">
        <v>450</v>
      </c>
      <c r="N150" s="20">
        <v>450</v>
      </c>
      <c r="O150" s="20">
        <f>H150-L150</f>
        <v>-450</v>
      </c>
      <c r="P150" s="20" t="e">
        <f>#REF!-M150</f>
        <v>#REF!</v>
      </c>
      <c r="Q150" s="20" t="e">
        <f>#REF!-N150</f>
        <v>#REF!</v>
      </c>
      <c r="R150" s="17" t="str">
        <f t="shared" si="11"/>
        <v>14 2 01 20710240</v>
      </c>
    </row>
    <row r="151" spans="1:18" s="16" customFormat="1" ht="15.75">
      <c r="A151" s="14"/>
      <c r="B151" s="125" t="s">
        <v>30</v>
      </c>
      <c r="C151" s="109" t="s">
        <v>64</v>
      </c>
      <c r="D151" s="108" t="s">
        <v>11</v>
      </c>
      <c r="E151" s="108" t="s">
        <v>51</v>
      </c>
      <c r="F151" s="108" t="s">
        <v>127</v>
      </c>
      <c r="G151" s="108" t="s">
        <v>31</v>
      </c>
      <c r="H151" s="126"/>
      <c r="I151" s="178" t="str">
        <f t="shared" si="17"/>
        <v>601011314 2 01 20710244</v>
      </c>
      <c r="L151" s="20"/>
      <c r="M151" s="20"/>
      <c r="N151" s="20"/>
      <c r="O151" s="20"/>
      <c r="P151" s="20"/>
      <c r="Q151" s="20"/>
      <c r="R151" s="17" t="str">
        <f t="shared" si="11"/>
        <v>14 2 01 20710244</v>
      </c>
    </row>
    <row r="152" spans="1:18" s="16" customFormat="1" ht="78.75">
      <c r="A152" s="14"/>
      <c r="B152" s="129" t="s">
        <v>128</v>
      </c>
      <c r="C152" s="109" t="s">
        <v>64</v>
      </c>
      <c r="D152" s="108" t="s">
        <v>11</v>
      </c>
      <c r="E152" s="108" t="s">
        <v>51</v>
      </c>
      <c r="F152" s="108" t="s">
        <v>129</v>
      </c>
      <c r="G152" s="108" t="s">
        <v>9</v>
      </c>
      <c r="H152" s="126">
        <f t="shared" ref="H152:H153" si="18">H153</f>
        <v>0</v>
      </c>
      <c r="I152" s="178" t="str">
        <f t="shared" si="17"/>
        <v>601011314 2 02 00000000</v>
      </c>
      <c r="L152" s="20">
        <v>76.5</v>
      </c>
      <c r="M152" s="20">
        <v>76.5</v>
      </c>
      <c r="N152" s="20">
        <v>76.5</v>
      </c>
      <c r="O152" s="20">
        <f>H152-L152</f>
        <v>-76.5</v>
      </c>
      <c r="P152" s="20" t="e">
        <f>#REF!-M152</f>
        <v>#REF!</v>
      </c>
      <c r="Q152" s="20" t="e">
        <f>#REF!-N152</f>
        <v>#REF!</v>
      </c>
      <c r="R152" s="17" t="str">
        <f t="shared" si="11"/>
        <v>14 2 02 00000000</v>
      </c>
    </row>
    <row r="153" spans="1:18" s="16" customFormat="1" ht="63">
      <c r="A153" s="14"/>
      <c r="B153" s="129" t="s">
        <v>126</v>
      </c>
      <c r="C153" s="109" t="s">
        <v>64</v>
      </c>
      <c r="D153" s="108" t="s">
        <v>11</v>
      </c>
      <c r="E153" s="108" t="s">
        <v>51</v>
      </c>
      <c r="F153" s="108" t="s">
        <v>130</v>
      </c>
      <c r="G153" s="108" t="s">
        <v>9</v>
      </c>
      <c r="H153" s="126">
        <f t="shared" si="18"/>
        <v>0</v>
      </c>
      <c r="I153" s="178" t="str">
        <f t="shared" si="17"/>
        <v>601011314 2 02 20710000</v>
      </c>
      <c r="L153" s="20">
        <v>76.5</v>
      </c>
      <c r="M153" s="20">
        <v>76.5</v>
      </c>
      <c r="N153" s="20">
        <v>76.5</v>
      </c>
      <c r="O153" s="20">
        <f>H153-L153</f>
        <v>-76.5</v>
      </c>
      <c r="P153" s="20" t="e">
        <f>#REF!-M153</f>
        <v>#REF!</v>
      </c>
      <c r="Q153" s="20" t="e">
        <f>#REF!-N153</f>
        <v>#REF!</v>
      </c>
      <c r="R153" s="17" t="str">
        <f t="shared" si="11"/>
        <v>14 2 02 20710000</v>
      </c>
    </row>
    <row r="154" spans="1:18" s="16" customFormat="1" ht="31.5">
      <c r="A154" s="14"/>
      <c r="B154" s="125" t="s">
        <v>28</v>
      </c>
      <c r="C154" s="109" t="s">
        <v>64</v>
      </c>
      <c r="D154" s="108" t="s">
        <v>11</v>
      </c>
      <c r="E154" s="108" t="s">
        <v>51</v>
      </c>
      <c r="F154" s="108" t="s">
        <v>130</v>
      </c>
      <c r="G154" s="108" t="s">
        <v>29</v>
      </c>
      <c r="H154" s="126">
        <f>H155</f>
        <v>0</v>
      </c>
      <c r="I154" s="178" t="str">
        <f t="shared" si="17"/>
        <v>601011314 2 02 20710240</v>
      </c>
      <c r="L154" s="20">
        <v>76.5</v>
      </c>
      <c r="M154" s="20">
        <v>76.5</v>
      </c>
      <c r="N154" s="20">
        <v>76.5</v>
      </c>
      <c r="O154" s="20">
        <f>H154-L154</f>
        <v>-76.5</v>
      </c>
      <c r="P154" s="20" t="e">
        <f>#REF!-M154</f>
        <v>#REF!</v>
      </c>
      <c r="Q154" s="20" t="e">
        <f>#REF!-N154</f>
        <v>#REF!</v>
      </c>
      <c r="R154" s="17" t="str">
        <f t="shared" si="11"/>
        <v>14 2 02 20710240</v>
      </c>
    </row>
    <row r="155" spans="1:18" s="16" customFormat="1" ht="15.75">
      <c r="A155" s="14"/>
      <c r="B155" s="125" t="s">
        <v>30</v>
      </c>
      <c r="C155" s="109" t="s">
        <v>64</v>
      </c>
      <c r="D155" s="108" t="s">
        <v>11</v>
      </c>
      <c r="E155" s="108" t="s">
        <v>51</v>
      </c>
      <c r="F155" s="108" t="s">
        <v>130</v>
      </c>
      <c r="G155" s="108" t="s">
        <v>31</v>
      </c>
      <c r="H155" s="126"/>
      <c r="I155" s="178" t="str">
        <f t="shared" si="17"/>
        <v>601011314 2 02 20710244</v>
      </c>
      <c r="L155" s="20"/>
      <c r="M155" s="20"/>
      <c r="N155" s="20"/>
      <c r="O155" s="20"/>
      <c r="P155" s="20"/>
      <c r="Q155" s="20"/>
      <c r="R155" s="17" t="str">
        <f t="shared" si="11"/>
        <v>14 2 02 20710244</v>
      </c>
    </row>
    <row r="156" spans="1:18" s="16" customFormat="1" ht="78.75">
      <c r="A156" s="14"/>
      <c r="B156" s="129" t="s">
        <v>131</v>
      </c>
      <c r="C156" s="109" t="s">
        <v>64</v>
      </c>
      <c r="D156" s="108" t="s">
        <v>11</v>
      </c>
      <c r="E156" s="108" t="s">
        <v>51</v>
      </c>
      <c r="F156" s="108" t="s">
        <v>132</v>
      </c>
      <c r="G156" s="108" t="s">
        <v>9</v>
      </c>
      <c r="H156" s="126">
        <f>H157</f>
        <v>0</v>
      </c>
      <c r="I156" s="178" t="str">
        <f t="shared" si="17"/>
        <v>601011314 2 03 00000000</v>
      </c>
      <c r="L156" s="20">
        <v>76.5</v>
      </c>
      <c r="M156" s="20">
        <v>76.5</v>
      </c>
      <c r="N156" s="20">
        <v>76.5</v>
      </c>
      <c r="O156" s="20">
        <f>H156-L156</f>
        <v>-76.5</v>
      </c>
      <c r="P156" s="20" t="e">
        <f>#REF!-M156</f>
        <v>#REF!</v>
      </c>
      <c r="Q156" s="20" t="e">
        <f>#REF!-N156</f>
        <v>#REF!</v>
      </c>
      <c r="R156" s="17" t="str">
        <f t="shared" si="11"/>
        <v>14 2 03 00000000</v>
      </c>
    </row>
    <row r="157" spans="1:18" s="16" customFormat="1" ht="63">
      <c r="A157" s="14"/>
      <c r="B157" s="129" t="s">
        <v>126</v>
      </c>
      <c r="C157" s="109" t="s">
        <v>64</v>
      </c>
      <c r="D157" s="108" t="s">
        <v>11</v>
      </c>
      <c r="E157" s="108" t="s">
        <v>51</v>
      </c>
      <c r="F157" s="108" t="s">
        <v>133</v>
      </c>
      <c r="G157" s="108" t="s">
        <v>9</v>
      </c>
      <c r="H157" s="126">
        <f>H158</f>
        <v>0</v>
      </c>
      <c r="I157" s="178" t="str">
        <f t="shared" si="17"/>
        <v>601011314 2 03 20710000</v>
      </c>
      <c r="L157" s="20">
        <v>76.5</v>
      </c>
      <c r="M157" s="20">
        <v>76.5</v>
      </c>
      <c r="N157" s="20">
        <v>76.5</v>
      </c>
      <c r="O157" s="20">
        <f>H157-L157</f>
        <v>-76.5</v>
      </c>
      <c r="P157" s="20" t="e">
        <f>#REF!-M157</f>
        <v>#REF!</v>
      </c>
      <c r="Q157" s="20" t="e">
        <f>#REF!-N157</f>
        <v>#REF!</v>
      </c>
      <c r="R157" s="17" t="str">
        <f t="shared" si="11"/>
        <v>14 2 03 20710000</v>
      </c>
    </row>
    <row r="158" spans="1:18" s="16" customFormat="1" ht="31.5">
      <c r="A158" s="14"/>
      <c r="B158" s="125" t="s">
        <v>28</v>
      </c>
      <c r="C158" s="109" t="s">
        <v>64</v>
      </c>
      <c r="D158" s="108" t="s">
        <v>11</v>
      </c>
      <c r="E158" s="108" t="s">
        <v>51</v>
      </c>
      <c r="F158" s="108" t="s">
        <v>133</v>
      </c>
      <c r="G158" s="108" t="s">
        <v>29</v>
      </c>
      <c r="H158" s="126">
        <f>H159</f>
        <v>0</v>
      </c>
      <c r="I158" s="178" t="str">
        <f t="shared" si="17"/>
        <v>601011314 2 03 20710240</v>
      </c>
      <c r="L158" s="20">
        <v>76.5</v>
      </c>
      <c r="M158" s="20">
        <v>76.5</v>
      </c>
      <c r="N158" s="20">
        <v>76.5</v>
      </c>
      <c r="O158" s="20">
        <f>H158-L158</f>
        <v>-76.5</v>
      </c>
      <c r="P158" s="20" t="e">
        <f>#REF!-M158</f>
        <v>#REF!</v>
      </c>
      <c r="Q158" s="20" t="e">
        <f>#REF!-N158</f>
        <v>#REF!</v>
      </c>
      <c r="R158" s="17" t="str">
        <f t="shared" si="11"/>
        <v>14 2 03 20710240</v>
      </c>
    </row>
    <row r="159" spans="1:18" s="16" customFormat="1" ht="15.75">
      <c r="A159" s="14"/>
      <c r="B159" s="125" t="s">
        <v>30</v>
      </c>
      <c r="C159" s="109" t="s">
        <v>64</v>
      </c>
      <c r="D159" s="108" t="s">
        <v>11</v>
      </c>
      <c r="E159" s="108" t="s">
        <v>51</v>
      </c>
      <c r="F159" s="108" t="s">
        <v>133</v>
      </c>
      <c r="G159" s="108" t="s">
        <v>31</v>
      </c>
      <c r="H159" s="126"/>
      <c r="I159" s="178" t="str">
        <f t="shared" si="17"/>
        <v>601011314 2 03 20710244</v>
      </c>
      <c r="L159" s="20"/>
      <c r="M159" s="20"/>
      <c r="N159" s="20"/>
      <c r="O159" s="20"/>
      <c r="P159" s="20"/>
      <c r="Q159" s="20"/>
      <c r="R159" s="17" t="str">
        <f t="shared" si="11"/>
        <v>14 2 03 20710244</v>
      </c>
    </row>
    <row r="160" spans="1:18" s="16" customFormat="1" ht="63">
      <c r="A160" s="14"/>
      <c r="B160" s="125" t="s">
        <v>134</v>
      </c>
      <c r="C160" s="109" t="s">
        <v>64</v>
      </c>
      <c r="D160" s="108" t="s">
        <v>11</v>
      </c>
      <c r="E160" s="108" t="s">
        <v>51</v>
      </c>
      <c r="F160" s="108" t="s">
        <v>135</v>
      </c>
      <c r="G160" s="108" t="s">
        <v>9</v>
      </c>
      <c r="H160" s="126">
        <f>H161</f>
        <v>0</v>
      </c>
      <c r="I160" s="178" t="str">
        <f t="shared" si="17"/>
        <v>601011314 2 04 00000000</v>
      </c>
      <c r="L160" s="20">
        <v>73780.210000000006</v>
      </c>
      <c r="M160" s="20">
        <v>73159.810000000012</v>
      </c>
      <c r="N160" s="20">
        <v>73159.810000000012</v>
      </c>
      <c r="O160" s="20">
        <f>H160-L160</f>
        <v>-73780.210000000006</v>
      </c>
      <c r="P160" s="20" t="e">
        <f>#REF!-M160</f>
        <v>#REF!</v>
      </c>
      <c r="Q160" s="20" t="e">
        <f>#REF!-N160</f>
        <v>#REF!</v>
      </c>
      <c r="R160" s="17" t="str">
        <f t="shared" si="11"/>
        <v>14 2 04 00000000</v>
      </c>
    </row>
    <row r="161" spans="1:18" s="16" customFormat="1" ht="31.5">
      <c r="A161" s="14"/>
      <c r="B161" s="125" t="s">
        <v>136</v>
      </c>
      <c r="C161" s="109" t="s">
        <v>64</v>
      </c>
      <c r="D161" s="108" t="s">
        <v>11</v>
      </c>
      <c r="E161" s="108" t="s">
        <v>51</v>
      </c>
      <c r="F161" s="108" t="s">
        <v>137</v>
      </c>
      <c r="G161" s="108" t="s">
        <v>9</v>
      </c>
      <c r="H161" s="126">
        <f>H162+H166+H168</f>
        <v>0</v>
      </c>
      <c r="I161" s="178" t="str">
        <f t="shared" si="17"/>
        <v>601011314 2 04 11010000</v>
      </c>
      <c r="L161" s="20">
        <v>73780.210000000006</v>
      </c>
      <c r="M161" s="20">
        <v>73159.810000000012</v>
      </c>
      <c r="N161" s="20">
        <v>73159.810000000012</v>
      </c>
      <c r="O161" s="20">
        <f>H161-L161</f>
        <v>-73780.210000000006</v>
      </c>
      <c r="P161" s="20" t="e">
        <f>#REF!-M161</f>
        <v>#REF!</v>
      </c>
      <c r="Q161" s="20" t="e">
        <f>#REF!-N161</f>
        <v>#REF!</v>
      </c>
      <c r="R161" s="17" t="str">
        <f t="shared" si="11"/>
        <v>14 2 04 11010000</v>
      </c>
    </row>
    <row r="162" spans="1:18" s="16" customFormat="1" ht="15.75">
      <c r="A162" s="14"/>
      <c r="B162" s="132" t="s">
        <v>138</v>
      </c>
      <c r="C162" s="109" t="s">
        <v>64</v>
      </c>
      <c r="D162" s="108" t="s">
        <v>11</v>
      </c>
      <c r="E162" s="108" t="s">
        <v>51</v>
      </c>
      <c r="F162" s="108" t="s">
        <v>137</v>
      </c>
      <c r="G162" s="108" t="s">
        <v>139</v>
      </c>
      <c r="H162" s="126">
        <f>SUM(H163:H165)</f>
        <v>0</v>
      </c>
      <c r="I162" s="178" t="str">
        <f t="shared" si="17"/>
        <v>601011314 2 04 11010110</v>
      </c>
      <c r="L162" s="20">
        <v>60027.510000000009</v>
      </c>
      <c r="M162" s="20">
        <v>60027.510000000009</v>
      </c>
      <c r="N162" s="20">
        <v>60027.510000000009</v>
      </c>
      <c r="O162" s="20">
        <f>H162-L162</f>
        <v>-60027.510000000009</v>
      </c>
      <c r="P162" s="20" t="e">
        <f>#REF!-M162</f>
        <v>#REF!</v>
      </c>
      <c r="Q162" s="20" t="e">
        <f>#REF!-N162</f>
        <v>#REF!</v>
      </c>
      <c r="R162" s="17" t="str">
        <f t="shared" si="11"/>
        <v>14 2 04 11010110</v>
      </c>
    </row>
    <row r="163" spans="1:18" s="23" customFormat="1" ht="15.75">
      <c r="A163" s="21"/>
      <c r="B163" s="127" t="s">
        <v>140</v>
      </c>
      <c r="C163" s="109" t="s">
        <v>64</v>
      </c>
      <c r="D163" s="108" t="s">
        <v>11</v>
      </c>
      <c r="E163" s="108" t="s">
        <v>51</v>
      </c>
      <c r="F163" s="108" t="s">
        <v>137</v>
      </c>
      <c r="G163" s="108" t="s">
        <v>141</v>
      </c>
      <c r="H163" s="126"/>
      <c r="I163" s="178" t="str">
        <f t="shared" si="17"/>
        <v>601011314 2 04 11010111</v>
      </c>
      <c r="L163" s="22"/>
      <c r="M163" s="22"/>
      <c r="N163" s="22"/>
      <c r="O163" s="22"/>
      <c r="P163" s="22"/>
      <c r="Q163" s="22"/>
      <c r="R163" s="24"/>
    </row>
    <row r="164" spans="1:18" s="23" customFormat="1" ht="31.5">
      <c r="A164" s="21"/>
      <c r="B164" s="127" t="s">
        <v>142</v>
      </c>
      <c r="C164" s="109" t="s">
        <v>64</v>
      </c>
      <c r="D164" s="108" t="s">
        <v>11</v>
      </c>
      <c r="E164" s="108" t="s">
        <v>51</v>
      </c>
      <c r="F164" s="108" t="s">
        <v>137</v>
      </c>
      <c r="G164" s="108" t="s">
        <v>143</v>
      </c>
      <c r="H164" s="126"/>
      <c r="I164" s="178" t="str">
        <f t="shared" si="17"/>
        <v>601011314 2 04 11010112</v>
      </c>
      <c r="L164" s="22"/>
      <c r="M164" s="22"/>
      <c r="N164" s="22"/>
      <c r="O164" s="22"/>
      <c r="P164" s="22"/>
      <c r="Q164" s="22"/>
      <c r="R164" s="24"/>
    </row>
    <row r="165" spans="1:18" s="23" customFormat="1" ht="63">
      <c r="A165" s="21"/>
      <c r="B165" s="127" t="s">
        <v>144</v>
      </c>
      <c r="C165" s="109" t="s">
        <v>64</v>
      </c>
      <c r="D165" s="108" t="s">
        <v>11</v>
      </c>
      <c r="E165" s="108" t="s">
        <v>51</v>
      </c>
      <c r="F165" s="108" t="s">
        <v>137</v>
      </c>
      <c r="G165" s="108" t="s">
        <v>145</v>
      </c>
      <c r="H165" s="126"/>
      <c r="I165" s="178" t="str">
        <f t="shared" si="17"/>
        <v>601011314 2 04 11010119</v>
      </c>
      <c r="L165" s="22"/>
      <c r="M165" s="22"/>
      <c r="N165" s="22"/>
      <c r="O165" s="22"/>
      <c r="P165" s="22"/>
      <c r="Q165" s="22"/>
      <c r="R165" s="24"/>
    </row>
    <row r="166" spans="1:18" s="16" customFormat="1" ht="31.5">
      <c r="A166" s="14"/>
      <c r="B166" s="125" t="s">
        <v>28</v>
      </c>
      <c r="C166" s="109" t="s">
        <v>64</v>
      </c>
      <c r="D166" s="108" t="s">
        <v>11</v>
      </c>
      <c r="E166" s="108" t="s">
        <v>51</v>
      </c>
      <c r="F166" s="108" t="s">
        <v>137</v>
      </c>
      <c r="G166" s="108" t="s">
        <v>29</v>
      </c>
      <c r="H166" s="126">
        <f>H167</f>
        <v>0</v>
      </c>
      <c r="I166" s="178" t="str">
        <f t="shared" si="17"/>
        <v>601011314 2 04 11010240</v>
      </c>
      <c r="L166" s="20">
        <v>12409.95</v>
      </c>
      <c r="M166" s="20">
        <v>11789.55</v>
      </c>
      <c r="N166" s="20">
        <v>11789.55</v>
      </c>
      <c r="O166" s="20">
        <f>H166-L166</f>
        <v>-12409.95</v>
      </c>
      <c r="P166" s="20" t="e">
        <f>#REF!-M166</f>
        <v>#REF!</v>
      </c>
      <c r="Q166" s="20" t="e">
        <f>#REF!-N166</f>
        <v>#REF!</v>
      </c>
      <c r="R166" s="17" t="str">
        <f t="shared" si="11"/>
        <v>14 2 04 11010240</v>
      </c>
    </row>
    <row r="167" spans="1:18" s="16" customFormat="1" ht="15.75">
      <c r="A167" s="14"/>
      <c r="B167" s="125" t="s">
        <v>30</v>
      </c>
      <c r="C167" s="109" t="s">
        <v>64</v>
      </c>
      <c r="D167" s="108" t="s">
        <v>11</v>
      </c>
      <c r="E167" s="108" t="s">
        <v>51</v>
      </c>
      <c r="F167" s="108" t="s">
        <v>137</v>
      </c>
      <c r="G167" s="108" t="s">
        <v>31</v>
      </c>
      <c r="H167" s="126"/>
      <c r="I167" s="178" t="str">
        <f t="shared" si="17"/>
        <v>601011314 2 04 11010244</v>
      </c>
      <c r="L167" s="20"/>
      <c r="M167" s="20"/>
      <c r="N167" s="20"/>
      <c r="O167" s="20"/>
      <c r="P167" s="20"/>
      <c r="Q167" s="20"/>
      <c r="R167" s="17"/>
    </row>
    <row r="168" spans="1:18" s="16" customFormat="1" ht="15.75">
      <c r="A168" s="14"/>
      <c r="B168" s="125" t="s">
        <v>32</v>
      </c>
      <c r="C168" s="109" t="s">
        <v>64</v>
      </c>
      <c r="D168" s="108" t="s">
        <v>11</v>
      </c>
      <c r="E168" s="108" t="s">
        <v>51</v>
      </c>
      <c r="F168" s="108" t="s">
        <v>137</v>
      </c>
      <c r="G168" s="133">
        <v>850</v>
      </c>
      <c r="H168" s="126">
        <f>SUM(H169:H171)</f>
        <v>0</v>
      </c>
      <c r="I168" s="178" t="str">
        <f t="shared" si="17"/>
        <v>601011314 2 04 11010850</v>
      </c>
      <c r="L168" s="20">
        <v>1342.7499999999998</v>
      </c>
      <c r="M168" s="20">
        <v>1342.7499999999998</v>
      </c>
      <c r="N168" s="20">
        <v>1342.7499999999998</v>
      </c>
      <c r="O168" s="20">
        <f>H168-L168</f>
        <v>-1342.7499999999998</v>
      </c>
      <c r="P168" s="20" t="e">
        <f>#REF!-M168</f>
        <v>#REF!</v>
      </c>
      <c r="Q168" s="20" t="e">
        <f>#REF!-N168</f>
        <v>#REF!</v>
      </c>
      <c r="R168" s="17" t="str">
        <f t="shared" si="11"/>
        <v>14 2 04 11010850</v>
      </c>
    </row>
    <row r="169" spans="1:18" s="23" customFormat="1" ht="31.5">
      <c r="A169" s="21"/>
      <c r="B169" s="127" t="s">
        <v>34</v>
      </c>
      <c r="C169" s="109" t="s">
        <v>64</v>
      </c>
      <c r="D169" s="108" t="s">
        <v>11</v>
      </c>
      <c r="E169" s="108" t="s">
        <v>51</v>
      </c>
      <c r="F169" s="108" t="s">
        <v>137</v>
      </c>
      <c r="G169" s="133">
        <v>851</v>
      </c>
      <c r="H169" s="126"/>
      <c r="I169" s="178" t="str">
        <f t="shared" si="17"/>
        <v>601011314 2 04 11010851</v>
      </c>
      <c r="L169" s="22"/>
      <c r="M169" s="22"/>
      <c r="N169" s="22"/>
      <c r="O169" s="22"/>
      <c r="P169" s="22"/>
      <c r="Q169" s="22"/>
      <c r="R169" s="24"/>
    </row>
    <row r="170" spans="1:18" s="23" customFormat="1" ht="15.75">
      <c r="A170" s="21"/>
      <c r="B170" s="127" t="s">
        <v>36</v>
      </c>
      <c r="C170" s="109" t="s">
        <v>64</v>
      </c>
      <c r="D170" s="108" t="s">
        <v>11</v>
      </c>
      <c r="E170" s="108" t="s">
        <v>51</v>
      </c>
      <c r="F170" s="108" t="s">
        <v>137</v>
      </c>
      <c r="G170" s="133">
        <v>852</v>
      </c>
      <c r="H170" s="126"/>
      <c r="I170" s="178" t="str">
        <f t="shared" si="17"/>
        <v>601011314 2 04 11010852</v>
      </c>
      <c r="L170" s="22"/>
      <c r="M170" s="22"/>
      <c r="N170" s="22"/>
      <c r="O170" s="22"/>
      <c r="P170" s="22"/>
      <c r="Q170" s="22"/>
      <c r="R170" s="24"/>
    </row>
    <row r="171" spans="1:18" s="23" customFormat="1" ht="15.75">
      <c r="A171" s="21"/>
      <c r="B171" s="127" t="s">
        <v>77</v>
      </c>
      <c r="C171" s="109" t="s">
        <v>64</v>
      </c>
      <c r="D171" s="108" t="s">
        <v>11</v>
      </c>
      <c r="E171" s="108" t="s">
        <v>51</v>
      </c>
      <c r="F171" s="108" t="s">
        <v>137</v>
      </c>
      <c r="G171" s="133">
        <v>853</v>
      </c>
      <c r="H171" s="126"/>
      <c r="I171" s="178" t="str">
        <f t="shared" si="17"/>
        <v>601011314 2 04 11010853</v>
      </c>
      <c r="L171" s="22"/>
      <c r="M171" s="22"/>
      <c r="N171" s="22"/>
      <c r="O171" s="22"/>
      <c r="P171" s="22"/>
      <c r="Q171" s="22"/>
      <c r="R171" s="24"/>
    </row>
    <row r="172" spans="1:18" s="16" customFormat="1" ht="47.25">
      <c r="A172" s="14"/>
      <c r="B172" s="127" t="s">
        <v>146</v>
      </c>
      <c r="C172" s="130">
        <v>601</v>
      </c>
      <c r="D172" s="130" t="s">
        <v>11</v>
      </c>
      <c r="E172" s="130">
        <v>13</v>
      </c>
      <c r="F172" s="130" t="s">
        <v>147</v>
      </c>
      <c r="G172" s="130" t="s">
        <v>9</v>
      </c>
      <c r="H172" s="134">
        <f>H173+H178+H193</f>
        <v>0</v>
      </c>
      <c r="I172" s="178" t="str">
        <f t="shared" si="17"/>
        <v>601011315 0 00 00000000</v>
      </c>
      <c r="L172" s="27">
        <v>1051.79</v>
      </c>
      <c r="M172" s="27">
        <v>1001.79</v>
      </c>
      <c r="N172" s="27">
        <v>1001.79</v>
      </c>
      <c r="O172" s="27">
        <f>H172-L172</f>
        <v>-1051.79</v>
      </c>
      <c r="P172" s="27" t="e">
        <f>#REF!-M172</f>
        <v>#REF!</v>
      </c>
      <c r="Q172" s="27" t="e">
        <f>#REF!-N172</f>
        <v>#REF!</v>
      </c>
      <c r="R172" s="17" t="str">
        <f t="shared" si="11"/>
        <v>15 0 00 00000000</v>
      </c>
    </row>
    <row r="173" spans="1:18" s="16" customFormat="1" ht="47.25">
      <c r="A173" s="14"/>
      <c r="B173" s="125" t="s">
        <v>1065</v>
      </c>
      <c r="C173" s="130">
        <v>601</v>
      </c>
      <c r="D173" s="130" t="s">
        <v>11</v>
      </c>
      <c r="E173" s="130">
        <v>13</v>
      </c>
      <c r="F173" s="130" t="s">
        <v>149</v>
      </c>
      <c r="G173" s="130" t="s">
        <v>9</v>
      </c>
      <c r="H173" s="134">
        <f>H174</f>
        <v>0</v>
      </c>
      <c r="I173" s="178" t="str">
        <f t="shared" si="17"/>
        <v>601011315 1 00 00000000</v>
      </c>
      <c r="L173" s="27">
        <v>386.6</v>
      </c>
      <c r="M173" s="27">
        <v>336.6</v>
      </c>
      <c r="N173" s="27">
        <v>336.6</v>
      </c>
      <c r="O173" s="27">
        <f>H173-L173</f>
        <v>-386.6</v>
      </c>
      <c r="P173" s="27" t="e">
        <f>#REF!-M173</f>
        <v>#REF!</v>
      </c>
      <c r="Q173" s="27" t="e">
        <f>#REF!-N173</f>
        <v>#REF!</v>
      </c>
      <c r="R173" s="17" t="str">
        <f t="shared" si="11"/>
        <v>15 1 00 00000000</v>
      </c>
    </row>
    <row r="174" spans="1:18" s="16" customFormat="1" ht="63">
      <c r="A174" s="14"/>
      <c r="B174" s="125" t="s">
        <v>1066</v>
      </c>
      <c r="C174" s="130">
        <v>601</v>
      </c>
      <c r="D174" s="130" t="s">
        <v>11</v>
      </c>
      <c r="E174" s="130">
        <v>13</v>
      </c>
      <c r="F174" s="130" t="s">
        <v>151</v>
      </c>
      <c r="G174" s="130" t="s">
        <v>9</v>
      </c>
      <c r="H174" s="134">
        <f>H175</f>
        <v>0</v>
      </c>
      <c r="I174" s="178" t="str">
        <f t="shared" si="17"/>
        <v>601011315 1 01 00000000</v>
      </c>
      <c r="L174" s="27">
        <v>386.6</v>
      </c>
      <c r="M174" s="27">
        <v>336.6</v>
      </c>
      <c r="N174" s="27">
        <v>336.6</v>
      </c>
      <c r="O174" s="27">
        <f>H174-L174</f>
        <v>-386.6</v>
      </c>
      <c r="P174" s="27" t="e">
        <f>#REF!-M174</f>
        <v>#REF!</v>
      </c>
      <c r="Q174" s="27" t="e">
        <f>#REF!-N174</f>
        <v>#REF!</v>
      </c>
      <c r="R174" s="17" t="str">
        <f t="shared" si="11"/>
        <v>15 1 01 00000000</v>
      </c>
    </row>
    <row r="175" spans="1:18" s="16" customFormat="1" ht="47.25">
      <c r="A175" s="14"/>
      <c r="B175" s="129" t="s">
        <v>152</v>
      </c>
      <c r="C175" s="130">
        <v>601</v>
      </c>
      <c r="D175" s="130" t="s">
        <v>11</v>
      </c>
      <c r="E175" s="130">
        <v>13</v>
      </c>
      <c r="F175" s="130" t="s">
        <v>153</v>
      </c>
      <c r="G175" s="130" t="s">
        <v>9</v>
      </c>
      <c r="H175" s="134">
        <f>SUM(H176:H176)</f>
        <v>0</v>
      </c>
      <c r="I175" s="178" t="str">
        <f t="shared" si="17"/>
        <v>601011315 1 01 20350000</v>
      </c>
      <c r="L175" s="27">
        <v>386.6</v>
      </c>
      <c r="M175" s="27">
        <v>336.6</v>
      </c>
      <c r="N175" s="27">
        <v>336.6</v>
      </c>
      <c r="O175" s="27">
        <f>H175-L175</f>
        <v>-386.6</v>
      </c>
      <c r="P175" s="27" t="e">
        <f>#REF!-M175</f>
        <v>#REF!</v>
      </c>
      <c r="Q175" s="27" t="e">
        <f>#REF!-N175</f>
        <v>#REF!</v>
      </c>
      <c r="R175" s="17" t="str">
        <f t="shared" si="11"/>
        <v>15 1 01 20350000</v>
      </c>
    </row>
    <row r="176" spans="1:18" s="16" customFormat="1" ht="31.5">
      <c r="A176" s="14"/>
      <c r="B176" s="135" t="s">
        <v>28</v>
      </c>
      <c r="C176" s="130">
        <v>601</v>
      </c>
      <c r="D176" s="130" t="s">
        <v>11</v>
      </c>
      <c r="E176" s="130">
        <v>13</v>
      </c>
      <c r="F176" s="130" t="s">
        <v>153</v>
      </c>
      <c r="G176" s="130" t="s">
        <v>29</v>
      </c>
      <c r="H176" s="126">
        <f>H177</f>
        <v>0</v>
      </c>
      <c r="I176" s="178" t="str">
        <f t="shared" si="17"/>
        <v>601011315 1 01 20350240</v>
      </c>
      <c r="L176" s="20">
        <v>386.6</v>
      </c>
      <c r="M176" s="20">
        <v>336.6</v>
      </c>
      <c r="N176" s="20">
        <v>336.6</v>
      </c>
      <c r="O176" s="20">
        <f>H176-L176</f>
        <v>-386.6</v>
      </c>
      <c r="P176" s="20" t="e">
        <f>#REF!-M176</f>
        <v>#REF!</v>
      </c>
      <c r="Q176" s="20" t="e">
        <f>#REF!-N176</f>
        <v>#REF!</v>
      </c>
      <c r="R176" s="17" t="str">
        <f t="shared" si="11"/>
        <v>15 1 01 20350240</v>
      </c>
    </row>
    <row r="177" spans="1:18" s="16" customFormat="1" ht="15.75">
      <c r="A177" s="14"/>
      <c r="B177" s="125" t="s">
        <v>30</v>
      </c>
      <c r="C177" s="130">
        <v>601</v>
      </c>
      <c r="D177" s="130" t="s">
        <v>11</v>
      </c>
      <c r="E177" s="130">
        <v>13</v>
      </c>
      <c r="F177" s="130" t="s">
        <v>153</v>
      </c>
      <c r="G177" s="130" t="s">
        <v>31</v>
      </c>
      <c r="H177" s="126"/>
      <c r="I177" s="178" t="str">
        <f t="shared" si="17"/>
        <v>601011315 1 01 20350244</v>
      </c>
      <c r="L177" s="20"/>
      <c r="M177" s="20"/>
      <c r="N177" s="20"/>
      <c r="O177" s="20"/>
      <c r="P177" s="20"/>
      <c r="Q177" s="20"/>
      <c r="R177" s="17" t="str">
        <f t="shared" si="11"/>
        <v>15 1 01 20350244</v>
      </c>
    </row>
    <row r="178" spans="1:18" s="16" customFormat="1" ht="15.75">
      <c r="A178" s="14"/>
      <c r="B178" s="127" t="s">
        <v>154</v>
      </c>
      <c r="C178" s="136">
        <v>601</v>
      </c>
      <c r="D178" s="130" t="s">
        <v>11</v>
      </c>
      <c r="E178" s="130">
        <v>13</v>
      </c>
      <c r="F178" s="130" t="s">
        <v>155</v>
      </c>
      <c r="G178" s="130" t="s">
        <v>9</v>
      </c>
      <c r="H178" s="134">
        <f>H183+H188+H179</f>
        <v>0</v>
      </c>
      <c r="I178" s="178" t="str">
        <f t="shared" si="17"/>
        <v>601011315 2 00 00000000</v>
      </c>
      <c r="L178" s="27">
        <v>414.27</v>
      </c>
      <c r="M178" s="27">
        <v>414.27</v>
      </c>
      <c r="N178" s="27">
        <v>414.27</v>
      </c>
      <c r="O178" s="27">
        <f>H178-L178</f>
        <v>-414.27</v>
      </c>
      <c r="P178" s="27" t="e">
        <f>#REF!-M178</f>
        <v>#REF!</v>
      </c>
      <c r="Q178" s="27" t="e">
        <f>#REF!-N178</f>
        <v>#REF!</v>
      </c>
      <c r="R178" s="17" t="str">
        <f t="shared" si="11"/>
        <v>15 2 00 00000000</v>
      </c>
    </row>
    <row r="179" spans="1:18" s="16" customFormat="1" ht="47.25">
      <c r="A179" s="14"/>
      <c r="B179" s="129" t="s">
        <v>156</v>
      </c>
      <c r="C179" s="136">
        <v>601</v>
      </c>
      <c r="D179" s="130" t="s">
        <v>11</v>
      </c>
      <c r="E179" s="130">
        <v>13</v>
      </c>
      <c r="F179" s="130" t="s">
        <v>157</v>
      </c>
      <c r="G179" s="130" t="s">
        <v>9</v>
      </c>
      <c r="H179" s="134">
        <f>H180</f>
        <v>0</v>
      </c>
      <c r="I179" s="178" t="str">
        <f t="shared" si="17"/>
        <v>601011315 2 01 00000000</v>
      </c>
      <c r="L179" s="27">
        <v>74.97</v>
      </c>
      <c r="M179" s="27">
        <v>74.97</v>
      </c>
      <c r="N179" s="27">
        <v>74.97</v>
      </c>
      <c r="O179" s="27">
        <f>H179-L179</f>
        <v>-74.97</v>
      </c>
      <c r="P179" s="27" t="e">
        <f>#REF!-M179</f>
        <v>#REF!</v>
      </c>
      <c r="Q179" s="27" t="e">
        <f>#REF!-N179</f>
        <v>#REF!</v>
      </c>
      <c r="R179" s="17" t="str">
        <f t="shared" si="11"/>
        <v>15 2 01 00000000</v>
      </c>
    </row>
    <row r="180" spans="1:18" s="16" customFormat="1" ht="78.75">
      <c r="A180" s="14"/>
      <c r="B180" s="129" t="s">
        <v>158</v>
      </c>
      <c r="C180" s="136">
        <v>601</v>
      </c>
      <c r="D180" s="130" t="s">
        <v>11</v>
      </c>
      <c r="E180" s="130">
        <v>13</v>
      </c>
      <c r="F180" s="130" t="s">
        <v>159</v>
      </c>
      <c r="G180" s="130" t="s">
        <v>9</v>
      </c>
      <c r="H180" s="126">
        <f>H181</f>
        <v>0</v>
      </c>
      <c r="I180" s="178" t="str">
        <f t="shared" si="17"/>
        <v>601011315 2 01 20370000</v>
      </c>
      <c r="L180" s="20">
        <v>74.97</v>
      </c>
      <c r="M180" s="20">
        <v>74.97</v>
      </c>
      <c r="N180" s="20">
        <v>74.97</v>
      </c>
      <c r="O180" s="20">
        <f>H180-L180</f>
        <v>-74.97</v>
      </c>
      <c r="P180" s="20" t="e">
        <f>#REF!-M180</f>
        <v>#REF!</v>
      </c>
      <c r="Q180" s="20" t="e">
        <f>#REF!-N180</f>
        <v>#REF!</v>
      </c>
      <c r="R180" s="17" t="str">
        <f t="shared" si="11"/>
        <v>15 2 01 20370000</v>
      </c>
    </row>
    <row r="181" spans="1:18" s="16" customFormat="1" ht="31.5">
      <c r="A181" s="14"/>
      <c r="B181" s="125" t="s">
        <v>28</v>
      </c>
      <c r="C181" s="136">
        <v>601</v>
      </c>
      <c r="D181" s="130" t="s">
        <v>11</v>
      </c>
      <c r="E181" s="130">
        <v>13</v>
      </c>
      <c r="F181" s="130" t="s">
        <v>159</v>
      </c>
      <c r="G181" s="130" t="s">
        <v>29</v>
      </c>
      <c r="H181" s="126">
        <f>H182</f>
        <v>0</v>
      </c>
      <c r="I181" s="178" t="str">
        <f t="shared" si="17"/>
        <v>601011315 2 01 20370240</v>
      </c>
      <c r="L181" s="20">
        <v>74.97</v>
      </c>
      <c r="M181" s="20">
        <v>74.97</v>
      </c>
      <c r="N181" s="20">
        <v>74.97</v>
      </c>
      <c r="O181" s="20">
        <f>H181-L181</f>
        <v>-74.97</v>
      </c>
      <c r="P181" s="20" t="e">
        <f>#REF!-M181</f>
        <v>#REF!</v>
      </c>
      <c r="Q181" s="20" t="e">
        <f>#REF!-N181</f>
        <v>#REF!</v>
      </c>
      <c r="R181" s="17" t="str">
        <f t="shared" si="11"/>
        <v>15 2 01 20370240</v>
      </c>
    </row>
    <row r="182" spans="1:18" s="16" customFormat="1" ht="15.75">
      <c r="A182" s="14"/>
      <c r="B182" s="125" t="s">
        <v>30</v>
      </c>
      <c r="C182" s="136">
        <v>601</v>
      </c>
      <c r="D182" s="130" t="s">
        <v>11</v>
      </c>
      <c r="E182" s="130">
        <v>13</v>
      </c>
      <c r="F182" s="130" t="s">
        <v>159</v>
      </c>
      <c r="G182" s="130" t="s">
        <v>31</v>
      </c>
      <c r="H182" s="126"/>
      <c r="I182" s="178" t="str">
        <f t="shared" si="17"/>
        <v>601011315 2 01 20370244</v>
      </c>
      <c r="L182" s="20"/>
      <c r="M182" s="20"/>
      <c r="N182" s="20"/>
      <c r="O182" s="20"/>
      <c r="P182" s="20"/>
      <c r="Q182" s="20"/>
      <c r="R182" s="17" t="str">
        <f t="shared" si="11"/>
        <v>15 2 01 20370244</v>
      </c>
    </row>
    <row r="183" spans="1:18" s="16" customFormat="1" ht="47.25">
      <c r="A183" s="14"/>
      <c r="B183" s="129" t="s">
        <v>160</v>
      </c>
      <c r="C183" s="136">
        <v>601</v>
      </c>
      <c r="D183" s="130" t="s">
        <v>11</v>
      </c>
      <c r="E183" s="130">
        <v>13</v>
      </c>
      <c r="F183" s="130" t="s">
        <v>161</v>
      </c>
      <c r="G183" s="108" t="s">
        <v>9</v>
      </c>
      <c r="H183" s="126">
        <f>H184</f>
        <v>0</v>
      </c>
      <c r="I183" s="178" t="str">
        <f t="shared" si="17"/>
        <v>601011315 2 02 00000000</v>
      </c>
      <c r="L183" s="20">
        <v>76.5</v>
      </c>
      <c r="M183" s="20">
        <v>76.5</v>
      </c>
      <c r="N183" s="20">
        <v>76.5</v>
      </c>
      <c r="O183" s="20">
        <f>H183-L183</f>
        <v>-76.5</v>
      </c>
      <c r="P183" s="20" t="e">
        <f>#REF!-M183</f>
        <v>#REF!</v>
      </c>
      <c r="Q183" s="20" t="e">
        <f>#REF!-N183</f>
        <v>#REF!</v>
      </c>
      <c r="R183" s="17" t="str">
        <f t="shared" si="11"/>
        <v>15 2 02 00000000</v>
      </c>
    </row>
    <row r="184" spans="1:18" s="16" customFormat="1" ht="78.75">
      <c r="A184" s="14"/>
      <c r="B184" s="129" t="s">
        <v>158</v>
      </c>
      <c r="C184" s="136">
        <v>601</v>
      </c>
      <c r="D184" s="130" t="s">
        <v>11</v>
      </c>
      <c r="E184" s="130">
        <v>13</v>
      </c>
      <c r="F184" s="130" t="s">
        <v>162</v>
      </c>
      <c r="G184" s="108" t="s">
        <v>9</v>
      </c>
      <c r="H184" s="126">
        <f>H185+H187</f>
        <v>0</v>
      </c>
      <c r="I184" s="178" t="str">
        <f t="shared" si="17"/>
        <v>601011315 2 02 20370000</v>
      </c>
      <c r="L184" s="20">
        <v>76.5</v>
      </c>
      <c r="M184" s="20">
        <v>76.5</v>
      </c>
      <c r="N184" s="20">
        <v>76.5</v>
      </c>
      <c r="O184" s="20">
        <f>H184-L184</f>
        <v>-76.5</v>
      </c>
      <c r="P184" s="20" t="e">
        <f>#REF!-M184</f>
        <v>#REF!</v>
      </c>
      <c r="Q184" s="20" t="e">
        <f>#REF!-N184</f>
        <v>#REF!</v>
      </c>
      <c r="R184" s="17" t="str">
        <f t="shared" si="11"/>
        <v>15 2 02 20370000</v>
      </c>
    </row>
    <row r="185" spans="1:18" s="16" customFormat="1" ht="31.5">
      <c r="A185" s="14"/>
      <c r="B185" s="125" t="s">
        <v>28</v>
      </c>
      <c r="C185" s="136">
        <v>601</v>
      </c>
      <c r="D185" s="130" t="s">
        <v>11</v>
      </c>
      <c r="E185" s="130">
        <v>13</v>
      </c>
      <c r="F185" s="130" t="s">
        <v>162</v>
      </c>
      <c r="G185" s="108" t="s">
        <v>29</v>
      </c>
      <c r="H185" s="126">
        <f>H186</f>
        <v>0</v>
      </c>
      <c r="I185" s="178" t="str">
        <f t="shared" si="17"/>
        <v>601011315 2 02 20370240</v>
      </c>
      <c r="L185" s="20">
        <v>13.5</v>
      </c>
      <c r="M185" s="20">
        <v>13.5</v>
      </c>
      <c r="N185" s="20">
        <v>13.5</v>
      </c>
      <c r="O185" s="20">
        <f>H185-L185</f>
        <v>-13.5</v>
      </c>
      <c r="P185" s="20" t="e">
        <f>#REF!-M185</f>
        <v>#REF!</v>
      </c>
      <c r="Q185" s="20" t="e">
        <f>#REF!-N185</f>
        <v>#REF!</v>
      </c>
      <c r="R185" s="17" t="str">
        <f t="shared" si="11"/>
        <v>15 2 02 20370240</v>
      </c>
    </row>
    <row r="186" spans="1:18" s="16" customFormat="1" ht="15.75">
      <c r="A186" s="14"/>
      <c r="B186" s="125" t="s">
        <v>30</v>
      </c>
      <c r="C186" s="136">
        <v>601</v>
      </c>
      <c r="D186" s="130" t="s">
        <v>11</v>
      </c>
      <c r="E186" s="130">
        <v>13</v>
      </c>
      <c r="F186" s="130" t="s">
        <v>162</v>
      </c>
      <c r="G186" s="108" t="s">
        <v>31</v>
      </c>
      <c r="H186" s="126"/>
      <c r="I186" s="178" t="str">
        <f t="shared" si="17"/>
        <v>601011315 2 02 20370244</v>
      </c>
      <c r="L186" s="20"/>
      <c r="M186" s="20"/>
      <c r="N186" s="20"/>
      <c r="O186" s="20"/>
      <c r="P186" s="20"/>
      <c r="Q186" s="20"/>
      <c r="R186" s="17" t="str">
        <f t="shared" si="11"/>
        <v>15 2 02 20370244</v>
      </c>
    </row>
    <row r="187" spans="1:18" s="16" customFormat="1" ht="15.75">
      <c r="A187" s="14"/>
      <c r="B187" s="125" t="s">
        <v>163</v>
      </c>
      <c r="C187" s="136">
        <v>601</v>
      </c>
      <c r="D187" s="130" t="s">
        <v>11</v>
      </c>
      <c r="E187" s="130">
        <v>13</v>
      </c>
      <c r="F187" s="130" t="s">
        <v>162</v>
      </c>
      <c r="G187" s="108" t="s">
        <v>164</v>
      </c>
      <c r="H187" s="126"/>
      <c r="I187" s="178" t="str">
        <f t="shared" si="17"/>
        <v>601011315 2 02 20370350</v>
      </c>
      <c r="L187" s="20">
        <v>63</v>
      </c>
      <c r="M187" s="20">
        <v>63</v>
      </c>
      <c r="N187" s="20">
        <v>63</v>
      </c>
      <c r="O187" s="20">
        <f>H187-L187</f>
        <v>-63</v>
      </c>
      <c r="P187" s="20" t="e">
        <f>#REF!-M187</f>
        <v>#REF!</v>
      </c>
      <c r="Q187" s="20" t="e">
        <f>#REF!-N187</f>
        <v>#REF!</v>
      </c>
      <c r="R187" s="17" t="str">
        <f t="shared" si="11"/>
        <v>15 2 02 20370350</v>
      </c>
    </row>
    <row r="188" spans="1:18" s="16" customFormat="1" ht="47.25">
      <c r="A188" s="14"/>
      <c r="B188" s="129" t="s">
        <v>165</v>
      </c>
      <c r="C188" s="136">
        <v>601</v>
      </c>
      <c r="D188" s="130" t="s">
        <v>11</v>
      </c>
      <c r="E188" s="130">
        <v>13</v>
      </c>
      <c r="F188" s="130" t="s">
        <v>166</v>
      </c>
      <c r="G188" s="108" t="s">
        <v>9</v>
      </c>
      <c r="H188" s="126">
        <f>H189</f>
        <v>0</v>
      </c>
      <c r="I188" s="178" t="str">
        <f t="shared" si="17"/>
        <v>601011315 2 03 00000000</v>
      </c>
      <c r="L188" s="20">
        <v>262.8</v>
      </c>
      <c r="M188" s="20">
        <v>262.8</v>
      </c>
      <c r="N188" s="20">
        <v>262.8</v>
      </c>
      <c r="O188" s="20">
        <f>H188-L188</f>
        <v>-262.8</v>
      </c>
      <c r="P188" s="20" t="e">
        <f>#REF!-M188</f>
        <v>#REF!</v>
      </c>
      <c r="Q188" s="20" t="e">
        <f>#REF!-N188</f>
        <v>#REF!</v>
      </c>
      <c r="R188" s="17" t="str">
        <f t="shared" si="11"/>
        <v>15 2 03 00000000</v>
      </c>
    </row>
    <row r="189" spans="1:18" s="16" customFormat="1" ht="78.75">
      <c r="A189" s="14"/>
      <c r="B189" s="129" t="s">
        <v>158</v>
      </c>
      <c r="C189" s="136">
        <v>601</v>
      </c>
      <c r="D189" s="130" t="s">
        <v>11</v>
      </c>
      <c r="E189" s="130">
        <v>13</v>
      </c>
      <c r="F189" s="130" t="s">
        <v>167</v>
      </c>
      <c r="G189" s="108" t="s">
        <v>9</v>
      </c>
      <c r="H189" s="126">
        <f>H190+H192</f>
        <v>0</v>
      </c>
      <c r="I189" s="178" t="str">
        <f t="shared" si="17"/>
        <v>601011315 2 03 20370000</v>
      </c>
      <c r="L189" s="20">
        <v>262.8</v>
      </c>
      <c r="M189" s="20">
        <v>262.8</v>
      </c>
      <c r="N189" s="20">
        <v>262.8</v>
      </c>
      <c r="O189" s="20">
        <f>H189-L189</f>
        <v>-262.8</v>
      </c>
      <c r="P189" s="20" t="e">
        <f>#REF!-M189</f>
        <v>#REF!</v>
      </c>
      <c r="Q189" s="20" t="e">
        <f>#REF!-N189</f>
        <v>#REF!</v>
      </c>
      <c r="R189" s="17" t="str">
        <f t="shared" si="11"/>
        <v>15 2 03 20370000</v>
      </c>
    </row>
    <row r="190" spans="1:18" s="16" customFormat="1" ht="31.5">
      <c r="A190" s="14"/>
      <c r="B190" s="125" t="s">
        <v>28</v>
      </c>
      <c r="C190" s="136">
        <v>601</v>
      </c>
      <c r="D190" s="130" t="s">
        <v>11</v>
      </c>
      <c r="E190" s="130">
        <v>13</v>
      </c>
      <c r="F190" s="130" t="s">
        <v>167</v>
      </c>
      <c r="G190" s="108" t="s">
        <v>29</v>
      </c>
      <c r="H190" s="126">
        <f>H191</f>
        <v>0</v>
      </c>
      <c r="I190" s="178" t="str">
        <f t="shared" si="17"/>
        <v>601011315 2 03 20370240</v>
      </c>
      <c r="L190" s="20">
        <v>202.8</v>
      </c>
      <c r="M190" s="20">
        <v>202.8</v>
      </c>
      <c r="N190" s="20">
        <v>202.8</v>
      </c>
      <c r="O190" s="20">
        <f>H190-L190</f>
        <v>-202.8</v>
      </c>
      <c r="P190" s="20" t="e">
        <f>#REF!-M190</f>
        <v>#REF!</v>
      </c>
      <c r="Q190" s="20" t="e">
        <f>#REF!-N190</f>
        <v>#REF!</v>
      </c>
      <c r="R190" s="17" t="str">
        <f t="shared" si="11"/>
        <v>15 2 03 20370240</v>
      </c>
    </row>
    <row r="191" spans="1:18" s="16" customFormat="1" ht="15.75">
      <c r="A191" s="14"/>
      <c r="B191" s="125" t="s">
        <v>30</v>
      </c>
      <c r="C191" s="136">
        <v>601</v>
      </c>
      <c r="D191" s="130" t="s">
        <v>11</v>
      </c>
      <c r="E191" s="130">
        <v>13</v>
      </c>
      <c r="F191" s="130" t="s">
        <v>167</v>
      </c>
      <c r="G191" s="108" t="s">
        <v>31</v>
      </c>
      <c r="H191" s="126"/>
      <c r="I191" s="178" t="str">
        <f t="shared" si="17"/>
        <v>601011315 2 03 20370244</v>
      </c>
      <c r="L191" s="20"/>
      <c r="M191" s="20"/>
      <c r="N191" s="20"/>
      <c r="O191" s="20"/>
      <c r="P191" s="20"/>
      <c r="Q191" s="20"/>
      <c r="R191" s="17" t="str">
        <f t="shared" si="11"/>
        <v>15 2 03 20370244</v>
      </c>
    </row>
    <row r="192" spans="1:18" s="16" customFormat="1" ht="15.75">
      <c r="A192" s="14"/>
      <c r="B192" s="125" t="s">
        <v>163</v>
      </c>
      <c r="C192" s="136">
        <v>601</v>
      </c>
      <c r="D192" s="130" t="s">
        <v>11</v>
      </c>
      <c r="E192" s="130">
        <v>13</v>
      </c>
      <c r="F192" s="130" t="s">
        <v>167</v>
      </c>
      <c r="G192" s="108" t="s">
        <v>164</v>
      </c>
      <c r="H192" s="126"/>
      <c r="I192" s="178" t="str">
        <f t="shared" si="17"/>
        <v>601011315 2 03 20370350</v>
      </c>
      <c r="L192" s="20">
        <v>60</v>
      </c>
      <c r="M192" s="20">
        <v>60</v>
      </c>
      <c r="N192" s="20">
        <v>60</v>
      </c>
      <c r="O192" s="20">
        <f t="shared" ref="O192:O201" si="19">H192-L192</f>
        <v>-60</v>
      </c>
      <c r="P192" s="20" t="e">
        <f>#REF!-M192</f>
        <v>#REF!</v>
      </c>
      <c r="Q192" s="20" t="e">
        <f>#REF!-N192</f>
        <v>#REF!</v>
      </c>
      <c r="R192" s="17" t="str">
        <f t="shared" si="11"/>
        <v>15 2 03 20370350</v>
      </c>
    </row>
    <row r="193" spans="1:18" s="16" customFormat="1" ht="31.5">
      <c r="A193" s="14"/>
      <c r="B193" s="125" t="s">
        <v>168</v>
      </c>
      <c r="C193" s="136">
        <v>601</v>
      </c>
      <c r="D193" s="130" t="s">
        <v>11</v>
      </c>
      <c r="E193" s="130">
        <v>13</v>
      </c>
      <c r="F193" s="130" t="s">
        <v>169</v>
      </c>
      <c r="G193" s="108" t="s">
        <v>9</v>
      </c>
      <c r="H193" s="126">
        <f t="shared" ref="H193:H195" si="20">H194</f>
        <v>0</v>
      </c>
      <c r="I193" s="178" t="str">
        <f t="shared" si="17"/>
        <v>601011315 3 00 00000000</v>
      </c>
      <c r="L193" s="20">
        <v>250.92</v>
      </c>
      <c r="M193" s="20">
        <v>250.92</v>
      </c>
      <c r="N193" s="20">
        <v>250.92</v>
      </c>
      <c r="O193" s="20">
        <f t="shared" si="19"/>
        <v>-250.92</v>
      </c>
      <c r="P193" s="20" t="e">
        <f>#REF!-M193</f>
        <v>#REF!</v>
      </c>
      <c r="Q193" s="20" t="e">
        <f>#REF!-N193</f>
        <v>#REF!</v>
      </c>
      <c r="R193" s="17" t="str">
        <f t="shared" si="11"/>
        <v>15 3 00 00000000</v>
      </c>
    </row>
    <row r="194" spans="1:18" s="16" customFormat="1" ht="47.25">
      <c r="A194" s="14"/>
      <c r="B194" s="125" t="s">
        <v>170</v>
      </c>
      <c r="C194" s="136">
        <v>601</v>
      </c>
      <c r="D194" s="130" t="s">
        <v>11</v>
      </c>
      <c r="E194" s="130">
        <v>13</v>
      </c>
      <c r="F194" s="130" t="s">
        <v>171</v>
      </c>
      <c r="G194" s="108" t="s">
        <v>9</v>
      </c>
      <c r="H194" s="126">
        <f t="shared" si="20"/>
        <v>0</v>
      </c>
      <c r="I194" s="178" t="str">
        <f t="shared" si="17"/>
        <v>601011315 3 03 00000000</v>
      </c>
      <c r="L194" s="20">
        <v>250.92</v>
      </c>
      <c r="M194" s="20">
        <v>250.92</v>
      </c>
      <c r="N194" s="20">
        <v>250.92</v>
      </c>
      <c r="O194" s="20">
        <f t="shared" si="19"/>
        <v>-250.92</v>
      </c>
      <c r="P194" s="20" t="e">
        <f>#REF!-M194</f>
        <v>#REF!</v>
      </c>
      <c r="Q194" s="20" t="e">
        <f>#REF!-N194</f>
        <v>#REF!</v>
      </c>
      <c r="R194" s="17" t="str">
        <f t="shared" si="11"/>
        <v>15 3 03 00000000</v>
      </c>
    </row>
    <row r="195" spans="1:18" s="16" customFormat="1" ht="63">
      <c r="A195" s="14"/>
      <c r="B195" s="125" t="s">
        <v>172</v>
      </c>
      <c r="C195" s="136">
        <v>601</v>
      </c>
      <c r="D195" s="130" t="s">
        <v>11</v>
      </c>
      <c r="E195" s="130">
        <v>13</v>
      </c>
      <c r="F195" s="130" t="s">
        <v>173</v>
      </c>
      <c r="G195" s="108" t="s">
        <v>9</v>
      </c>
      <c r="H195" s="126">
        <f t="shared" si="20"/>
        <v>0</v>
      </c>
      <c r="I195" s="178" t="str">
        <f t="shared" si="17"/>
        <v>601011315 3 03 20100000</v>
      </c>
      <c r="L195" s="20">
        <v>250.92</v>
      </c>
      <c r="M195" s="20">
        <v>250.92</v>
      </c>
      <c r="N195" s="20">
        <v>250.92</v>
      </c>
      <c r="O195" s="20">
        <f t="shared" si="19"/>
        <v>-250.92</v>
      </c>
      <c r="P195" s="20" t="e">
        <f>#REF!-M195</f>
        <v>#REF!</v>
      </c>
      <c r="Q195" s="20" t="e">
        <f>#REF!-N195</f>
        <v>#REF!</v>
      </c>
      <c r="R195" s="17" t="str">
        <f t="shared" si="11"/>
        <v>15 3 03 20100000</v>
      </c>
    </row>
    <row r="196" spans="1:18" s="16" customFormat="1" ht="15.75">
      <c r="A196" s="14"/>
      <c r="B196" s="125" t="s">
        <v>163</v>
      </c>
      <c r="C196" s="136">
        <v>601</v>
      </c>
      <c r="D196" s="130" t="s">
        <v>11</v>
      </c>
      <c r="E196" s="130">
        <v>13</v>
      </c>
      <c r="F196" s="130" t="s">
        <v>173</v>
      </c>
      <c r="G196" s="108" t="s">
        <v>164</v>
      </c>
      <c r="H196" s="126"/>
      <c r="I196" s="178" t="str">
        <f t="shared" si="17"/>
        <v>601011315 3 03 20100350</v>
      </c>
      <c r="L196" s="20">
        <v>250.92</v>
      </c>
      <c r="M196" s="20">
        <v>250.92</v>
      </c>
      <c r="N196" s="20">
        <v>250.92</v>
      </c>
      <c r="O196" s="20">
        <f t="shared" si="19"/>
        <v>-250.92</v>
      </c>
      <c r="P196" s="20" t="e">
        <f>#REF!-M196</f>
        <v>#REF!</v>
      </c>
      <c r="Q196" s="20" t="e">
        <f>#REF!-N196</f>
        <v>#REF!</v>
      </c>
      <c r="R196" s="17" t="str">
        <f t="shared" si="11"/>
        <v>15 3 03 20100350</v>
      </c>
    </row>
    <row r="197" spans="1:18" s="16" customFormat="1" ht="31.5">
      <c r="A197" s="14"/>
      <c r="B197" s="125" t="s">
        <v>174</v>
      </c>
      <c r="C197" s="109" t="s">
        <v>64</v>
      </c>
      <c r="D197" s="108" t="s">
        <v>11</v>
      </c>
      <c r="E197" s="108" t="s">
        <v>51</v>
      </c>
      <c r="F197" s="108" t="s">
        <v>175</v>
      </c>
      <c r="G197" s="108" t="s">
        <v>9</v>
      </c>
      <c r="H197" s="126">
        <f t="shared" ref="H197:H200" si="21">H198</f>
        <v>0</v>
      </c>
      <c r="I197" s="178" t="str">
        <f t="shared" si="17"/>
        <v>601011318 0 00 00000000</v>
      </c>
      <c r="L197" s="20">
        <v>2292.5</v>
      </c>
      <c r="M197" s="20">
        <v>2292.5</v>
      </c>
      <c r="N197" s="20">
        <v>2292.5</v>
      </c>
      <c r="O197" s="20">
        <f t="shared" si="19"/>
        <v>-2292.5</v>
      </c>
      <c r="P197" s="20" t="e">
        <f>#REF!-M197</f>
        <v>#REF!</v>
      </c>
      <c r="Q197" s="20" t="e">
        <f>#REF!-N197</f>
        <v>#REF!</v>
      </c>
      <c r="R197" s="17" t="str">
        <f t="shared" si="11"/>
        <v>18 0 00 00000000</v>
      </c>
    </row>
    <row r="198" spans="1:18" s="16" customFormat="1" ht="31.5">
      <c r="A198" s="14"/>
      <c r="B198" s="125" t="s">
        <v>176</v>
      </c>
      <c r="C198" s="109" t="s">
        <v>64</v>
      </c>
      <c r="D198" s="108" t="s">
        <v>11</v>
      </c>
      <c r="E198" s="108" t="s">
        <v>51</v>
      </c>
      <c r="F198" s="108" t="s">
        <v>177</v>
      </c>
      <c r="G198" s="108" t="s">
        <v>9</v>
      </c>
      <c r="H198" s="126">
        <f t="shared" si="21"/>
        <v>0</v>
      </c>
      <c r="I198" s="178" t="str">
        <f t="shared" si="17"/>
        <v>601011318 Б 00 00000000</v>
      </c>
      <c r="L198" s="20">
        <v>2292.5</v>
      </c>
      <c r="M198" s="20">
        <v>2292.5</v>
      </c>
      <c r="N198" s="20">
        <v>2292.5</v>
      </c>
      <c r="O198" s="20">
        <f t="shared" si="19"/>
        <v>-2292.5</v>
      </c>
      <c r="P198" s="20" t="e">
        <f>#REF!-M198</f>
        <v>#REF!</v>
      </c>
      <c r="Q198" s="20" t="e">
        <f>#REF!-N198</f>
        <v>#REF!</v>
      </c>
      <c r="R198" s="17" t="str">
        <f t="shared" si="11"/>
        <v>18 Б 00 00000000</v>
      </c>
    </row>
    <row r="199" spans="1:18" s="16" customFormat="1" ht="63">
      <c r="A199" s="14"/>
      <c r="B199" s="129" t="s">
        <v>178</v>
      </c>
      <c r="C199" s="109" t="s">
        <v>64</v>
      </c>
      <c r="D199" s="108" t="s">
        <v>11</v>
      </c>
      <c r="E199" s="108" t="s">
        <v>51</v>
      </c>
      <c r="F199" s="108" t="s">
        <v>179</v>
      </c>
      <c r="G199" s="108" t="s">
        <v>9</v>
      </c>
      <c r="H199" s="126">
        <f t="shared" si="21"/>
        <v>0</v>
      </c>
      <c r="I199" s="178" t="str">
        <f t="shared" si="17"/>
        <v>601011318 Б 01 00000000</v>
      </c>
      <c r="L199" s="20">
        <v>2292.5</v>
      </c>
      <c r="M199" s="20">
        <v>2292.5</v>
      </c>
      <c r="N199" s="20">
        <v>2292.5</v>
      </c>
      <c r="O199" s="20">
        <f t="shared" si="19"/>
        <v>-2292.5</v>
      </c>
      <c r="P199" s="20" t="e">
        <f>#REF!-M199</f>
        <v>#REF!</v>
      </c>
      <c r="Q199" s="20" t="e">
        <f>#REF!-N199</f>
        <v>#REF!</v>
      </c>
      <c r="R199" s="17" t="str">
        <f t="shared" si="11"/>
        <v>18 Б 01 00000000</v>
      </c>
    </row>
    <row r="200" spans="1:18" s="16" customFormat="1" ht="126">
      <c r="A200" s="14"/>
      <c r="B200" s="125" t="s">
        <v>180</v>
      </c>
      <c r="C200" s="109" t="s">
        <v>64</v>
      </c>
      <c r="D200" s="108" t="s">
        <v>11</v>
      </c>
      <c r="E200" s="108" t="s">
        <v>51</v>
      </c>
      <c r="F200" s="108" t="s">
        <v>181</v>
      </c>
      <c r="G200" s="108" t="s">
        <v>9</v>
      </c>
      <c r="H200" s="126">
        <f t="shared" si="21"/>
        <v>0</v>
      </c>
      <c r="I200" s="178" t="str">
        <f t="shared" si="17"/>
        <v>601011318 Б 01 60080000</v>
      </c>
      <c r="L200" s="20">
        <v>2292.5</v>
      </c>
      <c r="M200" s="20">
        <v>2292.5</v>
      </c>
      <c r="N200" s="20">
        <v>2292.5</v>
      </c>
      <c r="O200" s="20">
        <f t="shared" si="19"/>
        <v>-2292.5</v>
      </c>
      <c r="P200" s="20" t="e">
        <f>#REF!-M200</f>
        <v>#REF!</v>
      </c>
      <c r="Q200" s="20" t="e">
        <f>#REF!-N200</f>
        <v>#REF!</v>
      </c>
      <c r="R200" s="17" t="str">
        <f t="shared" si="11"/>
        <v>18 Б 01 60080000</v>
      </c>
    </row>
    <row r="201" spans="1:18" s="16" customFormat="1" ht="47.25">
      <c r="A201" s="14"/>
      <c r="B201" s="125" t="s">
        <v>182</v>
      </c>
      <c r="C201" s="109" t="s">
        <v>64</v>
      </c>
      <c r="D201" s="108" t="s">
        <v>11</v>
      </c>
      <c r="E201" s="108" t="s">
        <v>51</v>
      </c>
      <c r="F201" s="108" t="s">
        <v>181</v>
      </c>
      <c r="G201" s="108" t="s">
        <v>183</v>
      </c>
      <c r="H201" s="126">
        <f>H202</f>
        <v>0</v>
      </c>
      <c r="I201" s="178" t="str">
        <f t="shared" si="17"/>
        <v>601011318 Б 01 60080630</v>
      </c>
      <c r="L201" s="20">
        <v>2292.5</v>
      </c>
      <c r="M201" s="20">
        <v>2292.5</v>
      </c>
      <c r="N201" s="20">
        <v>2292.5</v>
      </c>
      <c r="O201" s="20">
        <f t="shared" si="19"/>
        <v>-2292.5</v>
      </c>
      <c r="P201" s="20" t="e">
        <f>#REF!-M201</f>
        <v>#REF!</v>
      </c>
      <c r="Q201" s="20" t="e">
        <f>#REF!-N201</f>
        <v>#REF!</v>
      </c>
      <c r="R201" s="17" t="str">
        <f t="shared" si="11"/>
        <v>18 Б 01 60080630</v>
      </c>
    </row>
    <row r="202" spans="1:18" s="16" customFormat="1" ht="31.5">
      <c r="A202" s="14"/>
      <c r="B202" s="125" t="s">
        <v>1037</v>
      </c>
      <c r="C202" s="109" t="s">
        <v>64</v>
      </c>
      <c r="D202" s="108" t="s">
        <v>11</v>
      </c>
      <c r="E202" s="108" t="s">
        <v>51</v>
      </c>
      <c r="F202" s="108" t="s">
        <v>181</v>
      </c>
      <c r="G202" s="108" t="s">
        <v>185</v>
      </c>
      <c r="H202" s="126"/>
      <c r="I202" s="178" t="str">
        <f t="shared" si="17"/>
        <v>601011318 Б 01 60080631</v>
      </c>
      <c r="L202" s="20"/>
      <c r="M202" s="20"/>
      <c r="N202" s="20"/>
      <c r="O202" s="20"/>
      <c r="P202" s="20"/>
      <c r="Q202" s="20"/>
      <c r="R202" s="17" t="str">
        <f t="shared" si="11"/>
        <v>18 Б 01 60080631</v>
      </c>
    </row>
    <row r="203" spans="1:18" s="16" customFormat="1" ht="31.5">
      <c r="A203" s="14"/>
      <c r="B203" s="129" t="s">
        <v>66</v>
      </c>
      <c r="C203" s="130" t="s">
        <v>64</v>
      </c>
      <c r="D203" s="131" t="s">
        <v>11</v>
      </c>
      <c r="E203" s="131" t="s">
        <v>51</v>
      </c>
      <c r="F203" s="131" t="s">
        <v>67</v>
      </c>
      <c r="G203" s="131" t="s">
        <v>9</v>
      </c>
      <c r="H203" s="126">
        <f>H204</f>
        <v>0</v>
      </c>
      <c r="I203" s="178" t="str">
        <f t="shared" si="17"/>
        <v>601011371 0 00 00000000</v>
      </c>
      <c r="L203" s="20">
        <v>37338.509999999995</v>
      </c>
      <c r="M203" s="20">
        <v>32338.51</v>
      </c>
      <c r="N203" s="20">
        <v>32338.51</v>
      </c>
      <c r="O203" s="20">
        <f>H203-L203</f>
        <v>-37338.509999999995</v>
      </c>
      <c r="P203" s="20" t="e">
        <f>#REF!-M203</f>
        <v>#REF!</v>
      </c>
      <c r="Q203" s="20" t="e">
        <f>#REF!-N203</f>
        <v>#REF!</v>
      </c>
      <c r="R203" s="17" t="str">
        <f t="shared" si="11"/>
        <v>71 0 00 00000000</v>
      </c>
    </row>
    <row r="204" spans="1:18" s="16" customFormat="1" ht="31.5">
      <c r="A204" s="14"/>
      <c r="B204" s="129" t="s">
        <v>74</v>
      </c>
      <c r="C204" s="130" t="s">
        <v>64</v>
      </c>
      <c r="D204" s="131" t="s">
        <v>11</v>
      </c>
      <c r="E204" s="131" t="s">
        <v>51</v>
      </c>
      <c r="F204" s="131" t="s">
        <v>75</v>
      </c>
      <c r="G204" s="131" t="s">
        <v>9</v>
      </c>
      <c r="H204" s="126">
        <f>H205+H216</f>
        <v>0</v>
      </c>
      <c r="I204" s="178" t="str">
        <f t="shared" si="17"/>
        <v>601011371 1 00 00000000</v>
      </c>
      <c r="L204" s="20">
        <v>37338.509999999995</v>
      </c>
      <c r="M204" s="20">
        <v>32338.51</v>
      </c>
      <c r="N204" s="20">
        <v>32338.51</v>
      </c>
      <c r="O204" s="20">
        <f>H204-L204</f>
        <v>-37338.509999999995</v>
      </c>
      <c r="P204" s="20" t="e">
        <f>#REF!-M204</f>
        <v>#REF!</v>
      </c>
      <c r="Q204" s="20" t="e">
        <f>#REF!-N204</f>
        <v>#REF!</v>
      </c>
      <c r="R204" s="17" t="str">
        <f t="shared" ref="R204:R289" si="22">CONCATENATE(F204,G204)</f>
        <v>71 1 00 00000000</v>
      </c>
    </row>
    <row r="205" spans="1:18" s="16" customFormat="1" ht="31.5">
      <c r="A205" s="14"/>
      <c r="B205" s="125" t="s">
        <v>136</v>
      </c>
      <c r="C205" s="109" t="s">
        <v>64</v>
      </c>
      <c r="D205" s="108" t="s">
        <v>11</v>
      </c>
      <c r="E205" s="108" t="s">
        <v>51</v>
      </c>
      <c r="F205" s="108" t="s">
        <v>186</v>
      </c>
      <c r="G205" s="108" t="s">
        <v>9</v>
      </c>
      <c r="H205" s="126">
        <f>H206+H210+H212</f>
        <v>0</v>
      </c>
      <c r="I205" s="178" t="str">
        <f t="shared" si="17"/>
        <v>601011371 1 00 11010000</v>
      </c>
      <c r="L205" s="20">
        <v>37138.509999999995</v>
      </c>
      <c r="M205" s="20">
        <v>32138.51</v>
      </c>
      <c r="N205" s="20">
        <v>32138.51</v>
      </c>
      <c r="O205" s="20">
        <f>H205-L205</f>
        <v>-37138.509999999995</v>
      </c>
      <c r="P205" s="20" t="e">
        <f>#REF!-M205</f>
        <v>#REF!</v>
      </c>
      <c r="Q205" s="20" t="e">
        <f>#REF!-N205</f>
        <v>#REF!</v>
      </c>
      <c r="R205" s="17" t="str">
        <f t="shared" si="22"/>
        <v>71 1 00 11010000</v>
      </c>
    </row>
    <row r="206" spans="1:18" s="16" customFormat="1" ht="15.75">
      <c r="A206" s="14"/>
      <c r="B206" s="132" t="s">
        <v>138</v>
      </c>
      <c r="C206" s="109" t="s">
        <v>64</v>
      </c>
      <c r="D206" s="108" t="s">
        <v>11</v>
      </c>
      <c r="E206" s="108" t="s">
        <v>51</v>
      </c>
      <c r="F206" s="108" t="s">
        <v>186</v>
      </c>
      <c r="G206" s="108" t="s">
        <v>139</v>
      </c>
      <c r="H206" s="126">
        <f>SUM(H207:H209)</f>
        <v>0</v>
      </c>
      <c r="I206" s="178" t="str">
        <f t="shared" si="17"/>
        <v>601011371 1 00 11010110</v>
      </c>
      <c r="L206" s="20">
        <v>12661.96</v>
      </c>
      <c r="M206" s="20">
        <v>12661.96</v>
      </c>
      <c r="N206" s="20">
        <v>12661.96</v>
      </c>
      <c r="O206" s="20">
        <f>H206-L206</f>
        <v>-12661.96</v>
      </c>
      <c r="P206" s="20" t="e">
        <f>#REF!-M206</f>
        <v>#REF!</v>
      </c>
      <c r="Q206" s="20" t="e">
        <f>#REF!-N206</f>
        <v>#REF!</v>
      </c>
      <c r="R206" s="17" t="str">
        <f t="shared" si="22"/>
        <v>71 1 00 11010110</v>
      </c>
    </row>
    <row r="207" spans="1:18" s="23" customFormat="1" ht="15.75">
      <c r="A207" s="21"/>
      <c r="B207" s="127" t="s">
        <v>140</v>
      </c>
      <c r="C207" s="109" t="s">
        <v>64</v>
      </c>
      <c r="D207" s="108" t="s">
        <v>11</v>
      </c>
      <c r="E207" s="108" t="s">
        <v>51</v>
      </c>
      <c r="F207" s="108" t="s">
        <v>186</v>
      </c>
      <c r="G207" s="108" t="s">
        <v>141</v>
      </c>
      <c r="H207" s="126"/>
      <c r="I207" s="178" t="str">
        <f t="shared" si="17"/>
        <v>601011371 1 00 11010111</v>
      </c>
      <c r="L207" s="22"/>
      <c r="M207" s="22"/>
      <c r="N207" s="22"/>
      <c r="O207" s="22"/>
      <c r="P207" s="22"/>
      <c r="Q207" s="22"/>
      <c r="R207" s="24"/>
    </row>
    <row r="208" spans="1:18" s="23" customFormat="1" ht="31.5">
      <c r="A208" s="21"/>
      <c r="B208" s="127" t="s">
        <v>142</v>
      </c>
      <c r="C208" s="109" t="s">
        <v>64</v>
      </c>
      <c r="D208" s="108" t="s">
        <v>11</v>
      </c>
      <c r="E208" s="108" t="s">
        <v>51</v>
      </c>
      <c r="F208" s="108" t="s">
        <v>186</v>
      </c>
      <c r="G208" s="108" t="s">
        <v>143</v>
      </c>
      <c r="H208" s="126"/>
      <c r="I208" s="178" t="str">
        <f t="shared" si="17"/>
        <v>601011371 1 00 11010112</v>
      </c>
      <c r="L208" s="22"/>
      <c r="M208" s="22"/>
      <c r="N208" s="22"/>
      <c r="O208" s="22"/>
      <c r="P208" s="22"/>
      <c r="Q208" s="22"/>
      <c r="R208" s="24"/>
    </row>
    <row r="209" spans="1:18" s="23" customFormat="1" ht="63">
      <c r="A209" s="21"/>
      <c r="B209" s="127" t="s">
        <v>144</v>
      </c>
      <c r="C209" s="109" t="s">
        <v>64</v>
      </c>
      <c r="D209" s="108" t="s">
        <v>11</v>
      </c>
      <c r="E209" s="108" t="s">
        <v>51</v>
      </c>
      <c r="F209" s="108" t="s">
        <v>186</v>
      </c>
      <c r="G209" s="108" t="s">
        <v>145</v>
      </c>
      <c r="H209" s="126"/>
      <c r="I209" s="178" t="str">
        <f t="shared" si="17"/>
        <v>601011371 1 00 11010119</v>
      </c>
      <c r="L209" s="22"/>
      <c r="M209" s="22"/>
      <c r="N209" s="22"/>
      <c r="O209" s="22"/>
      <c r="P209" s="22"/>
      <c r="Q209" s="22"/>
      <c r="R209" s="24"/>
    </row>
    <row r="210" spans="1:18" s="16" customFormat="1" ht="31.5">
      <c r="A210" s="14"/>
      <c r="B210" s="125" t="s">
        <v>28</v>
      </c>
      <c r="C210" s="109" t="s">
        <v>64</v>
      </c>
      <c r="D210" s="108" t="s">
        <v>11</v>
      </c>
      <c r="E210" s="108" t="s">
        <v>51</v>
      </c>
      <c r="F210" s="108" t="s">
        <v>186</v>
      </c>
      <c r="G210" s="108" t="s">
        <v>29</v>
      </c>
      <c r="H210" s="126">
        <f>H211</f>
        <v>0</v>
      </c>
      <c r="I210" s="178" t="str">
        <f t="shared" si="17"/>
        <v>601011371 1 00 11010240</v>
      </c>
      <c r="L210" s="20">
        <v>24082.02</v>
      </c>
      <c r="M210" s="20">
        <v>19082.02</v>
      </c>
      <c r="N210" s="20">
        <v>19082.02</v>
      </c>
      <c r="O210" s="20">
        <f>H210-L210</f>
        <v>-24082.02</v>
      </c>
      <c r="P210" s="20" t="e">
        <f>#REF!-M210</f>
        <v>#REF!</v>
      </c>
      <c r="Q210" s="20" t="e">
        <f>#REF!-N210</f>
        <v>#REF!</v>
      </c>
      <c r="R210" s="17" t="str">
        <f t="shared" si="22"/>
        <v>71 1 00 11010240</v>
      </c>
    </row>
    <row r="211" spans="1:18" s="16" customFormat="1" ht="15.75">
      <c r="A211" s="14"/>
      <c r="B211" s="125" t="s">
        <v>30</v>
      </c>
      <c r="C211" s="109" t="s">
        <v>64</v>
      </c>
      <c r="D211" s="108" t="s">
        <v>11</v>
      </c>
      <c r="E211" s="108" t="s">
        <v>51</v>
      </c>
      <c r="F211" s="108" t="s">
        <v>186</v>
      </c>
      <c r="G211" s="108" t="s">
        <v>31</v>
      </c>
      <c r="H211" s="126"/>
      <c r="I211" s="178" t="str">
        <f t="shared" si="17"/>
        <v>601011371 1 00 11010244</v>
      </c>
      <c r="L211" s="20"/>
      <c r="M211" s="20"/>
      <c r="N211" s="20"/>
      <c r="O211" s="20"/>
      <c r="P211" s="20"/>
      <c r="Q211" s="20"/>
      <c r="R211" s="17"/>
    </row>
    <row r="212" spans="1:18" s="16" customFormat="1" ht="15.75">
      <c r="A212" s="14"/>
      <c r="B212" s="125" t="s">
        <v>32</v>
      </c>
      <c r="C212" s="109" t="s">
        <v>64</v>
      </c>
      <c r="D212" s="108" t="s">
        <v>11</v>
      </c>
      <c r="E212" s="108" t="s">
        <v>51</v>
      </c>
      <c r="F212" s="108" t="s">
        <v>186</v>
      </c>
      <c r="G212" s="108" t="s">
        <v>33</v>
      </c>
      <c r="H212" s="126">
        <f>SUM(H213:H215)</f>
        <v>0</v>
      </c>
      <c r="I212" s="178" t="str">
        <f t="shared" si="17"/>
        <v>601011371 1 00 11010850</v>
      </c>
      <c r="L212" s="20">
        <v>394.53</v>
      </c>
      <c r="M212" s="20">
        <v>394.53</v>
      </c>
      <c r="N212" s="20">
        <v>394.53</v>
      </c>
      <c r="O212" s="20">
        <f>H212-L212</f>
        <v>-394.53</v>
      </c>
      <c r="P212" s="20" t="e">
        <f>#REF!-M212</f>
        <v>#REF!</v>
      </c>
      <c r="Q212" s="20" t="e">
        <f>#REF!-N212</f>
        <v>#REF!</v>
      </c>
      <c r="R212" s="17" t="str">
        <f t="shared" si="22"/>
        <v>71 1 00 11010850</v>
      </c>
    </row>
    <row r="213" spans="1:18" s="23" customFormat="1" ht="31.5">
      <c r="A213" s="21"/>
      <c r="B213" s="127" t="s">
        <v>34</v>
      </c>
      <c r="C213" s="109" t="s">
        <v>64</v>
      </c>
      <c r="D213" s="108" t="s">
        <v>11</v>
      </c>
      <c r="E213" s="108" t="s">
        <v>51</v>
      </c>
      <c r="F213" s="108" t="s">
        <v>186</v>
      </c>
      <c r="G213" s="108" t="s">
        <v>35</v>
      </c>
      <c r="H213" s="126"/>
      <c r="I213" s="178" t="str">
        <f t="shared" ref="I213:I276" si="23">C213&amp;D213&amp;E213&amp;F213&amp;G213</f>
        <v>601011371 1 00 11010851</v>
      </c>
      <c r="L213" s="22"/>
      <c r="M213" s="22"/>
      <c r="N213" s="22"/>
      <c r="O213" s="22"/>
      <c r="P213" s="22"/>
      <c r="Q213" s="22"/>
      <c r="R213" s="24"/>
    </row>
    <row r="214" spans="1:18" s="23" customFormat="1" ht="15.75">
      <c r="A214" s="21"/>
      <c r="B214" s="127" t="s">
        <v>36</v>
      </c>
      <c r="C214" s="109" t="s">
        <v>64</v>
      </c>
      <c r="D214" s="108" t="s">
        <v>11</v>
      </c>
      <c r="E214" s="108" t="s">
        <v>51</v>
      </c>
      <c r="F214" s="108" t="s">
        <v>186</v>
      </c>
      <c r="G214" s="108" t="s">
        <v>37</v>
      </c>
      <c r="H214" s="126"/>
      <c r="I214" s="178" t="str">
        <f t="shared" si="23"/>
        <v>601011371 1 00 11010852</v>
      </c>
      <c r="L214" s="22"/>
      <c r="M214" s="22"/>
      <c r="N214" s="22"/>
      <c r="O214" s="22"/>
      <c r="P214" s="22"/>
      <c r="Q214" s="22"/>
      <c r="R214" s="24"/>
    </row>
    <row r="215" spans="1:18" s="23" customFormat="1" ht="15.75">
      <c r="A215" s="21"/>
      <c r="B215" s="127" t="s">
        <v>77</v>
      </c>
      <c r="C215" s="109" t="s">
        <v>64</v>
      </c>
      <c r="D215" s="108" t="s">
        <v>11</v>
      </c>
      <c r="E215" s="108" t="s">
        <v>51</v>
      </c>
      <c r="F215" s="108" t="s">
        <v>186</v>
      </c>
      <c r="G215" s="108" t="s">
        <v>78</v>
      </c>
      <c r="H215" s="126"/>
      <c r="I215" s="178" t="str">
        <f t="shared" si="23"/>
        <v>601011371 1 00 11010853</v>
      </c>
      <c r="L215" s="22"/>
      <c r="M215" s="22"/>
      <c r="N215" s="22"/>
      <c r="O215" s="22"/>
      <c r="P215" s="22"/>
      <c r="Q215" s="22"/>
      <c r="R215" s="24"/>
    </row>
    <row r="216" spans="1:18" s="16" customFormat="1" ht="31.5">
      <c r="A216" s="14"/>
      <c r="B216" s="129" t="s">
        <v>187</v>
      </c>
      <c r="C216" s="130" t="s">
        <v>64</v>
      </c>
      <c r="D216" s="131" t="s">
        <v>11</v>
      </c>
      <c r="E216" s="131" t="s">
        <v>51</v>
      </c>
      <c r="F216" s="131" t="s">
        <v>188</v>
      </c>
      <c r="G216" s="131" t="s">
        <v>9</v>
      </c>
      <c r="H216" s="126">
        <f>H217</f>
        <v>0</v>
      </c>
      <c r="I216" s="178" t="str">
        <f t="shared" si="23"/>
        <v>601011371 1 00 20050000</v>
      </c>
      <c r="L216" s="20">
        <v>200</v>
      </c>
      <c r="M216" s="20">
        <v>200</v>
      </c>
      <c r="N216" s="20">
        <v>200</v>
      </c>
      <c r="O216" s="20">
        <f>H216-L216</f>
        <v>-200</v>
      </c>
      <c r="P216" s="20" t="e">
        <f>#REF!-M216</f>
        <v>#REF!</v>
      </c>
      <c r="Q216" s="20" t="e">
        <f>#REF!-N216</f>
        <v>#REF!</v>
      </c>
      <c r="R216" s="17" t="str">
        <f t="shared" si="22"/>
        <v>71 1 00 20050000</v>
      </c>
    </row>
    <row r="217" spans="1:18" s="16" customFormat="1" ht="15.75">
      <c r="A217" s="14"/>
      <c r="B217" s="125" t="s">
        <v>189</v>
      </c>
      <c r="C217" s="130" t="s">
        <v>64</v>
      </c>
      <c r="D217" s="131" t="s">
        <v>11</v>
      </c>
      <c r="E217" s="131" t="s">
        <v>51</v>
      </c>
      <c r="F217" s="131" t="s">
        <v>188</v>
      </c>
      <c r="G217" s="131" t="s">
        <v>190</v>
      </c>
      <c r="H217" s="126">
        <f>H218</f>
        <v>0</v>
      </c>
      <c r="I217" s="178" t="str">
        <f t="shared" si="23"/>
        <v>601011371 1 00 20050830</v>
      </c>
      <c r="L217" s="20">
        <v>200</v>
      </c>
      <c r="M217" s="20">
        <v>200</v>
      </c>
      <c r="N217" s="20">
        <v>200</v>
      </c>
      <c r="O217" s="20">
        <f>H217-L217</f>
        <v>-200</v>
      </c>
      <c r="P217" s="20" t="e">
        <f>#REF!-M217</f>
        <v>#REF!</v>
      </c>
      <c r="Q217" s="20" t="e">
        <f>#REF!-N217</f>
        <v>#REF!</v>
      </c>
      <c r="R217" s="17" t="str">
        <f t="shared" si="22"/>
        <v>71 1 00 20050830</v>
      </c>
    </row>
    <row r="218" spans="1:18" s="16" customFormat="1" ht="47.25">
      <c r="A218" s="14"/>
      <c r="B218" s="129" t="s">
        <v>191</v>
      </c>
      <c r="C218" s="130" t="s">
        <v>64</v>
      </c>
      <c r="D218" s="131" t="s">
        <v>11</v>
      </c>
      <c r="E218" s="131" t="s">
        <v>51</v>
      </c>
      <c r="F218" s="131" t="s">
        <v>188</v>
      </c>
      <c r="G218" s="131" t="s">
        <v>192</v>
      </c>
      <c r="H218" s="126"/>
      <c r="I218" s="178" t="str">
        <f t="shared" si="23"/>
        <v>601011371 1 00 20050831</v>
      </c>
      <c r="L218" s="20"/>
      <c r="M218" s="20"/>
      <c r="N218" s="20"/>
      <c r="O218" s="20"/>
      <c r="P218" s="20"/>
      <c r="Q218" s="20"/>
      <c r="R218" s="17"/>
    </row>
    <row r="219" spans="1:18" s="16" customFormat="1" ht="63">
      <c r="A219" s="14"/>
      <c r="B219" s="125" t="s">
        <v>87</v>
      </c>
      <c r="C219" s="130" t="s">
        <v>64</v>
      </c>
      <c r="D219" s="131" t="s">
        <v>11</v>
      </c>
      <c r="E219" s="131" t="s">
        <v>51</v>
      </c>
      <c r="F219" s="131" t="s">
        <v>88</v>
      </c>
      <c r="G219" s="131" t="s">
        <v>9</v>
      </c>
      <c r="H219" s="126">
        <f>H220</f>
        <v>0</v>
      </c>
      <c r="I219" s="178" t="str">
        <f t="shared" si="23"/>
        <v>601011398 0 00 00000000</v>
      </c>
      <c r="L219" s="20">
        <v>7404.69</v>
      </c>
      <c r="M219" s="20">
        <v>7404.69</v>
      </c>
      <c r="N219" s="20">
        <v>7404.69</v>
      </c>
      <c r="O219" s="20">
        <f>H219-L219</f>
        <v>-7404.69</v>
      </c>
      <c r="P219" s="20" t="e">
        <f>#REF!-M219</f>
        <v>#REF!</v>
      </c>
      <c r="Q219" s="20" t="e">
        <f>#REF!-N219</f>
        <v>#REF!</v>
      </c>
      <c r="R219" s="17" t="str">
        <f t="shared" si="22"/>
        <v>98 0 00 00000000</v>
      </c>
    </row>
    <row r="220" spans="1:18" s="16" customFormat="1" ht="15.75">
      <c r="A220" s="14"/>
      <c r="B220" s="125" t="s">
        <v>89</v>
      </c>
      <c r="C220" s="130" t="s">
        <v>64</v>
      </c>
      <c r="D220" s="131" t="s">
        <v>11</v>
      </c>
      <c r="E220" s="131" t="s">
        <v>51</v>
      </c>
      <c r="F220" s="131" t="s">
        <v>90</v>
      </c>
      <c r="G220" s="131" t="s">
        <v>9</v>
      </c>
      <c r="H220" s="126">
        <f t="shared" ref="H220" si="24">H221</f>
        <v>0</v>
      </c>
      <c r="I220" s="178" t="str">
        <f t="shared" si="23"/>
        <v>601011398 1 00 00000000</v>
      </c>
      <c r="L220" s="20">
        <v>7404.69</v>
      </c>
      <c r="M220" s="20">
        <v>7404.69</v>
      </c>
      <c r="N220" s="20">
        <v>7404.69</v>
      </c>
      <c r="O220" s="20">
        <f>H220-L220</f>
        <v>-7404.69</v>
      </c>
      <c r="P220" s="20" t="e">
        <f>#REF!-M220</f>
        <v>#REF!</v>
      </c>
      <c r="Q220" s="20" t="e">
        <f>#REF!-N220</f>
        <v>#REF!</v>
      </c>
      <c r="R220" s="17" t="str">
        <f t="shared" si="22"/>
        <v>98 1 00 00000000</v>
      </c>
    </row>
    <row r="221" spans="1:18" s="16" customFormat="1" ht="63">
      <c r="A221" s="14" t="s">
        <v>80</v>
      </c>
      <c r="B221" s="129" t="s">
        <v>193</v>
      </c>
      <c r="C221" s="130" t="s">
        <v>64</v>
      </c>
      <c r="D221" s="131" t="s">
        <v>11</v>
      </c>
      <c r="E221" s="131" t="s">
        <v>51</v>
      </c>
      <c r="F221" s="131" t="s">
        <v>194</v>
      </c>
      <c r="G221" s="131" t="s">
        <v>9</v>
      </c>
      <c r="H221" s="126">
        <f>SUM(H222:H222)</f>
        <v>0</v>
      </c>
      <c r="I221" s="178" t="str">
        <f t="shared" si="23"/>
        <v>601011398 1 00 76610000</v>
      </c>
      <c r="L221" s="20">
        <v>7404.69</v>
      </c>
      <c r="M221" s="20">
        <v>7404.69</v>
      </c>
      <c r="N221" s="20">
        <v>7404.69</v>
      </c>
      <c r="O221" s="20">
        <f>H221-L221</f>
        <v>-7404.69</v>
      </c>
      <c r="P221" s="20" t="e">
        <f>#REF!-M221</f>
        <v>#REF!</v>
      </c>
      <c r="Q221" s="20" t="e">
        <f>#REF!-N221</f>
        <v>#REF!</v>
      </c>
      <c r="R221" s="17" t="str">
        <f t="shared" si="22"/>
        <v>98 1 00 76610000</v>
      </c>
    </row>
    <row r="222" spans="1:18" s="16" customFormat="1" ht="31.5">
      <c r="A222" s="14"/>
      <c r="B222" s="127" t="s">
        <v>20</v>
      </c>
      <c r="C222" s="130" t="s">
        <v>64</v>
      </c>
      <c r="D222" s="131" t="s">
        <v>11</v>
      </c>
      <c r="E222" s="131" t="s">
        <v>51</v>
      </c>
      <c r="F222" s="131" t="s">
        <v>194</v>
      </c>
      <c r="G222" s="131" t="s">
        <v>21</v>
      </c>
      <c r="H222" s="126">
        <f>SUM(H223:H224)</f>
        <v>0</v>
      </c>
      <c r="I222" s="178" t="str">
        <f t="shared" si="23"/>
        <v>601011398 1 00 76610120</v>
      </c>
      <c r="L222" s="20">
        <v>7404.69</v>
      </c>
      <c r="M222" s="20">
        <v>7404.69</v>
      </c>
      <c r="N222" s="20">
        <v>7404.69</v>
      </c>
      <c r="O222" s="20">
        <f>H222-L222</f>
        <v>-7404.69</v>
      </c>
      <c r="P222" s="20" t="e">
        <f>#REF!-M222</f>
        <v>#REF!</v>
      </c>
      <c r="Q222" s="20" t="e">
        <f>#REF!-N222</f>
        <v>#REF!</v>
      </c>
      <c r="R222" s="17" t="str">
        <f t="shared" si="22"/>
        <v>98 1 00 76610120</v>
      </c>
    </row>
    <row r="223" spans="1:18" s="23" customFormat="1" ht="31.5">
      <c r="A223" s="21"/>
      <c r="B223" s="127" t="s">
        <v>40</v>
      </c>
      <c r="C223" s="130" t="s">
        <v>64</v>
      </c>
      <c r="D223" s="131" t="s">
        <v>11</v>
      </c>
      <c r="E223" s="131" t="s">
        <v>51</v>
      </c>
      <c r="F223" s="131" t="s">
        <v>194</v>
      </c>
      <c r="G223" s="108" t="s">
        <v>41</v>
      </c>
      <c r="H223" s="126"/>
      <c r="I223" s="178" t="str">
        <f t="shared" si="23"/>
        <v>601011398 1 00 76610121</v>
      </c>
      <c r="L223" s="22"/>
      <c r="M223" s="22"/>
      <c r="N223" s="22"/>
      <c r="O223" s="22"/>
      <c r="P223" s="22"/>
      <c r="Q223" s="22"/>
      <c r="R223" s="24"/>
    </row>
    <row r="224" spans="1:18" s="23" customFormat="1" ht="63">
      <c r="A224" s="21"/>
      <c r="B224" s="127" t="s">
        <v>26</v>
      </c>
      <c r="C224" s="130" t="s">
        <v>64</v>
      </c>
      <c r="D224" s="131" t="s">
        <v>11</v>
      </c>
      <c r="E224" s="131" t="s">
        <v>51</v>
      </c>
      <c r="F224" s="131" t="s">
        <v>194</v>
      </c>
      <c r="G224" s="108" t="s">
        <v>27</v>
      </c>
      <c r="H224" s="126"/>
      <c r="I224" s="178" t="str">
        <f t="shared" si="23"/>
        <v>601011398 1 00 76610129</v>
      </c>
      <c r="L224" s="22"/>
      <c r="M224" s="22"/>
      <c r="N224" s="22"/>
      <c r="O224" s="22"/>
      <c r="P224" s="22"/>
      <c r="Q224" s="22"/>
      <c r="R224" s="24"/>
    </row>
    <row r="225" spans="1:18" s="16" customFormat="1" ht="15.75">
      <c r="A225" s="14"/>
      <c r="B225" s="117" t="s">
        <v>195</v>
      </c>
      <c r="C225" s="118" t="s">
        <v>64</v>
      </c>
      <c r="D225" s="119" t="s">
        <v>73</v>
      </c>
      <c r="E225" s="119" t="s">
        <v>7</v>
      </c>
      <c r="F225" s="119" t="s">
        <v>8</v>
      </c>
      <c r="G225" s="119" t="s">
        <v>9</v>
      </c>
      <c r="H225" s="120">
        <f t="shared" ref="H225:H226" si="25">H226</f>
        <v>0</v>
      </c>
      <c r="I225" s="178" t="str">
        <f t="shared" si="23"/>
        <v>601040000 0 00 00000000</v>
      </c>
      <c r="L225" s="18">
        <v>11547.5</v>
      </c>
      <c r="M225" s="18">
        <v>11547.5</v>
      </c>
      <c r="N225" s="18">
        <v>11547.5</v>
      </c>
      <c r="O225" s="18">
        <f t="shared" ref="O225:O231" si="26">H225-L225</f>
        <v>-11547.5</v>
      </c>
      <c r="P225" s="18" t="e">
        <f>#REF!-M225</f>
        <v>#REF!</v>
      </c>
      <c r="Q225" s="18" t="e">
        <f>#REF!-N225</f>
        <v>#REF!</v>
      </c>
      <c r="R225" s="17" t="str">
        <f t="shared" si="22"/>
        <v>00 0 00 00000000</v>
      </c>
    </row>
    <row r="226" spans="1:18" s="16" customFormat="1" ht="15.75">
      <c r="A226" s="14"/>
      <c r="B226" s="121" t="s">
        <v>196</v>
      </c>
      <c r="C226" s="122" t="s">
        <v>64</v>
      </c>
      <c r="D226" s="123" t="s">
        <v>73</v>
      </c>
      <c r="E226" s="123" t="s">
        <v>57</v>
      </c>
      <c r="F226" s="123" t="s">
        <v>8</v>
      </c>
      <c r="G226" s="123" t="s">
        <v>9</v>
      </c>
      <c r="H226" s="124">
        <f t="shared" si="25"/>
        <v>0</v>
      </c>
      <c r="I226" s="178" t="str">
        <f t="shared" si="23"/>
        <v>601041200 0 00 00000000</v>
      </c>
      <c r="L226" s="19">
        <v>11547.5</v>
      </c>
      <c r="M226" s="19">
        <v>11547.5</v>
      </c>
      <c r="N226" s="19">
        <v>11547.5</v>
      </c>
      <c r="O226" s="19">
        <f t="shared" si="26"/>
        <v>-11547.5</v>
      </c>
      <c r="P226" s="19" t="e">
        <f>#REF!-M226</f>
        <v>#REF!</v>
      </c>
      <c r="Q226" s="19" t="e">
        <f>#REF!-N226</f>
        <v>#REF!</v>
      </c>
      <c r="R226" s="17" t="str">
        <f t="shared" si="22"/>
        <v>00 0 00 00000000</v>
      </c>
    </row>
    <row r="227" spans="1:18" s="16" customFormat="1" ht="31.5">
      <c r="A227" s="14"/>
      <c r="B227" s="129" t="s">
        <v>94</v>
      </c>
      <c r="C227" s="109" t="s">
        <v>64</v>
      </c>
      <c r="D227" s="108" t="s">
        <v>73</v>
      </c>
      <c r="E227" s="108" t="s">
        <v>57</v>
      </c>
      <c r="F227" s="108" t="s">
        <v>95</v>
      </c>
      <c r="G227" s="108" t="s">
        <v>9</v>
      </c>
      <c r="H227" s="126">
        <f>H228+H244</f>
        <v>0</v>
      </c>
      <c r="I227" s="178" t="str">
        <f t="shared" si="23"/>
        <v>601041212 0 00 00000000</v>
      </c>
      <c r="L227" s="20">
        <v>11547.5</v>
      </c>
      <c r="M227" s="20">
        <v>11547.5</v>
      </c>
      <c r="N227" s="20">
        <v>11547.5</v>
      </c>
      <c r="O227" s="20">
        <f t="shared" si="26"/>
        <v>-11547.5</v>
      </c>
      <c r="P227" s="20" t="e">
        <f>#REF!-M227</f>
        <v>#REF!</v>
      </c>
      <c r="Q227" s="20" t="e">
        <f>#REF!-N227</f>
        <v>#REF!</v>
      </c>
      <c r="R227" s="17" t="str">
        <f t="shared" si="22"/>
        <v>12 0 00 00000000</v>
      </c>
    </row>
    <row r="228" spans="1:18" s="16" customFormat="1" ht="31.5">
      <c r="A228" s="14"/>
      <c r="B228" s="129" t="s">
        <v>197</v>
      </c>
      <c r="C228" s="109" t="s">
        <v>64</v>
      </c>
      <c r="D228" s="108" t="s">
        <v>73</v>
      </c>
      <c r="E228" s="108" t="s">
        <v>57</v>
      </c>
      <c r="F228" s="108" t="s">
        <v>198</v>
      </c>
      <c r="G228" s="108" t="s">
        <v>9</v>
      </c>
      <c r="H228" s="126">
        <f>H229+H234+H240</f>
        <v>0</v>
      </c>
      <c r="I228" s="178" t="str">
        <f t="shared" si="23"/>
        <v>601041212 1 00 00000000</v>
      </c>
      <c r="L228" s="20">
        <v>8210</v>
      </c>
      <c r="M228" s="20">
        <v>8210</v>
      </c>
      <c r="N228" s="20">
        <v>8210</v>
      </c>
      <c r="O228" s="20">
        <f t="shared" si="26"/>
        <v>-8210</v>
      </c>
      <c r="P228" s="20" t="e">
        <f>#REF!-M228</f>
        <v>#REF!</v>
      </c>
      <c r="Q228" s="20" t="e">
        <f>#REF!-N228</f>
        <v>#REF!</v>
      </c>
      <c r="R228" s="17" t="str">
        <f t="shared" si="22"/>
        <v>12 1 00 00000000</v>
      </c>
    </row>
    <row r="229" spans="1:18" s="16" customFormat="1" ht="47.25">
      <c r="A229" s="14"/>
      <c r="B229" s="129" t="s">
        <v>199</v>
      </c>
      <c r="C229" s="109" t="s">
        <v>64</v>
      </c>
      <c r="D229" s="108" t="s">
        <v>73</v>
      </c>
      <c r="E229" s="108" t="s">
        <v>57</v>
      </c>
      <c r="F229" s="108" t="s">
        <v>200</v>
      </c>
      <c r="G229" s="108" t="s">
        <v>9</v>
      </c>
      <c r="H229" s="126">
        <f t="shared" ref="H229:H230" si="27">H230</f>
        <v>0</v>
      </c>
      <c r="I229" s="178" t="str">
        <f t="shared" si="23"/>
        <v>601041212 1 01 00000000</v>
      </c>
      <c r="L229" s="20">
        <v>5000</v>
      </c>
      <c r="M229" s="20">
        <v>5000</v>
      </c>
      <c r="N229" s="20">
        <v>5000</v>
      </c>
      <c r="O229" s="20">
        <f t="shared" si="26"/>
        <v>-5000</v>
      </c>
      <c r="P229" s="20" t="e">
        <f>#REF!-M229</f>
        <v>#REF!</v>
      </c>
      <c r="Q229" s="20" t="e">
        <f>#REF!-N229</f>
        <v>#REF!</v>
      </c>
      <c r="R229" s="17" t="str">
        <f t="shared" si="22"/>
        <v>12 1 01 00000000</v>
      </c>
    </row>
    <row r="230" spans="1:18" s="16" customFormat="1" ht="47.25">
      <c r="A230" s="14"/>
      <c r="B230" s="129" t="s">
        <v>201</v>
      </c>
      <c r="C230" s="109" t="s">
        <v>64</v>
      </c>
      <c r="D230" s="108" t="s">
        <v>73</v>
      </c>
      <c r="E230" s="108" t="s">
        <v>57</v>
      </c>
      <c r="F230" s="108" t="s">
        <v>202</v>
      </c>
      <c r="G230" s="108" t="s">
        <v>9</v>
      </c>
      <c r="H230" s="126">
        <f t="shared" si="27"/>
        <v>0</v>
      </c>
      <c r="I230" s="178" t="str">
        <f t="shared" si="23"/>
        <v>601041212 1 01 60130000</v>
      </c>
      <c r="L230" s="20">
        <v>5000</v>
      </c>
      <c r="M230" s="20">
        <v>5000</v>
      </c>
      <c r="N230" s="20">
        <v>5000</v>
      </c>
      <c r="O230" s="20">
        <f t="shared" si="26"/>
        <v>-5000</v>
      </c>
      <c r="P230" s="20" t="e">
        <f>#REF!-M230</f>
        <v>#REF!</v>
      </c>
      <c r="Q230" s="20" t="e">
        <f>#REF!-N230</f>
        <v>#REF!</v>
      </c>
      <c r="R230" s="17" t="str">
        <f t="shared" si="22"/>
        <v>12 1 01 60130000</v>
      </c>
    </row>
    <row r="231" spans="1:18" s="16" customFormat="1" ht="63">
      <c r="A231" s="14"/>
      <c r="B231" s="129" t="s">
        <v>203</v>
      </c>
      <c r="C231" s="109" t="s">
        <v>64</v>
      </c>
      <c r="D231" s="108" t="s">
        <v>73</v>
      </c>
      <c r="E231" s="108" t="s">
        <v>57</v>
      </c>
      <c r="F231" s="108" t="s">
        <v>202</v>
      </c>
      <c r="G231" s="108" t="s">
        <v>204</v>
      </c>
      <c r="H231" s="126">
        <f>SUM(H232:H233)</f>
        <v>0</v>
      </c>
      <c r="I231" s="178" t="str">
        <f t="shared" si="23"/>
        <v>601041212 1 01 60130810</v>
      </c>
      <c r="L231" s="20">
        <v>5000</v>
      </c>
      <c r="M231" s="20">
        <v>5000</v>
      </c>
      <c r="N231" s="20">
        <v>5000</v>
      </c>
      <c r="O231" s="20">
        <f t="shared" si="26"/>
        <v>-5000</v>
      </c>
      <c r="P231" s="20" t="e">
        <f>#REF!-M231</f>
        <v>#REF!</v>
      </c>
      <c r="Q231" s="20" t="e">
        <f>#REF!-N231</f>
        <v>#REF!</v>
      </c>
      <c r="R231" s="17" t="str">
        <f t="shared" si="22"/>
        <v>12 1 01 60130810</v>
      </c>
    </row>
    <row r="232" spans="1:18" s="23" customFormat="1" ht="63">
      <c r="A232" s="21"/>
      <c r="B232" s="127" t="s">
        <v>205</v>
      </c>
      <c r="C232" s="109" t="s">
        <v>64</v>
      </c>
      <c r="D232" s="108" t="s">
        <v>73</v>
      </c>
      <c r="E232" s="108" t="s">
        <v>57</v>
      </c>
      <c r="F232" s="108" t="s">
        <v>202</v>
      </c>
      <c r="G232" s="108" t="s">
        <v>206</v>
      </c>
      <c r="H232" s="126"/>
      <c r="I232" s="178" t="str">
        <f t="shared" si="23"/>
        <v>601041212 1 01 60130811</v>
      </c>
      <c r="L232" s="22"/>
      <c r="M232" s="22"/>
      <c r="N232" s="22"/>
      <c r="O232" s="22"/>
      <c r="P232" s="22"/>
      <c r="Q232" s="22"/>
      <c r="R232" s="24"/>
    </row>
    <row r="233" spans="1:18" s="23" customFormat="1" ht="110.25">
      <c r="A233" s="21"/>
      <c r="B233" s="127" t="s">
        <v>207</v>
      </c>
      <c r="C233" s="109" t="s">
        <v>64</v>
      </c>
      <c r="D233" s="108" t="s">
        <v>73</v>
      </c>
      <c r="E233" s="108" t="s">
        <v>57</v>
      </c>
      <c r="F233" s="108" t="s">
        <v>202</v>
      </c>
      <c r="G233" s="108" t="s">
        <v>208</v>
      </c>
      <c r="H233" s="126"/>
      <c r="I233" s="178" t="str">
        <f t="shared" si="23"/>
        <v>601041212 1 01 60130812</v>
      </c>
      <c r="L233" s="22"/>
      <c r="M233" s="22"/>
      <c r="N233" s="22"/>
      <c r="O233" s="22"/>
      <c r="P233" s="22"/>
      <c r="Q233" s="22"/>
      <c r="R233" s="24"/>
    </row>
    <row r="234" spans="1:18" s="16" customFormat="1" ht="63">
      <c r="A234" s="14"/>
      <c r="B234" s="129" t="s">
        <v>209</v>
      </c>
      <c r="C234" s="109" t="s">
        <v>64</v>
      </c>
      <c r="D234" s="108" t="s">
        <v>73</v>
      </c>
      <c r="E234" s="108" t="s">
        <v>57</v>
      </c>
      <c r="F234" s="108" t="s">
        <v>210</v>
      </c>
      <c r="G234" s="108" t="s">
        <v>9</v>
      </c>
      <c r="H234" s="126">
        <f t="shared" ref="H234" si="28">H235</f>
        <v>0</v>
      </c>
      <c r="I234" s="178" t="str">
        <f t="shared" si="23"/>
        <v>601041212 1 02 00000000</v>
      </c>
      <c r="L234" s="20">
        <v>2550</v>
      </c>
      <c r="M234" s="20">
        <v>2550</v>
      </c>
      <c r="N234" s="20">
        <v>2550</v>
      </c>
      <c r="O234" s="20">
        <f>H234-L234</f>
        <v>-2550</v>
      </c>
      <c r="P234" s="20" t="e">
        <f>#REF!-M234</f>
        <v>#REF!</v>
      </c>
      <c r="Q234" s="20" t="e">
        <f>#REF!-N234</f>
        <v>#REF!</v>
      </c>
      <c r="R234" s="17" t="str">
        <f t="shared" si="22"/>
        <v>12 1 02 00000000</v>
      </c>
    </row>
    <row r="235" spans="1:18" s="16" customFormat="1" ht="47.25">
      <c r="A235" s="14"/>
      <c r="B235" s="129" t="s">
        <v>211</v>
      </c>
      <c r="C235" s="109" t="s">
        <v>64</v>
      </c>
      <c r="D235" s="108" t="s">
        <v>73</v>
      </c>
      <c r="E235" s="108" t="s">
        <v>57</v>
      </c>
      <c r="F235" s="108" t="s">
        <v>212</v>
      </c>
      <c r="G235" s="108" t="s">
        <v>9</v>
      </c>
      <c r="H235" s="126">
        <f>H236+H238</f>
        <v>0</v>
      </c>
      <c r="I235" s="178" t="str">
        <f t="shared" si="23"/>
        <v>601041212 1 02 20480000</v>
      </c>
      <c r="L235" s="20">
        <v>2550</v>
      </c>
      <c r="M235" s="20">
        <v>2550</v>
      </c>
      <c r="N235" s="20">
        <v>2550</v>
      </c>
      <c r="O235" s="20">
        <f>H235-L235</f>
        <v>-2550</v>
      </c>
      <c r="P235" s="20" t="e">
        <f>#REF!-M235</f>
        <v>#REF!</v>
      </c>
      <c r="Q235" s="20" t="e">
        <f>#REF!-N235</f>
        <v>#REF!</v>
      </c>
      <c r="R235" s="17" t="str">
        <f t="shared" si="22"/>
        <v>12 1 02 20480000</v>
      </c>
    </row>
    <row r="236" spans="1:18" s="16" customFormat="1" ht="31.5">
      <c r="A236" s="14"/>
      <c r="B236" s="125" t="s">
        <v>28</v>
      </c>
      <c r="C236" s="109" t="s">
        <v>64</v>
      </c>
      <c r="D236" s="108" t="s">
        <v>73</v>
      </c>
      <c r="E236" s="108" t="s">
        <v>57</v>
      </c>
      <c r="F236" s="108" t="s">
        <v>212</v>
      </c>
      <c r="G236" s="108" t="s">
        <v>29</v>
      </c>
      <c r="H236" s="126">
        <f>H237</f>
        <v>0</v>
      </c>
      <c r="I236" s="178" t="str">
        <f t="shared" si="23"/>
        <v>601041212 1 02 20480240</v>
      </c>
      <c r="L236" s="20">
        <v>150</v>
      </c>
      <c r="M236" s="20">
        <v>150</v>
      </c>
      <c r="N236" s="20">
        <v>150</v>
      </c>
      <c r="O236" s="20">
        <f>H236-L236</f>
        <v>-150</v>
      </c>
      <c r="P236" s="20" t="e">
        <f>#REF!-M236</f>
        <v>#REF!</v>
      </c>
      <c r="Q236" s="20" t="e">
        <f>#REF!-N236</f>
        <v>#REF!</v>
      </c>
      <c r="R236" s="17" t="str">
        <f t="shared" si="22"/>
        <v>12 1 02 20480240</v>
      </c>
    </row>
    <row r="237" spans="1:18" s="16" customFormat="1" ht="15.75">
      <c r="A237" s="14"/>
      <c r="B237" s="125" t="s">
        <v>30</v>
      </c>
      <c r="C237" s="109" t="s">
        <v>64</v>
      </c>
      <c r="D237" s="108" t="s">
        <v>73</v>
      </c>
      <c r="E237" s="108" t="s">
        <v>57</v>
      </c>
      <c r="F237" s="108" t="s">
        <v>212</v>
      </c>
      <c r="G237" s="108" t="s">
        <v>31</v>
      </c>
      <c r="H237" s="126"/>
      <c r="I237" s="178" t="str">
        <f t="shared" si="23"/>
        <v>601041212 1 02 20480244</v>
      </c>
      <c r="L237" s="20"/>
      <c r="M237" s="20"/>
      <c r="N237" s="20"/>
      <c r="O237" s="20"/>
      <c r="P237" s="20"/>
      <c r="Q237" s="20"/>
      <c r="R237" s="17"/>
    </row>
    <row r="238" spans="1:18" s="16" customFormat="1" ht="47.25">
      <c r="A238" s="14"/>
      <c r="B238" s="137" t="s">
        <v>182</v>
      </c>
      <c r="C238" s="109" t="s">
        <v>64</v>
      </c>
      <c r="D238" s="108" t="s">
        <v>73</v>
      </c>
      <c r="E238" s="108" t="s">
        <v>57</v>
      </c>
      <c r="F238" s="108" t="s">
        <v>212</v>
      </c>
      <c r="G238" s="108" t="s">
        <v>183</v>
      </c>
      <c r="H238" s="126">
        <f>H239</f>
        <v>0</v>
      </c>
      <c r="I238" s="178" t="str">
        <f t="shared" si="23"/>
        <v>601041212 1 02 20480630</v>
      </c>
      <c r="L238" s="20">
        <v>2400</v>
      </c>
      <c r="M238" s="20">
        <v>2400</v>
      </c>
      <c r="N238" s="20">
        <v>2400</v>
      </c>
      <c r="O238" s="20">
        <f>H238-L238</f>
        <v>-2400</v>
      </c>
      <c r="P238" s="20" t="e">
        <f>#REF!-M238</f>
        <v>#REF!</v>
      </c>
      <c r="Q238" s="20" t="e">
        <f>#REF!-N238</f>
        <v>#REF!</v>
      </c>
      <c r="R238" s="17" t="str">
        <f t="shared" si="22"/>
        <v>12 1 02 20480630</v>
      </c>
    </row>
    <row r="239" spans="1:18" s="16" customFormat="1" ht="47.25">
      <c r="A239" s="14"/>
      <c r="B239" s="125" t="s">
        <v>213</v>
      </c>
      <c r="C239" s="109" t="s">
        <v>64</v>
      </c>
      <c r="D239" s="108" t="s">
        <v>73</v>
      </c>
      <c r="E239" s="108" t="s">
        <v>57</v>
      </c>
      <c r="F239" s="108" t="s">
        <v>212</v>
      </c>
      <c r="G239" s="108" t="s">
        <v>214</v>
      </c>
      <c r="H239" s="126"/>
      <c r="I239" s="178" t="str">
        <f t="shared" si="23"/>
        <v>601041212 1 02 20480634</v>
      </c>
      <c r="L239" s="20"/>
      <c r="M239" s="20"/>
      <c r="N239" s="20"/>
      <c r="O239" s="20"/>
      <c r="P239" s="20"/>
      <c r="Q239" s="20"/>
      <c r="R239" s="17" t="str">
        <f t="shared" si="22"/>
        <v>12 1 02 20480634</v>
      </c>
    </row>
    <row r="240" spans="1:18" s="16" customFormat="1" ht="63">
      <c r="A240" s="14"/>
      <c r="B240" s="129" t="s">
        <v>215</v>
      </c>
      <c r="C240" s="109" t="s">
        <v>64</v>
      </c>
      <c r="D240" s="108" t="s">
        <v>73</v>
      </c>
      <c r="E240" s="108" t="s">
        <v>57</v>
      </c>
      <c r="F240" s="108" t="s">
        <v>216</v>
      </c>
      <c r="G240" s="108" t="s">
        <v>9</v>
      </c>
      <c r="H240" s="126">
        <f t="shared" ref="H240:H241" si="29">H241</f>
        <v>0</v>
      </c>
      <c r="I240" s="178" t="str">
        <f t="shared" si="23"/>
        <v>601041212 1 03 00000000</v>
      </c>
      <c r="L240" s="20">
        <v>660</v>
      </c>
      <c r="M240" s="20">
        <v>660</v>
      </c>
      <c r="N240" s="20">
        <v>660</v>
      </c>
      <c r="O240" s="20">
        <f>H240-L240</f>
        <v>-660</v>
      </c>
      <c r="P240" s="20" t="e">
        <f>#REF!-M240</f>
        <v>#REF!</v>
      </c>
      <c r="Q240" s="20" t="e">
        <f>#REF!-N240</f>
        <v>#REF!</v>
      </c>
      <c r="R240" s="17" t="str">
        <f t="shared" si="22"/>
        <v>12 1 03 00000000</v>
      </c>
    </row>
    <row r="241" spans="1:18" s="16" customFormat="1" ht="47.25">
      <c r="A241" s="14"/>
      <c r="B241" s="129" t="s">
        <v>211</v>
      </c>
      <c r="C241" s="109" t="s">
        <v>64</v>
      </c>
      <c r="D241" s="108" t="s">
        <v>73</v>
      </c>
      <c r="E241" s="108" t="s">
        <v>57</v>
      </c>
      <c r="F241" s="108" t="s">
        <v>217</v>
      </c>
      <c r="G241" s="108" t="s">
        <v>9</v>
      </c>
      <c r="H241" s="126">
        <f t="shared" si="29"/>
        <v>0</v>
      </c>
      <c r="I241" s="178" t="str">
        <f t="shared" si="23"/>
        <v>601041212 1 03 20480000</v>
      </c>
      <c r="L241" s="20">
        <v>660</v>
      </c>
      <c r="M241" s="20">
        <v>660</v>
      </c>
      <c r="N241" s="20">
        <v>660</v>
      </c>
      <c r="O241" s="20">
        <f>H241-L241</f>
        <v>-660</v>
      </c>
      <c r="P241" s="20" t="e">
        <f>#REF!-M241</f>
        <v>#REF!</v>
      </c>
      <c r="Q241" s="20" t="e">
        <f>#REF!-N241</f>
        <v>#REF!</v>
      </c>
      <c r="R241" s="17" t="str">
        <f t="shared" si="22"/>
        <v>12 1 03 20480000</v>
      </c>
    </row>
    <row r="242" spans="1:18" s="16" customFormat="1" ht="31.5">
      <c r="A242" s="14"/>
      <c r="B242" s="125" t="s">
        <v>28</v>
      </c>
      <c r="C242" s="109" t="s">
        <v>64</v>
      </c>
      <c r="D242" s="108" t="s">
        <v>73</v>
      </c>
      <c r="E242" s="108" t="s">
        <v>57</v>
      </c>
      <c r="F242" s="108" t="s">
        <v>217</v>
      </c>
      <c r="G242" s="108" t="s">
        <v>29</v>
      </c>
      <c r="H242" s="126">
        <f>H243</f>
        <v>0</v>
      </c>
      <c r="I242" s="178" t="str">
        <f t="shared" si="23"/>
        <v>601041212 1 03 20480240</v>
      </c>
      <c r="L242" s="20">
        <v>660</v>
      </c>
      <c r="M242" s="20">
        <v>660</v>
      </c>
      <c r="N242" s="20">
        <v>660</v>
      </c>
      <c r="O242" s="20">
        <f>H242-L242</f>
        <v>-660</v>
      </c>
      <c r="P242" s="20" t="e">
        <f>#REF!-M242</f>
        <v>#REF!</v>
      </c>
      <c r="Q242" s="20" t="e">
        <f>#REF!-N242</f>
        <v>#REF!</v>
      </c>
      <c r="R242" s="17" t="str">
        <f t="shared" si="22"/>
        <v>12 1 03 20480240</v>
      </c>
    </row>
    <row r="243" spans="1:18" s="16" customFormat="1" ht="15.75">
      <c r="A243" s="14"/>
      <c r="B243" s="125" t="s">
        <v>30</v>
      </c>
      <c r="C243" s="109" t="s">
        <v>64</v>
      </c>
      <c r="D243" s="108" t="s">
        <v>73</v>
      </c>
      <c r="E243" s="108" t="s">
        <v>57</v>
      </c>
      <c r="F243" s="108" t="s">
        <v>217</v>
      </c>
      <c r="G243" s="108" t="s">
        <v>31</v>
      </c>
      <c r="H243" s="126"/>
      <c r="I243" s="178" t="str">
        <f t="shared" si="23"/>
        <v>601041212 1 03 20480244</v>
      </c>
      <c r="L243" s="20"/>
      <c r="M243" s="20"/>
      <c r="N243" s="20"/>
      <c r="O243" s="20"/>
      <c r="P243" s="20"/>
      <c r="Q243" s="20"/>
      <c r="R243" s="17" t="str">
        <f t="shared" si="22"/>
        <v>12 1 03 20480244</v>
      </c>
    </row>
    <row r="244" spans="1:18" s="16" customFormat="1" ht="31.5">
      <c r="A244" s="14"/>
      <c r="B244" s="125" t="s">
        <v>96</v>
      </c>
      <c r="C244" s="109" t="s">
        <v>64</v>
      </c>
      <c r="D244" s="108" t="s">
        <v>73</v>
      </c>
      <c r="E244" s="108" t="s">
        <v>57</v>
      </c>
      <c r="F244" s="108" t="s">
        <v>97</v>
      </c>
      <c r="G244" s="108" t="s">
        <v>9</v>
      </c>
      <c r="H244" s="126">
        <f>H249+H245</f>
        <v>0</v>
      </c>
      <c r="I244" s="178" t="str">
        <f t="shared" si="23"/>
        <v>601041212 2 00 00000000</v>
      </c>
      <c r="L244" s="20">
        <v>3337.5</v>
      </c>
      <c r="M244" s="20">
        <v>3337.5</v>
      </c>
      <c r="N244" s="20">
        <v>3337.5</v>
      </c>
      <c r="O244" s="20">
        <f>H244-L244</f>
        <v>-3337.5</v>
      </c>
      <c r="P244" s="20" t="e">
        <f>#REF!-M244</f>
        <v>#REF!</v>
      </c>
      <c r="Q244" s="20" t="e">
        <f>#REF!-N244</f>
        <v>#REF!</v>
      </c>
      <c r="R244" s="17" t="str">
        <f t="shared" si="22"/>
        <v>12 2 00 00000000</v>
      </c>
    </row>
    <row r="245" spans="1:18" s="16" customFormat="1" ht="31.5">
      <c r="A245" s="14"/>
      <c r="B245" s="129" t="s">
        <v>218</v>
      </c>
      <c r="C245" s="109" t="s">
        <v>64</v>
      </c>
      <c r="D245" s="108" t="s">
        <v>73</v>
      </c>
      <c r="E245" s="108" t="s">
        <v>57</v>
      </c>
      <c r="F245" s="108" t="s">
        <v>219</v>
      </c>
      <c r="G245" s="108" t="s">
        <v>9</v>
      </c>
      <c r="H245" s="126">
        <f>H246</f>
        <v>0</v>
      </c>
      <c r="I245" s="178" t="str">
        <f t="shared" si="23"/>
        <v>601041212 2 01 00000000</v>
      </c>
      <c r="L245" s="20">
        <v>1150</v>
      </c>
      <c r="M245" s="20">
        <v>1150</v>
      </c>
      <c r="N245" s="20">
        <v>1150</v>
      </c>
      <c r="O245" s="20">
        <f>H245-L245</f>
        <v>-1150</v>
      </c>
      <c r="P245" s="20" t="e">
        <f>#REF!-M245</f>
        <v>#REF!</v>
      </c>
      <c r="Q245" s="20" t="e">
        <f>#REF!-N245</f>
        <v>#REF!</v>
      </c>
      <c r="R245" s="17" t="str">
        <f t="shared" si="22"/>
        <v>12 2 01 00000000</v>
      </c>
    </row>
    <row r="246" spans="1:18" s="16" customFormat="1" ht="31.5">
      <c r="A246" s="14"/>
      <c r="B246" s="129" t="s">
        <v>220</v>
      </c>
      <c r="C246" s="109" t="s">
        <v>64</v>
      </c>
      <c r="D246" s="108" t="s">
        <v>73</v>
      </c>
      <c r="E246" s="108" t="s">
        <v>57</v>
      </c>
      <c r="F246" s="108" t="s">
        <v>221</v>
      </c>
      <c r="G246" s="108" t="s">
        <v>9</v>
      </c>
      <c r="H246" s="126">
        <f>H247</f>
        <v>0</v>
      </c>
      <c r="I246" s="178" t="str">
        <f t="shared" si="23"/>
        <v>601041212 2 01 20650000</v>
      </c>
      <c r="L246" s="20">
        <v>1150</v>
      </c>
      <c r="M246" s="20">
        <v>1150</v>
      </c>
      <c r="N246" s="20">
        <v>1150</v>
      </c>
      <c r="O246" s="20">
        <f>H246-L246</f>
        <v>-1150</v>
      </c>
      <c r="P246" s="20" t="e">
        <f>#REF!-M246</f>
        <v>#REF!</v>
      </c>
      <c r="Q246" s="20" t="e">
        <f>#REF!-N246</f>
        <v>#REF!</v>
      </c>
      <c r="R246" s="17" t="str">
        <f t="shared" si="22"/>
        <v>12 2 01 20650000</v>
      </c>
    </row>
    <row r="247" spans="1:18" s="16" customFormat="1" ht="31.5">
      <c r="A247" s="14"/>
      <c r="B247" s="125" t="s">
        <v>28</v>
      </c>
      <c r="C247" s="109" t="s">
        <v>64</v>
      </c>
      <c r="D247" s="108" t="s">
        <v>73</v>
      </c>
      <c r="E247" s="108" t="s">
        <v>57</v>
      </c>
      <c r="F247" s="108" t="s">
        <v>221</v>
      </c>
      <c r="G247" s="108" t="s">
        <v>29</v>
      </c>
      <c r="H247" s="126">
        <f>H248</f>
        <v>0</v>
      </c>
      <c r="I247" s="178" t="str">
        <f t="shared" si="23"/>
        <v>601041212 2 01 20650240</v>
      </c>
      <c r="L247" s="20">
        <v>1150</v>
      </c>
      <c r="M247" s="20">
        <v>1150</v>
      </c>
      <c r="N247" s="20">
        <v>1150</v>
      </c>
      <c r="O247" s="20">
        <f>H247-L247</f>
        <v>-1150</v>
      </c>
      <c r="P247" s="20" t="e">
        <f>#REF!-M247</f>
        <v>#REF!</v>
      </c>
      <c r="Q247" s="20" t="e">
        <f>#REF!-N247</f>
        <v>#REF!</v>
      </c>
      <c r="R247" s="17" t="str">
        <f t="shared" si="22"/>
        <v>12 2 01 20650240</v>
      </c>
    </row>
    <row r="248" spans="1:18" s="16" customFormat="1" ht="15.75">
      <c r="A248" s="14"/>
      <c r="B248" s="125" t="s">
        <v>30</v>
      </c>
      <c r="C248" s="109" t="s">
        <v>64</v>
      </c>
      <c r="D248" s="108" t="s">
        <v>73</v>
      </c>
      <c r="E248" s="108" t="s">
        <v>57</v>
      </c>
      <c r="F248" s="108" t="s">
        <v>221</v>
      </c>
      <c r="G248" s="108" t="s">
        <v>31</v>
      </c>
      <c r="H248" s="126"/>
      <c r="I248" s="178" t="str">
        <f t="shared" si="23"/>
        <v>601041212 2 01 20650244</v>
      </c>
      <c r="L248" s="20"/>
      <c r="M248" s="20"/>
      <c r="N248" s="20"/>
      <c r="O248" s="20"/>
      <c r="P248" s="20"/>
      <c r="Q248" s="20"/>
      <c r="R248" s="17" t="str">
        <f t="shared" si="22"/>
        <v>12 2 01 20650244</v>
      </c>
    </row>
    <row r="249" spans="1:18" s="16" customFormat="1" ht="31.5">
      <c r="A249" s="14"/>
      <c r="B249" s="125" t="s">
        <v>222</v>
      </c>
      <c r="C249" s="109" t="s">
        <v>64</v>
      </c>
      <c r="D249" s="108" t="s">
        <v>73</v>
      </c>
      <c r="E249" s="108" t="s">
        <v>57</v>
      </c>
      <c r="F249" s="108" t="s">
        <v>223</v>
      </c>
      <c r="G249" s="108" t="s">
        <v>9</v>
      </c>
      <c r="H249" s="126">
        <f t="shared" ref="H249" si="30">H250</f>
        <v>0</v>
      </c>
      <c r="I249" s="178" t="str">
        <f t="shared" si="23"/>
        <v>601041212 2 02 00000000</v>
      </c>
      <c r="L249" s="20">
        <v>2187.5</v>
      </c>
      <c r="M249" s="20">
        <v>2187.5</v>
      </c>
      <c r="N249" s="20">
        <v>2187.5</v>
      </c>
      <c r="O249" s="20">
        <f>H249-L249</f>
        <v>-2187.5</v>
      </c>
      <c r="P249" s="20" t="e">
        <f>#REF!-M249</f>
        <v>#REF!</v>
      </c>
      <c r="Q249" s="20" t="e">
        <f>#REF!-N249</f>
        <v>#REF!</v>
      </c>
      <c r="R249" s="17" t="str">
        <f t="shared" si="22"/>
        <v>12 2 02 00000000</v>
      </c>
    </row>
    <row r="250" spans="1:18" s="16" customFormat="1" ht="47.25">
      <c r="A250" s="14"/>
      <c r="B250" s="129" t="s">
        <v>224</v>
      </c>
      <c r="C250" s="109" t="s">
        <v>64</v>
      </c>
      <c r="D250" s="108" t="s">
        <v>73</v>
      </c>
      <c r="E250" s="108" t="s">
        <v>57</v>
      </c>
      <c r="F250" s="108" t="s">
        <v>225</v>
      </c>
      <c r="G250" s="108" t="s">
        <v>9</v>
      </c>
      <c r="H250" s="126">
        <f>H251+H253</f>
        <v>0</v>
      </c>
      <c r="I250" s="178" t="str">
        <f t="shared" si="23"/>
        <v>601041212 2 02 20640000</v>
      </c>
      <c r="L250" s="20">
        <v>2187.5</v>
      </c>
      <c r="M250" s="20">
        <v>2187.5</v>
      </c>
      <c r="N250" s="20">
        <v>2187.5</v>
      </c>
      <c r="O250" s="20">
        <f>H250-L250</f>
        <v>-2187.5</v>
      </c>
      <c r="P250" s="20" t="e">
        <f>#REF!-M250</f>
        <v>#REF!</v>
      </c>
      <c r="Q250" s="20" t="e">
        <f>#REF!-N250</f>
        <v>#REF!</v>
      </c>
      <c r="R250" s="17" t="str">
        <f t="shared" si="22"/>
        <v>12 2 02 20640000</v>
      </c>
    </row>
    <row r="251" spans="1:18" s="16" customFormat="1" ht="31.5">
      <c r="A251" s="14"/>
      <c r="B251" s="125" t="s">
        <v>28</v>
      </c>
      <c r="C251" s="109" t="s">
        <v>64</v>
      </c>
      <c r="D251" s="108" t="s">
        <v>73</v>
      </c>
      <c r="E251" s="108" t="s">
        <v>57</v>
      </c>
      <c r="F251" s="108" t="s">
        <v>225</v>
      </c>
      <c r="G251" s="108" t="s">
        <v>29</v>
      </c>
      <c r="H251" s="126">
        <f>H252</f>
        <v>0</v>
      </c>
      <c r="I251" s="178" t="str">
        <f t="shared" si="23"/>
        <v>601041212 2 02 20640240</v>
      </c>
      <c r="L251" s="20">
        <v>2087.5</v>
      </c>
      <c r="M251" s="20">
        <v>2087.5</v>
      </c>
      <c r="N251" s="20">
        <v>2087.5</v>
      </c>
      <c r="O251" s="20">
        <f>H251-L251</f>
        <v>-2087.5</v>
      </c>
      <c r="P251" s="20" t="e">
        <f>#REF!-M251</f>
        <v>#REF!</v>
      </c>
      <c r="Q251" s="20" t="e">
        <f>#REF!-N251</f>
        <v>#REF!</v>
      </c>
      <c r="R251" s="17" t="str">
        <f t="shared" si="22"/>
        <v>12 2 02 20640240</v>
      </c>
    </row>
    <row r="252" spans="1:18" s="16" customFormat="1" ht="15.75">
      <c r="A252" s="14"/>
      <c r="B252" s="125" t="s">
        <v>30</v>
      </c>
      <c r="C252" s="109" t="s">
        <v>64</v>
      </c>
      <c r="D252" s="108" t="s">
        <v>73</v>
      </c>
      <c r="E252" s="108" t="s">
        <v>57</v>
      </c>
      <c r="F252" s="108" t="s">
        <v>225</v>
      </c>
      <c r="G252" s="108" t="s">
        <v>31</v>
      </c>
      <c r="H252" s="126"/>
      <c r="I252" s="178" t="str">
        <f t="shared" si="23"/>
        <v>601041212 2 02 20640244</v>
      </c>
      <c r="L252" s="20"/>
      <c r="M252" s="20"/>
      <c r="N252" s="20"/>
      <c r="O252" s="20"/>
      <c r="P252" s="20"/>
      <c r="Q252" s="20"/>
      <c r="R252" s="17" t="str">
        <f t="shared" si="22"/>
        <v>12 2 02 20640244</v>
      </c>
    </row>
    <row r="253" spans="1:18" s="16" customFormat="1" ht="63">
      <c r="A253" s="14"/>
      <c r="B253" s="125" t="s">
        <v>203</v>
      </c>
      <c r="C253" s="109" t="s">
        <v>64</v>
      </c>
      <c r="D253" s="108" t="s">
        <v>73</v>
      </c>
      <c r="E253" s="108" t="s">
        <v>57</v>
      </c>
      <c r="F253" s="108" t="s">
        <v>225</v>
      </c>
      <c r="G253" s="108" t="s">
        <v>204</v>
      </c>
      <c r="H253" s="126">
        <f>H254</f>
        <v>0</v>
      </c>
      <c r="I253" s="178" t="str">
        <f t="shared" si="23"/>
        <v>601041212 2 02 20640810</v>
      </c>
      <c r="L253" s="20">
        <v>100</v>
      </c>
      <c r="M253" s="20">
        <v>100</v>
      </c>
      <c r="N253" s="20">
        <v>100</v>
      </c>
      <c r="O253" s="20">
        <f>H253-L253</f>
        <v>-100</v>
      </c>
      <c r="P253" s="20" t="e">
        <f>#REF!-M253</f>
        <v>#REF!</v>
      </c>
      <c r="Q253" s="20" t="e">
        <f>#REF!-N253</f>
        <v>#REF!</v>
      </c>
      <c r="R253" s="17" t="str">
        <f t="shared" si="22"/>
        <v>12 2 02 20640810</v>
      </c>
    </row>
    <row r="254" spans="1:18" s="23" customFormat="1" ht="110.25">
      <c r="A254" s="21"/>
      <c r="B254" s="127" t="s">
        <v>226</v>
      </c>
      <c r="C254" s="109" t="s">
        <v>64</v>
      </c>
      <c r="D254" s="108" t="s">
        <v>73</v>
      </c>
      <c r="E254" s="108" t="s">
        <v>57</v>
      </c>
      <c r="F254" s="108" t="s">
        <v>225</v>
      </c>
      <c r="G254" s="108" t="s">
        <v>227</v>
      </c>
      <c r="H254" s="126"/>
      <c r="I254" s="178" t="str">
        <f t="shared" si="23"/>
        <v>601041212 2 02 20640813</v>
      </c>
      <c r="L254" s="22"/>
      <c r="M254" s="22"/>
      <c r="N254" s="22"/>
      <c r="O254" s="22"/>
      <c r="P254" s="22"/>
      <c r="Q254" s="22"/>
      <c r="R254" s="24" t="str">
        <f t="shared" si="22"/>
        <v>12 2 02 20640813</v>
      </c>
    </row>
    <row r="255" spans="1:18" s="16" customFormat="1" ht="15.75">
      <c r="A255" s="14"/>
      <c r="B255" s="117" t="s">
        <v>228</v>
      </c>
      <c r="C255" s="118" t="s">
        <v>64</v>
      </c>
      <c r="D255" s="119" t="s">
        <v>229</v>
      </c>
      <c r="E255" s="119" t="s">
        <v>7</v>
      </c>
      <c r="F255" s="119" t="s">
        <v>8</v>
      </c>
      <c r="G255" s="119" t="s">
        <v>9</v>
      </c>
      <c r="H255" s="120">
        <f t="shared" ref="H255:H260" si="31">H256</f>
        <v>0</v>
      </c>
      <c r="I255" s="178" t="str">
        <f t="shared" si="23"/>
        <v>601070000 0 00 00000000</v>
      </c>
      <c r="L255" s="18">
        <v>160</v>
      </c>
      <c r="M255" s="18">
        <v>160</v>
      </c>
      <c r="N255" s="18">
        <v>160</v>
      </c>
      <c r="O255" s="18">
        <f t="shared" ref="O255:O261" si="32">H255-L255</f>
        <v>-160</v>
      </c>
      <c r="P255" s="18" t="e">
        <f>#REF!-M255</f>
        <v>#REF!</v>
      </c>
      <c r="Q255" s="18" t="e">
        <f>#REF!-N255</f>
        <v>#REF!</v>
      </c>
      <c r="R255" s="17" t="str">
        <f t="shared" si="22"/>
        <v>00 0 00 00000000</v>
      </c>
    </row>
    <row r="256" spans="1:18" s="16" customFormat="1" ht="31.5">
      <c r="A256" s="14"/>
      <c r="B256" s="121" t="s">
        <v>230</v>
      </c>
      <c r="C256" s="122" t="s">
        <v>64</v>
      </c>
      <c r="D256" s="123" t="s">
        <v>229</v>
      </c>
      <c r="E256" s="123" t="s">
        <v>86</v>
      </c>
      <c r="F256" s="123" t="s">
        <v>8</v>
      </c>
      <c r="G256" s="123" t="s">
        <v>9</v>
      </c>
      <c r="H256" s="124">
        <f t="shared" si="31"/>
        <v>0</v>
      </c>
      <c r="I256" s="178" t="str">
        <f t="shared" si="23"/>
        <v>601070500 0 00 00000000</v>
      </c>
      <c r="L256" s="19">
        <v>160</v>
      </c>
      <c r="M256" s="19">
        <v>160</v>
      </c>
      <c r="N256" s="19">
        <v>160</v>
      </c>
      <c r="O256" s="19">
        <f t="shared" si="32"/>
        <v>-160</v>
      </c>
      <c r="P256" s="19" t="e">
        <f>#REF!-M256</f>
        <v>#REF!</v>
      </c>
      <c r="Q256" s="19" t="e">
        <f>#REF!-N256</f>
        <v>#REF!</v>
      </c>
      <c r="R256" s="17" t="str">
        <f t="shared" si="22"/>
        <v>00 0 00 00000000</v>
      </c>
    </row>
    <row r="257" spans="1:18" s="16" customFormat="1" ht="47.25">
      <c r="A257" s="14"/>
      <c r="B257" s="129" t="s">
        <v>103</v>
      </c>
      <c r="C257" s="109" t="s">
        <v>64</v>
      </c>
      <c r="D257" s="108" t="s">
        <v>229</v>
      </c>
      <c r="E257" s="108" t="s">
        <v>86</v>
      </c>
      <c r="F257" s="108" t="s">
        <v>104</v>
      </c>
      <c r="G257" s="108" t="s">
        <v>9</v>
      </c>
      <c r="H257" s="126">
        <f t="shared" si="31"/>
        <v>0</v>
      </c>
      <c r="I257" s="178" t="str">
        <f t="shared" si="23"/>
        <v>601070513 0 00 00000000</v>
      </c>
      <c r="L257" s="20">
        <v>160</v>
      </c>
      <c r="M257" s="20">
        <v>160</v>
      </c>
      <c r="N257" s="20">
        <v>160</v>
      </c>
      <c r="O257" s="20">
        <f t="shared" si="32"/>
        <v>-160</v>
      </c>
      <c r="P257" s="20" t="e">
        <f>#REF!-M257</f>
        <v>#REF!</v>
      </c>
      <c r="Q257" s="20" t="e">
        <f>#REF!-N257</f>
        <v>#REF!</v>
      </c>
      <c r="R257" s="17" t="str">
        <f t="shared" si="22"/>
        <v>13 0 00 00000000</v>
      </c>
    </row>
    <row r="258" spans="1:18" s="16" customFormat="1" ht="31.5">
      <c r="A258" s="14"/>
      <c r="B258" s="129" t="s">
        <v>231</v>
      </c>
      <c r="C258" s="109" t="s">
        <v>64</v>
      </c>
      <c r="D258" s="108" t="s">
        <v>229</v>
      </c>
      <c r="E258" s="108" t="s">
        <v>86</v>
      </c>
      <c r="F258" s="108" t="s">
        <v>232</v>
      </c>
      <c r="G258" s="108" t="s">
        <v>9</v>
      </c>
      <c r="H258" s="126">
        <f t="shared" si="31"/>
        <v>0</v>
      </c>
      <c r="I258" s="178" t="str">
        <f t="shared" si="23"/>
        <v>601070513 1 00 00000000</v>
      </c>
      <c r="L258" s="20">
        <v>160</v>
      </c>
      <c r="M258" s="20">
        <v>160</v>
      </c>
      <c r="N258" s="20">
        <v>160</v>
      </c>
      <c r="O258" s="20">
        <f t="shared" si="32"/>
        <v>-160</v>
      </c>
      <c r="P258" s="20" t="e">
        <f>#REF!-M258</f>
        <v>#REF!</v>
      </c>
      <c r="Q258" s="20" t="e">
        <f>#REF!-N258</f>
        <v>#REF!</v>
      </c>
      <c r="R258" s="17" t="str">
        <f t="shared" si="22"/>
        <v>13 1 00 00000000</v>
      </c>
    </row>
    <row r="259" spans="1:18" s="16" customFormat="1" ht="47.25">
      <c r="A259" s="14"/>
      <c r="B259" s="129" t="s">
        <v>233</v>
      </c>
      <c r="C259" s="109" t="s">
        <v>64</v>
      </c>
      <c r="D259" s="108" t="s">
        <v>229</v>
      </c>
      <c r="E259" s="108" t="s">
        <v>86</v>
      </c>
      <c r="F259" s="108" t="s">
        <v>234</v>
      </c>
      <c r="G259" s="108" t="s">
        <v>9</v>
      </c>
      <c r="H259" s="126">
        <f t="shared" si="31"/>
        <v>0</v>
      </c>
      <c r="I259" s="178" t="str">
        <f t="shared" si="23"/>
        <v>601070513 1 01 00000000</v>
      </c>
      <c r="L259" s="20">
        <v>160</v>
      </c>
      <c r="M259" s="20">
        <v>160</v>
      </c>
      <c r="N259" s="20">
        <v>160</v>
      </c>
      <c r="O259" s="20">
        <f t="shared" si="32"/>
        <v>-160</v>
      </c>
      <c r="P259" s="20" t="e">
        <f>#REF!-M259</f>
        <v>#REF!</v>
      </c>
      <c r="Q259" s="20" t="e">
        <f>#REF!-N259</f>
        <v>#REF!</v>
      </c>
      <c r="R259" s="17" t="str">
        <f t="shared" si="22"/>
        <v>13 1 01 00000000</v>
      </c>
    </row>
    <row r="260" spans="1:18" s="16" customFormat="1" ht="47.25">
      <c r="A260" s="14"/>
      <c r="B260" s="129" t="s">
        <v>235</v>
      </c>
      <c r="C260" s="109" t="s">
        <v>64</v>
      </c>
      <c r="D260" s="108" t="s">
        <v>229</v>
      </c>
      <c r="E260" s="108" t="s">
        <v>86</v>
      </c>
      <c r="F260" s="108" t="s">
        <v>236</v>
      </c>
      <c r="G260" s="108" t="s">
        <v>9</v>
      </c>
      <c r="H260" s="126">
        <f t="shared" si="31"/>
        <v>0</v>
      </c>
      <c r="I260" s="178" t="str">
        <f t="shared" si="23"/>
        <v>601070513 1 01 20450000</v>
      </c>
      <c r="L260" s="20">
        <v>160</v>
      </c>
      <c r="M260" s="20">
        <v>160</v>
      </c>
      <c r="N260" s="20">
        <v>160</v>
      </c>
      <c r="O260" s="20">
        <f t="shared" si="32"/>
        <v>-160</v>
      </c>
      <c r="P260" s="20" t="e">
        <f>#REF!-M260</f>
        <v>#REF!</v>
      </c>
      <c r="Q260" s="20" t="e">
        <f>#REF!-N260</f>
        <v>#REF!</v>
      </c>
      <c r="R260" s="17" t="str">
        <f t="shared" si="22"/>
        <v>13 1 01 20450000</v>
      </c>
    </row>
    <row r="261" spans="1:18" s="16" customFormat="1" ht="31.5">
      <c r="A261" s="14"/>
      <c r="B261" s="125" t="s">
        <v>28</v>
      </c>
      <c r="C261" s="109" t="s">
        <v>64</v>
      </c>
      <c r="D261" s="108" t="s">
        <v>229</v>
      </c>
      <c r="E261" s="108" t="s">
        <v>86</v>
      </c>
      <c r="F261" s="108" t="s">
        <v>236</v>
      </c>
      <c r="G261" s="108" t="s">
        <v>29</v>
      </c>
      <c r="H261" s="126">
        <f>H262</f>
        <v>0</v>
      </c>
      <c r="I261" s="178" t="str">
        <f t="shared" si="23"/>
        <v>601070513 1 01 20450240</v>
      </c>
      <c r="L261" s="20">
        <v>160</v>
      </c>
      <c r="M261" s="20">
        <v>160</v>
      </c>
      <c r="N261" s="20">
        <v>160</v>
      </c>
      <c r="O261" s="20">
        <f t="shared" si="32"/>
        <v>-160</v>
      </c>
      <c r="P261" s="20" t="e">
        <f>#REF!-M261</f>
        <v>#REF!</v>
      </c>
      <c r="Q261" s="20" t="e">
        <f>#REF!-N261</f>
        <v>#REF!</v>
      </c>
      <c r="R261" s="17" t="str">
        <f t="shared" si="22"/>
        <v>13 1 01 20450240</v>
      </c>
    </row>
    <row r="262" spans="1:18" s="16" customFormat="1" ht="15.75">
      <c r="A262" s="14"/>
      <c r="B262" s="125" t="s">
        <v>30</v>
      </c>
      <c r="C262" s="109" t="s">
        <v>64</v>
      </c>
      <c r="D262" s="108" t="s">
        <v>229</v>
      </c>
      <c r="E262" s="108" t="s">
        <v>86</v>
      </c>
      <c r="F262" s="108" t="s">
        <v>236</v>
      </c>
      <c r="G262" s="108" t="s">
        <v>31</v>
      </c>
      <c r="H262" s="126"/>
      <c r="I262" s="178" t="str">
        <f t="shared" si="23"/>
        <v>601070513 1 01 20450244</v>
      </c>
      <c r="L262" s="20"/>
      <c r="M262" s="20"/>
      <c r="N262" s="20"/>
      <c r="O262" s="20"/>
      <c r="P262" s="20"/>
      <c r="Q262" s="20"/>
      <c r="R262" s="17" t="str">
        <f t="shared" si="22"/>
        <v>13 1 01 20450244</v>
      </c>
    </row>
    <row r="263" spans="1:18" s="16" customFormat="1" ht="15.75">
      <c r="A263" s="14"/>
      <c r="B263" s="117" t="s">
        <v>237</v>
      </c>
      <c r="C263" s="118" t="s">
        <v>64</v>
      </c>
      <c r="D263" s="119" t="s">
        <v>238</v>
      </c>
      <c r="E263" s="119" t="s">
        <v>7</v>
      </c>
      <c r="F263" s="119" t="s">
        <v>8</v>
      </c>
      <c r="G263" s="119" t="s">
        <v>9</v>
      </c>
      <c r="H263" s="120">
        <f t="shared" ref="H263:H267" si="33">H264</f>
        <v>0</v>
      </c>
      <c r="I263" s="178" t="str">
        <f t="shared" si="23"/>
        <v>601080000 0 00 00000000</v>
      </c>
      <c r="L263" s="18">
        <v>1911</v>
      </c>
      <c r="M263" s="18">
        <v>1911</v>
      </c>
      <c r="N263" s="18">
        <v>1911</v>
      </c>
      <c r="O263" s="18">
        <f t="shared" ref="O263:O269" si="34">H263-L263</f>
        <v>-1911</v>
      </c>
      <c r="P263" s="18" t="e">
        <f>#REF!-M263</f>
        <v>#REF!</v>
      </c>
      <c r="Q263" s="18" t="e">
        <f>#REF!-N263</f>
        <v>#REF!</v>
      </c>
      <c r="R263" s="17" t="str">
        <f t="shared" si="22"/>
        <v>00 0 00 00000000</v>
      </c>
    </row>
    <row r="264" spans="1:18" s="16" customFormat="1" ht="15.75">
      <c r="A264" s="14"/>
      <c r="B264" s="121" t="s">
        <v>239</v>
      </c>
      <c r="C264" s="122" t="s">
        <v>64</v>
      </c>
      <c r="D264" s="123" t="s">
        <v>238</v>
      </c>
      <c r="E264" s="123" t="s">
        <v>11</v>
      </c>
      <c r="F264" s="123" t="s">
        <v>8</v>
      </c>
      <c r="G264" s="123" t="s">
        <v>9</v>
      </c>
      <c r="H264" s="124">
        <f t="shared" si="33"/>
        <v>0</v>
      </c>
      <c r="I264" s="178" t="str">
        <f t="shared" si="23"/>
        <v>601080100 0 00 00000000</v>
      </c>
      <c r="L264" s="19">
        <v>1911</v>
      </c>
      <c r="M264" s="19">
        <v>1911</v>
      </c>
      <c r="N264" s="19">
        <v>1911</v>
      </c>
      <c r="O264" s="19">
        <f t="shared" si="34"/>
        <v>-1911</v>
      </c>
      <c r="P264" s="19" t="e">
        <f>#REF!-M264</f>
        <v>#REF!</v>
      </c>
      <c r="Q264" s="19" t="e">
        <f>#REF!-N264</f>
        <v>#REF!</v>
      </c>
      <c r="R264" s="17" t="str">
        <f t="shared" si="22"/>
        <v>00 0 00 00000000</v>
      </c>
    </row>
    <row r="265" spans="1:18" s="16" customFormat="1" ht="31.5">
      <c r="A265" s="14"/>
      <c r="B265" s="125" t="s">
        <v>240</v>
      </c>
      <c r="C265" s="109" t="s">
        <v>64</v>
      </c>
      <c r="D265" s="108" t="s">
        <v>238</v>
      </c>
      <c r="E265" s="108" t="s">
        <v>11</v>
      </c>
      <c r="F265" s="108" t="s">
        <v>241</v>
      </c>
      <c r="G265" s="108" t="s">
        <v>9</v>
      </c>
      <c r="H265" s="126">
        <f t="shared" si="33"/>
        <v>0</v>
      </c>
      <c r="I265" s="178" t="str">
        <f t="shared" si="23"/>
        <v>601080107 0 00 00000000</v>
      </c>
      <c r="L265" s="20">
        <v>1911</v>
      </c>
      <c r="M265" s="20">
        <v>1911</v>
      </c>
      <c r="N265" s="20">
        <v>1911</v>
      </c>
      <c r="O265" s="20">
        <f t="shared" si="34"/>
        <v>-1911</v>
      </c>
      <c r="P265" s="20" t="e">
        <f>#REF!-M265</f>
        <v>#REF!</v>
      </c>
      <c r="Q265" s="20" t="e">
        <f>#REF!-N265</f>
        <v>#REF!</v>
      </c>
      <c r="R265" s="17" t="str">
        <f t="shared" si="22"/>
        <v>07 0 00 00000000</v>
      </c>
    </row>
    <row r="266" spans="1:18" s="16" customFormat="1" ht="78.75">
      <c r="A266" s="14"/>
      <c r="B266" s="129" t="s">
        <v>242</v>
      </c>
      <c r="C266" s="109" t="s">
        <v>64</v>
      </c>
      <c r="D266" s="108" t="s">
        <v>238</v>
      </c>
      <c r="E266" s="108" t="s">
        <v>11</v>
      </c>
      <c r="F266" s="108" t="s">
        <v>243</v>
      </c>
      <c r="G266" s="108" t="s">
        <v>9</v>
      </c>
      <c r="H266" s="126">
        <f t="shared" si="33"/>
        <v>0</v>
      </c>
      <c r="I266" s="178" t="str">
        <f t="shared" si="23"/>
        <v>601080107 1 00 00000000</v>
      </c>
      <c r="L266" s="20">
        <v>1911</v>
      </c>
      <c r="M266" s="20">
        <v>1911</v>
      </c>
      <c r="N266" s="20">
        <v>1911</v>
      </c>
      <c r="O266" s="20">
        <f t="shared" si="34"/>
        <v>-1911</v>
      </c>
      <c r="P266" s="20" t="e">
        <f>#REF!-M266</f>
        <v>#REF!</v>
      </c>
      <c r="Q266" s="20" t="e">
        <f>#REF!-N266</f>
        <v>#REF!</v>
      </c>
      <c r="R266" s="17" t="str">
        <f t="shared" si="22"/>
        <v>07 1 00 00000000</v>
      </c>
    </row>
    <row r="267" spans="1:18" s="16" customFormat="1" ht="110.25">
      <c r="A267" s="14"/>
      <c r="B267" s="129" t="s">
        <v>244</v>
      </c>
      <c r="C267" s="109" t="s">
        <v>64</v>
      </c>
      <c r="D267" s="108" t="s">
        <v>238</v>
      </c>
      <c r="E267" s="108" t="s">
        <v>11</v>
      </c>
      <c r="F267" s="108" t="s">
        <v>245</v>
      </c>
      <c r="G267" s="108" t="s">
        <v>9</v>
      </c>
      <c r="H267" s="126">
        <f t="shared" si="33"/>
        <v>0</v>
      </c>
      <c r="I267" s="178" t="str">
        <f t="shared" si="23"/>
        <v>601080107 1 01 00000000</v>
      </c>
      <c r="L267" s="20">
        <v>1911</v>
      </c>
      <c r="M267" s="20">
        <v>1911</v>
      </c>
      <c r="N267" s="20">
        <v>1911</v>
      </c>
      <c r="O267" s="20">
        <f t="shared" si="34"/>
        <v>-1911</v>
      </c>
      <c r="P267" s="20" t="e">
        <f>#REF!-M267</f>
        <v>#REF!</v>
      </c>
      <c r="Q267" s="20" t="e">
        <f>#REF!-N267</f>
        <v>#REF!</v>
      </c>
      <c r="R267" s="17" t="str">
        <f t="shared" si="22"/>
        <v>07 1 01 00000000</v>
      </c>
    </row>
    <row r="268" spans="1:18" s="16" customFormat="1" ht="31.5">
      <c r="A268" s="14"/>
      <c r="B268" s="129" t="s">
        <v>246</v>
      </c>
      <c r="C268" s="109" t="s">
        <v>64</v>
      </c>
      <c r="D268" s="108" t="s">
        <v>238</v>
      </c>
      <c r="E268" s="108" t="s">
        <v>11</v>
      </c>
      <c r="F268" s="108" t="s">
        <v>247</v>
      </c>
      <c r="G268" s="108" t="s">
        <v>9</v>
      </c>
      <c r="H268" s="126">
        <f>H269</f>
        <v>0</v>
      </c>
      <c r="I268" s="178" t="str">
        <f t="shared" si="23"/>
        <v>601080107 1 01 20060000</v>
      </c>
      <c r="L268" s="20">
        <v>1911</v>
      </c>
      <c r="M268" s="20">
        <v>1911</v>
      </c>
      <c r="N268" s="20">
        <v>1911</v>
      </c>
      <c r="O268" s="20">
        <f t="shared" si="34"/>
        <v>-1911</v>
      </c>
      <c r="P268" s="20" t="e">
        <f>#REF!-M268</f>
        <v>#REF!</v>
      </c>
      <c r="Q268" s="20" t="e">
        <f>#REF!-N268</f>
        <v>#REF!</v>
      </c>
      <c r="R268" s="17" t="str">
        <f t="shared" si="22"/>
        <v>07 1 01 20060000</v>
      </c>
    </row>
    <row r="269" spans="1:18" s="16" customFormat="1" ht="31.5">
      <c r="A269" s="14"/>
      <c r="B269" s="125" t="s">
        <v>28</v>
      </c>
      <c r="C269" s="109" t="s">
        <v>64</v>
      </c>
      <c r="D269" s="108" t="s">
        <v>238</v>
      </c>
      <c r="E269" s="108" t="s">
        <v>11</v>
      </c>
      <c r="F269" s="108" t="s">
        <v>247</v>
      </c>
      <c r="G269" s="108" t="s">
        <v>29</v>
      </c>
      <c r="H269" s="126">
        <f>H270</f>
        <v>0</v>
      </c>
      <c r="I269" s="178" t="str">
        <f t="shared" si="23"/>
        <v>601080107 1 01 20060240</v>
      </c>
      <c r="L269" s="20">
        <v>1911</v>
      </c>
      <c r="M269" s="20">
        <v>1911</v>
      </c>
      <c r="N269" s="20">
        <v>1911</v>
      </c>
      <c r="O269" s="20">
        <f t="shared" si="34"/>
        <v>-1911</v>
      </c>
      <c r="P269" s="20" t="e">
        <f>#REF!-M269</f>
        <v>#REF!</v>
      </c>
      <c r="Q269" s="20" t="e">
        <f>#REF!-N269</f>
        <v>#REF!</v>
      </c>
      <c r="R269" s="17" t="str">
        <f t="shared" si="22"/>
        <v>07 1 01 20060240</v>
      </c>
    </row>
    <row r="270" spans="1:18" s="16" customFormat="1" ht="15.75">
      <c r="A270" s="14"/>
      <c r="B270" s="125" t="s">
        <v>30</v>
      </c>
      <c r="C270" s="109" t="s">
        <v>64</v>
      </c>
      <c r="D270" s="108" t="s">
        <v>238</v>
      </c>
      <c r="E270" s="108" t="s">
        <v>11</v>
      </c>
      <c r="F270" s="108" t="s">
        <v>247</v>
      </c>
      <c r="G270" s="108" t="s">
        <v>31</v>
      </c>
      <c r="H270" s="126"/>
      <c r="I270" s="178" t="str">
        <f t="shared" si="23"/>
        <v>601080107 1 01 20060244</v>
      </c>
      <c r="L270" s="20"/>
      <c r="M270" s="20"/>
      <c r="N270" s="20"/>
      <c r="O270" s="20"/>
      <c r="P270" s="20"/>
      <c r="Q270" s="20"/>
      <c r="R270" s="17" t="str">
        <f t="shared" si="22"/>
        <v>07 1 01 20060244</v>
      </c>
    </row>
    <row r="271" spans="1:18" s="6" customFormat="1" ht="15.75">
      <c r="A271" s="1"/>
      <c r="B271" s="117" t="s">
        <v>56</v>
      </c>
      <c r="C271" s="118" t="s">
        <v>64</v>
      </c>
      <c r="D271" s="119" t="s">
        <v>57</v>
      </c>
      <c r="E271" s="119" t="s">
        <v>7</v>
      </c>
      <c r="F271" s="119" t="s">
        <v>8</v>
      </c>
      <c r="G271" s="119" t="s">
        <v>9</v>
      </c>
      <c r="H271" s="120">
        <f>H279+H272</f>
        <v>0</v>
      </c>
      <c r="I271" s="178" t="str">
        <f t="shared" si="23"/>
        <v>601120000 0 00 00000000</v>
      </c>
      <c r="L271" s="18">
        <v>20457.5</v>
      </c>
      <c r="M271" s="18">
        <v>20457.5</v>
      </c>
      <c r="N271" s="18">
        <v>20457.5</v>
      </c>
      <c r="O271" s="18">
        <f t="shared" ref="O271:O277" si="35">H271-L271</f>
        <v>-20457.5</v>
      </c>
      <c r="P271" s="18" t="e">
        <f>#REF!-M271</f>
        <v>#REF!</v>
      </c>
      <c r="Q271" s="18" t="e">
        <f>#REF!-N271</f>
        <v>#REF!</v>
      </c>
      <c r="R271" s="17" t="str">
        <f t="shared" si="22"/>
        <v>00 0 00 00000000</v>
      </c>
    </row>
    <row r="272" spans="1:18" s="6" customFormat="1" ht="15.75">
      <c r="A272" s="1"/>
      <c r="B272" s="121" t="s">
        <v>58</v>
      </c>
      <c r="C272" s="122" t="s">
        <v>64</v>
      </c>
      <c r="D272" s="123" t="s">
        <v>57</v>
      </c>
      <c r="E272" s="123" t="s">
        <v>11</v>
      </c>
      <c r="F272" s="123" t="s">
        <v>8</v>
      </c>
      <c r="G272" s="123" t="s">
        <v>9</v>
      </c>
      <c r="H272" s="124">
        <f t="shared" ref="H272:H277" si="36">H273</f>
        <v>0</v>
      </c>
      <c r="I272" s="178" t="str">
        <f t="shared" si="23"/>
        <v>601120100 0 00 00000000</v>
      </c>
      <c r="L272" s="19">
        <v>5900.5</v>
      </c>
      <c r="M272" s="19">
        <v>5900.5</v>
      </c>
      <c r="N272" s="19">
        <v>5900.5</v>
      </c>
      <c r="O272" s="19">
        <f t="shared" si="35"/>
        <v>-5900.5</v>
      </c>
      <c r="P272" s="19" t="e">
        <f>#REF!-M272</f>
        <v>#REF!</v>
      </c>
      <c r="Q272" s="19" t="e">
        <f>#REF!-N272</f>
        <v>#REF!</v>
      </c>
      <c r="R272" s="17" t="str">
        <f t="shared" si="22"/>
        <v>00 0 00 00000000</v>
      </c>
    </row>
    <row r="273" spans="1:18" s="6" customFormat="1" ht="63">
      <c r="A273" s="1"/>
      <c r="B273" s="129" t="s">
        <v>111</v>
      </c>
      <c r="C273" s="109" t="s">
        <v>64</v>
      </c>
      <c r="D273" s="108" t="s">
        <v>57</v>
      </c>
      <c r="E273" s="108" t="s">
        <v>11</v>
      </c>
      <c r="F273" s="108" t="s">
        <v>112</v>
      </c>
      <c r="G273" s="108" t="s">
        <v>9</v>
      </c>
      <c r="H273" s="126">
        <f t="shared" si="36"/>
        <v>0</v>
      </c>
      <c r="I273" s="178" t="str">
        <f t="shared" si="23"/>
        <v>601120114 0 00 00000000</v>
      </c>
      <c r="L273" s="20">
        <v>5900.5</v>
      </c>
      <c r="M273" s="20">
        <v>5900.5</v>
      </c>
      <c r="N273" s="20">
        <v>5900.5</v>
      </c>
      <c r="O273" s="20">
        <f t="shared" si="35"/>
        <v>-5900.5</v>
      </c>
      <c r="P273" s="20" t="e">
        <f>#REF!-M273</f>
        <v>#REF!</v>
      </c>
      <c r="Q273" s="20" t="e">
        <f>#REF!-N273</f>
        <v>#REF!</v>
      </c>
      <c r="R273" s="17" t="str">
        <f t="shared" si="22"/>
        <v>14 0 00 00000000</v>
      </c>
    </row>
    <row r="274" spans="1:18" s="6" customFormat="1" ht="31.5">
      <c r="A274" s="1"/>
      <c r="B274" s="129" t="s">
        <v>113</v>
      </c>
      <c r="C274" s="109" t="s">
        <v>64</v>
      </c>
      <c r="D274" s="108" t="s">
        <v>57</v>
      </c>
      <c r="E274" s="108" t="s">
        <v>11</v>
      </c>
      <c r="F274" s="108" t="s">
        <v>114</v>
      </c>
      <c r="G274" s="108" t="s">
        <v>9</v>
      </c>
      <c r="H274" s="126">
        <f t="shared" si="36"/>
        <v>0</v>
      </c>
      <c r="I274" s="178" t="str">
        <f t="shared" si="23"/>
        <v>601120114 1 00 00000000</v>
      </c>
      <c r="L274" s="20">
        <v>5900.5</v>
      </c>
      <c r="M274" s="20">
        <v>5900.5</v>
      </c>
      <c r="N274" s="20">
        <v>5900.5</v>
      </c>
      <c r="O274" s="20">
        <f t="shared" si="35"/>
        <v>-5900.5</v>
      </c>
      <c r="P274" s="20" t="e">
        <f>#REF!-M274</f>
        <v>#REF!</v>
      </c>
      <c r="Q274" s="20" t="e">
        <f>#REF!-N274</f>
        <v>#REF!</v>
      </c>
      <c r="R274" s="17" t="str">
        <f t="shared" si="22"/>
        <v>14 1 00 00000000</v>
      </c>
    </row>
    <row r="275" spans="1:18" s="6" customFormat="1" ht="63">
      <c r="A275" s="1"/>
      <c r="B275" s="129" t="s">
        <v>248</v>
      </c>
      <c r="C275" s="109" t="s">
        <v>64</v>
      </c>
      <c r="D275" s="108" t="s">
        <v>57</v>
      </c>
      <c r="E275" s="108" t="s">
        <v>11</v>
      </c>
      <c r="F275" s="108" t="s">
        <v>249</v>
      </c>
      <c r="G275" s="108" t="s">
        <v>9</v>
      </c>
      <c r="H275" s="126">
        <f t="shared" si="36"/>
        <v>0</v>
      </c>
      <c r="I275" s="178" t="str">
        <f t="shared" si="23"/>
        <v>601120114 1 03 00000000</v>
      </c>
      <c r="L275" s="20">
        <v>5900.5</v>
      </c>
      <c r="M275" s="20">
        <v>5900.5</v>
      </c>
      <c r="N275" s="20">
        <v>5900.5</v>
      </c>
      <c r="O275" s="20">
        <f t="shared" si="35"/>
        <v>-5900.5</v>
      </c>
      <c r="P275" s="20" t="e">
        <f>#REF!-M275</f>
        <v>#REF!</v>
      </c>
      <c r="Q275" s="20" t="e">
        <f>#REF!-N275</f>
        <v>#REF!</v>
      </c>
      <c r="R275" s="17" t="str">
        <f t="shared" si="22"/>
        <v>14 1 03 00000000</v>
      </c>
    </row>
    <row r="276" spans="1:18" s="6" customFormat="1" ht="31.5">
      <c r="A276" s="1"/>
      <c r="B276" s="129" t="s">
        <v>59</v>
      </c>
      <c r="C276" s="109" t="s">
        <v>64</v>
      </c>
      <c r="D276" s="108" t="s">
        <v>57</v>
      </c>
      <c r="E276" s="108" t="s">
        <v>11</v>
      </c>
      <c r="F276" s="108" t="s">
        <v>250</v>
      </c>
      <c r="G276" s="108" t="s">
        <v>9</v>
      </c>
      <c r="H276" s="126">
        <f t="shared" si="36"/>
        <v>0</v>
      </c>
      <c r="I276" s="178" t="str">
        <f t="shared" si="23"/>
        <v>601120114 1 03 98710000</v>
      </c>
      <c r="L276" s="20">
        <v>5900.5</v>
      </c>
      <c r="M276" s="20">
        <v>5900.5</v>
      </c>
      <c r="N276" s="20">
        <v>5900.5</v>
      </c>
      <c r="O276" s="20">
        <f t="shared" si="35"/>
        <v>-5900.5</v>
      </c>
      <c r="P276" s="20" t="e">
        <f>#REF!-M276</f>
        <v>#REF!</v>
      </c>
      <c r="Q276" s="20" t="e">
        <f>#REF!-N276</f>
        <v>#REF!</v>
      </c>
      <c r="R276" s="17" t="str">
        <f t="shared" si="22"/>
        <v>14 1 03 98710000</v>
      </c>
    </row>
    <row r="277" spans="1:18" s="6" customFormat="1" ht="31.5">
      <c r="A277" s="1"/>
      <c r="B277" s="125" t="s">
        <v>28</v>
      </c>
      <c r="C277" s="109" t="s">
        <v>64</v>
      </c>
      <c r="D277" s="108" t="s">
        <v>57</v>
      </c>
      <c r="E277" s="108" t="s">
        <v>11</v>
      </c>
      <c r="F277" s="108" t="s">
        <v>250</v>
      </c>
      <c r="G277" s="108" t="s">
        <v>29</v>
      </c>
      <c r="H277" s="126">
        <f t="shared" si="36"/>
        <v>0</v>
      </c>
      <c r="I277" s="178" t="str">
        <f t="shared" ref="I277:I340" si="37">C277&amp;D277&amp;E277&amp;F277&amp;G277</f>
        <v>601120114 1 03 98710240</v>
      </c>
      <c r="L277" s="20">
        <v>5900.5</v>
      </c>
      <c r="M277" s="20">
        <v>5900.5</v>
      </c>
      <c r="N277" s="20">
        <v>5900.5</v>
      </c>
      <c r="O277" s="20">
        <f t="shared" si="35"/>
        <v>-5900.5</v>
      </c>
      <c r="P277" s="20" t="e">
        <f>#REF!-M277</f>
        <v>#REF!</v>
      </c>
      <c r="Q277" s="20" t="e">
        <f>#REF!-N277</f>
        <v>#REF!</v>
      </c>
      <c r="R277" s="17" t="str">
        <f t="shared" si="22"/>
        <v>14 1 03 98710240</v>
      </c>
    </row>
    <row r="278" spans="1:18" s="6" customFormat="1" ht="15.75">
      <c r="A278" s="1"/>
      <c r="B278" s="125" t="s">
        <v>30</v>
      </c>
      <c r="C278" s="109" t="s">
        <v>64</v>
      </c>
      <c r="D278" s="108" t="s">
        <v>57</v>
      </c>
      <c r="E278" s="108" t="s">
        <v>11</v>
      </c>
      <c r="F278" s="108" t="s">
        <v>250</v>
      </c>
      <c r="G278" s="108" t="s">
        <v>31</v>
      </c>
      <c r="H278" s="126"/>
      <c r="I278" s="178" t="str">
        <f t="shared" si="37"/>
        <v>601120114 1 03 98710244</v>
      </c>
      <c r="L278" s="20"/>
      <c r="M278" s="20"/>
      <c r="N278" s="20"/>
      <c r="O278" s="20"/>
      <c r="P278" s="20"/>
      <c r="Q278" s="20"/>
      <c r="R278" s="17" t="str">
        <f t="shared" si="22"/>
        <v>14 1 03 98710244</v>
      </c>
    </row>
    <row r="279" spans="1:18" s="6" customFormat="1" ht="15.75">
      <c r="A279" s="1"/>
      <c r="B279" s="121" t="s">
        <v>61</v>
      </c>
      <c r="C279" s="122" t="s">
        <v>64</v>
      </c>
      <c r="D279" s="123" t="s">
        <v>57</v>
      </c>
      <c r="E279" s="123" t="s">
        <v>62</v>
      </c>
      <c r="F279" s="123" t="s">
        <v>8</v>
      </c>
      <c r="G279" s="123" t="s">
        <v>9</v>
      </c>
      <c r="H279" s="124">
        <f t="shared" ref="H279:H287" si="38">H280</f>
        <v>0</v>
      </c>
      <c r="I279" s="178" t="str">
        <f t="shared" si="37"/>
        <v>601120200 0 00 00000000</v>
      </c>
      <c r="L279" s="19">
        <v>14557</v>
      </c>
      <c r="M279" s="19">
        <v>14557</v>
      </c>
      <c r="N279" s="19">
        <v>14557</v>
      </c>
      <c r="O279" s="19">
        <f t="shared" ref="O279:O284" si="39">H279-L279</f>
        <v>-14557</v>
      </c>
      <c r="P279" s="19" t="e">
        <f>#REF!-M279</f>
        <v>#REF!</v>
      </c>
      <c r="Q279" s="19" t="e">
        <f>#REF!-N279</f>
        <v>#REF!</v>
      </c>
      <c r="R279" s="17" t="str">
        <f t="shared" si="22"/>
        <v>00 0 00 00000000</v>
      </c>
    </row>
    <row r="280" spans="1:18" s="16" customFormat="1" ht="63">
      <c r="A280" s="14"/>
      <c r="B280" s="129" t="s">
        <v>111</v>
      </c>
      <c r="C280" s="109" t="s">
        <v>64</v>
      </c>
      <c r="D280" s="108" t="s">
        <v>57</v>
      </c>
      <c r="E280" s="108" t="s">
        <v>62</v>
      </c>
      <c r="F280" s="108" t="s">
        <v>112</v>
      </c>
      <c r="G280" s="108" t="s">
        <v>9</v>
      </c>
      <c r="H280" s="126">
        <f t="shared" si="38"/>
        <v>0</v>
      </c>
      <c r="I280" s="178" t="str">
        <f t="shared" si="37"/>
        <v>601120214 0 00 00000000</v>
      </c>
      <c r="L280" s="20">
        <v>14557</v>
      </c>
      <c r="M280" s="20">
        <v>14557</v>
      </c>
      <c r="N280" s="20">
        <v>14557</v>
      </c>
      <c r="O280" s="20">
        <f t="shared" si="39"/>
        <v>-14557</v>
      </c>
      <c r="P280" s="20" t="e">
        <f>#REF!-M280</f>
        <v>#REF!</v>
      </c>
      <c r="Q280" s="20" t="e">
        <f>#REF!-N280</f>
        <v>#REF!</v>
      </c>
      <c r="R280" s="17" t="str">
        <f t="shared" si="22"/>
        <v>14 0 00 00000000</v>
      </c>
    </row>
    <row r="281" spans="1:18" s="16" customFormat="1" ht="31.5">
      <c r="A281" s="14"/>
      <c r="B281" s="129" t="s">
        <v>113</v>
      </c>
      <c r="C281" s="109" t="s">
        <v>64</v>
      </c>
      <c r="D281" s="108" t="s">
        <v>57</v>
      </c>
      <c r="E281" s="108" t="s">
        <v>62</v>
      </c>
      <c r="F281" s="108" t="s">
        <v>114</v>
      </c>
      <c r="G281" s="108" t="s">
        <v>9</v>
      </c>
      <c r="H281" s="126">
        <f>H286+H282</f>
        <v>0</v>
      </c>
      <c r="I281" s="178" t="str">
        <f t="shared" si="37"/>
        <v>601120214 1 00 00000000</v>
      </c>
      <c r="L281" s="20">
        <v>14557</v>
      </c>
      <c r="M281" s="20">
        <v>14557</v>
      </c>
      <c r="N281" s="20">
        <v>14557</v>
      </c>
      <c r="O281" s="20">
        <f t="shared" si="39"/>
        <v>-14557</v>
      </c>
      <c r="P281" s="20" t="e">
        <f>#REF!-M281</f>
        <v>#REF!</v>
      </c>
      <c r="Q281" s="20" t="e">
        <f>#REF!-N281</f>
        <v>#REF!</v>
      </c>
      <c r="R281" s="17" t="str">
        <f t="shared" si="22"/>
        <v>14 1 00 00000000</v>
      </c>
    </row>
    <row r="282" spans="1:18" s="6" customFormat="1" ht="63">
      <c r="A282" s="1"/>
      <c r="B282" s="129" t="s">
        <v>248</v>
      </c>
      <c r="C282" s="109" t="s">
        <v>64</v>
      </c>
      <c r="D282" s="108" t="s">
        <v>57</v>
      </c>
      <c r="E282" s="108" t="s">
        <v>62</v>
      </c>
      <c r="F282" s="108" t="s">
        <v>249</v>
      </c>
      <c r="G282" s="108" t="s">
        <v>9</v>
      </c>
      <c r="H282" s="126">
        <f>H283</f>
        <v>0</v>
      </c>
      <c r="I282" s="178" t="str">
        <f t="shared" si="37"/>
        <v>601120214 1 03 00000000</v>
      </c>
      <c r="L282" s="20">
        <v>1190</v>
      </c>
      <c r="M282" s="20">
        <v>1190</v>
      </c>
      <c r="N282" s="20">
        <v>1190</v>
      </c>
      <c r="O282" s="20">
        <f t="shared" si="39"/>
        <v>-1190</v>
      </c>
      <c r="P282" s="20" t="e">
        <f>#REF!-M282</f>
        <v>#REF!</v>
      </c>
      <c r="Q282" s="20" t="e">
        <f>#REF!-N282</f>
        <v>#REF!</v>
      </c>
      <c r="R282" s="17" t="str">
        <f t="shared" si="22"/>
        <v>14 1 03 00000000</v>
      </c>
    </row>
    <row r="283" spans="1:18" s="6" customFormat="1" ht="31.5">
      <c r="A283" s="1"/>
      <c r="B283" s="129" t="s">
        <v>59</v>
      </c>
      <c r="C283" s="109" t="s">
        <v>64</v>
      </c>
      <c r="D283" s="108" t="s">
        <v>57</v>
      </c>
      <c r="E283" s="108" t="s">
        <v>62</v>
      </c>
      <c r="F283" s="108" t="s">
        <v>250</v>
      </c>
      <c r="G283" s="108" t="s">
        <v>9</v>
      </c>
      <c r="H283" s="126">
        <f>H284</f>
        <v>0</v>
      </c>
      <c r="I283" s="178" t="str">
        <f t="shared" si="37"/>
        <v>601120214 1 03 98710000</v>
      </c>
      <c r="L283" s="20">
        <v>1190</v>
      </c>
      <c r="M283" s="20">
        <v>1190</v>
      </c>
      <c r="N283" s="20">
        <v>1190</v>
      </c>
      <c r="O283" s="20">
        <f t="shared" si="39"/>
        <v>-1190</v>
      </c>
      <c r="P283" s="20" t="e">
        <f>#REF!-M283</f>
        <v>#REF!</v>
      </c>
      <c r="Q283" s="20" t="e">
        <f>#REF!-N283</f>
        <v>#REF!</v>
      </c>
      <c r="R283" s="17" t="str">
        <f t="shared" si="22"/>
        <v>14 1 03 98710000</v>
      </c>
    </row>
    <row r="284" spans="1:18" s="6" customFormat="1" ht="31.5">
      <c r="A284" s="1"/>
      <c r="B284" s="125" t="s">
        <v>28</v>
      </c>
      <c r="C284" s="109" t="s">
        <v>64</v>
      </c>
      <c r="D284" s="108" t="s">
        <v>57</v>
      </c>
      <c r="E284" s="108" t="s">
        <v>62</v>
      </c>
      <c r="F284" s="108" t="s">
        <v>250</v>
      </c>
      <c r="G284" s="108" t="s">
        <v>29</v>
      </c>
      <c r="H284" s="126">
        <f>H285</f>
        <v>0</v>
      </c>
      <c r="I284" s="178" t="str">
        <f t="shared" si="37"/>
        <v>601120214 1 03 98710240</v>
      </c>
      <c r="L284" s="20">
        <v>1190</v>
      </c>
      <c r="M284" s="20">
        <v>1190</v>
      </c>
      <c r="N284" s="20">
        <v>1190</v>
      </c>
      <c r="O284" s="20">
        <f t="shared" si="39"/>
        <v>-1190</v>
      </c>
      <c r="P284" s="20" t="e">
        <f>#REF!-M284</f>
        <v>#REF!</v>
      </c>
      <c r="Q284" s="20" t="e">
        <f>#REF!-N284</f>
        <v>#REF!</v>
      </c>
      <c r="R284" s="17" t="str">
        <f t="shared" si="22"/>
        <v>14 1 03 98710240</v>
      </c>
    </row>
    <row r="285" spans="1:18" s="6" customFormat="1" ht="15.75">
      <c r="A285" s="1"/>
      <c r="B285" s="125" t="s">
        <v>30</v>
      </c>
      <c r="C285" s="109" t="s">
        <v>64</v>
      </c>
      <c r="D285" s="108" t="s">
        <v>57</v>
      </c>
      <c r="E285" s="108" t="s">
        <v>62</v>
      </c>
      <c r="F285" s="108" t="s">
        <v>250</v>
      </c>
      <c r="G285" s="108" t="s">
        <v>31</v>
      </c>
      <c r="H285" s="126"/>
      <c r="I285" s="178" t="str">
        <f t="shared" si="37"/>
        <v>601120214 1 03 98710244</v>
      </c>
      <c r="L285" s="20"/>
      <c r="M285" s="20"/>
      <c r="N285" s="20"/>
      <c r="O285" s="20"/>
      <c r="P285" s="20"/>
      <c r="Q285" s="20"/>
      <c r="R285" s="17" t="str">
        <f t="shared" si="22"/>
        <v>14 1 03 98710244</v>
      </c>
    </row>
    <row r="286" spans="1:18" s="16" customFormat="1" ht="47.25">
      <c r="A286" s="14"/>
      <c r="B286" s="129" t="s">
        <v>251</v>
      </c>
      <c r="C286" s="109" t="s">
        <v>64</v>
      </c>
      <c r="D286" s="108" t="s">
        <v>57</v>
      </c>
      <c r="E286" s="108" t="s">
        <v>62</v>
      </c>
      <c r="F286" s="108" t="s">
        <v>252</v>
      </c>
      <c r="G286" s="108" t="s">
        <v>9</v>
      </c>
      <c r="H286" s="126">
        <f>H287</f>
        <v>0</v>
      </c>
      <c r="I286" s="178" t="str">
        <f t="shared" si="37"/>
        <v>601120214 1 04 00000000</v>
      </c>
      <c r="L286" s="20">
        <v>13367</v>
      </c>
      <c r="M286" s="20">
        <v>13367</v>
      </c>
      <c r="N286" s="20">
        <v>13367</v>
      </c>
      <c r="O286" s="20">
        <f>H286-L286</f>
        <v>-13367</v>
      </c>
      <c r="P286" s="20" t="e">
        <f>#REF!-M286</f>
        <v>#REF!</v>
      </c>
      <c r="Q286" s="20" t="e">
        <f>#REF!-N286</f>
        <v>#REF!</v>
      </c>
      <c r="R286" s="17" t="str">
        <f t="shared" si="22"/>
        <v>14 1 04 00000000</v>
      </c>
    </row>
    <row r="287" spans="1:18" s="16" customFormat="1" ht="47.25">
      <c r="A287" s="14"/>
      <c r="B287" s="129" t="s">
        <v>253</v>
      </c>
      <c r="C287" s="109" t="s">
        <v>64</v>
      </c>
      <c r="D287" s="108" t="s">
        <v>57</v>
      </c>
      <c r="E287" s="108" t="s">
        <v>62</v>
      </c>
      <c r="F287" s="108" t="s">
        <v>254</v>
      </c>
      <c r="G287" s="108" t="s">
        <v>9</v>
      </c>
      <c r="H287" s="126">
        <f t="shared" si="38"/>
        <v>0</v>
      </c>
      <c r="I287" s="178" t="str">
        <f t="shared" si="37"/>
        <v>601120214 1 04 98720000</v>
      </c>
      <c r="L287" s="20">
        <v>13367</v>
      </c>
      <c r="M287" s="20">
        <v>13367</v>
      </c>
      <c r="N287" s="20">
        <v>13367</v>
      </c>
      <c r="O287" s="20">
        <f>H287-L287</f>
        <v>-13367</v>
      </c>
      <c r="P287" s="20" t="e">
        <f>#REF!-M287</f>
        <v>#REF!</v>
      </c>
      <c r="Q287" s="20" t="e">
        <f>#REF!-N287</f>
        <v>#REF!</v>
      </c>
      <c r="R287" s="17" t="str">
        <f t="shared" si="22"/>
        <v>14 1 04 98720000</v>
      </c>
    </row>
    <row r="288" spans="1:18" s="16" customFormat="1" ht="63">
      <c r="A288" s="14"/>
      <c r="B288" s="129" t="s">
        <v>203</v>
      </c>
      <c r="C288" s="109" t="s">
        <v>64</v>
      </c>
      <c r="D288" s="108" t="s">
        <v>57</v>
      </c>
      <c r="E288" s="108" t="s">
        <v>62</v>
      </c>
      <c r="F288" s="108" t="s">
        <v>254</v>
      </c>
      <c r="G288" s="108" t="s">
        <v>204</v>
      </c>
      <c r="H288" s="126">
        <f>H289</f>
        <v>0</v>
      </c>
      <c r="I288" s="178" t="str">
        <f t="shared" si="37"/>
        <v>601120214 1 04 98720810</v>
      </c>
      <c r="L288" s="20">
        <v>13367</v>
      </c>
      <c r="M288" s="20">
        <v>13367</v>
      </c>
      <c r="N288" s="20">
        <v>13367</v>
      </c>
      <c r="O288" s="20">
        <f>H288-L288</f>
        <v>-13367</v>
      </c>
      <c r="P288" s="20" t="e">
        <f>#REF!-M288</f>
        <v>#REF!</v>
      </c>
      <c r="Q288" s="20" t="e">
        <f>#REF!-N288</f>
        <v>#REF!</v>
      </c>
      <c r="R288" s="17" t="str">
        <f t="shared" si="22"/>
        <v>14 1 04 98720810</v>
      </c>
    </row>
    <row r="289" spans="1:18" s="23" customFormat="1" ht="63">
      <c r="A289" s="21"/>
      <c r="B289" s="127" t="s">
        <v>205</v>
      </c>
      <c r="C289" s="109" t="s">
        <v>64</v>
      </c>
      <c r="D289" s="108" t="s">
        <v>57</v>
      </c>
      <c r="E289" s="108" t="s">
        <v>62</v>
      </c>
      <c r="F289" s="108" t="s">
        <v>254</v>
      </c>
      <c r="G289" s="108" t="s">
        <v>206</v>
      </c>
      <c r="H289" s="126"/>
      <c r="I289" s="178" t="str">
        <f t="shared" si="37"/>
        <v>601120214 1 04 98720811</v>
      </c>
      <c r="L289" s="22"/>
      <c r="M289" s="22"/>
      <c r="N289" s="22"/>
      <c r="O289" s="22"/>
      <c r="P289" s="22"/>
      <c r="Q289" s="22"/>
      <c r="R289" s="24" t="str">
        <f t="shared" si="22"/>
        <v>14 1 04 98720811</v>
      </c>
    </row>
    <row r="290" spans="1:18" s="16" customFormat="1" ht="15.75">
      <c r="A290" s="14"/>
      <c r="B290" s="129"/>
      <c r="C290" s="109"/>
      <c r="D290" s="108"/>
      <c r="E290" s="108"/>
      <c r="F290" s="108"/>
      <c r="G290" s="108"/>
      <c r="H290" s="126"/>
      <c r="I290" s="178" t="str">
        <f t="shared" si="37"/>
        <v/>
      </c>
      <c r="L290" s="20"/>
      <c r="M290" s="20"/>
      <c r="N290" s="20"/>
      <c r="O290" s="20">
        <f t="shared" ref="O290:O298" si="40">H290-L290</f>
        <v>0</v>
      </c>
      <c r="P290" s="20" t="e">
        <f>#REF!-M290</f>
        <v>#REF!</v>
      </c>
      <c r="Q290" s="20" t="e">
        <f>#REF!-N290</f>
        <v>#REF!</v>
      </c>
      <c r="R290" s="17" t="str">
        <f t="shared" ref="R290:R395" si="41">CONCATENATE(F290,G290)</f>
        <v/>
      </c>
    </row>
    <row r="291" spans="1:18" s="29" customFormat="1" ht="31.5">
      <c r="A291" s="28"/>
      <c r="B291" s="67" t="s">
        <v>255</v>
      </c>
      <c r="C291" s="116" t="s">
        <v>256</v>
      </c>
      <c r="D291" s="69" t="s">
        <v>7</v>
      </c>
      <c r="E291" s="69" t="s">
        <v>7</v>
      </c>
      <c r="F291" s="69" t="s">
        <v>8</v>
      </c>
      <c r="G291" s="69" t="s">
        <v>9</v>
      </c>
      <c r="H291" s="70">
        <f>H292+H346+H366+H380</f>
        <v>0</v>
      </c>
      <c r="I291" s="178" t="str">
        <f t="shared" si="37"/>
        <v>602000000 0 00 00000000</v>
      </c>
      <c r="L291" s="25">
        <v>134380.66</v>
      </c>
      <c r="M291" s="25">
        <v>78249.05</v>
      </c>
      <c r="N291" s="25">
        <v>83049.05</v>
      </c>
      <c r="O291" s="25">
        <f t="shared" si="40"/>
        <v>-134380.66</v>
      </c>
      <c r="P291" s="25" t="e">
        <f>#REF!-M291</f>
        <v>#REF!</v>
      </c>
      <c r="Q291" s="25" t="e">
        <f>#REF!-N291</f>
        <v>#REF!</v>
      </c>
      <c r="R291" s="17" t="str">
        <f t="shared" si="41"/>
        <v>00 0 00 00000000</v>
      </c>
    </row>
    <row r="292" spans="1:18" s="29" customFormat="1" ht="15.75">
      <c r="A292" s="28"/>
      <c r="B292" s="117" t="s">
        <v>10</v>
      </c>
      <c r="C292" s="118" t="s">
        <v>256</v>
      </c>
      <c r="D292" s="119" t="s">
        <v>11</v>
      </c>
      <c r="E292" s="119" t="s">
        <v>7</v>
      </c>
      <c r="F292" s="119" t="s">
        <v>8</v>
      </c>
      <c r="G292" s="119" t="s">
        <v>9</v>
      </c>
      <c r="H292" s="120">
        <f>H293</f>
        <v>0</v>
      </c>
      <c r="I292" s="178" t="str">
        <f t="shared" si="37"/>
        <v>602010000 0 00 00000000</v>
      </c>
      <c r="L292" s="18">
        <v>79225.42</v>
      </c>
      <c r="M292" s="18">
        <v>74852.42</v>
      </c>
      <c r="N292" s="18">
        <v>74852.42</v>
      </c>
      <c r="O292" s="18">
        <f t="shared" si="40"/>
        <v>-79225.42</v>
      </c>
      <c r="P292" s="18" t="e">
        <f>#REF!-M292</f>
        <v>#REF!</v>
      </c>
      <c r="Q292" s="18" t="e">
        <f>#REF!-N292</f>
        <v>#REF!</v>
      </c>
      <c r="R292" s="17" t="str">
        <f t="shared" si="41"/>
        <v>00 0 00 00000000</v>
      </c>
    </row>
    <row r="293" spans="1:18" s="29" customFormat="1" ht="15.75">
      <c r="A293" s="28"/>
      <c r="B293" s="121" t="s">
        <v>50</v>
      </c>
      <c r="C293" s="122" t="s">
        <v>256</v>
      </c>
      <c r="D293" s="123" t="s">
        <v>11</v>
      </c>
      <c r="E293" s="123" t="s">
        <v>51</v>
      </c>
      <c r="F293" s="123" t="s">
        <v>8</v>
      </c>
      <c r="G293" s="123" t="s">
        <v>9</v>
      </c>
      <c r="H293" s="124">
        <f>H294+H321+H312+H341</f>
        <v>0</v>
      </c>
      <c r="I293" s="178" t="str">
        <f t="shared" si="37"/>
        <v>602011300 0 00 00000000</v>
      </c>
      <c r="L293" s="19">
        <v>79225.42</v>
      </c>
      <c r="M293" s="19">
        <v>74852.42</v>
      </c>
      <c r="N293" s="19">
        <v>74852.42</v>
      </c>
      <c r="O293" s="19">
        <f t="shared" si="40"/>
        <v>-79225.42</v>
      </c>
      <c r="P293" s="19" t="e">
        <f>#REF!-M293</f>
        <v>#REF!</v>
      </c>
      <c r="Q293" s="19" t="e">
        <f>#REF!-N293</f>
        <v>#REF!</v>
      </c>
      <c r="R293" s="17" t="str">
        <f t="shared" si="41"/>
        <v>00 0 00 00000000</v>
      </c>
    </row>
    <row r="294" spans="1:18" s="29" customFormat="1" ht="63">
      <c r="A294" s="28"/>
      <c r="B294" s="132" t="s">
        <v>257</v>
      </c>
      <c r="C294" s="109" t="s">
        <v>256</v>
      </c>
      <c r="D294" s="108" t="s">
        <v>11</v>
      </c>
      <c r="E294" s="108" t="s">
        <v>51</v>
      </c>
      <c r="F294" s="108" t="s">
        <v>258</v>
      </c>
      <c r="G294" s="108" t="s">
        <v>9</v>
      </c>
      <c r="H294" s="126">
        <f>H295</f>
        <v>0</v>
      </c>
      <c r="I294" s="178" t="str">
        <f t="shared" si="37"/>
        <v>602011311 0 00 00000000</v>
      </c>
      <c r="L294" s="20">
        <v>5342.96</v>
      </c>
      <c r="M294" s="20">
        <v>5342.96</v>
      </c>
      <c r="N294" s="20">
        <v>5342.96</v>
      </c>
      <c r="O294" s="20">
        <f t="shared" si="40"/>
        <v>-5342.96</v>
      </c>
      <c r="P294" s="20" t="e">
        <f>#REF!-M294</f>
        <v>#REF!</v>
      </c>
      <c r="Q294" s="20" t="e">
        <f>#REF!-N294</f>
        <v>#REF!</v>
      </c>
      <c r="R294" s="17" t="str">
        <f t="shared" si="41"/>
        <v>11 0 00 00000000</v>
      </c>
    </row>
    <row r="295" spans="1:18" s="29" customFormat="1" ht="63">
      <c r="A295" s="28"/>
      <c r="B295" s="132" t="s">
        <v>259</v>
      </c>
      <c r="C295" s="109" t="s">
        <v>256</v>
      </c>
      <c r="D295" s="108" t="s">
        <v>11</v>
      </c>
      <c r="E295" s="108" t="s">
        <v>51</v>
      </c>
      <c r="F295" s="108" t="s">
        <v>260</v>
      </c>
      <c r="G295" s="108" t="s">
        <v>9</v>
      </c>
      <c r="H295" s="126">
        <f>H296+H308</f>
        <v>0</v>
      </c>
      <c r="I295" s="178" t="str">
        <f t="shared" si="37"/>
        <v>602011311 Б 00 00000000</v>
      </c>
      <c r="L295" s="20">
        <v>5342.96</v>
      </c>
      <c r="M295" s="20">
        <v>5342.96</v>
      </c>
      <c r="N295" s="20">
        <v>5342.96</v>
      </c>
      <c r="O295" s="20">
        <f t="shared" si="40"/>
        <v>-5342.96</v>
      </c>
      <c r="P295" s="20" t="e">
        <f>#REF!-M295</f>
        <v>#REF!</v>
      </c>
      <c r="Q295" s="20" t="e">
        <f>#REF!-N295</f>
        <v>#REF!</v>
      </c>
      <c r="R295" s="17" t="str">
        <f t="shared" si="41"/>
        <v>11 Б 00 00000000</v>
      </c>
    </row>
    <row r="296" spans="1:18" s="29" customFormat="1" ht="47.25">
      <c r="A296" s="28"/>
      <c r="B296" s="125" t="s">
        <v>261</v>
      </c>
      <c r="C296" s="109" t="s">
        <v>256</v>
      </c>
      <c r="D296" s="108" t="s">
        <v>11</v>
      </c>
      <c r="E296" s="108" t="s">
        <v>51</v>
      </c>
      <c r="F296" s="108" t="s">
        <v>262</v>
      </c>
      <c r="G296" s="108" t="s">
        <v>9</v>
      </c>
      <c r="H296" s="126">
        <f>H297+H302+H305</f>
        <v>0</v>
      </c>
      <c r="I296" s="178" t="str">
        <f t="shared" si="37"/>
        <v>602011311 Б 01 00000000</v>
      </c>
      <c r="L296" s="20">
        <v>4770.92</v>
      </c>
      <c r="M296" s="20">
        <v>4770.92</v>
      </c>
      <c r="N296" s="20">
        <v>4770.92</v>
      </c>
      <c r="O296" s="20">
        <f t="shared" si="40"/>
        <v>-4770.92</v>
      </c>
      <c r="P296" s="20" t="e">
        <f>#REF!-M296</f>
        <v>#REF!</v>
      </c>
      <c r="Q296" s="20" t="e">
        <f>#REF!-N296</f>
        <v>#REF!</v>
      </c>
      <c r="R296" s="17" t="str">
        <f t="shared" si="41"/>
        <v>11 Б 01 00000000</v>
      </c>
    </row>
    <row r="297" spans="1:18" s="29" customFormat="1" ht="78.75">
      <c r="A297" s="28"/>
      <c r="B297" s="125" t="s">
        <v>263</v>
      </c>
      <c r="C297" s="109" t="s">
        <v>256</v>
      </c>
      <c r="D297" s="108" t="s">
        <v>11</v>
      </c>
      <c r="E297" s="108" t="s">
        <v>51</v>
      </c>
      <c r="F297" s="108" t="s">
        <v>264</v>
      </c>
      <c r="G297" s="108" t="s">
        <v>9</v>
      </c>
      <c r="H297" s="126">
        <f>H298+H300</f>
        <v>0</v>
      </c>
      <c r="I297" s="178" t="str">
        <f t="shared" si="37"/>
        <v>602011311 Б 01 20030000</v>
      </c>
      <c r="L297" s="20">
        <v>1261</v>
      </c>
      <c r="M297" s="20">
        <v>1261</v>
      </c>
      <c r="N297" s="20">
        <v>1261</v>
      </c>
      <c r="O297" s="20">
        <f t="shared" si="40"/>
        <v>-1261</v>
      </c>
      <c r="P297" s="20" t="e">
        <f>#REF!-M297</f>
        <v>#REF!</v>
      </c>
      <c r="Q297" s="20" t="e">
        <f>#REF!-N297</f>
        <v>#REF!</v>
      </c>
      <c r="R297" s="17" t="str">
        <f t="shared" si="41"/>
        <v>11 Б 01 20030000</v>
      </c>
    </row>
    <row r="298" spans="1:18" s="29" customFormat="1" ht="31.5">
      <c r="A298" s="28"/>
      <c r="B298" s="125" t="s">
        <v>28</v>
      </c>
      <c r="C298" s="109" t="s">
        <v>256</v>
      </c>
      <c r="D298" s="108" t="s">
        <v>11</v>
      </c>
      <c r="E298" s="108" t="s">
        <v>51</v>
      </c>
      <c r="F298" s="108" t="s">
        <v>264</v>
      </c>
      <c r="G298" s="108" t="s">
        <v>29</v>
      </c>
      <c r="H298" s="126">
        <f>H299</f>
        <v>0</v>
      </c>
      <c r="I298" s="178" t="str">
        <f t="shared" si="37"/>
        <v>602011311 Б 01 20030240</v>
      </c>
      <c r="L298" s="20">
        <v>1250</v>
      </c>
      <c r="M298" s="20">
        <v>1250</v>
      </c>
      <c r="N298" s="20">
        <v>1250</v>
      </c>
      <c r="O298" s="20">
        <f t="shared" si="40"/>
        <v>-1250</v>
      </c>
      <c r="P298" s="20" t="e">
        <f>#REF!-M298</f>
        <v>#REF!</v>
      </c>
      <c r="Q298" s="20" t="e">
        <f>#REF!-N298</f>
        <v>#REF!</v>
      </c>
      <c r="R298" s="17" t="str">
        <f t="shared" si="41"/>
        <v>11 Б 01 20030240</v>
      </c>
    </row>
    <row r="299" spans="1:18" s="29" customFormat="1" ht="15.75">
      <c r="A299" s="28"/>
      <c r="B299" s="125" t="s">
        <v>30</v>
      </c>
      <c r="C299" s="109" t="s">
        <v>256</v>
      </c>
      <c r="D299" s="108" t="s">
        <v>11</v>
      </c>
      <c r="E299" s="108" t="s">
        <v>51</v>
      </c>
      <c r="F299" s="108" t="s">
        <v>264</v>
      </c>
      <c r="G299" s="108" t="s">
        <v>31</v>
      </c>
      <c r="H299" s="126"/>
      <c r="I299" s="178" t="str">
        <f t="shared" si="37"/>
        <v>602011311 Б 01 20030244</v>
      </c>
      <c r="L299" s="20"/>
      <c r="M299" s="20"/>
      <c r="N299" s="20"/>
      <c r="O299" s="20"/>
      <c r="P299" s="20"/>
      <c r="Q299" s="20"/>
      <c r="R299" s="17" t="str">
        <f t="shared" si="41"/>
        <v>11 Б 01 20030244</v>
      </c>
    </row>
    <row r="300" spans="1:18" s="29" customFormat="1" ht="15.75">
      <c r="A300" s="28"/>
      <c r="B300" s="125" t="s">
        <v>32</v>
      </c>
      <c r="C300" s="109" t="s">
        <v>256</v>
      </c>
      <c r="D300" s="108" t="s">
        <v>11</v>
      </c>
      <c r="E300" s="108" t="s">
        <v>51</v>
      </c>
      <c r="F300" s="108" t="s">
        <v>264</v>
      </c>
      <c r="G300" s="108" t="s">
        <v>33</v>
      </c>
      <c r="H300" s="126">
        <f>H301</f>
        <v>0</v>
      </c>
      <c r="I300" s="178" t="str">
        <f t="shared" si="37"/>
        <v>602011311 Б 01 20030850</v>
      </c>
      <c r="L300" s="20">
        <v>11</v>
      </c>
      <c r="M300" s="20">
        <v>11</v>
      </c>
      <c r="N300" s="20">
        <v>11</v>
      </c>
      <c r="O300" s="20">
        <f>H300-L300</f>
        <v>-11</v>
      </c>
      <c r="P300" s="20" t="e">
        <f>#REF!-M300</f>
        <v>#REF!</v>
      </c>
      <c r="Q300" s="20" t="e">
        <f>#REF!-N300</f>
        <v>#REF!</v>
      </c>
      <c r="R300" s="17" t="str">
        <f t="shared" si="41"/>
        <v>11 Б 01 20030850</v>
      </c>
    </row>
    <row r="301" spans="1:18" s="31" customFormat="1" ht="15.75">
      <c r="A301" s="30"/>
      <c r="B301" s="127" t="s">
        <v>36</v>
      </c>
      <c r="C301" s="109" t="s">
        <v>256</v>
      </c>
      <c r="D301" s="108" t="s">
        <v>11</v>
      </c>
      <c r="E301" s="108" t="s">
        <v>51</v>
      </c>
      <c r="F301" s="108" t="s">
        <v>264</v>
      </c>
      <c r="G301" s="108" t="s">
        <v>37</v>
      </c>
      <c r="H301" s="126"/>
      <c r="I301" s="178" t="str">
        <f t="shared" si="37"/>
        <v>602011311 Б 01 20030852</v>
      </c>
      <c r="L301" s="22"/>
      <c r="M301" s="22"/>
      <c r="N301" s="22"/>
      <c r="O301" s="22"/>
      <c r="P301" s="22"/>
      <c r="Q301" s="22"/>
      <c r="R301" s="24"/>
    </row>
    <row r="302" spans="1:18" s="29" customFormat="1" ht="31.5">
      <c r="A302" s="28"/>
      <c r="B302" s="125" t="s">
        <v>265</v>
      </c>
      <c r="C302" s="109" t="s">
        <v>256</v>
      </c>
      <c r="D302" s="108" t="s">
        <v>11</v>
      </c>
      <c r="E302" s="108" t="s">
        <v>51</v>
      </c>
      <c r="F302" s="108" t="s">
        <v>266</v>
      </c>
      <c r="G302" s="108" t="s">
        <v>9</v>
      </c>
      <c r="H302" s="126">
        <f>H303</f>
        <v>0</v>
      </c>
      <c r="I302" s="178" t="str">
        <f t="shared" si="37"/>
        <v>602011311 Б 01 20070000</v>
      </c>
      <c r="L302" s="20">
        <v>1703.92</v>
      </c>
      <c r="M302" s="20">
        <v>1703.92</v>
      </c>
      <c r="N302" s="20">
        <v>1703.92</v>
      </c>
      <c r="O302" s="20">
        <f>H302-L302</f>
        <v>-1703.92</v>
      </c>
      <c r="P302" s="20" t="e">
        <f>#REF!-M302</f>
        <v>#REF!</v>
      </c>
      <c r="Q302" s="20" t="e">
        <f>#REF!-N302</f>
        <v>#REF!</v>
      </c>
      <c r="R302" s="17" t="str">
        <f t="shared" si="41"/>
        <v>11 Б 01 20070000</v>
      </c>
    </row>
    <row r="303" spans="1:18" s="29" customFormat="1" ht="31.5">
      <c r="A303" s="28"/>
      <c r="B303" s="125" t="s">
        <v>28</v>
      </c>
      <c r="C303" s="109" t="s">
        <v>256</v>
      </c>
      <c r="D303" s="108" t="s">
        <v>11</v>
      </c>
      <c r="E303" s="108" t="s">
        <v>51</v>
      </c>
      <c r="F303" s="108" t="s">
        <v>266</v>
      </c>
      <c r="G303" s="108" t="s">
        <v>29</v>
      </c>
      <c r="H303" s="126">
        <f>H304</f>
        <v>0</v>
      </c>
      <c r="I303" s="178" t="str">
        <f t="shared" si="37"/>
        <v>602011311 Б 01 20070240</v>
      </c>
      <c r="L303" s="20">
        <v>1703.92</v>
      </c>
      <c r="M303" s="20">
        <v>1703.92</v>
      </c>
      <c r="N303" s="20">
        <v>1703.92</v>
      </c>
      <c r="O303" s="20">
        <f>H303-L303</f>
        <v>-1703.92</v>
      </c>
      <c r="P303" s="20" t="e">
        <f>#REF!-M303</f>
        <v>#REF!</v>
      </c>
      <c r="Q303" s="20" t="e">
        <f>#REF!-N303</f>
        <v>#REF!</v>
      </c>
      <c r="R303" s="17" t="str">
        <f t="shared" si="41"/>
        <v>11 Б 01 20070240</v>
      </c>
    </row>
    <row r="304" spans="1:18" s="29" customFormat="1" ht="15.75">
      <c r="A304" s="28"/>
      <c r="B304" s="125" t="s">
        <v>30</v>
      </c>
      <c r="C304" s="109" t="s">
        <v>256</v>
      </c>
      <c r="D304" s="108" t="s">
        <v>11</v>
      </c>
      <c r="E304" s="108" t="s">
        <v>51</v>
      </c>
      <c r="F304" s="108" t="s">
        <v>266</v>
      </c>
      <c r="G304" s="108" t="s">
        <v>31</v>
      </c>
      <c r="H304" s="126"/>
      <c r="I304" s="178" t="str">
        <f t="shared" si="37"/>
        <v>602011311 Б 01 20070244</v>
      </c>
      <c r="L304" s="20"/>
      <c r="M304" s="20"/>
      <c r="N304" s="20"/>
      <c r="O304" s="20"/>
      <c r="P304" s="20"/>
      <c r="Q304" s="20"/>
      <c r="R304" s="17"/>
    </row>
    <row r="305" spans="1:18" s="29" customFormat="1" ht="31.5">
      <c r="A305" s="28"/>
      <c r="B305" s="125" t="s">
        <v>267</v>
      </c>
      <c r="C305" s="109" t="s">
        <v>256</v>
      </c>
      <c r="D305" s="108" t="s">
        <v>11</v>
      </c>
      <c r="E305" s="108" t="s">
        <v>51</v>
      </c>
      <c r="F305" s="108" t="s">
        <v>268</v>
      </c>
      <c r="G305" s="108" t="s">
        <v>9</v>
      </c>
      <c r="H305" s="126">
        <f>H306</f>
        <v>0</v>
      </c>
      <c r="I305" s="178" t="str">
        <f t="shared" si="37"/>
        <v>602011311 Б 01 21120000</v>
      </c>
      <c r="L305" s="20">
        <v>1806</v>
      </c>
      <c r="M305" s="20">
        <v>1806</v>
      </c>
      <c r="N305" s="20">
        <v>1806</v>
      </c>
      <c r="O305" s="20">
        <f>H305-L305</f>
        <v>-1806</v>
      </c>
      <c r="P305" s="20" t="e">
        <f>#REF!-M305</f>
        <v>#REF!</v>
      </c>
      <c r="Q305" s="20" t="e">
        <f>#REF!-N305</f>
        <v>#REF!</v>
      </c>
      <c r="R305" s="17" t="str">
        <f t="shared" si="41"/>
        <v>11 Б 01 21120000</v>
      </c>
    </row>
    <row r="306" spans="1:18" s="29" customFormat="1" ht="31.5">
      <c r="A306" s="28"/>
      <c r="B306" s="125" t="s">
        <v>28</v>
      </c>
      <c r="C306" s="109" t="s">
        <v>256</v>
      </c>
      <c r="D306" s="108" t="s">
        <v>11</v>
      </c>
      <c r="E306" s="108" t="s">
        <v>51</v>
      </c>
      <c r="F306" s="108" t="s">
        <v>268</v>
      </c>
      <c r="G306" s="108" t="s">
        <v>29</v>
      </c>
      <c r="H306" s="126">
        <f>H307</f>
        <v>0</v>
      </c>
      <c r="I306" s="178" t="str">
        <f t="shared" si="37"/>
        <v>602011311 Б 01 21120240</v>
      </c>
      <c r="L306" s="20">
        <v>1806</v>
      </c>
      <c r="M306" s="20">
        <v>1806</v>
      </c>
      <c r="N306" s="20">
        <v>1806</v>
      </c>
      <c r="O306" s="20">
        <f>H306-L306</f>
        <v>-1806</v>
      </c>
      <c r="P306" s="20" t="e">
        <f>#REF!-M306</f>
        <v>#REF!</v>
      </c>
      <c r="Q306" s="20" t="e">
        <f>#REF!-N306</f>
        <v>#REF!</v>
      </c>
      <c r="R306" s="17" t="str">
        <f t="shared" si="41"/>
        <v>11 Б 01 21120240</v>
      </c>
    </row>
    <row r="307" spans="1:18" s="29" customFormat="1" ht="15.75">
      <c r="A307" s="28"/>
      <c r="B307" s="125" t="s">
        <v>30</v>
      </c>
      <c r="C307" s="109" t="s">
        <v>256</v>
      </c>
      <c r="D307" s="108" t="s">
        <v>11</v>
      </c>
      <c r="E307" s="108" t="s">
        <v>51</v>
      </c>
      <c r="F307" s="108" t="s">
        <v>268</v>
      </c>
      <c r="G307" s="108" t="s">
        <v>31</v>
      </c>
      <c r="H307" s="126"/>
      <c r="I307" s="178" t="str">
        <f t="shared" si="37"/>
        <v>602011311 Б 01 21120244</v>
      </c>
      <c r="L307" s="20"/>
      <c r="M307" s="20"/>
      <c r="N307" s="20"/>
      <c r="O307" s="20"/>
      <c r="P307" s="20"/>
      <c r="Q307" s="20"/>
      <c r="R307" s="17" t="str">
        <f t="shared" si="41"/>
        <v>11 Б 01 21120244</v>
      </c>
    </row>
    <row r="308" spans="1:18" s="29" customFormat="1" ht="78.75">
      <c r="A308" s="28"/>
      <c r="B308" s="138" t="s">
        <v>269</v>
      </c>
      <c r="C308" s="109" t="s">
        <v>256</v>
      </c>
      <c r="D308" s="108" t="s">
        <v>11</v>
      </c>
      <c r="E308" s="108" t="s">
        <v>51</v>
      </c>
      <c r="F308" s="108" t="s">
        <v>270</v>
      </c>
      <c r="G308" s="108" t="s">
        <v>9</v>
      </c>
      <c r="H308" s="126">
        <f t="shared" ref="H308:H309" si="42">H309</f>
        <v>0</v>
      </c>
      <c r="I308" s="178" t="str">
        <f t="shared" si="37"/>
        <v>602011311 Б 03 00000000</v>
      </c>
      <c r="L308" s="20">
        <v>572.04</v>
      </c>
      <c r="M308" s="20">
        <v>572.04</v>
      </c>
      <c r="N308" s="20">
        <v>572.04</v>
      </c>
      <c r="O308" s="20">
        <f>H308-L308</f>
        <v>-572.04</v>
      </c>
      <c r="P308" s="20" t="e">
        <f>#REF!-M308</f>
        <v>#REF!</v>
      </c>
      <c r="Q308" s="20" t="e">
        <f>#REF!-N308</f>
        <v>#REF!</v>
      </c>
      <c r="R308" s="17" t="str">
        <f t="shared" si="41"/>
        <v>11 Б 03 00000000</v>
      </c>
    </row>
    <row r="309" spans="1:18" s="29" customFormat="1" ht="78.75">
      <c r="A309" s="28"/>
      <c r="B309" s="125" t="s">
        <v>271</v>
      </c>
      <c r="C309" s="109" t="s">
        <v>256</v>
      </c>
      <c r="D309" s="108" t="s">
        <v>11</v>
      </c>
      <c r="E309" s="108" t="s">
        <v>51</v>
      </c>
      <c r="F309" s="108" t="s">
        <v>272</v>
      </c>
      <c r="G309" s="108" t="s">
        <v>9</v>
      </c>
      <c r="H309" s="126">
        <f t="shared" si="42"/>
        <v>0</v>
      </c>
      <c r="I309" s="178" t="str">
        <f t="shared" si="37"/>
        <v>602011311 Б 03 20340000</v>
      </c>
      <c r="L309" s="20">
        <v>572.04</v>
      </c>
      <c r="M309" s="20">
        <v>572.04</v>
      </c>
      <c r="N309" s="20">
        <v>572.04</v>
      </c>
      <c r="O309" s="20">
        <f>H309-L309</f>
        <v>-572.04</v>
      </c>
      <c r="P309" s="20" t="e">
        <f>#REF!-M309</f>
        <v>#REF!</v>
      </c>
      <c r="Q309" s="20" t="e">
        <f>#REF!-N309</f>
        <v>#REF!</v>
      </c>
      <c r="R309" s="17" t="str">
        <f t="shared" si="41"/>
        <v>11 Б 03 20340000</v>
      </c>
    </row>
    <row r="310" spans="1:18" s="29" customFormat="1" ht="31.5">
      <c r="A310" s="28"/>
      <c r="B310" s="125" t="s">
        <v>28</v>
      </c>
      <c r="C310" s="109" t="s">
        <v>256</v>
      </c>
      <c r="D310" s="108" t="s">
        <v>11</v>
      </c>
      <c r="E310" s="108" t="s">
        <v>51</v>
      </c>
      <c r="F310" s="108" t="s">
        <v>272</v>
      </c>
      <c r="G310" s="108" t="s">
        <v>29</v>
      </c>
      <c r="H310" s="126">
        <f>H311</f>
        <v>0</v>
      </c>
      <c r="I310" s="178" t="str">
        <f t="shared" si="37"/>
        <v>602011311 Б 03 20340240</v>
      </c>
      <c r="L310" s="20">
        <v>572.04</v>
      </c>
      <c r="M310" s="20">
        <v>572.04</v>
      </c>
      <c r="N310" s="20">
        <v>572.04</v>
      </c>
      <c r="O310" s="20">
        <f>H310-L310</f>
        <v>-572.04</v>
      </c>
      <c r="P310" s="20" t="e">
        <f>#REF!-M310</f>
        <v>#REF!</v>
      </c>
      <c r="Q310" s="20" t="e">
        <f>#REF!-N310</f>
        <v>#REF!</v>
      </c>
      <c r="R310" s="17" t="str">
        <f t="shared" si="41"/>
        <v>11 Б 03 20340240</v>
      </c>
    </row>
    <row r="311" spans="1:18" s="29" customFormat="1" ht="15.75">
      <c r="A311" s="28"/>
      <c r="B311" s="125" t="s">
        <v>30</v>
      </c>
      <c r="C311" s="109" t="s">
        <v>256</v>
      </c>
      <c r="D311" s="108" t="s">
        <v>11</v>
      </c>
      <c r="E311" s="108" t="s">
        <v>51</v>
      </c>
      <c r="F311" s="108" t="s">
        <v>272</v>
      </c>
      <c r="G311" s="108" t="s">
        <v>31</v>
      </c>
      <c r="H311" s="126"/>
      <c r="I311" s="178" t="str">
        <f t="shared" si="37"/>
        <v>602011311 Б 03 20340244</v>
      </c>
      <c r="L311" s="20"/>
      <c r="M311" s="20"/>
      <c r="N311" s="20"/>
      <c r="O311" s="20"/>
      <c r="P311" s="20"/>
      <c r="Q311" s="20"/>
      <c r="R311" s="17" t="str">
        <f t="shared" si="41"/>
        <v>11 Б 03 20340244</v>
      </c>
    </row>
    <row r="312" spans="1:18" s="16" customFormat="1" ht="47.25">
      <c r="A312" s="14"/>
      <c r="B312" s="127" t="s">
        <v>146</v>
      </c>
      <c r="C312" s="109" t="s">
        <v>256</v>
      </c>
      <c r="D312" s="130" t="s">
        <v>11</v>
      </c>
      <c r="E312" s="130">
        <v>13</v>
      </c>
      <c r="F312" s="130" t="s">
        <v>147</v>
      </c>
      <c r="G312" s="130" t="s">
        <v>9</v>
      </c>
      <c r="H312" s="134">
        <f>H313</f>
        <v>0</v>
      </c>
      <c r="I312" s="178" t="str">
        <f t="shared" si="37"/>
        <v>602011315 0 00 00000000</v>
      </c>
      <c r="L312" s="27">
        <v>3000</v>
      </c>
      <c r="M312" s="27">
        <v>0</v>
      </c>
      <c r="N312" s="27">
        <v>0</v>
      </c>
      <c r="O312" s="27">
        <f>H312-L312</f>
        <v>-3000</v>
      </c>
      <c r="P312" s="27" t="e">
        <f>#REF!-M312</f>
        <v>#REF!</v>
      </c>
      <c r="Q312" s="27" t="e">
        <f>#REF!-N312</f>
        <v>#REF!</v>
      </c>
      <c r="R312" s="17" t="str">
        <f t="shared" si="41"/>
        <v>15 0 00 00000000</v>
      </c>
    </row>
    <row r="313" spans="1:18" s="16" customFormat="1" ht="47.25">
      <c r="A313" s="14"/>
      <c r="B313" s="125" t="s">
        <v>1065</v>
      </c>
      <c r="C313" s="109" t="s">
        <v>256</v>
      </c>
      <c r="D313" s="130" t="s">
        <v>11</v>
      </c>
      <c r="E313" s="130">
        <v>13</v>
      </c>
      <c r="F313" s="130" t="s">
        <v>149</v>
      </c>
      <c r="G313" s="130" t="s">
        <v>9</v>
      </c>
      <c r="H313" s="134">
        <f>H314</f>
        <v>0</v>
      </c>
      <c r="I313" s="178" t="str">
        <f t="shared" si="37"/>
        <v>602011315 1 00 00000000</v>
      </c>
      <c r="L313" s="27">
        <v>3000</v>
      </c>
      <c r="M313" s="27">
        <v>0</v>
      </c>
      <c r="N313" s="27">
        <v>0</v>
      </c>
      <c r="O313" s="27">
        <f>H313-L313</f>
        <v>-3000</v>
      </c>
      <c r="P313" s="27" t="e">
        <f>#REF!-M313</f>
        <v>#REF!</v>
      </c>
      <c r="Q313" s="27" t="e">
        <f>#REF!-N313</f>
        <v>#REF!</v>
      </c>
      <c r="R313" s="17" t="str">
        <f t="shared" si="41"/>
        <v>15 1 00 00000000</v>
      </c>
    </row>
    <row r="314" spans="1:18" s="16" customFormat="1" ht="63">
      <c r="A314" s="14"/>
      <c r="B314" s="132" t="s">
        <v>1068</v>
      </c>
      <c r="C314" s="109" t="s">
        <v>256</v>
      </c>
      <c r="D314" s="130" t="s">
        <v>11</v>
      </c>
      <c r="E314" s="130">
        <v>13</v>
      </c>
      <c r="F314" s="130" t="s">
        <v>1069</v>
      </c>
      <c r="G314" s="130" t="s">
        <v>9</v>
      </c>
      <c r="H314" s="134">
        <f>H315+H318</f>
        <v>0</v>
      </c>
      <c r="I314" s="178" t="str">
        <f t="shared" si="37"/>
        <v>602011315 1 04 00000000</v>
      </c>
      <c r="L314" s="27">
        <v>3000</v>
      </c>
      <c r="M314" s="27">
        <v>0</v>
      </c>
      <c r="N314" s="27">
        <v>0</v>
      </c>
      <c r="O314" s="27">
        <f>H314-L314</f>
        <v>-3000</v>
      </c>
      <c r="P314" s="27" t="e">
        <f>#REF!-M314</f>
        <v>#REF!</v>
      </c>
      <c r="Q314" s="27" t="e">
        <f>#REF!-N314</f>
        <v>#REF!</v>
      </c>
      <c r="R314" s="17" t="str">
        <f t="shared" si="41"/>
        <v>15 1 04 00000000</v>
      </c>
    </row>
    <row r="315" spans="1:18" s="16" customFormat="1" ht="47.25">
      <c r="A315" s="14"/>
      <c r="B315" s="135" t="s">
        <v>152</v>
      </c>
      <c r="C315" s="109" t="s">
        <v>256</v>
      </c>
      <c r="D315" s="130" t="s">
        <v>11</v>
      </c>
      <c r="E315" s="130">
        <v>13</v>
      </c>
      <c r="F315" s="130" t="s">
        <v>1070</v>
      </c>
      <c r="G315" s="130" t="s">
        <v>9</v>
      </c>
      <c r="H315" s="134">
        <f t="shared" ref="H315" si="43">H316</f>
        <v>0</v>
      </c>
      <c r="I315" s="178" t="str">
        <f t="shared" si="37"/>
        <v>602011315 1 04 20350000</v>
      </c>
      <c r="L315" s="27">
        <v>3000</v>
      </c>
      <c r="M315" s="27">
        <v>0</v>
      </c>
      <c r="N315" s="27">
        <v>0</v>
      </c>
      <c r="O315" s="27">
        <f>H315-L315</f>
        <v>-3000</v>
      </c>
      <c r="P315" s="27" t="e">
        <f>#REF!-M315</f>
        <v>#REF!</v>
      </c>
      <c r="Q315" s="27" t="e">
        <f>#REF!-N315</f>
        <v>#REF!</v>
      </c>
      <c r="R315" s="17" t="str">
        <f t="shared" si="41"/>
        <v>15 1 04 20350000</v>
      </c>
    </row>
    <row r="316" spans="1:18" s="16" customFormat="1" ht="31.5">
      <c r="A316" s="14"/>
      <c r="B316" s="135" t="s">
        <v>28</v>
      </c>
      <c r="C316" s="109" t="s">
        <v>256</v>
      </c>
      <c r="D316" s="130" t="s">
        <v>11</v>
      </c>
      <c r="E316" s="130">
        <v>13</v>
      </c>
      <c r="F316" s="130" t="s">
        <v>1070</v>
      </c>
      <c r="G316" s="130" t="s">
        <v>29</v>
      </c>
      <c r="H316" s="126">
        <f>H317</f>
        <v>0</v>
      </c>
      <c r="I316" s="178" t="str">
        <f t="shared" si="37"/>
        <v>602011315 1 04 20350240</v>
      </c>
      <c r="L316" s="20">
        <v>3000</v>
      </c>
      <c r="M316" s="20">
        <v>0</v>
      </c>
      <c r="N316" s="20">
        <v>0</v>
      </c>
      <c r="O316" s="20">
        <f>H316-L316</f>
        <v>-3000</v>
      </c>
      <c r="P316" s="20" t="e">
        <f>#REF!-M316</f>
        <v>#REF!</v>
      </c>
      <c r="Q316" s="20" t="e">
        <f>#REF!-N316</f>
        <v>#REF!</v>
      </c>
      <c r="R316" s="17" t="str">
        <f t="shared" si="41"/>
        <v>15 1 04 20350240</v>
      </c>
    </row>
    <row r="317" spans="1:18" s="16" customFormat="1" ht="15.75">
      <c r="A317" s="14"/>
      <c r="B317" s="125" t="s">
        <v>30</v>
      </c>
      <c r="C317" s="109" t="s">
        <v>256</v>
      </c>
      <c r="D317" s="130" t="s">
        <v>11</v>
      </c>
      <c r="E317" s="130">
        <v>13</v>
      </c>
      <c r="F317" s="130" t="s">
        <v>1070</v>
      </c>
      <c r="G317" s="130" t="s">
        <v>31</v>
      </c>
      <c r="H317" s="126"/>
      <c r="I317" s="178" t="str">
        <f t="shared" si="37"/>
        <v>602011315 1 04 20350244</v>
      </c>
      <c r="L317" s="20"/>
      <c r="M317" s="20"/>
      <c r="N317" s="20"/>
      <c r="O317" s="20"/>
      <c r="P317" s="20"/>
      <c r="Q317" s="20"/>
      <c r="R317" s="17" t="str">
        <f t="shared" si="41"/>
        <v>15 1 04 20350244</v>
      </c>
    </row>
    <row r="318" spans="1:18" s="16" customFormat="1" ht="63">
      <c r="A318" s="14"/>
      <c r="B318" s="135" t="s">
        <v>1039</v>
      </c>
      <c r="C318" s="109" t="s">
        <v>256</v>
      </c>
      <c r="D318" s="130" t="s">
        <v>11</v>
      </c>
      <c r="E318" s="130">
        <v>13</v>
      </c>
      <c r="F318" s="130" t="s">
        <v>1086</v>
      </c>
      <c r="G318" s="130" t="s">
        <v>9</v>
      </c>
      <c r="H318" s="126">
        <f>H319</f>
        <v>0</v>
      </c>
      <c r="I318" s="178" t="str">
        <f t="shared" si="37"/>
        <v>602011315 1 04 S7310000</v>
      </c>
      <c r="L318" s="20"/>
      <c r="M318" s="20"/>
      <c r="N318" s="20"/>
      <c r="O318" s="20"/>
      <c r="P318" s="20"/>
      <c r="Q318" s="20"/>
      <c r="R318" s="17"/>
    </row>
    <row r="319" spans="1:18" s="16" customFormat="1" ht="31.5">
      <c r="A319" s="14"/>
      <c r="B319" s="135" t="s">
        <v>28</v>
      </c>
      <c r="C319" s="109" t="s">
        <v>256</v>
      </c>
      <c r="D319" s="130" t="s">
        <v>11</v>
      </c>
      <c r="E319" s="130">
        <v>13</v>
      </c>
      <c r="F319" s="130" t="s">
        <v>1086</v>
      </c>
      <c r="G319" s="130" t="s">
        <v>29</v>
      </c>
      <c r="H319" s="126">
        <f>H320</f>
        <v>0</v>
      </c>
      <c r="I319" s="178" t="str">
        <f t="shared" si="37"/>
        <v>602011315 1 04 S7310240</v>
      </c>
      <c r="L319" s="20"/>
      <c r="M319" s="20"/>
      <c r="N319" s="20"/>
      <c r="O319" s="20"/>
      <c r="P319" s="20"/>
      <c r="Q319" s="20"/>
      <c r="R319" s="17"/>
    </row>
    <row r="320" spans="1:18" s="16" customFormat="1" ht="15.75">
      <c r="A320" s="14"/>
      <c r="B320" s="135" t="s">
        <v>30</v>
      </c>
      <c r="C320" s="109" t="s">
        <v>256</v>
      </c>
      <c r="D320" s="130" t="s">
        <v>11</v>
      </c>
      <c r="E320" s="130">
        <v>13</v>
      </c>
      <c r="F320" s="130" t="s">
        <v>1086</v>
      </c>
      <c r="G320" s="108" t="s">
        <v>31</v>
      </c>
      <c r="H320" s="126"/>
      <c r="I320" s="178" t="str">
        <f t="shared" si="37"/>
        <v>602011315 1 04 S7310244</v>
      </c>
      <c r="L320" s="20"/>
      <c r="M320" s="20"/>
      <c r="N320" s="20"/>
      <c r="O320" s="20"/>
      <c r="P320" s="20"/>
      <c r="Q320" s="20"/>
      <c r="R320" s="17"/>
    </row>
    <row r="321" spans="1:18" s="29" customFormat="1" ht="31.5">
      <c r="A321" s="28"/>
      <c r="B321" s="125" t="s">
        <v>276</v>
      </c>
      <c r="C321" s="109" t="s">
        <v>256</v>
      </c>
      <c r="D321" s="108" t="s">
        <v>11</v>
      </c>
      <c r="E321" s="108" t="s">
        <v>51</v>
      </c>
      <c r="F321" s="108" t="s">
        <v>277</v>
      </c>
      <c r="G321" s="108" t="s">
        <v>9</v>
      </c>
      <c r="H321" s="126">
        <f>H322+H337</f>
        <v>0</v>
      </c>
      <c r="I321" s="178" t="str">
        <f t="shared" si="37"/>
        <v>602011372 0 00 00000000</v>
      </c>
      <c r="L321" s="20">
        <v>70614.459999999992</v>
      </c>
      <c r="M321" s="20">
        <v>69509.459999999992</v>
      </c>
      <c r="N321" s="20">
        <v>69509.459999999992</v>
      </c>
      <c r="O321" s="20">
        <f>H321-L321</f>
        <v>-70614.459999999992</v>
      </c>
      <c r="P321" s="20" t="e">
        <f>#REF!-M321</f>
        <v>#REF!</v>
      </c>
      <c r="Q321" s="20" t="e">
        <f>#REF!-N321</f>
        <v>#REF!</v>
      </c>
      <c r="R321" s="17" t="str">
        <f t="shared" si="41"/>
        <v>72 0 00 00000000</v>
      </c>
    </row>
    <row r="322" spans="1:18" s="29" customFormat="1" ht="47.25">
      <c r="A322" s="28"/>
      <c r="B322" s="125" t="s">
        <v>278</v>
      </c>
      <c r="C322" s="109" t="s">
        <v>256</v>
      </c>
      <c r="D322" s="108" t="s">
        <v>11</v>
      </c>
      <c r="E322" s="108" t="s">
        <v>51</v>
      </c>
      <c r="F322" s="108" t="s">
        <v>279</v>
      </c>
      <c r="G322" s="108" t="s">
        <v>9</v>
      </c>
      <c r="H322" s="126">
        <f>H333+H323</f>
        <v>0</v>
      </c>
      <c r="I322" s="178" t="str">
        <f t="shared" si="37"/>
        <v>602011372 1 00 00000000</v>
      </c>
      <c r="L322" s="20">
        <v>70614.459999999992</v>
      </c>
      <c r="M322" s="20">
        <v>69509.459999999992</v>
      </c>
      <c r="N322" s="20">
        <v>69509.459999999992</v>
      </c>
      <c r="O322" s="20">
        <f>H322-L322</f>
        <v>-70614.459999999992</v>
      </c>
      <c r="P322" s="20" t="e">
        <f>#REF!-M322</f>
        <v>#REF!</v>
      </c>
      <c r="Q322" s="20" t="e">
        <f>#REF!-N322</f>
        <v>#REF!</v>
      </c>
      <c r="R322" s="17" t="str">
        <f t="shared" si="41"/>
        <v>72 1 00 00000000</v>
      </c>
    </row>
    <row r="323" spans="1:18" s="29" customFormat="1" ht="31.5">
      <c r="A323" s="28"/>
      <c r="B323" s="125" t="s">
        <v>18</v>
      </c>
      <c r="C323" s="109" t="s">
        <v>256</v>
      </c>
      <c r="D323" s="108" t="s">
        <v>11</v>
      </c>
      <c r="E323" s="108" t="s">
        <v>51</v>
      </c>
      <c r="F323" s="108" t="s">
        <v>280</v>
      </c>
      <c r="G323" s="108" t="s">
        <v>9</v>
      </c>
      <c r="H323" s="126">
        <f>H324+H327+H329</f>
        <v>0</v>
      </c>
      <c r="I323" s="178" t="str">
        <f t="shared" si="37"/>
        <v>602011372 1 00 10010000</v>
      </c>
      <c r="L323" s="20">
        <v>11702.940000000002</v>
      </c>
      <c r="M323" s="20">
        <v>10597.939999999999</v>
      </c>
      <c r="N323" s="20">
        <v>10597.939999999999</v>
      </c>
      <c r="O323" s="20">
        <f>H323-L323</f>
        <v>-11702.940000000002</v>
      </c>
      <c r="P323" s="20" t="e">
        <f>#REF!-M323</f>
        <v>#REF!</v>
      </c>
      <c r="Q323" s="20" t="e">
        <f>#REF!-N323</f>
        <v>#REF!</v>
      </c>
      <c r="R323" s="17" t="str">
        <f t="shared" si="41"/>
        <v>72 1 00 10010000</v>
      </c>
    </row>
    <row r="324" spans="1:18" s="29" customFormat="1" ht="31.5">
      <c r="A324" s="28"/>
      <c r="B324" s="127" t="s">
        <v>20</v>
      </c>
      <c r="C324" s="109" t="s">
        <v>256</v>
      </c>
      <c r="D324" s="108" t="s">
        <v>11</v>
      </c>
      <c r="E324" s="108" t="s">
        <v>51</v>
      </c>
      <c r="F324" s="108" t="s">
        <v>280</v>
      </c>
      <c r="G324" s="108" t="s">
        <v>21</v>
      </c>
      <c r="H324" s="126">
        <f>SUM(H325:H326)</f>
        <v>0</v>
      </c>
      <c r="I324" s="178" t="str">
        <f t="shared" si="37"/>
        <v>602011372 1 00 10010120</v>
      </c>
      <c r="L324" s="20">
        <v>1571.79</v>
      </c>
      <c r="M324" s="20">
        <v>1571.79</v>
      </c>
      <c r="N324" s="20">
        <v>1571.79</v>
      </c>
      <c r="O324" s="20">
        <f>H324-L324</f>
        <v>-1571.79</v>
      </c>
      <c r="P324" s="20" t="e">
        <f>#REF!-M324</f>
        <v>#REF!</v>
      </c>
      <c r="Q324" s="20" t="e">
        <f>#REF!-N324</f>
        <v>#REF!</v>
      </c>
      <c r="R324" s="17" t="str">
        <f t="shared" si="41"/>
        <v>72 1 00 10010120</v>
      </c>
    </row>
    <row r="325" spans="1:18" s="31" customFormat="1" ht="47.25">
      <c r="A325" s="30"/>
      <c r="B325" s="127" t="s">
        <v>22</v>
      </c>
      <c r="C325" s="109" t="s">
        <v>256</v>
      </c>
      <c r="D325" s="108" t="s">
        <v>11</v>
      </c>
      <c r="E325" s="108" t="s">
        <v>51</v>
      </c>
      <c r="F325" s="108" t="s">
        <v>280</v>
      </c>
      <c r="G325" s="108" t="s">
        <v>23</v>
      </c>
      <c r="H325" s="126"/>
      <c r="I325" s="178" t="str">
        <f t="shared" si="37"/>
        <v>602011372 1 00 10010122</v>
      </c>
      <c r="L325" s="22"/>
      <c r="M325" s="22"/>
      <c r="N325" s="22"/>
      <c r="O325" s="22"/>
      <c r="P325" s="22"/>
      <c r="Q325" s="22"/>
      <c r="R325" s="24"/>
    </row>
    <row r="326" spans="1:18" s="31" customFormat="1" ht="63">
      <c r="A326" s="30"/>
      <c r="B326" s="127" t="s">
        <v>26</v>
      </c>
      <c r="C326" s="109" t="s">
        <v>256</v>
      </c>
      <c r="D326" s="108" t="s">
        <v>11</v>
      </c>
      <c r="E326" s="108" t="s">
        <v>51</v>
      </c>
      <c r="F326" s="108" t="s">
        <v>280</v>
      </c>
      <c r="G326" s="108" t="s">
        <v>27</v>
      </c>
      <c r="H326" s="126"/>
      <c r="I326" s="178" t="str">
        <f t="shared" si="37"/>
        <v>602011372 1 00 10010129</v>
      </c>
      <c r="L326" s="22"/>
      <c r="M326" s="22"/>
      <c r="N326" s="22"/>
      <c r="O326" s="22"/>
      <c r="P326" s="22"/>
      <c r="Q326" s="22"/>
      <c r="R326" s="24"/>
    </row>
    <row r="327" spans="1:18" s="29" customFormat="1" ht="31.5">
      <c r="A327" s="28"/>
      <c r="B327" s="125" t="s">
        <v>28</v>
      </c>
      <c r="C327" s="109" t="s">
        <v>256</v>
      </c>
      <c r="D327" s="108" t="s">
        <v>11</v>
      </c>
      <c r="E327" s="108" t="s">
        <v>51</v>
      </c>
      <c r="F327" s="108" t="s">
        <v>280</v>
      </c>
      <c r="G327" s="108" t="s">
        <v>29</v>
      </c>
      <c r="H327" s="126">
        <f>H328</f>
        <v>0</v>
      </c>
      <c r="I327" s="178" t="str">
        <f t="shared" si="37"/>
        <v>602011372 1 00 10010240</v>
      </c>
      <c r="L327" s="20">
        <v>10021.450000000001</v>
      </c>
      <c r="M327" s="20">
        <v>8947.15</v>
      </c>
      <c r="N327" s="20">
        <v>8947.15</v>
      </c>
      <c r="O327" s="20">
        <f>H327-L327</f>
        <v>-10021.450000000001</v>
      </c>
      <c r="P327" s="20" t="e">
        <f>#REF!-M327</f>
        <v>#REF!</v>
      </c>
      <c r="Q327" s="20" t="e">
        <f>#REF!-N327</f>
        <v>#REF!</v>
      </c>
      <c r="R327" s="17" t="str">
        <f t="shared" si="41"/>
        <v>72 1 00 10010240</v>
      </c>
    </row>
    <row r="328" spans="1:18" s="29" customFormat="1" ht="15.75">
      <c r="A328" s="28"/>
      <c r="B328" s="125" t="s">
        <v>30</v>
      </c>
      <c r="C328" s="109" t="s">
        <v>256</v>
      </c>
      <c r="D328" s="108" t="s">
        <v>11</v>
      </c>
      <c r="E328" s="108" t="s">
        <v>51</v>
      </c>
      <c r="F328" s="108" t="s">
        <v>280</v>
      </c>
      <c r="G328" s="108" t="s">
        <v>31</v>
      </c>
      <c r="H328" s="126"/>
      <c r="I328" s="178" t="str">
        <f t="shared" si="37"/>
        <v>602011372 1 00 10010244</v>
      </c>
      <c r="L328" s="20"/>
      <c r="M328" s="20"/>
      <c r="N328" s="20"/>
      <c r="O328" s="20"/>
      <c r="P328" s="20"/>
      <c r="Q328" s="20"/>
      <c r="R328" s="17"/>
    </row>
    <row r="329" spans="1:18" s="29" customFormat="1" ht="15.75">
      <c r="A329" s="28"/>
      <c r="B329" s="125" t="s">
        <v>32</v>
      </c>
      <c r="C329" s="109" t="s">
        <v>256</v>
      </c>
      <c r="D329" s="108" t="s">
        <v>11</v>
      </c>
      <c r="E329" s="108" t="s">
        <v>51</v>
      </c>
      <c r="F329" s="108" t="s">
        <v>280</v>
      </c>
      <c r="G329" s="108" t="s">
        <v>33</v>
      </c>
      <c r="H329" s="126">
        <f>SUM(H330:H332)</f>
        <v>0</v>
      </c>
      <c r="I329" s="178" t="str">
        <f t="shared" si="37"/>
        <v>602011372 1 00 10010850</v>
      </c>
      <c r="L329" s="20">
        <v>109.7</v>
      </c>
      <c r="M329" s="20">
        <v>79</v>
      </c>
      <c r="N329" s="20">
        <v>79</v>
      </c>
      <c r="O329" s="20">
        <f>H329-L329</f>
        <v>-109.7</v>
      </c>
      <c r="P329" s="20" t="e">
        <f>#REF!-M329</f>
        <v>#REF!</v>
      </c>
      <c r="Q329" s="20" t="e">
        <f>#REF!-N329</f>
        <v>#REF!</v>
      </c>
      <c r="R329" s="17" t="str">
        <f t="shared" si="41"/>
        <v>72 1 00 10010850</v>
      </c>
    </row>
    <row r="330" spans="1:18" s="31" customFormat="1" ht="31.5">
      <c r="A330" s="30"/>
      <c r="B330" s="127" t="s">
        <v>34</v>
      </c>
      <c r="C330" s="109" t="s">
        <v>256</v>
      </c>
      <c r="D330" s="108" t="s">
        <v>11</v>
      </c>
      <c r="E330" s="108" t="s">
        <v>51</v>
      </c>
      <c r="F330" s="108" t="s">
        <v>280</v>
      </c>
      <c r="G330" s="108" t="s">
        <v>35</v>
      </c>
      <c r="H330" s="126"/>
      <c r="I330" s="178" t="str">
        <f t="shared" si="37"/>
        <v>602011372 1 00 10010851</v>
      </c>
      <c r="L330" s="22"/>
      <c r="M330" s="22"/>
      <c r="N330" s="22"/>
      <c r="O330" s="22"/>
      <c r="P330" s="22"/>
      <c r="Q330" s="22"/>
      <c r="R330" s="24"/>
    </row>
    <row r="331" spans="1:18" s="31" customFormat="1" ht="15.75">
      <c r="A331" s="30"/>
      <c r="B331" s="127" t="s">
        <v>36</v>
      </c>
      <c r="C331" s="109" t="s">
        <v>256</v>
      </c>
      <c r="D331" s="108" t="s">
        <v>11</v>
      </c>
      <c r="E331" s="108" t="s">
        <v>51</v>
      </c>
      <c r="F331" s="108" t="s">
        <v>280</v>
      </c>
      <c r="G331" s="108" t="s">
        <v>37</v>
      </c>
      <c r="H331" s="126"/>
      <c r="I331" s="178" t="str">
        <f t="shared" si="37"/>
        <v>602011372 1 00 10010852</v>
      </c>
      <c r="L331" s="22"/>
      <c r="M331" s="22"/>
      <c r="N331" s="22"/>
      <c r="O331" s="22"/>
      <c r="P331" s="22"/>
      <c r="Q331" s="22"/>
      <c r="R331" s="24"/>
    </row>
    <row r="332" spans="1:18" s="31" customFormat="1" ht="15.75">
      <c r="A332" s="30"/>
      <c r="B332" s="127" t="s">
        <v>77</v>
      </c>
      <c r="C332" s="109" t="s">
        <v>256</v>
      </c>
      <c r="D332" s="108" t="s">
        <v>11</v>
      </c>
      <c r="E332" s="108" t="s">
        <v>51</v>
      </c>
      <c r="F332" s="108" t="s">
        <v>280</v>
      </c>
      <c r="G332" s="108" t="s">
        <v>78</v>
      </c>
      <c r="H332" s="126"/>
      <c r="I332" s="178" t="str">
        <f t="shared" si="37"/>
        <v>602011372 1 00 10010853</v>
      </c>
      <c r="L332" s="22"/>
      <c r="M332" s="22"/>
      <c r="N332" s="22"/>
      <c r="O332" s="22"/>
      <c r="P332" s="22"/>
      <c r="Q332" s="22"/>
      <c r="R332" s="24"/>
    </row>
    <row r="333" spans="1:18" s="29" customFormat="1" ht="31.5">
      <c r="A333" s="28"/>
      <c r="B333" s="125" t="s">
        <v>38</v>
      </c>
      <c r="C333" s="109" t="s">
        <v>256</v>
      </c>
      <c r="D333" s="108" t="s">
        <v>11</v>
      </c>
      <c r="E333" s="108" t="s">
        <v>51</v>
      </c>
      <c r="F333" s="108" t="s">
        <v>281</v>
      </c>
      <c r="G333" s="108" t="s">
        <v>9</v>
      </c>
      <c r="H333" s="126">
        <f>SUM(H334:H334)</f>
        <v>0</v>
      </c>
      <c r="I333" s="178" t="str">
        <f t="shared" si="37"/>
        <v>602011372 1 00 10020000</v>
      </c>
      <c r="L333" s="20">
        <v>58911.519999999997</v>
      </c>
      <c r="M333" s="20">
        <v>58911.519999999997</v>
      </c>
      <c r="N333" s="20">
        <v>58911.519999999997</v>
      </c>
      <c r="O333" s="20">
        <f>H333-L333</f>
        <v>-58911.519999999997</v>
      </c>
      <c r="P333" s="20" t="e">
        <f>#REF!-M333</f>
        <v>#REF!</v>
      </c>
      <c r="Q333" s="20" t="e">
        <f>#REF!-N333</f>
        <v>#REF!</v>
      </c>
      <c r="R333" s="17" t="str">
        <f t="shared" si="41"/>
        <v>72 1 00 10020000</v>
      </c>
    </row>
    <row r="334" spans="1:18" s="29" customFormat="1" ht="31.5">
      <c r="A334" s="28"/>
      <c r="B334" s="127" t="s">
        <v>20</v>
      </c>
      <c r="C334" s="109" t="s">
        <v>256</v>
      </c>
      <c r="D334" s="108" t="s">
        <v>11</v>
      </c>
      <c r="E334" s="108" t="s">
        <v>51</v>
      </c>
      <c r="F334" s="108" t="s">
        <v>281</v>
      </c>
      <c r="G334" s="108" t="s">
        <v>21</v>
      </c>
      <c r="H334" s="126">
        <f>SUM(H335:H336)</f>
        <v>0</v>
      </c>
      <c r="I334" s="178" t="str">
        <f t="shared" si="37"/>
        <v>602011372 1 00 10020120</v>
      </c>
      <c r="L334" s="20">
        <v>58911.519999999997</v>
      </c>
      <c r="M334" s="20">
        <v>58911.519999999997</v>
      </c>
      <c r="N334" s="20">
        <v>58911.519999999997</v>
      </c>
      <c r="O334" s="20">
        <f>H334-L334</f>
        <v>-58911.519999999997</v>
      </c>
      <c r="P334" s="20" t="e">
        <f>#REF!-M334</f>
        <v>#REF!</v>
      </c>
      <c r="Q334" s="20" t="e">
        <f>#REF!-N334</f>
        <v>#REF!</v>
      </c>
      <c r="R334" s="17" t="str">
        <f t="shared" si="41"/>
        <v>72 1 00 10020120</v>
      </c>
    </row>
    <row r="335" spans="1:18" s="31" customFormat="1" ht="31.5">
      <c r="A335" s="30"/>
      <c r="B335" s="127" t="s">
        <v>40</v>
      </c>
      <c r="C335" s="109" t="s">
        <v>256</v>
      </c>
      <c r="D335" s="108" t="s">
        <v>11</v>
      </c>
      <c r="E335" s="108" t="s">
        <v>51</v>
      </c>
      <c r="F335" s="108" t="s">
        <v>281</v>
      </c>
      <c r="G335" s="108" t="s">
        <v>41</v>
      </c>
      <c r="H335" s="126"/>
      <c r="I335" s="178" t="str">
        <f t="shared" si="37"/>
        <v>602011372 1 00 10020121</v>
      </c>
      <c r="L335" s="22"/>
      <c r="M335" s="22"/>
      <c r="N335" s="22"/>
      <c r="O335" s="22"/>
      <c r="P335" s="22"/>
      <c r="Q335" s="22"/>
      <c r="R335" s="24"/>
    </row>
    <row r="336" spans="1:18" s="31" customFormat="1" ht="63">
      <c r="A336" s="30"/>
      <c r="B336" s="127" t="s">
        <v>26</v>
      </c>
      <c r="C336" s="109" t="s">
        <v>256</v>
      </c>
      <c r="D336" s="108" t="s">
        <v>11</v>
      </c>
      <c r="E336" s="108" t="s">
        <v>51</v>
      </c>
      <c r="F336" s="108" t="s">
        <v>281</v>
      </c>
      <c r="G336" s="108" t="s">
        <v>27</v>
      </c>
      <c r="H336" s="126"/>
      <c r="I336" s="178" t="str">
        <f t="shared" si="37"/>
        <v>602011372 1 00 10020129</v>
      </c>
      <c r="L336" s="22"/>
      <c r="M336" s="22"/>
      <c r="N336" s="22"/>
      <c r="O336" s="22"/>
      <c r="P336" s="22"/>
      <c r="Q336" s="22"/>
      <c r="R336" s="24"/>
    </row>
    <row r="337" spans="1:18" s="31" customFormat="1" ht="15.75">
      <c r="A337" s="30"/>
      <c r="B337" s="125" t="s">
        <v>52</v>
      </c>
      <c r="C337" s="109" t="s">
        <v>256</v>
      </c>
      <c r="D337" s="108" t="s">
        <v>11</v>
      </c>
      <c r="E337" s="108" t="s">
        <v>51</v>
      </c>
      <c r="F337" s="108" t="s">
        <v>1058</v>
      </c>
      <c r="G337" s="108" t="s">
        <v>9</v>
      </c>
      <c r="H337" s="126">
        <f>H338</f>
        <v>0</v>
      </c>
      <c r="I337" s="178" t="str">
        <f t="shared" si="37"/>
        <v>602011372 2 00 00000000</v>
      </c>
      <c r="L337" s="22"/>
      <c r="M337" s="22"/>
      <c r="N337" s="22"/>
      <c r="O337" s="22"/>
      <c r="P337" s="22"/>
      <c r="Q337" s="22"/>
      <c r="R337" s="24"/>
    </row>
    <row r="338" spans="1:18" s="31" customFormat="1" ht="47.25">
      <c r="A338" s="30"/>
      <c r="B338" s="125" t="s">
        <v>1059</v>
      </c>
      <c r="C338" s="109" t="s">
        <v>256</v>
      </c>
      <c r="D338" s="108" t="s">
        <v>11</v>
      </c>
      <c r="E338" s="108" t="s">
        <v>51</v>
      </c>
      <c r="F338" s="108" t="s">
        <v>1060</v>
      </c>
      <c r="G338" s="108" t="s">
        <v>9</v>
      </c>
      <c r="H338" s="126">
        <f>H339</f>
        <v>0</v>
      </c>
      <c r="I338" s="178" t="str">
        <f t="shared" si="37"/>
        <v>602011372 2 00 20970000</v>
      </c>
      <c r="L338" s="22"/>
      <c r="M338" s="22"/>
      <c r="N338" s="22"/>
      <c r="O338" s="22"/>
      <c r="P338" s="22"/>
      <c r="Q338" s="22"/>
      <c r="R338" s="24"/>
    </row>
    <row r="339" spans="1:18" s="31" customFormat="1" ht="15.75">
      <c r="A339" s="30"/>
      <c r="B339" s="125" t="s">
        <v>32</v>
      </c>
      <c r="C339" s="109" t="s">
        <v>256</v>
      </c>
      <c r="D339" s="108" t="s">
        <v>11</v>
      </c>
      <c r="E339" s="108" t="s">
        <v>51</v>
      </c>
      <c r="F339" s="108" t="s">
        <v>1060</v>
      </c>
      <c r="G339" s="108" t="s">
        <v>33</v>
      </c>
      <c r="H339" s="126">
        <f>H340</f>
        <v>0</v>
      </c>
      <c r="I339" s="178" t="str">
        <f t="shared" si="37"/>
        <v>602011372 2 00 20970850</v>
      </c>
      <c r="L339" s="22"/>
      <c r="M339" s="22"/>
      <c r="N339" s="22"/>
      <c r="O339" s="22"/>
      <c r="P339" s="22"/>
      <c r="Q339" s="22"/>
      <c r="R339" s="24"/>
    </row>
    <row r="340" spans="1:18" s="31" customFormat="1" ht="15.75">
      <c r="A340" s="30"/>
      <c r="B340" s="127" t="s">
        <v>36</v>
      </c>
      <c r="C340" s="109" t="s">
        <v>256</v>
      </c>
      <c r="D340" s="108" t="s">
        <v>11</v>
      </c>
      <c r="E340" s="108" t="s">
        <v>51</v>
      </c>
      <c r="F340" s="108" t="s">
        <v>1060</v>
      </c>
      <c r="G340" s="108" t="s">
        <v>37</v>
      </c>
      <c r="H340" s="126"/>
      <c r="I340" s="178" t="str">
        <f t="shared" si="37"/>
        <v>602011372 2 00 20970852</v>
      </c>
      <c r="L340" s="22"/>
      <c r="M340" s="22"/>
      <c r="N340" s="22"/>
      <c r="O340" s="22"/>
      <c r="P340" s="22"/>
      <c r="Q340" s="22"/>
      <c r="R340" s="24"/>
    </row>
    <row r="341" spans="1:18" s="29" customFormat="1" ht="63">
      <c r="A341" s="28"/>
      <c r="B341" s="138" t="s">
        <v>87</v>
      </c>
      <c r="C341" s="109" t="s">
        <v>256</v>
      </c>
      <c r="D341" s="108" t="s">
        <v>11</v>
      </c>
      <c r="E341" s="108" t="s">
        <v>51</v>
      </c>
      <c r="F341" s="108" t="s">
        <v>88</v>
      </c>
      <c r="G341" s="108" t="s">
        <v>9</v>
      </c>
      <c r="H341" s="126">
        <f>H342</f>
        <v>0</v>
      </c>
      <c r="I341" s="178" t="str">
        <f t="shared" ref="I341:I404" si="44">C341&amp;D341&amp;E341&amp;F341&amp;G341</f>
        <v>602011398 0 00 00000000</v>
      </c>
      <c r="L341" s="20">
        <v>268</v>
      </c>
      <c r="M341" s="20">
        <v>0</v>
      </c>
      <c r="N341" s="20">
        <v>0</v>
      </c>
      <c r="O341" s="20">
        <f>H341-L341</f>
        <v>-268</v>
      </c>
      <c r="P341" s="20" t="e">
        <f>#REF!-M341</f>
        <v>#REF!</v>
      </c>
      <c r="Q341" s="20" t="e">
        <f>#REF!-N341</f>
        <v>#REF!</v>
      </c>
      <c r="R341" s="17" t="str">
        <f t="shared" si="41"/>
        <v>98 0 00 00000000</v>
      </c>
    </row>
    <row r="342" spans="1:18" s="29" customFormat="1" ht="15.75">
      <c r="A342" s="28"/>
      <c r="B342" s="138" t="s">
        <v>89</v>
      </c>
      <c r="C342" s="109" t="s">
        <v>256</v>
      </c>
      <c r="D342" s="108" t="s">
        <v>11</v>
      </c>
      <c r="E342" s="108" t="s">
        <v>51</v>
      </c>
      <c r="F342" s="108" t="s">
        <v>90</v>
      </c>
      <c r="G342" s="108" t="s">
        <v>9</v>
      </c>
      <c r="H342" s="126">
        <f>H343</f>
        <v>0</v>
      </c>
      <c r="I342" s="178" t="str">
        <f t="shared" si="44"/>
        <v>602011398 1 00 00000000</v>
      </c>
      <c r="L342" s="20">
        <v>268</v>
      </c>
      <c r="M342" s="20">
        <v>0</v>
      </c>
      <c r="N342" s="20">
        <v>0</v>
      </c>
      <c r="O342" s="20">
        <f>H342-L342</f>
        <v>-268</v>
      </c>
      <c r="P342" s="20" t="e">
        <f>#REF!-M342</f>
        <v>#REF!</v>
      </c>
      <c r="Q342" s="20" t="e">
        <f>#REF!-N342</f>
        <v>#REF!</v>
      </c>
      <c r="R342" s="17" t="str">
        <f t="shared" si="41"/>
        <v>98 1 00 00000000</v>
      </c>
    </row>
    <row r="343" spans="1:18" s="29" customFormat="1" ht="31.5">
      <c r="A343" s="28"/>
      <c r="B343" s="138" t="s">
        <v>282</v>
      </c>
      <c r="C343" s="109" t="s">
        <v>256</v>
      </c>
      <c r="D343" s="108" t="s">
        <v>11</v>
      </c>
      <c r="E343" s="108" t="s">
        <v>51</v>
      </c>
      <c r="F343" s="108" t="s">
        <v>283</v>
      </c>
      <c r="G343" s="108" t="s">
        <v>9</v>
      </c>
      <c r="H343" s="126">
        <f>H344</f>
        <v>0</v>
      </c>
      <c r="I343" s="178" t="str">
        <f t="shared" si="44"/>
        <v>602011398 1 00 21350000</v>
      </c>
      <c r="L343" s="20">
        <v>268</v>
      </c>
      <c r="M343" s="20">
        <v>0</v>
      </c>
      <c r="N343" s="20">
        <v>0</v>
      </c>
      <c r="O343" s="20">
        <f>H343-L343</f>
        <v>-268</v>
      </c>
      <c r="P343" s="20" t="e">
        <f>#REF!-M343</f>
        <v>#REF!</v>
      </c>
      <c r="Q343" s="20" t="e">
        <f>#REF!-N343</f>
        <v>#REF!</v>
      </c>
      <c r="R343" s="17" t="str">
        <f t="shared" si="41"/>
        <v>98 1 00 21350000</v>
      </c>
    </row>
    <row r="344" spans="1:18" s="29" customFormat="1" ht="15.75">
      <c r="A344" s="28"/>
      <c r="B344" s="138" t="s">
        <v>189</v>
      </c>
      <c r="C344" s="109" t="s">
        <v>256</v>
      </c>
      <c r="D344" s="108" t="s">
        <v>11</v>
      </c>
      <c r="E344" s="108" t="s">
        <v>51</v>
      </c>
      <c r="F344" s="108" t="s">
        <v>283</v>
      </c>
      <c r="G344" s="108" t="s">
        <v>190</v>
      </c>
      <c r="H344" s="126">
        <f>H345</f>
        <v>0</v>
      </c>
      <c r="I344" s="178" t="str">
        <f t="shared" si="44"/>
        <v>602011398 1 00 21350830</v>
      </c>
      <c r="L344" s="20">
        <v>268</v>
      </c>
      <c r="M344" s="20">
        <v>0</v>
      </c>
      <c r="N344" s="20">
        <v>0</v>
      </c>
      <c r="O344" s="20">
        <f>H344-L344</f>
        <v>-268</v>
      </c>
      <c r="P344" s="20" t="e">
        <f>#REF!-M344</f>
        <v>#REF!</v>
      </c>
      <c r="Q344" s="20" t="e">
        <f>#REF!-N344</f>
        <v>#REF!</v>
      </c>
      <c r="R344" s="17" t="str">
        <f t="shared" si="41"/>
        <v>98 1 00 21350830</v>
      </c>
    </row>
    <row r="345" spans="1:18" s="29" customFormat="1" ht="47.25">
      <c r="A345" s="28"/>
      <c r="B345" s="138" t="s">
        <v>191</v>
      </c>
      <c r="C345" s="109" t="s">
        <v>256</v>
      </c>
      <c r="D345" s="108" t="s">
        <v>11</v>
      </c>
      <c r="E345" s="108" t="s">
        <v>51</v>
      </c>
      <c r="F345" s="108" t="s">
        <v>283</v>
      </c>
      <c r="G345" s="108" t="s">
        <v>192</v>
      </c>
      <c r="H345" s="126"/>
      <c r="I345" s="178" t="str">
        <f t="shared" si="44"/>
        <v>602011398 1 00 21350831</v>
      </c>
      <c r="L345" s="20"/>
      <c r="M345" s="20"/>
      <c r="N345" s="20"/>
      <c r="O345" s="20"/>
      <c r="P345" s="20"/>
      <c r="Q345" s="20"/>
      <c r="R345" s="17"/>
    </row>
    <row r="346" spans="1:18" s="29" customFormat="1" ht="15.75">
      <c r="A346" s="28"/>
      <c r="B346" s="117" t="s">
        <v>195</v>
      </c>
      <c r="C346" s="118" t="s">
        <v>256</v>
      </c>
      <c r="D346" s="119" t="s">
        <v>73</v>
      </c>
      <c r="E346" s="119" t="s">
        <v>7</v>
      </c>
      <c r="F346" s="119" t="s">
        <v>8</v>
      </c>
      <c r="G346" s="119" t="s">
        <v>9</v>
      </c>
      <c r="H346" s="120">
        <f>H347</f>
        <v>0</v>
      </c>
      <c r="I346" s="178" t="str">
        <f t="shared" si="44"/>
        <v>602040000 0 00 00000000</v>
      </c>
      <c r="L346" s="18">
        <v>43269.74</v>
      </c>
      <c r="M346" s="18">
        <v>792</v>
      </c>
      <c r="N346" s="18">
        <v>792</v>
      </c>
      <c r="O346" s="18">
        <f t="shared" ref="O346:O352" si="45">H346-L346</f>
        <v>-43269.74</v>
      </c>
      <c r="P346" s="18" t="e">
        <f>#REF!-M346</f>
        <v>#REF!</v>
      </c>
      <c r="Q346" s="18" t="e">
        <f>#REF!-N346</f>
        <v>#REF!</v>
      </c>
      <c r="R346" s="17" t="str">
        <f t="shared" si="41"/>
        <v>00 0 00 00000000</v>
      </c>
    </row>
    <row r="347" spans="1:18" s="29" customFormat="1" ht="15.75">
      <c r="A347" s="28"/>
      <c r="B347" s="121" t="s">
        <v>284</v>
      </c>
      <c r="C347" s="122" t="s">
        <v>256</v>
      </c>
      <c r="D347" s="123" t="s">
        <v>73</v>
      </c>
      <c r="E347" s="123" t="s">
        <v>57</v>
      </c>
      <c r="F347" s="139" t="s">
        <v>8</v>
      </c>
      <c r="G347" s="139" t="s">
        <v>9</v>
      </c>
      <c r="H347" s="124">
        <f>H348+H360+H354</f>
        <v>0</v>
      </c>
      <c r="I347" s="178" t="str">
        <f t="shared" si="44"/>
        <v>602041200 0 00 00000000</v>
      </c>
      <c r="L347" s="19">
        <v>43269.74</v>
      </c>
      <c r="M347" s="19">
        <v>792</v>
      </c>
      <c r="N347" s="19">
        <v>792</v>
      </c>
      <c r="O347" s="19">
        <f t="shared" si="45"/>
        <v>-43269.74</v>
      </c>
      <c r="P347" s="19" t="e">
        <f>#REF!-M347</f>
        <v>#REF!</v>
      </c>
      <c r="Q347" s="19" t="e">
        <f>#REF!-N347</f>
        <v>#REF!</v>
      </c>
      <c r="R347" s="17" t="str">
        <f t="shared" si="41"/>
        <v>00 0 00 00000000</v>
      </c>
    </row>
    <row r="348" spans="1:18" s="29" customFormat="1" ht="63">
      <c r="A348" s="28"/>
      <c r="B348" s="135" t="s">
        <v>285</v>
      </c>
      <c r="C348" s="109" t="s">
        <v>256</v>
      </c>
      <c r="D348" s="108" t="s">
        <v>73</v>
      </c>
      <c r="E348" s="108" t="s">
        <v>57</v>
      </c>
      <c r="F348" s="108" t="s">
        <v>286</v>
      </c>
      <c r="G348" s="108" t="s">
        <v>9</v>
      </c>
      <c r="H348" s="126">
        <f t="shared" ref="H348:H350" si="46">H349</f>
        <v>0</v>
      </c>
      <c r="I348" s="178" t="str">
        <f t="shared" si="44"/>
        <v>602041202 0 00 00000000</v>
      </c>
      <c r="L348" s="20">
        <v>180</v>
      </c>
      <c r="M348" s="20">
        <v>180</v>
      </c>
      <c r="N348" s="20">
        <v>180</v>
      </c>
      <c r="O348" s="20">
        <f t="shared" si="45"/>
        <v>-180</v>
      </c>
      <c r="P348" s="20" t="e">
        <f>#REF!-M348</f>
        <v>#REF!</v>
      </c>
      <c r="Q348" s="20" t="e">
        <f>#REF!-N348</f>
        <v>#REF!</v>
      </c>
      <c r="R348" s="17" t="str">
        <f t="shared" si="41"/>
        <v>02 0 00 00000000</v>
      </c>
    </row>
    <row r="349" spans="1:18" s="29" customFormat="1" ht="78.75">
      <c r="A349" s="28"/>
      <c r="B349" s="125" t="s">
        <v>287</v>
      </c>
      <c r="C349" s="109" t="s">
        <v>256</v>
      </c>
      <c r="D349" s="108" t="s">
        <v>73</v>
      </c>
      <c r="E349" s="108" t="s">
        <v>57</v>
      </c>
      <c r="F349" s="108" t="s">
        <v>288</v>
      </c>
      <c r="G349" s="108" t="s">
        <v>9</v>
      </c>
      <c r="H349" s="126">
        <f t="shared" si="46"/>
        <v>0</v>
      </c>
      <c r="I349" s="178" t="str">
        <f t="shared" si="44"/>
        <v>602041202 Б 00 00000000</v>
      </c>
      <c r="L349" s="20">
        <v>180</v>
      </c>
      <c r="M349" s="20">
        <v>180</v>
      </c>
      <c r="N349" s="20">
        <v>180</v>
      </c>
      <c r="O349" s="20">
        <f t="shared" si="45"/>
        <v>-180</v>
      </c>
      <c r="P349" s="20" t="e">
        <f>#REF!-M349</f>
        <v>#REF!</v>
      </c>
      <c r="Q349" s="20" t="e">
        <f>#REF!-N349</f>
        <v>#REF!</v>
      </c>
      <c r="R349" s="17" t="str">
        <f t="shared" si="41"/>
        <v>02 Б 00 00000000</v>
      </c>
    </row>
    <row r="350" spans="1:18" s="29" customFormat="1" ht="78.75">
      <c r="A350" s="28"/>
      <c r="B350" s="125" t="s">
        <v>289</v>
      </c>
      <c r="C350" s="109" t="s">
        <v>256</v>
      </c>
      <c r="D350" s="108" t="s">
        <v>73</v>
      </c>
      <c r="E350" s="108" t="s">
        <v>57</v>
      </c>
      <c r="F350" s="108" t="s">
        <v>290</v>
      </c>
      <c r="G350" s="108" t="s">
        <v>9</v>
      </c>
      <c r="H350" s="126">
        <f t="shared" si="46"/>
        <v>0</v>
      </c>
      <c r="I350" s="178" t="str">
        <f t="shared" si="44"/>
        <v>602041202 Б 01 00000000</v>
      </c>
      <c r="L350" s="20">
        <v>180</v>
      </c>
      <c r="M350" s="20">
        <v>180</v>
      </c>
      <c r="N350" s="20">
        <v>180</v>
      </c>
      <c r="O350" s="20">
        <f t="shared" si="45"/>
        <v>-180</v>
      </c>
      <c r="P350" s="20" t="e">
        <f>#REF!-M350</f>
        <v>#REF!</v>
      </c>
      <c r="Q350" s="20" t="e">
        <f>#REF!-N350</f>
        <v>#REF!</v>
      </c>
      <c r="R350" s="17" t="str">
        <f t="shared" si="41"/>
        <v>02 Б 01 00000000</v>
      </c>
    </row>
    <row r="351" spans="1:18" s="29" customFormat="1" ht="78.75">
      <c r="A351" s="28"/>
      <c r="B351" s="125" t="s">
        <v>291</v>
      </c>
      <c r="C351" s="109" t="s">
        <v>256</v>
      </c>
      <c r="D351" s="108" t="s">
        <v>73</v>
      </c>
      <c r="E351" s="108" t="s">
        <v>57</v>
      </c>
      <c r="F351" s="108" t="s">
        <v>292</v>
      </c>
      <c r="G351" s="108" t="s">
        <v>9</v>
      </c>
      <c r="H351" s="126">
        <f>H352</f>
        <v>0</v>
      </c>
      <c r="I351" s="178" t="str">
        <f t="shared" si="44"/>
        <v>602041202 Б 01 20160000</v>
      </c>
      <c r="L351" s="20">
        <v>180</v>
      </c>
      <c r="M351" s="20">
        <v>180</v>
      </c>
      <c r="N351" s="20">
        <v>180</v>
      </c>
      <c r="O351" s="20">
        <f t="shared" si="45"/>
        <v>-180</v>
      </c>
      <c r="P351" s="20" t="e">
        <f>#REF!-M351</f>
        <v>#REF!</v>
      </c>
      <c r="Q351" s="20" t="e">
        <f>#REF!-N351</f>
        <v>#REF!</v>
      </c>
      <c r="R351" s="17" t="str">
        <f t="shared" si="41"/>
        <v>02 Б 01 20160000</v>
      </c>
    </row>
    <row r="352" spans="1:18" s="29" customFormat="1" ht="31.5">
      <c r="A352" s="28"/>
      <c r="B352" s="125" t="s">
        <v>28</v>
      </c>
      <c r="C352" s="109" t="s">
        <v>256</v>
      </c>
      <c r="D352" s="108" t="s">
        <v>73</v>
      </c>
      <c r="E352" s="108" t="s">
        <v>57</v>
      </c>
      <c r="F352" s="108" t="s">
        <v>292</v>
      </c>
      <c r="G352" s="108" t="s">
        <v>29</v>
      </c>
      <c r="H352" s="126">
        <f>H353</f>
        <v>0</v>
      </c>
      <c r="I352" s="178" t="str">
        <f t="shared" si="44"/>
        <v>602041202 Б 01 20160240</v>
      </c>
      <c r="L352" s="20">
        <v>180</v>
      </c>
      <c r="M352" s="20">
        <v>180</v>
      </c>
      <c r="N352" s="20">
        <v>180</v>
      </c>
      <c r="O352" s="20">
        <f t="shared" si="45"/>
        <v>-180</v>
      </c>
      <c r="P352" s="20" t="e">
        <f>#REF!-M352</f>
        <v>#REF!</v>
      </c>
      <c r="Q352" s="20" t="e">
        <f>#REF!-N352</f>
        <v>#REF!</v>
      </c>
      <c r="R352" s="17" t="str">
        <f t="shared" si="41"/>
        <v>02 Б 01 20160240</v>
      </c>
    </row>
    <row r="353" spans="1:18" s="29" customFormat="1" ht="15.75">
      <c r="A353" s="28"/>
      <c r="B353" s="125" t="s">
        <v>30</v>
      </c>
      <c r="C353" s="109" t="s">
        <v>256</v>
      </c>
      <c r="D353" s="108" t="s">
        <v>73</v>
      </c>
      <c r="E353" s="108" t="s">
        <v>57</v>
      </c>
      <c r="F353" s="108" t="s">
        <v>292</v>
      </c>
      <c r="G353" s="108" t="s">
        <v>31</v>
      </c>
      <c r="H353" s="126"/>
      <c r="I353" s="178" t="str">
        <f t="shared" si="44"/>
        <v>602041202 Б 01 20160244</v>
      </c>
      <c r="L353" s="20"/>
      <c r="M353" s="20"/>
      <c r="N353" s="20"/>
      <c r="O353" s="20"/>
      <c r="P353" s="20"/>
      <c r="Q353" s="20"/>
      <c r="R353" s="17" t="str">
        <f t="shared" si="41"/>
        <v>02 Б 01 20160244</v>
      </c>
    </row>
    <row r="354" spans="1:18" s="29" customFormat="1" ht="63">
      <c r="A354" s="28"/>
      <c r="B354" s="127" t="s">
        <v>293</v>
      </c>
      <c r="C354" s="109" t="s">
        <v>256</v>
      </c>
      <c r="D354" s="108" t="s">
        <v>73</v>
      </c>
      <c r="E354" s="108" t="s">
        <v>57</v>
      </c>
      <c r="F354" s="108" t="s">
        <v>294</v>
      </c>
      <c r="G354" s="108" t="s">
        <v>9</v>
      </c>
      <c r="H354" s="126">
        <f t="shared" ref="H354:H357" si="47">H355</f>
        <v>0</v>
      </c>
      <c r="I354" s="178" t="str">
        <f t="shared" si="44"/>
        <v>602041204 0 00 00000000</v>
      </c>
      <c r="L354" s="20">
        <v>42477.74</v>
      </c>
      <c r="M354" s="20">
        <v>0</v>
      </c>
      <c r="N354" s="20">
        <v>0</v>
      </c>
      <c r="O354" s="20">
        <f>H354-L354</f>
        <v>-42477.74</v>
      </c>
      <c r="P354" s="20" t="e">
        <f>#REF!-M354</f>
        <v>#REF!</v>
      </c>
      <c r="Q354" s="20" t="e">
        <f>#REF!-N354</f>
        <v>#REF!</v>
      </c>
      <c r="R354" s="17" t="str">
        <f t="shared" si="41"/>
        <v>04 0 00 00000000</v>
      </c>
    </row>
    <row r="355" spans="1:18" s="29" customFormat="1" ht="63">
      <c r="A355" s="28"/>
      <c r="B355" s="140" t="s">
        <v>295</v>
      </c>
      <c r="C355" s="109" t="s">
        <v>256</v>
      </c>
      <c r="D355" s="108" t="s">
        <v>73</v>
      </c>
      <c r="E355" s="108" t="s">
        <v>57</v>
      </c>
      <c r="F355" s="108" t="s">
        <v>296</v>
      </c>
      <c r="G355" s="108" t="s">
        <v>9</v>
      </c>
      <c r="H355" s="126">
        <f t="shared" si="47"/>
        <v>0</v>
      </c>
      <c r="I355" s="178" t="str">
        <f t="shared" si="44"/>
        <v>602041204 2 00 00000000</v>
      </c>
      <c r="L355" s="20">
        <v>42477.74</v>
      </c>
      <c r="M355" s="20">
        <v>0</v>
      </c>
      <c r="N355" s="20">
        <v>0</v>
      </c>
      <c r="O355" s="20">
        <f>H355-L355</f>
        <v>-42477.74</v>
      </c>
      <c r="P355" s="20" t="e">
        <f>#REF!-M355</f>
        <v>#REF!</v>
      </c>
      <c r="Q355" s="20" t="e">
        <f>#REF!-N355</f>
        <v>#REF!</v>
      </c>
      <c r="R355" s="17" t="str">
        <f t="shared" si="41"/>
        <v>04 2 00 00000000</v>
      </c>
    </row>
    <row r="356" spans="1:18" s="29" customFormat="1" ht="63">
      <c r="A356" s="28"/>
      <c r="B356" s="125" t="s">
        <v>297</v>
      </c>
      <c r="C356" s="109" t="s">
        <v>256</v>
      </c>
      <c r="D356" s="108" t="s">
        <v>73</v>
      </c>
      <c r="E356" s="108" t="s">
        <v>57</v>
      </c>
      <c r="F356" s="108" t="s">
        <v>298</v>
      </c>
      <c r="G356" s="108" t="s">
        <v>9</v>
      </c>
      <c r="H356" s="126">
        <f t="shared" si="47"/>
        <v>0</v>
      </c>
      <c r="I356" s="178" t="str">
        <f t="shared" si="44"/>
        <v>602041204 2 02 00000000</v>
      </c>
      <c r="L356" s="20">
        <v>42477.74</v>
      </c>
      <c r="M356" s="20">
        <v>0</v>
      </c>
      <c r="N356" s="20">
        <v>0</v>
      </c>
      <c r="O356" s="20">
        <f>H356-L356</f>
        <v>-42477.74</v>
      </c>
      <c r="P356" s="20" t="e">
        <f>#REF!-M356</f>
        <v>#REF!</v>
      </c>
      <c r="Q356" s="20" t="e">
        <f>#REF!-N356</f>
        <v>#REF!</v>
      </c>
      <c r="R356" s="17" t="str">
        <f t="shared" si="41"/>
        <v>04 2 02 00000000</v>
      </c>
    </row>
    <row r="357" spans="1:18" s="29" customFormat="1" ht="15.75">
      <c r="A357" s="28"/>
      <c r="B357" s="125" t="s">
        <v>299</v>
      </c>
      <c r="C357" s="109" t="s">
        <v>256</v>
      </c>
      <c r="D357" s="108" t="s">
        <v>73</v>
      </c>
      <c r="E357" s="108" t="s">
        <v>57</v>
      </c>
      <c r="F357" s="108" t="s">
        <v>300</v>
      </c>
      <c r="G357" s="108" t="s">
        <v>9</v>
      </c>
      <c r="H357" s="126">
        <f t="shared" si="47"/>
        <v>0</v>
      </c>
      <c r="I357" s="178" t="str">
        <f t="shared" si="44"/>
        <v>602041204 2 02 21470000</v>
      </c>
      <c r="L357" s="20">
        <v>42477.74</v>
      </c>
      <c r="M357" s="20">
        <v>0</v>
      </c>
      <c r="N357" s="20">
        <v>0</v>
      </c>
      <c r="O357" s="20">
        <f>H357-L357</f>
        <v>-42477.74</v>
      </c>
      <c r="P357" s="20" t="e">
        <f>#REF!-M357</f>
        <v>#REF!</v>
      </c>
      <c r="Q357" s="20" t="e">
        <f>#REF!-N357</f>
        <v>#REF!</v>
      </c>
      <c r="R357" s="17" t="str">
        <f t="shared" si="41"/>
        <v>04 2 02 21470000</v>
      </c>
    </row>
    <row r="358" spans="1:18" s="29" customFormat="1" ht="31.5">
      <c r="A358" s="28"/>
      <c r="B358" s="125" t="s">
        <v>28</v>
      </c>
      <c r="C358" s="109" t="s">
        <v>256</v>
      </c>
      <c r="D358" s="108" t="s">
        <v>73</v>
      </c>
      <c r="E358" s="108" t="s">
        <v>57</v>
      </c>
      <c r="F358" s="108" t="s">
        <v>300</v>
      </c>
      <c r="G358" s="108" t="s">
        <v>29</v>
      </c>
      <c r="H358" s="126">
        <f>H359</f>
        <v>0</v>
      </c>
      <c r="I358" s="178" t="str">
        <f t="shared" si="44"/>
        <v>602041204 2 02 21470240</v>
      </c>
      <c r="L358" s="20">
        <v>42477.74</v>
      </c>
      <c r="M358" s="20">
        <v>0</v>
      </c>
      <c r="N358" s="20">
        <v>0</v>
      </c>
      <c r="O358" s="20">
        <f>H358-L358</f>
        <v>-42477.74</v>
      </c>
      <c r="P358" s="20" t="e">
        <f>#REF!-M358</f>
        <v>#REF!</v>
      </c>
      <c r="Q358" s="20" t="e">
        <f>#REF!-N358</f>
        <v>#REF!</v>
      </c>
      <c r="R358" s="17" t="str">
        <f t="shared" si="41"/>
        <v>04 2 02 21470240</v>
      </c>
    </row>
    <row r="359" spans="1:18" s="29" customFormat="1" ht="15.75">
      <c r="A359" s="28"/>
      <c r="B359" s="125" t="s">
        <v>30</v>
      </c>
      <c r="C359" s="109" t="s">
        <v>256</v>
      </c>
      <c r="D359" s="108" t="s">
        <v>73</v>
      </c>
      <c r="E359" s="108" t="s">
        <v>57</v>
      </c>
      <c r="F359" s="108" t="s">
        <v>300</v>
      </c>
      <c r="G359" s="108" t="s">
        <v>31</v>
      </c>
      <c r="H359" s="126"/>
      <c r="I359" s="178" t="str">
        <f t="shared" si="44"/>
        <v>602041204 2 02 21470244</v>
      </c>
      <c r="L359" s="20"/>
      <c r="M359" s="20"/>
      <c r="N359" s="20"/>
      <c r="O359" s="20"/>
      <c r="P359" s="20"/>
      <c r="Q359" s="20"/>
      <c r="R359" s="17" t="str">
        <f t="shared" si="41"/>
        <v>04 2 02 21470244</v>
      </c>
    </row>
    <row r="360" spans="1:18" s="29" customFormat="1" ht="63">
      <c r="A360" s="28"/>
      <c r="B360" s="132" t="s">
        <v>257</v>
      </c>
      <c r="C360" s="109" t="s">
        <v>256</v>
      </c>
      <c r="D360" s="108" t="s">
        <v>73</v>
      </c>
      <c r="E360" s="108" t="s">
        <v>57</v>
      </c>
      <c r="F360" s="108" t="s">
        <v>258</v>
      </c>
      <c r="G360" s="108" t="s">
        <v>9</v>
      </c>
      <c r="H360" s="126">
        <f t="shared" ref="H360:H361" si="48">H361</f>
        <v>0</v>
      </c>
      <c r="I360" s="178" t="str">
        <f t="shared" si="44"/>
        <v>602041211 0 00 00000000</v>
      </c>
      <c r="L360" s="20">
        <v>612</v>
      </c>
      <c r="M360" s="20">
        <v>612</v>
      </c>
      <c r="N360" s="20">
        <v>612</v>
      </c>
      <c r="O360" s="20">
        <f>H360-L360</f>
        <v>-612</v>
      </c>
      <c r="P360" s="20" t="e">
        <f>#REF!-M360</f>
        <v>#REF!</v>
      </c>
      <c r="Q360" s="20" t="e">
        <f>#REF!-N360</f>
        <v>#REF!</v>
      </c>
      <c r="R360" s="17" t="str">
        <f t="shared" si="41"/>
        <v>11 0 00 00000000</v>
      </c>
    </row>
    <row r="361" spans="1:18" s="29" customFormat="1" ht="63">
      <c r="A361" s="28"/>
      <c r="B361" s="132" t="s">
        <v>259</v>
      </c>
      <c r="C361" s="109" t="s">
        <v>256</v>
      </c>
      <c r="D361" s="108" t="s">
        <v>73</v>
      </c>
      <c r="E361" s="108" t="s">
        <v>57</v>
      </c>
      <c r="F361" s="108" t="s">
        <v>260</v>
      </c>
      <c r="G361" s="108" t="s">
        <v>9</v>
      </c>
      <c r="H361" s="126">
        <f t="shared" si="48"/>
        <v>0</v>
      </c>
      <c r="I361" s="178" t="str">
        <f t="shared" si="44"/>
        <v>602041211 Б 00 00000000</v>
      </c>
      <c r="L361" s="20">
        <v>612</v>
      </c>
      <c r="M361" s="20">
        <v>612</v>
      </c>
      <c r="N361" s="20">
        <v>612</v>
      </c>
      <c r="O361" s="20">
        <f>H361-L361</f>
        <v>-612</v>
      </c>
      <c r="P361" s="20" t="e">
        <f>#REF!-M361</f>
        <v>#REF!</v>
      </c>
      <c r="Q361" s="20" t="e">
        <f>#REF!-N361</f>
        <v>#REF!</v>
      </c>
      <c r="R361" s="17" t="str">
        <f t="shared" si="41"/>
        <v>11 Б 00 00000000</v>
      </c>
    </row>
    <row r="362" spans="1:18" s="29" customFormat="1" ht="47.25">
      <c r="A362" s="28"/>
      <c r="B362" s="125" t="s">
        <v>301</v>
      </c>
      <c r="C362" s="109" t="s">
        <v>256</v>
      </c>
      <c r="D362" s="108" t="s">
        <v>73</v>
      </c>
      <c r="E362" s="108" t="s">
        <v>57</v>
      </c>
      <c r="F362" s="108" t="s">
        <v>302</v>
      </c>
      <c r="G362" s="108" t="s">
        <v>9</v>
      </c>
      <c r="H362" s="126">
        <f>H363</f>
        <v>0</v>
      </c>
      <c r="I362" s="178" t="str">
        <f t="shared" si="44"/>
        <v>602041211 Б 02 00000000</v>
      </c>
      <c r="L362" s="20">
        <v>612</v>
      </c>
      <c r="M362" s="20">
        <v>612</v>
      </c>
      <c r="N362" s="20">
        <v>612</v>
      </c>
      <c r="O362" s="20">
        <f>H362-L362</f>
        <v>-612</v>
      </c>
      <c r="P362" s="20" t="e">
        <f>#REF!-M362</f>
        <v>#REF!</v>
      </c>
      <c r="Q362" s="20" t="e">
        <f>#REF!-N362</f>
        <v>#REF!</v>
      </c>
      <c r="R362" s="17" t="str">
        <f t="shared" si="41"/>
        <v>11 Б 02 00000000</v>
      </c>
    </row>
    <row r="363" spans="1:18" s="29" customFormat="1" ht="63">
      <c r="A363" s="28"/>
      <c r="B363" s="125" t="s">
        <v>303</v>
      </c>
      <c r="C363" s="109" t="s">
        <v>256</v>
      </c>
      <c r="D363" s="108" t="s">
        <v>73</v>
      </c>
      <c r="E363" s="108" t="s">
        <v>57</v>
      </c>
      <c r="F363" s="108" t="s">
        <v>304</v>
      </c>
      <c r="G363" s="108" t="s">
        <v>9</v>
      </c>
      <c r="H363" s="126">
        <f>H364</f>
        <v>0</v>
      </c>
      <c r="I363" s="178" t="str">
        <f t="shared" si="44"/>
        <v>602041211 Б 02 20180000</v>
      </c>
      <c r="L363" s="20">
        <v>612</v>
      </c>
      <c r="M363" s="20">
        <v>612</v>
      </c>
      <c r="N363" s="20">
        <v>612</v>
      </c>
      <c r="O363" s="20">
        <f>H363-L363</f>
        <v>-612</v>
      </c>
      <c r="P363" s="20" t="e">
        <f>#REF!-M363</f>
        <v>#REF!</v>
      </c>
      <c r="Q363" s="20" t="e">
        <f>#REF!-N363</f>
        <v>#REF!</v>
      </c>
      <c r="R363" s="17" t="str">
        <f t="shared" si="41"/>
        <v>11 Б 02 20180000</v>
      </c>
    </row>
    <row r="364" spans="1:18" s="29" customFormat="1" ht="31.5">
      <c r="A364" s="28"/>
      <c r="B364" s="125" t="s">
        <v>28</v>
      </c>
      <c r="C364" s="109" t="s">
        <v>256</v>
      </c>
      <c r="D364" s="108" t="s">
        <v>73</v>
      </c>
      <c r="E364" s="108" t="s">
        <v>57</v>
      </c>
      <c r="F364" s="108" t="s">
        <v>304</v>
      </c>
      <c r="G364" s="108" t="s">
        <v>29</v>
      </c>
      <c r="H364" s="126">
        <f>H365</f>
        <v>0</v>
      </c>
      <c r="I364" s="178" t="str">
        <f t="shared" si="44"/>
        <v>602041211 Б 02 20180240</v>
      </c>
      <c r="L364" s="20">
        <v>612</v>
      </c>
      <c r="M364" s="20">
        <v>612</v>
      </c>
      <c r="N364" s="20">
        <v>612</v>
      </c>
      <c r="O364" s="20">
        <f>H364-L364</f>
        <v>-612</v>
      </c>
      <c r="P364" s="20" t="e">
        <f>#REF!-M364</f>
        <v>#REF!</v>
      </c>
      <c r="Q364" s="20" t="e">
        <f>#REF!-N364</f>
        <v>#REF!</v>
      </c>
      <c r="R364" s="17" t="str">
        <f t="shared" si="41"/>
        <v>11 Б 02 20180240</v>
      </c>
    </row>
    <row r="365" spans="1:18" s="29" customFormat="1" ht="15.75">
      <c r="A365" s="28"/>
      <c r="B365" s="125" t="s">
        <v>30</v>
      </c>
      <c r="C365" s="109" t="s">
        <v>256</v>
      </c>
      <c r="D365" s="108" t="s">
        <v>73</v>
      </c>
      <c r="E365" s="108" t="s">
        <v>57</v>
      </c>
      <c r="F365" s="108" t="s">
        <v>304</v>
      </c>
      <c r="G365" s="108" t="s">
        <v>31</v>
      </c>
      <c r="H365" s="126"/>
      <c r="I365" s="178" t="str">
        <f t="shared" si="44"/>
        <v>602041211 Б 02 20180244</v>
      </c>
      <c r="L365" s="20"/>
      <c r="M365" s="20"/>
      <c r="N365" s="20"/>
      <c r="O365" s="20"/>
      <c r="P365" s="20"/>
      <c r="Q365" s="20"/>
      <c r="R365" s="17" t="str">
        <f t="shared" si="41"/>
        <v>11 Б 02 20180244</v>
      </c>
    </row>
    <row r="366" spans="1:18" s="16" customFormat="1" ht="15.75">
      <c r="A366" s="14"/>
      <c r="B366" s="117" t="s">
        <v>305</v>
      </c>
      <c r="C366" s="118" t="s">
        <v>256</v>
      </c>
      <c r="D366" s="119" t="s">
        <v>86</v>
      </c>
      <c r="E366" s="119" t="s">
        <v>7</v>
      </c>
      <c r="F366" s="119" t="s">
        <v>8</v>
      </c>
      <c r="G366" s="119" t="s">
        <v>9</v>
      </c>
      <c r="H366" s="120">
        <f>H374+H367</f>
        <v>0</v>
      </c>
      <c r="I366" s="178" t="str">
        <f t="shared" si="44"/>
        <v>602050000 0 00 00000000</v>
      </c>
      <c r="L366" s="18">
        <v>9280.8700000000008</v>
      </c>
      <c r="M366" s="18">
        <v>0</v>
      </c>
      <c r="N366" s="18">
        <v>0</v>
      </c>
      <c r="O366" s="20">
        <f t="shared" ref="O366:O372" si="49">H366-L366</f>
        <v>-9280.8700000000008</v>
      </c>
      <c r="P366" s="20" t="e">
        <f>#REF!-M366</f>
        <v>#REF!</v>
      </c>
      <c r="Q366" s="20" t="e">
        <f>#REF!-N366</f>
        <v>#REF!</v>
      </c>
      <c r="R366" s="17" t="str">
        <f t="shared" si="41"/>
        <v>00 0 00 00000000</v>
      </c>
    </row>
    <row r="367" spans="1:18" s="16" customFormat="1" ht="15.75">
      <c r="A367" s="14"/>
      <c r="B367" s="121" t="s">
        <v>306</v>
      </c>
      <c r="C367" s="122" t="s">
        <v>256</v>
      </c>
      <c r="D367" s="123" t="s">
        <v>86</v>
      </c>
      <c r="E367" s="123" t="s">
        <v>13</v>
      </c>
      <c r="F367" s="123" t="s">
        <v>8</v>
      </c>
      <c r="G367" s="123" t="s">
        <v>9</v>
      </c>
      <c r="H367" s="124">
        <f>H368</f>
        <v>0</v>
      </c>
      <c r="I367" s="178" t="str">
        <f t="shared" si="44"/>
        <v>602050300 0 00 00000000</v>
      </c>
      <c r="L367" s="19">
        <v>7522.26</v>
      </c>
      <c r="M367" s="19">
        <v>0</v>
      </c>
      <c r="N367" s="19">
        <v>0</v>
      </c>
      <c r="O367" s="19">
        <f t="shared" si="49"/>
        <v>-7522.26</v>
      </c>
      <c r="P367" s="19" t="e">
        <f>#REF!-M367</f>
        <v>#REF!</v>
      </c>
      <c r="Q367" s="19" t="e">
        <f>#REF!-N367</f>
        <v>#REF!</v>
      </c>
      <c r="R367" s="17" t="str">
        <f t="shared" si="41"/>
        <v>00 0 00 00000000</v>
      </c>
    </row>
    <row r="368" spans="1:18" s="16" customFormat="1" ht="63">
      <c r="A368" s="14"/>
      <c r="B368" s="125" t="s">
        <v>293</v>
      </c>
      <c r="C368" s="108" t="s">
        <v>256</v>
      </c>
      <c r="D368" s="108" t="s">
        <v>86</v>
      </c>
      <c r="E368" s="108" t="s">
        <v>13</v>
      </c>
      <c r="F368" s="108" t="s">
        <v>294</v>
      </c>
      <c r="G368" s="108" t="s">
        <v>9</v>
      </c>
      <c r="H368" s="141">
        <f>H369</f>
        <v>0</v>
      </c>
      <c r="I368" s="178" t="str">
        <f t="shared" si="44"/>
        <v>602050304 0 00 00000000</v>
      </c>
      <c r="L368" s="32">
        <v>7522.26</v>
      </c>
      <c r="M368" s="32">
        <v>0</v>
      </c>
      <c r="N368" s="32">
        <v>0</v>
      </c>
      <c r="O368" s="32">
        <f t="shared" si="49"/>
        <v>-7522.26</v>
      </c>
      <c r="P368" s="32" t="e">
        <f>#REF!-M368</f>
        <v>#REF!</v>
      </c>
      <c r="Q368" s="32" t="e">
        <f>#REF!-N368</f>
        <v>#REF!</v>
      </c>
      <c r="R368" s="17" t="str">
        <f t="shared" si="41"/>
        <v>04 0 00 00000000</v>
      </c>
    </row>
    <row r="369" spans="1:18" s="16" customFormat="1" ht="31.5">
      <c r="A369" s="14"/>
      <c r="B369" s="125" t="s">
        <v>307</v>
      </c>
      <c r="C369" s="108" t="s">
        <v>256</v>
      </c>
      <c r="D369" s="108" t="s">
        <v>86</v>
      </c>
      <c r="E369" s="108" t="s">
        <v>13</v>
      </c>
      <c r="F369" s="108" t="s">
        <v>308</v>
      </c>
      <c r="G369" s="108" t="s">
        <v>9</v>
      </c>
      <c r="H369" s="141">
        <f t="shared" ref="H369:H371" si="50">H370</f>
        <v>0</v>
      </c>
      <c r="I369" s="178" t="str">
        <f t="shared" si="44"/>
        <v>602050304 3 00 00000000</v>
      </c>
      <c r="L369" s="32">
        <v>7522.26</v>
      </c>
      <c r="M369" s="32">
        <v>0</v>
      </c>
      <c r="N369" s="32">
        <v>0</v>
      </c>
      <c r="O369" s="32">
        <f t="shared" si="49"/>
        <v>-7522.26</v>
      </c>
      <c r="P369" s="32" t="e">
        <f>#REF!-M369</f>
        <v>#REF!</v>
      </c>
      <c r="Q369" s="32" t="e">
        <f>#REF!-N369</f>
        <v>#REF!</v>
      </c>
      <c r="R369" s="17" t="str">
        <f t="shared" si="41"/>
        <v>04 3 00 00000000</v>
      </c>
    </row>
    <row r="370" spans="1:18" s="29" customFormat="1" ht="31.5">
      <c r="A370" s="28"/>
      <c r="B370" s="138" t="s">
        <v>309</v>
      </c>
      <c r="C370" s="109" t="s">
        <v>256</v>
      </c>
      <c r="D370" s="108" t="s">
        <v>86</v>
      </c>
      <c r="E370" s="108" t="s">
        <v>13</v>
      </c>
      <c r="F370" s="142" t="s">
        <v>310</v>
      </c>
      <c r="G370" s="108" t="s">
        <v>9</v>
      </c>
      <c r="H370" s="126">
        <f t="shared" si="50"/>
        <v>0</v>
      </c>
      <c r="I370" s="178" t="str">
        <f t="shared" si="44"/>
        <v>602050304 3 04 00000000</v>
      </c>
      <c r="L370" s="20">
        <v>7522.26</v>
      </c>
      <c r="M370" s="20">
        <v>0</v>
      </c>
      <c r="N370" s="20">
        <v>0</v>
      </c>
      <c r="O370" s="20">
        <f t="shared" si="49"/>
        <v>-7522.26</v>
      </c>
      <c r="P370" s="20" t="e">
        <f>#REF!-M370</f>
        <v>#REF!</v>
      </c>
      <c r="Q370" s="20" t="e">
        <f>#REF!-N370</f>
        <v>#REF!</v>
      </c>
      <c r="R370" s="17" t="str">
        <f t="shared" si="41"/>
        <v>04 3 04 00000000</v>
      </c>
    </row>
    <row r="371" spans="1:18" s="29" customFormat="1" ht="31.5">
      <c r="A371" s="28"/>
      <c r="B371" s="125" t="s">
        <v>311</v>
      </c>
      <c r="C371" s="109" t="s">
        <v>256</v>
      </c>
      <c r="D371" s="108" t="s">
        <v>86</v>
      </c>
      <c r="E371" s="108" t="s">
        <v>13</v>
      </c>
      <c r="F371" s="108" t="s">
        <v>312</v>
      </c>
      <c r="G371" s="108" t="s">
        <v>9</v>
      </c>
      <c r="H371" s="126">
        <f t="shared" si="50"/>
        <v>0</v>
      </c>
      <c r="I371" s="178" t="str">
        <f t="shared" si="44"/>
        <v>602050304 3 04 21510000</v>
      </c>
      <c r="L371" s="20">
        <v>7522.26</v>
      </c>
      <c r="M371" s="20">
        <v>0</v>
      </c>
      <c r="N371" s="20">
        <v>0</v>
      </c>
      <c r="O371" s="20">
        <f t="shared" si="49"/>
        <v>-7522.26</v>
      </c>
      <c r="P371" s="20" t="e">
        <f>#REF!-M371</f>
        <v>#REF!</v>
      </c>
      <c r="Q371" s="20" t="e">
        <f>#REF!-N371</f>
        <v>#REF!</v>
      </c>
      <c r="R371" s="17" t="str">
        <f t="shared" si="41"/>
        <v>04 3 04 21510000</v>
      </c>
    </row>
    <row r="372" spans="1:18" s="29" customFormat="1" ht="31.5">
      <c r="A372" s="28"/>
      <c r="B372" s="125" t="s">
        <v>28</v>
      </c>
      <c r="C372" s="109" t="s">
        <v>256</v>
      </c>
      <c r="D372" s="108" t="s">
        <v>86</v>
      </c>
      <c r="E372" s="108" t="s">
        <v>13</v>
      </c>
      <c r="F372" s="108" t="s">
        <v>312</v>
      </c>
      <c r="G372" s="108" t="s">
        <v>29</v>
      </c>
      <c r="H372" s="126">
        <f>H373</f>
        <v>0</v>
      </c>
      <c r="I372" s="178" t="str">
        <f t="shared" si="44"/>
        <v>602050304 3 04 21510240</v>
      </c>
      <c r="L372" s="20">
        <v>7522.26</v>
      </c>
      <c r="M372" s="20">
        <v>0</v>
      </c>
      <c r="N372" s="20">
        <v>0</v>
      </c>
      <c r="O372" s="20">
        <f t="shared" si="49"/>
        <v>-7522.26</v>
      </c>
      <c r="P372" s="20" t="e">
        <f>#REF!-M372</f>
        <v>#REF!</v>
      </c>
      <c r="Q372" s="20" t="e">
        <f>#REF!-N372</f>
        <v>#REF!</v>
      </c>
      <c r="R372" s="17" t="str">
        <f t="shared" si="41"/>
        <v>04 3 04 21510240</v>
      </c>
    </row>
    <row r="373" spans="1:18" s="29" customFormat="1" ht="15.75">
      <c r="A373" s="28"/>
      <c r="B373" s="125" t="s">
        <v>30</v>
      </c>
      <c r="C373" s="109" t="s">
        <v>256</v>
      </c>
      <c r="D373" s="108" t="s">
        <v>86</v>
      </c>
      <c r="E373" s="108" t="s">
        <v>13</v>
      </c>
      <c r="F373" s="108" t="s">
        <v>312</v>
      </c>
      <c r="G373" s="108" t="s">
        <v>31</v>
      </c>
      <c r="H373" s="126"/>
      <c r="I373" s="178" t="str">
        <f t="shared" si="44"/>
        <v>602050304 3 04 21510244</v>
      </c>
      <c r="L373" s="20"/>
      <c r="M373" s="20"/>
      <c r="N373" s="20"/>
      <c r="O373" s="20"/>
      <c r="P373" s="20"/>
      <c r="Q373" s="20"/>
      <c r="R373" s="17" t="str">
        <f t="shared" si="41"/>
        <v>04 3 04 21510244</v>
      </c>
    </row>
    <row r="374" spans="1:18" s="16" customFormat="1" ht="31.5">
      <c r="A374" s="14"/>
      <c r="B374" s="121" t="s">
        <v>313</v>
      </c>
      <c r="C374" s="122" t="s">
        <v>256</v>
      </c>
      <c r="D374" s="123" t="s">
        <v>86</v>
      </c>
      <c r="E374" s="123" t="s">
        <v>86</v>
      </c>
      <c r="F374" s="123" t="s">
        <v>8</v>
      </c>
      <c r="G374" s="123" t="s">
        <v>9</v>
      </c>
      <c r="H374" s="124">
        <f>H375</f>
        <v>0</v>
      </c>
      <c r="I374" s="178" t="str">
        <f t="shared" si="44"/>
        <v>602050500 0 00 00000000</v>
      </c>
      <c r="L374" s="19">
        <v>1758.61</v>
      </c>
      <c r="M374" s="19">
        <v>0</v>
      </c>
      <c r="N374" s="19">
        <v>0</v>
      </c>
      <c r="O374" s="19">
        <f>H374-L374</f>
        <v>-1758.61</v>
      </c>
      <c r="P374" s="19" t="e">
        <f>#REF!-M374</f>
        <v>#REF!</v>
      </c>
      <c r="Q374" s="19" t="e">
        <f>#REF!-N374</f>
        <v>#REF!</v>
      </c>
      <c r="R374" s="17" t="str">
        <f t="shared" si="41"/>
        <v>00 0 00 00000000</v>
      </c>
    </row>
    <row r="375" spans="1:18" s="29" customFormat="1" ht="63">
      <c r="A375" s="28"/>
      <c r="B375" s="138" t="s">
        <v>87</v>
      </c>
      <c r="C375" s="109" t="s">
        <v>256</v>
      </c>
      <c r="D375" s="108" t="s">
        <v>86</v>
      </c>
      <c r="E375" s="108" t="s">
        <v>86</v>
      </c>
      <c r="F375" s="108" t="s">
        <v>88</v>
      </c>
      <c r="G375" s="108" t="s">
        <v>9</v>
      </c>
      <c r="H375" s="126">
        <f>H376</f>
        <v>0</v>
      </c>
      <c r="I375" s="178" t="str">
        <f t="shared" si="44"/>
        <v>602050598 0 00 00000000</v>
      </c>
      <c r="L375" s="20">
        <v>1758.61</v>
      </c>
      <c r="M375" s="20">
        <v>0</v>
      </c>
      <c r="N375" s="20">
        <v>0</v>
      </c>
      <c r="O375" s="20">
        <f>H375-L375</f>
        <v>-1758.61</v>
      </c>
      <c r="P375" s="20" t="e">
        <f>#REF!-M375</f>
        <v>#REF!</v>
      </c>
      <c r="Q375" s="20" t="e">
        <f>#REF!-N375</f>
        <v>#REF!</v>
      </c>
      <c r="R375" s="17" t="str">
        <f t="shared" si="41"/>
        <v>98 0 00 00000000</v>
      </c>
    </row>
    <row r="376" spans="1:18" s="29" customFormat="1" ht="15.75">
      <c r="A376" s="28"/>
      <c r="B376" s="138" t="s">
        <v>89</v>
      </c>
      <c r="C376" s="109" t="s">
        <v>256</v>
      </c>
      <c r="D376" s="108" t="s">
        <v>86</v>
      </c>
      <c r="E376" s="108" t="s">
        <v>86</v>
      </c>
      <c r="F376" s="108" t="s">
        <v>90</v>
      </c>
      <c r="G376" s="108" t="s">
        <v>9</v>
      </c>
      <c r="H376" s="126">
        <f>H377</f>
        <v>0</v>
      </c>
      <c r="I376" s="178" t="str">
        <f t="shared" si="44"/>
        <v>602050598 1 00 00000000</v>
      </c>
      <c r="L376" s="20">
        <v>1758.61</v>
      </c>
      <c r="M376" s="20">
        <v>0</v>
      </c>
      <c r="N376" s="20">
        <v>0</v>
      </c>
      <c r="O376" s="20">
        <f>H376-L376</f>
        <v>-1758.61</v>
      </c>
      <c r="P376" s="20" t="e">
        <f>#REF!-M376</f>
        <v>#REF!</v>
      </c>
      <c r="Q376" s="20" t="e">
        <f>#REF!-N376</f>
        <v>#REF!</v>
      </c>
      <c r="R376" s="17" t="str">
        <f t="shared" si="41"/>
        <v>98 1 00 00000000</v>
      </c>
    </row>
    <row r="377" spans="1:18" s="29" customFormat="1" ht="47.25">
      <c r="A377" s="28"/>
      <c r="B377" s="125" t="s">
        <v>314</v>
      </c>
      <c r="C377" s="109" t="s">
        <v>256</v>
      </c>
      <c r="D377" s="108" t="s">
        <v>86</v>
      </c>
      <c r="E377" s="108" t="s">
        <v>86</v>
      </c>
      <c r="F377" s="108" t="s">
        <v>315</v>
      </c>
      <c r="G377" s="108" t="s">
        <v>9</v>
      </c>
      <c r="H377" s="126">
        <f>H378</f>
        <v>0</v>
      </c>
      <c r="I377" s="178" t="str">
        <f t="shared" si="44"/>
        <v>602050598 1 00 20950000</v>
      </c>
      <c r="L377" s="20">
        <v>1758.61</v>
      </c>
      <c r="M377" s="20">
        <v>0</v>
      </c>
      <c r="N377" s="20">
        <v>0</v>
      </c>
      <c r="O377" s="20">
        <f>H377-L377</f>
        <v>-1758.61</v>
      </c>
      <c r="P377" s="20" t="e">
        <f>#REF!-M377</f>
        <v>#REF!</v>
      </c>
      <c r="Q377" s="20" t="e">
        <f>#REF!-N377</f>
        <v>#REF!</v>
      </c>
      <c r="R377" s="17" t="str">
        <f t="shared" si="41"/>
        <v>98 1 00 20950000</v>
      </c>
    </row>
    <row r="378" spans="1:18" s="29" customFormat="1" ht="31.5">
      <c r="A378" s="28"/>
      <c r="B378" s="125" t="s">
        <v>28</v>
      </c>
      <c r="C378" s="109" t="s">
        <v>256</v>
      </c>
      <c r="D378" s="108" t="s">
        <v>86</v>
      </c>
      <c r="E378" s="108" t="s">
        <v>86</v>
      </c>
      <c r="F378" s="108" t="s">
        <v>315</v>
      </c>
      <c r="G378" s="108" t="s">
        <v>29</v>
      </c>
      <c r="H378" s="126">
        <f>H379</f>
        <v>0</v>
      </c>
      <c r="I378" s="178" t="str">
        <f t="shared" si="44"/>
        <v>602050598 1 00 20950240</v>
      </c>
      <c r="L378" s="20">
        <v>1758.61</v>
      </c>
      <c r="M378" s="20">
        <v>0</v>
      </c>
      <c r="N378" s="20">
        <v>0</v>
      </c>
      <c r="O378" s="20">
        <f>H378-L378</f>
        <v>-1758.61</v>
      </c>
      <c r="P378" s="20" t="e">
        <f>#REF!-M378</f>
        <v>#REF!</v>
      </c>
      <c r="Q378" s="20" t="e">
        <f>#REF!-N378</f>
        <v>#REF!</v>
      </c>
      <c r="R378" s="17" t="str">
        <f t="shared" si="41"/>
        <v>98 1 00 20950240</v>
      </c>
    </row>
    <row r="379" spans="1:18" s="29" customFormat="1" ht="15.75">
      <c r="A379" s="28"/>
      <c r="B379" s="125" t="s">
        <v>30</v>
      </c>
      <c r="C379" s="109" t="s">
        <v>256</v>
      </c>
      <c r="D379" s="108" t="s">
        <v>86</v>
      </c>
      <c r="E379" s="108" t="s">
        <v>86</v>
      </c>
      <c r="F379" s="108" t="s">
        <v>315</v>
      </c>
      <c r="G379" s="108" t="s">
        <v>31</v>
      </c>
      <c r="H379" s="126"/>
      <c r="I379" s="178" t="str">
        <f t="shared" si="44"/>
        <v>602050598 1 00 20950244</v>
      </c>
      <c r="L379" s="20"/>
      <c r="M379" s="20"/>
      <c r="N379" s="20"/>
      <c r="O379" s="20"/>
      <c r="P379" s="20"/>
      <c r="Q379" s="20"/>
      <c r="R379" s="17" t="str">
        <f t="shared" si="41"/>
        <v>98 1 00 20950244</v>
      </c>
    </row>
    <row r="380" spans="1:18" s="29" customFormat="1" ht="15.75">
      <c r="A380" s="28"/>
      <c r="B380" s="117" t="s">
        <v>316</v>
      </c>
      <c r="C380" s="118" t="s">
        <v>256</v>
      </c>
      <c r="D380" s="119" t="s">
        <v>317</v>
      </c>
      <c r="E380" s="119" t="s">
        <v>7</v>
      </c>
      <c r="F380" s="119" t="s">
        <v>8</v>
      </c>
      <c r="G380" s="119" t="s">
        <v>9</v>
      </c>
      <c r="H380" s="120">
        <f>H381</f>
        <v>0</v>
      </c>
      <c r="I380" s="178" t="str">
        <f t="shared" si="44"/>
        <v>602100000 0 00 00000000</v>
      </c>
      <c r="L380" s="18">
        <v>2604.63</v>
      </c>
      <c r="M380" s="18">
        <v>2604.63</v>
      </c>
      <c r="N380" s="18">
        <v>7404.63</v>
      </c>
      <c r="O380" s="18">
        <f t="shared" ref="O380:O389" si="51">H380-L380</f>
        <v>-2604.63</v>
      </c>
      <c r="P380" s="18" t="e">
        <f>#REF!-M380</f>
        <v>#REF!</v>
      </c>
      <c r="Q380" s="18" t="e">
        <f>#REF!-N380</f>
        <v>#REF!</v>
      </c>
      <c r="R380" s="17" t="str">
        <f t="shared" si="41"/>
        <v>00 0 00 00000000</v>
      </c>
    </row>
    <row r="381" spans="1:18" s="29" customFormat="1" ht="15.75">
      <c r="A381" s="28"/>
      <c r="B381" s="121" t="s">
        <v>318</v>
      </c>
      <c r="C381" s="122" t="s">
        <v>256</v>
      </c>
      <c r="D381" s="123">
        <v>10</v>
      </c>
      <c r="E381" s="123" t="s">
        <v>13</v>
      </c>
      <c r="F381" s="123" t="s">
        <v>8</v>
      </c>
      <c r="G381" s="123" t="s">
        <v>9</v>
      </c>
      <c r="H381" s="124">
        <f>H382</f>
        <v>0</v>
      </c>
      <c r="I381" s="178" t="str">
        <f t="shared" si="44"/>
        <v>602100300 0 00 00000000</v>
      </c>
      <c r="L381" s="19">
        <v>2604.63</v>
      </c>
      <c r="M381" s="19">
        <v>2604.63</v>
      </c>
      <c r="N381" s="19">
        <v>7404.63</v>
      </c>
      <c r="O381" s="19">
        <f t="shared" si="51"/>
        <v>-2604.63</v>
      </c>
      <c r="P381" s="19" t="e">
        <f>#REF!-M381</f>
        <v>#REF!</v>
      </c>
      <c r="Q381" s="19" t="e">
        <f>#REF!-N381</f>
        <v>#REF!</v>
      </c>
      <c r="R381" s="17" t="str">
        <f t="shared" si="41"/>
        <v>00 0 00 00000000</v>
      </c>
    </row>
    <row r="382" spans="1:18" s="29" customFormat="1" ht="31.5">
      <c r="A382" s="28"/>
      <c r="B382" s="125" t="s">
        <v>319</v>
      </c>
      <c r="C382" s="131" t="s">
        <v>256</v>
      </c>
      <c r="D382" s="131" t="s">
        <v>317</v>
      </c>
      <c r="E382" s="131" t="s">
        <v>13</v>
      </c>
      <c r="F382" s="131" t="s">
        <v>320</v>
      </c>
      <c r="G382" s="131" t="s">
        <v>9</v>
      </c>
      <c r="H382" s="105">
        <f t="shared" ref="H382" si="52">H383</f>
        <v>0</v>
      </c>
      <c r="I382" s="178" t="str">
        <f t="shared" si="44"/>
        <v>602100306 0 00 00000000</v>
      </c>
      <c r="L382" s="26">
        <v>2604.63</v>
      </c>
      <c r="M382" s="26">
        <v>2604.63</v>
      </c>
      <c r="N382" s="26">
        <v>7404.63</v>
      </c>
      <c r="O382" s="26">
        <f t="shared" si="51"/>
        <v>-2604.63</v>
      </c>
      <c r="P382" s="26" t="e">
        <f>#REF!-M382</f>
        <v>#REF!</v>
      </c>
      <c r="Q382" s="26" t="e">
        <f>#REF!-N382</f>
        <v>#REF!</v>
      </c>
      <c r="R382" s="17" t="str">
        <f t="shared" si="41"/>
        <v>06 0 00 00000000</v>
      </c>
    </row>
    <row r="383" spans="1:18" s="29" customFormat="1" ht="47.25">
      <c r="A383" s="28"/>
      <c r="B383" s="129" t="s">
        <v>321</v>
      </c>
      <c r="C383" s="131" t="s">
        <v>256</v>
      </c>
      <c r="D383" s="131" t="s">
        <v>317</v>
      </c>
      <c r="E383" s="131" t="s">
        <v>13</v>
      </c>
      <c r="F383" s="131" t="s">
        <v>322</v>
      </c>
      <c r="G383" s="131" t="s">
        <v>9</v>
      </c>
      <c r="H383" s="105">
        <f>H384</f>
        <v>0</v>
      </c>
      <c r="I383" s="178" t="str">
        <f t="shared" si="44"/>
        <v>602100306 Б 00 00000000</v>
      </c>
      <c r="L383" s="26">
        <v>2604.63</v>
      </c>
      <c r="M383" s="26">
        <v>2604.63</v>
      </c>
      <c r="N383" s="26">
        <v>7404.63</v>
      </c>
      <c r="O383" s="26">
        <f t="shared" si="51"/>
        <v>-2604.63</v>
      </c>
      <c r="P383" s="26" t="e">
        <f>#REF!-M383</f>
        <v>#REF!</v>
      </c>
      <c r="Q383" s="26" t="e">
        <f>#REF!-N383</f>
        <v>#REF!</v>
      </c>
      <c r="R383" s="17" t="str">
        <f t="shared" si="41"/>
        <v>06 Б 00 00000000</v>
      </c>
    </row>
    <row r="384" spans="1:18" s="29" customFormat="1" ht="31.5">
      <c r="A384" s="28"/>
      <c r="B384" s="129" t="s">
        <v>323</v>
      </c>
      <c r="C384" s="131" t="s">
        <v>256</v>
      </c>
      <c r="D384" s="131" t="s">
        <v>317</v>
      </c>
      <c r="E384" s="131" t="s">
        <v>13</v>
      </c>
      <c r="F384" s="131" t="s">
        <v>324</v>
      </c>
      <c r="G384" s="131" t="s">
        <v>9</v>
      </c>
      <c r="H384" s="105">
        <f>H388+H385</f>
        <v>0</v>
      </c>
      <c r="I384" s="178" t="str">
        <f t="shared" si="44"/>
        <v>602100306 Б 01 00000000</v>
      </c>
      <c r="L384" s="26">
        <v>2604.63</v>
      </c>
      <c r="M384" s="26">
        <v>2604.63</v>
      </c>
      <c r="N384" s="26">
        <v>7404.63</v>
      </c>
      <c r="O384" s="26">
        <f t="shared" si="51"/>
        <v>-2604.63</v>
      </c>
      <c r="P384" s="26" t="e">
        <f>#REF!-M384</f>
        <v>#REF!</v>
      </c>
      <c r="Q384" s="26" t="e">
        <f>#REF!-N384</f>
        <v>#REF!</v>
      </c>
      <c r="R384" s="17" t="str">
        <f t="shared" si="41"/>
        <v>06 Б 01 00000000</v>
      </c>
    </row>
    <row r="385" spans="1:18" s="29" customFormat="1" ht="157.5">
      <c r="A385" s="28"/>
      <c r="B385" s="125" t="s">
        <v>1087</v>
      </c>
      <c r="C385" s="109" t="s">
        <v>256</v>
      </c>
      <c r="D385" s="108" t="s">
        <v>317</v>
      </c>
      <c r="E385" s="108" t="s">
        <v>13</v>
      </c>
      <c r="F385" s="108" t="s">
        <v>1088</v>
      </c>
      <c r="G385" s="108" t="s">
        <v>9</v>
      </c>
      <c r="H385" s="105">
        <f t="shared" ref="H385:H386" si="53">H386</f>
        <v>0</v>
      </c>
      <c r="I385" s="178" t="str">
        <f t="shared" si="44"/>
        <v>602100306 Б 01 77360000</v>
      </c>
      <c r="L385" s="26"/>
      <c r="M385" s="26"/>
      <c r="N385" s="26"/>
      <c r="O385" s="26"/>
      <c r="P385" s="26"/>
      <c r="Q385" s="26"/>
      <c r="R385" s="17"/>
    </row>
    <row r="386" spans="1:18" s="29" customFormat="1" ht="31.5">
      <c r="A386" s="28"/>
      <c r="B386" s="125" t="s">
        <v>327</v>
      </c>
      <c r="C386" s="109" t="s">
        <v>256</v>
      </c>
      <c r="D386" s="108" t="s">
        <v>317</v>
      </c>
      <c r="E386" s="108" t="s">
        <v>13</v>
      </c>
      <c r="F386" s="108" t="s">
        <v>1088</v>
      </c>
      <c r="G386" s="108" t="s">
        <v>328</v>
      </c>
      <c r="H386" s="105">
        <f t="shared" si="53"/>
        <v>0</v>
      </c>
      <c r="I386" s="178" t="str">
        <f t="shared" si="44"/>
        <v>602100306 Б 01 77360320</v>
      </c>
      <c r="L386" s="26"/>
      <c r="M386" s="26"/>
      <c r="N386" s="26"/>
      <c r="O386" s="26"/>
      <c r="P386" s="26"/>
      <c r="Q386" s="26"/>
      <c r="R386" s="17"/>
    </row>
    <row r="387" spans="1:18" s="29" customFormat="1" ht="15.75">
      <c r="A387" s="28"/>
      <c r="B387" s="127" t="s">
        <v>329</v>
      </c>
      <c r="C387" s="109" t="s">
        <v>256</v>
      </c>
      <c r="D387" s="108" t="s">
        <v>317</v>
      </c>
      <c r="E387" s="108" t="s">
        <v>13</v>
      </c>
      <c r="F387" s="108" t="s">
        <v>1088</v>
      </c>
      <c r="G387" s="108" t="s">
        <v>330</v>
      </c>
      <c r="H387" s="105"/>
      <c r="I387" s="178" t="str">
        <f t="shared" si="44"/>
        <v>602100306 Б 01 77360322</v>
      </c>
      <c r="L387" s="26"/>
      <c r="M387" s="26"/>
      <c r="N387" s="26"/>
      <c r="O387" s="26"/>
      <c r="P387" s="26"/>
      <c r="Q387" s="26"/>
      <c r="R387" s="17"/>
    </row>
    <row r="388" spans="1:18" s="29" customFormat="1" ht="31.5">
      <c r="A388" s="28"/>
      <c r="B388" s="125" t="s">
        <v>325</v>
      </c>
      <c r="C388" s="131" t="s">
        <v>256</v>
      </c>
      <c r="D388" s="131" t="s">
        <v>317</v>
      </c>
      <c r="E388" s="131" t="s">
        <v>13</v>
      </c>
      <c r="F388" s="131" t="s">
        <v>326</v>
      </c>
      <c r="G388" s="131" t="s">
        <v>9</v>
      </c>
      <c r="H388" s="105">
        <f>H389</f>
        <v>0</v>
      </c>
      <c r="I388" s="178" t="str">
        <f t="shared" si="44"/>
        <v>602100306 Б 01 L0200000</v>
      </c>
      <c r="L388" s="26">
        <v>2604.63</v>
      </c>
      <c r="M388" s="26">
        <v>2604.63</v>
      </c>
      <c r="N388" s="26">
        <v>7404.63</v>
      </c>
      <c r="O388" s="26">
        <f t="shared" si="51"/>
        <v>-2604.63</v>
      </c>
      <c r="P388" s="26" t="e">
        <f>#REF!-M388</f>
        <v>#REF!</v>
      </c>
      <c r="Q388" s="26" t="e">
        <f>#REF!-N388</f>
        <v>#REF!</v>
      </c>
      <c r="R388" s="17" t="str">
        <f t="shared" si="41"/>
        <v>06 Б 01 L0200000</v>
      </c>
    </row>
    <row r="389" spans="1:18" s="29" customFormat="1" ht="31.5">
      <c r="A389" s="28"/>
      <c r="B389" s="132" t="s">
        <v>327</v>
      </c>
      <c r="C389" s="131" t="s">
        <v>256</v>
      </c>
      <c r="D389" s="131" t="s">
        <v>317</v>
      </c>
      <c r="E389" s="131" t="s">
        <v>13</v>
      </c>
      <c r="F389" s="131" t="s">
        <v>326</v>
      </c>
      <c r="G389" s="131" t="s">
        <v>328</v>
      </c>
      <c r="H389" s="126">
        <f>H390</f>
        <v>0</v>
      </c>
      <c r="I389" s="178" t="str">
        <f t="shared" si="44"/>
        <v>602100306 Б 01 L0200320</v>
      </c>
      <c r="L389" s="26">
        <v>2604.63</v>
      </c>
      <c r="M389" s="26">
        <v>2604.63</v>
      </c>
      <c r="N389" s="26">
        <v>7404.63</v>
      </c>
      <c r="O389" s="26">
        <f t="shared" si="51"/>
        <v>-2604.63</v>
      </c>
      <c r="P389" s="26" t="e">
        <f>#REF!-M389</f>
        <v>#REF!</v>
      </c>
      <c r="Q389" s="26" t="e">
        <f>#REF!-N389</f>
        <v>#REF!</v>
      </c>
      <c r="R389" s="17" t="str">
        <f t="shared" si="41"/>
        <v>06 Б 01 L0200320</v>
      </c>
    </row>
    <row r="390" spans="1:18" s="29" customFormat="1" ht="15.75">
      <c r="A390" s="28"/>
      <c r="B390" s="127" t="s">
        <v>329</v>
      </c>
      <c r="C390" s="108" t="s">
        <v>256</v>
      </c>
      <c r="D390" s="108" t="s">
        <v>317</v>
      </c>
      <c r="E390" s="108" t="s">
        <v>13</v>
      </c>
      <c r="F390" s="108" t="s">
        <v>326</v>
      </c>
      <c r="G390" s="108" t="s">
        <v>330</v>
      </c>
      <c r="H390" s="126"/>
      <c r="I390" s="178" t="str">
        <f t="shared" si="44"/>
        <v>602100306 Б 01 L0200322</v>
      </c>
      <c r="L390" s="20"/>
      <c r="M390" s="20"/>
      <c r="N390" s="20"/>
      <c r="O390" s="20"/>
      <c r="P390" s="20"/>
      <c r="Q390" s="20"/>
      <c r="R390" s="17" t="str">
        <f t="shared" si="41"/>
        <v>06 Б 01 L0200322</v>
      </c>
    </row>
    <row r="391" spans="1:18" s="29" customFormat="1" ht="15.75">
      <c r="A391" s="28"/>
      <c r="B391" s="125"/>
      <c r="C391" s="109"/>
      <c r="D391" s="108"/>
      <c r="E391" s="108"/>
      <c r="F391" s="108"/>
      <c r="G391" s="108"/>
      <c r="H391" s="126"/>
      <c r="I391" s="178" t="str">
        <f t="shared" si="44"/>
        <v/>
      </c>
      <c r="L391" s="20"/>
      <c r="M391" s="20"/>
      <c r="N391" s="20"/>
      <c r="O391" s="20">
        <f t="shared" ref="O391:O398" si="54">H391-L391</f>
        <v>0</v>
      </c>
      <c r="P391" s="20" t="e">
        <f>#REF!-M391</f>
        <v>#REF!</v>
      </c>
      <c r="Q391" s="20" t="e">
        <f>#REF!-N391</f>
        <v>#REF!</v>
      </c>
      <c r="R391" s="17" t="str">
        <f t="shared" si="41"/>
        <v/>
      </c>
    </row>
    <row r="392" spans="1:18" s="29" customFormat="1" ht="31.5">
      <c r="A392" s="28"/>
      <c r="B392" s="67" t="s">
        <v>331</v>
      </c>
      <c r="C392" s="116" t="s">
        <v>332</v>
      </c>
      <c r="D392" s="69" t="s">
        <v>7</v>
      </c>
      <c r="E392" s="69" t="s">
        <v>7</v>
      </c>
      <c r="F392" s="69" t="s">
        <v>8</v>
      </c>
      <c r="G392" s="69" t="s">
        <v>9</v>
      </c>
      <c r="H392" s="70">
        <f>H393+H431</f>
        <v>0</v>
      </c>
      <c r="I392" s="178" t="str">
        <f t="shared" si="44"/>
        <v>604000000 0 00 00000000</v>
      </c>
      <c r="L392" s="25">
        <v>285569.14</v>
      </c>
      <c r="M392" s="25">
        <v>377029.52</v>
      </c>
      <c r="N392" s="25">
        <v>438474.61</v>
      </c>
      <c r="O392" s="25">
        <f t="shared" si="54"/>
        <v>-285569.14</v>
      </c>
      <c r="P392" s="25" t="e">
        <f>#REF!-M392</f>
        <v>#REF!</v>
      </c>
      <c r="Q392" s="25" t="e">
        <f>#REF!-N392</f>
        <v>#REF!</v>
      </c>
      <c r="R392" s="17" t="str">
        <f t="shared" si="41"/>
        <v>00 0 00 00000000</v>
      </c>
    </row>
    <row r="393" spans="1:18" s="29" customFormat="1" ht="15.75">
      <c r="A393" s="28"/>
      <c r="B393" s="117" t="s">
        <v>10</v>
      </c>
      <c r="C393" s="118" t="s">
        <v>332</v>
      </c>
      <c r="D393" s="119" t="s">
        <v>11</v>
      </c>
      <c r="E393" s="119" t="s">
        <v>7</v>
      </c>
      <c r="F393" s="119" t="s">
        <v>8</v>
      </c>
      <c r="G393" s="119" t="s">
        <v>9</v>
      </c>
      <c r="H393" s="120">
        <f>H394+H411+H416</f>
        <v>0</v>
      </c>
      <c r="I393" s="178" t="str">
        <f t="shared" si="44"/>
        <v>604010000 0 00 00000000</v>
      </c>
      <c r="L393" s="18">
        <v>110854.14</v>
      </c>
      <c r="M393" s="18">
        <v>153659.52000000002</v>
      </c>
      <c r="N393" s="18">
        <v>176536.61</v>
      </c>
      <c r="O393" s="18">
        <f t="shared" si="54"/>
        <v>-110854.14</v>
      </c>
      <c r="P393" s="18" t="e">
        <f>#REF!-M393</f>
        <v>#REF!</v>
      </c>
      <c r="Q393" s="18" t="e">
        <f>#REF!-N393</f>
        <v>#REF!</v>
      </c>
      <c r="R393" s="17" t="str">
        <f t="shared" si="41"/>
        <v>00 0 00 00000000</v>
      </c>
    </row>
    <row r="394" spans="1:18" s="29" customFormat="1" ht="47.25">
      <c r="A394" s="28"/>
      <c r="B394" s="121" t="s">
        <v>333</v>
      </c>
      <c r="C394" s="122" t="s">
        <v>332</v>
      </c>
      <c r="D394" s="123" t="s">
        <v>11</v>
      </c>
      <c r="E394" s="123" t="s">
        <v>334</v>
      </c>
      <c r="F394" s="123" t="s">
        <v>8</v>
      </c>
      <c r="G394" s="123" t="s">
        <v>9</v>
      </c>
      <c r="H394" s="124">
        <f t="shared" ref="H394:H395" si="55">H395</f>
        <v>0</v>
      </c>
      <c r="I394" s="178" t="str">
        <f t="shared" si="44"/>
        <v>604010600 0 00 00000000</v>
      </c>
      <c r="L394" s="19">
        <v>45844.87</v>
      </c>
      <c r="M394" s="19">
        <v>44344.87</v>
      </c>
      <c r="N394" s="19">
        <v>44344.87</v>
      </c>
      <c r="O394" s="19">
        <f t="shared" si="54"/>
        <v>-45844.87</v>
      </c>
      <c r="P394" s="19" t="e">
        <f>#REF!-M394</f>
        <v>#REF!</v>
      </c>
      <c r="Q394" s="19" t="e">
        <f>#REF!-N394</f>
        <v>#REF!</v>
      </c>
      <c r="R394" s="17" t="str">
        <f t="shared" si="41"/>
        <v>00 0 00 00000000</v>
      </c>
    </row>
    <row r="395" spans="1:18" s="29" customFormat="1" ht="31.5">
      <c r="A395" s="28"/>
      <c r="B395" s="143" t="s">
        <v>335</v>
      </c>
      <c r="C395" s="109" t="s">
        <v>332</v>
      </c>
      <c r="D395" s="108" t="s">
        <v>11</v>
      </c>
      <c r="E395" s="108" t="s">
        <v>334</v>
      </c>
      <c r="F395" s="108" t="s">
        <v>336</v>
      </c>
      <c r="G395" s="108" t="s">
        <v>9</v>
      </c>
      <c r="H395" s="126">
        <f t="shared" si="55"/>
        <v>0</v>
      </c>
      <c r="I395" s="178" t="str">
        <f t="shared" si="44"/>
        <v>604010673 0 00 00000000</v>
      </c>
      <c r="L395" s="20">
        <v>45844.87</v>
      </c>
      <c r="M395" s="20">
        <v>44344.87</v>
      </c>
      <c r="N395" s="20">
        <v>44344.87</v>
      </c>
      <c r="O395" s="20">
        <f t="shared" si="54"/>
        <v>-45844.87</v>
      </c>
      <c r="P395" s="20" t="e">
        <f>#REF!-M395</f>
        <v>#REF!</v>
      </c>
      <c r="Q395" s="20" t="e">
        <f>#REF!-N395</f>
        <v>#REF!</v>
      </c>
      <c r="R395" s="17" t="str">
        <f t="shared" si="41"/>
        <v>73 0 00 00000000</v>
      </c>
    </row>
    <row r="396" spans="1:18" s="29" customFormat="1" ht="47.25">
      <c r="A396" s="28"/>
      <c r="B396" s="143" t="s">
        <v>337</v>
      </c>
      <c r="C396" s="109" t="s">
        <v>332</v>
      </c>
      <c r="D396" s="108" t="s">
        <v>11</v>
      </c>
      <c r="E396" s="108" t="s">
        <v>334</v>
      </c>
      <c r="F396" s="108" t="s">
        <v>338</v>
      </c>
      <c r="G396" s="108" t="s">
        <v>9</v>
      </c>
      <c r="H396" s="126">
        <f>H397+H407</f>
        <v>0</v>
      </c>
      <c r="I396" s="178" t="str">
        <f t="shared" si="44"/>
        <v>604010673 1 00 00000000</v>
      </c>
      <c r="L396" s="20">
        <v>45844.87</v>
      </c>
      <c r="M396" s="20">
        <v>44344.87</v>
      </c>
      <c r="N396" s="20">
        <v>44344.87</v>
      </c>
      <c r="O396" s="20">
        <f t="shared" si="54"/>
        <v>-45844.87</v>
      </c>
      <c r="P396" s="20" t="e">
        <f>#REF!-M396</f>
        <v>#REF!</v>
      </c>
      <c r="Q396" s="20" t="e">
        <f>#REF!-N396</f>
        <v>#REF!</v>
      </c>
      <c r="R396" s="17" t="str">
        <f t="shared" ref="R396:R483" si="56">CONCATENATE(F396,G396)</f>
        <v>73 1 00 00000000</v>
      </c>
    </row>
    <row r="397" spans="1:18" s="29" customFormat="1" ht="31.5">
      <c r="A397" s="28"/>
      <c r="B397" s="144" t="s">
        <v>18</v>
      </c>
      <c r="C397" s="109" t="s">
        <v>332</v>
      </c>
      <c r="D397" s="108" t="s">
        <v>11</v>
      </c>
      <c r="E397" s="108" t="s">
        <v>334</v>
      </c>
      <c r="F397" s="108" t="s">
        <v>339</v>
      </c>
      <c r="G397" s="108" t="s">
        <v>9</v>
      </c>
      <c r="H397" s="126">
        <f>H398+H401+H403</f>
        <v>0</v>
      </c>
      <c r="I397" s="178" t="str">
        <f t="shared" si="44"/>
        <v>604010673 1 00 10010000</v>
      </c>
      <c r="L397" s="20">
        <v>6243.8</v>
      </c>
      <c r="M397" s="20">
        <v>4743.8</v>
      </c>
      <c r="N397" s="20">
        <v>4743.8</v>
      </c>
      <c r="O397" s="20">
        <f t="shared" si="54"/>
        <v>-6243.8</v>
      </c>
      <c r="P397" s="20" t="e">
        <f>#REF!-M397</f>
        <v>#REF!</v>
      </c>
      <c r="Q397" s="20" t="e">
        <f>#REF!-N397</f>
        <v>#REF!</v>
      </c>
      <c r="R397" s="17" t="str">
        <f t="shared" si="56"/>
        <v>73 1 00 10010000</v>
      </c>
    </row>
    <row r="398" spans="1:18" s="29" customFormat="1" ht="31.5">
      <c r="A398" s="28"/>
      <c r="B398" s="127" t="s">
        <v>20</v>
      </c>
      <c r="C398" s="109" t="s">
        <v>332</v>
      </c>
      <c r="D398" s="108" t="s">
        <v>11</v>
      </c>
      <c r="E398" s="108" t="s">
        <v>334</v>
      </c>
      <c r="F398" s="108" t="s">
        <v>339</v>
      </c>
      <c r="G398" s="108" t="s">
        <v>21</v>
      </c>
      <c r="H398" s="126">
        <f>SUM(H399:H400)</f>
        <v>0</v>
      </c>
      <c r="I398" s="178" t="str">
        <f t="shared" si="44"/>
        <v>604010673 1 00 10010120</v>
      </c>
      <c r="L398" s="20">
        <v>1291.3399999999999</v>
      </c>
      <c r="M398" s="20">
        <v>1291.3399999999999</v>
      </c>
      <c r="N398" s="20">
        <v>1291.3399999999999</v>
      </c>
      <c r="O398" s="20">
        <f t="shared" si="54"/>
        <v>-1291.3399999999999</v>
      </c>
      <c r="P398" s="20" t="e">
        <f>#REF!-M398</f>
        <v>#REF!</v>
      </c>
      <c r="Q398" s="20" t="e">
        <f>#REF!-N398</f>
        <v>#REF!</v>
      </c>
      <c r="R398" s="17" t="str">
        <f t="shared" si="56"/>
        <v>73 1 00 10010120</v>
      </c>
    </row>
    <row r="399" spans="1:18" s="31" customFormat="1" ht="47.25">
      <c r="A399" s="30"/>
      <c r="B399" s="127" t="s">
        <v>22</v>
      </c>
      <c r="C399" s="109" t="s">
        <v>332</v>
      </c>
      <c r="D399" s="108" t="s">
        <v>11</v>
      </c>
      <c r="E399" s="108" t="s">
        <v>334</v>
      </c>
      <c r="F399" s="108" t="s">
        <v>339</v>
      </c>
      <c r="G399" s="108" t="s">
        <v>23</v>
      </c>
      <c r="H399" s="126"/>
      <c r="I399" s="178" t="str">
        <f t="shared" si="44"/>
        <v>604010673 1 00 10010122</v>
      </c>
      <c r="L399" s="22"/>
      <c r="M399" s="22"/>
      <c r="N399" s="22"/>
      <c r="O399" s="22"/>
      <c r="P399" s="22"/>
      <c r="Q399" s="22"/>
      <c r="R399" s="24"/>
    </row>
    <row r="400" spans="1:18" s="31" customFormat="1" ht="63">
      <c r="A400" s="30"/>
      <c r="B400" s="127" t="s">
        <v>26</v>
      </c>
      <c r="C400" s="109" t="s">
        <v>332</v>
      </c>
      <c r="D400" s="108" t="s">
        <v>11</v>
      </c>
      <c r="E400" s="108" t="s">
        <v>334</v>
      </c>
      <c r="F400" s="108" t="s">
        <v>339</v>
      </c>
      <c r="G400" s="108" t="s">
        <v>27</v>
      </c>
      <c r="H400" s="126"/>
      <c r="I400" s="178" t="str">
        <f t="shared" si="44"/>
        <v>604010673 1 00 10010129</v>
      </c>
      <c r="L400" s="22"/>
      <c r="M400" s="22"/>
      <c r="N400" s="22"/>
      <c r="O400" s="22"/>
      <c r="P400" s="22"/>
      <c r="Q400" s="22"/>
      <c r="R400" s="24"/>
    </row>
    <row r="401" spans="1:18" s="29" customFormat="1" ht="31.5">
      <c r="A401" s="28"/>
      <c r="B401" s="125" t="s">
        <v>28</v>
      </c>
      <c r="C401" s="109" t="s">
        <v>332</v>
      </c>
      <c r="D401" s="108" t="s">
        <v>11</v>
      </c>
      <c r="E401" s="108" t="s">
        <v>334</v>
      </c>
      <c r="F401" s="108" t="s">
        <v>339</v>
      </c>
      <c r="G401" s="108" t="s">
        <v>29</v>
      </c>
      <c r="H401" s="126">
        <f>H402</f>
        <v>0</v>
      </c>
      <c r="I401" s="178" t="str">
        <f t="shared" si="44"/>
        <v>604010673 1 00 10010240</v>
      </c>
      <c r="L401" s="20">
        <v>4891.99</v>
      </c>
      <c r="M401" s="20">
        <v>3391.99</v>
      </c>
      <c r="N401" s="20">
        <v>3391.99</v>
      </c>
      <c r="O401" s="20">
        <f>H401-L401</f>
        <v>-4891.99</v>
      </c>
      <c r="P401" s="20" t="e">
        <f>#REF!-M401</f>
        <v>#REF!</v>
      </c>
      <c r="Q401" s="20" t="e">
        <f>#REF!-N401</f>
        <v>#REF!</v>
      </c>
      <c r="R401" s="17" t="str">
        <f t="shared" si="56"/>
        <v>73 1 00 10010240</v>
      </c>
    </row>
    <row r="402" spans="1:18" s="29" customFormat="1" ht="15.75">
      <c r="A402" s="28"/>
      <c r="B402" s="125" t="s">
        <v>30</v>
      </c>
      <c r="C402" s="109" t="s">
        <v>332</v>
      </c>
      <c r="D402" s="108" t="s">
        <v>11</v>
      </c>
      <c r="E402" s="108" t="s">
        <v>334</v>
      </c>
      <c r="F402" s="108" t="s">
        <v>339</v>
      </c>
      <c r="G402" s="108" t="s">
        <v>31</v>
      </c>
      <c r="H402" s="126"/>
      <c r="I402" s="178" t="str">
        <f t="shared" si="44"/>
        <v>604010673 1 00 10010244</v>
      </c>
      <c r="L402" s="20"/>
      <c r="M402" s="20"/>
      <c r="N402" s="20"/>
      <c r="O402" s="20"/>
      <c r="P402" s="20"/>
      <c r="Q402" s="20"/>
      <c r="R402" s="17"/>
    </row>
    <row r="403" spans="1:18" s="29" customFormat="1" ht="15.75">
      <c r="A403" s="28"/>
      <c r="B403" s="125" t="s">
        <v>32</v>
      </c>
      <c r="C403" s="109" t="s">
        <v>332</v>
      </c>
      <c r="D403" s="108" t="s">
        <v>11</v>
      </c>
      <c r="E403" s="108" t="s">
        <v>334</v>
      </c>
      <c r="F403" s="108" t="s">
        <v>339</v>
      </c>
      <c r="G403" s="108" t="s">
        <v>33</v>
      </c>
      <c r="H403" s="126">
        <f>SUM(H404:H406)</f>
        <v>0</v>
      </c>
      <c r="I403" s="178" t="str">
        <f t="shared" si="44"/>
        <v>604010673 1 00 10010850</v>
      </c>
      <c r="L403" s="20">
        <v>60.47</v>
      </c>
      <c r="M403" s="20">
        <v>60.47</v>
      </c>
      <c r="N403" s="20">
        <v>60.47</v>
      </c>
      <c r="O403" s="20">
        <f>H403-L403</f>
        <v>-60.47</v>
      </c>
      <c r="P403" s="20" t="e">
        <f>#REF!-M403</f>
        <v>#REF!</v>
      </c>
      <c r="Q403" s="20" t="e">
        <f>#REF!-N403</f>
        <v>#REF!</v>
      </c>
      <c r="R403" s="17" t="str">
        <f t="shared" si="56"/>
        <v>73 1 00 10010850</v>
      </c>
    </row>
    <row r="404" spans="1:18" s="31" customFormat="1" ht="31.5">
      <c r="A404" s="30"/>
      <c r="B404" s="127" t="s">
        <v>34</v>
      </c>
      <c r="C404" s="109" t="s">
        <v>332</v>
      </c>
      <c r="D404" s="108" t="s">
        <v>11</v>
      </c>
      <c r="E404" s="108" t="s">
        <v>334</v>
      </c>
      <c r="F404" s="108" t="s">
        <v>339</v>
      </c>
      <c r="G404" s="108" t="s">
        <v>35</v>
      </c>
      <c r="H404" s="126"/>
      <c r="I404" s="178" t="str">
        <f t="shared" si="44"/>
        <v>604010673 1 00 10010851</v>
      </c>
      <c r="L404" s="22"/>
      <c r="M404" s="22"/>
      <c r="N404" s="22"/>
      <c r="O404" s="22"/>
      <c r="P404" s="22"/>
      <c r="Q404" s="22"/>
      <c r="R404" s="24"/>
    </row>
    <row r="405" spans="1:18" s="31" customFormat="1" ht="15.75">
      <c r="A405" s="30"/>
      <c r="B405" s="127" t="s">
        <v>36</v>
      </c>
      <c r="C405" s="109" t="s">
        <v>332</v>
      </c>
      <c r="D405" s="108" t="s">
        <v>11</v>
      </c>
      <c r="E405" s="108" t="s">
        <v>334</v>
      </c>
      <c r="F405" s="108" t="s">
        <v>339</v>
      </c>
      <c r="G405" s="108" t="s">
        <v>37</v>
      </c>
      <c r="H405" s="126"/>
      <c r="I405" s="178" t="str">
        <f t="shared" ref="I405:I468" si="57">C405&amp;D405&amp;E405&amp;F405&amp;G405</f>
        <v>604010673 1 00 10010852</v>
      </c>
      <c r="L405" s="22"/>
      <c r="M405" s="22"/>
      <c r="N405" s="22"/>
      <c r="O405" s="22"/>
      <c r="P405" s="22"/>
      <c r="Q405" s="22"/>
      <c r="R405" s="24"/>
    </row>
    <row r="406" spans="1:18" s="31" customFormat="1" ht="15.75">
      <c r="A406" s="30"/>
      <c r="B406" s="127" t="s">
        <v>77</v>
      </c>
      <c r="C406" s="109" t="s">
        <v>332</v>
      </c>
      <c r="D406" s="108" t="s">
        <v>11</v>
      </c>
      <c r="E406" s="108" t="s">
        <v>334</v>
      </c>
      <c r="F406" s="108" t="s">
        <v>339</v>
      </c>
      <c r="G406" s="108" t="s">
        <v>78</v>
      </c>
      <c r="H406" s="126"/>
      <c r="I406" s="178" t="str">
        <f t="shared" si="57"/>
        <v>604010673 1 00 10010853</v>
      </c>
      <c r="L406" s="22"/>
      <c r="M406" s="22"/>
      <c r="N406" s="22"/>
      <c r="O406" s="22"/>
      <c r="P406" s="22"/>
      <c r="Q406" s="22"/>
      <c r="R406" s="24"/>
    </row>
    <row r="407" spans="1:18" s="29" customFormat="1" ht="31.5">
      <c r="A407" s="28"/>
      <c r="B407" s="144" t="s">
        <v>38</v>
      </c>
      <c r="C407" s="109" t="s">
        <v>332</v>
      </c>
      <c r="D407" s="108" t="s">
        <v>11</v>
      </c>
      <c r="E407" s="108" t="s">
        <v>334</v>
      </c>
      <c r="F407" s="108" t="s">
        <v>340</v>
      </c>
      <c r="G407" s="108" t="s">
        <v>9</v>
      </c>
      <c r="H407" s="126">
        <f>H408</f>
        <v>0</v>
      </c>
      <c r="I407" s="178" t="str">
        <f t="shared" si="57"/>
        <v>604010673 1 00 10020000</v>
      </c>
      <c r="L407" s="20">
        <v>39601.07</v>
      </c>
      <c r="M407" s="20">
        <v>39601.07</v>
      </c>
      <c r="N407" s="20">
        <v>39601.07</v>
      </c>
      <c r="O407" s="20">
        <f>H407-L407</f>
        <v>-39601.07</v>
      </c>
      <c r="P407" s="20" t="e">
        <f>#REF!-M407</f>
        <v>#REF!</v>
      </c>
      <c r="Q407" s="20" t="e">
        <f>#REF!-N407</f>
        <v>#REF!</v>
      </c>
      <c r="R407" s="17" t="str">
        <f t="shared" si="56"/>
        <v>73 1 00 10020000</v>
      </c>
    </row>
    <row r="408" spans="1:18" s="29" customFormat="1" ht="31.5">
      <c r="A408" s="28"/>
      <c r="B408" s="127" t="s">
        <v>20</v>
      </c>
      <c r="C408" s="109" t="s">
        <v>332</v>
      </c>
      <c r="D408" s="108" t="s">
        <v>11</v>
      </c>
      <c r="E408" s="108" t="s">
        <v>334</v>
      </c>
      <c r="F408" s="108" t="s">
        <v>340</v>
      </c>
      <c r="G408" s="108" t="s">
        <v>21</v>
      </c>
      <c r="H408" s="126">
        <f>SUM(H409:H410)</f>
        <v>0</v>
      </c>
      <c r="I408" s="178" t="str">
        <f t="shared" si="57"/>
        <v>604010673 1 00 10020120</v>
      </c>
      <c r="L408" s="20">
        <v>39601.07</v>
      </c>
      <c r="M408" s="20">
        <v>39601.07</v>
      </c>
      <c r="N408" s="20">
        <v>39601.07</v>
      </c>
      <c r="O408" s="20">
        <f>H408-L408</f>
        <v>-39601.07</v>
      </c>
      <c r="P408" s="20" t="e">
        <f>#REF!-M408</f>
        <v>#REF!</v>
      </c>
      <c r="Q408" s="20" t="e">
        <f>#REF!-N408</f>
        <v>#REF!</v>
      </c>
      <c r="R408" s="17" t="str">
        <f t="shared" si="56"/>
        <v>73 1 00 10020120</v>
      </c>
    </row>
    <row r="409" spans="1:18" s="31" customFormat="1" ht="31.5">
      <c r="A409" s="30"/>
      <c r="B409" s="127" t="s">
        <v>40</v>
      </c>
      <c r="C409" s="109" t="s">
        <v>332</v>
      </c>
      <c r="D409" s="108" t="s">
        <v>11</v>
      </c>
      <c r="E409" s="108" t="s">
        <v>334</v>
      </c>
      <c r="F409" s="108" t="s">
        <v>340</v>
      </c>
      <c r="G409" s="108" t="s">
        <v>41</v>
      </c>
      <c r="H409" s="126"/>
      <c r="I409" s="178" t="str">
        <f t="shared" si="57"/>
        <v>604010673 1 00 10020121</v>
      </c>
      <c r="L409" s="22"/>
      <c r="M409" s="22"/>
      <c r="N409" s="22"/>
      <c r="O409" s="22"/>
      <c r="P409" s="22"/>
      <c r="Q409" s="22"/>
      <c r="R409" s="24"/>
    </row>
    <row r="410" spans="1:18" s="31" customFormat="1" ht="63">
      <c r="A410" s="30"/>
      <c r="B410" s="127" t="s">
        <v>26</v>
      </c>
      <c r="C410" s="109" t="s">
        <v>332</v>
      </c>
      <c r="D410" s="108" t="s">
        <v>11</v>
      </c>
      <c r="E410" s="108" t="s">
        <v>334</v>
      </c>
      <c r="F410" s="108" t="s">
        <v>340</v>
      </c>
      <c r="G410" s="108" t="s">
        <v>27</v>
      </c>
      <c r="H410" s="126"/>
      <c r="I410" s="178" t="str">
        <f t="shared" si="57"/>
        <v>604010673 1 00 10020129</v>
      </c>
      <c r="L410" s="22"/>
      <c r="M410" s="22"/>
      <c r="N410" s="22"/>
      <c r="O410" s="22"/>
      <c r="P410" s="22"/>
      <c r="Q410" s="22"/>
      <c r="R410" s="24"/>
    </row>
    <row r="411" spans="1:18" s="29" customFormat="1" ht="15.75">
      <c r="A411" s="28"/>
      <c r="B411" s="121" t="s">
        <v>341</v>
      </c>
      <c r="C411" s="122" t="s">
        <v>332</v>
      </c>
      <c r="D411" s="123" t="s">
        <v>11</v>
      </c>
      <c r="E411" s="123" t="s">
        <v>342</v>
      </c>
      <c r="F411" s="123" t="s">
        <v>8</v>
      </c>
      <c r="G411" s="123" t="s">
        <v>343</v>
      </c>
      <c r="H411" s="124">
        <f>H412</f>
        <v>0</v>
      </c>
      <c r="I411" s="178" t="str">
        <f t="shared" si="57"/>
        <v xml:space="preserve">604011100 0 00 00000000 </v>
      </c>
      <c r="L411" s="19">
        <v>12775.54</v>
      </c>
      <c r="M411" s="19">
        <v>12775.54</v>
      </c>
      <c r="N411" s="19">
        <v>12775.54</v>
      </c>
      <c r="O411" s="19">
        <f t="shared" ref="O411:O421" si="58">H411-L411</f>
        <v>-12775.54</v>
      </c>
      <c r="P411" s="19" t="e">
        <f>#REF!-M411</f>
        <v>#REF!</v>
      </c>
      <c r="Q411" s="19" t="e">
        <f>#REF!-N411</f>
        <v>#REF!</v>
      </c>
      <c r="R411" s="17" t="str">
        <f t="shared" si="56"/>
        <v xml:space="preserve">00 0 00 00000000 </v>
      </c>
    </row>
    <row r="412" spans="1:18" s="29" customFormat="1" ht="63">
      <c r="A412" s="28"/>
      <c r="B412" s="125" t="s">
        <v>87</v>
      </c>
      <c r="C412" s="109" t="s">
        <v>332</v>
      </c>
      <c r="D412" s="108" t="s">
        <v>11</v>
      </c>
      <c r="E412" s="108" t="s">
        <v>342</v>
      </c>
      <c r="F412" s="108" t="s">
        <v>88</v>
      </c>
      <c r="G412" s="108" t="s">
        <v>9</v>
      </c>
      <c r="H412" s="126">
        <f>H413</f>
        <v>0</v>
      </c>
      <c r="I412" s="178" t="str">
        <f t="shared" si="57"/>
        <v>604011198 0 00 00000000</v>
      </c>
      <c r="L412" s="20">
        <v>12775.54</v>
      </c>
      <c r="M412" s="20">
        <v>12775.54</v>
      </c>
      <c r="N412" s="20">
        <v>12775.54</v>
      </c>
      <c r="O412" s="20">
        <f t="shared" si="58"/>
        <v>-12775.54</v>
      </c>
      <c r="P412" s="20" t="e">
        <f>#REF!-M412</f>
        <v>#REF!</v>
      </c>
      <c r="Q412" s="20" t="e">
        <f>#REF!-N412</f>
        <v>#REF!</v>
      </c>
      <c r="R412" s="17" t="str">
        <f t="shared" si="56"/>
        <v>98 0 00 00000000</v>
      </c>
    </row>
    <row r="413" spans="1:18" s="29" customFormat="1" ht="15.75">
      <c r="A413" s="28"/>
      <c r="B413" s="125" t="s">
        <v>89</v>
      </c>
      <c r="C413" s="109" t="s">
        <v>332</v>
      </c>
      <c r="D413" s="108" t="s">
        <v>11</v>
      </c>
      <c r="E413" s="108" t="s">
        <v>342</v>
      </c>
      <c r="F413" s="108" t="s">
        <v>90</v>
      </c>
      <c r="G413" s="108" t="s">
        <v>9</v>
      </c>
      <c r="H413" s="126">
        <f>H414</f>
        <v>0</v>
      </c>
      <c r="I413" s="178" t="str">
        <f t="shared" si="57"/>
        <v>604011198 1 00 00000000</v>
      </c>
      <c r="L413" s="20">
        <v>12775.54</v>
      </c>
      <c r="M413" s="20">
        <v>12775.54</v>
      </c>
      <c r="N413" s="20">
        <v>12775.54</v>
      </c>
      <c r="O413" s="20">
        <f t="shared" si="58"/>
        <v>-12775.54</v>
      </c>
      <c r="P413" s="20" t="e">
        <f>#REF!-M413</f>
        <v>#REF!</v>
      </c>
      <c r="Q413" s="20" t="e">
        <f>#REF!-N413</f>
        <v>#REF!</v>
      </c>
      <c r="R413" s="17" t="str">
        <f t="shared" si="56"/>
        <v>98 1 00 00000000</v>
      </c>
    </row>
    <row r="414" spans="1:18" s="29" customFormat="1" ht="15.75">
      <c r="A414" s="28"/>
      <c r="B414" s="125" t="s">
        <v>344</v>
      </c>
      <c r="C414" s="109" t="s">
        <v>332</v>
      </c>
      <c r="D414" s="108" t="s">
        <v>11</v>
      </c>
      <c r="E414" s="108" t="s">
        <v>342</v>
      </c>
      <c r="F414" s="108" t="s">
        <v>345</v>
      </c>
      <c r="G414" s="108" t="s">
        <v>9</v>
      </c>
      <c r="H414" s="126">
        <f>H415</f>
        <v>0</v>
      </c>
      <c r="I414" s="178" t="str">
        <f t="shared" si="57"/>
        <v>604011198 1 00 20020000</v>
      </c>
      <c r="L414" s="20">
        <v>12775.54</v>
      </c>
      <c r="M414" s="20">
        <v>12775.54</v>
      </c>
      <c r="N414" s="20">
        <v>12775.54</v>
      </c>
      <c r="O414" s="20">
        <f t="shared" si="58"/>
        <v>-12775.54</v>
      </c>
      <c r="P414" s="20" t="e">
        <f>#REF!-M414</f>
        <v>#REF!</v>
      </c>
      <c r="Q414" s="20" t="e">
        <f>#REF!-N414</f>
        <v>#REF!</v>
      </c>
      <c r="R414" s="17" t="str">
        <f t="shared" si="56"/>
        <v>98 1 00 20020000</v>
      </c>
    </row>
    <row r="415" spans="1:18" s="29" customFormat="1" ht="15.75">
      <c r="A415" s="28"/>
      <c r="B415" s="125" t="s">
        <v>346</v>
      </c>
      <c r="C415" s="109" t="s">
        <v>332</v>
      </c>
      <c r="D415" s="108" t="s">
        <v>11</v>
      </c>
      <c r="E415" s="108" t="s">
        <v>342</v>
      </c>
      <c r="F415" s="108" t="s">
        <v>345</v>
      </c>
      <c r="G415" s="108" t="s">
        <v>347</v>
      </c>
      <c r="H415" s="126"/>
      <c r="I415" s="178" t="str">
        <f t="shared" si="57"/>
        <v>604011198 1 00 20020870</v>
      </c>
      <c r="L415" s="20">
        <v>12775.54</v>
      </c>
      <c r="M415" s="20">
        <v>12775.54</v>
      </c>
      <c r="N415" s="20">
        <v>12775.54</v>
      </c>
      <c r="O415" s="20">
        <f t="shared" si="58"/>
        <v>-12775.54</v>
      </c>
      <c r="P415" s="20" t="e">
        <f>#REF!-M415</f>
        <v>#REF!</v>
      </c>
      <c r="Q415" s="20" t="e">
        <f>#REF!-N415</f>
        <v>#REF!</v>
      </c>
      <c r="R415" s="17" t="str">
        <f t="shared" si="56"/>
        <v>98 1 00 20020870</v>
      </c>
    </row>
    <row r="416" spans="1:18" s="29" customFormat="1" ht="15.75">
      <c r="A416" s="28"/>
      <c r="B416" s="121" t="s">
        <v>50</v>
      </c>
      <c r="C416" s="122" t="s">
        <v>332</v>
      </c>
      <c r="D416" s="123" t="s">
        <v>11</v>
      </c>
      <c r="E416" s="123" t="s">
        <v>51</v>
      </c>
      <c r="F416" s="123" t="s">
        <v>8</v>
      </c>
      <c r="G416" s="123" t="s">
        <v>9</v>
      </c>
      <c r="H416" s="124">
        <f>H423+H417</f>
        <v>0</v>
      </c>
      <c r="I416" s="178" t="str">
        <f t="shared" si="57"/>
        <v>604011300 0 00 00000000</v>
      </c>
      <c r="L416" s="19">
        <v>52233.729999999996</v>
      </c>
      <c r="M416" s="19">
        <v>96539.11</v>
      </c>
      <c r="N416" s="19">
        <v>119416.2</v>
      </c>
      <c r="O416" s="19">
        <f t="shared" si="58"/>
        <v>-52233.729999999996</v>
      </c>
      <c r="P416" s="19" t="e">
        <f>#REF!-M416</f>
        <v>#REF!</v>
      </c>
      <c r="Q416" s="19" t="e">
        <f>#REF!-N416</f>
        <v>#REF!</v>
      </c>
      <c r="R416" s="17" t="str">
        <f t="shared" si="56"/>
        <v>00 0 00 00000000</v>
      </c>
    </row>
    <row r="417" spans="1:18" s="29" customFormat="1" ht="47.25">
      <c r="A417" s="28"/>
      <c r="B417" s="127" t="s">
        <v>348</v>
      </c>
      <c r="C417" s="109" t="s">
        <v>332</v>
      </c>
      <c r="D417" s="108" t="s">
        <v>11</v>
      </c>
      <c r="E417" s="108" t="s">
        <v>51</v>
      </c>
      <c r="F417" s="108" t="s">
        <v>349</v>
      </c>
      <c r="G417" s="108" t="s">
        <v>9</v>
      </c>
      <c r="H417" s="126">
        <f t="shared" ref="H417:H420" si="59">H418</f>
        <v>0</v>
      </c>
      <c r="I417" s="178" t="str">
        <f t="shared" si="57"/>
        <v>604011310 0 00 00000000</v>
      </c>
      <c r="L417" s="20">
        <v>3544.42</v>
      </c>
      <c r="M417" s="20">
        <v>9744.42</v>
      </c>
      <c r="N417" s="20">
        <v>9744.42</v>
      </c>
      <c r="O417" s="20">
        <f t="shared" si="58"/>
        <v>-3544.42</v>
      </c>
      <c r="P417" s="20" t="e">
        <f>#REF!-M417</f>
        <v>#REF!</v>
      </c>
      <c r="Q417" s="20" t="e">
        <f>#REF!-N417</f>
        <v>#REF!</v>
      </c>
      <c r="R417" s="17" t="str">
        <f t="shared" si="56"/>
        <v>10 0 00 00000000</v>
      </c>
    </row>
    <row r="418" spans="1:18" s="29" customFormat="1" ht="47.25">
      <c r="A418" s="28"/>
      <c r="B418" s="127" t="s">
        <v>350</v>
      </c>
      <c r="C418" s="109" t="s">
        <v>332</v>
      </c>
      <c r="D418" s="108" t="s">
        <v>11</v>
      </c>
      <c r="E418" s="108" t="s">
        <v>51</v>
      </c>
      <c r="F418" s="108" t="s">
        <v>351</v>
      </c>
      <c r="G418" s="108" t="s">
        <v>9</v>
      </c>
      <c r="H418" s="126">
        <f t="shared" si="59"/>
        <v>0</v>
      </c>
      <c r="I418" s="178" t="str">
        <f t="shared" si="57"/>
        <v>604011310 Б 00 00000000</v>
      </c>
      <c r="L418" s="20">
        <v>3544.42</v>
      </c>
      <c r="M418" s="20">
        <v>9744.42</v>
      </c>
      <c r="N418" s="20">
        <v>9744.42</v>
      </c>
      <c r="O418" s="20">
        <f t="shared" si="58"/>
        <v>-3544.42</v>
      </c>
      <c r="P418" s="20" t="e">
        <f>#REF!-M418</f>
        <v>#REF!</v>
      </c>
      <c r="Q418" s="20" t="e">
        <f>#REF!-N418</f>
        <v>#REF!</v>
      </c>
      <c r="R418" s="17" t="str">
        <f t="shared" si="56"/>
        <v>10 Б 00 00000000</v>
      </c>
    </row>
    <row r="419" spans="1:18" s="29" customFormat="1" ht="78.75">
      <c r="A419" s="28"/>
      <c r="B419" s="127" t="s">
        <v>352</v>
      </c>
      <c r="C419" s="109" t="s">
        <v>332</v>
      </c>
      <c r="D419" s="108" t="s">
        <v>11</v>
      </c>
      <c r="E419" s="108" t="s">
        <v>51</v>
      </c>
      <c r="F419" s="108" t="s">
        <v>353</v>
      </c>
      <c r="G419" s="108" t="s">
        <v>9</v>
      </c>
      <c r="H419" s="126">
        <f t="shared" si="59"/>
        <v>0</v>
      </c>
      <c r="I419" s="178" t="str">
        <f t="shared" si="57"/>
        <v>604011310 Б 01 00000000</v>
      </c>
      <c r="L419" s="20">
        <v>3544.42</v>
      </c>
      <c r="M419" s="20">
        <v>9744.42</v>
      </c>
      <c r="N419" s="20">
        <v>9744.42</v>
      </c>
      <c r="O419" s="20">
        <f t="shared" si="58"/>
        <v>-3544.42</v>
      </c>
      <c r="P419" s="20" t="e">
        <f>#REF!-M419</f>
        <v>#REF!</v>
      </c>
      <c r="Q419" s="20" t="e">
        <f>#REF!-N419</f>
        <v>#REF!</v>
      </c>
      <c r="R419" s="17" t="str">
        <f t="shared" si="56"/>
        <v>10 Б 01 00000000</v>
      </c>
    </row>
    <row r="420" spans="1:18" s="29" customFormat="1" ht="31.5">
      <c r="A420" s="28"/>
      <c r="B420" s="125" t="s">
        <v>187</v>
      </c>
      <c r="C420" s="109" t="s">
        <v>332</v>
      </c>
      <c r="D420" s="108" t="s">
        <v>11</v>
      </c>
      <c r="E420" s="108" t="s">
        <v>51</v>
      </c>
      <c r="F420" s="108" t="s">
        <v>354</v>
      </c>
      <c r="G420" s="108" t="s">
        <v>9</v>
      </c>
      <c r="H420" s="126">
        <f t="shared" si="59"/>
        <v>0</v>
      </c>
      <c r="I420" s="178" t="str">
        <f t="shared" si="57"/>
        <v>604011310 Б 01 20050000</v>
      </c>
      <c r="L420" s="20">
        <v>3544.42</v>
      </c>
      <c r="M420" s="20">
        <v>9744.42</v>
      </c>
      <c r="N420" s="20">
        <v>9744.42</v>
      </c>
      <c r="O420" s="20">
        <f t="shared" si="58"/>
        <v>-3544.42</v>
      </c>
      <c r="P420" s="20" t="e">
        <f>#REF!-M420</f>
        <v>#REF!</v>
      </c>
      <c r="Q420" s="20" t="e">
        <f>#REF!-N420</f>
        <v>#REF!</v>
      </c>
      <c r="R420" s="17" t="str">
        <f t="shared" si="56"/>
        <v>10 Б 01 20050000</v>
      </c>
    </row>
    <row r="421" spans="1:18" s="29" customFormat="1" ht="15.75">
      <c r="A421" s="28"/>
      <c r="B421" s="125" t="s">
        <v>189</v>
      </c>
      <c r="C421" s="109" t="s">
        <v>332</v>
      </c>
      <c r="D421" s="108" t="s">
        <v>11</v>
      </c>
      <c r="E421" s="108" t="s">
        <v>51</v>
      </c>
      <c r="F421" s="108" t="s">
        <v>354</v>
      </c>
      <c r="G421" s="108" t="s">
        <v>190</v>
      </c>
      <c r="H421" s="126">
        <f>H422</f>
        <v>0</v>
      </c>
      <c r="I421" s="178" t="str">
        <f t="shared" si="57"/>
        <v>604011310 Б 01 20050830</v>
      </c>
      <c r="L421" s="20">
        <v>3544.42</v>
      </c>
      <c r="M421" s="20">
        <v>9744.42</v>
      </c>
      <c r="N421" s="20">
        <v>9744.42</v>
      </c>
      <c r="O421" s="20">
        <f t="shared" si="58"/>
        <v>-3544.42</v>
      </c>
      <c r="P421" s="20" t="e">
        <f>#REF!-M421</f>
        <v>#REF!</v>
      </c>
      <c r="Q421" s="20" t="e">
        <f>#REF!-N421</f>
        <v>#REF!</v>
      </c>
      <c r="R421" s="17" t="str">
        <f t="shared" si="56"/>
        <v>10 Б 01 20050830</v>
      </c>
    </row>
    <row r="422" spans="1:18" s="29" customFormat="1" ht="47.25">
      <c r="A422" s="28"/>
      <c r="B422" s="125" t="s">
        <v>191</v>
      </c>
      <c r="C422" s="109" t="s">
        <v>332</v>
      </c>
      <c r="D422" s="108" t="s">
        <v>11</v>
      </c>
      <c r="E422" s="108" t="s">
        <v>51</v>
      </c>
      <c r="F422" s="108" t="s">
        <v>354</v>
      </c>
      <c r="G422" s="108" t="s">
        <v>192</v>
      </c>
      <c r="H422" s="126"/>
      <c r="I422" s="178" t="str">
        <f t="shared" si="57"/>
        <v>604011310 Б 01 20050831</v>
      </c>
      <c r="L422" s="20"/>
      <c r="M422" s="20"/>
      <c r="N422" s="20"/>
      <c r="O422" s="20"/>
      <c r="P422" s="20"/>
      <c r="Q422" s="20"/>
      <c r="R422" s="17" t="str">
        <f t="shared" si="56"/>
        <v>10 Б 01 20050831</v>
      </c>
    </row>
    <row r="423" spans="1:18" s="29" customFormat="1" ht="63">
      <c r="A423" s="28"/>
      <c r="B423" s="125" t="s">
        <v>87</v>
      </c>
      <c r="C423" s="109" t="s">
        <v>332</v>
      </c>
      <c r="D423" s="108" t="s">
        <v>11</v>
      </c>
      <c r="E423" s="108" t="s">
        <v>51</v>
      </c>
      <c r="F423" s="108" t="s">
        <v>88</v>
      </c>
      <c r="G423" s="108" t="s">
        <v>9</v>
      </c>
      <c r="H423" s="126">
        <f>H424</f>
        <v>0</v>
      </c>
      <c r="I423" s="178" t="str">
        <f t="shared" si="57"/>
        <v>604011398 0 00 00000000</v>
      </c>
      <c r="L423" s="20">
        <v>48689.31</v>
      </c>
      <c r="M423" s="20">
        <v>86794.69</v>
      </c>
      <c r="N423" s="20">
        <v>109671.78</v>
      </c>
      <c r="O423" s="20">
        <f t="shared" ref="O423:O446" si="60">H423-L423</f>
        <v>-48689.31</v>
      </c>
      <c r="P423" s="20" t="e">
        <f>#REF!-M423</f>
        <v>#REF!</v>
      </c>
      <c r="Q423" s="20" t="e">
        <f>#REF!-N423</f>
        <v>#REF!</v>
      </c>
      <c r="R423" s="17" t="str">
        <f t="shared" si="56"/>
        <v>98 0 00 00000000</v>
      </c>
    </row>
    <row r="424" spans="1:18" s="29" customFormat="1" ht="15.75">
      <c r="A424" s="28"/>
      <c r="B424" s="125" t="s">
        <v>89</v>
      </c>
      <c r="C424" s="109" t="s">
        <v>332</v>
      </c>
      <c r="D424" s="108" t="s">
        <v>11</v>
      </c>
      <c r="E424" s="108" t="s">
        <v>51</v>
      </c>
      <c r="F424" s="108" t="s">
        <v>90</v>
      </c>
      <c r="G424" s="108" t="s">
        <v>9</v>
      </c>
      <c r="H424" s="126">
        <f>H425+H427+H429</f>
        <v>0</v>
      </c>
      <c r="I424" s="178" t="str">
        <f t="shared" si="57"/>
        <v>604011398 1 00 00000000</v>
      </c>
      <c r="L424" s="20">
        <v>48689.31</v>
      </c>
      <c r="M424" s="20">
        <v>86794.69</v>
      </c>
      <c r="N424" s="20">
        <v>109671.78</v>
      </c>
      <c r="O424" s="20">
        <f t="shared" si="60"/>
        <v>-48689.31</v>
      </c>
      <c r="P424" s="20" t="e">
        <f>#REF!-M424</f>
        <v>#REF!</v>
      </c>
      <c r="Q424" s="20" t="e">
        <f>#REF!-N424</f>
        <v>#REF!</v>
      </c>
      <c r="R424" s="17" t="str">
        <f t="shared" si="56"/>
        <v>98 1 00 00000000</v>
      </c>
    </row>
    <row r="425" spans="1:18" s="29" customFormat="1" ht="47.25">
      <c r="A425" s="28"/>
      <c r="B425" s="125" t="s">
        <v>355</v>
      </c>
      <c r="C425" s="109" t="s">
        <v>332</v>
      </c>
      <c r="D425" s="108" t="s">
        <v>11</v>
      </c>
      <c r="E425" s="108" t="s">
        <v>51</v>
      </c>
      <c r="F425" s="108" t="s">
        <v>356</v>
      </c>
      <c r="G425" s="108" t="s">
        <v>9</v>
      </c>
      <c r="H425" s="126">
        <f>H426</f>
        <v>0</v>
      </c>
      <c r="I425" s="178" t="str">
        <f t="shared" si="57"/>
        <v>604011398 1 00 10050000</v>
      </c>
      <c r="L425" s="20">
        <v>2000</v>
      </c>
      <c r="M425" s="20">
        <v>2000</v>
      </c>
      <c r="N425" s="20">
        <v>2000</v>
      </c>
      <c r="O425" s="20">
        <f t="shared" si="60"/>
        <v>-2000</v>
      </c>
      <c r="P425" s="20" t="e">
        <f>#REF!-M425</f>
        <v>#REF!</v>
      </c>
      <c r="Q425" s="20" t="e">
        <f>#REF!-N425</f>
        <v>#REF!</v>
      </c>
      <c r="R425" s="17" t="str">
        <f t="shared" si="56"/>
        <v>98 1 00 10050000</v>
      </c>
    </row>
    <row r="426" spans="1:18" s="29" customFormat="1" ht="15.75">
      <c r="A426" s="28"/>
      <c r="B426" s="129" t="s">
        <v>357</v>
      </c>
      <c r="C426" s="109" t="s">
        <v>332</v>
      </c>
      <c r="D426" s="108" t="s">
        <v>11</v>
      </c>
      <c r="E426" s="108" t="s">
        <v>51</v>
      </c>
      <c r="F426" s="108" t="s">
        <v>356</v>
      </c>
      <c r="G426" s="108" t="s">
        <v>358</v>
      </c>
      <c r="H426" s="126"/>
      <c r="I426" s="178" t="str">
        <f t="shared" si="57"/>
        <v>604011398 1 00 10050880</v>
      </c>
      <c r="L426" s="20">
        <v>2000</v>
      </c>
      <c r="M426" s="20">
        <v>2000</v>
      </c>
      <c r="N426" s="20">
        <v>2000</v>
      </c>
      <c r="O426" s="20">
        <f t="shared" si="60"/>
        <v>-2000</v>
      </c>
      <c r="P426" s="20" t="e">
        <f>#REF!-M426</f>
        <v>#REF!</v>
      </c>
      <c r="Q426" s="20" t="e">
        <f>#REF!-N426</f>
        <v>#REF!</v>
      </c>
      <c r="R426" s="17" t="str">
        <f t="shared" si="56"/>
        <v>98 1 00 10050880</v>
      </c>
    </row>
    <row r="427" spans="1:18" s="29" customFormat="1" ht="63">
      <c r="A427" s="28"/>
      <c r="B427" s="135" t="s">
        <v>359</v>
      </c>
      <c r="C427" s="109" t="s">
        <v>332</v>
      </c>
      <c r="D427" s="108" t="s">
        <v>11</v>
      </c>
      <c r="E427" s="108" t="s">
        <v>51</v>
      </c>
      <c r="F427" s="108" t="s">
        <v>360</v>
      </c>
      <c r="G427" s="108" t="s">
        <v>9</v>
      </c>
      <c r="H427" s="126">
        <f>H428</f>
        <v>0</v>
      </c>
      <c r="I427" s="178" t="str">
        <f t="shared" si="57"/>
        <v>604011398 1 00 21440000</v>
      </c>
      <c r="L427" s="20">
        <v>33189.31</v>
      </c>
      <c r="M427" s="20">
        <v>68381</v>
      </c>
      <c r="N427" s="20">
        <v>74187.88</v>
      </c>
      <c r="O427" s="20">
        <f t="shared" si="60"/>
        <v>-33189.31</v>
      </c>
      <c r="P427" s="20" t="e">
        <f>#REF!-M427</f>
        <v>#REF!</v>
      </c>
      <c r="Q427" s="20" t="e">
        <f>#REF!-N427</f>
        <v>#REF!</v>
      </c>
      <c r="R427" s="17" t="str">
        <f t="shared" si="56"/>
        <v>98 1 00 21440000</v>
      </c>
    </row>
    <row r="428" spans="1:18" s="29" customFormat="1" ht="15.75">
      <c r="A428" s="28"/>
      <c r="B428" s="129" t="s">
        <v>357</v>
      </c>
      <c r="C428" s="109" t="s">
        <v>332</v>
      </c>
      <c r="D428" s="108" t="s">
        <v>11</v>
      </c>
      <c r="E428" s="108" t="s">
        <v>51</v>
      </c>
      <c r="F428" s="108" t="s">
        <v>360</v>
      </c>
      <c r="G428" s="108" t="s">
        <v>358</v>
      </c>
      <c r="H428" s="126"/>
      <c r="I428" s="178" t="str">
        <f t="shared" si="57"/>
        <v>604011398 1 00 21440880</v>
      </c>
      <c r="L428" s="20">
        <v>33189.31</v>
      </c>
      <c r="M428" s="20">
        <v>68381</v>
      </c>
      <c r="N428" s="20">
        <v>74187.88</v>
      </c>
      <c r="O428" s="20">
        <f t="shared" si="60"/>
        <v>-33189.31</v>
      </c>
      <c r="P428" s="20" t="e">
        <f>#REF!-M428</f>
        <v>#REF!</v>
      </c>
      <c r="Q428" s="20" t="e">
        <f>#REF!-N428</f>
        <v>#REF!</v>
      </c>
      <c r="R428" s="17" t="str">
        <f t="shared" si="56"/>
        <v>98 1 00 21440880</v>
      </c>
    </row>
    <row r="429" spans="1:18" s="29" customFormat="1" ht="47.25">
      <c r="A429" s="28"/>
      <c r="B429" s="129" t="s">
        <v>361</v>
      </c>
      <c r="C429" s="109" t="s">
        <v>332</v>
      </c>
      <c r="D429" s="108" t="s">
        <v>11</v>
      </c>
      <c r="E429" s="108" t="s">
        <v>51</v>
      </c>
      <c r="F429" s="108" t="s">
        <v>362</v>
      </c>
      <c r="G429" s="108" t="s">
        <v>9</v>
      </c>
      <c r="H429" s="126">
        <f>H430</f>
        <v>0</v>
      </c>
      <c r="I429" s="178" t="str">
        <f t="shared" si="57"/>
        <v>604011398 1 00 S6420000</v>
      </c>
      <c r="L429" s="20">
        <v>13500</v>
      </c>
      <c r="M429" s="20">
        <v>0</v>
      </c>
      <c r="N429" s="20">
        <v>0</v>
      </c>
      <c r="O429" s="20">
        <f t="shared" si="60"/>
        <v>-13500</v>
      </c>
      <c r="P429" s="20" t="e">
        <f>#REF!-M429</f>
        <v>#REF!</v>
      </c>
      <c r="Q429" s="20" t="e">
        <f>#REF!-N429</f>
        <v>#REF!</v>
      </c>
      <c r="R429" s="17" t="str">
        <f t="shared" si="56"/>
        <v>98 1 00 S6420000</v>
      </c>
    </row>
    <row r="430" spans="1:18" s="29" customFormat="1" ht="15.75">
      <c r="A430" s="28"/>
      <c r="B430" s="129" t="s">
        <v>357</v>
      </c>
      <c r="C430" s="109" t="s">
        <v>332</v>
      </c>
      <c r="D430" s="108" t="s">
        <v>11</v>
      </c>
      <c r="E430" s="108" t="s">
        <v>51</v>
      </c>
      <c r="F430" s="108" t="s">
        <v>362</v>
      </c>
      <c r="G430" s="108" t="s">
        <v>358</v>
      </c>
      <c r="H430" s="126"/>
      <c r="I430" s="178" t="str">
        <f t="shared" si="57"/>
        <v>604011398 1 00 S6420880</v>
      </c>
      <c r="L430" s="20">
        <v>13500</v>
      </c>
      <c r="M430" s="20">
        <v>0</v>
      </c>
      <c r="N430" s="20">
        <v>0</v>
      </c>
      <c r="O430" s="20">
        <f t="shared" si="60"/>
        <v>-13500</v>
      </c>
      <c r="P430" s="20" t="e">
        <f>#REF!-M430</f>
        <v>#REF!</v>
      </c>
      <c r="Q430" s="20" t="e">
        <f>#REF!-N430</f>
        <v>#REF!</v>
      </c>
      <c r="R430" s="17" t="str">
        <f t="shared" si="56"/>
        <v>98 1 00 S6420880</v>
      </c>
    </row>
    <row r="431" spans="1:18" s="29" customFormat="1" ht="31.5">
      <c r="A431" s="28"/>
      <c r="B431" s="117" t="s">
        <v>363</v>
      </c>
      <c r="C431" s="118" t="s">
        <v>332</v>
      </c>
      <c r="D431" s="119" t="s">
        <v>51</v>
      </c>
      <c r="E431" s="119" t="s">
        <v>7</v>
      </c>
      <c r="F431" s="119" t="s">
        <v>8</v>
      </c>
      <c r="G431" s="119" t="s">
        <v>9</v>
      </c>
      <c r="H431" s="120">
        <f t="shared" ref="H431:H436" si="61">H432</f>
        <v>0</v>
      </c>
      <c r="I431" s="178" t="str">
        <f t="shared" si="57"/>
        <v>604130000 0 00 00000000</v>
      </c>
      <c r="L431" s="18">
        <v>174715</v>
      </c>
      <c r="M431" s="18">
        <v>223370</v>
      </c>
      <c r="N431" s="18">
        <v>261938</v>
      </c>
      <c r="O431" s="18">
        <f t="shared" si="60"/>
        <v>-174715</v>
      </c>
      <c r="P431" s="18" t="e">
        <f>#REF!-M431</f>
        <v>#REF!</v>
      </c>
      <c r="Q431" s="18" t="e">
        <f>#REF!-N431</f>
        <v>#REF!</v>
      </c>
      <c r="R431" s="17" t="str">
        <f t="shared" si="56"/>
        <v>00 0 00 00000000</v>
      </c>
    </row>
    <row r="432" spans="1:18" s="29" customFormat="1" ht="31.5">
      <c r="A432" s="28"/>
      <c r="B432" s="121" t="s">
        <v>364</v>
      </c>
      <c r="C432" s="122" t="s">
        <v>332</v>
      </c>
      <c r="D432" s="123" t="s">
        <v>51</v>
      </c>
      <c r="E432" s="123" t="s">
        <v>11</v>
      </c>
      <c r="F432" s="123" t="s">
        <v>8</v>
      </c>
      <c r="G432" s="123" t="s">
        <v>9</v>
      </c>
      <c r="H432" s="124">
        <f t="shared" si="61"/>
        <v>0</v>
      </c>
      <c r="I432" s="178" t="str">
        <f t="shared" si="57"/>
        <v>604130100 0 00 00000000</v>
      </c>
      <c r="L432" s="19">
        <v>174715</v>
      </c>
      <c r="M432" s="19">
        <v>223370</v>
      </c>
      <c r="N432" s="19">
        <v>261938</v>
      </c>
      <c r="O432" s="19">
        <f t="shared" si="60"/>
        <v>-174715</v>
      </c>
      <c r="P432" s="19" t="e">
        <f>#REF!-M432</f>
        <v>#REF!</v>
      </c>
      <c r="Q432" s="19" t="e">
        <f>#REF!-N432</f>
        <v>#REF!</v>
      </c>
      <c r="R432" s="17" t="str">
        <f t="shared" si="56"/>
        <v>00 0 00 00000000</v>
      </c>
    </row>
    <row r="433" spans="1:18" s="29" customFormat="1" ht="47.25">
      <c r="A433" s="28"/>
      <c r="B433" s="127" t="s">
        <v>348</v>
      </c>
      <c r="C433" s="109" t="s">
        <v>332</v>
      </c>
      <c r="D433" s="108" t="s">
        <v>51</v>
      </c>
      <c r="E433" s="108" t="s">
        <v>11</v>
      </c>
      <c r="F433" s="108" t="s">
        <v>349</v>
      </c>
      <c r="G433" s="108" t="s">
        <v>9</v>
      </c>
      <c r="H433" s="126">
        <f t="shared" si="61"/>
        <v>0</v>
      </c>
      <c r="I433" s="178" t="str">
        <f t="shared" si="57"/>
        <v>604130110 0 00 00000000</v>
      </c>
      <c r="L433" s="20">
        <v>174715</v>
      </c>
      <c r="M433" s="20">
        <v>223370</v>
      </c>
      <c r="N433" s="20">
        <v>261938</v>
      </c>
      <c r="O433" s="20">
        <f t="shared" si="60"/>
        <v>-174715</v>
      </c>
      <c r="P433" s="20" t="e">
        <f>#REF!-M433</f>
        <v>#REF!</v>
      </c>
      <c r="Q433" s="20" t="e">
        <f>#REF!-N433</f>
        <v>#REF!</v>
      </c>
      <c r="R433" s="17" t="str">
        <f t="shared" si="56"/>
        <v>10 0 00 00000000</v>
      </c>
    </row>
    <row r="434" spans="1:18" s="29" customFormat="1" ht="47.25">
      <c r="A434" s="28"/>
      <c r="B434" s="127" t="s">
        <v>350</v>
      </c>
      <c r="C434" s="109" t="s">
        <v>332</v>
      </c>
      <c r="D434" s="108" t="s">
        <v>51</v>
      </c>
      <c r="E434" s="108" t="s">
        <v>11</v>
      </c>
      <c r="F434" s="108" t="s">
        <v>351</v>
      </c>
      <c r="G434" s="108" t="s">
        <v>9</v>
      </c>
      <c r="H434" s="126">
        <f t="shared" si="61"/>
        <v>0</v>
      </c>
      <c r="I434" s="178" t="str">
        <f t="shared" si="57"/>
        <v>604130110 Б 00 00000000</v>
      </c>
      <c r="L434" s="20">
        <v>174715</v>
      </c>
      <c r="M434" s="20">
        <v>223370</v>
      </c>
      <c r="N434" s="20">
        <v>261938</v>
      </c>
      <c r="O434" s="20">
        <f t="shared" si="60"/>
        <v>-174715</v>
      </c>
      <c r="P434" s="20" t="e">
        <f>#REF!-M434</f>
        <v>#REF!</v>
      </c>
      <c r="Q434" s="20" t="e">
        <f>#REF!-N434</f>
        <v>#REF!</v>
      </c>
      <c r="R434" s="17" t="str">
        <f t="shared" si="56"/>
        <v>10 Б 00 00000000</v>
      </c>
    </row>
    <row r="435" spans="1:18" s="29" customFormat="1" ht="63">
      <c r="A435" s="28"/>
      <c r="B435" s="127" t="s">
        <v>365</v>
      </c>
      <c r="C435" s="109" t="s">
        <v>332</v>
      </c>
      <c r="D435" s="108" t="s">
        <v>51</v>
      </c>
      <c r="E435" s="108" t="s">
        <v>11</v>
      </c>
      <c r="F435" s="108" t="s">
        <v>366</v>
      </c>
      <c r="G435" s="108" t="s">
        <v>9</v>
      </c>
      <c r="H435" s="126">
        <f t="shared" si="61"/>
        <v>0</v>
      </c>
      <c r="I435" s="178" t="str">
        <f t="shared" si="57"/>
        <v>604130110 Б 02 00000000</v>
      </c>
      <c r="L435" s="20">
        <v>174715</v>
      </c>
      <c r="M435" s="20">
        <v>223370</v>
      </c>
      <c r="N435" s="20">
        <v>261938</v>
      </c>
      <c r="O435" s="20">
        <f t="shared" si="60"/>
        <v>-174715</v>
      </c>
      <c r="P435" s="20" t="e">
        <f>#REF!-M435</f>
        <v>#REF!</v>
      </c>
      <c r="Q435" s="20" t="e">
        <f>#REF!-N435</f>
        <v>#REF!</v>
      </c>
      <c r="R435" s="17" t="str">
        <f t="shared" si="56"/>
        <v>10 Б 02 00000000</v>
      </c>
    </row>
    <row r="436" spans="1:18" s="29" customFormat="1" ht="31.5">
      <c r="A436" s="28"/>
      <c r="B436" s="127" t="s">
        <v>367</v>
      </c>
      <c r="C436" s="109" t="s">
        <v>332</v>
      </c>
      <c r="D436" s="108" t="s">
        <v>51</v>
      </c>
      <c r="E436" s="108" t="s">
        <v>11</v>
      </c>
      <c r="F436" s="108" t="s">
        <v>368</v>
      </c>
      <c r="G436" s="108" t="s">
        <v>9</v>
      </c>
      <c r="H436" s="126">
        <f t="shared" si="61"/>
        <v>0</v>
      </c>
      <c r="I436" s="178" t="str">
        <f t="shared" si="57"/>
        <v>604130110 Б 02 20010000</v>
      </c>
      <c r="L436" s="20">
        <v>174715</v>
      </c>
      <c r="M436" s="20">
        <v>223370</v>
      </c>
      <c r="N436" s="20">
        <v>261938</v>
      </c>
      <c r="O436" s="20">
        <f t="shared" si="60"/>
        <v>-174715</v>
      </c>
      <c r="P436" s="20" t="e">
        <f>#REF!-M436</f>
        <v>#REF!</v>
      </c>
      <c r="Q436" s="20" t="e">
        <f>#REF!-N436</f>
        <v>#REF!</v>
      </c>
      <c r="R436" s="17" t="str">
        <f t="shared" si="56"/>
        <v>10 Б 02 20010000</v>
      </c>
    </row>
    <row r="437" spans="1:18" s="29" customFormat="1" ht="15.75">
      <c r="A437" s="28"/>
      <c r="B437" s="127" t="s">
        <v>369</v>
      </c>
      <c r="C437" s="109" t="s">
        <v>332</v>
      </c>
      <c r="D437" s="108" t="s">
        <v>51</v>
      </c>
      <c r="E437" s="108" t="s">
        <v>11</v>
      </c>
      <c r="F437" s="108" t="s">
        <v>368</v>
      </c>
      <c r="G437" s="108" t="s">
        <v>370</v>
      </c>
      <c r="H437" s="126"/>
      <c r="I437" s="178" t="str">
        <f t="shared" si="57"/>
        <v>604130110 Б 02 20010730</v>
      </c>
      <c r="L437" s="20">
        <v>174715</v>
      </c>
      <c r="M437" s="20">
        <v>223370</v>
      </c>
      <c r="N437" s="20">
        <v>261938</v>
      </c>
      <c r="O437" s="20">
        <f t="shared" si="60"/>
        <v>-174715</v>
      </c>
      <c r="P437" s="20" t="e">
        <f>#REF!-M437</f>
        <v>#REF!</v>
      </c>
      <c r="Q437" s="20" t="e">
        <f>#REF!-N437</f>
        <v>#REF!</v>
      </c>
      <c r="R437" s="17" t="str">
        <f t="shared" si="56"/>
        <v>10 Б 02 20010730</v>
      </c>
    </row>
    <row r="438" spans="1:18" s="29" customFormat="1" ht="15.75">
      <c r="A438" s="28"/>
      <c r="B438" s="127"/>
      <c r="C438" s="109"/>
      <c r="D438" s="108"/>
      <c r="E438" s="108"/>
      <c r="F438" s="108"/>
      <c r="G438" s="108"/>
      <c r="H438" s="126"/>
      <c r="I438" s="178" t="str">
        <f t="shared" si="57"/>
        <v/>
      </c>
      <c r="L438" s="20"/>
      <c r="M438" s="20"/>
      <c r="N438" s="20"/>
      <c r="O438" s="20">
        <f t="shared" si="60"/>
        <v>0</v>
      </c>
      <c r="P438" s="20" t="e">
        <f>#REF!-M438</f>
        <v>#REF!</v>
      </c>
      <c r="Q438" s="20" t="e">
        <f>#REF!-N438</f>
        <v>#REF!</v>
      </c>
      <c r="R438" s="17" t="str">
        <f t="shared" si="56"/>
        <v/>
      </c>
    </row>
    <row r="439" spans="1:18" s="16" customFormat="1" ht="31.5">
      <c r="A439" s="14"/>
      <c r="B439" s="67" t="s">
        <v>371</v>
      </c>
      <c r="C439" s="116" t="s">
        <v>372</v>
      </c>
      <c r="D439" s="69" t="s">
        <v>7</v>
      </c>
      <c r="E439" s="69" t="s">
        <v>7</v>
      </c>
      <c r="F439" s="69" t="s">
        <v>8</v>
      </c>
      <c r="G439" s="69" t="s">
        <v>9</v>
      </c>
      <c r="H439" s="70">
        <f>H440+H472+H464</f>
        <v>0</v>
      </c>
      <c r="I439" s="178" t="str">
        <f t="shared" si="57"/>
        <v>605000000 0 00 00000000</v>
      </c>
      <c r="L439" s="25">
        <v>32190.38</v>
      </c>
      <c r="M439" s="25">
        <v>32190.38</v>
      </c>
      <c r="N439" s="25">
        <v>32190.38</v>
      </c>
      <c r="O439" s="25">
        <f t="shared" si="60"/>
        <v>-32190.38</v>
      </c>
      <c r="P439" s="25" t="e">
        <f>#REF!-M439</f>
        <v>#REF!</v>
      </c>
      <c r="Q439" s="25" t="e">
        <f>#REF!-N439</f>
        <v>#REF!</v>
      </c>
      <c r="R439" s="17" t="str">
        <f t="shared" si="56"/>
        <v>00 0 00 00000000</v>
      </c>
    </row>
    <row r="440" spans="1:18" s="34" customFormat="1" ht="15.75">
      <c r="A440" s="33"/>
      <c r="B440" s="117" t="s">
        <v>10</v>
      </c>
      <c r="C440" s="118" t="s">
        <v>372</v>
      </c>
      <c r="D440" s="119" t="s">
        <v>11</v>
      </c>
      <c r="E440" s="119" t="s">
        <v>7</v>
      </c>
      <c r="F440" s="119" t="s">
        <v>8</v>
      </c>
      <c r="G440" s="119" t="s">
        <v>9</v>
      </c>
      <c r="H440" s="120">
        <f t="shared" ref="H440:H448" si="62">H441</f>
        <v>0</v>
      </c>
      <c r="I440" s="178" t="str">
        <f t="shared" si="57"/>
        <v>605010000 0 00 00000000</v>
      </c>
      <c r="L440" s="18">
        <v>28843.86</v>
      </c>
      <c r="M440" s="18">
        <v>28843.86</v>
      </c>
      <c r="N440" s="18">
        <v>28843.86</v>
      </c>
      <c r="O440" s="18">
        <f t="shared" si="60"/>
        <v>-28843.86</v>
      </c>
      <c r="P440" s="18" t="e">
        <f>#REF!-M440</f>
        <v>#REF!</v>
      </c>
      <c r="Q440" s="18" t="e">
        <f>#REF!-N440</f>
        <v>#REF!</v>
      </c>
      <c r="R440" s="17" t="str">
        <f t="shared" si="56"/>
        <v>00 0 00 00000000</v>
      </c>
    </row>
    <row r="441" spans="1:18" s="23" customFormat="1" ht="15.75">
      <c r="A441" s="21"/>
      <c r="B441" s="121" t="s">
        <v>50</v>
      </c>
      <c r="C441" s="122" t="s">
        <v>372</v>
      </c>
      <c r="D441" s="123" t="s">
        <v>11</v>
      </c>
      <c r="E441" s="123" t="s">
        <v>51</v>
      </c>
      <c r="F441" s="123" t="s">
        <v>8</v>
      </c>
      <c r="G441" s="123" t="s">
        <v>9</v>
      </c>
      <c r="H441" s="124">
        <f>H448+H442</f>
        <v>0</v>
      </c>
      <c r="I441" s="178" t="str">
        <f t="shared" si="57"/>
        <v>605011300 0 00 00000000</v>
      </c>
      <c r="L441" s="19">
        <v>28843.86</v>
      </c>
      <c r="M441" s="19">
        <v>28843.86</v>
      </c>
      <c r="N441" s="19">
        <v>28843.86</v>
      </c>
      <c r="O441" s="19">
        <f t="shared" si="60"/>
        <v>-28843.86</v>
      </c>
      <c r="P441" s="19" t="e">
        <f>#REF!-M441</f>
        <v>#REF!</v>
      </c>
      <c r="Q441" s="19" t="e">
        <f>#REF!-N441</f>
        <v>#REF!</v>
      </c>
      <c r="R441" s="17" t="str">
        <f t="shared" si="56"/>
        <v>00 0 00 00000000</v>
      </c>
    </row>
    <row r="442" spans="1:18" s="16" customFormat="1" ht="47.25">
      <c r="A442" s="14"/>
      <c r="B442" s="125" t="s">
        <v>146</v>
      </c>
      <c r="C442" s="109" t="s">
        <v>372</v>
      </c>
      <c r="D442" s="108" t="s">
        <v>11</v>
      </c>
      <c r="E442" s="108" t="s">
        <v>51</v>
      </c>
      <c r="F442" s="108" t="s">
        <v>147</v>
      </c>
      <c r="G442" s="108" t="s">
        <v>9</v>
      </c>
      <c r="H442" s="126">
        <f t="shared" ref="H442:H445" si="63">H443</f>
        <v>0</v>
      </c>
      <c r="I442" s="178" t="str">
        <f t="shared" si="57"/>
        <v>605011315 0 00 00000000</v>
      </c>
      <c r="L442" s="20">
        <v>7.6499999999999995</v>
      </c>
      <c r="M442" s="20">
        <v>7.6499999999999995</v>
      </c>
      <c r="N442" s="20">
        <v>7.6499999999999995</v>
      </c>
      <c r="O442" s="20">
        <f t="shared" si="60"/>
        <v>-7.6499999999999995</v>
      </c>
      <c r="P442" s="20" t="e">
        <f>#REF!-M442</f>
        <v>#REF!</v>
      </c>
      <c r="Q442" s="20" t="e">
        <f>#REF!-N442</f>
        <v>#REF!</v>
      </c>
      <c r="R442" s="17" t="str">
        <f t="shared" si="56"/>
        <v>15 0 00 00000000</v>
      </c>
    </row>
    <row r="443" spans="1:18" s="16" customFormat="1" ht="31.5">
      <c r="A443" s="14"/>
      <c r="B443" s="125" t="s">
        <v>373</v>
      </c>
      <c r="C443" s="109" t="s">
        <v>372</v>
      </c>
      <c r="D443" s="108" t="s">
        <v>11</v>
      </c>
      <c r="E443" s="108" t="s">
        <v>51</v>
      </c>
      <c r="F443" s="108" t="s">
        <v>169</v>
      </c>
      <c r="G443" s="108" t="s">
        <v>9</v>
      </c>
      <c r="H443" s="126">
        <f t="shared" si="63"/>
        <v>0</v>
      </c>
      <c r="I443" s="178" t="str">
        <f t="shared" si="57"/>
        <v>605011315 3 00 00000000</v>
      </c>
      <c r="L443" s="20">
        <v>7.6499999999999995</v>
      </c>
      <c r="M443" s="20">
        <v>7.6499999999999995</v>
      </c>
      <c r="N443" s="20">
        <v>7.6499999999999995</v>
      </c>
      <c r="O443" s="20">
        <f t="shared" si="60"/>
        <v>-7.6499999999999995</v>
      </c>
      <c r="P443" s="20" t="e">
        <f>#REF!-M443</f>
        <v>#REF!</v>
      </c>
      <c r="Q443" s="20" t="e">
        <f>#REF!-N443</f>
        <v>#REF!</v>
      </c>
      <c r="R443" s="17" t="str">
        <f t="shared" si="56"/>
        <v>15 3 00 00000000</v>
      </c>
    </row>
    <row r="444" spans="1:18" s="16" customFormat="1" ht="31.5">
      <c r="A444" s="14"/>
      <c r="B444" s="125" t="s">
        <v>374</v>
      </c>
      <c r="C444" s="109" t="s">
        <v>372</v>
      </c>
      <c r="D444" s="108" t="s">
        <v>11</v>
      </c>
      <c r="E444" s="108" t="s">
        <v>51</v>
      </c>
      <c r="F444" s="108" t="s">
        <v>375</v>
      </c>
      <c r="G444" s="108" t="s">
        <v>9</v>
      </c>
      <c r="H444" s="126">
        <f t="shared" si="63"/>
        <v>0</v>
      </c>
      <c r="I444" s="178" t="str">
        <f t="shared" si="57"/>
        <v>605011315 3 01 00000000</v>
      </c>
      <c r="L444" s="20">
        <v>7.6499999999999995</v>
      </c>
      <c r="M444" s="20">
        <v>7.6499999999999995</v>
      </c>
      <c r="N444" s="20">
        <v>7.6499999999999995</v>
      </c>
      <c r="O444" s="20">
        <f t="shared" si="60"/>
        <v>-7.6499999999999995</v>
      </c>
      <c r="P444" s="20" t="e">
        <f>#REF!-M444</f>
        <v>#REF!</v>
      </c>
      <c r="Q444" s="20" t="e">
        <f>#REF!-N444</f>
        <v>#REF!</v>
      </c>
      <c r="R444" s="17" t="str">
        <f t="shared" si="56"/>
        <v>15 3 01 00000000</v>
      </c>
    </row>
    <row r="445" spans="1:18" s="16" customFormat="1" ht="31.5">
      <c r="A445" s="14"/>
      <c r="B445" s="125" t="s">
        <v>376</v>
      </c>
      <c r="C445" s="109" t="s">
        <v>372</v>
      </c>
      <c r="D445" s="108" t="s">
        <v>11</v>
      </c>
      <c r="E445" s="108" t="s">
        <v>51</v>
      </c>
      <c r="F445" s="108" t="s">
        <v>377</v>
      </c>
      <c r="G445" s="108" t="s">
        <v>9</v>
      </c>
      <c r="H445" s="126">
        <f t="shared" si="63"/>
        <v>0</v>
      </c>
      <c r="I445" s="178" t="str">
        <f t="shared" si="57"/>
        <v>605011315 3 01 20660000</v>
      </c>
      <c r="L445" s="20">
        <v>7.6499999999999995</v>
      </c>
      <c r="M445" s="20">
        <v>7.6499999999999995</v>
      </c>
      <c r="N445" s="20">
        <v>7.6499999999999995</v>
      </c>
      <c r="O445" s="20">
        <f t="shared" si="60"/>
        <v>-7.6499999999999995</v>
      </c>
      <c r="P445" s="20" t="e">
        <f>#REF!-M445</f>
        <v>#REF!</v>
      </c>
      <c r="Q445" s="20" t="e">
        <f>#REF!-N445</f>
        <v>#REF!</v>
      </c>
      <c r="R445" s="17" t="str">
        <f t="shared" si="56"/>
        <v>15 3 01 20660000</v>
      </c>
    </row>
    <row r="446" spans="1:18" s="16" customFormat="1" ht="31.5">
      <c r="A446" s="14"/>
      <c r="B446" s="125" t="s">
        <v>28</v>
      </c>
      <c r="C446" s="109" t="s">
        <v>372</v>
      </c>
      <c r="D446" s="108" t="s">
        <v>11</v>
      </c>
      <c r="E446" s="108" t="s">
        <v>51</v>
      </c>
      <c r="F446" s="108" t="s">
        <v>377</v>
      </c>
      <c r="G446" s="108" t="s">
        <v>29</v>
      </c>
      <c r="H446" s="126">
        <f>H447</f>
        <v>0</v>
      </c>
      <c r="I446" s="178" t="str">
        <f t="shared" si="57"/>
        <v>605011315 3 01 20660240</v>
      </c>
      <c r="L446" s="20">
        <v>7.6499999999999995</v>
      </c>
      <c r="M446" s="20">
        <v>7.6499999999999995</v>
      </c>
      <c r="N446" s="20">
        <v>7.6499999999999995</v>
      </c>
      <c r="O446" s="20">
        <f t="shared" si="60"/>
        <v>-7.6499999999999995</v>
      </c>
      <c r="P446" s="20" t="e">
        <f>#REF!-M446</f>
        <v>#REF!</v>
      </c>
      <c r="Q446" s="20" t="e">
        <f>#REF!-N446</f>
        <v>#REF!</v>
      </c>
      <c r="R446" s="17" t="str">
        <f t="shared" si="56"/>
        <v>15 3 01 20660240</v>
      </c>
    </row>
    <row r="447" spans="1:18" s="16" customFormat="1" ht="15.75">
      <c r="A447" s="14"/>
      <c r="B447" s="125" t="s">
        <v>30</v>
      </c>
      <c r="C447" s="109" t="s">
        <v>372</v>
      </c>
      <c r="D447" s="108" t="s">
        <v>11</v>
      </c>
      <c r="E447" s="108" t="s">
        <v>51</v>
      </c>
      <c r="F447" s="108" t="s">
        <v>377</v>
      </c>
      <c r="G447" s="108" t="s">
        <v>31</v>
      </c>
      <c r="H447" s="126"/>
      <c r="I447" s="178" t="str">
        <f t="shared" si="57"/>
        <v>605011315 3 01 20660244</v>
      </c>
      <c r="L447" s="20"/>
      <c r="M447" s="20"/>
      <c r="N447" s="20"/>
      <c r="O447" s="20"/>
      <c r="P447" s="20"/>
      <c r="Q447" s="20"/>
      <c r="R447" s="17" t="str">
        <f t="shared" si="56"/>
        <v>15 3 01 20660244</v>
      </c>
    </row>
    <row r="448" spans="1:18" s="16" customFormat="1" ht="31.5">
      <c r="A448" s="14"/>
      <c r="B448" s="125" t="s">
        <v>378</v>
      </c>
      <c r="C448" s="109" t="s">
        <v>372</v>
      </c>
      <c r="D448" s="108" t="s">
        <v>11</v>
      </c>
      <c r="E448" s="108" t="s">
        <v>51</v>
      </c>
      <c r="F448" s="108" t="s">
        <v>379</v>
      </c>
      <c r="G448" s="108" t="s">
        <v>9</v>
      </c>
      <c r="H448" s="126">
        <f t="shared" si="62"/>
        <v>0</v>
      </c>
      <c r="I448" s="178" t="str">
        <f t="shared" si="57"/>
        <v>605011374 0 00 00000000</v>
      </c>
      <c r="L448" s="20">
        <v>28836.21</v>
      </c>
      <c r="M448" s="20">
        <v>28836.21</v>
      </c>
      <c r="N448" s="20">
        <v>28836.21</v>
      </c>
      <c r="O448" s="20">
        <f>H448-L448</f>
        <v>-28836.21</v>
      </c>
      <c r="P448" s="20" t="e">
        <f>#REF!-M448</f>
        <v>#REF!</v>
      </c>
      <c r="Q448" s="20" t="e">
        <f>#REF!-N448</f>
        <v>#REF!</v>
      </c>
      <c r="R448" s="17" t="str">
        <f t="shared" si="56"/>
        <v>74 0 00 00000000</v>
      </c>
    </row>
    <row r="449" spans="1:18" s="16" customFormat="1" ht="47.25">
      <c r="A449" s="14"/>
      <c r="B449" s="125" t="s">
        <v>380</v>
      </c>
      <c r="C449" s="109" t="s">
        <v>372</v>
      </c>
      <c r="D449" s="108" t="s">
        <v>11</v>
      </c>
      <c r="E449" s="108" t="s">
        <v>51</v>
      </c>
      <c r="F449" s="108" t="s">
        <v>381</v>
      </c>
      <c r="G449" s="108" t="s">
        <v>9</v>
      </c>
      <c r="H449" s="126">
        <f>H450+H460</f>
        <v>0</v>
      </c>
      <c r="I449" s="178" t="str">
        <f t="shared" si="57"/>
        <v>605011374 1 00 00000000</v>
      </c>
      <c r="L449" s="20">
        <v>28836.21</v>
      </c>
      <c r="M449" s="20">
        <v>28836.21</v>
      </c>
      <c r="N449" s="20">
        <v>28836.21</v>
      </c>
      <c r="O449" s="20">
        <f>H449-L449</f>
        <v>-28836.21</v>
      </c>
      <c r="P449" s="20" t="e">
        <f>#REF!-M449</f>
        <v>#REF!</v>
      </c>
      <c r="Q449" s="20" t="e">
        <f>#REF!-N449</f>
        <v>#REF!</v>
      </c>
      <c r="R449" s="17" t="str">
        <f t="shared" si="56"/>
        <v>74 1 00 00000000</v>
      </c>
    </row>
    <row r="450" spans="1:18" s="16" customFormat="1" ht="31.5">
      <c r="A450" s="14"/>
      <c r="B450" s="125" t="s">
        <v>18</v>
      </c>
      <c r="C450" s="109" t="s">
        <v>372</v>
      </c>
      <c r="D450" s="108" t="s">
        <v>11</v>
      </c>
      <c r="E450" s="108" t="s">
        <v>51</v>
      </c>
      <c r="F450" s="108" t="s">
        <v>382</v>
      </c>
      <c r="G450" s="108" t="s">
        <v>9</v>
      </c>
      <c r="H450" s="126">
        <f>H451+H454+H456</f>
        <v>0</v>
      </c>
      <c r="I450" s="178" t="str">
        <f t="shared" si="57"/>
        <v>605011374 1 00 10010000</v>
      </c>
      <c r="L450" s="20">
        <v>3616.1699999999996</v>
      </c>
      <c r="M450" s="20">
        <v>3616.1699999999996</v>
      </c>
      <c r="N450" s="20">
        <v>3616.1699999999996</v>
      </c>
      <c r="O450" s="20">
        <f>H450-L450</f>
        <v>-3616.1699999999996</v>
      </c>
      <c r="P450" s="20" t="e">
        <f>#REF!-M450</f>
        <v>#REF!</v>
      </c>
      <c r="Q450" s="20" t="e">
        <f>#REF!-N450</f>
        <v>#REF!</v>
      </c>
      <c r="R450" s="17" t="str">
        <f t="shared" si="56"/>
        <v>74 1 00 10010000</v>
      </c>
    </row>
    <row r="451" spans="1:18" s="16" customFormat="1" ht="31.5">
      <c r="A451" s="14"/>
      <c r="B451" s="127" t="s">
        <v>20</v>
      </c>
      <c r="C451" s="109" t="s">
        <v>372</v>
      </c>
      <c r="D451" s="108" t="s">
        <v>11</v>
      </c>
      <c r="E451" s="108" t="s">
        <v>51</v>
      </c>
      <c r="F451" s="108" t="s">
        <v>382</v>
      </c>
      <c r="G451" s="108" t="s">
        <v>21</v>
      </c>
      <c r="H451" s="126">
        <f>SUM(H452:H453)</f>
        <v>0</v>
      </c>
      <c r="I451" s="178" t="str">
        <f t="shared" si="57"/>
        <v>605011374 1 00 10010120</v>
      </c>
      <c r="L451" s="20">
        <v>757.89</v>
      </c>
      <c r="M451" s="20">
        <v>757.89</v>
      </c>
      <c r="N451" s="20">
        <v>757.89</v>
      </c>
      <c r="O451" s="20">
        <f>H451-L451</f>
        <v>-757.89</v>
      </c>
      <c r="P451" s="20" t="e">
        <f>#REF!-M451</f>
        <v>#REF!</v>
      </c>
      <c r="Q451" s="20" t="e">
        <f>#REF!-N451</f>
        <v>#REF!</v>
      </c>
      <c r="R451" s="17" t="str">
        <f t="shared" si="56"/>
        <v>74 1 00 10010120</v>
      </c>
    </row>
    <row r="452" spans="1:18" s="23" customFormat="1" ht="47.25">
      <c r="A452" s="21"/>
      <c r="B452" s="127" t="s">
        <v>22</v>
      </c>
      <c r="C452" s="109" t="s">
        <v>372</v>
      </c>
      <c r="D452" s="108" t="s">
        <v>11</v>
      </c>
      <c r="E452" s="108" t="s">
        <v>51</v>
      </c>
      <c r="F452" s="108" t="s">
        <v>382</v>
      </c>
      <c r="G452" s="108" t="s">
        <v>23</v>
      </c>
      <c r="H452" s="126"/>
      <c r="I452" s="178" t="str">
        <f t="shared" si="57"/>
        <v>605011374 1 00 10010122</v>
      </c>
      <c r="L452" s="22"/>
      <c r="M452" s="22"/>
      <c r="N452" s="22"/>
      <c r="O452" s="22"/>
      <c r="P452" s="22"/>
      <c r="Q452" s="22"/>
      <c r="R452" s="24"/>
    </row>
    <row r="453" spans="1:18" s="23" customFormat="1" ht="63">
      <c r="A453" s="21"/>
      <c r="B453" s="127" t="s">
        <v>26</v>
      </c>
      <c r="C453" s="109" t="s">
        <v>372</v>
      </c>
      <c r="D453" s="108" t="s">
        <v>11</v>
      </c>
      <c r="E453" s="108" t="s">
        <v>51</v>
      </c>
      <c r="F453" s="108" t="s">
        <v>382</v>
      </c>
      <c r="G453" s="108" t="s">
        <v>27</v>
      </c>
      <c r="H453" s="126"/>
      <c r="I453" s="178" t="str">
        <f t="shared" si="57"/>
        <v>605011374 1 00 10010129</v>
      </c>
      <c r="L453" s="22"/>
      <c r="M453" s="22"/>
      <c r="N453" s="22"/>
      <c r="O453" s="22"/>
      <c r="P453" s="22"/>
      <c r="Q453" s="22"/>
      <c r="R453" s="24"/>
    </row>
    <row r="454" spans="1:18" s="16" customFormat="1" ht="31.5">
      <c r="A454" s="14"/>
      <c r="B454" s="125" t="s">
        <v>28</v>
      </c>
      <c r="C454" s="109" t="s">
        <v>372</v>
      </c>
      <c r="D454" s="108" t="s">
        <v>11</v>
      </c>
      <c r="E454" s="108" t="s">
        <v>51</v>
      </c>
      <c r="F454" s="108" t="s">
        <v>382</v>
      </c>
      <c r="G454" s="108" t="s">
        <v>29</v>
      </c>
      <c r="H454" s="126">
        <f>H455</f>
        <v>0</v>
      </c>
      <c r="I454" s="178" t="str">
        <f t="shared" si="57"/>
        <v>605011374 1 00 10010240</v>
      </c>
      <c r="L454" s="20">
        <v>2842.3199999999997</v>
      </c>
      <c r="M454" s="20">
        <v>2842.3199999999997</v>
      </c>
      <c r="N454" s="20">
        <v>2842.3199999999997</v>
      </c>
      <c r="O454" s="20">
        <f>H454-L454</f>
        <v>-2842.3199999999997</v>
      </c>
      <c r="P454" s="20" t="e">
        <f>#REF!-M454</f>
        <v>#REF!</v>
      </c>
      <c r="Q454" s="20" t="e">
        <f>#REF!-N454</f>
        <v>#REF!</v>
      </c>
      <c r="R454" s="17" t="str">
        <f t="shared" si="56"/>
        <v>74 1 00 10010240</v>
      </c>
    </row>
    <row r="455" spans="1:18" s="16" customFormat="1" ht="15.75">
      <c r="A455" s="14"/>
      <c r="B455" s="125" t="s">
        <v>30</v>
      </c>
      <c r="C455" s="109" t="s">
        <v>372</v>
      </c>
      <c r="D455" s="108" t="s">
        <v>11</v>
      </c>
      <c r="E455" s="108" t="s">
        <v>51</v>
      </c>
      <c r="F455" s="108" t="s">
        <v>382</v>
      </c>
      <c r="G455" s="108" t="s">
        <v>31</v>
      </c>
      <c r="H455" s="126"/>
      <c r="I455" s="178" t="str">
        <f t="shared" si="57"/>
        <v>605011374 1 00 10010244</v>
      </c>
      <c r="L455" s="20"/>
      <c r="M455" s="20"/>
      <c r="N455" s="20"/>
      <c r="O455" s="20"/>
      <c r="P455" s="20"/>
      <c r="Q455" s="20"/>
      <c r="R455" s="17"/>
    </row>
    <row r="456" spans="1:18" s="16" customFormat="1" ht="15.75">
      <c r="A456" s="14"/>
      <c r="B456" s="125" t="s">
        <v>32</v>
      </c>
      <c r="C456" s="109" t="s">
        <v>372</v>
      </c>
      <c r="D456" s="108" t="s">
        <v>11</v>
      </c>
      <c r="E456" s="108" t="s">
        <v>51</v>
      </c>
      <c r="F456" s="108" t="s">
        <v>382</v>
      </c>
      <c r="G456" s="108" t="s">
        <v>33</v>
      </c>
      <c r="H456" s="126">
        <f>SUM(H457:H459)</f>
        <v>0</v>
      </c>
      <c r="I456" s="178" t="str">
        <f t="shared" si="57"/>
        <v>605011374 1 00 10010850</v>
      </c>
      <c r="L456" s="20">
        <v>15.96</v>
      </c>
      <c r="M456" s="20">
        <v>15.96</v>
      </c>
      <c r="N456" s="20">
        <v>15.96</v>
      </c>
      <c r="O456" s="20">
        <f>H456-L456</f>
        <v>-15.96</v>
      </c>
      <c r="P456" s="20" t="e">
        <f>#REF!-M456</f>
        <v>#REF!</v>
      </c>
      <c r="Q456" s="20" t="e">
        <f>#REF!-N456</f>
        <v>#REF!</v>
      </c>
      <c r="R456" s="17" t="str">
        <f t="shared" si="56"/>
        <v>74 1 00 10010850</v>
      </c>
    </row>
    <row r="457" spans="1:18" s="23" customFormat="1" ht="31.5">
      <c r="A457" s="21"/>
      <c r="B457" s="127" t="s">
        <v>34</v>
      </c>
      <c r="C457" s="109" t="s">
        <v>372</v>
      </c>
      <c r="D457" s="108" t="s">
        <v>11</v>
      </c>
      <c r="E457" s="108" t="s">
        <v>51</v>
      </c>
      <c r="F457" s="108" t="s">
        <v>382</v>
      </c>
      <c r="G457" s="108" t="s">
        <v>35</v>
      </c>
      <c r="H457" s="126"/>
      <c r="I457" s="178" t="str">
        <f t="shared" si="57"/>
        <v>605011374 1 00 10010851</v>
      </c>
      <c r="L457" s="22"/>
      <c r="M457" s="22"/>
      <c r="N457" s="22"/>
      <c r="O457" s="22"/>
      <c r="P457" s="22"/>
      <c r="Q457" s="22"/>
      <c r="R457" s="24"/>
    </row>
    <row r="458" spans="1:18" s="23" customFormat="1" ht="15.75">
      <c r="A458" s="21"/>
      <c r="B458" s="127" t="s">
        <v>36</v>
      </c>
      <c r="C458" s="109" t="s">
        <v>372</v>
      </c>
      <c r="D458" s="108" t="s">
        <v>11</v>
      </c>
      <c r="E458" s="108" t="s">
        <v>51</v>
      </c>
      <c r="F458" s="108" t="s">
        <v>382</v>
      </c>
      <c r="G458" s="108" t="s">
        <v>37</v>
      </c>
      <c r="H458" s="126"/>
      <c r="I458" s="178" t="str">
        <f t="shared" si="57"/>
        <v>605011374 1 00 10010852</v>
      </c>
      <c r="L458" s="22"/>
      <c r="M458" s="22"/>
      <c r="N458" s="22"/>
      <c r="O458" s="22"/>
      <c r="P458" s="22"/>
      <c r="Q458" s="22"/>
      <c r="R458" s="24"/>
    </row>
    <row r="459" spans="1:18" s="23" customFormat="1" ht="15.75">
      <c r="A459" s="21"/>
      <c r="B459" s="127" t="s">
        <v>77</v>
      </c>
      <c r="C459" s="109" t="s">
        <v>372</v>
      </c>
      <c r="D459" s="108" t="s">
        <v>11</v>
      </c>
      <c r="E459" s="108" t="s">
        <v>51</v>
      </c>
      <c r="F459" s="108" t="s">
        <v>382</v>
      </c>
      <c r="G459" s="108" t="s">
        <v>78</v>
      </c>
      <c r="H459" s="126"/>
      <c r="I459" s="178" t="str">
        <f t="shared" si="57"/>
        <v>605011374 1 00 10010853</v>
      </c>
      <c r="L459" s="22"/>
      <c r="M459" s="22"/>
      <c r="N459" s="22"/>
      <c r="O459" s="22"/>
      <c r="P459" s="22"/>
      <c r="Q459" s="22"/>
      <c r="R459" s="24"/>
    </row>
    <row r="460" spans="1:18" s="16" customFormat="1" ht="31.5">
      <c r="A460" s="14"/>
      <c r="B460" s="125" t="s">
        <v>38</v>
      </c>
      <c r="C460" s="109" t="s">
        <v>372</v>
      </c>
      <c r="D460" s="108" t="s">
        <v>11</v>
      </c>
      <c r="E460" s="108" t="s">
        <v>51</v>
      </c>
      <c r="F460" s="108" t="s">
        <v>383</v>
      </c>
      <c r="G460" s="108" t="s">
        <v>9</v>
      </c>
      <c r="H460" s="126">
        <f>H461</f>
        <v>0</v>
      </c>
      <c r="I460" s="178" t="str">
        <f t="shared" si="57"/>
        <v>605011374 1 00 10020000</v>
      </c>
      <c r="L460" s="20">
        <v>25220.04</v>
      </c>
      <c r="M460" s="20">
        <v>25220.04</v>
      </c>
      <c r="N460" s="20">
        <v>25220.04</v>
      </c>
      <c r="O460" s="20">
        <f>H460-L460</f>
        <v>-25220.04</v>
      </c>
      <c r="P460" s="20" t="e">
        <f>#REF!-M460</f>
        <v>#REF!</v>
      </c>
      <c r="Q460" s="20" t="e">
        <f>#REF!-N460</f>
        <v>#REF!</v>
      </c>
      <c r="R460" s="17" t="str">
        <f t="shared" si="56"/>
        <v>74 1 00 10020000</v>
      </c>
    </row>
    <row r="461" spans="1:18" s="16" customFormat="1" ht="31.5">
      <c r="A461" s="14"/>
      <c r="B461" s="127" t="s">
        <v>20</v>
      </c>
      <c r="C461" s="109" t="s">
        <v>372</v>
      </c>
      <c r="D461" s="108" t="s">
        <v>11</v>
      </c>
      <c r="E461" s="108" t="s">
        <v>51</v>
      </c>
      <c r="F461" s="108" t="s">
        <v>383</v>
      </c>
      <c r="G461" s="108" t="s">
        <v>21</v>
      </c>
      <c r="H461" s="126">
        <f>SUM(H462:H463)</f>
        <v>0</v>
      </c>
      <c r="I461" s="178" t="str">
        <f t="shared" si="57"/>
        <v>605011374 1 00 10020120</v>
      </c>
      <c r="L461" s="20">
        <v>25220.04</v>
      </c>
      <c r="M461" s="20">
        <v>25220.04</v>
      </c>
      <c r="N461" s="20">
        <v>25220.04</v>
      </c>
      <c r="O461" s="20">
        <f>H461-L461</f>
        <v>-25220.04</v>
      </c>
      <c r="P461" s="20" t="e">
        <f>#REF!-M461</f>
        <v>#REF!</v>
      </c>
      <c r="Q461" s="20" t="e">
        <f>#REF!-N461</f>
        <v>#REF!</v>
      </c>
      <c r="R461" s="17" t="str">
        <f t="shared" si="56"/>
        <v>74 1 00 10020120</v>
      </c>
    </row>
    <row r="462" spans="1:18" s="23" customFormat="1" ht="31.5">
      <c r="A462" s="21"/>
      <c r="B462" s="127" t="s">
        <v>40</v>
      </c>
      <c r="C462" s="109" t="s">
        <v>372</v>
      </c>
      <c r="D462" s="108" t="s">
        <v>11</v>
      </c>
      <c r="E462" s="108" t="s">
        <v>51</v>
      </c>
      <c r="F462" s="108" t="s">
        <v>383</v>
      </c>
      <c r="G462" s="108" t="s">
        <v>41</v>
      </c>
      <c r="H462" s="126"/>
      <c r="I462" s="178" t="str">
        <f t="shared" si="57"/>
        <v>605011374 1 00 10020121</v>
      </c>
      <c r="L462" s="22"/>
      <c r="M462" s="22"/>
      <c r="N462" s="22"/>
      <c r="O462" s="22"/>
      <c r="P462" s="22"/>
      <c r="Q462" s="22"/>
      <c r="R462" s="24"/>
    </row>
    <row r="463" spans="1:18" s="23" customFormat="1" ht="63">
      <c r="A463" s="21"/>
      <c r="B463" s="127" t="s">
        <v>26</v>
      </c>
      <c r="C463" s="109" t="s">
        <v>372</v>
      </c>
      <c r="D463" s="108" t="s">
        <v>11</v>
      </c>
      <c r="E463" s="108" t="s">
        <v>51</v>
      </c>
      <c r="F463" s="108" t="s">
        <v>383</v>
      </c>
      <c r="G463" s="108" t="s">
        <v>27</v>
      </c>
      <c r="H463" s="126"/>
      <c r="I463" s="178" t="str">
        <f t="shared" si="57"/>
        <v>605011374 1 00 10020129</v>
      </c>
      <c r="L463" s="22"/>
      <c r="M463" s="22"/>
      <c r="N463" s="22"/>
      <c r="O463" s="22"/>
      <c r="P463" s="22"/>
      <c r="Q463" s="22"/>
      <c r="R463" s="24"/>
    </row>
    <row r="464" spans="1:18" s="16" customFormat="1" ht="15.75">
      <c r="A464" s="14"/>
      <c r="B464" s="117" t="s">
        <v>237</v>
      </c>
      <c r="C464" s="118" t="s">
        <v>372</v>
      </c>
      <c r="D464" s="119" t="s">
        <v>238</v>
      </c>
      <c r="E464" s="119" t="s">
        <v>7</v>
      </c>
      <c r="F464" s="119" t="s">
        <v>8</v>
      </c>
      <c r="G464" s="119" t="s">
        <v>9</v>
      </c>
      <c r="H464" s="120">
        <f t="shared" ref="H464:H468" si="64">H465</f>
        <v>0</v>
      </c>
      <c r="I464" s="178" t="str">
        <f t="shared" si="57"/>
        <v>605080000 0 00 00000000</v>
      </c>
      <c r="L464" s="18">
        <v>1096.2</v>
      </c>
      <c r="M464" s="18">
        <v>1096.2</v>
      </c>
      <c r="N464" s="18">
        <v>1096.2</v>
      </c>
      <c r="O464" s="18">
        <f t="shared" ref="O464:O470" si="65">H464-L464</f>
        <v>-1096.2</v>
      </c>
      <c r="P464" s="18" t="e">
        <f>#REF!-M464</f>
        <v>#REF!</v>
      </c>
      <c r="Q464" s="18" t="e">
        <f>#REF!-N464</f>
        <v>#REF!</v>
      </c>
      <c r="R464" s="17" t="str">
        <f t="shared" si="56"/>
        <v>00 0 00 00000000</v>
      </c>
    </row>
    <row r="465" spans="1:18" s="16" customFormat="1" ht="15.75">
      <c r="A465" s="14"/>
      <c r="B465" s="121" t="s">
        <v>239</v>
      </c>
      <c r="C465" s="122" t="s">
        <v>372</v>
      </c>
      <c r="D465" s="123" t="s">
        <v>238</v>
      </c>
      <c r="E465" s="123" t="s">
        <v>11</v>
      </c>
      <c r="F465" s="123" t="s">
        <v>8</v>
      </c>
      <c r="G465" s="123" t="s">
        <v>9</v>
      </c>
      <c r="H465" s="124">
        <f t="shared" si="64"/>
        <v>0</v>
      </c>
      <c r="I465" s="178" t="str">
        <f t="shared" si="57"/>
        <v>605080100 0 00 00000000</v>
      </c>
      <c r="L465" s="19">
        <v>1096.2</v>
      </c>
      <c r="M465" s="19">
        <v>1096.2</v>
      </c>
      <c r="N465" s="19">
        <v>1096.2</v>
      </c>
      <c r="O465" s="19">
        <f t="shared" si="65"/>
        <v>-1096.2</v>
      </c>
      <c r="P465" s="19" t="e">
        <f>#REF!-M465</f>
        <v>#REF!</v>
      </c>
      <c r="Q465" s="19" t="e">
        <f>#REF!-N465</f>
        <v>#REF!</v>
      </c>
      <c r="R465" s="17" t="str">
        <f t="shared" si="56"/>
        <v>00 0 00 00000000</v>
      </c>
    </row>
    <row r="466" spans="1:18" s="16" customFormat="1" ht="31.5">
      <c r="A466" s="14"/>
      <c r="B466" s="125" t="s">
        <v>240</v>
      </c>
      <c r="C466" s="130" t="s">
        <v>372</v>
      </c>
      <c r="D466" s="131" t="s">
        <v>238</v>
      </c>
      <c r="E466" s="131" t="s">
        <v>11</v>
      </c>
      <c r="F466" s="131" t="s">
        <v>241</v>
      </c>
      <c r="G466" s="131" t="s">
        <v>9</v>
      </c>
      <c r="H466" s="105">
        <f t="shared" si="64"/>
        <v>0</v>
      </c>
      <c r="I466" s="178" t="str">
        <f t="shared" si="57"/>
        <v>605080107 0 00 00000000</v>
      </c>
      <c r="L466" s="26">
        <v>1096.2</v>
      </c>
      <c r="M466" s="26">
        <v>1096.2</v>
      </c>
      <c r="N466" s="26">
        <v>1096.2</v>
      </c>
      <c r="O466" s="26">
        <f t="shared" si="65"/>
        <v>-1096.2</v>
      </c>
      <c r="P466" s="26" t="e">
        <f>#REF!-M466</f>
        <v>#REF!</v>
      </c>
      <c r="Q466" s="26" t="e">
        <f>#REF!-N466</f>
        <v>#REF!</v>
      </c>
      <c r="R466" s="17" t="str">
        <f t="shared" si="56"/>
        <v>07 0 00 00000000</v>
      </c>
    </row>
    <row r="467" spans="1:18" s="16" customFormat="1" ht="78.75">
      <c r="A467" s="14"/>
      <c r="B467" s="125" t="s">
        <v>384</v>
      </c>
      <c r="C467" s="130" t="s">
        <v>372</v>
      </c>
      <c r="D467" s="131" t="s">
        <v>238</v>
      </c>
      <c r="E467" s="131" t="s">
        <v>11</v>
      </c>
      <c r="F467" s="131" t="s">
        <v>243</v>
      </c>
      <c r="G467" s="131" t="s">
        <v>9</v>
      </c>
      <c r="H467" s="105">
        <f t="shared" si="64"/>
        <v>0</v>
      </c>
      <c r="I467" s="178" t="str">
        <f t="shared" si="57"/>
        <v>605080107 1 00 00000000</v>
      </c>
      <c r="L467" s="26">
        <v>1096.2</v>
      </c>
      <c r="M467" s="26">
        <v>1096.2</v>
      </c>
      <c r="N467" s="26">
        <v>1096.2</v>
      </c>
      <c r="O467" s="26">
        <f t="shared" si="65"/>
        <v>-1096.2</v>
      </c>
      <c r="P467" s="26" t="e">
        <f>#REF!-M467</f>
        <v>#REF!</v>
      </c>
      <c r="Q467" s="26" t="e">
        <f>#REF!-N467</f>
        <v>#REF!</v>
      </c>
      <c r="R467" s="17" t="str">
        <f t="shared" si="56"/>
        <v>07 1 00 00000000</v>
      </c>
    </row>
    <row r="468" spans="1:18" s="16" customFormat="1" ht="110.25">
      <c r="A468" s="14"/>
      <c r="B468" s="125" t="s">
        <v>244</v>
      </c>
      <c r="C468" s="130" t="s">
        <v>372</v>
      </c>
      <c r="D468" s="131" t="s">
        <v>238</v>
      </c>
      <c r="E468" s="131" t="s">
        <v>11</v>
      </c>
      <c r="F468" s="131" t="s">
        <v>245</v>
      </c>
      <c r="G468" s="131" t="s">
        <v>9</v>
      </c>
      <c r="H468" s="105">
        <f t="shared" si="64"/>
        <v>0</v>
      </c>
      <c r="I468" s="178" t="str">
        <f t="shared" si="57"/>
        <v>605080107 1 01 00000000</v>
      </c>
      <c r="L468" s="26">
        <v>1096.2</v>
      </c>
      <c r="M468" s="26">
        <v>1096.2</v>
      </c>
      <c r="N468" s="26">
        <v>1096.2</v>
      </c>
      <c r="O468" s="26">
        <f t="shared" si="65"/>
        <v>-1096.2</v>
      </c>
      <c r="P468" s="26" t="e">
        <f>#REF!-M468</f>
        <v>#REF!</v>
      </c>
      <c r="Q468" s="26" t="e">
        <f>#REF!-N468</f>
        <v>#REF!</v>
      </c>
      <c r="R468" s="17" t="str">
        <f t="shared" si="56"/>
        <v>07 1 01 00000000</v>
      </c>
    </row>
    <row r="469" spans="1:18" s="16" customFormat="1" ht="31.5">
      <c r="A469" s="14"/>
      <c r="B469" s="125" t="s">
        <v>246</v>
      </c>
      <c r="C469" s="130" t="s">
        <v>372</v>
      </c>
      <c r="D469" s="131" t="s">
        <v>238</v>
      </c>
      <c r="E469" s="131" t="s">
        <v>11</v>
      </c>
      <c r="F469" s="131" t="s">
        <v>247</v>
      </c>
      <c r="G469" s="131" t="s">
        <v>9</v>
      </c>
      <c r="H469" s="105">
        <f>H470</f>
        <v>0</v>
      </c>
      <c r="I469" s="178" t="str">
        <f t="shared" ref="I469:I532" si="66">C469&amp;D469&amp;E469&amp;F469&amp;G469</f>
        <v>605080107 1 01 20060000</v>
      </c>
      <c r="L469" s="26">
        <v>1096.2</v>
      </c>
      <c r="M469" s="26">
        <v>1096.2</v>
      </c>
      <c r="N469" s="26">
        <v>1096.2</v>
      </c>
      <c r="O469" s="26">
        <f t="shared" si="65"/>
        <v>-1096.2</v>
      </c>
      <c r="P469" s="26" t="e">
        <f>#REF!-M469</f>
        <v>#REF!</v>
      </c>
      <c r="Q469" s="26" t="e">
        <f>#REF!-N469</f>
        <v>#REF!</v>
      </c>
      <c r="R469" s="17" t="str">
        <f t="shared" si="56"/>
        <v>07 1 01 20060000</v>
      </c>
    </row>
    <row r="470" spans="1:18" s="16" customFormat="1" ht="31.5">
      <c r="A470" s="14"/>
      <c r="B470" s="125" t="s">
        <v>28</v>
      </c>
      <c r="C470" s="130" t="s">
        <v>372</v>
      </c>
      <c r="D470" s="131" t="s">
        <v>238</v>
      </c>
      <c r="E470" s="131" t="s">
        <v>11</v>
      </c>
      <c r="F470" s="131" t="s">
        <v>247</v>
      </c>
      <c r="G470" s="131" t="s">
        <v>29</v>
      </c>
      <c r="H470" s="126">
        <f>H471</f>
        <v>0</v>
      </c>
      <c r="I470" s="178" t="str">
        <f t="shared" si="66"/>
        <v>605080107 1 01 20060240</v>
      </c>
      <c r="L470" s="20">
        <v>1096.2</v>
      </c>
      <c r="M470" s="20">
        <v>1096.2</v>
      </c>
      <c r="N470" s="20">
        <v>1096.2</v>
      </c>
      <c r="O470" s="20">
        <f t="shared" si="65"/>
        <v>-1096.2</v>
      </c>
      <c r="P470" s="20" t="e">
        <f>#REF!-M470</f>
        <v>#REF!</v>
      </c>
      <c r="Q470" s="20" t="e">
        <f>#REF!-N470</f>
        <v>#REF!</v>
      </c>
      <c r="R470" s="17" t="str">
        <f t="shared" si="56"/>
        <v>07 1 01 20060240</v>
      </c>
    </row>
    <row r="471" spans="1:18" s="16" customFormat="1" ht="15.75">
      <c r="A471" s="14"/>
      <c r="B471" s="125" t="s">
        <v>30</v>
      </c>
      <c r="C471" s="130" t="s">
        <v>372</v>
      </c>
      <c r="D471" s="131" t="s">
        <v>238</v>
      </c>
      <c r="E471" s="131" t="s">
        <v>11</v>
      </c>
      <c r="F471" s="131" t="s">
        <v>247</v>
      </c>
      <c r="G471" s="131" t="s">
        <v>31</v>
      </c>
      <c r="H471" s="126"/>
      <c r="I471" s="178" t="str">
        <f t="shared" si="66"/>
        <v>605080107 1 01 20060244</v>
      </c>
      <c r="L471" s="20"/>
      <c r="M471" s="20"/>
      <c r="N471" s="20"/>
      <c r="O471" s="20"/>
      <c r="P471" s="20"/>
      <c r="Q471" s="20"/>
      <c r="R471" s="17" t="str">
        <f t="shared" si="56"/>
        <v>07 1 01 20060244</v>
      </c>
    </row>
    <row r="472" spans="1:18" s="34" customFormat="1" ht="15.75">
      <c r="A472" s="33"/>
      <c r="B472" s="117" t="s">
        <v>316</v>
      </c>
      <c r="C472" s="118" t="s">
        <v>372</v>
      </c>
      <c r="D472" s="119" t="s">
        <v>317</v>
      </c>
      <c r="E472" s="119" t="s">
        <v>7</v>
      </c>
      <c r="F472" s="119" t="s">
        <v>8</v>
      </c>
      <c r="G472" s="119" t="s">
        <v>9</v>
      </c>
      <c r="H472" s="120">
        <f t="shared" ref="H472:H477" si="67">H473</f>
        <v>0</v>
      </c>
      <c r="I472" s="178" t="str">
        <f t="shared" si="66"/>
        <v>605100000 0 00 00000000</v>
      </c>
      <c r="L472" s="18">
        <v>2250.3200000000002</v>
      </c>
      <c r="M472" s="18">
        <v>2250.3200000000002</v>
      </c>
      <c r="N472" s="18">
        <v>2250.3200000000002</v>
      </c>
      <c r="O472" s="18">
        <f t="shared" ref="O472:O478" si="68">H472-L472</f>
        <v>-2250.3200000000002</v>
      </c>
      <c r="P472" s="18" t="e">
        <f>#REF!-M472</f>
        <v>#REF!</v>
      </c>
      <c r="Q472" s="18" t="e">
        <f>#REF!-N472</f>
        <v>#REF!</v>
      </c>
      <c r="R472" s="17" t="str">
        <f t="shared" si="56"/>
        <v>00 0 00 00000000</v>
      </c>
    </row>
    <row r="473" spans="1:18" s="23" customFormat="1" ht="15.75">
      <c r="A473" s="21"/>
      <c r="B473" s="121" t="s">
        <v>318</v>
      </c>
      <c r="C473" s="122" t="s">
        <v>372</v>
      </c>
      <c r="D473" s="123" t="s">
        <v>317</v>
      </c>
      <c r="E473" s="123" t="s">
        <v>13</v>
      </c>
      <c r="F473" s="123" t="s">
        <v>8</v>
      </c>
      <c r="G473" s="123" t="s">
        <v>9</v>
      </c>
      <c r="H473" s="124">
        <f t="shared" si="67"/>
        <v>0</v>
      </c>
      <c r="I473" s="178" t="str">
        <f t="shared" si="66"/>
        <v>605100300 0 00 00000000</v>
      </c>
      <c r="L473" s="19">
        <v>2250.3200000000002</v>
      </c>
      <c r="M473" s="19">
        <v>2250.3200000000002</v>
      </c>
      <c r="N473" s="19">
        <v>2250.3200000000002</v>
      </c>
      <c r="O473" s="19">
        <f t="shared" si="68"/>
        <v>-2250.3200000000002</v>
      </c>
      <c r="P473" s="19" t="e">
        <f>#REF!-M473</f>
        <v>#REF!</v>
      </c>
      <c r="Q473" s="19" t="e">
        <f>#REF!-N473</f>
        <v>#REF!</v>
      </c>
      <c r="R473" s="17" t="str">
        <f t="shared" si="56"/>
        <v>00 0 00 00000000</v>
      </c>
    </row>
    <row r="474" spans="1:18" s="16" customFormat="1" ht="31.5">
      <c r="A474" s="14"/>
      <c r="B474" s="135" t="s">
        <v>385</v>
      </c>
      <c r="C474" s="109" t="s">
        <v>372</v>
      </c>
      <c r="D474" s="108" t="s">
        <v>317</v>
      </c>
      <c r="E474" s="108" t="s">
        <v>13</v>
      </c>
      <c r="F474" s="108" t="s">
        <v>386</v>
      </c>
      <c r="G474" s="108" t="s">
        <v>9</v>
      </c>
      <c r="H474" s="126">
        <f t="shared" si="67"/>
        <v>0</v>
      </c>
      <c r="I474" s="178" t="str">
        <f t="shared" si="66"/>
        <v>605100303 0 00 00000000</v>
      </c>
      <c r="L474" s="20">
        <v>2250.3200000000002</v>
      </c>
      <c r="M474" s="20">
        <v>2250.3200000000002</v>
      </c>
      <c r="N474" s="20">
        <v>2250.3200000000002</v>
      </c>
      <c r="O474" s="20">
        <f t="shared" si="68"/>
        <v>-2250.3200000000002</v>
      </c>
      <c r="P474" s="20" t="e">
        <f>#REF!-M474</f>
        <v>#REF!</v>
      </c>
      <c r="Q474" s="20" t="e">
        <f>#REF!-N474</f>
        <v>#REF!</v>
      </c>
      <c r="R474" s="17" t="str">
        <f t="shared" si="56"/>
        <v>03 0 00 00000000</v>
      </c>
    </row>
    <row r="475" spans="1:18" s="16" customFormat="1" ht="63">
      <c r="A475" s="14"/>
      <c r="B475" s="135" t="s">
        <v>387</v>
      </c>
      <c r="C475" s="109" t="s">
        <v>372</v>
      </c>
      <c r="D475" s="108" t="s">
        <v>317</v>
      </c>
      <c r="E475" s="108" t="s">
        <v>13</v>
      </c>
      <c r="F475" s="108" t="s">
        <v>388</v>
      </c>
      <c r="G475" s="108" t="s">
        <v>9</v>
      </c>
      <c r="H475" s="126">
        <f t="shared" si="67"/>
        <v>0</v>
      </c>
      <c r="I475" s="178" t="str">
        <f t="shared" si="66"/>
        <v>605100303 2 00 00000000</v>
      </c>
      <c r="L475" s="20">
        <v>2250.3200000000002</v>
      </c>
      <c r="M475" s="20">
        <v>2250.3200000000002</v>
      </c>
      <c r="N475" s="20">
        <v>2250.3200000000002</v>
      </c>
      <c r="O475" s="20">
        <f t="shared" si="68"/>
        <v>-2250.3200000000002</v>
      </c>
      <c r="P475" s="20" t="e">
        <f>#REF!-M475</f>
        <v>#REF!</v>
      </c>
      <c r="Q475" s="20" t="e">
        <f>#REF!-N475</f>
        <v>#REF!</v>
      </c>
      <c r="R475" s="17" t="str">
        <f t="shared" si="56"/>
        <v>03 2 00 00000000</v>
      </c>
    </row>
    <row r="476" spans="1:18" s="16" customFormat="1" ht="47.25">
      <c r="A476" s="14"/>
      <c r="B476" s="125" t="s">
        <v>389</v>
      </c>
      <c r="C476" s="109" t="s">
        <v>372</v>
      </c>
      <c r="D476" s="108" t="s">
        <v>317</v>
      </c>
      <c r="E476" s="108" t="s">
        <v>13</v>
      </c>
      <c r="F476" s="108" t="s">
        <v>390</v>
      </c>
      <c r="G476" s="108" t="s">
        <v>9</v>
      </c>
      <c r="H476" s="126">
        <f t="shared" si="67"/>
        <v>0</v>
      </c>
      <c r="I476" s="178" t="str">
        <f t="shared" si="66"/>
        <v>605100303 2 02 00000000</v>
      </c>
      <c r="L476" s="20">
        <v>2250.3200000000002</v>
      </c>
      <c r="M476" s="20">
        <v>2250.3200000000002</v>
      </c>
      <c r="N476" s="20">
        <v>2250.3200000000002</v>
      </c>
      <c r="O476" s="20">
        <f t="shared" si="68"/>
        <v>-2250.3200000000002</v>
      </c>
      <c r="P476" s="20" t="e">
        <f>#REF!-M476</f>
        <v>#REF!</v>
      </c>
      <c r="Q476" s="20" t="e">
        <f>#REF!-N476</f>
        <v>#REF!</v>
      </c>
      <c r="R476" s="17" t="str">
        <f t="shared" si="56"/>
        <v>03 2 02 00000000</v>
      </c>
    </row>
    <row r="477" spans="1:18" s="16" customFormat="1" ht="31.5">
      <c r="A477" s="14"/>
      <c r="B477" s="125" t="s">
        <v>391</v>
      </c>
      <c r="C477" s="109" t="s">
        <v>372</v>
      </c>
      <c r="D477" s="108" t="s">
        <v>317</v>
      </c>
      <c r="E477" s="108" t="s">
        <v>13</v>
      </c>
      <c r="F477" s="108" t="s">
        <v>392</v>
      </c>
      <c r="G477" s="108" t="s">
        <v>9</v>
      </c>
      <c r="H477" s="126">
        <f t="shared" si="67"/>
        <v>0</v>
      </c>
      <c r="I477" s="178" t="str">
        <f t="shared" si="66"/>
        <v>605100303 2 02 80240000</v>
      </c>
      <c r="L477" s="20">
        <v>2250.3200000000002</v>
      </c>
      <c r="M477" s="20">
        <v>2250.3200000000002</v>
      </c>
      <c r="N477" s="20">
        <v>2250.3200000000002</v>
      </c>
      <c r="O477" s="20">
        <f t="shared" si="68"/>
        <v>-2250.3200000000002</v>
      </c>
      <c r="P477" s="20" t="e">
        <f>#REF!-M477</f>
        <v>#REF!</v>
      </c>
      <c r="Q477" s="20" t="e">
        <f>#REF!-N477</f>
        <v>#REF!</v>
      </c>
      <c r="R477" s="17" t="str">
        <f t="shared" si="56"/>
        <v>03 2 02 80240000</v>
      </c>
    </row>
    <row r="478" spans="1:18" s="16" customFormat="1" ht="63">
      <c r="A478" s="14"/>
      <c r="B478" s="129" t="s">
        <v>203</v>
      </c>
      <c r="C478" s="109" t="s">
        <v>372</v>
      </c>
      <c r="D478" s="108" t="s">
        <v>317</v>
      </c>
      <c r="E478" s="108" t="s">
        <v>13</v>
      </c>
      <c r="F478" s="108" t="s">
        <v>392</v>
      </c>
      <c r="G478" s="108" t="s">
        <v>204</v>
      </c>
      <c r="H478" s="126">
        <f>H479</f>
        <v>0</v>
      </c>
      <c r="I478" s="178" t="str">
        <f t="shared" si="66"/>
        <v>605100303 2 02 80240810</v>
      </c>
      <c r="L478" s="20">
        <v>2250.3200000000002</v>
      </c>
      <c r="M478" s="20">
        <v>2250.3200000000002</v>
      </c>
      <c r="N478" s="20">
        <v>2250.3200000000002</v>
      </c>
      <c r="O478" s="20">
        <f t="shared" si="68"/>
        <v>-2250.3200000000002</v>
      </c>
      <c r="P478" s="20" t="e">
        <f>#REF!-M478</f>
        <v>#REF!</v>
      </c>
      <c r="Q478" s="20" t="e">
        <f>#REF!-N478</f>
        <v>#REF!</v>
      </c>
      <c r="R478" s="17" t="str">
        <f t="shared" si="56"/>
        <v>03 2 02 80240810</v>
      </c>
    </row>
    <row r="479" spans="1:18" s="16" customFormat="1" ht="63">
      <c r="A479" s="14"/>
      <c r="B479" s="125" t="s">
        <v>205</v>
      </c>
      <c r="C479" s="109" t="s">
        <v>372</v>
      </c>
      <c r="D479" s="108" t="s">
        <v>317</v>
      </c>
      <c r="E479" s="108" t="s">
        <v>13</v>
      </c>
      <c r="F479" s="108" t="s">
        <v>392</v>
      </c>
      <c r="G479" s="108" t="s">
        <v>206</v>
      </c>
      <c r="H479" s="126"/>
      <c r="I479" s="178" t="str">
        <f t="shared" si="66"/>
        <v>605100303 2 02 80240811</v>
      </c>
      <c r="L479" s="20"/>
      <c r="M479" s="20"/>
      <c r="N479" s="20"/>
      <c r="O479" s="20"/>
      <c r="P479" s="20"/>
      <c r="Q479" s="20"/>
      <c r="R479" s="17" t="str">
        <f t="shared" si="56"/>
        <v>03 2 02 80240811</v>
      </c>
    </row>
    <row r="480" spans="1:18" s="16" customFormat="1" ht="15.75">
      <c r="A480" s="14"/>
      <c r="B480" s="129"/>
      <c r="C480" s="109"/>
      <c r="D480" s="108"/>
      <c r="E480" s="108"/>
      <c r="F480" s="108"/>
      <c r="G480" s="108"/>
      <c r="H480" s="126"/>
      <c r="I480" s="178" t="str">
        <f t="shared" si="66"/>
        <v/>
      </c>
      <c r="L480" s="20"/>
      <c r="M480" s="20"/>
      <c r="N480" s="20"/>
      <c r="O480" s="20">
        <f t="shared" ref="O480:O488" si="69">H480-L480</f>
        <v>0</v>
      </c>
      <c r="P480" s="20" t="e">
        <f>#REF!-M480</f>
        <v>#REF!</v>
      </c>
      <c r="Q480" s="20" t="e">
        <f>#REF!-N480</f>
        <v>#REF!</v>
      </c>
      <c r="R480" s="17" t="str">
        <f t="shared" si="56"/>
        <v/>
      </c>
    </row>
    <row r="481" spans="1:18" s="17" customFormat="1" ht="31.5">
      <c r="A481" s="14"/>
      <c r="B481" s="67" t="s">
        <v>393</v>
      </c>
      <c r="C481" s="116" t="s">
        <v>394</v>
      </c>
      <c r="D481" s="69" t="s">
        <v>7</v>
      </c>
      <c r="E481" s="69" t="s">
        <v>7</v>
      </c>
      <c r="F481" s="69" t="s">
        <v>8</v>
      </c>
      <c r="G481" s="69" t="s">
        <v>9</v>
      </c>
      <c r="H481" s="70">
        <f>H482+H695</f>
        <v>0</v>
      </c>
      <c r="I481" s="178" t="str">
        <f t="shared" si="66"/>
        <v>606000000 0 00 00000000</v>
      </c>
      <c r="L481" s="25">
        <v>3591355.8200000003</v>
      </c>
      <c r="M481" s="25">
        <v>3544735.11</v>
      </c>
      <c r="N481" s="25">
        <v>3539794.3999999994</v>
      </c>
      <c r="O481" s="25">
        <f t="shared" si="69"/>
        <v>-3591355.8200000003</v>
      </c>
      <c r="P481" s="25" t="e">
        <f>#REF!-M481</f>
        <v>#REF!</v>
      </c>
      <c r="Q481" s="25" t="e">
        <f>#REF!-N481</f>
        <v>#REF!</v>
      </c>
      <c r="R481" s="17" t="str">
        <f t="shared" si="56"/>
        <v>00 0 00 00000000</v>
      </c>
    </row>
    <row r="482" spans="1:18" s="17" customFormat="1" ht="15.75">
      <c r="A482" s="14"/>
      <c r="B482" s="117" t="s">
        <v>228</v>
      </c>
      <c r="C482" s="118" t="s">
        <v>394</v>
      </c>
      <c r="D482" s="119" t="s">
        <v>229</v>
      </c>
      <c r="E482" s="119" t="s">
        <v>7</v>
      </c>
      <c r="F482" s="119" t="s">
        <v>8</v>
      </c>
      <c r="G482" s="119" t="s">
        <v>9</v>
      </c>
      <c r="H482" s="120">
        <f>H483+H524+H628+H644+H591</f>
        <v>0</v>
      </c>
      <c r="I482" s="178" t="str">
        <f t="shared" si="66"/>
        <v>606070000 0 00 00000000</v>
      </c>
      <c r="L482" s="18">
        <v>3460800.93</v>
      </c>
      <c r="M482" s="18">
        <v>3414180.2199999997</v>
      </c>
      <c r="N482" s="18">
        <v>3409239.5099999993</v>
      </c>
      <c r="O482" s="18">
        <f t="shared" si="69"/>
        <v>-3460800.93</v>
      </c>
      <c r="P482" s="18" t="e">
        <f>#REF!-M482</f>
        <v>#REF!</v>
      </c>
      <c r="Q482" s="18" t="e">
        <f>#REF!-N482</f>
        <v>#REF!</v>
      </c>
      <c r="R482" s="17" t="str">
        <f t="shared" si="56"/>
        <v>00 0 00 00000000</v>
      </c>
    </row>
    <row r="483" spans="1:18" s="17" customFormat="1" ht="15.75">
      <c r="A483" s="14"/>
      <c r="B483" s="121" t="s">
        <v>395</v>
      </c>
      <c r="C483" s="122" t="s">
        <v>394</v>
      </c>
      <c r="D483" s="123" t="s">
        <v>229</v>
      </c>
      <c r="E483" s="123" t="s">
        <v>11</v>
      </c>
      <c r="F483" s="123" t="s">
        <v>8</v>
      </c>
      <c r="G483" s="123" t="s">
        <v>9</v>
      </c>
      <c r="H483" s="124">
        <f>H484+H510+H518+H504</f>
        <v>0</v>
      </c>
      <c r="I483" s="178" t="str">
        <f t="shared" si="66"/>
        <v>606070100 0 00 00000000</v>
      </c>
      <c r="L483" s="19">
        <v>1467483.43</v>
      </c>
      <c r="M483" s="19">
        <v>1477974.55</v>
      </c>
      <c r="N483" s="19">
        <v>1470182.6999999997</v>
      </c>
      <c r="O483" s="19">
        <f t="shared" si="69"/>
        <v>-1467483.43</v>
      </c>
      <c r="P483" s="19" t="e">
        <f>#REF!-M483</f>
        <v>#REF!</v>
      </c>
      <c r="Q483" s="19" t="e">
        <f>#REF!-N483</f>
        <v>#REF!</v>
      </c>
      <c r="R483" s="17" t="str">
        <f t="shared" si="56"/>
        <v>00 0 00 00000000</v>
      </c>
    </row>
    <row r="484" spans="1:18" s="17" customFormat="1" ht="31.5">
      <c r="A484" s="14"/>
      <c r="B484" s="132" t="s">
        <v>396</v>
      </c>
      <c r="C484" s="109" t="s">
        <v>394</v>
      </c>
      <c r="D484" s="108" t="s">
        <v>229</v>
      </c>
      <c r="E484" s="108" t="s">
        <v>11</v>
      </c>
      <c r="F484" s="108" t="s">
        <v>397</v>
      </c>
      <c r="G484" s="108" t="s">
        <v>9</v>
      </c>
      <c r="H484" s="126">
        <f>H485</f>
        <v>0</v>
      </c>
      <c r="I484" s="178" t="str">
        <f t="shared" si="66"/>
        <v>606070101 0 00 00000000</v>
      </c>
      <c r="L484" s="20">
        <v>1457551.92</v>
      </c>
      <c r="M484" s="20">
        <v>1451343.04</v>
      </c>
      <c r="N484" s="20">
        <v>1463801.1899999997</v>
      </c>
      <c r="O484" s="20">
        <f t="shared" si="69"/>
        <v>-1457551.92</v>
      </c>
      <c r="P484" s="20" t="e">
        <f>#REF!-M484</f>
        <v>#REF!</v>
      </c>
      <c r="Q484" s="20" t="e">
        <f>#REF!-N484</f>
        <v>#REF!</v>
      </c>
      <c r="R484" s="17" t="str">
        <f t="shared" ref="R484:R580" si="70">CONCATENATE(F484,G484)</f>
        <v>01 0 00 00000000</v>
      </c>
    </row>
    <row r="485" spans="1:18" s="17" customFormat="1" ht="31.5">
      <c r="A485" s="14"/>
      <c r="B485" s="132" t="s">
        <v>398</v>
      </c>
      <c r="C485" s="109" t="s">
        <v>394</v>
      </c>
      <c r="D485" s="108" t="s">
        <v>229</v>
      </c>
      <c r="E485" s="108" t="s">
        <v>11</v>
      </c>
      <c r="F485" s="108" t="s">
        <v>399</v>
      </c>
      <c r="G485" s="108" t="s">
        <v>9</v>
      </c>
      <c r="H485" s="126">
        <f>H486+H500</f>
        <v>0</v>
      </c>
      <c r="I485" s="178" t="str">
        <f t="shared" si="66"/>
        <v>606070101 1 00 00000000</v>
      </c>
      <c r="L485" s="20">
        <v>1457551.92</v>
      </c>
      <c r="M485" s="20">
        <v>1451343.04</v>
      </c>
      <c r="N485" s="20">
        <v>1463801.1899999997</v>
      </c>
      <c r="O485" s="20">
        <f t="shared" si="69"/>
        <v>-1457551.92</v>
      </c>
      <c r="P485" s="20" t="e">
        <f>#REF!-M485</f>
        <v>#REF!</v>
      </c>
      <c r="Q485" s="20" t="e">
        <f>#REF!-N485</f>
        <v>#REF!</v>
      </c>
      <c r="R485" s="17" t="str">
        <f t="shared" si="70"/>
        <v>01 1 00 00000000</v>
      </c>
    </row>
    <row r="486" spans="1:18" s="17" customFormat="1" ht="47.25">
      <c r="A486" s="14"/>
      <c r="B486" s="132" t="s">
        <v>400</v>
      </c>
      <c r="C486" s="109" t="s">
        <v>394</v>
      </c>
      <c r="D486" s="108" t="s">
        <v>229</v>
      </c>
      <c r="E486" s="108" t="s">
        <v>11</v>
      </c>
      <c r="F486" s="108" t="s">
        <v>401</v>
      </c>
      <c r="G486" s="108" t="s">
        <v>9</v>
      </c>
      <c r="H486" s="126">
        <f>H487+H493</f>
        <v>0</v>
      </c>
      <c r="I486" s="178" t="str">
        <f t="shared" si="66"/>
        <v>606070101 1 01 00000000</v>
      </c>
      <c r="L486" s="20">
        <v>1425828.23</v>
      </c>
      <c r="M486" s="20">
        <v>1437812.3800000001</v>
      </c>
      <c r="N486" s="20">
        <v>1450270.5299999998</v>
      </c>
      <c r="O486" s="20">
        <f t="shared" si="69"/>
        <v>-1425828.23</v>
      </c>
      <c r="P486" s="20" t="e">
        <f>#REF!-M486</f>
        <v>#REF!</v>
      </c>
      <c r="Q486" s="20" t="e">
        <f>#REF!-N486</f>
        <v>#REF!</v>
      </c>
      <c r="R486" s="17" t="str">
        <f t="shared" si="70"/>
        <v>01 1 01 00000000</v>
      </c>
    </row>
    <row r="487" spans="1:18" s="17" customFormat="1" ht="31.5">
      <c r="A487" s="14"/>
      <c r="B487" s="132" t="s">
        <v>136</v>
      </c>
      <c r="C487" s="109" t="s">
        <v>394</v>
      </c>
      <c r="D487" s="108" t="s">
        <v>229</v>
      </c>
      <c r="E487" s="108" t="s">
        <v>11</v>
      </c>
      <c r="F487" s="108" t="s">
        <v>402</v>
      </c>
      <c r="G487" s="108" t="s">
        <v>9</v>
      </c>
      <c r="H487" s="126">
        <f>H488+H491</f>
        <v>0</v>
      </c>
      <c r="I487" s="178" t="str">
        <f t="shared" si="66"/>
        <v>606070101 1 01 11010000</v>
      </c>
      <c r="L487" s="20">
        <v>690348.79</v>
      </c>
      <c r="M487" s="20">
        <v>690348.79</v>
      </c>
      <c r="N487" s="20">
        <v>690348.79</v>
      </c>
      <c r="O487" s="20">
        <f t="shared" si="69"/>
        <v>-690348.79</v>
      </c>
      <c r="P487" s="20" t="e">
        <f>#REF!-M487</f>
        <v>#REF!</v>
      </c>
      <c r="Q487" s="20" t="e">
        <f>#REF!-N487</f>
        <v>#REF!</v>
      </c>
      <c r="R487" s="17" t="str">
        <f t="shared" si="70"/>
        <v>01 1 01 11010000</v>
      </c>
    </row>
    <row r="488" spans="1:18" s="17" customFormat="1" ht="15.75">
      <c r="A488" s="14"/>
      <c r="B488" s="132" t="s">
        <v>403</v>
      </c>
      <c r="C488" s="109" t="s">
        <v>394</v>
      </c>
      <c r="D488" s="108" t="s">
        <v>229</v>
      </c>
      <c r="E488" s="108" t="s">
        <v>11</v>
      </c>
      <c r="F488" s="108" t="s">
        <v>402</v>
      </c>
      <c r="G488" s="108" t="s">
        <v>404</v>
      </c>
      <c r="H488" s="126">
        <f>SUM(H489:H490)</f>
        <v>0</v>
      </c>
      <c r="I488" s="178" t="str">
        <f t="shared" si="66"/>
        <v>606070101 1 01 11010610</v>
      </c>
      <c r="L488" s="20">
        <v>660072.98</v>
      </c>
      <c r="M488" s="20">
        <v>660072.98</v>
      </c>
      <c r="N488" s="20">
        <v>660072.98</v>
      </c>
      <c r="O488" s="20">
        <f t="shared" si="69"/>
        <v>-660072.98</v>
      </c>
      <c r="P488" s="20" t="e">
        <f>#REF!-M488</f>
        <v>#REF!</v>
      </c>
      <c r="Q488" s="20" t="e">
        <f>#REF!-N488</f>
        <v>#REF!</v>
      </c>
      <c r="R488" s="17" t="str">
        <f t="shared" si="70"/>
        <v>01 1 01 11010610</v>
      </c>
    </row>
    <row r="489" spans="1:18" s="24" customFormat="1" ht="63">
      <c r="A489" s="21"/>
      <c r="B489" s="127" t="s">
        <v>405</v>
      </c>
      <c r="C489" s="109" t="s">
        <v>394</v>
      </c>
      <c r="D489" s="108" t="s">
        <v>229</v>
      </c>
      <c r="E489" s="108" t="s">
        <v>11</v>
      </c>
      <c r="F489" s="108" t="s">
        <v>402</v>
      </c>
      <c r="G489" s="108" t="s">
        <v>406</v>
      </c>
      <c r="H489" s="126"/>
      <c r="I489" s="178" t="str">
        <f t="shared" si="66"/>
        <v>606070101 1 01 11010611</v>
      </c>
      <c r="L489" s="22"/>
      <c r="M489" s="22"/>
      <c r="N489" s="22"/>
      <c r="O489" s="22"/>
      <c r="P489" s="22"/>
      <c r="Q489" s="22"/>
    </row>
    <row r="490" spans="1:18" s="24" customFormat="1" ht="15.75">
      <c r="A490" s="21"/>
      <c r="B490" s="127" t="s">
        <v>407</v>
      </c>
      <c r="C490" s="109" t="s">
        <v>394</v>
      </c>
      <c r="D490" s="108" t="s">
        <v>229</v>
      </c>
      <c r="E490" s="108" t="s">
        <v>11</v>
      </c>
      <c r="F490" s="108" t="s">
        <v>402</v>
      </c>
      <c r="G490" s="108" t="s">
        <v>408</v>
      </c>
      <c r="H490" s="126"/>
      <c r="I490" s="178" t="str">
        <f t="shared" si="66"/>
        <v>606070101 1 01 11010612</v>
      </c>
      <c r="L490" s="22"/>
      <c r="M490" s="22"/>
      <c r="N490" s="22"/>
      <c r="O490" s="22"/>
      <c r="P490" s="22"/>
      <c r="Q490" s="22"/>
    </row>
    <row r="491" spans="1:18" s="17" customFormat="1" ht="15.75">
      <c r="A491" s="14"/>
      <c r="B491" s="132" t="s">
        <v>409</v>
      </c>
      <c r="C491" s="109" t="s">
        <v>394</v>
      </c>
      <c r="D491" s="108" t="s">
        <v>229</v>
      </c>
      <c r="E491" s="108" t="s">
        <v>11</v>
      </c>
      <c r="F491" s="108" t="s">
        <v>402</v>
      </c>
      <c r="G491" s="108" t="s">
        <v>410</v>
      </c>
      <c r="H491" s="126">
        <f>H492</f>
        <v>0</v>
      </c>
      <c r="I491" s="178" t="str">
        <f t="shared" si="66"/>
        <v>606070101 1 01 11010620</v>
      </c>
      <c r="L491" s="20">
        <v>30275.81</v>
      </c>
      <c r="M491" s="20">
        <v>30275.81</v>
      </c>
      <c r="N491" s="20">
        <v>30275.81</v>
      </c>
      <c r="O491" s="20">
        <f>H491-L491</f>
        <v>-30275.81</v>
      </c>
      <c r="P491" s="20" t="e">
        <f>#REF!-M491</f>
        <v>#REF!</v>
      </c>
      <c r="Q491" s="20" t="e">
        <f>#REF!-N491</f>
        <v>#REF!</v>
      </c>
      <c r="R491" s="17" t="str">
        <f t="shared" si="70"/>
        <v>01 1 01 11010620</v>
      </c>
    </row>
    <row r="492" spans="1:18" s="24" customFormat="1" ht="63">
      <c r="A492" s="21"/>
      <c r="B492" s="127" t="s">
        <v>411</v>
      </c>
      <c r="C492" s="109" t="s">
        <v>394</v>
      </c>
      <c r="D492" s="108" t="s">
        <v>229</v>
      </c>
      <c r="E492" s="108" t="s">
        <v>11</v>
      </c>
      <c r="F492" s="108" t="s">
        <v>402</v>
      </c>
      <c r="G492" s="108" t="s">
        <v>412</v>
      </c>
      <c r="H492" s="126"/>
      <c r="I492" s="178" t="str">
        <f t="shared" si="66"/>
        <v>606070101 1 01 11010621</v>
      </c>
      <c r="L492" s="22"/>
      <c r="M492" s="22"/>
      <c r="N492" s="22"/>
      <c r="O492" s="22"/>
      <c r="P492" s="22"/>
      <c r="Q492" s="22"/>
    </row>
    <row r="493" spans="1:18" s="17" customFormat="1" ht="110.25">
      <c r="A493" s="14" t="s">
        <v>80</v>
      </c>
      <c r="B493" s="125" t="s">
        <v>413</v>
      </c>
      <c r="C493" s="109" t="s">
        <v>394</v>
      </c>
      <c r="D493" s="108" t="s">
        <v>229</v>
      </c>
      <c r="E493" s="108" t="s">
        <v>11</v>
      </c>
      <c r="F493" s="108" t="s">
        <v>414</v>
      </c>
      <c r="G493" s="108" t="s">
        <v>9</v>
      </c>
      <c r="H493" s="126">
        <f>H494+H496+H498</f>
        <v>0</v>
      </c>
      <c r="I493" s="178" t="str">
        <f t="shared" si="66"/>
        <v>606070101 1 01 77170000</v>
      </c>
      <c r="L493" s="20">
        <v>735479.44</v>
      </c>
      <c r="M493" s="20">
        <v>747463.59000000008</v>
      </c>
      <c r="N493" s="20">
        <v>759921.73999999987</v>
      </c>
      <c r="O493" s="20">
        <f>H493-L493</f>
        <v>-735479.44</v>
      </c>
      <c r="P493" s="20" t="e">
        <f>#REF!-M493</f>
        <v>#REF!</v>
      </c>
      <c r="Q493" s="20" t="e">
        <f>#REF!-N493</f>
        <v>#REF!</v>
      </c>
      <c r="R493" s="17" t="str">
        <f t="shared" si="70"/>
        <v>01 1 01 77170000</v>
      </c>
    </row>
    <row r="494" spans="1:18" s="17" customFormat="1" ht="15.75">
      <c r="A494" s="14"/>
      <c r="B494" s="132" t="s">
        <v>403</v>
      </c>
      <c r="C494" s="109" t="s">
        <v>394</v>
      </c>
      <c r="D494" s="108" t="s">
        <v>229</v>
      </c>
      <c r="E494" s="108" t="s">
        <v>11</v>
      </c>
      <c r="F494" s="108" t="s">
        <v>414</v>
      </c>
      <c r="G494" s="108" t="s">
        <v>404</v>
      </c>
      <c r="H494" s="126">
        <f>H495</f>
        <v>0</v>
      </c>
      <c r="I494" s="178" t="str">
        <f t="shared" si="66"/>
        <v>606070101 1 01 77170610</v>
      </c>
      <c r="L494" s="20">
        <v>697969.32</v>
      </c>
      <c r="M494" s="20">
        <v>709342.29</v>
      </c>
      <c r="N494" s="20">
        <v>721037.94</v>
      </c>
      <c r="O494" s="20">
        <f>H494-L494</f>
        <v>-697969.32</v>
      </c>
      <c r="P494" s="20" t="e">
        <f>#REF!-M494</f>
        <v>#REF!</v>
      </c>
      <c r="Q494" s="20" t="e">
        <f>#REF!-N494</f>
        <v>#REF!</v>
      </c>
      <c r="R494" s="17" t="str">
        <f t="shared" si="70"/>
        <v>01 1 01 77170610</v>
      </c>
    </row>
    <row r="495" spans="1:18" s="24" customFormat="1" ht="63">
      <c r="A495" s="21"/>
      <c r="B495" s="127" t="s">
        <v>405</v>
      </c>
      <c r="C495" s="109" t="s">
        <v>394</v>
      </c>
      <c r="D495" s="108" t="s">
        <v>229</v>
      </c>
      <c r="E495" s="108" t="s">
        <v>11</v>
      </c>
      <c r="F495" s="108" t="s">
        <v>414</v>
      </c>
      <c r="G495" s="108" t="s">
        <v>406</v>
      </c>
      <c r="H495" s="126"/>
      <c r="I495" s="178" t="str">
        <f t="shared" si="66"/>
        <v>606070101 1 01 77170611</v>
      </c>
      <c r="L495" s="22"/>
      <c r="M495" s="22"/>
      <c r="N495" s="22"/>
      <c r="O495" s="22"/>
      <c r="P495" s="22"/>
      <c r="Q495" s="22"/>
    </row>
    <row r="496" spans="1:18" s="17" customFormat="1" ht="15.75">
      <c r="A496" s="14"/>
      <c r="B496" s="132" t="s">
        <v>409</v>
      </c>
      <c r="C496" s="109" t="s">
        <v>394</v>
      </c>
      <c r="D496" s="108" t="s">
        <v>229</v>
      </c>
      <c r="E496" s="108" t="s">
        <v>11</v>
      </c>
      <c r="F496" s="108" t="s">
        <v>414</v>
      </c>
      <c r="G496" s="108" t="s">
        <v>410</v>
      </c>
      <c r="H496" s="126">
        <f>H497</f>
        <v>0</v>
      </c>
      <c r="I496" s="178" t="str">
        <f t="shared" si="66"/>
        <v>606070101 1 01 77170620</v>
      </c>
      <c r="L496" s="20">
        <v>32582.5</v>
      </c>
      <c r="M496" s="20">
        <v>33113.4</v>
      </c>
      <c r="N496" s="20">
        <v>33775.699999999997</v>
      </c>
      <c r="O496" s="20">
        <f>H496-L496</f>
        <v>-32582.5</v>
      </c>
      <c r="P496" s="20" t="e">
        <f>#REF!-M496</f>
        <v>#REF!</v>
      </c>
      <c r="Q496" s="20" t="e">
        <f>#REF!-N496</f>
        <v>#REF!</v>
      </c>
      <c r="R496" s="17" t="str">
        <f t="shared" si="70"/>
        <v>01 1 01 77170620</v>
      </c>
    </row>
    <row r="497" spans="1:18" s="24" customFormat="1" ht="63">
      <c r="A497" s="21"/>
      <c r="B497" s="127" t="s">
        <v>411</v>
      </c>
      <c r="C497" s="109" t="s">
        <v>394</v>
      </c>
      <c r="D497" s="108" t="s">
        <v>229</v>
      </c>
      <c r="E497" s="108" t="s">
        <v>11</v>
      </c>
      <c r="F497" s="108" t="s">
        <v>414</v>
      </c>
      <c r="G497" s="108" t="s">
        <v>412</v>
      </c>
      <c r="H497" s="126"/>
      <c r="I497" s="178" t="str">
        <f t="shared" si="66"/>
        <v>606070101 1 01 77170621</v>
      </c>
      <c r="L497" s="22"/>
      <c r="M497" s="22"/>
      <c r="N497" s="22"/>
      <c r="O497" s="22"/>
      <c r="P497" s="22"/>
      <c r="Q497" s="22"/>
    </row>
    <row r="498" spans="1:18" s="17" customFormat="1" ht="47.25">
      <c r="A498" s="14"/>
      <c r="B498" s="125" t="s">
        <v>182</v>
      </c>
      <c r="C498" s="109" t="s">
        <v>394</v>
      </c>
      <c r="D498" s="108" t="s">
        <v>229</v>
      </c>
      <c r="E498" s="108" t="s">
        <v>11</v>
      </c>
      <c r="F498" s="108" t="s">
        <v>414</v>
      </c>
      <c r="G498" s="108" t="s">
        <v>183</v>
      </c>
      <c r="H498" s="126">
        <f>H499</f>
        <v>0</v>
      </c>
      <c r="I498" s="178" t="str">
        <f t="shared" si="66"/>
        <v>606070101 1 01 77170630</v>
      </c>
      <c r="L498" s="20">
        <v>4927.62</v>
      </c>
      <c r="M498" s="20">
        <v>5007.8999999999996</v>
      </c>
      <c r="N498" s="20">
        <v>5108.1000000000004</v>
      </c>
      <c r="O498" s="20">
        <f>H498-L498</f>
        <v>-4927.62</v>
      </c>
      <c r="P498" s="20" t="e">
        <f>#REF!-M498</f>
        <v>#REF!</v>
      </c>
      <c r="Q498" s="20" t="e">
        <f>#REF!-N498</f>
        <v>#REF!</v>
      </c>
      <c r="R498" s="17" t="str">
        <f t="shared" si="70"/>
        <v>01 1 01 77170630</v>
      </c>
    </row>
    <row r="499" spans="1:18" s="24" customFormat="1" ht="94.5">
      <c r="A499" s="21"/>
      <c r="B499" s="127" t="s">
        <v>1038</v>
      </c>
      <c r="C499" s="109" t="s">
        <v>394</v>
      </c>
      <c r="D499" s="108" t="s">
        <v>229</v>
      </c>
      <c r="E499" s="108" t="s">
        <v>11</v>
      </c>
      <c r="F499" s="108" t="s">
        <v>414</v>
      </c>
      <c r="G499" s="108" t="s">
        <v>416</v>
      </c>
      <c r="H499" s="126"/>
      <c r="I499" s="178" t="str">
        <f t="shared" si="66"/>
        <v>606070101 1 01 77170632</v>
      </c>
      <c r="L499" s="22"/>
      <c r="M499" s="22"/>
      <c r="N499" s="22"/>
      <c r="O499" s="22"/>
      <c r="P499" s="22"/>
      <c r="Q499" s="22"/>
    </row>
    <row r="500" spans="1:18" s="17" customFormat="1" ht="78.75">
      <c r="A500" s="14"/>
      <c r="B500" s="125" t="s">
        <v>417</v>
      </c>
      <c r="C500" s="109" t="s">
        <v>394</v>
      </c>
      <c r="D500" s="108" t="s">
        <v>229</v>
      </c>
      <c r="E500" s="108" t="s">
        <v>11</v>
      </c>
      <c r="F500" s="108" t="s">
        <v>418</v>
      </c>
      <c r="G500" s="108" t="s">
        <v>9</v>
      </c>
      <c r="H500" s="126">
        <f>H501</f>
        <v>0</v>
      </c>
      <c r="I500" s="178" t="str">
        <f t="shared" si="66"/>
        <v>606070101 1 06 00000000</v>
      </c>
      <c r="L500" s="20">
        <v>31723.69</v>
      </c>
      <c r="M500" s="20">
        <v>13530.66</v>
      </c>
      <c r="N500" s="20">
        <v>13530.66</v>
      </c>
      <c r="O500" s="20">
        <f>H500-L500</f>
        <v>-31723.69</v>
      </c>
      <c r="P500" s="20" t="e">
        <f>#REF!-M500</f>
        <v>#REF!</v>
      </c>
      <c r="Q500" s="20" t="e">
        <f>#REF!-N500</f>
        <v>#REF!</v>
      </c>
      <c r="R500" s="17" t="str">
        <f t="shared" si="70"/>
        <v>01 1 06 00000000</v>
      </c>
    </row>
    <row r="501" spans="1:18" s="17" customFormat="1" ht="31.5">
      <c r="A501" s="14"/>
      <c r="B501" s="132" t="s">
        <v>136</v>
      </c>
      <c r="C501" s="109" t="s">
        <v>394</v>
      </c>
      <c r="D501" s="108" t="s">
        <v>229</v>
      </c>
      <c r="E501" s="108" t="s">
        <v>11</v>
      </c>
      <c r="F501" s="108" t="s">
        <v>419</v>
      </c>
      <c r="G501" s="108" t="s">
        <v>9</v>
      </c>
      <c r="H501" s="126">
        <f>H502</f>
        <v>0</v>
      </c>
      <c r="I501" s="178" t="str">
        <f t="shared" si="66"/>
        <v>606070101 1 06 11010000</v>
      </c>
      <c r="L501" s="20">
        <v>31723.69</v>
      </c>
      <c r="M501" s="20">
        <v>13530.66</v>
      </c>
      <c r="N501" s="20">
        <v>13530.66</v>
      </c>
      <c r="O501" s="20">
        <f>H501-L501</f>
        <v>-31723.69</v>
      </c>
      <c r="P501" s="20" t="e">
        <f>#REF!-M501</f>
        <v>#REF!</v>
      </c>
      <c r="Q501" s="20" t="e">
        <f>#REF!-N501</f>
        <v>#REF!</v>
      </c>
      <c r="R501" s="17" t="str">
        <f t="shared" si="70"/>
        <v>01 1 06 11010000</v>
      </c>
    </row>
    <row r="502" spans="1:18" s="17" customFormat="1" ht="15.75">
      <c r="A502" s="14"/>
      <c r="B502" s="132" t="s">
        <v>403</v>
      </c>
      <c r="C502" s="109" t="s">
        <v>394</v>
      </c>
      <c r="D502" s="108" t="s">
        <v>229</v>
      </c>
      <c r="E502" s="108" t="s">
        <v>11</v>
      </c>
      <c r="F502" s="108" t="s">
        <v>419</v>
      </c>
      <c r="G502" s="108" t="s">
        <v>404</v>
      </c>
      <c r="H502" s="126">
        <f>H503</f>
        <v>0</v>
      </c>
      <c r="I502" s="178" t="str">
        <f t="shared" si="66"/>
        <v>606070101 1 06 11010610</v>
      </c>
      <c r="L502" s="20">
        <v>31723.69</v>
      </c>
      <c r="M502" s="20">
        <v>13530.66</v>
      </c>
      <c r="N502" s="20">
        <v>13530.66</v>
      </c>
      <c r="O502" s="20">
        <f>H502-L502</f>
        <v>-31723.69</v>
      </c>
      <c r="P502" s="20" t="e">
        <f>#REF!-M502</f>
        <v>#REF!</v>
      </c>
      <c r="Q502" s="20" t="e">
        <f>#REF!-N502</f>
        <v>#REF!</v>
      </c>
      <c r="R502" s="17" t="str">
        <f t="shared" si="70"/>
        <v>01 1 06 11010610</v>
      </c>
    </row>
    <row r="503" spans="1:18" s="24" customFormat="1" ht="15.75">
      <c r="A503" s="21"/>
      <c r="B503" s="127" t="s">
        <v>407</v>
      </c>
      <c r="C503" s="109" t="s">
        <v>394</v>
      </c>
      <c r="D503" s="108" t="s">
        <v>229</v>
      </c>
      <c r="E503" s="108" t="s">
        <v>11</v>
      </c>
      <c r="F503" s="108" t="s">
        <v>419</v>
      </c>
      <c r="G503" s="108" t="s">
        <v>408</v>
      </c>
      <c r="H503" s="126"/>
      <c r="I503" s="178" t="str">
        <f t="shared" si="66"/>
        <v>606070101 1 06 11010612</v>
      </c>
      <c r="L503" s="22"/>
      <c r="M503" s="22"/>
      <c r="N503" s="22"/>
      <c r="O503" s="22"/>
      <c r="P503" s="22"/>
      <c r="Q503" s="22"/>
    </row>
    <row r="504" spans="1:18" s="17" customFormat="1" ht="47.25">
      <c r="A504" s="14"/>
      <c r="B504" s="132" t="s">
        <v>146</v>
      </c>
      <c r="C504" s="109" t="s">
        <v>394</v>
      </c>
      <c r="D504" s="108" t="s">
        <v>229</v>
      </c>
      <c r="E504" s="108" t="s">
        <v>11</v>
      </c>
      <c r="F504" s="108" t="s">
        <v>147</v>
      </c>
      <c r="G504" s="108" t="s">
        <v>9</v>
      </c>
      <c r="H504" s="126">
        <f>H505</f>
        <v>0</v>
      </c>
      <c r="I504" s="178" t="str">
        <f t="shared" si="66"/>
        <v>606070115 0 00 00000000</v>
      </c>
      <c r="L504" s="20">
        <v>3550</v>
      </c>
      <c r="M504" s="20">
        <v>20250</v>
      </c>
      <c r="N504" s="20">
        <v>0</v>
      </c>
      <c r="O504" s="20">
        <f>H504-L504</f>
        <v>-3550</v>
      </c>
      <c r="P504" s="20" t="e">
        <f>#REF!-M504</f>
        <v>#REF!</v>
      </c>
      <c r="Q504" s="20" t="e">
        <f>#REF!-N504</f>
        <v>#REF!</v>
      </c>
      <c r="R504" s="17" t="str">
        <f t="shared" si="70"/>
        <v>15 0 00 00000000</v>
      </c>
    </row>
    <row r="505" spans="1:18" s="17" customFormat="1" ht="47.25">
      <c r="A505" s="14"/>
      <c r="B505" s="125" t="s">
        <v>1065</v>
      </c>
      <c r="C505" s="109" t="s">
        <v>394</v>
      </c>
      <c r="D505" s="108" t="s">
        <v>229</v>
      </c>
      <c r="E505" s="108" t="s">
        <v>11</v>
      </c>
      <c r="F505" s="108" t="s">
        <v>149</v>
      </c>
      <c r="G505" s="108" t="s">
        <v>9</v>
      </c>
      <c r="H505" s="126">
        <f>H506</f>
        <v>0</v>
      </c>
      <c r="I505" s="178" t="str">
        <f t="shared" si="66"/>
        <v>606070115 1 00 00000000</v>
      </c>
      <c r="L505" s="20">
        <v>3550</v>
      </c>
      <c r="M505" s="20">
        <v>20250</v>
      </c>
      <c r="N505" s="20">
        <v>0</v>
      </c>
      <c r="O505" s="20">
        <f>H505-L505</f>
        <v>-3550</v>
      </c>
      <c r="P505" s="20" t="e">
        <f>#REF!-M505</f>
        <v>#REF!</v>
      </c>
      <c r="Q505" s="20" t="e">
        <f>#REF!-N505</f>
        <v>#REF!</v>
      </c>
      <c r="R505" s="17" t="str">
        <f t="shared" si="70"/>
        <v>15 1 00 00000000</v>
      </c>
    </row>
    <row r="506" spans="1:18" s="17" customFormat="1" ht="63">
      <c r="A506" s="14"/>
      <c r="B506" s="132" t="s">
        <v>1068</v>
      </c>
      <c r="C506" s="109" t="s">
        <v>394</v>
      </c>
      <c r="D506" s="108" t="s">
        <v>229</v>
      </c>
      <c r="E506" s="108" t="s">
        <v>11</v>
      </c>
      <c r="F506" s="108" t="s">
        <v>1069</v>
      </c>
      <c r="G506" s="108" t="s">
        <v>9</v>
      </c>
      <c r="H506" s="126">
        <f>H507</f>
        <v>0</v>
      </c>
      <c r="I506" s="178" t="str">
        <f t="shared" si="66"/>
        <v>606070115 1 04 00000000</v>
      </c>
      <c r="L506" s="20">
        <v>3550</v>
      </c>
      <c r="M506" s="20">
        <v>20250</v>
      </c>
      <c r="N506" s="20">
        <v>0</v>
      </c>
      <c r="O506" s="20">
        <f>H506-L506</f>
        <v>-3550</v>
      </c>
      <c r="P506" s="20" t="e">
        <f>#REF!-M506</f>
        <v>#REF!</v>
      </c>
      <c r="Q506" s="20" t="e">
        <f>#REF!-N506</f>
        <v>#REF!</v>
      </c>
      <c r="R506" s="17" t="str">
        <f t="shared" si="70"/>
        <v>15 1 04 00000000</v>
      </c>
    </row>
    <row r="507" spans="1:18" s="17" customFormat="1" ht="47.25">
      <c r="A507" s="14"/>
      <c r="B507" s="132" t="s">
        <v>152</v>
      </c>
      <c r="C507" s="109" t="s">
        <v>394</v>
      </c>
      <c r="D507" s="108" t="s">
        <v>229</v>
      </c>
      <c r="E507" s="108" t="s">
        <v>11</v>
      </c>
      <c r="F507" s="108" t="s">
        <v>1070</v>
      </c>
      <c r="G507" s="108" t="s">
        <v>9</v>
      </c>
      <c r="H507" s="126">
        <f>H508</f>
        <v>0</v>
      </c>
      <c r="I507" s="178" t="str">
        <f t="shared" si="66"/>
        <v>606070115 1 04 20350000</v>
      </c>
      <c r="L507" s="20">
        <v>3550</v>
      </c>
      <c r="M507" s="20">
        <v>20250</v>
      </c>
      <c r="N507" s="20">
        <v>0</v>
      </c>
      <c r="O507" s="20">
        <f>H507-L507</f>
        <v>-3550</v>
      </c>
      <c r="P507" s="20" t="e">
        <f>#REF!-M507</f>
        <v>#REF!</v>
      </c>
      <c r="Q507" s="20" t="e">
        <f>#REF!-N507</f>
        <v>#REF!</v>
      </c>
      <c r="R507" s="17" t="str">
        <f t="shared" si="70"/>
        <v>15 1 04 20350000</v>
      </c>
    </row>
    <row r="508" spans="1:18" s="17" customFormat="1" ht="15.75">
      <c r="A508" s="14"/>
      <c r="B508" s="132" t="s">
        <v>403</v>
      </c>
      <c r="C508" s="109" t="s">
        <v>394</v>
      </c>
      <c r="D508" s="108" t="s">
        <v>229</v>
      </c>
      <c r="E508" s="108" t="s">
        <v>11</v>
      </c>
      <c r="F508" s="108" t="s">
        <v>1070</v>
      </c>
      <c r="G508" s="108" t="s">
        <v>404</v>
      </c>
      <c r="H508" s="126">
        <f>H509</f>
        <v>0</v>
      </c>
      <c r="I508" s="178" t="str">
        <f t="shared" si="66"/>
        <v>606070115 1 04 20350610</v>
      </c>
      <c r="L508" s="20">
        <v>3550</v>
      </c>
      <c r="M508" s="20">
        <v>20250</v>
      </c>
      <c r="N508" s="20">
        <v>0</v>
      </c>
      <c r="O508" s="20">
        <f>H508-L508</f>
        <v>-3550</v>
      </c>
      <c r="P508" s="20" t="e">
        <f>#REF!-M508</f>
        <v>#REF!</v>
      </c>
      <c r="Q508" s="20" t="e">
        <f>#REF!-N508</f>
        <v>#REF!</v>
      </c>
      <c r="R508" s="17" t="str">
        <f t="shared" si="70"/>
        <v>15 1 04 20350610</v>
      </c>
    </row>
    <row r="509" spans="1:18" s="24" customFormat="1" ht="15.75">
      <c r="A509" s="21"/>
      <c r="B509" s="127" t="s">
        <v>407</v>
      </c>
      <c r="C509" s="109" t="s">
        <v>394</v>
      </c>
      <c r="D509" s="108" t="s">
        <v>229</v>
      </c>
      <c r="E509" s="108" t="s">
        <v>11</v>
      </c>
      <c r="F509" s="108" t="s">
        <v>1070</v>
      </c>
      <c r="G509" s="108" t="s">
        <v>408</v>
      </c>
      <c r="H509" s="126"/>
      <c r="I509" s="178" t="str">
        <f t="shared" si="66"/>
        <v>606070115 1 04 20350612</v>
      </c>
      <c r="L509" s="22"/>
      <c r="M509" s="22"/>
      <c r="N509" s="22"/>
      <c r="O509" s="22"/>
      <c r="P509" s="22"/>
      <c r="Q509" s="22"/>
    </row>
    <row r="510" spans="1:18" s="17" customFormat="1" ht="94.5">
      <c r="A510" s="14"/>
      <c r="B510" s="125" t="s">
        <v>420</v>
      </c>
      <c r="C510" s="109" t="s">
        <v>394</v>
      </c>
      <c r="D510" s="108" t="s">
        <v>229</v>
      </c>
      <c r="E510" s="108" t="s">
        <v>11</v>
      </c>
      <c r="F510" s="108" t="s">
        <v>421</v>
      </c>
      <c r="G510" s="108" t="s">
        <v>9</v>
      </c>
      <c r="H510" s="126">
        <f t="shared" ref="H510:H512" si="71">H511</f>
        <v>0</v>
      </c>
      <c r="I510" s="178" t="str">
        <f t="shared" si="66"/>
        <v>606070116 0 00 00000000</v>
      </c>
      <c r="L510" s="20">
        <v>3842.64</v>
      </c>
      <c r="M510" s="20">
        <v>3842.64</v>
      </c>
      <c r="N510" s="20">
        <v>3842.64</v>
      </c>
      <c r="O510" s="20">
        <f>H510-L510</f>
        <v>-3842.64</v>
      </c>
      <c r="P510" s="20" t="e">
        <f>#REF!-M510</f>
        <v>#REF!</v>
      </c>
      <c r="Q510" s="20" t="e">
        <f>#REF!-N510</f>
        <v>#REF!</v>
      </c>
      <c r="R510" s="17" t="str">
        <f t="shared" si="70"/>
        <v>16 0 00 00000000</v>
      </c>
    </row>
    <row r="511" spans="1:18" s="17" customFormat="1" ht="31.5">
      <c r="A511" s="14"/>
      <c r="B511" s="125" t="s">
        <v>422</v>
      </c>
      <c r="C511" s="109" t="s">
        <v>394</v>
      </c>
      <c r="D511" s="108" t="s">
        <v>229</v>
      </c>
      <c r="E511" s="108" t="s">
        <v>11</v>
      </c>
      <c r="F511" s="108" t="s">
        <v>423</v>
      </c>
      <c r="G511" s="108" t="s">
        <v>9</v>
      </c>
      <c r="H511" s="126">
        <f t="shared" si="71"/>
        <v>0</v>
      </c>
      <c r="I511" s="178" t="str">
        <f t="shared" si="66"/>
        <v>606070116 2 00 00000000</v>
      </c>
      <c r="L511" s="20">
        <v>3842.64</v>
      </c>
      <c r="M511" s="20">
        <v>3842.64</v>
      </c>
      <c r="N511" s="20">
        <v>3842.64</v>
      </c>
      <c r="O511" s="20">
        <f>H511-L511</f>
        <v>-3842.64</v>
      </c>
      <c r="P511" s="20" t="e">
        <f>#REF!-M511</f>
        <v>#REF!</v>
      </c>
      <c r="Q511" s="20" t="e">
        <f>#REF!-N511</f>
        <v>#REF!</v>
      </c>
      <c r="R511" s="17" t="str">
        <f t="shared" si="70"/>
        <v>16 2 00 00000000</v>
      </c>
    </row>
    <row r="512" spans="1:18" s="17" customFormat="1" ht="47.25">
      <c r="A512" s="14"/>
      <c r="B512" s="125" t="s">
        <v>424</v>
      </c>
      <c r="C512" s="109" t="s">
        <v>394</v>
      </c>
      <c r="D512" s="108" t="s">
        <v>229</v>
      </c>
      <c r="E512" s="108" t="s">
        <v>11</v>
      </c>
      <c r="F512" s="108" t="s">
        <v>425</v>
      </c>
      <c r="G512" s="108" t="s">
        <v>9</v>
      </c>
      <c r="H512" s="126">
        <f t="shared" si="71"/>
        <v>0</v>
      </c>
      <c r="I512" s="178" t="str">
        <f t="shared" si="66"/>
        <v>606070116 2 02 00000000</v>
      </c>
      <c r="L512" s="20">
        <v>3842.64</v>
      </c>
      <c r="M512" s="20">
        <v>3842.64</v>
      </c>
      <c r="N512" s="20">
        <v>3842.64</v>
      </c>
      <c r="O512" s="20">
        <f>H512-L512</f>
        <v>-3842.64</v>
      </c>
      <c r="P512" s="20" t="e">
        <f>#REF!-M512</f>
        <v>#REF!</v>
      </c>
      <c r="Q512" s="20" t="e">
        <f>#REF!-N512</f>
        <v>#REF!</v>
      </c>
      <c r="R512" s="17" t="str">
        <f t="shared" si="70"/>
        <v>16 2 02 00000000</v>
      </c>
    </row>
    <row r="513" spans="1:18" s="17" customFormat="1" ht="47.25">
      <c r="A513" s="14"/>
      <c r="B513" s="125" t="s">
        <v>426</v>
      </c>
      <c r="C513" s="109" t="s">
        <v>394</v>
      </c>
      <c r="D513" s="108" t="s">
        <v>229</v>
      </c>
      <c r="E513" s="108" t="s">
        <v>11</v>
      </c>
      <c r="F513" s="108" t="s">
        <v>427</v>
      </c>
      <c r="G513" s="108" t="s">
        <v>9</v>
      </c>
      <c r="H513" s="126">
        <f>H514+H516</f>
        <v>0</v>
      </c>
      <c r="I513" s="178" t="str">
        <f t="shared" si="66"/>
        <v>606070116 2 02 20550000</v>
      </c>
      <c r="L513" s="20">
        <v>3842.64</v>
      </c>
      <c r="M513" s="20">
        <v>3842.64</v>
      </c>
      <c r="N513" s="20">
        <v>3842.64</v>
      </c>
      <c r="O513" s="20">
        <f>H513-L513</f>
        <v>-3842.64</v>
      </c>
      <c r="P513" s="20" t="e">
        <f>#REF!-M513</f>
        <v>#REF!</v>
      </c>
      <c r="Q513" s="20" t="e">
        <f>#REF!-N513</f>
        <v>#REF!</v>
      </c>
      <c r="R513" s="17" t="str">
        <f t="shared" si="70"/>
        <v>16 2 02 20550000</v>
      </c>
    </row>
    <row r="514" spans="1:18" s="17" customFormat="1" ht="15.75">
      <c r="A514" s="14"/>
      <c r="B514" s="132" t="s">
        <v>403</v>
      </c>
      <c r="C514" s="109" t="s">
        <v>394</v>
      </c>
      <c r="D514" s="108" t="s">
        <v>229</v>
      </c>
      <c r="E514" s="108" t="s">
        <v>11</v>
      </c>
      <c r="F514" s="108" t="s">
        <v>427</v>
      </c>
      <c r="G514" s="108" t="s">
        <v>404</v>
      </c>
      <c r="H514" s="126">
        <f>H515</f>
        <v>0</v>
      </c>
      <c r="I514" s="178" t="str">
        <f t="shared" si="66"/>
        <v>606070116 2 02 20550610</v>
      </c>
      <c r="L514" s="20">
        <v>3744.14</v>
      </c>
      <c r="M514" s="20">
        <v>3744.14</v>
      </c>
      <c r="N514" s="20">
        <v>3744.14</v>
      </c>
      <c r="O514" s="20">
        <f>H514-L514</f>
        <v>-3744.14</v>
      </c>
      <c r="P514" s="20" t="e">
        <f>#REF!-M514</f>
        <v>#REF!</v>
      </c>
      <c r="Q514" s="20" t="e">
        <f>#REF!-N514</f>
        <v>#REF!</v>
      </c>
      <c r="R514" s="17" t="str">
        <f t="shared" si="70"/>
        <v>16 2 02 20550610</v>
      </c>
    </row>
    <row r="515" spans="1:18" s="24" customFormat="1" ht="15.75">
      <c r="A515" s="21"/>
      <c r="B515" s="127" t="s">
        <v>407</v>
      </c>
      <c r="C515" s="109" t="s">
        <v>394</v>
      </c>
      <c r="D515" s="108" t="s">
        <v>229</v>
      </c>
      <c r="E515" s="108" t="s">
        <v>11</v>
      </c>
      <c r="F515" s="108" t="s">
        <v>427</v>
      </c>
      <c r="G515" s="108" t="s">
        <v>408</v>
      </c>
      <c r="H515" s="126"/>
      <c r="I515" s="178" t="str">
        <f t="shared" si="66"/>
        <v>606070116 2 02 20550612</v>
      </c>
      <c r="L515" s="22"/>
      <c r="M515" s="22"/>
      <c r="N515" s="22"/>
      <c r="O515" s="22"/>
      <c r="P515" s="22"/>
      <c r="Q515" s="22"/>
    </row>
    <row r="516" spans="1:18" s="17" customFormat="1" ht="15.75">
      <c r="A516" s="14"/>
      <c r="B516" s="132" t="s">
        <v>409</v>
      </c>
      <c r="C516" s="109" t="s">
        <v>394</v>
      </c>
      <c r="D516" s="108" t="s">
        <v>229</v>
      </c>
      <c r="E516" s="108" t="s">
        <v>11</v>
      </c>
      <c r="F516" s="108" t="s">
        <v>427</v>
      </c>
      <c r="G516" s="108" t="s">
        <v>410</v>
      </c>
      <c r="H516" s="126">
        <f>H517</f>
        <v>0</v>
      </c>
      <c r="I516" s="178" t="str">
        <f t="shared" si="66"/>
        <v>606070116 2 02 20550620</v>
      </c>
      <c r="L516" s="20">
        <v>98.5</v>
      </c>
      <c r="M516" s="20">
        <v>98.5</v>
      </c>
      <c r="N516" s="20">
        <v>98.5</v>
      </c>
      <c r="O516" s="20">
        <f>H516-L516</f>
        <v>-98.5</v>
      </c>
      <c r="P516" s="20" t="e">
        <f>#REF!-M516</f>
        <v>#REF!</v>
      </c>
      <c r="Q516" s="20" t="e">
        <f>#REF!-N516</f>
        <v>#REF!</v>
      </c>
      <c r="R516" s="17" t="str">
        <f t="shared" si="70"/>
        <v>16 2 02 20550620</v>
      </c>
    </row>
    <row r="517" spans="1:18" s="24" customFormat="1" ht="15.75">
      <c r="A517" s="21"/>
      <c r="B517" s="127" t="s">
        <v>428</v>
      </c>
      <c r="C517" s="109" t="s">
        <v>394</v>
      </c>
      <c r="D517" s="108" t="s">
        <v>229</v>
      </c>
      <c r="E517" s="108" t="s">
        <v>11</v>
      </c>
      <c r="F517" s="108" t="s">
        <v>427</v>
      </c>
      <c r="G517" s="108" t="s">
        <v>429</v>
      </c>
      <c r="H517" s="126"/>
      <c r="I517" s="178" t="str">
        <f t="shared" si="66"/>
        <v>606070116 2 02 20550622</v>
      </c>
      <c r="L517" s="22"/>
      <c r="M517" s="22"/>
      <c r="N517" s="22"/>
      <c r="O517" s="22"/>
      <c r="P517" s="22"/>
      <c r="Q517" s="22"/>
    </row>
    <row r="518" spans="1:18" s="17" customFormat="1" ht="47.25">
      <c r="A518" s="14"/>
      <c r="B518" s="125" t="s">
        <v>430</v>
      </c>
      <c r="C518" s="109" t="s">
        <v>394</v>
      </c>
      <c r="D518" s="108" t="s">
        <v>229</v>
      </c>
      <c r="E518" s="108" t="s">
        <v>11</v>
      </c>
      <c r="F518" s="108" t="s">
        <v>431</v>
      </c>
      <c r="G518" s="108" t="s">
        <v>9</v>
      </c>
      <c r="H518" s="126">
        <f t="shared" ref="H518:H519" si="72">H519</f>
        <v>0</v>
      </c>
      <c r="I518" s="178" t="str">
        <f t="shared" si="66"/>
        <v>606070117 0 00 00000000</v>
      </c>
      <c r="L518" s="20">
        <v>2538.87</v>
      </c>
      <c r="M518" s="20">
        <v>2538.87</v>
      </c>
      <c r="N518" s="20">
        <v>2538.87</v>
      </c>
      <c r="O518" s="20">
        <f>H518-L518</f>
        <v>-2538.87</v>
      </c>
      <c r="P518" s="20" t="e">
        <f>#REF!-M518</f>
        <v>#REF!</v>
      </c>
      <c r="Q518" s="20" t="e">
        <f>#REF!-N518</f>
        <v>#REF!</v>
      </c>
      <c r="R518" s="17" t="str">
        <f t="shared" si="70"/>
        <v>17 0 00 00000000</v>
      </c>
    </row>
    <row r="519" spans="1:18" s="17" customFormat="1" ht="47.25">
      <c r="A519" s="14"/>
      <c r="B519" s="129" t="s">
        <v>432</v>
      </c>
      <c r="C519" s="109" t="s">
        <v>394</v>
      </c>
      <c r="D519" s="108" t="s">
        <v>229</v>
      </c>
      <c r="E519" s="108" t="s">
        <v>11</v>
      </c>
      <c r="F519" s="108" t="s">
        <v>433</v>
      </c>
      <c r="G519" s="108" t="s">
        <v>9</v>
      </c>
      <c r="H519" s="126">
        <f t="shared" si="72"/>
        <v>0</v>
      </c>
      <c r="I519" s="178" t="str">
        <f t="shared" si="66"/>
        <v>606070117 Б 00 00000000</v>
      </c>
      <c r="L519" s="20">
        <v>2538.87</v>
      </c>
      <c r="M519" s="20">
        <v>2538.87</v>
      </c>
      <c r="N519" s="20">
        <v>2538.87</v>
      </c>
      <c r="O519" s="20">
        <f>H519-L519</f>
        <v>-2538.87</v>
      </c>
      <c r="P519" s="20" t="e">
        <f>#REF!-M519</f>
        <v>#REF!</v>
      </c>
      <c r="Q519" s="20" t="e">
        <f>#REF!-N519</f>
        <v>#REF!</v>
      </c>
      <c r="R519" s="17" t="str">
        <f t="shared" si="70"/>
        <v>17 Б 00 00000000</v>
      </c>
    </row>
    <row r="520" spans="1:18" s="17" customFormat="1" ht="31.5">
      <c r="A520" s="14"/>
      <c r="B520" s="125" t="s">
        <v>434</v>
      </c>
      <c r="C520" s="109" t="s">
        <v>394</v>
      </c>
      <c r="D520" s="108" t="s">
        <v>229</v>
      </c>
      <c r="E520" s="108" t="s">
        <v>11</v>
      </c>
      <c r="F520" s="108" t="s">
        <v>435</v>
      </c>
      <c r="G520" s="108" t="s">
        <v>9</v>
      </c>
      <c r="H520" s="126">
        <f>H522</f>
        <v>0</v>
      </c>
      <c r="I520" s="178" t="str">
        <f t="shared" si="66"/>
        <v>606070117 Б 01 00000000</v>
      </c>
      <c r="L520" s="20">
        <v>2538.87</v>
      </c>
      <c r="M520" s="20">
        <v>2538.87</v>
      </c>
      <c r="N520" s="20">
        <v>2538.87</v>
      </c>
      <c r="O520" s="20">
        <f>H520-L520</f>
        <v>-2538.87</v>
      </c>
      <c r="P520" s="20" t="e">
        <f>#REF!-M520</f>
        <v>#REF!</v>
      </c>
      <c r="Q520" s="20" t="e">
        <f>#REF!-N520</f>
        <v>#REF!</v>
      </c>
      <c r="R520" s="17" t="str">
        <f t="shared" si="70"/>
        <v>17 Б 01 00000000</v>
      </c>
    </row>
    <row r="521" spans="1:18" s="17" customFormat="1" ht="47.25">
      <c r="A521" s="14"/>
      <c r="B521" s="132" t="s">
        <v>436</v>
      </c>
      <c r="C521" s="109" t="s">
        <v>394</v>
      </c>
      <c r="D521" s="108" t="s">
        <v>229</v>
      </c>
      <c r="E521" s="108" t="s">
        <v>11</v>
      </c>
      <c r="F521" s="108" t="s">
        <v>437</v>
      </c>
      <c r="G521" s="108" t="s">
        <v>9</v>
      </c>
      <c r="H521" s="126">
        <f>H522</f>
        <v>0</v>
      </c>
      <c r="I521" s="178" t="str">
        <f t="shared" si="66"/>
        <v>606070117 Б 01 20490000</v>
      </c>
      <c r="L521" s="20">
        <v>2538.87</v>
      </c>
      <c r="M521" s="20">
        <v>2538.87</v>
      </c>
      <c r="N521" s="20">
        <v>2538.87</v>
      </c>
      <c r="O521" s="20">
        <f>H521-L521</f>
        <v>-2538.87</v>
      </c>
      <c r="P521" s="20" t="e">
        <f>#REF!-M521</f>
        <v>#REF!</v>
      </c>
      <c r="Q521" s="20" t="e">
        <f>#REF!-N521</f>
        <v>#REF!</v>
      </c>
      <c r="R521" s="17" t="str">
        <f t="shared" si="70"/>
        <v>17 Б 01 20490000</v>
      </c>
    </row>
    <row r="522" spans="1:18" s="17" customFormat="1" ht="15.75">
      <c r="A522" s="14"/>
      <c r="B522" s="132" t="s">
        <v>403</v>
      </c>
      <c r="C522" s="109" t="s">
        <v>394</v>
      </c>
      <c r="D522" s="108" t="s">
        <v>229</v>
      </c>
      <c r="E522" s="108" t="s">
        <v>11</v>
      </c>
      <c r="F522" s="108" t="s">
        <v>437</v>
      </c>
      <c r="G522" s="108" t="s">
        <v>404</v>
      </c>
      <c r="H522" s="126">
        <f>H523</f>
        <v>0</v>
      </c>
      <c r="I522" s="178" t="str">
        <f t="shared" si="66"/>
        <v>606070117 Б 01 20490610</v>
      </c>
      <c r="L522" s="20">
        <v>2538.87</v>
      </c>
      <c r="M522" s="20">
        <v>2538.87</v>
      </c>
      <c r="N522" s="20">
        <v>2538.87</v>
      </c>
      <c r="O522" s="20">
        <f>H522-L522</f>
        <v>-2538.87</v>
      </c>
      <c r="P522" s="20" t="e">
        <f>#REF!-M522</f>
        <v>#REF!</v>
      </c>
      <c r="Q522" s="20" t="e">
        <f>#REF!-N522</f>
        <v>#REF!</v>
      </c>
      <c r="R522" s="17" t="str">
        <f t="shared" si="70"/>
        <v>17 Б 01 20490610</v>
      </c>
    </row>
    <row r="523" spans="1:18" s="24" customFormat="1" ht="15.75">
      <c r="A523" s="21"/>
      <c r="B523" s="127" t="s">
        <v>407</v>
      </c>
      <c r="C523" s="109" t="s">
        <v>394</v>
      </c>
      <c r="D523" s="108" t="s">
        <v>229</v>
      </c>
      <c r="E523" s="108" t="s">
        <v>11</v>
      </c>
      <c r="F523" s="108" t="s">
        <v>437</v>
      </c>
      <c r="G523" s="108" t="s">
        <v>408</v>
      </c>
      <c r="H523" s="126"/>
      <c r="I523" s="178" t="str">
        <f t="shared" si="66"/>
        <v>606070117 Б 01 20490612</v>
      </c>
      <c r="L523" s="22"/>
      <c r="M523" s="22"/>
      <c r="N523" s="22"/>
      <c r="O523" s="22"/>
      <c r="P523" s="22"/>
      <c r="Q523" s="22"/>
    </row>
    <row r="524" spans="1:18" s="17" customFormat="1" ht="15.75">
      <c r="A524" s="14"/>
      <c r="B524" s="121" t="s">
        <v>438</v>
      </c>
      <c r="C524" s="122" t="s">
        <v>394</v>
      </c>
      <c r="D524" s="123" t="s">
        <v>229</v>
      </c>
      <c r="E524" s="123" t="s">
        <v>62</v>
      </c>
      <c r="F524" s="123" t="s">
        <v>8</v>
      </c>
      <c r="G524" s="123" t="s">
        <v>9</v>
      </c>
      <c r="H524" s="124">
        <f>H525+H555+H571+H585+H579</f>
        <v>0</v>
      </c>
      <c r="I524" s="178" t="str">
        <f t="shared" si="66"/>
        <v>606070200 0 00 00000000</v>
      </c>
      <c r="L524" s="19">
        <v>1725231.0400000003</v>
      </c>
      <c r="M524" s="19">
        <v>1670357.1300000001</v>
      </c>
      <c r="N524" s="19">
        <v>1673208.27</v>
      </c>
      <c r="O524" s="19">
        <f t="shared" ref="O524:O529" si="73">H524-L524</f>
        <v>-1725231.0400000003</v>
      </c>
      <c r="P524" s="19" t="e">
        <f>#REF!-M524</f>
        <v>#REF!</v>
      </c>
      <c r="Q524" s="19" t="e">
        <f>#REF!-N524</f>
        <v>#REF!</v>
      </c>
      <c r="R524" s="17" t="str">
        <f t="shared" si="70"/>
        <v>00 0 00 00000000</v>
      </c>
    </row>
    <row r="525" spans="1:18" s="17" customFormat="1" ht="31.5">
      <c r="A525" s="14"/>
      <c r="B525" s="132" t="s">
        <v>396</v>
      </c>
      <c r="C525" s="109" t="s">
        <v>394</v>
      </c>
      <c r="D525" s="108" t="s">
        <v>229</v>
      </c>
      <c r="E525" s="108" t="s">
        <v>62</v>
      </c>
      <c r="F525" s="108" t="s">
        <v>397</v>
      </c>
      <c r="G525" s="108" t="s">
        <v>9</v>
      </c>
      <c r="H525" s="126">
        <f>H526+H550</f>
        <v>0</v>
      </c>
      <c r="I525" s="178" t="str">
        <f t="shared" si="66"/>
        <v>606070201 0 00 00000000</v>
      </c>
      <c r="L525" s="20">
        <v>1706232.36</v>
      </c>
      <c r="M525" s="20">
        <v>1662278.45</v>
      </c>
      <c r="N525" s="20">
        <v>1665909.5899999999</v>
      </c>
      <c r="O525" s="20">
        <f t="shared" si="73"/>
        <v>-1706232.36</v>
      </c>
      <c r="P525" s="20" t="e">
        <f>#REF!-M525</f>
        <v>#REF!</v>
      </c>
      <c r="Q525" s="20" t="e">
        <f>#REF!-N525</f>
        <v>#REF!</v>
      </c>
      <c r="R525" s="17" t="str">
        <f t="shared" si="70"/>
        <v>01 0 00 00000000</v>
      </c>
    </row>
    <row r="526" spans="1:18" s="17" customFormat="1" ht="31.5">
      <c r="A526" s="14"/>
      <c r="B526" s="132" t="s">
        <v>398</v>
      </c>
      <c r="C526" s="109" t="s">
        <v>394</v>
      </c>
      <c r="D526" s="108" t="s">
        <v>229</v>
      </c>
      <c r="E526" s="108" t="s">
        <v>62</v>
      </c>
      <c r="F526" s="108" t="s">
        <v>399</v>
      </c>
      <c r="G526" s="108" t="s">
        <v>9</v>
      </c>
      <c r="H526" s="126">
        <f>H527+H544</f>
        <v>0</v>
      </c>
      <c r="I526" s="178" t="str">
        <f t="shared" si="66"/>
        <v>606070201 1 00 00000000</v>
      </c>
      <c r="L526" s="20">
        <v>1702512.36</v>
      </c>
      <c r="M526" s="20">
        <v>1655458.8299999998</v>
      </c>
      <c r="N526" s="20">
        <v>1665909.5899999999</v>
      </c>
      <c r="O526" s="20">
        <f t="shared" si="73"/>
        <v>-1702512.36</v>
      </c>
      <c r="P526" s="20" t="e">
        <f>#REF!-M526</f>
        <v>#REF!</v>
      </c>
      <c r="Q526" s="20" t="e">
        <f>#REF!-N526</f>
        <v>#REF!</v>
      </c>
      <c r="R526" s="17" t="str">
        <f t="shared" si="70"/>
        <v>01 1 00 00000000</v>
      </c>
    </row>
    <row r="527" spans="1:18" s="17" customFormat="1" ht="63">
      <c r="A527" s="14"/>
      <c r="B527" s="132" t="s">
        <v>439</v>
      </c>
      <c r="C527" s="109" t="s">
        <v>394</v>
      </c>
      <c r="D527" s="108" t="s">
        <v>229</v>
      </c>
      <c r="E527" s="108" t="s">
        <v>62</v>
      </c>
      <c r="F527" s="108" t="s">
        <v>440</v>
      </c>
      <c r="G527" s="108" t="s">
        <v>9</v>
      </c>
      <c r="H527" s="126">
        <f>H528+H537</f>
        <v>0</v>
      </c>
      <c r="I527" s="178" t="str">
        <f t="shared" si="66"/>
        <v>606070201 1 02 00000000</v>
      </c>
      <c r="L527" s="20">
        <v>1643131.26</v>
      </c>
      <c r="M527" s="20">
        <v>1651458.8299999998</v>
      </c>
      <c r="N527" s="20">
        <v>1661909.5899999999</v>
      </c>
      <c r="O527" s="20">
        <f t="shared" si="73"/>
        <v>-1643131.26</v>
      </c>
      <c r="P527" s="20" t="e">
        <f>#REF!-M527</f>
        <v>#REF!</v>
      </c>
      <c r="Q527" s="20" t="e">
        <f>#REF!-N527</f>
        <v>#REF!</v>
      </c>
      <c r="R527" s="17" t="str">
        <f t="shared" si="70"/>
        <v>01 1 02 00000000</v>
      </c>
    </row>
    <row r="528" spans="1:18" s="17" customFormat="1" ht="31.5">
      <c r="A528" s="14"/>
      <c r="B528" s="132" t="s">
        <v>136</v>
      </c>
      <c r="C528" s="109" t="s">
        <v>394</v>
      </c>
      <c r="D528" s="108" t="s">
        <v>229</v>
      </c>
      <c r="E528" s="108" t="s">
        <v>62</v>
      </c>
      <c r="F528" s="108" t="s">
        <v>441</v>
      </c>
      <c r="G528" s="108" t="s">
        <v>9</v>
      </c>
      <c r="H528" s="126">
        <f>H529+H532+H535</f>
        <v>0</v>
      </c>
      <c r="I528" s="178" t="str">
        <f t="shared" si="66"/>
        <v>606070201 1 02 11010000</v>
      </c>
      <c r="L528" s="20">
        <v>571162.1399999999</v>
      </c>
      <c r="M528" s="20">
        <v>569815.42999999993</v>
      </c>
      <c r="N528" s="20">
        <v>569815.42999999993</v>
      </c>
      <c r="O528" s="20">
        <f t="shared" si="73"/>
        <v>-571162.1399999999</v>
      </c>
      <c r="P528" s="20" t="e">
        <f>#REF!-M528</f>
        <v>#REF!</v>
      </c>
      <c r="Q528" s="20" t="e">
        <f>#REF!-N528</f>
        <v>#REF!</v>
      </c>
      <c r="R528" s="17" t="str">
        <f t="shared" si="70"/>
        <v>01 1 02 11010000</v>
      </c>
    </row>
    <row r="529" spans="1:18" s="17" customFormat="1" ht="15.75">
      <c r="A529" s="14"/>
      <c r="B529" s="132" t="s">
        <v>403</v>
      </c>
      <c r="C529" s="109" t="s">
        <v>394</v>
      </c>
      <c r="D529" s="108" t="s">
        <v>229</v>
      </c>
      <c r="E529" s="108" t="s">
        <v>62</v>
      </c>
      <c r="F529" s="108" t="s">
        <v>441</v>
      </c>
      <c r="G529" s="108" t="s">
        <v>404</v>
      </c>
      <c r="H529" s="126">
        <f>SUM(H530:H531)</f>
        <v>0</v>
      </c>
      <c r="I529" s="178" t="str">
        <f t="shared" si="66"/>
        <v>606070201 1 02 11010610</v>
      </c>
      <c r="L529" s="20">
        <v>527917.66999999993</v>
      </c>
      <c r="M529" s="20">
        <v>526570.96</v>
      </c>
      <c r="N529" s="20">
        <v>526570.96</v>
      </c>
      <c r="O529" s="20">
        <f t="shared" si="73"/>
        <v>-527917.66999999993</v>
      </c>
      <c r="P529" s="20" t="e">
        <f>#REF!-M529</f>
        <v>#REF!</v>
      </c>
      <c r="Q529" s="20" t="e">
        <f>#REF!-N529</f>
        <v>#REF!</v>
      </c>
      <c r="R529" s="17" t="str">
        <f t="shared" si="70"/>
        <v>01 1 02 11010610</v>
      </c>
    </row>
    <row r="530" spans="1:18" s="24" customFormat="1" ht="63">
      <c r="A530" s="21"/>
      <c r="B530" s="127" t="s">
        <v>405</v>
      </c>
      <c r="C530" s="109" t="s">
        <v>394</v>
      </c>
      <c r="D530" s="108" t="s">
        <v>229</v>
      </c>
      <c r="E530" s="108" t="s">
        <v>62</v>
      </c>
      <c r="F530" s="108" t="s">
        <v>441</v>
      </c>
      <c r="G530" s="108" t="s">
        <v>406</v>
      </c>
      <c r="H530" s="126"/>
      <c r="I530" s="178" t="str">
        <f t="shared" si="66"/>
        <v>606070201 1 02 11010611</v>
      </c>
      <c r="L530" s="22"/>
      <c r="M530" s="22"/>
      <c r="N530" s="22"/>
      <c r="O530" s="22"/>
      <c r="P530" s="22"/>
      <c r="Q530" s="22"/>
    </row>
    <row r="531" spans="1:18" s="24" customFormat="1" ht="15.75">
      <c r="A531" s="21"/>
      <c r="B531" s="127" t="s">
        <v>407</v>
      </c>
      <c r="C531" s="109" t="s">
        <v>394</v>
      </c>
      <c r="D531" s="108" t="s">
        <v>229</v>
      </c>
      <c r="E531" s="108" t="s">
        <v>62</v>
      </c>
      <c r="F531" s="108" t="s">
        <v>441</v>
      </c>
      <c r="G531" s="108" t="s">
        <v>408</v>
      </c>
      <c r="H531" s="126"/>
      <c r="I531" s="178" t="str">
        <f t="shared" si="66"/>
        <v>606070201 1 02 11010612</v>
      </c>
      <c r="L531" s="22"/>
      <c r="M531" s="22"/>
      <c r="N531" s="22"/>
      <c r="O531" s="22"/>
      <c r="P531" s="22"/>
      <c r="Q531" s="22"/>
    </row>
    <row r="532" spans="1:18" s="17" customFormat="1" ht="15.75">
      <c r="A532" s="14"/>
      <c r="B532" s="132" t="s">
        <v>409</v>
      </c>
      <c r="C532" s="109" t="s">
        <v>394</v>
      </c>
      <c r="D532" s="108" t="s">
        <v>229</v>
      </c>
      <c r="E532" s="108" t="s">
        <v>62</v>
      </c>
      <c r="F532" s="108" t="s">
        <v>441</v>
      </c>
      <c r="G532" s="108" t="s">
        <v>410</v>
      </c>
      <c r="H532" s="126">
        <f>SUM(H533:H534)</f>
        <v>0</v>
      </c>
      <c r="I532" s="178" t="str">
        <f t="shared" si="66"/>
        <v>606070201 1 02 11010620</v>
      </c>
      <c r="L532" s="20">
        <v>40167.490000000005</v>
      </c>
      <c r="M532" s="20">
        <v>40167.490000000005</v>
      </c>
      <c r="N532" s="20">
        <v>40167.490000000005</v>
      </c>
      <c r="O532" s="20">
        <f>H532-L532</f>
        <v>-40167.490000000005</v>
      </c>
      <c r="P532" s="20" t="e">
        <f>#REF!-M532</f>
        <v>#REF!</v>
      </c>
      <c r="Q532" s="20" t="e">
        <f>#REF!-N532</f>
        <v>#REF!</v>
      </c>
      <c r="R532" s="17" t="str">
        <f t="shared" si="70"/>
        <v>01 1 02 11010620</v>
      </c>
    </row>
    <row r="533" spans="1:18" s="24" customFormat="1" ht="63">
      <c r="A533" s="21"/>
      <c r="B533" s="127" t="s">
        <v>411</v>
      </c>
      <c r="C533" s="109" t="s">
        <v>394</v>
      </c>
      <c r="D533" s="108" t="s">
        <v>229</v>
      </c>
      <c r="E533" s="108" t="s">
        <v>62</v>
      </c>
      <c r="F533" s="108" t="s">
        <v>441</v>
      </c>
      <c r="G533" s="108" t="s">
        <v>412</v>
      </c>
      <c r="H533" s="126"/>
      <c r="I533" s="178" t="str">
        <f t="shared" ref="I533:I596" si="74">C533&amp;D533&amp;E533&amp;F533&amp;G533</f>
        <v>606070201 1 02 11010621</v>
      </c>
      <c r="L533" s="22"/>
      <c r="M533" s="22"/>
      <c r="N533" s="22"/>
      <c r="O533" s="22"/>
      <c r="P533" s="22"/>
      <c r="Q533" s="22"/>
    </row>
    <row r="534" spans="1:18" s="24" customFormat="1" ht="15.75">
      <c r="A534" s="21"/>
      <c r="B534" s="127" t="s">
        <v>428</v>
      </c>
      <c r="C534" s="109" t="s">
        <v>394</v>
      </c>
      <c r="D534" s="108" t="s">
        <v>229</v>
      </c>
      <c r="E534" s="108" t="s">
        <v>62</v>
      </c>
      <c r="F534" s="108" t="s">
        <v>441</v>
      </c>
      <c r="G534" s="108" t="s">
        <v>429</v>
      </c>
      <c r="H534" s="126"/>
      <c r="I534" s="178" t="str">
        <f t="shared" si="74"/>
        <v>606070201 1 02 11010622</v>
      </c>
      <c r="L534" s="22"/>
      <c r="M534" s="22"/>
      <c r="N534" s="22"/>
      <c r="O534" s="22"/>
      <c r="P534" s="22"/>
      <c r="Q534" s="22"/>
    </row>
    <row r="535" spans="1:18" s="17" customFormat="1" ht="47.25">
      <c r="A535" s="14"/>
      <c r="B535" s="125" t="s">
        <v>182</v>
      </c>
      <c r="C535" s="109" t="s">
        <v>394</v>
      </c>
      <c r="D535" s="108" t="s">
        <v>229</v>
      </c>
      <c r="E535" s="108" t="s">
        <v>62</v>
      </c>
      <c r="F535" s="108" t="s">
        <v>441</v>
      </c>
      <c r="G535" s="108" t="s">
        <v>183</v>
      </c>
      <c r="H535" s="126">
        <f>H536</f>
        <v>0</v>
      </c>
      <c r="I535" s="178" t="str">
        <f t="shared" si="74"/>
        <v>606070201 1 02 11010630</v>
      </c>
      <c r="L535" s="20">
        <v>3076.98</v>
      </c>
      <c r="M535" s="20">
        <v>3076.98</v>
      </c>
      <c r="N535" s="20">
        <v>3076.98</v>
      </c>
      <c r="O535" s="20">
        <f>H535-L535</f>
        <v>-3076.98</v>
      </c>
      <c r="P535" s="20" t="e">
        <f>#REF!-M535</f>
        <v>#REF!</v>
      </c>
      <c r="Q535" s="20" t="e">
        <f>#REF!-N535</f>
        <v>#REF!</v>
      </c>
      <c r="R535" s="17" t="str">
        <f t="shared" si="70"/>
        <v>01 1 02 11010630</v>
      </c>
    </row>
    <row r="536" spans="1:18" s="24" customFormat="1" ht="94.5">
      <c r="A536" s="21"/>
      <c r="B536" s="127" t="s">
        <v>1038</v>
      </c>
      <c r="C536" s="109" t="s">
        <v>394</v>
      </c>
      <c r="D536" s="108" t="s">
        <v>229</v>
      </c>
      <c r="E536" s="108" t="s">
        <v>62</v>
      </c>
      <c r="F536" s="108" t="s">
        <v>441</v>
      </c>
      <c r="G536" s="108" t="s">
        <v>416</v>
      </c>
      <c r="H536" s="126"/>
      <c r="I536" s="178" t="str">
        <f t="shared" si="74"/>
        <v>606070201 1 02 11010632</v>
      </c>
      <c r="L536" s="22"/>
      <c r="M536" s="22"/>
      <c r="N536" s="22"/>
      <c r="O536" s="22"/>
      <c r="P536" s="22"/>
      <c r="Q536" s="22"/>
    </row>
    <row r="537" spans="1:18" s="17" customFormat="1" ht="173.25">
      <c r="A537" s="14" t="s">
        <v>80</v>
      </c>
      <c r="B537" s="127" t="s">
        <v>442</v>
      </c>
      <c r="C537" s="109" t="s">
        <v>394</v>
      </c>
      <c r="D537" s="108" t="s">
        <v>229</v>
      </c>
      <c r="E537" s="108" t="s">
        <v>62</v>
      </c>
      <c r="F537" s="108" t="s">
        <v>443</v>
      </c>
      <c r="G537" s="108" t="s">
        <v>9</v>
      </c>
      <c r="H537" s="126">
        <f>H538+H540+H542</f>
        <v>0</v>
      </c>
      <c r="I537" s="178" t="str">
        <f t="shared" si="74"/>
        <v>606070201 1 02 77160000</v>
      </c>
      <c r="L537" s="20">
        <v>1071969.1200000001</v>
      </c>
      <c r="M537" s="20">
        <v>1081643.3999999999</v>
      </c>
      <c r="N537" s="20">
        <v>1092094.1599999999</v>
      </c>
      <c r="O537" s="20">
        <f>H537-L537</f>
        <v>-1071969.1200000001</v>
      </c>
      <c r="P537" s="20" t="e">
        <f>#REF!-M537</f>
        <v>#REF!</v>
      </c>
      <c r="Q537" s="20" t="e">
        <f>#REF!-N537</f>
        <v>#REF!</v>
      </c>
      <c r="R537" s="17" t="str">
        <f t="shared" si="70"/>
        <v>01 1 02 77160000</v>
      </c>
    </row>
    <row r="538" spans="1:18" s="17" customFormat="1" ht="15.75">
      <c r="A538" s="14"/>
      <c r="B538" s="132" t="s">
        <v>403</v>
      </c>
      <c r="C538" s="109" t="s">
        <v>394</v>
      </c>
      <c r="D538" s="108" t="s">
        <v>229</v>
      </c>
      <c r="E538" s="108" t="s">
        <v>62</v>
      </c>
      <c r="F538" s="108" t="s">
        <v>443</v>
      </c>
      <c r="G538" s="108" t="s">
        <v>404</v>
      </c>
      <c r="H538" s="126">
        <f>H539</f>
        <v>0</v>
      </c>
      <c r="I538" s="178" t="str">
        <f t="shared" si="74"/>
        <v>606070201 1 02 77160610</v>
      </c>
      <c r="L538" s="20">
        <v>953042.9</v>
      </c>
      <c r="M538" s="20">
        <v>961646.5</v>
      </c>
      <c r="N538" s="20">
        <v>971150.7</v>
      </c>
      <c r="O538" s="20">
        <f>H538-L538</f>
        <v>-953042.9</v>
      </c>
      <c r="P538" s="20" t="e">
        <f>#REF!-M538</f>
        <v>#REF!</v>
      </c>
      <c r="Q538" s="20" t="e">
        <f>#REF!-N538</f>
        <v>#REF!</v>
      </c>
      <c r="R538" s="17" t="str">
        <f t="shared" si="70"/>
        <v>01 1 02 77160610</v>
      </c>
    </row>
    <row r="539" spans="1:18" s="24" customFormat="1" ht="63">
      <c r="A539" s="21"/>
      <c r="B539" s="127" t="s">
        <v>405</v>
      </c>
      <c r="C539" s="109" t="s">
        <v>394</v>
      </c>
      <c r="D539" s="108" t="s">
        <v>229</v>
      </c>
      <c r="E539" s="108" t="s">
        <v>62</v>
      </c>
      <c r="F539" s="108" t="s">
        <v>443</v>
      </c>
      <c r="G539" s="108" t="s">
        <v>406</v>
      </c>
      <c r="H539" s="126"/>
      <c r="I539" s="178" t="str">
        <f t="shared" si="74"/>
        <v>606070201 1 02 77160611</v>
      </c>
      <c r="L539" s="22"/>
      <c r="M539" s="22"/>
      <c r="N539" s="22"/>
      <c r="O539" s="22"/>
      <c r="P539" s="22"/>
      <c r="Q539" s="22"/>
    </row>
    <row r="540" spans="1:18" s="17" customFormat="1" ht="15.75">
      <c r="A540" s="14"/>
      <c r="B540" s="132" t="s">
        <v>409</v>
      </c>
      <c r="C540" s="109" t="s">
        <v>394</v>
      </c>
      <c r="D540" s="108" t="s">
        <v>229</v>
      </c>
      <c r="E540" s="108" t="s">
        <v>62</v>
      </c>
      <c r="F540" s="108" t="s">
        <v>443</v>
      </c>
      <c r="G540" s="108" t="s">
        <v>410</v>
      </c>
      <c r="H540" s="126">
        <f>H541</f>
        <v>0</v>
      </c>
      <c r="I540" s="178" t="str">
        <f t="shared" si="74"/>
        <v>606070201 1 02 77160620</v>
      </c>
      <c r="L540" s="20">
        <v>114194.38</v>
      </c>
      <c r="M540" s="20">
        <v>115222.5</v>
      </c>
      <c r="N540" s="20">
        <v>116121.72</v>
      </c>
      <c r="O540" s="20">
        <f>H540-L540</f>
        <v>-114194.38</v>
      </c>
      <c r="P540" s="20" t="e">
        <f>#REF!-M540</f>
        <v>#REF!</v>
      </c>
      <c r="Q540" s="20" t="e">
        <f>#REF!-N540</f>
        <v>#REF!</v>
      </c>
      <c r="R540" s="17" t="str">
        <f t="shared" si="70"/>
        <v>01 1 02 77160620</v>
      </c>
    </row>
    <row r="541" spans="1:18" s="24" customFormat="1" ht="63">
      <c r="A541" s="21"/>
      <c r="B541" s="127" t="s">
        <v>411</v>
      </c>
      <c r="C541" s="109" t="s">
        <v>394</v>
      </c>
      <c r="D541" s="108" t="s">
        <v>229</v>
      </c>
      <c r="E541" s="108" t="s">
        <v>62</v>
      </c>
      <c r="F541" s="108" t="s">
        <v>443</v>
      </c>
      <c r="G541" s="108" t="s">
        <v>412</v>
      </c>
      <c r="H541" s="126"/>
      <c r="I541" s="178" t="str">
        <f t="shared" si="74"/>
        <v>606070201 1 02 77160621</v>
      </c>
      <c r="L541" s="22"/>
      <c r="M541" s="22"/>
      <c r="N541" s="22"/>
      <c r="O541" s="22"/>
      <c r="P541" s="22"/>
      <c r="Q541" s="22"/>
    </row>
    <row r="542" spans="1:18" s="17" customFormat="1" ht="47.25">
      <c r="A542" s="14"/>
      <c r="B542" s="125" t="s">
        <v>182</v>
      </c>
      <c r="C542" s="109" t="s">
        <v>394</v>
      </c>
      <c r="D542" s="108" t="s">
        <v>229</v>
      </c>
      <c r="E542" s="108" t="s">
        <v>62</v>
      </c>
      <c r="F542" s="108" t="s">
        <v>443</v>
      </c>
      <c r="G542" s="108" t="s">
        <v>183</v>
      </c>
      <c r="H542" s="126">
        <f>H543</f>
        <v>0</v>
      </c>
      <c r="I542" s="178" t="str">
        <f t="shared" si="74"/>
        <v>606070201 1 02 77160630</v>
      </c>
      <c r="L542" s="20">
        <v>4731.84</v>
      </c>
      <c r="M542" s="20">
        <v>4774.3999999999996</v>
      </c>
      <c r="N542" s="20">
        <v>4821.74</v>
      </c>
      <c r="O542" s="20">
        <f>H542-L542</f>
        <v>-4731.84</v>
      </c>
      <c r="P542" s="20" t="e">
        <f>#REF!-M542</f>
        <v>#REF!</v>
      </c>
      <c r="Q542" s="20" t="e">
        <f>#REF!-N542</f>
        <v>#REF!</v>
      </c>
      <c r="R542" s="17" t="str">
        <f t="shared" si="70"/>
        <v>01 1 02 77160630</v>
      </c>
    </row>
    <row r="543" spans="1:18" s="24" customFormat="1" ht="94.5">
      <c r="A543" s="21"/>
      <c r="B543" s="127" t="s">
        <v>1038</v>
      </c>
      <c r="C543" s="109" t="s">
        <v>394</v>
      </c>
      <c r="D543" s="108" t="s">
        <v>229</v>
      </c>
      <c r="E543" s="108" t="s">
        <v>62</v>
      </c>
      <c r="F543" s="108" t="s">
        <v>443</v>
      </c>
      <c r="G543" s="108" t="s">
        <v>416</v>
      </c>
      <c r="H543" s="126"/>
      <c r="I543" s="178" t="str">
        <f t="shared" si="74"/>
        <v>606070201 1 02 77160632</v>
      </c>
      <c r="L543" s="22"/>
      <c r="M543" s="22"/>
      <c r="N543" s="22"/>
      <c r="O543" s="22"/>
      <c r="P543" s="22"/>
      <c r="Q543" s="22"/>
    </row>
    <row r="544" spans="1:18" s="17" customFormat="1" ht="78.75">
      <c r="A544" s="14"/>
      <c r="B544" s="125" t="s">
        <v>417</v>
      </c>
      <c r="C544" s="109" t="s">
        <v>394</v>
      </c>
      <c r="D544" s="108" t="s">
        <v>229</v>
      </c>
      <c r="E544" s="108" t="s">
        <v>62</v>
      </c>
      <c r="F544" s="108" t="s">
        <v>418</v>
      </c>
      <c r="G544" s="108" t="s">
        <v>9</v>
      </c>
      <c r="H544" s="126">
        <f>H545</f>
        <v>0</v>
      </c>
      <c r="I544" s="178" t="str">
        <f t="shared" si="74"/>
        <v>606070201 1 06 00000000</v>
      </c>
      <c r="L544" s="20">
        <v>59381.100000000006</v>
      </c>
      <c r="M544" s="20">
        <v>4000</v>
      </c>
      <c r="N544" s="20">
        <v>4000</v>
      </c>
      <c r="O544" s="20">
        <f>H544-L544</f>
        <v>-59381.100000000006</v>
      </c>
      <c r="P544" s="20" t="e">
        <f>#REF!-M544</f>
        <v>#REF!</v>
      </c>
      <c r="Q544" s="20" t="e">
        <f>#REF!-N544</f>
        <v>#REF!</v>
      </c>
      <c r="R544" s="17" t="str">
        <f t="shared" si="70"/>
        <v>01 1 06 00000000</v>
      </c>
    </row>
    <row r="545" spans="1:18" s="17" customFormat="1" ht="31.5">
      <c r="A545" s="14"/>
      <c r="B545" s="132" t="s">
        <v>136</v>
      </c>
      <c r="C545" s="109" t="s">
        <v>394</v>
      </c>
      <c r="D545" s="108" t="s">
        <v>229</v>
      </c>
      <c r="E545" s="108" t="s">
        <v>62</v>
      </c>
      <c r="F545" s="108" t="s">
        <v>419</v>
      </c>
      <c r="G545" s="108" t="s">
        <v>9</v>
      </c>
      <c r="H545" s="126">
        <f>H546+H548</f>
        <v>0</v>
      </c>
      <c r="I545" s="178" t="str">
        <f t="shared" si="74"/>
        <v>606070201 1 06 11010000</v>
      </c>
      <c r="L545" s="20">
        <v>59381.100000000006</v>
      </c>
      <c r="M545" s="20">
        <v>4000</v>
      </c>
      <c r="N545" s="20">
        <v>4000</v>
      </c>
      <c r="O545" s="20">
        <f>H545-L545</f>
        <v>-59381.100000000006</v>
      </c>
      <c r="P545" s="20" t="e">
        <f>#REF!-M545</f>
        <v>#REF!</v>
      </c>
      <c r="Q545" s="20" t="e">
        <f>#REF!-N545</f>
        <v>#REF!</v>
      </c>
      <c r="R545" s="17" t="str">
        <f t="shared" si="70"/>
        <v>01 1 06 11010000</v>
      </c>
    </row>
    <row r="546" spans="1:18" s="17" customFormat="1" ht="15.75">
      <c r="A546" s="14"/>
      <c r="B546" s="132" t="s">
        <v>403</v>
      </c>
      <c r="C546" s="109" t="s">
        <v>394</v>
      </c>
      <c r="D546" s="108" t="s">
        <v>229</v>
      </c>
      <c r="E546" s="108" t="s">
        <v>62</v>
      </c>
      <c r="F546" s="108" t="s">
        <v>419</v>
      </c>
      <c r="G546" s="108" t="s">
        <v>404</v>
      </c>
      <c r="H546" s="126">
        <f>H547</f>
        <v>0</v>
      </c>
      <c r="I546" s="178" t="str">
        <f t="shared" si="74"/>
        <v>606070201 1 06 11010610</v>
      </c>
      <c r="L546" s="20">
        <v>53539.33</v>
      </c>
      <c r="M546" s="20">
        <v>4000</v>
      </c>
      <c r="N546" s="20">
        <v>4000</v>
      </c>
      <c r="O546" s="20">
        <f>H546-L546</f>
        <v>-53539.33</v>
      </c>
      <c r="P546" s="20" t="e">
        <f>#REF!-M546</f>
        <v>#REF!</v>
      </c>
      <c r="Q546" s="20" t="e">
        <f>#REF!-N546</f>
        <v>#REF!</v>
      </c>
      <c r="R546" s="17" t="str">
        <f t="shared" si="70"/>
        <v>01 1 06 11010610</v>
      </c>
    </row>
    <row r="547" spans="1:18" s="24" customFormat="1" ht="15.75">
      <c r="A547" s="21"/>
      <c r="B547" s="127" t="s">
        <v>407</v>
      </c>
      <c r="C547" s="109" t="s">
        <v>394</v>
      </c>
      <c r="D547" s="108" t="s">
        <v>229</v>
      </c>
      <c r="E547" s="108" t="s">
        <v>62</v>
      </c>
      <c r="F547" s="108" t="s">
        <v>419</v>
      </c>
      <c r="G547" s="108" t="s">
        <v>408</v>
      </c>
      <c r="H547" s="126"/>
      <c r="I547" s="178" t="str">
        <f t="shared" si="74"/>
        <v>606070201 1 06 11010612</v>
      </c>
      <c r="L547" s="22"/>
      <c r="M547" s="22"/>
      <c r="N547" s="22"/>
      <c r="O547" s="22"/>
      <c r="P547" s="22"/>
      <c r="Q547" s="22"/>
    </row>
    <row r="548" spans="1:18" s="17" customFormat="1" ht="15.75">
      <c r="A548" s="14"/>
      <c r="B548" s="132" t="s">
        <v>409</v>
      </c>
      <c r="C548" s="109" t="s">
        <v>394</v>
      </c>
      <c r="D548" s="108" t="s">
        <v>229</v>
      </c>
      <c r="E548" s="108" t="s">
        <v>62</v>
      </c>
      <c r="F548" s="108" t="s">
        <v>419</v>
      </c>
      <c r="G548" s="108" t="s">
        <v>410</v>
      </c>
      <c r="H548" s="126">
        <f>H549</f>
        <v>0</v>
      </c>
      <c r="I548" s="178" t="str">
        <f t="shared" si="74"/>
        <v>606070201 1 06 11010620</v>
      </c>
      <c r="L548" s="20">
        <v>5841.77</v>
      </c>
      <c r="M548" s="20">
        <v>0</v>
      </c>
      <c r="N548" s="20">
        <v>0</v>
      </c>
      <c r="O548" s="20">
        <f>H548-L548</f>
        <v>-5841.77</v>
      </c>
      <c r="P548" s="20" t="e">
        <f>#REF!-M548</f>
        <v>#REF!</v>
      </c>
      <c r="Q548" s="20" t="e">
        <f>#REF!-N548</f>
        <v>#REF!</v>
      </c>
      <c r="R548" s="17" t="str">
        <f t="shared" si="70"/>
        <v>01 1 06 11010620</v>
      </c>
    </row>
    <row r="549" spans="1:18" s="24" customFormat="1" ht="15.75">
      <c r="A549" s="21"/>
      <c r="B549" s="127" t="s">
        <v>428</v>
      </c>
      <c r="C549" s="109" t="s">
        <v>394</v>
      </c>
      <c r="D549" s="108" t="s">
        <v>229</v>
      </c>
      <c r="E549" s="108" t="s">
        <v>62</v>
      </c>
      <c r="F549" s="108" t="s">
        <v>419</v>
      </c>
      <c r="G549" s="108" t="s">
        <v>429</v>
      </c>
      <c r="H549" s="126"/>
      <c r="I549" s="178" t="str">
        <f t="shared" si="74"/>
        <v>606070201 1 06 11010622</v>
      </c>
      <c r="L549" s="22"/>
      <c r="M549" s="22"/>
      <c r="N549" s="22"/>
      <c r="O549" s="22"/>
      <c r="P549" s="22"/>
      <c r="Q549" s="22"/>
    </row>
    <row r="550" spans="1:18" s="17" customFormat="1" ht="47.25">
      <c r="A550" s="14"/>
      <c r="B550" s="132" t="s">
        <v>444</v>
      </c>
      <c r="C550" s="109" t="s">
        <v>394</v>
      </c>
      <c r="D550" s="108" t="s">
        <v>229</v>
      </c>
      <c r="E550" s="108" t="s">
        <v>62</v>
      </c>
      <c r="F550" s="108" t="s">
        <v>445</v>
      </c>
      <c r="G550" s="108" t="s">
        <v>9</v>
      </c>
      <c r="H550" s="126">
        <f>H551</f>
        <v>0</v>
      </c>
      <c r="I550" s="178" t="str">
        <f t="shared" si="74"/>
        <v>606070201 2 00 00000000</v>
      </c>
      <c r="L550" s="20">
        <v>3720</v>
      </c>
      <c r="M550" s="20">
        <v>6819.62</v>
      </c>
      <c r="N550" s="20">
        <v>0</v>
      </c>
      <c r="O550" s="20">
        <f>H550-L550</f>
        <v>-3720</v>
      </c>
      <c r="P550" s="20" t="e">
        <f>#REF!-M550</f>
        <v>#REF!</v>
      </c>
      <c r="Q550" s="20" t="e">
        <f>#REF!-N550</f>
        <v>#REF!</v>
      </c>
      <c r="R550" s="17" t="str">
        <f t="shared" si="70"/>
        <v>01 2 00 00000000</v>
      </c>
    </row>
    <row r="551" spans="1:18" s="17" customFormat="1" ht="63">
      <c r="A551" s="14"/>
      <c r="B551" s="132" t="s">
        <v>446</v>
      </c>
      <c r="C551" s="109" t="s">
        <v>394</v>
      </c>
      <c r="D551" s="108" t="s">
        <v>229</v>
      </c>
      <c r="E551" s="108" t="s">
        <v>62</v>
      </c>
      <c r="F551" s="108" t="s">
        <v>447</v>
      </c>
      <c r="G551" s="108" t="s">
        <v>9</v>
      </c>
      <c r="H551" s="126">
        <f>H552</f>
        <v>0</v>
      </c>
      <c r="I551" s="178" t="str">
        <f t="shared" si="74"/>
        <v>606070201 2 01 00000000</v>
      </c>
      <c r="L551" s="20">
        <v>3720</v>
      </c>
      <c r="M551" s="20">
        <v>6819.62</v>
      </c>
      <c r="N551" s="20">
        <v>0</v>
      </c>
      <c r="O551" s="20">
        <f>H551-L551</f>
        <v>-3720</v>
      </c>
      <c r="P551" s="20" t="e">
        <f>#REF!-M551</f>
        <v>#REF!</v>
      </c>
      <c r="Q551" s="20" t="e">
        <f>#REF!-N551</f>
        <v>#REF!</v>
      </c>
      <c r="R551" s="17" t="str">
        <f t="shared" si="70"/>
        <v>01 2 01 00000000</v>
      </c>
    </row>
    <row r="552" spans="1:18" s="17" customFormat="1" ht="47.25">
      <c r="A552" s="14"/>
      <c r="B552" s="132" t="s">
        <v>448</v>
      </c>
      <c r="C552" s="109" t="s">
        <v>394</v>
      </c>
      <c r="D552" s="108" t="s">
        <v>229</v>
      </c>
      <c r="E552" s="108" t="s">
        <v>62</v>
      </c>
      <c r="F552" s="108" t="s">
        <v>449</v>
      </c>
      <c r="G552" s="108" t="s">
        <v>9</v>
      </c>
      <c r="H552" s="126">
        <f>H553</f>
        <v>0</v>
      </c>
      <c r="I552" s="178" t="str">
        <f t="shared" si="74"/>
        <v>606070201 2 01 40010000</v>
      </c>
      <c r="L552" s="20">
        <v>3720</v>
      </c>
      <c r="M552" s="20">
        <v>6819.62</v>
      </c>
      <c r="N552" s="20">
        <v>0</v>
      </c>
      <c r="O552" s="20">
        <f>H552-L552</f>
        <v>-3720</v>
      </c>
      <c r="P552" s="20" t="e">
        <f>#REF!-M552</f>
        <v>#REF!</v>
      </c>
      <c r="Q552" s="20" t="e">
        <f>#REF!-N552</f>
        <v>#REF!</v>
      </c>
      <c r="R552" s="17" t="str">
        <f t="shared" si="70"/>
        <v>01 2 01 40010000</v>
      </c>
    </row>
    <row r="553" spans="1:18" s="17" customFormat="1" ht="126">
      <c r="A553" s="14"/>
      <c r="B553" s="132" t="s">
        <v>450</v>
      </c>
      <c r="C553" s="109" t="s">
        <v>394</v>
      </c>
      <c r="D553" s="108" t="s">
        <v>229</v>
      </c>
      <c r="E553" s="108" t="s">
        <v>62</v>
      </c>
      <c r="F553" s="108" t="s">
        <v>449</v>
      </c>
      <c r="G553" s="108" t="s">
        <v>451</v>
      </c>
      <c r="H553" s="126">
        <f>H554</f>
        <v>0</v>
      </c>
      <c r="I553" s="178" t="str">
        <f t="shared" si="74"/>
        <v>606070201 2 01 40010460</v>
      </c>
      <c r="L553" s="20">
        <v>3720</v>
      </c>
      <c r="M553" s="20">
        <v>6819.62</v>
      </c>
      <c r="N553" s="20">
        <v>0</v>
      </c>
      <c r="O553" s="20">
        <f>H553-L553</f>
        <v>-3720</v>
      </c>
      <c r="P553" s="20" t="e">
        <f>#REF!-M553</f>
        <v>#REF!</v>
      </c>
      <c r="Q553" s="20" t="e">
        <f>#REF!-N553</f>
        <v>#REF!</v>
      </c>
      <c r="R553" s="17" t="str">
        <f t="shared" si="70"/>
        <v>01 2 01 40010460</v>
      </c>
    </row>
    <row r="554" spans="1:18" s="24" customFormat="1" ht="63">
      <c r="A554" s="21"/>
      <c r="B554" s="127" t="s">
        <v>452</v>
      </c>
      <c r="C554" s="109" t="s">
        <v>394</v>
      </c>
      <c r="D554" s="108" t="s">
        <v>229</v>
      </c>
      <c r="E554" s="108" t="s">
        <v>62</v>
      </c>
      <c r="F554" s="108" t="s">
        <v>449</v>
      </c>
      <c r="G554" s="108" t="s">
        <v>453</v>
      </c>
      <c r="H554" s="126"/>
      <c r="I554" s="178" t="str">
        <f t="shared" si="74"/>
        <v>606070201 2 01 40010465</v>
      </c>
      <c r="L554" s="22"/>
      <c r="M554" s="22"/>
      <c r="N554" s="22"/>
      <c r="O554" s="22"/>
      <c r="P554" s="22"/>
      <c r="Q554" s="22"/>
      <c r="R554" s="24" t="str">
        <f t="shared" si="70"/>
        <v>01 2 01 40010465</v>
      </c>
    </row>
    <row r="555" spans="1:18" s="17" customFormat="1" ht="47.25">
      <c r="A555" s="14"/>
      <c r="B555" s="127" t="s">
        <v>146</v>
      </c>
      <c r="C555" s="109" t="s">
        <v>394</v>
      </c>
      <c r="D555" s="108" t="s">
        <v>229</v>
      </c>
      <c r="E555" s="108" t="s">
        <v>62</v>
      </c>
      <c r="F555" s="108" t="s">
        <v>147</v>
      </c>
      <c r="G555" s="108" t="s">
        <v>9</v>
      </c>
      <c r="H555" s="126">
        <f>H561+H566+H556</f>
        <v>0</v>
      </c>
      <c r="I555" s="178" t="str">
        <f t="shared" si="74"/>
        <v>606070215 0 00 00000000</v>
      </c>
      <c r="L555" s="20">
        <v>13591.95</v>
      </c>
      <c r="M555" s="20">
        <v>2671.95</v>
      </c>
      <c r="N555" s="20">
        <v>1891.95</v>
      </c>
      <c r="O555" s="20">
        <f>H555-L555</f>
        <v>-13591.95</v>
      </c>
      <c r="P555" s="20" t="e">
        <f>#REF!-M555</f>
        <v>#REF!</v>
      </c>
      <c r="Q555" s="20" t="e">
        <f>#REF!-N555</f>
        <v>#REF!</v>
      </c>
      <c r="R555" s="17" t="str">
        <f t="shared" si="70"/>
        <v>15 0 00 00000000</v>
      </c>
    </row>
    <row r="556" spans="1:18" s="17" customFormat="1" ht="47.25">
      <c r="A556" s="14"/>
      <c r="B556" s="125" t="s">
        <v>1065</v>
      </c>
      <c r="C556" s="109" t="s">
        <v>394</v>
      </c>
      <c r="D556" s="108" t="s">
        <v>229</v>
      </c>
      <c r="E556" s="108" t="s">
        <v>62</v>
      </c>
      <c r="F556" s="108" t="s">
        <v>149</v>
      </c>
      <c r="G556" s="108" t="s">
        <v>9</v>
      </c>
      <c r="H556" s="126">
        <f>H557</f>
        <v>0</v>
      </c>
      <c r="I556" s="178" t="str">
        <f t="shared" si="74"/>
        <v>606070215 1 00 00000000</v>
      </c>
      <c r="L556" s="20">
        <v>11700</v>
      </c>
      <c r="M556" s="20">
        <v>780</v>
      </c>
      <c r="N556" s="20">
        <v>0</v>
      </c>
      <c r="O556" s="20">
        <f>H556-L556</f>
        <v>-11700</v>
      </c>
      <c r="P556" s="20" t="e">
        <f>#REF!-M556</f>
        <v>#REF!</v>
      </c>
      <c r="Q556" s="20" t="e">
        <f>#REF!-N556</f>
        <v>#REF!</v>
      </c>
      <c r="R556" s="17" t="str">
        <f t="shared" si="70"/>
        <v>15 1 00 00000000</v>
      </c>
    </row>
    <row r="557" spans="1:18" s="17" customFormat="1" ht="63">
      <c r="A557" s="14"/>
      <c r="B557" s="132" t="s">
        <v>1068</v>
      </c>
      <c r="C557" s="109" t="s">
        <v>394</v>
      </c>
      <c r="D557" s="108" t="s">
        <v>229</v>
      </c>
      <c r="E557" s="108" t="s">
        <v>62</v>
      </c>
      <c r="F557" s="108" t="s">
        <v>1069</v>
      </c>
      <c r="G557" s="108" t="s">
        <v>9</v>
      </c>
      <c r="H557" s="126">
        <f>H558</f>
        <v>0</v>
      </c>
      <c r="I557" s="178" t="str">
        <f t="shared" si="74"/>
        <v>606070215 1 04 00000000</v>
      </c>
      <c r="L557" s="20">
        <v>11700</v>
      </c>
      <c r="M557" s="20">
        <v>780</v>
      </c>
      <c r="N557" s="20">
        <v>0</v>
      </c>
      <c r="O557" s="20">
        <f>H557-L557</f>
        <v>-11700</v>
      </c>
      <c r="P557" s="20" t="e">
        <f>#REF!-M557</f>
        <v>#REF!</v>
      </c>
      <c r="Q557" s="20" t="e">
        <f>#REF!-N557</f>
        <v>#REF!</v>
      </c>
      <c r="R557" s="17" t="str">
        <f t="shared" si="70"/>
        <v>15 1 04 00000000</v>
      </c>
    </row>
    <row r="558" spans="1:18" s="17" customFormat="1" ht="47.25">
      <c r="A558" s="14"/>
      <c r="B558" s="132" t="s">
        <v>152</v>
      </c>
      <c r="C558" s="109" t="s">
        <v>394</v>
      </c>
      <c r="D558" s="108" t="s">
        <v>229</v>
      </c>
      <c r="E558" s="108" t="s">
        <v>62</v>
      </c>
      <c r="F558" s="108" t="s">
        <v>1070</v>
      </c>
      <c r="G558" s="108" t="s">
        <v>9</v>
      </c>
      <c r="H558" s="126">
        <f>H559</f>
        <v>0</v>
      </c>
      <c r="I558" s="178" t="str">
        <f t="shared" si="74"/>
        <v>606070215 1 04 20350000</v>
      </c>
      <c r="L558" s="20">
        <v>11700</v>
      </c>
      <c r="M558" s="20">
        <v>780</v>
      </c>
      <c r="N558" s="20">
        <v>0</v>
      </c>
      <c r="O558" s="20">
        <f>H558-L558</f>
        <v>-11700</v>
      </c>
      <c r="P558" s="20" t="e">
        <f>#REF!-M558</f>
        <v>#REF!</v>
      </c>
      <c r="Q558" s="20" t="e">
        <f>#REF!-N558</f>
        <v>#REF!</v>
      </c>
      <c r="R558" s="17" t="str">
        <f t="shared" si="70"/>
        <v>15 1 04 20350000</v>
      </c>
    </row>
    <row r="559" spans="1:18" s="17" customFormat="1" ht="15.75">
      <c r="A559" s="14"/>
      <c r="B559" s="132" t="s">
        <v>403</v>
      </c>
      <c r="C559" s="109" t="s">
        <v>394</v>
      </c>
      <c r="D559" s="108" t="s">
        <v>229</v>
      </c>
      <c r="E559" s="108" t="s">
        <v>62</v>
      </c>
      <c r="F559" s="108" t="s">
        <v>1070</v>
      </c>
      <c r="G559" s="108" t="s">
        <v>404</v>
      </c>
      <c r="H559" s="126">
        <f>H560</f>
        <v>0</v>
      </c>
      <c r="I559" s="178" t="str">
        <f t="shared" si="74"/>
        <v>606070215 1 04 20350610</v>
      </c>
      <c r="L559" s="20">
        <v>11700</v>
      </c>
      <c r="M559" s="20">
        <v>780</v>
      </c>
      <c r="N559" s="20">
        <v>0</v>
      </c>
      <c r="O559" s="20">
        <f>H559-L559</f>
        <v>-11700</v>
      </c>
      <c r="P559" s="20" t="e">
        <f>#REF!-M559</f>
        <v>#REF!</v>
      </c>
      <c r="Q559" s="20" t="e">
        <f>#REF!-N559</f>
        <v>#REF!</v>
      </c>
      <c r="R559" s="17" t="str">
        <f t="shared" si="70"/>
        <v>15 1 04 20350610</v>
      </c>
    </row>
    <row r="560" spans="1:18" s="24" customFormat="1" ht="15.75">
      <c r="A560" s="21"/>
      <c r="B560" s="125" t="s">
        <v>407</v>
      </c>
      <c r="C560" s="109" t="s">
        <v>394</v>
      </c>
      <c r="D560" s="108" t="s">
        <v>229</v>
      </c>
      <c r="E560" s="108" t="s">
        <v>62</v>
      </c>
      <c r="F560" s="108" t="s">
        <v>1070</v>
      </c>
      <c r="G560" s="108" t="s">
        <v>408</v>
      </c>
      <c r="H560" s="126"/>
      <c r="I560" s="178" t="str">
        <f t="shared" si="74"/>
        <v>606070215 1 04 20350612</v>
      </c>
      <c r="L560" s="22"/>
      <c r="M560" s="22"/>
      <c r="N560" s="22"/>
      <c r="O560" s="22"/>
      <c r="P560" s="22"/>
      <c r="Q560" s="22"/>
    </row>
    <row r="561" spans="1:18" s="17" customFormat="1" ht="15.75">
      <c r="A561" s="14"/>
      <c r="B561" s="127" t="s">
        <v>154</v>
      </c>
      <c r="C561" s="109" t="s">
        <v>394</v>
      </c>
      <c r="D561" s="108" t="s">
        <v>229</v>
      </c>
      <c r="E561" s="108" t="s">
        <v>62</v>
      </c>
      <c r="F561" s="108" t="s">
        <v>155</v>
      </c>
      <c r="G561" s="108" t="s">
        <v>9</v>
      </c>
      <c r="H561" s="126">
        <f t="shared" ref="H561:H563" si="75">H562</f>
        <v>0</v>
      </c>
      <c r="I561" s="178" t="str">
        <f t="shared" si="74"/>
        <v>606070215 2 00 00000000</v>
      </c>
      <c r="L561" s="20">
        <v>217.15</v>
      </c>
      <c r="M561" s="20">
        <v>217.15</v>
      </c>
      <c r="N561" s="20">
        <v>217.15</v>
      </c>
      <c r="O561" s="20">
        <f>H561-L561</f>
        <v>-217.15</v>
      </c>
      <c r="P561" s="20" t="e">
        <f>#REF!-M561</f>
        <v>#REF!</v>
      </c>
      <c r="Q561" s="20" t="e">
        <f>#REF!-N561</f>
        <v>#REF!</v>
      </c>
      <c r="R561" s="17" t="str">
        <f t="shared" si="70"/>
        <v>15 2 00 00000000</v>
      </c>
    </row>
    <row r="562" spans="1:18" s="17" customFormat="1" ht="47.25">
      <c r="A562" s="14"/>
      <c r="B562" s="127" t="s">
        <v>160</v>
      </c>
      <c r="C562" s="109" t="s">
        <v>394</v>
      </c>
      <c r="D562" s="108" t="s">
        <v>229</v>
      </c>
      <c r="E562" s="108" t="s">
        <v>62</v>
      </c>
      <c r="F562" s="108" t="s">
        <v>161</v>
      </c>
      <c r="G562" s="108" t="s">
        <v>9</v>
      </c>
      <c r="H562" s="126">
        <f t="shared" si="75"/>
        <v>0</v>
      </c>
      <c r="I562" s="178" t="str">
        <f t="shared" si="74"/>
        <v>606070215 2 02 00000000</v>
      </c>
      <c r="L562" s="20">
        <v>217.15</v>
      </c>
      <c r="M562" s="20">
        <v>217.15</v>
      </c>
      <c r="N562" s="20">
        <v>217.15</v>
      </c>
      <c r="O562" s="20">
        <f>H562-L562</f>
        <v>-217.15</v>
      </c>
      <c r="P562" s="20" t="e">
        <f>#REF!-M562</f>
        <v>#REF!</v>
      </c>
      <c r="Q562" s="20" t="e">
        <f>#REF!-N562</f>
        <v>#REF!</v>
      </c>
      <c r="R562" s="17" t="str">
        <f t="shared" si="70"/>
        <v>15 2 02 00000000</v>
      </c>
    </row>
    <row r="563" spans="1:18" s="17" customFormat="1" ht="78.75">
      <c r="A563" s="14"/>
      <c r="B563" s="129" t="s">
        <v>158</v>
      </c>
      <c r="C563" s="109" t="s">
        <v>394</v>
      </c>
      <c r="D563" s="108" t="s">
        <v>229</v>
      </c>
      <c r="E563" s="108" t="s">
        <v>62</v>
      </c>
      <c r="F563" s="108" t="s">
        <v>162</v>
      </c>
      <c r="G563" s="108" t="s">
        <v>9</v>
      </c>
      <c r="H563" s="126">
        <f t="shared" si="75"/>
        <v>0</v>
      </c>
      <c r="I563" s="178" t="str">
        <f t="shared" si="74"/>
        <v>606070215 2 02 20370000</v>
      </c>
      <c r="L563" s="20">
        <v>217.15</v>
      </c>
      <c r="M563" s="20">
        <v>217.15</v>
      </c>
      <c r="N563" s="20">
        <v>217.15</v>
      </c>
      <c r="O563" s="20">
        <f>H563-L563</f>
        <v>-217.15</v>
      </c>
      <c r="P563" s="20" t="e">
        <f>#REF!-M563</f>
        <v>#REF!</v>
      </c>
      <c r="Q563" s="20" t="e">
        <f>#REF!-N563</f>
        <v>#REF!</v>
      </c>
      <c r="R563" s="17" t="str">
        <f t="shared" si="70"/>
        <v>15 2 02 20370000</v>
      </c>
    </row>
    <row r="564" spans="1:18" s="17" customFormat="1" ht="15.75">
      <c r="A564" s="14"/>
      <c r="B564" s="132" t="s">
        <v>403</v>
      </c>
      <c r="C564" s="109" t="s">
        <v>394</v>
      </c>
      <c r="D564" s="108" t="s">
        <v>229</v>
      </c>
      <c r="E564" s="108" t="s">
        <v>62</v>
      </c>
      <c r="F564" s="108" t="s">
        <v>162</v>
      </c>
      <c r="G564" s="108" t="s">
        <v>404</v>
      </c>
      <c r="H564" s="126">
        <f>H565</f>
        <v>0</v>
      </c>
      <c r="I564" s="178" t="str">
        <f t="shared" si="74"/>
        <v>606070215 2 02 20370610</v>
      </c>
      <c r="L564" s="20">
        <v>217.15</v>
      </c>
      <c r="M564" s="20">
        <v>217.15</v>
      </c>
      <c r="N564" s="20">
        <v>217.15</v>
      </c>
      <c r="O564" s="20">
        <f>H564-L564</f>
        <v>-217.15</v>
      </c>
      <c r="P564" s="20" t="e">
        <f>#REF!-M564</f>
        <v>#REF!</v>
      </c>
      <c r="Q564" s="20" t="e">
        <f>#REF!-N564</f>
        <v>#REF!</v>
      </c>
      <c r="R564" s="17" t="str">
        <f t="shared" si="70"/>
        <v>15 2 02 20370610</v>
      </c>
    </row>
    <row r="565" spans="1:18" s="24" customFormat="1" ht="15.75">
      <c r="A565" s="21"/>
      <c r="B565" s="127" t="s">
        <v>407</v>
      </c>
      <c r="C565" s="109" t="s">
        <v>394</v>
      </c>
      <c r="D565" s="108" t="s">
        <v>229</v>
      </c>
      <c r="E565" s="108" t="s">
        <v>62</v>
      </c>
      <c r="F565" s="108" t="s">
        <v>162</v>
      </c>
      <c r="G565" s="108" t="s">
        <v>408</v>
      </c>
      <c r="H565" s="126"/>
      <c r="I565" s="178" t="str">
        <f t="shared" si="74"/>
        <v>606070215 2 02 20370612</v>
      </c>
      <c r="L565" s="22"/>
      <c r="M565" s="22"/>
      <c r="N565" s="22"/>
      <c r="O565" s="22"/>
      <c r="P565" s="22"/>
      <c r="Q565" s="22"/>
    </row>
    <row r="566" spans="1:18" s="17" customFormat="1" ht="31.5">
      <c r="A566" s="14"/>
      <c r="B566" s="125" t="s">
        <v>168</v>
      </c>
      <c r="C566" s="109" t="s">
        <v>394</v>
      </c>
      <c r="D566" s="108" t="s">
        <v>229</v>
      </c>
      <c r="E566" s="108" t="s">
        <v>62</v>
      </c>
      <c r="F566" s="108" t="s">
        <v>169</v>
      </c>
      <c r="G566" s="108" t="s">
        <v>9</v>
      </c>
      <c r="H566" s="126">
        <f t="shared" ref="H566:H568" si="76">H567</f>
        <v>0</v>
      </c>
      <c r="I566" s="178" t="str">
        <f t="shared" si="74"/>
        <v>606070215 3 00 00000000</v>
      </c>
      <c r="L566" s="20">
        <v>1674.8</v>
      </c>
      <c r="M566" s="20">
        <v>1674.8</v>
      </c>
      <c r="N566" s="20">
        <v>1674.8</v>
      </c>
      <c r="O566" s="20">
        <f>H566-L566</f>
        <v>-1674.8</v>
      </c>
      <c r="P566" s="20" t="e">
        <f>#REF!-M566</f>
        <v>#REF!</v>
      </c>
      <c r="Q566" s="20" t="e">
        <f>#REF!-N566</f>
        <v>#REF!</v>
      </c>
      <c r="R566" s="17" t="str">
        <f t="shared" si="70"/>
        <v>15 3 00 00000000</v>
      </c>
    </row>
    <row r="567" spans="1:18" s="17" customFormat="1" ht="31.5">
      <c r="A567" s="14"/>
      <c r="B567" s="125" t="s">
        <v>374</v>
      </c>
      <c r="C567" s="109" t="s">
        <v>394</v>
      </c>
      <c r="D567" s="108" t="s">
        <v>229</v>
      </c>
      <c r="E567" s="108" t="s">
        <v>62</v>
      </c>
      <c r="F567" s="108" t="s">
        <v>375</v>
      </c>
      <c r="G567" s="108" t="s">
        <v>9</v>
      </c>
      <c r="H567" s="126">
        <f t="shared" si="76"/>
        <v>0</v>
      </c>
      <c r="I567" s="178" t="str">
        <f t="shared" si="74"/>
        <v>606070215 3 01 00000000</v>
      </c>
      <c r="L567" s="20">
        <v>1674.8</v>
      </c>
      <c r="M567" s="20">
        <v>1674.8</v>
      </c>
      <c r="N567" s="20">
        <v>1674.8</v>
      </c>
      <c r="O567" s="20">
        <f>H567-L567</f>
        <v>-1674.8</v>
      </c>
      <c r="P567" s="20" t="e">
        <f>#REF!-M567</f>
        <v>#REF!</v>
      </c>
      <c r="Q567" s="20" t="e">
        <f>#REF!-N567</f>
        <v>#REF!</v>
      </c>
      <c r="R567" s="17" t="str">
        <f t="shared" si="70"/>
        <v>15 3 01 00000000</v>
      </c>
    </row>
    <row r="568" spans="1:18" s="17" customFormat="1" ht="31.5">
      <c r="A568" s="14"/>
      <c r="B568" s="125" t="s">
        <v>376</v>
      </c>
      <c r="C568" s="109" t="s">
        <v>394</v>
      </c>
      <c r="D568" s="108" t="s">
        <v>229</v>
      </c>
      <c r="E568" s="108" t="s">
        <v>62</v>
      </c>
      <c r="F568" s="108" t="s">
        <v>377</v>
      </c>
      <c r="G568" s="108" t="s">
        <v>9</v>
      </c>
      <c r="H568" s="126">
        <f t="shared" si="76"/>
        <v>0</v>
      </c>
      <c r="I568" s="178" t="str">
        <f t="shared" si="74"/>
        <v>606070215 3 01 20660000</v>
      </c>
      <c r="L568" s="20">
        <v>1674.8</v>
      </c>
      <c r="M568" s="20">
        <v>1674.8</v>
      </c>
      <c r="N568" s="20">
        <v>1674.8</v>
      </c>
      <c r="O568" s="20">
        <f>H568-L568</f>
        <v>-1674.8</v>
      </c>
      <c r="P568" s="20" t="e">
        <f>#REF!-M568</f>
        <v>#REF!</v>
      </c>
      <c r="Q568" s="20" t="e">
        <f>#REF!-N568</f>
        <v>#REF!</v>
      </c>
      <c r="R568" s="17" t="str">
        <f t="shared" si="70"/>
        <v>15 3 01 20660000</v>
      </c>
    </row>
    <row r="569" spans="1:18" s="17" customFormat="1" ht="15.75">
      <c r="A569" s="14"/>
      <c r="B569" s="132" t="s">
        <v>403</v>
      </c>
      <c r="C569" s="109" t="s">
        <v>394</v>
      </c>
      <c r="D569" s="108" t="s">
        <v>229</v>
      </c>
      <c r="E569" s="108" t="s">
        <v>62</v>
      </c>
      <c r="F569" s="108" t="s">
        <v>377</v>
      </c>
      <c r="G569" s="108" t="s">
        <v>404</v>
      </c>
      <c r="H569" s="126">
        <f>H570</f>
        <v>0</v>
      </c>
      <c r="I569" s="178" t="str">
        <f t="shared" si="74"/>
        <v>606070215 3 01 20660610</v>
      </c>
      <c r="L569" s="20">
        <v>1674.8</v>
      </c>
      <c r="M569" s="20">
        <v>1674.8</v>
      </c>
      <c r="N569" s="20">
        <v>1674.8</v>
      </c>
      <c r="O569" s="20">
        <f>H569-L569</f>
        <v>-1674.8</v>
      </c>
      <c r="P569" s="20" t="e">
        <f>#REF!-M569</f>
        <v>#REF!</v>
      </c>
      <c r="Q569" s="20" t="e">
        <f>#REF!-N569</f>
        <v>#REF!</v>
      </c>
      <c r="R569" s="17" t="str">
        <f t="shared" si="70"/>
        <v>15 3 01 20660610</v>
      </c>
    </row>
    <row r="570" spans="1:18" s="24" customFormat="1" ht="15.75">
      <c r="A570" s="21"/>
      <c r="B570" s="127" t="s">
        <v>407</v>
      </c>
      <c r="C570" s="109" t="s">
        <v>394</v>
      </c>
      <c r="D570" s="108" t="s">
        <v>229</v>
      </c>
      <c r="E570" s="108" t="s">
        <v>62</v>
      </c>
      <c r="F570" s="108" t="s">
        <v>377</v>
      </c>
      <c r="G570" s="108" t="s">
        <v>408</v>
      </c>
      <c r="H570" s="126"/>
      <c r="I570" s="178" t="str">
        <f t="shared" si="74"/>
        <v>606070215 3 01 20660612</v>
      </c>
      <c r="L570" s="22"/>
      <c r="M570" s="22"/>
      <c r="N570" s="22"/>
      <c r="O570" s="22"/>
      <c r="P570" s="22"/>
      <c r="Q570" s="22"/>
    </row>
    <row r="571" spans="1:18" s="17" customFormat="1" ht="94.5">
      <c r="A571" s="14"/>
      <c r="B571" s="125" t="s">
        <v>420</v>
      </c>
      <c r="C571" s="109" t="s">
        <v>394</v>
      </c>
      <c r="D571" s="108" t="s">
        <v>229</v>
      </c>
      <c r="E571" s="108" t="s">
        <v>62</v>
      </c>
      <c r="F571" s="108" t="s">
        <v>421</v>
      </c>
      <c r="G571" s="108" t="s">
        <v>9</v>
      </c>
      <c r="H571" s="126">
        <f t="shared" ref="H571:H573" si="77">H572</f>
        <v>0</v>
      </c>
      <c r="I571" s="178" t="str">
        <f t="shared" si="74"/>
        <v>606070216 0 00 00000000</v>
      </c>
      <c r="L571" s="20">
        <v>2776.06</v>
      </c>
      <c r="M571" s="20">
        <v>2776.06</v>
      </c>
      <c r="N571" s="20">
        <v>2776.06</v>
      </c>
      <c r="O571" s="20">
        <f>H571-L571</f>
        <v>-2776.06</v>
      </c>
      <c r="P571" s="20" t="e">
        <f>#REF!-M571</f>
        <v>#REF!</v>
      </c>
      <c r="Q571" s="20" t="e">
        <f>#REF!-N571</f>
        <v>#REF!</v>
      </c>
      <c r="R571" s="17" t="str">
        <f t="shared" si="70"/>
        <v>16 0 00 00000000</v>
      </c>
    </row>
    <row r="572" spans="1:18" s="17" customFormat="1" ht="31.5">
      <c r="A572" s="14"/>
      <c r="B572" s="125" t="s">
        <v>422</v>
      </c>
      <c r="C572" s="109" t="s">
        <v>394</v>
      </c>
      <c r="D572" s="108" t="s">
        <v>229</v>
      </c>
      <c r="E572" s="108" t="s">
        <v>62</v>
      </c>
      <c r="F572" s="108" t="s">
        <v>423</v>
      </c>
      <c r="G572" s="108" t="s">
        <v>9</v>
      </c>
      <c r="H572" s="126">
        <f t="shared" si="77"/>
        <v>0</v>
      </c>
      <c r="I572" s="178" t="str">
        <f t="shared" si="74"/>
        <v>606070216 2 00 00000000</v>
      </c>
      <c r="L572" s="20">
        <v>2776.06</v>
      </c>
      <c r="M572" s="20">
        <v>2776.06</v>
      </c>
      <c r="N572" s="20">
        <v>2776.06</v>
      </c>
      <c r="O572" s="20">
        <f>H572-L572</f>
        <v>-2776.06</v>
      </c>
      <c r="P572" s="20" t="e">
        <f>#REF!-M572</f>
        <v>#REF!</v>
      </c>
      <c r="Q572" s="20" t="e">
        <f>#REF!-N572</f>
        <v>#REF!</v>
      </c>
      <c r="R572" s="17" t="str">
        <f t="shared" si="70"/>
        <v>16 2 00 00000000</v>
      </c>
    </row>
    <row r="573" spans="1:18" s="17" customFormat="1" ht="47.25">
      <c r="A573" s="14"/>
      <c r="B573" s="125" t="s">
        <v>424</v>
      </c>
      <c r="C573" s="109" t="s">
        <v>394</v>
      </c>
      <c r="D573" s="108" t="s">
        <v>229</v>
      </c>
      <c r="E573" s="108" t="s">
        <v>62</v>
      </c>
      <c r="F573" s="108" t="s">
        <v>425</v>
      </c>
      <c r="G573" s="108" t="s">
        <v>9</v>
      </c>
      <c r="H573" s="126">
        <f t="shared" si="77"/>
        <v>0</v>
      </c>
      <c r="I573" s="178" t="str">
        <f t="shared" si="74"/>
        <v>606070216 2 02 00000000</v>
      </c>
      <c r="L573" s="20">
        <v>2776.06</v>
      </c>
      <c r="M573" s="20">
        <v>2776.06</v>
      </c>
      <c r="N573" s="20">
        <v>2776.06</v>
      </c>
      <c r="O573" s="20">
        <f>H573-L573</f>
        <v>-2776.06</v>
      </c>
      <c r="P573" s="20" t="e">
        <f>#REF!-M573</f>
        <v>#REF!</v>
      </c>
      <c r="Q573" s="20" t="e">
        <f>#REF!-N573</f>
        <v>#REF!</v>
      </c>
      <c r="R573" s="17" t="str">
        <f t="shared" si="70"/>
        <v>16 2 02 00000000</v>
      </c>
    </row>
    <row r="574" spans="1:18" s="17" customFormat="1" ht="47.25">
      <c r="A574" s="14"/>
      <c r="B574" s="125" t="s">
        <v>426</v>
      </c>
      <c r="C574" s="109" t="s">
        <v>394</v>
      </c>
      <c r="D574" s="108" t="s">
        <v>229</v>
      </c>
      <c r="E574" s="108" t="s">
        <v>62</v>
      </c>
      <c r="F574" s="108" t="s">
        <v>427</v>
      </c>
      <c r="G574" s="108" t="s">
        <v>9</v>
      </c>
      <c r="H574" s="126">
        <f>H575+H577</f>
        <v>0</v>
      </c>
      <c r="I574" s="178" t="str">
        <f t="shared" si="74"/>
        <v>606070216 2 02 20550000</v>
      </c>
      <c r="L574" s="20">
        <v>2776.06</v>
      </c>
      <c r="M574" s="20">
        <v>2776.06</v>
      </c>
      <c r="N574" s="20">
        <v>2776.06</v>
      </c>
      <c r="O574" s="20">
        <f>H574-L574</f>
        <v>-2776.06</v>
      </c>
      <c r="P574" s="20" t="e">
        <f>#REF!-M574</f>
        <v>#REF!</v>
      </c>
      <c r="Q574" s="20" t="e">
        <f>#REF!-N574</f>
        <v>#REF!</v>
      </c>
      <c r="R574" s="17" t="str">
        <f t="shared" si="70"/>
        <v>16 2 02 20550000</v>
      </c>
    </row>
    <row r="575" spans="1:18" s="17" customFormat="1" ht="15.75">
      <c r="A575" s="14"/>
      <c r="B575" s="132" t="s">
        <v>403</v>
      </c>
      <c r="C575" s="109" t="s">
        <v>394</v>
      </c>
      <c r="D575" s="108" t="s">
        <v>229</v>
      </c>
      <c r="E575" s="108" t="s">
        <v>62</v>
      </c>
      <c r="F575" s="108" t="s">
        <v>427</v>
      </c>
      <c r="G575" s="108" t="s">
        <v>404</v>
      </c>
      <c r="H575" s="126">
        <f>H576</f>
        <v>0</v>
      </c>
      <c r="I575" s="178" t="str">
        <f t="shared" si="74"/>
        <v>606070216 2 02 20550610</v>
      </c>
      <c r="L575" s="20">
        <v>2627.36</v>
      </c>
      <c r="M575" s="20">
        <v>2627.36</v>
      </c>
      <c r="N575" s="20">
        <v>2627.36</v>
      </c>
      <c r="O575" s="20">
        <f>H575-L575</f>
        <v>-2627.36</v>
      </c>
      <c r="P575" s="20" t="e">
        <f>#REF!-M575</f>
        <v>#REF!</v>
      </c>
      <c r="Q575" s="20" t="e">
        <f>#REF!-N575</f>
        <v>#REF!</v>
      </c>
      <c r="R575" s="17" t="str">
        <f t="shared" si="70"/>
        <v>16 2 02 20550610</v>
      </c>
    </row>
    <row r="576" spans="1:18" s="24" customFormat="1" ht="15.75">
      <c r="A576" s="21"/>
      <c r="B576" s="127" t="s">
        <v>407</v>
      </c>
      <c r="C576" s="109" t="s">
        <v>394</v>
      </c>
      <c r="D576" s="108" t="s">
        <v>229</v>
      </c>
      <c r="E576" s="108" t="s">
        <v>62</v>
      </c>
      <c r="F576" s="108" t="s">
        <v>427</v>
      </c>
      <c r="G576" s="108" t="s">
        <v>408</v>
      </c>
      <c r="H576" s="126"/>
      <c r="I576" s="178" t="str">
        <f t="shared" si="74"/>
        <v>606070216 2 02 20550612</v>
      </c>
      <c r="L576" s="22"/>
      <c r="M576" s="22"/>
      <c r="N576" s="22"/>
      <c r="O576" s="22"/>
      <c r="P576" s="22"/>
      <c r="Q576" s="22"/>
    </row>
    <row r="577" spans="1:18" s="17" customFormat="1" ht="15.75">
      <c r="A577" s="14"/>
      <c r="B577" s="132" t="s">
        <v>409</v>
      </c>
      <c r="C577" s="109" t="s">
        <v>394</v>
      </c>
      <c r="D577" s="108" t="s">
        <v>229</v>
      </c>
      <c r="E577" s="108" t="s">
        <v>62</v>
      </c>
      <c r="F577" s="108" t="s">
        <v>427</v>
      </c>
      <c r="G577" s="108" t="s">
        <v>410</v>
      </c>
      <c r="H577" s="126">
        <f>H578</f>
        <v>0</v>
      </c>
      <c r="I577" s="178" t="str">
        <f t="shared" si="74"/>
        <v>606070216 2 02 20550620</v>
      </c>
      <c r="L577" s="20">
        <v>148.69999999999999</v>
      </c>
      <c r="M577" s="20">
        <v>148.69999999999999</v>
      </c>
      <c r="N577" s="20">
        <v>148.69999999999999</v>
      </c>
      <c r="O577" s="20">
        <f>H577-L577</f>
        <v>-148.69999999999999</v>
      </c>
      <c r="P577" s="20" t="e">
        <f>#REF!-M577</f>
        <v>#REF!</v>
      </c>
      <c r="Q577" s="20" t="e">
        <f>#REF!-N577</f>
        <v>#REF!</v>
      </c>
      <c r="R577" s="17" t="str">
        <f t="shared" si="70"/>
        <v>16 2 02 20550620</v>
      </c>
    </row>
    <row r="578" spans="1:18" s="24" customFormat="1" ht="15.75">
      <c r="A578" s="21"/>
      <c r="B578" s="127" t="s">
        <v>428</v>
      </c>
      <c r="C578" s="109" t="s">
        <v>394</v>
      </c>
      <c r="D578" s="108" t="s">
        <v>229</v>
      </c>
      <c r="E578" s="108" t="s">
        <v>62</v>
      </c>
      <c r="F578" s="108" t="s">
        <v>427</v>
      </c>
      <c r="G578" s="108" t="s">
        <v>429</v>
      </c>
      <c r="H578" s="126"/>
      <c r="I578" s="178" t="str">
        <f t="shared" si="74"/>
        <v>606070216 2 02 20550622</v>
      </c>
      <c r="L578" s="22"/>
      <c r="M578" s="22"/>
      <c r="N578" s="22"/>
      <c r="O578" s="22"/>
      <c r="P578" s="22"/>
      <c r="Q578" s="22"/>
    </row>
    <row r="579" spans="1:18" s="17" customFormat="1" ht="47.25">
      <c r="A579" s="14"/>
      <c r="B579" s="125" t="s">
        <v>430</v>
      </c>
      <c r="C579" s="109" t="s">
        <v>394</v>
      </c>
      <c r="D579" s="108" t="s">
        <v>229</v>
      </c>
      <c r="E579" s="108" t="s">
        <v>62</v>
      </c>
      <c r="F579" s="108" t="s">
        <v>431</v>
      </c>
      <c r="G579" s="108" t="s">
        <v>9</v>
      </c>
      <c r="H579" s="126">
        <f t="shared" ref="H579:H580" si="78">H580</f>
        <v>0</v>
      </c>
      <c r="I579" s="178" t="str">
        <f t="shared" si="74"/>
        <v>606070217 0 00 00000000</v>
      </c>
      <c r="L579" s="20">
        <v>2538.87</v>
      </c>
      <c r="M579" s="20">
        <v>2538.87</v>
      </c>
      <c r="N579" s="20">
        <v>2538.87</v>
      </c>
      <c r="O579" s="20">
        <f>H579-L579</f>
        <v>-2538.87</v>
      </c>
      <c r="P579" s="20" t="e">
        <f>#REF!-M579</f>
        <v>#REF!</v>
      </c>
      <c r="Q579" s="20" t="e">
        <f>#REF!-N579</f>
        <v>#REF!</v>
      </c>
      <c r="R579" s="17" t="str">
        <f t="shared" si="70"/>
        <v>17 0 00 00000000</v>
      </c>
    </row>
    <row r="580" spans="1:18" s="17" customFormat="1" ht="47.25">
      <c r="A580" s="14"/>
      <c r="B580" s="129" t="s">
        <v>432</v>
      </c>
      <c r="C580" s="109" t="s">
        <v>394</v>
      </c>
      <c r="D580" s="108" t="s">
        <v>229</v>
      </c>
      <c r="E580" s="108" t="s">
        <v>62</v>
      </c>
      <c r="F580" s="108" t="s">
        <v>433</v>
      </c>
      <c r="G580" s="108" t="s">
        <v>9</v>
      </c>
      <c r="H580" s="126">
        <f t="shared" si="78"/>
        <v>0</v>
      </c>
      <c r="I580" s="178" t="str">
        <f t="shared" si="74"/>
        <v>606070217 Б 00 00000000</v>
      </c>
      <c r="L580" s="20">
        <v>2538.87</v>
      </c>
      <c r="M580" s="20">
        <v>2538.87</v>
      </c>
      <c r="N580" s="20">
        <v>2538.87</v>
      </c>
      <c r="O580" s="20">
        <f>H580-L580</f>
        <v>-2538.87</v>
      </c>
      <c r="P580" s="20" t="e">
        <f>#REF!-M580</f>
        <v>#REF!</v>
      </c>
      <c r="Q580" s="20" t="e">
        <f>#REF!-N580</f>
        <v>#REF!</v>
      </c>
      <c r="R580" s="17" t="str">
        <f t="shared" si="70"/>
        <v>17 Б 00 00000000</v>
      </c>
    </row>
    <row r="581" spans="1:18" s="17" customFormat="1" ht="31.5">
      <c r="A581" s="14"/>
      <c r="B581" s="125" t="s">
        <v>434</v>
      </c>
      <c r="C581" s="109" t="s">
        <v>394</v>
      </c>
      <c r="D581" s="108" t="s">
        <v>229</v>
      </c>
      <c r="E581" s="108" t="s">
        <v>62</v>
      </c>
      <c r="F581" s="108" t="s">
        <v>435</v>
      </c>
      <c r="G581" s="108" t="s">
        <v>9</v>
      </c>
      <c r="H581" s="126">
        <f>H583</f>
        <v>0</v>
      </c>
      <c r="I581" s="178" t="str">
        <f t="shared" si="74"/>
        <v>606070217 Б 01 00000000</v>
      </c>
      <c r="L581" s="20">
        <v>2538.87</v>
      </c>
      <c r="M581" s="20">
        <v>2538.87</v>
      </c>
      <c r="N581" s="20">
        <v>2538.87</v>
      </c>
      <c r="O581" s="20">
        <f>H581-L581</f>
        <v>-2538.87</v>
      </c>
      <c r="P581" s="20" t="e">
        <f>#REF!-M581</f>
        <v>#REF!</v>
      </c>
      <c r="Q581" s="20" t="e">
        <f>#REF!-N581</f>
        <v>#REF!</v>
      </c>
      <c r="R581" s="17" t="str">
        <f t="shared" ref="R581:R666" si="79">CONCATENATE(F581,G581)</f>
        <v>17 Б 01 00000000</v>
      </c>
    </row>
    <row r="582" spans="1:18" s="17" customFormat="1" ht="47.25">
      <c r="A582" s="14"/>
      <c r="B582" s="132" t="s">
        <v>436</v>
      </c>
      <c r="C582" s="109" t="s">
        <v>394</v>
      </c>
      <c r="D582" s="108" t="s">
        <v>229</v>
      </c>
      <c r="E582" s="108" t="s">
        <v>62</v>
      </c>
      <c r="F582" s="108" t="s">
        <v>437</v>
      </c>
      <c r="G582" s="108" t="s">
        <v>9</v>
      </c>
      <c r="H582" s="126">
        <f>H583</f>
        <v>0</v>
      </c>
      <c r="I582" s="178" t="str">
        <f t="shared" si="74"/>
        <v>606070217 Б 01 20490000</v>
      </c>
      <c r="L582" s="20">
        <v>2538.87</v>
      </c>
      <c r="M582" s="20">
        <v>2538.87</v>
      </c>
      <c r="N582" s="20">
        <v>2538.87</v>
      </c>
      <c r="O582" s="20">
        <f>H582-L582</f>
        <v>-2538.87</v>
      </c>
      <c r="P582" s="20" t="e">
        <f>#REF!-M582</f>
        <v>#REF!</v>
      </c>
      <c r="Q582" s="20" t="e">
        <f>#REF!-N582</f>
        <v>#REF!</v>
      </c>
      <c r="R582" s="17" t="str">
        <f t="shared" si="79"/>
        <v>17 Б 01 20490000</v>
      </c>
    </row>
    <row r="583" spans="1:18" s="17" customFormat="1" ht="15.75">
      <c r="A583" s="14"/>
      <c r="B583" s="132" t="s">
        <v>403</v>
      </c>
      <c r="C583" s="109" t="s">
        <v>394</v>
      </c>
      <c r="D583" s="108" t="s">
        <v>229</v>
      </c>
      <c r="E583" s="108" t="s">
        <v>62</v>
      </c>
      <c r="F583" s="108" t="s">
        <v>437</v>
      </c>
      <c r="G583" s="108" t="s">
        <v>404</v>
      </c>
      <c r="H583" s="126">
        <f>H584</f>
        <v>0</v>
      </c>
      <c r="I583" s="178" t="str">
        <f t="shared" si="74"/>
        <v>606070217 Б 01 20490610</v>
      </c>
      <c r="L583" s="20">
        <v>2538.87</v>
      </c>
      <c r="M583" s="20">
        <v>2538.87</v>
      </c>
      <c r="N583" s="20">
        <v>2538.87</v>
      </c>
      <c r="O583" s="20">
        <f>H583-L583</f>
        <v>-2538.87</v>
      </c>
      <c r="P583" s="20" t="e">
        <f>#REF!-M583</f>
        <v>#REF!</v>
      </c>
      <c r="Q583" s="20" t="e">
        <f>#REF!-N583</f>
        <v>#REF!</v>
      </c>
      <c r="R583" s="17" t="str">
        <f t="shared" si="79"/>
        <v>17 Б 01 20490610</v>
      </c>
    </row>
    <row r="584" spans="1:18" s="24" customFormat="1" ht="15.75">
      <c r="A584" s="21"/>
      <c r="B584" s="127" t="s">
        <v>407</v>
      </c>
      <c r="C584" s="109" t="s">
        <v>394</v>
      </c>
      <c r="D584" s="108" t="s">
        <v>229</v>
      </c>
      <c r="E584" s="108" t="s">
        <v>62</v>
      </c>
      <c r="F584" s="108" t="s">
        <v>437</v>
      </c>
      <c r="G584" s="108" t="s">
        <v>408</v>
      </c>
      <c r="H584" s="126"/>
      <c r="I584" s="178" t="str">
        <f t="shared" si="74"/>
        <v>606070217 Б 01 20490612</v>
      </c>
      <c r="L584" s="22"/>
      <c r="M584" s="22"/>
      <c r="N584" s="22"/>
      <c r="O584" s="22"/>
      <c r="P584" s="22"/>
      <c r="Q584" s="22"/>
    </row>
    <row r="585" spans="1:18" s="17" customFormat="1" ht="31.5">
      <c r="A585" s="14"/>
      <c r="B585" s="132" t="s">
        <v>174</v>
      </c>
      <c r="C585" s="109" t="s">
        <v>394</v>
      </c>
      <c r="D585" s="108" t="s">
        <v>229</v>
      </c>
      <c r="E585" s="108" t="s">
        <v>62</v>
      </c>
      <c r="F585" s="108" t="s">
        <v>175</v>
      </c>
      <c r="G585" s="108" t="s">
        <v>9</v>
      </c>
      <c r="H585" s="126">
        <f t="shared" ref="H585:H588" si="80">H586</f>
        <v>0</v>
      </c>
      <c r="I585" s="178" t="str">
        <f t="shared" si="74"/>
        <v>606070218 0 00 00000000</v>
      </c>
      <c r="L585" s="20">
        <v>91.8</v>
      </c>
      <c r="M585" s="20">
        <v>91.8</v>
      </c>
      <c r="N585" s="20">
        <v>91.8</v>
      </c>
      <c r="O585" s="20">
        <f>H585-L585</f>
        <v>-91.8</v>
      </c>
      <c r="P585" s="20" t="e">
        <f>#REF!-M585</f>
        <v>#REF!</v>
      </c>
      <c r="Q585" s="20" t="e">
        <f>#REF!-N585</f>
        <v>#REF!</v>
      </c>
      <c r="R585" s="17" t="str">
        <f t="shared" si="79"/>
        <v>18 0 00 00000000</v>
      </c>
    </row>
    <row r="586" spans="1:18" s="17" customFormat="1" ht="31.5">
      <c r="A586" s="14"/>
      <c r="B586" s="132" t="s">
        <v>176</v>
      </c>
      <c r="C586" s="109" t="s">
        <v>394</v>
      </c>
      <c r="D586" s="108" t="s">
        <v>229</v>
      </c>
      <c r="E586" s="108" t="s">
        <v>62</v>
      </c>
      <c r="F586" s="108" t="s">
        <v>177</v>
      </c>
      <c r="G586" s="108" t="s">
        <v>9</v>
      </c>
      <c r="H586" s="126">
        <f t="shared" si="80"/>
        <v>0</v>
      </c>
      <c r="I586" s="178" t="str">
        <f t="shared" si="74"/>
        <v>606070218 Б 00 00000000</v>
      </c>
      <c r="L586" s="20">
        <v>91.8</v>
      </c>
      <c r="M586" s="20">
        <v>91.8</v>
      </c>
      <c r="N586" s="20">
        <v>91.8</v>
      </c>
      <c r="O586" s="20">
        <f>H586-L586</f>
        <v>-91.8</v>
      </c>
      <c r="P586" s="20" t="e">
        <f>#REF!-M586</f>
        <v>#REF!</v>
      </c>
      <c r="Q586" s="20" t="e">
        <f>#REF!-N586</f>
        <v>#REF!</v>
      </c>
      <c r="R586" s="17" t="str">
        <f t="shared" si="79"/>
        <v>18 Б 00 00000000</v>
      </c>
    </row>
    <row r="587" spans="1:18" s="17" customFormat="1" ht="78.75">
      <c r="A587" s="14"/>
      <c r="B587" s="125" t="s">
        <v>454</v>
      </c>
      <c r="C587" s="109" t="s">
        <v>394</v>
      </c>
      <c r="D587" s="108" t="s">
        <v>229</v>
      </c>
      <c r="E587" s="108" t="s">
        <v>62</v>
      </c>
      <c r="F587" s="108" t="s">
        <v>455</v>
      </c>
      <c r="G587" s="108" t="s">
        <v>9</v>
      </c>
      <c r="H587" s="126">
        <f t="shared" si="80"/>
        <v>0</v>
      </c>
      <c r="I587" s="178" t="str">
        <f t="shared" si="74"/>
        <v>606070218 Б 02 00000000</v>
      </c>
      <c r="L587" s="20">
        <v>91.8</v>
      </c>
      <c r="M587" s="20">
        <v>91.8</v>
      </c>
      <c r="N587" s="20">
        <v>91.8</v>
      </c>
      <c r="O587" s="20">
        <f>H587-L587</f>
        <v>-91.8</v>
      </c>
      <c r="P587" s="20" t="e">
        <f>#REF!-M587</f>
        <v>#REF!</v>
      </c>
      <c r="Q587" s="20" t="e">
        <f>#REF!-N587</f>
        <v>#REF!</v>
      </c>
      <c r="R587" s="17" t="str">
        <f t="shared" si="79"/>
        <v>18 Б 02 00000000</v>
      </c>
    </row>
    <row r="588" spans="1:18" s="17" customFormat="1" ht="47.25">
      <c r="A588" s="14"/>
      <c r="B588" s="125" t="s">
        <v>456</v>
      </c>
      <c r="C588" s="109" t="s">
        <v>394</v>
      </c>
      <c r="D588" s="108" t="s">
        <v>229</v>
      </c>
      <c r="E588" s="108" t="s">
        <v>62</v>
      </c>
      <c r="F588" s="108" t="s">
        <v>457</v>
      </c>
      <c r="G588" s="108" t="s">
        <v>9</v>
      </c>
      <c r="H588" s="126">
        <f t="shared" si="80"/>
        <v>0</v>
      </c>
      <c r="I588" s="178" t="str">
        <f t="shared" si="74"/>
        <v>606070218 Б 02 20360000</v>
      </c>
      <c r="L588" s="20">
        <v>91.8</v>
      </c>
      <c r="M588" s="20">
        <v>91.8</v>
      </c>
      <c r="N588" s="20">
        <v>91.8</v>
      </c>
      <c r="O588" s="20">
        <f>H588-L588</f>
        <v>-91.8</v>
      </c>
      <c r="P588" s="20" t="e">
        <f>#REF!-M588</f>
        <v>#REF!</v>
      </c>
      <c r="Q588" s="20" t="e">
        <f>#REF!-N588</f>
        <v>#REF!</v>
      </c>
      <c r="R588" s="17" t="str">
        <f t="shared" si="79"/>
        <v>18 Б 02 20360000</v>
      </c>
    </row>
    <row r="589" spans="1:18" s="17" customFormat="1" ht="15.75">
      <c r="A589" s="14"/>
      <c r="B589" s="132" t="s">
        <v>403</v>
      </c>
      <c r="C589" s="109" t="s">
        <v>394</v>
      </c>
      <c r="D589" s="108" t="s">
        <v>229</v>
      </c>
      <c r="E589" s="108" t="s">
        <v>62</v>
      </c>
      <c r="F589" s="108" t="s">
        <v>457</v>
      </c>
      <c r="G589" s="108" t="s">
        <v>404</v>
      </c>
      <c r="H589" s="126">
        <f>H590</f>
        <v>0</v>
      </c>
      <c r="I589" s="178" t="str">
        <f t="shared" si="74"/>
        <v>606070218 Б 02 20360610</v>
      </c>
      <c r="L589" s="20">
        <v>91.8</v>
      </c>
      <c r="M589" s="20">
        <v>91.8</v>
      </c>
      <c r="N589" s="20">
        <v>91.8</v>
      </c>
      <c r="O589" s="20">
        <f>H589-L589</f>
        <v>-91.8</v>
      </c>
      <c r="P589" s="20" t="e">
        <f>#REF!-M589</f>
        <v>#REF!</v>
      </c>
      <c r="Q589" s="20" t="e">
        <f>#REF!-N589</f>
        <v>#REF!</v>
      </c>
      <c r="R589" s="17" t="str">
        <f t="shared" si="79"/>
        <v>18 Б 02 20360610</v>
      </c>
    </row>
    <row r="590" spans="1:18" s="24" customFormat="1" ht="15.75">
      <c r="A590" s="21"/>
      <c r="B590" s="127" t="s">
        <v>407</v>
      </c>
      <c r="C590" s="109" t="s">
        <v>394</v>
      </c>
      <c r="D590" s="108" t="s">
        <v>229</v>
      </c>
      <c r="E590" s="108" t="s">
        <v>62</v>
      </c>
      <c r="F590" s="108" t="s">
        <v>457</v>
      </c>
      <c r="G590" s="108" t="s">
        <v>408</v>
      </c>
      <c r="H590" s="126"/>
      <c r="I590" s="178" t="str">
        <f t="shared" si="74"/>
        <v>606070218 Б 02 20360612</v>
      </c>
      <c r="L590" s="22"/>
      <c r="M590" s="22"/>
      <c r="N590" s="22"/>
      <c r="O590" s="22"/>
      <c r="P590" s="22"/>
      <c r="Q590" s="22"/>
    </row>
    <row r="591" spans="1:18" s="17" customFormat="1" ht="15.75">
      <c r="A591" s="14"/>
      <c r="B591" s="121" t="s">
        <v>458</v>
      </c>
      <c r="C591" s="122" t="s">
        <v>394</v>
      </c>
      <c r="D591" s="123" t="s">
        <v>229</v>
      </c>
      <c r="E591" s="123" t="s">
        <v>13</v>
      </c>
      <c r="F591" s="123" t="s">
        <v>8</v>
      </c>
      <c r="G591" s="123" t="s">
        <v>9</v>
      </c>
      <c r="H591" s="124">
        <f>H592+H620+H604</f>
        <v>0</v>
      </c>
      <c r="I591" s="178" t="str">
        <f t="shared" si="74"/>
        <v>606070300 0 00 00000000</v>
      </c>
      <c r="L591" s="19">
        <v>198508.06</v>
      </c>
      <c r="M591" s="19">
        <v>196366.84</v>
      </c>
      <c r="N591" s="19">
        <v>196366.84</v>
      </c>
      <c r="O591" s="19">
        <f t="shared" ref="O591:O596" si="81">H591-L591</f>
        <v>-198508.06</v>
      </c>
      <c r="P591" s="19" t="e">
        <f>#REF!-M591</f>
        <v>#REF!</v>
      </c>
      <c r="Q591" s="19" t="e">
        <f>#REF!-N591</f>
        <v>#REF!</v>
      </c>
      <c r="R591" s="17" t="str">
        <f t="shared" si="79"/>
        <v>00 0 00 00000000</v>
      </c>
    </row>
    <row r="592" spans="1:18" s="17" customFormat="1" ht="31.5">
      <c r="A592" s="14"/>
      <c r="B592" s="132" t="s">
        <v>396</v>
      </c>
      <c r="C592" s="109" t="s">
        <v>394</v>
      </c>
      <c r="D592" s="108" t="s">
        <v>229</v>
      </c>
      <c r="E592" s="108" t="s">
        <v>13</v>
      </c>
      <c r="F592" s="108" t="s">
        <v>397</v>
      </c>
      <c r="G592" s="108" t="s">
        <v>9</v>
      </c>
      <c r="H592" s="126">
        <f>H593</f>
        <v>0</v>
      </c>
      <c r="I592" s="178" t="str">
        <f t="shared" si="74"/>
        <v>606070301 0 00 00000000</v>
      </c>
      <c r="L592" s="20">
        <v>197128.16</v>
      </c>
      <c r="M592" s="20">
        <v>195886.94</v>
      </c>
      <c r="N592" s="20">
        <v>195886.94</v>
      </c>
      <c r="O592" s="20">
        <f t="shared" si="81"/>
        <v>-197128.16</v>
      </c>
      <c r="P592" s="20" t="e">
        <f>#REF!-M592</f>
        <v>#REF!</v>
      </c>
      <c r="Q592" s="20" t="e">
        <f>#REF!-N592</f>
        <v>#REF!</v>
      </c>
      <c r="R592" s="17" t="str">
        <f t="shared" si="79"/>
        <v>01 0 00 00000000</v>
      </c>
    </row>
    <row r="593" spans="1:18" s="17" customFormat="1" ht="31.5">
      <c r="A593" s="14"/>
      <c r="B593" s="132" t="s">
        <v>398</v>
      </c>
      <c r="C593" s="109" t="s">
        <v>394</v>
      </c>
      <c r="D593" s="108" t="s">
        <v>229</v>
      </c>
      <c r="E593" s="108" t="s">
        <v>13</v>
      </c>
      <c r="F593" s="108" t="s">
        <v>399</v>
      </c>
      <c r="G593" s="108" t="s">
        <v>9</v>
      </c>
      <c r="H593" s="126">
        <f>H594+H600</f>
        <v>0</v>
      </c>
      <c r="I593" s="178" t="str">
        <f t="shared" si="74"/>
        <v>606070301 1 00 00000000</v>
      </c>
      <c r="L593" s="20">
        <v>197128.16</v>
      </c>
      <c r="M593" s="20">
        <v>195886.94</v>
      </c>
      <c r="N593" s="20">
        <v>195886.94</v>
      </c>
      <c r="O593" s="20">
        <f t="shared" si="81"/>
        <v>-197128.16</v>
      </c>
      <c r="P593" s="20" t="e">
        <f>#REF!-M593</f>
        <v>#REF!</v>
      </c>
      <c r="Q593" s="20" t="e">
        <f>#REF!-N593</f>
        <v>#REF!</v>
      </c>
      <c r="R593" s="17" t="str">
        <f t="shared" si="79"/>
        <v>01 1 00 00000000</v>
      </c>
    </row>
    <row r="594" spans="1:18" s="17" customFormat="1" ht="47.25">
      <c r="A594" s="14"/>
      <c r="B594" s="129" t="s">
        <v>459</v>
      </c>
      <c r="C594" s="130" t="s">
        <v>394</v>
      </c>
      <c r="D594" s="131" t="s">
        <v>229</v>
      </c>
      <c r="E594" s="131" t="s">
        <v>13</v>
      </c>
      <c r="F594" s="131" t="s">
        <v>460</v>
      </c>
      <c r="G594" s="131" t="s">
        <v>9</v>
      </c>
      <c r="H594" s="105">
        <f>H595</f>
        <v>0</v>
      </c>
      <c r="I594" s="178" t="str">
        <f t="shared" si="74"/>
        <v>606070301 1 03 00000000</v>
      </c>
      <c r="L594" s="26">
        <v>196878.16</v>
      </c>
      <c r="M594" s="26">
        <v>195886.94</v>
      </c>
      <c r="N594" s="26">
        <v>195886.94</v>
      </c>
      <c r="O594" s="26">
        <f t="shared" si="81"/>
        <v>-196878.16</v>
      </c>
      <c r="P594" s="26" t="e">
        <f>#REF!-M594</f>
        <v>#REF!</v>
      </c>
      <c r="Q594" s="26" t="e">
        <f>#REF!-N594</f>
        <v>#REF!</v>
      </c>
      <c r="R594" s="17" t="str">
        <f t="shared" si="79"/>
        <v>01 1 03 00000000</v>
      </c>
    </row>
    <row r="595" spans="1:18" s="17" customFormat="1" ht="31.5">
      <c r="A595" s="14"/>
      <c r="B595" s="140" t="s">
        <v>136</v>
      </c>
      <c r="C595" s="130" t="s">
        <v>394</v>
      </c>
      <c r="D595" s="131" t="s">
        <v>229</v>
      </c>
      <c r="E595" s="131" t="s">
        <v>13</v>
      </c>
      <c r="F595" s="131" t="s">
        <v>461</v>
      </c>
      <c r="G595" s="131" t="s">
        <v>9</v>
      </c>
      <c r="H595" s="105">
        <f>H596+H598</f>
        <v>0</v>
      </c>
      <c r="I595" s="178" t="str">
        <f t="shared" si="74"/>
        <v>606070301 1 03 11010000</v>
      </c>
      <c r="L595" s="26">
        <v>196878.16</v>
      </c>
      <c r="M595" s="26">
        <v>195886.94</v>
      </c>
      <c r="N595" s="26">
        <v>195886.94</v>
      </c>
      <c r="O595" s="26">
        <f t="shared" si="81"/>
        <v>-196878.16</v>
      </c>
      <c r="P595" s="26" t="e">
        <f>#REF!-M595</f>
        <v>#REF!</v>
      </c>
      <c r="Q595" s="26" t="e">
        <f>#REF!-N595</f>
        <v>#REF!</v>
      </c>
      <c r="R595" s="17" t="str">
        <f t="shared" si="79"/>
        <v>01 1 03 11010000</v>
      </c>
    </row>
    <row r="596" spans="1:18" s="17" customFormat="1" ht="15.75">
      <c r="A596" s="14"/>
      <c r="B596" s="140" t="s">
        <v>403</v>
      </c>
      <c r="C596" s="130" t="s">
        <v>394</v>
      </c>
      <c r="D596" s="131" t="s">
        <v>229</v>
      </c>
      <c r="E596" s="131" t="s">
        <v>13</v>
      </c>
      <c r="F596" s="131" t="s">
        <v>461</v>
      </c>
      <c r="G596" s="131" t="s">
        <v>404</v>
      </c>
      <c r="H596" s="126">
        <f>H597</f>
        <v>0</v>
      </c>
      <c r="I596" s="178" t="str">
        <f t="shared" si="74"/>
        <v>606070301 1 03 11010610</v>
      </c>
      <c r="L596" s="20">
        <v>177710.54</v>
      </c>
      <c r="M596" s="20">
        <v>176969.32</v>
      </c>
      <c r="N596" s="20">
        <v>176969.32</v>
      </c>
      <c r="O596" s="20">
        <f t="shared" si="81"/>
        <v>-177710.54</v>
      </c>
      <c r="P596" s="20" t="e">
        <f>#REF!-M596</f>
        <v>#REF!</v>
      </c>
      <c r="Q596" s="20" t="e">
        <f>#REF!-N596</f>
        <v>#REF!</v>
      </c>
      <c r="R596" s="17" t="str">
        <f t="shared" si="79"/>
        <v>01 1 03 11010610</v>
      </c>
    </row>
    <row r="597" spans="1:18" s="24" customFormat="1" ht="63">
      <c r="A597" s="21"/>
      <c r="B597" s="127" t="s">
        <v>405</v>
      </c>
      <c r="C597" s="130" t="s">
        <v>394</v>
      </c>
      <c r="D597" s="131" t="s">
        <v>229</v>
      </c>
      <c r="E597" s="131" t="s">
        <v>13</v>
      </c>
      <c r="F597" s="131" t="s">
        <v>461</v>
      </c>
      <c r="G597" s="108" t="s">
        <v>406</v>
      </c>
      <c r="H597" s="126"/>
      <c r="I597" s="178" t="str">
        <f t="shared" ref="I597:I660" si="82">C597&amp;D597&amp;E597&amp;F597&amp;G597</f>
        <v>606070301 1 03 11010611</v>
      </c>
      <c r="L597" s="22"/>
      <c r="M597" s="22"/>
      <c r="N597" s="22"/>
      <c r="O597" s="22"/>
      <c r="P597" s="22"/>
      <c r="Q597" s="22"/>
    </row>
    <row r="598" spans="1:18" s="17" customFormat="1" ht="15.75">
      <c r="A598" s="14"/>
      <c r="B598" s="140" t="s">
        <v>409</v>
      </c>
      <c r="C598" s="130" t="s">
        <v>394</v>
      </c>
      <c r="D598" s="131" t="s">
        <v>229</v>
      </c>
      <c r="E598" s="131" t="s">
        <v>13</v>
      </c>
      <c r="F598" s="131" t="s">
        <v>461</v>
      </c>
      <c r="G598" s="131" t="s">
        <v>410</v>
      </c>
      <c r="H598" s="126">
        <f>H599</f>
        <v>0</v>
      </c>
      <c r="I598" s="178" t="str">
        <f t="shared" si="82"/>
        <v>606070301 1 03 11010620</v>
      </c>
      <c r="L598" s="20">
        <v>19167.62</v>
      </c>
      <c r="M598" s="20">
        <v>18917.62</v>
      </c>
      <c r="N598" s="20">
        <v>18917.62</v>
      </c>
      <c r="O598" s="20">
        <f>H598-L598</f>
        <v>-19167.62</v>
      </c>
      <c r="P598" s="20" t="e">
        <f>#REF!-M598</f>
        <v>#REF!</v>
      </c>
      <c r="Q598" s="20" t="e">
        <f>#REF!-N598</f>
        <v>#REF!</v>
      </c>
      <c r="R598" s="17" t="str">
        <f t="shared" si="79"/>
        <v>01 1 03 11010620</v>
      </c>
    </row>
    <row r="599" spans="1:18" s="24" customFormat="1" ht="63">
      <c r="A599" s="21"/>
      <c r="B599" s="127" t="s">
        <v>411</v>
      </c>
      <c r="C599" s="130" t="s">
        <v>394</v>
      </c>
      <c r="D599" s="131" t="s">
        <v>229</v>
      </c>
      <c r="E599" s="131" t="s">
        <v>13</v>
      </c>
      <c r="F599" s="131" t="s">
        <v>461</v>
      </c>
      <c r="G599" s="108" t="s">
        <v>412</v>
      </c>
      <c r="H599" s="126"/>
      <c r="I599" s="178" t="str">
        <f t="shared" si="82"/>
        <v>606070301 1 03 11010621</v>
      </c>
      <c r="L599" s="22"/>
      <c r="M599" s="22"/>
      <c r="N599" s="22"/>
      <c r="O599" s="22"/>
      <c r="P599" s="22"/>
      <c r="Q599" s="22"/>
    </row>
    <row r="600" spans="1:18" s="17" customFormat="1" ht="78.75">
      <c r="A600" s="14"/>
      <c r="B600" s="125" t="s">
        <v>417</v>
      </c>
      <c r="C600" s="109" t="s">
        <v>394</v>
      </c>
      <c r="D600" s="108" t="s">
        <v>229</v>
      </c>
      <c r="E600" s="131" t="s">
        <v>13</v>
      </c>
      <c r="F600" s="108" t="s">
        <v>418</v>
      </c>
      <c r="G600" s="108" t="s">
        <v>9</v>
      </c>
      <c r="H600" s="126">
        <f>H601</f>
        <v>0</v>
      </c>
      <c r="I600" s="178" t="str">
        <f t="shared" si="82"/>
        <v>606070301 1 06 00000000</v>
      </c>
      <c r="L600" s="20">
        <v>250</v>
      </c>
      <c r="M600" s="20">
        <v>0</v>
      </c>
      <c r="N600" s="20">
        <v>0</v>
      </c>
      <c r="O600" s="20">
        <f>H600-L600</f>
        <v>-250</v>
      </c>
      <c r="P600" s="20" t="e">
        <f>#REF!-M600</f>
        <v>#REF!</v>
      </c>
      <c r="Q600" s="20" t="e">
        <f>#REF!-N600</f>
        <v>#REF!</v>
      </c>
      <c r="R600" s="17" t="str">
        <f t="shared" si="79"/>
        <v>01 1 06 00000000</v>
      </c>
    </row>
    <row r="601" spans="1:18" s="17" customFormat="1" ht="47.25">
      <c r="A601" s="14"/>
      <c r="B601" s="132" t="s">
        <v>462</v>
      </c>
      <c r="C601" s="109" t="s">
        <v>394</v>
      </c>
      <c r="D601" s="108" t="s">
        <v>229</v>
      </c>
      <c r="E601" s="131" t="s">
        <v>13</v>
      </c>
      <c r="F601" s="108" t="s">
        <v>463</v>
      </c>
      <c r="G601" s="108" t="s">
        <v>9</v>
      </c>
      <c r="H601" s="126">
        <f>H602</f>
        <v>0</v>
      </c>
      <c r="I601" s="178" t="str">
        <f t="shared" si="82"/>
        <v>606070301 1 06 S6690000</v>
      </c>
      <c r="L601" s="20">
        <v>250</v>
      </c>
      <c r="M601" s="20">
        <v>0</v>
      </c>
      <c r="N601" s="20">
        <v>0</v>
      </c>
      <c r="O601" s="20">
        <f>H601-L601</f>
        <v>-250</v>
      </c>
      <c r="P601" s="20" t="e">
        <f>#REF!-M601</f>
        <v>#REF!</v>
      </c>
      <c r="Q601" s="20" t="e">
        <f>#REF!-N601</f>
        <v>#REF!</v>
      </c>
      <c r="R601" s="17" t="str">
        <f t="shared" si="79"/>
        <v>01 1 06 S6690000</v>
      </c>
    </row>
    <row r="602" spans="1:18" s="17" customFormat="1" ht="15.75">
      <c r="A602" s="14"/>
      <c r="B602" s="132" t="s">
        <v>403</v>
      </c>
      <c r="C602" s="109" t="s">
        <v>394</v>
      </c>
      <c r="D602" s="108" t="s">
        <v>229</v>
      </c>
      <c r="E602" s="131" t="s">
        <v>13</v>
      </c>
      <c r="F602" s="108" t="s">
        <v>463</v>
      </c>
      <c r="G602" s="108" t="s">
        <v>404</v>
      </c>
      <c r="H602" s="126">
        <f>H603</f>
        <v>0</v>
      </c>
      <c r="I602" s="178" t="str">
        <f t="shared" si="82"/>
        <v>606070301 1 06 S6690610</v>
      </c>
      <c r="L602" s="20">
        <v>250</v>
      </c>
      <c r="M602" s="20">
        <v>0</v>
      </c>
      <c r="N602" s="20">
        <v>0</v>
      </c>
      <c r="O602" s="20">
        <f>H602-L602</f>
        <v>-250</v>
      </c>
      <c r="P602" s="20" t="e">
        <f>#REF!-M602</f>
        <v>#REF!</v>
      </c>
      <c r="Q602" s="20" t="e">
        <f>#REF!-N602</f>
        <v>#REF!</v>
      </c>
      <c r="R602" s="17" t="str">
        <f t="shared" si="79"/>
        <v>01 1 06 S6690610</v>
      </c>
    </row>
    <row r="603" spans="1:18" s="24" customFormat="1" ht="15.75">
      <c r="A603" s="21"/>
      <c r="B603" s="127" t="s">
        <v>407</v>
      </c>
      <c r="C603" s="109" t="s">
        <v>394</v>
      </c>
      <c r="D603" s="108" t="s">
        <v>229</v>
      </c>
      <c r="E603" s="131" t="s">
        <v>13</v>
      </c>
      <c r="F603" s="108" t="s">
        <v>463</v>
      </c>
      <c r="G603" s="108" t="s">
        <v>408</v>
      </c>
      <c r="H603" s="126"/>
      <c r="I603" s="178" t="str">
        <f t="shared" si="82"/>
        <v>606070301 1 06 S6690612</v>
      </c>
      <c r="L603" s="22"/>
      <c r="M603" s="22"/>
      <c r="N603" s="22"/>
      <c r="O603" s="22"/>
      <c r="P603" s="22"/>
      <c r="Q603" s="22"/>
    </row>
    <row r="604" spans="1:18" s="17" customFormat="1" ht="47.25">
      <c r="A604" s="14"/>
      <c r="B604" s="127" t="s">
        <v>146</v>
      </c>
      <c r="C604" s="109" t="s">
        <v>394</v>
      </c>
      <c r="D604" s="108" t="s">
        <v>229</v>
      </c>
      <c r="E604" s="131" t="s">
        <v>13</v>
      </c>
      <c r="F604" s="108" t="s">
        <v>147</v>
      </c>
      <c r="G604" s="108" t="s">
        <v>9</v>
      </c>
      <c r="H604" s="126">
        <f>H615+H610+H605</f>
        <v>0</v>
      </c>
      <c r="I604" s="178" t="str">
        <f t="shared" si="82"/>
        <v>606070315 0 00 00000000</v>
      </c>
      <c r="L604" s="20">
        <v>1020</v>
      </c>
      <c r="M604" s="20">
        <v>120</v>
      </c>
      <c r="N604" s="20">
        <v>120</v>
      </c>
      <c r="O604" s="20">
        <f>H604-L604</f>
        <v>-1020</v>
      </c>
      <c r="P604" s="20" t="e">
        <f>#REF!-M604</f>
        <v>#REF!</v>
      </c>
      <c r="Q604" s="20" t="e">
        <f>#REF!-N604</f>
        <v>#REF!</v>
      </c>
      <c r="R604" s="17" t="str">
        <f t="shared" si="79"/>
        <v>15 0 00 00000000</v>
      </c>
    </row>
    <row r="605" spans="1:18" s="17" customFormat="1" ht="47.25">
      <c r="A605" s="14"/>
      <c r="B605" s="125" t="s">
        <v>1065</v>
      </c>
      <c r="C605" s="109" t="s">
        <v>394</v>
      </c>
      <c r="D605" s="108" t="s">
        <v>229</v>
      </c>
      <c r="E605" s="131" t="s">
        <v>13</v>
      </c>
      <c r="F605" s="108" t="s">
        <v>149</v>
      </c>
      <c r="G605" s="108" t="s">
        <v>9</v>
      </c>
      <c r="H605" s="126">
        <f>H606</f>
        <v>0</v>
      </c>
      <c r="I605" s="178" t="str">
        <f t="shared" si="82"/>
        <v>606070315 1 00 00000000</v>
      </c>
      <c r="L605" s="20">
        <v>900</v>
      </c>
      <c r="M605" s="20">
        <v>0</v>
      </c>
      <c r="N605" s="20">
        <v>0</v>
      </c>
      <c r="O605" s="20">
        <f>H605-L605</f>
        <v>-900</v>
      </c>
      <c r="P605" s="20" t="e">
        <f>#REF!-M605</f>
        <v>#REF!</v>
      </c>
      <c r="Q605" s="20" t="e">
        <f>#REF!-N605</f>
        <v>#REF!</v>
      </c>
      <c r="R605" s="17" t="str">
        <f t="shared" si="79"/>
        <v>15 1 00 00000000</v>
      </c>
    </row>
    <row r="606" spans="1:18" s="17" customFormat="1" ht="63">
      <c r="A606" s="14"/>
      <c r="B606" s="132" t="s">
        <v>1068</v>
      </c>
      <c r="C606" s="109" t="s">
        <v>394</v>
      </c>
      <c r="D606" s="108" t="s">
        <v>229</v>
      </c>
      <c r="E606" s="131" t="s">
        <v>13</v>
      </c>
      <c r="F606" s="108" t="s">
        <v>1069</v>
      </c>
      <c r="G606" s="108" t="s">
        <v>9</v>
      </c>
      <c r="H606" s="126">
        <f>H607</f>
        <v>0</v>
      </c>
      <c r="I606" s="178" t="str">
        <f t="shared" si="82"/>
        <v>606070315 1 04 00000000</v>
      </c>
      <c r="L606" s="20">
        <v>900</v>
      </c>
      <c r="M606" s="20">
        <v>0</v>
      </c>
      <c r="N606" s="20">
        <v>0</v>
      </c>
      <c r="O606" s="20">
        <f>H606-L606</f>
        <v>-900</v>
      </c>
      <c r="P606" s="20" t="e">
        <f>#REF!-M606</f>
        <v>#REF!</v>
      </c>
      <c r="Q606" s="20" t="e">
        <f>#REF!-N606</f>
        <v>#REF!</v>
      </c>
      <c r="R606" s="17" t="str">
        <f t="shared" si="79"/>
        <v>15 1 04 00000000</v>
      </c>
    </row>
    <row r="607" spans="1:18" s="17" customFormat="1" ht="47.25">
      <c r="A607" s="14"/>
      <c r="B607" s="132" t="s">
        <v>152</v>
      </c>
      <c r="C607" s="109" t="s">
        <v>394</v>
      </c>
      <c r="D607" s="108" t="s">
        <v>229</v>
      </c>
      <c r="E607" s="131" t="s">
        <v>13</v>
      </c>
      <c r="F607" s="108" t="s">
        <v>1070</v>
      </c>
      <c r="G607" s="108" t="s">
        <v>9</v>
      </c>
      <c r="H607" s="126">
        <f>H608</f>
        <v>0</v>
      </c>
      <c r="I607" s="178" t="str">
        <f t="shared" si="82"/>
        <v>606070315 1 04 20350000</v>
      </c>
      <c r="L607" s="20">
        <v>900</v>
      </c>
      <c r="M607" s="20">
        <v>0</v>
      </c>
      <c r="N607" s="20">
        <v>0</v>
      </c>
      <c r="O607" s="20">
        <f>H607-L607</f>
        <v>-900</v>
      </c>
      <c r="P607" s="20" t="e">
        <f>#REF!-M607</f>
        <v>#REF!</v>
      </c>
      <c r="Q607" s="20" t="e">
        <f>#REF!-N607</f>
        <v>#REF!</v>
      </c>
      <c r="R607" s="17" t="str">
        <f t="shared" si="79"/>
        <v>15 1 04 20350000</v>
      </c>
    </row>
    <row r="608" spans="1:18" s="17" customFormat="1" ht="15.75">
      <c r="A608" s="14"/>
      <c r="B608" s="132" t="s">
        <v>403</v>
      </c>
      <c r="C608" s="109" t="s">
        <v>394</v>
      </c>
      <c r="D608" s="108" t="s">
        <v>229</v>
      </c>
      <c r="E608" s="131" t="s">
        <v>13</v>
      </c>
      <c r="F608" s="108" t="s">
        <v>1070</v>
      </c>
      <c r="G608" s="108" t="s">
        <v>404</v>
      </c>
      <c r="H608" s="126">
        <f>H609</f>
        <v>0</v>
      </c>
      <c r="I608" s="178" t="str">
        <f t="shared" si="82"/>
        <v>606070315 1 04 20350610</v>
      </c>
      <c r="L608" s="20">
        <v>900</v>
      </c>
      <c r="M608" s="20">
        <v>0</v>
      </c>
      <c r="N608" s="20">
        <v>0</v>
      </c>
      <c r="O608" s="20">
        <f>H608-L608</f>
        <v>-900</v>
      </c>
      <c r="P608" s="20" t="e">
        <f>#REF!-M608</f>
        <v>#REF!</v>
      </c>
      <c r="Q608" s="20" t="e">
        <f>#REF!-N608</f>
        <v>#REF!</v>
      </c>
      <c r="R608" s="17" t="str">
        <f t="shared" si="79"/>
        <v>15 1 04 20350610</v>
      </c>
    </row>
    <row r="609" spans="1:18" s="24" customFormat="1" ht="15.75">
      <c r="A609" s="21"/>
      <c r="B609" s="125" t="s">
        <v>407</v>
      </c>
      <c r="C609" s="109" t="s">
        <v>394</v>
      </c>
      <c r="D609" s="108" t="s">
        <v>229</v>
      </c>
      <c r="E609" s="131" t="s">
        <v>13</v>
      </c>
      <c r="F609" s="108" t="s">
        <v>1070</v>
      </c>
      <c r="G609" s="108" t="s">
        <v>408</v>
      </c>
      <c r="H609" s="126"/>
      <c r="I609" s="178" t="str">
        <f t="shared" si="82"/>
        <v>606070315 1 04 20350612</v>
      </c>
      <c r="L609" s="22"/>
      <c r="M609" s="22"/>
      <c r="N609" s="22"/>
      <c r="O609" s="22"/>
      <c r="P609" s="22"/>
      <c r="Q609" s="22"/>
    </row>
    <row r="610" spans="1:18" s="17" customFormat="1" ht="15.75">
      <c r="A610" s="14"/>
      <c r="B610" s="127" t="s">
        <v>154</v>
      </c>
      <c r="C610" s="109" t="s">
        <v>394</v>
      </c>
      <c r="D610" s="108" t="s">
        <v>229</v>
      </c>
      <c r="E610" s="131" t="s">
        <v>13</v>
      </c>
      <c r="F610" s="108" t="s">
        <v>155</v>
      </c>
      <c r="G610" s="108" t="s">
        <v>9</v>
      </c>
      <c r="H610" s="126">
        <f>H611</f>
        <v>0</v>
      </c>
      <c r="I610" s="178" t="str">
        <f t="shared" si="82"/>
        <v>606070315 2 00 00000000</v>
      </c>
      <c r="L610" s="20">
        <v>20</v>
      </c>
      <c r="M610" s="20">
        <v>20</v>
      </c>
      <c r="N610" s="20">
        <v>20</v>
      </c>
      <c r="O610" s="20">
        <f>H610-L610</f>
        <v>-20</v>
      </c>
      <c r="P610" s="20" t="e">
        <f>#REF!-M610</f>
        <v>#REF!</v>
      </c>
      <c r="Q610" s="20" t="e">
        <f>#REF!-N610</f>
        <v>#REF!</v>
      </c>
      <c r="R610" s="17" t="str">
        <f t="shared" si="79"/>
        <v>15 2 00 00000000</v>
      </c>
    </row>
    <row r="611" spans="1:18" s="17" customFormat="1" ht="47.25">
      <c r="A611" s="14"/>
      <c r="B611" s="127" t="s">
        <v>160</v>
      </c>
      <c r="C611" s="109" t="s">
        <v>394</v>
      </c>
      <c r="D611" s="108" t="s">
        <v>229</v>
      </c>
      <c r="E611" s="131" t="s">
        <v>13</v>
      </c>
      <c r="F611" s="108" t="s">
        <v>161</v>
      </c>
      <c r="G611" s="108" t="s">
        <v>9</v>
      </c>
      <c r="H611" s="126">
        <f>H612</f>
        <v>0</v>
      </c>
      <c r="I611" s="178" t="str">
        <f t="shared" si="82"/>
        <v>606070315 2 02 00000000</v>
      </c>
      <c r="L611" s="20">
        <v>20</v>
      </c>
      <c r="M611" s="20">
        <v>20</v>
      </c>
      <c r="N611" s="20">
        <v>20</v>
      </c>
      <c r="O611" s="20">
        <f>H611-L611</f>
        <v>-20</v>
      </c>
      <c r="P611" s="20" t="e">
        <f>#REF!-M611</f>
        <v>#REF!</v>
      </c>
      <c r="Q611" s="20" t="e">
        <f>#REF!-N611</f>
        <v>#REF!</v>
      </c>
      <c r="R611" s="17" t="str">
        <f t="shared" si="79"/>
        <v>15 2 02 00000000</v>
      </c>
    </row>
    <row r="612" spans="1:18" s="17" customFormat="1" ht="78.75">
      <c r="A612" s="14"/>
      <c r="B612" s="129" t="s">
        <v>158</v>
      </c>
      <c r="C612" s="109" t="s">
        <v>394</v>
      </c>
      <c r="D612" s="108" t="s">
        <v>229</v>
      </c>
      <c r="E612" s="131" t="s">
        <v>13</v>
      </c>
      <c r="F612" s="108" t="s">
        <v>162</v>
      </c>
      <c r="G612" s="108" t="s">
        <v>9</v>
      </c>
      <c r="H612" s="126">
        <f>H613</f>
        <v>0</v>
      </c>
      <c r="I612" s="178" t="str">
        <f t="shared" si="82"/>
        <v>606070315 2 02 20370000</v>
      </c>
      <c r="L612" s="20">
        <v>20</v>
      </c>
      <c r="M612" s="20">
        <v>20</v>
      </c>
      <c r="N612" s="20">
        <v>20</v>
      </c>
      <c r="O612" s="20">
        <f>H612-L612</f>
        <v>-20</v>
      </c>
      <c r="P612" s="20" t="e">
        <f>#REF!-M612</f>
        <v>#REF!</v>
      </c>
      <c r="Q612" s="20" t="e">
        <f>#REF!-N612</f>
        <v>#REF!</v>
      </c>
      <c r="R612" s="17" t="str">
        <f t="shared" si="79"/>
        <v>15 2 02 20370000</v>
      </c>
    </row>
    <row r="613" spans="1:18" s="17" customFormat="1" ht="15.75">
      <c r="A613" s="14"/>
      <c r="B613" s="132" t="s">
        <v>403</v>
      </c>
      <c r="C613" s="109" t="s">
        <v>394</v>
      </c>
      <c r="D613" s="108" t="s">
        <v>229</v>
      </c>
      <c r="E613" s="131" t="s">
        <v>13</v>
      </c>
      <c r="F613" s="108" t="s">
        <v>162</v>
      </c>
      <c r="G613" s="108" t="s">
        <v>404</v>
      </c>
      <c r="H613" s="126">
        <f>H614</f>
        <v>0</v>
      </c>
      <c r="I613" s="178" t="str">
        <f t="shared" si="82"/>
        <v>606070315 2 02 20370610</v>
      </c>
      <c r="L613" s="20">
        <v>20</v>
      </c>
      <c r="M613" s="20">
        <v>20</v>
      </c>
      <c r="N613" s="20">
        <v>20</v>
      </c>
      <c r="O613" s="20">
        <f>H613-L613</f>
        <v>-20</v>
      </c>
      <c r="P613" s="20" t="e">
        <f>#REF!-M613</f>
        <v>#REF!</v>
      </c>
      <c r="Q613" s="20" t="e">
        <f>#REF!-N613</f>
        <v>#REF!</v>
      </c>
      <c r="R613" s="17" t="str">
        <f t="shared" si="79"/>
        <v>15 2 02 20370610</v>
      </c>
    </row>
    <row r="614" spans="1:18" s="24" customFormat="1" ht="15.75">
      <c r="A614" s="21"/>
      <c r="B614" s="127" t="s">
        <v>407</v>
      </c>
      <c r="C614" s="109" t="s">
        <v>394</v>
      </c>
      <c r="D614" s="108" t="s">
        <v>229</v>
      </c>
      <c r="E614" s="131" t="s">
        <v>13</v>
      </c>
      <c r="F614" s="108" t="s">
        <v>162</v>
      </c>
      <c r="G614" s="108" t="s">
        <v>408</v>
      </c>
      <c r="H614" s="126"/>
      <c r="I614" s="178" t="str">
        <f t="shared" si="82"/>
        <v>606070315 2 02 20370612</v>
      </c>
      <c r="L614" s="22"/>
      <c r="M614" s="22"/>
      <c r="N614" s="22"/>
      <c r="O614" s="22"/>
      <c r="P614" s="22"/>
      <c r="Q614" s="22"/>
    </row>
    <row r="615" spans="1:18" s="17" customFormat="1" ht="31.5">
      <c r="A615" s="14"/>
      <c r="B615" s="125" t="s">
        <v>168</v>
      </c>
      <c r="C615" s="109" t="s">
        <v>394</v>
      </c>
      <c r="D615" s="108" t="s">
        <v>229</v>
      </c>
      <c r="E615" s="131" t="s">
        <v>13</v>
      </c>
      <c r="F615" s="108" t="s">
        <v>169</v>
      </c>
      <c r="G615" s="108" t="s">
        <v>9</v>
      </c>
      <c r="H615" s="126">
        <f>H616</f>
        <v>0</v>
      </c>
      <c r="I615" s="178" t="str">
        <f t="shared" si="82"/>
        <v>606070315 3 00 00000000</v>
      </c>
      <c r="L615" s="20">
        <v>100</v>
      </c>
      <c r="M615" s="20">
        <v>100</v>
      </c>
      <c r="N615" s="20">
        <v>100</v>
      </c>
      <c r="O615" s="20">
        <f>H615-L615</f>
        <v>-100</v>
      </c>
      <c r="P615" s="20" t="e">
        <f>#REF!-M615</f>
        <v>#REF!</v>
      </c>
      <c r="Q615" s="20" t="e">
        <f>#REF!-N615</f>
        <v>#REF!</v>
      </c>
      <c r="R615" s="17" t="str">
        <f t="shared" si="79"/>
        <v>15 3 00 00000000</v>
      </c>
    </row>
    <row r="616" spans="1:18" s="17" customFormat="1" ht="31.5">
      <c r="A616" s="14"/>
      <c r="B616" s="125" t="s">
        <v>374</v>
      </c>
      <c r="C616" s="109" t="s">
        <v>394</v>
      </c>
      <c r="D616" s="108" t="s">
        <v>229</v>
      </c>
      <c r="E616" s="131" t="s">
        <v>13</v>
      </c>
      <c r="F616" s="108" t="s">
        <v>375</v>
      </c>
      <c r="G616" s="108" t="s">
        <v>9</v>
      </c>
      <c r="H616" s="126">
        <f>H617</f>
        <v>0</v>
      </c>
      <c r="I616" s="178" t="str">
        <f t="shared" si="82"/>
        <v>606070315 3 01 00000000</v>
      </c>
      <c r="L616" s="20">
        <v>100</v>
      </c>
      <c r="M616" s="20">
        <v>100</v>
      </c>
      <c r="N616" s="20">
        <v>100</v>
      </c>
      <c r="O616" s="20">
        <f>H616-L616</f>
        <v>-100</v>
      </c>
      <c r="P616" s="20" t="e">
        <f>#REF!-M616</f>
        <v>#REF!</v>
      </c>
      <c r="Q616" s="20" t="e">
        <f>#REF!-N616</f>
        <v>#REF!</v>
      </c>
      <c r="R616" s="17" t="str">
        <f t="shared" si="79"/>
        <v>15 3 01 00000000</v>
      </c>
    </row>
    <row r="617" spans="1:18" s="17" customFormat="1" ht="31.5">
      <c r="A617" s="14"/>
      <c r="B617" s="125" t="s">
        <v>376</v>
      </c>
      <c r="C617" s="109" t="s">
        <v>394</v>
      </c>
      <c r="D617" s="108" t="s">
        <v>229</v>
      </c>
      <c r="E617" s="131" t="s">
        <v>13</v>
      </c>
      <c r="F617" s="108" t="s">
        <v>377</v>
      </c>
      <c r="G617" s="108" t="s">
        <v>9</v>
      </c>
      <c r="H617" s="126">
        <f>H618</f>
        <v>0</v>
      </c>
      <c r="I617" s="178" t="str">
        <f t="shared" si="82"/>
        <v>606070315 3 01 20660000</v>
      </c>
      <c r="L617" s="20">
        <v>100</v>
      </c>
      <c r="M617" s="20">
        <v>100</v>
      </c>
      <c r="N617" s="20">
        <v>100</v>
      </c>
      <c r="O617" s="20">
        <f>H617-L617</f>
        <v>-100</v>
      </c>
      <c r="P617" s="20" t="e">
        <f>#REF!-M617</f>
        <v>#REF!</v>
      </c>
      <c r="Q617" s="20" t="e">
        <f>#REF!-N617</f>
        <v>#REF!</v>
      </c>
      <c r="R617" s="17" t="str">
        <f t="shared" si="79"/>
        <v>15 3 01 20660000</v>
      </c>
    </row>
    <row r="618" spans="1:18" s="17" customFormat="1" ht="15.75">
      <c r="A618" s="14"/>
      <c r="B618" s="132" t="s">
        <v>403</v>
      </c>
      <c r="C618" s="109" t="s">
        <v>394</v>
      </c>
      <c r="D618" s="108" t="s">
        <v>229</v>
      </c>
      <c r="E618" s="131" t="s">
        <v>13</v>
      </c>
      <c r="F618" s="108" t="s">
        <v>377</v>
      </c>
      <c r="G618" s="108" t="s">
        <v>404</v>
      </c>
      <c r="H618" s="126">
        <f>H619</f>
        <v>0</v>
      </c>
      <c r="I618" s="178" t="str">
        <f t="shared" si="82"/>
        <v>606070315 3 01 20660610</v>
      </c>
      <c r="L618" s="20">
        <v>100</v>
      </c>
      <c r="M618" s="20">
        <v>100</v>
      </c>
      <c r="N618" s="20">
        <v>100</v>
      </c>
      <c r="O618" s="20">
        <f>H618-L618</f>
        <v>-100</v>
      </c>
      <c r="P618" s="20" t="e">
        <f>#REF!-M618</f>
        <v>#REF!</v>
      </c>
      <c r="Q618" s="20" t="e">
        <f>#REF!-N618</f>
        <v>#REF!</v>
      </c>
      <c r="R618" s="17" t="str">
        <f t="shared" si="79"/>
        <v>15 3 01 20660610</v>
      </c>
    </row>
    <row r="619" spans="1:18" s="24" customFormat="1" ht="15.75">
      <c r="A619" s="21"/>
      <c r="B619" s="127" t="s">
        <v>407</v>
      </c>
      <c r="C619" s="109" t="s">
        <v>394</v>
      </c>
      <c r="D619" s="108" t="s">
        <v>229</v>
      </c>
      <c r="E619" s="131" t="s">
        <v>13</v>
      </c>
      <c r="F619" s="108" t="s">
        <v>377</v>
      </c>
      <c r="G619" s="108" t="s">
        <v>408</v>
      </c>
      <c r="H619" s="126"/>
      <c r="I619" s="178" t="str">
        <f t="shared" si="82"/>
        <v>606070315 3 01 20660612</v>
      </c>
      <c r="L619" s="22"/>
      <c r="M619" s="22"/>
      <c r="N619" s="22"/>
      <c r="O619" s="22"/>
      <c r="P619" s="22"/>
      <c r="Q619" s="22"/>
    </row>
    <row r="620" spans="1:18" s="17" customFormat="1" ht="94.5">
      <c r="A620" s="14"/>
      <c r="B620" s="125" t="s">
        <v>420</v>
      </c>
      <c r="C620" s="109" t="s">
        <v>394</v>
      </c>
      <c r="D620" s="131" t="s">
        <v>229</v>
      </c>
      <c r="E620" s="131" t="s">
        <v>13</v>
      </c>
      <c r="F620" s="108" t="s">
        <v>421</v>
      </c>
      <c r="G620" s="108" t="s">
        <v>9</v>
      </c>
      <c r="H620" s="126">
        <f t="shared" ref="H620:H622" si="83">H621</f>
        <v>0</v>
      </c>
      <c r="I620" s="178" t="str">
        <f t="shared" si="82"/>
        <v>606070316 0 00 00000000</v>
      </c>
      <c r="L620" s="20">
        <v>359.90000000000003</v>
      </c>
      <c r="M620" s="20">
        <v>359.90000000000003</v>
      </c>
      <c r="N620" s="20">
        <v>359.90000000000003</v>
      </c>
      <c r="O620" s="20">
        <f>H620-L620</f>
        <v>-359.90000000000003</v>
      </c>
      <c r="P620" s="20" t="e">
        <f>#REF!-M620</f>
        <v>#REF!</v>
      </c>
      <c r="Q620" s="20" t="e">
        <f>#REF!-N620</f>
        <v>#REF!</v>
      </c>
      <c r="R620" s="17" t="str">
        <f t="shared" si="79"/>
        <v>16 0 00 00000000</v>
      </c>
    </row>
    <row r="621" spans="1:18" s="17" customFormat="1" ht="31.5">
      <c r="A621" s="14"/>
      <c r="B621" s="125" t="s">
        <v>422</v>
      </c>
      <c r="C621" s="109" t="s">
        <v>394</v>
      </c>
      <c r="D621" s="131" t="s">
        <v>229</v>
      </c>
      <c r="E621" s="131" t="s">
        <v>13</v>
      </c>
      <c r="F621" s="108" t="s">
        <v>423</v>
      </c>
      <c r="G621" s="108" t="s">
        <v>9</v>
      </c>
      <c r="H621" s="126">
        <f t="shared" si="83"/>
        <v>0</v>
      </c>
      <c r="I621" s="178" t="str">
        <f t="shared" si="82"/>
        <v>606070316 2 00 00000000</v>
      </c>
      <c r="L621" s="20">
        <v>359.90000000000003</v>
      </c>
      <c r="M621" s="20">
        <v>359.90000000000003</v>
      </c>
      <c r="N621" s="20">
        <v>359.90000000000003</v>
      </c>
      <c r="O621" s="20">
        <f>H621-L621</f>
        <v>-359.90000000000003</v>
      </c>
      <c r="P621" s="20" t="e">
        <f>#REF!-M621</f>
        <v>#REF!</v>
      </c>
      <c r="Q621" s="20" t="e">
        <f>#REF!-N621</f>
        <v>#REF!</v>
      </c>
      <c r="R621" s="17" t="str">
        <f t="shared" si="79"/>
        <v>16 2 00 00000000</v>
      </c>
    </row>
    <row r="622" spans="1:18" s="17" customFormat="1" ht="47.25">
      <c r="A622" s="14"/>
      <c r="B622" s="125" t="s">
        <v>424</v>
      </c>
      <c r="C622" s="109" t="s">
        <v>394</v>
      </c>
      <c r="D622" s="131" t="s">
        <v>229</v>
      </c>
      <c r="E622" s="131" t="s">
        <v>13</v>
      </c>
      <c r="F622" s="108" t="s">
        <v>425</v>
      </c>
      <c r="G622" s="108" t="s">
        <v>9</v>
      </c>
      <c r="H622" s="126">
        <f t="shared" si="83"/>
        <v>0</v>
      </c>
      <c r="I622" s="178" t="str">
        <f t="shared" si="82"/>
        <v>606070316 2 02 00000000</v>
      </c>
      <c r="L622" s="20">
        <v>359.90000000000003</v>
      </c>
      <c r="M622" s="20">
        <v>359.90000000000003</v>
      </c>
      <c r="N622" s="20">
        <v>359.90000000000003</v>
      </c>
      <c r="O622" s="20">
        <f>H622-L622</f>
        <v>-359.90000000000003</v>
      </c>
      <c r="P622" s="20" t="e">
        <f>#REF!-M622</f>
        <v>#REF!</v>
      </c>
      <c r="Q622" s="20" t="e">
        <f>#REF!-N622</f>
        <v>#REF!</v>
      </c>
      <c r="R622" s="17" t="str">
        <f t="shared" si="79"/>
        <v>16 2 02 00000000</v>
      </c>
    </row>
    <row r="623" spans="1:18" s="17" customFormat="1" ht="47.25">
      <c r="A623" s="14"/>
      <c r="B623" s="125" t="s">
        <v>426</v>
      </c>
      <c r="C623" s="109" t="s">
        <v>394</v>
      </c>
      <c r="D623" s="131" t="s">
        <v>229</v>
      </c>
      <c r="E623" s="131" t="s">
        <v>13</v>
      </c>
      <c r="F623" s="108" t="s">
        <v>427</v>
      </c>
      <c r="G623" s="108" t="s">
        <v>9</v>
      </c>
      <c r="H623" s="126">
        <f>H624+H626</f>
        <v>0</v>
      </c>
      <c r="I623" s="178" t="str">
        <f t="shared" si="82"/>
        <v>606070316 2 02 20550000</v>
      </c>
      <c r="L623" s="20">
        <v>359.90000000000003</v>
      </c>
      <c r="M623" s="20">
        <v>359.90000000000003</v>
      </c>
      <c r="N623" s="20">
        <v>359.90000000000003</v>
      </c>
      <c r="O623" s="20">
        <f>H623-L623</f>
        <v>-359.90000000000003</v>
      </c>
      <c r="P623" s="20" t="e">
        <f>#REF!-M623</f>
        <v>#REF!</v>
      </c>
      <c r="Q623" s="20" t="e">
        <f>#REF!-N623</f>
        <v>#REF!</v>
      </c>
      <c r="R623" s="17" t="str">
        <f t="shared" si="79"/>
        <v>16 2 02 20550000</v>
      </c>
    </row>
    <row r="624" spans="1:18" s="17" customFormat="1" ht="15.75">
      <c r="A624" s="14"/>
      <c r="B624" s="140" t="s">
        <v>403</v>
      </c>
      <c r="C624" s="109" t="s">
        <v>394</v>
      </c>
      <c r="D624" s="131" t="s">
        <v>229</v>
      </c>
      <c r="E624" s="131" t="s">
        <v>13</v>
      </c>
      <c r="F624" s="108" t="s">
        <v>427</v>
      </c>
      <c r="G624" s="108" t="s">
        <v>404</v>
      </c>
      <c r="H624" s="126">
        <f>H625</f>
        <v>0</v>
      </c>
      <c r="I624" s="178" t="str">
        <f t="shared" si="82"/>
        <v>606070316 2 02 20550610</v>
      </c>
      <c r="L624" s="20">
        <v>301.3</v>
      </c>
      <c r="M624" s="20">
        <v>301.3</v>
      </c>
      <c r="N624" s="20">
        <v>301.3</v>
      </c>
      <c r="O624" s="20">
        <f>H624-L624</f>
        <v>-301.3</v>
      </c>
      <c r="P624" s="20" t="e">
        <f>#REF!-M624</f>
        <v>#REF!</v>
      </c>
      <c r="Q624" s="20" t="e">
        <f>#REF!-N624</f>
        <v>#REF!</v>
      </c>
      <c r="R624" s="17" t="str">
        <f t="shared" si="79"/>
        <v>16 2 02 20550610</v>
      </c>
    </row>
    <row r="625" spans="1:18" s="24" customFormat="1" ht="15.75">
      <c r="A625" s="21"/>
      <c r="B625" s="127" t="s">
        <v>407</v>
      </c>
      <c r="C625" s="109" t="s">
        <v>394</v>
      </c>
      <c r="D625" s="131" t="s">
        <v>229</v>
      </c>
      <c r="E625" s="131" t="s">
        <v>13</v>
      </c>
      <c r="F625" s="108" t="s">
        <v>427</v>
      </c>
      <c r="G625" s="108" t="s">
        <v>408</v>
      </c>
      <c r="H625" s="126"/>
      <c r="I625" s="178" t="str">
        <f t="shared" si="82"/>
        <v>606070316 2 02 20550612</v>
      </c>
      <c r="L625" s="22"/>
      <c r="M625" s="22"/>
      <c r="N625" s="22"/>
      <c r="O625" s="22"/>
      <c r="P625" s="22"/>
      <c r="Q625" s="22"/>
    </row>
    <row r="626" spans="1:18" s="17" customFormat="1" ht="15.75">
      <c r="A626" s="14"/>
      <c r="B626" s="132" t="s">
        <v>409</v>
      </c>
      <c r="C626" s="109" t="s">
        <v>394</v>
      </c>
      <c r="D626" s="131" t="s">
        <v>229</v>
      </c>
      <c r="E626" s="131" t="s">
        <v>13</v>
      </c>
      <c r="F626" s="108" t="s">
        <v>427</v>
      </c>
      <c r="G626" s="108" t="s">
        <v>410</v>
      </c>
      <c r="H626" s="126">
        <f>H627</f>
        <v>0</v>
      </c>
      <c r="I626" s="178" t="str">
        <f t="shared" si="82"/>
        <v>606070316 2 02 20550620</v>
      </c>
      <c r="L626" s="20">
        <v>58.6</v>
      </c>
      <c r="M626" s="20">
        <v>58.6</v>
      </c>
      <c r="N626" s="20">
        <v>58.6</v>
      </c>
      <c r="O626" s="20">
        <f>H626-L626</f>
        <v>-58.6</v>
      </c>
      <c r="P626" s="20" t="e">
        <f>#REF!-M626</f>
        <v>#REF!</v>
      </c>
      <c r="Q626" s="20" t="e">
        <f>#REF!-N626</f>
        <v>#REF!</v>
      </c>
      <c r="R626" s="17" t="str">
        <f t="shared" si="79"/>
        <v>16 2 02 20550620</v>
      </c>
    </row>
    <row r="627" spans="1:18" s="24" customFormat="1" ht="15.75">
      <c r="A627" s="21"/>
      <c r="B627" s="127" t="s">
        <v>428</v>
      </c>
      <c r="C627" s="109" t="s">
        <v>394</v>
      </c>
      <c r="D627" s="131" t="s">
        <v>229</v>
      </c>
      <c r="E627" s="131" t="s">
        <v>13</v>
      </c>
      <c r="F627" s="108" t="s">
        <v>427</v>
      </c>
      <c r="G627" s="108" t="s">
        <v>429</v>
      </c>
      <c r="H627" s="126"/>
      <c r="I627" s="178" t="str">
        <f t="shared" si="82"/>
        <v>606070316 2 02 20550622</v>
      </c>
      <c r="L627" s="22"/>
      <c r="M627" s="22"/>
      <c r="N627" s="22"/>
      <c r="O627" s="22"/>
      <c r="P627" s="22"/>
      <c r="Q627" s="22"/>
    </row>
    <row r="628" spans="1:18" s="17" customFormat="1" ht="15.75">
      <c r="A628" s="14"/>
      <c r="B628" s="121" t="s">
        <v>464</v>
      </c>
      <c r="C628" s="122" t="s">
        <v>394</v>
      </c>
      <c r="D628" s="123" t="s">
        <v>229</v>
      </c>
      <c r="E628" s="123" t="s">
        <v>229</v>
      </c>
      <c r="F628" s="123" t="s">
        <v>8</v>
      </c>
      <c r="G628" s="123" t="s">
        <v>9</v>
      </c>
      <c r="H628" s="124">
        <f>H629+H638</f>
        <v>0</v>
      </c>
      <c r="I628" s="178" t="str">
        <f t="shared" si="82"/>
        <v>606070700 0 00 00000000</v>
      </c>
      <c r="L628" s="19">
        <v>24978.05</v>
      </c>
      <c r="M628" s="19">
        <v>24978.05</v>
      </c>
      <c r="N628" s="19">
        <v>24978.05</v>
      </c>
      <c r="O628" s="19">
        <f t="shared" ref="O628:O633" si="84">H628-L628</f>
        <v>-24978.05</v>
      </c>
      <c r="P628" s="19" t="e">
        <f>#REF!-M628</f>
        <v>#REF!</v>
      </c>
      <c r="Q628" s="19" t="e">
        <f>#REF!-N628</f>
        <v>#REF!</v>
      </c>
      <c r="R628" s="17" t="str">
        <f t="shared" si="79"/>
        <v>00 0 00 00000000</v>
      </c>
    </row>
    <row r="629" spans="1:18" s="17" customFormat="1" ht="31.5">
      <c r="A629" s="14"/>
      <c r="B629" s="132" t="s">
        <v>396</v>
      </c>
      <c r="C629" s="109" t="s">
        <v>394</v>
      </c>
      <c r="D629" s="108" t="s">
        <v>229</v>
      </c>
      <c r="E629" s="108" t="s">
        <v>229</v>
      </c>
      <c r="F629" s="108" t="s">
        <v>397</v>
      </c>
      <c r="G629" s="108" t="s">
        <v>9</v>
      </c>
      <c r="H629" s="126">
        <f t="shared" ref="H629:H630" si="85">H630</f>
        <v>0</v>
      </c>
      <c r="I629" s="178" t="str">
        <f t="shared" si="82"/>
        <v>606070701 0 00 00000000</v>
      </c>
      <c r="L629" s="20">
        <v>24932.85</v>
      </c>
      <c r="M629" s="20">
        <v>24932.85</v>
      </c>
      <c r="N629" s="20">
        <v>24932.85</v>
      </c>
      <c r="O629" s="20">
        <f t="shared" si="84"/>
        <v>-24932.85</v>
      </c>
      <c r="P629" s="20" t="e">
        <f>#REF!-M629</f>
        <v>#REF!</v>
      </c>
      <c r="Q629" s="20" t="e">
        <f>#REF!-N629</f>
        <v>#REF!</v>
      </c>
      <c r="R629" s="17" t="str">
        <f t="shared" si="79"/>
        <v>01 0 00 00000000</v>
      </c>
    </row>
    <row r="630" spans="1:18" s="17" customFormat="1" ht="31.5">
      <c r="A630" s="14"/>
      <c r="B630" s="132" t="s">
        <v>398</v>
      </c>
      <c r="C630" s="109" t="s">
        <v>394</v>
      </c>
      <c r="D630" s="108" t="s">
        <v>229</v>
      </c>
      <c r="E630" s="108" t="s">
        <v>229</v>
      </c>
      <c r="F630" s="108" t="s">
        <v>399</v>
      </c>
      <c r="G630" s="108" t="s">
        <v>9</v>
      </c>
      <c r="H630" s="126">
        <f t="shared" si="85"/>
        <v>0</v>
      </c>
      <c r="I630" s="178" t="str">
        <f t="shared" si="82"/>
        <v>606070701 1 00 00000000</v>
      </c>
      <c r="L630" s="20">
        <v>24932.85</v>
      </c>
      <c r="M630" s="20">
        <v>24932.85</v>
      </c>
      <c r="N630" s="20">
        <v>24932.85</v>
      </c>
      <c r="O630" s="20">
        <f t="shared" si="84"/>
        <v>-24932.85</v>
      </c>
      <c r="P630" s="20" t="e">
        <f>#REF!-M630</f>
        <v>#REF!</v>
      </c>
      <c r="Q630" s="20" t="e">
        <f>#REF!-N630</f>
        <v>#REF!</v>
      </c>
      <c r="R630" s="17" t="str">
        <f t="shared" si="79"/>
        <v>01 1 00 00000000</v>
      </c>
    </row>
    <row r="631" spans="1:18" s="17" customFormat="1" ht="31.5">
      <c r="A631" s="14"/>
      <c r="B631" s="132" t="s">
        <v>465</v>
      </c>
      <c r="C631" s="109" t="s">
        <v>394</v>
      </c>
      <c r="D631" s="108" t="s">
        <v>229</v>
      </c>
      <c r="E631" s="108" t="s">
        <v>229</v>
      </c>
      <c r="F631" s="108" t="s">
        <v>466</v>
      </c>
      <c r="G631" s="108" t="s">
        <v>9</v>
      </c>
      <c r="H631" s="126">
        <f>H632+H635</f>
        <v>0</v>
      </c>
      <c r="I631" s="178" t="str">
        <f t="shared" si="82"/>
        <v>606070701 1 04 00000000</v>
      </c>
      <c r="L631" s="20">
        <v>24932.85</v>
      </c>
      <c r="M631" s="20">
        <v>24932.85</v>
      </c>
      <c r="N631" s="20">
        <v>24932.85</v>
      </c>
      <c r="O631" s="20">
        <f t="shared" si="84"/>
        <v>-24932.85</v>
      </c>
      <c r="P631" s="20" t="e">
        <f>#REF!-M631</f>
        <v>#REF!</v>
      </c>
      <c r="Q631" s="20" t="e">
        <f>#REF!-N631</f>
        <v>#REF!</v>
      </c>
      <c r="R631" s="17" t="str">
        <f t="shared" si="79"/>
        <v>01 1 04 00000000</v>
      </c>
    </row>
    <row r="632" spans="1:18" s="17" customFormat="1" ht="31.5">
      <c r="A632" s="14"/>
      <c r="B632" s="132" t="s">
        <v>136</v>
      </c>
      <c r="C632" s="109" t="s">
        <v>394</v>
      </c>
      <c r="D632" s="108" t="s">
        <v>229</v>
      </c>
      <c r="E632" s="108" t="s">
        <v>229</v>
      </c>
      <c r="F632" s="108" t="s">
        <v>467</v>
      </c>
      <c r="G632" s="108" t="s">
        <v>9</v>
      </c>
      <c r="H632" s="126">
        <f>H633</f>
        <v>0</v>
      </c>
      <c r="I632" s="178" t="str">
        <f t="shared" si="82"/>
        <v>606070701 1 04 11010000</v>
      </c>
      <c r="L632" s="20">
        <v>7065.48</v>
      </c>
      <c r="M632" s="20">
        <v>7065.48</v>
      </c>
      <c r="N632" s="20">
        <v>7065.48</v>
      </c>
      <c r="O632" s="20">
        <f t="shared" si="84"/>
        <v>-7065.48</v>
      </c>
      <c r="P632" s="20" t="e">
        <f>#REF!-M632</f>
        <v>#REF!</v>
      </c>
      <c r="Q632" s="20" t="e">
        <f>#REF!-N632</f>
        <v>#REF!</v>
      </c>
      <c r="R632" s="17" t="str">
        <f t="shared" si="79"/>
        <v>01 1 04 11010000</v>
      </c>
    </row>
    <row r="633" spans="1:18" s="17" customFormat="1" ht="15.75">
      <c r="A633" s="14"/>
      <c r="B633" s="132" t="s">
        <v>409</v>
      </c>
      <c r="C633" s="109" t="s">
        <v>394</v>
      </c>
      <c r="D633" s="108" t="s">
        <v>229</v>
      </c>
      <c r="E633" s="108" t="s">
        <v>229</v>
      </c>
      <c r="F633" s="108" t="s">
        <v>467</v>
      </c>
      <c r="G633" s="108" t="s">
        <v>410</v>
      </c>
      <c r="H633" s="126">
        <f>H634</f>
        <v>0</v>
      </c>
      <c r="I633" s="178" t="str">
        <f t="shared" si="82"/>
        <v>606070701 1 04 11010620</v>
      </c>
      <c r="L633" s="20">
        <v>7065.48</v>
      </c>
      <c r="M633" s="20">
        <v>7065.48</v>
      </c>
      <c r="N633" s="20">
        <v>7065.48</v>
      </c>
      <c r="O633" s="20">
        <f t="shared" si="84"/>
        <v>-7065.48</v>
      </c>
      <c r="P633" s="20" t="e">
        <f>#REF!-M633</f>
        <v>#REF!</v>
      </c>
      <c r="Q633" s="20" t="e">
        <f>#REF!-N633</f>
        <v>#REF!</v>
      </c>
      <c r="R633" s="17" t="str">
        <f t="shared" si="79"/>
        <v>01 1 04 11010620</v>
      </c>
    </row>
    <row r="634" spans="1:18" s="24" customFormat="1" ht="63">
      <c r="A634" s="21"/>
      <c r="B634" s="127" t="s">
        <v>411</v>
      </c>
      <c r="C634" s="109" t="s">
        <v>394</v>
      </c>
      <c r="D634" s="108" t="s">
        <v>229</v>
      </c>
      <c r="E634" s="108" t="s">
        <v>229</v>
      </c>
      <c r="F634" s="108" t="s">
        <v>467</v>
      </c>
      <c r="G634" s="108" t="s">
        <v>412</v>
      </c>
      <c r="H634" s="126"/>
      <c r="I634" s="178" t="str">
        <f t="shared" si="82"/>
        <v>606070701 1 04 11010621</v>
      </c>
      <c r="L634" s="22"/>
      <c r="M634" s="22"/>
      <c r="N634" s="22"/>
      <c r="O634" s="22"/>
      <c r="P634" s="22"/>
      <c r="Q634" s="22"/>
    </row>
    <row r="635" spans="1:18" s="17" customFormat="1" ht="31.5">
      <c r="A635" s="14"/>
      <c r="B635" s="125" t="s">
        <v>468</v>
      </c>
      <c r="C635" s="109" t="s">
        <v>394</v>
      </c>
      <c r="D635" s="108" t="s">
        <v>229</v>
      </c>
      <c r="E635" s="108" t="s">
        <v>229</v>
      </c>
      <c r="F635" s="108" t="s">
        <v>469</v>
      </c>
      <c r="G635" s="108" t="s">
        <v>9</v>
      </c>
      <c r="H635" s="126">
        <f>H636</f>
        <v>0</v>
      </c>
      <c r="I635" s="178" t="str">
        <f t="shared" si="82"/>
        <v>606070701 1 04 20330000</v>
      </c>
      <c r="L635" s="20">
        <v>17867.37</v>
      </c>
      <c r="M635" s="20">
        <v>17867.37</v>
      </c>
      <c r="N635" s="20">
        <v>17867.37</v>
      </c>
      <c r="O635" s="20">
        <f>H635-L635</f>
        <v>-17867.37</v>
      </c>
      <c r="P635" s="20" t="e">
        <f>#REF!-M635</f>
        <v>#REF!</v>
      </c>
      <c r="Q635" s="20" t="e">
        <f>#REF!-N635</f>
        <v>#REF!</v>
      </c>
      <c r="R635" s="17" t="str">
        <f t="shared" si="79"/>
        <v>01 1 04 20330000</v>
      </c>
    </row>
    <row r="636" spans="1:18" s="17" customFormat="1" ht="15.75">
      <c r="A636" s="14"/>
      <c r="B636" s="132" t="s">
        <v>403</v>
      </c>
      <c r="C636" s="109" t="s">
        <v>394</v>
      </c>
      <c r="D636" s="108" t="s">
        <v>229</v>
      </c>
      <c r="E636" s="108" t="s">
        <v>229</v>
      </c>
      <c r="F636" s="108" t="s">
        <v>469</v>
      </c>
      <c r="G636" s="108" t="s">
        <v>404</v>
      </c>
      <c r="H636" s="126">
        <f>H637</f>
        <v>0</v>
      </c>
      <c r="I636" s="178" t="str">
        <f t="shared" si="82"/>
        <v>606070701 1 04 20330610</v>
      </c>
      <c r="L636" s="20">
        <v>17867.37</v>
      </c>
      <c r="M636" s="20">
        <v>17867.37</v>
      </c>
      <c r="N636" s="20">
        <v>17867.37</v>
      </c>
      <c r="O636" s="20">
        <f>H636-L636</f>
        <v>-17867.37</v>
      </c>
      <c r="P636" s="20" t="e">
        <f>#REF!-M636</f>
        <v>#REF!</v>
      </c>
      <c r="Q636" s="20" t="e">
        <f>#REF!-N636</f>
        <v>#REF!</v>
      </c>
      <c r="R636" s="17" t="str">
        <f t="shared" si="79"/>
        <v>01 1 04 20330610</v>
      </c>
    </row>
    <row r="637" spans="1:18" s="24" customFormat="1" ht="15.75">
      <c r="A637" s="21"/>
      <c r="B637" s="127" t="s">
        <v>407</v>
      </c>
      <c r="C637" s="109" t="s">
        <v>394</v>
      </c>
      <c r="D637" s="108" t="s">
        <v>229</v>
      </c>
      <c r="E637" s="108" t="s">
        <v>229</v>
      </c>
      <c r="F637" s="108" t="s">
        <v>469</v>
      </c>
      <c r="G637" s="108" t="s">
        <v>408</v>
      </c>
      <c r="H637" s="126"/>
      <c r="I637" s="178" t="str">
        <f t="shared" si="82"/>
        <v>606070701 1 04 20330612</v>
      </c>
      <c r="L637" s="22"/>
      <c r="M637" s="22"/>
      <c r="N637" s="22"/>
      <c r="O637" s="22"/>
      <c r="P637" s="22"/>
      <c r="Q637" s="22"/>
    </row>
    <row r="638" spans="1:18" s="17" customFormat="1" ht="94.5">
      <c r="A638" s="14"/>
      <c r="B638" s="125" t="s">
        <v>420</v>
      </c>
      <c r="C638" s="109" t="s">
        <v>394</v>
      </c>
      <c r="D638" s="108" t="s">
        <v>229</v>
      </c>
      <c r="E638" s="108" t="s">
        <v>229</v>
      </c>
      <c r="F638" s="108" t="s">
        <v>421</v>
      </c>
      <c r="G638" s="108" t="s">
        <v>9</v>
      </c>
      <c r="H638" s="126">
        <f t="shared" ref="H638:H641" si="86">H639</f>
        <v>0</v>
      </c>
      <c r="I638" s="178" t="str">
        <f t="shared" si="82"/>
        <v>606070716 0 00 00000000</v>
      </c>
      <c r="L638" s="20">
        <v>45.2</v>
      </c>
      <c r="M638" s="20">
        <v>45.2</v>
      </c>
      <c r="N638" s="20">
        <v>45.2</v>
      </c>
      <c r="O638" s="20">
        <f>H638-L638</f>
        <v>-45.2</v>
      </c>
      <c r="P638" s="20" t="e">
        <f>#REF!-M638</f>
        <v>#REF!</v>
      </c>
      <c r="Q638" s="20" t="e">
        <f>#REF!-N638</f>
        <v>#REF!</v>
      </c>
      <c r="R638" s="17" t="str">
        <f t="shared" si="79"/>
        <v>16 0 00 00000000</v>
      </c>
    </row>
    <row r="639" spans="1:18" s="17" customFormat="1" ht="31.5">
      <c r="A639" s="14"/>
      <c r="B639" s="125" t="s">
        <v>422</v>
      </c>
      <c r="C639" s="109" t="s">
        <v>394</v>
      </c>
      <c r="D639" s="108" t="s">
        <v>229</v>
      </c>
      <c r="E639" s="108" t="s">
        <v>229</v>
      </c>
      <c r="F639" s="108" t="s">
        <v>423</v>
      </c>
      <c r="G639" s="108" t="s">
        <v>9</v>
      </c>
      <c r="H639" s="126">
        <f t="shared" si="86"/>
        <v>0</v>
      </c>
      <c r="I639" s="178" t="str">
        <f t="shared" si="82"/>
        <v>606070716 2 00 00000000</v>
      </c>
      <c r="L639" s="20">
        <v>45.2</v>
      </c>
      <c r="M639" s="20">
        <v>45.2</v>
      </c>
      <c r="N639" s="20">
        <v>45.2</v>
      </c>
      <c r="O639" s="20">
        <f>H639-L639</f>
        <v>-45.2</v>
      </c>
      <c r="P639" s="20" t="e">
        <f>#REF!-M639</f>
        <v>#REF!</v>
      </c>
      <c r="Q639" s="20" t="e">
        <f>#REF!-N639</f>
        <v>#REF!</v>
      </c>
      <c r="R639" s="17" t="str">
        <f t="shared" si="79"/>
        <v>16 2 00 00000000</v>
      </c>
    </row>
    <row r="640" spans="1:18" s="17" customFormat="1" ht="47.25">
      <c r="A640" s="14"/>
      <c r="B640" s="125" t="s">
        <v>424</v>
      </c>
      <c r="C640" s="109" t="s">
        <v>394</v>
      </c>
      <c r="D640" s="108" t="s">
        <v>229</v>
      </c>
      <c r="E640" s="108" t="s">
        <v>229</v>
      </c>
      <c r="F640" s="108" t="s">
        <v>425</v>
      </c>
      <c r="G640" s="108" t="s">
        <v>9</v>
      </c>
      <c r="H640" s="126">
        <f t="shared" si="86"/>
        <v>0</v>
      </c>
      <c r="I640" s="178" t="str">
        <f t="shared" si="82"/>
        <v>606070716 2 02 00000000</v>
      </c>
      <c r="L640" s="20">
        <v>45.2</v>
      </c>
      <c r="M640" s="20">
        <v>45.2</v>
      </c>
      <c r="N640" s="20">
        <v>45.2</v>
      </c>
      <c r="O640" s="20">
        <f>H640-L640</f>
        <v>-45.2</v>
      </c>
      <c r="P640" s="20" t="e">
        <f>#REF!-M640</f>
        <v>#REF!</v>
      </c>
      <c r="Q640" s="20" t="e">
        <f>#REF!-N640</f>
        <v>#REF!</v>
      </c>
      <c r="R640" s="17" t="str">
        <f t="shared" si="79"/>
        <v>16 2 02 00000000</v>
      </c>
    </row>
    <row r="641" spans="1:18" s="17" customFormat="1" ht="47.25">
      <c r="A641" s="14"/>
      <c r="B641" s="125" t="s">
        <v>426</v>
      </c>
      <c r="C641" s="109" t="s">
        <v>394</v>
      </c>
      <c r="D641" s="108" t="s">
        <v>229</v>
      </c>
      <c r="E641" s="108" t="s">
        <v>229</v>
      </c>
      <c r="F641" s="108" t="s">
        <v>427</v>
      </c>
      <c r="G641" s="108" t="s">
        <v>9</v>
      </c>
      <c r="H641" s="126">
        <f t="shared" si="86"/>
        <v>0</v>
      </c>
      <c r="I641" s="178" t="str">
        <f t="shared" si="82"/>
        <v>606070716 2 02 20550000</v>
      </c>
      <c r="L641" s="20">
        <v>45.2</v>
      </c>
      <c r="M641" s="20">
        <v>45.2</v>
      </c>
      <c r="N641" s="20">
        <v>45.2</v>
      </c>
      <c r="O641" s="20">
        <f>H641-L641</f>
        <v>-45.2</v>
      </c>
      <c r="P641" s="20" t="e">
        <f>#REF!-M641</f>
        <v>#REF!</v>
      </c>
      <c r="Q641" s="20" t="e">
        <f>#REF!-N641</f>
        <v>#REF!</v>
      </c>
      <c r="R641" s="17" t="str">
        <f t="shared" si="79"/>
        <v>16 2 02 20550000</v>
      </c>
    </row>
    <row r="642" spans="1:18" s="17" customFormat="1" ht="15.75">
      <c r="A642" s="14"/>
      <c r="B642" s="132" t="s">
        <v>409</v>
      </c>
      <c r="C642" s="109" t="s">
        <v>394</v>
      </c>
      <c r="D642" s="108" t="s">
        <v>229</v>
      </c>
      <c r="E642" s="108" t="s">
        <v>229</v>
      </c>
      <c r="F642" s="108" t="s">
        <v>427</v>
      </c>
      <c r="G642" s="108" t="s">
        <v>410</v>
      </c>
      <c r="H642" s="126">
        <f>H643</f>
        <v>0</v>
      </c>
      <c r="I642" s="178" t="str">
        <f t="shared" si="82"/>
        <v>606070716 2 02 20550620</v>
      </c>
      <c r="L642" s="20">
        <v>45.2</v>
      </c>
      <c r="M642" s="20">
        <v>45.2</v>
      </c>
      <c r="N642" s="20">
        <v>45.2</v>
      </c>
      <c r="O642" s="20">
        <f>H642-L642</f>
        <v>-45.2</v>
      </c>
      <c r="P642" s="20" t="e">
        <f>#REF!-M642</f>
        <v>#REF!</v>
      </c>
      <c r="Q642" s="20" t="e">
        <f>#REF!-N642</f>
        <v>#REF!</v>
      </c>
      <c r="R642" s="17" t="str">
        <f t="shared" si="79"/>
        <v>16 2 02 20550620</v>
      </c>
    </row>
    <row r="643" spans="1:18" s="24" customFormat="1" ht="15.75">
      <c r="A643" s="21"/>
      <c r="B643" s="127" t="s">
        <v>428</v>
      </c>
      <c r="C643" s="109" t="s">
        <v>394</v>
      </c>
      <c r="D643" s="108" t="s">
        <v>229</v>
      </c>
      <c r="E643" s="108" t="s">
        <v>229</v>
      </c>
      <c r="F643" s="108" t="s">
        <v>427</v>
      </c>
      <c r="G643" s="108" t="s">
        <v>429</v>
      </c>
      <c r="H643" s="126"/>
      <c r="I643" s="178" t="str">
        <f t="shared" si="82"/>
        <v>606070716 2 02 20550622</v>
      </c>
      <c r="L643" s="22"/>
      <c r="M643" s="22"/>
      <c r="N643" s="22"/>
      <c r="O643" s="22"/>
      <c r="P643" s="22"/>
      <c r="Q643" s="22"/>
    </row>
    <row r="644" spans="1:18" s="17" customFormat="1" ht="15.75">
      <c r="A644" s="14"/>
      <c r="B644" s="121" t="s">
        <v>470</v>
      </c>
      <c r="C644" s="122" t="s">
        <v>394</v>
      </c>
      <c r="D644" s="123" t="s">
        <v>229</v>
      </c>
      <c r="E644" s="123" t="s">
        <v>471</v>
      </c>
      <c r="F644" s="123" t="s">
        <v>8</v>
      </c>
      <c r="G644" s="123" t="s">
        <v>9</v>
      </c>
      <c r="H644" s="124">
        <f>H645+H659+H665</f>
        <v>0</v>
      </c>
      <c r="I644" s="178" t="str">
        <f t="shared" si="82"/>
        <v>606070900 0 00 00000000</v>
      </c>
      <c r="L644" s="19">
        <v>44600.35</v>
      </c>
      <c r="M644" s="19">
        <v>44503.65</v>
      </c>
      <c r="N644" s="19">
        <v>44503.65</v>
      </c>
      <c r="O644" s="19">
        <f t="shared" ref="O644:O649" si="87">H644-L644</f>
        <v>-44600.35</v>
      </c>
      <c r="P644" s="19" t="e">
        <f>#REF!-M644</f>
        <v>#REF!</v>
      </c>
      <c r="Q644" s="19" t="e">
        <f>#REF!-N644</f>
        <v>#REF!</v>
      </c>
      <c r="R644" s="17" t="str">
        <f t="shared" si="79"/>
        <v>00 0 00 00000000</v>
      </c>
    </row>
    <row r="645" spans="1:18" s="17" customFormat="1" ht="31.5">
      <c r="A645" s="14"/>
      <c r="B645" s="132" t="s">
        <v>396</v>
      </c>
      <c r="C645" s="109" t="s">
        <v>394</v>
      </c>
      <c r="D645" s="108" t="s">
        <v>229</v>
      </c>
      <c r="E645" s="108" t="s">
        <v>471</v>
      </c>
      <c r="F645" s="108" t="s">
        <v>397</v>
      </c>
      <c r="G645" s="108" t="s">
        <v>9</v>
      </c>
      <c r="H645" s="126">
        <f>H646</f>
        <v>0</v>
      </c>
      <c r="I645" s="178" t="str">
        <f t="shared" si="82"/>
        <v>606070901 0 00 00000000</v>
      </c>
      <c r="L645" s="20">
        <v>12029.32</v>
      </c>
      <c r="M645" s="20">
        <v>12029.32</v>
      </c>
      <c r="N645" s="20">
        <v>12029.32</v>
      </c>
      <c r="O645" s="20">
        <f t="shared" si="87"/>
        <v>-12029.32</v>
      </c>
      <c r="P645" s="20" t="e">
        <f>#REF!-M645</f>
        <v>#REF!</v>
      </c>
      <c r="Q645" s="20" t="e">
        <f>#REF!-N645</f>
        <v>#REF!</v>
      </c>
      <c r="R645" s="17" t="str">
        <f t="shared" si="79"/>
        <v>01 0 00 00000000</v>
      </c>
    </row>
    <row r="646" spans="1:18" s="17" customFormat="1" ht="31.5">
      <c r="A646" s="14"/>
      <c r="B646" s="132" t="s">
        <v>398</v>
      </c>
      <c r="C646" s="109" t="s">
        <v>394</v>
      </c>
      <c r="D646" s="108" t="s">
        <v>229</v>
      </c>
      <c r="E646" s="108" t="s">
        <v>471</v>
      </c>
      <c r="F646" s="108" t="s">
        <v>399</v>
      </c>
      <c r="G646" s="108" t="s">
        <v>9</v>
      </c>
      <c r="H646" s="126">
        <f>H647+H655</f>
        <v>0</v>
      </c>
      <c r="I646" s="178" t="str">
        <f t="shared" si="82"/>
        <v>606070901 1 00 00000000</v>
      </c>
      <c r="L646" s="20">
        <v>12029.32</v>
      </c>
      <c r="M646" s="20">
        <v>12029.32</v>
      </c>
      <c r="N646" s="20">
        <v>12029.32</v>
      </c>
      <c r="O646" s="20">
        <f t="shared" si="87"/>
        <v>-12029.32</v>
      </c>
      <c r="P646" s="20" t="e">
        <f>#REF!-M646</f>
        <v>#REF!</v>
      </c>
      <c r="Q646" s="20" t="e">
        <f>#REF!-N646</f>
        <v>#REF!</v>
      </c>
      <c r="R646" s="17" t="str">
        <f t="shared" si="79"/>
        <v>01 1 00 00000000</v>
      </c>
    </row>
    <row r="647" spans="1:18" s="17" customFormat="1" ht="63">
      <c r="A647" s="14"/>
      <c r="B647" s="132" t="s">
        <v>472</v>
      </c>
      <c r="C647" s="109" t="s">
        <v>394</v>
      </c>
      <c r="D647" s="108" t="s">
        <v>229</v>
      </c>
      <c r="E647" s="108" t="s">
        <v>471</v>
      </c>
      <c r="F647" s="108" t="s">
        <v>473</v>
      </c>
      <c r="G647" s="108" t="s">
        <v>9</v>
      </c>
      <c r="H647" s="126">
        <f>H648</f>
        <v>0</v>
      </c>
      <c r="I647" s="178" t="str">
        <f t="shared" si="82"/>
        <v>606070901 1 05 00000000</v>
      </c>
      <c r="L647" s="20">
        <v>5078.79</v>
      </c>
      <c r="M647" s="20">
        <v>5078.79</v>
      </c>
      <c r="N647" s="20">
        <v>5078.79</v>
      </c>
      <c r="O647" s="20">
        <f t="shared" si="87"/>
        <v>-5078.79</v>
      </c>
      <c r="P647" s="20" t="e">
        <f>#REF!-M647</f>
        <v>#REF!</v>
      </c>
      <c r="Q647" s="20" t="e">
        <f>#REF!-N647</f>
        <v>#REF!</v>
      </c>
      <c r="R647" s="17" t="str">
        <f t="shared" si="79"/>
        <v>01 1 05 00000000</v>
      </c>
    </row>
    <row r="648" spans="1:18" s="17" customFormat="1" ht="31.5">
      <c r="A648" s="14"/>
      <c r="B648" s="132" t="s">
        <v>474</v>
      </c>
      <c r="C648" s="109" t="s">
        <v>394</v>
      </c>
      <c r="D648" s="108" t="s">
        <v>229</v>
      </c>
      <c r="E648" s="108" t="s">
        <v>471</v>
      </c>
      <c r="F648" s="108" t="s">
        <v>475</v>
      </c>
      <c r="G648" s="108" t="s">
        <v>9</v>
      </c>
      <c r="H648" s="126">
        <f>H649+H651+H653</f>
        <v>0</v>
      </c>
      <c r="I648" s="178" t="str">
        <f t="shared" si="82"/>
        <v>606070901 1 05 20240000</v>
      </c>
      <c r="L648" s="20">
        <v>5078.79</v>
      </c>
      <c r="M648" s="20">
        <v>5078.79</v>
      </c>
      <c r="N648" s="20">
        <v>5078.79</v>
      </c>
      <c r="O648" s="20">
        <f t="shared" si="87"/>
        <v>-5078.79</v>
      </c>
      <c r="P648" s="20" t="e">
        <f>#REF!-M648</f>
        <v>#REF!</v>
      </c>
      <c r="Q648" s="20" t="e">
        <f>#REF!-N648</f>
        <v>#REF!</v>
      </c>
      <c r="R648" s="17" t="str">
        <f t="shared" si="79"/>
        <v>01 1 05 20240000</v>
      </c>
    </row>
    <row r="649" spans="1:18" s="17" customFormat="1" ht="31.5">
      <c r="A649" s="14"/>
      <c r="B649" s="125" t="s">
        <v>28</v>
      </c>
      <c r="C649" s="109" t="s">
        <v>394</v>
      </c>
      <c r="D649" s="108" t="s">
        <v>229</v>
      </c>
      <c r="E649" s="108" t="s">
        <v>471</v>
      </c>
      <c r="F649" s="108" t="s">
        <v>475</v>
      </c>
      <c r="G649" s="108" t="s">
        <v>29</v>
      </c>
      <c r="H649" s="126">
        <f>H650</f>
        <v>0</v>
      </c>
      <c r="I649" s="178" t="str">
        <f t="shared" si="82"/>
        <v>606070901 1 05 20240240</v>
      </c>
      <c r="L649" s="20">
        <v>200</v>
      </c>
      <c r="M649" s="20">
        <v>200</v>
      </c>
      <c r="N649" s="20">
        <v>200</v>
      </c>
      <c r="O649" s="20">
        <f t="shared" si="87"/>
        <v>-200</v>
      </c>
      <c r="P649" s="20" t="e">
        <f>#REF!-M649</f>
        <v>#REF!</v>
      </c>
      <c r="Q649" s="20" t="e">
        <f>#REF!-N649</f>
        <v>#REF!</v>
      </c>
      <c r="R649" s="17" t="str">
        <f t="shared" si="79"/>
        <v>01 1 05 20240240</v>
      </c>
    </row>
    <row r="650" spans="1:18" s="17" customFormat="1" ht="15.75">
      <c r="A650" s="14"/>
      <c r="B650" s="125" t="s">
        <v>30</v>
      </c>
      <c r="C650" s="109" t="s">
        <v>394</v>
      </c>
      <c r="D650" s="108" t="s">
        <v>229</v>
      </c>
      <c r="E650" s="108" t="s">
        <v>471</v>
      </c>
      <c r="F650" s="108" t="s">
        <v>475</v>
      </c>
      <c r="G650" s="108" t="s">
        <v>31</v>
      </c>
      <c r="H650" s="126"/>
      <c r="I650" s="178" t="str">
        <f t="shared" si="82"/>
        <v>606070901 1 05 20240244</v>
      </c>
      <c r="L650" s="20"/>
      <c r="M650" s="20"/>
      <c r="N650" s="20"/>
      <c r="O650" s="20"/>
      <c r="P650" s="20"/>
      <c r="Q650" s="20"/>
      <c r="R650" s="17" t="str">
        <f t="shared" si="79"/>
        <v>01 1 05 20240244</v>
      </c>
    </row>
    <row r="651" spans="1:18" s="17" customFormat="1" ht="15.75">
      <c r="A651" s="14"/>
      <c r="B651" s="132" t="s">
        <v>403</v>
      </c>
      <c r="C651" s="109" t="s">
        <v>394</v>
      </c>
      <c r="D651" s="108" t="s">
        <v>229</v>
      </c>
      <c r="E651" s="108" t="s">
        <v>471</v>
      </c>
      <c r="F651" s="108" t="s">
        <v>475</v>
      </c>
      <c r="G651" s="108" t="s">
        <v>404</v>
      </c>
      <c r="H651" s="126">
        <f>H652</f>
        <v>0</v>
      </c>
      <c r="I651" s="178" t="str">
        <f t="shared" si="82"/>
        <v>606070901 1 05 20240610</v>
      </c>
      <c r="L651" s="20">
        <v>4533.5</v>
      </c>
      <c r="M651" s="20">
        <v>4533.5</v>
      </c>
      <c r="N651" s="20">
        <v>4533.5</v>
      </c>
      <c r="O651" s="20">
        <f>H651-L651</f>
        <v>-4533.5</v>
      </c>
      <c r="P651" s="20" t="e">
        <f>#REF!-M651</f>
        <v>#REF!</v>
      </c>
      <c r="Q651" s="20" t="e">
        <f>#REF!-N651</f>
        <v>#REF!</v>
      </c>
      <c r="R651" s="17" t="str">
        <f t="shared" si="79"/>
        <v>01 1 05 20240610</v>
      </c>
    </row>
    <row r="652" spans="1:18" s="24" customFormat="1" ht="15.75">
      <c r="A652" s="21"/>
      <c r="B652" s="127" t="s">
        <v>407</v>
      </c>
      <c r="C652" s="109" t="s">
        <v>394</v>
      </c>
      <c r="D652" s="108" t="s">
        <v>229</v>
      </c>
      <c r="E652" s="108" t="s">
        <v>471</v>
      </c>
      <c r="F652" s="108" t="s">
        <v>475</v>
      </c>
      <c r="G652" s="108" t="s">
        <v>408</v>
      </c>
      <c r="H652" s="126"/>
      <c r="I652" s="178" t="str">
        <f t="shared" si="82"/>
        <v>606070901 1 05 20240612</v>
      </c>
      <c r="L652" s="22"/>
      <c r="M652" s="22"/>
      <c r="N652" s="22"/>
      <c r="O652" s="22"/>
      <c r="P652" s="22"/>
      <c r="Q652" s="22"/>
    </row>
    <row r="653" spans="1:18" s="17" customFormat="1" ht="15.75">
      <c r="A653" s="14"/>
      <c r="B653" s="132" t="s">
        <v>409</v>
      </c>
      <c r="C653" s="109" t="s">
        <v>394</v>
      </c>
      <c r="D653" s="108" t="s">
        <v>229</v>
      </c>
      <c r="E653" s="108" t="s">
        <v>471</v>
      </c>
      <c r="F653" s="108" t="s">
        <v>475</v>
      </c>
      <c r="G653" s="108" t="s">
        <v>410</v>
      </c>
      <c r="H653" s="126">
        <f>H654</f>
        <v>0</v>
      </c>
      <c r="I653" s="178" t="str">
        <f t="shared" si="82"/>
        <v>606070901 1 05 20240620</v>
      </c>
      <c r="L653" s="20">
        <v>345.29</v>
      </c>
      <c r="M653" s="20">
        <v>345.29</v>
      </c>
      <c r="N653" s="20">
        <v>345.29</v>
      </c>
      <c r="O653" s="20">
        <f>H653-L653</f>
        <v>-345.29</v>
      </c>
      <c r="P653" s="20" t="e">
        <f>#REF!-M653</f>
        <v>#REF!</v>
      </c>
      <c r="Q653" s="20" t="e">
        <f>#REF!-N653</f>
        <v>#REF!</v>
      </c>
      <c r="R653" s="17" t="str">
        <f t="shared" si="79"/>
        <v>01 1 05 20240620</v>
      </c>
    </row>
    <row r="654" spans="1:18" s="24" customFormat="1" ht="15.75">
      <c r="A654" s="21"/>
      <c r="B654" s="127" t="s">
        <v>428</v>
      </c>
      <c r="C654" s="109" t="s">
        <v>394</v>
      </c>
      <c r="D654" s="108" t="s">
        <v>229</v>
      </c>
      <c r="E654" s="108" t="s">
        <v>471</v>
      </c>
      <c r="F654" s="108" t="s">
        <v>475</v>
      </c>
      <c r="G654" s="108" t="s">
        <v>429</v>
      </c>
      <c r="H654" s="126"/>
      <c r="I654" s="178" t="str">
        <f t="shared" si="82"/>
        <v>606070901 1 05 20240622</v>
      </c>
      <c r="L654" s="22"/>
      <c r="M654" s="22"/>
      <c r="N654" s="22"/>
      <c r="O654" s="22"/>
      <c r="P654" s="22"/>
      <c r="Q654" s="22"/>
    </row>
    <row r="655" spans="1:18" s="17" customFormat="1" ht="31.5">
      <c r="A655" s="14"/>
      <c r="B655" s="129" t="s">
        <v>476</v>
      </c>
      <c r="C655" s="130" t="s">
        <v>394</v>
      </c>
      <c r="D655" s="131" t="s">
        <v>229</v>
      </c>
      <c r="E655" s="131" t="s">
        <v>471</v>
      </c>
      <c r="F655" s="131" t="s">
        <v>477</v>
      </c>
      <c r="G655" s="131" t="s">
        <v>9</v>
      </c>
      <c r="H655" s="105">
        <f>H656</f>
        <v>0</v>
      </c>
      <c r="I655" s="178" t="str">
        <f t="shared" si="82"/>
        <v>606070901 1 08 00000000</v>
      </c>
      <c r="L655" s="26">
        <v>6950.5300000000007</v>
      </c>
      <c r="M655" s="26">
        <v>6950.5300000000007</v>
      </c>
      <c r="N655" s="26">
        <v>6950.5300000000007</v>
      </c>
      <c r="O655" s="26">
        <f>H655-L655</f>
        <v>-6950.5300000000007</v>
      </c>
      <c r="P655" s="26" t="e">
        <f>#REF!-M655</f>
        <v>#REF!</v>
      </c>
      <c r="Q655" s="26" t="e">
        <f>#REF!-N655</f>
        <v>#REF!</v>
      </c>
      <c r="R655" s="17" t="str">
        <f t="shared" si="79"/>
        <v>01 1 08 00000000</v>
      </c>
    </row>
    <row r="656" spans="1:18" s="17" customFormat="1" ht="31.5">
      <c r="A656" s="14"/>
      <c r="B656" s="140" t="s">
        <v>136</v>
      </c>
      <c r="C656" s="130" t="s">
        <v>394</v>
      </c>
      <c r="D656" s="131" t="s">
        <v>229</v>
      </c>
      <c r="E656" s="131" t="s">
        <v>471</v>
      </c>
      <c r="F656" s="131" t="s">
        <v>478</v>
      </c>
      <c r="G656" s="131" t="s">
        <v>9</v>
      </c>
      <c r="H656" s="105">
        <f>SUM(H657:H657)</f>
        <v>0</v>
      </c>
      <c r="I656" s="178" t="str">
        <f t="shared" si="82"/>
        <v>606070901 1 08 11010000</v>
      </c>
      <c r="L656" s="26">
        <v>6950.5300000000007</v>
      </c>
      <c r="M656" s="26">
        <v>6950.5300000000007</v>
      </c>
      <c r="N656" s="26">
        <v>6950.5300000000007</v>
      </c>
      <c r="O656" s="26">
        <f>H656-L656</f>
        <v>-6950.5300000000007</v>
      </c>
      <c r="P656" s="26" t="e">
        <f>#REF!-M656</f>
        <v>#REF!</v>
      </c>
      <c r="Q656" s="26" t="e">
        <f>#REF!-N656</f>
        <v>#REF!</v>
      </c>
      <c r="R656" s="17" t="str">
        <f t="shared" si="79"/>
        <v>01 1 08 11010000</v>
      </c>
    </row>
    <row r="657" spans="1:18" s="17" customFormat="1" ht="15.75">
      <c r="A657" s="14"/>
      <c r="B657" s="140" t="s">
        <v>403</v>
      </c>
      <c r="C657" s="130" t="s">
        <v>394</v>
      </c>
      <c r="D657" s="131" t="s">
        <v>229</v>
      </c>
      <c r="E657" s="131" t="s">
        <v>471</v>
      </c>
      <c r="F657" s="131" t="s">
        <v>478</v>
      </c>
      <c r="G657" s="131" t="s">
        <v>404</v>
      </c>
      <c r="H657" s="126">
        <f>H658</f>
        <v>0</v>
      </c>
      <c r="I657" s="178" t="str">
        <f t="shared" si="82"/>
        <v>606070901 1 08 11010610</v>
      </c>
      <c r="L657" s="20">
        <v>6950.5300000000007</v>
      </c>
      <c r="M657" s="20">
        <v>6950.5300000000007</v>
      </c>
      <c r="N657" s="20">
        <v>6950.5300000000007</v>
      </c>
      <c r="O657" s="20">
        <f>H657-L657</f>
        <v>-6950.5300000000007</v>
      </c>
      <c r="P657" s="20" t="e">
        <f>#REF!-M657</f>
        <v>#REF!</v>
      </c>
      <c r="Q657" s="20" t="e">
        <f>#REF!-N657</f>
        <v>#REF!</v>
      </c>
      <c r="R657" s="17" t="str">
        <f t="shared" si="79"/>
        <v>01 1 08 11010610</v>
      </c>
    </row>
    <row r="658" spans="1:18" s="24" customFormat="1" ht="63">
      <c r="A658" s="21"/>
      <c r="B658" s="127" t="s">
        <v>405</v>
      </c>
      <c r="C658" s="130" t="s">
        <v>394</v>
      </c>
      <c r="D658" s="131" t="s">
        <v>229</v>
      </c>
      <c r="E658" s="131" t="s">
        <v>471</v>
      </c>
      <c r="F658" s="131" t="s">
        <v>478</v>
      </c>
      <c r="G658" s="108" t="s">
        <v>406</v>
      </c>
      <c r="H658" s="126"/>
      <c r="I658" s="178" t="str">
        <f t="shared" si="82"/>
        <v>606070901 1 08 11010611</v>
      </c>
      <c r="L658" s="22"/>
      <c r="M658" s="22"/>
      <c r="N658" s="22"/>
      <c r="O658" s="22"/>
      <c r="P658" s="22"/>
      <c r="Q658" s="22"/>
    </row>
    <row r="659" spans="1:18" s="17" customFormat="1" ht="94.5">
      <c r="A659" s="14"/>
      <c r="B659" s="125" t="s">
        <v>420</v>
      </c>
      <c r="C659" s="109" t="s">
        <v>394</v>
      </c>
      <c r="D659" s="108" t="s">
        <v>229</v>
      </c>
      <c r="E659" s="108" t="s">
        <v>471</v>
      </c>
      <c r="F659" s="108" t="s">
        <v>421</v>
      </c>
      <c r="G659" s="108" t="s">
        <v>9</v>
      </c>
      <c r="H659" s="126">
        <f t="shared" ref="H659:H662" si="88">H660</f>
        <v>0</v>
      </c>
      <c r="I659" s="178" t="str">
        <f t="shared" si="82"/>
        <v>606070916 0 00 00000000</v>
      </c>
      <c r="L659" s="20">
        <v>58.6</v>
      </c>
      <c r="M659" s="20">
        <v>58.6</v>
      </c>
      <c r="N659" s="20">
        <v>58.6</v>
      </c>
      <c r="O659" s="20">
        <f>H659-L659</f>
        <v>-58.6</v>
      </c>
      <c r="P659" s="20" t="e">
        <f>#REF!-M659</f>
        <v>#REF!</v>
      </c>
      <c r="Q659" s="20" t="e">
        <f>#REF!-N659</f>
        <v>#REF!</v>
      </c>
      <c r="R659" s="17" t="str">
        <f t="shared" si="79"/>
        <v>16 0 00 00000000</v>
      </c>
    </row>
    <row r="660" spans="1:18" s="17" customFormat="1" ht="31.5">
      <c r="A660" s="14"/>
      <c r="B660" s="125" t="s">
        <v>422</v>
      </c>
      <c r="C660" s="109" t="s">
        <v>394</v>
      </c>
      <c r="D660" s="108" t="s">
        <v>229</v>
      </c>
      <c r="E660" s="108" t="s">
        <v>471</v>
      </c>
      <c r="F660" s="108" t="s">
        <v>423</v>
      </c>
      <c r="G660" s="108" t="s">
        <v>9</v>
      </c>
      <c r="H660" s="126">
        <f t="shared" si="88"/>
        <v>0</v>
      </c>
      <c r="I660" s="178" t="str">
        <f t="shared" si="82"/>
        <v>606070916 2 00 00000000</v>
      </c>
      <c r="L660" s="20">
        <v>58.6</v>
      </c>
      <c r="M660" s="20">
        <v>58.6</v>
      </c>
      <c r="N660" s="20">
        <v>58.6</v>
      </c>
      <c r="O660" s="20">
        <f>H660-L660</f>
        <v>-58.6</v>
      </c>
      <c r="P660" s="20" t="e">
        <f>#REF!-M660</f>
        <v>#REF!</v>
      </c>
      <c r="Q660" s="20" t="e">
        <f>#REF!-N660</f>
        <v>#REF!</v>
      </c>
      <c r="R660" s="17" t="str">
        <f t="shared" si="79"/>
        <v>16 2 00 00000000</v>
      </c>
    </row>
    <row r="661" spans="1:18" s="17" customFormat="1" ht="47.25">
      <c r="A661" s="14"/>
      <c r="B661" s="125" t="s">
        <v>424</v>
      </c>
      <c r="C661" s="109" t="s">
        <v>394</v>
      </c>
      <c r="D661" s="108" t="s">
        <v>229</v>
      </c>
      <c r="E661" s="108" t="s">
        <v>471</v>
      </c>
      <c r="F661" s="108" t="s">
        <v>425</v>
      </c>
      <c r="G661" s="108" t="s">
        <v>9</v>
      </c>
      <c r="H661" s="126">
        <f t="shared" si="88"/>
        <v>0</v>
      </c>
      <c r="I661" s="178" t="str">
        <f t="shared" ref="I661:I724" si="89">C661&amp;D661&amp;E661&amp;F661&amp;G661</f>
        <v>606070916 2 02 00000000</v>
      </c>
      <c r="L661" s="20">
        <v>58.6</v>
      </c>
      <c r="M661" s="20">
        <v>58.6</v>
      </c>
      <c r="N661" s="20">
        <v>58.6</v>
      </c>
      <c r="O661" s="20">
        <f>H661-L661</f>
        <v>-58.6</v>
      </c>
      <c r="P661" s="20" t="e">
        <f>#REF!-M661</f>
        <v>#REF!</v>
      </c>
      <c r="Q661" s="20" t="e">
        <f>#REF!-N661</f>
        <v>#REF!</v>
      </c>
      <c r="R661" s="17" t="str">
        <f t="shared" si="79"/>
        <v>16 2 02 00000000</v>
      </c>
    </row>
    <row r="662" spans="1:18" s="17" customFormat="1" ht="47.25">
      <c r="A662" s="14"/>
      <c r="B662" s="125" t="s">
        <v>426</v>
      </c>
      <c r="C662" s="109" t="s">
        <v>394</v>
      </c>
      <c r="D662" s="108" t="s">
        <v>229</v>
      </c>
      <c r="E662" s="108" t="s">
        <v>471</v>
      </c>
      <c r="F662" s="108" t="s">
        <v>427</v>
      </c>
      <c r="G662" s="108" t="s">
        <v>9</v>
      </c>
      <c r="H662" s="126">
        <f t="shared" si="88"/>
        <v>0</v>
      </c>
      <c r="I662" s="178" t="str">
        <f t="shared" si="89"/>
        <v>606070916 2 02 20550000</v>
      </c>
      <c r="L662" s="20">
        <v>58.6</v>
      </c>
      <c r="M662" s="20">
        <v>58.6</v>
      </c>
      <c r="N662" s="20">
        <v>58.6</v>
      </c>
      <c r="O662" s="20">
        <f>H662-L662</f>
        <v>-58.6</v>
      </c>
      <c r="P662" s="20" t="e">
        <f>#REF!-M662</f>
        <v>#REF!</v>
      </c>
      <c r="Q662" s="20" t="e">
        <f>#REF!-N662</f>
        <v>#REF!</v>
      </c>
      <c r="R662" s="17" t="str">
        <f t="shared" si="79"/>
        <v>16 2 02 20550000</v>
      </c>
    </row>
    <row r="663" spans="1:18" s="17" customFormat="1" ht="15.75">
      <c r="A663" s="14"/>
      <c r="B663" s="132" t="s">
        <v>403</v>
      </c>
      <c r="C663" s="109" t="s">
        <v>394</v>
      </c>
      <c r="D663" s="108" t="s">
        <v>229</v>
      </c>
      <c r="E663" s="108" t="s">
        <v>471</v>
      </c>
      <c r="F663" s="108" t="s">
        <v>427</v>
      </c>
      <c r="G663" s="108" t="s">
        <v>404</v>
      </c>
      <c r="H663" s="126">
        <f>H664</f>
        <v>0</v>
      </c>
      <c r="I663" s="178" t="str">
        <f t="shared" si="89"/>
        <v>606070916 2 02 20550610</v>
      </c>
      <c r="L663" s="20">
        <v>58.6</v>
      </c>
      <c r="M663" s="20">
        <v>58.6</v>
      </c>
      <c r="N663" s="20">
        <v>58.6</v>
      </c>
      <c r="O663" s="20">
        <f>H663-L663</f>
        <v>-58.6</v>
      </c>
      <c r="P663" s="20" t="e">
        <f>#REF!-M663</f>
        <v>#REF!</v>
      </c>
      <c r="Q663" s="20" t="e">
        <f>#REF!-N663</f>
        <v>#REF!</v>
      </c>
      <c r="R663" s="17" t="str">
        <f t="shared" si="79"/>
        <v>16 2 02 20550610</v>
      </c>
    </row>
    <row r="664" spans="1:18" s="24" customFormat="1" ht="15.75">
      <c r="A664" s="21"/>
      <c r="B664" s="127" t="s">
        <v>407</v>
      </c>
      <c r="C664" s="109" t="s">
        <v>394</v>
      </c>
      <c r="D664" s="108" t="s">
        <v>229</v>
      </c>
      <c r="E664" s="108" t="s">
        <v>471</v>
      </c>
      <c r="F664" s="108" t="s">
        <v>427</v>
      </c>
      <c r="G664" s="108" t="s">
        <v>408</v>
      </c>
      <c r="H664" s="126"/>
      <c r="I664" s="178" t="str">
        <f t="shared" si="89"/>
        <v>606070916 2 02 20550612</v>
      </c>
      <c r="L664" s="22"/>
      <c r="M664" s="22"/>
      <c r="N664" s="22"/>
      <c r="O664" s="22"/>
      <c r="P664" s="22"/>
      <c r="Q664" s="22"/>
    </row>
    <row r="665" spans="1:18" s="17" customFormat="1" ht="31.5">
      <c r="A665" s="14"/>
      <c r="B665" s="125" t="s">
        <v>479</v>
      </c>
      <c r="C665" s="109" t="s">
        <v>394</v>
      </c>
      <c r="D665" s="108" t="s">
        <v>229</v>
      </c>
      <c r="E665" s="108" t="s">
        <v>471</v>
      </c>
      <c r="F665" s="108" t="s">
        <v>480</v>
      </c>
      <c r="G665" s="108" t="s">
        <v>9</v>
      </c>
      <c r="H665" s="126">
        <f>H666</f>
        <v>0</v>
      </c>
      <c r="I665" s="178" t="str">
        <f t="shared" si="89"/>
        <v>606070975 0 00 00000000</v>
      </c>
      <c r="L665" s="20">
        <v>32512.43</v>
      </c>
      <c r="M665" s="20">
        <v>32415.73</v>
      </c>
      <c r="N665" s="20">
        <v>32415.73</v>
      </c>
      <c r="O665" s="20">
        <f>H665-L665</f>
        <v>-32512.43</v>
      </c>
      <c r="P665" s="20" t="e">
        <f>#REF!-M665</f>
        <v>#REF!</v>
      </c>
      <c r="Q665" s="20" t="e">
        <f>#REF!-N665</f>
        <v>#REF!</v>
      </c>
      <c r="R665" s="17" t="str">
        <f t="shared" si="79"/>
        <v>75 0 00 00000000</v>
      </c>
    </row>
    <row r="666" spans="1:18" s="17" customFormat="1" ht="47.25">
      <c r="A666" s="14"/>
      <c r="B666" s="125" t="s">
        <v>481</v>
      </c>
      <c r="C666" s="109" t="s">
        <v>394</v>
      </c>
      <c r="D666" s="108" t="s">
        <v>229</v>
      </c>
      <c r="E666" s="108" t="s">
        <v>471</v>
      </c>
      <c r="F666" s="108" t="s">
        <v>482</v>
      </c>
      <c r="G666" s="108" t="s">
        <v>9</v>
      </c>
      <c r="H666" s="126">
        <f>H667+H677+H687+H681</f>
        <v>0</v>
      </c>
      <c r="I666" s="178" t="str">
        <f t="shared" si="89"/>
        <v>606070975 1 00 00000000</v>
      </c>
      <c r="L666" s="20">
        <v>32512.43</v>
      </c>
      <c r="M666" s="20">
        <v>32415.73</v>
      </c>
      <c r="N666" s="20">
        <v>32415.73</v>
      </c>
      <c r="O666" s="20">
        <f>H666-L666</f>
        <v>-32512.43</v>
      </c>
      <c r="P666" s="20" t="e">
        <f>#REF!-M666</f>
        <v>#REF!</v>
      </c>
      <c r="Q666" s="20" t="e">
        <f>#REF!-N666</f>
        <v>#REF!</v>
      </c>
      <c r="R666" s="17" t="str">
        <f t="shared" si="79"/>
        <v>75 1 00 00000000</v>
      </c>
    </row>
    <row r="667" spans="1:18" s="17" customFormat="1" ht="31.5">
      <c r="A667" s="14"/>
      <c r="B667" s="125" t="s">
        <v>18</v>
      </c>
      <c r="C667" s="109" t="s">
        <v>394</v>
      </c>
      <c r="D667" s="108" t="s">
        <v>229</v>
      </c>
      <c r="E667" s="108" t="s">
        <v>471</v>
      </c>
      <c r="F667" s="108" t="s">
        <v>483</v>
      </c>
      <c r="G667" s="108" t="s">
        <v>9</v>
      </c>
      <c r="H667" s="126">
        <f>H668+H671+H673</f>
        <v>0</v>
      </c>
      <c r="I667" s="178" t="str">
        <f t="shared" si="89"/>
        <v>606070975 1 00 10010000</v>
      </c>
      <c r="L667" s="20">
        <v>2420.89</v>
      </c>
      <c r="M667" s="20">
        <v>2420.89</v>
      </c>
      <c r="N667" s="20">
        <v>2420.89</v>
      </c>
      <c r="O667" s="20">
        <f>H667-L667</f>
        <v>-2420.89</v>
      </c>
      <c r="P667" s="20" t="e">
        <f>#REF!-M667</f>
        <v>#REF!</v>
      </c>
      <c r="Q667" s="20" t="e">
        <f>#REF!-N667</f>
        <v>#REF!</v>
      </c>
      <c r="R667" s="17" t="str">
        <f t="shared" ref="R667:R766" si="90">CONCATENATE(F667,G667)</f>
        <v>75 1 00 10010000</v>
      </c>
    </row>
    <row r="668" spans="1:18" s="17" customFormat="1" ht="31.5">
      <c r="A668" s="14"/>
      <c r="B668" s="125" t="s">
        <v>484</v>
      </c>
      <c r="C668" s="109" t="s">
        <v>394</v>
      </c>
      <c r="D668" s="108" t="s">
        <v>229</v>
      </c>
      <c r="E668" s="108" t="s">
        <v>471</v>
      </c>
      <c r="F668" s="108" t="s">
        <v>483</v>
      </c>
      <c r="G668" s="108" t="s">
        <v>21</v>
      </c>
      <c r="H668" s="126">
        <f>SUM(H669:H670)</f>
        <v>0</v>
      </c>
      <c r="I668" s="178" t="str">
        <f t="shared" si="89"/>
        <v>606070975 1 00 10010120</v>
      </c>
      <c r="L668" s="20">
        <v>677.24</v>
      </c>
      <c r="M668" s="20">
        <v>677.24</v>
      </c>
      <c r="N668" s="20">
        <v>677.24</v>
      </c>
      <c r="O668" s="20">
        <f>H668-L668</f>
        <v>-677.24</v>
      </c>
      <c r="P668" s="20" t="e">
        <f>#REF!-M668</f>
        <v>#REF!</v>
      </c>
      <c r="Q668" s="20" t="e">
        <f>#REF!-N668</f>
        <v>#REF!</v>
      </c>
      <c r="R668" s="17" t="str">
        <f t="shared" si="90"/>
        <v>75 1 00 10010120</v>
      </c>
    </row>
    <row r="669" spans="1:18" s="24" customFormat="1" ht="47.25">
      <c r="A669" s="21"/>
      <c r="B669" s="127" t="s">
        <v>22</v>
      </c>
      <c r="C669" s="109" t="s">
        <v>394</v>
      </c>
      <c r="D669" s="108" t="s">
        <v>229</v>
      </c>
      <c r="E669" s="108" t="s">
        <v>471</v>
      </c>
      <c r="F669" s="108" t="s">
        <v>483</v>
      </c>
      <c r="G669" s="108" t="s">
        <v>23</v>
      </c>
      <c r="H669" s="126"/>
      <c r="I669" s="178" t="str">
        <f t="shared" si="89"/>
        <v>606070975 1 00 10010122</v>
      </c>
      <c r="L669" s="22"/>
      <c r="M669" s="22"/>
      <c r="N669" s="22"/>
      <c r="O669" s="22"/>
      <c r="P669" s="22"/>
      <c r="Q669" s="22"/>
    </row>
    <row r="670" spans="1:18" s="24" customFormat="1" ht="63">
      <c r="A670" s="21"/>
      <c r="B670" s="127" t="s">
        <v>26</v>
      </c>
      <c r="C670" s="109" t="s">
        <v>394</v>
      </c>
      <c r="D670" s="108" t="s">
        <v>229</v>
      </c>
      <c r="E670" s="108" t="s">
        <v>471</v>
      </c>
      <c r="F670" s="108" t="s">
        <v>483</v>
      </c>
      <c r="G670" s="108" t="s">
        <v>27</v>
      </c>
      <c r="H670" s="126"/>
      <c r="I670" s="178" t="str">
        <f t="shared" si="89"/>
        <v>606070975 1 00 10010129</v>
      </c>
      <c r="L670" s="22"/>
      <c r="M670" s="22"/>
      <c r="N670" s="22"/>
      <c r="O670" s="22"/>
      <c r="P670" s="22"/>
      <c r="Q670" s="22"/>
    </row>
    <row r="671" spans="1:18" s="17" customFormat="1" ht="31.5">
      <c r="A671" s="14"/>
      <c r="B671" s="125" t="s">
        <v>28</v>
      </c>
      <c r="C671" s="109" t="s">
        <v>394</v>
      </c>
      <c r="D671" s="108" t="s">
        <v>229</v>
      </c>
      <c r="E671" s="108" t="s">
        <v>471</v>
      </c>
      <c r="F671" s="108" t="s">
        <v>483</v>
      </c>
      <c r="G671" s="108" t="s">
        <v>29</v>
      </c>
      <c r="H671" s="126">
        <f>H672</f>
        <v>0</v>
      </c>
      <c r="I671" s="178" t="str">
        <f t="shared" si="89"/>
        <v>606070975 1 00 10010240</v>
      </c>
      <c r="L671" s="20">
        <v>1690.51</v>
      </c>
      <c r="M671" s="20">
        <v>1690.51</v>
      </c>
      <c r="N671" s="20">
        <v>1690.51</v>
      </c>
      <c r="O671" s="20">
        <f>H671-L671</f>
        <v>-1690.51</v>
      </c>
      <c r="P671" s="20" t="e">
        <f>#REF!-M671</f>
        <v>#REF!</v>
      </c>
      <c r="Q671" s="20" t="e">
        <f>#REF!-N671</f>
        <v>#REF!</v>
      </c>
      <c r="R671" s="17" t="str">
        <f t="shared" si="90"/>
        <v>75 1 00 10010240</v>
      </c>
    </row>
    <row r="672" spans="1:18" s="17" customFormat="1" ht="15.75">
      <c r="A672" s="14"/>
      <c r="B672" s="125" t="s">
        <v>30</v>
      </c>
      <c r="C672" s="109" t="s">
        <v>394</v>
      </c>
      <c r="D672" s="108" t="s">
        <v>229</v>
      </c>
      <c r="E672" s="108" t="s">
        <v>471</v>
      </c>
      <c r="F672" s="108" t="s">
        <v>483</v>
      </c>
      <c r="G672" s="108" t="s">
        <v>31</v>
      </c>
      <c r="H672" s="126"/>
      <c r="I672" s="178" t="str">
        <f t="shared" si="89"/>
        <v>606070975 1 00 10010244</v>
      </c>
      <c r="L672" s="20"/>
      <c r="M672" s="20"/>
      <c r="N672" s="20"/>
      <c r="O672" s="20"/>
      <c r="P672" s="20"/>
      <c r="Q672" s="20"/>
    </row>
    <row r="673" spans="1:18" s="17" customFormat="1" ht="15.75">
      <c r="A673" s="14"/>
      <c r="B673" s="125" t="s">
        <v>32</v>
      </c>
      <c r="C673" s="109" t="s">
        <v>394</v>
      </c>
      <c r="D673" s="108" t="s">
        <v>229</v>
      </c>
      <c r="E673" s="108" t="s">
        <v>471</v>
      </c>
      <c r="F673" s="108" t="s">
        <v>483</v>
      </c>
      <c r="G673" s="108" t="s">
        <v>33</v>
      </c>
      <c r="H673" s="126">
        <f>SUM(H674:H676)</f>
        <v>0</v>
      </c>
      <c r="I673" s="178" t="str">
        <f t="shared" si="89"/>
        <v>606070975 1 00 10010850</v>
      </c>
      <c r="L673" s="20">
        <v>53.14</v>
      </c>
      <c r="M673" s="20">
        <v>53.14</v>
      </c>
      <c r="N673" s="20">
        <v>53.14</v>
      </c>
      <c r="O673" s="20">
        <f>H673-L673</f>
        <v>-53.14</v>
      </c>
      <c r="P673" s="20" t="e">
        <f>#REF!-M673</f>
        <v>#REF!</v>
      </c>
      <c r="Q673" s="20" t="e">
        <f>#REF!-N673</f>
        <v>#REF!</v>
      </c>
      <c r="R673" s="17" t="str">
        <f t="shared" si="90"/>
        <v>75 1 00 10010850</v>
      </c>
    </row>
    <row r="674" spans="1:18" s="24" customFormat="1" ht="31.5">
      <c r="A674" s="21"/>
      <c r="B674" s="127" t="s">
        <v>34</v>
      </c>
      <c r="C674" s="109" t="s">
        <v>394</v>
      </c>
      <c r="D674" s="108" t="s">
        <v>229</v>
      </c>
      <c r="E674" s="108" t="s">
        <v>471</v>
      </c>
      <c r="F674" s="108" t="s">
        <v>483</v>
      </c>
      <c r="G674" s="108" t="s">
        <v>35</v>
      </c>
      <c r="H674" s="126"/>
      <c r="I674" s="178" t="str">
        <f t="shared" si="89"/>
        <v>606070975 1 00 10010851</v>
      </c>
      <c r="L674" s="22"/>
      <c r="M674" s="22"/>
      <c r="N674" s="22"/>
      <c r="O674" s="22"/>
      <c r="P674" s="22"/>
      <c r="Q674" s="22"/>
    </row>
    <row r="675" spans="1:18" s="24" customFormat="1" ht="15.75">
      <c r="A675" s="21"/>
      <c r="B675" s="127" t="s">
        <v>36</v>
      </c>
      <c r="C675" s="109" t="s">
        <v>394</v>
      </c>
      <c r="D675" s="108" t="s">
        <v>229</v>
      </c>
      <c r="E675" s="108" t="s">
        <v>471</v>
      </c>
      <c r="F675" s="108" t="s">
        <v>483</v>
      </c>
      <c r="G675" s="108" t="s">
        <v>37</v>
      </c>
      <c r="H675" s="126"/>
      <c r="I675" s="178" t="str">
        <f t="shared" si="89"/>
        <v>606070975 1 00 10010852</v>
      </c>
      <c r="L675" s="22"/>
      <c r="M675" s="22"/>
      <c r="N675" s="22"/>
      <c r="O675" s="22"/>
      <c r="P675" s="22"/>
      <c r="Q675" s="22"/>
    </row>
    <row r="676" spans="1:18" s="24" customFormat="1" ht="15.75">
      <c r="A676" s="21"/>
      <c r="B676" s="127" t="s">
        <v>77</v>
      </c>
      <c r="C676" s="109" t="s">
        <v>394</v>
      </c>
      <c r="D676" s="108" t="s">
        <v>229</v>
      </c>
      <c r="E676" s="108" t="s">
        <v>471</v>
      </c>
      <c r="F676" s="108" t="s">
        <v>483</v>
      </c>
      <c r="G676" s="108" t="s">
        <v>78</v>
      </c>
      <c r="H676" s="126"/>
      <c r="I676" s="178" t="str">
        <f t="shared" si="89"/>
        <v>606070975 1 00 10010853</v>
      </c>
      <c r="L676" s="22"/>
      <c r="M676" s="22"/>
      <c r="N676" s="22"/>
      <c r="O676" s="22"/>
      <c r="P676" s="22"/>
      <c r="Q676" s="22"/>
    </row>
    <row r="677" spans="1:18" s="17" customFormat="1" ht="31.5">
      <c r="A677" s="14"/>
      <c r="B677" s="125" t="s">
        <v>38</v>
      </c>
      <c r="C677" s="109" t="s">
        <v>394</v>
      </c>
      <c r="D677" s="108" t="s">
        <v>229</v>
      </c>
      <c r="E677" s="108" t="s">
        <v>471</v>
      </c>
      <c r="F677" s="108" t="s">
        <v>485</v>
      </c>
      <c r="G677" s="108" t="s">
        <v>9</v>
      </c>
      <c r="H677" s="126">
        <f>H678</f>
        <v>0</v>
      </c>
      <c r="I677" s="178" t="str">
        <f t="shared" si="89"/>
        <v>606070975 1 00 10020000</v>
      </c>
      <c r="L677" s="20">
        <v>21313.48</v>
      </c>
      <c r="M677" s="20">
        <v>21313.48</v>
      </c>
      <c r="N677" s="20">
        <v>21313.48</v>
      </c>
      <c r="O677" s="20">
        <f>H677-L677</f>
        <v>-21313.48</v>
      </c>
      <c r="P677" s="20" t="e">
        <f>#REF!-M677</f>
        <v>#REF!</v>
      </c>
      <c r="Q677" s="20" t="e">
        <f>#REF!-N677</f>
        <v>#REF!</v>
      </c>
      <c r="R677" s="17" t="str">
        <f t="shared" si="90"/>
        <v>75 1 00 10020000</v>
      </c>
    </row>
    <row r="678" spans="1:18" s="17" customFormat="1" ht="31.5">
      <c r="A678" s="14"/>
      <c r="B678" s="125" t="s">
        <v>484</v>
      </c>
      <c r="C678" s="109" t="s">
        <v>394</v>
      </c>
      <c r="D678" s="108" t="s">
        <v>229</v>
      </c>
      <c r="E678" s="108" t="s">
        <v>471</v>
      </c>
      <c r="F678" s="108" t="s">
        <v>485</v>
      </c>
      <c r="G678" s="108" t="s">
        <v>21</v>
      </c>
      <c r="H678" s="126">
        <f>SUM(H679:H680)</f>
        <v>0</v>
      </c>
      <c r="I678" s="178" t="str">
        <f t="shared" si="89"/>
        <v>606070975 1 00 10020120</v>
      </c>
      <c r="L678" s="20">
        <v>21313.48</v>
      </c>
      <c r="M678" s="20">
        <v>21313.48</v>
      </c>
      <c r="N678" s="20">
        <v>21313.48</v>
      </c>
      <c r="O678" s="20">
        <f>H678-L678</f>
        <v>-21313.48</v>
      </c>
      <c r="P678" s="20" t="e">
        <f>#REF!-M678</f>
        <v>#REF!</v>
      </c>
      <c r="Q678" s="20" t="e">
        <f>#REF!-N678</f>
        <v>#REF!</v>
      </c>
      <c r="R678" s="17" t="str">
        <f t="shared" si="90"/>
        <v>75 1 00 10020120</v>
      </c>
    </row>
    <row r="679" spans="1:18" s="24" customFormat="1" ht="31.5">
      <c r="A679" s="21"/>
      <c r="B679" s="127" t="s">
        <v>40</v>
      </c>
      <c r="C679" s="109" t="s">
        <v>394</v>
      </c>
      <c r="D679" s="108" t="s">
        <v>229</v>
      </c>
      <c r="E679" s="108" t="s">
        <v>471</v>
      </c>
      <c r="F679" s="108" t="s">
        <v>485</v>
      </c>
      <c r="G679" s="108" t="s">
        <v>41</v>
      </c>
      <c r="H679" s="126"/>
      <c r="I679" s="178" t="str">
        <f t="shared" si="89"/>
        <v>606070975 1 00 10020121</v>
      </c>
      <c r="L679" s="22"/>
      <c r="M679" s="22"/>
      <c r="N679" s="22"/>
      <c r="O679" s="22"/>
      <c r="P679" s="22"/>
      <c r="Q679" s="22"/>
    </row>
    <row r="680" spans="1:18" s="24" customFormat="1" ht="63">
      <c r="A680" s="21"/>
      <c r="B680" s="127" t="s">
        <v>26</v>
      </c>
      <c r="C680" s="109" t="s">
        <v>394</v>
      </c>
      <c r="D680" s="108" t="s">
        <v>229</v>
      </c>
      <c r="E680" s="108" t="s">
        <v>471</v>
      </c>
      <c r="F680" s="108" t="s">
        <v>485</v>
      </c>
      <c r="G680" s="108" t="s">
        <v>27</v>
      </c>
      <c r="H680" s="126"/>
      <c r="I680" s="178" t="str">
        <f t="shared" si="89"/>
        <v>606070975 1 00 10020129</v>
      </c>
      <c r="L680" s="22"/>
      <c r="M680" s="22"/>
      <c r="N680" s="22"/>
      <c r="O680" s="22"/>
      <c r="P680" s="22"/>
      <c r="Q680" s="22"/>
    </row>
    <row r="681" spans="1:18" s="17" customFormat="1" ht="31.5">
      <c r="A681" s="14"/>
      <c r="B681" s="138" t="s">
        <v>136</v>
      </c>
      <c r="C681" s="109" t="s">
        <v>394</v>
      </c>
      <c r="D681" s="108" t="s">
        <v>229</v>
      </c>
      <c r="E681" s="108" t="s">
        <v>471</v>
      </c>
      <c r="F681" s="108" t="s">
        <v>486</v>
      </c>
      <c r="G681" s="108" t="s">
        <v>9</v>
      </c>
      <c r="H681" s="126">
        <f>H682+H685</f>
        <v>0</v>
      </c>
      <c r="I681" s="178" t="str">
        <f t="shared" si="89"/>
        <v>606070975 1 00 11010000</v>
      </c>
      <c r="L681" s="20">
        <v>6806.64</v>
      </c>
      <c r="M681" s="20">
        <v>6709.94</v>
      </c>
      <c r="N681" s="20">
        <v>6709.94</v>
      </c>
      <c r="O681" s="20">
        <f>H681-L681</f>
        <v>-6806.64</v>
      </c>
      <c r="P681" s="20" t="e">
        <f>#REF!-M681</f>
        <v>#REF!</v>
      </c>
      <c r="Q681" s="20" t="e">
        <f>#REF!-N681</f>
        <v>#REF!</v>
      </c>
      <c r="R681" s="17" t="str">
        <f t="shared" si="90"/>
        <v>75 1 00 11010000</v>
      </c>
    </row>
    <row r="682" spans="1:18" s="17" customFormat="1" ht="15.75">
      <c r="A682" s="14"/>
      <c r="B682" s="137" t="s">
        <v>138</v>
      </c>
      <c r="C682" s="109" t="s">
        <v>394</v>
      </c>
      <c r="D682" s="108" t="s">
        <v>229</v>
      </c>
      <c r="E682" s="108" t="s">
        <v>471</v>
      </c>
      <c r="F682" s="108" t="s">
        <v>486</v>
      </c>
      <c r="G682" s="108" t="s">
        <v>139</v>
      </c>
      <c r="H682" s="126">
        <f>SUM(H683:H684)</f>
        <v>0</v>
      </c>
      <c r="I682" s="178" t="str">
        <f t="shared" si="89"/>
        <v>606070975 1 00 11010110</v>
      </c>
      <c r="L682" s="20">
        <v>5943.04</v>
      </c>
      <c r="M682" s="20">
        <v>6483.32</v>
      </c>
      <c r="N682" s="20">
        <v>6483.32</v>
      </c>
      <c r="O682" s="20">
        <f>H682-L682</f>
        <v>-5943.04</v>
      </c>
      <c r="P682" s="20" t="e">
        <f>#REF!-M682</f>
        <v>#REF!</v>
      </c>
      <c r="Q682" s="20" t="e">
        <f>#REF!-N682</f>
        <v>#REF!</v>
      </c>
      <c r="R682" s="17" t="str">
        <f t="shared" si="90"/>
        <v>75 1 00 11010110</v>
      </c>
    </row>
    <row r="683" spans="1:18" s="24" customFormat="1" ht="15.75">
      <c r="A683" s="21"/>
      <c r="B683" s="127" t="s">
        <v>140</v>
      </c>
      <c r="C683" s="109" t="s">
        <v>394</v>
      </c>
      <c r="D683" s="108" t="s">
        <v>229</v>
      </c>
      <c r="E683" s="108" t="s">
        <v>471</v>
      </c>
      <c r="F683" s="108" t="s">
        <v>486</v>
      </c>
      <c r="G683" s="108" t="s">
        <v>141</v>
      </c>
      <c r="H683" s="126"/>
      <c r="I683" s="178" t="str">
        <f t="shared" si="89"/>
        <v>606070975 1 00 11010111</v>
      </c>
      <c r="L683" s="22"/>
      <c r="M683" s="22"/>
      <c r="N683" s="22"/>
      <c r="O683" s="22"/>
      <c r="P683" s="22"/>
      <c r="Q683" s="22"/>
    </row>
    <row r="684" spans="1:18" s="24" customFormat="1" ht="47.25">
      <c r="A684" s="21"/>
      <c r="B684" s="127" t="s">
        <v>487</v>
      </c>
      <c r="C684" s="109" t="s">
        <v>394</v>
      </c>
      <c r="D684" s="108" t="s">
        <v>229</v>
      </c>
      <c r="E684" s="108" t="s">
        <v>471</v>
      </c>
      <c r="F684" s="108" t="s">
        <v>486</v>
      </c>
      <c r="G684" s="108" t="s">
        <v>145</v>
      </c>
      <c r="H684" s="126"/>
      <c r="I684" s="178" t="str">
        <f t="shared" si="89"/>
        <v>606070975 1 00 11010119</v>
      </c>
      <c r="L684" s="22"/>
      <c r="M684" s="22"/>
      <c r="N684" s="22"/>
      <c r="O684" s="22"/>
      <c r="P684" s="22"/>
      <c r="Q684" s="22"/>
    </row>
    <row r="685" spans="1:18" s="17" customFormat="1" ht="31.5">
      <c r="A685" s="14"/>
      <c r="B685" s="125" t="s">
        <v>28</v>
      </c>
      <c r="C685" s="109" t="s">
        <v>394</v>
      </c>
      <c r="D685" s="108" t="s">
        <v>229</v>
      </c>
      <c r="E685" s="108" t="s">
        <v>471</v>
      </c>
      <c r="F685" s="108" t="s">
        <v>486</v>
      </c>
      <c r="G685" s="108" t="s">
        <v>29</v>
      </c>
      <c r="H685" s="126">
        <f>H686</f>
        <v>0</v>
      </c>
      <c r="I685" s="178" t="str">
        <f t="shared" si="89"/>
        <v>606070975 1 00 11010240</v>
      </c>
      <c r="L685" s="20">
        <v>863.6</v>
      </c>
      <c r="M685" s="20">
        <v>226.62</v>
      </c>
      <c r="N685" s="20">
        <v>226.62</v>
      </c>
      <c r="O685" s="20">
        <f>H685-L685</f>
        <v>-863.6</v>
      </c>
      <c r="P685" s="20" t="e">
        <f>#REF!-M685</f>
        <v>#REF!</v>
      </c>
      <c r="Q685" s="20" t="e">
        <f>#REF!-N685</f>
        <v>#REF!</v>
      </c>
      <c r="R685" s="17" t="str">
        <f t="shared" si="90"/>
        <v>75 1 00 11010240</v>
      </c>
    </row>
    <row r="686" spans="1:18" s="17" customFormat="1" ht="15.75">
      <c r="A686" s="14"/>
      <c r="B686" s="125" t="s">
        <v>30</v>
      </c>
      <c r="C686" s="109" t="s">
        <v>394</v>
      </c>
      <c r="D686" s="108" t="s">
        <v>229</v>
      </c>
      <c r="E686" s="108" t="s">
        <v>471</v>
      </c>
      <c r="F686" s="108" t="s">
        <v>486</v>
      </c>
      <c r="G686" s="108" t="s">
        <v>31</v>
      </c>
      <c r="H686" s="126"/>
      <c r="I686" s="178" t="str">
        <f t="shared" si="89"/>
        <v>606070975 1 00 11010244</v>
      </c>
      <c r="L686" s="20"/>
      <c r="M686" s="20"/>
      <c r="N686" s="20"/>
      <c r="O686" s="20"/>
      <c r="P686" s="20"/>
      <c r="Q686" s="20"/>
    </row>
    <row r="687" spans="1:18" s="17" customFormat="1" ht="63">
      <c r="A687" s="14" t="s">
        <v>80</v>
      </c>
      <c r="B687" s="125" t="s">
        <v>488</v>
      </c>
      <c r="C687" s="109" t="s">
        <v>394</v>
      </c>
      <c r="D687" s="108" t="s">
        <v>229</v>
      </c>
      <c r="E687" s="108" t="s">
        <v>471</v>
      </c>
      <c r="F687" s="108" t="s">
        <v>489</v>
      </c>
      <c r="G687" s="108" t="s">
        <v>9</v>
      </c>
      <c r="H687" s="126">
        <f>H688+H692</f>
        <v>0</v>
      </c>
      <c r="I687" s="178" t="str">
        <f t="shared" si="89"/>
        <v>606070975 1 00 76200000</v>
      </c>
      <c r="L687" s="20">
        <v>1971.42</v>
      </c>
      <c r="M687" s="20">
        <v>1971.42</v>
      </c>
      <c r="N687" s="20">
        <v>1971.42</v>
      </c>
      <c r="O687" s="20">
        <f>H687-L687</f>
        <v>-1971.42</v>
      </c>
      <c r="P687" s="20" t="e">
        <f>#REF!-M687</f>
        <v>#REF!</v>
      </c>
      <c r="Q687" s="20" t="e">
        <f>#REF!-N687</f>
        <v>#REF!</v>
      </c>
      <c r="R687" s="17" t="str">
        <f t="shared" si="90"/>
        <v>75 1 00 76200000</v>
      </c>
    </row>
    <row r="688" spans="1:18" s="17" customFormat="1" ht="31.5">
      <c r="A688" s="14"/>
      <c r="B688" s="125" t="s">
        <v>484</v>
      </c>
      <c r="C688" s="109" t="s">
        <v>394</v>
      </c>
      <c r="D688" s="108" t="s">
        <v>229</v>
      </c>
      <c r="E688" s="108" t="s">
        <v>471</v>
      </c>
      <c r="F688" s="108" t="s">
        <v>489</v>
      </c>
      <c r="G688" s="108" t="s">
        <v>21</v>
      </c>
      <c r="H688" s="126">
        <f>SUM(H689:H691)</f>
        <v>0</v>
      </c>
      <c r="I688" s="178" t="str">
        <f t="shared" si="89"/>
        <v>606070975 1 00 76200120</v>
      </c>
      <c r="L688" s="20">
        <v>1951.93</v>
      </c>
      <c r="M688" s="20">
        <v>1951.93</v>
      </c>
      <c r="N688" s="20">
        <v>1951.93</v>
      </c>
      <c r="O688" s="20">
        <f>H688-L688</f>
        <v>-1951.93</v>
      </c>
      <c r="P688" s="20" t="e">
        <f>#REF!-M688</f>
        <v>#REF!</v>
      </c>
      <c r="Q688" s="20" t="e">
        <f>#REF!-N688</f>
        <v>#REF!</v>
      </c>
      <c r="R688" s="17" t="str">
        <f t="shared" si="90"/>
        <v>75 1 00 76200120</v>
      </c>
    </row>
    <row r="689" spans="1:18" s="17" customFormat="1" ht="31.5">
      <c r="A689" s="14"/>
      <c r="B689" s="127" t="s">
        <v>40</v>
      </c>
      <c r="C689" s="109" t="s">
        <v>394</v>
      </c>
      <c r="D689" s="108" t="s">
        <v>229</v>
      </c>
      <c r="E689" s="108" t="s">
        <v>471</v>
      </c>
      <c r="F689" s="108" t="s">
        <v>489</v>
      </c>
      <c r="G689" s="108" t="s">
        <v>41</v>
      </c>
      <c r="H689" s="126"/>
      <c r="I689" s="178" t="str">
        <f t="shared" si="89"/>
        <v>606070975 1 00 76200121</v>
      </c>
      <c r="L689" s="20"/>
      <c r="M689" s="20"/>
      <c r="N689" s="20"/>
      <c r="O689" s="20"/>
      <c r="P689" s="20"/>
      <c r="Q689" s="20"/>
    </row>
    <row r="690" spans="1:18" s="24" customFormat="1" ht="47.25">
      <c r="A690" s="21"/>
      <c r="B690" s="127" t="s">
        <v>22</v>
      </c>
      <c r="C690" s="109" t="s">
        <v>394</v>
      </c>
      <c r="D690" s="108" t="s">
        <v>229</v>
      </c>
      <c r="E690" s="108" t="s">
        <v>471</v>
      </c>
      <c r="F690" s="108" t="s">
        <v>489</v>
      </c>
      <c r="G690" s="108" t="s">
        <v>23</v>
      </c>
      <c r="H690" s="126"/>
      <c r="I690" s="178" t="str">
        <f t="shared" si="89"/>
        <v>606070975 1 00 76200122</v>
      </c>
      <c r="L690" s="22"/>
      <c r="M690" s="22"/>
      <c r="N690" s="22"/>
      <c r="O690" s="22"/>
      <c r="P690" s="22"/>
      <c r="Q690" s="22"/>
    </row>
    <row r="691" spans="1:18" s="24" customFormat="1" ht="63">
      <c r="A691" s="21"/>
      <c r="B691" s="127" t="s">
        <v>26</v>
      </c>
      <c r="C691" s="109" t="s">
        <v>394</v>
      </c>
      <c r="D691" s="108" t="s">
        <v>229</v>
      </c>
      <c r="E691" s="108" t="s">
        <v>471</v>
      </c>
      <c r="F691" s="108" t="s">
        <v>489</v>
      </c>
      <c r="G691" s="108" t="s">
        <v>27</v>
      </c>
      <c r="H691" s="126"/>
      <c r="I691" s="178" t="str">
        <f t="shared" si="89"/>
        <v>606070975 1 00 76200129</v>
      </c>
      <c r="L691" s="22"/>
      <c r="M691" s="22"/>
      <c r="N691" s="22"/>
      <c r="O691" s="22"/>
      <c r="P691" s="22"/>
      <c r="Q691" s="22"/>
    </row>
    <row r="692" spans="1:18" s="17" customFormat="1" ht="31.5">
      <c r="A692" s="14"/>
      <c r="B692" s="125" t="s">
        <v>28</v>
      </c>
      <c r="C692" s="109" t="s">
        <v>394</v>
      </c>
      <c r="D692" s="108" t="s">
        <v>229</v>
      </c>
      <c r="E692" s="108" t="s">
        <v>471</v>
      </c>
      <c r="F692" s="108" t="s">
        <v>489</v>
      </c>
      <c r="G692" s="108" t="s">
        <v>29</v>
      </c>
      <c r="H692" s="126">
        <f>H693</f>
        <v>0</v>
      </c>
      <c r="I692" s="178" t="str">
        <f t="shared" si="89"/>
        <v>606070975 1 00 76200240</v>
      </c>
      <c r="L692" s="20">
        <v>19.489999999999998</v>
      </c>
      <c r="M692" s="20">
        <v>19.489999999999998</v>
      </c>
      <c r="N692" s="20">
        <v>19.489999999999998</v>
      </c>
      <c r="O692" s="20">
        <f>H692-L692</f>
        <v>-19.489999999999998</v>
      </c>
      <c r="P692" s="20" t="e">
        <f>#REF!-M692</f>
        <v>#REF!</v>
      </c>
      <c r="Q692" s="20" t="e">
        <f>#REF!-N692</f>
        <v>#REF!</v>
      </c>
      <c r="R692" s="17" t="str">
        <f t="shared" si="90"/>
        <v>75 1 00 76200240</v>
      </c>
    </row>
    <row r="693" spans="1:18" s="17" customFormat="1" ht="15.75">
      <c r="A693" s="14"/>
      <c r="B693" s="125" t="s">
        <v>30</v>
      </c>
      <c r="C693" s="109" t="s">
        <v>394</v>
      </c>
      <c r="D693" s="108" t="s">
        <v>229</v>
      </c>
      <c r="E693" s="108" t="s">
        <v>471</v>
      </c>
      <c r="F693" s="108" t="s">
        <v>489</v>
      </c>
      <c r="G693" s="108" t="s">
        <v>31</v>
      </c>
      <c r="H693" s="126"/>
      <c r="I693" s="178" t="str">
        <f t="shared" si="89"/>
        <v>606070975 1 00 76200244</v>
      </c>
      <c r="L693" s="20"/>
      <c r="M693" s="20"/>
      <c r="N693" s="20"/>
      <c r="O693" s="20"/>
      <c r="P693" s="20"/>
      <c r="Q693" s="20"/>
    </row>
    <row r="694" spans="1:18" s="17" customFormat="1" ht="15.75">
      <c r="A694" s="14"/>
      <c r="B694" s="117" t="s">
        <v>316</v>
      </c>
      <c r="C694" s="118" t="s">
        <v>394</v>
      </c>
      <c r="D694" s="119" t="s">
        <v>317</v>
      </c>
      <c r="E694" s="119" t="s">
        <v>7</v>
      </c>
      <c r="F694" s="119" t="s">
        <v>8</v>
      </c>
      <c r="G694" s="119" t="s">
        <v>9</v>
      </c>
      <c r="H694" s="120">
        <f t="shared" ref="H694:H696" si="91">H695</f>
        <v>0</v>
      </c>
      <c r="I694" s="178" t="str">
        <f t="shared" si="89"/>
        <v>606100000 0 00 00000000</v>
      </c>
      <c r="L694" s="18">
        <v>130554.89</v>
      </c>
      <c r="M694" s="18">
        <v>130554.89</v>
      </c>
      <c r="N694" s="18">
        <v>130554.89</v>
      </c>
      <c r="O694" s="18">
        <f t="shared" ref="O694:O700" si="92">H694-L694</f>
        <v>-130554.89</v>
      </c>
      <c r="P694" s="18" t="e">
        <f>#REF!-M694</f>
        <v>#REF!</v>
      </c>
      <c r="Q694" s="18" t="e">
        <f>#REF!-N694</f>
        <v>#REF!</v>
      </c>
      <c r="R694" s="17" t="str">
        <f t="shared" si="90"/>
        <v>00 0 00 00000000</v>
      </c>
    </row>
    <row r="695" spans="1:18" s="17" customFormat="1" ht="15.75">
      <c r="A695" s="14"/>
      <c r="B695" s="121" t="s">
        <v>490</v>
      </c>
      <c r="C695" s="122" t="s">
        <v>394</v>
      </c>
      <c r="D695" s="123" t="s">
        <v>317</v>
      </c>
      <c r="E695" s="123" t="s">
        <v>73</v>
      </c>
      <c r="F695" s="123" t="s">
        <v>8</v>
      </c>
      <c r="G695" s="123" t="s">
        <v>9</v>
      </c>
      <c r="H695" s="124">
        <f t="shared" si="91"/>
        <v>0</v>
      </c>
      <c r="I695" s="178" t="str">
        <f t="shared" si="89"/>
        <v>606100400 0 00 00000000</v>
      </c>
      <c r="L695" s="19">
        <v>130554.89</v>
      </c>
      <c r="M695" s="19">
        <v>130554.89</v>
      </c>
      <c r="N695" s="19">
        <v>130554.89</v>
      </c>
      <c r="O695" s="19">
        <f t="shared" si="92"/>
        <v>-130554.89</v>
      </c>
      <c r="P695" s="19" t="e">
        <f>#REF!-M695</f>
        <v>#REF!</v>
      </c>
      <c r="Q695" s="19" t="e">
        <f>#REF!-N695</f>
        <v>#REF!</v>
      </c>
      <c r="R695" s="17" t="str">
        <f t="shared" si="90"/>
        <v>00 0 00 00000000</v>
      </c>
    </row>
    <row r="696" spans="1:18" s="17" customFormat="1" ht="31.5">
      <c r="A696" s="14"/>
      <c r="B696" s="132" t="s">
        <v>396</v>
      </c>
      <c r="C696" s="109" t="s">
        <v>394</v>
      </c>
      <c r="D696" s="108" t="s">
        <v>317</v>
      </c>
      <c r="E696" s="108" t="s">
        <v>73</v>
      </c>
      <c r="F696" s="108" t="s">
        <v>397</v>
      </c>
      <c r="G696" s="108" t="s">
        <v>9</v>
      </c>
      <c r="H696" s="126">
        <f t="shared" si="91"/>
        <v>0</v>
      </c>
      <c r="I696" s="178" t="str">
        <f t="shared" si="89"/>
        <v>606100401 0 00 00000000</v>
      </c>
      <c r="L696" s="20">
        <v>130554.89</v>
      </c>
      <c r="M696" s="20">
        <v>130554.89</v>
      </c>
      <c r="N696" s="20">
        <v>130554.89</v>
      </c>
      <c r="O696" s="20">
        <f t="shared" si="92"/>
        <v>-130554.89</v>
      </c>
      <c r="P696" s="20" t="e">
        <f>#REF!-M696</f>
        <v>#REF!</v>
      </c>
      <c r="Q696" s="20" t="e">
        <f>#REF!-N696</f>
        <v>#REF!</v>
      </c>
      <c r="R696" s="17" t="str">
        <f t="shared" si="90"/>
        <v>01 0 00 00000000</v>
      </c>
    </row>
    <row r="697" spans="1:18" s="17" customFormat="1" ht="31.5">
      <c r="A697" s="14"/>
      <c r="B697" s="132" t="s">
        <v>398</v>
      </c>
      <c r="C697" s="109" t="s">
        <v>394</v>
      </c>
      <c r="D697" s="108" t="s">
        <v>317</v>
      </c>
      <c r="E697" s="108" t="s">
        <v>73</v>
      </c>
      <c r="F697" s="108" t="s">
        <v>399</v>
      </c>
      <c r="G697" s="108" t="s">
        <v>9</v>
      </c>
      <c r="H697" s="126">
        <f>H698+H704</f>
        <v>0</v>
      </c>
      <c r="I697" s="178" t="str">
        <f t="shared" si="89"/>
        <v>606100401 1 00 00000000</v>
      </c>
      <c r="L697" s="20">
        <v>130554.89</v>
      </c>
      <c r="M697" s="20">
        <v>130554.89</v>
      </c>
      <c r="N697" s="20">
        <v>130554.89</v>
      </c>
      <c r="O697" s="20">
        <f t="shared" si="92"/>
        <v>-130554.89</v>
      </c>
      <c r="P697" s="20" t="e">
        <f>#REF!-M697</f>
        <v>#REF!</v>
      </c>
      <c r="Q697" s="20" t="e">
        <f>#REF!-N697</f>
        <v>#REF!</v>
      </c>
      <c r="R697" s="17" t="str">
        <f t="shared" si="90"/>
        <v>01 1 00 00000000</v>
      </c>
    </row>
    <row r="698" spans="1:18" s="17" customFormat="1" ht="47.25">
      <c r="A698" s="14"/>
      <c r="B698" s="132" t="s">
        <v>400</v>
      </c>
      <c r="C698" s="109" t="s">
        <v>394</v>
      </c>
      <c r="D698" s="108" t="s">
        <v>317</v>
      </c>
      <c r="E698" s="108" t="s">
        <v>73</v>
      </c>
      <c r="F698" s="108" t="s">
        <v>401</v>
      </c>
      <c r="G698" s="108" t="s">
        <v>9</v>
      </c>
      <c r="H698" s="126">
        <f>H699</f>
        <v>0</v>
      </c>
      <c r="I698" s="178" t="str">
        <f t="shared" si="89"/>
        <v>606100401 1 01 00000000</v>
      </c>
      <c r="L698" s="20">
        <v>83933.4</v>
      </c>
      <c r="M698" s="20">
        <v>83933.4</v>
      </c>
      <c r="N698" s="20">
        <v>83933.4</v>
      </c>
      <c r="O698" s="20">
        <f t="shared" si="92"/>
        <v>-83933.4</v>
      </c>
      <c r="P698" s="20" t="e">
        <f>#REF!-M698</f>
        <v>#REF!</v>
      </c>
      <c r="Q698" s="20" t="e">
        <f>#REF!-N698</f>
        <v>#REF!</v>
      </c>
      <c r="R698" s="17" t="str">
        <f t="shared" si="90"/>
        <v>01 1 01 00000000</v>
      </c>
    </row>
    <row r="699" spans="1:18" s="17" customFormat="1" ht="78.75">
      <c r="A699" s="14" t="s">
        <v>80</v>
      </c>
      <c r="B699" s="132" t="s">
        <v>491</v>
      </c>
      <c r="C699" s="109" t="s">
        <v>394</v>
      </c>
      <c r="D699" s="108" t="s">
        <v>317</v>
      </c>
      <c r="E699" s="108" t="s">
        <v>73</v>
      </c>
      <c r="F699" s="108" t="s">
        <v>492</v>
      </c>
      <c r="G699" s="108" t="s">
        <v>9</v>
      </c>
      <c r="H699" s="126">
        <f>H700+H702</f>
        <v>0</v>
      </c>
      <c r="I699" s="178" t="str">
        <f t="shared" si="89"/>
        <v>606100401 1 01 76140000</v>
      </c>
      <c r="L699" s="20">
        <v>83933.4</v>
      </c>
      <c r="M699" s="20">
        <v>83933.4</v>
      </c>
      <c r="N699" s="20">
        <v>83933.4</v>
      </c>
      <c r="O699" s="20">
        <f t="shared" si="92"/>
        <v>-83933.4</v>
      </c>
      <c r="P699" s="20" t="e">
        <f>#REF!-M699</f>
        <v>#REF!</v>
      </c>
      <c r="Q699" s="20" t="e">
        <f>#REF!-N699</f>
        <v>#REF!</v>
      </c>
      <c r="R699" s="17" t="str">
        <f t="shared" si="90"/>
        <v>01 1 01 76140000</v>
      </c>
    </row>
    <row r="700" spans="1:18" s="17" customFormat="1" ht="31.5">
      <c r="A700" s="14"/>
      <c r="B700" s="125" t="s">
        <v>28</v>
      </c>
      <c r="C700" s="109" t="s">
        <v>394</v>
      </c>
      <c r="D700" s="108" t="s">
        <v>317</v>
      </c>
      <c r="E700" s="108" t="s">
        <v>73</v>
      </c>
      <c r="F700" s="108" t="s">
        <v>492</v>
      </c>
      <c r="G700" s="108" t="s">
        <v>29</v>
      </c>
      <c r="H700" s="126">
        <f>H701</f>
        <v>0</v>
      </c>
      <c r="I700" s="178" t="str">
        <f t="shared" si="89"/>
        <v>606100401 1 01 76140240</v>
      </c>
      <c r="L700" s="20">
        <v>1259</v>
      </c>
      <c r="M700" s="20">
        <v>1259</v>
      </c>
      <c r="N700" s="20">
        <v>1259</v>
      </c>
      <c r="O700" s="20">
        <f t="shared" si="92"/>
        <v>-1259</v>
      </c>
      <c r="P700" s="20" t="e">
        <f>#REF!-M700</f>
        <v>#REF!</v>
      </c>
      <c r="Q700" s="20" t="e">
        <f>#REF!-N700</f>
        <v>#REF!</v>
      </c>
      <c r="R700" s="17" t="str">
        <f t="shared" si="90"/>
        <v>01 1 01 76140240</v>
      </c>
    </row>
    <row r="701" spans="1:18" s="17" customFormat="1" ht="15.75">
      <c r="A701" s="14"/>
      <c r="B701" s="125" t="s">
        <v>30</v>
      </c>
      <c r="C701" s="109" t="s">
        <v>394</v>
      </c>
      <c r="D701" s="108" t="s">
        <v>317</v>
      </c>
      <c r="E701" s="108" t="s">
        <v>73</v>
      </c>
      <c r="F701" s="108" t="s">
        <v>492</v>
      </c>
      <c r="G701" s="108" t="s">
        <v>31</v>
      </c>
      <c r="H701" s="126"/>
      <c r="I701" s="178" t="str">
        <f t="shared" si="89"/>
        <v>606100401 1 01 76140244</v>
      </c>
      <c r="L701" s="20"/>
      <c r="M701" s="20"/>
      <c r="N701" s="20"/>
      <c r="O701" s="20"/>
      <c r="P701" s="20"/>
      <c r="Q701" s="20"/>
      <c r="R701" s="17" t="str">
        <f t="shared" si="90"/>
        <v>01 1 01 76140244</v>
      </c>
    </row>
    <row r="702" spans="1:18" s="17" customFormat="1" ht="31.5">
      <c r="A702" s="14"/>
      <c r="B702" s="132" t="s">
        <v>493</v>
      </c>
      <c r="C702" s="109" t="s">
        <v>394</v>
      </c>
      <c r="D702" s="108" t="s">
        <v>317</v>
      </c>
      <c r="E702" s="108" t="s">
        <v>73</v>
      </c>
      <c r="F702" s="108" t="s">
        <v>492</v>
      </c>
      <c r="G702" s="108" t="s">
        <v>494</v>
      </c>
      <c r="H702" s="126">
        <f>H703</f>
        <v>0</v>
      </c>
      <c r="I702" s="178" t="str">
        <f t="shared" si="89"/>
        <v>606100401 1 01 76140310</v>
      </c>
      <c r="L702" s="20">
        <v>82674.399999999994</v>
      </c>
      <c r="M702" s="20">
        <v>82674.399999999994</v>
      </c>
      <c r="N702" s="20">
        <v>82674.399999999994</v>
      </c>
      <c r="O702" s="20">
        <f>H702-L702</f>
        <v>-82674.399999999994</v>
      </c>
      <c r="P702" s="20" t="e">
        <f>#REF!-M702</f>
        <v>#REF!</v>
      </c>
      <c r="Q702" s="20" t="e">
        <f>#REF!-N702</f>
        <v>#REF!</v>
      </c>
      <c r="R702" s="17" t="str">
        <f t="shared" si="90"/>
        <v>01 1 01 76140310</v>
      </c>
    </row>
    <row r="703" spans="1:18" s="17" customFormat="1" ht="31.5">
      <c r="A703" s="14"/>
      <c r="B703" s="127" t="s">
        <v>495</v>
      </c>
      <c r="C703" s="109" t="s">
        <v>394</v>
      </c>
      <c r="D703" s="108" t="s">
        <v>317</v>
      </c>
      <c r="E703" s="108" t="s">
        <v>73</v>
      </c>
      <c r="F703" s="108" t="s">
        <v>492</v>
      </c>
      <c r="G703" s="108" t="s">
        <v>496</v>
      </c>
      <c r="H703" s="126"/>
      <c r="I703" s="178" t="str">
        <f t="shared" si="89"/>
        <v>606100401 1 01 76140313</v>
      </c>
      <c r="L703" s="20"/>
      <c r="M703" s="20"/>
      <c r="N703" s="20"/>
      <c r="O703" s="20"/>
      <c r="P703" s="20"/>
      <c r="Q703" s="20"/>
    </row>
    <row r="704" spans="1:18" s="17" customFormat="1" ht="47.25">
      <c r="A704" s="14" t="s">
        <v>80</v>
      </c>
      <c r="B704" s="132" t="s">
        <v>497</v>
      </c>
      <c r="C704" s="109" t="s">
        <v>394</v>
      </c>
      <c r="D704" s="108" t="s">
        <v>317</v>
      </c>
      <c r="E704" s="108" t="s">
        <v>73</v>
      </c>
      <c r="F704" s="108" t="s">
        <v>498</v>
      </c>
      <c r="G704" s="108" t="s">
        <v>9</v>
      </c>
      <c r="H704" s="126">
        <f>H705+H708+H711+H714</f>
        <v>0</v>
      </c>
      <c r="I704" s="178" t="str">
        <f t="shared" si="89"/>
        <v>606100401 1 07 00000000</v>
      </c>
      <c r="L704" s="20">
        <v>46621.490000000005</v>
      </c>
      <c r="M704" s="20">
        <v>46621.490000000005</v>
      </c>
      <c r="N704" s="20">
        <v>46621.490000000005</v>
      </c>
      <c r="O704" s="20">
        <f>H704-L704</f>
        <v>-46621.490000000005</v>
      </c>
      <c r="P704" s="20" t="e">
        <f>#REF!-M704</f>
        <v>#REF!</v>
      </c>
      <c r="Q704" s="20" t="e">
        <f>#REF!-N704</f>
        <v>#REF!</v>
      </c>
      <c r="R704" s="17" t="str">
        <f t="shared" si="90"/>
        <v>01 1 07 00000000</v>
      </c>
    </row>
    <row r="705" spans="1:18" s="17" customFormat="1" ht="31.5">
      <c r="A705" s="14"/>
      <c r="B705" s="132" t="s">
        <v>499</v>
      </c>
      <c r="C705" s="109" t="s">
        <v>394</v>
      </c>
      <c r="D705" s="108" t="s">
        <v>317</v>
      </c>
      <c r="E705" s="108" t="s">
        <v>73</v>
      </c>
      <c r="F705" s="108" t="s">
        <v>500</v>
      </c>
      <c r="G705" s="108" t="s">
        <v>9</v>
      </c>
      <c r="H705" s="126">
        <f>H706</f>
        <v>0</v>
      </c>
      <c r="I705" s="178" t="str">
        <f t="shared" si="89"/>
        <v>606100401 1 07 78110000</v>
      </c>
      <c r="L705" s="20">
        <v>28714.45</v>
      </c>
      <c r="M705" s="20">
        <v>28714.45</v>
      </c>
      <c r="N705" s="20">
        <v>28714.45</v>
      </c>
      <c r="O705" s="20">
        <f>H705-L705</f>
        <v>-28714.45</v>
      </c>
      <c r="P705" s="20" t="e">
        <f>#REF!-M705</f>
        <v>#REF!</v>
      </c>
      <c r="Q705" s="20" t="e">
        <f>#REF!-N705</f>
        <v>#REF!</v>
      </c>
      <c r="R705" s="17" t="str">
        <f t="shared" si="90"/>
        <v>01 1 07 78110000</v>
      </c>
    </row>
    <row r="706" spans="1:18" s="17" customFormat="1" ht="31.5">
      <c r="A706" s="14"/>
      <c r="B706" s="132" t="s">
        <v>327</v>
      </c>
      <c r="C706" s="109" t="s">
        <v>394</v>
      </c>
      <c r="D706" s="108" t="s">
        <v>317</v>
      </c>
      <c r="E706" s="108" t="s">
        <v>73</v>
      </c>
      <c r="F706" s="108" t="s">
        <v>500</v>
      </c>
      <c r="G706" s="108" t="s">
        <v>328</v>
      </c>
      <c r="H706" s="126">
        <f>H707</f>
        <v>0</v>
      </c>
      <c r="I706" s="178" t="str">
        <f t="shared" si="89"/>
        <v>606100401 1 07 78110320</v>
      </c>
      <c r="L706" s="20">
        <v>28714.45</v>
      </c>
      <c r="M706" s="20">
        <v>28714.45</v>
      </c>
      <c r="N706" s="20">
        <v>28714.45</v>
      </c>
      <c r="O706" s="20">
        <f>H706-L706</f>
        <v>-28714.45</v>
      </c>
      <c r="P706" s="20" t="e">
        <f>#REF!-M706</f>
        <v>#REF!</v>
      </c>
      <c r="Q706" s="20" t="e">
        <f>#REF!-N706</f>
        <v>#REF!</v>
      </c>
      <c r="R706" s="17" t="str">
        <f t="shared" si="90"/>
        <v>01 1 07 78110320</v>
      </c>
    </row>
    <row r="707" spans="1:18" s="17" customFormat="1" ht="31.5">
      <c r="A707" s="14"/>
      <c r="B707" s="125" t="s">
        <v>501</v>
      </c>
      <c r="C707" s="109" t="s">
        <v>394</v>
      </c>
      <c r="D707" s="108" t="s">
        <v>317</v>
      </c>
      <c r="E707" s="108" t="s">
        <v>73</v>
      </c>
      <c r="F707" s="108" t="s">
        <v>500</v>
      </c>
      <c r="G707" s="108" t="s">
        <v>502</v>
      </c>
      <c r="H707" s="126"/>
      <c r="I707" s="178" t="str">
        <f t="shared" si="89"/>
        <v>606100401 1 07 78110323</v>
      </c>
      <c r="L707" s="20"/>
      <c r="M707" s="20"/>
      <c r="N707" s="20"/>
      <c r="O707" s="20"/>
      <c r="P707" s="20"/>
      <c r="Q707" s="20"/>
    </row>
    <row r="708" spans="1:18" s="17" customFormat="1" ht="78.75">
      <c r="A708" s="14"/>
      <c r="B708" s="125" t="s">
        <v>503</v>
      </c>
      <c r="C708" s="109" t="s">
        <v>394</v>
      </c>
      <c r="D708" s="108" t="s">
        <v>317</v>
      </c>
      <c r="E708" s="108" t="s">
        <v>73</v>
      </c>
      <c r="F708" s="108" t="s">
        <v>504</v>
      </c>
      <c r="G708" s="108" t="s">
        <v>9</v>
      </c>
      <c r="H708" s="126">
        <f>H709</f>
        <v>0</v>
      </c>
      <c r="I708" s="178" t="str">
        <f t="shared" si="89"/>
        <v>606100401 1 07 78120000</v>
      </c>
      <c r="L708" s="20">
        <v>1642.42</v>
      </c>
      <c r="M708" s="20">
        <v>1642.42</v>
      </c>
      <c r="N708" s="20">
        <v>1642.42</v>
      </c>
      <c r="O708" s="20">
        <f>H708-L708</f>
        <v>-1642.42</v>
      </c>
      <c r="P708" s="20" t="e">
        <f>#REF!-M708</f>
        <v>#REF!</v>
      </c>
      <c r="Q708" s="20" t="e">
        <f>#REF!-N708</f>
        <v>#REF!</v>
      </c>
      <c r="R708" s="17" t="str">
        <f t="shared" si="90"/>
        <v>01 1 07 78120000</v>
      </c>
    </row>
    <row r="709" spans="1:18" s="17" customFormat="1" ht="31.5">
      <c r="A709" s="14"/>
      <c r="B709" s="132" t="s">
        <v>327</v>
      </c>
      <c r="C709" s="109" t="s">
        <v>394</v>
      </c>
      <c r="D709" s="108" t="s">
        <v>317</v>
      </c>
      <c r="E709" s="108" t="s">
        <v>73</v>
      </c>
      <c r="F709" s="108" t="s">
        <v>504</v>
      </c>
      <c r="G709" s="108" t="s">
        <v>328</v>
      </c>
      <c r="H709" s="126">
        <f>H710</f>
        <v>0</v>
      </c>
      <c r="I709" s="178" t="str">
        <f t="shared" si="89"/>
        <v>606100401 1 07 78120320</v>
      </c>
      <c r="L709" s="20">
        <v>1642.42</v>
      </c>
      <c r="M709" s="20">
        <v>1642.42</v>
      </c>
      <c r="N709" s="20">
        <v>1642.42</v>
      </c>
      <c r="O709" s="20">
        <f>H709-L709</f>
        <v>-1642.42</v>
      </c>
      <c r="P709" s="20" t="e">
        <f>#REF!-M709</f>
        <v>#REF!</v>
      </c>
      <c r="Q709" s="20" t="e">
        <f>#REF!-N709</f>
        <v>#REF!</v>
      </c>
      <c r="R709" s="17" t="str">
        <f t="shared" si="90"/>
        <v>01 1 07 78120320</v>
      </c>
    </row>
    <row r="710" spans="1:18" s="17" customFormat="1" ht="31.5">
      <c r="A710" s="14"/>
      <c r="B710" s="125" t="s">
        <v>501</v>
      </c>
      <c r="C710" s="109" t="s">
        <v>394</v>
      </c>
      <c r="D710" s="108" t="s">
        <v>317</v>
      </c>
      <c r="E710" s="108" t="s">
        <v>73</v>
      </c>
      <c r="F710" s="108" t="s">
        <v>504</v>
      </c>
      <c r="G710" s="108" t="s">
        <v>502</v>
      </c>
      <c r="H710" s="126"/>
      <c r="I710" s="178" t="str">
        <f t="shared" si="89"/>
        <v>606100401 1 07 78120323</v>
      </c>
      <c r="L710" s="20"/>
      <c r="M710" s="20"/>
      <c r="N710" s="20"/>
      <c r="O710" s="20"/>
      <c r="P710" s="20"/>
      <c r="Q710" s="20"/>
    </row>
    <row r="711" spans="1:18" s="17" customFormat="1" ht="63">
      <c r="A711" s="14"/>
      <c r="B711" s="125" t="s">
        <v>505</v>
      </c>
      <c r="C711" s="109" t="s">
        <v>394</v>
      </c>
      <c r="D711" s="108" t="s">
        <v>317</v>
      </c>
      <c r="E711" s="108" t="s">
        <v>73</v>
      </c>
      <c r="F711" s="108" t="s">
        <v>506</v>
      </c>
      <c r="G711" s="108" t="s">
        <v>9</v>
      </c>
      <c r="H711" s="126">
        <f>H712</f>
        <v>0</v>
      </c>
      <c r="I711" s="178" t="str">
        <f t="shared" si="89"/>
        <v>606100401 1 07 78130000</v>
      </c>
      <c r="L711" s="20">
        <v>12987.12</v>
      </c>
      <c r="M711" s="20">
        <v>12987.12</v>
      </c>
      <c r="N711" s="20">
        <v>12987.12</v>
      </c>
      <c r="O711" s="20">
        <f>H711-L711</f>
        <v>-12987.12</v>
      </c>
      <c r="P711" s="20" t="e">
        <f>#REF!-M711</f>
        <v>#REF!</v>
      </c>
      <c r="Q711" s="20" t="e">
        <f>#REF!-N711</f>
        <v>#REF!</v>
      </c>
      <c r="R711" s="17" t="str">
        <f t="shared" si="90"/>
        <v>01 1 07 78130000</v>
      </c>
    </row>
    <row r="712" spans="1:18" s="17" customFormat="1" ht="31.5">
      <c r="A712" s="14"/>
      <c r="B712" s="132" t="s">
        <v>327</v>
      </c>
      <c r="C712" s="109" t="s">
        <v>394</v>
      </c>
      <c r="D712" s="108" t="s">
        <v>317</v>
      </c>
      <c r="E712" s="108" t="s">
        <v>73</v>
      </c>
      <c r="F712" s="108" t="s">
        <v>506</v>
      </c>
      <c r="G712" s="108" t="s">
        <v>328</v>
      </c>
      <c r="H712" s="126">
        <f>H713</f>
        <v>0</v>
      </c>
      <c r="I712" s="178" t="str">
        <f t="shared" si="89"/>
        <v>606100401 1 07 78130320</v>
      </c>
      <c r="L712" s="20">
        <v>12987.12</v>
      </c>
      <c r="M712" s="20">
        <v>12987.12</v>
      </c>
      <c r="N712" s="20">
        <v>12987.12</v>
      </c>
      <c r="O712" s="20">
        <f>H712-L712</f>
        <v>-12987.12</v>
      </c>
      <c r="P712" s="20" t="e">
        <f>#REF!-M712</f>
        <v>#REF!</v>
      </c>
      <c r="Q712" s="20" t="e">
        <f>#REF!-N712</f>
        <v>#REF!</v>
      </c>
      <c r="R712" s="17" t="str">
        <f t="shared" si="90"/>
        <v>01 1 07 78130320</v>
      </c>
    </row>
    <row r="713" spans="1:18" s="17" customFormat="1" ht="31.5">
      <c r="A713" s="14"/>
      <c r="B713" s="125" t="s">
        <v>501</v>
      </c>
      <c r="C713" s="109" t="s">
        <v>394</v>
      </c>
      <c r="D713" s="108" t="s">
        <v>317</v>
      </c>
      <c r="E713" s="108" t="s">
        <v>73</v>
      </c>
      <c r="F713" s="108" t="s">
        <v>506</v>
      </c>
      <c r="G713" s="108" t="s">
        <v>502</v>
      </c>
      <c r="H713" s="126"/>
      <c r="I713" s="178" t="str">
        <f t="shared" si="89"/>
        <v>606100401 1 07 78130323</v>
      </c>
      <c r="L713" s="20"/>
      <c r="M713" s="20"/>
      <c r="N713" s="20"/>
      <c r="O713" s="20"/>
      <c r="P713" s="20"/>
      <c r="Q713" s="20"/>
    </row>
    <row r="714" spans="1:18" s="17" customFormat="1" ht="31.5">
      <c r="A714" s="14"/>
      <c r="B714" s="125" t="s">
        <v>507</v>
      </c>
      <c r="C714" s="109" t="s">
        <v>394</v>
      </c>
      <c r="D714" s="108" t="s">
        <v>317</v>
      </c>
      <c r="E714" s="108" t="s">
        <v>73</v>
      </c>
      <c r="F714" s="108" t="s">
        <v>508</v>
      </c>
      <c r="G714" s="108" t="s">
        <v>9</v>
      </c>
      <c r="H714" s="126">
        <f>H715</f>
        <v>0</v>
      </c>
      <c r="I714" s="178" t="str">
        <f t="shared" si="89"/>
        <v>606100401 1 07 78140000</v>
      </c>
      <c r="L714" s="20">
        <v>3277.5</v>
      </c>
      <c r="M714" s="20">
        <v>3277.5</v>
      </c>
      <c r="N714" s="20">
        <v>3277.5</v>
      </c>
      <c r="O714" s="20">
        <f>H714-L714</f>
        <v>-3277.5</v>
      </c>
      <c r="P714" s="20" t="e">
        <f>#REF!-M714</f>
        <v>#REF!</v>
      </c>
      <c r="Q714" s="20" t="e">
        <f>#REF!-N714</f>
        <v>#REF!</v>
      </c>
      <c r="R714" s="17" t="str">
        <f t="shared" si="90"/>
        <v>01 1 07 78140000</v>
      </c>
    </row>
    <row r="715" spans="1:18" s="17" customFormat="1" ht="31.5">
      <c r="A715" s="14"/>
      <c r="B715" s="132" t="s">
        <v>327</v>
      </c>
      <c r="C715" s="109" t="s">
        <v>394</v>
      </c>
      <c r="D715" s="108" t="s">
        <v>317</v>
      </c>
      <c r="E715" s="108" t="s">
        <v>73</v>
      </c>
      <c r="F715" s="108" t="s">
        <v>508</v>
      </c>
      <c r="G715" s="108" t="s">
        <v>328</v>
      </c>
      <c r="H715" s="126">
        <f>H716</f>
        <v>0</v>
      </c>
      <c r="I715" s="178" t="str">
        <f t="shared" si="89"/>
        <v>606100401 1 07 78140320</v>
      </c>
      <c r="L715" s="20">
        <v>3277.5</v>
      </c>
      <c r="M715" s="20">
        <v>3277.5</v>
      </c>
      <c r="N715" s="20">
        <v>3277.5</v>
      </c>
      <c r="O715" s="20">
        <f>H715-L715</f>
        <v>-3277.5</v>
      </c>
      <c r="P715" s="20" t="e">
        <f>#REF!-M715</f>
        <v>#REF!</v>
      </c>
      <c r="Q715" s="20" t="e">
        <f>#REF!-N715</f>
        <v>#REF!</v>
      </c>
      <c r="R715" s="17" t="str">
        <f t="shared" si="90"/>
        <v>01 1 07 78140320</v>
      </c>
    </row>
    <row r="716" spans="1:18" s="24" customFormat="1" ht="31.5">
      <c r="A716" s="21"/>
      <c r="B716" s="125" t="s">
        <v>501</v>
      </c>
      <c r="C716" s="109" t="s">
        <v>394</v>
      </c>
      <c r="D716" s="108" t="s">
        <v>317</v>
      </c>
      <c r="E716" s="108" t="s">
        <v>73</v>
      </c>
      <c r="F716" s="108" t="s">
        <v>508</v>
      </c>
      <c r="G716" s="108" t="s">
        <v>502</v>
      </c>
      <c r="H716" s="126"/>
      <c r="I716" s="178" t="str">
        <f t="shared" si="89"/>
        <v>606100401 1 07 78140323</v>
      </c>
      <c r="L716" s="22"/>
      <c r="M716" s="22"/>
      <c r="N716" s="22"/>
      <c r="O716" s="22"/>
      <c r="P716" s="22"/>
      <c r="Q716" s="22"/>
    </row>
    <row r="717" spans="1:18" s="17" customFormat="1" ht="15.75">
      <c r="A717" s="14"/>
      <c r="B717" s="132"/>
      <c r="C717" s="109"/>
      <c r="D717" s="108"/>
      <c r="E717" s="108"/>
      <c r="F717" s="108"/>
      <c r="G717" s="108"/>
      <c r="H717" s="126"/>
      <c r="I717" s="178" t="str">
        <f t="shared" si="89"/>
        <v/>
      </c>
      <c r="L717" s="20"/>
      <c r="M717" s="20"/>
      <c r="N717" s="20"/>
      <c r="O717" s="20">
        <f t="shared" ref="O717:O724" si="93">H717-L717</f>
        <v>0</v>
      </c>
      <c r="P717" s="20" t="e">
        <f>#REF!-M717</f>
        <v>#REF!</v>
      </c>
      <c r="Q717" s="20" t="e">
        <f>#REF!-N717</f>
        <v>#REF!</v>
      </c>
      <c r="R717" s="17" t="str">
        <f t="shared" si="90"/>
        <v/>
      </c>
    </row>
    <row r="718" spans="1:18" s="16" customFormat="1" ht="31.5">
      <c r="A718" s="14"/>
      <c r="B718" s="67" t="s">
        <v>509</v>
      </c>
      <c r="C718" s="116" t="s">
        <v>510</v>
      </c>
      <c r="D718" s="69" t="s">
        <v>7</v>
      </c>
      <c r="E718" s="69" t="s">
        <v>7</v>
      </c>
      <c r="F718" s="69" t="s">
        <v>8</v>
      </c>
      <c r="G718" s="69" t="s">
        <v>9</v>
      </c>
      <c r="H718" s="70">
        <f>H719+H731+H829</f>
        <v>0</v>
      </c>
      <c r="I718" s="178" t="str">
        <f t="shared" si="89"/>
        <v>607000000 0 00 00000000</v>
      </c>
      <c r="L718" s="25">
        <v>347859.82999999996</v>
      </c>
      <c r="M718" s="25">
        <v>338559.18</v>
      </c>
      <c r="N718" s="25">
        <v>338559.18</v>
      </c>
      <c r="O718" s="25">
        <f t="shared" si="93"/>
        <v>-347859.82999999996</v>
      </c>
      <c r="P718" s="25" t="e">
        <f>#REF!-M718</f>
        <v>#REF!</v>
      </c>
      <c r="Q718" s="25" t="e">
        <f>#REF!-N718</f>
        <v>#REF!</v>
      </c>
      <c r="R718" s="17" t="str">
        <f t="shared" si="90"/>
        <v>00 0 00 00000000</v>
      </c>
    </row>
    <row r="719" spans="1:18" s="16" customFormat="1" ht="15.75">
      <c r="A719" s="14"/>
      <c r="B719" s="117" t="s">
        <v>10</v>
      </c>
      <c r="C719" s="118" t="s">
        <v>510</v>
      </c>
      <c r="D719" s="119" t="s">
        <v>11</v>
      </c>
      <c r="E719" s="119" t="s">
        <v>7</v>
      </c>
      <c r="F719" s="119" t="s">
        <v>8</v>
      </c>
      <c r="G719" s="119" t="s">
        <v>9</v>
      </c>
      <c r="H719" s="120">
        <f t="shared" ref="H719:H722" si="94">H720</f>
        <v>0</v>
      </c>
      <c r="I719" s="178" t="str">
        <f t="shared" si="89"/>
        <v>607010000 0 00 00000000</v>
      </c>
      <c r="L719" s="18">
        <v>1386.7</v>
      </c>
      <c r="M719" s="18">
        <v>1386.7</v>
      </c>
      <c r="N719" s="18">
        <v>1386.7</v>
      </c>
      <c r="O719" s="18">
        <f t="shared" si="93"/>
        <v>-1386.7</v>
      </c>
      <c r="P719" s="18" t="e">
        <f>#REF!-M719</f>
        <v>#REF!</v>
      </c>
      <c r="Q719" s="18" t="e">
        <f>#REF!-N719</f>
        <v>#REF!</v>
      </c>
      <c r="R719" s="17" t="str">
        <f t="shared" si="90"/>
        <v>00 0 00 00000000</v>
      </c>
    </row>
    <row r="720" spans="1:18" s="16" customFormat="1" ht="15.75">
      <c r="A720" s="14"/>
      <c r="B720" s="121" t="s">
        <v>50</v>
      </c>
      <c r="C720" s="122" t="s">
        <v>510</v>
      </c>
      <c r="D720" s="123" t="s">
        <v>11</v>
      </c>
      <c r="E720" s="123" t="s">
        <v>51</v>
      </c>
      <c r="F720" s="123" t="s">
        <v>8</v>
      </c>
      <c r="G720" s="123" t="s">
        <v>9</v>
      </c>
      <c r="H720" s="124">
        <f t="shared" si="94"/>
        <v>0</v>
      </c>
      <c r="I720" s="178" t="str">
        <f t="shared" si="89"/>
        <v>607011300 0 00 00000000</v>
      </c>
      <c r="L720" s="19">
        <v>1386.7</v>
      </c>
      <c r="M720" s="19">
        <v>1386.7</v>
      </c>
      <c r="N720" s="19">
        <v>1386.7</v>
      </c>
      <c r="O720" s="19">
        <f t="shared" si="93"/>
        <v>-1386.7</v>
      </c>
      <c r="P720" s="19" t="e">
        <f>#REF!-M720</f>
        <v>#REF!</v>
      </c>
      <c r="Q720" s="19" t="e">
        <f>#REF!-N720</f>
        <v>#REF!</v>
      </c>
      <c r="R720" s="17" t="str">
        <f t="shared" si="90"/>
        <v>00 0 00 00000000</v>
      </c>
    </row>
    <row r="721" spans="1:18" s="16" customFormat="1" ht="63">
      <c r="A721" s="14"/>
      <c r="B721" s="125" t="s">
        <v>87</v>
      </c>
      <c r="C721" s="109" t="s">
        <v>510</v>
      </c>
      <c r="D721" s="108" t="s">
        <v>11</v>
      </c>
      <c r="E721" s="108" t="s">
        <v>51</v>
      </c>
      <c r="F721" s="108" t="s">
        <v>88</v>
      </c>
      <c r="G721" s="108" t="s">
        <v>9</v>
      </c>
      <c r="H721" s="126">
        <f t="shared" si="94"/>
        <v>0</v>
      </c>
      <c r="I721" s="178" t="str">
        <f t="shared" si="89"/>
        <v>607011398 0 00 00000000</v>
      </c>
      <c r="L721" s="20">
        <v>1386.7</v>
      </c>
      <c r="M721" s="20">
        <v>1386.7</v>
      </c>
      <c r="N721" s="20">
        <v>1386.7</v>
      </c>
      <c r="O721" s="20">
        <f t="shared" si="93"/>
        <v>-1386.7</v>
      </c>
      <c r="P721" s="20" t="e">
        <f>#REF!-M721</f>
        <v>#REF!</v>
      </c>
      <c r="Q721" s="20" t="e">
        <f>#REF!-N721</f>
        <v>#REF!</v>
      </c>
      <c r="R721" s="17" t="str">
        <f t="shared" si="90"/>
        <v>98 0 00 00000000</v>
      </c>
    </row>
    <row r="722" spans="1:18" s="16" customFormat="1" ht="15.75">
      <c r="A722" s="14"/>
      <c r="B722" s="125" t="s">
        <v>89</v>
      </c>
      <c r="C722" s="109" t="s">
        <v>510</v>
      </c>
      <c r="D722" s="108" t="s">
        <v>11</v>
      </c>
      <c r="E722" s="108" t="s">
        <v>51</v>
      </c>
      <c r="F722" s="108" t="s">
        <v>90</v>
      </c>
      <c r="G722" s="108" t="s">
        <v>9</v>
      </c>
      <c r="H722" s="126">
        <f t="shared" si="94"/>
        <v>0</v>
      </c>
      <c r="I722" s="178" t="str">
        <f t="shared" si="89"/>
        <v>607011398 1 00 00000000</v>
      </c>
      <c r="L722" s="20">
        <v>1386.7</v>
      </c>
      <c r="M722" s="20">
        <v>1386.7</v>
      </c>
      <c r="N722" s="20">
        <v>1386.7</v>
      </c>
      <c r="O722" s="20">
        <f t="shared" si="93"/>
        <v>-1386.7</v>
      </c>
      <c r="P722" s="20" t="e">
        <f>#REF!-M722</f>
        <v>#REF!</v>
      </c>
      <c r="Q722" s="20" t="e">
        <f>#REF!-N722</f>
        <v>#REF!</v>
      </c>
      <c r="R722" s="17" t="str">
        <f t="shared" si="90"/>
        <v>98 1 00 00000000</v>
      </c>
    </row>
    <row r="723" spans="1:18" s="16" customFormat="1" ht="31.5">
      <c r="A723" s="14"/>
      <c r="B723" s="125" t="s">
        <v>511</v>
      </c>
      <c r="C723" s="109" t="s">
        <v>510</v>
      </c>
      <c r="D723" s="108" t="s">
        <v>11</v>
      </c>
      <c r="E723" s="108" t="s">
        <v>51</v>
      </c>
      <c r="F723" s="108" t="s">
        <v>512</v>
      </c>
      <c r="G723" s="108" t="s">
        <v>9</v>
      </c>
      <c r="H723" s="126">
        <f>H724+H726+H727+H729</f>
        <v>0</v>
      </c>
      <c r="I723" s="178" t="str">
        <f t="shared" si="89"/>
        <v>607011398 1 00 20110000</v>
      </c>
      <c r="L723" s="20">
        <v>1386.7</v>
      </c>
      <c r="M723" s="20">
        <v>1386.7</v>
      </c>
      <c r="N723" s="20">
        <v>1386.7</v>
      </c>
      <c r="O723" s="20">
        <f t="shared" si="93"/>
        <v>-1386.7</v>
      </c>
      <c r="P723" s="20" t="e">
        <f>#REF!-M723</f>
        <v>#REF!</v>
      </c>
      <c r="Q723" s="20" t="e">
        <f>#REF!-N723</f>
        <v>#REF!</v>
      </c>
      <c r="R723" s="17" t="str">
        <f t="shared" si="90"/>
        <v>98 1 00 20110000</v>
      </c>
    </row>
    <row r="724" spans="1:18" s="16" customFormat="1" ht="31.5">
      <c r="A724" s="14"/>
      <c r="B724" s="125" t="s">
        <v>28</v>
      </c>
      <c r="C724" s="109" t="s">
        <v>510</v>
      </c>
      <c r="D724" s="108" t="s">
        <v>11</v>
      </c>
      <c r="E724" s="108" t="s">
        <v>51</v>
      </c>
      <c r="F724" s="108" t="s">
        <v>512</v>
      </c>
      <c r="G724" s="108" t="s">
        <v>29</v>
      </c>
      <c r="H724" s="126">
        <f>H725</f>
        <v>0</v>
      </c>
      <c r="I724" s="178" t="str">
        <f t="shared" si="89"/>
        <v>607011398 1 00 20110240</v>
      </c>
      <c r="L724" s="20">
        <v>1058.3</v>
      </c>
      <c r="M724" s="20">
        <v>1058.3</v>
      </c>
      <c r="N724" s="20">
        <v>1058.3</v>
      </c>
      <c r="O724" s="20">
        <f t="shared" si="93"/>
        <v>-1058.3</v>
      </c>
      <c r="P724" s="20" t="e">
        <f>#REF!-M724</f>
        <v>#REF!</v>
      </c>
      <c r="Q724" s="20" t="e">
        <f>#REF!-N724</f>
        <v>#REF!</v>
      </c>
      <c r="R724" s="17" t="str">
        <f t="shared" si="90"/>
        <v>98 1 00 20110240</v>
      </c>
    </row>
    <row r="725" spans="1:18" s="16" customFormat="1" ht="15.75">
      <c r="A725" s="14"/>
      <c r="B725" s="125" t="s">
        <v>30</v>
      </c>
      <c r="C725" s="109" t="s">
        <v>510</v>
      </c>
      <c r="D725" s="108" t="s">
        <v>11</v>
      </c>
      <c r="E725" s="108" t="s">
        <v>51</v>
      </c>
      <c r="F725" s="108" t="s">
        <v>512</v>
      </c>
      <c r="G725" s="108" t="s">
        <v>31</v>
      </c>
      <c r="H725" s="126"/>
      <c r="I725" s="178" t="str">
        <f t="shared" ref="I725:I788" si="95">C725&amp;D725&amp;E725&amp;F725&amp;G725</f>
        <v>607011398 1 00 20110244</v>
      </c>
      <c r="L725" s="20"/>
      <c r="M725" s="20"/>
      <c r="N725" s="20"/>
      <c r="O725" s="20"/>
      <c r="P725" s="20"/>
      <c r="Q725" s="20"/>
      <c r="R725" s="17" t="str">
        <f t="shared" si="90"/>
        <v>98 1 00 20110244</v>
      </c>
    </row>
    <row r="726" spans="1:18" s="16" customFormat="1" ht="15.75">
      <c r="A726" s="14"/>
      <c r="B726" s="125" t="s">
        <v>513</v>
      </c>
      <c r="C726" s="109" t="s">
        <v>510</v>
      </c>
      <c r="D726" s="108" t="s">
        <v>11</v>
      </c>
      <c r="E726" s="108" t="s">
        <v>51</v>
      </c>
      <c r="F726" s="108" t="s">
        <v>512</v>
      </c>
      <c r="G726" s="108" t="s">
        <v>514</v>
      </c>
      <c r="H726" s="126"/>
      <c r="I726" s="178" t="str">
        <f t="shared" si="95"/>
        <v>607011398 1 00 20110360</v>
      </c>
      <c r="L726" s="20">
        <v>26.4</v>
      </c>
      <c r="M726" s="20">
        <v>26.4</v>
      </c>
      <c r="N726" s="20">
        <v>26.4</v>
      </c>
      <c r="O726" s="20">
        <f>H726-L726</f>
        <v>-26.4</v>
      </c>
      <c r="P726" s="20" t="e">
        <f>#REF!-M726</f>
        <v>#REF!</v>
      </c>
      <c r="Q726" s="20" t="e">
        <f>#REF!-N726</f>
        <v>#REF!</v>
      </c>
      <c r="R726" s="17" t="str">
        <f t="shared" si="90"/>
        <v>98 1 00 20110360</v>
      </c>
    </row>
    <row r="727" spans="1:18" s="16" customFormat="1" ht="15.75">
      <c r="A727" s="14"/>
      <c r="B727" s="125" t="s">
        <v>32</v>
      </c>
      <c r="C727" s="109" t="s">
        <v>510</v>
      </c>
      <c r="D727" s="108" t="s">
        <v>11</v>
      </c>
      <c r="E727" s="108" t="s">
        <v>51</v>
      </c>
      <c r="F727" s="108" t="s">
        <v>512</v>
      </c>
      <c r="G727" s="108" t="s">
        <v>33</v>
      </c>
      <c r="H727" s="126">
        <f>H728</f>
        <v>0</v>
      </c>
      <c r="I727" s="178" t="str">
        <f t="shared" si="95"/>
        <v>607011398 1 00 20110850</v>
      </c>
      <c r="L727" s="20">
        <v>42</v>
      </c>
      <c r="M727" s="20">
        <v>42</v>
      </c>
      <c r="N727" s="20">
        <v>42</v>
      </c>
      <c r="O727" s="20">
        <f>H727-L727</f>
        <v>-42</v>
      </c>
      <c r="P727" s="20" t="e">
        <f>#REF!-M727</f>
        <v>#REF!</v>
      </c>
      <c r="Q727" s="20" t="e">
        <f>#REF!-N727</f>
        <v>#REF!</v>
      </c>
      <c r="R727" s="17" t="str">
        <f t="shared" si="90"/>
        <v>98 1 00 20110850</v>
      </c>
    </row>
    <row r="728" spans="1:18" s="23" customFormat="1" ht="15.75">
      <c r="A728" s="21"/>
      <c r="B728" s="127" t="s">
        <v>77</v>
      </c>
      <c r="C728" s="109" t="s">
        <v>510</v>
      </c>
      <c r="D728" s="108" t="s">
        <v>11</v>
      </c>
      <c r="E728" s="108" t="s">
        <v>51</v>
      </c>
      <c r="F728" s="108" t="s">
        <v>512</v>
      </c>
      <c r="G728" s="108" t="s">
        <v>78</v>
      </c>
      <c r="H728" s="126"/>
      <c r="I728" s="178" t="str">
        <f t="shared" si="95"/>
        <v>607011398 1 00 20110853</v>
      </c>
      <c r="L728" s="22"/>
      <c r="M728" s="22"/>
      <c r="N728" s="22"/>
      <c r="O728" s="22"/>
      <c r="P728" s="22"/>
      <c r="Q728" s="22"/>
      <c r="R728" s="24"/>
    </row>
    <row r="729" spans="1:18" s="16" customFormat="1" ht="31.5">
      <c r="A729" s="14"/>
      <c r="B729" s="125" t="s">
        <v>515</v>
      </c>
      <c r="C729" s="109" t="s">
        <v>510</v>
      </c>
      <c r="D729" s="108" t="s">
        <v>11</v>
      </c>
      <c r="E729" s="108" t="s">
        <v>51</v>
      </c>
      <c r="F729" s="108" t="s">
        <v>512</v>
      </c>
      <c r="G729" s="108" t="s">
        <v>516</v>
      </c>
      <c r="H729" s="126">
        <f>H730</f>
        <v>0</v>
      </c>
      <c r="I729" s="178" t="str">
        <f t="shared" si="95"/>
        <v>607011398 1 00 20110860</v>
      </c>
      <c r="L729" s="20">
        <v>260</v>
      </c>
      <c r="M729" s="20">
        <v>260</v>
      </c>
      <c r="N729" s="20">
        <v>260</v>
      </c>
      <c r="O729" s="20">
        <f>H729-L729</f>
        <v>-260</v>
      </c>
      <c r="P729" s="20" t="e">
        <f>#REF!-M729</f>
        <v>#REF!</v>
      </c>
      <c r="Q729" s="20" t="e">
        <f>#REF!-N729</f>
        <v>#REF!</v>
      </c>
      <c r="R729" s="17" t="str">
        <f t="shared" si="90"/>
        <v>98 1 00 20110860</v>
      </c>
    </row>
    <row r="730" spans="1:18" s="16" customFormat="1" ht="15.75">
      <c r="A730" s="14"/>
      <c r="B730" s="127" t="s">
        <v>517</v>
      </c>
      <c r="C730" s="109" t="s">
        <v>510</v>
      </c>
      <c r="D730" s="108" t="s">
        <v>11</v>
      </c>
      <c r="E730" s="108" t="s">
        <v>51</v>
      </c>
      <c r="F730" s="108" t="s">
        <v>512</v>
      </c>
      <c r="G730" s="108" t="s">
        <v>518</v>
      </c>
      <c r="H730" s="126"/>
      <c r="I730" s="178" t="str">
        <f t="shared" si="95"/>
        <v>607011398 1 00 20110862</v>
      </c>
      <c r="L730" s="20"/>
      <c r="M730" s="20"/>
      <c r="N730" s="20"/>
      <c r="O730" s="20"/>
      <c r="P730" s="20"/>
      <c r="Q730" s="20"/>
      <c r="R730" s="17"/>
    </row>
    <row r="731" spans="1:18" s="16" customFormat="1" ht="15.75">
      <c r="A731" s="14"/>
      <c r="B731" s="117" t="s">
        <v>228</v>
      </c>
      <c r="C731" s="118" t="s">
        <v>510</v>
      </c>
      <c r="D731" s="119" t="s">
        <v>229</v>
      </c>
      <c r="E731" s="119" t="s">
        <v>7</v>
      </c>
      <c r="F731" s="119" t="s">
        <v>8</v>
      </c>
      <c r="G731" s="119" t="s">
        <v>9</v>
      </c>
      <c r="H731" s="120">
        <f>H732+H783</f>
        <v>0</v>
      </c>
      <c r="I731" s="178" t="str">
        <f t="shared" si="95"/>
        <v>607070000 0 00 00000000</v>
      </c>
      <c r="L731" s="18">
        <v>151254.91</v>
      </c>
      <c r="M731" s="18">
        <v>141348.04999999999</v>
      </c>
      <c r="N731" s="18">
        <v>140686.62</v>
      </c>
      <c r="O731" s="18">
        <f t="shared" ref="O731:O737" si="96">H731-L731</f>
        <v>-151254.91</v>
      </c>
      <c r="P731" s="18" t="e">
        <f>#REF!-M731</f>
        <v>#REF!</v>
      </c>
      <c r="Q731" s="18" t="e">
        <f>#REF!-N731</f>
        <v>#REF!</v>
      </c>
      <c r="R731" s="17" t="str">
        <f t="shared" si="90"/>
        <v>00 0 00 00000000</v>
      </c>
    </row>
    <row r="732" spans="1:18" s="16" customFormat="1" ht="15.75">
      <c r="A732" s="14"/>
      <c r="B732" s="121" t="s">
        <v>458</v>
      </c>
      <c r="C732" s="122" t="s">
        <v>510</v>
      </c>
      <c r="D732" s="123" t="s">
        <v>229</v>
      </c>
      <c r="E732" s="123" t="s">
        <v>13</v>
      </c>
      <c r="F732" s="123" t="s">
        <v>8</v>
      </c>
      <c r="G732" s="123" t="s">
        <v>9</v>
      </c>
      <c r="H732" s="124">
        <f>H733+H762+H770+H776</f>
        <v>0</v>
      </c>
      <c r="I732" s="178" t="str">
        <f t="shared" si="95"/>
        <v>607070300 0 00 00000000</v>
      </c>
      <c r="L732" s="19">
        <v>141211.71</v>
      </c>
      <c r="M732" s="19">
        <v>131694.84999999998</v>
      </c>
      <c r="N732" s="19">
        <v>131033.42</v>
      </c>
      <c r="O732" s="19">
        <f t="shared" si="96"/>
        <v>-141211.71</v>
      </c>
      <c r="P732" s="19" t="e">
        <f>#REF!-M732</f>
        <v>#REF!</v>
      </c>
      <c r="Q732" s="19" t="e">
        <f>#REF!-N732</f>
        <v>#REF!</v>
      </c>
      <c r="R732" s="17" t="str">
        <f t="shared" si="90"/>
        <v>00 0 00 00000000</v>
      </c>
    </row>
    <row r="733" spans="1:18" s="16" customFormat="1" ht="31.5">
      <c r="A733" s="14"/>
      <c r="B733" s="125" t="s">
        <v>240</v>
      </c>
      <c r="C733" s="109" t="s">
        <v>510</v>
      </c>
      <c r="D733" s="108" t="s">
        <v>229</v>
      </c>
      <c r="E733" s="108" t="s">
        <v>13</v>
      </c>
      <c r="F733" s="108" t="s">
        <v>241</v>
      </c>
      <c r="G733" s="108" t="s">
        <v>9</v>
      </c>
      <c r="H733" s="126">
        <f>H734+H741</f>
        <v>0</v>
      </c>
      <c r="I733" s="178" t="str">
        <f t="shared" si="95"/>
        <v>607070307 0 00 00000000</v>
      </c>
      <c r="L733" s="20">
        <v>140126.66</v>
      </c>
      <c r="M733" s="20">
        <v>130609.79999999999</v>
      </c>
      <c r="N733" s="20">
        <v>129948.37</v>
      </c>
      <c r="O733" s="20">
        <f t="shared" si="96"/>
        <v>-140126.66</v>
      </c>
      <c r="P733" s="20" t="e">
        <f>#REF!-M733</f>
        <v>#REF!</v>
      </c>
      <c r="Q733" s="20" t="e">
        <f>#REF!-N733</f>
        <v>#REF!</v>
      </c>
      <c r="R733" s="17" t="str">
        <f t="shared" si="90"/>
        <v>07 0 00 00000000</v>
      </c>
    </row>
    <row r="734" spans="1:18" s="16" customFormat="1" ht="78.75">
      <c r="A734" s="14"/>
      <c r="B734" s="125" t="s">
        <v>242</v>
      </c>
      <c r="C734" s="109" t="s">
        <v>510</v>
      </c>
      <c r="D734" s="108" t="s">
        <v>229</v>
      </c>
      <c r="E734" s="108" t="s">
        <v>13</v>
      </c>
      <c r="F734" s="108" t="s">
        <v>243</v>
      </c>
      <c r="G734" s="108" t="s">
        <v>9</v>
      </c>
      <c r="H734" s="126">
        <f t="shared" ref="H734:H735" si="97">H735</f>
        <v>0</v>
      </c>
      <c r="I734" s="178" t="str">
        <f t="shared" si="95"/>
        <v>607070307 1 00 00000000</v>
      </c>
      <c r="L734" s="20">
        <v>361.5</v>
      </c>
      <c r="M734" s="20">
        <v>361.5</v>
      </c>
      <c r="N734" s="20">
        <v>361.5</v>
      </c>
      <c r="O734" s="20">
        <f t="shared" si="96"/>
        <v>-361.5</v>
      </c>
      <c r="P734" s="20" t="e">
        <f>#REF!-M734</f>
        <v>#REF!</v>
      </c>
      <c r="Q734" s="20" t="e">
        <f>#REF!-N734</f>
        <v>#REF!</v>
      </c>
      <c r="R734" s="17" t="str">
        <f t="shared" si="90"/>
        <v>07 1 00 00000000</v>
      </c>
    </row>
    <row r="735" spans="1:18" s="16" customFormat="1" ht="110.25">
      <c r="A735" s="14"/>
      <c r="B735" s="125" t="s">
        <v>244</v>
      </c>
      <c r="C735" s="109" t="s">
        <v>510</v>
      </c>
      <c r="D735" s="108" t="s">
        <v>229</v>
      </c>
      <c r="E735" s="108" t="s">
        <v>13</v>
      </c>
      <c r="F735" s="108" t="s">
        <v>245</v>
      </c>
      <c r="G735" s="108" t="s">
        <v>9</v>
      </c>
      <c r="H735" s="126">
        <f t="shared" si="97"/>
        <v>0</v>
      </c>
      <c r="I735" s="178" t="str">
        <f t="shared" si="95"/>
        <v>607070307 1 01 00000000</v>
      </c>
      <c r="L735" s="20">
        <v>361.5</v>
      </c>
      <c r="M735" s="20">
        <v>361.5</v>
      </c>
      <c r="N735" s="20">
        <v>361.5</v>
      </c>
      <c r="O735" s="20">
        <f t="shared" si="96"/>
        <v>-361.5</v>
      </c>
      <c r="P735" s="20" t="e">
        <f>#REF!-M735</f>
        <v>#REF!</v>
      </c>
      <c r="Q735" s="20" t="e">
        <f>#REF!-N735</f>
        <v>#REF!</v>
      </c>
      <c r="R735" s="17" t="str">
        <f t="shared" si="90"/>
        <v>07 1 01 00000000</v>
      </c>
    </row>
    <row r="736" spans="1:18" s="16" customFormat="1" ht="31.5">
      <c r="A736" s="14"/>
      <c r="B736" s="125" t="s">
        <v>246</v>
      </c>
      <c r="C736" s="109" t="s">
        <v>510</v>
      </c>
      <c r="D736" s="108" t="s">
        <v>229</v>
      </c>
      <c r="E736" s="108" t="s">
        <v>13</v>
      </c>
      <c r="F736" s="108" t="s">
        <v>247</v>
      </c>
      <c r="G736" s="108" t="s">
        <v>9</v>
      </c>
      <c r="H736" s="126">
        <f>H737+H739</f>
        <v>0</v>
      </c>
      <c r="I736" s="178" t="str">
        <f t="shared" si="95"/>
        <v>607070307 1 01 20060000</v>
      </c>
      <c r="L736" s="20">
        <v>361.5</v>
      </c>
      <c r="M736" s="20">
        <v>361.5</v>
      </c>
      <c r="N736" s="20">
        <v>361.5</v>
      </c>
      <c r="O736" s="20">
        <f t="shared" si="96"/>
        <v>-361.5</v>
      </c>
      <c r="P736" s="20" t="e">
        <f>#REF!-M736</f>
        <v>#REF!</v>
      </c>
      <c r="Q736" s="20" t="e">
        <f>#REF!-N736</f>
        <v>#REF!</v>
      </c>
      <c r="R736" s="17" t="str">
        <f t="shared" si="90"/>
        <v>07 1 01 20060000</v>
      </c>
    </row>
    <row r="737" spans="1:18" s="16" customFormat="1" ht="15.75">
      <c r="A737" s="14"/>
      <c r="B737" s="132" t="s">
        <v>403</v>
      </c>
      <c r="C737" s="109" t="s">
        <v>510</v>
      </c>
      <c r="D737" s="108" t="s">
        <v>229</v>
      </c>
      <c r="E737" s="108" t="s">
        <v>13</v>
      </c>
      <c r="F737" s="108" t="s">
        <v>247</v>
      </c>
      <c r="G737" s="108" t="s">
        <v>404</v>
      </c>
      <c r="H737" s="126">
        <f>H738</f>
        <v>0</v>
      </c>
      <c r="I737" s="178" t="str">
        <f t="shared" si="95"/>
        <v>607070307 1 01 20060610</v>
      </c>
      <c r="L737" s="20">
        <v>296.5</v>
      </c>
      <c r="M737" s="20">
        <v>296.5</v>
      </c>
      <c r="N737" s="20">
        <v>296.5</v>
      </c>
      <c r="O737" s="20">
        <f t="shared" si="96"/>
        <v>-296.5</v>
      </c>
      <c r="P737" s="20" t="e">
        <f>#REF!-M737</f>
        <v>#REF!</v>
      </c>
      <c r="Q737" s="20" t="e">
        <f>#REF!-N737</f>
        <v>#REF!</v>
      </c>
      <c r="R737" s="17" t="str">
        <f t="shared" si="90"/>
        <v>07 1 01 20060610</v>
      </c>
    </row>
    <row r="738" spans="1:18" s="23" customFormat="1" ht="63">
      <c r="A738" s="21"/>
      <c r="B738" s="127" t="s">
        <v>405</v>
      </c>
      <c r="C738" s="109" t="s">
        <v>510</v>
      </c>
      <c r="D738" s="108" t="s">
        <v>229</v>
      </c>
      <c r="E738" s="108" t="s">
        <v>13</v>
      </c>
      <c r="F738" s="108" t="s">
        <v>247</v>
      </c>
      <c r="G738" s="108" t="s">
        <v>406</v>
      </c>
      <c r="H738" s="126"/>
      <c r="I738" s="178" t="str">
        <f t="shared" si="95"/>
        <v>607070307 1 01 20060611</v>
      </c>
      <c r="L738" s="22"/>
      <c r="M738" s="22"/>
      <c r="N738" s="22"/>
      <c r="O738" s="22"/>
      <c r="P738" s="22"/>
      <c r="Q738" s="22"/>
      <c r="R738" s="24"/>
    </row>
    <row r="739" spans="1:18" s="16" customFormat="1" ht="15.75">
      <c r="A739" s="14"/>
      <c r="B739" s="140" t="s">
        <v>409</v>
      </c>
      <c r="C739" s="109" t="s">
        <v>510</v>
      </c>
      <c r="D739" s="108" t="s">
        <v>229</v>
      </c>
      <c r="E739" s="108" t="s">
        <v>13</v>
      </c>
      <c r="F739" s="108" t="s">
        <v>247</v>
      </c>
      <c r="G739" s="108" t="s">
        <v>410</v>
      </c>
      <c r="H739" s="126">
        <f>H740</f>
        <v>0</v>
      </c>
      <c r="I739" s="178" t="str">
        <f t="shared" si="95"/>
        <v>607070307 1 01 20060620</v>
      </c>
      <c r="L739" s="20">
        <v>65</v>
      </c>
      <c r="M739" s="20">
        <v>65</v>
      </c>
      <c r="N739" s="20">
        <v>65</v>
      </c>
      <c r="O739" s="20">
        <f>H739-L739</f>
        <v>-65</v>
      </c>
      <c r="P739" s="20" t="e">
        <f>#REF!-M739</f>
        <v>#REF!</v>
      </c>
      <c r="Q739" s="20" t="e">
        <f>#REF!-N739</f>
        <v>#REF!</v>
      </c>
      <c r="R739" s="17" t="str">
        <f t="shared" si="90"/>
        <v>07 1 01 20060620</v>
      </c>
    </row>
    <row r="740" spans="1:18" s="23" customFormat="1" ht="63">
      <c r="A740" s="21"/>
      <c r="B740" s="127" t="s">
        <v>411</v>
      </c>
      <c r="C740" s="109" t="s">
        <v>510</v>
      </c>
      <c r="D740" s="108" t="s">
        <v>229</v>
      </c>
      <c r="E740" s="108" t="s">
        <v>13</v>
      </c>
      <c r="F740" s="108" t="s">
        <v>247</v>
      </c>
      <c r="G740" s="108" t="s">
        <v>412</v>
      </c>
      <c r="H740" s="126"/>
      <c r="I740" s="178" t="str">
        <f t="shared" si="95"/>
        <v>607070307 1 01 20060621</v>
      </c>
      <c r="L740" s="22"/>
      <c r="M740" s="22"/>
      <c r="N740" s="22"/>
      <c r="O740" s="22"/>
      <c r="P740" s="22"/>
      <c r="Q740" s="22"/>
      <c r="R740" s="24"/>
    </row>
    <row r="741" spans="1:18" s="16" customFormat="1" ht="15.75">
      <c r="A741" s="14"/>
      <c r="B741" s="125" t="s">
        <v>519</v>
      </c>
      <c r="C741" s="109" t="s">
        <v>510</v>
      </c>
      <c r="D741" s="108" t="s">
        <v>229</v>
      </c>
      <c r="E741" s="108" t="s">
        <v>13</v>
      </c>
      <c r="F741" s="108" t="s">
        <v>520</v>
      </c>
      <c r="G741" s="108" t="s">
        <v>9</v>
      </c>
      <c r="H741" s="126">
        <f>H742+H748+H752+H758</f>
        <v>0</v>
      </c>
      <c r="I741" s="178" t="str">
        <f t="shared" si="95"/>
        <v>607070307 2 00 00000000</v>
      </c>
      <c r="L741" s="20">
        <v>139765.16</v>
      </c>
      <c r="M741" s="20">
        <v>130248.29999999999</v>
      </c>
      <c r="N741" s="20">
        <v>129586.87</v>
      </c>
      <c r="O741" s="20">
        <f>H741-L741</f>
        <v>-139765.16</v>
      </c>
      <c r="P741" s="20" t="e">
        <f>#REF!-M741</f>
        <v>#REF!</v>
      </c>
      <c r="Q741" s="20" t="e">
        <f>#REF!-N741</f>
        <v>#REF!</v>
      </c>
      <c r="R741" s="17" t="str">
        <f t="shared" si="90"/>
        <v>07 2 00 00000000</v>
      </c>
    </row>
    <row r="742" spans="1:18" s="16" customFormat="1" ht="63">
      <c r="A742" s="14"/>
      <c r="B742" s="125" t="s">
        <v>521</v>
      </c>
      <c r="C742" s="109" t="s">
        <v>510</v>
      </c>
      <c r="D742" s="108" t="s">
        <v>229</v>
      </c>
      <c r="E742" s="108" t="s">
        <v>13</v>
      </c>
      <c r="F742" s="108" t="s">
        <v>522</v>
      </c>
      <c r="G742" s="108" t="s">
        <v>9</v>
      </c>
      <c r="H742" s="126">
        <f>H743</f>
        <v>0</v>
      </c>
      <c r="I742" s="178" t="str">
        <f t="shared" si="95"/>
        <v>607070307 2 01 00000000</v>
      </c>
      <c r="L742" s="20">
        <v>137429.12</v>
      </c>
      <c r="M742" s="20">
        <v>129218.47</v>
      </c>
      <c r="N742" s="20">
        <v>129218.47</v>
      </c>
      <c r="O742" s="20">
        <f>H742-L742</f>
        <v>-137429.12</v>
      </c>
      <c r="P742" s="20" t="e">
        <f>#REF!-M742</f>
        <v>#REF!</v>
      </c>
      <c r="Q742" s="20" t="e">
        <f>#REF!-N742</f>
        <v>#REF!</v>
      </c>
      <c r="R742" s="17" t="str">
        <f t="shared" si="90"/>
        <v>07 2 01 00000000</v>
      </c>
    </row>
    <row r="743" spans="1:18" s="16" customFormat="1" ht="31.5">
      <c r="A743" s="14"/>
      <c r="B743" s="125" t="s">
        <v>136</v>
      </c>
      <c r="C743" s="109" t="s">
        <v>510</v>
      </c>
      <c r="D743" s="108" t="s">
        <v>229</v>
      </c>
      <c r="E743" s="108" t="s">
        <v>13</v>
      </c>
      <c r="F743" s="108" t="s">
        <v>523</v>
      </c>
      <c r="G743" s="108" t="s">
        <v>9</v>
      </c>
      <c r="H743" s="126">
        <f>H744+H746</f>
        <v>0</v>
      </c>
      <c r="I743" s="178" t="str">
        <f t="shared" si="95"/>
        <v>607070307 2 01 11010000</v>
      </c>
      <c r="L743" s="20">
        <v>137429.12</v>
      </c>
      <c r="M743" s="20">
        <v>129218.47</v>
      </c>
      <c r="N743" s="20">
        <v>129218.47</v>
      </c>
      <c r="O743" s="20">
        <f>H743-L743</f>
        <v>-137429.12</v>
      </c>
      <c r="P743" s="20" t="e">
        <f>#REF!-M743</f>
        <v>#REF!</v>
      </c>
      <c r="Q743" s="20" t="e">
        <f>#REF!-N743</f>
        <v>#REF!</v>
      </c>
      <c r="R743" s="17" t="str">
        <f t="shared" si="90"/>
        <v>07 2 01 11010000</v>
      </c>
    </row>
    <row r="744" spans="1:18" s="16" customFormat="1" ht="15.75">
      <c r="A744" s="14"/>
      <c r="B744" s="125" t="s">
        <v>403</v>
      </c>
      <c r="C744" s="109" t="s">
        <v>510</v>
      </c>
      <c r="D744" s="108" t="s">
        <v>229</v>
      </c>
      <c r="E744" s="108" t="s">
        <v>13</v>
      </c>
      <c r="F744" s="108" t="s">
        <v>523</v>
      </c>
      <c r="G744" s="108" t="s">
        <v>404</v>
      </c>
      <c r="H744" s="126">
        <f>H745</f>
        <v>0</v>
      </c>
      <c r="I744" s="178" t="str">
        <f t="shared" si="95"/>
        <v>607070307 2 01 11010610</v>
      </c>
      <c r="L744" s="20">
        <v>121624.62</v>
      </c>
      <c r="M744" s="20">
        <v>114674.89</v>
      </c>
      <c r="N744" s="20">
        <v>114674.89</v>
      </c>
      <c r="O744" s="20">
        <f>H744-L744</f>
        <v>-121624.62</v>
      </c>
      <c r="P744" s="20" t="e">
        <f>#REF!-M744</f>
        <v>#REF!</v>
      </c>
      <c r="Q744" s="20" t="e">
        <f>#REF!-N744</f>
        <v>#REF!</v>
      </c>
      <c r="R744" s="17" t="str">
        <f t="shared" si="90"/>
        <v>07 2 01 11010610</v>
      </c>
    </row>
    <row r="745" spans="1:18" s="23" customFormat="1" ht="63">
      <c r="A745" s="21"/>
      <c r="B745" s="127" t="s">
        <v>405</v>
      </c>
      <c r="C745" s="109" t="s">
        <v>510</v>
      </c>
      <c r="D745" s="108" t="s">
        <v>229</v>
      </c>
      <c r="E745" s="108" t="s">
        <v>13</v>
      </c>
      <c r="F745" s="108" t="s">
        <v>523</v>
      </c>
      <c r="G745" s="108" t="s">
        <v>406</v>
      </c>
      <c r="H745" s="126"/>
      <c r="I745" s="178" t="str">
        <f t="shared" si="95"/>
        <v>607070307 2 01 11010611</v>
      </c>
      <c r="L745" s="22"/>
      <c r="M745" s="22"/>
      <c r="N745" s="22"/>
      <c r="O745" s="22"/>
      <c r="P745" s="22"/>
      <c r="Q745" s="22"/>
      <c r="R745" s="24"/>
    </row>
    <row r="746" spans="1:18" s="17" customFormat="1" ht="15.75">
      <c r="A746" s="14"/>
      <c r="B746" s="125" t="s">
        <v>409</v>
      </c>
      <c r="C746" s="109" t="s">
        <v>510</v>
      </c>
      <c r="D746" s="108" t="s">
        <v>229</v>
      </c>
      <c r="E746" s="108" t="s">
        <v>13</v>
      </c>
      <c r="F746" s="108" t="s">
        <v>523</v>
      </c>
      <c r="G746" s="108" t="s">
        <v>410</v>
      </c>
      <c r="H746" s="126">
        <f>H747</f>
        <v>0</v>
      </c>
      <c r="I746" s="178" t="str">
        <f t="shared" si="95"/>
        <v>607070307 2 01 11010620</v>
      </c>
      <c r="L746" s="20">
        <v>15804.5</v>
      </c>
      <c r="M746" s="20">
        <v>14543.58</v>
      </c>
      <c r="N746" s="20">
        <v>14543.58</v>
      </c>
      <c r="O746" s="20">
        <f>H746-L746</f>
        <v>-15804.5</v>
      </c>
      <c r="P746" s="20" t="e">
        <f>#REF!-M746</f>
        <v>#REF!</v>
      </c>
      <c r="Q746" s="20" t="e">
        <f>#REF!-N746</f>
        <v>#REF!</v>
      </c>
      <c r="R746" s="17" t="str">
        <f t="shared" si="90"/>
        <v>07 2 01 11010620</v>
      </c>
    </row>
    <row r="747" spans="1:18" s="24" customFormat="1" ht="63">
      <c r="A747" s="21"/>
      <c r="B747" s="127" t="s">
        <v>411</v>
      </c>
      <c r="C747" s="109" t="s">
        <v>510</v>
      </c>
      <c r="D747" s="108" t="s">
        <v>229</v>
      </c>
      <c r="E747" s="108" t="s">
        <v>13</v>
      </c>
      <c r="F747" s="108" t="s">
        <v>523</v>
      </c>
      <c r="G747" s="108" t="s">
        <v>412</v>
      </c>
      <c r="H747" s="126"/>
      <c r="I747" s="178" t="str">
        <f t="shared" si="95"/>
        <v>607070307 2 01 11010621</v>
      </c>
      <c r="L747" s="22"/>
      <c r="M747" s="22"/>
      <c r="N747" s="22"/>
      <c r="O747" s="22"/>
      <c r="P747" s="22"/>
      <c r="Q747" s="22"/>
    </row>
    <row r="748" spans="1:18" s="16" customFormat="1" ht="126">
      <c r="A748" s="14"/>
      <c r="B748" s="132" t="s">
        <v>528</v>
      </c>
      <c r="C748" s="109" t="s">
        <v>510</v>
      </c>
      <c r="D748" s="108" t="s">
        <v>229</v>
      </c>
      <c r="E748" s="108" t="s">
        <v>13</v>
      </c>
      <c r="F748" s="108" t="s">
        <v>529</v>
      </c>
      <c r="G748" s="108" t="s">
        <v>9</v>
      </c>
      <c r="H748" s="126">
        <f t="shared" ref="H748:H749" si="98">H749</f>
        <v>0</v>
      </c>
      <c r="I748" s="178" t="str">
        <f t="shared" si="95"/>
        <v>607070307 2 08 00000000</v>
      </c>
      <c r="L748" s="20">
        <v>955.2</v>
      </c>
      <c r="M748" s="20">
        <v>150</v>
      </c>
      <c r="N748" s="20">
        <v>150</v>
      </c>
      <c r="O748" s="20">
        <f>H748-L748</f>
        <v>-955.2</v>
      </c>
      <c r="P748" s="20" t="e">
        <f>#REF!-M748</f>
        <v>#REF!</v>
      </c>
      <c r="Q748" s="20" t="e">
        <f>#REF!-N748</f>
        <v>#REF!</v>
      </c>
      <c r="R748" s="17" t="str">
        <f t="shared" si="90"/>
        <v>07 2 08 00000000</v>
      </c>
    </row>
    <row r="749" spans="1:18" s="16" customFormat="1" ht="126">
      <c r="A749" s="14"/>
      <c r="B749" s="125" t="s">
        <v>530</v>
      </c>
      <c r="C749" s="109" t="s">
        <v>510</v>
      </c>
      <c r="D749" s="108" t="s">
        <v>229</v>
      </c>
      <c r="E749" s="108" t="s">
        <v>13</v>
      </c>
      <c r="F749" s="108" t="s">
        <v>531</v>
      </c>
      <c r="G749" s="108" t="s">
        <v>9</v>
      </c>
      <c r="H749" s="126">
        <f t="shared" si="98"/>
        <v>0</v>
      </c>
      <c r="I749" s="178" t="str">
        <f t="shared" si="95"/>
        <v>607070307 2 08 21230000</v>
      </c>
      <c r="L749" s="20">
        <v>955.2</v>
      </c>
      <c r="M749" s="20">
        <v>150</v>
      </c>
      <c r="N749" s="20">
        <v>150</v>
      </c>
      <c r="O749" s="20">
        <f>H749-L749</f>
        <v>-955.2</v>
      </c>
      <c r="P749" s="20" t="e">
        <f>#REF!-M749</f>
        <v>#REF!</v>
      </c>
      <c r="Q749" s="20" t="e">
        <f>#REF!-N749</f>
        <v>#REF!</v>
      </c>
      <c r="R749" s="17" t="str">
        <f t="shared" si="90"/>
        <v>07 2 08 21230000</v>
      </c>
    </row>
    <row r="750" spans="1:18" s="16" customFormat="1" ht="15.75">
      <c r="A750" s="14"/>
      <c r="B750" s="132" t="s">
        <v>403</v>
      </c>
      <c r="C750" s="109" t="s">
        <v>510</v>
      </c>
      <c r="D750" s="108" t="s">
        <v>229</v>
      </c>
      <c r="E750" s="108" t="s">
        <v>13</v>
      </c>
      <c r="F750" s="108" t="s">
        <v>531</v>
      </c>
      <c r="G750" s="108" t="s">
        <v>404</v>
      </c>
      <c r="H750" s="126">
        <f>H751</f>
        <v>0</v>
      </c>
      <c r="I750" s="178" t="str">
        <f t="shared" si="95"/>
        <v>607070307 2 08 21230610</v>
      </c>
      <c r="L750" s="20">
        <v>955.2</v>
      </c>
      <c r="M750" s="20">
        <v>150</v>
      </c>
      <c r="N750" s="20">
        <v>150</v>
      </c>
      <c r="O750" s="20">
        <f>H750-L750</f>
        <v>-955.2</v>
      </c>
      <c r="P750" s="20" t="e">
        <f>#REF!-M750</f>
        <v>#REF!</v>
      </c>
      <c r="Q750" s="20" t="e">
        <f>#REF!-N750</f>
        <v>#REF!</v>
      </c>
      <c r="R750" s="17" t="str">
        <f t="shared" si="90"/>
        <v>07 2 08 21230610</v>
      </c>
    </row>
    <row r="751" spans="1:18" s="23" customFormat="1" ht="15.75">
      <c r="A751" s="21"/>
      <c r="B751" s="127" t="s">
        <v>407</v>
      </c>
      <c r="C751" s="109" t="s">
        <v>510</v>
      </c>
      <c r="D751" s="108" t="s">
        <v>229</v>
      </c>
      <c r="E751" s="108" t="s">
        <v>13</v>
      </c>
      <c r="F751" s="108" t="s">
        <v>531</v>
      </c>
      <c r="G751" s="108" t="s">
        <v>408</v>
      </c>
      <c r="H751" s="126"/>
      <c r="I751" s="178" t="str">
        <f t="shared" si="95"/>
        <v>607070307 2 08 21230612</v>
      </c>
      <c r="L751" s="22"/>
      <c r="M751" s="22"/>
      <c r="N751" s="22"/>
      <c r="O751" s="22"/>
      <c r="P751" s="22"/>
      <c r="Q751" s="22"/>
      <c r="R751" s="24"/>
    </row>
    <row r="752" spans="1:18" s="16" customFormat="1" ht="47.25">
      <c r="A752" s="14"/>
      <c r="B752" s="132" t="s">
        <v>532</v>
      </c>
      <c r="C752" s="109" t="s">
        <v>510</v>
      </c>
      <c r="D752" s="108" t="s">
        <v>229</v>
      </c>
      <c r="E752" s="108" t="s">
        <v>13</v>
      </c>
      <c r="F752" s="108" t="s">
        <v>533</v>
      </c>
      <c r="G752" s="108" t="s">
        <v>9</v>
      </c>
      <c r="H752" s="126">
        <f>H753</f>
        <v>0</v>
      </c>
      <c r="I752" s="178" t="str">
        <f t="shared" si="95"/>
        <v>607070307 2 09 00000000</v>
      </c>
      <c r="L752" s="20">
        <v>218.4</v>
      </c>
      <c r="M752" s="20">
        <v>218.4</v>
      </c>
      <c r="N752" s="20">
        <v>218.4</v>
      </c>
      <c r="O752" s="20">
        <f>H752-L752</f>
        <v>-218.4</v>
      </c>
      <c r="P752" s="20" t="e">
        <f>#REF!-M752</f>
        <v>#REF!</v>
      </c>
      <c r="Q752" s="20" t="e">
        <f>#REF!-N752</f>
        <v>#REF!</v>
      </c>
      <c r="R752" s="17" t="str">
        <f t="shared" si="90"/>
        <v>07 2 09 00000000</v>
      </c>
    </row>
    <row r="753" spans="1:18" s="16" customFormat="1" ht="47.25">
      <c r="A753" s="14"/>
      <c r="B753" s="132" t="s">
        <v>534</v>
      </c>
      <c r="C753" s="109" t="s">
        <v>510</v>
      </c>
      <c r="D753" s="108" t="s">
        <v>229</v>
      </c>
      <c r="E753" s="108" t="s">
        <v>13</v>
      </c>
      <c r="F753" s="108" t="s">
        <v>535</v>
      </c>
      <c r="G753" s="108" t="s">
        <v>9</v>
      </c>
      <c r="H753" s="126">
        <f>H754+H756</f>
        <v>0</v>
      </c>
      <c r="I753" s="178" t="str">
        <f t="shared" si="95"/>
        <v>607070307 2 09 21280000</v>
      </c>
      <c r="L753" s="20">
        <v>218.4</v>
      </c>
      <c r="M753" s="20">
        <v>218.4</v>
      </c>
      <c r="N753" s="20">
        <v>218.4</v>
      </c>
      <c r="O753" s="20">
        <f>H753-L753</f>
        <v>-218.4</v>
      </c>
      <c r="P753" s="20" t="e">
        <f>#REF!-M753</f>
        <v>#REF!</v>
      </c>
      <c r="Q753" s="20" t="e">
        <f>#REF!-N753</f>
        <v>#REF!</v>
      </c>
      <c r="R753" s="17" t="str">
        <f t="shared" si="90"/>
        <v>07 2 09 21280000</v>
      </c>
    </row>
    <row r="754" spans="1:18" s="16" customFormat="1" ht="15.75">
      <c r="A754" s="14"/>
      <c r="B754" s="132" t="s">
        <v>403</v>
      </c>
      <c r="C754" s="109" t="s">
        <v>510</v>
      </c>
      <c r="D754" s="108" t="s">
        <v>229</v>
      </c>
      <c r="E754" s="108" t="s">
        <v>13</v>
      </c>
      <c r="F754" s="108" t="s">
        <v>535</v>
      </c>
      <c r="G754" s="108" t="s">
        <v>404</v>
      </c>
      <c r="H754" s="126">
        <f>H755</f>
        <v>0</v>
      </c>
      <c r="I754" s="178" t="str">
        <f t="shared" si="95"/>
        <v>607070307 2 09 21280610</v>
      </c>
      <c r="L754" s="20">
        <v>163.80000000000001</v>
      </c>
      <c r="M754" s="20">
        <v>163.80000000000001</v>
      </c>
      <c r="N754" s="20">
        <v>163.80000000000001</v>
      </c>
      <c r="O754" s="20">
        <f>H754-L754</f>
        <v>-163.80000000000001</v>
      </c>
      <c r="P754" s="20" t="e">
        <f>#REF!-M754</f>
        <v>#REF!</v>
      </c>
      <c r="Q754" s="20" t="e">
        <f>#REF!-N754</f>
        <v>#REF!</v>
      </c>
      <c r="R754" s="17" t="str">
        <f t="shared" si="90"/>
        <v>07 2 09 21280610</v>
      </c>
    </row>
    <row r="755" spans="1:18" s="23" customFormat="1" ht="15.75">
      <c r="A755" s="21"/>
      <c r="B755" s="127" t="s">
        <v>407</v>
      </c>
      <c r="C755" s="109" t="s">
        <v>510</v>
      </c>
      <c r="D755" s="108" t="s">
        <v>229</v>
      </c>
      <c r="E755" s="108" t="s">
        <v>13</v>
      </c>
      <c r="F755" s="108" t="s">
        <v>535</v>
      </c>
      <c r="G755" s="108" t="s">
        <v>408</v>
      </c>
      <c r="H755" s="126"/>
      <c r="I755" s="178" t="str">
        <f t="shared" si="95"/>
        <v>607070307 2 09 21280612</v>
      </c>
      <c r="L755" s="22"/>
      <c r="M755" s="22"/>
      <c r="N755" s="22"/>
      <c r="O755" s="22"/>
      <c r="P755" s="22"/>
      <c r="Q755" s="22"/>
      <c r="R755" s="24"/>
    </row>
    <row r="756" spans="1:18" s="16" customFormat="1" ht="15.75">
      <c r="A756" s="14"/>
      <c r="B756" s="132" t="s">
        <v>409</v>
      </c>
      <c r="C756" s="109" t="s">
        <v>510</v>
      </c>
      <c r="D756" s="108" t="s">
        <v>229</v>
      </c>
      <c r="E756" s="108" t="s">
        <v>13</v>
      </c>
      <c r="F756" s="108" t="s">
        <v>535</v>
      </c>
      <c r="G756" s="108" t="s">
        <v>410</v>
      </c>
      <c r="H756" s="126">
        <f>H757</f>
        <v>0</v>
      </c>
      <c r="I756" s="178" t="str">
        <f t="shared" si="95"/>
        <v>607070307 2 09 21280620</v>
      </c>
      <c r="L756" s="20">
        <v>54.6</v>
      </c>
      <c r="M756" s="20">
        <v>54.6</v>
      </c>
      <c r="N756" s="20">
        <v>54.6</v>
      </c>
      <c r="O756" s="20">
        <f>H756-L756</f>
        <v>-54.6</v>
      </c>
      <c r="P756" s="20" t="e">
        <f>#REF!-M756</f>
        <v>#REF!</v>
      </c>
      <c r="Q756" s="20" t="e">
        <f>#REF!-N756</f>
        <v>#REF!</v>
      </c>
      <c r="R756" s="17" t="str">
        <f t="shared" si="90"/>
        <v>07 2 09 21280620</v>
      </c>
    </row>
    <row r="757" spans="1:18" s="23" customFormat="1" ht="15.75">
      <c r="A757" s="21"/>
      <c r="B757" s="127" t="s">
        <v>428</v>
      </c>
      <c r="C757" s="109" t="s">
        <v>510</v>
      </c>
      <c r="D757" s="108" t="s">
        <v>229</v>
      </c>
      <c r="E757" s="108" t="s">
        <v>13</v>
      </c>
      <c r="F757" s="108" t="s">
        <v>535</v>
      </c>
      <c r="G757" s="108" t="s">
        <v>429</v>
      </c>
      <c r="H757" s="126"/>
      <c r="I757" s="178" t="str">
        <f t="shared" si="95"/>
        <v>607070307 2 09 21280622</v>
      </c>
      <c r="L757" s="22"/>
      <c r="M757" s="22"/>
      <c r="N757" s="22"/>
      <c r="O757" s="22"/>
      <c r="P757" s="22"/>
      <c r="Q757" s="22"/>
      <c r="R757" s="24"/>
    </row>
    <row r="758" spans="1:18" s="16" customFormat="1" ht="78.75">
      <c r="A758" s="14"/>
      <c r="B758" s="132" t="s">
        <v>536</v>
      </c>
      <c r="C758" s="109" t="s">
        <v>510</v>
      </c>
      <c r="D758" s="108" t="s">
        <v>229</v>
      </c>
      <c r="E758" s="108" t="s">
        <v>13</v>
      </c>
      <c r="F758" s="108" t="s">
        <v>537</v>
      </c>
      <c r="G758" s="108" t="s">
        <v>9</v>
      </c>
      <c r="H758" s="126">
        <f>H759</f>
        <v>0</v>
      </c>
      <c r="I758" s="178" t="str">
        <f t="shared" si="95"/>
        <v>607070307 2 12 00000000</v>
      </c>
      <c r="L758" s="20">
        <v>1162.44</v>
      </c>
      <c r="M758" s="20">
        <v>0</v>
      </c>
      <c r="N758" s="20">
        <v>0</v>
      </c>
      <c r="O758" s="20">
        <f>H758-L758</f>
        <v>-1162.44</v>
      </c>
      <c r="P758" s="20" t="e">
        <f>#REF!-M758</f>
        <v>#REF!</v>
      </c>
      <c r="Q758" s="20" t="e">
        <f>#REF!-N758</f>
        <v>#REF!</v>
      </c>
      <c r="R758" s="17" t="str">
        <f t="shared" si="90"/>
        <v>07 2 12 00000000</v>
      </c>
    </row>
    <row r="759" spans="1:18" s="16" customFormat="1" ht="47.25">
      <c r="A759" s="14"/>
      <c r="B759" s="138" t="s">
        <v>538</v>
      </c>
      <c r="C759" s="109" t="s">
        <v>510</v>
      </c>
      <c r="D759" s="108" t="s">
        <v>229</v>
      </c>
      <c r="E759" s="108" t="s">
        <v>13</v>
      </c>
      <c r="F759" s="108" t="s">
        <v>539</v>
      </c>
      <c r="G759" s="108" t="s">
        <v>9</v>
      </c>
      <c r="H759" s="126">
        <f>H760</f>
        <v>0</v>
      </c>
      <c r="I759" s="178" t="str">
        <f t="shared" si="95"/>
        <v>607070307 2 12 21430000</v>
      </c>
      <c r="L759" s="20">
        <v>1162.44</v>
      </c>
      <c r="M759" s="20">
        <v>0</v>
      </c>
      <c r="N759" s="20">
        <v>0</v>
      </c>
      <c r="O759" s="20">
        <f>H759-L759</f>
        <v>-1162.44</v>
      </c>
      <c r="P759" s="20" t="e">
        <f>#REF!-M759</f>
        <v>#REF!</v>
      </c>
      <c r="Q759" s="20" t="e">
        <f>#REF!-N759</f>
        <v>#REF!</v>
      </c>
      <c r="R759" s="17" t="str">
        <f t="shared" si="90"/>
        <v>07 2 12 21430000</v>
      </c>
    </row>
    <row r="760" spans="1:18" s="16" customFormat="1" ht="15.75">
      <c r="A760" s="14"/>
      <c r="B760" s="132" t="s">
        <v>409</v>
      </c>
      <c r="C760" s="109" t="s">
        <v>510</v>
      </c>
      <c r="D760" s="108" t="s">
        <v>229</v>
      </c>
      <c r="E760" s="108" t="s">
        <v>13</v>
      </c>
      <c r="F760" s="108" t="s">
        <v>539</v>
      </c>
      <c r="G760" s="108" t="s">
        <v>410</v>
      </c>
      <c r="H760" s="126">
        <f>H761</f>
        <v>0</v>
      </c>
      <c r="I760" s="178" t="str">
        <f t="shared" si="95"/>
        <v>607070307 2 12 21430620</v>
      </c>
      <c r="L760" s="20">
        <v>1162.44</v>
      </c>
      <c r="M760" s="20">
        <v>0</v>
      </c>
      <c r="N760" s="20">
        <v>0</v>
      </c>
      <c r="O760" s="20">
        <f>H760-L760</f>
        <v>-1162.44</v>
      </c>
      <c r="P760" s="20" t="e">
        <f>#REF!-M760</f>
        <v>#REF!</v>
      </c>
      <c r="Q760" s="20" t="e">
        <f>#REF!-N760</f>
        <v>#REF!</v>
      </c>
      <c r="R760" s="17" t="str">
        <f t="shared" si="90"/>
        <v>07 2 12 21430620</v>
      </c>
    </row>
    <row r="761" spans="1:18" s="23" customFormat="1" ht="15.75">
      <c r="A761" s="21"/>
      <c r="B761" s="127" t="s">
        <v>428</v>
      </c>
      <c r="C761" s="109" t="s">
        <v>510</v>
      </c>
      <c r="D761" s="108" t="s">
        <v>229</v>
      </c>
      <c r="E761" s="108" t="s">
        <v>13</v>
      </c>
      <c r="F761" s="108" t="s">
        <v>539</v>
      </c>
      <c r="G761" s="108" t="s">
        <v>429</v>
      </c>
      <c r="H761" s="126"/>
      <c r="I761" s="178" t="str">
        <f t="shared" si="95"/>
        <v>607070307 2 12 21430622</v>
      </c>
      <c r="L761" s="22"/>
      <c r="M761" s="22"/>
      <c r="N761" s="22"/>
      <c r="O761" s="22"/>
      <c r="P761" s="22"/>
      <c r="Q761" s="22"/>
      <c r="R761" s="24"/>
    </row>
    <row r="762" spans="1:18" s="16" customFormat="1" ht="94.5">
      <c r="A762" s="14"/>
      <c r="B762" s="125" t="s">
        <v>420</v>
      </c>
      <c r="C762" s="109" t="s">
        <v>510</v>
      </c>
      <c r="D762" s="108" t="s">
        <v>229</v>
      </c>
      <c r="E762" s="108" t="s">
        <v>13</v>
      </c>
      <c r="F762" s="108" t="s">
        <v>421</v>
      </c>
      <c r="G762" s="108" t="s">
        <v>9</v>
      </c>
      <c r="H762" s="126">
        <f t="shared" ref="H762:H764" si="99">H763</f>
        <v>0</v>
      </c>
      <c r="I762" s="178" t="str">
        <f t="shared" si="95"/>
        <v>607070316 0 00 00000000</v>
      </c>
      <c r="L762" s="20">
        <v>392.8</v>
      </c>
      <c r="M762" s="20">
        <v>392.8</v>
      </c>
      <c r="N762" s="20">
        <v>392.8</v>
      </c>
      <c r="O762" s="20">
        <f>H762-L762</f>
        <v>-392.8</v>
      </c>
      <c r="P762" s="20" t="e">
        <f>#REF!-M762</f>
        <v>#REF!</v>
      </c>
      <c r="Q762" s="20" t="e">
        <f>#REF!-N762</f>
        <v>#REF!</v>
      </c>
      <c r="R762" s="17" t="str">
        <f t="shared" si="90"/>
        <v>16 0 00 00000000</v>
      </c>
    </row>
    <row r="763" spans="1:18" s="16" customFormat="1" ht="31.5">
      <c r="A763" s="14"/>
      <c r="B763" s="125" t="s">
        <v>422</v>
      </c>
      <c r="C763" s="109" t="s">
        <v>510</v>
      </c>
      <c r="D763" s="108" t="s">
        <v>229</v>
      </c>
      <c r="E763" s="108" t="s">
        <v>13</v>
      </c>
      <c r="F763" s="108" t="s">
        <v>423</v>
      </c>
      <c r="G763" s="108" t="s">
        <v>9</v>
      </c>
      <c r="H763" s="126">
        <f t="shared" si="99"/>
        <v>0</v>
      </c>
      <c r="I763" s="178" t="str">
        <f t="shared" si="95"/>
        <v>607070316 2 00 00000000</v>
      </c>
      <c r="L763" s="20">
        <v>392.8</v>
      </c>
      <c r="M763" s="20">
        <v>392.8</v>
      </c>
      <c r="N763" s="20">
        <v>392.8</v>
      </c>
      <c r="O763" s="20">
        <f>H763-L763</f>
        <v>-392.8</v>
      </c>
      <c r="P763" s="20" t="e">
        <f>#REF!-M763</f>
        <v>#REF!</v>
      </c>
      <c r="Q763" s="20" t="e">
        <f>#REF!-N763</f>
        <v>#REF!</v>
      </c>
      <c r="R763" s="17" t="str">
        <f t="shared" si="90"/>
        <v>16 2 00 00000000</v>
      </c>
    </row>
    <row r="764" spans="1:18" s="16" customFormat="1" ht="47.25">
      <c r="A764" s="14"/>
      <c r="B764" s="125" t="s">
        <v>424</v>
      </c>
      <c r="C764" s="109" t="s">
        <v>510</v>
      </c>
      <c r="D764" s="108" t="s">
        <v>229</v>
      </c>
      <c r="E764" s="108" t="s">
        <v>13</v>
      </c>
      <c r="F764" s="108" t="s">
        <v>425</v>
      </c>
      <c r="G764" s="108" t="s">
        <v>9</v>
      </c>
      <c r="H764" s="126">
        <f t="shared" si="99"/>
        <v>0</v>
      </c>
      <c r="I764" s="178" t="str">
        <f t="shared" si="95"/>
        <v>607070316 2 02 00000000</v>
      </c>
      <c r="L764" s="20">
        <v>392.8</v>
      </c>
      <c r="M764" s="20">
        <v>392.8</v>
      </c>
      <c r="N764" s="20">
        <v>392.8</v>
      </c>
      <c r="O764" s="20">
        <f>H764-L764</f>
        <v>-392.8</v>
      </c>
      <c r="P764" s="20" t="e">
        <f>#REF!-M764</f>
        <v>#REF!</v>
      </c>
      <c r="Q764" s="20" t="e">
        <f>#REF!-N764</f>
        <v>#REF!</v>
      </c>
      <c r="R764" s="17" t="str">
        <f t="shared" si="90"/>
        <v>16 2 02 00000000</v>
      </c>
    </row>
    <row r="765" spans="1:18" s="16" customFormat="1" ht="47.25">
      <c r="A765" s="14"/>
      <c r="B765" s="125" t="s">
        <v>426</v>
      </c>
      <c r="C765" s="109" t="s">
        <v>510</v>
      </c>
      <c r="D765" s="108" t="s">
        <v>229</v>
      </c>
      <c r="E765" s="108" t="s">
        <v>13</v>
      </c>
      <c r="F765" s="108" t="s">
        <v>427</v>
      </c>
      <c r="G765" s="108" t="s">
        <v>9</v>
      </c>
      <c r="H765" s="126">
        <f>H766+H768</f>
        <v>0</v>
      </c>
      <c r="I765" s="178" t="str">
        <f t="shared" si="95"/>
        <v>607070316 2 02 20550000</v>
      </c>
      <c r="L765" s="20">
        <v>392.8</v>
      </c>
      <c r="M765" s="20">
        <v>392.8</v>
      </c>
      <c r="N765" s="20">
        <v>392.8</v>
      </c>
      <c r="O765" s="20">
        <f>H765-L765</f>
        <v>-392.8</v>
      </c>
      <c r="P765" s="20" t="e">
        <f>#REF!-M765</f>
        <v>#REF!</v>
      </c>
      <c r="Q765" s="20" t="e">
        <f>#REF!-N765</f>
        <v>#REF!</v>
      </c>
      <c r="R765" s="17" t="str">
        <f t="shared" si="90"/>
        <v>16 2 02 20550000</v>
      </c>
    </row>
    <row r="766" spans="1:18" s="16" customFormat="1" ht="15.75">
      <c r="A766" s="14"/>
      <c r="B766" s="132" t="s">
        <v>403</v>
      </c>
      <c r="C766" s="109" t="s">
        <v>510</v>
      </c>
      <c r="D766" s="108" t="s">
        <v>229</v>
      </c>
      <c r="E766" s="108" t="s">
        <v>13</v>
      </c>
      <c r="F766" s="108" t="s">
        <v>427</v>
      </c>
      <c r="G766" s="108" t="s">
        <v>404</v>
      </c>
      <c r="H766" s="126">
        <f>H767</f>
        <v>0</v>
      </c>
      <c r="I766" s="178" t="str">
        <f t="shared" si="95"/>
        <v>607070316 2 02 20550610</v>
      </c>
      <c r="L766" s="20">
        <v>344.8</v>
      </c>
      <c r="M766" s="20">
        <v>344.8</v>
      </c>
      <c r="N766" s="20">
        <v>344.8</v>
      </c>
      <c r="O766" s="20">
        <f>H766-L766</f>
        <v>-344.8</v>
      </c>
      <c r="P766" s="20" t="e">
        <f>#REF!-M766</f>
        <v>#REF!</v>
      </c>
      <c r="Q766" s="20" t="e">
        <f>#REF!-N766</f>
        <v>#REF!</v>
      </c>
      <c r="R766" s="17" t="str">
        <f t="shared" si="90"/>
        <v>16 2 02 20550610</v>
      </c>
    </row>
    <row r="767" spans="1:18" s="16" customFormat="1" ht="15.75">
      <c r="A767" s="14"/>
      <c r="B767" s="127" t="s">
        <v>407</v>
      </c>
      <c r="C767" s="109" t="s">
        <v>510</v>
      </c>
      <c r="D767" s="108" t="s">
        <v>229</v>
      </c>
      <c r="E767" s="108" t="s">
        <v>13</v>
      </c>
      <c r="F767" s="108" t="s">
        <v>427</v>
      </c>
      <c r="G767" s="108" t="s">
        <v>408</v>
      </c>
      <c r="H767" s="126"/>
      <c r="I767" s="178" t="str">
        <f t="shared" si="95"/>
        <v>607070316 2 02 20550612</v>
      </c>
      <c r="L767" s="20"/>
      <c r="M767" s="20"/>
      <c r="N767" s="20"/>
      <c r="O767" s="20"/>
      <c r="P767" s="20"/>
      <c r="Q767" s="20"/>
      <c r="R767" s="17"/>
    </row>
    <row r="768" spans="1:18" s="17" customFormat="1" ht="15.75">
      <c r="A768" s="14"/>
      <c r="B768" s="132" t="s">
        <v>409</v>
      </c>
      <c r="C768" s="109" t="s">
        <v>510</v>
      </c>
      <c r="D768" s="108" t="s">
        <v>229</v>
      </c>
      <c r="E768" s="108" t="s">
        <v>13</v>
      </c>
      <c r="F768" s="108" t="s">
        <v>427</v>
      </c>
      <c r="G768" s="108" t="s">
        <v>410</v>
      </c>
      <c r="H768" s="126">
        <f>H769</f>
        <v>0</v>
      </c>
      <c r="I768" s="178" t="str">
        <f t="shared" si="95"/>
        <v>607070316 2 02 20550620</v>
      </c>
      <c r="L768" s="20">
        <v>48</v>
      </c>
      <c r="M768" s="20">
        <v>48</v>
      </c>
      <c r="N768" s="20">
        <v>48</v>
      </c>
      <c r="O768" s="20">
        <f>H768-L768</f>
        <v>-48</v>
      </c>
      <c r="P768" s="20" t="e">
        <f>#REF!-M768</f>
        <v>#REF!</v>
      </c>
      <c r="Q768" s="20" t="e">
        <f>#REF!-N768</f>
        <v>#REF!</v>
      </c>
      <c r="R768" s="17" t="str">
        <f t="shared" ref="R768:R866" si="100">CONCATENATE(F768,G768)</f>
        <v>16 2 02 20550620</v>
      </c>
    </row>
    <row r="769" spans="1:18" s="24" customFormat="1" ht="15.75">
      <c r="A769" s="21"/>
      <c r="B769" s="127" t="s">
        <v>428</v>
      </c>
      <c r="C769" s="109" t="s">
        <v>510</v>
      </c>
      <c r="D769" s="108" t="s">
        <v>229</v>
      </c>
      <c r="E769" s="108" t="s">
        <v>13</v>
      </c>
      <c r="F769" s="108" t="s">
        <v>427</v>
      </c>
      <c r="G769" s="108" t="s">
        <v>429</v>
      </c>
      <c r="H769" s="126"/>
      <c r="I769" s="178" t="str">
        <f t="shared" si="95"/>
        <v>607070316 2 02 20550622</v>
      </c>
      <c r="L769" s="22"/>
      <c r="M769" s="22"/>
      <c r="N769" s="22"/>
      <c r="O769" s="22"/>
      <c r="P769" s="22"/>
      <c r="Q769" s="22"/>
    </row>
    <row r="770" spans="1:18" s="17" customFormat="1" ht="47.25">
      <c r="A770" s="14"/>
      <c r="B770" s="125" t="s">
        <v>430</v>
      </c>
      <c r="C770" s="109" t="s">
        <v>510</v>
      </c>
      <c r="D770" s="108" t="s">
        <v>229</v>
      </c>
      <c r="E770" s="108" t="s">
        <v>13</v>
      </c>
      <c r="F770" s="108" t="s">
        <v>431</v>
      </c>
      <c r="G770" s="108" t="s">
        <v>9</v>
      </c>
      <c r="H770" s="126">
        <f t="shared" ref="H770:H773" si="101">H771</f>
        <v>0</v>
      </c>
      <c r="I770" s="178" t="str">
        <f t="shared" si="95"/>
        <v>607070317 0 00 00000000</v>
      </c>
      <c r="L770" s="20">
        <v>692.25</v>
      </c>
      <c r="M770" s="20">
        <v>692.25</v>
      </c>
      <c r="N770" s="20">
        <v>692.25</v>
      </c>
      <c r="O770" s="20">
        <f>H770-L770</f>
        <v>-692.25</v>
      </c>
      <c r="P770" s="20" t="e">
        <f>#REF!-M770</f>
        <v>#REF!</v>
      </c>
      <c r="Q770" s="20" t="e">
        <f>#REF!-N770</f>
        <v>#REF!</v>
      </c>
      <c r="R770" s="17" t="str">
        <f t="shared" si="100"/>
        <v>17 0 00 00000000</v>
      </c>
    </row>
    <row r="771" spans="1:18" s="17" customFormat="1" ht="47.25">
      <c r="A771" s="14"/>
      <c r="B771" s="129" t="s">
        <v>432</v>
      </c>
      <c r="C771" s="109" t="s">
        <v>510</v>
      </c>
      <c r="D771" s="108" t="s">
        <v>229</v>
      </c>
      <c r="E771" s="108" t="s">
        <v>13</v>
      </c>
      <c r="F771" s="108" t="s">
        <v>433</v>
      </c>
      <c r="G771" s="108" t="s">
        <v>9</v>
      </c>
      <c r="H771" s="126">
        <f t="shared" si="101"/>
        <v>0</v>
      </c>
      <c r="I771" s="178" t="str">
        <f t="shared" si="95"/>
        <v>607070317 Б 00 00000000</v>
      </c>
      <c r="L771" s="20">
        <v>692.25</v>
      </c>
      <c r="M771" s="20">
        <v>692.25</v>
      </c>
      <c r="N771" s="20">
        <v>692.25</v>
      </c>
      <c r="O771" s="20">
        <f>H771-L771</f>
        <v>-692.25</v>
      </c>
      <c r="P771" s="20" t="e">
        <f>#REF!-M771</f>
        <v>#REF!</v>
      </c>
      <c r="Q771" s="20" t="e">
        <f>#REF!-N771</f>
        <v>#REF!</v>
      </c>
      <c r="R771" s="17" t="str">
        <f t="shared" si="100"/>
        <v>17 Б 00 00000000</v>
      </c>
    </row>
    <row r="772" spans="1:18" s="17" customFormat="1" ht="31.5">
      <c r="A772" s="14"/>
      <c r="B772" s="125" t="s">
        <v>434</v>
      </c>
      <c r="C772" s="109" t="s">
        <v>510</v>
      </c>
      <c r="D772" s="108" t="s">
        <v>229</v>
      </c>
      <c r="E772" s="108" t="s">
        <v>13</v>
      </c>
      <c r="F772" s="108" t="s">
        <v>435</v>
      </c>
      <c r="G772" s="108" t="s">
        <v>9</v>
      </c>
      <c r="H772" s="126">
        <f t="shared" si="101"/>
        <v>0</v>
      </c>
      <c r="I772" s="178" t="str">
        <f t="shared" si="95"/>
        <v>607070317 Б 01 00000000</v>
      </c>
      <c r="L772" s="20">
        <v>692.25</v>
      </c>
      <c r="M772" s="20">
        <v>692.25</v>
      </c>
      <c r="N772" s="20">
        <v>692.25</v>
      </c>
      <c r="O772" s="20">
        <f>H772-L772</f>
        <v>-692.25</v>
      </c>
      <c r="P772" s="20" t="e">
        <f>#REF!-M772</f>
        <v>#REF!</v>
      </c>
      <c r="Q772" s="20" t="e">
        <f>#REF!-N772</f>
        <v>#REF!</v>
      </c>
      <c r="R772" s="17" t="str">
        <f t="shared" si="100"/>
        <v>17 Б 01 00000000</v>
      </c>
    </row>
    <row r="773" spans="1:18" s="17" customFormat="1" ht="47.25">
      <c r="A773" s="14"/>
      <c r="B773" s="132" t="s">
        <v>436</v>
      </c>
      <c r="C773" s="109" t="s">
        <v>510</v>
      </c>
      <c r="D773" s="108" t="s">
        <v>229</v>
      </c>
      <c r="E773" s="108" t="s">
        <v>13</v>
      </c>
      <c r="F773" s="108" t="s">
        <v>437</v>
      </c>
      <c r="G773" s="108" t="s">
        <v>9</v>
      </c>
      <c r="H773" s="126">
        <f t="shared" si="101"/>
        <v>0</v>
      </c>
      <c r="I773" s="178" t="str">
        <f t="shared" si="95"/>
        <v>607070317 Б 01 20490000</v>
      </c>
      <c r="L773" s="20">
        <v>692.25</v>
      </c>
      <c r="M773" s="20">
        <v>692.25</v>
      </c>
      <c r="N773" s="20">
        <v>692.25</v>
      </c>
      <c r="O773" s="20">
        <f>H773-L773</f>
        <v>-692.25</v>
      </c>
      <c r="P773" s="20" t="e">
        <f>#REF!-M773</f>
        <v>#REF!</v>
      </c>
      <c r="Q773" s="20" t="e">
        <f>#REF!-N773</f>
        <v>#REF!</v>
      </c>
      <c r="R773" s="17" t="str">
        <f t="shared" si="100"/>
        <v>17 Б 01 20490000</v>
      </c>
    </row>
    <row r="774" spans="1:18" s="17" customFormat="1" ht="15.75">
      <c r="A774" s="14"/>
      <c r="B774" s="132" t="s">
        <v>409</v>
      </c>
      <c r="C774" s="109" t="s">
        <v>510</v>
      </c>
      <c r="D774" s="108" t="s">
        <v>229</v>
      </c>
      <c r="E774" s="108" t="s">
        <v>13</v>
      </c>
      <c r="F774" s="108" t="s">
        <v>437</v>
      </c>
      <c r="G774" s="108" t="s">
        <v>410</v>
      </c>
      <c r="H774" s="126">
        <f>H775</f>
        <v>0</v>
      </c>
      <c r="I774" s="178" t="str">
        <f t="shared" si="95"/>
        <v>607070317 Б 01 20490620</v>
      </c>
      <c r="L774" s="20">
        <v>692.25</v>
      </c>
      <c r="M774" s="20">
        <v>692.25</v>
      </c>
      <c r="N774" s="20">
        <v>692.25</v>
      </c>
      <c r="O774" s="20">
        <f>H774-L774</f>
        <v>-692.25</v>
      </c>
      <c r="P774" s="20" t="e">
        <f>#REF!-M774</f>
        <v>#REF!</v>
      </c>
      <c r="Q774" s="20" t="e">
        <f>#REF!-N774</f>
        <v>#REF!</v>
      </c>
      <c r="R774" s="17" t="str">
        <f t="shared" si="100"/>
        <v>17 Б 01 20490620</v>
      </c>
    </row>
    <row r="775" spans="1:18" s="24" customFormat="1" ht="15.75">
      <c r="A775" s="21"/>
      <c r="B775" s="127" t="s">
        <v>428</v>
      </c>
      <c r="C775" s="109" t="s">
        <v>510</v>
      </c>
      <c r="D775" s="108" t="s">
        <v>229</v>
      </c>
      <c r="E775" s="108" t="s">
        <v>13</v>
      </c>
      <c r="F775" s="108" t="s">
        <v>437</v>
      </c>
      <c r="G775" s="108" t="s">
        <v>429</v>
      </c>
      <c r="H775" s="126"/>
      <c r="I775" s="178" t="str">
        <f t="shared" si="95"/>
        <v>607070317 Б 01 20490622</v>
      </c>
      <c r="L775" s="22"/>
      <c r="M775" s="22"/>
      <c r="N775" s="22"/>
      <c r="O775" s="22"/>
      <c r="P775" s="22"/>
      <c r="Q775" s="22"/>
    </row>
    <row r="776" spans="1:18" s="17" customFormat="1" ht="63">
      <c r="A776" s="14"/>
      <c r="B776" s="125" t="s">
        <v>87</v>
      </c>
      <c r="C776" s="109" t="s">
        <v>510</v>
      </c>
      <c r="D776" s="108" t="s">
        <v>229</v>
      </c>
      <c r="E776" s="108" t="s">
        <v>13</v>
      </c>
      <c r="F776" s="108" t="s">
        <v>88</v>
      </c>
      <c r="G776" s="108" t="s">
        <v>9</v>
      </c>
      <c r="H776" s="126">
        <f>H777</f>
        <v>0</v>
      </c>
      <c r="I776" s="178" t="str">
        <f t="shared" si="95"/>
        <v>607070398 0 00 00000000</v>
      </c>
      <c r="L776" s="20"/>
      <c r="M776" s="20"/>
      <c r="N776" s="20"/>
      <c r="O776" s="20">
        <f>H776-L776</f>
        <v>0</v>
      </c>
      <c r="P776" s="20" t="e">
        <f>#REF!-M776</f>
        <v>#REF!</v>
      </c>
      <c r="Q776" s="20" t="e">
        <f>#REF!-N776</f>
        <v>#REF!</v>
      </c>
      <c r="R776" s="17" t="str">
        <f t="shared" si="100"/>
        <v>98 0 00 00000000</v>
      </c>
    </row>
    <row r="777" spans="1:18" s="17" customFormat="1" ht="15.75">
      <c r="A777" s="14"/>
      <c r="B777" s="125" t="s">
        <v>89</v>
      </c>
      <c r="C777" s="109" t="s">
        <v>510</v>
      </c>
      <c r="D777" s="108" t="s">
        <v>229</v>
      </c>
      <c r="E777" s="108" t="s">
        <v>13</v>
      </c>
      <c r="F777" s="108" t="s">
        <v>90</v>
      </c>
      <c r="G777" s="108" t="s">
        <v>9</v>
      </c>
      <c r="H777" s="126">
        <f>H778</f>
        <v>0</v>
      </c>
      <c r="I777" s="178" t="str">
        <f t="shared" si="95"/>
        <v>607070398 1 00 00000000</v>
      </c>
      <c r="L777" s="20"/>
      <c r="M777" s="20"/>
      <c r="N777" s="20"/>
      <c r="O777" s="20">
        <f>H777-L777</f>
        <v>0</v>
      </c>
      <c r="P777" s="20" t="e">
        <f>#REF!-M777</f>
        <v>#REF!</v>
      </c>
      <c r="Q777" s="20" t="e">
        <f>#REF!-N777</f>
        <v>#REF!</v>
      </c>
      <c r="R777" s="17" t="str">
        <f t="shared" si="100"/>
        <v>98 1 00 00000000</v>
      </c>
    </row>
    <row r="778" spans="1:18" s="17" customFormat="1" ht="157.5">
      <c r="A778" s="14"/>
      <c r="B778" s="125" t="s">
        <v>540</v>
      </c>
      <c r="C778" s="109" t="s">
        <v>510</v>
      </c>
      <c r="D778" s="108" t="s">
        <v>229</v>
      </c>
      <c r="E778" s="108" t="s">
        <v>13</v>
      </c>
      <c r="F778" s="108" t="s">
        <v>541</v>
      </c>
      <c r="G778" s="108" t="s">
        <v>9</v>
      </c>
      <c r="H778" s="126">
        <f>H779+H781</f>
        <v>0</v>
      </c>
      <c r="I778" s="178" t="str">
        <f t="shared" si="95"/>
        <v>607070398 1 00 21530000</v>
      </c>
      <c r="L778" s="20"/>
      <c r="M778" s="20"/>
      <c r="N778" s="20"/>
      <c r="O778" s="20">
        <f>H778-L778</f>
        <v>0</v>
      </c>
      <c r="P778" s="20" t="e">
        <f>#REF!-M778</f>
        <v>#REF!</v>
      </c>
      <c r="Q778" s="20" t="e">
        <f>#REF!-N778</f>
        <v>#REF!</v>
      </c>
      <c r="R778" s="17" t="str">
        <f t="shared" si="100"/>
        <v>98 1 00 21530000</v>
      </c>
    </row>
    <row r="779" spans="1:18" s="17" customFormat="1" ht="15.75">
      <c r="A779" s="14"/>
      <c r="B779" s="132" t="s">
        <v>403</v>
      </c>
      <c r="C779" s="109" t="s">
        <v>510</v>
      </c>
      <c r="D779" s="108" t="s">
        <v>229</v>
      </c>
      <c r="E779" s="108" t="s">
        <v>13</v>
      </c>
      <c r="F779" s="108" t="s">
        <v>541</v>
      </c>
      <c r="G779" s="108" t="s">
        <v>404</v>
      </c>
      <c r="H779" s="126">
        <f>H780</f>
        <v>0</v>
      </c>
      <c r="I779" s="178" t="str">
        <f t="shared" si="95"/>
        <v>607070398 1 00 21530610</v>
      </c>
      <c r="L779" s="20"/>
      <c r="M779" s="20"/>
      <c r="N779" s="20"/>
      <c r="O779" s="20">
        <f>H779-L779</f>
        <v>0</v>
      </c>
      <c r="P779" s="20" t="e">
        <f>#REF!-M779</f>
        <v>#REF!</v>
      </c>
      <c r="Q779" s="20" t="e">
        <f>#REF!-N779</f>
        <v>#REF!</v>
      </c>
      <c r="R779" s="17" t="str">
        <f t="shared" si="100"/>
        <v>98 1 00 21530610</v>
      </c>
    </row>
    <row r="780" spans="1:18" s="24" customFormat="1" ht="15.75">
      <c r="A780" s="21"/>
      <c r="B780" s="127" t="s">
        <v>407</v>
      </c>
      <c r="C780" s="109" t="s">
        <v>510</v>
      </c>
      <c r="D780" s="108" t="s">
        <v>229</v>
      </c>
      <c r="E780" s="108" t="s">
        <v>13</v>
      </c>
      <c r="F780" s="108" t="s">
        <v>541</v>
      </c>
      <c r="G780" s="108" t="s">
        <v>408</v>
      </c>
      <c r="H780" s="126"/>
      <c r="I780" s="178" t="str">
        <f t="shared" si="95"/>
        <v>607070398 1 00 21530612</v>
      </c>
      <c r="L780" s="22"/>
      <c r="M780" s="22"/>
      <c r="N780" s="22"/>
      <c r="O780" s="22"/>
      <c r="P780" s="22"/>
      <c r="Q780" s="22"/>
    </row>
    <row r="781" spans="1:18" s="17" customFormat="1" ht="15.75">
      <c r="A781" s="14"/>
      <c r="B781" s="132" t="s">
        <v>409</v>
      </c>
      <c r="C781" s="109" t="s">
        <v>510</v>
      </c>
      <c r="D781" s="108" t="s">
        <v>229</v>
      </c>
      <c r="E781" s="108" t="s">
        <v>13</v>
      </c>
      <c r="F781" s="108" t="s">
        <v>541</v>
      </c>
      <c r="G781" s="108" t="s">
        <v>410</v>
      </c>
      <c r="H781" s="126">
        <f>H782</f>
        <v>0</v>
      </c>
      <c r="I781" s="178" t="str">
        <f t="shared" si="95"/>
        <v>607070398 1 00 21530620</v>
      </c>
      <c r="L781" s="20"/>
      <c r="M781" s="20"/>
      <c r="N781" s="20"/>
      <c r="O781" s="20">
        <f>H781-L781</f>
        <v>0</v>
      </c>
      <c r="P781" s="20" t="e">
        <f>#REF!-M781</f>
        <v>#REF!</v>
      </c>
      <c r="Q781" s="20" t="e">
        <f>#REF!-N781</f>
        <v>#REF!</v>
      </c>
      <c r="R781" s="17" t="str">
        <f t="shared" si="100"/>
        <v>98 1 00 21530620</v>
      </c>
    </row>
    <row r="782" spans="1:18" s="24" customFormat="1" ht="15.75">
      <c r="A782" s="21"/>
      <c r="B782" s="127" t="s">
        <v>428</v>
      </c>
      <c r="C782" s="109" t="s">
        <v>510</v>
      </c>
      <c r="D782" s="108" t="s">
        <v>229</v>
      </c>
      <c r="E782" s="108" t="s">
        <v>13</v>
      </c>
      <c r="F782" s="108" t="s">
        <v>541</v>
      </c>
      <c r="G782" s="108" t="s">
        <v>429</v>
      </c>
      <c r="H782" s="126"/>
      <c r="I782" s="178" t="str">
        <f t="shared" si="95"/>
        <v>607070398 1 00 21530622</v>
      </c>
      <c r="L782" s="22"/>
      <c r="M782" s="22"/>
      <c r="N782" s="22"/>
      <c r="O782" s="22"/>
      <c r="P782" s="22"/>
      <c r="Q782" s="22"/>
    </row>
    <row r="783" spans="1:18" s="17" customFormat="1" ht="15.75">
      <c r="A783" s="14"/>
      <c r="B783" s="121" t="s">
        <v>464</v>
      </c>
      <c r="C783" s="122" t="s">
        <v>510</v>
      </c>
      <c r="D783" s="123" t="s">
        <v>229</v>
      </c>
      <c r="E783" s="123" t="s">
        <v>229</v>
      </c>
      <c r="F783" s="123" t="s">
        <v>8</v>
      </c>
      <c r="G783" s="123" t="s">
        <v>9</v>
      </c>
      <c r="H783" s="124">
        <f>H790+H784+H823</f>
        <v>0</v>
      </c>
      <c r="I783" s="178" t="str">
        <f t="shared" si="95"/>
        <v>607070700 0 00 00000000</v>
      </c>
      <c r="L783" s="19">
        <v>10043.200000000001</v>
      </c>
      <c r="M783" s="19">
        <v>9653.2000000000007</v>
      </c>
      <c r="N783" s="19">
        <v>9653.2000000000007</v>
      </c>
      <c r="O783" s="19">
        <f t="shared" ref="O783:O788" si="102">H783-L783</f>
        <v>-10043.200000000001</v>
      </c>
      <c r="P783" s="19" t="e">
        <f>#REF!-M783</f>
        <v>#REF!</v>
      </c>
      <c r="Q783" s="19" t="e">
        <f>#REF!-N783</f>
        <v>#REF!</v>
      </c>
      <c r="R783" s="17" t="str">
        <f t="shared" si="100"/>
        <v>00 0 00 00000000</v>
      </c>
    </row>
    <row r="784" spans="1:18" s="17" customFormat="1" ht="63">
      <c r="A784" s="14"/>
      <c r="B784" s="127" t="s">
        <v>293</v>
      </c>
      <c r="C784" s="109" t="s">
        <v>510</v>
      </c>
      <c r="D784" s="108" t="s">
        <v>229</v>
      </c>
      <c r="E784" s="108" t="s">
        <v>229</v>
      </c>
      <c r="F784" s="108" t="s">
        <v>294</v>
      </c>
      <c r="G784" s="108" t="s">
        <v>9</v>
      </c>
      <c r="H784" s="126">
        <f t="shared" ref="H784:H787" si="103">H785</f>
        <v>0</v>
      </c>
      <c r="I784" s="178" t="str">
        <f t="shared" si="95"/>
        <v>607070704 0 00 00000000</v>
      </c>
      <c r="L784" s="20">
        <v>187.5</v>
      </c>
      <c r="M784" s="20">
        <v>187.5</v>
      </c>
      <c r="N784" s="20">
        <v>187.5</v>
      </c>
      <c r="O784" s="20">
        <f t="shared" si="102"/>
        <v>-187.5</v>
      </c>
      <c r="P784" s="20" t="e">
        <f>#REF!-M784</f>
        <v>#REF!</v>
      </c>
      <c r="Q784" s="20" t="e">
        <f>#REF!-N784</f>
        <v>#REF!</v>
      </c>
      <c r="R784" s="17" t="str">
        <f t="shared" si="100"/>
        <v>04 0 00 00000000</v>
      </c>
    </row>
    <row r="785" spans="1:18" s="17" customFormat="1" ht="31.5">
      <c r="A785" s="14"/>
      <c r="B785" s="125" t="s">
        <v>307</v>
      </c>
      <c r="C785" s="109" t="s">
        <v>510</v>
      </c>
      <c r="D785" s="108" t="s">
        <v>229</v>
      </c>
      <c r="E785" s="108" t="s">
        <v>229</v>
      </c>
      <c r="F785" s="108" t="s">
        <v>308</v>
      </c>
      <c r="G785" s="108" t="s">
        <v>9</v>
      </c>
      <c r="H785" s="126">
        <f t="shared" si="103"/>
        <v>0</v>
      </c>
      <c r="I785" s="178" t="str">
        <f t="shared" si="95"/>
        <v>607070704 3 00 00000000</v>
      </c>
      <c r="L785" s="20">
        <v>187.5</v>
      </c>
      <c r="M785" s="20">
        <v>187.5</v>
      </c>
      <c r="N785" s="20">
        <v>187.5</v>
      </c>
      <c r="O785" s="20">
        <f t="shared" si="102"/>
        <v>-187.5</v>
      </c>
      <c r="P785" s="20" t="e">
        <f>#REF!-M785</f>
        <v>#REF!</v>
      </c>
      <c r="Q785" s="20" t="e">
        <f>#REF!-N785</f>
        <v>#REF!</v>
      </c>
      <c r="R785" s="17" t="str">
        <f t="shared" si="100"/>
        <v>04 3 00 00000000</v>
      </c>
    </row>
    <row r="786" spans="1:18" s="17" customFormat="1" ht="31.5">
      <c r="A786" s="14"/>
      <c r="B786" s="138" t="s">
        <v>309</v>
      </c>
      <c r="C786" s="109" t="s">
        <v>510</v>
      </c>
      <c r="D786" s="108" t="s">
        <v>229</v>
      </c>
      <c r="E786" s="108" t="s">
        <v>229</v>
      </c>
      <c r="F786" s="108" t="s">
        <v>310</v>
      </c>
      <c r="G786" s="108" t="s">
        <v>9</v>
      </c>
      <c r="H786" s="126">
        <f t="shared" si="103"/>
        <v>0</v>
      </c>
      <c r="I786" s="178" t="str">
        <f t="shared" si="95"/>
        <v>607070704 3 04 00000000</v>
      </c>
      <c r="L786" s="20">
        <v>187.5</v>
      </c>
      <c r="M786" s="20">
        <v>187.5</v>
      </c>
      <c r="N786" s="20">
        <v>187.5</v>
      </c>
      <c r="O786" s="20">
        <f t="shared" si="102"/>
        <v>-187.5</v>
      </c>
      <c r="P786" s="20" t="e">
        <f>#REF!-M786</f>
        <v>#REF!</v>
      </c>
      <c r="Q786" s="20" t="e">
        <f>#REF!-N786</f>
        <v>#REF!</v>
      </c>
      <c r="R786" s="17" t="str">
        <f t="shared" si="100"/>
        <v>04 3 04 00000000</v>
      </c>
    </row>
    <row r="787" spans="1:18" s="17" customFormat="1" ht="31.5">
      <c r="A787" s="14"/>
      <c r="B787" s="127" t="s">
        <v>542</v>
      </c>
      <c r="C787" s="109" t="s">
        <v>510</v>
      </c>
      <c r="D787" s="108" t="s">
        <v>229</v>
      </c>
      <c r="E787" s="108" t="s">
        <v>229</v>
      </c>
      <c r="F787" s="108" t="s">
        <v>543</v>
      </c>
      <c r="G787" s="108" t="s">
        <v>9</v>
      </c>
      <c r="H787" s="126">
        <f t="shared" si="103"/>
        <v>0</v>
      </c>
      <c r="I787" s="178" t="str">
        <f t="shared" si="95"/>
        <v>607070704 3 04 20300000</v>
      </c>
      <c r="L787" s="20">
        <v>187.5</v>
      </c>
      <c r="M787" s="20">
        <v>187.5</v>
      </c>
      <c r="N787" s="20">
        <v>187.5</v>
      </c>
      <c r="O787" s="20">
        <f t="shared" si="102"/>
        <v>-187.5</v>
      </c>
      <c r="P787" s="20" t="e">
        <f>#REF!-M787</f>
        <v>#REF!</v>
      </c>
      <c r="Q787" s="20" t="e">
        <f>#REF!-N787</f>
        <v>#REF!</v>
      </c>
      <c r="R787" s="17" t="str">
        <f t="shared" si="100"/>
        <v>04 3 04 20300000</v>
      </c>
    </row>
    <row r="788" spans="1:18" s="17" customFormat="1" ht="31.5">
      <c r="A788" s="14"/>
      <c r="B788" s="125" t="s">
        <v>28</v>
      </c>
      <c r="C788" s="109" t="s">
        <v>510</v>
      </c>
      <c r="D788" s="108" t="s">
        <v>229</v>
      </c>
      <c r="E788" s="108" t="s">
        <v>229</v>
      </c>
      <c r="F788" s="108" t="s">
        <v>543</v>
      </c>
      <c r="G788" s="108" t="s">
        <v>29</v>
      </c>
      <c r="H788" s="126">
        <f>H789</f>
        <v>0</v>
      </c>
      <c r="I788" s="178" t="str">
        <f t="shared" si="95"/>
        <v>607070704 3 04 20300240</v>
      </c>
      <c r="L788" s="20">
        <v>187.5</v>
      </c>
      <c r="M788" s="20">
        <v>187.5</v>
      </c>
      <c r="N788" s="20">
        <v>187.5</v>
      </c>
      <c r="O788" s="20">
        <f t="shared" si="102"/>
        <v>-187.5</v>
      </c>
      <c r="P788" s="20" t="e">
        <f>#REF!-M788</f>
        <v>#REF!</v>
      </c>
      <c r="Q788" s="20" t="e">
        <f>#REF!-N788</f>
        <v>#REF!</v>
      </c>
      <c r="R788" s="17" t="str">
        <f t="shared" si="100"/>
        <v>04 3 04 20300240</v>
      </c>
    </row>
    <row r="789" spans="1:18" s="17" customFormat="1" ht="15.75">
      <c r="A789" s="14"/>
      <c r="B789" s="125" t="s">
        <v>30</v>
      </c>
      <c r="C789" s="109" t="s">
        <v>510</v>
      </c>
      <c r="D789" s="108" t="s">
        <v>229</v>
      </c>
      <c r="E789" s="108" t="s">
        <v>229</v>
      </c>
      <c r="F789" s="108" t="s">
        <v>543</v>
      </c>
      <c r="G789" s="108" t="s">
        <v>31</v>
      </c>
      <c r="H789" s="126"/>
      <c r="I789" s="178" t="str">
        <f t="shared" ref="I789:I852" si="104">C789&amp;D789&amp;E789&amp;F789&amp;G789</f>
        <v>607070704 3 04 20300244</v>
      </c>
      <c r="L789" s="20"/>
      <c r="M789" s="20"/>
      <c r="N789" s="20"/>
      <c r="O789" s="20"/>
      <c r="P789" s="20"/>
      <c r="Q789" s="20"/>
      <c r="R789" s="17" t="str">
        <f t="shared" si="100"/>
        <v>04 3 04 20300244</v>
      </c>
    </row>
    <row r="790" spans="1:18" s="17" customFormat="1" ht="31.5">
      <c r="A790" s="14"/>
      <c r="B790" s="145" t="s">
        <v>544</v>
      </c>
      <c r="C790" s="109" t="s">
        <v>510</v>
      </c>
      <c r="D790" s="108" t="s">
        <v>229</v>
      </c>
      <c r="E790" s="108" t="s">
        <v>229</v>
      </c>
      <c r="F790" s="108" t="s">
        <v>545</v>
      </c>
      <c r="G790" s="108" t="s">
        <v>9</v>
      </c>
      <c r="H790" s="126">
        <f>H791</f>
        <v>0</v>
      </c>
      <c r="I790" s="178" t="str">
        <f t="shared" si="104"/>
        <v>607070709 0 00 00000000</v>
      </c>
      <c r="L790" s="20">
        <v>9465.7000000000007</v>
      </c>
      <c r="M790" s="20">
        <v>9465.7000000000007</v>
      </c>
      <c r="N790" s="20">
        <v>9465.7000000000007</v>
      </c>
      <c r="O790" s="20">
        <f>H790-L790</f>
        <v>-9465.7000000000007</v>
      </c>
      <c r="P790" s="20" t="e">
        <f>#REF!-M790</f>
        <v>#REF!</v>
      </c>
      <c r="Q790" s="20" t="e">
        <f>#REF!-N790</f>
        <v>#REF!</v>
      </c>
      <c r="R790" s="17" t="str">
        <f t="shared" si="100"/>
        <v>09 0 00 00000000</v>
      </c>
    </row>
    <row r="791" spans="1:18" s="17" customFormat="1" ht="31.5">
      <c r="A791" s="14"/>
      <c r="B791" s="145" t="s">
        <v>546</v>
      </c>
      <c r="C791" s="109" t="s">
        <v>510</v>
      </c>
      <c r="D791" s="108" t="s">
        <v>229</v>
      </c>
      <c r="E791" s="108" t="s">
        <v>229</v>
      </c>
      <c r="F791" s="108" t="s">
        <v>547</v>
      </c>
      <c r="G791" s="108" t="s">
        <v>9</v>
      </c>
      <c r="H791" s="126">
        <f>H792+H796+H807+H811+H815+H819</f>
        <v>0</v>
      </c>
      <c r="I791" s="178" t="str">
        <f t="shared" si="104"/>
        <v>607070709 Б 00 00000000</v>
      </c>
      <c r="L791" s="20">
        <v>9465.7000000000007</v>
      </c>
      <c r="M791" s="20">
        <v>9465.7000000000007</v>
      </c>
      <c r="N791" s="20">
        <v>9465.7000000000007</v>
      </c>
      <c r="O791" s="20">
        <f>H791-L791</f>
        <v>-9465.7000000000007</v>
      </c>
      <c r="P791" s="20" t="e">
        <f>#REF!-M791</f>
        <v>#REF!</v>
      </c>
      <c r="Q791" s="20" t="e">
        <f>#REF!-N791</f>
        <v>#REF!</v>
      </c>
      <c r="R791" s="17" t="str">
        <f t="shared" si="100"/>
        <v>09 Б 00 00000000</v>
      </c>
    </row>
    <row r="792" spans="1:18" s="17" customFormat="1" ht="47.25">
      <c r="A792" s="14"/>
      <c r="B792" s="127" t="s">
        <v>548</v>
      </c>
      <c r="C792" s="109" t="s">
        <v>510</v>
      </c>
      <c r="D792" s="108" t="s">
        <v>229</v>
      </c>
      <c r="E792" s="108" t="s">
        <v>229</v>
      </c>
      <c r="F792" s="108" t="s">
        <v>549</v>
      </c>
      <c r="G792" s="108" t="s">
        <v>9</v>
      </c>
      <c r="H792" s="126">
        <f t="shared" ref="H792:H793" si="105">H793</f>
        <v>0</v>
      </c>
      <c r="I792" s="178" t="str">
        <f t="shared" si="104"/>
        <v>607070709 Б 01 00000000</v>
      </c>
      <c r="L792" s="20">
        <v>779</v>
      </c>
      <c r="M792" s="20">
        <v>779</v>
      </c>
      <c r="N792" s="20">
        <v>779</v>
      </c>
      <c r="O792" s="20">
        <f>H792-L792</f>
        <v>-779</v>
      </c>
      <c r="P792" s="20" t="e">
        <f>#REF!-M792</f>
        <v>#REF!</v>
      </c>
      <c r="Q792" s="20" t="e">
        <f>#REF!-N792</f>
        <v>#REF!</v>
      </c>
      <c r="R792" s="17" t="str">
        <f t="shared" si="100"/>
        <v>09 Б 01 00000000</v>
      </c>
    </row>
    <row r="793" spans="1:18" s="17" customFormat="1" ht="63">
      <c r="A793" s="14"/>
      <c r="B793" s="125" t="s">
        <v>550</v>
      </c>
      <c r="C793" s="109" t="s">
        <v>510</v>
      </c>
      <c r="D793" s="108" t="s">
        <v>229</v>
      </c>
      <c r="E793" s="108" t="s">
        <v>229</v>
      </c>
      <c r="F793" s="108" t="s">
        <v>551</v>
      </c>
      <c r="G793" s="108" t="s">
        <v>9</v>
      </c>
      <c r="H793" s="126">
        <f t="shared" si="105"/>
        <v>0</v>
      </c>
      <c r="I793" s="178" t="str">
        <f t="shared" si="104"/>
        <v>607070709 Б 01 20460000</v>
      </c>
      <c r="L793" s="20">
        <v>779</v>
      </c>
      <c r="M793" s="20">
        <v>779</v>
      </c>
      <c r="N793" s="20">
        <v>779</v>
      </c>
      <c r="O793" s="20">
        <f>H793-L793</f>
        <v>-779</v>
      </c>
      <c r="P793" s="20" t="e">
        <f>#REF!-M793</f>
        <v>#REF!</v>
      </c>
      <c r="Q793" s="20" t="e">
        <f>#REF!-N793</f>
        <v>#REF!</v>
      </c>
      <c r="R793" s="17" t="str">
        <f t="shared" si="100"/>
        <v>09 Б 01 20460000</v>
      </c>
    </row>
    <row r="794" spans="1:18" s="17" customFormat="1" ht="15.75">
      <c r="A794" s="14"/>
      <c r="B794" s="132" t="s">
        <v>403</v>
      </c>
      <c r="C794" s="109" t="s">
        <v>510</v>
      </c>
      <c r="D794" s="108" t="s">
        <v>229</v>
      </c>
      <c r="E794" s="108" t="s">
        <v>229</v>
      </c>
      <c r="F794" s="108" t="s">
        <v>551</v>
      </c>
      <c r="G794" s="108" t="s">
        <v>404</v>
      </c>
      <c r="H794" s="126">
        <f>H795</f>
        <v>0</v>
      </c>
      <c r="I794" s="178" t="str">
        <f t="shared" si="104"/>
        <v>607070709 Б 01 20460610</v>
      </c>
      <c r="L794" s="20">
        <v>779</v>
      </c>
      <c r="M794" s="20">
        <v>779</v>
      </c>
      <c r="N794" s="20">
        <v>779</v>
      </c>
      <c r="O794" s="20">
        <f>H794-L794</f>
        <v>-779</v>
      </c>
      <c r="P794" s="20" t="e">
        <f>#REF!-M794</f>
        <v>#REF!</v>
      </c>
      <c r="Q794" s="20" t="e">
        <f>#REF!-N794</f>
        <v>#REF!</v>
      </c>
      <c r="R794" s="17" t="str">
        <f t="shared" si="100"/>
        <v>09 Б 01 20460610</v>
      </c>
    </row>
    <row r="795" spans="1:18" s="24" customFormat="1" ht="63">
      <c r="A795" s="21"/>
      <c r="B795" s="127" t="s">
        <v>405</v>
      </c>
      <c r="C795" s="109" t="s">
        <v>510</v>
      </c>
      <c r="D795" s="108" t="s">
        <v>229</v>
      </c>
      <c r="E795" s="108" t="s">
        <v>229</v>
      </c>
      <c r="F795" s="108" t="s">
        <v>551</v>
      </c>
      <c r="G795" s="108" t="s">
        <v>406</v>
      </c>
      <c r="H795" s="126"/>
      <c r="I795" s="178" t="str">
        <f t="shared" si="104"/>
        <v>607070709 Б 01 20460611</v>
      </c>
      <c r="L795" s="22"/>
      <c r="M795" s="22"/>
      <c r="N795" s="22"/>
      <c r="O795" s="22"/>
      <c r="P795" s="22"/>
      <c r="Q795" s="22"/>
    </row>
    <row r="796" spans="1:18" s="17" customFormat="1" ht="47.25">
      <c r="A796" s="14"/>
      <c r="B796" s="127" t="s">
        <v>552</v>
      </c>
      <c r="C796" s="109" t="s">
        <v>510</v>
      </c>
      <c r="D796" s="108" t="s">
        <v>229</v>
      </c>
      <c r="E796" s="108" t="s">
        <v>229</v>
      </c>
      <c r="F796" s="108" t="s">
        <v>553</v>
      </c>
      <c r="G796" s="108" t="s">
        <v>9</v>
      </c>
      <c r="H796" s="126">
        <f>H797+H804</f>
        <v>0</v>
      </c>
      <c r="I796" s="178" t="str">
        <f t="shared" si="104"/>
        <v>607070709 Б 02 00000000</v>
      </c>
      <c r="L796" s="20">
        <v>4764.5</v>
      </c>
      <c r="M796" s="20">
        <v>4764.5</v>
      </c>
      <c r="N796" s="20">
        <v>4764.5</v>
      </c>
      <c r="O796" s="20">
        <f>H796-L796</f>
        <v>-4764.5</v>
      </c>
      <c r="P796" s="20" t="e">
        <f>#REF!-M796</f>
        <v>#REF!</v>
      </c>
      <c r="Q796" s="20" t="e">
        <f>#REF!-N796</f>
        <v>#REF!</v>
      </c>
      <c r="R796" s="17" t="str">
        <f t="shared" si="100"/>
        <v>09 Б 02 00000000</v>
      </c>
    </row>
    <row r="797" spans="1:18" s="17" customFormat="1" ht="63">
      <c r="A797" s="14"/>
      <c r="B797" s="125" t="s">
        <v>550</v>
      </c>
      <c r="C797" s="109" t="s">
        <v>510</v>
      </c>
      <c r="D797" s="108" t="s">
        <v>229</v>
      </c>
      <c r="E797" s="108" t="s">
        <v>229</v>
      </c>
      <c r="F797" s="108" t="s">
        <v>554</v>
      </c>
      <c r="G797" s="108" t="s">
        <v>9</v>
      </c>
      <c r="H797" s="126">
        <f>H798+H802+H801+H800</f>
        <v>0</v>
      </c>
      <c r="I797" s="178" t="str">
        <f t="shared" si="104"/>
        <v>607070709 Б 02 20460000</v>
      </c>
      <c r="L797" s="20">
        <v>4764.5</v>
      </c>
      <c r="M797" s="20">
        <v>4764.5</v>
      </c>
      <c r="N797" s="20">
        <v>4764.5</v>
      </c>
      <c r="O797" s="20">
        <f>H797-L797</f>
        <v>-4764.5</v>
      </c>
      <c r="P797" s="20" t="e">
        <f>#REF!-M797</f>
        <v>#REF!</v>
      </c>
      <c r="Q797" s="20" t="e">
        <f>#REF!-N797</f>
        <v>#REF!</v>
      </c>
      <c r="R797" s="17" t="str">
        <f t="shared" si="100"/>
        <v>09 Б 02 20460000</v>
      </c>
    </row>
    <row r="798" spans="1:18" s="17" customFormat="1" ht="31.5">
      <c r="A798" s="14"/>
      <c r="B798" s="125" t="s">
        <v>28</v>
      </c>
      <c r="C798" s="109" t="s">
        <v>510</v>
      </c>
      <c r="D798" s="108" t="s">
        <v>229</v>
      </c>
      <c r="E798" s="108" t="s">
        <v>229</v>
      </c>
      <c r="F798" s="108" t="s">
        <v>554</v>
      </c>
      <c r="G798" s="108" t="s">
        <v>29</v>
      </c>
      <c r="H798" s="126">
        <f>H799</f>
        <v>0</v>
      </c>
      <c r="I798" s="178" t="str">
        <f t="shared" si="104"/>
        <v>607070709 Б 02 20460240</v>
      </c>
      <c r="L798" s="20">
        <v>549.5</v>
      </c>
      <c r="M798" s="20">
        <v>549.5</v>
      </c>
      <c r="N798" s="20">
        <v>549.5</v>
      </c>
      <c r="O798" s="20">
        <f>H798-L798</f>
        <v>-549.5</v>
      </c>
      <c r="P798" s="20" t="e">
        <f>#REF!-M798</f>
        <v>#REF!</v>
      </c>
      <c r="Q798" s="20" t="e">
        <f>#REF!-N798</f>
        <v>#REF!</v>
      </c>
      <c r="R798" s="17" t="str">
        <f t="shared" si="100"/>
        <v>09 Б 02 20460240</v>
      </c>
    </row>
    <row r="799" spans="1:18" s="17" customFormat="1" ht="15.75">
      <c r="A799" s="14"/>
      <c r="B799" s="125" t="s">
        <v>30</v>
      </c>
      <c r="C799" s="109" t="s">
        <v>510</v>
      </c>
      <c r="D799" s="108" t="s">
        <v>229</v>
      </c>
      <c r="E799" s="108" t="s">
        <v>229</v>
      </c>
      <c r="F799" s="108" t="s">
        <v>554</v>
      </c>
      <c r="G799" s="108" t="s">
        <v>31</v>
      </c>
      <c r="H799" s="126"/>
      <c r="I799" s="178" t="str">
        <f t="shared" si="104"/>
        <v>607070709 Б 02 20460244</v>
      </c>
      <c r="L799" s="20"/>
      <c r="M799" s="20"/>
      <c r="N799" s="20"/>
      <c r="O799" s="20"/>
      <c r="P799" s="20"/>
      <c r="Q799" s="20"/>
      <c r="R799" s="17" t="str">
        <f t="shared" si="100"/>
        <v>09 Б 02 20460244</v>
      </c>
    </row>
    <row r="800" spans="1:18" s="17" customFormat="1" ht="15.75">
      <c r="A800" s="14"/>
      <c r="B800" s="125" t="s">
        <v>555</v>
      </c>
      <c r="C800" s="109" t="s">
        <v>510</v>
      </c>
      <c r="D800" s="108" t="s">
        <v>229</v>
      </c>
      <c r="E800" s="108" t="s">
        <v>229</v>
      </c>
      <c r="F800" s="108" t="s">
        <v>554</v>
      </c>
      <c r="G800" s="108" t="s">
        <v>556</v>
      </c>
      <c r="H800" s="126"/>
      <c r="I800" s="178" t="str">
        <f t="shared" si="104"/>
        <v>607070709 Б 02 20460340</v>
      </c>
      <c r="L800" s="20">
        <v>2835</v>
      </c>
      <c r="M800" s="20">
        <v>2835</v>
      </c>
      <c r="N800" s="20">
        <v>2835</v>
      </c>
      <c r="O800" s="20">
        <f>H800-L800</f>
        <v>-2835</v>
      </c>
      <c r="P800" s="20" t="e">
        <f>#REF!-M800</f>
        <v>#REF!</v>
      </c>
      <c r="Q800" s="20" t="e">
        <f>#REF!-N800</f>
        <v>#REF!</v>
      </c>
      <c r="R800" s="17" t="str">
        <f t="shared" si="100"/>
        <v>09 Б 02 20460340</v>
      </c>
    </row>
    <row r="801" spans="1:18" s="17" customFormat="1" ht="15.75">
      <c r="A801" s="14"/>
      <c r="B801" s="125" t="s">
        <v>163</v>
      </c>
      <c r="C801" s="109" t="s">
        <v>510</v>
      </c>
      <c r="D801" s="108" t="s">
        <v>229</v>
      </c>
      <c r="E801" s="108" t="s">
        <v>229</v>
      </c>
      <c r="F801" s="108" t="s">
        <v>554</v>
      </c>
      <c r="G801" s="108" t="s">
        <v>164</v>
      </c>
      <c r="H801" s="126"/>
      <c r="I801" s="178" t="str">
        <f t="shared" si="104"/>
        <v>607070709 Б 02 20460350</v>
      </c>
      <c r="L801" s="20">
        <v>250</v>
      </c>
      <c r="M801" s="20">
        <v>250</v>
      </c>
      <c r="N801" s="20">
        <v>250</v>
      </c>
      <c r="O801" s="20">
        <f>H801-L801</f>
        <v>-250</v>
      </c>
      <c r="P801" s="20" t="e">
        <f>#REF!-M801</f>
        <v>#REF!</v>
      </c>
      <c r="Q801" s="20" t="e">
        <f>#REF!-N801</f>
        <v>#REF!</v>
      </c>
      <c r="R801" s="17" t="str">
        <f t="shared" si="100"/>
        <v>09 Б 02 20460350</v>
      </c>
    </row>
    <row r="802" spans="1:18" s="17" customFormat="1" ht="15.75">
      <c r="A802" s="14"/>
      <c r="B802" s="132" t="s">
        <v>403</v>
      </c>
      <c r="C802" s="109" t="s">
        <v>510</v>
      </c>
      <c r="D802" s="108" t="s">
        <v>229</v>
      </c>
      <c r="E802" s="108" t="s">
        <v>229</v>
      </c>
      <c r="F802" s="108" t="s">
        <v>554</v>
      </c>
      <c r="G802" s="108" t="s">
        <v>404</v>
      </c>
      <c r="H802" s="126">
        <f>H803</f>
        <v>0</v>
      </c>
      <c r="I802" s="178" t="str">
        <f t="shared" si="104"/>
        <v>607070709 Б 02 20460610</v>
      </c>
      <c r="L802" s="20">
        <v>1130</v>
      </c>
      <c r="M802" s="20">
        <v>1130</v>
      </c>
      <c r="N802" s="20">
        <v>1130</v>
      </c>
      <c r="O802" s="20">
        <f>H802-L802</f>
        <v>-1130</v>
      </c>
      <c r="P802" s="20" t="e">
        <f>#REF!-M802</f>
        <v>#REF!</v>
      </c>
      <c r="Q802" s="20" t="e">
        <f>#REF!-N802</f>
        <v>#REF!</v>
      </c>
      <c r="R802" s="17" t="str">
        <f t="shared" si="100"/>
        <v>09 Б 02 20460610</v>
      </c>
    </row>
    <row r="803" spans="1:18" s="24" customFormat="1" ht="63">
      <c r="A803" s="21"/>
      <c r="B803" s="127" t="s">
        <v>405</v>
      </c>
      <c r="C803" s="109" t="s">
        <v>510</v>
      </c>
      <c r="D803" s="108" t="s">
        <v>229</v>
      </c>
      <c r="E803" s="108" t="s">
        <v>229</v>
      </c>
      <c r="F803" s="108" t="s">
        <v>554</v>
      </c>
      <c r="G803" s="108" t="s">
        <v>406</v>
      </c>
      <c r="H803" s="126"/>
      <c r="I803" s="178" t="str">
        <f t="shared" si="104"/>
        <v>607070709 Б 02 20460611</v>
      </c>
      <c r="L803" s="22"/>
      <c r="M803" s="22"/>
      <c r="N803" s="22"/>
      <c r="O803" s="22"/>
      <c r="P803" s="22"/>
      <c r="Q803" s="22"/>
    </row>
    <row r="804" spans="1:18" s="24" customFormat="1" ht="47.25">
      <c r="A804" s="21"/>
      <c r="B804" s="132" t="s">
        <v>1041</v>
      </c>
      <c r="C804" s="109" t="s">
        <v>510</v>
      </c>
      <c r="D804" s="108" t="s">
        <v>229</v>
      </c>
      <c r="E804" s="108" t="s">
        <v>229</v>
      </c>
      <c r="F804" s="108" t="s">
        <v>1042</v>
      </c>
      <c r="G804" s="108" t="s">
        <v>9</v>
      </c>
      <c r="H804" s="126">
        <f>H805</f>
        <v>0</v>
      </c>
      <c r="I804" s="178" t="str">
        <f t="shared" si="104"/>
        <v>607070709 Б 02 77430000</v>
      </c>
      <c r="L804" s="22"/>
      <c r="M804" s="22"/>
      <c r="N804" s="22"/>
      <c r="O804" s="22"/>
      <c r="P804" s="22"/>
      <c r="Q804" s="22"/>
    </row>
    <row r="805" spans="1:18" s="24" customFormat="1" ht="15.75">
      <c r="A805" s="21"/>
      <c r="B805" s="137" t="s">
        <v>409</v>
      </c>
      <c r="C805" s="109" t="s">
        <v>510</v>
      </c>
      <c r="D805" s="108" t="s">
        <v>229</v>
      </c>
      <c r="E805" s="108" t="s">
        <v>229</v>
      </c>
      <c r="F805" s="108" t="s">
        <v>1042</v>
      </c>
      <c r="G805" s="108" t="s">
        <v>410</v>
      </c>
      <c r="H805" s="126">
        <f>H806</f>
        <v>0</v>
      </c>
      <c r="I805" s="178" t="str">
        <f t="shared" si="104"/>
        <v>607070709 Б 02 77430620</v>
      </c>
      <c r="L805" s="22"/>
      <c r="M805" s="22"/>
      <c r="N805" s="22"/>
      <c r="O805" s="22"/>
      <c r="P805" s="22"/>
      <c r="Q805" s="22"/>
    </row>
    <row r="806" spans="1:18" s="24" customFormat="1" ht="15.75">
      <c r="A806" s="21"/>
      <c r="B806" s="127" t="s">
        <v>428</v>
      </c>
      <c r="C806" s="109" t="s">
        <v>510</v>
      </c>
      <c r="D806" s="108" t="s">
        <v>229</v>
      </c>
      <c r="E806" s="108" t="s">
        <v>229</v>
      </c>
      <c r="F806" s="108" t="s">
        <v>1042</v>
      </c>
      <c r="G806" s="108" t="s">
        <v>429</v>
      </c>
      <c r="H806" s="126"/>
      <c r="I806" s="178" t="str">
        <f t="shared" si="104"/>
        <v>607070709 Б 02 77430622</v>
      </c>
      <c r="L806" s="22"/>
      <c r="M806" s="22"/>
      <c r="N806" s="22"/>
      <c r="O806" s="22"/>
      <c r="P806" s="22"/>
      <c r="Q806" s="22"/>
    </row>
    <row r="807" spans="1:18" s="17" customFormat="1" ht="31.5">
      <c r="A807" s="14"/>
      <c r="B807" s="127" t="s">
        <v>557</v>
      </c>
      <c r="C807" s="109" t="s">
        <v>510</v>
      </c>
      <c r="D807" s="108" t="s">
        <v>229</v>
      </c>
      <c r="E807" s="108" t="s">
        <v>229</v>
      </c>
      <c r="F807" s="108" t="s">
        <v>558</v>
      </c>
      <c r="G807" s="108" t="s">
        <v>9</v>
      </c>
      <c r="H807" s="126">
        <f t="shared" ref="H807:H808" si="106">H808</f>
        <v>0</v>
      </c>
      <c r="I807" s="178" t="str">
        <f t="shared" si="104"/>
        <v>607070709 Б 03 00000000</v>
      </c>
      <c r="L807" s="20">
        <v>180</v>
      </c>
      <c r="M807" s="20">
        <v>180</v>
      </c>
      <c r="N807" s="20">
        <v>180</v>
      </c>
      <c r="O807" s="20">
        <f>H807-L807</f>
        <v>-180</v>
      </c>
      <c r="P807" s="20" t="e">
        <f>#REF!-M807</f>
        <v>#REF!</v>
      </c>
      <c r="Q807" s="20" t="e">
        <f>#REF!-N807</f>
        <v>#REF!</v>
      </c>
      <c r="R807" s="17" t="str">
        <f t="shared" si="100"/>
        <v>09 Б 03 00000000</v>
      </c>
    </row>
    <row r="808" spans="1:18" s="17" customFormat="1" ht="63">
      <c r="A808" s="14"/>
      <c r="B808" s="125" t="s">
        <v>550</v>
      </c>
      <c r="C808" s="109" t="s">
        <v>510</v>
      </c>
      <c r="D808" s="108" t="s">
        <v>229</v>
      </c>
      <c r="E808" s="108" t="s">
        <v>229</v>
      </c>
      <c r="F808" s="108" t="s">
        <v>559</v>
      </c>
      <c r="G808" s="108" t="s">
        <v>9</v>
      </c>
      <c r="H808" s="126">
        <f t="shared" si="106"/>
        <v>0</v>
      </c>
      <c r="I808" s="178" t="str">
        <f t="shared" si="104"/>
        <v>607070709 Б 03 20460000</v>
      </c>
      <c r="L808" s="20">
        <v>180</v>
      </c>
      <c r="M808" s="20">
        <v>180</v>
      </c>
      <c r="N808" s="20">
        <v>180</v>
      </c>
      <c r="O808" s="20">
        <f>H808-L808</f>
        <v>-180</v>
      </c>
      <c r="P808" s="20" t="e">
        <f>#REF!-M808</f>
        <v>#REF!</v>
      </c>
      <c r="Q808" s="20" t="e">
        <f>#REF!-N808</f>
        <v>#REF!</v>
      </c>
      <c r="R808" s="17" t="str">
        <f t="shared" si="100"/>
        <v>09 Б 03 20460000</v>
      </c>
    </row>
    <row r="809" spans="1:18" s="17" customFormat="1" ht="15.75">
      <c r="A809" s="14"/>
      <c r="B809" s="132" t="s">
        <v>403</v>
      </c>
      <c r="C809" s="109" t="s">
        <v>510</v>
      </c>
      <c r="D809" s="108" t="s">
        <v>229</v>
      </c>
      <c r="E809" s="108" t="s">
        <v>229</v>
      </c>
      <c r="F809" s="108" t="s">
        <v>559</v>
      </c>
      <c r="G809" s="108" t="s">
        <v>404</v>
      </c>
      <c r="H809" s="126">
        <f>H810</f>
        <v>0</v>
      </c>
      <c r="I809" s="178" t="str">
        <f t="shared" si="104"/>
        <v>607070709 Б 03 20460610</v>
      </c>
      <c r="L809" s="20">
        <v>180</v>
      </c>
      <c r="M809" s="20">
        <v>180</v>
      </c>
      <c r="N809" s="20">
        <v>180</v>
      </c>
      <c r="O809" s="20">
        <f>H809-L809</f>
        <v>-180</v>
      </c>
      <c r="P809" s="20" t="e">
        <f>#REF!-M809</f>
        <v>#REF!</v>
      </c>
      <c r="Q809" s="20" t="e">
        <f>#REF!-N809</f>
        <v>#REF!</v>
      </c>
      <c r="R809" s="17" t="str">
        <f t="shared" si="100"/>
        <v>09 Б 03 20460610</v>
      </c>
    </row>
    <row r="810" spans="1:18" s="24" customFormat="1" ht="63">
      <c r="A810" s="21"/>
      <c r="B810" s="127" t="s">
        <v>405</v>
      </c>
      <c r="C810" s="109" t="s">
        <v>510</v>
      </c>
      <c r="D810" s="108" t="s">
        <v>229</v>
      </c>
      <c r="E810" s="108" t="s">
        <v>229</v>
      </c>
      <c r="F810" s="108" t="s">
        <v>559</v>
      </c>
      <c r="G810" s="108" t="s">
        <v>406</v>
      </c>
      <c r="H810" s="126"/>
      <c r="I810" s="178" t="str">
        <f t="shared" si="104"/>
        <v>607070709 Б 03 20460611</v>
      </c>
      <c r="L810" s="22"/>
      <c r="M810" s="22"/>
      <c r="N810" s="22"/>
      <c r="O810" s="22"/>
      <c r="P810" s="22"/>
      <c r="Q810" s="22"/>
    </row>
    <row r="811" spans="1:18" s="17" customFormat="1" ht="47.25">
      <c r="A811" s="14"/>
      <c r="B811" s="127" t="s">
        <v>560</v>
      </c>
      <c r="C811" s="109" t="s">
        <v>510</v>
      </c>
      <c r="D811" s="108" t="s">
        <v>229</v>
      </c>
      <c r="E811" s="108" t="s">
        <v>229</v>
      </c>
      <c r="F811" s="108" t="s">
        <v>561</v>
      </c>
      <c r="G811" s="108" t="s">
        <v>9</v>
      </c>
      <c r="H811" s="126">
        <f t="shared" ref="H811:H812" si="107">H812</f>
        <v>0</v>
      </c>
      <c r="I811" s="178" t="str">
        <f t="shared" si="104"/>
        <v>607070709 Б 04 00000000</v>
      </c>
      <c r="L811" s="20">
        <v>310</v>
      </c>
      <c r="M811" s="20">
        <v>310</v>
      </c>
      <c r="N811" s="20">
        <v>310</v>
      </c>
      <c r="O811" s="20">
        <f>H811-L811</f>
        <v>-310</v>
      </c>
      <c r="P811" s="20" t="e">
        <f>#REF!-M811</f>
        <v>#REF!</v>
      </c>
      <c r="Q811" s="20" t="e">
        <f>#REF!-N811</f>
        <v>#REF!</v>
      </c>
      <c r="R811" s="17" t="str">
        <f t="shared" si="100"/>
        <v>09 Б 04 00000000</v>
      </c>
    </row>
    <row r="812" spans="1:18" s="17" customFormat="1" ht="63">
      <c r="A812" s="14"/>
      <c r="B812" s="125" t="s">
        <v>550</v>
      </c>
      <c r="C812" s="109" t="s">
        <v>510</v>
      </c>
      <c r="D812" s="108" t="s">
        <v>229</v>
      </c>
      <c r="E812" s="108" t="s">
        <v>229</v>
      </c>
      <c r="F812" s="108" t="s">
        <v>562</v>
      </c>
      <c r="G812" s="108" t="s">
        <v>9</v>
      </c>
      <c r="H812" s="126">
        <f t="shared" si="107"/>
        <v>0</v>
      </c>
      <c r="I812" s="178" t="str">
        <f t="shared" si="104"/>
        <v>607070709 Б 04 20460000</v>
      </c>
      <c r="L812" s="20">
        <v>310</v>
      </c>
      <c r="M812" s="20">
        <v>310</v>
      </c>
      <c r="N812" s="20">
        <v>310</v>
      </c>
      <c r="O812" s="20">
        <f>H812-L812</f>
        <v>-310</v>
      </c>
      <c r="P812" s="20" t="e">
        <f>#REF!-M812</f>
        <v>#REF!</v>
      </c>
      <c r="Q812" s="20" t="e">
        <f>#REF!-N812</f>
        <v>#REF!</v>
      </c>
      <c r="R812" s="17" t="str">
        <f t="shared" si="100"/>
        <v>09 Б 04 20460000</v>
      </c>
    </row>
    <row r="813" spans="1:18" s="17" customFormat="1" ht="15.75">
      <c r="A813" s="14"/>
      <c r="B813" s="132" t="s">
        <v>403</v>
      </c>
      <c r="C813" s="109" t="s">
        <v>510</v>
      </c>
      <c r="D813" s="108" t="s">
        <v>229</v>
      </c>
      <c r="E813" s="108" t="s">
        <v>229</v>
      </c>
      <c r="F813" s="108" t="s">
        <v>562</v>
      </c>
      <c r="G813" s="108" t="s">
        <v>404</v>
      </c>
      <c r="H813" s="126">
        <f>H814</f>
        <v>0</v>
      </c>
      <c r="I813" s="178" t="str">
        <f t="shared" si="104"/>
        <v>607070709 Б 04 20460610</v>
      </c>
      <c r="L813" s="20">
        <v>310</v>
      </c>
      <c r="M813" s="20">
        <v>310</v>
      </c>
      <c r="N813" s="20">
        <v>310</v>
      </c>
      <c r="O813" s="20">
        <f>H813-L813</f>
        <v>-310</v>
      </c>
      <c r="P813" s="20" t="e">
        <f>#REF!-M813</f>
        <v>#REF!</v>
      </c>
      <c r="Q813" s="20" t="e">
        <f>#REF!-N813</f>
        <v>#REF!</v>
      </c>
      <c r="R813" s="17" t="str">
        <f t="shared" si="100"/>
        <v>09 Б 04 20460610</v>
      </c>
    </row>
    <row r="814" spans="1:18" s="24" customFormat="1" ht="63">
      <c r="A814" s="21"/>
      <c r="B814" s="127" t="s">
        <v>405</v>
      </c>
      <c r="C814" s="109" t="s">
        <v>510</v>
      </c>
      <c r="D814" s="108" t="s">
        <v>229</v>
      </c>
      <c r="E814" s="108" t="s">
        <v>229</v>
      </c>
      <c r="F814" s="108" t="s">
        <v>562</v>
      </c>
      <c r="G814" s="108" t="s">
        <v>406</v>
      </c>
      <c r="H814" s="126"/>
      <c r="I814" s="178" t="str">
        <f t="shared" si="104"/>
        <v>607070709 Б 04 20460611</v>
      </c>
      <c r="L814" s="22"/>
      <c r="M814" s="22"/>
      <c r="N814" s="22"/>
      <c r="O814" s="22"/>
      <c r="P814" s="22"/>
      <c r="Q814" s="22"/>
    </row>
    <row r="815" spans="1:18" s="17" customFormat="1" ht="47.25">
      <c r="A815" s="14"/>
      <c r="B815" s="127" t="s">
        <v>563</v>
      </c>
      <c r="C815" s="109" t="s">
        <v>510</v>
      </c>
      <c r="D815" s="108" t="s">
        <v>229</v>
      </c>
      <c r="E815" s="108" t="s">
        <v>229</v>
      </c>
      <c r="F815" s="108" t="s">
        <v>564</v>
      </c>
      <c r="G815" s="108" t="s">
        <v>9</v>
      </c>
      <c r="H815" s="126">
        <f t="shared" ref="H815:H816" si="108">H816</f>
        <v>0</v>
      </c>
      <c r="I815" s="178" t="str">
        <f t="shared" si="104"/>
        <v>607070709 Б 05 00000000</v>
      </c>
      <c r="L815" s="20">
        <v>25.54</v>
      </c>
      <c r="M815" s="20">
        <v>25.54</v>
      </c>
      <c r="N815" s="20">
        <v>25.54</v>
      </c>
      <c r="O815" s="20">
        <f>H815-L815</f>
        <v>-25.54</v>
      </c>
      <c r="P815" s="20" t="e">
        <f>#REF!-M815</f>
        <v>#REF!</v>
      </c>
      <c r="Q815" s="20" t="e">
        <f>#REF!-N815</f>
        <v>#REF!</v>
      </c>
      <c r="R815" s="17" t="str">
        <f t="shared" si="100"/>
        <v>09 Б 05 00000000</v>
      </c>
    </row>
    <row r="816" spans="1:18" s="17" customFormat="1" ht="63">
      <c r="A816" s="14"/>
      <c r="B816" s="125" t="s">
        <v>550</v>
      </c>
      <c r="C816" s="109" t="s">
        <v>510</v>
      </c>
      <c r="D816" s="108" t="s">
        <v>229</v>
      </c>
      <c r="E816" s="108" t="s">
        <v>229</v>
      </c>
      <c r="F816" s="108" t="s">
        <v>565</v>
      </c>
      <c r="G816" s="108" t="s">
        <v>9</v>
      </c>
      <c r="H816" s="126">
        <f t="shared" si="108"/>
        <v>0</v>
      </c>
      <c r="I816" s="178" t="str">
        <f t="shared" si="104"/>
        <v>607070709 Б 05 20460000</v>
      </c>
      <c r="L816" s="20">
        <v>25.54</v>
      </c>
      <c r="M816" s="20">
        <v>25.54</v>
      </c>
      <c r="N816" s="20">
        <v>25.54</v>
      </c>
      <c r="O816" s="20">
        <f>H816-L816</f>
        <v>-25.54</v>
      </c>
      <c r="P816" s="20" t="e">
        <f>#REF!-M816</f>
        <v>#REF!</v>
      </c>
      <c r="Q816" s="20" t="e">
        <f>#REF!-N816</f>
        <v>#REF!</v>
      </c>
      <c r="R816" s="17" t="str">
        <f t="shared" si="100"/>
        <v>09 Б 05 20460000</v>
      </c>
    </row>
    <row r="817" spans="1:18" s="17" customFormat="1" ht="15.75">
      <c r="A817" s="14"/>
      <c r="B817" s="132" t="s">
        <v>403</v>
      </c>
      <c r="C817" s="109" t="s">
        <v>510</v>
      </c>
      <c r="D817" s="108" t="s">
        <v>229</v>
      </c>
      <c r="E817" s="108" t="s">
        <v>229</v>
      </c>
      <c r="F817" s="108" t="s">
        <v>565</v>
      </c>
      <c r="G817" s="108" t="s">
        <v>404</v>
      </c>
      <c r="H817" s="126">
        <f>H818</f>
        <v>0</v>
      </c>
      <c r="I817" s="178" t="str">
        <f t="shared" si="104"/>
        <v>607070709 Б 05 20460610</v>
      </c>
      <c r="L817" s="20">
        <v>25.54</v>
      </c>
      <c r="M817" s="20">
        <v>25.54</v>
      </c>
      <c r="N817" s="20">
        <v>25.54</v>
      </c>
      <c r="O817" s="20">
        <f>H817-L817</f>
        <v>-25.54</v>
      </c>
      <c r="P817" s="20" t="e">
        <f>#REF!-M817</f>
        <v>#REF!</v>
      </c>
      <c r="Q817" s="20" t="e">
        <f>#REF!-N817</f>
        <v>#REF!</v>
      </c>
      <c r="R817" s="17" t="str">
        <f t="shared" si="100"/>
        <v>09 Б 05 20460610</v>
      </c>
    </row>
    <row r="818" spans="1:18" s="24" customFormat="1" ht="63">
      <c r="A818" s="21"/>
      <c r="B818" s="127" t="s">
        <v>405</v>
      </c>
      <c r="C818" s="109" t="s">
        <v>510</v>
      </c>
      <c r="D818" s="108" t="s">
        <v>229</v>
      </c>
      <c r="E818" s="108" t="s">
        <v>229</v>
      </c>
      <c r="F818" s="108" t="s">
        <v>565</v>
      </c>
      <c r="G818" s="108" t="s">
        <v>406</v>
      </c>
      <c r="H818" s="126"/>
      <c r="I818" s="178" t="str">
        <f t="shared" si="104"/>
        <v>607070709 Б 05 20460611</v>
      </c>
      <c r="L818" s="22"/>
      <c r="M818" s="22"/>
      <c r="N818" s="22"/>
      <c r="O818" s="22"/>
      <c r="P818" s="22"/>
      <c r="Q818" s="22"/>
    </row>
    <row r="819" spans="1:18" s="17" customFormat="1" ht="47.25">
      <c r="A819" s="14"/>
      <c r="B819" s="127" t="s">
        <v>566</v>
      </c>
      <c r="C819" s="109" t="s">
        <v>510</v>
      </c>
      <c r="D819" s="108" t="s">
        <v>229</v>
      </c>
      <c r="E819" s="108" t="s">
        <v>229</v>
      </c>
      <c r="F819" s="108" t="s">
        <v>567</v>
      </c>
      <c r="G819" s="108" t="s">
        <v>9</v>
      </c>
      <c r="H819" s="126">
        <f t="shared" ref="H819:H820" si="109">H820</f>
        <v>0</v>
      </c>
      <c r="I819" s="178" t="str">
        <f t="shared" si="104"/>
        <v>607070709 Б 06 00000000</v>
      </c>
      <c r="L819" s="20">
        <v>3406.66</v>
      </c>
      <c r="M819" s="20">
        <v>3406.66</v>
      </c>
      <c r="N819" s="20">
        <v>3406.66</v>
      </c>
      <c r="O819" s="20">
        <f>H819-L819</f>
        <v>-3406.66</v>
      </c>
      <c r="P819" s="20" t="e">
        <f>#REF!-M819</f>
        <v>#REF!</v>
      </c>
      <c r="Q819" s="20" t="e">
        <f>#REF!-N819</f>
        <v>#REF!</v>
      </c>
      <c r="R819" s="17" t="str">
        <f t="shared" si="100"/>
        <v>09 Б 06 00000000</v>
      </c>
    </row>
    <row r="820" spans="1:18" s="17" customFormat="1" ht="31.5">
      <c r="A820" s="14"/>
      <c r="B820" s="127" t="s">
        <v>136</v>
      </c>
      <c r="C820" s="109" t="s">
        <v>510</v>
      </c>
      <c r="D820" s="108" t="s">
        <v>229</v>
      </c>
      <c r="E820" s="108" t="s">
        <v>229</v>
      </c>
      <c r="F820" s="108" t="s">
        <v>568</v>
      </c>
      <c r="G820" s="108" t="s">
        <v>9</v>
      </c>
      <c r="H820" s="126">
        <f t="shared" si="109"/>
        <v>0</v>
      </c>
      <c r="I820" s="178" t="str">
        <f t="shared" si="104"/>
        <v>607070709 Б 06 11010000</v>
      </c>
      <c r="L820" s="20">
        <v>3406.66</v>
      </c>
      <c r="M820" s="20">
        <v>3406.66</v>
      </c>
      <c r="N820" s="20">
        <v>3406.66</v>
      </c>
      <c r="O820" s="20">
        <f>H820-L820</f>
        <v>-3406.66</v>
      </c>
      <c r="P820" s="20" t="e">
        <f>#REF!-M820</f>
        <v>#REF!</v>
      </c>
      <c r="Q820" s="20" t="e">
        <f>#REF!-N820</f>
        <v>#REF!</v>
      </c>
      <c r="R820" s="17" t="str">
        <f t="shared" si="100"/>
        <v>09 Б 06 11010000</v>
      </c>
    </row>
    <row r="821" spans="1:18" s="17" customFormat="1" ht="15.75">
      <c r="A821" s="14"/>
      <c r="B821" s="132" t="s">
        <v>403</v>
      </c>
      <c r="C821" s="109" t="s">
        <v>510</v>
      </c>
      <c r="D821" s="108" t="s">
        <v>229</v>
      </c>
      <c r="E821" s="108" t="s">
        <v>229</v>
      </c>
      <c r="F821" s="108" t="s">
        <v>568</v>
      </c>
      <c r="G821" s="108" t="s">
        <v>404</v>
      </c>
      <c r="H821" s="126">
        <f>H822</f>
        <v>0</v>
      </c>
      <c r="I821" s="178" t="str">
        <f t="shared" si="104"/>
        <v>607070709 Б 06 11010610</v>
      </c>
      <c r="L821" s="20">
        <v>3406.66</v>
      </c>
      <c r="M821" s="20">
        <v>3406.66</v>
      </c>
      <c r="N821" s="20">
        <v>3406.66</v>
      </c>
      <c r="O821" s="20">
        <f>H821-L821</f>
        <v>-3406.66</v>
      </c>
      <c r="P821" s="20" t="e">
        <f>#REF!-M821</f>
        <v>#REF!</v>
      </c>
      <c r="Q821" s="20" t="e">
        <f>#REF!-N821</f>
        <v>#REF!</v>
      </c>
      <c r="R821" s="17" t="str">
        <f t="shared" si="100"/>
        <v>09 Б 06 11010610</v>
      </c>
    </row>
    <row r="822" spans="1:18" s="24" customFormat="1" ht="63">
      <c r="A822" s="21"/>
      <c r="B822" s="127" t="s">
        <v>405</v>
      </c>
      <c r="C822" s="109" t="s">
        <v>510</v>
      </c>
      <c r="D822" s="108" t="s">
        <v>229</v>
      </c>
      <c r="E822" s="108" t="s">
        <v>229</v>
      </c>
      <c r="F822" s="108" t="s">
        <v>568</v>
      </c>
      <c r="G822" s="108" t="s">
        <v>406</v>
      </c>
      <c r="H822" s="126"/>
      <c r="I822" s="178" t="str">
        <f t="shared" si="104"/>
        <v>607070709 Б 06 11010611</v>
      </c>
      <c r="L822" s="22"/>
      <c r="M822" s="22"/>
      <c r="N822" s="22"/>
      <c r="O822" s="22"/>
      <c r="P822" s="22"/>
      <c r="Q822" s="22"/>
    </row>
    <row r="823" spans="1:18" s="16" customFormat="1" ht="47.25">
      <c r="A823" s="14"/>
      <c r="B823" s="127" t="s">
        <v>146</v>
      </c>
      <c r="C823" s="109" t="s">
        <v>510</v>
      </c>
      <c r="D823" s="108" t="s">
        <v>229</v>
      </c>
      <c r="E823" s="108" t="s">
        <v>229</v>
      </c>
      <c r="F823" s="130" t="s">
        <v>147</v>
      </c>
      <c r="G823" s="130" t="s">
        <v>9</v>
      </c>
      <c r="H823" s="134">
        <f>H824</f>
        <v>0</v>
      </c>
      <c r="I823" s="178" t="str">
        <f t="shared" si="104"/>
        <v>607070715 0 00 00000000</v>
      </c>
      <c r="L823" s="27">
        <v>390</v>
      </c>
      <c r="M823" s="27">
        <v>0</v>
      </c>
      <c r="N823" s="27">
        <v>0</v>
      </c>
      <c r="O823" s="27">
        <f>H823-L823</f>
        <v>-390</v>
      </c>
      <c r="P823" s="27" t="e">
        <f>#REF!-M823</f>
        <v>#REF!</v>
      </c>
      <c r="Q823" s="27" t="e">
        <f>#REF!-N823</f>
        <v>#REF!</v>
      </c>
      <c r="R823" s="17" t="str">
        <f t="shared" ref="R823:R827" si="110">CONCATENATE(F823,G823)</f>
        <v>15 0 00 00000000</v>
      </c>
    </row>
    <row r="824" spans="1:18" s="16" customFormat="1" ht="47.25">
      <c r="A824" s="14"/>
      <c r="B824" s="125" t="s">
        <v>1065</v>
      </c>
      <c r="C824" s="109" t="s">
        <v>510</v>
      </c>
      <c r="D824" s="108" t="s">
        <v>229</v>
      </c>
      <c r="E824" s="108" t="s">
        <v>229</v>
      </c>
      <c r="F824" s="130" t="s">
        <v>149</v>
      </c>
      <c r="G824" s="130" t="s">
        <v>9</v>
      </c>
      <c r="H824" s="134">
        <f>H825</f>
        <v>0</v>
      </c>
      <c r="I824" s="178" t="str">
        <f t="shared" si="104"/>
        <v>607070715 1 00 00000000</v>
      </c>
      <c r="L824" s="27">
        <v>390</v>
      </c>
      <c r="M824" s="27">
        <v>0</v>
      </c>
      <c r="N824" s="27">
        <v>0</v>
      </c>
      <c r="O824" s="27">
        <f>H824-L824</f>
        <v>-390</v>
      </c>
      <c r="P824" s="27" t="e">
        <f>#REF!-M824</f>
        <v>#REF!</v>
      </c>
      <c r="Q824" s="27" t="e">
        <f>#REF!-N824</f>
        <v>#REF!</v>
      </c>
      <c r="R824" s="17" t="str">
        <f t="shared" si="110"/>
        <v>15 1 00 00000000</v>
      </c>
    </row>
    <row r="825" spans="1:18" s="16" customFormat="1" ht="63">
      <c r="A825" s="14"/>
      <c r="B825" s="129" t="s">
        <v>1071</v>
      </c>
      <c r="C825" s="109" t="s">
        <v>510</v>
      </c>
      <c r="D825" s="108" t="s">
        <v>229</v>
      </c>
      <c r="E825" s="108" t="s">
        <v>229</v>
      </c>
      <c r="F825" s="109" t="s">
        <v>274</v>
      </c>
      <c r="G825" s="130" t="s">
        <v>9</v>
      </c>
      <c r="H825" s="134">
        <f>H826</f>
        <v>0</v>
      </c>
      <c r="I825" s="178" t="str">
        <f t="shared" si="104"/>
        <v>607070715 1 02 00000000</v>
      </c>
      <c r="L825" s="27">
        <v>390</v>
      </c>
      <c r="M825" s="27">
        <v>0</v>
      </c>
      <c r="N825" s="27">
        <v>0</v>
      </c>
      <c r="O825" s="27">
        <f>H825-L825</f>
        <v>-390</v>
      </c>
      <c r="P825" s="27" t="e">
        <f>#REF!-M825</f>
        <v>#REF!</v>
      </c>
      <c r="Q825" s="27" t="e">
        <f>#REF!-N825</f>
        <v>#REF!</v>
      </c>
      <c r="R825" s="17" t="str">
        <f t="shared" si="110"/>
        <v>15 1 02 00000000</v>
      </c>
    </row>
    <row r="826" spans="1:18" s="16" customFormat="1" ht="47.25">
      <c r="A826" s="14"/>
      <c r="B826" s="129" t="s">
        <v>152</v>
      </c>
      <c r="C826" s="109" t="s">
        <v>510</v>
      </c>
      <c r="D826" s="108" t="s">
        <v>229</v>
      </c>
      <c r="E826" s="108" t="s">
        <v>229</v>
      </c>
      <c r="F826" s="109" t="s">
        <v>275</v>
      </c>
      <c r="G826" s="130" t="s">
        <v>9</v>
      </c>
      <c r="H826" s="134">
        <f>SUM(H827:H827)</f>
        <v>0</v>
      </c>
      <c r="I826" s="178" t="str">
        <f t="shared" si="104"/>
        <v>607070715 1 02 20350000</v>
      </c>
      <c r="L826" s="27">
        <v>390</v>
      </c>
      <c r="M826" s="27">
        <v>0</v>
      </c>
      <c r="N826" s="27">
        <v>0</v>
      </c>
      <c r="O826" s="27">
        <f>H826-L826</f>
        <v>-390</v>
      </c>
      <c r="P826" s="27" t="e">
        <f>#REF!-M826</f>
        <v>#REF!</v>
      </c>
      <c r="Q826" s="27" t="e">
        <f>#REF!-N826</f>
        <v>#REF!</v>
      </c>
      <c r="R826" s="17" t="str">
        <f t="shared" si="110"/>
        <v>15 1 02 20350000</v>
      </c>
    </row>
    <row r="827" spans="1:18" s="16" customFormat="1" ht="15.75">
      <c r="A827" s="14"/>
      <c r="B827" s="132" t="s">
        <v>403</v>
      </c>
      <c r="C827" s="109" t="s">
        <v>510</v>
      </c>
      <c r="D827" s="108" t="s">
        <v>229</v>
      </c>
      <c r="E827" s="108" t="s">
        <v>229</v>
      </c>
      <c r="F827" s="109" t="s">
        <v>275</v>
      </c>
      <c r="G827" s="130" t="s">
        <v>404</v>
      </c>
      <c r="H827" s="126">
        <f>H828</f>
        <v>0</v>
      </c>
      <c r="I827" s="178" t="str">
        <f t="shared" si="104"/>
        <v>607070715 1 02 20350610</v>
      </c>
      <c r="L827" s="20">
        <v>390</v>
      </c>
      <c r="M827" s="20">
        <v>0</v>
      </c>
      <c r="N827" s="20">
        <v>0</v>
      </c>
      <c r="O827" s="20">
        <f>H827-L827</f>
        <v>-390</v>
      </c>
      <c r="P827" s="20" t="e">
        <f>#REF!-M827</f>
        <v>#REF!</v>
      </c>
      <c r="Q827" s="20" t="e">
        <f>#REF!-N827</f>
        <v>#REF!</v>
      </c>
      <c r="R827" s="17" t="str">
        <f t="shared" si="110"/>
        <v>15 1 02 20350610</v>
      </c>
    </row>
    <row r="828" spans="1:18" s="23" customFormat="1" ht="15.75">
      <c r="A828" s="21"/>
      <c r="B828" s="127" t="s">
        <v>407</v>
      </c>
      <c r="C828" s="109" t="s">
        <v>510</v>
      </c>
      <c r="D828" s="108" t="s">
        <v>229</v>
      </c>
      <c r="E828" s="108" t="s">
        <v>229</v>
      </c>
      <c r="F828" s="109" t="s">
        <v>275</v>
      </c>
      <c r="G828" s="109" t="s">
        <v>408</v>
      </c>
      <c r="H828" s="126"/>
      <c r="I828" s="178" t="str">
        <f t="shared" si="104"/>
        <v>607070715 1 02 20350612</v>
      </c>
      <c r="L828" s="22"/>
      <c r="M828" s="22"/>
      <c r="N828" s="22"/>
      <c r="O828" s="22"/>
      <c r="P828" s="22"/>
      <c r="Q828" s="22"/>
      <c r="R828" s="24"/>
    </row>
    <row r="829" spans="1:18" s="16" customFormat="1" ht="15.75">
      <c r="A829" s="14"/>
      <c r="B829" s="117" t="s">
        <v>569</v>
      </c>
      <c r="C829" s="118" t="s">
        <v>510</v>
      </c>
      <c r="D829" s="119" t="s">
        <v>238</v>
      </c>
      <c r="E829" s="119" t="s">
        <v>7</v>
      </c>
      <c r="F829" s="119" t="s">
        <v>8</v>
      </c>
      <c r="G829" s="119" t="s">
        <v>9</v>
      </c>
      <c r="H829" s="120">
        <f>H830+H914</f>
        <v>0</v>
      </c>
      <c r="I829" s="178" t="str">
        <f t="shared" si="104"/>
        <v>607080000 0 00 00000000</v>
      </c>
      <c r="L829" s="18">
        <v>195218.21999999997</v>
      </c>
      <c r="M829" s="18">
        <v>195824.43</v>
      </c>
      <c r="N829" s="18">
        <v>196485.86</v>
      </c>
      <c r="O829" s="18">
        <f t="shared" ref="O829:O835" si="111">H829-L829</f>
        <v>-195218.21999999997</v>
      </c>
      <c r="P829" s="18" t="e">
        <f>#REF!-M829</f>
        <v>#REF!</v>
      </c>
      <c r="Q829" s="18" t="e">
        <f>#REF!-N829</f>
        <v>#REF!</v>
      </c>
      <c r="R829" s="17" t="str">
        <f t="shared" si="100"/>
        <v>00 0 00 00000000</v>
      </c>
    </row>
    <row r="830" spans="1:18" s="16" customFormat="1" ht="15.75">
      <c r="A830" s="14"/>
      <c r="B830" s="121" t="s">
        <v>239</v>
      </c>
      <c r="C830" s="122" t="s">
        <v>510</v>
      </c>
      <c r="D830" s="123" t="s">
        <v>238</v>
      </c>
      <c r="E830" s="123" t="s">
        <v>11</v>
      </c>
      <c r="F830" s="123" t="s">
        <v>8</v>
      </c>
      <c r="G830" s="123" t="s">
        <v>9</v>
      </c>
      <c r="H830" s="124">
        <f>H831+H897+H891+H903+H909</f>
        <v>0</v>
      </c>
      <c r="I830" s="178" t="str">
        <f t="shared" si="104"/>
        <v>607080100 0 00 00000000</v>
      </c>
      <c r="L830" s="19">
        <v>181607.75999999998</v>
      </c>
      <c r="M830" s="19">
        <v>182213.97</v>
      </c>
      <c r="N830" s="19">
        <v>182875.4</v>
      </c>
      <c r="O830" s="19">
        <f t="shared" si="111"/>
        <v>-181607.75999999998</v>
      </c>
      <c r="P830" s="19" t="e">
        <f>#REF!-M830</f>
        <v>#REF!</v>
      </c>
      <c r="Q830" s="19" t="e">
        <f>#REF!-N830</f>
        <v>#REF!</v>
      </c>
      <c r="R830" s="17" t="str">
        <f t="shared" si="100"/>
        <v>00 0 00 00000000</v>
      </c>
    </row>
    <row r="831" spans="1:18" s="16" customFormat="1" ht="31.5">
      <c r="A831" s="14"/>
      <c r="B831" s="125" t="s">
        <v>240</v>
      </c>
      <c r="C831" s="109" t="s">
        <v>510</v>
      </c>
      <c r="D831" s="108" t="s">
        <v>238</v>
      </c>
      <c r="E831" s="108" t="s">
        <v>11</v>
      </c>
      <c r="F831" s="108" t="s">
        <v>241</v>
      </c>
      <c r="G831" s="108" t="s">
        <v>9</v>
      </c>
      <c r="H831" s="126">
        <f>H832+H839</f>
        <v>0</v>
      </c>
      <c r="I831" s="178" t="str">
        <f t="shared" si="104"/>
        <v>607080107 0 00 00000000</v>
      </c>
      <c r="L831" s="20">
        <v>180779.58</v>
      </c>
      <c r="M831" s="20">
        <v>181385.79</v>
      </c>
      <c r="N831" s="20">
        <v>182047.22</v>
      </c>
      <c r="O831" s="20">
        <f t="shared" si="111"/>
        <v>-180779.58</v>
      </c>
      <c r="P831" s="20" t="e">
        <f>#REF!-M831</f>
        <v>#REF!</v>
      </c>
      <c r="Q831" s="20" t="e">
        <f>#REF!-N831</f>
        <v>#REF!</v>
      </c>
      <c r="R831" s="17" t="str">
        <f t="shared" si="100"/>
        <v>07 0 00 00000000</v>
      </c>
    </row>
    <row r="832" spans="1:18" s="16" customFormat="1" ht="78.75">
      <c r="A832" s="14"/>
      <c r="B832" s="125" t="s">
        <v>242</v>
      </c>
      <c r="C832" s="109" t="s">
        <v>510</v>
      </c>
      <c r="D832" s="108" t="s">
        <v>238</v>
      </c>
      <c r="E832" s="108" t="s">
        <v>11</v>
      </c>
      <c r="F832" s="108" t="s">
        <v>243</v>
      </c>
      <c r="G832" s="108" t="s">
        <v>9</v>
      </c>
      <c r="H832" s="126">
        <f t="shared" ref="H832:H833" si="112">H833</f>
        <v>0</v>
      </c>
      <c r="I832" s="178" t="str">
        <f t="shared" si="104"/>
        <v>607080107 1 00 00000000</v>
      </c>
      <c r="L832" s="20">
        <v>5644</v>
      </c>
      <c r="M832" s="20">
        <v>5644</v>
      </c>
      <c r="N832" s="20">
        <v>5644</v>
      </c>
      <c r="O832" s="20">
        <f t="shared" si="111"/>
        <v>-5644</v>
      </c>
      <c r="P832" s="20" t="e">
        <f>#REF!-M832</f>
        <v>#REF!</v>
      </c>
      <c r="Q832" s="20" t="e">
        <f>#REF!-N832</f>
        <v>#REF!</v>
      </c>
      <c r="R832" s="17" t="str">
        <f t="shared" si="100"/>
        <v>07 1 00 00000000</v>
      </c>
    </row>
    <row r="833" spans="1:18" s="16" customFormat="1" ht="110.25">
      <c r="A833" s="14"/>
      <c r="B833" s="125" t="s">
        <v>244</v>
      </c>
      <c r="C833" s="109" t="s">
        <v>510</v>
      </c>
      <c r="D833" s="108" t="s">
        <v>238</v>
      </c>
      <c r="E833" s="108" t="s">
        <v>11</v>
      </c>
      <c r="F833" s="108" t="s">
        <v>245</v>
      </c>
      <c r="G833" s="108" t="s">
        <v>9</v>
      </c>
      <c r="H833" s="126">
        <f t="shared" si="112"/>
        <v>0</v>
      </c>
      <c r="I833" s="178" t="str">
        <f t="shared" si="104"/>
        <v>607080107 1 01 00000000</v>
      </c>
      <c r="L833" s="20">
        <v>5644</v>
      </c>
      <c r="M833" s="20">
        <v>5644</v>
      </c>
      <c r="N833" s="20">
        <v>5644</v>
      </c>
      <c r="O833" s="20">
        <f t="shared" si="111"/>
        <v>-5644</v>
      </c>
      <c r="P833" s="20" t="e">
        <f>#REF!-M833</f>
        <v>#REF!</v>
      </c>
      <c r="Q833" s="20" t="e">
        <f>#REF!-N833</f>
        <v>#REF!</v>
      </c>
      <c r="R833" s="17" t="str">
        <f t="shared" si="100"/>
        <v>07 1 01 00000000</v>
      </c>
    </row>
    <row r="834" spans="1:18" s="16" customFormat="1" ht="31.5">
      <c r="A834" s="14"/>
      <c r="B834" s="125" t="s">
        <v>246</v>
      </c>
      <c r="C834" s="109" t="s">
        <v>510</v>
      </c>
      <c r="D834" s="108" t="s">
        <v>238</v>
      </c>
      <c r="E834" s="108" t="s">
        <v>11</v>
      </c>
      <c r="F834" s="108" t="s">
        <v>247</v>
      </c>
      <c r="G834" s="108" t="s">
        <v>9</v>
      </c>
      <c r="H834" s="126">
        <f>H835+H837</f>
        <v>0</v>
      </c>
      <c r="I834" s="178" t="str">
        <f t="shared" si="104"/>
        <v>607080107 1 01 20060000</v>
      </c>
      <c r="L834" s="20">
        <v>5644</v>
      </c>
      <c r="M834" s="20">
        <v>5644</v>
      </c>
      <c r="N834" s="20">
        <v>5644</v>
      </c>
      <c r="O834" s="20">
        <f t="shared" si="111"/>
        <v>-5644</v>
      </c>
      <c r="P834" s="20" t="e">
        <f>#REF!-M834</f>
        <v>#REF!</v>
      </c>
      <c r="Q834" s="20" t="e">
        <f>#REF!-N834</f>
        <v>#REF!</v>
      </c>
      <c r="R834" s="17" t="str">
        <f t="shared" si="100"/>
        <v>07 1 01 20060000</v>
      </c>
    </row>
    <row r="835" spans="1:18" s="16" customFormat="1" ht="15.75">
      <c r="A835" s="14"/>
      <c r="B835" s="132" t="s">
        <v>403</v>
      </c>
      <c r="C835" s="109" t="s">
        <v>510</v>
      </c>
      <c r="D835" s="108" t="s">
        <v>238</v>
      </c>
      <c r="E835" s="108" t="s">
        <v>11</v>
      </c>
      <c r="F835" s="108" t="s">
        <v>247</v>
      </c>
      <c r="G835" s="108" t="s">
        <v>404</v>
      </c>
      <c r="H835" s="126">
        <f>H836</f>
        <v>0</v>
      </c>
      <c r="I835" s="178" t="str">
        <f t="shared" si="104"/>
        <v>607080107 1 01 20060610</v>
      </c>
      <c r="L835" s="20">
        <v>3172.5</v>
      </c>
      <c r="M835" s="20">
        <v>3172.5</v>
      </c>
      <c r="N835" s="20">
        <v>3172.5</v>
      </c>
      <c r="O835" s="20">
        <f t="shared" si="111"/>
        <v>-3172.5</v>
      </c>
      <c r="P835" s="20" t="e">
        <f>#REF!-M835</f>
        <v>#REF!</v>
      </c>
      <c r="Q835" s="20" t="e">
        <f>#REF!-N835</f>
        <v>#REF!</v>
      </c>
      <c r="R835" s="17" t="str">
        <f t="shared" si="100"/>
        <v>07 1 01 20060610</v>
      </c>
    </row>
    <row r="836" spans="1:18" s="23" customFormat="1" ht="63">
      <c r="A836" s="21"/>
      <c r="B836" s="127" t="s">
        <v>405</v>
      </c>
      <c r="C836" s="109" t="s">
        <v>510</v>
      </c>
      <c r="D836" s="108" t="s">
        <v>238</v>
      </c>
      <c r="E836" s="108" t="s">
        <v>11</v>
      </c>
      <c r="F836" s="108" t="s">
        <v>247</v>
      </c>
      <c r="G836" s="108" t="s">
        <v>406</v>
      </c>
      <c r="H836" s="126"/>
      <c r="I836" s="178" t="str">
        <f t="shared" si="104"/>
        <v>607080107 1 01 20060611</v>
      </c>
      <c r="L836" s="22"/>
      <c r="M836" s="22"/>
      <c r="N836" s="22"/>
      <c r="O836" s="22"/>
      <c r="P836" s="22"/>
      <c r="Q836" s="22"/>
      <c r="R836" s="24"/>
    </row>
    <row r="837" spans="1:18" s="16" customFormat="1" ht="15.75">
      <c r="A837" s="14"/>
      <c r="B837" s="132" t="s">
        <v>409</v>
      </c>
      <c r="C837" s="109" t="s">
        <v>510</v>
      </c>
      <c r="D837" s="108" t="s">
        <v>238</v>
      </c>
      <c r="E837" s="108" t="s">
        <v>11</v>
      </c>
      <c r="F837" s="108" t="s">
        <v>247</v>
      </c>
      <c r="G837" s="108" t="s">
        <v>410</v>
      </c>
      <c r="H837" s="126">
        <f>H838</f>
        <v>0</v>
      </c>
      <c r="I837" s="178" t="str">
        <f t="shared" si="104"/>
        <v>607080107 1 01 20060620</v>
      </c>
      <c r="L837" s="20">
        <v>2471.5</v>
      </c>
      <c r="M837" s="20">
        <v>2471.5</v>
      </c>
      <c r="N837" s="20">
        <v>2471.5</v>
      </c>
      <c r="O837" s="20">
        <f>H837-L837</f>
        <v>-2471.5</v>
      </c>
      <c r="P837" s="20" t="e">
        <f>#REF!-M837</f>
        <v>#REF!</v>
      </c>
      <c r="Q837" s="20" t="e">
        <f>#REF!-N837</f>
        <v>#REF!</v>
      </c>
      <c r="R837" s="17" t="str">
        <f t="shared" si="100"/>
        <v>07 1 01 20060620</v>
      </c>
    </row>
    <row r="838" spans="1:18" s="23" customFormat="1" ht="63">
      <c r="A838" s="21"/>
      <c r="B838" s="127" t="s">
        <v>411</v>
      </c>
      <c r="C838" s="109" t="s">
        <v>510</v>
      </c>
      <c r="D838" s="108" t="s">
        <v>238</v>
      </c>
      <c r="E838" s="108" t="s">
        <v>11</v>
      </c>
      <c r="F838" s="108" t="s">
        <v>247</v>
      </c>
      <c r="G838" s="108" t="s">
        <v>412</v>
      </c>
      <c r="H838" s="126"/>
      <c r="I838" s="178" t="str">
        <f t="shared" si="104"/>
        <v>607080107 1 01 20060621</v>
      </c>
      <c r="L838" s="22"/>
      <c r="M838" s="22"/>
      <c r="N838" s="22"/>
      <c r="O838" s="22"/>
      <c r="P838" s="22"/>
      <c r="Q838" s="22"/>
      <c r="R838" s="24"/>
    </row>
    <row r="839" spans="1:18" s="16" customFormat="1" ht="15.75">
      <c r="A839" s="14"/>
      <c r="B839" s="125" t="s">
        <v>519</v>
      </c>
      <c r="C839" s="109" t="s">
        <v>510</v>
      </c>
      <c r="D839" s="108" t="s">
        <v>238</v>
      </c>
      <c r="E839" s="108" t="s">
        <v>11</v>
      </c>
      <c r="F839" s="108" t="s">
        <v>520</v>
      </c>
      <c r="G839" s="108" t="s">
        <v>9</v>
      </c>
      <c r="H839" s="126">
        <f>H840+H847+H851+H858+H881+H864+H885+H868</f>
        <v>0</v>
      </c>
      <c r="I839" s="178" t="str">
        <f t="shared" si="104"/>
        <v>607080107 2 00 00000000</v>
      </c>
      <c r="L839" s="20">
        <v>175135.58</v>
      </c>
      <c r="M839" s="20">
        <v>175741.79</v>
      </c>
      <c r="N839" s="20">
        <v>176403.22</v>
      </c>
      <c r="O839" s="20">
        <f>H839-L839</f>
        <v>-175135.58</v>
      </c>
      <c r="P839" s="20" t="e">
        <f>#REF!-M839</f>
        <v>#REF!</v>
      </c>
      <c r="Q839" s="20" t="e">
        <f>#REF!-N839</f>
        <v>#REF!</v>
      </c>
      <c r="R839" s="17" t="str">
        <f t="shared" si="100"/>
        <v>07 2 00 00000000</v>
      </c>
    </row>
    <row r="840" spans="1:18" s="16" customFormat="1" ht="47.25">
      <c r="A840" s="14"/>
      <c r="B840" s="125" t="s">
        <v>570</v>
      </c>
      <c r="C840" s="109" t="s">
        <v>510</v>
      </c>
      <c r="D840" s="108" t="s">
        <v>238</v>
      </c>
      <c r="E840" s="108" t="s">
        <v>11</v>
      </c>
      <c r="F840" s="108" t="s">
        <v>571</v>
      </c>
      <c r="G840" s="108" t="s">
        <v>9</v>
      </c>
      <c r="H840" s="126">
        <f>H841</f>
        <v>0</v>
      </c>
      <c r="I840" s="178" t="str">
        <f t="shared" si="104"/>
        <v>607080107 2 02 00000000</v>
      </c>
      <c r="L840" s="20">
        <v>61284.66</v>
      </c>
      <c r="M840" s="20">
        <v>61284.66</v>
      </c>
      <c r="N840" s="20">
        <v>61284.66</v>
      </c>
      <c r="O840" s="20">
        <f>H840-L840</f>
        <v>-61284.66</v>
      </c>
      <c r="P840" s="20" t="e">
        <f>#REF!-M840</f>
        <v>#REF!</v>
      </c>
      <c r="Q840" s="20" t="e">
        <f>#REF!-N840</f>
        <v>#REF!</v>
      </c>
      <c r="R840" s="17" t="str">
        <f t="shared" si="100"/>
        <v>07 2 02 00000000</v>
      </c>
    </row>
    <row r="841" spans="1:18" s="16" customFormat="1" ht="31.5">
      <c r="A841" s="14"/>
      <c r="B841" s="125" t="s">
        <v>136</v>
      </c>
      <c r="C841" s="109" t="s">
        <v>510</v>
      </c>
      <c r="D841" s="108" t="s">
        <v>238</v>
      </c>
      <c r="E841" s="108" t="s">
        <v>11</v>
      </c>
      <c r="F841" s="108" t="s">
        <v>572</v>
      </c>
      <c r="G841" s="108" t="s">
        <v>9</v>
      </c>
      <c r="H841" s="126">
        <f>H842+H844</f>
        <v>0</v>
      </c>
      <c r="I841" s="178" t="str">
        <f t="shared" si="104"/>
        <v>607080107 2 02 11010000</v>
      </c>
      <c r="L841" s="20">
        <v>61284.66</v>
      </c>
      <c r="M841" s="20">
        <v>61284.66</v>
      </c>
      <c r="N841" s="20">
        <v>61284.66</v>
      </c>
      <c r="O841" s="20">
        <f>H841-L841</f>
        <v>-61284.66</v>
      </c>
      <c r="P841" s="20" t="e">
        <f>#REF!-M841</f>
        <v>#REF!</v>
      </c>
      <c r="Q841" s="20" t="e">
        <f>#REF!-N841</f>
        <v>#REF!</v>
      </c>
      <c r="R841" s="17" t="str">
        <f t="shared" si="100"/>
        <v>07 2 02 11010000</v>
      </c>
    </row>
    <row r="842" spans="1:18" s="16" customFormat="1" ht="15.75">
      <c r="A842" s="14"/>
      <c r="B842" s="132" t="s">
        <v>403</v>
      </c>
      <c r="C842" s="109" t="s">
        <v>510</v>
      </c>
      <c r="D842" s="108" t="s">
        <v>238</v>
      </c>
      <c r="E842" s="108" t="s">
        <v>11</v>
      </c>
      <c r="F842" s="108" t="s">
        <v>572</v>
      </c>
      <c r="G842" s="108" t="s">
        <v>404</v>
      </c>
      <c r="H842" s="126">
        <f>H843</f>
        <v>0</v>
      </c>
      <c r="I842" s="178" t="str">
        <f t="shared" si="104"/>
        <v>607080107 2 02 11010610</v>
      </c>
      <c r="L842" s="20">
        <v>40143.19</v>
      </c>
      <c r="M842" s="20">
        <v>40143.19</v>
      </c>
      <c r="N842" s="20">
        <v>40143.19</v>
      </c>
      <c r="O842" s="20">
        <f>H842-L842</f>
        <v>-40143.19</v>
      </c>
      <c r="P842" s="20" t="e">
        <f>#REF!-M842</f>
        <v>#REF!</v>
      </c>
      <c r="Q842" s="20" t="e">
        <f>#REF!-N842</f>
        <v>#REF!</v>
      </c>
      <c r="R842" s="17" t="str">
        <f t="shared" si="100"/>
        <v>07 2 02 11010610</v>
      </c>
    </row>
    <row r="843" spans="1:18" s="23" customFormat="1" ht="63">
      <c r="A843" s="21"/>
      <c r="B843" s="127" t="s">
        <v>405</v>
      </c>
      <c r="C843" s="109" t="s">
        <v>510</v>
      </c>
      <c r="D843" s="108" t="s">
        <v>238</v>
      </c>
      <c r="E843" s="108" t="s">
        <v>11</v>
      </c>
      <c r="F843" s="108" t="s">
        <v>572</v>
      </c>
      <c r="G843" s="108" t="s">
        <v>406</v>
      </c>
      <c r="H843" s="126"/>
      <c r="I843" s="178" t="str">
        <f t="shared" si="104"/>
        <v>607080107 2 02 11010611</v>
      </c>
      <c r="L843" s="22"/>
      <c r="M843" s="22"/>
      <c r="N843" s="22"/>
      <c r="O843" s="22"/>
      <c r="P843" s="22"/>
      <c r="Q843" s="22"/>
      <c r="R843" s="24"/>
    </row>
    <row r="844" spans="1:18" s="16" customFormat="1" ht="15.75">
      <c r="A844" s="14"/>
      <c r="B844" s="132" t="s">
        <v>409</v>
      </c>
      <c r="C844" s="109" t="s">
        <v>510</v>
      </c>
      <c r="D844" s="108" t="s">
        <v>238</v>
      </c>
      <c r="E844" s="108" t="s">
        <v>11</v>
      </c>
      <c r="F844" s="108" t="s">
        <v>572</v>
      </c>
      <c r="G844" s="108" t="s">
        <v>410</v>
      </c>
      <c r="H844" s="126">
        <f>H845+H846</f>
        <v>0</v>
      </c>
      <c r="I844" s="178" t="str">
        <f t="shared" si="104"/>
        <v>607080107 2 02 11010620</v>
      </c>
      <c r="L844" s="20">
        <v>21141.47</v>
      </c>
      <c r="M844" s="20">
        <v>21141.47</v>
      </c>
      <c r="N844" s="20">
        <v>21141.47</v>
      </c>
      <c r="O844" s="20">
        <f>H844-L844</f>
        <v>-21141.47</v>
      </c>
      <c r="P844" s="20" t="e">
        <f>#REF!-M844</f>
        <v>#REF!</v>
      </c>
      <c r="Q844" s="20" t="e">
        <f>#REF!-N844</f>
        <v>#REF!</v>
      </c>
      <c r="R844" s="17" t="str">
        <f t="shared" si="100"/>
        <v>07 2 02 11010620</v>
      </c>
    </row>
    <row r="845" spans="1:18" s="23" customFormat="1" ht="63">
      <c r="A845" s="21"/>
      <c r="B845" s="127" t="s">
        <v>411</v>
      </c>
      <c r="C845" s="109" t="s">
        <v>510</v>
      </c>
      <c r="D845" s="108" t="s">
        <v>238</v>
      </c>
      <c r="E845" s="108" t="s">
        <v>11</v>
      </c>
      <c r="F845" s="108" t="s">
        <v>572</v>
      </c>
      <c r="G845" s="108" t="s">
        <v>412</v>
      </c>
      <c r="H845" s="126"/>
      <c r="I845" s="178" t="str">
        <f t="shared" si="104"/>
        <v>607080107 2 02 11010621</v>
      </c>
      <c r="L845" s="22"/>
      <c r="M845" s="22"/>
      <c r="N845" s="22"/>
      <c r="O845" s="22"/>
      <c r="P845" s="22"/>
      <c r="Q845" s="22"/>
      <c r="R845" s="24"/>
    </row>
    <row r="846" spans="1:18" s="23" customFormat="1" ht="15.75">
      <c r="A846" s="21"/>
      <c r="B846" s="127" t="s">
        <v>428</v>
      </c>
      <c r="C846" s="109" t="s">
        <v>510</v>
      </c>
      <c r="D846" s="108" t="s">
        <v>238</v>
      </c>
      <c r="E846" s="108" t="s">
        <v>11</v>
      </c>
      <c r="F846" s="108" t="s">
        <v>572</v>
      </c>
      <c r="G846" s="108" t="s">
        <v>429</v>
      </c>
      <c r="H846" s="126"/>
      <c r="I846" s="178" t="str">
        <f t="shared" si="104"/>
        <v>607080107 2 02 11010622</v>
      </c>
      <c r="L846" s="22"/>
      <c r="M846" s="22"/>
      <c r="N846" s="22"/>
      <c r="O846" s="22"/>
      <c r="P846" s="22"/>
      <c r="Q846" s="22"/>
      <c r="R846" s="24"/>
    </row>
    <row r="847" spans="1:18" s="16" customFormat="1" ht="47.25">
      <c r="A847" s="14"/>
      <c r="B847" s="125" t="s">
        <v>573</v>
      </c>
      <c r="C847" s="109" t="s">
        <v>510</v>
      </c>
      <c r="D847" s="108" t="s">
        <v>238</v>
      </c>
      <c r="E847" s="108" t="s">
        <v>11</v>
      </c>
      <c r="F847" s="108" t="s">
        <v>574</v>
      </c>
      <c r="G847" s="108" t="s">
        <v>9</v>
      </c>
      <c r="H847" s="126">
        <f>H848</f>
        <v>0</v>
      </c>
      <c r="I847" s="178" t="str">
        <f t="shared" si="104"/>
        <v>607080107 2 03 00000000</v>
      </c>
      <c r="L847" s="20">
        <v>3557.02</v>
      </c>
      <c r="M847" s="20">
        <v>3557.02</v>
      </c>
      <c r="N847" s="20">
        <v>3557.02</v>
      </c>
      <c r="O847" s="20">
        <f>H847-L847</f>
        <v>-3557.02</v>
      </c>
      <c r="P847" s="20" t="e">
        <f>#REF!-M847</f>
        <v>#REF!</v>
      </c>
      <c r="Q847" s="20" t="e">
        <f>#REF!-N847</f>
        <v>#REF!</v>
      </c>
      <c r="R847" s="17" t="str">
        <f t="shared" si="100"/>
        <v>07 2 03 00000000</v>
      </c>
    </row>
    <row r="848" spans="1:18" s="16" customFormat="1" ht="31.5">
      <c r="A848" s="14"/>
      <c r="B848" s="125" t="s">
        <v>136</v>
      </c>
      <c r="C848" s="109" t="s">
        <v>510</v>
      </c>
      <c r="D848" s="108" t="s">
        <v>238</v>
      </c>
      <c r="E848" s="108" t="s">
        <v>11</v>
      </c>
      <c r="F848" s="108" t="s">
        <v>575</v>
      </c>
      <c r="G848" s="108" t="s">
        <v>9</v>
      </c>
      <c r="H848" s="126">
        <f t="shared" ref="H848" si="113">H849</f>
        <v>0</v>
      </c>
      <c r="I848" s="178" t="str">
        <f t="shared" si="104"/>
        <v>607080107 2 03 11010000</v>
      </c>
      <c r="L848" s="20">
        <v>3557.02</v>
      </c>
      <c r="M848" s="20">
        <v>3557.02</v>
      </c>
      <c r="N848" s="20">
        <v>3557.02</v>
      </c>
      <c r="O848" s="20">
        <f>H848-L848</f>
        <v>-3557.02</v>
      </c>
      <c r="P848" s="20" t="e">
        <f>#REF!-M848</f>
        <v>#REF!</v>
      </c>
      <c r="Q848" s="20" t="e">
        <f>#REF!-N848</f>
        <v>#REF!</v>
      </c>
      <c r="R848" s="17" t="str">
        <f t="shared" si="100"/>
        <v>07 2 03 11010000</v>
      </c>
    </row>
    <row r="849" spans="1:18" s="16" customFormat="1" ht="15.75">
      <c r="A849" s="14"/>
      <c r="B849" s="132" t="s">
        <v>403</v>
      </c>
      <c r="C849" s="109" t="s">
        <v>510</v>
      </c>
      <c r="D849" s="108" t="s">
        <v>238</v>
      </c>
      <c r="E849" s="108" t="s">
        <v>11</v>
      </c>
      <c r="F849" s="108" t="s">
        <v>575</v>
      </c>
      <c r="G849" s="108" t="s">
        <v>404</v>
      </c>
      <c r="H849" s="126">
        <f>H850</f>
        <v>0</v>
      </c>
      <c r="I849" s="178" t="str">
        <f t="shared" si="104"/>
        <v>607080107 2 03 11010610</v>
      </c>
      <c r="L849" s="20">
        <v>3557.02</v>
      </c>
      <c r="M849" s="20">
        <v>3557.02</v>
      </c>
      <c r="N849" s="20">
        <v>3557.02</v>
      </c>
      <c r="O849" s="20">
        <f>H849-L849</f>
        <v>-3557.02</v>
      </c>
      <c r="P849" s="20" t="e">
        <f>#REF!-M849</f>
        <v>#REF!</v>
      </c>
      <c r="Q849" s="20" t="e">
        <f>#REF!-N849</f>
        <v>#REF!</v>
      </c>
      <c r="R849" s="17" t="str">
        <f t="shared" si="100"/>
        <v>07 2 03 11010610</v>
      </c>
    </row>
    <row r="850" spans="1:18" s="23" customFormat="1" ht="63">
      <c r="A850" s="21"/>
      <c r="B850" s="127" t="s">
        <v>405</v>
      </c>
      <c r="C850" s="109" t="s">
        <v>510</v>
      </c>
      <c r="D850" s="108" t="s">
        <v>238</v>
      </c>
      <c r="E850" s="108" t="s">
        <v>11</v>
      </c>
      <c r="F850" s="108" t="s">
        <v>575</v>
      </c>
      <c r="G850" s="108" t="s">
        <v>406</v>
      </c>
      <c r="H850" s="126"/>
      <c r="I850" s="178" t="str">
        <f t="shared" si="104"/>
        <v>607080107 2 03 11010611</v>
      </c>
      <c r="L850" s="22"/>
      <c r="M850" s="22"/>
      <c r="N850" s="22"/>
      <c r="O850" s="22"/>
      <c r="P850" s="22"/>
      <c r="Q850" s="22"/>
      <c r="R850" s="24"/>
    </row>
    <row r="851" spans="1:18" s="16" customFormat="1" ht="47.25">
      <c r="A851" s="14"/>
      <c r="B851" s="125" t="s">
        <v>576</v>
      </c>
      <c r="C851" s="109" t="s">
        <v>510</v>
      </c>
      <c r="D851" s="108" t="s">
        <v>238</v>
      </c>
      <c r="E851" s="108" t="s">
        <v>11</v>
      </c>
      <c r="F851" s="108" t="s">
        <v>577</v>
      </c>
      <c r="G851" s="108" t="s">
        <v>9</v>
      </c>
      <c r="H851" s="126">
        <f>H852+H855</f>
        <v>0</v>
      </c>
      <c r="I851" s="178" t="str">
        <f t="shared" si="104"/>
        <v>607080107 2 04 00000000</v>
      </c>
      <c r="L851" s="20">
        <v>50161.369999999995</v>
      </c>
      <c r="M851" s="20">
        <v>50816.57</v>
      </c>
      <c r="N851" s="20">
        <v>50816.57</v>
      </c>
      <c r="O851" s="20">
        <f>H851-L851</f>
        <v>-50161.369999999995</v>
      </c>
      <c r="P851" s="20" t="e">
        <f>#REF!-M851</f>
        <v>#REF!</v>
      </c>
      <c r="Q851" s="20" t="e">
        <f>#REF!-N851</f>
        <v>#REF!</v>
      </c>
      <c r="R851" s="17" t="str">
        <f t="shared" si="100"/>
        <v>07 2 04 00000000</v>
      </c>
    </row>
    <row r="852" spans="1:18" s="16" customFormat="1" ht="31.5">
      <c r="A852" s="14"/>
      <c r="B852" s="125" t="s">
        <v>136</v>
      </c>
      <c r="C852" s="109" t="s">
        <v>510</v>
      </c>
      <c r="D852" s="108" t="s">
        <v>238</v>
      </c>
      <c r="E852" s="108" t="s">
        <v>11</v>
      </c>
      <c r="F852" s="108" t="s">
        <v>578</v>
      </c>
      <c r="G852" s="108" t="s">
        <v>9</v>
      </c>
      <c r="H852" s="126">
        <f>H853</f>
        <v>0</v>
      </c>
      <c r="I852" s="178" t="str">
        <f t="shared" si="104"/>
        <v>607080107 2 04 11010000</v>
      </c>
      <c r="L852" s="20">
        <v>49039.27</v>
      </c>
      <c r="M852" s="20">
        <v>49039.27</v>
      </c>
      <c r="N852" s="20">
        <v>49039.27</v>
      </c>
      <c r="O852" s="20">
        <f>H852-L852</f>
        <v>-49039.27</v>
      </c>
      <c r="P852" s="20" t="e">
        <f>#REF!-M852</f>
        <v>#REF!</v>
      </c>
      <c r="Q852" s="20" t="e">
        <f>#REF!-N852</f>
        <v>#REF!</v>
      </c>
      <c r="R852" s="17" t="str">
        <f t="shared" si="100"/>
        <v>07 2 04 11010000</v>
      </c>
    </row>
    <row r="853" spans="1:18" s="16" customFormat="1" ht="15.75">
      <c r="A853" s="14"/>
      <c r="B853" s="132" t="s">
        <v>403</v>
      </c>
      <c r="C853" s="109" t="s">
        <v>510</v>
      </c>
      <c r="D853" s="108" t="s">
        <v>238</v>
      </c>
      <c r="E853" s="108" t="s">
        <v>11</v>
      </c>
      <c r="F853" s="108" t="s">
        <v>578</v>
      </c>
      <c r="G853" s="108" t="s">
        <v>404</v>
      </c>
      <c r="H853" s="126">
        <f>H854</f>
        <v>0</v>
      </c>
      <c r="I853" s="178" t="str">
        <f t="shared" ref="I853:I916" si="114">C853&amp;D853&amp;E853&amp;F853&amp;G853</f>
        <v>607080107 2 04 11010610</v>
      </c>
      <c r="L853" s="20">
        <v>49039.27</v>
      </c>
      <c r="M853" s="20">
        <v>49039.27</v>
      </c>
      <c r="N853" s="20">
        <v>49039.27</v>
      </c>
      <c r="O853" s="20">
        <f>H853-L853</f>
        <v>-49039.27</v>
      </c>
      <c r="P853" s="20" t="e">
        <f>#REF!-M853</f>
        <v>#REF!</v>
      </c>
      <c r="Q853" s="20" t="e">
        <f>#REF!-N853</f>
        <v>#REF!</v>
      </c>
      <c r="R853" s="17" t="str">
        <f t="shared" si="100"/>
        <v>07 2 04 11010610</v>
      </c>
    </row>
    <row r="854" spans="1:18" s="23" customFormat="1" ht="63">
      <c r="A854" s="21"/>
      <c r="B854" s="127" t="s">
        <v>405</v>
      </c>
      <c r="C854" s="109" t="s">
        <v>510</v>
      </c>
      <c r="D854" s="108" t="s">
        <v>238</v>
      </c>
      <c r="E854" s="108" t="s">
        <v>11</v>
      </c>
      <c r="F854" s="108" t="s">
        <v>578</v>
      </c>
      <c r="G854" s="108" t="s">
        <v>406</v>
      </c>
      <c r="H854" s="126"/>
      <c r="I854" s="178" t="str">
        <f t="shared" si="114"/>
        <v>607080107 2 04 11010611</v>
      </c>
      <c r="L854" s="22"/>
      <c r="M854" s="22"/>
      <c r="N854" s="22"/>
      <c r="O854" s="22"/>
      <c r="P854" s="22"/>
      <c r="Q854" s="22"/>
      <c r="R854" s="24"/>
    </row>
    <row r="855" spans="1:18" s="16" customFormat="1" ht="47.25">
      <c r="A855" s="14"/>
      <c r="B855" s="132" t="s">
        <v>579</v>
      </c>
      <c r="C855" s="109" t="s">
        <v>510</v>
      </c>
      <c r="D855" s="108" t="s">
        <v>238</v>
      </c>
      <c r="E855" s="108" t="s">
        <v>11</v>
      </c>
      <c r="F855" s="108" t="s">
        <v>580</v>
      </c>
      <c r="G855" s="108" t="s">
        <v>9</v>
      </c>
      <c r="H855" s="126">
        <f>H856</f>
        <v>0</v>
      </c>
      <c r="I855" s="178" t="str">
        <f t="shared" si="114"/>
        <v>607080107 2 04 L5194000</v>
      </c>
      <c r="L855" s="20">
        <v>1122.0999999999999</v>
      </c>
      <c r="M855" s="20">
        <v>1777.3</v>
      </c>
      <c r="N855" s="20">
        <v>1777.3</v>
      </c>
      <c r="O855" s="20">
        <f>H855-L855</f>
        <v>-1122.0999999999999</v>
      </c>
      <c r="P855" s="20" t="e">
        <f>#REF!-M855</f>
        <v>#REF!</v>
      </c>
      <c r="Q855" s="20" t="e">
        <f>#REF!-N855</f>
        <v>#REF!</v>
      </c>
      <c r="R855" s="17" t="str">
        <f t="shared" si="100"/>
        <v>07 2 04 L5194000</v>
      </c>
    </row>
    <row r="856" spans="1:18" s="16" customFormat="1" ht="15.75">
      <c r="A856" s="14"/>
      <c r="B856" s="132" t="s">
        <v>403</v>
      </c>
      <c r="C856" s="109" t="s">
        <v>510</v>
      </c>
      <c r="D856" s="108" t="s">
        <v>238</v>
      </c>
      <c r="E856" s="108" t="s">
        <v>11</v>
      </c>
      <c r="F856" s="108" t="s">
        <v>580</v>
      </c>
      <c r="G856" s="108" t="s">
        <v>404</v>
      </c>
      <c r="H856" s="126">
        <f>H857</f>
        <v>0</v>
      </c>
      <c r="I856" s="178" t="str">
        <f t="shared" si="114"/>
        <v>607080107 2 04 L5194610</v>
      </c>
      <c r="L856" s="20">
        <v>1122.0999999999999</v>
      </c>
      <c r="M856" s="20">
        <v>1777.3</v>
      </c>
      <c r="N856" s="20">
        <v>1777.3</v>
      </c>
      <c r="O856" s="20">
        <f>H856-L856</f>
        <v>-1122.0999999999999</v>
      </c>
      <c r="P856" s="20" t="e">
        <f>#REF!-M856</f>
        <v>#REF!</v>
      </c>
      <c r="Q856" s="20" t="e">
        <f>#REF!-N856</f>
        <v>#REF!</v>
      </c>
      <c r="R856" s="17" t="str">
        <f t="shared" si="100"/>
        <v>07 2 04 L5194610</v>
      </c>
    </row>
    <row r="857" spans="1:18" s="16" customFormat="1" ht="63">
      <c r="A857" s="14"/>
      <c r="B857" s="127" t="s">
        <v>405</v>
      </c>
      <c r="C857" s="109" t="s">
        <v>510</v>
      </c>
      <c r="D857" s="108" t="s">
        <v>238</v>
      </c>
      <c r="E857" s="108" t="s">
        <v>11</v>
      </c>
      <c r="F857" s="108" t="s">
        <v>580</v>
      </c>
      <c r="G857" s="108" t="s">
        <v>406</v>
      </c>
      <c r="H857" s="126"/>
      <c r="I857" s="178" t="str">
        <f t="shared" si="114"/>
        <v>607080107 2 04 L5194611</v>
      </c>
      <c r="L857" s="20"/>
      <c r="M857" s="20"/>
      <c r="N857" s="20"/>
      <c r="O857" s="20"/>
      <c r="P857" s="20"/>
      <c r="Q857" s="20"/>
      <c r="R857" s="17"/>
    </row>
    <row r="858" spans="1:18" s="16" customFormat="1" ht="47.25">
      <c r="A858" s="14"/>
      <c r="B858" s="125" t="s">
        <v>581</v>
      </c>
      <c r="C858" s="109" t="s">
        <v>510</v>
      </c>
      <c r="D858" s="108" t="s">
        <v>238</v>
      </c>
      <c r="E858" s="108" t="s">
        <v>11</v>
      </c>
      <c r="F858" s="108" t="s">
        <v>582</v>
      </c>
      <c r="G858" s="108" t="s">
        <v>9</v>
      </c>
      <c r="H858" s="126">
        <f>H859</f>
        <v>0</v>
      </c>
      <c r="I858" s="178" t="str">
        <f t="shared" si="114"/>
        <v>607080107 2 05 00000000</v>
      </c>
      <c r="L858" s="20">
        <v>57181.409999999996</v>
      </c>
      <c r="M858" s="20">
        <v>57181.409999999996</v>
      </c>
      <c r="N858" s="20">
        <v>57181.409999999996</v>
      </c>
      <c r="O858" s="20">
        <f>H858-L858</f>
        <v>-57181.409999999996</v>
      </c>
      <c r="P858" s="20" t="e">
        <f>#REF!-M858</f>
        <v>#REF!</v>
      </c>
      <c r="Q858" s="20" t="e">
        <f>#REF!-N858</f>
        <v>#REF!</v>
      </c>
      <c r="R858" s="17" t="str">
        <f t="shared" si="100"/>
        <v>07 2 05 00000000</v>
      </c>
    </row>
    <row r="859" spans="1:18" s="16" customFormat="1" ht="31.5">
      <c r="A859" s="14"/>
      <c r="B859" s="125" t="s">
        <v>136</v>
      </c>
      <c r="C859" s="109" t="s">
        <v>510</v>
      </c>
      <c r="D859" s="108" t="s">
        <v>238</v>
      </c>
      <c r="E859" s="108" t="s">
        <v>11</v>
      </c>
      <c r="F859" s="108" t="s">
        <v>583</v>
      </c>
      <c r="G859" s="108" t="s">
        <v>9</v>
      </c>
      <c r="H859" s="126">
        <f>H860+H862</f>
        <v>0</v>
      </c>
      <c r="I859" s="178" t="str">
        <f t="shared" si="114"/>
        <v>607080107 2 05 11010000</v>
      </c>
      <c r="L859" s="20">
        <v>57181.409999999996</v>
      </c>
      <c r="M859" s="20">
        <v>57181.409999999996</v>
      </c>
      <c r="N859" s="20">
        <v>57181.409999999996</v>
      </c>
      <c r="O859" s="20">
        <f>H859-L859</f>
        <v>-57181.409999999996</v>
      </c>
      <c r="P859" s="20" t="e">
        <f>#REF!-M859</f>
        <v>#REF!</v>
      </c>
      <c r="Q859" s="20" t="e">
        <f>#REF!-N859</f>
        <v>#REF!</v>
      </c>
      <c r="R859" s="17" t="str">
        <f t="shared" si="100"/>
        <v>07 2 05 11010000</v>
      </c>
    </row>
    <row r="860" spans="1:18" s="16" customFormat="1" ht="15.75">
      <c r="A860" s="14"/>
      <c r="B860" s="132" t="s">
        <v>403</v>
      </c>
      <c r="C860" s="109" t="s">
        <v>510</v>
      </c>
      <c r="D860" s="108" t="s">
        <v>238</v>
      </c>
      <c r="E860" s="108" t="s">
        <v>11</v>
      </c>
      <c r="F860" s="108" t="s">
        <v>583</v>
      </c>
      <c r="G860" s="108" t="s">
        <v>404</v>
      </c>
      <c r="H860" s="126">
        <f>H861</f>
        <v>0</v>
      </c>
      <c r="I860" s="178" t="str">
        <f t="shared" si="114"/>
        <v>607080107 2 05 11010610</v>
      </c>
      <c r="L860" s="20">
        <v>46565.7</v>
      </c>
      <c r="M860" s="20">
        <v>46565.7</v>
      </c>
      <c r="N860" s="20">
        <v>46565.7</v>
      </c>
      <c r="O860" s="20">
        <f>H860-L860</f>
        <v>-46565.7</v>
      </c>
      <c r="P860" s="20" t="e">
        <f>#REF!-M860</f>
        <v>#REF!</v>
      </c>
      <c r="Q860" s="20" t="e">
        <f>#REF!-N860</f>
        <v>#REF!</v>
      </c>
      <c r="R860" s="17" t="str">
        <f t="shared" si="100"/>
        <v>07 2 05 11010610</v>
      </c>
    </row>
    <row r="861" spans="1:18" s="23" customFormat="1" ht="63">
      <c r="A861" s="21"/>
      <c r="B861" s="127" t="s">
        <v>405</v>
      </c>
      <c r="C861" s="109" t="s">
        <v>510</v>
      </c>
      <c r="D861" s="108" t="s">
        <v>238</v>
      </c>
      <c r="E861" s="108" t="s">
        <v>11</v>
      </c>
      <c r="F861" s="108" t="s">
        <v>583</v>
      </c>
      <c r="G861" s="108" t="s">
        <v>406</v>
      </c>
      <c r="H861" s="126"/>
      <c r="I861" s="178" t="str">
        <f t="shared" si="114"/>
        <v>607080107 2 05 11010611</v>
      </c>
      <c r="L861" s="22"/>
      <c r="M861" s="22"/>
      <c r="N861" s="22"/>
      <c r="O861" s="22"/>
      <c r="P861" s="22"/>
      <c r="Q861" s="22"/>
      <c r="R861" s="24"/>
    </row>
    <row r="862" spans="1:18" s="16" customFormat="1" ht="15.75">
      <c r="A862" s="14"/>
      <c r="B862" s="132" t="s">
        <v>409</v>
      </c>
      <c r="C862" s="109" t="s">
        <v>510</v>
      </c>
      <c r="D862" s="108" t="s">
        <v>238</v>
      </c>
      <c r="E862" s="108" t="s">
        <v>11</v>
      </c>
      <c r="F862" s="108" t="s">
        <v>583</v>
      </c>
      <c r="G862" s="108" t="s">
        <v>410</v>
      </c>
      <c r="H862" s="126">
        <f>H863</f>
        <v>0</v>
      </c>
      <c r="I862" s="178" t="str">
        <f t="shared" si="114"/>
        <v>607080107 2 05 11010620</v>
      </c>
      <c r="L862" s="20">
        <v>10615.71</v>
      </c>
      <c r="M862" s="20">
        <v>10615.71</v>
      </c>
      <c r="N862" s="20">
        <v>10615.71</v>
      </c>
      <c r="O862" s="20">
        <f>H862-L862</f>
        <v>-10615.71</v>
      </c>
      <c r="P862" s="20" t="e">
        <f>#REF!-M862</f>
        <v>#REF!</v>
      </c>
      <c r="Q862" s="20" t="e">
        <f>#REF!-N862</f>
        <v>#REF!</v>
      </c>
      <c r="R862" s="17" t="str">
        <f t="shared" si="100"/>
        <v>07 2 05 11010620</v>
      </c>
    </row>
    <row r="863" spans="1:18" s="23" customFormat="1" ht="63">
      <c r="A863" s="21"/>
      <c r="B863" s="127" t="s">
        <v>411</v>
      </c>
      <c r="C863" s="109" t="s">
        <v>510</v>
      </c>
      <c r="D863" s="108" t="s">
        <v>238</v>
      </c>
      <c r="E863" s="108" t="s">
        <v>11</v>
      </c>
      <c r="F863" s="108" t="s">
        <v>583</v>
      </c>
      <c r="G863" s="108" t="s">
        <v>412</v>
      </c>
      <c r="H863" s="126"/>
      <c r="I863" s="178" t="str">
        <f t="shared" si="114"/>
        <v>607080107 2 05 11010621</v>
      </c>
      <c r="L863" s="22"/>
      <c r="M863" s="22"/>
      <c r="N863" s="22"/>
      <c r="O863" s="22"/>
      <c r="P863" s="22"/>
      <c r="Q863" s="22"/>
      <c r="R863" s="24"/>
    </row>
    <row r="864" spans="1:18" s="16" customFormat="1" ht="63">
      <c r="A864" s="14"/>
      <c r="B864" s="125" t="s">
        <v>524</v>
      </c>
      <c r="C864" s="109" t="s">
        <v>510</v>
      </c>
      <c r="D864" s="108" t="s">
        <v>238</v>
      </c>
      <c r="E864" s="108" t="s">
        <v>11</v>
      </c>
      <c r="F864" s="108" t="s">
        <v>525</v>
      </c>
      <c r="G864" s="108" t="s">
        <v>9</v>
      </c>
      <c r="H864" s="126">
        <f t="shared" ref="H864:H865" si="115">H865</f>
        <v>0</v>
      </c>
      <c r="I864" s="178" t="str">
        <f t="shared" si="114"/>
        <v>607080107 2 06 00000000</v>
      </c>
      <c r="L864" s="20">
        <v>1034.08</v>
      </c>
      <c r="M864" s="20">
        <v>1934.53</v>
      </c>
      <c r="N864" s="20">
        <v>2595.96</v>
      </c>
      <c r="O864" s="20">
        <f>H864-L864</f>
        <v>-1034.08</v>
      </c>
      <c r="P864" s="20" t="e">
        <f>#REF!-M864</f>
        <v>#REF!</v>
      </c>
      <c r="Q864" s="20" t="e">
        <f>#REF!-N864</f>
        <v>#REF!</v>
      </c>
      <c r="R864" s="17" t="str">
        <f t="shared" si="100"/>
        <v>07 2 06 00000000</v>
      </c>
    </row>
    <row r="865" spans="1:18" s="16" customFormat="1" ht="47.25">
      <c r="A865" s="14"/>
      <c r="B865" s="125" t="s">
        <v>526</v>
      </c>
      <c r="C865" s="109" t="s">
        <v>510</v>
      </c>
      <c r="D865" s="108" t="s">
        <v>238</v>
      </c>
      <c r="E865" s="108" t="s">
        <v>11</v>
      </c>
      <c r="F865" s="108" t="s">
        <v>527</v>
      </c>
      <c r="G865" s="108" t="s">
        <v>9</v>
      </c>
      <c r="H865" s="126">
        <f t="shared" si="115"/>
        <v>0</v>
      </c>
      <c r="I865" s="178" t="str">
        <f t="shared" si="114"/>
        <v>607080107 2 06 20400000</v>
      </c>
      <c r="L865" s="20">
        <v>1034.08</v>
      </c>
      <c r="M865" s="20">
        <v>1934.53</v>
      </c>
      <c r="N865" s="20">
        <v>2595.96</v>
      </c>
      <c r="O865" s="20">
        <f>H865-L865</f>
        <v>-1034.08</v>
      </c>
      <c r="P865" s="20" t="e">
        <f>#REF!-M865</f>
        <v>#REF!</v>
      </c>
      <c r="Q865" s="20" t="e">
        <f>#REF!-N865</f>
        <v>#REF!</v>
      </c>
      <c r="R865" s="17" t="str">
        <f t="shared" si="100"/>
        <v>07 2 06 20400000</v>
      </c>
    </row>
    <row r="866" spans="1:18" s="16" customFormat="1" ht="15.75">
      <c r="A866" s="14"/>
      <c r="B866" s="132" t="s">
        <v>403</v>
      </c>
      <c r="C866" s="109" t="s">
        <v>510</v>
      </c>
      <c r="D866" s="108" t="s">
        <v>238</v>
      </c>
      <c r="E866" s="108" t="s">
        <v>11</v>
      </c>
      <c r="F866" s="108" t="s">
        <v>527</v>
      </c>
      <c r="G866" s="108" t="s">
        <v>404</v>
      </c>
      <c r="H866" s="126">
        <f>H867</f>
        <v>0</v>
      </c>
      <c r="I866" s="178" t="str">
        <f t="shared" si="114"/>
        <v>607080107 2 06 20400610</v>
      </c>
      <c r="L866" s="20">
        <v>1034.08</v>
      </c>
      <c r="M866" s="20">
        <v>1934.53</v>
      </c>
      <c r="N866" s="20">
        <v>2595.96</v>
      </c>
      <c r="O866" s="20">
        <f>H866-L866</f>
        <v>-1034.08</v>
      </c>
      <c r="P866" s="20" t="e">
        <f>#REF!-M866</f>
        <v>#REF!</v>
      </c>
      <c r="Q866" s="20" t="e">
        <f>#REF!-N866</f>
        <v>#REF!</v>
      </c>
      <c r="R866" s="17" t="str">
        <f t="shared" si="100"/>
        <v>07 2 06 20400610</v>
      </c>
    </row>
    <row r="867" spans="1:18" s="23" customFormat="1" ht="15.75">
      <c r="A867" s="21"/>
      <c r="B867" s="127" t="s">
        <v>407</v>
      </c>
      <c r="C867" s="109" t="s">
        <v>510</v>
      </c>
      <c r="D867" s="108" t="s">
        <v>238</v>
      </c>
      <c r="E867" s="108" t="s">
        <v>11</v>
      </c>
      <c r="F867" s="108" t="s">
        <v>527</v>
      </c>
      <c r="G867" s="108" t="s">
        <v>408</v>
      </c>
      <c r="H867" s="126"/>
      <c r="I867" s="178" t="str">
        <f t="shared" si="114"/>
        <v>607080107 2 06 20400612</v>
      </c>
      <c r="L867" s="22"/>
      <c r="M867" s="22"/>
      <c r="N867" s="22"/>
      <c r="O867" s="22"/>
      <c r="P867" s="22"/>
      <c r="Q867" s="22"/>
      <c r="R867" s="24"/>
    </row>
    <row r="868" spans="1:18" s="23" customFormat="1" ht="78.75">
      <c r="A868" s="21"/>
      <c r="B868" s="125" t="s">
        <v>1052</v>
      </c>
      <c r="C868" s="109" t="s">
        <v>510</v>
      </c>
      <c r="D868" s="108" t="s">
        <v>238</v>
      </c>
      <c r="E868" s="108" t="s">
        <v>11</v>
      </c>
      <c r="F868" s="108" t="s">
        <v>1053</v>
      </c>
      <c r="G868" s="108" t="s">
        <v>9</v>
      </c>
      <c r="H868" s="126">
        <f>H869+H875</f>
        <v>0</v>
      </c>
      <c r="I868" s="178" t="str">
        <f t="shared" si="114"/>
        <v>607080107 2 07 00000000</v>
      </c>
      <c r="L868" s="22"/>
      <c r="M868" s="22"/>
      <c r="N868" s="22"/>
      <c r="O868" s="22"/>
      <c r="P868" s="22"/>
      <c r="Q868" s="22"/>
      <c r="R868" s="24"/>
    </row>
    <row r="869" spans="1:18" s="23" customFormat="1" ht="47.25">
      <c r="A869" s="21"/>
      <c r="B869" s="125" t="s">
        <v>1043</v>
      </c>
      <c r="C869" s="109" t="s">
        <v>510</v>
      </c>
      <c r="D869" s="108" t="s">
        <v>238</v>
      </c>
      <c r="E869" s="108" t="s">
        <v>11</v>
      </c>
      <c r="F869" s="108" t="s">
        <v>1044</v>
      </c>
      <c r="G869" s="108" t="s">
        <v>9</v>
      </c>
      <c r="H869" s="126">
        <f>H873</f>
        <v>0</v>
      </c>
      <c r="I869" s="178" t="str">
        <f t="shared" si="114"/>
        <v>607080107 2 07 G6420000</v>
      </c>
      <c r="L869" s="22"/>
      <c r="M869" s="22"/>
      <c r="N869" s="22"/>
      <c r="O869" s="22"/>
      <c r="P869" s="22"/>
      <c r="Q869" s="22"/>
      <c r="R869" s="24"/>
    </row>
    <row r="870" spans="1:18" s="23" customFormat="1" ht="15.75">
      <c r="A870" s="21"/>
      <c r="B870" s="132" t="s">
        <v>1045</v>
      </c>
      <c r="C870" s="109"/>
      <c r="D870" s="108"/>
      <c r="E870" s="108"/>
      <c r="F870" s="108"/>
      <c r="G870" s="108"/>
      <c r="H870" s="126"/>
      <c r="I870" s="178" t="str">
        <f t="shared" si="114"/>
        <v/>
      </c>
      <c r="L870" s="22"/>
      <c r="M870" s="22"/>
      <c r="N870" s="22"/>
      <c r="O870" s="22"/>
      <c r="P870" s="22"/>
      <c r="Q870" s="22"/>
      <c r="R870" s="24"/>
    </row>
    <row r="871" spans="1:18" s="23" customFormat="1" ht="15.75">
      <c r="A871" s="21"/>
      <c r="B871" s="125" t="s">
        <v>1046</v>
      </c>
      <c r="C871" s="109" t="s">
        <v>510</v>
      </c>
      <c r="D871" s="108" t="s">
        <v>238</v>
      </c>
      <c r="E871" s="108" t="s">
        <v>11</v>
      </c>
      <c r="F871" s="108" t="s">
        <v>1044</v>
      </c>
      <c r="G871" s="108" t="s">
        <v>9</v>
      </c>
      <c r="H871" s="126"/>
      <c r="I871" s="178" t="str">
        <f t="shared" si="114"/>
        <v>607080107 2 07 G6420000</v>
      </c>
      <c r="L871" s="22"/>
      <c r="M871" s="22"/>
      <c r="N871" s="22"/>
      <c r="O871" s="22"/>
      <c r="P871" s="22"/>
      <c r="Q871" s="22"/>
      <c r="R871" s="24"/>
    </row>
    <row r="872" spans="1:18" s="23" customFormat="1" ht="15.75">
      <c r="A872" s="21"/>
      <c r="B872" s="125" t="s">
        <v>1047</v>
      </c>
      <c r="C872" s="109" t="s">
        <v>510</v>
      </c>
      <c r="D872" s="108" t="s">
        <v>238</v>
      </c>
      <c r="E872" s="108" t="s">
        <v>11</v>
      </c>
      <c r="F872" s="108" t="s">
        <v>1044</v>
      </c>
      <c r="G872" s="108" t="s">
        <v>9</v>
      </c>
      <c r="H872" s="126"/>
      <c r="I872" s="178" t="str">
        <f t="shared" si="114"/>
        <v>607080107 2 07 G6420000</v>
      </c>
      <c r="L872" s="22"/>
      <c r="M872" s="22"/>
      <c r="N872" s="22"/>
      <c r="O872" s="22"/>
      <c r="P872" s="22"/>
      <c r="Q872" s="22"/>
      <c r="R872" s="24"/>
    </row>
    <row r="873" spans="1:18" s="23" customFormat="1" ht="15.75">
      <c r="A873" s="21"/>
      <c r="B873" s="132" t="s">
        <v>409</v>
      </c>
      <c r="C873" s="109" t="s">
        <v>510</v>
      </c>
      <c r="D873" s="108" t="s">
        <v>238</v>
      </c>
      <c r="E873" s="108" t="s">
        <v>11</v>
      </c>
      <c r="F873" s="108" t="s">
        <v>1044</v>
      </c>
      <c r="G873" s="108" t="s">
        <v>410</v>
      </c>
      <c r="H873" s="126">
        <f>H874</f>
        <v>0</v>
      </c>
      <c r="I873" s="178" t="str">
        <f t="shared" si="114"/>
        <v>607080107 2 07 G6420620</v>
      </c>
      <c r="L873" s="22"/>
      <c r="M873" s="22"/>
      <c r="N873" s="22"/>
      <c r="O873" s="22"/>
      <c r="P873" s="22"/>
      <c r="Q873" s="22"/>
      <c r="R873" s="24"/>
    </row>
    <row r="874" spans="1:18" s="23" customFormat="1" ht="15.75">
      <c r="A874" s="21"/>
      <c r="B874" s="127" t="s">
        <v>428</v>
      </c>
      <c r="C874" s="109" t="s">
        <v>510</v>
      </c>
      <c r="D874" s="108" t="s">
        <v>238</v>
      </c>
      <c r="E874" s="108" t="s">
        <v>11</v>
      </c>
      <c r="F874" s="108" t="s">
        <v>1044</v>
      </c>
      <c r="G874" s="108" t="s">
        <v>429</v>
      </c>
      <c r="H874" s="126"/>
      <c r="I874" s="178" t="str">
        <f t="shared" si="114"/>
        <v>607080107 2 07 G6420622</v>
      </c>
      <c r="L874" s="22"/>
      <c r="M874" s="22"/>
      <c r="N874" s="22"/>
      <c r="O874" s="22"/>
      <c r="P874" s="22"/>
      <c r="Q874" s="22"/>
      <c r="R874" s="24"/>
    </row>
    <row r="875" spans="1:18" s="23" customFormat="1" ht="47.25">
      <c r="A875" s="21"/>
      <c r="B875" s="127" t="s">
        <v>1048</v>
      </c>
      <c r="C875" s="109" t="s">
        <v>510</v>
      </c>
      <c r="D875" s="108" t="s">
        <v>238</v>
      </c>
      <c r="E875" s="108" t="s">
        <v>11</v>
      </c>
      <c r="F875" s="108" t="s">
        <v>1049</v>
      </c>
      <c r="G875" s="108" t="s">
        <v>9</v>
      </c>
      <c r="H875" s="126">
        <f>H879</f>
        <v>0</v>
      </c>
      <c r="I875" s="178" t="str">
        <f t="shared" si="114"/>
        <v>607080107 2 07 S6420000</v>
      </c>
      <c r="L875" s="22"/>
      <c r="M875" s="22"/>
      <c r="N875" s="22"/>
      <c r="O875" s="22"/>
      <c r="P875" s="22"/>
      <c r="Q875" s="22"/>
      <c r="R875" s="24"/>
    </row>
    <row r="876" spans="1:18" s="23" customFormat="1" ht="15.75">
      <c r="A876" s="21"/>
      <c r="B876" s="132" t="s">
        <v>1045</v>
      </c>
      <c r="C876" s="109"/>
      <c r="D876" s="108"/>
      <c r="E876" s="108"/>
      <c r="F876" s="108"/>
      <c r="G876" s="108"/>
      <c r="H876" s="126"/>
      <c r="I876" s="178" t="str">
        <f t="shared" si="114"/>
        <v/>
      </c>
      <c r="L876" s="22"/>
      <c r="M876" s="22"/>
      <c r="N876" s="22"/>
      <c r="O876" s="22"/>
      <c r="P876" s="22"/>
      <c r="Q876" s="22"/>
      <c r="R876" s="24"/>
    </row>
    <row r="877" spans="1:18" s="23" customFormat="1" ht="15.75">
      <c r="A877" s="21"/>
      <c r="B877" s="125" t="s">
        <v>1050</v>
      </c>
      <c r="C877" s="109" t="s">
        <v>510</v>
      </c>
      <c r="D877" s="108" t="s">
        <v>238</v>
      </c>
      <c r="E877" s="108" t="s">
        <v>11</v>
      </c>
      <c r="F877" s="108" t="s">
        <v>1049</v>
      </c>
      <c r="G877" s="108" t="s">
        <v>9</v>
      </c>
      <c r="H877" s="126"/>
      <c r="I877" s="178" t="str">
        <f t="shared" si="114"/>
        <v>607080107 2 07 S6420000</v>
      </c>
      <c r="L877" s="22"/>
      <c r="M877" s="22"/>
      <c r="N877" s="22"/>
      <c r="O877" s="22"/>
      <c r="P877" s="22"/>
      <c r="Q877" s="22"/>
      <c r="R877" s="24"/>
    </row>
    <row r="878" spans="1:18" s="23" customFormat="1" ht="15.75">
      <c r="A878" s="21"/>
      <c r="B878" s="125" t="s">
        <v>1051</v>
      </c>
      <c r="C878" s="109" t="s">
        <v>510</v>
      </c>
      <c r="D878" s="108" t="s">
        <v>238</v>
      </c>
      <c r="E878" s="108" t="s">
        <v>11</v>
      </c>
      <c r="F878" s="108" t="s">
        <v>1049</v>
      </c>
      <c r="G878" s="108" t="s">
        <v>9</v>
      </c>
      <c r="H878" s="126"/>
      <c r="I878" s="178" t="str">
        <f t="shared" si="114"/>
        <v>607080107 2 07 S6420000</v>
      </c>
      <c r="L878" s="22"/>
      <c r="M878" s="22"/>
      <c r="N878" s="22"/>
      <c r="O878" s="22"/>
      <c r="P878" s="22"/>
      <c r="Q878" s="22"/>
      <c r="R878" s="24"/>
    </row>
    <row r="879" spans="1:18" s="23" customFormat="1" ht="15.75">
      <c r="A879" s="21"/>
      <c r="B879" s="132" t="s">
        <v>409</v>
      </c>
      <c r="C879" s="109" t="s">
        <v>510</v>
      </c>
      <c r="D879" s="108" t="s">
        <v>238</v>
      </c>
      <c r="E879" s="108" t="s">
        <v>11</v>
      </c>
      <c r="F879" s="108" t="s">
        <v>1049</v>
      </c>
      <c r="G879" s="108" t="s">
        <v>410</v>
      </c>
      <c r="H879" s="126">
        <f>H880</f>
        <v>0</v>
      </c>
      <c r="I879" s="178" t="str">
        <f t="shared" si="114"/>
        <v>607080107 2 07 S6420620</v>
      </c>
      <c r="L879" s="22"/>
      <c r="M879" s="22"/>
      <c r="N879" s="22"/>
      <c r="O879" s="22"/>
      <c r="P879" s="22"/>
      <c r="Q879" s="22"/>
      <c r="R879" s="24"/>
    </row>
    <row r="880" spans="1:18" s="23" customFormat="1" ht="15.75">
      <c r="A880" s="21"/>
      <c r="B880" s="127" t="s">
        <v>428</v>
      </c>
      <c r="C880" s="109" t="s">
        <v>510</v>
      </c>
      <c r="D880" s="108" t="s">
        <v>238</v>
      </c>
      <c r="E880" s="108" t="s">
        <v>11</v>
      </c>
      <c r="F880" s="108" t="s">
        <v>1049</v>
      </c>
      <c r="G880" s="108" t="s">
        <v>429</v>
      </c>
      <c r="H880" s="126">
        <f>H877+H878</f>
        <v>0</v>
      </c>
      <c r="I880" s="178" t="str">
        <f t="shared" si="114"/>
        <v>607080107 2 07 S6420622</v>
      </c>
      <c r="L880" s="22"/>
      <c r="M880" s="22"/>
      <c r="N880" s="22"/>
      <c r="O880" s="22"/>
      <c r="P880" s="22"/>
      <c r="Q880" s="22"/>
      <c r="R880" s="24"/>
    </row>
    <row r="881" spans="1:18" s="16" customFormat="1" ht="47.25">
      <c r="A881" s="14"/>
      <c r="B881" s="132" t="s">
        <v>532</v>
      </c>
      <c r="C881" s="109" t="s">
        <v>510</v>
      </c>
      <c r="D881" s="108" t="s">
        <v>238</v>
      </c>
      <c r="E881" s="108" t="s">
        <v>11</v>
      </c>
      <c r="F881" s="108" t="s">
        <v>533</v>
      </c>
      <c r="G881" s="108" t="s">
        <v>9</v>
      </c>
      <c r="H881" s="126">
        <f t="shared" ref="H881:H882" si="116">H882</f>
        <v>0</v>
      </c>
      <c r="I881" s="178" t="str">
        <f t="shared" si="114"/>
        <v>607080107 2 09 00000000</v>
      </c>
      <c r="L881" s="20">
        <v>817.6</v>
      </c>
      <c r="M881" s="20">
        <v>817.6</v>
      </c>
      <c r="N881" s="20">
        <v>817.6</v>
      </c>
      <c r="O881" s="20">
        <f>H881-L881</f>
        <v>-817.6</v>
      </c>
      <c r="P881" s="20" t="e">
        <f>#REF!-M881</f>
        <v>#REF!</v>
      </c>
      <c r="Q881" s="20" t="e">
        <f>#REF!-N881</f>
        <v>#REF!</v>
      </c>
      <c r="R881" s="17" t="str">
        <f t="shared" ref="R881:R963" si="117">CONCATENATE(F881,G881)</f>
        <v>07 2 09 00000000</v>
      </c>
    </row>
    <row r="882" spans="1:18" s="16" customFormat="1" ht="47.25">
      <c r="A882" s="14"/>
      <c r="B882" s="132" t="s">
        <v>534</v>
      </c>
      <c r="C882" s="109" t="s">
        <v>510</v>
      </c>
      <c r="D882" s="108" t="s">
        <v>238</v>
      </c>
      <c r="E882" s="108" t="s">
        <v>11</v>
      </c>
      <c r="F882" s="108" t="s">
        <v>535</v>
      </c>
      <c r="G882" s="108" t="s">
        <v>9</v>
      </c>
      <c r="H882" s="126">
        <f t="shared" si="116"/>
        <v>0</v>
      </c>
      <c r="I882" s="178" t="str">
        <f t="shared" si="114"/>
        <v>607080107 2 09 21280000</v>
      </c>
      <c r="L882" s="20">
        <v>817.6</v>
      </c>
      <c r="M882" s="20">
        <v>817.6</v>
      </c>
      <c r="N882" s="20">
        <v>817.6</v>
      </c>
      <c r="O882" s="20">
        <f>H882-L882</f>
        <v>-817.6</v>
      </c>
      <c r="P882" s="20" t="e">
        <f>#REF!-M882</f>
        <v>#REF!</v>
      </c>
      <c r="Q882" s="20" t="e">
        <f>#REF!-N882</f>
        <v>#REF!</v>
      </c>
      <c r="R882" s="17" t="str">
        <f t="shared" si="117"/>
        <v>07 2 09 21280000</v>
      </c>
    </row>
    <row r="883" spans="1:18" s="16" customFormat="1" ht="15.75">
      <c r="A883" s="14"/>
      <c r="B883" s="132" t="s">
        <v>403</v>
      </c>
      <c r="C883" s="109" t="s">
        <v>510</v>
      </c>
      <c r="D883" s="108" t="s">
        <v>238</v>
      </c>
      <c r="E883" s="108" t="s">
        <v>11</v>
      </c>
      <c r="F883" s="108" t="s">
        <v>535</v>
      </c>
      <c r="G883" s="108" t="s">
        <v>404</v>
      </c>
      <c r="H883" s="126">
        <f>H884</f>
        <v>0</v>
      </c>
      <c r="I883" s="178" t="str">
        <f t="shared" si="114"/>
        <v>607080107 2 09 21280610</v>
      </c>
      <c r="L883" s="20">
        <v>817.6</v>
      </c>
      <c r="M883" s="20">
        <v>817.6</v>
      </c>
      <c r="N883" s="20">
        <v>817.6</v>
      </c>
      <c r="O883" s="20">
        <f>H883-L883</f>
        <v>-817.6</v>
      </c>
      <c r="P883" s="20" t="e">
        <f>#REF!-M883</f>
        <v>#REF!</v>
      </c>
      <c r="Q883" s="20" t="e">
        <f>#REF!-N883</f>
        <v>#REF!</v>
      </c>
      <c r="R883" s="17" t="str">
        <f t="shared" si="117"/>
        <v>07 2 09 21280610</v>
      </c>
    </row>
    <row r="884" spans="1:18" s="23" customFormat="1" ht="15.75">
      <c r="A884" s="21"/>
      <c r="B884" s="127" t="s">
        <v>407</v>
      </c>
      <c r="C884" s="109" t="s">
        <v>510</v>
      </c>
      <c r="D884" s="108" t="s">
        <v>238</v>
      </c>
      <c r="E884" s="108" t="s">
        <v>11</v>
      </c>
      <c r="F884" s="108" t="s">
        <v>535</v>
      </c>
      <c r="G884" s="108" t="s">
        <v>408</v>
      </c>
      <c r="H884" s="126"/>
      <c r="I884" s="178" t="str">
        <f t="shared" si="114"/>
        <v>607080107 2 09 21280612</v>
      </c>
      <c r="L884" s="22"/>
      <c r="M884" s="22"/>
      <c r="N884" s="22"/>
      <c r="O884" s="22"/>
      <c r="P884" s="22"/>
      <c r="Q884" s="22"/>
      <c r="R884" s="24"/>
    </row>
    <row r="885" spans="1:18" s="16" customFormat="1" ht="78.75">
      <c r="A885" s="14"/>
      <c r="B885" s="132" t="s">
        <v>536</v>
      </c>
      <c r="C885" s="109" t="s">
        <v>510</v>
      </c>
      <c r="D885" s="108" t="s">
        <v>238</v>
      </c>
      <c r="E885" s="108" t="s">
        <v>11</v>
      </c>
      <c r="F885" s="108" t="s">
        <v>537</v>
      </c>
      <c r="G885" s="108" t="s">
        <v>9</v>
      </c>
      <c r="H885" s="126">
        <f>H886</f>
        <v>0</v>
      </c>
      <c r="I885" s="178" t="str">
        <f t="shared" si="114"/>
        <v>607080107 2 12 00000000</v>
      </c>
      <c r="L885" s="20">
        <v>1099.44</v>
      </c>
      <c r="M885" s="20">
        <v>0</v>
      </c>
      <c r="N885" s="20">
        <v>0</v>
      </c>
      <c r="O885" s="20">
        <f>H885-L885</f>
        <v>-1099.44</v>
      </c>
      <c r="P885" s="20" t="e">
        <f>#REF!-M885</f>
        <v>#REF!</v>
      </c>
      <c r="Q885" s="20" t="e">
        <f>#REF!-N885</f>
        <v>#REF!</v>
      </c>
      <c r="R885" s="17" t="str">
        <f t="shared" si="117"/>
        <v>07 2 12 00000000</v>
      </c>
    </row>
    <row r="886" spans="1:18" s="16" customFormat="1" ht="47.25">
      <c r="A886" s="14"/>
      <c r="B886" s="138" t="s">
        <v>538</v>
      </c>
      <c r="C886" s="109" t="s">
        <v>510</v>
      </c>
      <c r="D886" s="108" t="s">
        <v>238</v>
      </c>
      <c r="E886" s="108" t="s">
        <v>11</v>
      </c>
      <c r="F886" s="108" t="s">
        <v>539</v>
      </c>
      <c r="G886" s="108" t="s">
        <v>9</v>
      </c>
      <c r="H886" s="126">
        <f>H887+H889</f>
        <v>0</v>
      </c>
      <c r="I886" s="178" t="str">
        <f t="shared" si="114"/>
        <v>607080107 2 12 21430000</v>
      </c>
      <c r="L886" s="20">
        <v>1099.44</v>
      </c>
      <c r="M886" s="20">
        <v>0</v>
      </c>
      <c r="N886" s="20">
        <v>0</v>
      </c>
      <c r="O886" s="20">
        <f>H886-L886</f>
        <v>-1099.44</v>
      </c>
      <c r="P886" s="20" t="e">
        <f>#REF!-M886</f>
        <v>#REF!</v>
      </c>
      <c r="Q886" s="20" t="e">
        <f>#REF!-N886</f>
        <v>#REF!</v>
      </c>
      <c r="R886" s="17" t="str">
        <f t="shared" si="117"/>
        <v>07 2 12 21430000</v>
      </c>
    </row>
    <row r="887" spans="1:18" s="16" customFormat="1" ht="15.75">
      <c r="A887" s="14"/>
      <c r="B887" s="132" t="s">
        <v>403</v>
      </c>
      <c r="C887" s="109" t="s">
        <v>510</v>
      </c>
      <c r="D887" s="108" t="s">
        <v>238</v>
      </c>
      <c r="E887" s="108" t="s">
        <v>11</v>
      </c>
      <c r="F887" s="108" t="s">
        <v>539</v>
      </c>
      <c r="G887" s="108" t="s">
        <v>404</v>
      </c>
      <c r="H887" s="126">
        <f>H888</f>
        <v>0</v>
      </c>
      <c r="I887" s="178" t="str">
        <f t="shared" si="114"/>
        <v>607080107 2 12 21430610</v>
      </c>
      <c r="L887" s="20">
        <v>1099.44</v>
      </c>
      <c r="M887" s="20">
        <v>0</v>
      </c>
      <c r="N887" s="20">
        <v>0</v>
      </c>
      <c r="O887" s="20">
        <f>H887-L887</f>
        <v>-1099.44</v>
      </c>
      <c r="P887" s="20" t="e">
        <f>#REF!-M887</f>
        <v>#REF!</v>
      </c>
      <c r="Q887" s="20" t="e">
        <f>#REF!-N887</f>
        <v>#REF!</v>
      </c>
      <c r="R887" s="17" t="str">
        <f t="shared" si="117"/>
        <v>07 2 12 21430610</v>
      </c>
    </row>
    <row r="888" spans="1:18" s="23" customFormat="1" ht="15.75">
      <c r="A888" s="21"/>
      <c r="B888" s="127" t="s">
        <v>407</v>
      </c>
      <c r="C888" s="109" t="s">
        <v>510</v>
      </c>
      <c r="D888" s="108" t="s">
        <v>238</v>
      </c>
      <c r="E888" s="108" t="s">
        <v>11</v>
      </c>
      <c r="F888" s="108" t="s">
        <v>539</v>
      </c>
      <c r="G888" s="108" t="s">
        <v>408</v>
      </c>
      <c r="H888" s="126"/>
      <c r="I888" s="178" t="str">
        <f t="shared" si="114"/>
        <v>607080107 2 12 21430612</v>
      </c>
      <c r="L888" s="22"/>
      <c r="M888" s="22"/>
      <c r="N888" s="22"/>
      <c r="O888" s="22"/>
      <c r="P888" s="22"/>
      <c r="Q888" s="22"/>
      <c r="R888" s="24"/>
    </row>
    <row r="889" spans="1:18" s="23" customFormat="1" ht="15.75">
      <c r="A889" s="21"/>
      <c r="B889" s="132" t="s">
        <v>409</v>
      </c>
      <c r="C889" s="109" t="s">
        <v>510</v>
      </c>
      <c r="D889" s="108" t="s">
        <v>238</v>
      </c>
      <c r="E889" s="108" t="s">
        <v>11</v>
      </c>
      <c r="F889" s="108" t="s">
        <v>539</v>
      </c>
      <c r="G889" s="108" t="s">
        <v>410</v>
      </c>
      <c r="H889" s="126">
        <f>H890</f>
        <v>0</v>
      </c>
      <c r="I889" s="178" t="str">
        <f t="shared" si="114"/>
        <v>607080107 2 12 21430620</v>
      </c>
      <c r="L889" s="22"/>
      <c r="M889" s="22"/>
      <c r="N889" s="22"/>
      <c r="O889" s="22"/>
      <c r="P889" s="22"/>
      <c r="Q889" s="22"/>
      <c r="R889" s="24"/>
    </row>
    <row r="890" spans="1:18" s="23" customFormat="1" ht="15.75">
      <c r="A890" s="21"/>
      <c r="B890" s="127" t="s">
        <v>428</v>
      </c>
      <c r="C890" s="109" t="s">
        <v>510</v>
      </c>
      <c r="D890" s="108" t="s">
        <v>238</v>
      </c>
      <c r="E890" s="108" t="s">
        <v>11</v>
      </c>
      <c r="F890" s="108" t="s">
        <v>539</v>
      </c>
      <c r="G890" s="108" t="s">
        <v>429</v>
      </c>
      <c r="H890" s="126"/>
      <c r="I890" s="178" t="str">
        <f t="shared" si="114"/>
        <v>607080107 2 12 21430622</v>
      </c>
      <c r="L890" s="22"/>
      <c r="M890" s="22"/>
      <c r="N890" s="22"/>
      <c r="O890" s="22"/>
      <c r="P890" s="22"/>
      <c r="Q890" s="22"/>
      <c r="R890" s="24"/>
    </row>
    <row r="891" spans="1:18" s="16" customFormat="1" ht="47.25">
      <c r="A891" s="14"/>
      <c r="B891" s="127" t="s">
        <v>146</v>
      </c>
      <c r="C891" s="109" t="s">
        <v>510</v>
      </c>
      <c r="D891" s="108" t="s">
        <v>238</v>
      </c>
      <c r="E891" s="108" t="s">
        <v>11</v>
      </c>
      <c r="F891" s="130" t="s">
        <v>147</v>
      </c>
      <c r="G891" s="130" t="s">
        <v>9</v>
      </c>
      <c r="H891" s="134">
        <f>H892</f>
        <v>0</v>
      </c>
      <c r="I891" s="178" t="str">
        <f t="shared" si="114"/>
        <v>607080115 0 00 00000000</v>
      </c>
      <c r="L891" s="27">
        <v>76.5</v>
      </c>
      <c r="M891" s="27">
        <v>76.5</v>
      </c>
      <c r="N891" s="27">
        <v>76.5</v>
      </c>
      <c r="O891" s="27">
        <f>H891-L891</f>
        <v>-76.5</v>
      </c>
      <c r="P891" s="27" t="e">
        <f>#REF!-M891</f>
        <v>#REF!</v>
      </c>
      <c r="Q891" s="27" t="e">
        <f>#REF!-N891</f>
        <v>#REF!</v>
      </c>
      <c r="R891" s="17" t="str">
        <f t="shared" si="117"/>
        <v>15 0 00 00000000</v>
      </c>
    </row>
    <row r="892" spans="1:18" s="16" customFormat="1" ht="47.25">
      <c r="A892" s="14"/>
      <c r="B892" s="125" t="s">
        <v>1065</v>
      </c>
      <c r="C892" s="109" t="s">
        <v>510</v>
      </c>
      <c r="D892" s="108" t="s">
        <v>238</v>
      </c>
      <c r="E892" s="108" t="s">
        <v>11</v>
      </c>
      <c r="F892" s="130" t="s">
        <v>149</v>
      </c>
      <c r="G892" s="130" t="s">
        <v>9</v>
      </c>
      <c r="H892" s="134">
        <f>H893</f>
        <v>0</v>
      </c>
      <c r="I892" s="178" t="str">
        <f t="shared" si="114"/>
        <v>607080115 1 00 00000000</v>
      </c>
      <c r="L892" s="27">
        <v>76.5</v>
      </c>
      <c r="M892" s="27">
        <v>76.5</v>
      </c>
      <c r="N892" s="27">
        <v>76.5</v>
      </c>
      <c r="O892" s="27">
        <f>H892-L892</f>
        <v>-76.5</v>
      </c>
      <c r="P892" s="27" t="e">
        <f>#REF!-M892</f>
        <v>#REF!</v>
      </c>
      <c r="Q892" s="27" t="e">
        <f>#REF!-N892</f>
        <v>#REF!</v>
      </c>
      <c r="R892" s="17" t="str">
        <f t="shared" si="117"/>
        <v>15 1 00 00000000</v>
      </c>
    </row>
    <row r="893" spans="1:18" s="16" customFormat="1" ht="47.25">
      <c r="A893" s="14"/>
      <c r="B893" s="125" t="s">
        <v>1072</v>
      </c>
      <c r="C893" s="109" t="s">
        <v>510</v>
      </c>
      <c r="D893" s="108" t="s">
        <v>238</v>
      </c>
      <c r="E893" s="108" t="s">
        <v>11</v>
      </c>
      <c r="F893" s="109" t="s">
        <v>1073</v>
      </c>
      <c r="G893" s="130" t="s">
        <v>9</v>
      </c>
      <c r="H893" s="134">
        <f>H894</f>
        <v>0</v>
      </c>
      <c r="I893" s="178" t="str">
        <f t="shared" si="114"/>
        <v>607080115 1 03 00000000</v>
      </c>
      <c r="L893" s="27">
        <v>76.5</v>
      </c>
      <c r="M893" s="27">
        <v>76.5</v>
      </c>
      <c r="N893" s="27">
        <v>76.5</v>
      </c>
      <c r="O893" s="27">
        <f>H893-L893</f>
        <v>-76.5</v>
      </c>
      <c r="P893" s="27" t="e">
        <f>#REF!-M893</f>
        <v>#REF!</v>
      </c>
      <c r="Q893" s="27" t="e">
        <f>#REF!-N893</f>
        <v>#REF!</v>
      </c>
      <c r="R893" s="17" t="str">
        <f t="shared" si="117"/>
        <v>15 1 03 00000000</v>
      </c>
    </row>
    <row r="894" spans="1:18" s="16" customFormat="1" ht="47.25">
      <c r="A894" s="14"/>
      <c r="B894" s="129" t="s">
        <v>152</v>
      </c>
      <c r="C894" s="109" t="s">
        <v>510</v>
      </c>
      <c r="D894" s="108" t="s">
        <v>238</v>
      </c>
      <c r="E894" s="108" t="s">
        <v>11</v>
      </c>
      <c r="F894" s="109" t="s">
        <v>1074</v>
      </c>
      <c r="G894" s="130" t="s">
        <v>9</v>
      </c>
      <c r="H894" s="134">
        <f>SUM(H895:H895)</f>
        <v>0</v>
      </c>
      <c r="I894" s="178" t="str">
        <f t="shared" si="114"/>
        <v>607080115 1 03 20350000</v>
      </c>
      <c r="L894" s="27">
        <v>76.5</v>
      </c>
      <c r="M894" s="27">
        <v>76.5</v>
      </c>
      <c r="N894" s="27">
        <v>76.5</v>
      </c>
      <c r="O894" s="27">
        <f>H894-L894</f>
        <v>-76.5</v>
      </c>
      <c r="P894" s="27" t="e">
        <f>#REF!-M894</f>
        <v>#REF!</v>
      </c>
      <c r="Q894" s="27" t="e">
        <f>#REF!-N894</f>
        <v>#REF!</v>
      </c>
      <c r="R894" s="17" t="str">
        <f t="shared" si="117"/>
        <v>15 1 03 20350000</v>
      </c>
    </row>
    <row r="895" spans="1:18" s="16" customFormat="1" ht="15.75">
      <c r="A895" s="14"/>
      <c r="B895" s="132" t="s">
        <v>403</v>
      </c>
      <c r="C895" s="109" t="s">
        <v>510</v>
      </c>
      <c r="D895" s="108" t="s">
        <v>238</v>
      </c>
      <c r="E895" s="108" t="s">
        <v>11</v>
      </c>
      <c r="F895" s="109" t="s">
        <v>1074</v>
      </c>
      <c r="G895" s="130" t="s">
        <v>404</v>
      </c>
      <c r="H895" s="126">
        <f>H896</f>
        <v>0</v>
      </c>
      <c r="I895" s="178" t="str">
        <f t="shared" si="114"/>
        <v>607080115 1 03 20350610</v>
      </c>
      <c r="L895" s="20">
        <v>76.5</v>
      </c>
      <c r="M895" s="20">
        <v>76.5</v>
      </c>
      <c r="N895" s="20">
        <v>76.5</v>
      </c>
      <c r="O895" s="20">
        <f>H895-L895</f>
        <v>-76.5</v>
      </c>
      <c r="P895" s="20" t="e">
        <f>#REF!-M895</f>
        <v>#REF!</v>
      </c>
      <c r="Q895" s="20" t="e">
        <f>#REF!-N895</f>
        <v>#REF!</v>
      </c>
      <c r="R895" s="17" t="str">
        <f t="shared" si="117"/>
        <v>15 1 03 20350610</v>
      </c>
    </row>
    <row r="896" spans="1:18" s="23" customFormat="1" ht="15.75">
      <c r="A896" s="21"/>
      <c r="B896" s="127" t="s">
        <v>407</v>
      </c>
      <c r="C896" s="109" t="s">
        <v>510</v>
      </c>
      <c r="D896" s="108" t="s">
        <v>238</v>
      </c>
      <c r="E896" s="108" t="s">
        <v>11</v>
      </c>
      <c r="F896" s="109" t="s">
        <v>1074</v>
      </c>
      <c r="G896" s="109" t="s">
        <v>408</v>
      </c>
      <c r="H896" s="126"/>
      <c r="I896" s="178" t="str">
        <f t="shared" si="114"/>
        <v>607080115 1 03 20350612</v>
      </c>
      <c r="L896" s="22"/>
      <c r="M896" s="22"/>
      <c r="N896" s="22"/>
      <c r="O896" s="22"/>
      <c r="P896" s="22"/>
      <c r="Q896" s="22"/>
      <c r="R896" s="24"/>
    </row>
    <row r="897" spans="1:18" s="16" customFormat="1" ht="94.5">
      <c r="A897" s="14"/>
      <c r="B897" s="125" t="s">
        <v>420</v>
      </c>
      <c r="C897" s="109" t="s">
        <v>510</v>
      </c>
      <c r="D897" s="108" t="s">
        <v>238</v>
      </c>
      <c r="E897" s="108" t="s">
        <v>11</v>
      </c>
      <c r="F897" s="108" t="s">
        <v>421</v>
      </c>
      <c r="G897" s="108" t="s">
        <v>9</v>
      </c>
      <c r="H897" s="126">
        <f t="shared" ref="H897:H900" si="118">H898</f>
        <v>0</v>
      </c>
      <c r="I897" s="178" t="str">
        <f t="shared" si="114"/>
        <v>607080116 0 00 00000000</v>
      </c>
      <c r="L897" s="20">
        <v>547.85</v>
      </c>
      <c r="M897" s="20">
        <v>547.85</v>
      </c>
      <c r="N897" s="20">
        <v>547.85</v>
      </c>
      <c r="O897" s="20">
        <f>H897-L897</f>
        <v>-547.85</v>
      </c>
      <c r="P897" s="20" t="e">
        <f>#REF!-M897</f>
        <v>#REF!</v>
      </c>
      <c r="Q897" s="20" t="e">
        <f>#REF!-N897</f>
        <v>#REF!</v>
      </c>
      <c r="R897" s="17" t="str">
        <f t="shared" si="117"/>
        <v>16 0 00 00000000</v>
      </c>
    </row>
    <row r="898" spans="1:18" s="16" customFormat="1" ht="31.5">
      <c r="A898" s="14"/>
      <c r="B898" s="125" t="s">
        <v>422</v>
      </c>
      <c r="C898" s="109" t="s">
        <v>510</v>
      </c>
      <c r="D898" s="108" t="s">
        <v>238</v>
      </c>
      <c r="E898" s="108" t="s">
        <v>11</v>
      </c>
      <c r="F898" s="108" t="s">
        <v>423</v>
      </c>
      <c r="G898" s="108" t="s">
        <v>9</v>
      </c>
      <c r="H898" s="126">
        <f t="shared" si="118"/>
        <v>0</v>
      </c>
      <c r="I898" s="178" t="str">
        <f t="shared" si="114"/>
        <v>607080116 2 00 00000000</v>
      </c>
      <c r="L898" s="20">
        <v>547.85</v>
      </c>
      <c r="M898" s="20">
        <v>547.85</v>
      </c>
      <c r="N898" s="20">
        <v>547.85</v>
      </c>
      <c r="O898" s="20">
        <f>H898-L898</f>
        <v>-547.85</v>
      </c>
      <c r="P898" s="20" t="e">
        <f>#REF!-M898</f>
        <v>#REF!</v>
      </c>
      <c r="Q898" s="20" t="e">
        <f>#REF!-N898</f>
        <v>#REF!</v>
      </c>
      <c r="R898" s="17" t="str">
        <f t="shared" si="117"/>
        <v>16 2 00 00000000</v>
      </c>
    </row>
    <row r="899" spans="1:18" s="16" customFormat="1" ht="47.25">
      <c r="A899" s="14"/>
      <c r="B899" s="125" t="s">
        <v>424</v>
      </c>
      <c r="C899" s="109" t="s">
        <v>510</v>
      </c>
      <c r="D899" s="108" t="s">
        <v>238</v>
      </c>
      <c r="E899" s="108" t="s">
        <v>11</v>
      </c>
      <c r="F899" s="108" t="s">
        <v>425</v>
      </c>
      <c r="G899" s="108" t="s">
        <v>9</v>
      </c>
      <c r="H899" s="126">
        <f t="shared" si="118"/>
        <v>0</v>
      </c>
      <c r="I899" s="178" t="str">
        <f t="shared" si="114"/>
        <v>607080116 2 02 00000000</v>
      </c>
      <c r="L899" s="20">
        <v>547.85</v>
      </c>
      <c r="M899" s="20">
        <v>547.85</v>
      </c>
      <c r="N899" s="20">
        <v>547.85</v>
      </c>
      <c r="O899" s="20">
        <f>H899-L899</f>
        <v>-547.85</v>
      </c>
      <c r="P899" s="20" t="e">
        <f>#REF!-M899</f>
        <v>#REF!</v>
      </c>
      <c r="Q899" s="20" t="e">
        <f>#REF!-N899</f>
        <v>#REF!</v>
      </c>
      <c r="R899" s="17" t="str">
        <f t="shared" si="117"/>
        <v>16 2 02 00000000</v>
      </c>
    </row>
    <row r="900" spans="1:18" s="16" customFormat="1" ht="47.25">
      <c r="A900" s="14"/>
      <c r="B900" s="125" t="s">
        <v>426</v>
      </c>
      <c r="C900" s="109" t="s">
        <v>510</v>
      </c>
      <c r="D900" s="108" t="s">
        <v>238</v>
      </c>
      <c r="E900" s="108" t="s">
        <v>11</v>
      </c>
      <c r="F900" s="108" t="s">
        <v>427</v>
      </c>
      <c r="G900" s="108" t="s">
        <v>9</v>
      </c>
      <c r="H900" s="126">
        <f t="shared" si="118"/>
        <v>0</v>
      </c>
      <c r="I900" s="178" t="str">
        <f t="shared" si="114"/>
        <v>607080116 2 02 20550000</v>
      </c>
      <c r="L900" s="20">
        <v>547.85</v>
      </c>
      <c r="M900" s="20">
        <v>547.85</v>
      </c>
      <c r="N900" s="20">
        <v>547.85</v>
      </c>
      <c r="O900" s="20">
        <f>H900-L900</f>
        <v>-547.85</v>
      </c>
      <c r="P900" s="20" t="e">
        <f>#REF!-M900</f>
        <v>#REF!</v>
      </c>
      <c r="Q900" s="20" t="e">
        <f>#REF!-N900</f>
        <v>#REF!</v>
      </c>
      <c r="R900" s="17" t="str">
        <f t="shared" si="117"/>
        <v>16 2 02 20550000</v>
      </c>
    </row>
    <row r="901" spans="1:18" s="16" customFormat="1" ht="15.75">
      <c r="A901" s="14"/>
      <c r="B901" s="132" t="s">
        <v>403</v>
      </c>
      <c r="C901" s="109" t="s">
        <v>510</v>
      </c>
      <c r="D901" s="108" t="s">
        <v>238</v>
      </c>
      <c r="E901" s="108" t="s">
        <v>11</v>
      </c>
      <c r="F901" s="108" t="s">
        <v>427</v>
      </c>
      <c r="G901" s="108" t="s">
        <v>404</v>
      </c>
      <c r="H901" s="126">
        <f>H902</f>
        <v>0</v>
      </c>
      <c r="I901" s="178" t="str">
        <f t="shared" si="114"/>
        <v>607080116 2 02 20550610</v>
      </c>
      <c r="L901" s="20">
        <v>547.85</v>
      </c>
      <c r="M901" s="20">
        <v>547.85</v>
      </c>
      <c r="N901" s="20">
        <v>547.85</v>
      </c>
      <c r="O901" s="20">
        <f>H901-L901</f>
        <v>-547.85</v>
      </c>
      <c r="P901" s="20" t="e">
        <f>#REF!-M901</f>
        <v>#REF!</v>
      </c>
      <c r="Q901" s="20" t="e">
        <f>#REF!-N901</f>
        <v>#REF!</v>
      </c>
      <c r="R901" s="17" t="str">
        <f t="shared" si="117"/>
        <v>16 2 02 20550610</v>
      </c>
    </row>
    <row r="902" spans="1:18" s="23" customFormat="1" ht="15.75">
      <c r="A902" s="21"/>
      <c r="B902" s="127" t="s">
        <v>407</v>
      </c>
      <c r="C902" s="109" t="s">
        <v>510</v>
      </c>
      <c r="D902" s="108" t="s">
        <v>238</v>
      </c>
      <c r="E902" s="108" t="s">
        <v>11</v>
      </c>
      <c r="F902" s="108" t="s">
        <v>427</v>
      </c>
      <c r="G902" s="108" t="s">
        <v>408</v>
      </c>
      <c r="H902" s="126"/>
      <c r="I902" s="178" t="str">
        <f t="shared" si="114"/>
        <v>607080116 2 02 20550612</v>
      </c>
      <c r="L902" s="22"/>
      <c r="M902" s="22"/>
      <c r="N902" s="22"/>
      <c r="O902" s="22"/>
      <c r="P902" s="22"/>
      <c r="Q902" s="22"/>
      <c r="R902" s="24"/>
    </row>
    <row r="903" spans="1:18" s="16" customFormat="1" ht="47.25">
      <c r="A903" s="14"/>
      <c r="B903" s="125" t="s">
        <v>430</v>
      </c>
      <c r="C903" s="109" t="s">
        <v>510</v>
      </c>
      <c r="D903" s="108" t="s">
        <v>238</v>
      </c>
      <c r="E903" s="108" t="s">
        <v>11</v>
      </c>
      <c r="F903" s="108" t="s">
        <v>431</v>
      </c>
      <c r="G903" s="108" t="s">
        <v>9</v>
      </c>
      <c r="H903" s="126">
        <f>H904</f>
        <v>0</v>
      </c>
      <c r="I903" s="178" t="str">
        <f t="shared" si="114"/>
        <v>607080117 0 00 00000000</v>
      </c>
      <c r="L903" s="20">
        <v>203.83</v>
      </c>
      <c r="M903" s="20">
        <v>203.83</v>
      </c>
      <c r="N903" s="20">
        <v>203.83</v>
      </c>
      <c r="O903" s="20">
        <f>H903-L903</f>
        <v>-203.83</v>
      </c>
      <c r="P903" s="20" t="e">
        <f>#REF!-M903</f>
        <v>#REF!</v>
      </c>
      <c r="Q903" s="20" t="e">
        <f>#REF!-N903</f>
        <v>#REF!</v>
      </c>
      <c r="R903" s="17" t="str">
        <f t="shared" si="117"/>
        <v>17 0 00 00000000</v>
      </c>
    </row>
    <row r="904" spans="1:18" s="16" customFormat="1" ht="47.25">
      <c r="A904" s="14"/>
      <c r="B904" s="125" t="s">
        <v>432</v>
      </c>
      <c r="C904" s="109" t="s">
        <v>510</v>
      </c>
      <c r="D904" s="108" t="s">
        <v>238</v>
      </c>
      <c r="E904" s="108" t="s">
        <v>11</v>
      </c>
      <c r="F904" s="108" t="s">
        <v>433</v>
      </c>
      <c r="G904" s="108" t="s">
        <v>9</v>
      </c>
      <c r="H904" s="126">
        <f>H905</f>
        <v>0</v>
      </c>
      <c r="I904" s="178" t="str">
        <f t="shared" si="114"/>
        <v>607080117 Б 00 00000000</v>
      </c>
      <c r="L904" s="20">
        <v>203.83</v>
      </c>
      <c r="M904" s="20">
        <v>203.83</v>
      </c>
      <c r="N904" s="20">
        <v>203.83</v>
      </c>
      <c r="O904" s="20">
        <f>H904-L904</f>
        <v>-203.83</v>
      </c>
      <c r="P904" s="20" t="e">
        <f>#REF!-M904</f>
        <v>#REF!</v>
      </c>
      <c r="Q904" s="20" t="e">
        <f>#REF!-N904</f>
        <v>#REF!</v>
      </c>
      <c r="R904" s="17" t="str">
        <f t="shared" si="117"/>
        <v>17 Б 00 00000000</v>
      </c>
    </row>
    <row r="905" spans="1:18" s="16" customFormat="1" ht="31.5">
      <c r="A905" s="14"/>
      <c r="B905" s="125" t="s">
        <v>434</v>
      </c>
      <c r="C905" s="109" t="s">
        <v>510</v>
      </c>
      <c r="D905" s="108" t="s">
        <v>238</v>
      </c>
      <c r="E905" s="108" t="s">
        <v>11</v>
      </c>
      <c r="F905" s="108" t="s">
        <v>435</v>
      </c>
      <c r="G905" s="108" t="s">
        <v>9</v>
      </c>
      <c r="H905" s="126">
        <f>H906</f>
        <v>0</v>
      </c>
      <c r="I905" s="178" t="str">
        <f t="shared" si="114"/>
        <v>607080117 Б 01 00000000</v>
      </c>
      <c r="L905" s="20">
        <v>203.83</v>
      </c>
      <c r="M905" s="20">
        <v>203.83</v>
      </c>
      <c r="N905" s="20">
        <v>203.83</v>
      </c>
      <c r="O905" s="20">
        <f>H905-L905</f>
        <v>-203.83</v>
      </c>
      <c r="P905" s="20" t="e">
        <f>#REF!-M905</f>
        <v>#REF!</v>
      </c>
      <c r="Q905" s="20" t="e">
        <f>#REF!-N905</f>
        <v>#REF!</v>
      </c>
      <c r="R905" s="17" t="str">
        <f t="shared" si="117"/>
        <v>17 Б 01 00000000</v>
      </c>
    </row>
    <row r="906" spans="1:18" s="16" customFormat="1" ht="47.25">
      <c r="A906" s="14"/>
      <c r="B906" s="132" t="s">
        <v>436</v>
      </c>
      <c r="C906" s="109" t="s">
        <v>510</v>
      </c>
      <c r="D906" s="108" t="s">
        <v>238</v>
      </c>
      <c r="E906" s="108" t="s">
        <v>11</v>
      </c>
      <c r="F906" s="108" t="s">
        <v>437</v>
      </c>
      <c r="G906" s="108" t="s">
        <v>9</v>
      </c>
      <c r="H906" s="126">
        <f>H907</f>
        <v>0</v>
      </c>
      <c r="I906" s="178" t="str">
        <f t="shared" si="114"/>
        <v>607080117 Б 01 20490000</v>
      </c>
      <c r="L906" s="20">
        <v>203.83</v>
      </c>
      <c r="M906" s="20">
        <v>203.83</v>
      </c>
      <c r="N906" s="20">
        <v>203.83</v>
      </c>
      <c r="O906" s="20">
        <f>H906-L906</f>
        <v>-203.83</v>
      </c>
      <c r="P906" s="20" t="e">
        <f>#REF!-M906</f>
        <v>#REF!</v>
      </c>
      <c r="Q906" s="20" t="e">
        <f>#REF!-N906</f>
        <v>#REF!</v>
      </c>
      <c r="R906" s="17" t="str">
        <f t="shared" si="117"/>
        <v>17 Б 01 20490000</v>
      </c>
    </row>
    <row r="907" spans="1:18" s="16" customFormat="1" ht="15.75">
      <c r="A907" s="14"/>
      <c r="B907" s="125" t="s">
        <v>403</v>
      </c>
      <c r="C907" s="109" t="s">
        <v>510</v>
      </c>
      <c r="D907" s="108" t="s">
        <v>238</v>
      </c>
      <c r="E907" s="108" t="s">
        <v>11</v>
      </c>
      <c r="F907" s="108" t="s">
        <v>437</v>
      </c>
      <c r="G907" s="108" t="s">
        <v>404</v>
      </c>
      <c r="H907" s="126">
        <f>H908</f>
        <v>0</v>
      </c>
      <c r="I907" s="178" t="str">
        <f t="shared" si="114"/>
        <v>607080117 Б 01 20490610</v>
      </c>
      <c r="L907" s="20">
        <v>203.83</v>
      </c>
      <c r="M907" s="20">
        <v>203.83</v>
      </c>
      <c r="N907" s="20">
        <v>203.83</v>
      </c>
      <c r="O907" s="20">
        <f>H907-L907</f>
        <v>-203.83</v>
      </c>
      <c r="P907" s="20" t="e">
        <f>#REF!-M907</f>
        <v>#REF!</v>
      </c>
      <c r="Q907" s="20" t="e">
        <f>#REF!-N907</f>
        <v>#REF!</v>
      </c>
      <c r="R907" s="17" t="str">
        <f t="shared" si="117"/>
        <v>17 Б 01 20490610</v>
      </c>
    </row>
    <row r="908" spans="1:18" s="23" customFormat="1" ht="19.5" customHeight="1">
      <c r="A908" s="21"/>
      <c r="B908" s="127" t="s">
        <v>407</v>
      </c>
      <c r="C908" s="109" t="s">
        <v>510</v>
      </c>
      <c r="D908" s="108" t="s">
        <v>238</v>
      </c>
      <c r="E908" s="108" t="s">
        <v>11</v>
      </c>
      <c r="F908" s="108" t="s">
        <v>437</v>
      </c>
      <c r="G908" s="108" t="s">
        <v>408</v>
      </c>
      <c r="H908" s="126"/>
      <c r="I908" s="178" t="str">
        <f t="shared" si="114"/>
        <v>607080117 Б 01 20490612</v>
      </c>
      <c r="L908" s="22"/>
      <c r="M908" s="22"/>
      <c r="N908" s="22"/>
      <c r="O908" s="22"/>
      <c r="P908" s="22"/>
      <c r="Q908" s="22"/>
      <c r="R908" s="24"/>
    </row>
    <row r="909" spans="1:18" s="23" customFormat="1" ht="19.5" customHeight="1">
      <c r="A909" s="21"/>
      <c r="B909" s="125" t="s">
        <v>87</v>
      </c>
      <c r="C909" s="109" t="s">
        <v>510</v>
      </c>
      <c r="D909" s="108" t="s">
        <v>238</v>
      </c>
      <c r="E909" s="108" t="s">
        <v>11</v>
      </c>
      <c r="F909" s="108" t="s">
        <v>88</v>
      </c>
      <c r="G909" s="108" t="s">
        <v>9</v>
      </c>
      <c r="H909" s="126">
        <f>H910</f>
        <v>0</v>
      </c>
      <c r="I909" s="178" t="str">
        <f t="shared" si="114"/>
        <v>607080198 0 00 00000000</v>
      </c>
      <c r="L909" s="22"/>
      <c r="M909" s="22"/>
      <c r="N909" s="22"/>
      <c r="O909" s="22"/>
      <c r="P909" s="22"/>
      <c r="Q909" s="22"/>
      <c r="R909" s="24"/>
    </row>
    <row r="910" spans="1:18" s="23" customFormat="1" ht="19.5" customHeight="1">
      <c r="A910" s="21"/>
      <c r="B910" s="125" t="s">
        <v>89</v>
      </c>
      <c r="C910" s="109" t="s">
        <v>510</v>
      </c>
      <c r="D910" s="108" t="s">
        <v>238</v>
      </c>
      <c r="E910" s="108" t="s">
        <v>11</v>
      </c>
      <c r="F910" s="108" t="s">
        <v>90</v>
      </c>
      <c r="G910" s="108" t="s">
        <v>9</v>
      </c>
      <c r="H910" s="126">
        <f>H911</f>
        <v>0</v>
      </c>
      <c r="I910" s="178" t="str">
        <f t="shared" si="114"/>
        <v>607080198 1 00 00000000</v>
      </c>
      <c r="L910" s="22"/>
      <c r="M910" s="22"/>
      <c r="N910" s="22"/>
      <c r="O910" s="22"/>
      <c r="P910" s="22"/>
      <c r="Q910" s="22"/>
      <c r="R910" s="24"/>
    </row>
    <row r="911" spans="1:18" s="23" customFormat="1" ht="19.5" customHeight="1">
      <c r="A911" s="21"/>
      <c r="B911" s="125" t="s">
        <v>1054</v>
      </c>
      <c r="C911" s="109" t="s">
        <v>510</v>
      </c>
      <c r="D911" s="108" t="s">
        <v>238</v>
      </c>
      <c r="E911" s="108" t="s">
        <v>11</v>
      </c>
      <c r="F911" s="108" t="s">
        <v>1055</v>
      </c>
      <c r="G911" s="108" t="s">
        <v>9</v>
      </c>
      <c r="H911" s="126">
        <f>H912</f>
        <v>0</v>
      </c>
      <c r="I911" s="178" t="str">
        <f t="shared" si="114"/>
        <v>607080198 1 00 21570000</v>
      </c>
      <c r="L911" s="22"/>
      <c r="M911" s="22"/>
      <c r="N911" s="22"/>
      <c r="O911" s="22"/>
      <c r="P911" s="22"/>
      <c r="Q911" s="22"/>
      <c r="R911" s="24"/>
    </row>
    <row r="912" spans="1:18" s="23" customFormat="1" ht="19.5" customHeight="1">
      <c r="A912" s="21"/>
      <c r="B912" s="125" t="s">
        <v>403</v>
      </c>
      <c r="C912" s="109" t="s">
        <v>510</v>
      </c>
      <c r="D912" s="108" t="s">
        <v>238</v>
      </c>
      <c r="E912" s="108" t="s">
        <v>11</v>
      </c>
      <c r="F912" s="108" t="s">
        <v>1055</v>
      </c>
      <c r="G912" s="108" t="s">
        <v>404</v>
      </c>
      <c r="H912" s="126">
        <f>H913</f>
        <v>0</v>
      </c>
      <c r="I912" s="178" t="str">
        <f t="shared" si="114"/>
        <v>607080198 1 00 21570610</v>
      </c>
      <c r="L912" s="22"/>
      <c r="M912" s="22"/>
      <c r="N912" s="22"/>
      <c r="O912" s="22"/>
      <c r="P912" s="22"/>
      <c r="Q912" s="22"/>
      <c r="R912" s="24"/>
    </row>
    <row r="913" spans="1:18" s="23" customFormat="1" ht="19.5" customHeight="1">
      <c r="A913" s="21"/>
      <c r="B913" s="127" t="s">
        <v>407</v>
      </c>
      <c r="C913" s="109" t="s">
        <v>510</v>
      </c>
      <c r="D913" s="108" t="s">
        <v>238</v>
      </c>
      <c r="E913" s="108" t="s">
        <v>11</v>
      </c>
      <c r="F913" s="108" t="s">
        <v>1055</v>
      </c>
      <c r="G913" s="108" t="s">
        <v>408</v>
      </c>
      <c r="H913" s="126"/>
      <c r="I913" s="178" t="str">
        <f t="shared" si="114"/>
        <v>607080198 1 00 21570612</v>
      </c>
      <c r="L913" s="22"/>
      <c r="M913" s="22"/>
      <c r="N913" s="22"/>
      <c r="O913" s="22"/>
      <c r="P913" s="22"/>
      <c r="Q913" s="22"/>
      <c r="R913" s="24"/>
    </row>
    <row r="914" spans="1:18" s="16" customFormat="1" ht="15.75">
      <c r="A914" s="14"/>
      <c r="B914" s="121" t="s">
        <v>584</v>
      </c>
      <c r="C914" s="122" t="s">
        <v>510</v>
      </c>
      <c r="D914" s="123" t="s">
        <v>238</v>
      </c>
      <c r="E914" s="123" t="s">
        <v>73</v>
      </c>
      <c r="F914" s="123" t="s">
        <v>8</v>
      </c>
      <c r="G914" s="123" t="s">
        <v>9</v>
      </c>
      <c r="H914" s="124">
        <f>H915</f>
        <v>0</v>
      </c>
      <c r="I914" s="178" t="str">
        <f t="shared" si="114"/>
        <v>607080400 0 00 00000000</v>
      </c>
      <c r="L914" s="19">
        <v>13610.46</v>
      </c>
      <c r="M914" s="19">
        <v>13610.46</v>
      </c>
      <c r="N914" s="19">
        <v>13610.46</v>
      </c>
      <c r="O914" s="19">
        <f>H914-L914</f>
        <v>-13610.46</v>
      </c>
      <c r="P914" s="19" t="e">
        <f>#REF!-M914</f>
        <v>#REF!</v>
      </c>
      <c r="Q914" s="19" t="e">
        <f>#REF!-N914</f>
        <v>#REF!</v>
      </c>
      <c r="R914" s="17" t="str">
        <f t="shared" si="117"/>
        <v>00 0 00 00000000</v>
      </c>
    </row>
    <row r="915" spans="1:18" s="16" customFormat="1" ht="47.25">
      <c r="A915" s="14"/>
      <c r="B915" s="125" t="s">
        <v>585</v>
      </c>
      <c r="C915" s="109" t="s">
        <v>510</v>
      </c>
      <c r="D915" s="108" t="s">
        <v>238</v>
      </c>
      <c r="E915" s="108" t="s">
        <v>73</v>
      </c>
      <c r="F915" s="108" t="s">
        <v>586</v>
      </c>
      <c r="G915" s="108" t="s">
        <v>9</v>
      </c>
      <c r="H915" s="126">
        <f>H916+H931</f>
        <v>0</v>
      </c>
      <c r="I915" s="178" t="str">
        <f t="shared" si="114"/>
        <v>607080476 0 00 00000000</v>
      </c>
      <c r="L915" s="20">
        <v>13610.46</v>
      </c>
      <c r="M915" s="20">
        <v>13610.46</v>
      </c>
      <c r="N915" s="20">
        <v>13610.46</v>
      </c>
      <c r="O915" s="20">
        <f>H915-L915</f>
        <v>-13610.46</v>
      </c>
      <c r="P915" s="20" t="e">
        <f>#REF!-M915</f>
        <v>#REF!</v>
      </c>
      <c r="Q915" s="20" t="e">
        <f>#REF!-N915</f>
        <v>#REF!</v>
      </c>
      <c r="R915" s="17" t="str">
        <f t="shared" si="117"/>
        <v>76 0 00 00000000</v>
      </c>
    </row>
    <row r="916" spans="1:18" s="16" customFormat="1" ht="47.25">
      <c r="A916" s="14"/>
      <c r="B916" s="125" t="s">
        <v>587</v>
      </c>
      <c r="C916" s="109" t="s">
        <v>510</v>
      </c>
      <c r="D916" s="108" t="s">
        <v>238</v>
      </c>
      <c r="E916" s="108" t="s">
        <v>73</v>
      </c>
      <c r="F916" s="108" t="s">
        <v>588</v>
      </c>
      <c r="G916" s="108" t="s">
        <v>9</v>
      </c>
      <c r="H916" s="126">
        <f>H917+H927</f>
        <v>0</v>
      </c>
      <c r="I916" s="178" t="str">
        <f t="shared" si="114"/>
        <v>607080476 1 00 00000000</v>
      </c>
      <c r="L916" s="20">
        <v>13450.46</v>
      </c>
      <c r="M916" s="20">
        <v>13450.46</v>
      </c>
      <c r="N916" s="20">
        <v>13450.46</v>
      </c>
      <c r="O916" s="20">
        <f>H916-L916</f>
        <v>-13450.46</v>
      </c>
      <c r="P916" s="20" t="e">
        <f>#REF!-M916</f>
        <v>#REF!</v>
      </c>
      <c r="Q916" s="20" t="e">
        <f>#REF!-N916</f>
        <v>#REF!</v>
      </c>
      <c r="R916" s="17" t="str">
        <f t="shared" si="117"/>
        <v>76 1 00 00000000</v>
      </c>
    </row>
    <row r="917" spans="1:18" s="16" customFormat="1" ht="31.5">
      <c r="A917" s="14"/>
      <c r="B917" s="125" t="s">
        <v>18</v>
      </c>
      <c r="C917" s="109" t="s">
        <v>510</v>
      </c>
      <c r="D917" s="108" t="s">
        <v>238</v>
      </c>
      <c r="E917" s="108" t="s">
        <v>73</v>
      </c>
      <c r="F917" s="108" t="s">
        <v>589</v>
      </c>
      <c r="G917" s="108" t="s">
        <v>9</v>
      </c>
      <c r="H917" s="126">
        <f>H918+H921+H923</f>
        <v>0</v>
      </c>
      <c r="I917" s="178" t="str">
        <f t="shared" ref="I917:I980" si="119">C917&amp;D917&amp;E917&amp;F917&amp;G917</f>
        <v>607080476 1 00 10010000</v>
      </c>
      <c r="L917" s="20">
        <v>1480.34</v>
      </c>
      <c r="M917" s="20">
        <v>1480.34</v>
      </c>
      <c r="N917" s="20">
        <v>1480.34</v>
      </c>
      <c r="O917" s="20">
        <f>H917-L917</f>
        <v>-1480.34</v>
      </c>
      <c r="P917" s="20" t="e">
        <f>#REF!-M917</f>
        <v>#REF!</v>
      </c>
      <c r="Q917" s="20" t="e">
        <f>#REF!-N917</f>
        <v>#REF!</v>
      </c>
      <c r="R917" s="17" t="str">
        <f t="shared" si="117"/>
        <v>76 1 00 10010000</v>
      </c>
    </row>
    <row r="918" spans="1:18" s="16" customFormat="1" ht="31.5">
      <c r="A918" s="14"/>
      <c r="B918" s="127" t="s">
        <v>20</v>
      </c>
      <c r="C918" s="109" t="s">
        <v>510</v>
      </c>
      <c r="D918" s="108" t="s">
        <v>238</v>
      </c>
      <c r="E918" s="108" t="s">
        <v>73</v>
      </c>
      <c r="F918" s="108" t="s">
        <v>589</v>
      </c>
      <c r="G918" s="108" t="s">
        <v>21</v>
      </c>
      <c r="H918" s="126">
        <f>SUM(H919:H920)</f>
        <v>0</v>
      </c>
      <c r="I918" s="178" t="str">
        <f t="shared" si="119"/>
        <v>607080476 1 00 10010120</v>
      </c>
      <c r="L918" s="20">
        <v>357.33</v>
      </c>
      <c r="M918" s="20">
        <v>357.33</v>
      </c>
      <c r="N918" s="20">
        <v>357.33</v>
      </c>
      <c r="O918" s="20">
        <f>H918-L918</f>
        <v>-357.33</v>
      </c>
      <c r="P918" s="20" t="e">
        <f>#REF!-M918</f>
        <v>#REF!</v>
      </c>
      <c r="Q918" s="20" t="e">
        <f>#REF!-N918</f>
        <v>#REF!</v>
      </c>
      <c r="R918" s="17" t="str">
        <f t="shared" si="117"/>
        <v>76 1 00 10010120</v>
      </c>
    </row>
    <row r="919" spans="1:18" s="23" customFormat="1" ht="47.25">
      <c r="A919" s="21"/>
      <c r="B919" s="127" t="s">
        <v>22</v>
      </c>
      <c r="C919" s="109" t="s">
        <v>510</v>
      </c>
      <c r="D919" s="108" t="s">
        <v>238</v>
      </c>
      <c r="E919" s="108" t="s">
        <v>73</v>
      </c>
      <c r="F919" s="108" t="s">
        <v>589</v>
      </c>
      <c r="G919" s="108" t="s">
        <v>23</v>
      </c>
      <c r="H919" s="126"/>
      <c r="I919" s="178" t="str">
        <f t="shared" si="119"/>
        <v>607080476 1 00 10010122</v>
      </c>
      <c r="L919" s="22"/>
      <c r="M919" s="22"/>
      <c r="N919" s="22"/>
      <c r="O919" s="22"/>
      <c r="P919" s="22"/>
      <c r="Q919" s="22"/>
      <c r="R919" s="24"/>
    </row>
    <row r="920" spans="1:18" s="23" customFormat="1" ht="63">
      <c r="A920" s="21"/>
      <c r="B920" s="127" t="s">
        <v>26</v>
      </c>
      <c r="C920" s="109" t="s">
        <v>510</v>
      </c>
      <c r="D920" s="108" t="s">
        <v>238</v>
      </c>
      <c r="E920" s="108" t="s">
        <v>73</v>
      </c>
      <c r="F920" s="108" t="s">
        <v>589</v>
      </c>
      <c r="G920" s="108" t="s">
        <v>27</v>
      </c>
      <c r="H920" s="126"/>
      <c r="I920" s="178" t="str">
        <f t="shared" si="119"/>
        <v>607080476 1 00 10010129</v>
      </c>
      <c r="L920" s="22"/>
      <c r="M920" s="22"/>
      <c r="N920" s="22"/>
      <c r="O920" s="22"/>
      <c r="P920" s="22"/>
      <c r="Q920" s="22"/>
      <c r="R920" s="24"/>
    </row>
    <row r="921" spans="1:18" s="16" customFormat="1" ht="31.5">
      <c r="A921" s="14"/>
      <c r="B921" s="125" t="s">
        <v>28</v>
      </c>
      <c r="C921" s="109" t="s">
        <v>510</v>
      </c>
      <c r="D921" s="108" t="s">
        <v>238</v>
      </c>
      <c r="E921" s="108" t="s">
        <v>73</v>
      </c>
      <c r="F921" s="108" t="s">
        <v>589</v>
      </c>
      <c r="G921" s="108" t="s">
        <v>29</v>
      </c>
      <c r="H921" s="126">
        <f>H922</f>
        <v>0</v>
      </c>
      <c r="I921" s="178" t="str">
        <f t="shared" si="119"/>
        <v>607080476 1 00 10010240</v>
      </c>
      <c r="L921" s="20">
        <v>941.81</v>
      </c>
      <c r="M921" s="20">
        <v>941.81</v>
      </c>
      <c r="N921" s="20">
        <v>941.81</v>
      </c>
      <c r="O921" s="20">
        <f>H921-L921</f>
        <v>-941.81</v>
      </c>
      <c r="P921" s="20" t="e">
        <f>#REF!-M921</f>
        <v>#REF!</v>
      </c>
      <c r="Q921" s="20" t="e">
        <f>#REF!-N921</f>
        <v>#REF!</v>
      </c>
      <c r="R921" s="17" t="str">
        <f t="shared" si="117"/>
        <v>76 1 00 10010240</v>
      </c>
    </row>
    <row r="922" spans="1:18" s="16" customFormat="1" ht="15.75">
      <c r="A922" s="14"/>
      <c r="B922" s="125" t="s">
        <v>30</v>
      </c>
      <c r="C922" s="109" t="s">
        <v>510</v>
      </c>
      <c r="D922" s="108" t="s">
        <v>238</v>
      </c>
      <c r="E922" s="108" t="s">
        <v>73</v>
      </c>
      <c r="F922" s="108" t="s">
        <v>589</v>
      </c>
      <c r="G922" s="108" t="s">
        <v>31</v>
      </c>
      <c r="H922" s="126"/>
      <c r="I922" s="178" t="str">
        <f t="shared" si="119"/>
        <v>607080476 1 00 10010244</v>
      </c>
      <c r="L922" s="20"/>
      <c r="M922" s="20"/>
      <c r="N922" s="20"/>
      <c r="O922" s="20"/>
      <c r="P922" s="20"/>
      <c r="Q922" s="20"/>
      <c r="R922" s="17"/>
    </row>
    <row r="923" spans="1:18" s="16" customFormat="1" ht="15.75">
      <c r="A923" s="14"/>
      <c r="B923" s="125" t="s">
        <v>32</v>
      </c>
      <c r="C923" s="109" t="s">
        <v>510</v>
      </c>
      <c r="D923" s="108" t="s">
        <v>238</v>
      </c>
      <c r="E923" s="108" t="s">
        <v>73</v>
      </c>
      <c r="F923" s="108" t="s">
        <v>589</v>
      </c>
      <c r="G923" s="108" t="s">
        <v>33</v>
      </c>
      <c r="H923" s="126">
        <f>SUM(H924:H926)</f>
        <v>0</v>
      </c>
      <c r="I923" s="178" t="str">
        <f t="shared" si="119"/>
        <v>607080476 1 00 10010850</v>
      </c>
      <c r="L923" s="20">
        <v>181.2</v>
      </c>
      <c r="M923" s="20">
        <v>181.2</v>
      </c>
      <c r="N923" s="20">
        <v>181.2</v>
      </c>
      <c r="O923" s="20">
        <f>H923-L923</f>
        <v>-181.2</v>
      </c>
      <c r="P923" s="20" t="e">
        <f>#REF!-M923</f>
        <v>#REF!</v>
      </c>
      <c r="Q923" s="20" t="e">
        <f>#REF!-N923</f>
        <v>#REF!</v>
      </c>
      <c r="R923" s="17" t="str">
        <f t="shared" si="117"/>
        <v>76 1 00 10010850</v>
      </c>
    </row>
    <row r="924" spans="1:18" s="23" customFormat="1" ht="31.5">
      <c r="A924" s="21"/>
      <c r="B924" s="127" t="s">
        <v>34</v>
      </c>
      <c r="C924" s="109" t="s">
        <v>510</v>
      </c>
      <c r="D924" s="108" t="s">
        <v>238</v>
      </c>
      <c r="E924" s="108" t="s">
        <v>73</v>
      </c>
      <c r="F924" s="108" t="s">
        <v>589</v>
      </c>
      <c r="G924" s="108" t="s">
        <v>35</v>
      </c>
      <c r="H924" s="126"/>
      <c r="I924" s="178" t="str">
        <f t="shared" si="119"/>
        <v>607080476 1 00 10010851</v>
      </c>
      <c r="L924" s="22"/>
      <c r="M924" s="22"/>
      <c r="N924" s="22"/>
      <c r="O924" s="22"/>
      <c r="P924" s="22"/>
      <c r="Q924" s="22"/>
      <c r="R924" s="24"/>
    </row>
    <row r="925" spans="1:18" s="23" customFormat="1" ht="15.75">
      <c r="A925" s="21"/>
      <c r="B925" s="127" t="s">
        <v>36</v>
      </c>
      <c r="C925" s="109" t="s">
        <v>510</v>
      </c>
      <c r="D925" s="108" t="s">
        <v>238</v>
      </c>
      <c r="E925" s="108" t="s">
        <v>73</v>
      </c>
      <c r="F925" s="108" t="s">
        <v>589</v>
      </c>
      <c r="G925" s="108" t="s">
        <v>37</v>
      </c>
      <c r="H925" s="126"/>
      <c r="I925" s="178" t="str">
        <f t="shared" si="119"/>
        <v>607080476 1 00 10010852</v>
      </c>
      <c r="L925" s="22"/>
      <c r="M925" s="22"/>
      <c r="N925" s="22"/>
      <c r="O925" s="22"/>
      <c r="P925" s="22"/>
      <c r="Q925" s="22"/>
      <c r="R925" s="24"/>
    </row>
    <row r="926" spans="1:18" s="23" customFormat="1" ht="15.75">
      <c r="A926" s="21"/>
      <c r="B926" s="127" t="s">
        <v>77</v>
      </c>
      <c r="C926" s="109" t="s">
        <v>510</v>
      </c>
      <c r="D926" s="108" t="s">
        <v>238</v>
      </c>
      <c r="E926" s="108" t="s">
        <v>73</v>
      </c>
      <c r="F926" s="108" t="s">
        <v>589</v>
      </c>
      <c r="G926" s="108" t="s">
        <v>78</v>
      </c>
      <c r="H926" s="126"/>
      <c r="I926" s="178" t="str">
        <f t="shared" si="119"/>
        <v>607080476 1 00 10010853</v>
      </c>
      <c r="L926" s="22"/>
      <c r="M926" s="22"/>
      <c r="N926" s="22"/>
      <c r="O926" s="22"/>
      <c r="P926" s="22"/>
      <c r="Q926" s="22"/>
      <c r="R926" s="24"/>
    </row>
    <row r="927" spans="1:18" s="16" customFormat="1" ht="31.5">
      <c r="A927" s="14"/>
      <c r="B927" s="125" t="s">
        <v>38</v>
      </c>
      <c r="C927" s="109" t="s">
        <v>510</v>
      </c>
      <c r="D927" s="108" t="s">
        <v>238</v>
      </c>
      <c r="E927" s="108" t="s">
        <v>73</v>
      </c>
      <c r="F927" s="108" t="s">
        <v>590</v>
      </c>
      <c r="G927" s="108" t="s">
        <v>9</v>
      </c>
      <c r="H927" s="126">
        <f>H928</f>
        <v>0</v>
      </c>
      <c r="I927" s="178" t="str">
        <f t="shared" si="119"/>
        <v>607080476 1 00 10020000</v>
      </c>
      <c r="L927" s="20">
        <v>11970.119999999999</v>
      </c>
      <c r="M927" s="20">
        <v>11970.119999999999</v>
      </c>
      <c r="N927" s="20">
        <v>11970.119999999999</v>
      </c>
      <c r="O927" s="20">
        <f>H927-L927</f>
        <v>-11970.119999999999</v>
      </c>
      <c r="P927" s="20" t="e">
        <f>#REF!-M927</f>
        <v>#REF!</v>
      </c>
      <c r="Q927" s="20" t="e">
        <f>#REF!-N927</f>
        <v>#REF!</v>
      </c>
      <c r="R927" s="17" t="str">
        <f t="shared" si="117"/>
        <v>76 1 00 10020000</v>
      </c>
    </row>
    <row r="928" spans="1:18" s="16" customFormat="1" ht="31.5">
      <c r="A928" s="14"/>
      <c r="B928" s="127" t="s">
        <v>20</v>
      </c>
      <c r="C928" s="109" t="s">
        <v>510</v>
      </c>
      <c r="D928" s="108" t="s">
        <v>238</v>
      </c>
      <c r="E928" s="108" t="s">
        <v>73</v>
      </c>
      <c r="F928" s="108" t="s">
        <v>590</v>
      </c>
      <c r="G928" s="108" t="s">
        <v>21</v>
      </c>
      <c r="H928" s="126">
        <f>SUM(H929:H930)</f>
        <v>0</v>
      </c>
      <c r="I928" s="178" t="str">
        <f t="shared" si="119"/>
        <v>607080476 1 00 10020120</v>
      </c>
      <c r="L928" s="20">
        <v>11970.119999999999</v>
      </c>
      <c r="M928" s="20">
        <v>11970.119999999999</v>
      </c>
      <c r="N928" s="20">
        <v>11970.119999999999</v>
      </c>
      <c r="O928" s="20">
        <f>H928-L928</f>
        <v>-11970.119999999999</v>
      </c>
      <c r="P928" s="20" t="e">
        <f>#REF!-M928</f>
        <v>#REF!</v>
      </c>
      <c r="Q928" s="20" t="e">
        <f>#REF!-N928</f>
        <v>#REF!</v>
      </c>
      <c r="R928" s="17" t="str">
        <f t="shared" si="117"/>
        <v>76 1 00 10020120</v>
      </c>
    </row>
    <row r="929" spans="1:18" s="23" customFormat="1" ht="31.5">
      <c r="A929" s="21"/>
      <c r="B929" s="127" t="s">
        <v>40</v>
      </c>
      <c r="C929" s="109" t="s">
        <v>510</v>
      </c>
      <c r="D929" s="108" t="s">
        <v>238</v>
      </c>
      <c r="E929" s="108" t="s">
        <v>73</v>
      </c>
      <c r="F929" s="108" t="s">
        <v>590</v>
      </c>
      <c r="G929" s="108" t="s">
        <v>41</v>
      </c>
      <c r="H929" s="126"/>
      <c r="I929" s="178" t="str">
        <f t="shared" si="119"/>
        <v>607080476 1 00 10020121</v>
      </c>
      <c r="L929" s="22"/>
      <c r="M929" s="22"/>
      <c r="N929" s="22"/>
      <c r="O929" s="22"/>
      <c r="P929" s="22"/>
      <c r="Q929" s="22"/>
      <c r="R929" s="24"/>
    </row>
    <row r="930" spans="1:18" s="23" customFormat="1" ht="63">
      <c r="A930" s="21"/>
      <c r="B930" s="127" t="s">
        <v>26</v>
      </c>
      <c r="C930" s="109" t="s">
        <v>510</v>
      </c>
      <c r="D930" s="108" t="s">
        <v>238</v>
      </c>
      <c r="E930" s="108" t="s">
        <v>73</v>
      </c>
      <c r="F930" s="108" t="s">
        <v>590</v>
      </c>
      <c r="G930" s="108" t="s">
        <v>27</v>
      </c>
      <c r="H930" s="126"/>
      <c r="I930" s="178" t="str">
        <f t="shared" si="119"/>
        <v>607080476 1 00 10020129</v>
      </c>
      <c r="L930" s="22"/>
      <c r="M930" s="22"/>
      <c r="N930" s="22"/>
      <c r="O930" s="22"/>
      <c r="P930" s="22"/>
      <c r="Q930" s="22"/>
      <c r="R930" s="24"/>
    </row>
    <row r="931" spans="1:18" s="16" customFormat="1" ht="15.75">
      <c r="A931" s="14"/>
      <c r="B931" s="127" t="s">
        <v>52</v>
      </c>
      <c r="C931" s="109" t="s">
        <v>510</v>
      </c>
      <c r="D931" s="108" t="s">
        <v>238</v>
      </c>
      <c r="E931" s="108" t="s">
        <v>73</v>
      </c>
      <c r="F931" s="108" t="s">
        <v>591</v>
      </c>
      <c r="G931" s="108" t="s">
        <v>9</v>
      </c>
      <c r="H931" s="126">
        <f t="shared" ref="H931:H932" si="120">H932</f>
        <v>0</v>
      </c>
      <c r="I931" s="178" t="str">
        <f t="shared" si="119"/>
        <v>607080476 2 00 00000000</v>
      </c>
      <c r="L931" s="20">
        <v>160</v>
      </c>
      <c r="M931" s="20">
        <v>160</v>
      </c>
      <c r="N931" s="20">
        <v>160</v>
      </c>
      <c r="O931" s="20">
        <f>H931-L931</f>
        <v>-160</v>
      </c>
      <c r="P931" s="20" t="e">
        <f>#REF!-M931</f>
        <v>#REF!</v>
      </c>
      <c r="Q931" s="20" t="e">
        <f>#REF!-N931</f>
        <v>#REF!</v>
      </c>
      <c r="R931" s="17" t="str">
        <f t="shared" si="117"/>
        <v>76 2 00 00000000</v>
      </c>
    </row>
    <row r="932" spans="1:18" s="16" customFormat="1" ht="47.25">
      <c r="A932" s="14"/>
      <c r="B932" s="125" t="s">
        <v>592</v>
      </c>
      <c r="C932" s="109" t="s">
        <v>510</v>
      </c>
      <c r="D932" s="108" t="s">
        <v>238</v>
      </c>
      <c r="E932" s="108" t="s">
        <v>73</v>
      </c>
      <c r="F932" s="108" t="s">
        <v>593</v>
      </c>
      <c r="G932" s="108" t="s">
        <v>9</v>
      </c>
      <c r="H932" s="126">
        <f t="shared" si="120"/>
        <v>0</v>
      </c>
      <c r="I932" s="178" t="str">
        <f t="shared" si="119"/>
        <v>607080476 2 00 20250000</v>
      </c>
      <c r="L932" s="20">
        <v>160</v>
      </c>
      <c r="M932" s="20">
        <v>160</v>
      </c>
      <c r="N932" s="20">
        <v>160</v>
      </c>
      <c r="O932" s="20">
        <f>H932-L932</f>
        <v>-160</v>
      </c>
      <c r="P932" s="20" t="e">
        <f>#REF!-M932</f>
        <v>#REF!</v>
      </c>
      <c r="Q932" s="20" t="e">
        <f>#REF!-N932</f>
        <v>#REF!</v>
      </c>
      <c r="R932" s="17" t="str">
        <f t="shared" si="117"/>
        <v>76 2 00 20250000</v>
      </c>
    </row>
    <row r="933" spans="1:18" s="16" customFormat="1" ht="31.5">
      <c r="A933" s="14"/>
      <c r="B933" s="125" t="s">
        <v>28</v>
      </c>
      <c r="C933" s="109" t="s">
        <v>510</v>
      </c>
      <c r="D933" s="108" t="s">
        <v>238</v>
      </c>
      <c r="E933" s="108" t="s">
        <v>73</v>
      </c>
      <c r="F933" s="108" t="s">
        <v>593</v>
      </c>
      <c r="G933" s="108" t="s">
        <v>29</v>
      </c>
      <c r="H933" s="126">
        <f>H934</f>
        <v>0</v>
      </c>
      <c r="I933" s="178" t="str">
        <f t="shared" si="119"/>
        <v>607080476 2 00 20250240</v>
      </c>
      <c r="L933" s="20">
        <v>160</v>
      </c>
      <c r="M933" s="20">
        <v>160</v>
      </c>
      <c r="N933" s="20">
        <v>160</v>
      </c>
      <c r="O933" s="20">
        <f>H933-L933</f>
        <v>-160</v>
      </c>
      <c r="P933" s="20" t="e">
        <f>#REF!-M933</f>
        <v>#REF!</v>
      </c>
      <c r="Q933" s="20" t="e">
        <f>#REF!-N933</f>
        <v>#REF!</v>
      </c>
      <c r="R933" s="17" t="str">
        <f t="shared" si="117"/>
        <v>76 2 00 20250240</v>
      </c>
    </row>
    <row r="934" spans="1:18" s="16" customFormat="1" ht="15.75">
      <c r="A934" s="14"/>
      <c r="B934" s="125" t="s">
        <v>30</v>
      </c>
      <c r="C934" s="109" t="s">
        <v>510</v>
      </c>
      <c r="D934" s="108" t="s">
        <v>238</v>
      </c>
      <c r="E934" s="108" t="s">
        <v>73</v>
      </c>
      <c r="F934" s="108" t="s">
        <v>593</v>
      </c>
      <c r="G934" s="108" t="s">
        <v>31</v>
      </c>
      <c r="H934" s="126"/>
      <c r="I934" s="178" t="str">
        <f t="shared" si="119"/>
        <v>607080476 2 00 20250244</v>
      </c>
      <c r="L934" s="20"/>
      <c r="M934" s="20"/>
      <c r="N934" s="20"/>
      <c r="O934" s="20"/>
      <c r="P934" s="20"/>
      <c r="Q934" s="20"/>
      <c r="R934" s="17"/>
    </row>
    <row r="935" spans="1:18" s="16" customFormat="1" ht="15.75">
      <c r="A935" s="14"/>
      <c r="B935" s="125"/>
      <c r="C935" s="109"/>
      <c r="D935" s="108"/>
      <c r="E935" s="108"/>
      <c r="F935" s="108"/>
      <c r="G935" s="108"/>
      <c r="H935" s="126"/>
      <c r="I935" s="178" t="str">
        <f t="shared" si="119"/>
        <v/>
      </c>
      <c r="L935" s="20"/>
      <c r="M935" s="20"/>
      <c r="N935" s="20"/>
      <c r="O935" s="20">
        <f t="shared" ref="O935:O943" si="121">H935-L935</f>
        <v>0</v>
      </c>
      <c r="P935" s="20" t="e">
        <f>#REF!-M935</f>
        <v>#REF!</v>
      </c>
      <c r="Q935" s="20" t="e">
        <f>#REF!-N935</f>
        <v>#REF!</v>
      </c>
      <c r="R935" s="17" t="str">
        <f t="shared" si="117"/>
        <v/>
      </c>
    </row>
    <row r="936" spans="1:18" s="13" customFormat="1" ht="31.5">
      <c r="A936" s="1"/>
      <c r="B936" s="67" t="s">
        <v>594</v>
      </c>
      <c r="C936" s="116" t="s">
        <v>595</v>
      </c>
      <c r="D936" s="69" t="s">
        <v>7</v>
      </c>
      <c r="E936" s="69" t="s">
        <v>7</v>
      </c>
      <c r="F936" s="69" t="s">
        <v>8</v>
      </c>
      <c r="G936" s="69" t="s">
        <v>9</v>
      </c>
      <c r="H936" s="146">
        <f>H953+H937+H945</f>
        <v>0</v>
      </c>
      <c r="I936" s="178" t="str">
        <f t="shared" si="119"/>
        <v>609000000 0 00 00000000</v>
      </c>
      <c r="L936" s="35">
        <v>1878909.89</v>
      </c>
      <c r="M936" s="35">
        <v>1942584.3200000001</v>
      </c>
      <c r="N936" s="35">
        <v>1992223.5200000003</v>
      </c>
      <c r="O936" s="35">
        <f t="shared" si="121"/>
        <v>-1878909.89</v>
      </c>
      <c r="P936" s="35" t="e">
        <f>#REF!-M936</f>
        <v>#REF!</v>
      </c>
      <c r="Q936" s="35" t="e">
        <f>#REF!-N936</f>
        <v>#REF!</v>
      </c>
      <c r="R936" s="17" t="str">
        <f t="shared" si="117"/>
        <v>00 0 00 00000000</v>
      </c>
    </row>
    <row r="937" spans="1:18" s="29" customFormat="1" ht="15.75">
      <c r="A937" s="28"/>
      <c r="B937" s="117" t="s">
        <v>10</v>
      </c>
      <c r="C937" s="118" t="s">
        <v>595</v>
      </c>
      <c r="D937" s="119" t="s">
        <v>11</v>
      </c>
      <c r="E937" s="119" t="s">
        <v>7</v>
      </c>
      <c r="F937" s="119" t="s">
        <v>8</v>
      </c>
      <c r="G937" s="119" t="s">
        <v>9</v>
      </c>
      <c r="H937" s="120">
        <f t="shared" ref="H937:H942" si="122">H938</f>
        <v>0</v>
      </c>
      <c r="I937" s="178" t="str">
        <f t="shared" si="119"/>
        <v>609010000 0 00 00000000</v>
      </c>
      <c r="L937" s="18">
        <v>6.98</v>
      </c>
      <c r="M937" s="18">
        <v>6.98</v>
      </c>
      <c r="N937" s="18">
        <v>6.98</v>
      </c>
      <c r="O937" s="18">
        <f t="shared" si="121"/>
        <v>-6.98</v>
      </c>
      <c r="P937" s="18" t="e">
        <f>#REF!-M937</f>
        <v>#REF!</v>
      </c>
      <c r="Q937" s="18" t="e">
        <f>#REF!-N937</f>
        <v>#REF!</v>
      </c>
      <c r="R937" s="17" t="str">
        <f t="shared" si="117"/>
        <v>00 0 00 00000000</v>
      </c>
    </row>
    <row r="938" spans="1:18" s="29" customFormat="1" ht="15.75">
      <c r="A938" s="28"/>
      <c r="B938" s="121" t="s">
        <v>50</v>
      </c>
      <c r="C938" s="122" t="s">
        <v>595</v>
      </c>
      <c r="D938" s="123" t="s">
        <v>11</v>
      </c>
      <c r="E938" s="123" t="s">
        <v>51</v>
      </c>
      <c r="F938" s="123" t="s">
        <v>8</v>
      </c>
      <c r="G938" s="123" t="s">
        <v>9</v>
      </c>
      <c r="H938" s="124">
        <f>H939</f>
        <v>0</v>
      </c>
      <c r="I938" s="178" t="str">
        <f t="shared" si="119"/>
        <v>609011300 0 00 00000000</v>
      </c>
      <c r="L938" s="19">
        <v>6.98</v>
      </c>
      <c r="M938" s="19">
        <v>6.98</v>
      </c>
      <c r="N938" s="19">
        <v>6.98</v>
      </c>
      <c r="O938" s="19">
        <f t="shared" si="121"/>
        <v>-6.98</v>
      </c>
      <c r="P938" s="19" t="e">
        <f>#REF!-M938</f>
        <v>#REF!</v>
      </c>
      <c r="Q938" s="19" t="e">
        <f>#REF!-N938</f>
        <v>#REF!</v>
      </c>
      <c r="R938" s="17" t="str">
        <f t="shared" si="117"/>
        <v>00 0 00 00000000</v>
      </c>
    </row>
    <row r="939" spans="1:18" s="29" customFormat="1" ht="63">
      <c r="A939" s="28"/>
      <c r="B939" s="132" t="s">
        <v>257</v>
      </c>
      <c r="C939" s="109" t="s">
        <v>595</v>
      </c>
      <c r="D939" s="108" t="s">
        <v>11</v>
      </c>
      <c r="E939" s="108" t="s">
        <v>51</v>
      </c>
      <c r="F939" s="108" t="s">
        <v>258</v>
      </c>
      <c r="G939" s="108" t="s">
        <v>9</v>
      </c>
      <c r="H939" s="126">
        <f t="shared" si="122"/>
        <v>0</v>
      </c>
      <c r="I939" s="178" t="str">
        <f t="shared" si="119"/>
        <v>609011311 0 00 00000000</v>
      </c>
      <c r="L939" s="20">
        <v>6.98</v>
      </c>
      <c r="M939" s="20">
        <v>6.98</v>
      </c>
      <c r="N939" s="20">
        <v>6.98</v>
      </c>
      <c r="O939" s="20">
        <f t="shared" si="121"/>
        <v>-6.98</v>
      </c>
      <c r="P939" s="20" t="e">
        <f>#REF!-M939</f>
        <v>#REF!</v>
      </c>
      <c r="Q939" s="20" t="e">
        <f>#REF!-N939</f>
        <v>#REF!</v>
      </c>
      <c r="R939" s="17" t="str">
        <f t="shared" si="117"/>
        <v>11 0 00 00000000</v>
      </c>
    </row>
    <row r="940" spans="1:18" s="29" customFormat="1" ht="63">
      <c r="A940" s="28"/>
      <c r="B940" s="132" t="s">
        <v>259</v>
      </c>
      <c r="C940" s="109" t="s">
        <v>595</v>
      </c>
      <c r="D940" s="108" t="s">
        <v>11</v>
      </c>
      <c r="E940" s="108" t="s">
        <v>51</v>
      </c>
      <c r="F940" s="108" t="s">
        <v>260</v>
      </c>
      <c r="G940" s="108" t="s">
        <v>9</v>
      </c>
      <c r="H940" s="126">
        <f t="shared" si="122"/>
        <v>0</v>
      </c>
      <c r="I940" s="178" t="str">
        <f t="shared" si="119"/>
        <v>609011311 Б 00 00000000</v>
      </c>
      <c r="L940" s="20">
        <v>6.98</v>
      </c>
      <c r="M940" s="20">
        <v>6.98</v>
      </c>
      <c r="N940" s="20">
        <v>6.98</v>
      </c>
      <c r="O940" s="20">
        <f t="shared" si="121"/>
        <v>-6.98</v>
      </c>
      <c r="P940" s="20" t="e">
        <f>#REF!-M940</f>
        <v>#REF!</v>
      </c>
      <c r="Q940" s="20" t="e">
        <f>#REF!-N940</f>
        <v>#REF!</v>
      </c>
      <c r="R940" s="17" t="str">
        <f t="shared" si="117"/>
        <v>11 Б 00 00000000</v>
      </c>
    </row>
    <row r="941" spans="1:18" s="29" customFormat="1" ht="47.25">
      <c r="A941" s="28"/>
      <c r="B941" s="125" t="s">
        <v>261</v>
      </c>
      <c r="C941" s="109" t="s">
        <v>595</v>
      </c>
      <c r="D941" s="108" t="s">
        <v>11</v>
      </c>
      <c r="E941" s="108" t="s">
        <v>51</v>
      </c>
      <c r="F941" s="108" t="s">
        <v>262</v>
      </c>
      <c r="G941" s="108" t="s">
        <v>9</v>
      </c>
      <c r="H941" s="126">
        <f t="shared" si="122"/>
        <v>0</v>
      </c>
      <c r="I941" s="178" t="str">
        <f t="shared" si="119"/>
        <v>609011311 Б 01 00000000</v>
      </c>
      <c r="L941" s="20">
        <v>6.98</v>
      </c>
      <c r="M941" s="20">
        <v>6.98</v>
      </c>
      <c r="N941" s="20">
        <v>6.98</v>
      </c>
      <c r="O941" s="20">
        <f t="shared" si="121"/>
        <v>-6.98</v>
      </c>
      <c r="P941" s="20" t="e">
        <f>#REF!-M941</f>
        <v>#REF!</v>
      </c>
      <c r="Q941" s="20" t="e">
        <f>#REF!-N941</f>
        <v>#REF!</v>
      </c>
      <c r="R941" s="17" t="str">
        <f t="shared" si="117"/>
        <v>11 Б 01 00000000</v>
      </c>
    </row>
    <row r="942" spans="1:18" s="13" customFormat="1" ht="31.5">
      <c r="A942" s="1"/>
      <c r="B942" s="125" t="s">
        <v>267</v>
      </c>
      <c r="C942" s="109" t="s">
        <v>595</v>
      </c>
      <c r="D942" s="108" t="s">
        <v>11</v>
      </c>
      <c r="E942" s="108" t="s">
        <v>51</v>
      </c>
      <c r="F942" s="108" t="s">
        <v>268</v>
      </c>
      <c r="G942" s="108" t="s">
        <v>9</v>
      </c>
      <c r="H942" s="126">
        <f t="shared" si="122"/>
        <v>0</v>
      </c>
      <c r="I942" s="178" t="str">
        <f t="shared" si="119"/>
        <v>609011311 Б 01 21120000</v>
      </c>
      <c r="L942" s="20">
        <v>6.98</v>
      </c>
      <c r="M942" s="20">
        <v>6.98</v>
      </c>
      <c r="N942" s="20">
        <v>6.98</v>
      </c>
      <c r="O942" s="20">
        <f t="shared" si="121"/>
        <v>-6.98</v>
      </c>
      <c r="P942" s="20" t="e">
        <f>#REF!-M942</f>
        <v>#REF!</v>
      </c>
      <c r="Q942" s="20" t="e">
        <f>#REF!-N942</f>
        <v>#REF!</v>
      </c>
      <c r="R942" s="17" t="str">
        <f t="shared" si="117"/>
        <v>11 Б 01 21120000</v>
      </c>
    </row>
    <row r="943" spans="1:18" s="13" customFormat="1" ht="31.5">
      <c r="A943" s="1"/>
      <c r="B943" s="125" t="s">
        <v>28</v>
      </c>
      <c r="C943" s="109" t="s">
        <v>595</v>
      </c>
      <c r="D943" s="108" t="s">
        <v>11</v>
      </c>
      <c r="E943" s="108" t="s">
        <v>51</v>
      </c>
      <c r="F943" s="108" t="s">
        <v>268</v>
      </c>
      <c r="G943" s="108" t="s">
        <v>29</v>
      </c>
      <c r="H943" s="126">
        <f>H944</f>
        <v>0</v>
      </c>
      <c r="I943" s="178" t="str">
        <f t="shared" si="119"/>
        <v>609011311 Б 01 21120240</v>
      </c>
      <c r="L943" s="20">
        <v>6.98</v>
      </c>
      <c r="M943" s="20">
        <v>6.98</v>
      </c>
      <c r="N943" s="20">
        <v>6.98</v>
      </c>
      <c r="O943" s="20">
        <f t="shared" si="121"/>
        <v>-6.98</v>
      </c>
      <c r="P943" s="20" t="e">
        <f>#REF!-M943</f>
        <v>#REF!</v>
      </c>
      <c r="Q943" s="20" t="e">
        <f>#REF!-N943</f>
        <v>#REF!</v>
      </c>
      <c r="R943" s="17" t="str">
        <f t="shared" si="117"/>
        <v>11 Б 01 21120240</v>
      </c>
    </row>
    <row r="944" spans="1:18" s="13" customFormat="1" ht="15.75">
      <c r="A944" s="1"/>
      <c r="B944" s="125" t="s">
        <v>30</v>
      </c>
      <c r="C944" s="109" t="s">
        <v>595</v>
      </c>
      <c r="D944" s="108" t="s">
        <v>11</v>
      </c>
      <c r="E944" s="108" t="s">
        <v>51</v>
      </c>
      <c r="F944" s="108" t="s">
        <v>268</v>
      </c>
      <c r="G944" s="108" t="s">
        <v>31</v>
      </c>
      <c r="H944" s="126"/>
      <c r="I944" s="178" t="str">
        <f t="shared" si="119"/>
        <v>609011311 Б 01 21120244</v>
      </c>
      <c r="L944" s="20"/>
      <c r="M944" s="20"/>
      <c r="N944" s="20"/>
      <c r="O944" s="20"/>
      <c r="P944" s="20"/>
      <c r="Q944" s="20"/>
      <c r="R944" s="17" t="str">
        <f t="shared" si="117"/>
        <v>11 Б 01 21120244</v>
      </c>
    </row>
    <row r="945" spans="1:18" s="13" customFormat="1" ht="15.75">
      <c r="A945" s="1"/>
      <c r="B945" s="117" t="s">
        <v>569</v>
      </c>
      <c r="C945" s="118" t="s">
        <v>595</v>
      </c>
      <c r="D945" s="119" t="s">
        <v>238</v>
      </c>
      <c r="E945" s="119" t="s">
        <v>7</v>
      </c>
      <c r="F945" s="119" t="s">
        <v>8</v>
      </c>
      <c r="G945" s="119" t="s">
        <v>9</v>
      </c>
      <c r="H945" s="120">
        <f>H946</f>
        <v>0</v>
      </c>
      <c r="I945" s="178" t="str">
        <f t="shared" si="119"/>
        <v>609080000 0 00 00000000</v>
      </c>
      <c r="L945" s="18">
        <v>2704.98</v>
      </c>
      <c r="M945" s="18">
        <v>2704.98</v>
      </c>
      <c r="N945" s="18">
        <v>2704.98</v>
      </c>
      <c r="O945" s="18">
        <f t="shared" ref="O945:O951" si="123">H945-L945</f>
        <v>-2704.98</v>
      </c>
      <c r="P945" s="18" t="e">
        <f>#REF!-M945</f>
        <v>#REF!</v>
      </c>
      <c r="Q945" s="18" t="e">
        <f>#REF!-N945</f>
        <v>#REF!</v>
      </c>
      <c r="R945" s="17" t="str">
        <f t="shared" si="117"/>
        <v>00 0 00 00000000</v>
      </c>
    </row>
    <row r="946" spans="1:18" s="13" customFormat="1" ht="15.75">
      <c r="A946" s="1"/>
      <c r="B946" s="121" t="s">
        <v>239</v>
      </c>
      <c r="C946" s="122" t="s">
        <v>595</v>
      </c>
      <c r="D946" s="123" t="s">
        <v>238</v>
      </c>
      <c r="E946" s="123" t="s">
        <v>11</v>
      </c>
      <c r="F946" s="123" t="s">
        <v>8</v>
      </c>
      <c r="G946" s="123" t="s">
        <v>9</v>
      </c>
      <c r="H946" s="124">
        <f>H947</f>
        <v>0</v>
      </c>
      <c r="I946" s="178" t="str">
        <f t="shared" si="119"/>
        <v>609080100 0 00 00000000</v>
      </c>
      <c r="L946" s="19">
        <v>2704.98</v>
      </c>
      <c r="M946" s="19">
        <v>2704.98</v>
      </c>
      <c r="N946" s="19">
        <v>2704.98</v>
      </c>
      <c r="O946" s="19">
        <f t="shared" si="123"/>
        <v>-2704.98</v>
      </c>
      <c r="P946" s="19" t="e">
        <f>#REF!-M946</f>
        <v>#REF!</v>
      </c>
      <c r="Q946" s="19" t="e">
        <f>#REF!-N946</f>
        <v>#REF!</v>
      </c>
      <c r="R946" s="17" t="str">
        <f t="shared" si="117"/>
        <v>00 0 00 00000000</v>
      </c>
    </row>
    <row r="947" spans="1:18" s="13" customFormat="1" ht="31.5">
      <c r="A947" s="1"/>
      <c r="B947" s="125" t="s">
        <v>240</v>
      </c>
      <c r="C947" s="109" t="s">
        <v>595</v>
      </c>
      <c r="D947" s="108" t="s">
        <v>238</v>
      </c>
      <c r="E947" s="108" t="s">
        <v>11</v>
      </c>
      <c r="F947" s="131" t="s">
        <v>241</v>
      </c>
      <c r="G947" s="108" t="s">
        <v>9</v>
      </c>
      <c r="H947" s="126">
        <f>H948</f>
        <v>0</v>
      </c>
      <c r="I947" s="178" t="str">
        <f t="shared" si="119"/>
        <v>609080107 0 00 00000000</v>
      </c>
      <c r="L947" s="20">
        <v>2704.98</v>
      </c>
      <c r="M947" s="20">
        <v>2704.98</v>
      </c>
      <c r="N947" s="20">
        <v>2704.98</v>
      </c>
      <c r="O947" s="20">
        <f t="shared" si="123"/>
        <v>-2704.98</v>
      </c>
      <c r="P947" s="20" t="e">
        <f>#REF!-M947</f>
        <v>#REF!</v>
      </c>
      <c r="Q947" s="20" t="e">
        <f>#REF!-N947</f>
        <v>#REF!</v>
      </c>
      <c r="R947" s="17" t="str">
        <f t="shared" si="117"/>
        <v>07 0 00 00000000</v>
      </c>
    </row>
    <row r="948" spans="1:18" s="13" customFormat="1" ht="78.75">
      <c r="A948" s="1"/>
      <c r="B948" s="125" t="s">
        <v>384</v>
      </c>
      <c r="C948" s="109" t="s">
        <v>595</v>
      </c>
      <c r="D948" s="108" t="s">
        <v>238</v>
      </c>
      <c r="E948" s="108" t="s">
        <v>11</v>
      </c>
      <c r="F948" s="131" t="s">
        <v>243</v>
      </c>
      <c r="G948" s="108" t="s">
        <v>9</v>
      </c>
      <c r="H948" s="126">
        <f t="shared" ref="H948:H950" si="124">H949</f>
        <v>0</v>
      </c>
      <c r="I948" s="178" t="str">
        <f t="shared" si="119"/>
        <v>609080107 1 00 00000000</v>
      </c>
      <c r="L948" s="20">
        <v>2704.98</v>
      </c>
      <c r="M948" s="20">
        <v>2704.98</v>
      </c>
      <c r="N948" s="20">
        <v>2704.98</v>
      </c>
      <c r="O948" s="20">
        <f t="shared" si="123"/>
        <v>-2704.98</v>
      </c>
      <c r="P948" s="20" t="e">
        <f>#REF!-M948</f>
        <v>#REF!</v>
      </c>
      <c r="Q948" s="20" t="e">
        <f>#REF!-N948</f>
        <v>#REF!</v>
      </c>
      <c r="R948" s="17" t="str">
        <f t="shared" si="117"/>
        <v>07 1 00 00000000</v>
      </c>
    </row>
    <row r="949" spans="1:18" s="13" customFormat="1" ht="110.25">
      <c r="A949" s="1"/>
      <c r="B949" s="125" t="s">
        <v>244</v>
      </c>
      <c r="C949" s="109" t="s">
        <v>595</v>
      </c>
      <c r="D949" s="108" t="s">
        <v>238</v>
      </c>
      <c r="E949" s="108" t="s">
        <v>11</v>
      </c>
      <c r="F949" s="131" t="s">
        <v>245</v>
      </c>
      <c r="G949" s="108" t="s">
        <v>9</v>
      </c>
      <c r="H949" s="126">
        <f t="shared" si="124"/>
        <v>0</v>
      </c>
      <c r="I949" s="178" t="str">
        <f t="shared" si="119"/>
        <v>609080107 1 01 00000000</v>
      </c>
      <c r="L949" s="20">
        <v>2704.98</v>
      </c>
      <c r="M949" s="20">
        <v>2704.98</v>
      </c>
      <c r="N949" s="20">
        <v>2704.98</v>
      </c>
      <c r="O949" s="20">
        <f t="shared" si="123"/>
        <v>-2704.98</v>
      </c>
      <c r="P949" s="20" t="e">
        <f>#REF!-M949</f>
        <v>#REF!</v>
      </c>
      <c r="Q949" s="20" t="e">
        <f>#REF!-N949</f>
        <v>#REF!</v>
      </c>
      <c r="R949" s="17" t="str">
        <f t="shared" si="117"/>
        <v>07 1 01 00000000</v>
      </c>
    </row>
    <row r="950" spans="1:18" s="13" customFormat="1" ht="31.5">
      <c r="A950" s="1"/>
      <c r="B950" s="125" t="s">
        <v>246</v>
      </c>
      <c r="C950" s="109" t="s">
        <v>595</v>
      </c>
      <c r="D950" s="108" t="s">
        <v>238</v>
      </c>
      <c r="E950" s="108" t="s">
        <v>11</v>
      </c>
      <c r="F950" s="131" t="s">
        <v>247</v>
      </c>
      <c r="G950" s="108" t="s">
        <v>9</v>
      </c>
      <c r="H950" s="126">
        <f t="shared" si="124"/>
        <v>0</v>
      </c>
      <c r="I950" s="178" t="str">
        <f t="shared" si="119"/>
        <v>609080107 1 01 20060000</v>
      </c>
      <c r="L950" s="20">
        <v>2704.98</v>
      </c>
      <c r="M950" s="20">
        <v>2704.98</v>
      </c>
      <c r="N950" s="20">
        <v>2704.98</v>
      </c>
      <c r="O950" s="20">
        <f t="shared" si="123"/>
        <v>-2704.98</v>
      </c>
      <c r="P950" s="20" t="e">
        <f>#REF!-M950</f>
        <v>#REF!</v>
      </c>
      <c r="Q950" s="20" t="e">
        <f>#REF!-N950</f>
        <v>#REF!</v>
      </c>
      <c r="R950" s="17" t="str">
        <f t="shared" si="117"/>
        <v>07 1 01 20060000</v>
      </c>
    </row>
    <row r="951" spans="1:18" s="13" customFormat="1" ht="31.5">
      <c r="A951" s="1"/>
      <c r="B951" s="127" t="s">
        <v>28</v>
      </c>
      <c r="C951" s="109" t="s">
        <v>595</v>
      </c>
      <c r="D951" s="108" t="s">
        <v>238</v>
      </c>
      <c r="E951" s="108" t="s">
        <v>11</v>
      </c>
      <c r="F951" s="131" t="s">
        <v>247</v>
      </c>
      <c r="G951" s="108" t="s">
        <v>29</v>
      </c>
      <c r="H951" s="126">
        <f>H952</f>
        <v>0</v>
      </c>
      <c r="I951" s="178" t="str">
        <f t="shared" si="119"/>
        <v>609080107 1 01 20060240</v>
      </c>
      <c r="L951" s="20">
        <v>2704.98</v>
      </c>
      <c r="M951" s="20">
        <v>2704.98</v>
      </c>
      <c r="N951" s="20">
        <v>2704.98</v>
      </c>
      <c r="O951" s="20">
        <f t="shared" si="123"/>
        <v>-2704.98</v>
      </c>
      <c r="P951" s="20" t="e">
        <f>#REF!-M951</f>
        <v>#REF!</v>
      </c>
      <c r="Q951" s="20" t="e">
        <f>#REF!-N951</f>
        <v>#REF!</v>
      </c>
      <c r="R951" s="17" t="str">
        <f t="shared" si="117"/>
        <v>07 1 01 20060240</v>
      </c>
    </row>
    <row r="952" spans="1:18" s="13" customFormat="1" ht="15.75">
      <c r="A952" s="1"/>
      <c r="B952" s="125" t="s">
        <v>30</v>
      </c>
      <c r="C952" s="109" t="s">
        <v>595</v>
      </c>
      <c r="D952" s="108" t="s">
        <v>238</v>
      </c>
      <c r="E952" s="108" t="s">
        <v>11</v>
      </c>
      <c r="F952" s="131" t="s">
        <v>247</v>
      </c>
      <c r="G952" s="108" t="s">
        <v>31</v>
      </c>
      <c r="H952" s="126"/>
      <c r="I952" s="178" t="str">
        <f t="shared" si="119"/>
        <v>609080107 1 01 20060244</v>
      </c>
      <c r="L952" s="20"/>
      <c r="M952" s="20"/>
      <c r="N952" s="20"/>
      <c r="O952" s="20"/>
      <c r="P952" s="20"/>
      <c r="Q952" s="20"/>
      <c r="R952" s="17" t="str">
        <f t="shared" si="117"/>
        <v>07 1 01 20060244</v>
      </c>
    </row>
    <row r="953" spans="1:18" s="17" customFormat="1" ht="15.75">
      <c r="A953" s="14"/>
      <c r="B953" s="117" t="s">
        <v>316</v>
      </c>
      <c r="C953" s="118" t="s">
        <v>595</v>
      </c>
      <c r="D953" s="119" t="s">
        <v>317</v>
      </c>
      <c r="E953" s="119" t="s">
        <v>7</v>
      </c>
      <c r="F953" s="119" t="s">
        <v>8</v>
      </c>
      <c r="G953" s="119" t="s">
        <v>9</v>
      </c>
      <c r="H953" s="120">
        <f>H954+H1087+H1097</f>
        <v>0</v>
      </c>
      <c r="I953" s="178" t="str">
        <f t="shared" si="119"/>
        <v>609100000 0 00 00000000</v>
      </c>
      <c r="L953" s="18">
        <v>1876197.93</v>
      </c>
      <c r="M953" s="18">
        <v>1939872.36</v>
      </c>
      <c r="N953" s="18">
        <v>1989511.5600000003</v>
      </c>
      <c r="O953" s="18">
        <f t="shared" ref="O953:O959" si="125">H953-L953</f>
        <v>-1876197.93</v>
      </c>
      <c r="P953" s="18" t="e">
        <f>#REF!-M953</f>
        <v>#REF!</v>
      </c>
      <c r="Q953" s="18" t="e">
        <f>#REF!-N953</f>
        <v>#REF!</v>
      </c>
      <c r="R953" s="17" t="str">
        <f t="shared" si="117"/>
        <v>00 0 00 00000000</v>
      </c>
    </row>
    <row r="954" spans="1:18" s="17" customFormat="1" ht="15.75">
      <c r="A954" s="14"/>
      <c r="B954" s="121" t="s">
        <v>318</v>
      </c>
      <c r="C954" s="122" t="s">
        <v>595</v>
      </c>
      <c r="D954" s="123" t="s">
        <v>317</v>
      </c>
      <c r="E954" s="123" t="s">
        <v>13</v>
      </c>
      <c r="F954" s="123" t="s">
        <v>8</v>
      </c>
      <c r="G954" s="123" t="s">
        <v>9</v>
      </c>
      <c r="H954" s="124">
        <f>H955</f>
        <v>0</v>
      </c>
      <c r="I954" s="178" t="str">
        <f t="shared" si="119"/>
        <v>609100300 0 00 00000000</v>
      </c>
      <c r="L954" s="19">
        <v>1547791.57</v>
      </c>
      <c r="M954" s="19">
        <v>1611474.33</v>
      </c>
      <c r="N954" s="19">
        <v>1661075.4700000004</v>
      </c>
      <c r="O954" s="19">
        <f t="shared" si="125"/>
        <v>-1547791.57</v>
      </c>
      <c r="P954" s="19" t="e">
        <f>#REF!-M954</f>
        <v>#REF!</v>
      </c>
      <c r="Q954" s="19" t="e">
        <f>#REF!-N954</f>
        <v>#REF!</v>
      </c>
      <c r="R954" s="17" t="str">
        <f t="shared" si="117"/>
        <v>00 0 00 00000000</v>
      </c>
    </row>
    <row r="955" spans="1:18" s="17" customFormat="1" ht="31.5">
      <c r="A955" s="14"/>
      <c r="B955" s="135" t="s">
        <v>385</v>
      </c>
      <c r="C955" s="109" t="s">
        <v>595</v>
      </c>
      <c r="D955" s="108" t="s">
        <v>317</v>
      </c>
      <c r="E955" s="108" t="s">
        <v>13</v>
      </c>
      <c r="F955" s="108" t="s">
        <v>386</v>
      </c>
      <c r="G955" s="108" t="s">
        <v>9</v>
      </c>
      <c r="H955" s="126">
        <f>H956+H1032+H1082</f>
        <v>0</v>
      </c>
      <c r="I955" s="178" t="str">
        <f t="shared" si="119"/>
        <v>609100303 0 00 00000000</v>
      </c>
      <c r="L955" s="36">
        <v>1547791.57</v>
      </c>
      <c r="M955" s="36">
        <v>1611474.33</v>
      </c>
      <c r="N955" s="36">
        <v>1661075.4700000004</v>
      </c>
      <c r="O955" s="36">
        <f t="shared" si="125"/>
        <v>-1547791.57</v>
      </c>
      <c r="P955" s="36" t="e">
        <f>#REF!-M955</f>
        <v>#REF!</v>
      </c>
      <c r="Q955" s="36" t="e">
        <f>#REF!-N955</f>
        <v>#REF!</v>
      </c>
      <c r="R955" s="17" t="str">
        <f t="shared" si="117"/>
        <v>03 0 00 00000000</v>
      </c>
    </row>
    <row r="956" spans="1:18" s="17" customFormat="1" ht="47.25">
      <c r="A956" s="14"/>
      <c r="B956" s="147" t="s">
        <v>596</v>
      </c>
      <c r="C956" s="109" t="s">
        <v>595</v>
      </c>
      <c r="D956" s="108" t="s">
        <v>317</v>
      </c>
      <c r="E956" s="108" t="s">
        <v>13</v>
      </c>
      <c r="F956" s="108" t="s">
        <v>597</v>
      </c>
      <c r="G956" s="108" t="s">
        <v>9</v>
      </c>
      <c r="H956" s="126">
        <f>H957+H1011</f>
        <v>0</v>
      </c>
      <c r="I956" s="178" t="str">
        <f t="shared" si="119"/>
        <v>609100303 1 00 00000 000</v>
      </c>
      <c r="L956" s="36">
        <v>1524462.33</v>
      </c>
      <c r="M956" s="36">
        <v>1588079.09</v>
      </c>
      <c r="N956" s="36">
        <v>1607633.8800000004</v>
      </c>
      <c r="O956" s="36">
        <f t="shared" si="125"/>
        <v>-1524462.33</v>
      </c>
      <c r="P956" s="36" t="e">
        <f>#REF!-M956</f>
        <v>#REF!</v>
      </c>
      <c r="Q956" s="36" t="e">
        <f>#REF!-N956</f>
        <v>#REF!</v>
      </c>
      <c r="R956" s="17" t="str">
        <f t="shared" si="117"/>
        <v>03 1 00 00000 000</v>
      </c>
    </row>
    <row r="957" spans="1:18" s="17" customFormat="1" ht="47.25">
      <c r="A957" s="14" t="s">
        <v>598</v>
      </c>
      <c r="B957" s="148" t="s">
        <v>599</v>
      </c>
      <c r="C957" s="109" t="s">
        <v>595</v>
      </c>
      <c r="D957" s="108" t="s">
        <v>317</v>
      </c>
      <c r="E957" s="108" t="s">
        <v>13</v>
      </c>
      <c r="F957" s="108" t="s">
        <v>600</v>
      </c>
      <c r="G957" s="108" t="s">
        <v>9</v>
      </c>
      <c r="H957" s="126">
        <f>H958+H963+H968+H973+H981+H986+H991+H996+H1001+H1006+H976</f>
        <v>0</v>
      </c>
      <c r="I957" s="178" t="str">
        <f t="shared" si="119"/>
        <v>609100303 1 01 00000 000</v>
      </c>
      <c r="L957" s="37">
        <v>1289482.9700000002</v>
      </c>
      <c r="M957" s="37">
        <v>1342429.75</v>
      </c>
      <c r="N957" s="37">
        <v>1346620.0200000003</v>
      </c>
      <c r="O957" s="37">
        <f t="shared" si="125"/>
        <v>-1289482.9700000002</v>
      </c>
      <c r="P957" s="37" t="e">
        <f>#REF!-M957</f>
        <v>#REF!</v>
      </c>
      <c r="Q957" s="37" t="e">
        <f>#REF!-N957</f>
        <v>#REF!</v>
      </c>
      <c r="R957" s="17" t="str">
        <f t="shared" si="117"/>
        <v>03 1 01 00000 000</v>
      </c>
    </row>
    <row r="958" spans="1:18" s="17" customFormat="1" ht="31.5">
      <c r="A958" s="14"/>
      <c r="B958" s="135" t="s">
        <v>601</v>
      </c>
      <c r="C958" s="109" t="s">
        <v>595</v>
      </c>
      <c r="D958" s="108" t="s">
        <v>317</v>
      </c>
      <c r="E958" s="108" t="s">
        <v>13</v>
      </c>
      <c r="F958" s="108" t="s">
        <v>602</v>
      </c>
      <c r="G958" s="108" t="s">
        <v>9</v>
      </c>
      <c r="H958" s="126">
        <f>H959+H961</f>
        <v>0</v>
      </c>
      <c r="I958" s="178" t="str">
        <f t="shared" si="119"/>
        <v>609100303 1 01 52200000</v>
      </c>
      <c r="L958" s="37">
        <v>15217.199999999999</v>
      </c>
      <c r="M958" s="37">
        <v>15825.1</v>
      </c>
      <c r="N958" s="37">
        <v>16463.5</v>
      </c>
      <c r="O958" s="37">
        <f t="shared" si="125"/>
        <v>-15217.199999999999</v>
      </c>
      <c r="P958" s="37" t="e">
        <f>#REF!-M958</f>
        <v>#REF!</v>
      </c>
      <c r="Q958" s="37" t="e">
        <f>#REF!-N958</f>
        <v>#REF!</v>
      </c>
      <c r="R958" s="17" t="str">
        <f t="shared" si="117"/>
        <v>03 1 01 52200000</v>
      </c>
    </row>
    <row r="959" spans="1:18" s="17" customFormat="1" ht="31.5">
      <c r="A959" s="14"/>
      <c r="B959" s="125" t="s">
        <v>28</v>
      </c>
      <c r="C959" s="109" t="s">
        <v>595</v>
      </c>
      <c r="D959" s="108" t="s">
        <v>317</v>
      </c>
      <c r="E959" s="108" t="s">
        <v>13</v>
      </c>
      <c r="F959" s="108" t="s">
        <v>602</v>
      </c>
      <c r="G959" s="108" t="s">
        <v>29</v>
      </c>
      <c r="H959" s="126">
        <f>H960</f>
        <v>0</v>
      </c>
      <c r="I959" s="178" t="str">
        <f t="shared" si="119"/>
        <v>609100303 1 01 52200240</v>
      </c>
      <c r="L959" s="37">
        <v>224.88</v>
      </c>
      <c r="M959" s="37">
        <v>233.87</v>
      </c>
      <c r="N959" s="37">
        <v>243.3</v>
      </c>
      <c r="O959" s="37">
        <f t="shared" si="125"/>
        <v>-224.88</v>
      </c>
      <c r="P959" s="37" t="e">
        <f>#REF!-M959</f>
        <v>#REF!</v>
      </c>
      <c r="Q959" s="37" t="e">
        <f>#REF!-N959</f>
        <v>#REF!</v>
      </c>
      <c r="R959" s="17" t="str">
        <f t="shared" si="117"/>
        <v>03 1 01 52200240</v>
      </c>
    </row>
    <row r="960" spans="1:18" s="17" customFormat="1" ht="15.75">
      <c r="A960" s="14"/>
      <c r="B960" s="125" t="s">
        <v>30</v>
      </c>
      <c r="C960" s="109" t="s">
        <v>595</v>
      </c>
      <c r="D960" s="108" t="s">
        <v>317</v>
      </c>
      <c r="E960" s="108" t="s">
        <v>13</v>
      </c>
      <c r="F960" s="108" t="s">
        <v>602</v>
      </c>
      <c r="G960" s="108" t="s">
        <v>31</v>
      </c>
      <c r="H960" s="126"/>
      <c r="I960" s="178" t="str">
        <f t="shared" si="119"/>
        <v>609100303 1 01 52200244</v>
      </c>
      <c r="L960" s="37"/>
      <c r="M960" s="37"/>
      <c r="N960" s="37"/>
      <c r="O960" s="37"/>
      <c r="P960" s="37"/>
      <c r="Q960" s="37"/>
      <c r="R960" s="17" t="str">
        <f t="shared" si="117"/>
        <v>03 1 01 52200244</v>
      </c>
    </row>
    <row r="961" spans="1:18" s="17" customFormat="1" ht="31.5">
      <c r="A961" s="14"/>
      <c r="B961" s="132" t="s">
        <v>493</v>
      </c>
      <c r="C961" s="109" t="s">
        <v>595</v>
      </c>
      <c r="D961" s="108" t="s">
        <v>317</v>
      </c>
      <c r="E961" s="108" t="s">
        <v>13</v>
      </c>
      <c r="F961" s="108" t="s">
        <v>602</v>
      </c>
      <c r="G961" s="108" t="s">
        <v>494</v>
      </c>
      <c r="H961" s="126">
        <f>H962</f>
        <v>0</v>
      </c>
      <c r="I961" s="178" t="str">
        <f t="shared" si="119"/>
        <v>609100303 1 01 52200310</v>
      </c>
      <c r="L961" s="37">
        <v>14992.32</v>
      </c>
      <c r="M961" s="37">
        <v>15591.23</v>
      </c>
      <c r="N961" s="37">
        <v>16220.2</v>
      </c>
      <c r="O961" s="37">
        <f>H961-L961</f>
        <v>-14992.32</v>
      </c>
      <c r="P961" s="37" t="e">
        <f>#REF!-M961</f>
        <v>#REF!</v>
      </c>
      <c r="Q961" s="37" t="e">
        <f>#REF!-N961</f>
        <v>#REF!</v>
      </c>
      <c r="R961" s="17" t="str">
        <f t="shared" si="117"/>
        <v>03 1 01 52200310</v>
      </c>
    </row>
    <row r="962" spans="1:18" s="24" customFormat="1" ht="31.5">
      <c r="A962" s="21"/>
      <c r="B962" s="127" t="s">
        <v>495</v>
      </c>
      <c r="C962" s="109" t="s">
        <v>595</v>
      </c>
      <c r="D962" s="108" t="s">
        <v>317</v>
      </c>
      <c r="E962" s="108" t="s">
        <v>13</v>
      </c>
      <c r="F962" s="108" t="s">
        <v>602</v>
      </c>
      <c r="G962" s="108" t="s">
        <v>496</v>
      </c>
      <c r="H962" s="126"/>
      <c r="I962" s="178" t="str">
        <f t="shared" si="119"/>
        <v>609100303 1 01 52200313</v>
      </c>
      <c r="L962" s="38"/>
      <c r="M962" s="38"/>
      <c r="N962" s="38"/>
      <c r="O962" s="38"/>
      <c r="P962" s="38"/>
      <c r="Q962" s="38"/>
      <c r="R962" s="24" t="str">
        <f t="shared" si="117"/>
        <v>03 1 01 52200313</v>
      </c>
    </row>
    <row r="963" spans="1:18" s="17" customFormat="1" ht="47.25">
      <c r="A963" s="14"/>
      <c r="B963" s="135" t="s">
        <v>603</v>
      </c>
      <c r="C963" s="109" t="s">
        <v>595</v>
      </c>
      <c r="D963" s="108" t="s">
        <v>317</v>
      </c>
      <c r="E963" s="108" t="s">
        <v>13</v>
      </c>
      <c r="F963" s="108" t="s">
        <v>604</v>
      </c>
      <c r="G963" s="108" t="s">
        <v>9</v>
      </c>
      <c r="H963" s="126">
        <f>H964+H966</f>
        <v>0</v>
      </c>
      <c r="I963" s="178" t="str">
        <f t="shared" si="119"/>
        <v>609100303 1 01 52500000</v>
      </c>
      <c r="L963" s="37">
        <v>335846.3</v>
      </c>
      <c r="M963" s="37">
        <v>342847.89999999997</v>
      </c>
      <c r="N963" s="37">
        <v>342746.10000000003</v>
      </c>
      <c r="O963" s="37">
        <f>H963-L963</f>
        <v>-335846.3</v>
      </c>
      <c r="P963" s="37" t="e">
        <f>#REF!-M963</f>
        <v>#REF!</v>
      </c>
      <c r="Q963" s="37" t="e">
        <f>#REF!-N963</f>
        <v>#REF!</v>
      </c>
      <c r="R963" s="17" t="str">
        <f t="shared" si="117"/>
        <v>03 1 01 52500000</v>
      </c>
    </row>
    <row r="964" spans="1:18" s="17" customFormat="1" ht="31.5">
      <c r="A964" s="14"/>
      <c r="B964" s="125" t="s">
        <v>28</v>
      </c>
      <c r="C964" s="109" t="s">
        <v>595</v>
      </c>
      <c r="D964" s="108" t="s">
        <v>317</v>
      </c>
      <c r="E964" s="108" t="s">
        <v>13</v>
      </c>
      <c r="F964" s="108" t="s">
        <v>604</v>
      </c>
      <c r="G964" s="108" t="s">
        <v>29</v>
      </c>
      <c r="H964" s="126">
        <f>H965</f>
        <v>0</v>
      </c>
      <c r="I964" s="178" t="str">
        <f t="shared" si="119"/>
        <v>609100303 1 01 52500240</v>
      </c>
      <c r="L964" s="37">
        <v>2454.87</v>
      </c>
      <c r="M964" s="37">
        <v>2558.35</v>
      </c>
      <c r="N964" s="37">
        <v>2556.84</v>
      </c>
      <c r="O964" s="37">
        <f>H964-L964</f>
        <v>-2454.87</v>
      </c>
      <c r="P964" s="37" t="e">
        <f>#REF!-M964</f>
        <v>#REF!</v>
      </c>
      <c r="Q964" s="37" t="e">
        <f>#REF!-N964</f>
        <v>#REF!</v>
      </c>
      <c r="R964" s="17" t="str">
        <f t="shared" ref="R964:R1049" si="126">CONCATENATE(F964,G964)</f>
        <v>03 1 01 52500240</v>
      </c>
    </row>
    <row r="965" spans="1:18" s="17" customFormat="1" ht="15.75">
      <c r="A965" s="14"/>
      <c r="B965" s="125" t="s">
        <v>30</v>
      </c>
      <c r="C965" s="109" t="s">
        <v>595</v>
      </c>
      <c r="D965" s="108" t="s">
        <v>317</v>
      </c>
      <c r="E965" s="108" t="s">
        <v>13</v>
      </c>
      <c r="F965" s="108" t="s">
        <v>604</v>
      </c>
      <c r="G965" s="108" t="s">
        <v>31</v>
      </c>
      <c r="H965" s="126"/>
      <c r="I965" s="178" t="str">
        <f t="shared" si="119"/>
        <v>609100303 1 01 52500244</v>
      </c>
      <c r="L965" s="37"/>
      <c r="M965" s="37"/>
      <c r="N965" s="37"/>
      <c r="O965" s="37"/>
      <c r="P965" s="37"/>
      <c r="Q965" s="37"/>
      <c r="R965" s="17" t="str">
        <f t="shared" si="126"/>
        <v>03 1 01 52500244</v>
      </c>
    </row>
    <row r="966" spans="1:18" s="17" customFormat="1" ht="31.5">
      <c r="A966" s="14"/>
      <c r="B966" s="132" t="s">
        <v>493</v>
      </c>
      <c r="C966" s="109" t="s">
        <v>595</v>
      </c>
      <c r="D966" s="108" t="s">
        <v>317</v>
      </c>
      <c r="E966" s="108" t="s">
        <v>13</v>
      </c>
      <c r="F966" s="108" t="s">
        <v>604</v>
      </c>
      <c r="G966" s="108" t="s">
        <v>494</v>
      </c>
      <c r="H966" s="126">
        <f>H967</f>
        <v>0</v>
      </c>
      <c r="I966" s="178" t="str">
        <f t="shared" si="119"/>
        <v>609100303 1 01 52500310</v>
      </c>
      <c r="L966" s="37">
        <v>333391.43</v>
      </c>
      <c r="M966" s="37">
        <v>340289.55</v>
      </c>
      <c r="N966" s="37">
        <v>340189.26</v>
      </c>
      <c r="O966" s="37">
        <f>H966-L966</f>
        <v>-333391.43</v>
      </c>
      <c r="P966" s="37" t="e">
        <f>#REF!-M966</f>
        <v>#REF!</v>
      </c>
      <c r="Q966" s="37" t="e">
        <f>#REF!-N966</f>
        <v>#REF!</v>
      </c>
      <c r="R966" s="17" t="str">
        <f t="shared" si="126"/>
        <v>03 1 01 52500310</v>
      </c>
    </row>
    <row r="967" spans="1:18" s="17" customFormat="1" ht="31.5">
      <c r="A967" s="14"/>
      <c r="B967" s="127" t="s">
        <v>495</v>
      </c>
      <c r="C967" s="109" t="s">
        <v>595</v>
      </c>
      <c r="D967" s="108" t="s">
        <v>317</v>
      </c>
      <c r="E967" s="108" t="s">
        <v>13</v>
      </c>
      <c r="F967" s="108" t="s">
        <v>604</v>
      </c>
      <c r="G967" s="108" t="s">
        <v>496</v>
      </c>
      <c r="H967" s="126"/>
      <c r="I967" s="178" t="str">
        <f t="shared" si="119"/>
        <v>609100303 1 01 52500313</v>
      </c>
      <c r="L967" s="37"/>
      <c r="M967" s="37"/>
      <c r="N967" s="37"/>
      <c r="O967" s="37"/>
      <c r="P967" s="37"/>
      <c r="Q967" s="37"/>
      <c r="R967" s="17" t="str">
        <f t="shared" si="126"/>
        <v>03 1 01 52500313</v>
      </c>
    </row>
    <row r="968" spans="1:18" s="17" customFormat="1" ht="173.25">
      <c r="A968" s="14"/>
      <c r="B968" s="137" t="s">
        <v>605</v>
      </c>
      <c r="C968" s="109" t="s">
        <v>595</v>
      </c>
      <c r="D968" s="108" t="s">
        <v>317</v>
      </c>
      <c r="E968" s="108" t="s">
        <v>13</v>
      </c>
      <c r="F968" s="108" t="s">
        <v>606</v>
      </c>
      <c r="G968" s="108" t="s">
        <v>9</v>
      </c>
      <c r="H968" s="126">
        <f>H969+H971</f>
        <v>0</v>
      </c>
      <c r="I968" s="178" t="str">
        <f t="shared" si="119"/>
        <v>609100303 1 01 52800000</v>
      </c>
      <c r="L968" s="37">
        <v>107.80000000000001</v>
      </c>
      <c r="M968" s="37">
        <v>74.900000000000006</v>
      </c>
      <c r="N968" s="37">
        <v>74.900000000000006</v>
      </c>
      <c r="O968" s="37">
        <f>H968-L968</f>
        <v>-107.80000000000001</v>
      </c>
      <c r="P968" s="37" t="e">
        <f>#REF!-M968</f>
        <v>#REF!</v>
      </c>
      <c r="Q968" s="37" t="e">
        <f>#REF!-N968</f>
        <v>#REF!</v>
      </c>
      <c r="R968" s="17" t="str">
        <f t="shared" si="126"/>
        <v>03 1 01 52800000</v>
      </c>
    </row>
    <row r="969" spans="1:18" s="17" customFormat="1" ht="31.5">
      <c r="A969" s="14"/>
      <c r="B969" s="125" t="s">
        <v>28</v>
      </c>
      <c r="C969" s="109" t="s">
        <v>595</v>
      </c>
      <c r="D969" s="108" t="s">
        <v>317</v>
      </c>
      <c r="E969" s="108" t="s">
        <v>13</v>
      </c>
      <c r="F969" s="108" t="s">
        <v>606</v>
      </c>
      <c r="G969" s="108" t="s">
        <v>29</v>
      </c>
      <c r="H969" s="126">
        <f>H970</f>
        <v>0</v>
      </c>
      <c r="I969" s="178" t="str">
        <f t="shared" si="119"/>
        <v>609100303 1 01 52800240</v>
      </c>
      <c r="L969" s="37">
        <v>1.43</v>
      </c>
      <c r="M969" s="37">
        <v>1</v>
      </c>
      <c r="N969" s="37">
        <v>1</v>
      </c>
      <c r="O969" s="37">
        <f>H969-L969</f>
        <v>-1.43</v>
      </c>
      <c r="P969" s="37" t="e">
        <f>#REF!-M969</f>
        <v>#REF!</v>
      </c>
      <c r="Q969" s="37" t="e">
        <f>#REF!-N969</f>
        <v>#REF!</v>
      </c>
      <c r="R969" s="17" t="str">
        <f t="shared" si="126"/>
        <v>03 1 01 52800240</v>
      </c>
    </row>
    <row r="970" spans="1:18" s="17" customFormat="1" ht="15.75">
      <c r="A970" s="14"/>
      <c r="B970" s="125" t="s">
        <v>30</v>
      </c>
      <c r="C970" s="109" t="s">
        <v>595</v>
      </c>
      <c r="D970" s="108" t="s">
        <v>317</v>
      </c>
      <c r="E970" s="108" t="s">
        <v>13</v>
      </c>
      <c r="F970" s="108" t="s">
        <v>606</v>
      </c>
      <c r="G970" s="108" t="s">
        <v>31</v>
      </c>
      <c r="H970" s="126"/>
      <c r="I970" s="178" t="str">
        <f t="shared" si="119"/>
        <v>609100303 1 01 52800244</v>
      </c>
      <c r="L970" s="37"/>
      <c r="M970" s="37"/>
      <c r="N970" s="37"/>
      <c r="O970" s="37"/>
      <c r="P970" s="37"/>
      <c r="Q970" s="37"/>
      <c r="R970" s="17" t="str">
        <f t="shared" si="126"/>
        <v>03 1 01 52800244</v>
      </c>
    </row>
    <row r="971" spans="1:18" s="17" customFormat="1" ht="31.5">
      <c r="A971" s="14"/>
      <c r="B971" s="132" t="s">
        <v>493</v>
      </c>
      <c r="C971" s="109" t="s">
        <v>595</v>
      </c>
      <c r="D971" s="108" t="s">
        <v>317</v>
      </c>
      <c r="E971" s="108" t="s">
        <v>13</v>
      </c>
      <c r="F971" s="108" t="s">
        <v>606</v>
      </c>
      <c r="G971" s="108" t="s">
        <v>494</v>
      </c>
      <c r="H971" s="126">
        <f>H972</f>
        <v>0</v>
      </c>
      <c r="I971" s="178" t="str">
        <f t="shared" si="119"/>
        <v>609100303 1 01 52800310</v>
      </c>
      <c r="L971" s="37">
        <v>106.37</v>
      </c>
      <c r="M971" s="37">
        <v>73.900000000000006</v>
      </c>
      <c r="N971" s="37">
        <v>73.900000000000006</v>
      </c>
      <c r="O971" s="37">
        <f>H971-L971</f>
        <v>-106.37</v>
      </c>
      <c r="P971" s="37" t="e">
        <f>#REF!-M971</f>
        <v>#REF!</v>
      </c>
      <c r="Q971" s="37" t="e">
        <f>#REF!-N971</f>
        <v>#REF!</v>
      </c>
      <c r="R971" s="17" t="str">
        <f t="shared" si="126"/>
        <v>03 1 01 52800310</v>
      </c>
    </row>
    <row r="972" spans="1:18" s="17" customFormat="1" ht="31.5">
      <c r="A972" s="14"/>
      <c r="B972" s="127" t="s">
        <v>495</v>
      </c>
      <c r="C972" s="109" t="s">
        <v>595</v>
      </c>
      <c r="D972" s="108" t="s">
        <v>317</v>
      </c>
      <c r="E972" s="108" t="s">
        <v>13</v>
      </c>
      <c r="F972" s="108" t="s">
        <v>606</v>
      </c>
      <c r="G972" s="108" t="s">
        <v>496</v>
      </c>
      <c r="H972" s="126"/>
      <c r="I972" s="178" t="str">
        <f t="shared" si="119"/>
        <v>609100303 1 01 52800313</v>
      </c>
      <c r="L972" s="37"/>
      <c r="M972" s="37"/>
      <c r="N972" s="37"/>
      <c r="O972" s="37"/>
      <c r="P972" s="37"/>
      <c r="Q972" s="37"/>
    </row>
    <row r="973" spans="1:18" s="17" customFormat="1" ht="47.25">
      <c r="A973" s="14"/>
      <c r="B973" s="149" t="s">
        <v>607</v>
      </c>
      <c r="C973" s="109" t="s">
        <v>595</v>
      </c>
      <c r="D973" s="108" t="s">
        <v>317</v>
      </c>
      <c r="E973" s="108" t="s">
        <v>13</v>
      </c>
      <c r="F973" s="108" t="s">
        <v>608</v>
      </c>
      <c r="G973" s="108" t="s">
        <v>9</v>
      </c>
      <c r="H973" s="126">
        <f>H974</f>
        <v>0</v>
      </c>
      <c r="I973" s="178" t="str">
        <f t="shared" si="119"/>
        <v>609100303 1 01 76240000</v>
      </c>
      <c r="L973" s="37">
        <v>7961.36</v>
      </c>
      <c r="M973" s="37">
        <v>7961.36</v>
      </c>
      <c r="N973" s="37">
        <v>7961.36</v>
      </c>
      <c r="O973" s="37">
        <f>H973-L973</f>
        <v>-7961.36</v>
      </c>
      <c r="P973" s="37" t="e">
        <f>#REF!-M973</f>
        <v>#REF!</v>
      </c>
      <c r="Q973" s="37" t="e">
        <f>#REF!-N973</f>
        <v>#REF!</v>
      </c>
      <c r="R973" s="17" t="str">
        <f t="shared" si="126"/>
        <v>03 1 01 76240000</v>
      </c>
    </row>
    <row r="974" spans="1:18" s="17" customFormat="1" ht="31.5">
      <c r="A974" s="14"/>
      <c r="B974" s="132" t="s">
        <v>493</v>
      </c>
      <c r="C974" s="109" t="s">
        <v>595</v>
      </c>
      <c r="D974" s="108" t="s">
        <v>317</v>
      </c>
      <c r="E974" s="108" t="s">
        <v>13</v>
      </c>
      <c r="F974" s="108" t="s">
        <v>608</v>
      </c>
      <c r="G974" s="108" t="s">
        <v>494</v>
      </c>
      <c r="H974" s="126">
        <f>H975</f>
        <v>0</v>
      </c>
      <c r="I974" s="178" t="str">
        <f t="shared" si="119"/>
        <v>609100303 1 01 76240310</v>
      </c>
      <c r="L974" s="37">
        <v>7961.36</v>
      </c>
      <c r="M974" s="37">
        <v>7961.36</v>
      </c>
      <c r="N974" s="37">
        <v>7961.36</v>
      </c>
      <c r="O974" s="37">
        <f>H974-L974</f>
        <v>-7961.36</v>
      </c>
      <c r="P974" s="37" t="e">
        <f>#REF!-M974</f>
        <v>#REF!</v>
      </c>
      <c r="Q974" s="37" t="e">
        <f>#REF!-N974</f>
        <v>#REF!</v>
      </c>
      <c r="R974" s="17" t="str">
        <f t="shared" si="126"/>
        <v>03 1 01 76240310</v>
      </c>
    </row>
    <row r="975" spans="1:18" s="17" customFormat="1" ht="31.5">
      <c r="A975" s="14"/>
      <c r="B975" s="127" t="s">
        <v>495</v>
      </c>
      <c r="C975" s="109" t="s">
        <v>595</v>
      </c>
      <c r="D975" s="108" t="s">
        <v>317</v>
      </c>
      <c r="E975" s="108" t="s">
        <v>13</v>
      </c>
      <c r="F975" s="108" t="s">
        <v>608</v>
      </c>
      <c r="G975" s="108" t="s">
        <v>496</v>
      </c>
      <c r="H975" s="126"/>
      <c r="I975" s="178" t="str">
        <f t="shared" si="119"/>
        <v>609100303 1 01 76240313</v>
      </c>
      <c r="L975" s="37"/>
      <c r="M975" s="37"/>
      <c r="N975" s="37"/>
      <c r="O975" s="37"/>
      <c r="P975" s="37"/>
      <c r="Q975" s="37"/>
      <c r="R975" s="17" t="str">
        <f t="shared" si="126"/>
        <v>03 1 01 76240313</v>
      </c>
    </row>
    <row r="976" spans="1:18" s="17" customFormat="1" ht="63">
      <c r="A976" s="14"/>
      <c r="B976" s="132" t="s">
        <v>609</v>
      </c>
      <c r="C976" s="109" t="s">
        <v>595</v>
      </c>
      <c r="D976" s="108" t="s">
        <v>317</v>
      </c>
      <c r="E976" s="108" t="s">
        <v>13</v>
      </c>
      <c r="F976" s="108" t="s">
        <v>610</v>
      </c>
      <c r="G976" s="108" t="s">
        <v>9</v>
      </c>
      <c r="H976" s="126">
        <f>H977+H979</f>
        <v>0</v>
      </c>
      <c r="I976" s="178" t="str">
        <f t="shared" si="119"/>
        <v>609100303 1 01 77220 000</v>
      </c>
      <c r="L976" s="20">
        <v>4551.87</v>
      </c>
      <c r="M976" s="20">
        <v>4551.87</v>
      </c>
      <c r="N976" s="20">
        <v>4551.87</v>
      </c>
      <c r="O976" s="20">
        <f>H976-L976</f>
        <v>-4551.87</v>
      </c>
      <c r="P976" s="20" t="e">
        <f>#REF!-M976</f>
        <v>#REF!</v>
      </c>
      <c r="Q976" s="20" t="e">
        <f>#REF!-N976</f>
        <v>#REF!</v>
      </c>
      <c r="R976" s="17" t="str">
        <f t="shared" si="126"/>
        <v>03 1 01 77220 000</v>
      </c>
    </row>
    <row r="977" spans="1:18" s="17" customFormat="1" ht="31.5">
      <c r="A977" s="14"/>
      <c r="B977" s="132" t="s">
        <v>28</v>
      </c>
      <c r="C977" s="109" t="s">
        <v>595</v>
      </c>
      <c r="D977" s="108" t="s">
        <v>317</v>
      </c>
      <c r="E977" s="108" t="s">
        <v>13</v>
      </c>
      <c r="F977" s="108" t="s">
        <v>610</v>
      </c>
      <c r="G977" s="108" t="s">
        <v>29</v>
      </c>
      <c r="H977" s="126">
        <f>H978</f>
        <v>0</v>
      </c>
      <c r="I977" s="178" t="str">
        <f t="shared" si="119"/>
        <v>609100303 1 01 77220 240</v>
      </c>
      <c r="L977" s="20">
        <v>50</v>
      </c>
      <c r="M977" s="20">
        <v>50</v>
      </c>
      <c r="N977" s="20">
        <v>50</v>
      </c>
      <c r="O977" s="20">
        <f>H977-L977</f>
        <v>-50</v>
      </c>
      <c r="P977" s="20" t="e">
        <f>#REF!-M977</f>
        <v>#REF!</v>
      </c>
      <c r="Q977" s="20" t="e">
        <f>#REF!-N977</f>
        <v>#REF!</v>
      </c>
      <c r="R977" s="17" t="str">
        <f t="shared" si="126"/>
        <v>03 1 01 77220 240</v>
      </c>
    </row>
    <row r="978" spans="1:18" s="17" customFormat="1" ht="15.75">
      <c r="A978" s="14"/>
      <c r="B978" s="125" t="s">
        <v>30</v>
      </c>
      <c r="C978" s="109" t="s">
        <v>595</v>
      </c>
      <c r="D978" s="108" t="s">
        <v>317</v>
      </c>
      <c r="E978" s="108" t="s">
        <v>13</v>
      </c>
      <c r="F978" s="108" t="s">
        <v>610</v>
      </c>
      <c r="G978" s="108" t="s">
        <v>31</v>
      </c>
      <c r="H978" s="126"/>
      <c r="I978" s="178" t="str">
        <f t="shared" si="119"/>
        <v>609100303 1 01 77220 244</v>
      </c>
      <c r="L978" s="20"/>
      <c r="M978" s="20"/>
      <c r="N978" s="20"/>
      <c r="O978" s="20"/>
      <c r="P978" s="20"/>
      <c r="Q978" s="20"/>
      <c r="R978" s="17" t="str">
        <f t="shared" si="126"/>
        <v>03 1 01 77220 244</v>
      </c>
    </row>
    <row r="979" spans="1:18" s="17" customFormat="1" ht="31.5">
      <c r="A979" s="14"/>
      <c r="B979" s="132" t="s">
        <v>493</v>
      </c>
      <c r="C979" s="109" t="s">
        <v>595</v>
      </c>
      <c r="D979" s="108" t="s">
        <v>317</v>
      </c>
      <c r="E979" s="108" t="s">
        <v>13</v>
      </c>
      <c r="F979" s="108" t="s">
        <v>610</v>
      </c>
      <c r="G979" s="108" t="s">
        <v>494</v>
      </c>
      <c r="H979" s="126">
        <f>H980</f>
        <v>0</v>
      </c>
      <c r="I979" s="178" t="str">
        <f t="shared" si="119"/>
        <v>609100303 1 01 77220 310</v>
      </c>
      <c r="L979" s="20">
        <v>4501.87</v>
      </c>
      <c r="M979" s="20">
        <v>4501.87</v>
      </c>
      <c r="N979" s="20">
        <v>4501.87</v>
      </c>
      <c r="O979" s="20">
        <f>H979-L979</f>
        <v>-4501.87</v>
      </c>
      <c r="P979" s="20" t="e">
        <f>#REF!-M979</f>
        <v>#REF!</v>
      </c>
      <c r="Q979" s="20" t="e">
        <f>#REF!-N979</f>
        <v>#REF!</v>
      </c>
      <c r="R979" s="17" t="str">
        <f t="shared" si="126"/>
        <v>03 1 01 77220 310</v>
      </c>
    </row>
    <row r="980" spans="1:18" s="17" customFormat="1" ht="31.5">
      <c r="A980" s="14"/>
      <c r="B980" s="127" t="s">
        <v>495</v>
      </c>
      <c r="C980" s="109" t="s">
        <v>595</v>
      </c>
      <c r="D980" s="108" t="s">
        <v>317</v>
      </c>
      <c r="E980" s="108" t="s">
        <v>13</v>
      </c>
      <c r="F980" s="108" t="s">
        <v>610</v>
      </c>
      <c r="G980" s="108" t="s">
        <v>496</v>
      </c>
      <c r="H980" s="126"/>
      <c r="I980" s="178" t="str">
        <f t="shared" si="119"/>
        <v>609100303 1 01 77220 313</v>
      </c>
      <c r="L980" s="20"/>
      <c r="M980" s="20"/>
      <c r="N980" s="20"/>
      <c r="O980" s="20"/>
      <c r="P980" s="20"/>
      <c r="Q980" s="20"/>
      <c r="R980" s="17" t="str">
        <f t="shared" si="126"/>
        <v>03 1 01 77220 313</v>
      </c>
    </row>
    <row r="981" spans="1:18" s="17" customFormat="1" ht="110.25">
      <c r="A981" s="14"/>
      <c r="B981" s="149" t="s">
        <v>611</v>
      </c>
      <c r="C981" s="109" t="s">
        <v>595</v>
      </c>
      <c r="D981" s="108" t="s">
        <v>317</v>
      </c>
      <c r="E981" s="108" t="s">
        <v>13</v>
      </c>
      <c r="F981" s="108" t="s">
        <v>612</v>
      </c>
      <c r="G981" s="108" t="s">
        <v>9</v>
      </c>
      <c r="H981" s="126">
        <f>H982+H984</f>
        <v>0</v>
      </c>
      <c r="I981" s="178" t="str">
        <f t="shared" ref="I981:I1044" si="127">C981&amp;D981&amp;E981&amp;F981&amp;G981</f>
        <v>609100303 1 01 78210000</v>
      </c>
      <c r="L981" s="37">
        <v>362001.94</v>
      </c>
      <c r="M981" s="37">
        <v>363794.9</v>
      </c>
      <c r="N981" s="37">
        <v>365617.96</v>
      </c>
      <c r="O981" s="37">
        <f>H981-L981</f>
        <v>-362001.94</v>
      </c>
      <c r="P981" s="37" t="e">
        <f>#REF!-M981</f>
        <v>#REF!</v>
      </c>
      <c r="Q981" s="37" t="e">
        <f>#REF!-N981</f>
        <v>#REF!</v>
      </c>
      <c r="R981" s="17" t="str">
        <f t="shared" si="126"/>
        <v>03 1 01 78210000</v>
      </c>
    </row>
    <row r="982" spans="1:18" s="17" customFormat="1" ht="31.5">
      <c r="A982" s="14"/>
      <c r="B982" s="125" t="s">
        <v>28</v>
      </c>
      <c r="C982" s="109" t="s">
        <v>595</v>
      </c>
      <c r="D982" s="108" t="s">
        <v>317</v>
      </c>
      <c r="E982" s="108" t="s">
        <v>13</v>
      </c>
      <c r="F982" s="108" t="s">
        <v>612</v>
      </c>
      <c r="G982" s="108" t="s">
        <v>29</v>
      </c>
      <c r="H982" s="126">
        <f>H983</f>
        <v>0</v>
      </c>
      <c r="I982" s="178" t="str">
        <f t="shared" si="127"/>
        <v>609100303 1 01 78210240</v>
      </c>
      <c r="L982" s="37">
        <v>5280</v>
      </c>
      <c r="M982" s="37">
        <v>5280</v>
      </c>
      <c r="N982" s="37">
        <v>5280</v>
      </c>
      <c r="O982" s="37">
        <f>H982-L982</f>
        <v>-5280</v>
      </c>
      <c r="P982" s="37" t="e">
        <f>#REF!-M982</f>
        <v>#REF!</v>
      </c>
      <c r="Q982" s="37" t="e">
        <f>#REF!-N982</f>
        <v>#REF!</v>
      </c>
      <c r="R982" s="17" t="str">
        <f t="shared" si="126"/>
        <v>03 1 01 78210240</v>
      </c>
    </row>
    <row r="983" spans="1:18" s="17" customFormat="1" ht="15.75">
      <c r="A983" s="14"/>
      <c r="B983" s="125" t="s">
        <v>30</v>
      </c>
      <c r="C983" s="109" t="s">
        <v>595</v>
      </c>
      <c r="D983" s="108" t="s">
        <v>317</v>
      </c>
      <c r="E983" s="108" t="s">
        <v>13</v>
      </c>
      <c r="F983" s="108" t="s">
        <v>612</v>
      </c>
      <c r="G983" s="108" t="s">
        <v>31</v>
      </c>
      <c r="H983" s="126"/>
      <c r="I983" s="178" t="str">
        <f t="shared" si="127"/>
        <v>609100303 1 01 78210244</v>
      </c>
      <c r="L983" s="37"/>
      <c r="M983" s="37"/>
      <c r="N983" s="37"/>
      <c r="O983" s="37"/>
      <c r="P983" s="37"/>
      <c r="Q983" s="37"/>
      <c r="R983" s="17" t="str">
        <f t="shared" si="126"/>
        <v>03 1 01 78210244</v>
      </c>
    </row>
    <row r="984" spans="1:18" s="17" customFormat="1" ht="31.5">
      <c r="A984" s="14"/>
      <c r="B984" s="132" t="s">
        <v>493</v>
      </c>
      <c r="C984" s="109" t="s">
        <v>595</v>
      </c>
      <c r="D984" s="108" t="s">
        <v>317</v>
      </c>
      <c r="E984" s="108" t="s">
        <v>13</v>
      </c>
      <c r="F984" s="108" t="s">
        <v>612</v>
      </c>
      <c r="G984" s="108" t="s">
        <v>494</v>
      </c>
      <c r="H984" s="126">
        <f>H985</f>
        <v>0</v>
      </c>
      <c r="I984" s="178" t="str">
        <f t="shared" si="127"/>
        <v>609100303 1 01 78210310</v>
      </c>
      <c r="L984" s="37">
        <v>356721.94</v>
      </c>
      <c r="M984" s="37">
        <v>358514.9</v>
      </c>
      <c r="N984" s="37">
        <v>360337.96</v>
      </c>
      <c r="O984" s="37">
        <f>H984-L984</f>
        <v>-356721.94</v>
      </c>
      <c r="P984" s="37" t="e">
        <f>#REF!-M984</f>
        <v>#REF!</v>
      </c>
      <c r="Q984" s="37" t="e">
        <f>#REF!-N984</f>
        <v>#REF!</v>
      </c>
      <c r="R984" s="17" t="str">
        <f t="shared" si="126"/>
        <v>03 1 01 78210310</v>
      </c>
    </row>
    <row r="985" spans="1:18" s="17" customFormat="1" ht="31.5">
      <c r="A985" s="14"/>
      <c r="B985" s="127" t="s">
        <v>495</v>
      </c>
      <c r="C985" s="109" t="s">
        <v>595</v>
      </c>
      <c r="D985" s="108" t="s">
        <v>317</v>
      </c>
      <c r="E985" s="108" t="s">
        <v>13</v>
      </c>
      <c r="F985" s="108" t="s">
        <v>612</v>
      </c>
      <c r="G985" s="108" t="s">
        <v>496</v>
      </c>
      <c r="H985" s="126"/>
      <c r="I985" s="178" t="str">
        <f t="shared" si="127"/>
        <v>609100303 1 01 78210313</v>
      </c>
      <c r="L985" s="37"/>
      <c r="M985" s="37"/>
      <c r="N985" s="37"/>
      <c r="O985" s="37"/>
      <c r="P985" s="37"/>
      <c r="Q985" s="37"/>
      <c r="R985" s="17" t="str">
        <f t="shared" si="126"/>
        <v>03 1 01 78210313</v>
      </c>
    </row>
    <row r="986" spans="1:18" s="17" customFormat="1" ht="47.25">
      <c r="A986" s="14"/>
      <c r="B986" s="132" t="s">
        <v>613</v>
      </c>
      <c r="C986" s="109" t="s">
        <v>595</v>
      </c>
      <c r="D986" s="108" t="s">
        <v>317</v>
      </c>
      <c r="E986" s="108" t="s">
        <v>13</v>
      </c>
      <c r="F986" s="108" t="s">
        <v>614</v>
      </c>
      <c r="G986" s="108" t="s">
        <v>9</v>
      </c>
      <c r="H986" s="126">
        <f>H987+H989</f>
        <v>0</v>
      </c>
      <c r="I986" s="178" t="str">
        <f t="shared" si="127"/>
        <v>609100303 1 01 78220000</v>
      </c>
      <c r="L986" s="37">
        <v>264670.36</v>
      </c>
      <c r="M986" s="37">
        <v>264670.36</v>
      </c>
      <c r="N986" s="37">
        <v>264670.36</v>
      </c>
      <c r="O986" s="37">
        <f>H986-L986</f>
        <v>-264670.36</v>
      </c>
      <c r="P986" s="37" t="e">
        <f>#REF!-M986</f>
        <v>#REF!</v>
      </c>
      <c r="Q986" s="37" t="e">
        <f>#REF!-N986</f>
        <v>#REF!</v>
      </c>
      <c r="R986" s="17" t="str">
        <f t="shared" si="126"/>
        <v>03 1 01 78220000</v>
      </c>
    </row>
    <row r="987" spans="1:18" s="17" customFormat="1" ht="31.5">
      <c r="A987" s="14"/>
      <c r="B987" s="132" t="s">
        <v>28</v>
      </c>
      <c r="C987" s="109" t="s">
        <v>595</v>
      </c>
      <c r="D987" s="108" t="s">
        <v>317</v>
      </c>
      <c r="E987" s="108" t="s">
        <v>13</v>
      </c>
      <c r="F987" s="108" t="s">
        <v>614</v>
      </c>
      <c r="G987" s="108" t="s">
        <v>29</v>
      </c>
      <c r="H987" s="126">
        <f>H988</f>
        <v>0</v>
      </c>
      <c r="I987" s="178" t="str">
        <f t="shared" si="127"/>
        <v>609100303 1 01 78220240</v>
      </c>
      <c r="L987" s="37">
        <v>3840</v>
      </c>
      <c r="M987" s="37">
        <v>3840</v>
      </c>
      <c r="N987" s="37">
        <v>3840</v>
      </c>
      <c r="O987" s="37">
        <f>H987-L987</f>
        <v>-3840</v>
      </c>
      <c r="P987" s="37" t="e">
        <f>#REF!-M987</f>
        <v>#REF!</v>
      </c>
      <c r="Q987" s="37" t="e">
        <f>#REF!-N987</f>
        <v>#REF!</v>
      </c>
      <c r="R987" s="17" t="str">
        <f t="shared" si="126"/>
        <v>03 1 01 78220240</v>
      </c>
    </row>
    <row r="988" spans="1:18" s="17" customFormat="1" ht="15.75">
      <c r="A988" s="14"/>
      <c r="B988" s="125" t="s">
        <v>30</v>
      </c>
      <c r="C988" s="109" t="s">
        <v>595</v>
      </c>
      <c r="D988" s="108" t="s">
        <v>317</v>
      </c>
      <c r="E988" s="108" t="s">
        <v>13</v>
      </c>
      <c r="F988" s="108" t="s">
        <v>614</v>
      </c>
      <c r="G988" s="108" t="s">
        <v>31</v>
      </c>
      <c r="H988" s="126"/>
      <c r="I988" s="178" t="str">
        <f t="shared" si="127"/>
        <v>609100303 1 01 78220244</v>
      </c>
      <c r="L988" s="37"/>
      <c r="M988" s="37"/>
      <c r="N988" s="37"/>
      <c r="O988" s="37"/>
      <c r="P988" s="37"/>
      <c r="Q988" s="37"/>
      <c r="R988" s="17" t="str">
        <f t="shared" si="126"/>
        <v>03 1 01 78220244</v>
      </c>
    </row>
    <row r="989" spans="1:18" s="17" customFormat="1" ht="31.5">
      <c r="A989" s="14"/>
      <c r="B989" s="132" t="s">
        <v>493</v>
      </c>
      <c r="C989" s="109" t="s">
        <v>595</v>
      </c>
      <c r="D989" s="108" t="s">
        <v>317</v>
      </c>
      <c r="E989" s="108" t="s">
        <v>13</v>
      </c>
      <c r="F989" s="108" t="s">
        <v>614</v>
      </c>
      <c r="G989" s="108" t="s">
        <v>494</v>
      </c>
      <c r="H989" s="126">
        <f>H990</f>
        <v>0</v>
      </c>
      <c r="I989" s="178" t="str">
        <f t="shared" si="127"/>
        <v>609100303 1 01 78220310</v>
      </c>
      <c r="L989" s="37">
        <v>260830.36</v>
      </c>
      <c r="M989" s="37">
        <v>260830.36</v>
      </c>
      <c r="N989" s="37">
        <v>260830.36</v>
      </c>
      <c r="O989" s="37">
        <f>H989-L989</f>
        <v>-260830.36</v>
      </c>
      <c r="P989" s="37" t="e">
        <f>#REF!-M989</f>
        <v>#REF!</v>
      </c>
      <c r="Q989" s="37" t="e">
        <f>#REF!-N989</f>
        <v>#REF!</v>
      </c>
      <c r="R989" s="17" t="str">
        <f t="shared" si="126"/>
        <v>03 1 01 78220310</v>
      </c>
    </row>
    <row r="990" spans="1:18" s="17" customFormat="1" ht="31.5">
      <c r="A990" s="14"/>
      <c r="B990" s="127" t="s">
        <v>495</v>
      </c>
      <c r="C990" s="109" t="s">
        <v>595</v>
      </c>
      <c r="D990" s="108" t="s">
        <v>317</v>
      </c>
      <c r="E990" s="108" t="s">
        <v>13</v>
      </c>
      <c r="F990" s="108" t="s">
        <v>614</v>
      </c>
      <c r="G990" s="108" t="s">
        <v>496</v>
      </c>
      <c r="H990" s="126"/>
      <c r="I990" s="178" t="str">
        <f t="shared" si="127"/>
        <v>609100303 1 01 78220313</v>
      </c>
      <c r="L990" s="37"/>
      <c r="M990" s="37"/>
      <c r="N990" s="37"/>
      <c r="O990" s="37"/>
      <c r="P990" s="37"/>
      <c r="Q990" s="37"/>
      <c r="R990" s="17" t="str">
        <f t="shared" si="126"/>
        <v>03 1 01 78220313</v>
      </c>
    </row>
    <row r="991" spans="1:18" s="17" customFormat="1" ht="47.25">
      <c r="A991" s="14"/>
      <c r="B991" s="149" t="s">
        <v>615</v>
      </c>
      <c r="C991" s="109" t="s">
        <v>595</v>
      </c>
      <c r="D991" s="108" t="s">
        <v>317</v>
      </c>
      <c r="E991" s="108" t="s">
        <v>13</v>
      </c>
      <c r="F991" s="108" t="s">
        <v>616</v>
      </c>
      <c r="G991" s="108" t="s">
        <v>9</v>
      </c>
      <c r="H991" s="126">
        <f>H992+H994</f>
        <v>0</v>
      </c>
      <c r="I991" s="178" t="str">
        <f t="shared" si="127"/>
        <v>609100303 1 01 78230000</v>
      </c>
      <c r="L991" s="37">
        <v>6066.83</v>
      </c>
      <c r="M991" s="37">
        <v>5877.65</v>
      </c>
      <c r="N991" s="37">
        <v>5705.66</v>
      </c>
      <c r="O991" s="37">
        <f>H991-L991</f>
        <v>-6066.83</v>
      </c>
      <c r="P991" s="37" t="e">
        <f>#REF!-M991</f>
        <v>#REF!</v>
      </c>
      <c r="Q991" s="37" t="e">
        <f>#REF!-N991</f>
        <v>#REF!</v>
      </c>
      <c r="R991" s="17" t="str">
        <f t="shared" si="126"/>
        <v>03 1 01 78230000</v>
      </c>
    </row>
    <row r="992" spans="1:18" s="17" customFormat="1" ht="31.5">
      <c r="A992" s="14"/>
      <c r="B992" s="125" t="s">
        <v>28</v>
      </c>
      <c r="C992" s="109" t="s">
        <v>595</v>
      </c>
      <c r="D992" s="108" t="s">
        <v>317</v>
      </c>
      <c r="E992" s="108" t="s">
        <v>13</v>
      </c>
      <c r="F992" s="108" t="s">
        <v>616</v>
      </c>
      <c r="G992" s="108" t="s">
        <v>29</v>
      </c>
      <c r="H992" s="126">
        <f>H993</f>
        <v>0</v>
      </c>
      <c r="I992" s="178" t="str">
        <f t="shared" si="127"/>
        <v>609100303 1 01 78230240</v>
      </c>
      <c r="L992" s="37">
        <v>94.8</v>
      </c>
      <c r="M992" s="37">
        <v>86</v>
      </c>
      <c r="N992" s="37">
        <v>84.8</v>
      </c>
      <c r="O992" s="37">
        <f>H992-L992</f>
        <v>-94.8</v>
      </c>
      <c r="P992" s="37" t="e">
        <f>#REF!-M992</f>
        <v>#REF!</v>
      </c>
      <c r="Q992" s="37" t="e">
        <f>#REF!-N992</f>
        <v>#REF!</v>
      </c>
      <c r="R992" s="17" t="str">
        <f t="shared" si="126"/>
        <v>03 1 01 78230240</v>
      </c>
    </row>
    <row r="993" spans="1:18" s="17" customFormat="1" ht="15.75">
      <c r="A993" s="14"/>
      <c r="B993" s="125" t="s">
        <v>30</v>
      </c>
      <c r="C993" s="109" t="s">
        <v>595</v>
      </c>
      <c r="D993" s="108" t="s">
        <v>317</v>
      </c>
      <c r="E993" s="108" t="s">
        <v>13</v>
      </c>
      <c r="F993" s="108" t="s">
        <v>616</v>
      </c>
      <c r="G993" s="108" t="s">
        <v>31</v>
      </c>
      <c r="H993" s="126"/>
      <c r="I993" s="178" t="str">
        <f t="shared" si="127"/>
        <v>609100303 1 01 78230244</v>
      </c>
      <c r="L993" s="37"/>
      <c r="M993" s="37"/>
      <c r="N993" s="37"/>
      <c r="O993" s="37"/>
      <c r="P993" s="37"/>
      <c r="Q993" s="37"/>
      <c r="R993" s="17" t="str">
        <f t="shared" si="126"/>
        <v>03 1 01 78230244</v>
      </c>
    </row>
    <row r="994" spans="1:18" s="17" customFormat="1" ht="31.5">
      <c r="A994" s="14"/>
      <c r="B994" s="132" t="s">
        <v>493</v>
      </c>
      <c r="C994" s="109" t="s">
        <v>595</v>
      </c>
      <c r="D994" s="108" t="s">
        <v>317</v>
      </c>
      <c r="E994" s="108" t="s">
        <v>13</v>
      </c>
      <c r="F994" s="108" t="s">
        <v>616</v>
      </c>
      <c r="G994" s="108" t="s">
        <v>494</v>
      </c>
      <c r="H994" s="126">
        <f>H995</f>
        <v>0</v>
      </c>
      <c r="I994" s="178" t="str">
        <f t="shared" si="127"/>
        <v>609100303 1 01 78230310</v>
      </c>
      <c r="L994" s="37">
        <v>5972.03</v>
      </c>
      <c r="M994" s="37">
        <v>5791.65</v>
      </c>
      <c r="N994" s="37">
        <v>5620.86</v>
      </c>
      <c r="O994" s="37">
        <f>H994-L994</f>
        <v>-5972.03</v>
      </c>
      <c r="P994" s="37" t="e">
        <f>#REF!-M994</f>
        <v>#REF!</v>
      </c>
      <c r="Q994" s="37" t="e">
        <f>#REF!-N994</f>
        <v>#REF!</v>
      </c>
      <c r="R994" s="17" t="str">
        <f t="shared" si="126"/>
        <v>03 1 01 78230310</v>
      </c>
    </row>
    <row r="995" spans="1:18" s="17" customFormat="1" ht="31.5">
      <c r="A995" s="14"/>
      <c r="B995" s="127" t="s">
        <v>495</v>
      </c>
      <c r="C995" s="109" t="s">
        <v>595</v>
      </c>
      <c r="D995" s="108" t="s">
        <v>317</v>
      </c>
      <c r="E995" s="108" t="s">
        <v>13</v>
      </c>
      <c r="F995" s="108" t="s">
        <v>616</v>
      </c>
      <c r="G995" s="108" t="s">
        <v>496</v>
      </c>
      <c r="H995" s="126"/>
      <c r="I995" s="178" t="str">
        <f t="shared" si="127"/>
        <v>609100303 1 01 78230313</v>
      </c>
      <c r="L995" s="37"/>
      <c r="M995" s="37"/>
      <c r="N995" s="37"/>
      <c r="O995" s="37"/>
      <c r="P995" s="37"/>
      <c r="Q995" s="37"/>
      <c r="R995" s="17" t="str">
        <f t="shared" si="126"/>
        <v>03 1 01 78230313</v>
      </c>
    </row>
    <row r="996" spans="1:18" s="17" customFormat="1" ht="47.25">
      <c r="A996" s="14"/>
      <c r="B996" s="149" t="s">
        <v>617</v>
      </c>
      <c r="C996" s="109" t="s">
        <v>595</v>
      </c>
      <c r="D996" s="108" t="s">
        <v>317</v>
      </c>
      <c r="E996" s="108" t="s">
        <v>13</v>
      </c>
      <c r="F996" s="108" t="s">
        <v>618</v>
      </c>
      <c r="G996" s="108" t="s">
        <v>9</v>
      </c>
      <c r="H996" s="126">
        <f>H997+H999</f>
        <v>0</v>
      </c>
      <c r="I996" s="178" t="str">
        <f t="shared" si="127"/>
        <v>609100303 1 01 78240000</v>
      </c>
      <c r="L996" s="37">
        <v>178.05</v>
      </c>
      <c r="M996" s="37">
        <v>178.05</v>
      </c>
      <c r="N996" s="37">
        <v>178.05</v>
      </c>
      <c r="O996" s="37">
        <f>H996-L996</f>
        <v>-178.05</v>
      </c>
      <c r="P996" s="37" t="e">
        <f>#REF!-M996</f>
        <v>#REF!</v>
      </c>
      <c r="Q996" s="37" t="e">
        <f>#REF!-N996</f>
        <v>#REF!</v>
      </c>
      <c r="R996" s="17" t="str">
        <f t="shared" si="126"/>
        <v>03 1 01 78240000</v>
      </c>
    </row>
    <row r="997" spans="1:18" s="17" customFormat="1" ht="31.5">
      <c r="A997" s="14"/>
      <c r="B997" s="125" t="s">
        <v>28</v>
      </c>
      <c r="C997" s="109" t="s">
        <v>595</v>
      </c>
      <c r="D997" s="108" t="s">
        <v>317</v>
      </c>
      <c r="E997" s="108" t="s">
        <v>13</v>
      </c>
      <c r="F997" s="108" t="s">
        <v>618</v>
      </c>
      <c r="G997" s="108" t="s">
        <v>29</v>
      </c>
      <c r="H997" s="126">
        <f>H998</f>
        <v>0</v>
      </c>
      <c r="I997" s="178" t="str">
        <f t="shared" si="127"/>
        <v>609100303 1 01 78240240</v>
      </c>
      <c r="L997" s="37">
        <v>0.84</v>
      </c>
      <c r="M997" s="37">
        <v>0.84</v>
      </c>
      <c r="N997" s="37">
        <v>0.84</v>
      </c>
      <c r="O997" s="37">
        <f>H997-L997</f>
        <v>-0.84</v>
      </c>
      <c r="P997" s="37" t="e">
        <f>#REF!-M997</f>
        <v>#REF!</v>
      </c>
      <c r="Q997" s="37" t="e">
        <f>#REF!-N997</f>
        <v>#REF!</v>
      </c>
      <c r="R997" s="17" t="str">
        <f t="shared" si="126"/>
        <v>03 1 01 78240240</v>
      </c>
    </row>
    <row r="998" spans="1:18" s="17" customFormat="1" ht="15.75">
      <c r="A998" s="14"/>
      <c r="B998" s="125" t="s">
        <v>30</v>
      </c>
      <c r="C998" s="109" t="s">
        <v>595</v>
      </c>
      <c r="D998" s="108" t="s">
        <v>317</v>
      </c>
      <c r="E998" s="108" t="s">
        <v>13</v>
      </c>
      <c r="F998" s="108" t="s">
        <v>618</v>
      </c>
      <c r="G998" s="108" t="s">
        <v>31</v>
      </c>
      <c r="H998" s="126"/>
      <c r="I998" s="178" t="str">
        <f t="shared" si="127"/>
        <v>609100303 1 01 78240244</v>
      </c>
      <c r="L998" s="37"/>
      <c r="M998" s="37"/>
      <c r="N998" s="37"/>
      <c r="O998" s="37"/>
      <c r="P998" s="37"/>
      <c r="Q998" s="37"/>
      <c r="R998" s="17" t="str">
        <f t="shared" si="126"/>
        <v>03 1 01 78240244</v>
      </c>
    </row>
    <row r="999" spans="1:18" s="17" customFormat="1" ht="31.5">
      <c r="A999" s="14"/>
      <c r="B999" s="132" t="s">
        <v>493</v>
      </c>
      <c r="C999" s="109" t="s">
        <v>595</v>
      </c>
      <c r="D999" s="108" t="s">
        <v>317</v>
      </c>
      <c r="E999" s="108" t="s">
        <v>13</v>
      </c>
      <c r="F999" s="108" t="s">
        <v>618</v>
      </c>
      <c r="G999" s="108" t="s">
        <v>494</v>
      </c>
      <c r="H999" s="126">
        <f>H1000</f>
        <v>0</v>
      </c>
      <c r="I999" s="178" t="str">
        <f t="shared" si="127"/>
        <v>609100303 1 01 78240310</v>
      </c>
      <c r="L999" s="37">
        <v>177.21</v>
      </c>
      <c r="M999" s="37">
        <v>177.21</v>
      </c>
      <c r="N999" s="37">
        <v>177.21</v>
      </c>
      <c r="O999" s="37">
        <f>H999-L999</f>
        <v>-177.21</v>
      </c>
      <c r="P999" s="37" t="e">
        <f>#REF!-M999</f>
        <v>#REF!</v>
      </c>
      <c r="Q999" s="37" t="e">
        <f>#REF!-N999</f>
        <v>#REF!</v>
      </c>
      <c r="R999" s="17" t="str">
        <f t="shared" si="126"/>
        <v>03 1 01 78240310</v>
      </c>
    </row>
    <row r="1000" spans="1:18" s="17" customFormat="1" ht="31.5">
      <c r="A1000" s="14"/>
      <c r="B1000" s="127" t="s">
        <v>495</v>
      </c>
      <c r="C1000" s="109" t="s">
        <v>595</v>
      </c>
      <c r="D1000" s="108" t="s">
        <v>317</v>
      </c>
      <c r="E1000" s="108" t="s">
        <v>13</v>
      </c>
      <c r="F1000" s="108" t="s">
        <v>618</v>
      </c>
      <c r="G1000" s="108" t="s">
        <v>496</v>
      </c>
      <c r="H1000" s="126"/>
      <c r="I1000" s="178" t="str">
        <f t="shared" si="127"/>
        <v>609100303 1 01 78240313</v>
      </c>
      <c r="L1000" s="37"/>
      <c r="M1000" s="37"/>
      <c r="N1000" s="37"/>
      <c r="O1000" s="37"/>
      <c r="P1000" s="37"/>
      <c r="Q1000" s="37"/>
      <c r="R1000" s="17" t="str">
        <f t="shared" si="126"/>
        <v>03 1 01 78240313</v>
      </c>
    </row>
    <row r="1001" spans="1:18" s="17" customFormat="1" ht="31.5">
      <c r="A1001" s="14"/>
      <c r="B1001" s="149" t="s">
        <v>619</v>
      </c>
      <c r="C1001" s="109" t="s">
        <v>595</v>
      </c>
      <c r="D1001" s="108" t="s">
        <v>317</v>
      </c>
      <c r="E1001" s="108" t="s">
        <v>13</v>
      </c>
      <c r="F1001" s="108" t="s">
        <v>620</v>
      </c>
      <c r="G1001" s="108" t="s">
        <v>9</v>
      </c>
      <c r="H1001" s="126">
        <f>H1002+H1004</f>
        <v>0</v>
      </c>
      <c r="I1001" s="178" t="str">
        <f t="shared" si="127"/>
        <v>609100303 1 01 78250000</v>
      </c>
      <c r="L1001" s="37">
        <v>614.26</v>
      </c>
      <c r="M1001" s="37">
        <v>614.26</v>
      </c>
      <c r="N1001" s="37">
        <v>614.26</v>
      </c>
      <c r="O1001" s="37">
        <f>H1001-L1001</f>
        <v>-614.26</v>
      </c>
      <c r="P1001" s="37" t="e">
        <f>#REF!-M1001</f>
        <v>#REF!</v>
      </c>
      <c r="Q1001" s="37" t="e">
        <f>#REF!-N1001</f>
        <v>#REF!</v>
      </c>
      <c r="R1001" s="17" t="str">
        <f t="shared" si="126"/>
        <v>03 1 01 78250000</v>
      </c>
    </row>
    <row r="1002" spans="1:18" s="17" customFormat="1" ht="31.5">
      <c r="A1002" s="14"/>
      <c r="B1002" s="125" t="s">
        <v>28</v>
      </c>
      <c r="C1002" s="109" t="s">
        <v>595</v>
      </c>
      <c r="D1002" s="108" t="s">
        <v>317</v>
      </c>
      <c r="E1002" s="108" t="s">
        <v>13</v>
      </c>
      <c r="F1002" s="108" t="s">
        <v>620</v>
      </c>
      <c r="G1002" s="108" t="s">
        <v>29</v>
      </c>
      <c r="H1002" s="126">
        <f>H1003</f>
        <v>0</v>
      </c>
      <c r="I1002" s="178" t="str">
        <f t="shared" si="127"/>
        <v>609100303 1 01 78250240</v>
      </c>
      <c r="L1002" s="37">
        <v>8.4</v>
      </c>
      <c r="M1002" s="37">
        <v>8.4</v>
      </c>
      <c r="N1002" s="37">
        <v>8.4</v>
      </c>
      <c r="O1002" s="37">
        <f>H1002-L1002</f>
        <v>-8.4</v>
      </c>
      <c r="P1002" s="37" t="e">
        <f>#REF!-M1002</f>
        <v>#REF!</v>
      </c>
      <c r="Q1002" s="37" t="e">
        <f>#REF!-N1002</f>
        <v>#REF!</v>
      </c>
      <c r="R1002" s="17" t="str">
        <f t="shared" si="126"/>
        <v>03 1 01 78250240</v>
      </c>
    </row>
    <row r="1003" spans="1:18" s="17" customFormat="1" ht="15.75">
      <c r="A1003" s="14"/>
      <c r="B1003" s="125" t="s">
        <v>30</v>
      </c>
      <c r="C1003" s="109" t="s">
        <v>595</v>
      </c>
      <c r="D1003" s="108" t="s">
        <v>317</v>
      </c>
      <c r="E1003" s="108" t="s">
        <v>13</v>
      </c>
      <c r="F1003" s="108" t="s">
        <v>620</v>
      </c>
      <c r="G1003" s="108" t="s">
        <v>31</v>
      </c>
      <c r="H1003" s="126"/>
      <c r="I1003" s="178" t="str">
        <f t="shared" si="127"/>
        <v>609100303 1 01 78250244</v>
      </c>
      <c r="L1003" s="37"/>
      <c r="M1003" s="37"/>
      <c r="N1003" s="37"/>
      <c r="O1003" s="37"/>
      <c r="P1003" s="37"/>
      <c r="Q1003" s="37"/>
      <c r="R1003" s="17" t="str">
        <f t="shared" si="126"/>
        <v>03 1 01 78250244</v>
      </c>
    </row>
    <row r="1004" spans="1:18" s="17" customFormat="1" ht="31.5">
      <c r="A1004" s="14"/>
      <c r="B1004" s="132" t="s">
        <v>493</v>
      </c>
      <c r="C1004" s="109" t="s">
        <v>595</v>
      </c>
      <c r="D1004" s="108" t="s">
        <v>317</v>
      </c>
      <c r="E1004" s="108" t="s">
        <v>13</v>
      </c>
      <c r="F1004" s="108" t="s">
        <v>620</v>
      </c>
      <c r="G1004" s="108" t="s">
        <v>494</v>
      </c>
      <c r="H1004" s="126">
        <f>H1005</f>
        <v>0</v>
      </c>
      <c r="I1004" s="178" t="str">
        <f t="shared" si="127"/>
        <v>609100303 1 01 78250310</v>
      </c>
      <c r="L1004" s="37">
        <v>605.86</v>
      </c>
      <c r="M1004" s="37">
        <v>605.86</v>
      </c>
      <c r="N1004" s="37">
        <v>605.86</v>
      </c>
      <c r="O1004" s="37">
        <f>H1004-L1004</f>
        <v>-605.86</v>
      </c>
      <c r="P1004" s="37" t="e">
        <f>#REF!-M1004</f>
        <v>#REF!</v>
      </c>
      <c r="Q1004" s="37" t="e">
        <f>#REF!-N1004</f>
        <v>#REF!</v>
      </c>
      <c r="R1004" s="17" t="str">
        <f t="shared" si="126"/>
        <v>03 1 01 78250310</v>
      </c>
    </row>
    <row r="1005" spans="1:18" s="17" customFormat="1" ht="31.5">
      <c r="A1005" s="14"/>
      <c r="B1005" s="127" t="s">
        <v>495</v>
      </c>
      <c r="C1005" s="109" t="s">
        <v>595</v>
      </c>
      <c r="D1005" s="108" t="s">
        <v>317</v>
      </c>
      <c r="E1005" s="108" t="s">
        <v>13</v>
      </c>
      <c r="F1005" s="108" t="s">
        <v>620</v>
      </c>
      <c r="G1005" s="108" t="s">
        <v>496</v>
      </c>
      <c r="H1005" s="126"/>
      <c r="I1005" s="178" t="str">
        <f t="shared" si="127"/>
        <v>609100303 1 01 78250313</v>
      </c>
      <c r="L1005" s="37"/>
      <c r="M1005" s="37"/>
      <c r="N1005" s="37"/>
      <c r="O1005" s="37"/>
      <c r="P1005" s="37"/>
      <c r="Q1005" s="37"/>
      <c r="R1005" s="17" t="str">
        <f t="shared" si="126"/>
        <v>03 1 01 78250313</v>
      </c>
    </row>
    <row r="1006" spans="1:18" s="17" customFormat="1" ht="31.5">
      <c r="A1006" s="14"/>
      <c r="B1006" s="149" t="s">
        <v>621</v>
      </c>
      <c r="C1006" s="109" t="s">
        <v>595</v>
      </c>
      <c r="D1006" s="108" t="s">
        <v>317</v>
      </c>
      <c r="E1006" s="108" t="s">
        <v>13</v>
      </c>
      <c r="F1006" s="108" t="s">
        <v>622</v>
      </c>
      <c r="G1006" s="108" t="s">
        <v>9</v>
      </c>
      <c r="H1006" s="126">
        <f>H1007+H1009</f>
        <v>0</v>
      </c>
      <c r="I1006" s="178" t="str">
        <f t="shared" si="127"/>
        <v>609100303 1 01 78260000</v>
      </c>
      <c r="L1006" s="37">
        <v>292267</v>
      </c>
      <c r="M1006" s="37">
        <v>336033.4</v>
      </c>
      <c r="N1006" s="37">
        <v>338036</v>
      </c>
      <c r="O1006" s="37">
        <f>H1006-L1006</f>
        <v>-292267</v>
      </c>
      <c r="P1006" s="37" t="e">
        <f>#REF!-M1006</f>
        <v>#REF!</v>
      </c>
      <c r="Q1006" s="37" t="e">
        <f>#REF!-N1006</f>
        <v>#REF!</v>
      </c>
      <c r="R1006" s="17" t="str">
        <f t="shared" si="126"/>
        <v>03 1 01 78260000</v>
      </c>
    </row>
    <row r="1007" spans="1:18" s="17" customFormat="1" ht="31.5">
      <c r="A1007" s="14"/>
      <c r="B1007" s="125" t="s">
        <v>28</v>
      </c>
      <c r="C1007" s="109" t="s">
        <v>595</v>
      </c>
      <c r="D1007" s="108" t="s">
        <v>317</v>
      </c>
      <c r="E1007" s="108" t="s">
        <v>13</v>
      </c>
      <c r="F1007" s="108" t="s">
        <v>622</v>
      </c>
      <c r="G1007" s="108" t="s">
        <v>29</v>
      </c>
      <c r="H1007" s="126">
        <f>H1008</f>
        <v>0</v>
      </c>
      <c r="I1007" s="178" t="str">
        <f t="shared" si="127"/>
        <v>609100303 1 01 78260240</v>
      </c>
      <c r="L1007" s="37">
        <v>4032.4</v>
      </c>
      <c r="M1007" s="37">
        <v>4532.3999999999996</v>
      </c>
      <c r="N1007" s="37">
        <v>4632.3999999999996</v>
      </c>
      <c r="O1007" s="37">
        <f>H1007-L1007</f>
        <v>-4032.4</v>
      </c>
      <c r="P1007" s="37" t="e">
        <f>#REF!-M1007</f>
        <v>#REF!</v>
      </c>
      <c r="Q1007" s="37" t="e">
        <f>#REF!-N1007</f>
        <v>#REF!</v>
      </c>
      <c r="R1007" s="17" t="str">
        <f t="shared" si="126"/>
        <v>03 1 01 78260240</v>
      </c>
    </row>
    <row r="1008" spans="1:18" s="17" customFormat="1" ht="15.75">
      <c r="A1008" s="14"/>
      <c r="B1008" s="125" t="s">
        <v>30</v>
      </c>
      <c r="C1008" s="109" t="s">
        <v>595</v>
      </c>
      <c r="D1008" s="108" t="s">
        <v>317</v>
      </c>
      <c r="E1008" s="108" t="s">
        <v>13</v>
      </c>
      <c r="F1008" s="108" t="s">
        <v>622</v>
      </c>
      <c r="G1008" s="108" t="s">
        <v>31</v>
      </c>
      <c r="H1008" s="126"/>
      <c r="I1008" s="178" t="str">
        <f t="shared" si="127"/>
        <v>609100303 1 01 78260244</v>
      </c>
      <c r="L1008" s="37"/>
      <c r="M1008" s="37"/>
      <c r="N1008" s="37"/>
      <c r="O1008" s="37"/>
      <c r="P1008" s="37"/>
      <c r="Q1008" s="37"/>
      <c r="R1008" s="17" t="str">
        <f t="shared" si="126"/>
        <v>03 1 01 78260244</v>
      </c>
    </row>
    <row r="1009" spans="1:18" s="17" customFormat="1" ht="31.5">
      <c r="A1009" s="14"/>
      <c r="B1009" s="132" t="s">
        <v>493</v>
      </c>
      <c r="C1009" s="109" t="s">
        <v>595</v>
      </c>
      <c r="D1009" s="108" t="s">
        <v>317</v>
      </c>
      <c r="E1009" s="108" t="s">
        <v>13</v>
      </c>
      <c r="F1009" s="108" t="s">
        <v>622</v>
      </c>
      <c r="G1009" s="108" t="s">
        <v>494</v>
      </c>
      <c r="H1009" s="126">
        <f>H1010</f>
        <v>0</v>
      </c>
      <c r="I1009" s="178" t="str">
        <f t="shared" si="127"/>
        <v>609100303 1 01 78260310</v>
      </c>
      <c r="L1009" s="37">
        <v>288234.59999999998</v>
      </c>
      <c r="M1009" s="37">
        <v>331501</v>
      </c>
      <c r="N1009" s="37">
        <v>333403.59999999998</v>
      </c>
      <c r="O1009" s="37">
        <f>H1009-L1009</f>
        <v>-288234.59999999998</v>
      </c>
      <c r="P1009" s="37" t="e">
        <f>#REF!-M1009</f>
        <v>#REF!</v>
      </c>
      <c r="Q1009" s="37" t="e">
        <f>#REF!-N1009</f>
        <v>#REF!</v>
      </c>
      <c r="R1009" s="17" t="str">
        <f t="shared" si="126"/>
        <v>03 1 01 78260310</v>
      </c>
    </row>
    <row r="1010" spans="1:18" s="17" customFormat="1" ht="31.5">
      <c r="A1010" s="14"/>
      <c r="B1010" s="127" t="s">
        <v>495</v>
      </c>
      <c r="C1010" s="109" t="s">
        <v>595</v>
      </c>
      <c r="D1010" s="108" t="s">
        <v>317</v>
      </c>
      <c r="E1010" s="108" t="s">
        <v>13</v>
      </c>
      <c r="F1010" s="108" t="s">
        <v>622</v>
      </c>
      <c r="G1010" s="108" t="s">
        <v>496</v>
      </c>
      <c r="H1010" s="126"/>
      <c r="I1010" s="178" t="str">
        <f t="shared" si="127"/>
        <v>609100303 1 01 78260313</v>
      </c>
      <c r="L1010" s="37"/>
      <c r="M1010" s="37"/>
      <c r="N1010" s="37"/>
      <c r="O1010" s="37"/>
      <c r="P1010" s="37"/>
      <c r="Q1010" s="37"/>
      <c r="R1010" s="17" t="str">
        <f t="shared" si="126"/>
        <v>03 1 01 78260313</v>
      </c>
    </row>
    <row r="1011" spans="1:18" s="17" customFormat="1" ht="31.5">
      <c r="A1011" s="14" t="s">
        <v>598</v>
      </c>
      <c r="B1011" s="148" t="s">
        <v>623</v>
      </c>
      <c r="C1011" s="109" t="s">
        <v>595</v>
      </c>
      <c r="D1011" s="108" t="s">
        <v>317</v>
      </c>
      <c r="E1011" s="108" t="s">
        <v>13</v>
      </c>
      <c r="F1011" s="108" t="s">
        <v>624</v>
      </c>
      <c r="G1011" s="108" t="s">
        <v>9</v>
      </c>
      <c r="H1011" s="126">
        <f>H1012+H1027+H1017+H1022</f>
        <v>0</v>
      </c>
      <c r="I1011" s="178" t="str">
        <f t="shared" si="127"/>
        <v>609100303 1 02 00000000</v>
      </c>
      <c r="L1011" s="36">
        <v>234979.36</v>
      </c>
      <c r="M1011" s="36">
        <v>245649.34000000003</v>
      </c>
      <c r="N1011" s="36">
        <v>261013.86</v>
      </c>
      <c r="O1011" s="36">
        <f>H1011-L1011</f>
        <v>-234979.36</v>
      </c>
      <c r="P1011" s="36" t="e">
        <f>#REF!-M1011</f>
        <v>#REF!</v>
      </c>
      <c r="Q1011" s="36" t="e">
        <f>#REF!-N1011</f>
        <v>#REF!</v>
      </c>
      <c r="R1011" s="17" t="str">
        <f t="shared" si="126"/>
        <v>03 1 02 00000000</v>
      </c>
    </row>
    <row r="1012" spans="1:18" s="17" customFormat="1" ht="94.5">
      <c r="A1012" s="14"/>
      <c r="B1012" s="149" t="s">
        <v>625</v>
      </c>
      <c r="C1012" s="109" t="s">
        <v>595</v>
      </c>
      <c r="D1012" s="108" t="s">
        <v>317</v>
      </c>
      <c r="E1012" s="108" t="s">
        <v>13</v>
      </c>
      <c r="F1012" s="108" t="s">
        <v>626</v>
      </c>
      <c r="G1012" s="108" t="s">
        <v>9</v>
      </c>
      <c r="H1012" s="126">
        <f>H1015+H1013</f>
        <v>0</v>
      </c>
      <c r="I1012" s="178" t="str">
        <f t="shared" si="127"/>
        <v>609100303 1 02 53800000</v>
      </c>
      <c r="L1012" s="37">
        <v>188631.6</v>
      </c>
      <c r="M1012" s="37">
        <v>194738.30000000002</v>
      </c>
      <c r="N1012" s="37">
        <v>202950.5</v>
      </c>
      <c r="O1012" s="37">
        <f>H1012-L1012</f>
        <v>-188631.6</v>
      </c>
      <c r="P1012" s="37" t="e">
        <f>#REF!-M1012</f>
        <v>#REF!</v>
      </c>
      <c r="Q1012" s="37" t="e">
        <f>#REF!-N1012</f>
        <v>#REF!</v>
      </c>
      <c r="R1012" s="17" t="str">
        <f t="shared" si="126"/>
        <v>03 1 02 53800000</v>
      </c>
    </row>
    <row r="1013" spans="1:18" s="17" customFormat="1" ht="31.5">
      <c r="A1013" s="14"/>
      <c r="B1013" s="125" t="s">
        <v>28</v>
      </c>
      <c r="C1013" s="109" t="s">
        <v>595</v>
      </c>
      <c r="D1013" s="108" t="s">
        <v>317</v>
      </c>
      <c r="E1013" s="108" t="s">
        <v>13</v>
      </c>
      <c r="F1013" s="108" t="s">
        <v>626</v>
      </c>
      <c r="G1013" s="108" t="s">
        <v>29</v>
      </c>
      <c r="H1013" s="126">
        <f>H1014</f>
        <v>0</v>
      </c>
      <c r="I1013" s="178" t="str">
        <f t="shared" si="127"/>
        <v>609100303 1 02 53800240</v>
      </c>
      <c r="L1013" s="37">
        <v>2787.66</v>
      </c>
      <c r="M1013" s="37">
        <v>2877.91</v>
      </c>
      <c r="N1013" s="37">
        <v>2999.27</v>
      </c>
      <c r="O1013" s="37">
        <f>H1013-L1013</f>
        <v>-2787.66</v>
      </c>
      <c r="P1013" s="37" t="e">
        <f>#REF!-M1013</f>
        <v>#REF!</v>
      </c>
      <c r="Q1013" s="37" t="e">
        <f>#REF!-N1013</f>
        <v>#REF!</v>
      </c>
      <c r="R1013" s="17" t="str">
        <f t="shared" si="126"/>
        <v>03 1 02 53800240</v>
      </c>
    </row>
    <row r="1014" spans="1:18" s="17" customFormat="1" ht="15.75">
      <c r="A1014" s="14"/>
      <c r="B1014" s="125" t="s">
        <v>30</v>
      </c>
      <c r="C1014" s="109" t="s">
        <v>595</v>
      </c>
      <c r="D1014" s="108" t="s">
        <v>317</v>
      </c>
      <c r="E1014" s="108" t="s">
        <v>13</v>
      </c>
      <c r="F1014" s="108" t="s">
        <v>626</v>
      </c>
      <c r="G1014" s="108" t="s">
        <v>31</v>
      </c>
      <c r="H1014" s="126"/>
      <c r="I1014" s="178" t="str">
        <f t="shared" si="127"/>
        <v>609100303 1 02 53800244</v>
      </c>
      <c r="L1014" s="37"/>
      <c r="M1014" s="37"/>
      <c r="N1014" s="37"/>
      <c r="O1014" s="37"/>
      <c r="P1014" s="37"/>
      <c r="Q1014" s="37"/>
      <c r="R1014" s="17" t="str">
        <f t="shared" si="126"/>
        <v>03 1 02 53800244</v>
      </c>
    </row>
    <row r="1015" spans="1:18" s="17" customFormat="1" ht="31.5">
      <c r="A1015" s="14"/>
      <c r="B1015" s="132" t="s">
        <v>493</v>
      </c>
      <c r="C1015" s="109" t="s">
        <v>595</v>
      </c>
      <c r="D1015" s="108" t="s">
        <v>317</v>
      </c>
      <c r="E1015" s="108" t="s">
        <v>13</v>
      </c>
      <c r="F1015" s="108" t="s">
        <v>626</v>
      </c>
      <c r="G1015" s="108" t="s">
        <v>494</v>
      </c>
      <c r="H1015" s="126">
        <f>H1016</f>
        <v>0</v>
      </c>
      <c r="I1015" s="178" t="str">
        <f t="shared" si="127"/>
        <v>609100303 1 02 53800310</v>
      </c>
      <c r="L1015" s="37">
        <v>185843.94</v>
      </c>
      <c r="M1015" s="37">
        <v>191860.39</v>
      </c>
      <c r="N1015" s="37">
        <v>199951.23</v>
      </c>
      <c r="O1015" s="37">
        <f>H1015-L1015</f>
        <v>-185843.94</v>
      </c>
      <c r="P1015" s="37" t="e">
        <f>#REF!-M1015</f>
        <v>#REF!</v>
      </c>
      <c r="Q1015" s="37" t="e">
        <f>#REF!-N1015</f>
        <v>#REF!</v>
      </c>
      <c r="R1015" s="17" t="str">
        <f t="shared" si="126"/>
        <v>03 1 02 53800310</v>
      </c>
    </row>
    <row r="1016" spans="1:18" s="17" customFormat="1" ht="31.5">
      <c r="A1016" s="14"/>
      <c r="B1016" s="127" t="s">
        <v>495</v>
      </c>
      <c r="C1016" s="109" t="s">
        <v>595</v>
      </c>
      <c r="D1016" s="108" t="s">
        <v>317</v>
      </c>
      <c r="E1016" s="108" t="s">
        <v>13</v>
      </c>
      <c r="F1016" s="108" t="s">
        <v>626</v>
      </c>
      <c r="G1016" s="108" t="s">
        <v>496</v>
      </c>
      <c r="H1016" s="126"/>
      <c r="I1016" s="178" t="str">
        <f t="shared" si="127"/>
        <v>609100303 1 02 53800313</v>
      </c>
      <c r="L1016" s="37"/>
      <c r="M1016" s="37"/>
      <c r="N1016" s="37"/>
      <c r="O1016" s="37"/>
      <c r="P1016" s="37"/>
      <c r="Q1016" s="37"/>
      <c r="R1016" s="17" t="str">
        <f t="shared" si="126"/>
        <v>03 1 02 53800313</v>
      </c>
    </row>
    <row r="1017" spans="1:18" s="17" customFormat="1" ht="31.5">
      <c r="A1017" s="14"/>
      <c r="B1017" s="149" t="s">
        <v>627</v>
      </c>
      <c r="C1017" s="109" t="s">
        <v>595</v>
      </c>
      <c r="D1017" s="108" t="s">
        <v>317</v>
      </c>
      <c r="E1017" s="108" t="s">
        <v>13</v>
      </c>
      <c r="F1017" s="108" t="s">
        <v>628</v>
      </c>
      <c r="G1017" s="108" t="s">
        <v>9</v>
      </c>
      <c r="H1017" s="126">
        <f>H1018+H1020</f>
        <v>0</v>
      </c>
      <c r="I1017" s="178" t="str">
        <f t="shared" si="127"/>
        <v>609100303 1 02 76260000</v>
      </c>
      <c r="L1017" s="37">
        <v>284.65000000000003</v>
      </c>
      <c r="M1017" s="37">
        <v>284.65000000000003</v>
      </c>
      <c r="N1017" s="37">
        <v>284.65000000000003</v>
      </c>
      <c r="O1017" s="37">
        <f>H1017-L1017</f>
        <v>-284.65000000000003</v>
      </c>
      <c r="P1017" s="37" t="e">
        <f>#REF!-M1017</f>
        <v>#REF!</v>
      </c>
      <c r="Q1017" s="37" t="e">
        <f>#REF!-N1017</f>
        <v>#REF!</v>
      </c>
      <c r="R1017" s="17" t="str">
        <f t="shared" si="126"/>
        <v>03 1 02 76260000</v>
      </c>
    </row>
    <row r="1018" spans="1:18" s="17" customFormat="1" ht="31.5">
      <c r="A1018" s="14"/>
      <c r="B1018" s="125" t="s">
        <v>28</v>
      </c>
      <c r="C1018" s="109" t="s">
        <v>595</v>
      </c>
      <c r="D1018" s="108" t="s">
        <v>317</v>
      </c>
      <c r="E1018" s="108" t="s">
        <v>13</v>
      </c>
      <c r="F1018" s="108" t="s">
        <v>628</v>
      </c>
      <c r="G1018" s="108" t="s">
        <v>29</v>
      </c>
      <c r="H1018" s="126">
        <f>H1019</f>
        <v>0</v>
      </c>
      <c r="I1018" s="178" t="str">
        <f t="shared" si="127"/>
        <v>609100303 1 02 76260240</v>
      </c>
      <c r="L1018" s="37">
        <v>3.79</v>
      </c>
      <c r="M1018" s="37">
        <v>3.79</v>
      </c>
      <c r="N1018" s="37">
        <v>3.79</v>
      </c>
      <c r="O1018" s="37">
        <f>H1018-L1018</f>
        <v>-3.79</v>
      </c>
      <c r="P1018" s="37" t="e">
        <f>#REF!-M1018</f>
        <v>#REF!</v>
      </c>
      <c r="Q1018" s="37" t="e">
        <f>#REF!-N1018</f>
        <v>#REF!</v>
      </c>
      <c r="R1018" s="17" t="str">
        <f t="shared" si="126"/>
        <v>03 1 02 76260240</v>
      </c>
    </row>
    <row r="1019" spans="1:18" s="17" customFormat="1" ht="15.75">
      <c r="A1019" s="14"/>
      <c r="B1019" s="125" t="s">
        <v>30</v>
      </c>
      <c r="C1019" s="109" t="s">
        <v>595</v>
      </c>
      <c r="D1019" s="108" t="s">
        <v>317</v>
      </c>
      <c r="E1019" s="108" t="s">
        <v>13</v>
      </c>
      <c r="F1019" s="108" t="s">
        <v>628</v>
      </c>
      <c r="G1019" s="108" t="s">
        <v>31</v>
      </c>
      <c r="H1019" s="126"/>
      <c r="I1019" s="178" t="str">
        <f t="shared" si="127"/>
        <v>609100303 1 02 76260244</v>
      </c>
      <c r="L1019" s="37"/>
      <c r="M1019" s="37"/>
      <c r="N1019" s="37"/>
      <c r="O1019" s="37"/>
      <c r="P1019" s="37"/>
      <c r="Q1019" s="37"/>
      <c r="R1019" s="17" t="str">
        <f t="shared" si="126"/>
        <v>03 1 02 76260244</v>
      </c>
    </row>
    <row r="1020" spans="1:18" s="17" customFormat="1" ht="31.5">
      <c r="A1020" s="14"/>
      <c r="B1020" s="132" t="s">
        <v>493</v>
      </c>
      <c r="C1020" s="109" t="s">
        <v>595</v>
      </c>
      <c r="D1020" s="108" t="s">
        <v>317</v>
      </c>
      <c r="E1020" s="108" t="s">
        <v>13</v>
      </c>
      <c r="F1020" s="108" t="s">
        <v>628</v>
      </c>
      <c r="G1020" s="108" t="s">
        <v>494</v>
      </c>
      <c r="H1020" s="126">
        <f>H1021</f>
        <v>0</v>
      </c>
      <c r="I1020" s="178" t="str">
        <f t="shared" si="127"/>
        <v>609100303 1 02 76260310</v>
      </c>
      <c r="L1020" s="37">
        <v>280.86</v>
      </c>
      <c r="M1020" s="37">
        <v>280.86</v>
      </c>
      <c r="N1020" s="37">
        <v>280.86</v>
      </c>
      <c r="O1020" s="37">
        <f>H1020-L1020</f>
        <v>-280.86</v>
      </c>
      <c r="P1020" s="37" t="e">
        <f>#REF!-M1020</f>
        <v>#REF!</v>
      </c>
      <c r="Q1020" s="37" t="e">
        <f>#REF!-N1020</f>
        <v>#REF!</v>
      </c>
      <c r="R1020" s="17" t="str">
        <f t="shared" si="126"/>
        <v>03 1 02 76260310</v>
      </c>
    </row>
    <row r="1021" spans="1:18" s="17" customFormat="1" ht="31.5">
      <c r="A1021" s="14"/>
      <c r="B1021" s="127" t="s">
        <v>495</v>
      </c>
      <c r="C1021" s="109" t="s">
        <v>595</v>
      </c>
      <c r="D1021" s="108" t="s">
        <v>317</v>
      </c>
      <c r="E1021" s="108" t="s">
        <v>13</v>
      </c>
      <c r="F1021" s="108" t="s">
        <v>628</v>
      </c>
      <c r="G1021" s="108" t="s">
        <v>496</v>
      </c>
      <c r="H1021" s="126"/>
      <c r="I1021" s="178" t="str">
        <f t="shared" si="127"/>
        <v>609100303 1 02 76260313</v>
      </c>
      <c r="L1021" s="37"/>
      <c r="M1021" s="37"/>
      <c r="N1021" s="37"/>
      <c r="O1021" s="37"/>
      <c r="P1021" s="37"/>
      <c r="Q1021" s="37"/>
      <c r="R1021" s="17" t="str">
        <f t="shared" si="126"/>
        <v>03 1 02 76260313</v>
      </c>
    </row>
    <row r="1022" spans="1:18" s="17" customFormat="1" ht="94.5">
      <c r="A1022" s="14"/>
      <c r="B1022" s="150" t="s">
        <v>629</v>
      </c>
      <c r="C1022" s="130" t="s">
        <v>595</v>
      </c>
      <c r="D1022" s="131" t="s">
        <v>317</v>
      </c>
      <c r="E1022" s="131" t="s">
        <v>13</v>
      </c>
      <c r="F1022" s="131" t="s">
        <v>630</v>
      </c>
      <c r="G1022" s="131" t="s">
        <v>9</v>
      </c>
      <c r="H1022" s="126">
        <f>H1025+H1023</f>
        <v>0</v>
      </c>
      <c r="I1022" s="178" t="str">
        <f t="shared" si="127"/>
        <v>609100303 1 02 77190000</v>
      </c>
      <c r="L1022" s="36">
        <v>2933.28</v>
      </c>
      <c r="M1022" s="36">
        <v>2933.28</v>
      </c>
      <c r="N1022" s="36">
        <v>2933.28</v>
      </c>
      <c r="O1022" s="36">
        <f>H1022-L1022</f>
        <v>-2933.28</v>
      </c>
      <c r="P1022" s="36" t="e">
        <f>#REF!-M1022</f>
        <v>#REF!</v>
      </c>
      <c r="Q1022" s="36" t="e">
        <f>#REF!-N1022</f>
        <v>#REF!</v>
      </c>
      <c r="R1022" s="17" t="str">
        <f t="shared" si="126"/>
        <v>03 1 02 77190000</v>
      </c>
    </row>
    <row r="1023" spans="1:18" s="17" customFormat="1" ht="31.5">
      <c r="A1023" s="14"/>
      <c r="B1023" s="125" t="s">
        <v>28</v>
      </c>
      <c r="C1023" s="130" t="s">
        <v>595</v>
      </c>
      <c r="D1023" s="131" t="s">
        <v>317</v>
      </c>
      <c r="E1023" s="131" t="s">
        <v>13</v>
      </c>
      <c r="F1023" s="131" t="s">
        <v>630</v>
      </c>
      <c r="G1023" s="131" t="s">
        <v>29</v>
      </c>
      <c r="H1023" s="126">
        <f>H1024</f>
        <v>0</v>
      </c>
      <c r="I1023" s="178" t="str">
        <f t="shared" si="127"/>
        <v>609100303 1 02 77190240</v>
      </c>
      <c r="L1023" s="37">
        <v>39.07</v>
      </c>
      <c r="M1023" s="37">
        <v>39.07</v>
      </c>
      <c r="N1023" s="37">
        <v>39.07</v>
      </c>
      <c r="O1023" s="37">
        <f>H1023-L1023</f>
        <v>-39.07</v>
      </c>
      <c r="P1023" s="37" t="e">
        <f>#REF!-M1023</f>
        <v>#REF!</v>
      </c>
      <c r="Q1023" s="37" t="e">
        <f>#REF!-N1023</f>
        <v>#REF!</v>
      </c>
      <c r="R1023" s="17" t="str">
        <f t="shared" si="126"/>
        <v>03 1 02 77190240</v>
      </c>
    </row>
    <row r="1024" spans="1:18" s="17" customFormat="1" ht="15.75">
      <c r="A1024" s="14"/>
      <c r="B1024" s="125" t="s">
        <v>30</v>
      </c>
      <c r="C1024" s="130" t="s">
        <v>595</v>
      </c>
      <c r="D1024" s="131" t="s">
        <v>317</v>
      </c>
      <c r="E1024" s="131" t="s">
        <v>13</v>
      </c>
      <c r="F1024" s="131" t="s">
        <v>630</v>
      </c>
      <c r="G1024" s="131" t="s">
        <v>31</v>
      </c>
      <c r="H1024" s="126"/>
      <c r="I1024" s="178" t="str">
        <f t="shared" si="127"/>
        <v>609100303 1 02 77190244</v>
      </c>
      <c r="L1024" s="37"/>
      <c r="M1024" s="37"/>
      <c r="N1024" s="37"/>
      <c r="O1024" s="37"/>
      <c r="P1024" s="37"/>
      <c r="Q1024" s="37"/>
      <c r="R1024" s="17" t="str">
        <f t="shared" si="126"/>
        <v>03 1 02 77190244</v>
      </c>
    </row>
    <row r="1025" spans="1:18" s="17" customFormat="1" ht="31.5">
      <c r="A1025" s="14"/>
      <c r="B1025" s="140" t="s">
        <v>493</v>
      </c>
      <c r="C1025" s="130" t="s">
        <v>595</v>
      </c>
      <c r="D1025" s="131" t="s">
        <v>317</v>
      </c>
      <c r="E1025" s="131" t="s">
        <v>13</v>
      </c>
      <c r="F1025" s="131" t="s">
        <v>630</v>
      </c>
      <c r="G1025" s="131" t="s">
        <v>494</v>
      </c>
      <c r="H1025" s="126">
        <f>H1026</f>
        <v>0</v>
      </c>
      <c r="I1025" s="178" t="str">
        <f t="shared" si="127"/>
        <v>609100303 1 02 77190310</v>
      </c>
      <c r="L1025" s="37">
        <v>2894.21</v>
      </c>
      <c r="M1025" s="37">
        <v>2894.21</v>
      </c>
      <c r="N1025" s="37">
        <v>2894.21</v>
      </c>
      <c r="O1025" s="37">
        <f>H1025-L1025</f>
        <v>-2894.21</v>
      </c>
      <c r="P1025" s="37" t="e">
        <f>#REF!-M1025</f>
        <v>#REF!</v>
      </c>
      <c r="Q1025" s="37" t="e">
        <f>#REF!-N1025</f>
        <v>#REF!</v>
      </c>
      <c r="R1025" s="17" t="str">
        <f t="shared" si="126"/>
        <v>03 1 02 77190310</v>
      </c>
    </row>
    <row r="1026" spans="1:18" s="17" customFormat="1" ht="31.5">
      <c r="A1026" s="14"/>
      <c r="B1026" s="127" t="s">
        <v>495</v>
      </c>
      <c r="C1026" s="130" t="s">
        <v>595</v>
      </c>
      <c r="D1026" s="131" t="s">
        <v>317</v>
      </c>
      <c r="E1026" s="131" t="s">
        <v>13</v>
      </c>
      <c r="F1026" s="131" t="s">
        <v>630</v>
      </c>
      <c r="G1026" s="131" t="s">
        <v>496</v>
      </c>
      <c r="H1026" s="126"/>
      <c r="I1026" s="178" t="str">
        <f t="shared" si="127"/>
        <v>609100303 1 02 77190313</v>
      </c>
      <c r="L1026" s="37"/>
      <c r="M1026" s="37"/>
      <c r="N1026" s="37"/>
      <c r="O1026" s="37"/>
      <c r="P1026" s="37"/>
      <c r="Q1026" s="37"/>
      <c r="R1026" s="17" t="str">
        <f t="shared" si="126"/>
        <v>03 1 02 77190313</v>
      </c>
    </row>
    <row r="1027" spans="1:18" s="17" customFormat="1" ht="47.25">
      <c r="A1027" s="14"/>
      <c r="B1027" s="150" t="s">
        <v>631</v>
      </c>
      <c r="C1027" s="109" t="s">
        <v>595</v>
      </c>
      <c r="D1027" s="108" t="s">
        <v>317</v>
      </c>
      <c r="E1027" s="108" t="s">
        <v>13</v>
      </c>
      <c r="F1027" s="108" t="s">
        <v>632</v>
      </c>
      <c r="G1027" s="108" t="s">
        <v>9</v>
      </c>
      <c r="H1027" s="126">
        <f>H1028+H1030</f>
        <v>0</v>
      </c>
      <c r="I1027" s="178" t="str">
        <f t="shared" si="127"/>
        <v>609100303 1 02 78280000</v>
      </c>
      <c r="L1027" s="37">
        <v>43129.83</v>
      </c>
      <c r="M1027" s="37">
        <v>47693.11</v>
      </c>
      <c r="N1027" s="37">
        <v>54845.43</v>
      </c>
      <c r="O1027" s="37">
        <f>H1027-L1027</f>
        <v>-43129.83</v>
      </c>
      <c r="P1027" s="37" t="e">
        <f>#REF!-M1027</f>
        <v>#REF!</v>
      </c>
      <c r="Q1027" s="37" t="e">
        <f>#REF!-N1027</f>
        <v>#REF!</v>
      </c>
      <c r="R1027" s="17" t="str">
        <f t="shared" si="126"/>
        <v>03 1 02 78280000</v>
      </c>
    </row>
    <row r="1028" spans="1:18" s="17" customFormat="1" ht="31.5">
      <c r="A1028" s="14"/>
      <c r="B1028" s="125" t="s">
        <v>28</v>
      </c>
      <c r="C1028" s="109" t="s">
        <v>595</v>
      </c>
      <c r="D1028" s="108" t="s">
        <v>317</v>
      </c>
      <c r="E1028" s="108" t="s">
        <v>13</v>
      </c>
      <c r="F1028" s="108" t="s">
        <v>632</v>
      </c>
      <c r="G1028" s="108" t="s">
        <v>29</v>
      </c>
      <c r="H1028" s="126">
        <f>H1029</f>
        <v>0</v>
      </c>
      <c r="I1028" s="178" t="str">
        <f t="shared" si="127"/>
        <v>609100303 1 02 78280240</v>
      </c>
      <c r="L1028" s="37">
        <v>516.66999999999996</v>
      </c>
      <c r="M1028" s="37">
        <v>582.41</v>
      </c>
      <c r="N1028" s="37">
        <v>662.53</v>
      </c>
      <c r="O1028" s="37">
        <f>H1028-L1028</f>
        <v>-516.66999999999996</v>
      </c>
      <c r="P1028" s="37" t="e">
        <f>#REF!-M1028</f>
        <v>#REF!</v>
      </c>
      <c r="Q1028" s="37" t="e">
        <f>#REF!-N1028</f>
        <v>#REF!</v>
      </c>
      <c r="R1028" s="17" t="str">
        <f t="shared" si="126"/>
        <v>03 1 02 78280240</v>
      </c>
    </row>
    <row r="1029" spans="1:18" s="17" customFormat="1" ht="15.75">
      <c r="A1029" s="14"/>
      <c r="B1029" s="125" t="s">
        <v>30</v>
      </c>
      <c r="C1029" s="109" t="s">
        <v>595</v>
      </c>
      <c r="D1029" s="108" t="s">
        <v>317</v>
      </c>
      <c r="E1029" s="108" t="s">
        <v>13</v>
      </c>
      <c r="F1029" s="108" t="s">
        <v>632</v>
      </c>
      <c r="G1029" s="108" t="s">
        <v>31</v>
      </c>
      <c r="H1029" s="126"/>
      <c r="I1029" s="178" t="str">
        <f t="shared" si="127"/>
        <v>609100303 1 02 78280244</v>
      </c>
      <c r="L1029" s="37"/>
      <c r="M1029" s="37"/>
      <c r="N1029" s="37"/>
      <c r="O1029" s="37"/>
      <c r="P1029" s="37"/>
      <c r="Q1029" s="37"/>
      <c r="R1029" s="17" t="str">
        <f t="shared" si="126"/>
        <v>03 1 02 78280244</v>
      </c>
    </row>
    <row r="1030" spans="1:18" s="17" customFormat="1" ht="31.5">
      <c r="A1030" s="14"/>
      <c r="B1030" s="132" t="s">
        <v>493</v>
      </c>
      <c r="C1030" s="109" t="s">
        <v>595</v>
      </c>
      <c r="D1030" s="108" t="s">
        <v>317</v>
      </c>
      <c r="E1030" s="108" t="s">
        <v>13</v>
      </c>
      <c r="F1030" s="108" t="s">
        <v>632</v>
      </c>
      <c r="G1030" s="108" t="s">
        <v>494</v>
      </c>
      <c r="H1030" s="126">
        <f>H1031</f>
        <v>0</v>
      </c>
      <c r="I1030" s="178" t="str">
        <f t="shared" si="127"/>
        <v>609100303 1 02 78280310</v>
      </c>
      <c r="L1030" s="37">
        <v>42613.16</v>
      </c>
      <c r="M1030" s="37">
        <v>47110.7</v>
      </c>
      <c r="N1030" s="37">
        <v>54182.9</v>
      </c>
      <c r="O1030" s="37">
        <f>H1030-L1030</f>
        <v>-42613.16</v>
      </c>
      <c r="P1030" s="37" t="e">
        <f>#REF!-M1030</f>
        <v>#REF!</v>
      </c>
      <c r="Q1030" s="37" t="e">
        <f>#REF!-N1030</f>
        <v>#REF!</v>
      </c>
      <c r="R1030" s="17" t="str">
        <f t="shared" si="126"/>
        <v>03 1 02 78280310</v>
      </c>
    </row>
    <row r="1031" spans="1:18" s="17" customFormat="1" ht="31.5">
      <c r="A1031" s="14"/>
      <c r="B1031" s="127" t="s">
        <v>495</v>
      </c>
      <c r="C1031" s="109" t="s">
        <v>595</v>
      </c>
      <c r="D1031" s="108" t="s">
        <v>317</v>
      </c>
      <c r="E1031" s="108" t="s">
        <v>13</v>
      </c>
      <c r="F1031" s="108" t="s">
        <v>632</v>
      </c>
      <c r="G1031" s="108" t="s">
        <v>496</v>
      </c>
      <c r="H1031" s="126"/>
      <c r="I1031" s="178" t="str">
        <f t="shared" si="127"/>
        <v>609100303 1 02 78280313</v>
      </c>
      <c r="L1031" s="37"/>
      <c r="M1031" s="37"/>
      <c r="N1031" s="37"/>
      <c r="O1031" s="37"/>
      <c r="P1031" s="37"/>
      <c r="Q1031" s="37"/>
      <c r="R1031" s="17" t="str">
        <f t="shared" si="126"/>
        <v>03 1 02 78280313</v>
      </c>
    </row>
    <row r="1032" spans="1:18" s="17" customFormat="1" ht="63">
      <c r="A1032" s="14"/>
      <c r="B1032" s="132" t="s">
        <v>387</v>
      </c>
      <c r="C1032" s="109" t="s">
        <v>595</v>
      </c>
      <c r="D1032" s="108" t="s">
        <v>317</v>
      </c>
      <c r="E1032" s="108" t="s">
        <v>13</v>
      </c>
      <c r="F1032" s="108" t="s">
        <v>388</v>
      </c>
      <c r="G1032" s="108" t="s">
        <v>9</v>
      </c>
      <c r="H1032" s="126">
        <f>H1033+H1070+H1074+H1078</f>
        <v>0</v>
      </c>
      <c r="I1032" s="178" t="str">
        <f t="shared" si="127"/>
        <v>609100303 2 00 00000000</v>
      </c>
      <c r="L1032" s="37">
        <v>20720.739999999998</v>
      </c>
      <c r="M1032" s="37">
        <v>20786.739999999998</v>
      </c>
      <c r="N1032" s="37">
        <v>50833.09</v>
      </c>
      <c r="O1032" s="37">
        <f>H1032-L1032</f>
        <v>-20720.739999999998</v>
      </c>
      <c r="P1032" s="37" t="e">
        <f>#REF!-M1032</f>
        <v>#REF!</v>
      </c>
      <c r="Q1032" s="37" t="e">
        <f>#REF!-N1032</f>
        <v>#REF!</v>
      </c>
      <c r="R1032" s="17" t="str">
        <f t="shared" si="126"/>
        <v>03 2 00 00000000</v>
      </c>
    </row>
    <row r="1033" spans="1:18" s="17" customFormat="1" ht="47.25">
      <c r="A1033" s="14"/>
      <c r="B1033" s="148" t="s">
        <v>633</v>
      </c>
      <c r="C1033" s="109" t="s">
        <v>595</v>
      </c>
      <c r="D1033" s="108" t="s">
        <v>317</v>
      </c>
      <c r="E1033" s="108" t="s">
        <v>13</v>
      </c>
      <c r="F1033" s="108" t="s">
        <v>634</v>
      </c>
      <c r="G1033" s="108" t="s">
        <v>9</v>
      </c>
      <c r="H1033" s="126">
        <f>H1034+H1037+H1043+H1046+H1049+H1052+H1058+H1061+H1064+H1067+H1040+H1055</f>
        <v>0</v>
      </c>
      <c r="I1033" s="178" t="str">
        <f t="shared" si="127"/>
        <v>609100303 2 01 00000000</v>
      </c>
      <c r="L1033" s="37">
        <v>20539.739999999998</v>
      </c>
      <c r="M1033" s="37">
        <v>20605.739999999998</v>
      </c>
      <c r="N1033" s="37">
        <v>50652.09</v>
      </c>
      <c r="O1033" s="37">
        <f>H1033-L1033</f>
        <v>-20539.739999999998</v>
      </c>
      <c r="P1033" s="37" t="e">
        <f>#REF!-M1033</f>
        <v>#REF!</v>
      </c>
      <c r="Q1033" s="37" t="e">
        <f>#REF!-N1033</f>
        <v>#REF!</v>
      </c>
      <c r="R1033" s="17" t="str">
        <f t="shared" si="126"/>
        <v>03 2 01 00000000</v>
      </c>
    </row>
    <row r="1034" spans="1:18" s="17" customFormat="1" ht="63">
      <c r="A1034" s="14"/>
      <c r="B1034" s="149" t="s">
        <v>635</v>
      </c>
      <c r="C1034" s="109" t="s">
        <v>595</v>
      </c>
      <c r="D1034" s="108" t="s">
        <v>317</v>
      </c>
      <c r="E1034" s="108" t="s">
        <v>13</v>
      </c>
      <c r="F1034" s="108" t="s">
        <v>636</v>
      </c>
      <c r="G1034" s="108" t="s">
        <v>9</v>
      </c>
      <c r="H1034" s="126">
        <f>H1035</f>
        <v>0</v>
      </c>
      <c r="I1034" s="178" t="str">
        <f t="shared" si="127"/>
        <v>609100303 2 01 80030000</v>
      </c>
      <c r="L1034" s="37">
        <v>6350</v>
      </c>
      <c r="M1034" s="37">
        <v>6350</v>
      </c>
      <c r="N1034" s="37">
        <v>6350</v>
      </c>
      <c r="O1034" s="37">
        <f>H1034-L1034</f>
        <v>-6350</v>
      </c>
      <c r="P1034" s="37" t="e">
        <f>#REF!-M1034</f>
        <v>#REF!</v>
      </c>
      <c r="Q1034" s="37" t="e">
        <f>#REF!-N1034</f>
        <v>#REF!</v>
      </c>
      <c r="R1034" s="17" t="str">
        <f t="shared" si="126"/>
        <v>03 2 01 80030000</v>
      </c>
    </row>
    <row r="1035" spans="1:18" s="17" customFormat="1" ht="31.5">
      <c r="A1035" s="14"/>
      <c r="B1035" s="132" t="s">
        <v>493</v>
      </c>
      <c r="C1035" s="109" t="s">
        <v>595</v>
      </c>
      <c r="D1035" s="108" t="s">
        <v>317</v>
      </c>
      <c r="E1035" s="108" t="s">
        <v>13</v>
      </c>
      <c r="F1035" s="108" t="s">
        <v>636</v>
      </c>
      <c r="G1035" s="108" t="s">
        <v>494</v>
      </c>
      <c r="H1035" s="126">
        <f>H1036</f>
        <v>0</v>
      </c>
      <c r="I1035" s="178" t="str">
        <f t="shared" si="127"/>
        <v>609100303 2 01 80030310</v>
      </c>
      <c r="L1035" s="37">
        <v>6350</v>
      </c>
      <c r="M1035" s="37">
        <v>6350</v>
      </c>
      <c r="N1035" s="37">
        <v>6350</v>
      </c>
      <c r="O1035" s="37">
        <f>H1035-L1035</f>
        <v>-6350</v>
      </c>
      <c r="P1035" s="37" t="e">
        <f>#REF!-M1035</f>
        <v>#REF!</v>
      </c>
      <c r="Q1035" s="37" t="e">
        <f>#REF!-N1035</f>
        <v>#REF!</v>
      </c>
      <c r="R1035" s="17" t="str">
        <f t="shared" si="126"/>
        <v>03 2 01 80030310</v>
      </c>
    </row>
    <row r="1036" spans="1:18" s="17" customFormat="1" ht="31.5">
      <c r="A1036" s="14"/>
      <c r="B1036" s="127" t="s">
        <v>495</v>
      </c>
      <c r="C1036" s="109" t="s">
        <v>595</v>
      </c>
      <c r="D1036" s="108" t="s">
        <v>317</v>
      </c>
      <c r="E1036" s="108" t="s">
        <v>13</v>
      </c>
      <c r="F1036" s="108" t="s">
        <v>636</v>
      </c>
      <c r="G1036" s="108" t="s">
        <v>496</v>
      </c>
      <c r="H1036" s="126"/>
      <c r="I1036" s="178" t="str">
        <f t="shared" si="127"/>
        <v>609100303 2 01 80030313</v>
      </c>
      <c r="L1036" s="37"/>
      <c r="M1036" s="37"/>
      <c r="N1036" s="37"/>
      <c r="O1036" s="37"/>
      <c r="P1036" s="37"/>
      <c r="Q1036" s="37"/>
    </row>
    <row r="1037" spans="1:18" s="17" customFormat="1" ht="63">
      <c r="A1037" s="14"/>
      <c r="B1037" s="149" t="s">
        <v>637</v>
      </c>
      <c r="C1037" s="109" t="s">
        <v>595</v>
      </c>
      <c r="D1037" s="108" t="s">
        <v>317</v>
      </c>
      <c r="E1037" s="108" t="s">
        <v>13</v>
      </c>
      <c r="F1037" s="108" t="s">
        <v>638</v>
      </c>
      <c r="G1037" s="108" t="s">
        <v>9</v>
      </c>
      <c r="H1037" s="126">
        <f>H1038</f>
        <v>0</v>
      </c>
      <c r="I1037" s="178" t="str">
        <f t="shared" si="127"/>
        <v>609100303 2 01 80070000</v>
      </c>
      <c r="L1037" s="37">
        <v>694.28</v>
      </c>
      <c r="M1037" s="37">
        <v>694.28</v>
      </c>
      <c r="N1037" s="37">
        <v>694.28</v>
      </c>
      <c r="O1037" s="37">
        <f>H1037-L1037</f>
        <v>-694.28</v>
      </c>
      <c r="P1037" s="37" t="e">
        <f>#REF!-M1037</f>
        <v>#REF!</v>
      </c>
      <c r="Q1037" s="37" t="e">
        <f>#REF!-N1037</f>
        <v>#REF!</v>
      </c>
      <c r="R1037" s="17" t="str">
        <f t="shared" si="126"/>
        <v>03 2 01 80070000</v>
      </c>
    </row>
    <row r="1038" spans="1:18" s="17" customFormat="1" ht="31.5">
      <c r="A1038" s="14"/>
      <c r="B1038" s="132" t="s">
        <v>493</v>
      </c>
      <c r="C1038" s="109" t="s">
        <v>595</v>
      </c>
      <c r="D1038" s="108" t="s">
        <v>317</v>
      </c>
      <c r="E1038" s="108" t="s">
        <v>13</v>
      </c>
      <c r="F1038" s="108" t="s">
        <v>638</v>
      </c>
      <c r="G1038" s="108" t="s">
        <v>494</v>
      </c>
      <c r="H1038" s="126">
        <f>H1039</f>
        <v>0</v>
      </c>
      <c r="I1038" s="178" t="str">
        <f t="shared" si="127"/>
        <v>609100303 2 01 80070310</v>
      </c>
      <c r="L1038" s="37">
        <v>694.28</v>
      </c>
      <c r="M1038" s="37">
        <v>694.28</v>
      </c>
      <c r="N1038" s="37">
        <v>694.28</v>
      </c>
      <c r="O1038" s="37">
        <f>H1038-L1038</f>
        <v>-694.28</v>
      </c>
      <c r="P1038" s="37" t="e">
        <f>#REF!-M1038</f>
        <v>#REF!</v>
      </c>
      <c r="Q1038" s="37" t="e">
        <f>#REF!-N1038</f>
        <v>#REF!</v>
      </c>
      <c r="R1038" s="17" t="str">
        <f t="shared" si="126"/>
        <v>03 2 01 80070310</v>
      </c>
    </row>
    <row r="1039" spans="1:18" s="17" customFormat="1" ht="31.5">
      <c r="A1039" s="14"/>
      <c r="B1039" s="127" t="s">
        <v>495</v>
      </c>
      <c r="C1039" s="109" t="s">
        <v>595</v>
      </c>
      <c r="D1039" s="108" t="s">
        <v>317</v>
      </c>
      <c r="E1039" s="108" t="s">
        <v>13</v>
      </c>
      <c r="F1039" s="108" t="s">
        <v>638</v>
      </c>
      <c r="G1039" s="108" t="s">
        <v>496</v>
      </c>
      <c r="H1039" s="126"/>
      <c r="I1039" s="178" t="str">
        <f t="shared" si="127"/>
        <v>609100303 2 01 80070313</v>
      </c>
      <c r="L1039" s="37"/>
      <c r="M1039" s="37"/>
      <c r="N1039" s="37"/>
      <c r="O1039" s="37"/>
      <c r="P1039" s="37"/>
      <c r="Q1039" s="37"/>
      <c r="R1039" s="17" t="str">
        <f t="shared" si="126"/>
        <v>03 2 01 80070313</v>
      </c>
    </row>
    <row r="1040" spans="1:18" s="17" customFormat="1" ht="31.5">
      <c r="A1040" s="14"/>
      <c r="B1040" s="149" t="s">
        <v>639</v>
      </c>
      <c r="C1040" s="109" t="s">
        <v>595</v>
      </c>
      <c r="D1040" s="108" t="s">
        <v>317</v>
      </c>
      <c r="E1040" s="108" t="s">
        <v>13</v>
      </c>
      <c r="F1040" s="108" t="s">
        <v>640</v>
      </c>
      <c r="G1040" s="108" t="s">
        <v>9</v>
      </c>
      <c r="H1040" s="126">
        <f>H1041</f>
        <v>0</v>
      </c>
      <c r="I1040" s="178" t="str">
        <f t="shared" si="127"/>
        <v>609100303 2 01 80080000</v>
      </c>
      <c r="L1040" s="37">
        <v>1664</v>
      </c>
      <c r="M1040" s="37">
        <v>1730</v>
      </c>
      <c r="N1040" s="37">
        <v>1944.35</v>
      </c>
      <c r="O1040" s="37">
        <f>H1040-L1040</f>
        <v>-1664</v>
      </c>
      <c r="P1040" s="37" t="e">
        <f>#REF!-M1040</f>
        <v>#REF!</v>
      </c>
      <c r="Q1040" s="37" t="e">
        <f>#REF!-N1040</f>
        <v>#REF!</v>
      </c>
      <c r="R1040" s="17" t="str">
        <f t="shared" si="126"/>
        <v>03 2 01 80080000</v>
      </c>
    </row>
    <row r="1041" spans="1:18" s="17" customFormat="1" ht="31.5">
      <c r="A1041" s="14"/>
      <c r="B1041" s="132" t="s">
        <v>493</v>
      </c>
      <c r="C1041" s="109" t="s">
        <v>595</v>
      </c>
      <c r="D1041" s="108" t="s">
        <v>317</v>
      </c>
      <c r="E1041" s="108" t="s">
        <v>13</v>
      </c>
      <c r="F1041" s="108" t="s">
        <v>640</v>
      </c>
      <c r="G1041" s="108" t="s">
        <v>494</v>
      </c>
      <c r="H1041" s="126">
        <f>H1042</f>
        <v>0</v>
      </c>
      <c r="I1041" s="178" t="str">
        <f t="shared" si="127"/>
        <v>609100303 2 01 80080310</v>
      </c>
      <c r="L1041" s="37">
        <v>1664</v>
      </c>
      <c r="M1041" s="37">
        <v>1730</v>
      </c>
      <c r="N1041" s="37">
        <v>1944.35</v>
      </c>
      <c r="O1041" s="37">
        <f>H1041-L1041</f>
        <v>-1664</v>
      </c>
      <c r="P1041" s="37" t="e">
        <f>#REF!-M1041</f>
        <v>#REF!</v>
      </c>
      <c r="Q1041" s="37" t="e">
        <f>#REF!-N1041</f>
        <v>#REF!</v>
      </c>
      <c r="R1041" s="17" t="str">
        <f t="shared" si="126"/>
        <v>03 2 01 80080310</v>
      </c>
    </row>
    <row r="1042" spans="1:18" s="17" customFormat="1" ht="31.5">
      <c r="A1042" s="14"/>
      <c r="B1042" s="127" t="s">
        <v>495</v>
      </c>
      <c r="C1042" s="109" t="s">
        <v>595</v>
      </c>
      <c r="D1042" s="108" t="s">
        <v>317</v>
      </c>
      <c r="E1042" s="108" t="s">
        <v>13</v>
      </c>
      <c r="F1042" s="108" t="s">
        <v>640</v>
      </c>
      <c r="G1042" s="108" t="s">
        <v>496</v>
      </c>
      <c r="H1042" s="126"/>
      <c r="I1042" s="178" t="str">
        <f t="shared" si="127"/>
        <v>609100303 2 01 80080313</v>
      </c>
      <c r="L1042" s="37"/>
      <c r="M1042" s="37"/>
      <c r="N1042" s="37"/>
      <c r="O1042" s="37"/>
      <c r="P1042" s="37"/>
      <c r="Q1042" s="37"/>
    </row>
    <row r="1043" spans="1:18" s="17" customFormat="1" ht="31.5">
      <c r="A1043" s="14"/>
      <c r="B1043" s="149" t="s">
        <v>641</v>
      </c>
      <c r="C1043" s="109" t="s">
        <v>595</v>
      </c>
      <c r="D1043" s="108" t="s">
        <v>317</v>
      </c>
      <c r="E1043" s="108" t="s">
        <v>13</v>
      </c>
      <c r="F1043" s="108" t="s">
        <v>642</v>
      </c>
      <c r="G1043" s="108" t="s">
        <v>9</v>
      </c>
      <c r="H1043" s="126">
        <f>H1044</f>
        <v>0</v>
      </c>
      <c r="I1043" s="178" t="str">
        <f t="shared" si="127"/>
        <v>609100303 2 01 80100000</v>
      </c>
      <c r="L1043" s="37">
        <v>5718</v>
      </c>
      <c r="M1043" s="37">
        <v>5718</v>
      </c>
      <c r="N1043" s="37">
        <v>5718</v>
      </c>
      <c r="O1043" s="37">
        <f>H1043-L1043</f>
        <v>-5718</v>
      </c>
      <c r="P1043" s="37" t="e">
        <f>#REF!-M1043</f>
        <v>#REF!</v>
      </c>
      <c r="Q1043" s="37" t="e">
        <f>#REF!-N1043</f>
        <v>#REF!</v>
      </c>
      <c r="R1043" s="17" t="str">
        <f t="shared" si="126"/>
        <v>03 2 01 80100000</v>
      </c>
    </row>
    <row r="1044" spans="1:18" s="17" customFormat="1" ht="31.5">
      <c r="A1044" s="14"/>
      <c r="B1044" s="132" t="s">
        <v>493</v>
      </c>
      <c r="C1044" s="109" t="s">
        <v>595</v>
      </c>
      <c r="D1044" s="108" t="s">
        <v>317</v>
      </c>
      <c r="E1044" s="108" t="s">
        <v>13</v>
      </c>
      <c r="F1044" s="108" t="s">
        <v>642</v>
      </c>
      <c r="G1044" s="108" t="s">
        <v>494</v>
      </c>
      <c r="H1044" s="126">
        <f>H1045</f>
        <v>0</v>
      </c>
      <c r="I1044" s="178" t="str">
        <f t="shared" si="127"/>
        <v>609100303 2 01 80100310</v>
      </c>
      <c r="L1044" s="37">
        <v>5718</v>
      </c>
      <c r="M1044" s="37">
        <v>5718</v>
      </c>
      <c r="N1044" s="37">
        <v>5718</v>
      </c>
      <c r="O1044" s="37">
        <f>H1044-L1044</f>
        <v>-5718</v>
      </c>
      <c r="P1044" s="37" t="e">
        <f>#REF!-M1044</f>
        <v>#REF!</v>
      </c>
      <c r="Q1044" s="37" t="e">
        <f>#REF!-N1044</f>
        <v>#REF!</v>
      </c>
      <c r="R1044" s="17" t="str">
        <f t="shared" si="126"/>
        <v>03 2 01 80100310</v>
      </c>
    </row>
    <row r="1045" spans="1:18" s="17" customFormat="1" ht="31.5">
      <c r="A1045" s="14"/>
      <c r="B1045" s="127" t="s">
        <v>495</v>
      </c>
      <c r="C1045" s="109" t="s">
        <v>595</v>
      </c>
      <c r="D1045" s="108" t="s">
        <v>317</v>
      </c>
      <c r="E1045" s="108" t="s">
        <v>13</v>
      </c>
      <c r="F1045" s="108" t="s">
        <v>642</v>
      </c>
      <c r="G1045" s="108" t="s">
        <v>496</v>
      </c>
      <c r="H1045" s="126"/>
      <c r="I1045" s="178" t="str">
        <f t="shared" ref="I1045:I1108" si="128">C1045&amp;D1045&amp;E1045&amp;F1045&amp;G1045</f>
        <v>609100303 2 01 80100313</v>
      </c>
      <c r="L1045" s="37"/>
      <c r="M1045" s="37"/>
      <c r="N1045" s="37"/>
      <c r="O1045" s="37"/>
      <c r="P1045" s="37"/>
      <c r="Q1045" s="37"/>
      <c r="R1045" s="17" t="str">
        <f t="shared" si="126"/>
        <v>03 2 01 80100313</v>
      </c>
    </row>
    <row r="1046" spans="1:18" s="17" customFormat="1" ht="47.25">
      <c r="A1046" s="14"/>
      <c r="B1046" s="149" t="s">
        <v>643</v>
      </c>
      <c r="C1046" s="109" t="s">
        <v>595</v>
      </c>
      <c r="D1046" s="108" t="s">
        <v>317</v>
      </c>
      <c r="E1046" s="108" t="s">
        <v>13</v>
      </c>
      <c r="F1046" s="108" t="s">
        <v>644</v>
      </c>
      <c r="G1046" s="108" t="s">
        <v>9</v>
      </c>
      <c r="H1046" s="126">
        <f>H1047</f>
        <v>0</v>
      </c>
      <c r="I1046" s="178" t="str">
        <f t="shared" si="128"/>
        <v>609100303 2 01 80110000</v>
      </c>
      <c r="L1046" s="37">
        <v>1080</v>
      </c>
      <c r="M1046" s="37">
        <v>1080</v>
      </c>
      <c r="N1046" s="37">
        <v>1080</v>
      </c>
      <c r="O1046" s="37">
        <f>H1046-L1046</f>
        <v>-1080</v>
      </c>
      <c r="P1046" s="37" t="e">
        <f>#REF!-M1046</f>
        <v>#REF!</v>
      </c>
      <c r="Q1046" s="37" t="e">
        <f>#REF!-N1046</f>
        <v>#REF!</v>
      </c>
      <c r="R1046" s="17" t="str">
        <f t="shared" si="126"/>
        <v>03 2 01 80110000</v>
      </c>
    </row>
    <row r="1047" spans="1:18" s="17" customFormat="1" ht="31.5">
      <c r="A1047" s="14"/>
      <c r="B1047" s="132" t="s">
        <v>493</v>
      </c>
      <c r="C1047" s="109" t="s">
        <v>595</v>
      </c>
      <c r="D1047" s="108" t="s">
        <v>317</v>
      </c>
      <c r="E1047" s="108" t="s">
        <v>13</v>
      </c>
      <c r="F1047" s="108" t="s">
        <v>644</v>
      </c>
      <c r="G1047" s="108" t="s">
        <v>494</v>
      </c>
      <c r="H1047" s="126">
        <f>H1048</f>
        <v>0</v>
      </c>
      <c r="I1047" s="178" t="str">
        <f t="shared" si="128"/>
        <v>609100303 2 01 80110310</v>
      </c>
      <c r="L1047" s="37">
        <v>1080</v>
      </c>
      <c r="M1047" s="37">
        <v>1080</v>
      </c>
      <c r="N1047" s="37">
        <v>1080</v>
      </c>
      <c r="O1047" s="37">
        <f>H1047-L1047</f>
        <v>-1080</v>
      </c>
      <c r="P1047" s="37" t="e">
        <f>#REF!-M1047</f>
        <v>#REF!</v>
      </c>
      <c r="Q1047" s="37" t="e">
        <f>#REF!-N1047</f>
        <v>#REF!</v>
      </c>
      <c r="R1047" s="17" t="str">
        <f t="shared" si="126"/>
        <v>03 2 01 80110310</v>
      </c>
    </row>
    <row r="1048" spans="1:18" s="17" customFormat="1" ht="31.5">
      <c r="A1048" s="14"/>
      <c r="B1048" s="127" t="s">
        <v>495</v>
      </c>
      <c r="C1048" s="109" t="s">
        <v>595</v>
      </c>
      <c r="D1048" s="108" t="s">
        <v>317</v>
      </c>
      <c r="E1048" s="108" t="s">
        <v>13</v>
      </c>
      <c r="F1048" s="108" t="s">
        <v>644</v>
      </c>
      <c r="G1048" s="108" t="s">
        <v>496</v>
      </c>
      <c r="H1048" s="126"/>
      <c r="I1048" s="178" t="str">
        <f t="shared" si="128"/>
        <v>609100303 2 01 80110313</v>
      </c>
      <c r="L1048" s="37"/>
      <c r="M1048" s="37"/>
      <c r="N1048" s="37"/>
      <c r="O1048" s="37"/>
      <c r="P1048" s="37"/>
      <c r="Q1048" s="37"/>
      <c r="R1048" s="17" t="str">
        <f t="shared" si="126"/>
        <v>03 2 01 80110313</v>
      </c>
    </row>
    <row r="1049" spans="1:18" s="17" customFormat="1" ht="157.5">
      <c r="A1049" s="14"/>
      <c r="B1049" s="149" t="s">
        <v>645</v>
      </c>
      <c r="C1049" s="109" t="s">
        <v>595</v>
      </c>
      <c r="D1049" s="108" t="s">
        <v>317</v>
      </c>
      <c r="E1049" s="108" t="s">
        <v>13</v>
      </c>
      <c r="F1049" s="108" t="s">
        <v>646</v>
      </c>
      <c r="G1049" s="108" t="s">
        <v>9</v>
      </c>
      <c r="H1049" s="126">
        <f>H1050</f>
        <v>0</v>
      </c>
      <c r="I1049" s="178" t="str">
        <f t="shared" si="128"/>
        <v>609100303 2 01 80120000</v>
      </c>
      <c r="L1049" s="37">
        <v>1025.46</v>
      </c>
      <c r="M1049" s="37">
        <v>1025.46</v>
      </c>
      <c r="N1049" s="37">
        <v>1025.46</v>
      </c>
      <c r="O1049" s="37">
        <f>H1049-L1049</f>
        <v>-1025.46</v>
      </c>
      <c r="P1049" s="37" t="e">
        <f>#REF!-M1049</f>
        <v>#REF!</v>
      </c>
      <c r="Q1049" s="37" t="e">
        <f>#REF!-N1049</f>
        <v>#REF!</v>
      </c>
      <c r="R1049" s="17" t="str">
        <f t="shared" si="126"/>
        <v>03 2 01 80120000</v>
      </c>
    </row>
    <row r="1050" spans="1:18" s="17" customFormat="1" ht="31.5">
      <c r="A1050" s="14"/>
      <c r="B1050" s="132" t="s">
        <v>493</v>
      </c>
      <c r="C1050" s="109" t="s">
        <v>595</v>
      </c>
      <c r="D1050" s="108" t="s">
        <v>317</v>
      </c>
      <c r="E1050" s="108" t="s">
        <v>13</v>
      </c>
      <c r="F1050" s="108" t="s">
        <v>646</v>
      </c>
      <c r="G1050" s="108" t="s">
        <v>494</v>
      </c>
      <c r="H1050" s="126">
        <f>H1051</f>
        <v>0</v>
      </c>
      <c r="I1050" s="178" t="str">
        <f t="shared" si="128"/>
        <v>609100303 2 01 80120310</v>
      </c>
      <c r="L1050" s="37">
        <v>1025.46</v>
      </c>
      <c r="M1050" s="37">
        <v>1025.46</v>
      </c>
      <c r="N1050" s="37">
        <v>1025.46</v>
      </c>
      <c r="O1050" s="37">
        <f>H1050-L1050</f>
        <v>-1025.46</v>
      </c>
      <c r="P1050" s="37" t="e">
        <f>#REF!-M1050</f>
        <v>#REF!</v>
      </c>
      <c r="Q1050" s="37" t="e">
        <f>#REF!-N1050</f>
        <v>#REF!</v>
      </c>
      <c r="R1050" s="17" t="str">
        <f t="shared" ref="R1050:R1143" si="129">CONCATENATE(F1050,G1050)</f>
        <v>03 2 01 80120310</v>
      </c>
    </row>
    <row r="1051" spans="1:18" s="17" customFormat="1" ht="31.5">
      <c r="A1051" s="14"/>
      <c r="B1051" s="127" t="s">
        <v>495</v>
      </c>
      <c r="C1051" s="109" t="s">
        <v>595</v>
      </c>
      <c r="D1051" s="108" t="s">
        <v>317</v>
      </c>
      <c r="E1051" s="108" t="s">
        <v>13</v>
      </c>
      <c r="F1051" s="108" t="s">
        <v>646</v>
      </c>
      <c r="G1051" s="108" t="s">
        <v>496</v>
      </c>
      <c r="H1051" s="126"/>
      <c r="I1051" s="178" t="str">
        <f t="shared" si="128"/>
        <v>609100303 2 01 80120313</v>
      </c>
      <c r="L1051" s="37"/>
      <c r="M1051" s="37"/>
      <c r="N1051" s="37"/>
      <c r="O1051" s="37"/>
      <c r="P1051" s="37"/>
      <c r="Q1051" s="37"/>
      <c r="R1051" s="17" t="str">
        <f t="shared" si="129"/>
        <v>03 2 01 80120313</v>
      </c>
    </row>
    <row r="1052" spans="1:18" s="17" customFormat="1" ht="47.25">
      <c r="A1052" s="14"/>
      <c r="B1052" s="149" t="s">
        <v>647</v>
      </c>
      <c r="C1052" s="109" t="s">
        <v>595</v>
      </c>
      <c r="D1052" s="108" t="s">
        <v>317</v>
      </c>
      <c r="E1052" s="108" t="s">
        <v>13</v>
      </c>
      <c r="F1052" s="108" t="s">
        <v>648</v>
      </c>
      <c r="G1052" s="108" t="s">
        <v>9</v>
      </c>
      <c r="H1052" s="126">
        <f>H1053</f>
        <v>0</v>
      </c>
      <c r="I1052" s="178" t="str">
        <f t="shared" si="128"/>
        <v>609100303 2 01 80140000</v>
      </c>
      <c r="L1052" s="37">
        <v>714</v>
      </c>
      <c r="M1052" s="37">
        <v>714</v>
      </c>
      <c r="N1052" s="37">
        <v>714</v>
      </c>
      <c r="O1052" s="37">
        <f>H1052-L1052</f>
        <v>-714</v>
      </c>
      <c r="P1052" s="37" t="e">
        <f>#REF!-M1052</f>
        <v>#REF!</v>
      </c>
      <c r="Q1052" s="37" t="e">
        <f>#REF!-N1052</f>
        <v>#REF!</v>
      </c>
      <c r="R1052" s="17" t="str">
        <f t="shared" si="129"/>
        <v>03 2 01 80140000</v>
      </c>
    </row>
    <row r="1053" spans="1:18" s="17" customFormat="1" ht="31.5">
      <c r="A1053" s="14"/>
      <c r="B1053" s="132" t="s">
        <v>493</v>
      </c>
      <c r="C1053" s="109" t="s">
        <v>595</v>
      </c>
      <c r="D1053" s="108" t="s">
        <v>317</v>
      </c>
      <c r="E1053" s="108" t="s">
        <v>13</v>
      </c>
      <c r="F1053" s="108" t="s">
        <v>648</v>
      </c>
      <c r="G1053" s="108" t="s">
        <v>494</v>
      </c>
      <c r="H1053" s="126">
        <f>H1054</f>
        <v>0</v>
      </c>
      <c r="I1053" s="178" t="str">
        <f t="shared" si="128"/>
        <v>609100303 2 01 80140310</v>
      </c>
      <c r="L1053" s="37">
        <v>714</v>
      </c>
      <c r="M1053" s="37">
        <v>714</v>
      </c>
      <c r="N1053" s="37">
        <v>714</v>
      </c>
      <c r="O1053" s="37">
        <f>H1053-L1053</f>
        <v>-714</v>
      </c>
      <c r="P1053" s="37" t="e">
        <f>#REF!-M1053</f>
        <v>#REF!</v>
      </c>
      <c r="Q1053" s="37" t="e">
        <f>#REF!-N1053</f>
        <v>#REF!</v>
      </c>
      <c r="R1053" s="17" t="str">
        <f t="shared" si="129"/>
        <v>03 2 01 80140310</v>
      </c>
    </row>
    <row r="1054" spans="1:18" s="17" customFormat="1" ht="31.5">
      <c r="A1054" s="14"/>
      <c r="B1054" s="127" t="s">
        <v>495</v>
      </c>
      <c r="C1054" s="109" t="s">
        <v>595</v>
      </c>
      <c r="D1054" s="108" t="s">
        <v>317</v>
      </c>
      <c r="E1054" s="108" t="s">
        <v>13</v>
      </c>
      <c r="F1054" s="108" t="s">
        <v>648</v>
      </c>
      <c r="G1054" s="108" t="s">
        <v>496</v>
      </c>
      <c r="H1054" s="126"/>
      <c r="I1054" s="178" t="str">
        <f t="shared" si="128"/>
        <v>609100303 2 01 80140313</v>
      </c>
      <c r="L1054" s="37"/>
      <c r="M1054" s="37"/>
      <c r="N1054" s="37"/>
      <c r="O1054" s="37"/>
      <c r="P1054" s="37"/>
      <c r="Q1054" s="37"/>
    </row>
    <row r="1055" spans="1:18" s="17" customFormat="1" ht="78.75">
      <c r="A1055" s="14"/>
      <c r="B1055" s="149" t="s">
        <v>649</v>
      </c>
      <c r="C1055" s="109" t="s">
        <v>595</v>
      </c>
      <c r="D1055" s="108" t="s">
        <v>317</v>
      </c>
      <c r="E1055" s="108" t="s">
        <v>13</v>
      </c>
      <c r="F1055" s="108" t="s">
        <v>650</v>
      </c>
      <c r="G1055" s="108" t="s">
        <v>9</v>
      </c>
      <c r="H1055" s="126">
        <f>H1056</f>
        <v>0</v>
      </c>
      <c r="I1055" s="178" t="str">
        <f t="shared" si="128"/>
        <v>609100303 2 01 80150000</v>
      </c>
      <c r="L1055" s="37">
        <v>300</v>
      </c>
      <c r="M1055" s="37">
        <v>300</v>
      </c>
      <c r="N1055" s="37">
        <v>300</v>
      </c>
      <c r="O1055" s="37">
        <f>H1055-L1055</f>
        <v>-300</v>
      </c>
      <c r="P1055" s="37" t="e">
        <f>#REF!-M1055</f>
        <v>#REF!</v>
      </c>
      <c r="Q1055" s="37" t="e">
        <f>#REF!-N1055</f>
        <v>#REF!</v>
      </c>
      <c r="R1055" s="17" t="str">
        <f t="shared" si="129"/>
        <v>03 2 01 80150000</v>
      </c>
    </row>
    <row r="1056" spans="1:18" s="17" customFormat="1" ht="31.5">
      <c r="A1056" s="14"/>
      <c r="B1056" s="132" t="s">
        <v>493</v>
      </c>
      <c r="C1056" s="109" t="s">
        <v>595</v>
      </c>
      <c r="D1056" s="108" t="s">
        <v>317</v>
      </c>
      <c r="E1056" s="108" t="s">
        <v>13</v>
      </c>
      <c r="F1056" s="108" t="s">
        <v>650</v>
      </c>
      <c r="G1056" s="108" t="s">
        <v>494</v>
      </c>
      <c r="H1056" s="126">
        <f>H1057</f>
        <v>0</v>
      </c>
      <c r="I1056" s="178" t="str">
        <f t="shared" si="128"/>
        <v>609100303 2 01 80150310</v>
      </c>
      <c r="L1056" s="37">
        <v>300</v>
      </c>
      <c r="M1056" s="37">
        <v>300</v>
      </c>
      <c r="N1056" s="37">
        <v>300</v>
      </c>
      <c r="O1056" s="37">
        <f>H1056-L1056</f>
        <v>-300</v>
      </c>
      <c r="P1056" s="37" t="e">
        <f>#REF!-M1056</f>
        <v>#REF!</v>
      </c>
      <c r="Q1056" s="37" t="e">
        <f>#REF!-N1056</f>
        <v>#REF!</v>
      </c>
      <c r="R1056" s="17" t="str">
        <f t="shared" si="129"/>
        <v>03 2 01 80150310</v>
      </c>
    </row>
    <row r="1057" spans="1:18" s="17" customFormat="1" ht="31.5">
      <c r="A1057" s="14"/>
      <c r="B1057" s="127" t="s">
        <v>495</v>
      </c>
      <c r="C1057" s="109" t="s">
        <v>595</v>
      </c>
      <c r="D1057" s="108" t="s">
        <v>317</v>
      </c>
      <c r="E1057" s="108" t="s">
        <v>13</v>
      </c>
      <c r="F1057" s="108" t="s">
        <v>650</v>
      </c>
      <c r="G1057" s="108" t="s">
        <v>496</v>
      </c>
      <c r="H1057" s="126"/>
      <c r="I1057" s="178" t="str">
        <f t="shared" si="128"/>
        <v>609100303 2 01 80150313</v>
      </c>
      <c r="L1057" s="37"/>
      <c r="M1057" s="37"/>
      <c r="N1057" s="37"/>
      <c r="O1057" s="37"/>
      <c r="P1057" s="37"/>
      <c r="Q1057" s="37"/>
    </row>
    <row r="1058" spans="1:18" s="17" customFormat="1" ht="31.5">
      <c r="A1058" s="14"/>
      <c r="B1058" s="149" t="s">
        <v>651</v>
      </c>
      <c r="C1058" s="109" t="s">
        <v>595</v>
      </c>
      <c r="D1058" s="108" t="s">
        <v>317</v>
      </c>
      <c r="E1058" s="108" t="s">
        <v>13</v>
      </c>
      <c r="F1058" s="108" t="s">
        <v>652</v>
      </c>
      <c r="G1058" s="108" t="s">
        <v>9</v>
      </c>
      <c r="H1058" s="126">
        <f>H1059</f>
        <v>0</v>
      </c>
      <c r="I1058" s="178" t="str">
        <f t="shared" si="128"/>
        <v>609100303 2 01 80160000</v>
      </c>
      <c r="L1058" s="37">
        <v>1020</v>
      </c>
      <c r="M1058" s="37">
        <v>1020</v>
      </c>
      <c r="N1058" s="37">
        <v>1020</v>
      </c>
      <c r="O1058" s="37">
        <f>H1058-L1058</f>
        <v>-1020</v>
      </c>
      <c r="P1058" s="37" t="e">
        <f>#REF!-M1058</f>
        <v>#REF!</v>
      </c>
      <c r="Q1058" s="37" t="e">
        <f>#REF!-N1058</f>
        <v>#REF!</v>
      </c>
      <c r="R1058" s="17" t="str">
        <f t="shared" si="129"/>
        <v>03 2 01 80160000</v>
      </c>
    </row>
    <row r="1059" spans="1:18" s="17" customFormat="1" ht="31.5">
      <c r="A1059" s="14"/>
      <c r="B1059" s="132" t="s">
        <v>493</v>
      </c>
      <c r="C1059" s="109" t="s">
        <v>595</v>
      </c>
      <c r="D1059" s="108" t="s">
        <v>317</v>
      </c>
      <c r="E1059" s="108" t="s">
        <v>13</v>
      </c>
      <c r="F1059" s="108" t="s">
        <v>652</v>
      </c>
      <c r="G1059" s="108" t="s">
        <v>494</v>
      </c>
      <c r="H1059" s="126">
        <f>H1060</f>
        <v>0</v>
      </c>
      <c r="I1059" s="178" t="str">
        <f t="shared" si="128"/>
        <v>609100303 2 01 80160310</v>
      </c>
      <c r="L1059" s="37">
        <v>1020</v>
      </c>
      <c r="M1059" s="37">
        <v>1020</v>
      </c>
      <c r="N1059" s="37">
        <v>1020</v>
      </c>
      <c r="O1059" s="37">
        <f>H1059-L1059</f>
        <v>-1020</v>
      </c>
      <c r="P1059" s="37" t="e">
        <f>#REF!-M1059</f>
        <v>#REF!</v>
      </c>
      <c r="Q1059" s="37" t="e">
        <f>#REF!-N1059</f>
        <v>#REF!</v>
      </c>
      <c r="R1059" s="17" t="str">
        <f t="shared" si="129"/>
        <v>03 2 01 80160310</v>
      </c>
    </row>
    <row r="1060" spans="1:18" s="17" customFormat="1" ht="31.5">
      <c r="A1060" s="14"/>
      <c r="B1060" s="127" t="s">
        <v>495</v>
      </c>
      <c r="C1060" s="109" t="s">
        <v>595</v>
      </c>
      <c r="D1060" s="108" t="s">
        <v>317</v>
      </c>
      <c r="E1060" s="108" t="s">
        <v>13</v>
      </c>
      <c r="F1060" s="108" t="s">
        <v>652</v>
      </c>
      <c r="G1060" s="108" t="s">
        <v>496</v>
      </c>
      <c r="H1060" s="126"/>
      <c r="I1060" s="178" t="str">
        <f t="shared" si="128"/>
        <v>609100303 2 01 80160313</v>
      </c>
      <c r="L1060" s="37"/>
      <c r="M1060" s="37"/>
      <c r="N1060" s="37"/>
      <c r="O1060" s="37"/>
      <c r="P1060" s="37"/>
      <c r="Q1060" s="37"/>
    </row>
    <row r="1061" spans="1:18" s="4" customFormat="1" ht="31.5">
      <c r="A1061" s="1"/>
      <c r="B1061" s="149" t="s">
        <v>653</v>
      </c>
      <c r="C1061" s="109" t="s">
        <v>595</v>
      </c>
      <c r="D1061" s="108" t="s">
        <v>317</v>
      </c>
      <c r="E1061" s="108" t="s">
        <v>13</v>
      </c>
      <c r="F1061" s="108" t="s">
        <v>654</v>
      </c>
      <c r="G1061" s="108" t="s">
        <v>9</v>
      </c>
      <c r="H1061" s="126">
        <f>H1062</f>
        <v>0</v>
      </c>
      <c r="I1061" s="178" t="str">
        <f t="shared" si="128"/>
        <v>609100303 2 01 80180000</v>
      </c>
      <c r="L1061" s="37">
        <v>1854</v>
      </c>
      <c r="M1061" s="37">
        <v>1854</v>
      </c>
      <c r="N1061" s="37">
        <v>1854</v>
      </c>
      <c r="O1061" s="37">
        <f>H1061-L1061</f>
        <v>-1854</v>
      </c>
      <c r="P1061" s="37" t="e">
        <f>#REF!-M1061</f>
        <v>#REF!</v>
      </c>
      <c r="Q1061" s="37" t="e">
        <f>#REF!-N1061</f>
        <v>#REF!</v>
      </c>
      <c r="R1061" s="17" t="str">
        <f t="shared" si="129"/>
        <v>03 2 01 80180000</v>
      </c>
    </row>
    <row r="1062" spans="1:18" s="4" customFormat="1" ht="31.5">
      <c r="A1062" s="1"/>
      <c r="B1062" s="132" t="s">
        <v>493</v>
      </c>
      <c r="C1062" s="109" t="s">
        <v>595</v>
      </c>
      <c r="D1062" s="108" t="s">
        <v>317</v>
      </c>
      <c r="E1062" s="108" t="s">
        <v>13</v>
      </c>
      <c r="F1062" s="108" t="s">
        <v>654</v>
      </c>
      <c r="G1062" s="108" t="s">
        <v>494</v>
      </c>
      <c r="H1062" s="126">
        <f>H1063</f>
        <v>0</v>
      </c>
      <c r="I1062" s="178" t="str">
        <f t="shared" si="128"/>
        <v>609100303 2 01 80180310</v>
      </c>
      <c r="L1062" s="37">
        <v>1854</v>
      </c>
      <c r="M1062" s="37">
        <v>1854</v>
      </c>
      <c r="N1062" s="37">
        <v>1854</v>
      </c>
      <c r="O1062" s="37">
        <f>H1062-L1062</f>
        <v>-1854</v>
      </c>
      <c r="P1062" s="37" t="e">
        <f>#REF!-M1062</f>
        <v>#REF!</v>
      </c>
      <c r="Q1062" s="37" t="e">
        <f>#REF!-N1062</f>
        <v>#REF!</v>
      </c>
      <c r="R1062" s="17" t="str">
        <f t="shared" si="129"/>
        <v>03 2 01 80180310</v>
      </c>
    </row>
    <row r="1063" spans="1:18" s="4" customFormat="1" ht="31.5">
      <c r="A1063" s="1"/>
      <c r="B1063" s="127" t="s">
        <v>495</v>
      </c>
      <c r="C1063" s="109" t="s">
        <v>595</v>
      </c>
      <c r="D1063" s="108" t="s">
        <v>317</v>
      </c>
      <c r="E1063" s="108" t="s">
        <v>13</v>
      </c>
      <c r="F1063" s="108" t="s">
        <v>654</v>
      </c>
      <c r="G1063" s="108" t="s">
        <v>496</v>
      </c>
      <c r="H1063" s="126"/>
      <c r="I1063" s="178" t="str">
        <f t="shared" si="128"/>
        <v>609100303 2 01 80180313</v>
      </c>
      <c r="L1063" s="37"/>
      <c r="M1063" s="37"/>
      <c r="N1063" s="37"/>
      <c r="O1063" s="37"/>
      <c r="P1063" s="37"/>
      <c r="Q1063" s="37"/>
      <c r="R1063" s="17"/>
    </row>
    <row r="1064" spans="1:18" s="4" customFormat="1" ht="31.5">
      <c r="A1064" s="1"/>
      <c r="B1064" s="149" t="s">
        <v>655</v>
      </c>
      <c r="C1064" s="109" t="s">
        <v>595</v>
      </c>
      <c r="D1064" s="108" t="s">
        <v>317</v>
      </c>
      <c r="E1064" s="108" t="s">
        <v>13</v>
      </c>
      <c r="F1064" s="108" t="s">
        <v>656</v>
      </c>
      <c r="G1064" s="108" t="s">
        <v>9</v>
      </c>
      <c r="H1064" s="126">
        <f>H1065</f>
        <v>0</v>
      </c>
      <c r="I1064" s="178" t="str">
        <f t="shared" si="128"/>
        <v>609100303 2 01 80190000</v>
      </c>
      <c r="L1064" s="37">
        <v>20</v>
      </c>
      <c r="M1064" s="37">
        <v>20</v>
      </c>
      <c r="N1064" s="37">
        <v>20</v>
      </c>
      <c r="O1064" s="37">
        <f>H1064-L1064</f>
        <v>-20</v>
      </c>
      <c r="P1064" s="37" t="e">
        <f>#REF!-M1064</f>
        <v>#REF!</v>
      </c>
      <c r="Q1064" s="37" t="e">
        <f>#REF!-N1064</f>
        <v>#REF!</v>
      </c>
      <c r="R1064" s="17" t="str">
        <f t="shared" si="129"/>
        <v>03 2 01 80190000</v>
      </c>
    </row>
    <row r="1065" spans="1:18" s="4" customFormat="1" ht="31.5">
      <c r="A1065" s="1"/>
      <c r="B1065" s="132" t="s">
        <v>493</v>
      </c>
      <c r="C1065" s="109" t="s">
        <v>595</v>
      </c>
      <c r="D1065" s="108" t="s">
        <v>317</v>
      </c>
      <c r="E1065" s="108" t="s">
        <v>13</v>
      </c>
      <c r="F1065" s="108" t="s">
        <v>656</v>
      </c>
      <c r="G1065" s="108" t="s">
        <v>494</v>
      </c>
      <c r="H1065" s="126">
        <f>H1066</f>
        <v>0</v>
      </c>
      <c r="I1065" s="178" t="str">
        <f t="shared" si="128"/>
        <v>609100303 2 01 80190310</v>
      </c>
      <c r="L1065" s="37">
        <v>20</v>
      </c>
      <c r="M1065" s="37">
        <v>20</v>
      </c>
      <c r="N1065" s="37">
        <v>20</v>
      </c>
      <c r="O1065" s="37">
        <f>H1065-L1065</f>
        <v>-20</v>
      </c>
      <c r="P1065" s="37" t="e">
        <f>#REF!-M1065</f>
        <v>#REF!</v>
      </c>
      <c r="Q1065" s="37" t="e">
        <f>#REF!-N1065</f>
        <v>#REF!</v>
      </c>
      <c r="R1065" s="17" t="str">
        <f t="shared" si="129"/>
        <v>03 2 01 80190310</v>
      </c>
    </row>
    <row r="1066" spans="1:18" s="4" customFormat="1" ht="31.5">
      <c r="A1066" s="1"/>
      <c r="B1066" s="127" t="s">
        <v>495</v>
      </c>
      <c r="C1066" s="109" t="s">
        <v>595</v>
      </c>
      <c r="D1066" s="108" t="s">
        <v>317</v>
      </c>
      <c r="E1066" s="108" t="s">
        <v>13</v>
      </c>
      <c r="F1066" s="108" t="s">
        <v>656</v>
      </c>
      <c r="G1066" s="108" t="s">
        <v>496</v>
      </c>
      <c r="H1066" s="126"/>
      <c r="I1066" s="178" t="str">
        <f t="shared" si="128"/>
        <v>609100303 2 01 80190313</v>
      </c>
      <c r="L1066" s="37"/>
      <c r="M1066" s="37"/>
      <c r="N1066" s="37"/>
      <c r="O1066" s="37"/>
      <c r="P1066" s="37"/>
      <c r="Q1066" s="37"/>
      <c r="R1066" s="17"/>
    </row>
    <row r="1067" spans="1:18" s="4" customFormat="1" ht="78.75">
      <c r="A1067" s="1"/>
      <c r="B1067" s="149" t="s">
        <v>657</v>
      </c>
      <c r="C1067" s="109" t="s">
        <v>595</v>
      </c>
      <c r="D1067" s="108" t="s">
        <v>317</v>
      </c>
      <c r="E1067" s="108" t="s">
        <v>13</v>
      </c>
      <c r="F1067" s="108" t="s">
        <v>658</v>
      </c>
      <c r="G1067" s="108" t="s">
        <v>9</v>
      </c>
      <c r="H1067" s="126">
        <f>H1068</f>
        <v>0</v>
      </c>
      <c r="I1067" s="178" t="str">
        <f t="shared" si="128"/>
        <v>609100303 2 01 80210000</v>
      </c>
      <c r="L1067" s="39">
        <v>100</v>
      </c>
      <c r="M1067" s="39">
        <v>100</v>
      </c>
      <c r="N1067" s="39">
        <v>100</v>
      </c>
      <c r="O1067" s="39">
        <f>H1067-L1067</f>
        <v>-100</v>
      </c>
      <c r="P1067" s="39" t="e">
        <f>#REF!-M1067</f>
        <v>#REF!</v>
      </c>
      <c r="Q1067" s="39" t="e">
        <f>#REF!-N1067</f>
        <v>#REF!</v>
      </c>
      <c r="R1067" s="17" t="str">
        <f t="shared" si="129"/>
        <v>03 2 01 80210000</v>
      </c>
    </row>
    <row r="1068" spans="1:18" s="4" customFormat="1" ht="31.5">
      <c r="A1068" s="1"/>
      <c r="B1068" s="132" t="s">
        <v>493</v>
      </c>
      <c r="C1068" s="109" t="s">
        <v>595</v>
      </c>
      <c r="D1068" s="108" t="s">
        <v>317</v>
      </c>
      <c r="E1068" s="108" t="s">
        <v>13</v>
      </c>
      <c r="F1068" s="108" t="s">
        <v>658</v>
      </c>
      <c r="G1068" s="108" t="s">
        <v>494</v>
      </c>
      <c r="H1068" s="126">
        <f>H1069</f>
        <v>0</v>
      </c>
      <c r="I1068" s="178" t="str">
        <f t="shared" si="128"/>
        <v>609100303 2 01 80210310</v>
      </c>
      <c r="L1068" s="37">
        <v>100</v>
      </c>
      <c r="M1068" s="37">
        <v>100</v>
      </c>
      <c r="N1068" s="37">
        <v>100</v>
      </c>
      <c r="O1068" s="37">
        <f>H1068-L1068</f>
        <v>-100</v>
      </c>
      <c r="P1068" s="37" t="e">
        <f>#REF!-M1068</f>
        <v>#REF!</v>
      </c>
      <c r="Q1068" s="37" t="e">
        <f>#REF!-N1068</f>
        <v>#REF!</v>
      </c>
      <c r="R1068" s="17" t="str">
        <f t="shared" si="129"/>
        <v>03 2 01 80210310</v>
      </c>
    </row>
    <row r="1069" spans="1:18" s="4" customFormat="1" ht="31.5">
      <c r="A1069" s="1"/>
      <c r="B1069" s="127" t="s">
        <v>495</v>
      </c>
      <c r="C1069" s="109" t="s">
        <v>595</v>
      </c>
      <c r="D1069" s="108" t="s">
        <v>317</v>
      </c>
      <c r="E1069" s="108" t="s">
        <v>13</v>
      </c>
      <c r="F1069" s="108" t="s">
        <v>658</v>
      </c>
      <c r="G1069" s="108" t="s">
        <v>496</v>
      </c>
      <c r="H1069" s="126"/>
      <c r="I1069" s="178" t="str">
        <f t="shared" si="128"/>
        <v>609100303 2 01 80210313</v>
      </c>
      <c r="L1069" s="37"/>
      <c r="M1069" s="37"/>
      <c r="N1069" s="37"/>
      <c r="O1069" s="37"/>
      <c r="P1069" s="37"/>
      <c r="Q1069" s="37"/>
      <c r="R1069" s="17"/>
    </row>
    <row r="1070" spans="1:18" s="4" customFormat="1" ht="31.5">
      <c r="A1070" s="1"/>
      <c r="B1070" s="149" t="s">
        <v>659</v>
      </c>
      <c r="C1070" s="109" t="s">
        <v>595</v>
      </c>
      <c r="D1070" s="108" t="s">
        <v>317</v>
      </c>
      <c r="E1070" s="108" t="s">
        <v>13</v>
      </c>
      <c r="F1070" s="108" t="s">
        <v>660</v>
      </c>
      <c r="G1070" s="108" t="s">
        <v>9</v>
      </c>
      <c r="H1070" s="126">
        <f>H1071</f>
        <v>0</v>
      </c>
      <c r="I1070" s="178" t="str">
        <f t="shared" si="128"/>
        <v>609100303 2 05 00000000</v>
      </c>
      <c r="L1070" s="39">
        <v>81</v>
      </c>
      <c r="M1070" s="39">
        <v>81</v>
      </c>
      <c r="N1070" s="39">
        <v>81</v>
      </c>
      <c r="O1070" s="39">
        <f>H1070-L1070</f>
        <v>-81</v>
      </c>
      <c r="P1070" s="39" t="e">
        <f>#REF!-M1070</f>
        <v>#REF!</v>
      </c>
      <c r="Q1070" s="39" t="e">
        <f>#REF!-N1070</f>
        <v>#REF!</v>
      </c>
      <c r="R1070" s="17" t="str">
        <f t="shared" si="129"/>
        <v>03 2 05 00000000</v>
      </c>
    </row>
    <row r="1071" spans="1:18" s="4" customFormat="1" ht="31.5">
      <c r="A1071" s="1"/>
      <c r="B1071" s="135" t="s">
        <v>661</v>
      </c>
      <c r="C1071" s="109" t="s">
        <v>595</v>
      </c>
      <c r="D1071" s="108" t="s">
        <v>317</v>
      </c>
      <c r="E1071" s="108" t="s">
        <v>13</v>
      </c>
      <c r="F1071" s="108" t="s">
        <v>662</v>
      </c>
      <c r="G1071" s="108" t="s">
        <v>9</v>
      </c>
      <c r="H1071" s="126">
        <f>SUM(H1072:H1072)</f>
        <v>0</v>
      </c>
      <c r="I1071" s="178" t="str">
        <f t="shared" si="128"/>
        <v>609100303 2 05 20500000</v>
      </c>
      <c r="L1071" s="39">
        <v>81</v>
      </c>
      <c r="M1071" s="39">
        <v>81</v>
      </c>
      <c r="N1071" s="39">
        <v>81</v>
      </c>
      <c r="O1071" s="39">
        <f>H1071-L1071</f>
        <v>-81</v>
      </c>
      <c r="P1071" s="39" t="e">
        <f>#REF!-M1071</f>
        <v>#REF!</v>
      </c>
      <c r="Q1071" s="39" t="e">
        <f>#REF!-N1071</f>
        <v>#REF!</v>
      </c>
      <c r="R1071" s="17" t="str">
        <f t="shared" si="129"/>
        <v>03 2 05 20500000</v>
      </c>
    </row>
    <row r="1072" spans="1:18" s="4" customFormat="1" ht="31.5">
      <c r="A1072" s="1"/>
      <c r="B1072" s="132" t="s">
        <v>327</v>
      </c>
      <c r="C1072" s="109" t="s">
        <v>595</v>
      </c>
      <c r="D1072" s="108" t="s">
        <v>317</v>
      </c>
      <c r="E1072" s="108" t="s">
        <v>13</v>
      </c>
      <c r="F1072" s="108" t="s">
        <v>662</v>
      </c>
      <c r="G1072" s="108" t="s">
        <v>328</v>
      </c>
      <c r="H1072" s="126">
        <f>H1073</f>
        <v>0</v>
      </c>
      <c r="I1072" s="178" t="str">
        <f t="shared" si="128"/>
        <v>609100303 2 05 20500320</v>
      </c>
      <c r="L1072" s="37">
        <v>81</v>
      </c>
      <c r="M1072" s="37">
        <v>81</v>
      </c>
      <c r="N1072" s="37">
        <v>81</v>
      </c>
      <c r="O1072" s="37">
        <f>H1072-L1072</f>
        <v>-81</v>
      </c>
      <c r="P1072" s="37" t="e">
        <f>#REF!-M1072</f>
        <v>#REF!</v>
      </c>
      <c r="Q1072" s="37" t="e">
        <f>#REF!-N1072</f>
        <v>#REF!</v>
      </c>
      <c r="R1072" s="17" t="str">
        <f t="shared" si="129"/>
        <v>03 2 05 20500320</v>
      </c>
    </row>
    <row r="1073" spans="1:18" s="41" customFormat="1" ht="31.5">
      <c r="A1073" s="40"/>
      <c r="B1073" s="127" t="s">
        <v>501</v>
      </c>
      <c r="C1073" s="109" t="s">
        <v>595</v>
      </c>
      <c r="D1073" s="108" t="s">
        <v>317</v>
      </c>
      <c r="E1073" s="108" t="s">
        <v>13</v>
      </c>
      <c r="F1073" s="108" t="s">
        <v>662</v>
      </c>
      <c r="G1073" s="108" t="s">
        <v>502</v>
      </c>
      <c r="H1073" s="126"/>
      <c r="I1073" s="178" t="str">
        <f t="shared" si="128"/>
        <v>609100303 2 05 20500323</v>
      </c>
      <c r="L1073" s="38"/>
      <c r="M1073" s="38"/>
      <c r="N1073" s="38"/>
      <c r="O1073" s="38"/>
      <c r="P1073" s="38"/>
      <c r="Q1073" s="38"/>
      <c r="R1073" s="24"/>
    </row>
    <row r="1074" spans="1:18" s="4" customFormat="1" ht="31.5">
      <c r="A1074" s="1"/>
      <c r="B1074" s="149" t="s">
        <v>663</v>
      </c>
      <c r="C1074" s="109" t="s">
        <v>595</v>
      </c>
      <c r="D1074" s="108" t="s">
        <v>317</v>
      </c>
      <c r="E1074" s="108" t="s">
        <v>13</v>
      </c>
      <c r="F1074" s="108" t="s">
        <v>664</v>
      </c>
      <c r="G1074" s="108" t="s">
        <v>9</v>
      </c>
      <c r="H1074" s="126">
        <f>H1075</f>
        <v>0</v>
      </c>
      <c r="I1074" s="178" t="str">
        <f t="shared" si="128"/>
        <v>609100303 2 06 00000000</v>
      </c>
      <c r="L1074" s="39">
        <v>25</v>
      </c>
      <c r="M1074" s="39">
        <v>25</v>
      </c>
      <c r="N1074" s="39">
        <v>25</v>
      </c>
      <c r="O1074" s="39">
        <f>H1074-L1074</f>
        <v>-25</v>
      </c>
      <c r="P1074" s="39" t="e">
        <f>#REF!-M1074</f>
        <v>#REF!</v>
      </c>
      <c r="Q1074" s="39" t="e">
        <f>#REF!-N1074</f>
        <v>#REF!</v>
      </c>
      <c r="R1074" s="17" t="str">
        <f t="shared" si="129"/>
        <v>03 2 06 00000000</v>
      </c>
    </row>
    <row r="1075" spans="1:18" s="4" customFormat="1" ht="63">
      <c r="A1075" s="1"/>
      <c r="B1075" s="135" t="s">
        <v>665</v>
      </c>
      <c r="C1075" s="109" t="s">
        <v>595</v>
      </c>
      <c r="D1075" s="108" t="s">
        <v>317</v>
      </c>
      <c r="E1075" s="108" t="s">
        <v>13</v>
      </c>
      <c r="F1075" s="108" t="s">
        <v>666</v>
      </c>
      <c r="G1075" s="108" t="s">
        <v>9</v>
      </c>
      <c r="H1075" s="126">
        <f>H1076</f>
        <v>0</v>
      </c>
      <c r="I1075" s="178" t="str">
        <f t="shared" si="128"/>
        <v>609100303 2 06 20520000</v>
      </c>
      <c r="L1075" s="39">
        <v>25</v>
      </c>
      <c r="M1075" s="39">
        <v>25</v>
      </c>
      <c r="N1075" s="39">
        <v>25</v>
      </c>
      <c r="O1075" s="39">
        <f>H1075-L1075</f>
        <v>-25</v>
      </c>
      <c r="P1075" s="39" t="e">
        <f>#REF!-M1075</f>
        <v>#REF!</v>
      </c>
      <c r="Q1075" s="39" t="e">
        <f>#REF!-N1075</f>
        <v>#REF!</v>
      </c>
      <c r="R1075" s="17" t="str">
        <f t="shared" si="129"/>
        <v>03 2 06 20520000</v>
      </c>
    </row>
    <row r="1076" spans="1:18" s="4" customFormat="1" ht="31.5">
      <c r="A1076" s="1"/>
      <c r="B1076" s="125" t="s">
        <v>28</v>
      </c>
      <c r="C1076" s="109" t="s">
        <v>595</v>
      </c>
      <c r="D1076" s="108" t="s">
        <v>317</v>
      </c>
      <c r="E1076" s="108" t="s">
        <v>13</v>
      </c>
      <c r="F1076" s="108" t="s">
        <v>666</v>
      </c>
      <c r="G1076" s="108" t="s">
        <v>29</v>
      </c>
      <c r="H1076" s="126">
        <f>H1077</f>
        <v>0</v>
      </c>
      <c r="I1076" s="178" t="str">
        <f t="shared" si="128"/>
        <v>609100303 2 06 20520240</v>
      </c>
      <c r="L1076" s="37">
        <v>25</v>
      </c>
      <c r="M1076" s="37">
        <v>25</v>
      </c>
      <c r="N1076" s="37">
        <v>25</v>
      </c>
      <c r="O1076" s="37">
        <f>H1076-L1076</f>
        <v>-25</v>
      </c>
      <c r="P1076" s="37" t="e">
        <f>#REF!-M1076</f>
        <v>#REF!</v>
      </c>
      <c r="Q1076" s="37" t="e">
        <f>#REF!-N1076</f>
        <v>#REF!</v>
      </c>
      <c r="R1076" s="17" t="str">
        <f t="shared" si="129"/>
        <v>03 2 06 20520240</v>
      </c>
    </row>
    <row r="1077" spans="1:18" s="4" customFormat="1" ht="15.75">
      <c r="A1077" s="1"/>
      <c r="B1077" s="125" t="s">
        <v>30</v>
      </c>
      <c r="C1077" s="109" t="s">
        <v>595</v>
      </c>
      <c r="D1077" s="108" t="s">
        <v>317</v>
      </c>
      <c r="E1077" s="108" t="s">
        <v>13</v>
      </c>
      <c r="F1077" s="108" t="s">
        <v>666</v>
      </c>
      <c r="G1077" s="108" t="s">
        <v>31</v>
      </c>
      <c r="H1077" s="126"/>
      <c r="I1077" s="178" t="str">
        <f t="shared" si="128"/>
        <v>609100303 2 06 20520244</v>
      </c>
      <c r="L1077" s="37"/>
      <c r="M1077" s="37"/>
      <c r="N1077" s="37"/>
      <c r="O1077" s="37"/>
      <c r="P1077" s="37"/>
      <c r="Q1077" s="37"/>
      <c r="R1077" s="17"/>
    </row>
    <row r="1078" spans="1:18" s="4" customFormat="1" ht="31.5">
      <c r="A1078" s="1"/>
      <c r="B1078" s="125" t="s">
        <v>667</v>
      </c>
      <c r="C1078" s="109" t="s">
        <v>595</v>
      </c>
      <c r="D1078" s="108" t="s">
        <v>317</v>
      </c>
      <c r="E1078" s="108" t="s">
        <v>13</v>
      </c>
      <c r="F1078" s="108" t="s">
        <v>668</v>
      </c>
      <c r="G1078" s="108" t="s">
        <v>9</v>
      </c>
      <c r="H1078" s="126">
        <f>H1079</f>
        <v>0</v>
      </c>
      <c r="I1078" s="178" t="str">
        <f t="shared" si="128"/>
        <v>609100303 2 08 00000000</v>
      </c>
      <c r="L1078" s="37">
        <v>75</v>
      </c>
      <c r="M1078" s="37">
        <v>75</v>
      </c>
      <c r="N1078" s="37">
        <v>75</v>
      </c>
      <c r="O1078" s="37">
        <f>H1078-L1078</f>
        <v>-75</v>
      </c>
      <c r="P1078" s="37" t="e">
        <f>#REF!-M1078</f>
        <v>#REF!</v>
      </c>
      <c r="Q1078" s="37" t="e">
        <f>#REF!-N1078</f>
        <v>#REF!</v>
      </c>
      <c r="R1078" s="17" t="str">
        <f t="shared" si="129"/>
        <v>03 2 08 00000000</v>
      </c>
    </row>
    <row r="1079" spans="1:18" s="4" customFormat="1" ht="31.5">
      <c r="A1079" s="1"/>
      <c r="B1079" s="135" t="s">
        <v>669</v>
      </c>
      <c r="C1079" s="109" t="s">
        <v>595</v>
      </c>
      <c r="D1079" s="108" t="s">
        <v>317</v>
      </c>
      <c r="E1079" s="108" t="s">
        <v>13</v>
      </c>
      <c r="F1079" s="108" t="s">
        <v>670</v>
      </c>
      <c r="G1079" s="108" t="s">
        <v>9</v>
      </c>
      <c r="H1079" s="126">
        <f t="shared" ref="H1079" si="130">H1080</f>
        <v>0</v>
      </c>
      <c r="I1079" s="178" t="str">
        <f t="shared" si="128"/>
        <v>609100303 2 08 20510000</v>
      </c>
      <c r="L1079" s="39">
        <v>75</v>
      </c>
      <c r="M1079" s="39">
        <v>75</v>
      </c>
      <c r="N1079" s="39">
        <v>75</v>
      </c>
      <c r="O1079" s="39">
        <f>H1079-L1079</f>
        <v>-75</v>
      </c>
      <c r="P1079" s="39" t="e">
        <f>#REF!-M1079</f>
        <v>#REF!</v>
      </c>
      <c r="Q1079" s="39" t="e">
        <f>#REF!-N1079</f>
        <v>#REF!</v>
      </c>
      <c r="R1079" s="17" t="str">
        <f t="shared" si="129"/>
        <v>03 2 08 20510000</v>
      </c>
    </row>
    <row r="1080" spans="1:18" s="4" customFormat="1" ht="31.5">
      <c r="A1080" s="1"/>
      <c r="B1080" s="125" t="s">
        <v>28</v>
      </c>
      <c r="C1080" s="109" t="s">
        <v>595</v>
      </c>
      <c r="D1080" s="108" t="s">
        <v>317</v>
      </c>
      <c r="E1080" s="108" t="s">
        <v>13</v>
      </c>
      <c r="F1080" s="108" t="s">
        <v>670</v>
      </c>
      <c r="G1080" s="108" t="s">
        <v>29</v>
      </c>
      <c r="H1080" s="126">
        <f>H1081</f>
        <v>0</v>
      </c>
      <c r="I1080" s="178" t="str">
        <f t="shared" si="128"/>
        <v>609100303 2 08 20510240</v>
      </c>
      <c r="L1080" s="37">
        <v>75</v>
      </c>
      <c r="M1080" s="37">
        <v>75</v>
      </c>
      <c r="N1080" s="37">
        <v>75</v>
      </c>
      <c r="O1080" s="37">
        <f>H1080-L1080</f>
        <v>-75</v>
      </c>
      <c r="P1080" s="37" t="e">
        <f>#REF!-M1080</f>
        <v>#REF!</v>
      </c>
      <c r="Q1080" s="37" t="e">
        <f>#REF!-N1080</f>
        <v>#REF!</v>
      </c>
      <c r="R1080" s="17" t="str">
        <f t="shared" si="129"/>
        <v>03 2 08 20510240</v>
      </c>
    </row>
    <row r="1081" spans="1:18" s="4" customFormat="1" ht="15.75">
      <c r="A1081" s="1"/>
      <c r="B1081" s="125" t="s">
        <v>30</v>
      </c>
      <c r="C1081" s="109" t="s">
        <v>595</v>
      </c>
      <c r="D1081" s="108" t="s">
        <v>317</v>
      </c>
      <c r="E1081" s="108" t="s">
        <v>13</v>
      </c>
      <c r="F1081" s="108" t="s">
        <v>670</v>
      </c>
      <c r="G1081" s="108" t="s">
        <v>31</v>
      </c>
      <c r="H1081" s="126"/>
      <c r="I1081" s="178" t="str">
        <f t="shared" si="128"/>
        <v>609100303 2 08 20510244</v>
      </c>
      <c r="L1081" s="37"/>
      <c r="M1081" s="37"/>
      <c r="N1081" s="37"/>
      <c r="O1081" s="37"/>
      <c r="P1081" s="37"/>
      <c r="Q1081" s="37"/>
      <c r="R1081" s="17"/>
    </row>
    <row r="1082" spans="1:18" s="4" customFormat="1" ht="15.75">
      <c r="A1082" s="1"/>
      <c r="B1082" s="135" t="s">
        <v>671</v>
      </c>
      <c r="C1082" s="109" t="s">
        <v>595</v>
      </c>
      <c r="D1082" s="108" t="s">
        <v>317</v>
      </c>
      <c r="E1082" s="108" t="s">
        <v>13</v>
      </c>
      <c r="F1082" s="108" t="s">
        <v>672</v>
      </c>
      <c r="G1082" s="108" t="s">
        <v>9</v>
      </c>
      <c r="H1082" s="126">
        <f t="shared" ref="H1082:H1084" si="131">H1083</f>
        <v>0</v>
      </c>
      <c r="I1082" s="178" t="str">
        <f t="shared" si="128"/>
        <v>609100303 3 00 00000000</v>
      </c>
      <c r="L1082" s="39">
        <v>2608.5</v>
      </c>
      <c r="M1082" s="39">
        <v>2608.5</v>
      </c>
      <c r="N1082" s="39">
        <v>2608.5</v>
      </c>
      <c r="O1082" s="39">
        <f>H1082-L1082</f>
        <v>-2608.5</v>
      </c>
      <c r="P1082" s="39" t="e">
        <f>#REF!-M1082</f>
        <v>#REF!</v>
      </c>
      <c r="Q1082" s="39" t="e">
        <f>#REF!-N1082</f>
        <v>#REF!</v>
      </c>
      <c r="R1082" s="17" t="str">
        <f t="shared" si="129"/>
        <v>03 3 00 00000000</v>
      </c>
    </row>
    <row r="1083" spans="1:18" s="4" customFormat="1" ht="47.25">
      <c r="A1083" s="1"/>
      <c r="B1083" s="147" t="s">
        <v>673</v>
      </c>
      <c r="C1083" s="109" t="s">
        <v>595</v>
      </c>
      <c r="D1083" s="108" t="s">
        <v>317</v>
      </c>
      <c r="E1083" s="108" t="s">
        <v>13</v>
      </c>
      <c r="F1083" s="108" t="s">
        <v>674</v>
      </c>
      <c r="G1083" s="108" t="s">
        <v>9</v>
      </c>
      <c r="H1083" s="126">
        <f t="shared" si="131"/>
        <v>0</v>
      </c>
      <c r="I1083" s="178" t="str">
        <f t="shared" si="128"/>
        <v>609100303 3 01 00000000</v>
      </c>
      <c r="L1083" s="39">
        <v>2608.5</v>
      </c>
      <c r="M1083" s="39">
        <v>2608.5</v>
      </c>
      <c r="N1083" s="39">
        <v>2608.5</v>
      </c>
      <c r="O1083" s="39">
        <f>H1083-L1083</f>
        <v>-2608.5</v>
      </c>
      <c r="P1083" s="39" t="e">
        <f>#REF!-M1083</f>
        <v>#REF!</v>
      </c>
      <c r="Q1083" s="39" t="e">
        <f>#REF!-N1083</f>
        <v>#REF!</v>
      </c>
      <c r="R1083" s="17" t="str">
        <f t="shared" si="129"/>
        <v>03 3 01 00000000</v>
      </c>
    </row>
    <row r="1084" spans="1:18" s="4" customFormat="1" ht="47.25">
      <c r="A1084" s="1"/>
      <c r="B1084" s="135" t="s">
        <v>675</v>
      </c>
      <c r="C1084" s="109" t="s">
        <v>595</v>
      </c>
      <c r="D1084" s="108" t="s">
        <v>317</v>
      </c>
      <c r="E1084" s="108" t="s">
        <v>13</v>
      </c>
      <c r="F1084" s="108" t="s">
        <v>676</v>
      </c>
      <c r="G1084" s="108" t="s">
        <v>9</v>
      </c>
      <c r="H1084" s="126">
        <f t="shared" si="131"/>
        <v>0</v>
      </c>
      <c r="I1084" s="178" t="str">
        <f t="shared" si="128"/>
        <v>609100303 3 01 20530000</v>
      </c>
      <c r="L1084" s="39">
        <v>2608.5</v>
      </c>
      <c r="M1084" s="39">
        <v>2608.5</v>
      </c>
      <c r="N1084" s="39">
        <v>2608.5</v>
      </c>
      <c r="O1084" s="39">
        <f>H1084-L1084</f>
        <v>-2608.5</v>
      </c>
      <c r="P1084" s="39" t="e">
        <f>#REF!-M1084</f>
        <v>#REF!</v>
      </c>
      <c r="Q1084" s="39" t="e">
        <f>#REF!-N1084</f>
        <v>#REF!</v>
      </c>
      <c r="R1084" s="17" t="str">
        <f t="shared" si="129"/>
        <v>03 3 01 20530000</v>
      </c>
    </row>
    <row r="1085" spans="1:18" s="4" customFormat="1" ht="31.5">
      <c r="A1085" s="1"/>
      <c r="B1085" s="132" t="s">
        <v>327</v>
      </c>
      <c r="C1085" s="109" t="s">
        <v>595</v>
      </c>
      <c r="D1085" s="108" t="s">
        <v>317</v>
      </c>
      <c r="E1085" s="108" t="s">
        <v>13</v>
      </c>
      <c r="F1085" s="108" t="s">
        <v>676</v>
      </c>
      <c r="G1085" s="108" t="s">
        <v>328</v>
      </c>
      <c r="H1085" s="126">
        <f>H1086</f>
        <v>0</v>
      </c>
      <c r="I1085" s="178" t="str">
        <f t="shared" si="128"/>
        <v>609100303 3 01 20530320</v>
      </c>
      <c r="L1085" s="37">
        <v>2608.5</v>
      </c>
      <c r="M1085" s="37">
        <v>2608.5</v>
      </c>
      <c r="N1085" s="37">
        <v>2608.5</v>
      </c>
      <c r="O1085" s="37">
        <f>H1085-L1085</f>
        <v>-2608.5</v>
      </c>
      <c r="P1085" s="37" t="e">
        <f>#REF!-M1085</f>
        <v>#REF!</v>
      </c>
      <c r="Q1085" s="37" t="e">
        <f>#REF!-N1085</f>
        <v>#REF!</v>
      </c>
      <c r="R1085" s="17" t="str">
        <f t="shared" si="129"/>
        <v>03 3 01 20530320</v>
      </c>
    </row>
    <row r="1086" spans="1:18" s="4" customFormat="1" ht="31.5">
      <c r="A1086" s="1"/>
      <c r="B1086" s="125" t="s">
        <v>501</v>
      </c>
      <c r="C1086" s="109" t="s">
        <v>595</v>
      </c>
      <c r="D1086" s="108" t="s">
        <v>317</v>
      </c>
      <c r="E1086" s="108" t="s">
        <v>13</v>
      </c>
      <c r="F1086" s="108" t="s">
        <v>676</v>
      </c>
      <c r="G1086" s="108" t="s">
        <v>502</v>
      </c>
      <c r="H1086" s="126"/>
      <c r="I1086" s="178" t="str">
        <f t="shared" si="128"/>
        <v>609100303 3 01 20530323</v>
      </c>
      <c r="L1086" s="37"/>
      <c r="M1086" s="37"/>
      <c r="N1086" s="37"/>
      <c r="O1086" s="37"/>
      <c r="P1086" s="37"/>
      <c r="Q1086" s="37"/>
      <c r="R1086" s="17"/>
    </row>
    <row r="1087" spans="1:18" s="43" customFormat="1" ht="15.75">
      <c r="A1087" s="42"/>
      <c r="B1087" s="121" t="s">
        <v>490</v>
      </c>
      <c r="C1087" s="122" t="s">
        <v>595</v>
      </c>
      <c r="D1087" s="123" t="s">
        <v>317</v>
      </c>
      <c r="E1087" s="123" t="s">
        <v>73</v>
      </c>
      <c r="F1087" s="123" t="s">
        <v>8</v>
      </c>
      <c r="G1087" s="123" t="s">
        <v>9</v>
      </c>
      <c r="H1087" s="124">
        <f t="shared" ref="H1087:H1089" si="132">H1088</f>
        <v>0</v>
      </c>
      <c r="I1087" s="178" t="str">
        <f t="shared" si="128"/>
        <v>609100400 0 00 00000000</v>
      </c>
      <c r="L1087" s="19">
        <v>260400.43</v>
      </c>
      <c r="M1087" s="19">
        <v>260400.43</v>
      </c>
      <c r="N1087" s="19">
        <v>260400.43</v>
      </c>
      <c r="O1087" s="19">
        <f t="shared" ref="O1087:O1092" si="133">H1087-L1087</f>
        <v>-260400.43</v>
      </c>
      <c r="P1087" s="19" t="e">
        <f>#REF!-M1087</f>
        <v>#REF!</v>
      </c>
      <c r="Q1087" s="19" t="e">
        <f>#REF!-N1087</f>
        <v>#REF!</v>
      </c>
      <c r="R1087" s="17" t="str">
        <f t="shared" si="129"/>
        <v>00 0 00 00000000</v>
      </c>
    </row>
    <row r="1088" spans="1:18" s="43" customFormat="1" ht="31.5">
      <c r="A1088" s="42"/>
      <c r="B1088" s="135" t="s">
        <v>385</v>
      </c>
      <c r="C1088" s="109" t="s">
        <v>595</v>
      </c>
      <c r="D1088" s="108" t="s">
        <v>317</v>
      </c>
      <c r="E1088" s="108" t="s">
        <v>73</v>
      </c>
      <c r="F1088" s="108" t="s">
        <v>386</v>
      </c>
      <c r="G1088" s="108" t="s">
        <v>9</v>
      </c>
      <c r="H1088" s="151">
        <f t="shared" si="132"/>
        <v>0</v>
      </c>
      <c r="I1088" s="178" t="str">
        <f t="shared" si="128"/>
        <v>609100403 0 00 00000000</v>
      </c>
      <c r="L1088" s="39">
        <v>260400.43</v>
      </c>
      <c r="M1088" s="39">
        <v>260400.43</v>
      </c>
      <c r="N1088" s="39">
        <v>260400.43</v>
      </c>
      <c r="O1088" s="39">
        <f t="shared" si="133"/>
        <v>-260400.43</v>
      </c>
      <c r="P1088" s="39" t="e">
        <f>#REF!-M1088</f>
        <v>#REF!</v>
      </c>
      <c r="Q1088" s="39" t="e">
        <f>#REF!-N1088</f>
        <v>#REF!</v>
      </c>
      <c r="R1088" s="17" t="str">
        <f t="shared" si="129"/>
        <v>03 0 00 00000000</v>
      </c>
    </row>
    <row r="1089" spans="1:18" s="43" customFormat="1" ht="47.25">
      <c r="A1089" s="42"/>
      <c r="B1089" s="147" t="s">
        <v>596</v>
      </c>
      <c r="C1089" s="109" t="s">
        <v>595</v>
      </c>
      <c r="D1089" s="108" t="s">
        <v>317</v>
      </c>
      <c r="E1089" s="108" t="s">
        <v>73</v>
      </c>
      <c r="F1089" s="108" t="s">
        <v>597</v>
      </c>
      <c r="G1089" s="108" t="s">
        <v>9</v>
      </c>
      <c r="H1089" s="151">
        <f t="shared" si="132"/>
        <v>0</v>
      </c>
      <c r="I1089" s="178" t="str">
        <f t="shared" si="128"/>
        <v>609100403 1 00 00000 000</v>
      </c>
      <c r="L1089" s="39">
        <v>260400.43</v>
      </c>
      <c r="M1089" s="39">
        <v>260400.43</v>
      </c>
      <c r="N1089" s="39">
        <v>260400.43</v>
      </c>
      <c r="O1089" s="39">
        <f t="shared" si="133"/>
        <v>-260400.43</v>
      </c>
      <c r="P1089" s="39" t="e">
        <f>#REF!-M1089</f>
        <v>#REF!</v>
      </c>
      <c r="Q1089" s="39" t="e">
        <f>#REF!-N1089</f>
        <v>#REF!</v>
      </c>
      <c r="R1089" s="17" t="str">
        <f t="shared" si="129"/>
        <v>03 1 00 00000 000</v>
      </c>
    </row>
    <row r="1090" spans="1:18" s="17" customFormat="1" ht="31.5">
      <c r="A1090" s="14"/>
      <c r="B1090" s="148" t="s">
        <v>623</v>
      </c>
      <c r="C1090" s="109" t="s">
        <v>595</v>
      </c>
      <c r="D1090" s="108" t="s">
        <v>317</v>
      </c>
      <c r="E1090" s="108" t="s">
        <v>73</v>
      </c>
      <c r="F1090" s="108" t="s">
        <v>624</v>
      </c>
      <c r="G1090" s="108" t="s">
        <v>9</v>
      </c>
      <c r="H1090" s="152">
        <f>H1094+H1091</f>
        <v>0</v>
      </c>
      <c r="I1090" s="178" t="str">
        <f t="shared" si="128"/>
        <v>609100403 1 02 00000000</v>
      </c>
      <c r="L1090" s="37">
        <v>260400.43</v>
      </c>
      <c r="M1090" s="37">
        <v>260400.43</v>
      </c>
      <c r="N1090" s="37">
        <v>260400.43</v>
      </c>
      <c r="O1090" s="37">
        <f t="shared" si="133"/>
        <v>-260400.43</v>
      </c>
      <c r="P1090" s="37" t="e">
        <f>#REF!-M1090</f>
        <v>#REF!</v>
      </c>
      <c r="Q1090" s="37" t="e">
        <f>#REF!-N1090</f>
        <v>#REF!</v>
      </c>
      <c r="R1090" s="17" t="str">
        <f t="shared" si="129"/>
        <v>03 1 02 00000000</v>
      </c>
    </row>
    <row r="1091" spans="1:18" s="17" customFormat="1" ht="15.75">
      <c r="A1091" s="14"/>
      <c r="B1091" s="149" t="s">
        <v>677</v>
      </c>
      <c r="C1091" s="109" t="s">
        <v>595</v>
      </c>
      <c r="D1091" s="108" t="s">
        <v>317</v>
      </c>
      <c r="E1091" s="108" t="s">
        <v>73</v>
      </c>
      <c r="F1091" s="108" t="s">
        <v>678</v>
      </c>
      <c r="G1091" s="108" t="s">
        <v>9</v>
      </c>
      <c r="H1091" s="152">
        <f>H1092</f>
        <v>0</v>
      </c>
      <c r="I1091" s="178" t="str">
        <f t="shared" si="128"/>
        <v>609100403 1 02 76270000</v>
      </c>
      <c r="L1091" s="37">
        <v>122664.88</v>
      </c>
      <c r="M1091" s="37">
        <v>122664.88</v>
      </c>
      <c r="N1091" s="37">
        <v>122664.88</v>
      </c>
      <c r="O1091" s="37">
        <f t="shared" si="133"/>
        <v>-122664.88</v>
      </c>
      <c r="P1091" s="37" t="e">
        <f>#REF!-M1091</f>
        <v>#REF!</v>
      </c>
      <c r="Q1091" s="37" t="e">
        <f>#REF!-N1091</f>
        <v>#REF!</v>
      </c>
      <c r="R1091" s="17" t="str">
        <f t="shared" si="129"/>
        <v>03 1 02 76270000</v>
      </c>
    </row>
    <row r="1092" spans="1:18" s="17" customFormat="1" ht="31.5">
      <c r="A1092" s="14"/>
      <c r="B1092" s="132" t="s">
        <v>493</v>
      </c>
      <c r="C1092" s="109" t="s">
        <v>595</v>
      </c>
      <c r="D1092" s="108" t="s">
        <v>317</v>
      </c>
      <c r="E1092" s="108" t="s">
        <v>73</v>
      </c>
      <c r="F1092" s="108" t="s">
        <v>678</v>
      </c>
      <c r="G1092" s="108" t="s">
        <v>494</v>
      </c>
      <c r="H1092" s="126">
        <f>H1093</f>
        <v>0</v>
      </c>
      <c r="I1092" s="178" t="str">
        <f t="shared" si="128"/>
        <v>609100403 1 02 76270310</v>
      </c>
      <c r="L1092" s="37">
        <v>122664.88</v>
      </c>
      <c r="M1092" s="37">
        <v>122664.88</v>
      </c>
      <c r="N1092" s="37">
        <v>122664.88</v>
      </c>
      <c r="O1092" s="37">
        <f t="shared" si="133"/>
        <v>-122664.88</v>
      </c>
      <c r="P1092" s="37" t="e">
        <f>#REF!-M1092</f>
        <v>#REF!</v>
      </c>
      <c r="Q1092" s="37" t="e">
        <f>#REF!-N1092</f>
        <v>#REF!</v>
      </c>
      <c r="R1092" s="17" t="str">
        <f t="shared" si="129"/>
        <v>03 1 02 76270310</v>
      </c>
    </row>
    <row r="1093" spans="1:18" s="17" customFormat="1" ht="31.5">
      <c r="A1093" s="14"/>
      <c r="B1093" s="127" t="s">
        <v>495</v>
      </c>
      <c r="C1093" s="109" t="s">
        <v>595</v>
      </c>
      <c r="D1093" s="108" t="s">
        <v>317</v>
      </c>
      <c r="E1093" s="108" t="s">
        <v>73</v>
      </c>
      <c r="F1093" s="108" t="s">
        <v>678</v>
      </c>
      <c r="G1093" s="108" t="s">
        <v>496</v>
      </c>
      <c r="H1093" s="126"/>
      <c r="I1093" s="178" t="str">
        <f t="shared" si="128"/>
        <v>609100403 1 02 76270313</v>
      </c>
      <c r="L1093" s="37"/>
      <c r="M1093" s="37"/>
      <c r="N1093" s="37"/>
      <c r="O1093" s="37"/>
      <c r="P1093" s="37"/>
      <c r="Q1093" s="37"/>
    </row>
    <row r="1094" spans="1:18" s="17" customFormat="1" ht="78.75">
      <c r="A1094" s="14" t="s">
        <v>80</v>
      </c>
      <c r="B1094" s="149" t="s">
        <v>679</v>
      </c>
      <c r="C1094" s="109" t="s">
        <v>595</v>
      </c>
      <c r="D1094" s="108" t="s">
        <v>317</v>
      </c>
      <c r="E1094" s="108" t="s">
        <v>73</v>
      </c>
      <c r="F1094" s="108" t="s">
        <v>680</v>
      </c>
      <c r="G1094" s="108" t="s">
        <v>9</v>
      </c>
      <c r="H1094" s="152">
        <f>H1095</f>
        <v>0</v>
      </c>
      <c r="I1094" s="178" t="str">
        <f t="shared" si="128"/>
        <v>609100403 1 02 R0840000</v>
      </c>
      <c r="L1094" s="37">
        <v>137735.54999999999</v>
      </c>
      <c r="M1094" s="37">
        <v>137735.54999999999</v>
      </c>
      <c r="N1094" s="37">
        <v>137735.54999999999</v>
      </c>
      <c r="O1094" s="37">
        <f>H1094-L1094</f>
        <v>-137735.54999999999</v>
      </c>
      <c r="P1094" s="37" t="e">
        <f>#REF!-M1094</f>
        <v>#REF!</v>
      </c>
      <c r="Q1094" s="37" t="e">
        <f>#REF!-N1094</f>
        <v>#REF!</v>
      </c>
      <c r="R1094" s="17" t="str">
        <f>CONCATENATE(F1094,G1094)</f>
        <v>03 1 02 R0840000</v>
      </c>
    </row>
    <row r="1095" spans="1:18" s="17" customFormat="1" ht="31.5">
      <c r="A1095" s="14"/>
      <c r="B1095" s="132" t="s">
        <v>493</v>
      </c>
      <c r="C1095" s="109" t="s">
        <v>595</v>
      </c>
      <c r="D1095" s="108" t="s">
        <v>317</v>
      </c>
      <c r="E1095" s="108" t="s">
        <v>73</v>
      </c>
      <c r="F1095" s="108" t="s">
        <v>680</v>
      </c>
      <c r="G1095" s="108" t="s">
        <v>494</v>
      </c>
      <c r="H1095" s="126">
        <f>H1096</f>
        <v>0</v>
      </c>
      <c r="I1095" s="178" t="str">
        <f t="shared" si="128"/>
        <v>609100403 1 02 R0840310</v>
      </c>
      <c r="L1095" s="37">
        <v>137735.54999999999</v>
      </c>
      <c r="M1095" s="37">
        <v>137735.54999999999</v>
      </c>
      <c r="N1095" s="37">
        <v>137735.54999999999</v>
      </c>
      <c r="O1095" s="37">
        <f>H1095-L1095</f>
        <v>-137735.54999999999</v>
      </c>
      <c r="P1095" s="37" t="e">
        <f>#REF!-M1095</f>
        <v>#REF!</v>
      </c>
      <c r="Q1095" s="37" t="e">
        <f>#REF!-N1095</f>
        <v>#REF!</v>
      </c>
      <c r="R1095" s="17" t="str">
        <f>CONCATENATE(F1095,G1095)</f>
        <v>03 1 02 R0840310</v>
      </c>
    </row>
    <row r="1096" spans="1:18" s="17" customFormat="1" ht="31.5">
      <c r="A1096" s="14"/>
      <c r="B1096" s="127" t="s">
        <v>495</v>
      </c>
      <c r="C1096" s="109" t="s">
        <v>595</v>
      </c>
      <c r="D1096" s="108" t="s">
        <v>317</v>
      </c>
      <c r="E1096" s="108" t="s">
        <v>73</v>
      </c>
      <c r="F1096" s="108" t="s">
        <v>680</v>
      </c>
      <c r="G1096" s="108" t="s">
        <v>496</v>
      </c>
      <c r="H1096" s="126"/>
      <c r="I1096" s="178" t="str">
        <f t="shared" si="128"/>
        <v>609100403 1 02 R0840313</v>
      </c>
      <c r="L1096" s="37"/>
      <c r="M1096" s="37"/>
      <c r="N1096" s="37"/>
      <c r="O1096" s="37"/>
      <c r="P1096" s="37"/>
      <c r="Q1096" s="37"/>
    </row>
    <row r="1097" spans="1:18" s="45" customFormat="1" ht="15.75">
      <c r="A1097" s="44"/>
      <c r="B1097" s="121" t="s">
        <v>681</v>
      </c>
      <c r="C1097" s="122" t="s">
        <v>595</v>
      </c>
      <c r="D1097" s="123" t="s">
        <v>317</v>
      </c>
      <c r="E1097" s="123" t="s">
        <v>334</v>
      </c>
      <c r="F1097" s="123" t="s">
        <v>8</v>
      </c>
      <c r="G1097" s="123" t="s">
        <v>9</v>
      </c>
      <c r="H1097" s="124">
        <f>H1098+H1121</f>
        <v>0</v>
      </c>
      <c r="I1097" s="178" t="str">
        <f t="shared" si="128"/>
        <v>609100600 0 00 00000000</v>
      </c>
      <c r="L1097" s="19">
        <v>68005.930000000008</v>
      </c>
      <c r="M1097" s="19">
        <v>67997.600000000006</v>
      </c>
      <c r="N1097" s="19">
        <v>68035.66</v>
      </c>
      <c r="O1097" s="19">
        <f t="shared" ref="O1097:O1102" si="134">H1097-L1097</f>
        <v>-68005.930000000008</v>
      </c>
      <c r="P1097" s="19" t="e">
        <f>#REF!-M1097</f>
        <v>#REF!</v>
      </c>
      <c r="Q1097" s="19" t="e">
        <f>#REF!-N1097</f>
        <v>#REF!</v>
      </c>
      <c r="R1097" s="17" t="str">
        <f t="shared" si="129"/>
        <v>00 0 00 00000000</v>
      </c>
    </row>
    <row r="1098" spans="1:18" s="17" customFormat="1" ht="31.5">
      <c r="A1098" s="14"/>
      <c r="B1098" s="135" t="s">
        <v>385</v>
      </c>
      <c r="C1098" s="109" t="s">
        <v>595</v>
      </c>
      <c r="D1098" s="108" t="s">
        <v>317</v>
      </c>
      <c r="E1098" s="108" t="s">
        <v>334</v>
      </c>
      <c r="F1098" s="108" t="s">
        <v>386</v>
      </c>
      <c r="G1098" s="108" t="s">
        <v>9</v>
      </c>
      <c r="H1098" s="152">
        <f>H1105+H1110+H1099</f>
        <v>0</v>
      </c>
      <c r="I1098" s="178" t="str">
        <f t="shared" si="128"/>
        <v>609100603 0 00 00000000</v>
      </c>
      <c r="L1098" s="37">
        <v>5561.92</v>
      </c>
      <c r="M1098" s="37">
        <v>5561.92</v>
      </c>
      <c r="N1098" s="37">
        <v>5561.92</v>
      </c>
      <c r="O1098" s="37">
        <f t="shared" si="134"/>
        <v>-5561.92</v>
      </c>
      <c r="P1098" s="37" t="e">
        <f>#REF!-M1098</f>
        <v>#REF!</v>
      </c>
      <c r="Q1098" s="37" t="e">
        <f>#REF!-N1098</f>
        <v>#REF!</v>
      </c>
      <c r="R1098" s="17" t="str">
        <f t="shared" si="129"/>
        <v>03 0 00 00000000</v>
      </c>
    </row>
    <row r="1099" spans="1:18" s="4" customFormat="1" ht="47.25">
      <c r="A1099" s="1" t="s">
        <v>682</v>
      </c>
      <c r="B1099" s="147" t="s">
        <v>596</v>
      </c>
      <c r="C1099" s="109" t="s">
        <v>595</v>
      </c>
      <c r="D1099" s="108" t="s">
        <v>317</v>
      </c>
      <c r="E1099" s="108" t="s">
        <v>334</v>
      </c>
      <c r="F1099" s="108" t="s">
        <v>597</v>
      </c>
      <c r="G1099" s="108" t="s">
        <v>9</v>
      </c>
      <c r="H1099" s="152">
        <f>H1100</f>
        <v>0</v>
      </c>
      <c r="I1099" s="178" t="str">
        <f t="shared" si="128"/>
        <v>609100603 1 00 00000 000</v>
      </c>
      <c r="L1099" s="37">
        <v>2546</v>
      </c>
      <c r="M1099" s="37">
        <v>2546</v>
      </c>
      <c r="N1099" s="37">
        <v>2546</v>
      </c>
      <c r="O1099" s="37">
        <f t="shared" si="134"/>
        <v>-2546</v>
      </c>
      <c r="P1099" s="37" t="e">
        <f>#REF!-M1099</f>
        <v>#REF!</v>
      </c>
      <c r="Q1099" s="37" t="e">
        <f>#REF!-N1099</f>
        <v>#REF!</v>
      </c>
      <c r="R1099" s="17" t="str">
        <f>CONCATENATE(F1099,G1099)</f>
        <v>03 1 00 00000 000</v>
      </c>
    </row>
    <row r="1100" spans="1:18" s="4" customFormat="1" ht="47.25">
      <c r="A1100" s="1"/>
      <c r="B1100" s="148" t="s">
        <v>599</v>
      </c>
      <c r="C1100" s="109" t="s">
        <v>595</v>
      </c>
      <c r="D1100" s="108" t="s">
        <v>317</v>
      </c>
      <c r="E1100" s="108" t="s">
        <v>334</v>
      </c>
      <c r="F1100" s="108" t="s">
        <v>600</v>
      </c>
      <c r="G1100" s="108" t="s">
        <v>9</v>
      </c>
      <c r="H1100" s="152">
        <f>H1101</f>
        <v>0</v>
      </c>
      <c r="I1100" s="178" t="str">
        <f t="shared" si="128"/>
        <v>609100603 1 01 00000 000</v>
      </c>
      <c r="L1100" s="37">
        <v>2546</v>
      </c>
      <c r="M1100" s="37">
        <v>2546</v>
      </c>
      <c r="N1100" s="37">
        <v>2546</v>
      </c>
      <c r="O1100" s="37">
        <f t="shared" si="134"/>
        <v>-2546</v>
      </c>
      <c r="P1100" s="37" t="e">
        <f>#REF!-M1100</f>
        <v>#REF!</v>
      </c>
      <c r="Q1100" s="37" t="e">
        <f>#REF!-N1100</f>
        <v>#REF!</v>
      </c>
      <c r="R1100" s="17" t="str">
        <f>CONCATENATE(F1100,G1100)</f>
        <v>03 1 01 00000 000</v>
      </c>
    </row>
    <row r="1101" spans="1:18" s="4" customFormat="1" ht="47.25">
      <c r="A1101" s="1"/>
      <c r="B1101" s="135" t="s">
        <v>603</v>
      </c>
      <c r="C1101" s="109" t="s">
        <v>595</v>
      </c>
      <c r="D1101" s="108" t="s">
        <v>317</v>
      </c>
      <c r="E1101" s="108" t="s">
        <v>334</v>
      </c>
      <c r="F1101" s="108" t="s">
        <v>604</v>
      </c>
      <c r="G1101" s="108" t="s">
        <v>9</v>
      </c>
      <c r="H1101" s="152">
        <f>H1102</f>
        <v>0</v>
      </c>
      <c r="I1101" s="178" t="str">
        <f t="shared" si="128"/>
        <v>609100603 1 01 52500000</v>
      </c>
      <c r="L1101" s="37">
        <v>2546</v>
      </c>
      <c r="M1101" s="37">
        <v>2546</v>
      </c>
      <c r="N1101" s="37">
        <v>2546</v>
      </c>
      <c r="O1101" s="37">
        <f t="shared" si="134"/>
        <v>-2546</v>
      </c>
      <c r="P1101" s="37" t="e">
        <f>#REF!-M1101</f>
        <v>#REF!</v>
      </c>
      <c r="Q1101" s="37" t="e">
        <f>#REF!-N1101</f>
        <v>#REF!</v>
      </c>
      <c r="R1101" s="17" t="str">
        <f>CONCATENATE(F1101,G1101)</f>
        <v>03 1 01 52500000</v>
      </c>
    </row>
    <row r="1102" spans="1:18" s="4" customFormat="1" ht="31.5">
      <c r="A1102" s="1"/>
      <c r="B1102" s="125" t="s">
        <v>20</v>
      </c>
      <c r="C1102" s="109" t="s">
        <v>595</v>
      </c>
      <c r="D1102" s="108" t="s">
        <v>317</v>
      </c>
      <c r="E1102" s="108" t="s">
        <v>334</v>
      </c>
      <c r="F1102" s="108" t="s">
        <v>604</v>
      </c>
      <c r="G1102" s="108" t="s">
        <v>21</v>
      </c>
      <c r="H1102" s="126">
        <f>SUM(H1103:H1104)</f>
        <v>0</v>
      </c>
      <c r="I1102" s="178" t="str">
        <f t="shared" si="128"/>
        <v>609100603 1 01 52500120</v>
      </c>
      <c r="L1102" s="37">
        <v>2546</v>
      </c>
      <c r="M1102" s="37">
        <v>2546</v>
      </c>
      <c r="N1102" s="37">
        <v>2546</v>
      </c>
      <c r="O1102" s="37">
        <f t="shared" si="134"/>
        <v>-2546</v>
      </c>
      <c r="P1102" s="37" t="e">
        <f>#REF!-M1102</f>
        <v>#REF!</v>
      </c>
      <c r="Q1102" s="37" t="e">
        <f>#REF!-N1102</f>
        <v>#REF!</v>
      </c>
      <c r="R1102" s="17" t="str">
        <f>CONCATENATE(F1102,G1102)</f>
        <v>03 1 01 52500120</v>
      </c>
    </row>
    <row r="1103" spans="1:18" s="41" customFormat="1" ht="31.5">
      <c r="A1103" s="40"/>
      <c r="B1103" s="127" t="s">
        <v>40</v>
      </c>
      <c r="C1103" s="109" t="s">
        <v>595</v>
      </c>
      <c r="D1103" s="108" t="s">
        <v>317</v>
      </c>
      <c r="E1103" s="108" t="s">
        <v>334</v>
      </c>
      <c r="F1103" s="108" t="s">
        <v>604</v>
      </c>
      <c r="G1103" s="108" t="s">
        <v>41</v>
      </c>
      <c r="H1103" s="126"/>
      <c r="I1103" s="178" t="str">
        <f t="shared" si="128"/>
        <v>609100603 1 01 52500121</v>
      </c>
      <c r="L1103" s="38"/>
      <c r="M1103" s="38"/>
      <c r="N1103" s="38"/>
      <c r="O1103" s="38"/>
      <c r="P1103" s="38"/>
      <c r="Q1103" s="38"/>
      <c r="R1103" s="24"/>
    </row>
    <row r="1104" spans="1:18" s="41" customFormat="1" ht="63">
      <c r="A1104" s="40"/>
      <c r="B1104" s="127" t="s">
        <v>26</v>
      </c>
      <c r="C1104" s="109" t="s">
        <v>595</v>
      </c>
      <c r="D1104" s="108" t="s">
        <v>317</v>
      </c>
      <c r="E1104" s="108" t="s">
        <v>334</v>
      </c>
      <c r="F1104" s="108" t="s">
        <v>604</v>
      </c>
      <c r="G1104" s="108" t="s">
        <v>27</v>
      </c>
      <c r="H1104" s="126"/>
      <c r="I1104" s="178" t="str">
        <f t="shared" si="128"/>
        <v>609100603 1 01 52500129</v>
      </c>
      <c r="L1104" s="38"/>
      <c r="M1104" s="38"/>
      <c r="N1104" s="38"/>
      <c r="O1104" s="38"/>
      <c r="P1104" s="38"/>
      <c r="Q1104" s="38"/>
      <c r="R1104" s="24"/>
    </row>
    <row r="1105" spans="1:18" s="4" customFormat="1" ht="63">
      <c r="A1105" s="1"/>
      <c r="B1105" s="135" t="s">
        <v>387</v>
      </c>
      <c r="C1105" s="109" t="s">
        <v>595</v>
      </c>
      <c r="D1105" s="108" t="s">
        <v>317</v>
      </c>
      <c r="E1105" s="108" t="s">
        <v>334</v>
      </c>
      <c r="F1105" s="108" t="s">
        <v>388</v>
      </c>
      <c r="G1105" s="108" t="s">
        <v>9</v>
      </c>
      <c r="H1105" s="151">
        <f t="shared" ref="H1105:H1107" si="135">H1106</f>
        <v>0</v>
      </c>
      <c r="I1105" s="178" t="str">
        <f t="shared" si="128"/>
        <v>609100603 2 00 00000000</v>
      </c>
      <c r="L1105" s="39">
        <v>1160.51</v>
      </c>
      <c r="M1105" s="39">
        <v>1160.51</v>
      </c>
      <c r="N1105" s="39">
        <v>1160.51</v>
      </c>
      <c r="O1105" s="39">
        <f>H1105-L1105</f>
        <v>-1160.51</v>
      </c>
      <c r="P1105" s="39" t="e">
        <f>#REF!-M1105</f>
        <v>#REF!</v>
      </c>
      <c r="Q1105" s="39" t="e">
        <f>#REF!-N1105</f>
        <v>#REF!</v>
      </c>
      <c r="R1105" s="17" t="str">
        <f t="shared" si="129"/>
        <v>03 2 00 00000000</v>
      </c>
    </row>
    <row r="1106" spans="1:18" s="4" customFormat="1" ht="31.5">
      <c r="A1106" s="1"/>
      <c r="B1106" s="135" t="s">
        <v>683</v>
      </c>
      <c r="C1106" s="109" t="s">
        <v>595</v>
      </c>
      <c r="D1106" s="108" t="s">
        <v>317</v>
      </c>
      <c r="E1106" s="108" t="s">
        <v>334</v>
      </c>
      <c r="F1106" s="108" t="s">
        <v>684</v>
      </c>
      <c r="G1106" s="108" t="s">
        <v>9</v>
      </c>
      <c r="H1106" s="151">
        <f t="shared" si="135"/>
        <v>0</v>
      </c>
      <c r="I1106" s="178" t="str">
        <f t="shared" si="128"/>
        <v>609100603 2 07 00000000</v>
      </c>
      <c r="L1106" s="39">
        <v>1160.51</v>
      </c>
      <c r="M1106" s="39">
        <v>1160.51</v>
      </c>
      <c r="N1106" s="39">
        <v>1160.51</v>
      </c>
      <c r="O1106" s="39">
        <f>H1106-L1106</f>
        <v>-1160.51</v>
      </c>
      <c r="P1106" s="39" t="e">
        <f>#REF!-M1106</f>
        <v>#REF!</v>
      </c>
      <c r="Q1106" s="39" t="e">
        <f>#REF!-N1106</f>
        <v>#REF!</v>
      </c>
      <c r="R1106" s="17" t="str">
        <f t="shared" si="129"/>
        <v>03 2 07 00000000</v>
      </c>
    </row>
    <row r="1107" spans="1:18" s="4" customFormat="1" ht="31.5">
      <c r="A1107" s="1"/>
      <c r="B1107" s="135" t="s">
        <v>685</v>
      </c>
      <c r="C1107" s="109" t="s">
        <v>595</v>
      </c>
      <c r="D1107" s="108" t="s">
        <v>317</v>
      </c>
      <c r="E1107" s="108" t="s">
        <v>334</v>
      </c>
      <c r="F1107" s="108" t="s">
        <v>686</v>
      </c>
      <c r="G1107" s="108" t="s">
        <v>9</v>
      </c>
      <c r="H1107" s="151">
        <f t="shared" si="135"/>
        <v>0</v>
      </c>
      <c r="I1107" s="178" t="str">
        <f t="shared" si="128"/>
        <v>609100603 2 07 60040000</v>
      </c>
      <c r="L1107" s="39">
        <v>1160.51</v>
      </c>
      <c r="M1107" s="39">
        <v>1160.51</v>
      </c>
      <c r="N1107" s="39">
        <v>1160.51</v>
      </c>
      <c r="O1107" s="39">
        <f>H1107-L1107</f>
        <v>-1160.51</v>
      </c>
      <c r="P1107" s="39" t="e">
        <f>#REF!-M1107</f>
        <v>#REF!</v>
      </c>
      <c r="Q1107" s="39" t="e">
        <f>#REF!-N1107</f>
        <v>#REF!</v>
      </c>
      <c r="R1107" s="17" t="str">
        <f t="shared" si="129"/>
        <v>03 2 07 60040000</v>
      </c>
    </row>
    <row r="1108" spans="1:18" s="4" customFormat="1" ht="47.25">
      <c r="A1108" s="1"/>
      <c r="B1108" s="135" t="s">
        <v>182</v>
      </c>
      <c r="C1108" s="109" t="s">
        <v>595</v>
      </c>
      <c r="D1108" s="108" t="s">
        <v>317</v>
      </c>
      <c r="E1108" s="108" t="s">
        <v>334</v>
      </c>
      <c r="F1108" s="108" t="s">
        <v>686</v>
      </c>
      <c r="G1108" s="108" t="s">
        <v>183</v>
      </c>
      <c r="H1108" s="126">
        <f>H1109</f>
        <v>0</v>
      </c>
      <c r="I1108" s="178" t="str">
        <f t="shared" si="128"/>
        <v>609100603 2 07 60040630</v>
      </c>
      <c r="L1108" s="37">
        <v>1160.51</v>
      </c>
      <c r="M1108" s="37">
        <v>1160.51</v>
      </c>
      <c r="N1108" s="37">
        <v>1160.51</v>
      </c>
      <c r="O1108" s="37">
        <f>H1108-L1108</f>
        <v>-1160.51</v>
      </c>
      <c r="P1108" s="37" t="e">
        <f>#REF!-M1108</f>
        <v>#REF!</v>
      </c>
      <c r="Q1108" s="37" t="e">
        <f>#REF!-N1108</f>
        <v>#REF!</v>
      </c>
      <c r="R1108" s="17" t="str">
        <f t="shared" si="129"/>
        <v>03 2 07 60040630</v>
      </c>
    </row>
    <row r="1109" spans="1:18" s="4" customFormat="1" ht="94.5">
      <c r="A1109" s="1"/>
      <c r="B1109" s="127" t="s">
        <v>1038</v>
      </c>
      <c r="C1109" s="109" t="s">
        <v>595</v>
      </c>
      <c r="D1109" s="108" t="s">
        <v>317</v>
      </c>
      <c r="E1109" s="108" t="s">
        <v>334</v>
      </c>
      <c r="F1109" s="108" t="s">
        <v>686</v>
      </c>
      <c r="G1109" s="108" t="s">
        <v>416</v>
      </c>
      <c r="H1109" s="126"/>
      <c r="I1109" s="178" t="str">
        <f t="shared" ref="I1109:I1172" si="136">C1109&amp;D1109&amp;E1109&amp;F1109&amp;G1109</f>
        <v>609100603 2 07 60040632</v>
      </c>
      <c r="L1109" s="37"/>
      <c r="M1109" s="37"/>
      <c r="N1109" s="37"/>
      <c r="O1109" s="37"/>
      <c r="P1109" s="37"/>
      <c r="Q1109" s="37"/>
      <c r="R1109" s="17"/>
    </row>
    <row r="1110" spans="1:18" s="4" customFormat="1" ht="15.75">
      <c r="A1110" s="1"/>
      <c r="B1110" s="135" t="s">
        <v>671</v>
      </c>
      <c r="C1110" s="109" t="s">
        <v>595</v>
      </c>
      <c r="D1110" s="108" t="s">
        <v>317</v>
      </c>
      <c r="E1110" s="108" t="s">
        <v>334</v>
      </c>
      <c r="F1110" s="108" t="s">
        <v>672</v>
      </c>
      <c r="G1110" s="108" t="s">
        <v>9</v>
      </c>
      <c r="H1110" s="152">
        <f>H1111</f>
        <v>0</v>
      </c>
      <c r="I1110" s="178" t="str">
        <f t="shared" si="136"/>
        <v>609100603 3 00 00000000</v>
      </c>
      <c r="L1110" s="37">
        <v>1855.4099999999999</v>
      </c>
      <c r="M1110" s="37">
        <v>1855.4099999999999</v>
      </c>
      <c r="N1110" s="37">
        <v>1855.4099999999999</v>
      </c>
      <c r="O1110" s="37">
        <f>H1110-L1110</f>
        <v>-1855.4099999999999</v>
      </c>
      <c r="P1110" s="37" t="e">
        <f>#REF!-M1110</f>
        <v>#REF!</v>
      </c>
      <c r="Q1110" s="37" t="e">
        <f>#REF!-N1110</f>
        <v>#REF!</v>
      </c>
      <c r="R1110" s="17" t="str">
        <f t="shared" si="129"/>
        <v>03 3 00 00000000</v>
      </c>
    </row>
    <row r="1111" spans="1:18" s="4" customFormat="1" ht="47.25">
      <c r="A1111" s="1"/>
      <c r="B1111" s="135" t="s">
        <v>673</v>
      </c>
      <c r="C1111" s="109" t="s">
        <v>595</v>
      </c>
      <c r="D1111" s="108" t="s">
        <v>317</v>
      </c>
      <c r="E1111" s="108" t="s">
        <v>334</v>
      </c>
      <c r="F1111" s="108" t="s">
        <v>674</v>
      </c>
      <c r="G1111" s="108" t="s">
        <v>9</v>
      </c>
      <c r="H1111" s="152">
        <f>H1112+H1118</f>
        <v>0</v>
      </c>
      <c r="I1111" s="178" t="str">
        <f t="shared" si="136"/>
        <v>609100603 3 01 00000000</v>
      </c>
      <c r="L1111" s="37">
        <v>1855.4099999999999</v>
      </c>
      <c r="M1111" s="37">
        <v>1855.4099999999999</v>
      </c>
      <c r="N1111" s="37">
        <v>1855.4099999999999</v>
      </c>
      <c r="O1111" s="37">
        <f>H1111-L1111</f>
        <v>-1855.4099999999999</v>
      </c>
      <c r="P1111" s="37" t="e">
        <f>#REF!-M1111</f>
        <v>#REF!</v>
      </c>
      <c r="Q1111" s="37" t="e">
        <f>#REF!-N1111</f>
        <v>#REF!</v>
      </c>
      <c r="R1111" s="17" t="str">
        <f t="shared" si="129"/>
        <v>03 3 01 00000000</v>
      </c>
    </row>
    <row r="1112" spans="1:18" s="4" customFormat="1" ht="47.25">
      <c r="A1112" s="1"/>
      <c r="B1112" s="135" t="s">
        <v>675</v>
      </c>
      <c r="C1112" s="109" t="s">
        <v>595</v>
      </c>
      <c r="D1112" s="108" t="s">
        <v>317</v>
      </c>
      <c r="E1112" s="108" t="s">
        <v>334</v>
      </c>
      <c r="F1112" s="108" t="s">
        <v>676</v>
      </c>
      <c r="G1112" s="108" t="s">
        <v>9</v>
      </c>
      <c r="H1112" s="152">
        <f>H1113+H1115</f>
        <v>0</v>
      </c>
      <c r="I1112" s="178" t="str">
        <f t="shared" si="136"/>
        <v>609100603 3 01 20530000</v>
      </c>
      <c r="L1112" s="37">
        <v>103.55</v>
      </c>
      <c r="M1112" s="37">
        <v>103.55</v>
      </c>
      <c r="N1112" s="37">
        <v>103.55</v>
      </c>
      <c r="O1112" s="37">
        <f>H1112-L1112</f>
        <v>-103.55</v>
      </c>
      <c r="P1112" s="37" t="e">
        <f>#REF!-M1112</f>
        <v>#REF!</v>
      </c>
      <c r="Q1112" s="37" t="e">
        <f>#REF!-N1112</f>
        <v>#REF!</v>
      </c>
      <c r="R1112" s="17" t="str">
        <f t="shared" si="129"/>
        <v>03 3 01 20530000</v>
      </c>
    </row>
    <row r="1113" spans="1:18" s="4" customFormat="1" ht="31.5">
      <c r="A1113" s="1"/>
      <c r="B1113" s="125" t="s">
        <v>28</v>
      </c>
      <c r="C1113" s="109" t="s">
        <v>595</v>
      </c>
      <c r="D1113" s="108" t="s">
        <v>317</v>
      </c>
      <c r="E1113" s="108" t="s">
        <v>334</v>
      </c>
      <c r="F1113" s="108" t="s">
        <v>676</v>
      </c>
      <c r="G1113" s="108" t="s">
        <v>29</v>
      </c>
      <c r="H1113" s="126">
        <f>H1114</f>
        <v>0</v>
      </c>
      <c r="I1113" s="178" t="str">
        <f t="shared" si="136"/>
        <v>609100603 3 01 20530240</v>
      </c>
      <c r="L1113" s="37">
        <v>68.69</v>
      </c>
      <c r="M1113" s="37">
        <v>68.69</v>
      </c>
      <c r="N1113" s="37">
        <v>68.69</v>
      </c>
      <c r="O1113" s="37">
        <f>H1113-L1113</f>
        <v>-68.69</v>
      </c>
      <c r="P1113" s="37" t="e">
        <f>#REF!-M1113</f>
        <v>#REF!</v>
      </c>
      <c r="Q1113" s="37" t="e">
        <f>#REF!-N1113</f>
        <v>#REF!</v>
      </c>
      <c r="R1113" s="17" t="str">
        <f t="shared" si="129"/>
        <v>03 3 01 20530240</v>
      </c>
    </row>
    <row r="1114" spans="1:18" s="4" customFormat="1" ht="15.75">
      <c r="A1114" s="1"/>
      <c r="B1114" s="125" t="s">
        <v>30</v>
      </c>
      <c r="C1114" s="109" t="s">
        <v>595</v>
      </c>
      <c r="D1114" s="108" t="s">
        <v>317</v>
      </c>
      <c r="E1114" s="108" t="s">
        <v>334</v>
      </c>
      <c r="F1114" s="108" t="s">
        <v>676</v>
      </c>
      <c r="G1114" s="108" t="s">
        <v>31</v>
      </c>
      <c r="H1114" s="126"/>
      <c r="I1114" s="178" t="str">
        <f t="shared" si="136"/>
        <v>609100603 3 01 20530244</v>
      </c>
      <c r="L1114" s="37"/>
      <c r="M1114" s="37"/>
      <c r="N1114" s="37"/>
      <c r="O1114" s="37"/>
      <c r="P1114" s="37"/>
      <c r="Q1114" s="37"/>
      <c r="R1114" s="17"/>
    </row>
    <row r="1115" spans="1:18" s="4" customFormat="1" ht="15.75">
      <c r="A1115" s="1"/>
      <c r="B1115" s="125" t="s">
        <v>32</v>
      </c>
      <c r="C1115" s="109" t="s">
        <v>595</v>
      </c>
      <c r="D1115" s="108" t="s">
        <v>317</v>
      </c>
      <c r="E1115" s="108" t="s">
        <v>334</v>
      </c>
      <c r="F1115" s="108" t="s">
        <v>676</v>
      </c>
      <c r="G1115" s="108" t="s">
        <v>33</v>
      </c>
      <c r="H1115" s="126">
        <f>H1116+H1117</f>
        <v>0</v>
      </c>
      <c r="I1115" s="178" t="str">
        <f t="shared" si="136"/>
        <v>609100603 3 01 20530850</v>
      </c>
      <c r="L1115" s="37">
        <v>34.86</v>
      </c>
      <c r="M1115" s="37">
        <v>34.86</v>
      </c>
      <c r="N1115" s="37">
        <v>34.86</v>
      </c>
      <c r="O1115" s="37">
        <f>H1115-L1115</f>
        <v>-34.86</v>
      </c>
      <c r="P1115" s="37" t="e">
        <f>#REF!-M1115</f>
        <v>#REF!</v>
      </c>
      <c r="Q1115" s="37" t="e">
        <f>#REF!-N1115</f>
        <v>#REF!</v>
      </c>
      <c r="R1115" s="17" t="str">
        <f t="shared" si="129"/>
        <v>03 3 01 20530850</v>
      </c>
    </row>
    <row r="1116" spans="1:18" s="4" customFormat="1" ht="31.5">
      <c r="A1116" s="1"/>
      <c r="B1116" s="127" t="s">
        <v>34</v>
      </c>
      <c r="C1116" s="109" t="s">
        <v>595</v>
      </c>
      <c r="D1116" s="108" t="s">
        <v>317</v>
      </c>
      <c r="E1116" s="108" t="s">
        <v>334</v>
      </c>
      <c r="F1116" s="108" t="s">
        <v>676</v>
      </c>
      <c r="G1116" s="108" t="s">
        <v>35</v>
      </c>
      <c r="H1116" s="126"/>
      <c r="I1116" s="178" t="str">
        <f t="shared" si="136"/>
        <v>609100603 3 01 20530851</v>
      </c>
      <c r="L1116" s="37"/>
      <c r="M1116" s="37"/>
      <c r="N1116" s="37"/>
      <c r="O1116" s="37"/>
      <c r="P1116" s="37"/>
      <c r="Q1116" s="37"/>
      <c r="R1116" s="17"/>
    </row>
    <row r="1117" spans="1:18" s="4" customFormat="1" ht="15.75">
      <c r="A1117" s="1"/>
      <c r="B1117" s="127" t="s">
        <v>36</v>
      </c>
      <c r="C1117" s="109" t="s">
        <v>595</v>
      </c>
      <c r="D1117" s="108" t="s">
        <v>317</v>
      </c>
      <c r="E1117" s="108" t="s">
        <v>334</v>
      </c>
      <c r="F1117" s="108" t="s">
        <v>676</v>
      </c>
      <c r="G1117" s="108" t="s">
        <v>37</v>
      </c>
      <c r="H1117" s="126"/>
      <c r="I1117" s="178" t="str">
        <f t="shared" si="136"/>
        <v>609100603 3 01 20530852</v>
      </c>
      <c r="L1117" s="37"/>
      <c r="M1117" s="37"/>
      <c r="N1117" s="37"/>
      <c r="O1117" s="37"/>
      <c r="P1117" s="37"/>
      <c r="Q1117" s="37"/>
      <c r="R1117" s="17"/>
    </row>
    <row r="1118" spans="1:18" s="4" customFormat="1" ht="47.25">
      <c r="A1118" s="1"/>
      <c r="B1118" s="135" t="s">
        <v>687</v>
      </c>
      <c r="C1118" s="109" t="s">
        <v>595</v>
      </c>
      <c r="D1118" s="108" t="s">
        <v>317</v>
      </c>
      <c r="E1118" s="108" t="s">
        <v>334</v>
      </c>
      <c r="F1118" s="108" t="s">
        <v>688</v>
      </c>
      <c r="G1118" s="108" t="s">
        <v>9</v>
      </c>
      <c r="H1118" s="152">
        <f>H1119</f>
        <v>0</v>
      </c>
      <c r="I1118" s="178" t="str">
        <f t="shared" si="136"/>
        <v>609100603 3 01 S0270000</v>
      </c>
      <c r="L1118" s="37">
        <v>1751.86</v>
      </c>
      <c r="M1118" s="37">
        <v>1751.86</v>
      </c>
      <c r="N1118" s="37">
        <v>1751.86</v>
      </c>
      <c r="O1118" s="37">
        <f>H1118-L1118</f>
        <v>-1751.86</v>
      </c>
      <c r="P1118" s="37" t="e">
        <f>#REF!-M1118</f>
        <v>#REF!</v>
      </c>
      <c r="Q1118" s="37" t="e">
        <f>#REF!-N1118</f>
        <v>#REF!</v>
      </c>
      <c r="R1118" s="17" t="str">
        <f t="shared" si="129"/>
        <v>03 3 01 S0270000</v>
      </c>
    </row>
    <row r="1119" spans="1:18" s="4" customFormat="1" ht="31.5">
      <c r="A1119" s="1"/>
      <c r="B1119" s="135" t="s">
        <v>28</v>
      </c>
      <c r="C1119" s="109" t="s">
        <v>595</v>
      </c>
      <c r="D1119" s="108" t="s">
        <v>317</v>
      </c>
      <c r="E1119" s="108" t="s">
        <v>334</v>
      </c>
      <c r="F1119" s="108" t="s">
        <v>688</v>
      </c>
      <c r="G1119" s="108" t="s">
        <v>29</v>
      </c>
      <c r="H1119" s="126">
        <f>H1120</f>
        <v>0</v>
      </c>
      <c r="I1119" s="178" t="str">
        <f t="shared" si="136"/>
        <v>609100603 3 01 S0270240</v>
      </c>
      <c r="L1119" s="37">
        <v>1751.86</v>
      </c>
      <c r="M1119" s="37">
        <v>1751.86</v>
      </c>
      <c r="N1119" s="37">
        <v>1751.86</v>
      </c>
      <c r="O1119" s="37">
        <f>H1119-L1119</f>
        <v>-1751.86</v>
      </c>
      <c r="P1119" s="37" t="e">
        <f>#REF!-M1119</f>
        <v>#REF!</v>
      </c>
      <c r="Q1119" s="37" t="e">
        <f>#REF!-N1119</f>
        <v>#REF!</v>
      </c>
      <c r="R1119" s="17" t="str">
        <f t="shared" si="129"/>
        <v>03 3 01 S0270240</v>
      </c>
    </row>
    <row r="1120" spans="1:18" s="4" customFormat="1" ht="15.75">
      <c r="A1120" s="1"/>
      <c r="B1120" s="125" t="s">
        <v>30</v>
      </c>
      <c r="C1120" s="109" t="s">
        <v>595</v>
      </c>
      <c r="D1120" s="108" t="s">
        <v>317</v>
      </c>
      <c r="E1120" s="108" t="s">
        <v>334</v>
      </c>
      <c r="F1120" s="108" t="s">
        <v>688</v>
      </c>
      <c r="G1120" s="108" t="s">
        <v>31</v>
      </c>
      <c r="H1120" s="126"/>
      <c r="I1120" s="178" t="str">
        <f t="shared" si="136"/>
        <v>609100603 3 01 S0270244</v>
      </c>
      <c r="L1120" s="37"/>
      <c r="M1120" s="37"/>
      <c r="N1120" s="37"/>
      <c r="O1120" s="37"/>
      <c r="P1120" s="37"/>
      <c r="Q1120" s="37"/>
      <c r="R1120" s="17"/>
    </row>
    <row r="1121" spans="1:18" s="4" customFormat="1" ht="47.25">
      <c r="A1121" s="1"/>
      <c r="B1121" s="147" t="s">
        <v>689</v>
      </c>
      <c r="C1121" s="109" t="s">
        <v>595</v>
      </c>
      <c r="D1121" s="108" t="s">
        <v>317</v>
      </c>
      <c r="E1121" s="108" t="s">
        <v>334</v>
      </c>
      <c r="F1121" s="109" t="s">
        <v>690</v>
      </c>
      <c r="G1121" s="108" t="s">
        <v>9</v>
      </c>
      <c r="H1121" s="151">
        <f>H1122</f>
        <v>0</v>
      </c>
      <c r="I1121" s="178" t="str">
        <f t="shared" si="136"/>
        <v>609100677 0 00 00000000</v>
      </c>
      <c r="L1121" s="39">
        <v>62444.01</v>
      </c>
      <c r="M1121" s="39">
        <v>62435.68</v>
      </c>
      <c r="N1121" s="39">
        <v>62473.740000000005</v>
      </c>
      <c r="O1121" s="39">
        <f>H1121-L1121</f>
        <v>-62444.01</v>
      </c>
      <c r="P1121" s="39" t="e">
        <f>#REF!-M1121</f>
        <v>#REF!</v>
      </c>
      <c r="Q1121" s="39" t="e">
        <f>#REF!-N1121</f>
        <v>#REF!</v>
      </c>
      <c r="R1121" s="17" t="str">
        <f t="shared" si="129"/>
        <v>77 0 00 00000000</v>
      </c>
    </row>
    <row r="1122" spans="1:18" s="4" customFormat="1" ht="47.25">
      <c r="A1122" s="1"/>
      <c r="B1122" s="147" t="s">
        <v>691</v>
      </c>
      <c r="C1122" s="109" t="s">
        <v>595</v>
      </c>
      <c r="D1122" s="108" t="s">
        <v>317</v>
      </c>
      <c r="E1122" s="108" t="s">
        <v>334</v>
      </c>
      <c r="F1122" s="109" t="s">
        <v>692</v>
      </c>
      <c r="G1122" s="108" t="s">
        <v>9</v>
      </c>
      <c r="H1122" s="151">
        <f>H1123+H1131+H1135+H1142</f>
        <v>0</v>
      </c>
      <c r="I1122" s="178" t="str">
        <f t="shared" si="136"/>
        <v>609100677 1 00 00000000</v>
      </c>
      <c r="L1122" s="39">
        <v>62444.01</v>
      </c>
      <c r="M1122" s="39">
        <v>62435.68</v>
      </c>
      <c r="N1122" s="39">
        <v>62473.740000000005</v>
      </c>
      <c r="O1122" s="39">
        <f>H1122-L1122</f>
        <v>-62444.01</v>
      </c>
      <c r="P1122" s="39" t="e">
        <f>#REF!-M1122</f>
        <v>#REF!</v>
      </c>
      <c r="Q1122" s="39" t="e">
        <f>#REF!-N1122</f>
        <v>#REF!</v>
      </c>
      <c r="R1122" s="17" t="str">
        <f t="shared" si="129"/>
        <v>77 1 00 00000000</v>
      </c>
    </row>
    <row r="1123" spans="1:18" s="4" customFormat="1" ht="31.5">
      <c r="A1123" s="1"/>
      <c r="B1123" s="153" t="s">
        <v>18</v>
      </c>
      <c r="C1123" s="109" t="s">
        <v>595</v>
      </c>
      <c r="D1123" s="108" t="s">
        <v>317</v>
      </c>
      <c r="E1123" s="108" t="s">
        <v>334</v>
      </c>
      <c r="F1123" s="154" t="s">
        <v>693</v>
      </c>
      <c r="G1123" s="108" t="s">
        <v>9</v>
      </c>
      <c r="H1123" s="151">
        <f>H1124+H1127+H1129</f>
        <v>0</v>
      </c>
      <c r="I1123" s="178" t="str">
        <f t="shared" si="136"/>
        <v>609100677 1 00 10010000</v>
      </c>
      <c r="L1123" s="39">
        <v>1377.6100000000001</v>
      </c>
      <c r="M1123" s="39">
        <v>1138.6100000000001</v>
      </c>
      <c r="N1123" s="39">
        <v>1138.6100000000001</v>
      </c>
      <c r="O1123" s="39">
        <f>H1123-L1123</f>
        <v>-1377.6100000000001</v>
      </c>
      <c r="P1123" s="39" t="e">
        <f>#REF!-M1123</f>
        <v>#REF!</v>
      </c>
      <c r="Q1123" s="39" t="e">
        <f>#REF!-N1123</f>
        <v>#REF!</v>
      </c>
      <c r="R1123" s="17" t="str">
        <f t="shared" si="129"/>
        <v>77 1 00 10010000</v>
      </c>
    </row>
    <row r="1124" spans="1:18" s="4" customFormat="1" ht="31.5">
      <c r="A1124" s="1"/>
      <c r="B1124" s="127" t="s">
        <v>20</v>
      </c>
      <c r="C1124" s="109" t="s">
        <v>595</v>
      </c>
      <c r="D1124" s="108" t="s">
        <v>317</v>
      </c>
      <c r="E1124" s="108" t="s">
        <v>334</v>
      </c>
      <c r="F1124" s="154" t="s">
        <v>693</v>
      </c>
      <c r="G1124" s="108" t="s">
        <v>21</v>
      </c>
      <c r="H1124" s="126">
        <f>SUM(H1125:H1126)</f>
        <v>0</v>
      </c>
      <c r="I1124" s="178" t="str">
        <f t="shared" si="136"/>
        <v>609100677 1 00 10010120</v>
      </c>
      <c r="L1124" s="37">
        <v>144.04</v>
      </c>
      <c r="M1124" s="37">
        <v>144.04</v>
      </c>
      <c r="N1124" s="37">
        <v>144.04</v>
      </c>
      <c r="O1124" s="37">
        <f>H1124-L1124</f>
        <v>-144.04</v>
      </c>
      <c r="P1124" s="37" t="e">
        <f>#REF!-M1124</f>
        <v>#REF!</v>
      </c>
      <c r="Q1124" s="37" t="e">
        <f>#REF!-N1124</f>
        <v>#REF!</v>
      </c>
      <c r="R1124" s="17" t="str">
        <f t="shared" si="129"/>
        <v>77 1 00 10010120</v>
      </c>
    </row>
    <row r="1125" spans="1:18" s="41" customFormat="1" ht="47.25">
      <c r="A1125" s="40"/>
      <c r="B1125" s="127" t="s">
        <v>22</v>
      </c>
      <c r="C1125" s="109" t="s">
        <v>595</v>
      </c>
      <c r="D1125" s="108" t="s">
        <v>317</v>
      </c>
      <c r="E1125" s="108" t="s">
        <v>334</v>
      </c>
      <c r="F1125" s="154" t="s">
        <v>693</v>
      </c>
      <c r="G1125" s="108" t="s">
        <v>23</v>
      </c>
      <c r="H1125" s="126"/>
      <c r="I1125" s="178" t="str">
        <f t="shared" si="136"/>
        <v>609100677 1 00 10010122</v>
      </c>
      <c r="L1125" s="38"/>
      <c r="M1125" s="38"/>
      <c r="N1125" s="38"/>
      <c r="O1125" s="38"/>
      <c r="P1125" s="38"/>
      <c r="Q1125" s="38"/>
      <c r="R1125" s="24"/>
    </row>
    <row r="1126" spans="1:18" s="41" customFormat="1" ht="63">
      <c r="A1126" s="40"/>
      <c r="B1126" s="127" t="s">
        <v>26</v>
      </c>
      <c r="C1126" s="109" t="s">
        <v>595</v>
      </c>
      <c r="D1126" s="108" t="s">
        <v>317</v>
      </c>
      <c r="E1126" s="108" t="s">
        <v>334</v>
      </c>
      <c r="F1126" s="154" t="s">
        <v>693</v>
      </c>
      <c r="G1126" s="108" t="s">
        <v>27</v>
      </c>
      <c r="H1126" s="126"/>
      <c r="I1126" s="178" t="str">
        <f t="shared" si="136"/>
        <v>609100677 1 00 10010129</v>
      </c>
      <c r="L1126" s="38"/>
      <c r="M1126" s="38"/>
      <c r="N1126" s="38"/>
      <c r="O1126" s="38"/>
      <c r="P1126" s="38"/>
      <c r="Q1126" s="38"/>
      <c r="R1126" s="24"/>
    </row>
    <row r="1127" spans="1:18" s="4" customFormat="1" ht="31.5">
      <c r="A1127" s="1"/>
      <c r="B1127" s="125" t="s">
        <v>28</v>
      </c>
      <c r="C1127" s="109" t="s">
        <v>595</v>
      </c>
      <c r="D1127" s="108" t="s">
        <v>317</v>
      </c>
      <c r="E1127" s="108" t="s">
        <v>334</v>
      </c>
      <c r="F1127" s="154" t="s">
        <v>693</v>
      </c>
      <c r="G1127" s="108" t="s">
        <v>29</v>
      </c>
      <c r="H1127" s="126">
        <f>H1128</f>
        <v>0</v>
      </c>
      <c r="I1127" s="178" t="str">
        <f t="shared" si="136"/>
        <v>609100677 1 00 10010240</v>
      </c>
      <c r="L1127" s="37">
        <v>1231.6300000000001</v>
      </c>
      <c r="M1127" s="37">
        <v>992.63</v>
      </c>
      <c r="N1127" s="37">
        <v>992.63</v>
      </c>
      <c r="O1127" s="37">
        <f>H1127-L1127</f>
        <v>-1231.6300000000001</v>
      </c>
      <c r="P1127" s="37" t="e">
        <f>#REF!-M1127</f>
        <v>#REF!</v>
      </c>
      <c r="Q1127" s="37" t="e">
        <f>#REF!-N1127</f>
        <v>#REF!</v>
      </c>
      <c r="R1127" s="17" t="str">
        <f t="shared" si="129"/>
        <v>77 1 00 10010240</v>
      </c>
    </row>
    <row r="1128" spans="1:18" s="4" customFormat="1" ht="15.75">
      <c r="A1128" s="1"/>
      <c r="B1128" s="125" t="s">
        <v>30</v>
      </c>
      <c r="C1128" s="109" t="s">
        <v>595</v>
      </c>
      <c r="D1128" s="108" t="s">
        <v>317</v>
      </c>
      <c r="E1128" s="108" t="s">
        <v>334</v>
      </c>
      <c r="F1128" s="154" t="s">
        <v>693</v>
      </c>
      <c r="G1128" s="108" t="s">
        <v>31</v>
      </c>
      <c r="H1128" s="126"/>
      <c r="I1128" s="178" t="str">
        <f t="shared" si="136"/>
        <v>609100677 1 00 10010244</v>
      </c>
      <c r="L1128" s="37"/>
      <c r="M1128" s="37"/>
      <c r="N1128" s="37"/>
      <c r="O1128" s="37"/>
      <c r="P1128" s="37"/>
      <c r="Q1128" s="37"/>
      <c r="R1128" s="17"/>
    </row>
    <row r="1129" spans="1:18" s="4" customFormat="1" ht="15.75">
      <c r="A1129" s="1"/>
      <c r="B1129" s="125" t="s">
        <v>32</v>
      </c>
      <c r="C1129" s="109" t="s">
        <v>595</v>
      </c>
      <c r="D1129" s="108" t="s">
        <v>317</v>
      </c>
      <c r="E1129" s="108" t="s">
        <v>334</v>
      </c>
      <c r="F1129" s="154" t="s">
        <v>693</v>
      </c>
      <c r="G1129" s="108" t="s">
        <v>33</v>
      </c>
      <c r="H1129" s="126">
        <f>H1130</f>
        <v>0</v>
      </c>
      <c r="I1129" s="178" t="str">
        <f t="shared" si="136"/>
        <v>609100677 1 00 10010850</v>
      </c>
      <c r="L1129" s="37">
        <v>1.94</v>
      </c>
      <c r="M1129" s="37">
        <v>1.94</v>
      </c>
      <c r="N1129" s="37">
        <v>1.94</v>
      </c>
      <c r="O1129" s="37">
        <f>H1129-L1129</f>
        <v>-1.94</v>
      </c>
      <c r="P1129" s="37" t="e">
        <f>#REF!-M1129</f>
        <v>#REF!</v>
      </c>
      <c r="Q1129" s="37" t="e">
        <f>#REF!-N1129</f>
        <v>#REF!</v>
      </c>
      <c r="R1129" s="17" t="str">
        <f t="shared" si="129"/>
        <v>77 1 00 10010850</v>
      </c>
    </row>
    <row r="1130" spans="1:18" s="41" customFormat="1" ht="15.75">
      <c r="A1130" s="40"/>
      <c r="B1130" s="127" t="s">
        <v>36</v>
      </c>
      <c r="C1130" s="109" t="s">
        <v>595</v>
      </c>
      <c r="D1130" s="108" t="s">
        <v>317</v>
      </c>
      <c r="E1130" s="108" t="s">
        <v>334</v>
      </c>
      <c r="F1130" s="154" t="s">
        <v>693</v>
      </c>
      <c r="G1130" s="108" t="s">
        <v>37</v>
      </c>
      <c r="H1130" s="126"/>
      <c r="I1130" s="178" t="str">
        <f t="shared" si="136"/>
        <v>609100677 1 00 10010852</v>
      </c>
      <c r="L1130" s="38"/>
      <c r="M1130" s="38"/>
      <c r="N1130" s="38"/>
      <c r="O1130" s="38"/>
      <c r="P1130" s="38"/>
      <c r="Q1130" s="38"/>
      <c r="R1130" s="24"/>
    </row>
    <row r="1131" spans="1:18" s="4" customFormat="1" ht="31.5">
      <c r="A1131" s="1"/>
      <c r="B1131" s="153" t="s">
        <v>38</v>
      </c>
      <c r="C1131" s="109" t="s">
        <v>595</v>
      </c>
      <c r="D1131" s="108" t="s">
        <v>317</v>
      </c>
      <c r="E1131" s="108" t="s">
        <v>334</v>
      </c>
      <c r="F1131" s="154" t="s">
        <v>694</v>
      </c>
      <c r="G1131" s="108" t="s">
        <v>9</v>
      </c>
      <c r="H1131" s="151">
        <f>H1132</f>
        <v>0</v>
      </c>
      <c r="I1131" s="178" t="str">
        <f t="shared" si="136"/>
        <v>609100677 1 00 10020000</v>
      </c>
      <c r="L1131" s="39">
        <v>6126.9500000000007</v>
      </c>
      <c r="M1131" s="39">
        <v>6126.9500000000007</v>
      </c>
      <c r="N1131" s="39">
        <v>6126.9500000000007</v>
      </c>
      <c r="O1131" s="39">
        <f>H1131-L1131</f>
        <v>-6126.9500000000007</v>
      </c>
      <c r="P1131" s="39" t="e">
        <f>#REF!-M1131</f>
        <v>#REF!</v>
      </c>
      <c r="Q1131" s="39" t="e">
        <f>#REF!-N1131</f>
        <v>#REF!</v>
      </c>
      <c r="R1131" s="17" t="str">
        <f t="shared" si="129"/>
        <v>77 1 00 10020000</v>
      </c>
    </row>
    <row r="1132" spans="1:18" s="4" customFormat="1" ht="31.5">
      <c r="A1132" s="1"/>
      <c r="B1132" s="127" t="s">
        <v>20</v>
      </c>
      <c r="C1132" s="109" t="s">
        <v>595</v>
      </c>
      <c r="D1132" s="108" t="s">
        <v>317</v>
      </c>
      <c r="E1132" s="108" t="s">
        <v>334</v>
      </c>
      <c r="F1132" s="154" t="s">
        <v>694</v>
      </c>
      <c r="G1132" s="108" t="s">
        <v>21</v>
      </c>
      <c r="H1132" s="126">
        <f>SUM(H1133:H1134)</f>
        <v>0</v>
      </c>
      <c r="I1132" s="178" t="str">
        <f t="shared" si="136"/>
        <v>609100677 1 00 10020120</v>
      </c>
      <c r="L1132" s="37">
        <v>6126.9500000000007</v>
      </c>
      <c r="M1132" s="37">
        <v>6126.9500000000007</v>
      </c>
      <c r="N1132" s="37">
        <v>6126.9500000000007</v>
      </c>
      <c r="O1132" s="37">
        <f>H1132-L1132</f>
        <v>-6126.9500000000007</v>
      </c>
      <c r="P1132" s="37" t="e">
        <f>#REF!-M1132</f>
        <v>#REF!</v>
      </c>
      <c r="Q1132" s="37" t="e">
        <f>#REF!-N1132</f>
        <v>#REF!</v>
      </c>
      <c r="R1132" s="17" t="str">
        <f t="shared" si="129"/>
        <v>77 1 00 10020120</v>
      </c>
    </row>
    <row r="1133" spans="1:18" s="41" customFormat="1" ht="31.5">
      <c r="A1133" s="40"/>
      <c r="B1133" s="127" t="s">
        <v>40</v>
      </c>
      <c r="C1133" s="109" t="s">
        <v>595</v>
      </c>
      <c r="D1133" s="108" t="s">
        <v>317</v>
      </c>
      <c r="E1133" s="108" t="s">
        <v>334</v>
      </c>
      <c r="F1133" s="154" t="s">
        <v>694</v>
      </c>
      <c r="G1133" s="108" t="s">
        <v>41</v>
      </c>
      <c r="H1133" s="126"/>
      <c r="I1133" s="178" t="str">
        <f t="shared" si="136"/>
        <v>609100677 1 00 10020121</v>
      </c>
      <c r="L1133" s="38"/>
      <c r="M1133" s="38"/>
      <c r="N1133" s="38"/>
      <c r="O1133" s="38"/>
      <c r="P1133" s="38"/>
      <c r="Q1133" s="38"/>
      <c r="R1133" s="24"/>
    </row>
    <row r="1134" spans="1:18" s="41" customFormat="1" ht="63">
      <c r="A1134" s="40"/>
      <c r="B1134" s="127" t="s">
        <v>26</v>
      </c>
      <c r="C1134" s="109" t="s">
        <v>595</v>
      </c>
      <c r="D1134" s="108" t="s">
        <v>317</v>
      </c>
      <c r="E1134" s="108" t="s">
        <v>334</v>
      </c>
      <c r="F1134" s="154" t="s">
        <v>694</v>
      </c>
      <c r="G1134" s="108" t="s">
        <v>27</v>
      </c>
      <c r="H1134" s="126"/>
      <c r="I1134" s="178" t="str">
        <f t="shared" si="136"/>
        <v>609100677 1 00 10020129</v>
      </c>
      <c r="L1134" s="38"/>
      <c r="M1134" s="38"/>
      <c r="N1134" s="38"/>
      <c r="O1134" s="38"/>
      <c r="P1134" s="38"/>
      <c r="Q1134" s="38"/>
      <c r="R1134" s="24"/>
    </row>
    <row r="1135" spans="1:18" s="4" customFormat="1" ht="63">
      <c r="A1135" s="1" t="s">
        <v>80</v>
      </c>
      <c r="B1135" s="153" t="s">
        <v>695</v>
      </c>
      <c r="C1135" s="109" t="s">
        <v>595</v>
      </c>
      <c r="D1135" s="108" t="s">
        <v>317</v>
      </c>
      <c r="E1135" s="108" t="s">
        <v>334</v>
      </c>
      <c r="F1135" s="154" t="s">
        <v>696</v>
      </c>
      <c r="G1135" s="108" t="s">
        <v>9</v>
      </c>
      <c r="H1135" s="151">
        <f t="shared" ref="H1135" si="137">H1136+H1140</f>
        <v>0</v>
      </c>
      <c r="I1135" s="178" t="str">
        <f t="shared" si="136"/>
        <v>609100677 1 00 76100000</v>
      </c>
      <c r="L1135" s="39">
        <v>1396.91</v>
      </c>
      <c r="M1135" s="39">
        <v>1396.91</v>
      </c>
      <c r="N1135" s="39">
        <v>1396.91</v>
      </c>
      <c r="O1135" s="39">
        <f>H1135-L1135</f>
        <v>-1396.91</v>
      </c>
      <c r="P1135" s="39" t="e">
        <f>#REF!-M1135</f>
        <v>#REF!</v>
      </c>
      <c r="Q1135" s="39" t="e">
        <f>#REF!-N1135</f>
        <v>#REF!</v>
      </c>
      <c r="R1135" s="17" t="str">
        <f t="shared" si="129"/>
        <v>77 1 00 76100000</v>
      </c>
    </row>
    <row r="1136" spans="1:18" s="4" customFormat="1" ht="31.5">
      <c r="A1136" s="1"/>
      <c r="B1136" s="127" t="s">
        <v>20</v>
      </c>
      <c r="C1136" s="109" t="s">
        <v>595</v>
      </c>
      <c r="D1136" s="108" t="s">
        <v>317</v>
      </c>
      <c r="E1136" s="108" t="s">
        <v>334</v>
      </c>
      <c r="F1136" s="154" t="s">
        <v>696</v>
      </c>
      <c r="G1136" s="108" t="s">
        <v>21</v>
      </c>
      <c r="H1136" s="126">
        <f>SUM(H1137:H1139)</f>
        <v>0</v>
      </c>
      <c r="I1136" s="178" t="str">
        <f t="shared" si="136"/>
        <v>609100677 1 00 76100120</v>
      </c>
      <c r="L1136" s="37">
        <v>1193.94</v>
      </c>
      <c r="M1136" s="37">
        <v>1193.94</v>
      </c>
      <c r="N1136" s="37">
        <v>1193.94</v>
      </c>
      <c r="O1136" s="37">
        <f>H1136-L1136</f>
        <v>-1193.94</v>
      </c>
      <c r="P1136" s="37" t="e">
        <f>#REF!-M1136</f>
        <v>#REF!</v>
      </c>
      <c r="Q1136" s="37" t="e">
        <f>#REF!-N1136</f>
        <v>#REF!</v>
      </c>
      <c r="R1136" s="17" t="str">
        <f t="shared" si="129"/>
        <v>77 1 00 76100120</v>
      </c>
    </row>
    <row r="1137" spans="1:18" s="41" customFormat="1" ht="31.5">
      <c r="A1137" s="40"/>
      <c r="B1137" s="127" t="s">
        <v>40</v>
      </c>
      <c r="C1137" s="109" t="s">
        <v>595</v>
      </c>
      <c r="D1137" s="108" t="s">
        <v>317</v>
      </c>
      <c r="E1137" s="108" t="s">
        <v>334</v>
      </c>
      <c r="F1137" s="154" t="s">
        <v>696</v>
      </c>
      <c r="G1137" s="108" t="s">
        <v>41</v>
      </c>
      <c r="H1137" s="126"/>
      <c r="I1137" s="178" t="str">
        <f t="shared" si="136"/>
        <v>609100677 1 00 76100121</v>
      </c>
      <c r="L1137" s="38"/>
      <c r="M1137" s="38"/>
      <c r="N1137" s="38"/>
      <c r="O1137" s="38"/>
      <c r="P1137" s="38"/>
      <c r="Q1137" s="38"/>
      <c r="R1137" s="24"/>
    </row>
    <row r="1138" spans="1:18" s="41" customFormat="1" ht="47.25">
      <c r="A1138" s="40"/>
      <c r="B1138" s="127" t="s">
        <v>22</v>
      </c>
      <c r="C1138" s="109" t="s">
        <v>595</v>
      </c>
      <c r="D1138" s="108" t="s">
        <v>317</v>
      </c>
      <c r="E1138" s="108" t="s">
        <v>334</v>
      </c>
      <c r="F1138" s="154" t="s">
        <v>696</v>
      </c>
      <c r="G1138" s="108" t="s">
        <v>23</v>
      </c>
      <c r="H1138" s="126"/>
      <c r="I1138" s="178" t="str">
        <f t="shared" si="136"/>
        <v>609100677 1 00 76100122</v>
      </c>
      <c r="L1138" s="38"/>
      <c r="M1138" s="38"/>
      <c r="N1138" s="38"/>
      <c r="O1138" s="38"/>
      <c r="P1138" s="38"/>
      <c r="Q1138" s="38"/>
      <c r="R1138" s="24"/>
    </row>
    <row r="1139" spans="1:18" s="41" customFormat="1" ht="63">
      <c r="A1139" s="40"/>
      <c r="B1139" s="127" t="s">
        <v>26</v>
      </c>
      <c r="C1139" s="109" t="s">
        <v>595</v>
      </c>
      <c r="D1139" s="108" t="s">
        <v>317</v>
      </c>
      <c r="E1139" s="108" t="s">
        <v>334</v>
      </c>
      <c r="F1139" s="154" t="s">
        <v>696</v>
      </c>
      <c r="G1139" s="108" t="s">
        <v>27</v>
      </c>
      <c r="H1139" s="126"/>
      <c r="I1139" s="178" t="str">
        <f t="shared" si="136"/>
        <v>609100677 1 00 76100129</v>
      </c>
      <c r="L1139" s="38"/>
      <c r="M1139" s="38"/>
      <c r="N1139" s="38"/>
      <c r="O1139" s="38"/>
      <c r="P1139" s="38"/>
      <c r="Q1139" s="38"/>
      <c r="R1139" s="24"/>
    </row>
    <row r="1140" spans="1:18" s="4" customFormat="1" ht="31.5">
      <c r="A1140" s="1"/>
      <c r="B1140" s="125" t="s">
        <v>28</v>
      </c>
      <c r="C1140" s="109" t="s">
        <v>595</v>
      </c>
      <c r="D1140" s="108" t="s">
        <v>317</v>
      </c>
      <c r="E1140" s="108" t="s">
        <v>334</v>
      </c>
      <c r="F1140" s="154" t="s">
        <v>696</v>
      </c>
      <c r="G1140" s="108" t="s">
        <v>29</v>
      </c>
      <c r="H1140" s="126">
        <f>H1141</f>
        <v>0</v>
      </c>
      <c r="I1140" s="178" t="str">
        <f t="shared" si="136"/>
        <v>609100677 1 00 76100240</v>
      </c>
      <c r="L1140" s="37">
        <v>202.97</v>
      </c>
      <c r="M1140" s="37">
        <v>202.97</v>
      </c>
      <c r="N1140" s="37">
        <v>202.97</v>
      </c>
      <c r="O1140" s="37">
        <f>H1140-L1140</f>
        <v>-202.97</v>
      </c>
      <c r="P1140" s="37" t="e">
        <f>#REF!-M1140</f>
        <v>#REF!</v>
      </c>
      <c r="Q1140" s="37" t="e">
        <f>#REF!-N1140</f>
        <v>#REF!</v>
      </c>
      <c r="R1140" s="17" t="str">
        <f t="shared" si="129"/>
        <v>77 1 00 76100240</v>
      </c>
    </row>
    <row r="1141" spans="1:18" s="4" customFormat="1" ht="15.75">
      <c r="A1141" s="1"/>
      <c r="B1141" s="125" t="s">
        <v>30</v>
      </c>
      <c r="C1141" s="109" t="s">
        <v>595</v>
      </c>
      <c r="D1141" s="108" t="s">
        <v>317</v>
      </c>
      <c r="E1141" s="108" t="s">
        <v>334</v>
      </c>
      <c r="F1141" s="154" t="s">
        <v>696</v>
      </c>
      <c r="G1141" s="108" t="s">
        <v>31</v>
      </c>
      <c r="H1141" s="126"/>
      <c r="I1141" s="178" t="str">
        <f t="shared" si="136"/>
        <v>609100677 1 00 76100244</v>
      </c>
      <c r="L1141" s="37"/>
      <c r="M1141" s="37"/>
      <c r="N1141" s="37"/>
      <c r="O1141" s="37"/>
      <c r="P1141" s="37"/>
      <c r="Q1141" s="37"/>
      <c r="R1141" s="17"/>
    </row>
    <row r="1142" spans="1:18" s="4" customFormat="1" ht="63">
      <c r="A1142" s="1" t="s">
        <v>80</v>
      </c>
      <c r="B1142" s="153" t="s">
        <v>697</v>
      </c>
      <c r="C1142" s="109" t="s">
        <v>595</v>
      </c>
      <c r="D1142" s="108" t="s">
        <v>317</v>
      </c>
      <c r="E1142" s="108" t="s">
        <v>334</v>
      </c>
      <c r="F1142" s="154" t="s">
        <v>698</v>
      </c>
      <c r="G1142" s="108" t="s">
        <v>9</v>
      </c>
      <c r="H1142" s="151">
        <f>H1143+H1147+H1149</f>
        <v>0</v>
      </c>
      <c r="I1142" s="178" t="str">
        <f t="shared" si="136"/>
        <v>609100677 1 00 76210000</v>
      </c>
      <c r="L1142" s="39">
        <v>53542.54</v>
      </c>
      <c r="M1142" s="39">
        <v>53773.21</v>
      </c>
      <c r="N1142" s="39">
        <v>53811.270000000004</v>
      </c>
      <c r="O1142" s="39">
        <f>H1142-L1142</f>
        <v>-53542.54</v>
      </c>
      <c r="P1142" s="39" t="e">
        <f>#REF!-M1142</f>
        <v>#REF!</v>
      </c>
      <c r="Q1142" s="39" t="e">
        <f>#REF!-N1142</f>
        <v>#REF!</v>
      </c>
      <c r="R1142" s="17" t="str">
        <f t="shared" si="129"/>
        <v>77 1 00 76210000</v>
      </c>
    </row>
    <row r="1143" spans="1:18" s="4" customFormat="1" ht="31.5">
      <c r="A1143" s="1"/>
      <c r="B1143" s="127" t="s">
        <v>20</v>
      </c>
      <c r="C1143" s="109" t="s">
        <v>595</v>
      </c>
      <c r="D1143" s="108" t="s">
        <v>317</v>
      </c>
      <c r="E1143" s="108" t="s">
        <v>334</v>
      </c>
      <c r="F1143" s="154" t="s">
        <v>698</v>
      </c>
      <c r="G1143" s="108" t="s">
        <v>21</v>
      </c>
      <c r="H1143" s="126">
        <f>SUM(H1144:H1146)</f>
        <v>0</v>
      </c>
      <c r="I1143" s="178" t="str">
        <f t="shared" si="136"/>
        <v>609100677 1 00 76210120</v>
      </c>
      <c r="L1143" s="37">
        <v>52040.04</v>
      </c>
      <c r="M1143" s="37">
        <v>52140.04</v>
      </c>
      <c r="N1143" s="37">
        <v>52140.04</v>
      </c>
      <c r="O1143" s="37">
        <f>H1143-L1143</f>
        <v>-52040.04</v>
      </c>
      <c r="P1143" s="37" t="e">
        <f>#REF!-M1143</f>
        <v>#REF!</v>
      </c>
      <c r="Q1143" s="37" t="e">
        <f>#REF!-N1143</f>
        <v>#REF!</v>
      </c>
      <c r="R1143" s="17" t="str">
        <f t="shared" si="129"/>
        <v>77 1 00 76210120</v>
      </c>
    </row>
    <row r="1144" spans="1:18" s="41" customFormat="1" ht="31.5">
      <c r="A1144" s="40"/>
      <c r="B1144" s="127" t="s">
        <v>40</v>
      </c>
      <c r="C1144" s="109" t="s">
        <v>595</v>
      </c>
      <c r="D1144" s="108" t="s">
        <v>317</v>
      </c>
      <c r="E1144" s="108" t="s">
        <v>334</v>
      </c>
      <c r="F1144" s="154" t="s">
        <v>698</v>
      </c>
      <c r="G1144" s="108" t="s">
        <v>41</v>
      </c>
      <c r="H1144" s="126"/>
      <c r="I1144" s="178" t="str">
        <f t="shared" si="136"/>
        <v>609100677 1 00 76210121</v>
      </c>
      <c r="L1144" s="38"/>
      <c r="M1144" s="38"/>
      <c r="N1144" s="38"/>
      <c r="O1144" s="38"/>
      <c r="P1144" s="38"/>
      <c r="Q1144" s="38"/>
      <c r="R1144" s="24"/>
    </row>
    <row r="1145" spans="1:18" s="41" customFormat="1" ht="47.25">
      <c r="A1145" s="40"/>
      <c r="B1145" s="127" t="s">
        <v>22</v>
      </c>
      <c r="C1145" s="109" t="s">
        <v>595</v>
      </c>
      <c r="D1145" s="108" t="s">
        <v>317</v>
      </c>
      <c r="E1145" s="108" t="s">
        <v>334</v>
      </c>
      <c r="F1145" s="154" t="s">
        <v>698</v>
      </c>
      <c r="G1145" s="108" t="s">
        <v>23</v>
      </c>
      <c r="H1145" s="126"/>
      <c r="I1145" s="178" t="str">
        <f t="shared" si="136"/>
        <v>609100677 1 00 76210122</v>
      </c>
      <c r="L1145" s="38"/>
      <c r="M1145" s="38"/>
      <c r="N1145" s="38"/>
      <c r="O1145" s="38"/>
      <c r="P1145" s="38"/>
      <c r="Q1145" s="38"/>
      <c r="R1145" s="24"/>
    </row>
    <row r="1146" spans="1:18" s="41" customFormat="1" ht="63">
      <c r="A1146" s="40"/>
      <c r="B1146" s="127" t="s">
        <v>26</v>
      </c>
      <c r="C1146" s="109" t="s">
        <v>595</v>
      </c>
      <c r="D1146" s="108" t="s">
        <v>317</v>
      </c>
      <c r="E1146" s="108" t="s">
        <v>334</v>
      </c>
      <c r="F1146" s="154" t="s">
        <v>698</v>
      </c>
      <c r="G1146" s="108" t="s">
        <v>27</v>
      </c>
      <c r="H1146" s="126"/>
      <c r="I1146" s="178" t="str">
        <f t="shared" si="136"/>
        <v>609100677 1 00 76210129</v>
      </c>
      <c r="L1146" s="38"/>
      <c r="M1146" s="38"/>
      <c r="N1146" s="38"/>
      <c r="O1146" s="38"/>
      <c r="P1146" s="38"/>
      <c r="Q1146" s="38"/>
      <c r="R1146" s="24"/>
    </row>
    <row r="1147" spans="1:18" s="4" customFormat="1" ht="31.5">
      <c r="A1147" s="1"/>
      <c r="B1147" s="125" t="s">
        <v>28</v>
      </c>
      <c r="C1147" s="109" t="s">
        <v>595</v>
      </c>
      <c r="D1147" s="108" t="s">
        <v>317</v>
      </c>
      <c r="E1147" s="108" t="s">
        <v>334</v>
      </c>
      <c r="F1147" s="154" t="s">
        <v>698</v>
      </c>
      <c r="G1147" s="108" t="s">
        <v>29</v>
      </c>
      <c r="H1147" s="126">
        <f>H1148</f>
        <v>0</v>
      </c>
      <c r="I1147" s="178" t="str">
        <f t="shared" si="136"/>
        <v>609100677 1 00 76210240</v>
      </c>
      <c r="L1147" s="37">
        <v>1400</v>
      </c>
      <c r="M1147" s="37">
        <v>1530.67</v>
      </c>
      <c r="N1147" s="37">
        <v>1568.73</v>
      </c>
      <c r="O1147" s="37">
        <f>H1147-L1147</f>
        <v>-1400</v>
      </c>
      <c r="P1147" s="37" t="e">
        <f>#REF!-M1147</f>
        <v>#REF!</v>
      </c>
      <c r="Q1147" s="37" t="e">
        <f>#REF!-N1147</f>
        <v>#REF!</v>
      </c>
      <c r="R1147" s="17" t="str">
        <f t="shared" ref="R1147:R1218" si="138">CONCATENATE(F1147,G1147)</f>
        <v>77 1 00 76210240</v>
      </c>
    </row>
    <row r="1148" spans="1:18" s="4" customFormat="1" ht="15.75">
      <c r="A1148" s="1"/>
      <c r="B1148" s="125" t="s">
        <v>30</v>
      </c>
      <c r="C1148" s="109" t="s">
        <v>595</v>
      </c>
      <c r="D1148" s="108" t="s">
        <v>317</v>
      </c>
      <c r="E1148" s="108" t="s">
        <v>334</v>
      </c>
      <c r="F1148" s="154" t="s">
        <v>698</v>
      </c>
      <c r="G1148" s="108" t="s">
        <v>31</v>
      </c>
      <c r="H1148" s="126"/>
      <c r="I1148" s="178" t="str">
        <f t="shared" si="136"/>
        <v>609100677 1 00 76210244</v>
      </c>
      <c r="L1148" s="37"/>
      <c r="M1148" s="37"/>
      <c r="N1148" s="37"/>
      <c r="O1148" s="37"/>
      <c r="P1148" s="37"/>
      <c r="Q1148" s="37"/>
      <c r="R1148" s="17"/>
    </row>
    <row r="1149" spans="1:18" s="4" customFormat="1" ht="15.75">
      <c r="A1149" s="1"/>
      <c r="B1149" s="125" t="s">
        <v>32</v>
      </c>
      <c r="C1149" s="109" t="s">
        <v>595</v>
      </c>
      <c r="D1149" s="108" t="s">
        <v>317</v>
      </c>
      <c r="E1149" s="108" t="s">
        <v>334</v>
      </c>
      <c r="F1149" s="154" t="s">
        <v>698</v>
      </c>
      <c r="G1149" s="108" t="s">
        <v>33</v>
      </c>
      <c r="H1149" s="126">
        <f>SUM(H1150:H1151)</f>
        <v>0</v>
      </c>
      <c r="I1149" s="178" t="str">
        <f t="shared" si="136"/>
        <v>609100677 1 00 76210850</v>
      </c>
      <c r="L1149" s="37">
        <v>102.5</v>
      </c>
      <c r="M1149" s="37">
        <v>102.5</v>
      </c>
      <c r="N1149" s="37">
        <v>102.5</v>
      </c>
      <c r="O1149" s="37">
        <f>H1149-L1149</f>
        <v>-102.5</v>
      </c>
      <c r="P1149" s="37" t="e">
        <f>#REF!-M1149</f>
        <v>#REF!</v>
      </c>
      <c r="Q1149" s="37" t="e">
        <f>#REF!-N1149</f>
        <v>#REF!</v>
      </c>
      <c r="R1149" s="17" t="str">
        <f t="shared" si="138"/>
        <v>77 1 00 76210850</v>
      </c>
    </row>
    <row r="1150" spans="1:18" s="41" customFormat="1" ht="31.5">
      <c r="A1150" s="40"/>
      <c r="B1150" s="127" t="s">
        <v>34</v>
      </c>
      <c r="C1150" s="109" t="s">
        <v>595</v>
      </c>
      <c r="D1150" s="108" t="s">
        <v>317</v>
      </c>
      <c r="E1150" s="108" t="s">
        <v>334</v>
      </c>
      <c r="F1150" s="154" t="s">
        <v>698</v>
      </c>
      <c r="G1150" s="108" t="s">
        <v>35</v>
      </c>
      <c r="H1150" s="126"/>
      <c r="I1150" s="178" t="str">
        <f t="shared" si="136"/>
        <v>609100677 1 00 76210851</v>
      </c>
      <c r="L1150" s="38"/>
      <c r="M1150" s="38"/>
      <c r="N1150" s="38"/>
      <c r="O1150" s="38"/>
      <c r="P1150" s="38"/>
      <c r="Q1150" s="38"/>
      <c r="R1150" s="24"/>
    </row>
    <row r="1151" spans="1:18" s="41" customFormat="1" ht="15.75">
      <c r="A1151" s="40"/>
      <c r="B1151" s="127" t="s">
        <v>36</v>
      </c>
      <c r="C1151" s="109" t="s">
        <v>595</v>
      </c>
      <c r="D1151" s="108" t="s">
        <v>317</v>
      </c>
      <c r="E1151" s="108" t="s">
        <v>334</v>
      </c>
      <c r="F1151" s="154" t="s">
        <v>698</v>
      </c>
      <c r="G1151" s="108" t="s">
        <v>37</v>
      </c>
      <c r="H1151" s="126"/>
      <c r="I1151" s="178" t="str">
        <f t="shared" si="136"/>
        <v>609100677 1 00 76210852</v>
      </c>
      <c r="L1151" s="38"/>
      <c r="M1151" s="38"/>
      <c r="N1151" s="38"/>
      <c r="O1151" s="38"/>
      <c r="P1151" s="38"/>
      <c r="Q1151" s="38"/>
      <c r="R1151" s="24"/>
    </row>
    <row r="1152" spans="1:18" s="4" customFormat="1" ht="15.75">
      <c r="A1152" s="1"/>
      <c r="B1152" s="125"/>
      <c r="C1152" s="109"/>
      <c r="D1152" s="108"/>
      <c r="E1152" s="108"/>
      <c r="F1152" s="154"/>
      <c r="G1152" s="108"/>
      <c r="H1152" s="152"/>
      <c r="I1152" s="178" t="str">
        <f t="shared" si="136"/>
        <v/>
      </c>
      <c r="L1152" s="37"/>
      <c r="M1152" s="37"/>
      <c r="N1152" s="37"/>
      <c r="O1152" s="37">
        <f t="shared" ref="O1152:O1160" si="139">H1152-L1152</f>
        <v>0</v>
      </c>
      <c r="P1152" s="37" t="e">
        <f>#REF!-M1152</f>
        <v>#REF!</v>
      </c>
      <c r="Q1152" s="37" t="e">
        <f>#REF!-N1152</f>
        <v>#REF!</v>
      </c>
      <c r="R1152" s="17" t="str">
        <f t="shared" si="138"/>
        <v/>
      </c>
    </row>
    <row r="1153" spans="1:18" s="16" customFormat="1" ht="31.5">
      <c r="A1153" s="14"/>
      <c r="B1153" s="67" t="s">
        <v>699</v>
      </c>
      <c r="C1153" s="116" t="s">
        <v>406</v>
      </c>
      <c r="D1153" s="69" t="s">
        <v>7</v>
      </c>
      <c r="E1153" s="69" t="s">
        <v>7</v>
      </c>
      <c r="F1153" s="69" t="s">
        <v>8</v>
      </c>
      <c r="G1153" s="69" t="s">
        <v>9</v>
      </c>
      <c r="H1153" s="70">
        <f>H1154+H1168</f>
        <v>0</v>
      </c>
      <c r="I1153" s="178" t="str">
        <f t="shared" si="136"/>
        <v>611000000 0 00 00000000</v>
      </c>
      <c r="L1153" s="25">
        <v>189408.93999999997</v>
      </c>
      <c r="M1153" s="25">
        <v>186094.75999999998</v>
      </c>
      <c r="N1153" s="25">
        <v>186094.75999999998</v>
      </c>
      <c r="O1153" s="25">
        <f t="shared" si="139"/>
        <v>-189408.93999999997</v>
      </c>
      <c r="P1153" s="25" t="e">
        <f>#REF!-M1153</f>
        <v>#REF!</v>
      </c>
      <c r="Q1153" s="25" t="e">
        <f>#REF!-N1153</f>
        <v>#REF!</v>
      </c>
      <c r="R1153" s="17" t="str">
        <f t="shared" si="138"/>
        <v>00 0 00 00000000</v>
      </c>
    </row>
    <row r="1154" spans="1:18" s="16" customFormat="1" ht="15.75">
      <c r="A1154" s="14"/>
      <c r="B1154" s="117" t="s">
        <v>228</v>
      </c>
      <c r="C1154" s="118" t="s">
        <v>406</v>
      </c>
      <c r="D1154" s="119" t="s">
        <v>229</v>
      </c>
      <c r="E1154" s="119" t="s">
        <v>7</v>
      </c>
      <c r="F1154" s="119" t="s">
        <v>8</v>
      </c>
      <c r="G1154" s="119" t="s">
        <v>9</v>
      </c>
      <c r="H1154" s="120">
        <f>H1155</f>
        <v>0</v>
      </c>
      <c r="I1154" s="178" t="str">
        <f t="shared" si="136"/>
        <v>611070000 0 00 00000000</v>
      </c>
      <c r="L1154" s="18">
        <v>153120.24999999997</v>
      </c>
      <c r="M1154" s="18">
        <v>151306.06999999998</v>
      </c>
      <c r="N1154" s="18">
        <v>151306.06999999998</v>
      </c>
      <c r="O1154" s="18">
        <f t="shared" si="139"/>
        <v>-153120.24999999997</v>
      </c>
      <c r="P1154" s="18" t="e">
        <f>#REF!-M1154</f>
        <v>#REF!</v>
      </c>
      <c r="Q1154" s="18" t="e">
        <f>#REF!-N1154</f>
        <v>#REF!</v>
      </c>
      <c r="R1154" s="17" t="str">
        <f t="shared" si="138"/>
        <v>00 0 00 00000000</v>
      </c>
    </row>
    <row r="1155" spans="1:18" s="16" customFormat="1" ht="15.75">
      <c r="A1155" s="14"/>
      <c r="B1155" s="121" t="s">
        <v>458</v>
      </c>
      <c r="C1155" s="122" t="s">
        <v>406</v>
      </c>
      <c r="D1155" s="123" t="s">
        <v>229</v>
      </c>
      <c r="E1155" s="123" t="s">
        <v>13</v>
      </c>
      <c r="F1155" s="123" t="s">
        <v>8</v>
      </c>
      <c r="G1155" s="123" t="s">
        <v>9</v>
      </c>
      <c r="H1155" s="124">
        <f>H1156+H1162</f>
        <v>0</v>
      </c>
      <c r="I1155" s="178" t="str">
        <f t="shared" si="136"/>
        <v>611070300 0 00 00000000</v>
      </c>
      <c r="L1155" s="19">
        <v>153120.24999999997</v>
      </c>
      <c r="M1155" s="19">
        <v>151306.06999999998</v>
      </c>
      <c r="N1155" s="19">
        <v>151306.06999999998</v>
      </c>
      <c r="O1155" s="19">
        <f t="shared" si="139"/>
        <v>-153120.24999999997</v>
      </c>
      <c r="P1155" s="19" t="e">
        <f>#REF!-M1155</f>
        <v>#REF!</v>
      </c>
      <c r="Q1155" s="19" t="e">
        <f>#REF!-N1155</f>
        <v>#REF!</v>
      </c>
      <c r="R1155" s="17" t="str">
        <f t="shared" si="138"/>
        <v>00 0 00 00000000</v>
      </c>
    </row>
    <row r="1156" spans="1:18" s="16" customFormat="1" ht="31.5">
      <c r="A1156" s="14"/>
      <c r="B1156" s="125" t="s">
        <v>700</v>
      </c>
      <c r="C1156" s="109" t="s">
        <v>406</v>
      </c>
      <c r="D1156" s="108" t="s">
        <v>229</v>
      </c>
      <c r="E1156" s="108" t="s">
        <v>13</v>
      </c>
      <c r="F1156" s="108" t="s">
        <v>701</v>
      </c>
      <c r="G1156" s="108" t="s">
        <v>9</v>
      </c>
      <c r="H1156" s="126">
        <f t="shared" ref="H1156:H1159" si="140">H1157</f>
        <v>0</v>
      </c>
      <c r="I1156" s="178" t="str">
        <f t="shared" si="136"/>
        <v>611070308 0 00 00000000</v>
      </c>
      <c r="L1156" s="20">
        <v>152886.69999999998</v>
      </c>
      <c r="M1156" s="20">
        <v>151072.51999999999</v>
      </c>
      <c r="N1156" s="20">
        <v>151072.51999999999</v>
      </c>
      <c r="O1156" s="20">
        <f t="shared" si="139"/>
        <v>-152886.69999999998</v>
      </c>
      <c r="P1156" s="20" t="e">
        <f>#REF!-M1156</f>
        <v>#REF!</v>
      </c>
      <c r="Q1156" s="20" t="e">
        <f>#REF!-N1156</f>
        <v>#REF!</v>
      </c>
      <c r="R1156" s="17" t="str">
        <f t="shared" si="138"/>
        <v>08 0 00 00000000</v>
      </c>
    </row>
    <row r="1157" spans="1:18" s="16" customFormat="1" ht="47.25">
      <c r="A1157" s="14"/>
      <c r="B1157" s="125" t="s">
        <v>702</v>
      </c>
      <c r="C1157" s="109" t="s">
        <v>406</v>
      </c>
      <c r="D1157" s="108" t="s">
        <v>229</v>
      </c>
      <c r="E1157" s="108" t="s">
        <v>13</v>
      </c>
      <c r="F1157" s="108" t="s">
        <v>703</v>
      </c>
      <c r="G1157" s="108" t="s">
        <v>9</v>
      </c>
      <c r="H1157" s="126">
        <f t="shared" si="140"/>
        <v>0</v>
      </c>
      <c r="I1157" s="178" t="str">
        <f t="shared" si="136"/>
        <v>611070308 1 00 00000000</v>
      </c>
      <c r="L1157" s="20">
        <v>152886.69999999998</v>
      </c>
      <c r="M1157" s="20">
        <v>151072.51999999999</v>
      </c>
      <c r="N1157" s="20">
        <v>151072.51999999999</v>
      </c>
      <c r="O1157" s="20">
        <f t="shared" si="139"/>
        <v>-152886.69999999998</v>
      </c>
      <c r="P1157" s="20" t="e">
        <f>#REF!-M1157</f>
        <v>#REF!</v>
      </c>
      <c r="Q1157" s="20" t="e">
        <f>#REF!-N1157</f>
        <v>#REF!</v>
      </c>
      <c r="R1157" s="17" t="str">
        <f t="shared" si="138"/>
        <v>08 1 00 00000000</v>
      </c>
    </row>
    <row r="1158" spans="1:18" s="16" customFormat="1" ht="63">
      <c r="A1158" s="14"/>
      <c r="B1158" s="125" t="s">
        <v>704</v>
      </c>
      <c r="C1158" s="109" t="s">
        <v>406</v>
      </c>
      <c r="D1158" s="108" t="s">
        <v>229</v>
      </c>
      <c r="E1158" s="108" t="s">
        <v>13</v>
      </c>
      <c r="F1158" s="108" t="s">
        <v>705</v>
      </c>
      <c r="G1158" s="108" t="s">
        <v>9</v>
      </c>
      <c r="H1158" s="126">
        <f>H1159</f>
        <v>0</v>
      </c>
      <c r="I1158" s="178" t="str">
        <f t="shared" si="136"/>
        <v>611070308 1 01 00000000</v>
      </c>
      <c r="L1158" s="20">
        <v>152886.69999999998</v>
      </c>
      <c r="M1158" s="20">
        <v>151072.51999999999</v>
      </c>
      <c r="N1158" s="20">
        <v>151072.51999999999</v>
      </c>
      <c r="O1158" s="20">
        <f t="shared" si="139"/>
        <v>-152886.69999999998</v>
      </c>
      <c r="P1158" s="20" t="e">
        <f>#REF!-M1158</f>
        <v>#REF!</v>
      </c>
      <c r="Q1158" s="20" t="e">
        <f>#REF!-N1158</f>
        <v>#REF!</v>
      </c>
      <c r="R1158" s="17" t="str">
        <f t="shared" si="138"/>
        <v>08 1 01 00000000</v>
      </c>
    </row>
    <row r="1159" spans="1:18" s="16" customFormat="1" ht="31.5">
      <c r="A1159" s="14"/>
      <c r="B1159" s="127" t="s">
        <v>136</v>
      </c>
      <c r="C1159" s="109" t="s">
        <v>406</v>
      </c>
      <c r="D1159" s="108" t="s">
        <v>229</v>
      </c>
      <c r="E1159" s="108" t="s">
        <v>13</v>
      </c>
      <c r="F1159" s="108" t="s">
        <v>706</v>
      </c>
      <c r="G1159" s="108" t="s">
        <v>9</v>
      </c>
      <c r="H1159" s="126">
        <f t="shared" si="140"/>
        <v>0</v>
      </c>
      <c r="I1159" s="178" t="str">
        <f t="shared" si="136"/>
        <v>611070308 1 01 11010000</v>
      </c>
      <c r="L1159" s="20">
        <v>152886.69999999998</v>
      </c>
      <c r="M1159" s="20">
        <v>151072.51999999999</v>
      </c>
      <c r="N1159" s="20">
        <v>151072.51999999999</v>
      </c>
      <c r="O1159" s="20">
        <f t="shared" si="139"/>
        <v>-152886.69999999998</v>
      </c>
      <c r="P1159" s="20" t="e">
        <f>#REF!-M1159</f>
        <v>#REF!</v>
      </c>
      <c r="Q1159" s="20" t="e">
        <f>#REF!-N1159</f>
        <v>#REF!</v>
      </c>
      <c r="R1159" s="17" t="str">
        <f t="shared" si="138"/>
        <v>08 1 01 11010000</v>
      </c>
    </row>
    <row r="1160" spans="1:18" s="16" customFormat="1" ht="15.75">
      <c r="A1160" s="14"/>
      <c r="B1160" s="132" t="s">
        <v>403</v>
      </c>
      <c r="C1160" s="109" t="s">
        <v>406</v>
      </c>
      <c r="D1160" s="108" t="s">
        <v>229</v>
      </c>
      <c r="E1160" s="108" t="s">
        <v>13</v>
      </c>
      <c r="F1160" s="108" t="s">
        <v>706</v>
      </c>
      <c r="G1160" s="108" t="s">
        <v>404</v>
      </c>
      <c r="H1160" s="126">
        <f>H1161</f>
        <v>0</v>
      </c>
      <c r="I1160" s="178" t="str">
        <f t="shared" si="136"/>
        <v>611070308 1 01 11010610</v>
      </c>
      <c r="L1160" s="20">
        <v>152886.69999999998</v>
      </c>
      <c r="M1160" s="20">
        <v>151072.51999999999</v>
      </c>
      <c r="N1160" s="20">
        <v>151072.51999999999</v>
      </c>
      <c r="O1160" s="20">
        <f t="shared" si="139"/>
        <v>-152886.69999999998</v>
      </c>
      <c r="P1160" s="20" t="e">
        <f>#REF!-M1160</f>
        <v>#REF!</v>
      </c>
      <c r="Q1160" s="20" t="e">
        <f>#REF!-N1160</f>
        <v>#REF!</v>
      </c>
      <c r="R1160" s="17" t="str">
        <f t="shared" si="138"/>
        <v>08 1 01 11010610</v>
      </c>
    </row>
    <row r="1161" spans="1:18" s="23" customFormat="1" ht="63">
      <c r="A1161" s="21"/>
      <c r="B1161" s="127" t="s">
        <v>405</v>
      </c>
      <c r="C1161" s="109" t="s">
        <v>406</v>
      </c>
      <c r="D1161" s="108" t="s">
        <v>229</v>
      </c>
      <c r="E1161" s="108" t="s">
        <v>13</v>
      </c>
      <c r="F1161" s="108" t="s">
        <v>706</v>
      </c>
      <c r="G1161" s="108" t="s">
        <v>406</v>
      </c>
      <c r="H1161" s="126"/>
      <c r="I1161" s="178" t="str">
        <f t="shared" si="136"/>
        <v>611070308 1 01 11010611</v>
      </c>
      <c r="L1161" s="22"/>
      <c r="M1161" s="22"/>
      <c r="N1161" s="22"/>
      <c r="O1161" s="22"/>
      <c r="P1161" s="22"/>
      <c r="Q1161" s="22"/>
      <c r="R1161" s="24"/>
    </row>
    <row r="1162" spans="1:18" s="16" customFormat="1" ht="94.5">
      <c r="A1162" s="14"/>
      <c r="B1162" s="125" t="s">
        <v>420</v>
      </c>
      <c r="C1162" s="109" t="s">
        <v>406</v>
      </c>
      <c r="D1162" s="108" t="s">
        <v>229</v>
      </c>
      <c r="E1162" s="108" t="s">
        <v>13</v>
      </c>
      <c r="F1162" s="108" t="s">
        <v>421</v>
      </c>
      <c r="G1162" s="108" t="s">
        <v>9</v>
      </c>
      <c r="H1162" s="126">
        <f t="shared" ref="H1162:H1165" si="141">H1163</f>
        <v>0</v>
      </c>
      <c r="I1162" s="178" t="str">
        <f t="shared" si="136"/>
        <v>611070316 0 00 00000000</v>
      </c>
      <c r="L1162" s="20">
        <v>233.55</v>
      </c>
      <c r="M1162" s="20">
        <v>233.55</v>
      </c>
      <c r="N1162" s="20">
        <v>233.55</v>
      </c>
      <c r="O1162" s="20">
        <f>H1162-L1162</f>
        <v>-233.55</v>
      </c>
      <c r="P1162" s="20" t="e">
        <f>#REF!-M1162</f>
        <v>#REF!</v>
      </c>
      <c r="Q1162" s="20" t="e">
        <f>#REF!-N1162</f>
        <v>#REF!</v>
      </c>
      <c r="R1162" s="17" t="str">
        <f t="shared" si="138"/>
        <v>16 0 00 00000000</v>
      </c>
    </row>
    <row r="1163" spans="1:18" s="16" customFormat="1" ht="31.5">
      <c r="A1163" s="14"/>
      <c r="B1163" s="125" t="s">
        <v>422</v>
      </c>
      <c r="C1163" s="109" t="s">
        <v>406</v>
      </c>
      <c r="D1163" s="108" t="s">
        <v>229</v>
      </c>
      <c r="E1163" s="108" t="s">
        <v>13</v>
      </c>
      <c r="F1163" s="108" t="s">
        <v>423</v>
      </c>
      <c r="G1163" s="108" t="s">
        <v>9</v>
      </c>
      <c r="H1163" s="126">
        <f t="shared" si="141"/>
        <v>0</v>
      </c>
      <c r="I1163" s="178" t="str">
        <f t="shared" si="136"/>
        <v>611070316 2 00 00000000</v>
      </c>
      <c r="L1163" s="20">
        <v>233.55</v>
      </c>
      <c r="M1163" s="20">
        <v>233.55</v>
      </c>
      <c r="N1163" s="20">
        <v>233.55</v>
      </c>
      <c r="O1163" s="20">
        <f>H1163-L1163</f>
        <v>-233.55</v>
      </c>
      <c r="P1163" s="20" t="e">
        <f>#REF!-M1163</f>
        <v>#REF!</v>
      </c>
      <c r="Q1163" s="20" t="e">
        <f>#REF!-N1163</f>
        <v>#REF!</v>
      </c>
      <c r="R1163" s="17" t="str">
        <f t="shared" si="138"/>
        <v>16 2 00 00000000</v>
      </c>
    </row>
    <row r="1164" spans="1:18" s="16" customFormat="1" ht="47.25">
      <c r="A1164" s="14"/>
      <c r="B1164" s="125" t="s">
        <v>424</v>
      </c>
      <c r="C1164" s="109" t="s">
        <v>406</v>
      </c>
      <c r="D1164" s="108" t="s">
        <v>229</v>
      </c>
      <c r="E1164" s="108" t="s">
        <v>13</v>
      </c>
      <c r="F1164" s="108" t="s">
        <v>425</v>
      </c>
      <c r="G1164" s="108" t="s">
        <v>9</v>
      </c>
      <c r="H1164" s="126">
        <f t="shared" si="141"/>
        <v>0</v>
      </c>
      <c r="I1164" s="178" t="str">
        <f t="shared" si="136"/>
        <v>611070316 2 02 00000000</v>
      </c>
      <c r="L1164" s="20">
        <v>233.55</v>
      </c>
      <c r="M1164" s="20">
        <v>233.55</v>
      </c>
      <c r="N1164" s="20">
        <v>233.55</v>
      </c>
      <c r="O1164" s="20">
        <f>H1164-L1164</f>
        <v>-233.55</v>
      </c>
      <c r="P1164" s="20" t="e">
        <f>#REF!-M1164</f>
        <v>#REF!</v>
      </c>
      <c r="Q1164" s="20" t="e">
        <f>#REF!-N1164</f>
        <v>#REF!</v>
      </c>
      <c r="R1164" s="17" t="str">
        <f t="shared" si="138"/>
        <v>16 2 02 00000000</v>
      </c>
    </row>
    <row r="1165" spans="1:18" s="16" customFormat="1" ht="47.25">
      <c r="A1165" s="14"/>
      <c r="B1165" s="125" t="s">
        <v>426</v>
      </c>
      <c r="C1165" s="109" t="s">
        <v>406</v>
      </c>
      <c r="D1165" s="108" t="s">
        <v>229</v>
      </c>
      <c r="E1165" s="108" t="s">
        <v>13</v>
      </c>
      <c r="F1165" s="108" t="s">
        <v>427</v>
      </c>
      <c r="G1165" s="108" t="s">
        <v>9</v>
      </c>
      <c r="H1165" s="126">
        <f t="shared" si="141"/>
        <v>0</v>
      </c>
      <c r="I1165" s="178" t="str">
        <f t="shared" si="136"/>
        <v>611070316 2 02 20550000</v>
      </c>
      <c r="L1165" s="20">
        <v>233.55</v>
      </c>
      <c r="M1165" s="20">
        <v>233.55</v>
      </c>
      <c r="N1165" s="20">
        <v>233.55</v>
      </c>
      <c r="O1165" s="20">
        <f>H1165-L1165</f>
        <v>-233.55</v>
      </c>
      <c r="P1165" s="20" t="e">
        <f>#REF!-M1165</f>
        <v>#REF!</v>
      </c>
      <c r="Q1165" s="20" t="e">
        <f>#REF!-N1165</f>
        <v>#REF!</v>
      </c>
      <c r="R1165" s="17" t="str">
        <f t="shared" si="138"/>
        <v>16 2 02 20550000</v>
      </c>
    </row>
    <row r="1166" spans="1:18" s="16" customFormat="1" ht="15.75">
      <c r="A1166" s="14"/>
      <c r="B1166" s="132" t="s">
        <v>403</v>
      </c>
      <c r="C1166" s="109" t="s">
        <v>406</v>
      </c>
      <c r="D1166" s="108" t="s">
        <v>229</v>
      </c>
      <c r="E1166" s="108" t="s">
        <v>13</v>
      </c>
      <c r="F1166" s="108" t="s">
        <v>427</v>
      </c>
      <c r="G1166" s="108" t="s">
        <v>404</v>
      </c>
      <c r="H1166" s="126">
        <f>H1167</f>
        <v>0</v>
      </c>
      <c r="I1166" s="178" t="str">
        <f t="shared" si="136"/>
        <v>611070316 2 02 20550610</v>
      </c>
      <c r="L1166" s="20">
        <v>233.55</v>
      </c>
      <c r="M1166" s="20">
        <v>233.55</v>
      </c>
      <c r="N1166" s="20">
        <v>233.55</v>
      </c>
      <c r="O1166" s="20">
        <f>H1166-L1166</f>
        <v>-233.55</v>
      </c>
      <c r="P1166" s="20" t="e">
        <f>#REF!-M1166</f>
        <v>#REF!</v>
      </c>
      <c r="Q1166" s="20" t="e">
        <f>#REF!-N1166</f>
        <v>#REF!</v>
      </c>
      <c r="R1166" s="17" t="str">
        <f t="shared" si="138"/>
        <v>16 2 02 20550610</v>
      </c>
    </row>
    <row r="1167" spans="1:18" s="16" customFormat="1" ht="15.75">
      <c r="A1167" s="14"/>
      <c r="B1167" s="127" t="s">
        <v>407</v>
      </c>
      <c r="C1167" s="109" t="s">
        <v>406</v>
      </c>
      <c r="D1167" s="108" t="s">
        <v>229</v>
      </c>
      <c r="E1167" s="108" t="s">
        <v>13</v>
      </c>
      <c r="F1167" s="108" t="s">
        <v>427</v>
      </c>
      <c r="G1167" s="108" t="s">
        <v>408</v>
      </c>
      <c r="H1167" s="126"/>
      <c r="I1167" s="178" t="str">
        <f t="shared" si="136"/>
        <v>611070316 2 02 20550612</v>
      </c>
      <c r="L1167" s="20"/>
      <c r="M1167" s="20"/>
      <c r="N1167" s="20"/>
      <c r="O1167" s="20"/>
      <c r="P1167" s="20"/>
      <c r="Q1167" s="20"/>
      <c r="R1167" s="17"/>
    </row>
    <row r="1168" spans="1:18" s="16" customFormat="1" ht="15.75">
      <c r="A1168" s="14"/>
      <c r="B1168" s="117" t="s">
        <v>707</v>
      </c>
      <c r="C1168" s="118" t="s">
        <v>406</v>
      </c>
      <c r="D1168" s="119" t="s">
        <v>342</v>
      </c>
      <c r="E1168" s="119" t="s">
        <v>7</v>
      </c>
      <c r="F1168" s="119" t="s">
        <v>8</v>
      </c>
      <c r="G1168" s="119" t="s">
        <v>9</v>
      </c>
      <c r="H1168" s="120">
        <f>H1169+H1176+H1198+H1205</f>
        <v>0</v>
      </c>
      <c r="I1168" s="178" t="str">
        <f t="shared" si="136"/>
        <v>611110000 0 00 00000000</v>
      </c>
      <c r="L1168" s="18">
        <v>36288.69</v>
      </c>
      <c r="M1168" s="18">
        <v>34788.69</v>
      </c>
      <c r="N1168" s="18">
        <v>34788.69</v>
      </c>
      <c r="O1168" s="18">
        <f t="shared" ref="O1168:O1174" si="142">H1168-L1168</f>
        <v>-36288.69</v>
      </c>
      <c r="P1168" s="18" t="e">
        <f>#REF!-M1168</f>
        <v>#REF!</v>
      </c>
      <c r="Q1168" s="18" t="e">
        <f>#REF!-N1168</f>
        <v>#REF!</v>
      </c>
      <c r="R1168" s="17" t="str">
        <f t="shared" si="138"/>
        <v>00 0 00 00000000</v>
      </c>
    </row>
    <row r="1169" spans="1:18" s="16" customFormat="1" ht="15.75">
      <c r="A1169" s="14"/>
      <c r="B1169" s="121" t="s">
        <v>708</v>
      </c>
      <c r="C1169" s="122" t="s">
        <v>406</v>
      </c>
      <c r="D1169" s="123" t="s">
        <v>342</v>
      </c>
      <c r="E1169" s="123" t="s">
        <v>11</v>
      </c>
      <c r="F1169" s="123" t="s">
        <v>8</v>
      </c>
      <c r="G1169" s="123" t="s">
        <v>9</v>
      </c>
      <c r="H1169" s="124">
        <f t="shared" ref="H1169:H1173" si="143">H1170</f>
        <v>0</v>
      </c>
      <c r="I1169" s="178" t="str">
        <f t="shared" si="136"/>
        <v>611110100 0 00 00000000</v>
      </c>
      <c r="L1169" s="19">
        <v>2903.54</v>
      </c>
      <c r="M1169" s="19">
        <v>2903.54</v>
      </c>
      <c r="N1169" s="19">
        <v>2903.54</v>
      </c>
      <c r="O1169" s="19">
        <f t="shared" si="142"/>
        <v>-2903.54</v>
      </c>
      <c r="P1169" s="19" t="e">
        <f>#REF!-M1169</f>
        <v>#REF!</v>
      </c>
      <c r="Q1169" s="19" t="e">
        <f>#REF!-N1169</f>
        <v>#REF!</v>
      </c>
      <c r="R1169" s="17" t="str">
        <f t="shared" si="138"/>
        <v>00 0 00 00000000</v>
      </c>
    </row>
    <row r="1170" spans="1:18" s="16" customFormat="1" ht="31.5">
      <c r="A1170" s="14"/>
      <c r="B1170" s="125" t="s">
        <v>700</v>
      </c>
      <c r="C1170" s="109" t="s">
        <v>406</v>
      </c>
      <c r="D1170" s="108" t="s">
        <v>342</v>
      </c>
      <c r="E1170" s="108" t="s">
        <v>11</v>
      </c>
      <c r="F1170" s="108" t="s">
        <v>701</v>
      </c>
      <c r="G1170" s="108" t="s">
        <v>9</v>
      </c>
      <c r="H1170" s="126">
        <f t="shared" si="143"/>
        <v>0</v>
      </c>
      <c r="I1170" s="178" t="str">
        <f t="shared" si="136"/>
        <v>611110108 0 00 00000000</v>
      </c>
      <c r="L1170" s="20">
        <v>2903.54</v>
      </c>
      <c r="M1170" s="20">
        <v>2903.54</v>
      </c>
      <c r="N1170" s="20">
        <v>2903.54</v>
      </c>
      <c r="O1170" s="20">
        <f t="shared" si="142"/>
        <v>-2903.54</v>
      </c>
      <c r="P1170" s="20" t="e">
        <f>#REF!-M1170</f>
        <v>#REF!</v>
      </c>
      <c r="Q1170" s="20" t="e">
        <f>#REF!-N1170</f>
        <v>#REF!</v>
      </c>
      <c r="R1170" s="17" t="str">
        <f t="shared" si="138"/>
        <v>08 0 00 00000000</v>
      </c>
    </row>
    <row r="1171" spans="1:18" s="16" customFormat="1" ht="47.25">
      <c r="A1171" s="14"/>
      <c r="B1171" s="125" t="s">
        <v>702</v>
      </c>
      <c r="C1171" s="109" t="s">
        <v>406</v>
      </c>
      <c r="D1171" s="108" t="s">
        <v>342</v>
      </c>
      <c r="E1171" s="108" t="s">
        <v>11</v>
      </c>
      <c r="F1171" s="108" t="s">
        <v>703</v>
      </c>
      <c r="G1171" s="108" t="s">
        <v>9</v>
      </c>
      <c r="H1171" s="126">
        <f>H1172</f>
        <v>0</v>
      </c>
      <c r="I1171" s="178" t="str">
        <f t="shared" si="136"/>
        <v>611110108 1 00 00000000</v>
      </c>
      <c r="L1171" s="20">
        <v>2903.54</v>
      </c>
      <c r="M1171" s="20">
        <v>2903.54</v>
      </c>
      <c r="N1171" s="20">
        <v>2903.54</v>
      </c>
      <c r="O1171" s="20">
        <f t="shared" si="142"/>
        <v>-2903.54</v>
      </c>
      <c r="P1171" s="20" t="e">
        <f>#REF!-M1171</f>
        <v>#REF!</v>
      </c>
      <c r="Q1171" s="20" t="e">
        <f>#REF!-N1171</f>
        <v>#REF!</v>
      </c>
      <c r="R1171" s="17" t="str">
        <f t="shared" si="138"/>
        <v>08 1 00 00000000</v>
      </c>
    </row>
    <row r="1172" spans="1:18" s="16" customFormat="1" ht="31.5">
      <c r="A1172" s="14"/>
      <c r="B1172" s="129" t="s">
        <v>709</v>
      </c>
      <c r="C1172" s="130" t="s">
        <v>406</v>
      </c>
      <c r="D1172" s="131" t="s">
        <v>342</v>
      </c>
      <c r="E1172" s="131" t="s">
        <v>11</v>
      </c>
      <c r="F1172" s="131" t="s">
        <v>710</v>
      </c>
      <c r="G1172" s="131" t="s">
        <v>9</v>
      </c>
      <c r="H1172" s="105">
        <f>H1173</f>
        <v>0</v>
      </c>
      <c r="I1172" s="178" t="str">
        <f t="shared" si="136"/>
        <v>611110108 1 02 00000000</v>
      </c>
      <c r="L1172" s="26">
        <v>2903.54</v>
      </c>
      <c r="M1172" s="26">
        <v>2903.54</v>
      </c>
      <c r="N1172" s="26">
        <v>2903.54</v>
      </c>
      <c r="O1172" s="26">
        <f t="shared" si="142"/>
        <v>-2903.54</v>
      </c>
      <c r="P1172" s="26" t="e">
        <f>#REF!-M1172</f>
        <v>#REF!</v>
      </c>
      <c r="Q1172" s="26" t="e">
        <f>#REF!-N1172</f>
        <v>#REF!</v>
      </c>
      <c r="R1172" s="17" t="str">
        <f t="shared" si="138"/>
        <v>08 1 02 00000000</v>
      </c>
    </row>
    <row r="1173" spans="1:18" s="16" customFormat="1" ht="31.5">
      <c r="A1173" s="14"/>
      <c r="B1173" s="127" t="s">
        <v>136</v>
      </c>
      <c r="C1173" s="130" t="s">
        <v>406</v>
      </c>
      <c r="D1173" s="131" t="s">
        <v>342</v>
      </c>
      <c r="E1173" s="131" t="s">
        <v>11</v>
      </c>
      <c r="F1173" s="131" t="s">
        <v>711</v>
      </c>
      <c r="G1173" s="131" t="s">
        <v>9</v>
      </c>
      <c r="H1173" s="105">
        <f t="shared" si="143"/>
        <v>0</v>
      </c>
      <c r="I1173" s="178" t="str">
        <f t="shared" ref="I1173:I1236" si="144">C1173&amp;D1173&amp;E1173&amp;F1173&amp;G1173</f>
        <v>611110108 1 02 11010000</v>
      </c>
      <c r="L1173" s="26">
        <v>2903.54</v>
      </c>
      <c r="M1173" s="26">
        <v>2903.54</v>
      </c>
      <c r="N1173" s="26">
        <v>2903.54</v>
      </c>
      <c r="O1173" s="26">
        <f t="shared" si="142"/>
        <v>-2903.54</v>
      </c>
      <c r="P1173" s="26" t="e">
        <f>#REF!-M1173</f>
        <v>#REF!</v>
      </c>
      <c r="Q1173" s="26" t="e">
        <f>#REF!-N1173</f>
        <v>#REF!</v>
      </c>
      <c r="R1173" s="17" t="str">
        <f t="shared" si="138"/>
        <v>08 1 02 11010000</v>
      </c>
    </row>
    <row r="1174" spans="1:18" s="16" customFormat="1" ht="15.75">
      <c r="A1174" s="14"/>
      <c r="B1174" s="132" t="s">
        <v>403</v>
      </c>
      <c r="C1174" s="130" t="s">
        <v>406</v>
      </c>
      <c r="D1174" s="131" t="s">
        <v>342</v>
      </c>
      <c r="E1174" s="131" t="s">
        <v>11</v>
      </c>
      <c r="F1174" s="131" t="s">
        <v>711</v>
      </c>
      <c r="G1174" s="131" t="s">
        <v>404</v>
      </c>
      <c r="H1174" s="126">
        <f>H1175</f>
        <v>0</v>
      </c>
      <c r="I1174" s="178" t="str">
        <f t="shared" si="144"/>
        <v>611110108 1 02 11010610</v>
      </c>
      <c r="L1174" s="20">
        <v>2903.54</v>
      </c>
      <c r="M1174" s="20">
        <v>2903.54</v>
      </c>
      <c r="N1174" s="20">
        <v>2903.54</v>
      </c>
      <c r="O1174" s="20">
        <f t="shared" si="142"/>
        <v>-2903.54</v>
      </c>
      <c r="P1174" s="20" t="e">
        <f>#REF!-M1174</f>
        <v>#REF!</v>
      </c>
      <c r="Q1174" s="20" t="e">
        <f>#REF!-N1174</f>
        <v>#REF!</v>
      </c>
      <c r="R1174" s="17" t="str">
        <f t="shared" si="138"/>
        <v>08 1 02 11010610</v>
      </c>
    </row>
    <row r="1175" spans="1:18" s="23" customFormat="1" ht="63">
      <c r="A1175" s="21"/>
      <c r="B1175" s="127" t="s">
        <v>405</v>
      </c>
      <c r="C1175" s="130" t="s">
        <v>406</v>
      </c>
      <c r="D1175" s="131" t="s">
        <v>342</v>
      </c>
      <c r="E1175" s="131" t="s">
        <v>11</v>
      </c>
      <c r="F1175" s="131" t="s">
        <v>711</v>
      </c>
      <c r="G1175" s="108" t="s">
        <v>406</v>
      </c>
      <c r="H1175" s="126"/>
      <c r="I1175" s="178" t="str">
        <f t="shared" si="144"/>
        <v>611110108 1 02 11010611</v>
      </c>
      <c r="L1175" s="22"/>
      <c r="M1175" s="22"/>
      <c r="N1175" s="22"/>
      <c r="O1175" s="22"/>
      <c r="P1175" s="22"/>
      <c r="Q1175" s="22"/>
      <c r="R1175" s="24"/>
    </row>
    <row r="1176" spans="1:18" s="16" customFormat="1" ht="15.75">
      <c r="A1176" s="14"/>
      <c r="B1176" s="121" t="s">
        <v>712</v>
      </c>
      <c r="C1176" s="122" t="s">
        <v>406</v>
      </c>
      <c r="D1176" s="123" t="s">
        <v>342</v>
      </c>
      <c r="E1176" s="123" t="s">
        <v>62</v>
      </c>
      <c r="F1176" s="123" t="s">
        <v>8</v>
      </c>
      <c r="G1176" s="123" t="s">
        <v>9</v>
      </c>
      <c r="H1176" s="124">
        <f>H1177</f>
        <v>0</v>
      </c>
      <c r="I1176" s="178" t="str">
        <f t="shared" si="144"/>
        <v>611110200 0 00 00000000</v>
      </c>
      <c r="L1176" s="19">
        <v>14924</v>
      </c>
      <c r="M1176" s="19">
        <v>14924</v>
      </c>
      <c r="N1176" s="19">
        <v>14924</v>
      </c>
      <c r="O1176" s="19">
        <f t="shared" ref="O1176:O1181" si="145">H1176-L1176</f>
        <v>-14924</v>
      </c>
      <c r="P1176" s="19" t="e">
        <f>#REF!-M1176</f>
        <v>#REF!</v>
      </c>
      <c r="Q1176" s="19" t="e">
        <f>#REF!-N1176</f>
        <v>#REF!</v>
      </c>
      <c r="R1176" s="17" t="str">
        <f t="shared" si="138"/>
        <v>00 0 00 00000000</v>
      </c>
    </row>
    <row r="1177" spans="1:18" s="16" customFormat="1" ht="31.5">
      <c r="A1177" s="14"/>
      <c r="B1177" s="125" t="s">
        <v>700</v>
      </c>
      <c r="C1177" s="109" t="s">
        <v>406</v>
      </c>
      <c r="D1177" s="108" t="s">
        <v>342</v>
      </c>
      <c r="E1177" s="108" t="s">
        <v>62</v>
      </c>
      <c r="F1177" s="108" t="s">
        <v>701</v>
      </c>
      <c r="G1177" s="108" t="s">
        <v>9</v>
      </c>
      <c r="H1177" s="126">
        <f>H1178+H1183</f>
        <v>0</v>
      </c>
      <c r="I1177" s="178" t="str">
        <f t="shared" si="144"/>
        <v>611110208 0 00 00000000</v>
      </c>
      <c r="L1177" s="20">
        <v>14924</v>
      </c>
      <c r="M1177" s="20">
        <v>14924</v>
      </c>
      <c r="N1177" s="20">
        <v>14924</v>
      </c>
      <c r="O1177" s="20">
        <f t="shared" si="145"/>
        <v>-14924</v>
      </c>
      <c r="P1177" s="20" t="e">
        <f>#REF!-M1177</f>
        <v>#REF!</v>
      </c>
      <c r="Q1177" s="20" t="e">
        <f>#REF!-N1177</f>
        <v>#REF!</v>
      </c>
      <c r="R1177" s="17" t="str">
        <f t="shared" si="138"/>
        <v>08 0 00 00000000</v>
      </c>
    </row>
    <row r="1178" spans="1:18" s="16" customFormat="1" ht="47.25">
      <c r="A1178" s="14"/>
      <c r="B1178" s="125" t="s">
        <v>702</v>
      </c>
      <c r="C1178" s="109" t="s">
        <v>406</v>
      </c>
      <c r="D1178" s="108" t="s">
        <v>342</v>
      </c>
      <c r="E1178" s="108" t="s">
        <v>62</v>
      </c>
      <c r="F1178" s="108" t="s">
        <v>703</v>
      </c>
      <c r="G1178" s="108" t="s">
        <v>9</v>
      </c>
      <c r="H1178" s="126">
        <f t="shared" ref="H1178" si="146">H1179</f>
        <v>0</v>
      </c>
      <c r="I1178" s="178" t="str">
        <f t="shared" si="144"/>
        <v>611110208 1 00 00000000</v>
      </c>
      <c r="L1178" s="20">
        <v>9606.5</v>
      </c>
      <c r="M1178" s="20">
        <v>9606.5</v>
      </c>
      <c r="N1178" s="20">
        <v>9606.5</v>
      </c>
      <c r="O1178" s="20">
        <f t="shared" si="145"/>
        <v>-9606.5</v>
      </c>
      <c r="P1178" s="20" t="e">
        <f>#REF!-M1178</f>
        <v>#REF!</v>
      </c>
      <c r="Q1178" s="20" t="e">
        <f>#REF!-N1178</f>
        <v>#REF!</v>
      </c>
      <c r="R1178" s="17" t="str">
        <f t="shared" si="138"/>
        <v>08 1 00 00000000</v>
      </c>
    </row>
    <row r="1179" spans="1:18" s="16" customFormat="1" ht="94.5">
      <c r="A1179" s="14"/>
      <c r="B1179" s="125" t="s">
        <v>713</v>
      </c>
      <c r="C1179" s="109" t="s">
        <v>406</v>
      </c>
      <c r="D1179" s="108" t="s">
        <v>342</v>
      </c>
      <c r="E1179" s="108" t="s">
        <v>62</v>
      </c>
      <c r="F1179" s="108" t="s">
        <v>714</v>
      </c>
      <c r="G1179" s="108" t="s">
        <v>9</v>
      </c>
      <c r="H1179" s="126">
        <f>H1180</f>
        <v>0</v>
      </c>
      <c r="I1179" s="178" t="str">
        <f t="shared" si="144"/>
        <v>611110208 1 03 00000000</v>
      </c>
      <c r="L1179" s="20">
        <v>9606.5</v>
      </c>
      <c r="M1179" s="20">
        <v>9606.5</v>
      </c>
      <c r="N1179" s="20">
        <v>9606.5</v>
      </c>
      <c r="O1179" s="20">
        <f t="shared" si="145"/>
        <v>-9606.5</v>
      </c>
      <c r="P1179" s="20" t="e">
        <f>#REF!-M1179</f>
        <v>#REF!</v>
      </c>
      <c r="Q1179" s="20" t="e">
        <f>#REF!-N1179</f>
        <v>#REF!</v>
      </c>
      <c r="R1179" s="17" t="str">
        <f t="shared" si="138"/>
        <v>08 1 03 00000000</v>
      </c>
    </row>
    <row r="1180" spans="1:18" s="16" customFormat="1" ht="31.5">
      <c r="A1180" s="14"/>
      <c r="B1180" s="127" t="s">
        <v>136</v>
      </c>
      <c r="C1180" s="130" t="s">
        <v>406</v>
      </c>
      <c r="D1180" s="108" t="s">
        <v>342</v>
      </c>
      <c r="E1180" s="108" t="s">
        <v>62</v>
      </c>
      <c r="F1180" s="131" t="s">
        <v>715</v>
      </c>
      <c r="G1180" s="131" t="s">
        <v>9</v>
      </c>
      <c r="H1180" s="105">
        <f t="shared" ref="H1180" si="147">H1181</f>
        <v>0</v>
      </c>
      <c r="I1180" s="178" t="str">
        <f t="shared" si="144"/>
        <v>611110208 1 03 11010000</v>
      </c>
      <c r="L1180" s="26">
        <v>9606.5</v>
      </c>
      <c r="M1180" s="26">
        <v>9606.5</v>
      </c>
      <c r="N1180" s="26">
        <v>9606.5</v>
      </c>
      <c r="O1180" s="26">
        <f t="shared" si="145"/>
        <v>-9606.5</v>
      </c>
      <c r="P1180" s="26" t="e">
        <f>#REF!-M1180</f>
        <v>#REF!</v>
      </c>
      <c r="Q1180" s="26" t="e">
        <f>#REF!-N1180</f>
        <v>#REF!</v>
      </c>
      <c r="R1180" s="17" t="str">
        <f t="shared" si="138"/>
        <v>08 1 03 11010000</v>
      </c>
    </row>
    <row r="1181" spans="1:18" s="16" customFormat="1" ht="15.75">
      <c r="A1181" s="14"/>
      <c r="B1181" s="132" t="s">
        <v>403</v>
      </c>
      <c r="C1181" s="130" t="s">
        <v>406</v>
      </c>
      <c r="D1181" s="108" t="s">
        <v>342</v>
      </c>
      <c r="E1181" s="108" t="s">
        <v>62</v>
      </c>
      <c r="F1181" s="131" t="s">
        <v>715</v>
      </c>
      <c r="G1181" s="131" t="s">
        <v>404</v>
      </c>
      <c r="H1181" s="126">
        <f>H1182</f>
        <v>0</v>
      </c>
      <c r="I1181" s="178" t="str">
        <f t="shared" si="144"/>
        <v>611110208 1 03 11010610</v>
      </c>
      <c r="L1181" s="20">
        <v>9606.5</v>
      </c>
      <c r="M1181" s="20">
        <v>9606.5</v>
      </c>
      <c r="N1181" s="20">
        <v>9606.5</v>
      </c>
      <c r="O1181" s="20">
        <f t="shared" si="145"/>
        <v>-9606.5</v>
      </c>
      <c r="P1181" s="20" t="e">
        <f>#REF!-M1181</f>
        <v>#REF!</v>
      </c>
      <c r="Q1181" s="20" t="e">
        <f>#REF!-N1181</f>
        <v>#REF!</v>
      </c>
      <c r="R1181" s="17" t="str">
        <f t="shared" si="138"/>
        <v>08 1 03 11010610</v>
      </c>
    </row>
    <row r="1182" spans="1:18" s="23" customFormat="1" ht="63">
      <c r="A1182" s="21"/>
      <c r="B1182" s="127" t="s">
        <v>405</v>
      </c>
      <c r="C1182" s="130" t="s">
        <v>406</v>
      </c>
      <c r="D1182" s="108" t="s">
        <v>342</v>
      </c>
      <c r="E1182" s="108" t="s">
        <v>62</v>
      </c>
      <c r="F1182" s="131" t="s">
        <v>715</v>
      </c>
      <c r="G1182" s="108" t="s">
        <v>406</v>
      </c>
      <c r="H1182" s="126"/>
      <c r="I1182" s="178" t="str">
        <f t="shared" si="144"/>
        <v>611110208 1 03 11010611</v>
      </c>
      <c r="L1182" s="22"/>
      <c r="M1182" s="22"/>
      <c r="N1182" s="22"/>
      <c r="O1182" s="22"/>
      <c r="P1182" s="22"/>
      <c r="Q1182" s="22"/>
      <c r="R1182" s="24"/>
    </row>
    <row r="1183" spans="1:18" s="16" customFormat="1" ht="47.25">
      <c r="A1183" s="14"/>
      <c r="B1183" s="125" t="s">
        <v>716</v>
      </c>
      <c r="C1183" s="109" t="s">
        <v>406</v>
      </c>
      <c r="D1183" s="108" t="s">
        <v>342</v>
      </c>
      <c r="E1183" s="108" t="s">
        <v>62</v>
      </c>
      <c r="F1183" s="108" t="s">
        <v>717</v>
      </c>
      <c r="G1183" s="108" t="s">
        <v>9</v>
      </c>
      <c r="H1183" s="126">
        <f>H1184+H1190+H1194</f>
        <v>0</v>
      </c>
      <c r="I1183" s="178" t="str">
        <f t="shared" si="144"/>
        <v>611110208 2 00 00000000</v>
      </c>
      <c r="L1183" s="20">
        <v>5317.5</v>
      </c>
      <c r="M1183" s="20">
        <v>5317.5</v>
      </c>
      <c r="N1183" s="20">
        <v>5317.5</v>
      </c>
      <c r="O1183" s="20">
        <f>H1183-L1183</f>
        <v>-5317.5</v>
      </c>
      <c r="P1183" s="20" t="e">
        <f>#REF!-M1183</f>
        <v>#REF!</v>
      </c>
      <c r="Q1183" s="20" t="e">
        <f>#REF!-N1183</f>
        <v>#REF!</v>
      </c>
      <c r="R1183" s="17" t="str">
        <f t="shared" si="138"/>
        <v>08 2 00 00000000</v>
      </c>
    </row>
    <row r="1184" spans="1:18" s="16" customFormat="1" ht="47.25">
      <c r="A1184" s="14"/>
      <c r="B1184" s="125" t="s">
        <v>718</v>
      </c>
      <c r="C1184" s="109" t="s">
        <v>406</v>
      </c>
      <c r="D1184" s="108" t="s">
        <v>342</v>
      </c>
      <c r="E1184" s="108" t="s">
        <v>62</v>
      </c>
      <c r="F1184" s="108" t="s">
        <v>719</v>
      </c>
      <c r="G1184" s="108" t="s">
        <v>9</v>
      </c>
      <c r="H1184" s="126">
        <f>H1185</f>
        <v>0</v>
      </c>
      <c r="I1184" s="178" t="str">
        <f t="shared" si="144"/>
        <v>611110208 2 01 00000000</v>
      </c>
      <c r="L1184" s="20">
        <v>5250</v>
      </c>
      <c r="M1184" s="20">
        <v>5250</v>
      </c>
      <c r="N1184" s="20">
        <v>5250</v>
      </c>
      <c r="O1184" s="20">
        <f>H1184-L1184</f>
        <v>-5250</v>
      </c>
      <c r="P1184" s="20" t="e">
        <f>#REF!-M1184</f>
        <v>#REF!</v>
      </c>
      <c r="Q1184" s="20" t="e">
        <f>#REF!-N1184</f>
        <v>#REF!</v>
      </c>
      <c r="R1184" s="17" t="str">
        <f t="shared" si="138"/>
        <v>08 2 01 00000000</v>
      </c>
    </row>
    <row r="1185" spans="1:18" s="16" customFormat="1" ht="31.5">
      <c r="A1185" s="14"/>
      <c r="B1185" s="125" t="s">
        <v>720</v>
      </c>
      <c r="C1185" s="109" t="s">
        <v>406</v>
      </c>
      <c r="D1185" s="108" t="s">
        <v>342</v>
      </c>
      <c r="E1185" s="108" t="s">
        <v>62</v>
      </c>
      <c r="F1185" s="108" t="s">
        <v>721</v>
      </c>
      <c r="G1185" s="108" t="s">
        <v>9</v>
      </c>
      <c r="H1185" s="126">
        <f>H1188+H1186</f>
        <v>0</v>
      </c>
      <c r="I1185" s="178" t="str">
        <f t="shared" si="144"/>
        <v>611110208 2 01 20420000</v>
      </c>
      <c r="L1185" s="20">
        <v>5250</v>
      </c>
      <c r="M1185" s="20">
        <v>5250</v>
      </c>
      <c r="N1185" s="20">
        <v>5250</v>
      </c>
      <c r="O1185" s="20">
        <f>H1185-L1185</f>
        <v>-5250</v>
      </c>
      <c r="P1185" s="20" t="e">
        <f>#REF!-M1185</f>
        <v>#REF!</v>
      </c>
      <c r="Q1185" s="20" t="e">
        <f>#REF!-N1185</f>
        <v>#REF!</v>
      </c>
      <c r="R1185" s="17" t="str">
        <f t="shared" si="138"/>
        <v>08 2 01 20420000</v>
      </c>
    </row>
    <row r="1186" spans="1:18" s="16" customFormat="1" ht="15.75">
      <c r="A1186" s="14"/>
      <c r="B1186" s="125" t="s">
        <v>138</v>
      </c>
      <c r="C1186" s="109" t="s">
        <v>406</v>
      </c>
      <c r="D1186" s="108" t="s">
        <v>342</v>
      </c>
      <c r="E1186" s="108" t="s">
        <v>62</v>
      </c>
      <c r="F1186" s="108" t="s">
        <v>721</v>
      </c>
      <c r="G1186" s="108" t="s">
        <v>139</v>
      </c>
      <c r="H1186" s="126">
        <f>H1187</f>
        <v>0</v>
      </c>
      <c r="I1186" s="178" t="str">
        <f t="shared" si="144"/>
        <v>611110208 2 01 20420110</v>
      </c>
      <c r="L1186" s="20">
        <v>3250</v>
      </c>
      <c r="M1186" s="20">
        <v>3250</v>
      </c>
      <c r="N1186" s="20">
        <v>3250</v>
      </c>
      <c r="O1186" s="20">
        <f>H1186-L1186</f>
        <v>-3250</v>
      </c>
      <c r="P1186" s="20" t="e">
        <f>#REF!-M1186</f>
        <v>#REF!</v>
      </c>
      <c r="Q1186" s="20" t="e">
        <f>#REF!-N1186</f>
        <v>#REF!</v>
      </c>
      <c r="R1186" s="17" t="str">
        <f t="shared" si="138"/>
        <v>08 2 01 20420110</v>
      </c>
    </row>
    <row r="1187" spans="1:18" s="23" customFormat="1" ht="63">
      <c r="A1187" s="21"/>
      <c r="B1187" s="127" t="s">
        <v>144</v>
      </c>
      <c r="C1187" s="109" t="s">
        <v>406</v>
      </c>
      <c r="D1187" s="108" t="s">
        <v>342</v>
      </c>
      <c r="E1187" s="108" t="s">
        <v>62</v>
      </c>
      <c r="F1187" s="108" t="s">
        <v>721</v>
      </c>
      <c r="G1187" s="108" t="s">
        <v>722</v>
      </c>
      <c r="H1187" s="126"/>
      <c r="I1187" s="178" t="str">
        <f t="shared" si="144"/>
        <v>611110208 2 01 20420113</v>
      </c>
      <c r="L1187" s="22"/>
      <c r="M1187" s="22"/>
      <c r="N1187" s="22"/>
      <c r="O1187" s="22"/>
      <c r="P1187" s="22"/>
      <c r="Q1187" s="22"/>
      <c r="R1187" s="24"/>
    </row>
    <row r="1188" spans="1:18" s="16" customFormat="1" ht="31.5">
      <c r="A1188" s="14"/>
      <c r="B1188" s="125" t="s">
        <v>28</v>
      </c>
      <c r="C1188" s="109" t="s">
        <v>406</v>
      </c>
      <c r="D1188" s="108" t="s">
        <v>342</v>
      </c>
      <c r="E1188" s="108" t="s">
        <v>62</v>
      </c>
      <c r="F1188" s="108" t="s">
        <v>721</v>
      </c>
      <c r="G1188" s="108" t="s">
        <v>29</v>
      </c>
      <c r="H1188" s="126">
        <f>H1189</f>
        <v>0</v>
      </c>
      <c r="I1188" s="178" t="str">
        <f t="shared" si="144"/>
        <v>611110208 2 01 20420240</v>
      </c>
      <c r="L1188" s="20">
        <v>2000</v>
      </c>
      <c r="M1188" s="20">
        <v>2000</v>
      </c>
      <c r="N1188" s="20">
        <v>2000</v>
      </c>
      <c r="O1188" s="20">
        <f>H1188-L1188</f>
        <v>-2000</v>
      </c>
      <c r="P1188" s="20" t="e">
        <f>#REF!-M1188</f>
        <v>#REF!</v>
      </c>
      <c r="Q1188" s="20" t="e">
        <f>#REF!-N1188</f>
        <v>#REF!</v>
      </c>
      <c r="R1188" s="17" t="str">
        <f t="shared" si="138"/>
        <v>08 2 01 20420240</v>
      </c>
    </row>
    <row r="1189" spans="1:18" s="16" customFormat="1" ht="15.75">
      <c r="A1189" s="14"/>
      <c r="B1189" s="125" t="s">
        <v>30</v>
      </c>
      <c r="C1189" s="109" t="s">
        <v>406</v>
      </c>
      <c r="D1189" s="108" t="s">
        <v>342</v>
      </c>
      <c r="E1189" s="108" t="s">
        <v>62</v>
      </c>
      <c r="F1189" s="108" t="s">
        <v>721</v>
      </c>
      <c r="G1189" s="108" t="s">
        <v>31</v>
      </c>
      <c r="H1189" s="126"/>
      <c r="I1189" s="178" t="str">
        <f t="shared" si="144"/>
        <v>611110208 2 01 20420244</v>
      </c>
      <c r="L1189" s="20"/>
      <c r="M1189" s="20"/>
      <c r="N1189" s="20"/>
      <c r="O1189" s="20"/>
      <c r="P1189" s="20"/>
      <c r="Q1189" s="20"/>
      <c r="R1189" s="17"/>
    </row>
    <row r="1190" spans="1:18" s="16" customFormat="1" ht="47.25">
      <c r="A1190" s="14"/>
      <c r="B1190" s="140" t="s">
        <v>723</v>
      </c>
      <c r="C1190" s="109" t="s">
        <v>406</v>
      </c>
      <c r="D1190" s="108" t="s">
        <v>342</v>
      </c>
      <c r="E1190" s="108" t="s">
        <v>62</v>
      </c>
      <c r="F1190" s="108" t="s">
        <v>724</v>
      </c>
      <c r="G1190" s="108" t="s">
        <v>9</v>
      </c>
      <c r="H1190" s="126">
        <f>H1191</f>
        <v>0</v>
      </c>
      <c r="I1190" s="178" t="str">
        <f t="shared" si="144"/>
        <v>611110208 2 02 00000000</v>
      </c>
      <c r="L1190" s="20">
        <v>11.25</v>
      </c>
      <c r="M1190" s="20">
        <v>11.25</v>
      </c>
      <c r="N1190" s="20">
        <v>11.25</v>
      </c>
      <c r="O1190" s="20">
        <f>H1190-L1190</f>
        <v>-11.25</v>
      </c>
      <c r="P1190" s="20" t="e">
        <f>#REF!-M1190</f>
        <v>#REF!</v>
      </c>
      <c r="Q1190" s="20" t="e">
        <f>#REF!-N1190</f>
        <v>#REF!</v>
      </c>
      <c r="R1190" s="17" t="str">
        <f t="shared" si="138"/>
        <v>08 2 02 00000000</v>
      </c>
    </row>
    <row r="1191" spans="1:18" s="16" customFormat="1" ht="15.75">
      <c r="A1191" s="14"/>
      <c r="B1191" s="127" t="s">
        <v>725</v>
      </c>
      <c r="C1191" s="109" t="s">
        <v>406</v>
      </c>
      <c r="D1191" s="108" t="s">
        <v>342</v>
      </c>
      <c r="E1191" s="108" t="s">
        <v>62</v>
      </c>
      <c r="F1191" s="108" t="s">
        <v>726</v>
      </c>
      <c r="G1191" s="108" t="s">
        <v>9</v>
      </c>
      <c r="H1191" s="126">
        <f>H1192</f>
        <v>0</v>
      </c>
      <c r="I1191" s="178" t="str">
        <f t="shared" si="144"/>
        <v>611110208 2 02 20440000</v>
      </c>
      <c r="L1191" s="20">
        <v>11.25</v>
      </c>
      <c r="M1191" s="20">
        <v>11.25</v>
      </c>
      <c r="N1191" s="20">
        <v>11.25</v>
      </c>
      <c r="O1191" s="20">
        <f>H1191-L1191</f>
        <v>-11.25</v>
      </c>
      <c r="P1191" s="20" t="e">
        <f>#REF!-M1191</f>
        <v>#REF!</v>
      </c>
      <c r="Q1191" s="20" t="e">
        <f>#REF!-N1191</f>
        <v>#REF!</v>
      </c>
      <c r="R1191" s="17" t="str">
        <f t="shared" si="138"/>
        <v>08 2 02 20440000</v>
      </c>
    </row>
    <row r="1192" spans="1:18" s="16" customFormat="1" ht="31.5">
      <c r="A1192" s="14"/>
      <c r="B1192" s="125" t="s">
        <v>28</v>
      </c>
      <c r="C1192" s="109" t="s">
        <v>406</v>
      </c>
      <c r="D1192" s="108" t="s">
        <v>342</v>
      </c>
      <c r="E1192" s="108" t="s">
        <v>62</v>
      </c>
      <c r="F1192" s="108" t="s">
        <v>726</v>
      </c>
      <c r="G1192" s="108" t="s">
        <v>29</v>
      </c>
      <c r="H1192" s="126">
        <f>H1193</f>
        <v>0</v>
      </c>
      <c r="I1192" s="178" t="str">
        <f t="shared" si="144"/>
        <v>611110208 2 02 20440240</v>
      </c>
      <c r="L1192" s="20">
        <v>11.25</v>
      </c>
      <c r="M1192" s="20">
        <v>11.25</v>
      </c>
      <c r="N1192" s="20">
        <v>11.25</v>
      </c>
      <c r="O1192" s="20">
        <f>H1192-L1192</f>
        <v>-11.25</v>
      </c>
      <c r="P1192" s="20" t="e">
        <f>#REF!-M1192</f>
        <v>#REF!</v>
      </c>
      <c r="Q1192" s="20" t="e">
        <f>#REF!-N1192</f>
        <v>#REF!</v>
      </c>
      <c r="R1192" s="17" t="str">
        <f t="shared" si="138"/>
        <v>08 2 02 20440240</v>
      </c>
    </row>
    <row r="1193" spans="1:18" s="16" customFormat="1" ht="15.75">
      <c r="A1193" s="14"/>
      <c r="B1193" s="125" t="s">
        <v>30</v>
      </c>
      <c r="C1193" s="109" t="s">
        <v>406</v>
      </c>
      <c r="D1193" s="108" t="s">
        <v>342</v>
      </c>
      <c r="E1193" s="108" t="s">
        <v>62</v>
      </c>
      <c r="F1193" s="108" t="s">
        <v>726</v>
      </c>
      <c r="G1193" s="108" t="s">
        <v>31</v>
      </c>
      <c r="H1193" s="126"/>
      <c r="I1193" s="178" t="str">
        <f t="shared" si="144"/>
        <v>611110208 2 02 20440244</v>
      </c>
      <c r="L1193" s="20"/>
      <c r="M1193" s="20"/>
      <c r="N1193" s="20"/>
      <c r="O1193" s="20"/>
      <c r="P1193" s="20"/>
      <c r="Q1193" s="20"/>
      <c r="R1193" s="17"/>
    </row>
    <row r="1194" spans="1:18" s="16" customFormat="1" ht="63">
      <c r="A1194" s="14"/>
      <c r="B1194" s="140" t="s">
        <v>727</v>
      </c>
      <c r="C1194" s="109" t="s">
        <v>406</v>
      </c>
      <c r="D1194" s="108" t="s">
        <v>342</v>
      </c>
      <c r="E1194" s="108" t="s">
        <v>62</v>
      </c>
      <c r="F1194" s="108" t="s">
        <v>728</v>
      </c>
      <c r="G1194" s="108" t="s">
        <v>9</v>
      </c>
      <c r="H1194" s="126">
        <f t="shared" ref="H1194" si="148">H1195</f>
        <v>0</v>
      </c>
      <c r="I1194" s="178" t="str">
        <f t="shared" si="144"/>
        <v>611110208 2 03 00000000</v>
      </c>
      <c r="L1194" s="20">
        <v>56.25</v>
      </c>
      <c r="M1194" s="20">
        <v>56.25</v>
      </c>
      <c r="N1194" s="20">
        <v>56.25</v>
      </c>
      <c r="O1194" s="20">
        <f>H1194-L1194</f>
        <v>-56.25</v>
      </c>
      <c r="P1194" s="20" t="e">
        <f>#REF!-M1194</f>
        <v>#REF!</v>
      </c>
      <c r="Q1194" s="20" t="e">
        <f>#REF!-N1194</f>
        <v>#REF!</v>
      </c>
      <c r="R1194" s="17" t="str">
        <f t="shared" si="138"/>
        <v>08 2 03 00000000</v>
      </c>
    </row>
    <row r="1195" spans="1:18" s="16" customFormat="1" ht="31.5">
      <c r="A1195" s="14"/>
      <c r="B1195" s="127" t="s">
        <v>729</v>
      </c>
      <c r="C1195" s="109" t="s">
        <v>406</v>
      </c>
      <c r="D1195" s="108" t="s">
        <v>342</v>
      </c>
      <c r="E1195" s="108" t="s">
        <v>62</v>
      </c>
      <c r="F1195" s="108" t="s">
        <v>730</v>
      </c>
      <c r="G1195" s="108" t="s">
        <v>9</v>
      </c>
      <c r="H1195" s="126">
        <f>H1196</f>
        <v>0</v>
      </c>
      <c r="I1195" s="178" t="str">
        <f t="shared" si="144"/>
        <v>611110208 2 03 21060000</v>
      </c>
      <c r="L1195" s="20">
        <v>56.25</v>
      </c>
      <c r="M1195" s="20">
        <v>56.25</v>
      </c>
      <c r="N1195" s="20">
        <v>56.25</v>
      </c>
      <c r="O1195" s="20">
        <f>H1195-L1195</f>
        <v>-56.25</v>
      </c>
      <c r="P1195" s="20" t="e">
        <f>#REF!-M1195</f>
        <v>#REF!</v>
      </c>
      <c r="Q1195" s="20" t="e">
        <f>#REF!-N1195</f>
        <v>#REF!</v>
      </c>
      <c r="R1195" s="17" t="str">
        <f t="shared" si="138"/>
        <v>08 2 03 21060000</v>
      </c>
    </row>
    <row r="1196" spans="1:18" s="16" customFormat="1" ht="31.5">
      <c r="A1196" s="14"/>
      <c r="B1196" s="125" t="s">
        <v>28</v>
      </c>
      <c r="C1196" s="109" t="s">
        <v>406</v>
      </c>
      <c r="D1196" s="108" t="s">
        <v>342</v>
      </c>
      <c r="E1196" s="108" t="s">
        <v>62</v>
      </c>
      <c r="F1196" s="108" t="s">
        <v>730</v>
      </c>
      <c r="G1196" s="108" t="s">
        <v>29</v>
      </c>
      <c r="H1196" s="126">
        <f>H1197</f>
        <v>0</v>
      </c>
      <c r="I1196" s="178" t="str">
        <f t="shared" si="144"/>
        <v>611110208 2 03 21060240</v>
      </c>
      <c r="L1196" s="20">
        <v>56.25</v>
      </c>
      <c r="M1196" s="20">
        <v>56.25</v>
      </c>
      <c r="N1196" s="20">
        <v>56.25</v>
      </c>
      <c r="O1196" s="20">
        <f>H1196-L1196</f>
        <v>-56.25</v>
      </c>
      <c r="P1196" s="20" t="e">
        <f>#REF!-M1196</f>
        <v>#REF!</v>
      </c>
      <c r="Q1196" s="20" t="e">
        <f>#REF!-N1196</f>
        <v>#REF!</v>
      </c>
      <c r="R1196" s="17" t="str">
        <f t="shared" si="138"/>
        <v>08 2 03 21060240</v>
      </c>
    </row>
    <row r="1197" spans="1:18" s="16" customFormat="1" ht="15.75">
      <c r="A1197" s="14"/>
      <c r="B1197" s="125" t="s">
        <v>30</v>
      </c>
      <c r="C1197" s="109" t="s">
        <v>406</v>
      </c>
      <c r="D1197" s="108" t="s">
        <v>342</v>
      </c>
      <c r="E1197" s="108" t="s">
        <v>62</v>
      </c>
      <c r="F1197" s="108" t="s">
        <v>730</v>
      </c>
      <c r="G1197" s="108" t="s">
        <v>31</v>
      </c>
      <c r="H1197" s="126"/>
      <c r="I1197" s="178" t="str">
        <f t="shared" si="144"/>
        <v>611110208 2 03 21060244</v>
      </c>
      <c r="L1197" s="20"/>
      <c r="M1197" s="20"/>
      <c r="N1197" s="20"/>
      <c r="O1197" s="20"/>
      <c r="P1197" s="20"/>
      <c r="Q1197" s="20"/>
      <c r="R1197" s="17"/>
    </row>
    <row r="1198" spans="1:18" s="16" customFormat="1" ht="15.75">
      <c r="A1198" s="14"/>
      <c r="B1198" s="121" t="s">
        <v>731</v>
      </c>
      <c r="C1198" s="122" t="s">
        <v>406</v>
      </c>
      <c r="D1198" s="123" t="s">
        <v>342</v>
      </c>
      <c r="E1198" s="123" t="s">
        <v>13</v>
      </c>
      <c r="F1198" s="123" t="s">
        <v>8</v>
      </c>
      <c r="G1198" s="123" t="s">
        <v>9</v>
      </c>
      <c r="H1198" s="124">
        <f>H1199</f>
        <v>0</v>
      </c>
      <c r="I1198" s="178" t="str">
        <f t="shared" si="144"/>
        <v>611110300 0 00 00000000</v>
      </c>
      <c r="L1198" s="19">
        <v>1500</v>
      </c>
      <c r="M1198" s="19">
        <v>0</v>
      </c>
      <c r="N1198" s="19">
        <v>0</v>
      </c>
      <c r="O1198" s="19">
        <f t="shared" ref="O1198:O1203" si="149">H1198-L1198</f>
        <v>-1500</v>
      </c>
      <c r="P1198" s="19" t="e">
        <f>#REF!-M1198</f>
        <v>#REF!</v>
      </c>
      <c r="Q1198" s="19" t="e">
        <f>#REF!-N1198</f>
        <v>#REF!</v>
      </c>
      <c r="R1198" s="17" t="str">
        <f t="shared" si="138"/>
        <v>00 0 00 00000000</v>
      </c>
    </row>
    <row r="1199" spans="1:18" s="16" customFormat="1" ht="31.5">
      <c r="A1199" s="14"/>
      <c r="B1199" s="125" t="s">
        <v>700</v>
      </c>
      <c r="C1199" s="109" t="s">
        <v>406</v>
      </c>
      <c r="D1199" s="108" t="s">
        <v>342</v>
      </c>
      <c r="E1199" s="108" t="s">
        <v>13</v>
      </c>
      <c r="F1199" s="108" t="s">
        <v>701</v>
      </c>
      <c r="G1199" s="108" t="s">
        <v>9</v>
      </c>
      <c r="H1199" s="126">
        <f t="shared" ref="H1199:H1202" si="150">H1200</f>
        <v>0</v>
      </c>
      <c r="I1199" s="178" t="str">
        <f t="shared" si="144"/>
        <v>611110308 0 00 00000000</v>
      </c>
      <c r="L1199" s="20">
        <v>1500</v>
      </c>
      <c r="M1199" s="20">
        <v>0</v>
      </c>
      <c r="N1199" s="20">
        <v>0</v>
      </c>
      <c r="O1199" s="20">
        <f t="shared" si="149"/>
        <v>-1500</v>
      </c>
      <c r="P1199" s="20" t="e">
        <f>#REF!-M1199</f>
        <v>#REF!</v>
      </c>
      <c r="Q1199" s="20" t="e">
        <f>#REF!-N1199</f>
        <v>#REF!</v>
      </c>
      <c r="R1199" s="17" t="str">
        <f t="shared" si="138"/>
        <v>08 0 00 00000000</v>
      </c>
    </row>
    <row r="1200" spans="1:18" s="16" customFormat="1" ht="47.25">
      <c r="A1200" s="14"/>
      <c r="B1200" s="125" t="s">
        <v>716</v>
      </c>
      <c r="C1200" s="109" t="s">
        <v>406</v>
      </c>
      <c r="D1200" s="108" t="s">
        <v>342</v>
      </c>
      <c r="E1200" s="108" t="s">
        <v>13</v>
      </c>
      <c r="F1200" s="108" t="s">
        <v>717</v>
      </c>
      <c r="G1200" s="108" t="s">
        <v>9</v>
      </c>
      <c r="H1200" s="126">
        <f>H1201</f>
        <v>0</v>
      </c>
      <c r="I1200" s="178" t="str">
        <f t="shared" si="144"/>
        <v>611110308 2 00 00000000</v>
      </c>
      <c r="L1200" s="20">
        <v>1500</v>
      </c>
      <c r="M1200" s="20">
        <v>0</v>
      </c>
      <c r="N1200" s="20">
        <v>0</v>
      </c>
      <c r="O1200" s="20">
        <f t="shared" si="149"/>
        <v>-1500</v>
      </c>
      <c r="P1200" s="20" t="e">
        <f>#REF!-M1200</f>
        <v>#REF!</v>
      </c>
      <c r="Q1200" s="20" t="e">
        <f>#REF!-N1200</f>
        <v>#REF!</v>
      </c>
      <c r="R1200" s="17" t="str">
        <f t="shared" si="138"/>
        <v>08 2 00 00000000</v>
      </c>
    </row>
    <row r="1201" spans="1:18" s="16" customFormat="1" ht="63">
      <c r="A1201" s="14"/>
      <c r="B1201" s="125" t="s">
        <v>732</v>
      </c>
      <c r="C1201" s="109" t="s">
        <v>406</v>
      </c>
      <c r="D1201" s="108" t="s">
        <v>342</v>
      </c>
      <c r="E1201" s="108" t="s">
        <v>13</v>
      </c>
      <c r="F1201" s="108" t="s">
        <v>733</v>
      </c>
      <c r="G1201" s="108" t="s">
        <v>9</v>
      </c>
      <c r="H1201" s="126">
        <f>H1202</f>
        <v>0</v>
      </c>
      <c r="I1201" s="178" t="str">
        <f t="shared" si="144"/>
        <v>611110308 2 04 00000000</v>
      </c>
      <c r="L1201" s="20">
        <v>1500</v>
      </c>
      <c r="M1201" s="20">
        <v>0</v>
      </c>
      <c r="N1201" s="20">
        <v>0</v>
      </c>
      <c r="O1201" s="20">
        <f t="shared" si="149"/>
        <v>-1500</v>
      </c>
      <c r="P1201" s="20" t="e">
        <f>#REF!-M1201</f>
        <v>#REF!</v>
      </c>
      <c r="Q1201" s="20" t="e">
        <f>#REF!-N1201</f>
        <v>#REF!</v>
      </c>
      <c r="R1201" s="17" t="str">
        <f t="shared" si="138"/>
        <v>08 2 04 00000000</v>
      </c>
    </row>
    <row r="1202" spans="1:18" s="16" customFormat="1" ht="78.75">
      <c r="A1202" s="14"/>
      <c r="B1202" s="125" t="s">
        <v>734</v>
      </c>
      <c r="C1202" s="109" t="s">
        <v>406</v>
      </c>
      <c r="D1202" s="108" t="s">
        <v>342</v>
      </c>
      <c r="E1202" s="108" t="s">
        <v>13</v>
      </c>
      <c r="F1202" s="108" t="s">
        <v>735</v>
      </c>
      <c r="G1202" s="108" t="s">
        <v>9</v>
      </c>
      <c r="H1202" s="126">
        <f t="shared" si="150"/>
        <v>0</v>
      </c>
      <c r="I1202" s="178" t="str">
        <f t="shared" si="144"/>
        <v>611110308 2 04 60120000</v>
      </c>
      <c r="L1202" s="20">
        <v>1500</v>
      </c>
      <c r="M1202" s="20">
        <v>0</v>
      </c>
      <c r="N1202" s="20">
        <v>0</v>
      </c>
      <c r="O1202" s="20">
        <f t="shared" si="149"/>
        <v>-1500</v>
      </c>
      <c r="P1202" s="20" t="e">
        <f>#REF!-M1202</f>
        <v>#REF!</v>
      </c>
      <c r="Q1202" s="20" t="e">
        <f>#REF!-N1202</f>
        <v>#REF!</v>
      </c>
      <c r="R1202" s="17" t="str">
        <f t="shared" si="138"/>
        <v>08 2 04 60120000</v>
      </c>
    </row>
    <row r="1203" spans="1:18" s="16" customFormat="1" ht="47.25">
      <c r="A1203" s="14"/>
      <c r="B1203" s="125" t="s">
        <v>182</v>
      </c>
      <c r="C1203" s="109" t="s">
        <v>406</v>
      </c>
      <c r="D1203" s="108" t="s">
        <v>342</v>
      </c>
      <c r="E1203" s="108" t="s">
        <v>13</v>
      </c>
      <c r="F1203" s="108" t="s">
        <v>735</v>
      </c>
      <c r="G1203" s="108" t="s">
        <v>183</v>
      </c>
      <c r="H1203" s="126">
        <f>H1204</f>
        <v>0</v>
      </c>
      <c r="I1203" s="178" t="str">
        <f t="shared" si="144"/>
        <v>611110308 2 04 60120630</v>
      </c>
      <c r="L1203" s="20">
        <v>1500</v>
      </c>
      <c r="M1203" s="20">
        <v>0</v>
      </c>
      <c r="N1203" s="20">
        <v>0</v>
      </c>
      <c r="O1203" s="20">
        <f t="shared" si="149"/>
        <v>-1500</v>
      </c>
      <c r="P1203" s="20" t="e">
        <f>#REF!-M1203</f>
        <v>#REF!</v>
      </c>
      <c r="Q1203" s="20" t="e">
        <f>#REF!-N1203</f>
        <v>#REF!</v>
      </c>
      <c r="R1203" s="17" t="str">
        <f t="shared" si="138"/>
        <v>08 2 04 60120630</v>
      </c>
    </row>
    <row r="1204" spans="1:18" s="16" customFormat="1" ht="47.25">
      <c r="A1204" s="14"/>
      <c r="B1204" s="125" t="s">
        <v>736</v>
      </c>
      <c r="C1204" s="109" t="s">
        <v>406</v>
      </c>
      <c r="D1204" s="108" t="s">
        <v>342</v>
      </c>
      <c r="E1204" s="108" t="s">
        <v>13</v>
      </c>
      <c r="F1204" s="108" t="s">
        <v>735</v>
      </c>
      <c r="G1204" s="108" t="s">
        <v>214</v>
      </c>
      <c r="H1204" s="126"/>
      <c r="I1204" s="178" t="str">
        <f t="shared" si="144"/>
        <v>611110308 2 04 60120634</v>
      </c>
      <c r="L1204" s="20"/>
      <c r="M1204" s="20"/>
      <c r="N1204" s="20"/>
      <c r="O1204" s="20"/>
      <c r="P1204" s="20"/>
      <c r="Q1204" s="20"/>
      <c r="R1204" s="17"/>
    </row>
    <row r="1205" spans="1:18" s="16" customFormat="1" ht="31.5">
      <c r="A1205" s="14"/>
      <c r="B1205" s="121" t="s">
        <v>737</v>
      </c>
      <c r="C1205" s="122" t="s">
        <v>406</v>
      </c>
      <c r="D1205" s="123" t="s">
        <v>342</v>
      </c>
      <c r="E1205" s="123" t="s">
        <v>86</v>
      </c>
      <c r="F1205" s="123" t="s">
        <v>8</v>
      </c>
      <c r="G1205" s="123" t="s">
        <v>9</v>
      </c>
      <c r="H1205" s="124">
        <f t="shared" ref="H1205" si="151">H1206</f>
        <v>0</v>
      </c>
      <c r="I1205" s="178" t="str">
        <f t="shared" si="144"/>
        <v>611110500 0 00 00000000</v>
      </c>
      <c r="L1205" s="19">
        <v>16961.150000000001</v>
      </c>
      <c r="M1205" s="19">
        <v>16961.150000000001</v>
      </c>
      <c r="N1205" s="19">
        <v>16961.150000000001</v>
      </c>
      <c r="O1205" s="19">
        <f>H1205-L1205</f>
        <v>-16961.150000000001</v>
      </c>
      <c r="P1205" s="19" t="e">
        <f>#REF!-M1205</f>
        <v>#REF!</v>
      </c>
      <c r="Q1205" s="19" t="e">
        <f>#REF!-N1205</f>
        <v>#REF!</v>
      </c>
      <c r="R1205" s="17" t="str">
        <f t="shared" si="138"/>
        <v>00 0 00 00000000</v>
      </c>
    </row>
    <row r="1206" spans="1:18" s="16" customFormat="1" ht="31.5">
      <c r="A1206" s="14"/>
      <c r="B1206" s="125" t="s">
        <v>738</v>
      </c>
      <c r="C1206" s="109" t="s">
        <v>406</v>
      </c>
      <c r="D1206" s="108" t="s">
        <v>342</v>
      </c>
      <c r="E1206" s="108" t="s">
        <v>86</v>
      </c>
      <c r="F1206" s="108" t="s">
        <v>739</v>
      </c>
      <c r="G1206" s="108" t="s">
        <v>9</v>
      </c>
      <c r="H1206" s="126">
        <f>H1207</f>
        <v>0</v>
      </c>
      <c r="I1206" s="178" t="str">
        <f t="shared" si="144"/>
        <v>611110578 0 00 00000000</v>
      </c>
      <c r="L1206" s="20">
        <v>16961.150000000001</v>
      </c>
      <c r="M1206" s="20">
        <v>16961.150000000001</v>
      </c>
      <c r="N1206" s="20">
        <v>16961.150000000001</v>
      </c>
      <c r="O1206" s="20">
        <f>H1206-L1206</f>
        <v>-16961.150000000001</v>
      </c>
      <c r="P1206" s="20" t="e">
        <f>#REF!-M1206</f>
        <v>#REF!</v>
      </c>
      <c r="Q1206" s="20" t="e">
        <f>#REF!-N1206</f>
        <v>#REF!</v>
      </c>
      <c r="R1206" s="17" t="str">
        <f t="shared" si="138"/>
        <v>78 0 00 00000000</v>
      </c>
    </row>
    <row r="1207" spans="1:18" s="16" customFormat="1" ht="47.25">
      <c r="A1207" s="14"/>
      <c r="B1207" s="125" t="s">
        <v>740</v>
      </c>
      <c r="C1207" s="109" t="s">
        <v>406</v>
      </c>
      <c r="D1207" s="108" t="s">
        <v>342</v>
      </c>
      <c r="E1207" s="108" t="s">
        <v>86</v>
      </c>
      <c r="F1207" s="108" t="s">
        <v>741</v>
      </c>
      <c r="G1207" s="108" t="s">
        <v>9</v>
      </c>
      <c r="H1207" s="126">
        <f>H1208+H1217+H1221</f>
        <v>0</v>
      </c>
      <c r="I1207" s="178" t="str">
        <f t="shared" si="144"/>
        <v>611110578 1 00 00000000</v>
      </c>
      <c r="L1207" s="20">
        <v>16961.150000000001</v>
      </c>
      <c r="M1207" s="20">
        <v>16961.150000000001</v>
      </c>
      <c r="N1207" s="20">
        <v>16961.150000000001</v>
      </c>
      <c r="O1207" s="20">
        <f>H1207-L1207</f>
        <v>-16961.150000000001</v>
      </c>
      <c r="P1207" s="20" t="e">
        <f>#REF!-M1207</f>
        <v>#REF!</v>
      </c>
      <c r="Q1207" s="20" t="e">
        <f>#REF!-N1207</f>
        <v>#REF!</v>
      </c>
      <c r="R1207" s="17" t="str">
        <f t="shared" si="138"/>
        <v>78 1 00 00000000</v>
      </c>
    </row>
    <row r="1208" spans="1:18" s="16" customFormat="1" ht="31.5">
      <c r="A1208" s="14"/>
      <c r="B1208" s="125" t="s">
        <v>18</v>
      </c>
      <c r="C1208" s="109" t="s">
        <v>406</v>
      </c>
      <c r="D1208" s="108" t="s">
        <v>342</v>
      </c>
      <c r="E1208" s="108" t="s">
        <v>86</v>
      </c>
      <c r="F1208" s="108" t="s">
        <v>742</v>
      </c>
      <c r="G1208" s="108" t="s">
        <v>9</v>
      </c>
      <c r="H1208" s="126">
        <f>H1209+H1212+H1214</f>
        <v>0</v>
      </c>
      <c r="I1208" s="178" t="str">
        <f t="shared" si="144"/>
        <v>611110578 1 00 10010000</v>
      </c>
      <c r="L1208" s="20">
        <v>778.21</v>
      </c>
      <c r="M1208" s="20">
        <v>778.21</v>
      </c>
      <c r="N1208" s="20">
        <v>778.21</v>
      </c>
      <c r="O1208" s="20">
        <f>H1208-L1208</f>
        <v>-778.21</v>
      </c>
      <c r="P1208" s="20" t="e">
        <f>#REF!-M1208</f>
        <v>#REF!</v>
      </c>
      <c r="Q1208" s="20" t="e">
        <f>#REF!-N1208</f>
        <v>#REF!</v>
      </c>
      <c r="R1208" s="17" t="str">
        <f t="shared" si="138"/>
        <v>78 1 00 10010000</v>
      </c>
    </row>
    <row r="1209" spans="1:18" s="16" customFormat="1" ht="31.5">
      <c r="A1209" s="14"/>
      <c r="B1209" s="127" t="s">
        <v>20</v>
      </c>
      <c r="C1209" s="109" t="s">
        <v>406</v>
      </c>
      <c r="D1209" s="108" t="s">
        <v>342</v>
      </c>
      <c r="E1209" s="108" t="s">
        <v>86</v>
      </c>
      <c r="F1209" s="108" t="s">
        <v>742</v>
      </c>
      <c r="G1209" s="108" t="s">
        <v>21</v>
      </c>
      <c r="H1209" s="126">
        <f>SUM(H1210:H1211)</f>
        <v>0</v>
      </c>
      <c r="I1209" s="178" t="str">
        <f t="shared" si="144"/>
        <v>611110578 1 00 10010120</v>
      </c>
      <c r="L1209" s="20">
        <v>202.21</v>
      </c>
      <c r="M1209" s="20">
        <v>202.21</v>
      </c>
      <c r="N1209" s="20">
        <v>202.21</v>
      </c>
      <c r="O1209" s="20">
        <f>H1209-L1209</f>
        <v>-202.21</v>
      </c>
      <c r="P1209" s="20" t="e">
        <f>#REF!-M1209</f>
        <v>#REF!</v>
      </c>
      <c r="Q1209" s="20" t="e">
        <f>#REF!-N1209</f>
        <v>#REF!</v>
      </c>
      <c r="R1209" s="17" t="str">
        <f t="shared" si="138"/>
        <v>78 1 00 10010120</v>
      </c>
    </row>
    <row r="1210" spans="1:18" s="23" customFormat="1" ht="47.25">
      <c r="A1210" s="21"/>
      <c r="B1210" s="127" t="s">
        <v>22</v>
      </c>
      <c r="C1210" s="109" t="s">
        <v>406</v>
      </c>
      <c r="D1210" s="108" t="s">
        <v>342</v>
      </c>
      <c r="E1210" s="108" t="s">
        <v>86</v>
      </c>
      <c r="F1210" s="108" t="s">
        <v>742</v>
      </c>
      <c r="G1210" s="108" t="s">
        <v>23</v>
      </c>
      <c r="H1210" s="126"/>
      <c r="I1210" s="178" t="str">
        <f t="shared" si="144"/>
        <v>611110578 1 00 10010122</v>
      </c>
      <c r="L1210" s="22"/>
      <c r="M1210" s="22"/>
      <c r="N1210" s="22"/>
      <c r="O1210" s="22"/>
      <c r="P1210" s="22"/>
      <c r="Q1210" s="22"/>
      <c r="R1210" s="24"/>
    </row>
    <row r="1211" spans="1:18" s="23" customFormat="1" ht="63">
      <c r="A1211" s="21"/>
      <c r="B1211" s="127" t="s">
        <v>26</v>
      </c>
      <c r="C1211" s="109" t="s">
        <v>406</v>
      </c>
      <c r="D1211" s="108" t="s">
        <v>342</v>
      </c>
      <c r="E1211" s="108" t="s">
        <v>86</v>
      </c>
      <c r="F1211" s="108" t="s">
        <v>742</v>
      </c>
      <c r="G1211" s="108" t="s">
        <v>27</v>
      </c>
      <c r="H1211" s="126"/>
      <c r="I1211" s="178" t="str">
        <f t="shared" si="144"/>
        <v>611110578 1 00 10010129</v>
      </c>
      <c r="L1211" s="22"/>
      <c r="M1211" s="22"/>
      <c r="N1211" s="22"/>
      <c r="O1211" s="22"/>
      <c r="P1211" s="22"/>
      <c r="Q1211" s="22"/>
      <c r="R1211" s="24"/>
    </row>
    <row r="1212" spans="1:18" s="16" customFormat="1" ht="31.5">
      <c r="A1212" s="14"/>
      <c r="B1212" s="125" t="s">
        <v>28</v>
      </c>
      <c r="C1212" s="109" t="s">
        <v>406</v>
      </c>
      <c r="D1212" s="108" t="s">
        <v>342</v>
      </c>
      <c r="E1212" s="108" t="s">
        <v>86</v>
      </c>
      <c r="F1212" s="108" t="s">
        <v>742</v>
      </c>
      <c r="G1212" s="108" t="s">
        <v>29</v>
      </c>
      <c r="H1212" s="126">
        <f>H1213</f>
        <v>0</v>
      </c>
      <c r="I1212" s="178" t="str">
        <f t="shared" si="144"/>
        <v>611110578 1 00 10010240</v>
      </c>
      <c r="L1212" s="20">
        <v>568</v>
      </c>
      <c r="M1212" s="20">
        <v>568</v>
      </c>
      <c r="N1212" s="20">
        <v>568</v>
      </c>
      <c r="O1212" s="20">
        <f>H1212-L1212</f>
        <v>-568</v>
      </c>
      <c r="P1212" s="20" t="e">
        <f>#REF!-M1212</f>
        <v>#REF!</v>
      </c>
      <c r="Q1212" s="20" t="e">
        <f>#REF!-N1212</f>
        <v>#REF!</v>
      </c>
      <c r="R1212" s="17" t="str">
        <f t="shared" si="138"/>
        <v>78 1 00 10010240</v>
      </c>
    </row>
    <row r="1213" spans="1:18" s="16" customFormat="1" ht="15.75">
      <c r="A1213" s="14"/>
      <c r="B1213" s="125" t="s">
        <v>30</v>
      </c>
      <c r="C1213" s="109" t="s">
        <v>406</v>
      </c>
      <c r="D1213" s="108" t="s">
        <v>342</v>
      </c>
      <c r="E1213" s="108" t="s">
        <v>86</v>
      </c>
      <c r="F1213" s="108" t="s">
        <v>742</v>
      </c>
      <c r="G1213" s="108" t="s">
        <v>31</v>
      </c>
      <c r="H1213" s="126"/>
      <c r="I1213" s="178" t="str">
        <f t="shared" si="144"/>
        <v>611110578 1 00 10010244</v>
      </c>
      <c r="L1213" s="20"/>
      <c r="M1213" s="20"/>
      <c r="N1213" s="20"/>
      <c r="O1213" s="20"/>
      <c r="P1213" s="20"/>
      <c r="Q1213" s="20"/>
      <c r="R1213" s="17"/>
    </row>
    <row r="1214" spans="1:18" s="16" customFormat="1" ht="15.75">
      <c r="A1214" s="14"/>
      <c r="B1214" s="125" t="s">
        <v>32</v>
      </c>
      <c r="C1214" s="109" t="s">
        <v>406</v>
      </c>
      <c r="D1214" s="108" t="s">
        <v>342</v>
      </c>
      <c r="E1214" s="108" t="s">
        <v>86</v>
      </c>
      <c r="F1214" s="108" t="s">
        <v>742</v>
      </c>
      <c r="G1214" s="108" t="s">
        <v>33</v>
      </c>
      <c r="H1214" s="126">
        <f>SUM(H1215:H1216)</f>
        <v>0</v>
      </c>
      <c r="I1214" s="178" t="str">
        <f t="shared" si="144"/>
        <v>611110578 1 00 10010850</v>
      </c>
      <c r="L1214" s="20">
        <v>8</v>
      </c>
      <c r="M1214" s="20">
        <v>8</v>
      </c>
      <c r="N1214" s="20">
        <v>8</v>
      </c>
      <c r="O1214" s="20">
        <f>H1214-L1214</f>
        <v>-8</v>
      </c>
      <c r="P1214" s="20" t="e">
        <f>#REF!-M1214</f>
        <v>#REF!</v>
      </c>
      <c r="Q1214" s="20" t="e">
        <f>#REF!-N1214</f>
        <v>#REF!</v>
      </c>
      <c r="R1214" s="17" t="str">
        <f t="shared" si="138"/>
        <v>78 1 00 10010850</v>
      </c>
    </row>
    <row r="1215" spans="1:18" s="23" customFormat="1" ht="31.5">
      <c r="A1215" s="21"/>
      <c r="B1215" s="127" t="s">
        <v>34</v>
      </c>
      <c r="C1215" s="109" t="s">
        <v>406</v>
      </c>
      <c r="D1215" s="108" t="s">
        <v>342</v>
      </c>
      <c r="E1215" s="108" t="s">
        <v>86</v>
      </c>
      <c r="F1215" s="108" t="s">
        <v>742</v>
      </c>
      <c r="G1215" s="108" t="s">
        <v>35</v>
      </c>
      <c r="H1215" s="126"/>
      <c r="I1215" s="178" t="str">
        <f t="shared" si="144"/>
        <v>611110578 1 00 10010851</v>
      </c>
      <c r="L1215" s="22"/>
      <c r="M1215" s="22"/>
      <c r="N1215" s="22"/>
      <c r="O1215" s="22"/>
      <c r="P1215" s="22"/>
      <c r="Q1215" s="22"/>
      <c r="R1215" s="24"/>
    </row>
    <row r="1216" spans="1:18" s="23" customFormat="1" ht="15.75">
      <c r="A1216" s="21"/>
      <c r="B1216" s="127" t="s">
        <v>36</v>
      </c>
      <c r="C1216" s="109" t="s">
        <v>406</v>
      </c>
      <c r="D1216" s="108" t="s">
        <v>342</v>
      </c>
      <c r="E1216" s="108" t="s">
        <v>86</v>
      </c>
      <c r="F1216" s="108" t="s">
        <v>742</v>
      </c>
      <c r="G1216" s="108" t="s">
        <v>37</v>
      </c>
      <c r="H1216" s="126"/>
      <c r="I1216" s="178" t="str">
        <f t="shared" si="144"/>
        <v>611110578 1 00 10010852</v>
      </c>
      <c r="L1216" s="22"/>
      <c r="M1216" s="22"/>
      <c r="N1216" s="22"/>
      <c r="O1216" s="22"/>
      <c r="P1216" s="22"/>
      <c r="Q1216" s="22"/>
      <c r="R1216" s="24"/>
    </row>
    <row r="1217" spans="1:18" s="16" customFormat="1" ht="31.5">
      <c r="A1217" s="14"/>
      <c r="B1217" s="125" t="s">
        <v>38</v>
      </c>
      <c r="C1217" s="109" t="s">
        <v>406</v>
      </c>
      <c r="D1217" s="108" t="s">
        <v>342</v>
      </c>
      <c r="E1217" s="108" t="s">
        <v>86</v>
      </c>
      <c r="F1217" s="108" t="s">
        <v>743</v>
      </c>
      <c r="G1217" s="108" t="s">
        <v>9</v>
      </c>
      <c r="H1217" s="126">
        <f>H1218</f>
        <v>0</v>
      </c>
      <c r="I1217" s="178" t="str">
        <f t="shared" si="144"/>
        <v>611110578 1 00 10020000</v>
      </c>
      <c r="L1217" s="20">
        <v>7074.5400000000009</v>
      </c>
      <c r="M1217" s="20">
        <v>7074.5400000000009</v>
      </c>
      <c r="N1217" s="20">
        <v>7074.5400000000009</v>
      </c>
      <c r="O1217" s="20">
        <f>H1217-L1217</f>
        <v>-7074.5400000000009</v>
      </c>
      <c r="P1217" s="20" t="e">
        <f>#REF!-M1217</f>
        <v>#REF!</v>
      </c>
      <c r="Q1217" s="20" t="e">
        <f>#REF!-N1217</f>
        <v>#REF!</v>
      </c>
      <c r="R1217" s="17" t="str">
        <f t="shared" si="138"/>
        <v>78 1 00 10020000</v>
      </c>
    </row>
    <row r="1218" spans="1:18" s="16" customFormat="1" ht="31.5">
      <c r="A1218" s="14"/>
      <c r="B1218" s="127" t="s">
        <v>20</v>
      </c>
      <c r="C1218" s="109" t="s">
        <v>406</v>
      </c>
      <c r="D1218" s="108" t="s">
        <v>342</v>
      </c>
      <c r="E1218" s="108" t="s">
        <v>86</v>
      </c>
      <c r="F1218" s="108" t="s">
        <v>743</v>
      </c>
      <c r="G1218" s="108" t="s">
        <v>21</v>
      </c>
      <c r="H1218" s="126">
        <f>SUM(H1219:H1220)</f>
        <v>0</v>
      </c>
      <c r="I1218" s="178" t="str">
        <f t="shared" si="144"/>
        <v>611110578 1 00 10020120</v>
      </c>
      <c r="L1218" s="20">
        <v>7074.5400000000009</v>
      </c>
      <c r="M1218" s="20">
        <v>7074.5400000000009</v>
      </c>
      <c r="N1218" s="20">
        <v>7074.5400000000009</v>
      </c>
      <c r="O1218" s="20">
        <f>H1218-L1218</f>
        <v>-7074.5400000000009</v>
      </c>
      <c r="P1218" s="20" t="e">
        <f>#REF!-M1218</f>
        <v>#REF!</v>
      </c>
      <c r="Q1218" s="20" t="e">
        <f>#REF!-N1218</f>
        <v>#REF!</v>
      </c>
      <c r="R1218" s="17" t="str">
        <f t="shared" si="138"/>
        <v>78 1 00 10020120</v>
      </c>
    </row>
    <row r="1219" spans="1:18" s="23" customFormat="1" ht="31.5">
      <c r="A1219" s="21"/>
      <c r="B1219" s="127" t="s">
        <v>40</v>
      </c>
      <c r="C1219" s="109" t="s">
        <v>406</v>
      </c>
      <c r="D1219" s="108" t="s">
        <v>342</v>
      </c>
      <c r="E1219" s="108" t="s">
        <v>86</v>
      </c>
      <c r="F1219" s="108" t="s">
        <v>743</v>
      </c>
      <c r="G1219" s="108" t="s">
        <v>41</v>
      </c>
      <c r="H1219" s="126"/>
      <c r="I1219" s="178" t="str">
        <f t="shared" si="144"/>
        <v>611110578 1 00 10020121</v>
      </c>
      <c r="L1219" s="22"/>
      <c r="M1219" s="22"/>
      <c r="N1219" s="22"/>
      <c r="O1219" s="22"/>
      <c r="P1219" s="22"/>
      <c r="Q1219" s="22"/>
      <c r="R1219" s="24"/>
    </row>
    <row r="1220" spans="1:18" s="23" customFormat="1" ht="63">
      <c r="A1220" s="21"/>
      <c r="B1220" s="127" t="s">
        <v>26</v>
      </c>
      <c r="C1220" s="109" t="s">
        <v>406</v>
      </c>
      <c r="D1220" s="108" t="s">
        <v>342</v>
      </c>
      <c r="E1220" s="108" t="s">
        <v>86</v>
      </c>
      <c r="F1220" s="108" t="s">
        <v>743</v>
      </c>
      <c r="G1220" s="108" t="s">
        <v>27</v>
      </c>
      <c r="H1220" s="126"/>
      <c r="I1220" s="178" t="str">
        <f t="shared" si="144"/>
        <v>611110578 1 00 10020129</v>
      </c>
      <c r="L1220" s="22"/>
      <c r="M1220" s="22"/>
      <c r="N1220" s="22"/>
      <c r="O1220" s="22"/>
      <c r="P1220" s="22"/>
      <c r="Q1220" s="22"/>
      <c r="R1220" s="24"/>
    </row>
    <row r="1221" spans="1:18" s="16" customFormat="1" ht="31.5">
      <c r="A1221" s="14"/>
      <c r="B1221" s="138" t="s">
        <v>136</v>
      </c>
      <c r="C1221" s="109" t="s">
        <v>406</v>
      </c>
      <c r="D1221" s="108" t="s">
        <v>342</v>
      </c>
      <c r="E1221" s="108" t="s">
        <v>86</v>
      </c>
      <c r="F1221" s="142" t="s">
        <v>744</v>
      </c>
      <c r="G1221" s="142" t="s">
        <v>9</v>
      </c>
      <c r="H1221" s="126">
        <f>H1222+H1225</f>
        <v>0</v>
      </c>
      <c r="I1221" s="178" t="str">
        <f t="shared" si="144"/>
        <v>611110578 1 00 11010000</v>
      </c>
      <c r="L1221" s="20">
        <v>9108.4</v>
      </c>
      <c r="M1221" s="20">
        <v>9108.4</v>
      </c>
      <c r="N1221" s="20">
        <v>9108.4</v>
      </c>
      <c r="O1221" s="20">
        <f>H1221-L1221</f>
        <v>-9108.4</v>
      </c>
      <c r="P1221" s="20" t="e">
        <f>#REF!-M1221</f>
        <v>#REF!</v>
      </c>
      <c r="Q1221" s="20" t="e">
        <f>#REF!-N1221</f>
        <v>#REF!</v>
      </c>
      <c r="R1221" s="17" t="str">
        <f t="shared" ref="R1221:R1330" si="152">CONCATENATE(F1221,G1221)</f>
        <v>78 1 00 11010000</v>
      </c>
    </row>
    <row r="1222" spans="1:18" s="16" customFormat="1" ht="15.75">
      <c r="A1222" s="14"/>
      <c r="B1222" s="137" t="s">
        <v>138</v>
      </c>
      <c r="C1222" s="109" t="s">
        <v>406</v>
      </c>
      <c r="D1222" s="108" t="s">
        <v>342</v>
      </c>
      <c r="E1222" s="108" t="s">
        <v>86</v>
      </c>
      <c r="F1222" s="142" t="s">
        <v>744</v>
      </c>
      <c r="G1222" s="142" t="s">
        <v>139</v>
      </c>
      <c r="H1222" s="126">
        <f>SUM(H1223:H1224)</f>
        <v>0</v>
      </c>
      <c r="I1222" s="178" t="str">
        <f t="shared" si="144"/>
        <v>611110578 1 00 11010110</v>
      </c>
      <c r="L1222" s="20">
        <v>7968.4</v>
      </c>
      <c r="M1222" s="20">
        <v>7968.4</v>
      </c>
      <c r="N1222" s="20">
        <v>7968.4</v>
      </c>
      <c r="O1222" s="20">
        <f>H1222-L1222</f>
        <v>-7968.4</v>
      </c>
      <c r="P1222" s="20" t="e">
        <f>#REF!-M1222</f>
        <v>#REF!</v>
      </c>
      <c r="Q1222" s="20" t="e">
        <f>#REF!-N1222</f>
        <v>#REF!</v>
      </c>
      <c r="R1222" s="17" t="str">
        <f t="shared" si="152"/>
        <v>78 1 00 11010110</v>
      </c>
    </row>
    <row r="1223" spans="1:18" s="23" customFormat="1" ht="15.75">
      <c r="A1223" s="21"/>
      <c r="B1223" s="127" t="s">
        <v>140</v>
      </c>
      <c r="C1223" s="109" t="s">
        <v>406</v>
      </c>
      <c r="D1223" s="108" t="s">
        <v>342</v>
      </c>
      <c r="E1223" s="108" t="s">
        <v>86</v>
      </c>
      <c r="F1223" s="142" t="s">
        <v>744</v>
      </c>
      <c r="G1223" s="142" t="s">
        <v>141</v>
      </c>
      <c r="H1223" s="126"/>
      <c r="I1223" s="178" t="str">
        <f t="shared" si="144"/>
        <v>611110578 1 00 11010111</v>
      </c>
      <c r="L1223" s="22"/>
      <c r="M1223" s="22"/>
      <c r="N1223" s="22"/>
      <c r="O1223" s="22"/>
      <c r="P1223" s="22"/>
      <c r="Q1223" s="22"/>
      <c r="R1223" s="24"/>
    </row>
    <row r="1224" spans="1:18" s="23" customFormat="1" ht="47.25">
      <c r="A1224" s="21"/>
      <c r="B1224" s="127" t="s">
        <v>487</v>
      </c>
      <c r="C1224" s="109" t="s">
        <v>406</v>
      </c>
      <c r="D1224" s="108" t="s">
        <v>342</v>
      </c>
      <c r="E1224" s="108" t="s">
        <v>86</v>
      </c>
      <c r="F1224" s="142" t="s">
        <v>744</v>
      </c>
      <c r="G1224" s="142" t="s">
        <v>145</v>
      </c>
      <c r="H1224" s="126"/>
      <c r="I1224" s="178" t="str">
        <f t="shared" si="144"/>
        <v>611110578 1 00 11010119</v>
      </c>
      <c r="L1224" s="22"/>
      <c r="M1224" s="22"/>
      <c r="N1224" s="22"/>
      <c r="O1224" s="22"/>
      <c r="P1224" s="22"/>
      <c r="Q1224" s="22"/>
      <c r="R1224" s="24"/>
    </row>
    <row r="1225" spans="1:18" s="16" customFormat="1" ht="31.5">
      <c r="A1225" s="14"/>
      <c r="B1225" s="125" t="s">
        <v>28</v>
      </c>
      <c r="C1225" s="109" t="s">
        <v>406</v>
      </c>
      <c r="D1225" s="108" t="s">
        <v>342</v>
      </c>
      <c r="E1225" s="108" t="s">
        <v>86</v>
      </c>
      <c r="F1225" s="142" t="s">
        <v>744</v>
      </c>
      <c r="G1225" s="142" t="s">
        <v>29</v>
      </c>
      <c r="H1225" s="126">
        <f>H1226</f>
        <v>0</v>
      </c>
      <c r="I1225" s="178" t="str">
        <f t="shared" si="144"/>
        <v>611110578 1 00 11010240</v>
      </c>
      <c r="L1225" s="20">
        <v>1140</v>
      </c>
      <c r="M1225" s="20">
        <v>1140</v>
      </c>
      <c r="N1225" s="20">
        <v>1140</v>
      </c>
      <c r="O1225" s="20">
        <f>H1225-L1225</f>
        <v>-1140</v>
      </c>
      <c r="P1225" s="20" t="e">
        <f>#REF!-M1225</f>
        <v>#REF!</v>
      </c>
      <c r="Q1225" s="20" t="e">
        <f>#REF!-N1225</f>
        <v>#REF!</v>
      </c>
      <c r="R1225" s="17" t="str">
        <f t="shared" si="152"/>
        <v>78 1 00 11010240</v>
      </c>
    </row>
    <row r="1226" spans="1:18" s="16" customFormat="1" ht="15.75">
      <c r="A1226" s="14"/>
      <c r="B1226" s="125" t="s">
        <v>30</v>
      </c>
      <c r="C1226" s="109" t="s">
        <v>406</v>
      </c>
      <c r="D1226" s="108" t="s">
        <v>342</v>
      </c>
      <c r="E1226" s="108" t="s">
        <v>86</v>
      </c>
      <c r="F1226" s="142" t="s">
        <v>744</v>
      </c>
      <c r="G1226" s="142" t="s">
        <v>31</v>
      </c>
      <c r="H1226" s="126"/>
      <c r="I1226" s="178" t="str">
        <f t="shared" si="144"/>
        <v>611110578 1 00 11010244</v>
      </c>
      <c r="L1226" s="20"/>
      <c r="M1226" s="20"/>
      <c r="N1226" s="20"/>
      <c r="O1226" s="20"/>
      <c r="P1226" s="20"/>
      <c r="Q1226" s="20"/>
      <c r="R1226" s="17"/>
    </row>
    <row r="1227" spans="1:18" s="16" customFormat="1" ht="15.75">
      <c r="A1227" s="14"/>
      <c r="B1227" s="127"/>
      <c r="C1227" s="109"/>
      <c r="D1227" s="108"/>
      <c r="E1227" s="108"/>
      <c r="F1227" s="108"/>
      <c r="G1227" s="108"/>
      <c r="H1227" s="126"/>
      <c r="I1227" s="178" t="str">
        <f t="shared" si="144"/>
        <v/>
      </c>
      <c r="L1227" s="20"/>
      <c r="M1227" s="20"/>
      <c r="N1227" s="20"/>
      <c r="O1227" s="20">
        <f t="shared" ref="O1227:O1234" si="153">H1227-L1227</f>
        <v>0</v>
      </c>
      <c r="P1227" s="20" t="e">
        <f>#REF!-M1227</f>
        <v>#REF!</v>
      </c>
      <c r="Q1227" s="20" t="e">
        <f>#REF!-N1227</f>
        <v>#REF!</v>
      </c>
      <c r="R1227" s="17" t="str">
        <f t="shared" si="152"/>
        <v/>
      </c>
    </row>
    <row r="1228" spans="1:18" s="16" customFormat="1" ht="31.5">
      <c r="A1228" s="14"/>
      <c r="B1228" s="67" t="s">
        <v>745</v>
      </c>
      <c r="C1228" s="116" t="s">
        <v>746</v>
      </c>
      <c r="D1228" s="69" t="s">
        <v>7</v>
      </c>
      <c r="E1228" s="69" t="s">
        <v>7</v>
      </c>
      <c r="F1228" s="69" t="s">
        <v>8</v>
      </c>
      <c r="G1228" s="69" t="s">
        <v>9</v>
      </c>
      <c r="H1228" s="70">
        <f>H1229+H1271+H1285+H1324</f>
        <v>0</v>
      </c>
      <c r="I1228" s="178" t="str">
        <f t="shared" si="144"/>
        <v>617000000 0 00 00000000</v>
      </c>
      <c r="L1228" s="25">
        <v>136890.37999999998</v>
      </c>
      <c r="M1228" s="25">
        <v>136743.88999999998</v>
      </c>
      <c r="N1228" s="25">
        <v>144115.65</v>
      </c>
      <c r="O1228" s="25">
        <f t="shared" si="153"/>
        <v>-136890.37999999998</v>
      </c>
      <c r="P1228" s="25" t="e">
        <f>#REF!-M1228</f>
        <v>#REF!</v>
      </c>
      <c r="Q1228" s="25" t="e">
        <f>#REF!-N1228</f>
        <v>#REF!</v>
      </c>
      <c r="R1228" s="17" t="str">
        <f t="shared" si="152"/>
        <v>00 0 00 00000000</v>
      </c>
    </row>
    <row r="1229" spans="1:18" s="16" customFormat="1" ht="15.75">
      <c r="A1229" s="14"/>
      <c r="B1229" s="117" t="s">
        <v>10</v>
      </c>
      <c r="C1229" s="118" t="s">
        <v>746</v>
      </c>
      <c r="D1229" s="119" t="s">
        <v>11</v>
      </c>
      <c r="E1229" s="119" t="s">
        <v>7</v>
      </c>
      <c r="F1229" s="119" t="s">
        <v>8</v>
      </c>
      <c r="G1229" s="119" t="s">
        <v>9</v>
      </c>
      <c r="H1229" s="120">
        <f>H1230+H1256</f>
        <v>0</v>
      </c>
      <c r="I1229" s="178" t="str">
        <f t="shared" si="144"/>
        <v>617010000 0 00 00000000</v>
      </c>
      <c r="L1229" s="18">
        <v>35074.359999999993</v>
      </c>
      <c r="M1229" s="18">
        <v>33719.359999999993</v>
      </c>
      <c r="N1229" s="18">
        <v>33719.359999999993</v>
      </c>
      <c r="O1229" s="18">
        <f t="shared" si="153"/>
        <v>-35074.359999999993</v>
      </c>
      <c r="P1229" s="18" t="e">
        <f>#REF!-M1229</f>
        <v>#REF!</v>
      </c>
      <c r="Q1229" s="18" t="e">
        <f>#REF!-N1229</f>
        <v>#REF!</v>
      </c>
      <c r="R1229" s="17" t="str">
        <f t="shared" si="152"/>
        <v>00 0 00 00000000</v>
      </c>
    </row>
    <row r="1230" spans="1:18" s="16" customFormat="1" ht="63">
      <c r="A1230" s="14"/>
      <c r="B1230" s="121" t="s">
        <v>72</v>
      </c>
      <c r="C1230" s="122" t="s">
        <v>746</v>
      </c>
      <c r="D1230" s="123" t="s">
        <v>11</v>
      </c>
      <c r="E1230" s="123" t="s">
        <v>73</v>
      </c>
      <c r="F1230" s="123" t="s">
        <v>8</v>
      </c>
      <c r="G1230" s="123" t="s">
        <v>9</v>
      </c>
      <c r="H1230" s="124">
        <f t="shared" ref="H1230:H1231" si="154">H1231</f>
        <v>0</v>
      </c>
      <c r="I1230" s="178" t="str">
        <f t="shared" si="144"/>
        <v>617010400 0 00 00000000</v>
      </c>
      <c r="L1230" s="19">
        <v>33329.159999999996</v>
      </c>
      <c r="M1230" s="19">
        <v>33329.159999999996</v>
      </c>
      <c r="N1230" s="19">
        <v>33329.159999999996</v>
      </c>
      <c r="O1230" s="19">
        <f t="shared" si="153"/>
        <v>-33329.159999999996</v>
      </c>
      <c r="P1230" s="19" t="e">
        <f>#REF!-M1230</f>
        <v>#REF!</v>
      </c>
      <c r="Q1230" s="19" t="e">
        <f>#REF!-N1230</f>
        <v>#REF!</v>
      </c>
      <c r="R1230" s="17" t="str">
        <f t="shared" si="152"/>
        <v>00 0 00 00000000</v>
      </c>
    </row>
    <row r="1231" spans="1:18" s="16" customFormat="1" ht="31.5">
      <c r="A1231" s="14"/>
      <c r="B1231" s="140" t="s">
        <v>747</v>
      </c>
      <c r="C1231" s="130" t="s">
        <v>746</v>
      </c>
      <c r="D1231" s="131" t="s">
        <v>11</v>
      </c>
      <c r="E1231" s="131" t="s">
        <v>73</v>
      </c>
      <c r="F1231" s="131" t="s">
        <v>748</v>
      </c>
      <c r="G1231" s="131" t="s">
        <v>9</v>
      </c>
      <c r="H1231" s="105">
        <f t="shared" si="154"/>
        <v>0</v>
      </c>
      <c r="I1231" s="178" t="str">
        <f t="shared" si="144"/>
        <v>617010480 0 00 00000000</v>
      </c>
      <c r="L1231" s="26">
        <v>33329.159999999996</v>
      </c>
      <c r="M1231" s="26">
        <v>33329.159999999996</v>
      </c>
      <c r="N1231" s="26">
        <v>33329.159999999996</v>
      </c>
      <c r="O1231" s="26">
        <f t="shared" si="153"/>
        <v>-33329.159999999996</v>
      </c>
      <c r="P1231" s="26" t="e">
        <f>#REF!-M1231</f>
        <v>#REF!</v>
      </c>
      <c r="Q1231" s="26" t="e">
        <f>#REF!-N1231</f>
        <v>#REF!</v>
      </c>
      <c r="R1231" s="17" t="str">
        <f t="shared" si="152"/>
        <v>80 0 00 00000000</v>
      </c>
    </row>
    <row r="1232" spans="1:18" s="16" customFormat="1" ht="47.25">
      <c r="A1232" s="14"/>
      <c r="B1232" s="140" t="s">
        <v>749</v>
      </c>
      <c r="C1232" s="130" t="s">
        <v>746</v>
      </c>
      <c r="D1232" s="131" t="s">
        <v>11</v>
      </c>
      <c r="E1232" s="131" t="s">
        <v>73</v>
      </c>
      <c r="F1232" s="131" t="s">
        <v>750</v>
      </c>
      <c r="G1232" s="131" t="s">
        <v>9</v>
      </c>
      <c r="H1232" s="105">
        <f>H1233+H1242+H1246+H1253</f>
        <v>0</v>
      </c>
      <c r="I1232" s="178" t="str">
        <f t="shared" si="144"/>
        <v>617010480 1 00 00000000</v>
      </c>
      <c r="L1232" s="26">
        <v>33329.159999999996</v>
      </c>
      <c r="M1232" s="26">
        <v>33329.159999999996</v>
      </c>
      <c r="N1232" s="26">
        <v>33329.159999999996</v>
      </c>
      <c r="O1232" s="26">
        <f t="shared" si="153"/>
        <v>-33329.159999999996</v>
      </c>
      <c r="P1232" s="26" t="e">
        <f>#REF!-M1232</f>
        <v>#REF!</v>
      </c>
      <c r="Q1232" s="26" t="e">
        <f>#REF!-N1232</f>
        <v>#REF!</v>
      </c>
      <c r="R1232" s="17" t="str">
        <f t="shared" si="152"/>
        <v>80 1 00 00000000</v>
      </c>
    </row>
    <row r="1233" spans="1:18" s="16" customFormat="1" ht="31.5">
      <c r="A1233" s="14"/>
      <c r="B1233" s="125" t="s">
        <v>18</v>
      </c>
      <c r="C1233" s="130" t="s">
        <v>746</v>
      </c>
      <c r="D1233" s="131" t="s">
        <v>11</v>
      </c>
      <c r="E1233" s="131" t="s">
        <v>73</v>
      </c>
      <c r="F1233" s="131" t="s">
        <v>751</v>
      </c>
      <c r="G1233" s="131" t="s">
        <v>9</v>
      </c>
      <c r="H1233" s="105">
        <f>H1234+H1237+H1239</f>
        <v>0</v>
      </c>
      <c r="I1233" s="178" t="str">
        <f t="shared" si="144"/>
        <v>617010480 1 00 10010000</v>
      </c>
      <c r="L1233" s="26">
        <v>4038.21</v>
      </c>
      <c r="M1233" s="26">
        <v>4038.21</v>
      </c>
      <c r="N1233" s="26">
        <v>4038.21</v>
      </c>
      <c r="O1233" s="26">
        <f t="shared" si="153"/>
        <v>-4038.21</v>
      </c>
      <c r="P1233" s="26" t="e">
        <f>#REF!-M1233</f>
        <v>#REF!</v>
      </c>
      <c r="Q1233" s="26" t="e">
        <f>#REF!-N1233</f>
        <v>#REF!</v>
      </c>
      <c r="R1233" s="17" t="str">
        <f t="shared" si="152"/>
        <v>80 1 00 10010000</v>
      </c>
    </row>
    <row r="1234" spans="1:18" s="16" customFormat="1" ht="31.5">
      <c r="A1234" s="14"/>
      <c r="B1234" s="127" t="s">
        <v>20</v>
      </c>
      <c r="C1234" s="130" t="s">
        <v>746</v>
      </c>
      <c r="D1234" s="131" t="s">
        <v>11</v>
      </c>
      <c r="E1234" s="131" t="s">
        <v>73</v>
      </c>
      <c r="F1234" s="131" t="s">
        <v>751</v>
      </c>
      <c r="G1234" s="131" t="s">
        <v>21</v>
      </c>
      <c r="H1234" s="126">
        <f>SUM(H1235:H1236)</f>
        <v>0</v>
      </c>
      <c r="I1234" s="178" t="str">
        <f t="shared" si="144"/>
        <v>617010480 1 00 10010120</v>
      </c>
      <c r="L1234" s="26">
        <v>620.46</v>
      </c>
      <c r="M1234" s="26">
        <v>620.46</v>
      </c>
      <c r="N1234" s="26">
        <v>620.46</v>
      </c>
      <c r="O1234" s="26">
        <f t="shared" si="153"/>
        <v>-620.46</v>
      </c>
      <c r="P1234" s="26" t="e">
        <f>#REF!-M1234</f>
        <v>#REF!</v>
      </c>
      <c r="Q1234" s="26" t="e">
        <f>#REF!-N1234</f>
        <v>#REF!</v>
      </c>
      <c r="R1234" s="17" t="str">
        <f t="shared" si="152"/>
        <v>80 1 00 10010120</v>
      </c>
    </row>
    <row r="1235" spans="1:18" s="23" customFormat="1" ht="47.25">
      <c r="A1235" s="21"/>
      <c r="B1235" s="127" t="s">
        <v>22</v>
      </c>
      <c r="C1235" s="130" t="s">
        <v>746</v>
      </c>
      <c r="D1235" s="131" t="s">
        <v>11</v>
      </c>
      <c r="E1235" s="131" t="s">
        <v>73</v>
      </c>
      <c r="F1235" s="131" t="s">
        <v>751</v>
      </c>
      <c r="G1235" s="108" t="s">
        <v>23</v>
      </c>
      <c r="H1235" s="126"/>
      <c r="I1235" s="178" t="str">
        <f t="shared" si="144"/>
        <v>617010480 1 00 10010122</v>
      </c>
      <c r="L1235" s="22"/>
      <c r="M1235" s="22"/>
      <c r="N1235" s="22"/>
      <c r="O1235" s="22"/>
      <c r="P1235" s="22"/>
      <c r="Q1235" s="22"/>
      <c r="R1235" s="24"/>
    </row>
    <row r="1236" spans="1:18" s="23" customFormat="1" ht="63">
      <c r="A1236" s="21"/>
      <c r="B1236" s="127" t="s">
        <v>26</v>
      </c>
      <c r="C1236" s="130" t="s">
        <v>746</v>
      </c>
      <c r="D1236" s="131" t="s">
        <v>11</v>
      </c>
      <c r="E1236" s="131" t="s">
        <v>73</v>
      </c>
      <c r="F1236" s="131" t="s">
        <v>751</v>
      </c>
      <c r="G1236" s="108" t="s">
        <v>27</v>
      </c>
      <c r="H1236" s="126"/>
      <c r="I1236" s="178" t="str">
        <f t="shared" si="144"/>
        <v>617010480 1 00 10010129</v>
      </c>
      <c r="L1236" s="22"/>
      <c r="M1236" s="22"/>
      <c r="N1236" s="22"/>
      <c r="O1236" s="22"/>
      <c r="P1236" s="22"/>
      <c r="Q1236" s="22"/>
      <c r="R1236" s="24"/>
    </row>
    <row r="1237" spans="1:18" s="16" customFormat="1" ht="31.5">
      <c r="A1237" s="14"/>
      <c r="B1237" s="125" t="s">
        <v>28</v>
      </c>
      <c r="C1237" s="130" t="s">
        <v>746</v>
      </c>
      <c r="D1237" s="131" t="s">
        <v>11</v>
      </c>
      <c r="E1237" s="131" t="s">
        <v>73</v>
      </c>
      <c r="F1237" s="131" t="s">
        <v>751</v>
      </c>
      <c r="G1237" s="131" t="s">
        <v>29</v>
      </c>
      <c r="H1237" s="126">
        <f>H1238</f>
        <v>0</v>
      </c>
      <c r="I1237" s="178" t="str">
        <f t="shared" ref="I1237:I1300" si="155">C1237&amp;D1237&amp;E1237&amp;F1237&amp;G1237</f>
        <v>617010480 1 00 10010240</v>
      </c>
      <c r="L1237" s="26">
        <v>3320.75</v>
      </c>
      <c r="M1237" s="26">
        <v>3320.75</v>
      </c>
      <c r="N1237" s="26">
        <v>3320.75</v>
      </c>
      <c r="O1237" s="26">
        <f>H1237-L1237</f>
        <v>-3320.75</v>
      </c>
      <c r="P1237" s="26" t="e">
        <f>#REF!-M1237</f>
        <v>#REF!</v>
      </c>
      <c r="Q1237" s="26" t="e">
        <f>#REF!-N1237</f>
        <v>#REF!</v>
      </c>
      <c r="R1237" s="17" t="str">
        <f t="shared" si="152"/>
        <v>80 1 00 10010240</v>
      </c>
    </row>
    <row r="1238" spans="1:18" s="16" customFormat="1" ht="15.75">
      <c r="A1238" s="14"/>
      <c r="B1238" s="125" t="s">
        <v>30</v>
      </c>
      <c r="C1238" s="130" t="s">
        <v>746</v>
      </c>
      <c r="D1238" s="131" t="s">
        <v>11</v>
      </c>
      <c r="E1238" s="131" t="s">
        <v>73</v>
      </c>
      <c r="F1238" s="131" t="s">
        <v>751</v>
      </c>
      <c r="G1238" s="131" t="s">
        <v>31</v>
      </c>
      <c r="H1238" s="126"/>
      <c r="I1238" s="178" t="str">
        <f t="shared" si="155"/>
        <v>617010480 1 00 10010244</v>
      </c>
      <c r="L1238" s="26"/>
      <c r="M1238" s="26"/>
      <c r="N1238" s="26"/>
      <c r="O1238" s="26"/>
      <c r="P1238" s="26"/>
      <c r="Q1238" s="26"/>
      <c r="R1238" s="17"/>
    </row>
    <row r="1239" spans="1:18" s="16" customFormat="1" ht="15.75">
      <c r="A1239" s="14"/>
      <c r="B1239" s="125" t="s">
        <v>32</v>
      </c>
      <c r="C1239" s="130" t="s">
        <v>746</v>
      </c>
      <c r="D1239" s="131" t="s">
        <v>11</v>
      </c>
      <c r="E1239" s="131" t="s">
        <v>73</v>
      </c>
      <c r="F1239" s="131" t="s">
        <v>751</v>
      </c>
      <c r="G1239" s="131" t="s">
        <v>33</v>
      </c>
      <c r="H1239" s="126">
        <f>SUM(H1240:H1241)</f>
        <v>0</v>
      </c>
      <c r="I1239" s="178" t="str">
        <f t="shared" si="155"/>
        <v>617010480 1 00 10010850</v>
      </c>
      <c r="L1239" s="26">
        <v>97</v>
      </c>
      <c r="M1239" s="26">
        <v>97</v>
      </c>
      <c r="N1239" s="26">
        <v>97</v>
      </c>
      <c r="O1239" s="26">
        <f>H1239-L1239</f>
        <v>-97</v>
      </c>
      <c r="P1239" s="26" t="e">
        <f>#REF!-M1239</f>
        <v>#REF!</v>
      </c>
      <c r="Q1239" s="26" t="e">
        <f>#REF!-N1239</f>
        <v>#REF!</v>
      </c>
      <c r="R1239" s="17" t="str">
        <f t="shared" si="152"/>
        <v>80 1 00 10010850</v>
      </c>
    </row>
    <row r="1240" spans="1:18" s="23" customFormat="1" ht="31.5">
      <c r="A1240" s="21"/>
      <c r="B1240" s="127" t="s">
        <v>34</v>
      </c>
      <c r="C1240" s="130" t="s">
        <v>746</v>
      </c>
      <c r="D1240" s="131" t="s">
        <v>11</v>
      </c>
      <c r="E1240" s="131" t="s">
        <v>73</v>
      </c>
      <c r="F1240" s="131" t="s">
        <v>751</v>
      </c>
      <c r="G1240" s="108" t="s">
        <v>35</v>
      </c>
      <c r="H1240" s="126"/>
      <c r="I1240" s="178" t="str">
        <f t="shared" si="155"/>
        <v>617010480 1 00 10010851</v>
      </c>
      <c r="L1240" s="22"/>
      <c r="M1240" s="22"/>
      <c r="N1240" s="22"/>
      <c r="O1240" s="22"/>
      <c r="P1240" s="22"/>
      <c r="Q1240" s="22"/>
      <c r="R1240" s="24"/>
    </row>
    <row r="1241" spans="1:18" s="23" customFormat="1" ht="15.75">
      <c r="A1241" s="21"/>
      <c r="B1241" s="127" t="s">
        <v>36</v>
      </c>
      <c r="C1241" s="130" t="s">
        <v>746</v>
      </c>
      <c r="D1241" s="131" t="s">
        <v>11</v>
      </c>
      <c r="E1241" s="131" t="s">
        <v>73</v>
      </c>
      <c r="F1241" s="131" t="s">
        <v>751</v>
      </c>
      <c r="G1241" s="108" t="s">
        <v>37</v>
      </c>
      <c r="H1241" s="126"/>
      <c r="I1241" s="178" t="str">
        <f t="shared" si="155"/>
        <v>617010480 1 00 10010852</v>
      </c>
      <c r="L1241" s="22"/>
      <c r="M1241" s="22"/>
      <c r="N1241" s="22"/>
      <c r="O1241" s="22"/>
      <c r="P1241" s="22"/>
      <c r="Q1241" s="22"/>
      <c r="R1241" s="24"/>
    </row>
    <row r="1242" spans="1:18" s="16" customFormat="1" ht="31.5">
      <c r="A1242" s="14"/>
      <c r="B1242" s="125" t="s">
        <v>38</v>
      </c>
      <c r="C1242" s="130" t="s">
        <v>746</v>
      </c>
      <c r="D1242" s="131" t="s">
        <v>11</v>
      </c>
      <c r="E1242" s="131" t="s">
        <v>73</v>
      </c>
      <c r="F1242" s="131" t="s">
        <v>752</v>
      </c>
      <c r="G1242" s="131" t="s">
        <v>9</v>
      </c>
      <c r="H1242" s="126">
        <f>H1243</f>
        <v>0</v>
      </c>
      <c r="I1242" s="178" t="str">
        <f t="shared" si="155"/>
        <v>617010480 1 00 10020000</v>
      </c>
      <c r="L1242" s="20">
        <v>28172.3</v>
      </c>
      <c r="M1242" s="20">
        <v>28172.3</v>
      </c>
      <c r="N1242" s="20">
        <v>28172.3</v>
      </c>
      <c r="O1242" s="20">
        <f>H1242-L1242</f>
        <v>-28172.3</v>
      </c>
      <c r="P1242" s="20" t="e">
        <f>#REF!-M1242</f>
        <v>#REF!</v>
      </c>
      <c r="Q1242" s="20" t="e">
        <f>#REF!-N1242</f>
        <v>#REF!</v>
      </c>
      <c r="R1242" s="17" t="str">
        <f t="shared" si="152"/>
        <v>80 1 00 10020000</v>
      </c>
    </row>
    <row r="1243" spans="1:18" s="16" customFormat="1" ht="31.5">
      <c r="A1243" s="14"/>
      <c r="B1243" s="127" t="s">
        <v>20</v>
      </c>
      <c r="C1243" s="130" t="s">
        <v>746</v>
      </c>
      <c r="D1243" s="131" t="s">
        <v>11</v>
      </c>
      <c r="E1243" s="131" t="s">
        <v>73</v>
      </c>
      <c r="F1243" s="131" t="s">
        <v>752</v>
      </c>
      <c r="G1243" s="131" t="s">
        <v>21</v>
      </c>
      <c r="H1243" s="126">
        <f>SUM(H1244:H1245)</f>
        <v>0</v>
      </c>
      <c r="I1243" s="178" t="str">
        <f t="shared" si="155"/>
        <v>617010480 1 00 10020120</v>
      </c>
      <c r="L1243" s="20">
        <v>28172.3</v>
      </c>
      <c r="M1243" s="20">
        <v>28172.3</v>
      </c>
      <c r="N1243" s="20">
        <v>28172.3</v>
      </c>
      <c r="O1243" s="20">
        <f>H1243-L1243</f>
        <v>-28172.3</v>
      </c>
      <c r="P1243" s="20" t="e">
        <f>#REF!-M1243</f>
        <v>#REF!</v>
      </c>
      <c r="Q1243" s="20" t="e">
        <f>#REF!-N1243</f>
        <v>#REF!</v>
      </c>
      <c r="R1243" s="17" t="str">
        <f t="shared" si="152"/>
        <v>80 1 00 10020120</v>
      </c>
    </row>
    <row r="1244" spans="1:18" s="23" customFormat="1" ht="31.5">
      <c r="A1244" s="21"/>
      <c r="B1244" s="127" t="s">
        <v>40</v>
      </c>
      <c r="C1244" s="130" t="s">
        <v>746</v>
      </c>
      <c r="D1244" s="131" t="s">
        <v>11</v>
      </c>
      <c r="E1244" s="131" t="s">
        <v>73</v>
      </c>
      <c r="F1244" s="131" t="s">
        <v>752</v>
      </c>
      <c r="G1244" s="108" t="s">
        <v>41</v>
      </c>
      <c r="H1244" s="126"/>
      <c r="I1244" s="178" t="str">
        <f t="shared" si="155"/>
        <v>617010480 1 00 10020121</v>
      </c>
      <c r="L1244" s="22"/>
      <c r="M1244" s="22"/>
      <c r="N1244" s="22"/>
      <c r="O1244" s="22"/>
      <c r="P1244" s="22"/>
      <c r="Q1244" s="22"/>
      <c r="R1244" s="24"/>
    </row>
    <row r="1245" spans="1:18" s="23" customFormat="1" ht="63">
      <c r="A1245" s="21"/>
      <c r="B1245" s="127" t="s">
        <v>26</v>
      </c>
      <c r="C1245" s="130" t="s">
        <v>746</v>
      </c>
      <c r="D1245" s="131" t="s">
        <v>11</v>
      </c>
      <c r="E1245" s="131" t="s">
        <v>73</v>
      </c>
      <c r="F1245" s="131" t="s">
        <v>752</v>
      </c>
      <c r="G1245" s="108" t="s">
        <v>27</v>
      </c>
      <c r="H1245" s="126"/>
      <c r="I1245" s="178" t="str">
        <f t="shared" si="155"/>
        <v>617010480 1 00 10020129</v>
      </c>
      <c r="L1245" s="22"/>
      <c r="M1245" s="22"/>
      <c r="N1245" s="22"/>
      <c r="O1245" s="22"/>
      <c r="P1245" s="22"/>
      <c r="Q1245" s="22"/>
      <c r="R1245" s="24"/>
    </row>
    <row r="1246" spans="1:18" s="16" customFormat="1" ht="63">
      <c r="A1246" s="14" t="s">
        <v>80</v>
      </c>
      <c r="B1246" s="150" t="s">
        <v>488</v>
      </c>
      <c r="C1246" s="130" t="s">
        <v>746</v>
      </c>
      <c r="D1246" s="131" t="s">
        <v>11</v>
      </c>
      <c r="E1246" s="131" t="s">
        <v>73</v>
      </c>
      <c r="F1246" s="131" t="s">
        <v>753</v>
      </c>
      <c r="G1246" s="131" t="s">
        <v>9</v>
      </c>
      <c r="H1246" s="126">
        <f>H1247+H1251</f>
        <v>0</v>
      </c>
      <c r="I1246" s="178" t="str">
        <f t="shared" si="155"/>
        <v>617010480 1 00 76200000</v>
      </c>
      <c r="L1246" s="20">
        <v>1047.75</v>
      </c>
      <c r="M1246" s="20">
        <v>1047.75</v>
      </c>
      <c r="N1246" s="20">
        <v>1047.75</v>
      </c>
      <c r="O1246" s="20">
        <f>H1246-L1246</f>
        <v>-1047.75</v>
      </c>
      <c r="P1246" s="20" t="e">
        <f>#REF!-M1246</f>
        <v>#REF!</v>
      </c>
      <c r="Q1246" s="20" t="e">
        <f>#REF!-N1246</f>
        <v>#REF!</v>
      </c>
      <c r="R1246" s="17" t="str">
        <f t="shared" si="152"/>
        <v>80 1 00 76200000</v>
      </c>
    </row>
    <row r="1247" spans="1:18" s="16" customFormat="1" ht="31.5">
      <c r="A1247" s="14"/>
      <c r="B1247" s="129" t="s">
        <v>20</v>
      </c>
      <c r="C1247" s="130" t="s">
        <v>746</v>
      </c>
      <c r="D1247" s="131" t="s">
        <v>11</v>
      </c>
      <c r="E1247" s="131" t="s">
        <v>73</v>
      </c>
      <c r="F1247" s="131" t="s">
        <v>753</v>
      </c>
      <c r="G1247" s="131" t="s">
        <v>21</v>
      </c>
      <c r="H1247" s="126">
        <f>SUM(H1248:H1250)</f>
        <v>0</v>
      </c>
      <c r="I1247" s="178" t="str">
        <f t="shared" si="155"/>
        <v>617010480 1 00 76200120</v>
      </c>
      <c r="L1247" s="26">
        <v>989.33</v>
      </c>
      <c r="M1247" s="26">
        <v>989.33</v>
      </c>
      <c r="N1247" s="26">
        <v>989.33</v>
      </c>
      <c r="O1247" s="26">
        <f>H1247-L1247</f>
        <v>-989.33</v>
      </c>
      <c r="P1247" s="26" t="e">
        <f>#REF!-M1247</f>
        <v>#REF!</v>
      </c>
      <c r="Q1247" s="26" t="e">
        <f>#REF!-N1247</f>
        <v>#REF!</v>
      </c>
      <c r="R1247" s="17" t="str">
        <f t="shared" si="152"/>
        <v>80 1 00 76200120</v>
      </c>
    </row>
    <row r="1248" spans="1:18" s="23" customFormat="1" ht="31.5">
      <c r="A1248" s="21"/>
      <c r="B1248" s="127" t="s">
        <v>40</v>
      </c>
      <c r="C1248" s="130" t="s">
        <v>746</v>
      </c>
      <c r="D1248" s="131" t="s">
        <v>11</v>
      </c>
      <c r="E1248" s="131" t="s">
        <v>73</v>
      </c>
      <c r="F1248" s="131" t="s">
        <v>753</v>
      </c>
      <c r="G1248" s="108" t="s">
        <v>41</v>
      </c>
      <c r="H1248" s="126"/>
      <c r="I1248" s="178" t="str">
        <f t="shared" si="155"/>
        <v>617010480 1 00 76200121</v>
      </c>
      <c r="L1248" s="22"/>
      <c r="M1248" s="22"/>
      <c r="N1248" s="22"/>
      <c r="O1248" s="22"/>
      <c r="P1248" s="22"/>
      <c r="Q1248" s="22"/>
      <c r="R1248" s="24"/>
    </row>
    <row r="1249" spans="1:18" s="23" customFormat="1" ht="47.25">
      <c r="A1249" s="21"/>
      <c r="B1249" s="127" t="s">
        <v>22</v>
      </c>
      <c r="C1249" s="130" t="s">
        <v>746</v>
      </c>
      <c r="D1249" s="131" t="s">
        <v>11</v>
      </c>
      <c r="E1249" s="131" t="s">
        <v>73</v>
      </c>
      <c r="F1249" s="131" t="s">
        <v>753</v>
      </c>
      <c r="G1249" s="108" t="s">
        <v>23</v>
      </c>
      <c r="H1249" s="126"/>
      <c r="I1249" s="178" t="str">
        <f t="shared" si="155"/>
        <v>617010480 1 00 76200122</v>
      </c>
      <c r="L1249" s="22"/>
      <c r="M1249" s="22"/>
      <c r="N1249" s="22"/>
      <c r="O1249" s="22"/>
      <c r="P1249" s="22"/>
      <c r="Q1249" s="22"/>
      <c r="R1249" s="24"/>
    </row>
    <row r="1250" spans="1:18" s="23" customFormat="1" ht="63">
      <c r="A1250" s="21"/>
      <c r="B1250" s="127" t="s">
        <v>26</v>
      </c>
      <c r="C1250" s="130" t="s">
        <v>746</v>
      </c>
      <c r="D1250" s="131" t="s">
        <v>11</v>
      </c>
      <c r="E1250" s="131" t="s">
        <v>73</v>
      </c>
      <c r="F1250" s="131" t="s">
        <v>753</v>
      </c>
      <c r="G1250" s="108" t="s">
        <v>27</v>
      </c>
      <c r="H1250" s="126"/>
      <c r="I1250" s="178" t="str">
        <f t="shared" si="155"/>
        <v>617010480 1 00 76200129</v>
      </c>
      <c r="L1250" s="22"/>
      <c r="M1250" s="22"/>
      <c r="N1250" s="22"/>
      <c r="O1250" s="22"/>
      <c r="P1250" s="22"/>
      <c r="Q1250" s="22"/>
      <c r="R1250" s="24"/>
    </row>
    <row r="1251" spans="1:18" s="16" customFormat="1" ht="31.5">
      <c r="A1251" s="14"/>
      <c r="B1251" s="125" t="s">
        <v>28</v>
      </c>
      <c r="C1251" s="130" t="s">
        <v>746</v>
      </c>
      <c r="D1251" s="131" t="s">
        <v>11</v>
      </c>
      <c r="E1251" s="131" t="s">
        <v>73</v>
      </c>
      <c r="F1251" s="131" t="s">
        <v>753</v>
      </c>
      <c r="G1251" s="131" t="s">
        <v>29</v>
      </c>
      <c r="H1251" s="126">
        <f>H1252</f>
        <v>0</v>
      </c>
      <c r="I1251" s="178" t="str">
        <f t="shared" si="155"/>
        <v>617010480 1 00 76200240</v>
      </c>
      <c r="L1251" s="26">
        <v>58.42</v>
      </c>
      <c r="M1251" s="26">
        <v>58.42</v>
      </c>
      <c r="N1251" s="26">
        <v>58.42</v>
      </c>
      <c r="O1251" s="26">
        <f>H1251-L1251</f>
        <v>-58.42</v>
      </c>
      <c r="P1251" s="26" t="e">
        <f>#REF!-M1251</f>
        <v>#REF!</v>
      </c>
      <c r="Q1251" s="26" t="e">
        <f>#REF!-N1251</f>
        <v>#REF!</v>
      </c>
      <c r="R1251" s="17" t="str">
        <f t="shared" si="152"/>
        <v>80 1 00 76200240</v>
      </c>
    </row>
    <row r="1252" spans="1:18" s="16" customFormat="1" ht="15.75">
      <c r="A1252" s="14"/>
      <c r="B1252" s="125" t="s">
        <v>30</v>
      </c>
      <c r="C1252" s="130" t="s">
        <v>746</v>
      </c>
      <c r="D1252" s="131" t="s">
        <v>11</v>
      </c>
      <c r="E1252" s="131" t="s">
        <v>73</v>
      </c>
      <c r="F1252" s="131" t="s">
        <v>753</v>
      </c>
      <c r="G1252" s="131" t="s">
        <v>31</v>
      </c>
      <c r="H1252" s="126"/>
      <c r="I1252" s="178" t="str">
        <f t="shared" si="155"/>
        <v>617010480 1 00 76200244</v>
      </c>
      <c r="L1252" s="26"/>
      <c r="M1252" s="26"/>
      <c r="N1252" s="26"/>
      <c r="O1252" s="26"/>
      <c r="P1252" s="26"/>
      <c r="Q1252" s="26"/>
      <c r="R1252" s="17"/>
    </row>
    <row r="1253" spans="1:18" s="16" customFormat="1" ht="63">
      <c r="A1253" s="14" t="s">
        <v>80</v>
      </c>
      <c r="B1253" s="129" t="s">
        <v>754</v>
      </c>
      <c r="C1253" s="130" t="s">
        <v>746</v>
      </c>
      <c r="D1253" s="131" t="s">
        <v>11</v>
      </c>
      <c r="E1253" s="131" t="s">
        <v>73</v>
      </c>
      <c r="F1253" s="131" t="s">
        <v>755</v>
      </c>
      <c r="G1253" s="131" t="s">
        <v>9</v>
      </c>
      <c r="H1253" s="105">
        <f>H1254</f>
        <v>0</v>
      </c>
      <c r="I1253" s="178" t="str">
        <f t="shared" si="155"/>
        <v>617010480 1 00 76360000</v>
      </c>
      <c r="L1253" s="26">
        <v>70.900000000000006</v>
      </c>
      <c r="M1253" s="26">
        <v>70.900000000000006</v>
      </c>
      <c r="N1253" s="26">
        <v>70.900000000000006</v>
      </c>
      <c r="O1253" s="26">
        <f>H1253-L1253</f>
        <v>-70.900000000000006</v>
      </c>
      <c r="P1253" s="26" t="e">
        <f>#REF!-M1253</f>
        <v>#REF!</v>
      </c>
      <c r="Q1253" s="26" t="e">
        <f>#REF!-N1253</f>
        <v>#REF!</v>
      </c>
      <c r="R1253" s="17" t="str">
        <f t="shared" si="152"/>
        <v>80 1 00 76360000</v>
      </c>
    </row>
    <row r="1254" spans="1:18" s="16" customFormat="1" ht="31.5">
      <c r="A1254" s="14"/>
      <c r="B1254" s="125" t="s">
        <v>28</v>
      </c>
      <c r="C1254" s="130" t="s">
        <v>746</v>
      </c>
      <c r="D1254" s="131" t="s">
        <v>11</v>
      </c>
      <c r="E1254" s="131" t="s">
        <v>73</v>
      </c>
      <c r="F1254" s="131" t="s">
        <v>755</v>
      </c>
      <c r="G1254" s="131" t="s">
        <v>29</v>
      </c>
      <c r="H1254" s="126">
        <f>H1255</f>
        <v>0</v>
      </c>
      <c r="I1254" s="178" t="str">
        <f t="shared" si="155"/>
        <v>617010480 1 00 76360240</v>
      </c>
      <c r="L1254" s="26">
        <v>70.900000000000006</v>
      </c>
      <c r="M1254" s="26">
        <v>70.900000000000006</v>
      </c>
      <c r="N1254" s="26">
        <v>70.900000000000006</v>
      </c>
      <c r="O1254" s="26">
        <f>H1254-L1254</f>
        <v>-70.900000000000006</v>
      </c>
      <c r="P1254" s="26" t="e">
        <f>#REF!-M1254</f>
        <v>#REF!</v>
      </c>
      <c r="Q1254" s="26" t="e">
        <f>#REF!-N1254</f>
        <v>#REF!</v>
      </c>
      <c r="R1254" s="17" t="str">
        <f t="shared" si="152"/>
        <v>80 1 00 76360240</v>
      </c>
    </row>
    <row r="1255" spans="1:18" s="16" customFormat="1" ht="15.75">
      <c r="A1255" s="14"/>
      <c r="B1255" s="125" t="s">
        <v>30</v>
      </c>
      <c r="C1255" s="130" t="s">
        <v>746</v>
      </c>
      <c r="D1255" s="131" t="s">
        <v>11</v>
      </c>
      <c r="E1255" s="131" t="s">
        <v>73</v>
      </c>
      <c r="F1255" s="131" t="s">
        <v>755</v>
      </c>
      <c r="G1255" s="131" t="s">
        <v>31</v>
      </c>
      <c r="H1255" s="126"/>
      <c r="I1255" s="178" t="str">
        <f t="shared" si="155"/>
        <v>617010480 1 00 76360244</v>
      </c>
      <c r="L1255" s="26"/>
      <c r="M1255" s="26"/>
      <c r="N1255" s="26"/>
      <c r="O1255" s="26"/>
      <c r="P1255" s="26"/>
      <c r="Q1255" s="26"/>
      <c r="R1255" s="17"/>
    </row>
    <row r="1256" spans="1:18" s="16" customFormat="1" ht="15.75">
      <c r="A1256" s="14"/>
      <c r="B1256" s="121" t="s">
        <v>50</v>
      </c>
      <c r="C1256" s="122" t="s">
        <v>746</v>
      </c>
      <c r="D1256" s="123" t="s">
        <v>11</v>
      </c>
      <c r="E1256" s="123" t="s">
        <v>51</v>
      </c>
      <c r="F1256" s="123" t="s">
        <v>8</v>
      </c>
      <c r="G1256" s="123" t="s">
        <v>9</v>
      </c>
      <c r="H1256" s="124">
        <f>H1257+H1266</f>
        <v>0</v>
      </c>
      <c r="I1256" s="178" t="str">
        <f t="shared" si="155"/>
        <v>617011300 0 00 00000000</v>
      </c>
      <c r="L1256" s="19">
        <v>1745.2</v>
      </c>
      <c r="M1256" s="19">
        <v>390.2</v>
      </c>
      <c r="N1256" s="19">
        <v>390.2</v>
      </c>
      <c r="O1256" s="19">
        <f t="shared" ref="O1256:O1261" si="156">H1256-L1256</f>
        <v>-1745.2</v>
      </c>
      <c r="P1256" s="19" t="e">
        <f>#REF!-M1256</f>
        <v>#REF!</v>
      </c>
      <c r="Q1256" s="19" t="e">
        <f>#REF!-N1256</f>
        <v>#REF!</v>
      </c>
      <c r="R1256" s="17" t="str">
        <f t="shared" si="152"/>
        <v>00 0 00 00000000</v>
      </c>
    </row>
    <row r="1257" spans="1:18" s="16" customFormat="1" ht="63">
      <c r="A1257" s="14"/>
      <c r="B1257" s="132" t="s">
        <v>257</v>
      </c>
      <c r="C1257" s="130" t="s">
        <v>746</v>
      </c>
      <c r="D1257" s="131" t="s">
        <v>11</v>
      </c>
      <c r="E1257" s="131" t="s">
        <v>51</v>
      </c>
      <c r="F1257" s="131" t="s">
        <v>258</v>
      </c>
      <c r="G1257" s="131" t="s">
        <v>9</v>
      </c>
      <c r="H1257" s="105">
        <f t="shared" ref="H1257:H1260" si="157">H1258</f>
        <v>0</v>
      </c>
      <c r="I1257" s="178" t="str">
        <f t="shared" si="155"/>
        <v>617011311 0 00 00000000</v>
      </c>
      <c r="L1257" s="26">
        <v>390.2</v>
      </c>
      <c r="M1257" s="26">
        <v>390.2</v>
      </c>
      <c r="N1257" s="26">
        <v>390.2</v>
      </c>
      <c r="O1257" s="26">
        <f t="shared" si="156"/>
        <v>-390.2</v>
      </c>
      <c r="P1257" s="26" t="e">
        <f>#REF!-M1257</f>
        <v>#REF!</v>
      </c>
      <c r="Q1257" s="26" t="e">
        <f>#REF!-N1257</f>
        <v>#REF!</v>
      </c>
      <c r="R1257" s="17" t="str">
        <f t="shared" si="152"/>
        <v>11 0 00 00000000</v>
      </c>
    </row>
    <row r="1258" spans="1:18" s="16" customFormat="1" ht="63">
      <c r="A1258" s="14"/>
      <c r="B1258" s="132" t="s">
        <v>259</v>
      </c>
      <c r="C1258" s="109" t="s">
        <v>746</v>
      </c>
      <c r="D1258" s="131" t="s">
        <v>11</v>
      </c>
      <c r="E1258" s="131" t="s">
        <v>51</v>
      </c>
      <c r="F1258" s="131" t="s">
        <v>260</v>
      </c>
      <c r="G1258" s="131" t="s">
        <v>9</v>
      </c>
      <c r="H1258" s="105">
        <f t="shared" si="157"/>
        <v>0</v>
      </c>
      <c r="I1258" s="178" t="str">
        <f t="shared" si="155"/>
        <v>617011311 Б 00 00000000</v>
      </c>
      <c r="L1258" s="26">
        <v>390.2</v>
      </c>
      <c r="M1258" s="26">
        <v>390.2</v>
      </c>
      <c r="N1258" s="26">
        <v>390.2</v>
      </c>
      <c r="O1258" s="26">
        <f t="shared" si="156"/>
        <v>-390.2</v>
      </c>
      <c r="P1258" s="26" t="e">
        <f>#REF!-M1258</f>
        <v>#REF!</v>
      </c>
      <c r="Q1258" s="26" t="e">
        <f>#REF!-N1258</f>
        <v>#REF!</v>
      </c>
      <c r="R1258" s="17" t="str">
        <f t="shared" si="152"/>
        <v>11 Б 00 00000000</v>
      </c>
    </row>
    <row r="1259" spans="1:18" s="16" customFormat="1" ht="47.25">
      <c r="A1259" s="14"/>
      <c r="B1259" s="125" t="s">
        <v>261</v>
      </c>
      <c r="C1259" s="109" t="s">
        <v>746</v>
      </c>
      <c r="D1259" s="131" t="s">
        <v>11</v>
      </c>
      <c r="E1259" s="131" t="s">
        <v>51</v>
      </c>
      <c r="F1259" s="131" t="s">
        <v>262</v>
      </c>
      <c r="G1259" s="131" t="s">
        <v>9</v>
      </c>
      <c r="H1259" s="105">
        <f>H1260+H1263</f>
        <v>0</v>
      </c>
      <c r="I1259" s="178" t="str">
        <f t="shared" si="155"/>
        <v>617011311 Б 01 00000000</v>
      </c>
      <c r="L1259" s="26">
        <v>390.2</v>
      </c>
      <c r="M1259" s="26">
        <v>390.2</v>
      </c>
      <c r="N1259" s="26">
        <v>390.2</v>
      </c>
      <c r="O1259" s="26">
        <f t="shared" si="156"/>
        <v>-390.2</v>
      </c>
      <c r="P1259" s="26" t="e">
        <f>#REF!-M1259</f>
        <v>#REF!</v>
      </c>
      <c r="Q1259" s="26" t="e">
        <f>#REF!-N1259</f>
        <v>#REF!</v>
      </c>
      <c r="R1259" s="17" t="str">
        <f t="shared" si="152"/>
        <v>11 Б 01 00000000</v>
      </c>
    </row>
    <row r="1260" spans="1:18" s="16" customFormat="1" ht="31.5">
      <c r="A1260" s="14"/>
      <c r="B1260" s="125" t="s">
        <v>756</v>
      </c>
      <c r="C1260" s="109" t="s">
        <v>746</v>
      </c>
      <c r="D1260" s="131" t="s">
        <v>11</v>
      </c>
      <c r="E1260" s="131" t="s">
        <v>51</v>
      </c>
      <c r="F1260" s="131" t="s">
        <v>757</v>
      </c>
      <c r="G1260" s="131" t="s">
        <v>9</v>
      </c>
      <c r="H1260" s="105">
        <f t="shared" si="157"/>
        <v>0</v>
      </c>
      <c r="I1260" s="178" t="str">
        <f t="shared" si="155"/>
        <v>617011311 Б 01 20840000</v>
      </c>
      <c r="L1260" s="26">
        <v>350</v>
      </c>
      <c r="M1260" s="26">
        <v>350</v>
      </c>
      <c r="N1260" s="26">
        <v>350</v>
      </c>
      <c r="O1260" s="26">
        <f t="shared" si="156"/>
        <v>-350</v>
      </c>
      <c r="P1260" s="26" t="e">
        <f>#REF!-M1260</f>
        <v>#REF!</v>
      </c>
      <c r="Q1260" s="26" t="e">
        <f>#REF!-N1260</f>
        <v>#REF!</v>
      </c>
      <c r="R1260" s="17" t="str">
        <f t="shared" si="152"/>
        <v>11 Б 01 20840000</v>
      </c>
    </row>
    <row r="1261" spans="1:18" s="16" customFormat="1" ht="31.5">
      <c r="A1261" s="14"/>
      <c r="B1261" s="125" t="s">
        <v>28</v>
      </c>
      <c r="C1261" s="109" t="s">
        <v>746</v>
      </c>
      <c r="D1261" s="131" t="s">
        <v>11</v>
      </c>
      <c r="E1261" s="131" t="s">
        <v>51</v>
      </c>
      <c r="F1261" s="131" t="s">
        <v>757</v>
      </c>
      <c r="G1261" s="131" t="s">
        <v>29</v>
      </c>
      <c r="H1261" s="126">
        <f>H1262</f>
        <v>0</v>
      </c>
      <c r="I1261" s="178" t="str">
        <f t="shared" si="155"/>
        <v>617011311 Б 01 20840240</v>
      </c>
      <c r="L1261" s="26">
        <v>350</v>
      </c>
      <c r="M1261" s="26">
        <v>350</v>
      </c>
      <c r="N1261" s="26">
        <v>350</v>
      </c>
      <c r="O1261" s="26">
        <f t="shared" si="156"/>
        <v>-350</v>
      </c>
      <c r="P1261" s="26" t="e">
        <f>#REF!-M1261</f>
        <v>#REF!</v>
      </c>
      <c r="Q1261" s="26" t="e">
        <f>#REF!-N1261</f>
        <v>#REF!</v>
      </c>
      <c r="R1261" s="17" t="str">
        <f t="shared" si="152"/>
        <v>11 Б 01 20840240</v>
      </c>
    </row>
    <row r="1262" spans="1:18" s="16" customFormat="1" ht="15.75">
      <c r="A1262" s="14"/>
      <c r="B1262" s="125" t="s">
        <v>30</v>
      </c>
      <c r="C1262" s="109" t="s">
        <v>746</v>
      </c>
      <c r="D1262" s="131" t="s">
        <v>11</v>
      </c>
      <c r="E1262" s="131" t="s">
        <v>51</v>
      </c>
      <c r="F1262" s="131" t="s">
        <v>757</v>
      </c>
      <c r="G1262" s="131" t="s">
        <v>31</v>
      </c>
      <c r="H1262" s="126"/>
      <c r="I1262" s="178" t="str">
        <f t="shared" si="155"/>
        <v>617011311 Б 01 20840244</v>
      </c>
      <c r="L1262" s="26"/>
      <c r="M1262" s="26"/>
      <c r="N1262" s="26"/>
      <c r="O1262" s="26"/>
      <c r="P1262" s="26"/>
      <c r="Q1262" s="26"/>
      <c r="R1262" s="17"/>
    </row>
    <row r="1263" spans="1:18" s="16" customFormat="1" ht="31.5">
      <c r="A1263" s="14"/>
      <c r="B1263" s="125" t="s">
        <v>267</v>
      </c>
      <c r="C1263" s="109" t="s">
        <v>746</v>
      </c>
      <c r="D1263" s="108" t="s">
        <v>11</v>
      </c>
      <c r="E1263" s="108" t="s">
        <v>51</v>
      </c>
      <c r="F1263" s="14" t="s">
        <v>268</v>
      </c>
      <c r="G1263" s="108" t="s">
        <v>9</v>
      </c>
      <c r="H1263" s="126">
        <f>H1264</f>
        <v>0</v>
      </c>
      <c r="I1263" s="178" t="str">
        <f t="shared" si="155"/>
        <v>617011311 Б 01 21120000</v>
      </c>
      <c r="L1263" s="20">
        <v>40.200000000000003</v>
      </c>
      <c r="M1263" s="20">
        <v>40.200000000000003</v>
      </c>
      <c r="N1263" s="20">
        <v>40.200000000000003</v>
      </c>
      <c r="O1263" s="20">
        <f>H1263-L1263</f>
        <v>-40.200000000000003</v>
      </c>
      <c r="P1263" s="20" t="e">
        <f>#REF!-M1263</f>
        <v>#REF!</v>
      </c>
      <c r="Q1263" s="20" t="e">
        <f>#REF!-N1263</f>
        <v>#REF!</v>
      </c>
      <c r="R1263" s="17" t="str">
        <f t="shared" si="152"/>
        <v>11 Б 01 21120000</v>
      </c>
    </row>
    <row r="1264" spans="1:18" s="16" customFormat="1" ht="31.5">
      <c r="A1264" s="14"/>
      <c r="B1264" s="125" t="s">
        <v>28</v>
      </c>
      <c r="C1264" s="109" t="s">
        <v>746</v>
      </c>
      <c r="D1264" s="108" t="s">
        <v>11</v>
      </c>
      <c r="E1264" s="108" t="s">
        <v>51</v>
      </c>
      <c r="F1264" s="14" t="s">
        <v>268</v>
      </c>
      <c r="G1264" s="108" t="s">
        <v>29</v>
      </c>
      <c r="H1264" s="126">
        <f>H1265</f>
        <v>0</v>
      </c>
      <c r="I1264" s="178" t="str">
        <f t="shared" si="155"/>
        <v>617011311 Б 01 21120240</v>
      </c>
      <c r="L1264" s="20">
        <v>40.200000000000003</v>
      </c>
      <c r="M1264" s="20">
        <v>40.200000000000003</v>
      </c>
      <c r="N1264" s="20">
        <v>40.200000000000003</v>
      </c>
      <c r="O1264" s="20">
        <f>H1264-L1264</f>
        <v>-40.200000000000003</v>
      </c>
      <c r="P1264" s="20" t="e">
        <f>#REF!-M1264</f>
        <v>#REF!</v>
      </c>
      <c r="Q1264" s="20" t="e">
        <f>#REF!-N1264</f>
        <v>#REF!</v>
      </c>
      <c r="R1264" s="17" t="str">
        <f t="shared" si="152"/>
        <v>11 Б 01 21120240</v>
      </c>
    </row>
    <row r="1265" spans="1:18" s="16" customFormat="1" ht="15.75">
      <c r="A1265" s="14"/>
      <c r="B1265" s="125" t="s">
        <v>30</v>
      </c>
      <c r="C1265" s="109" t="s">
        <v>746</v>
      </c>
      <c r="D1265" s="108" t="s">
        <v>11</v>
      </c>
      <c r="E1265" s="108" t="s">
        <v>51</v>
      </c>
      <c r="F1265" s="14" t="s">
        <v>268</v>
      </c>
      <c r="G1265" s="108" t="s">
        <v>31</v>
      </c>
      <c r="H1265" s="126"/>
      <c r="I1265" s="178" t="str">
        <f t="shared" si="155"/>
        <v>617011311 Б 01 21120244</v>
      </c>
      <c r="L1265" s="20"/>
      <c r="M1265" s="20"/>
      <c r="N1265" s="20"/>
      <c r="O1265" s="20"/>
      <c r="P1265" s="20"/>
      <c r="Q1265" s="20"/>
      <c r="R1265" s="17"/>
    </row>
    <row r="1266" spans="1:18" s="16" customFormat="1" ht="63">
      <c r="A1266" s="14"/>
      <c r="B1266" s="127" t="s">
        <v>87</v>
      </c>
      <c r="C1266" s="109" t="s">
        <v>746</v>
      </c>
      <c r="D1266" s="108" t="s">
        <v>11</v>
      </c>
      <c r="E1266" s="108" t="s">
        <v>51</v>
      </c>
      <c r="F1266" s="14" t="s">
        <v>88</v>
      </c>
      <c r="G1266" s="108" t="s">
        <v>9</v>
      </c>
      <c r="H1266" s="126">
        <f>H1267</f>
        <v>0</v>
      </c>
      <c r="I1266" s="178" t="str">
        <f t="shared" si="155"/>
        <v>617011398 0 00 00000000</v>
      </c>
      <c r="L1266" s="20">
        <v>1355</v>
      </c>
      <c r="M1266" s="20">
        <v>0</v>
      </c>
      <c r="N1266" s="20">
        <v>0</v>
      </c>
      <c r="O1266" s="20">
        <f>H1266-L1266</f>
        <v>-1355</v>
      </c>
      <c r="P1266" s="20" t="e">
        <f>#REF!-M1266</f>
        <v>#REF!</v>
      </c>
      <c r="Q1266" s="20" t="e">
        <f>#REF!-N1266</f>
        <v>#REF!</v>
      </c>
      <c r="R1266" s="17" t="str">
        <f t="shared" si="152"/>
        <v>98 0 00 00000000</v>
      </c>
    </row>
    <row r="1267" spans="1:18" s="16" customFormat="1" ht="15.75">
      <c r="A1267" s="14"/>
      <c r="B1267" s="127" t="s">
        <v>89</v>
      </c>
      <c r="C1267" s="109" t="s">
        <v>746</v>
      </c>
      <c r="D1267" s="108" t="s">
        <v>11</v>
      </c>
      <c r="E1267" s="108" t="s">
        <v>51</v>
      </c>
      <c r="F1267" s="14" t="s">
        <v>90</v>
      </c>
      <c r="G1267" s="108" t="s">
        <v>9</v>
      </c>
      <c r="H1267" s="126">
        <f>H1268</f>
        <v>0</v>
      </c>
      <c r="I1267" s="178" t="str">
        <f t="shared" si="155"/>
        <v>617011398 1 00 00000000</v>
      </c>
      <c r="L1267" s="20">
        <v>1355</v>
      </c>
      <c r="M1267" s="20">
        <v>0</v>
      </c>
      <c r="N1267" s="20">
        <v>0</v>
      </c>
      <c r="O1267" s="20">
        <f>H1267-L1267</f>
        <v>-1355</v>
      </c>
      <c r="P1267" s="20" t="e">
        <f>#REF!-M1267</f>
        <v>#REF!</v>
      </c>
      <c r="Q1267" s="20" t="e">
        <f>#REF!-N1267</f>
        <v>#REF!</v>
      </c>
      <c r="R1267" s="17" t="str">
        <f t="shared" si="152"/>
        <v>98 1 00 00000000</v>
      </c>
    </row>
    <row r="1268" spans="1:18" s="16" customFormat="1" ht="78.75">
      <c r="A1268" s="14"/>
      <c r="B1268" s="127" t="s">
        <v>758</v>
      </c>
      <c r="C1268" s="109" t="s">
        <v>746</v>
      </c>
      <c r="D1268" s="108" t="s">
        <v>11</v>
      </c>
      <c r="E1268" s="108" t="s">
        <v>51</v>
      </c>
      <c r="F1268" s="14" t="s">
        <v>759</v>
      </c>
      <c r="G1268" s="108" t="s">
        <v>9</v>
      </c>
      <c r="H1268" s="126">
        <f>H1269</f>
        <v>0</v>
      </c>
      <c r="I1268" s="178" t="str">
        <f t="shared" si="155"/>
        <v>617011398 1 00 21020000</v>
      </c>
      <c r="L1268" s="20">
        <v>1355</v>
      </c>
      <c r="M1268" s="20">
        <v>0</v>
      </c>
      <c r="N1268" s="20">
        <v>0</v>
      </c>
      <c r="O1268" s="20">
        <f>H1268-L1268</f>
        <v>-1355</v>
      </c>
      <c r="P1268" s="20" t="e">
        <f>#REF!-M1268</f>
        <v>#REF!</v>
      </c>
      <c r="Q1268" s="20" t="e">
        <f>#REF!-N1268</f>
        <v>#REF!</v>
      </c>
      <c r="R1268" s="17" t="str">
        <f t="shared" si="152"/>
        <v>98 1 00 21020000</v>
      </c>
    </row>
    <row r="1269" spans="1:18" s="16" customFormat="1" ht="31.5">
      <c r="A1269" s="14"/>
      <c r="B1269" s="125" t="s">
        <v>28</v>
      </c>
      <c r="C1269" s="109" t="s">
        <v>746</v>
      </c>
      <c r="D1269" s="108" t="s">
        <v>11</v>
      </c>
      <c r="E1269" s="108" t="s">
        <v>51</v>
      </c>
      <c r="F1269" s="14" t="s">
        <v>759</v>
      </c>
      <c r="G1269" s="131" t="s">
        <v>29</v>
      </c>
      <c r="H1269" s="126">
        <f>H1270</f>
        <v>0</v>
      </c>
      <c r="I1269" s="178" t="str">
        <f t="shared" si="155"/>
        <v>617011398 1 00 21020240</v>
      </c>
      <c r="L1269" s="20">
        <v>1355</v>
      </c>
      <c r="M1269" s="20">
        <v>0</v>
      </c>
      <c r="N1269" s="20">
        <v>0</v>
      </c>
      <c r="O1269" s="20">
        <f>H1269-L1269</f>
        <v>-1355</v>
      </c>
      <c r="P1269" s="20" t="e">
        <f>#REF!-M1269</f>
        <v>#REF!</v>
      </c>
      <c r="Q1269" s="20" t="e">
        <f>#REF!-N1269</f>
        <v>#REF!</v>
      </c>
      <c r="R1269" s="17" t="str">
        <f t="shared" si="152"/>
        <v>98 1 00 21020240</v>
      </c>
    </row>
    <row r="1270" spans="1:18" s="16" customFormat="1" ht="15.75">
      <c r="A1270" s="14"/>
      <c r="B1270" s="125" t="s">
        <v>30</v>
      </c>
      <c r="C1270" s="109" t="s">
        <v>746</v>
      </c>
      <c r="D1270" s="108" t="s">
        <v>11</v>
      </c>
      <c r="E1270" s="108" t="s">
        <v>51</v>
      </c>
      <c r="F1270" s="14" t="s">
        <v>759</v>
      </c>
      <c r="G1270" s="131" t="s">
        <v>31</v>
      </c>
      <c r="H1270" s="126"/>
      <c r="I1270" s="178" t="str">
        <f t="shared" si="155"/>
        <v>617011398 1 00 21020244</v>
      </c>
      <c r="L1270" s="20"/>
      <c r="M1270" s="20"/>
      <c r="N1270" s="20"/>
      <c r="O1270" s="20"/>
      <c r="P1270" s="20"/>
      <c r="Q1270" s="20"/>
      <c r="R1270" s="17"/>
    </row>
    <row r="1271" spans="1:18" s="16" customFormat="1" ht="15.75">
      <c r="A1271" s="14"/>
      <c r="B1271" s="117" t="s">
        <v>195</v>
      </c>
      <c r="C1271" s="118" t="s">
        <v>746</v>
      </c>
      <c r="D1271" s="119" t="s">
        <v>73</v>
      </c>
      <c r="E1271" s="119" t="s">
        <v>7</v>
      </c>
      <c r="F1271" s="119" t="s">
        <v>8</v>
      </c>
      <c r="G1271" s="119" t="s">
        <v>9</v>
      </c>
      <c r="H1271" s="120">
        <f t="shared" ref="H1271:H1274" si="158">H1272</f>
        <v>0</v>
      </c>
      <c r="I1271" s="178" t="str">
        <f t="shared" si="155"/>
        <v>617040000 0 00 00000000</v>
      </c>
      <c r="L1271" s="18">
        <v>74504.899999999994</v>
      </c>
      <c r="M1271" s="18">
        <v>81217.409999999989</v>
      </c>
      <c r="N1271" s="18">
        <v>88601.17</v>
      </c>
      <c r="O1271" s="18">
        <f t="shared" ref="O1271:O1277" si="159">H1271-L1271</f>
        <v>-74504.899999999994</v>
      </c>
      <c r="P1271" s="18" t="e">
        <f>#REF!-M1271</f>
        <v>#REF!</v>
      </c>
      <c r="Q1271" s="18" t="e">
        <f>#REF!-N1271</f>
        <v>#REF!</v>
      </c>
      <c r="R1271" s="17" t="str">
        <f t="shared" si="152"/>
        <v>00 0 00 00000000</v>
      </c>
    </row>
    <row r="1272" spans="1:18" s="16" customFormat="1" ht="15.75">
      <c r="A1272" s="14"/>
      <c r="B1272" s="121" t="s">
        <v>760</v>
      </c>
      <c r="C1272" s="122" t="s">
        <v>746</v>
      </c>
      <c r="D1272" s="123" t="s">
        <v>73</v>
      </c>
      <c r="E1272" s="123" t="s">
        <v>471</v>
      </c>
      <c r="F1272" s="123" t="s">
        <v>8</v>
      </c>
      <c r="G1272" s="123" t="s">
        <v>9</v>
      </c>
      <c r="H1272" s="124">
        <f t="shared" si="158"/>
        <v>0</v>
      </c>
      <c r="I1272" s="178" t="str">
        <f t="shared" si="155"/>
        <v>617040900 0 00 00000000</v>
      </c>
      <c r="L1272" s="19">
        <v>74504.899999999994</v>
      </c>
      <c r="M1272" s="19">
        <v>81217.409999999989</v>
      </c>
      <c r="N1272" s="19">
        <v>88601.17</v>
      </c>
      <c r="O1272" s="19">
        <f t="shared" si="159"/>
        <v>-74504.899999999994</v>
      </c>
      <c r="P1272" s="19" t="e">
        <f>#REF!-M1272</f>
        <v>#REF!</v>
      </c>
      <c r="Q1272" s="19" t="e">
        <f>#REF!-N1272</f>
        <v>#REF!</v>
      </c>
      <c r="R1272" s="17" t="str">
        <f t="shared" si="152"/>
        <v>00 0 00 00000000</v>
      </c>
    </row>
    <row r="1273" spans="1:18" s="16" customFormat="1" ht="63">
      <c r="A1273" s="14"/>
      <c r="B1273" s="127" t="s">
        <v>293</v>
      </c>
      <c r="C1273" s="130" t="s">
        <v>746</v>
      </c>
      <c r="D1273" s="131" t="s">
        <v>73</v>
      </c>
      <c r="E1273" s="131" t="s">
        <v>471</v>
      </c>
      <c r="F1273" s="131" t="s">
        <v>294</v>
      </c>
      <c r="G1273" s="131" t="s">
        <v>9</v>
      </c>
      <c r="H1273" s="105">
        <f t="shared" si="158"/>
        <v>0</v>
      </c>
      <c r="I1273" s="178" t="str">
        <f t="shared" si="155"/>
        <v>617040904 0 00 00000000</v>
      </c>
      <c r="L1273" s="26">
        <v>74504.899999999994</v>
      </c>
      <c r="M1273" s="26">
        <v>81217.409999999989</v>
      </c>
      <c r="N1273" s="26">
        <v>88601.17</v>
      </c>
      <c r="O1273" s="26">
        <f t="shared" si="159"/>
        <v>-74504.899999999994</v>
      </c>
      <c r="P1273" s="26" t="e">
        <f>#REF!-M1273</f>
        <v>#REF!</v>
      </c>
      <c r="Q1273" s="26" t="e">
        <f>#REF!-N1273</f>
        <v>#REF!</v>
      </c>
      <c r="R1273" s="17" t="str">
        <f t="shared" si="152"/>
        <v>04 0 00 00000000</v>
      </c>
    </row>
    <row r="1274" spans="1:18" s="16" customFormat="1" ht="63">
      <c r="A1274" s="14"/>
      <c r="B1274" s="140" t="s">
        <v>295</v>
      </c>
      <c r="C1274" s="130" t="s">
        <v>746</v>
      </c>
      <c r="D1274" s="131" t="s">
        <v>73</v>
      </c>
      <c r="E1274" s="131" t="s">
        <v>471</v>
      </c>
      <c r="F1274" s="131" t="s">
        <v>296</v>
      </c>
      <c r="G1274" s="131" t="s">
        <v>9</v>
      </c>
      <c r="H1274" s="105">
        <f t="shared" si="158"/>
        <v>0</v>
      </c>
      <c r="I1274" s="178" t="str">
        <f t="shared" si="155"/>
        <v>617040904 2 00 00000000</v>
      </c>
      <c r="L1274" s="26">
        <v>74504.899999999994</v>
      </c>
      <c r="M1274" s="26">
        <v>81217.409999999989</v>
      </c>
      <c r="N1274" s="26">
        <v>88601.17</v>
      </c>
      <c r="O1274" s="26">
        <f t="shared" si="159"/>
        <v>-74504.899999999994</v>
      </c>
      <c r="P1274" s="26" t="e">
        <f>#REF!-M1274</f>
        <v>#REF!</v>
      </c>
      <c r="Q1274" s="26" t="e">
        <f>#REF!-N1274</f>
        <v>#REF!</v>
      </c>
      <c r="R1274" s="17" t="str">
        <f t="shared" si="152"/>
        <v>04 2 00 00000000</v>
      </c>
    </row>
    <row r="1275" spans="1:18" s="16" customFormat="1" ht="63">
      <c r="A1275" s="14"/>
      <c r="B1275" s="140" t="s">
        <v>297</v>
      </c>
      <c r="C1275" s="130" t="s">
        <v>746</v>
      </c>
      <c r="D1275" s="131" t="s">
        <v>73</v>
      </c>
      <c r="E1275" s="131" t="s">
        <v>471</v>
      </c>
      <c r="F1275" s="131" t="s">
        <v>298</v>
      </c>
      <c r="G1275" s="131" t="s">
        <v>9</v>
      </c>
      <c r="H1275" s="105">
        <f>H1279+H1276+H1282</f>
        <v>0</v>
      </c>
      <c r="I1275" s="178" t="str">
        <f t="shared" si="155"/>
        <v>617040904 2 02 00000000</v>
      </c>
      <c r="L1275" s="26">
        <v>74504.899999999994</v>
      </c>
      <c r="M1275" s="26">
        <v>81217.409999999989</v>
      </c>
      <c r="N1275" s="26">
        <v>88601.17</v>
      </c>
      <c r="O1275" s="26">
        <f t="shared" si="159"/>
        <v>-74504.899999999994</v>
      </c>
      <c r="P1275" s="26" t="e">
        <f>#REF!-M1275</f>
        <v>#REF!</v>
      </c>
      <c r="Q1275" s="26" t="e">
        <f>#REF!-N1275</f>
        <v>#REF!</v>
      </c>
      <c r="R1275" s="17" t="str">
        <f t="shared" si="152"/>
        <v>04 2 02 00000000</v>
      </c>
    </row>
    <row r="1276" spans="1:18" s="47" customFormat="1" ht="47.25">
      <c r="A1276" s="46"/>
      <c r="B1276" s="125" t="s">
        <v>761</v>
      </c>
      <c r="C1276" s="109" t="s">
        <v>746</v>
      </c>
      <c r="D1276" s="108" t="s">
        <v>73</v>
      </c>
      <c r="E1276" s="108" t="s">
        <v>471</v>
      </c>
      <c r="F1276" s="108" t="s">
        <v>762</v>
      </c>
      <c r="G1276" s="108" t="s">
        <v>9</v>
      </c>
      <c r="H1276" s="126">
        <f>H1277</f>
        <v>0</v>
      </c>
      <c r="I1276" s="178" t="str">
        <f t="shared" si="155"/>
        <v>617040904 2 02 20820000</v>
      </c>
      <c r="L1276" s="20">
        <v>10379.76</v>
      </c>
      <c r="M1276" s="20">
        <v>10379.76</v>
      </c>
      <c r="N1276" s="20">
        <v>10379.76</v>
      </c>
      <c r="O1276" s="20">
        <f t="shared" si="159"/>
        <v>-10379.76</v>
      </c>
      <c r="P1276" s="20" t="e">
        <f>#REF!-M1276</f>
        <v>#REF!</v>
      </c>
      <c r="Q1276" s="20" t="e">
        <f>#REF!-N1276</f>
        <v>#REF!</v>
      </c>
      <c r="R1276" s="17" t="str">
        <f t="shared" si="152"/>
        <v>04 2 02 20820000</v>
      </c>
    </row>
    <row r="1277" spans="1:18" s="47" customFormat="1" ht="31.5">
      <c r="A1277" s="46"/>
      <c r="B1277" s="125" t="s">
        <v>28</v>
      </c>
      <c r="C1277" s="109" t="s">
        <v>746</v>
      </c>
      <c r="D1277" s="108" t="s">
        <v>73</v>
      </c>
      <c r="E1277" s="108" t="s">
        <v>471</v>
      </c>
      <c r="F1277" s="108" t="s">
        <v>762</v>
      </c>
      <c r="G1277" s="108" t="s">
        <v>29</v>
      </c>
      <c r="H1277" s="126">
        <f>H1278</f>
        <v>0</v>
      </c>
      <c r="I1277" s="178" t="str">
        <f t="shared" si="155"/>
        <v>617040904 2 02 20820240</v>
      </c>
      <c r="L1277" s="20">
        <v>10379.76</v>
      </c>
      <c r="M1277" s="20">
        <v>10379.76</v>
      </c>
      <c r="N1277" s="20">
        <v>10379.76</v>
      </c>
      <c r="O1277" s="20">
        <f t="shared" si="159"/>
        <v>-10379.76</v>
      </c>
      <c r="P1277" s="20" t="e">
        <f>#REF!-M1277</f>
        <v>#REF!</v>
      </c>
      <c r="Q1277" s="20" t="e">
        <f>#REF!-N1277</f>
        <v>#REF!</v>
      </c>
      <c r="R1277" s="17" t="str">
        <f t="shared" si="152"/>
        <v>04 2 02 20820240</v>
      </c>
    </row>
    <row r="1278" spans="1:18" s="47" customFormat="1" ht="15.75">
      <c r="A1278" s="46"/>
      <c r="B1278" s="125" t="s">
        <v>30</v>
      </c>
      <c r="C1278" s="109" t="s">
        <v>746</v>
      </c>
      <c r="D1278" s="108" t="s">
        <v>73</v>
      </c>
      <c r="E1278" s="108" t="s">
        <v>471</v>
      </c>
      <c r="F1278" s="108" t="s">
        <v>762</v>
      </c>
      <c r="G1278" s="108" t="s">
        <v>31</v>
      </c>
      <c r="H1278" s="126"/>
      <c r="I1278" s="178" t="str">
        <f t="shared" si="155"/>
        <v>617040904 2 02 20820244</v>
      </c>
      <c r="L1278" s="20"/>
      <c r="M1278" s="20"/>
      <c r="N1278" s="20"/>
      <c r="O1278" s="20"/>
      <c r="P1278" s="20"/>
      <c r="Q1278" s="20"/>
      <c r="R1278" s="17"/>
    </row>
    <row r="1279" spans="1:18" s="16" customFormat="1" ht="31.5">
      <c r="A1279" s="14"/>
      <c r="B1279" s="125" t="s">
        <v>763</v>
      </c>
      <c r="C1279" s="109" t="s">
        <v>746</v>
      </c>
      <c r="D1279" s="108" t="s">
        <v>73</v>
      </c>
      <c r="E1279" s="108" t="s">
        <v>471</v>
      </c>
      <c r="F1279" s="108" t="s">
        <v>764</v>
      </c>
      <c r="G1279" s="108" t="s">
        <v>9</v>
      </c>
      <c r="H1279" s="126">
        <f>H1280</f>
        <v>0</v>
      </c>
      <c r="I1279" s="178" t="str">
        <f t="shared" si="155"/>
        <v>617040904 2 02 21090000</v>
      </c>
      <c r="L1279" s="20">
        <v>64125.14</v>
      </c>
      <c r="M1279" s="20">
        <v>70837.649999999994</v>
      </c>
      <c r="N1279" s="20">
        <v>78221.41</v>
      </c>
      <c r="O1279" s="20">
        <f>H1279-L1279</f>
        <v>-64125.14</v>
      </c>
      <c r="P1279" s="20" t="e">
        <f>#REF!-M1279</f>
        <v>#REF!</v>
      </c>
      <c r="Q1279" s="20" t="e">
        <f>#REF!-N1279</f>
        <v>#REF!</v>
      </c>
      <c r="R1279" s="17" t="str">
        <f t="shared" si="152"/>
        <v>04 2 02 21090000</v>
      </c>
    </row>
    <row r="1280" spans="1:18" s="16" customFormat="1" ht="31.5">
      <c r="A1280" s="14"/>
      <c r="B1280" s="125" t="s">
        <v>28</v>
      </c>
      <c r="C1280" s="109" t="s">
        <v>746</v>
      </c>
      <c r="D1280" s="108" t="s">
        <v>73</v>
      </c>
      <c r="E1280" s="108" t="s">
        <v>471</v>
      </c>
      <c r="F1280" s="108" t="s">
        <v>764</v>
      </c>
      <c r="G1280" s="108" t="s">
        <v>29</v>
      </c>
      <c r="H1280" s="126">
        <f>H1281</f>
        <v>0</v>
      </c>
      <c r="I1280" s="178" t="str">
        <f t="shared" si="155"/>
        <v>617040904 2 02 21090240</v>
      </c>
      <c r="L1280" s="20">
        <v>64125.14</v>
      </c>
      <c r="M1280" s="20">
        <v>70837.649999999994</v>
      </c>
      <c r="N1280" s="20">
        <v>78221.41</v>
      </c>
      <c r="O1280" s="20">
        <f>H1280-L1280</f>
        <v>-64125.14</v>
      </c>
      <c r="P1280" s="20" t="e">
        <f>#REF!-M1280</f>
        <v>#REF!</v>
      </c>
      <c r="Q1280" s="20" t="e">
        <f>#REF!-N1280</f>
        <v>#REF!</v>
      </c>
      <c r="R1280" s="17" t="str">
        <f t="shared" si="152"/>
        <v>04 2 02 21090240</v>
      </c>
    </row>
    <row r="1281" spans="1:18" s="16" customFormat="1" ht="15.75">
      <c r="A1281" s="14"/>
      <c r="B1281" s="125" t="s">
        <v>30</v>
      </c>
      <c r="C1281" s="109" t="s">
        <v>746</v>
      </c>
      <c r="D1281" s="108" t="s">
        <v>73</v>
      </c>
      <c r="E1281" s="108" t="s">
        <v>471</v>
      </c>
      <c r="F1281" s="108" t="s">
        <v>764</v>
      </c>
      <c r="G1281" s="108" t="s">
        <v>31</v>
      </c>
      <c r="H1281" s="126"/>
      <c r="I1281" s="178" t="str">
        <f t="shared" si="155"/>
        <v>617040904 2 02 21090244</v>
      </c>
      <c r="L1281" s="20"/>
      <c r="M1281" s="20"/>
      <c r="N1281" s="20"/>
      <c r="O1281" s="20"/>
      <c r="P1281" s="20"/>
      <c r="Q1281" s="20"/>
      <c r="R1281" s="17"/>
    </row>
    <row r="1282" spans="1:18" s="16" customFormat="1" ht="98.25" customHeight="1">
      <c r="A1282" s="14"/>
      <c r="B1282" s="125" t="s">
        <v>1075</v>
      </c>
      <c r="C1282" s="109" t="s">
        <v>746</v>
      </c>
      <c r="D1282" s="108" t="s">
        <v>73</v>
      </c>
      <c r="E1282" s="108" t="s">
        <v>471</v>
      </c>
      <c r="F1282" s="108" t="s">
        <v>1076</v>
      </c>
      <c r="G1282" s="108" t="s">
        <v>9</v>
      </c>
      <c r="H1282" s="126">
        <f>H1283</f>
        <v>0</v>
      </c>
      <c r="I1282" s="178" t="str">
        <f t="shared" si="155"/>
        <v>617040904 2 02 21410000</v>
      </c>
      <c r="L1282" s="20"/>
      <c r="M1282" s="20"/>
      <c r="N1282" s="20"/>
      <c r="O1282" s="20"/>
      <c r="P1282" s="20"/>
      <c r="Q1282" s="20"/>
      <c r="R1282" s="17"/>
    </row>
    <row r="1283" spans="1:18" s="16" customFormat="1" ht="31.5">
      <c r="A1283" s="14"/>
      <c r="B1283" s="125" t="s">
        <v>28</v>
      </c>
      <c r="C1283" s="109" t="s">
        <v>746</v>
      </c>
      <c r="D1283" s="108" t="s">
        <v>73</v>
      </c>
      <c r="E1283" s="108" t="s">
        <v>471</v>
      </c>
      <c r="F1283" s="108" t="s">
        <v>1076</v>
      </c>
      <c r="G1283" s="108" t="s">
        <v>29</v>
      </c>
      <c r="H1283" s="126">
        <f>H1284</f>
        <v>0</v>
      </c>
      <c r="I1283" s="178" t="str">
        <f t="shared" si="155"/>
        <v>617040904 2 02 21410240</v>
      </c>
      <c r="L1283" s="20"/>
      <c r="M1283" s="20"/>
      <c r="N1283" s="20"/>
      <c r="O1283" s="20"/>
      <c r="P1283" s="20"/>
      <c r="Q1283" s="20"/>
      <c r="R1283" s="17"/>
    </row>
    <row r="1284" spans="1:18" s="16" customFormat="1" ht="15.75">
      <c r="A1284" s="14"/>
      <c r="B1284" s="125" t="s">
        <v>30</v>
      </c>
      <c r="C1284" s="109" t="s">
        <v>746</v>
      </c>
      <c r="D1284" s="108" t="s">
        <v>73</v>
      </c>
      <c r="E1284" s="108" t="s">
        <v>471</v>
      </c>
      <c r="F1284" s="108" t="s">
        <v>1076</v>
      </c>
      <c r="G1284" s="108" t="s">
        <v>31</v>
      </c>
      <c r="H1284" s="126"/>
      <c r="I1284" s="178" t="str">
        <f t="shared" si="155"/>
        <v>617040904 2 02 21410244</v>
      </c>
      <c r="L1284" s="20"/>
      <c r="M1284" s="20"/>
      <c r="N1284" s="20"/>
      <c r="O1284" s="20"/>
      <c r="P1284" s="20"/>
      <c r="Q1284" s="20"/>
      <c r="R1284" s="17"/>
    </row>
    <row r="1285" spans="1:18" s="16" customFormat="1" ht="15.75">
      <c r="A1285" s="14"/>
      <c r="B1285" s="117" t="s">
        <v>305</v>
      </c>
      <c r="C1285" s="118" t="s">
        <v>746</v>
      </c>
      <c r="D1285" s="119" t="s">
        <v>86</v>
      </c>
      <c r="E1285" s="119" t="s">
        <v>7</v>
      </c>
      <c r="F1285" s="119" t="s">
        <v>8</v>
      </c>
      <c r="G1285" s="119" t="s">
        <v>9</v>
      </c>
      <c r="H1285" s="120">
        <f>H1286+H1294</f>
        <v>0</v>
      </c>
      <c r="I1285" s="178" t="str">
        <f t="shared" si="155"/>
        <v>617050000 0 00 00000000</v>
      </c>
      <c r="L1285" s="18">
        <v>25720.12</v>
      </c>
      <c r="M1285" s="18">
        <v>20216.12</v>
      </c>
      <c r="N1285" s="18">
        <v>20204.12</v>
      </c>
      <c r="O1285" s="18">
        <f t="shared" ref="O1285:O1291" si="160">H1285-L1285</f>
        <v>-25720.12</v>
      </c>
      <c r="P1285" s="18" t="e">
        <f>#REF!-M1285</f>
        <v>#REF!</v>
      </c>
      <c r="Q1285" s="18" t="e">
        <f>#REF!-N1285</f>
        <v>#REF!</v>
      </c>
      <c r="R1285" s="17" t="str">
        <f t="shared" si="152"/>
        <v>00 0 00 00000000</v>
      </c>
    </row>
    <row r="1286" spans="1:18" s="16" customFormat="1" ht="15.75">
      <c r="A1286" s="14"/>
      <c r="B1286" s="121" t="s">
        <v>765</v>
      </c>
      <c r="C1286" s="122" t="s">
        <v>746</v>
      </c>
      <c r="D1286" s="123" t="s">
        <v>86</v>
      </c>
      <c r="E1286" s="123" t="s">
        <v>11</v>
      </c>
      <c r="F1286" s="123" t="s">
        <v>8</v>
      </c>
      <c r="G1286" s="123" t="s">
        <v>9</v>
      </c>
      <c r="H1286" s="124">
        <f>H1287</f>
        <v>0</v>
      </c>
      <c r="I1286" s="178" t="str">
        <f t="shared" si="155"/>
        <v>617050100 0 00 00000000</v>
      </c>
      <c r="L1286" s="19">
        <v>1543</v>
      </c>
      <c r="M1286" s="19">
        <v>1539</v>
      </c>
      <c r="N1286" s="19">
        <v>1527</v>
      </c>
      <c r="O1286" s="19">
        <f t="shared" si="160"/>
        <v>-1543</v>
      </c>
      <c r="P1286" s="19" t="e">
        <f>#REF!-M1286</f>
        <v>#REF!</v>
      </c>
      <c r="Q1286" s="19" t="e">
        <f>#REF!-N1286</f>
        <v>#REF!</v>
      </c>
      <c r="R1286" s="17" t="str">
        <f t="shared" si="152"/>
        <v>00 0 00 00000000</v>
      </c>
    </row>
    <row r="1287" spans="1:18" s="16" customFormat="1" ht="63">
      <c r="A1287" s="14"/>
      <c r="B1287" s="127" t="s">
        <v>293</v>
      </c>
      <c r="C1287" s="130" t="s">
        <v>746</v>
      </c>
      <c r="D1287" s="131" t="s">
        <v>86</v>
      </c>
      <c r="E1287" s="131" t="s">
        <v>11</v>
      </c>
      <c r="F1287" s="131" t="s">
        <v>294</v>
      </c>
      <c r="G1287" s="131" t="s">
        <v>9</v>
      </c>
      <c r="H1287" s="105">
        <f t="shared" ref="H1287:H1290" si="161">H1288</f>
        <v>0</v>
      </c>
      <c r="I1287" s="178" t="str">
        <f t="shared" si="155"/>
        <v>617050104 0 00 00000000</v>
      </c>
      <c r="L1287" s="26">
        <v>1543</v>
      </c>
      <c r="M1287" s="26">
        <v>1539</v>
      </c>
      <c r="N1287" s="26">
        <v>1527</v>
      </c>
      <c r="O1287" s="26">
        <f t="shared" si="160"/>
        <v>-1543</v>
      </c>
      <c r="P1287" s="26" t="e">
        <f>#REF!-M1287</f>
        <v>#REF!</v>
      </c>
      <c r="Q1287" s="26" t="e">
        <f>#REF!-N1287</f>
        <v>#REF!</v>
      </c>
      <c r="R1287" s="17" t="str">
        <f t="shared" si="152"/>
        <v>04 0 00 00000000</v>
      </c>
    </row>
    <row r="1288" spans="1:18" s="16" customFormat="1" ht="31.5">
      <c r="A1288" s="14"/>
      <c r="B1288" s="140" t="s">
        <v>766</v>
      </c>
      <c r="C1288" s="130" t="s">
        <v>746</v>
      </c>
      <c r="D1288" s="131" t="s">
        <v>86</v>
      </c>
      <c r="E1288" s="131" t="s">
        <v>11</v>
      </c>
      <c r="F1288" s="131" t="s">
        <v>767</v>
      </c>
      <c r="G1288" s="131" t="s">
        <v>9</v>
      </c>
      <c r="H1288" s="105">
        <f t="shared" si="161"/>
        <v>0</v>
      </c>
      <c r="I1288" s="178" t="str">
        <f t="shared" si="155"/>
        <v>617050104 1 00 00000000</v>
      </c>
      <c r="L1288" s="26">
        <v>1543</v>
      </c>
      <c r="M1288" s="26">
        <v>1539</v>
      </c>
      <c r="N1288" s="26">
        <v>1527</v>
      </c>
      <c r="O1288" s="26">
        <f t="shared" si="160"/>
        <v>-1543</v>
      </c>
      <c r="P1288" s="26" t="e">
        <f>#REF!-M1288</f>
        <v>#REF!</v>
      </c>
      <c r="Q1288" s="26" t="e">
        <f>#REF!-N1288</f>
        <v>#REF!</v>
      </c>
      <c r="R1288" s="17" t="str">
        <f t="shared" si="152"/>
        <v>04 1 00 00000000</v>
      </c>
    </row>
    <row r="1289" spans="1:18" s="16" customFormat="1" ht="47.25">
      <c r="A1289" s="14"/>
      <c r="B1289" s="140" t="s">
        <v>768</v>
      </c>
      <c r="C1289" s="130" t="s">
        <v>746</v>
      </c>
      <c r="D1289" s="131" t="s">
        <v>86</v>
      </c>
      <c r="E1289" s="131" t="s">
        <v>11</v>
      </c>
      <c r="F1289" s="131" t="s">
        <v>769</v>
      </c>
      <c r="G1289" s="131" t="s">
        <v>9</v>
      </c>
      <c r="H1289" s="105">
        <f>H1290</f>
        <v>0</v>
      </c>
      <c r="I1289" s="178" t="str">
        <f t="shared" si="155"/>
        <v>617050104 1 01 00000000</v>
      </c>
      <c r="L1289" s="26">
        <v>1543</v>
      </c>
      <c r="M1289" s="26">
        <v>1539</v>
      </c>
      <c r="N1289" s="26">
        <v>1527</v>
      </c>
      <c r="O1289" s="26">
        <f t="shared" si="160"/>
        <v>-1543</v>
      </c>
      <c r="P1289" s="26" t="e">
        <f>#REF!-M1289</f>
        <v>#REF!</v>
      </c>
      <c r="Q1289" s="26" t="e">
        <f>#REF!-N1289</f>
        <v>#REF!</v>
      </c>
      <c r="R1289" s="17" t="str">
        <f t="shared" si="152"/>
        <v>04 1 01 00000000</v>
      </c>
    </row>
    <row r="1290" spans="1:18" s="16" customFormat="1" ht="31.5">
      <c r="A1290" s="14"/>
      <c r="B1290" s="125" t="s">
        <v>770</v>
      </c>
      <c r="C1290" s="130" t="s">
        <v>746</v>
      </c>
      <c r="D1290" s="131" t="s">
        <v>86</v>
      </c>
      <c r="E1290" s="131" t="s">
        <v>11</v>
      </c>
      <c r="F1290" s="131" t="s">
        <v>771</v>
      </c>
      <c r="G1290" s="131" t="s">
        <v>9</v>
      </c>
      <c r="H1290" s="105">
        <f t="shared" si="161"/>
        <v>0</v>
      </c>
      <c r="I1290" s="178" t="str">
        <f t="shared" si="155"/>
        <v>617050104 1 01 20190000</v>
      </c>
      <c r="L1290" s="26">
        <v>1543</v>
      </c>
      <c r="M1290" s="26">
        <v>1539</v>
      </c>
      <c r="N1290" s="26">
        <v>1527</v>
      </c>
      <c r="O1290" s="26">
        <f t="shared" si="160"/>
        <v>-1543</v>
      </c>
      <c r="P1290" s="26" t="e">
        <f>#REF!-M1290</f>
        <v>#REF!</v>
      </c>
      <c r="Q1290" s="26" t="e">
        <f>#REF!-N1290</f>
        <v>#REF!</v>
      </c>
      <c r="R1290" s="17" t="str">
        <f t="shared" si="152"/>
        <v>04 1 01 20190000</v>
      </c>
    </row>
    <row r="1291" spans="1:18" s="16" customFormat="1" ht="31.5">
      <c r="A1291" s="14"/>
      <c r="B1291" s="125" t="s">
        <v>28</v>
      </c>
      <c r="C1291" s="130" t="s">
        <v>746</v>
      </c>
      <c r="D1291" s="131" t="s">
        <v>86</v>
      </c>
      <c r="E1291" s="131" t="s">
        <v>11</v>
      </c>
      <c r="F1291" s="131" t="s">
        <v>771</v>
      </c>
      <c r="G1291" s="131" t="s">
        <v>29</v>
      </c>
      <c r="H1291" s="126">
        <f>SUM(H1292:H1293)</f>
        <v>0</v>
      </c>
      <c r="I1291" s="178" t="str">
        <f t="shared" si="155"/>
        <v>617050104 1 01 20190240</v>
      </c>
      <c r="L1291" s="26">
        <v>1543</v>
      </c>
      <c r="M1291" s="26">
        <v>1539</v>
      </c>
      <c r="N1291" s="26">
        <v>1527</v>
      </c>
      <c r="O1291" s="26">
        <f t="shared" si="160"/>
        <v>-1543</v>
      </c>
      <c r="P1291" s="26" t="e">
        <f>#REF!-M1291</f>
        <v>#REF!</v>
      </c>
      <c r="Q1291" s="26" t="e">
        <f>#REF!-N1291</f>
        <v>#REF!</v>
      </c>
      <c r="R1291" s="17" t="str">
        <f t="shared" si="152"/>
        <v>04 1 01 20190240</v>
      </c>
    </row>
    <row r="1292" spans="1:18" s="16" customFormat="1" ht="47.25">
      <c r="A1292" s="14"/>
      <c r="B1292" s="127" t="s">
        <v>772</v>
      </c>
      <c r="C1292" s="109" t="s">
        <v>746</v>
      </c>
      <c r="D1292" s="108" t="s">
        <v>86</v>
      </c>
      <c r="E1292" s="108" t="s">
        <v>11</v>
      </c>
      <c r="F1292" s="108" t="s">
        <v>771</v>
      </c>
      <c r="G1292" s="108" t="s">
        <v>773</v>
      </c>
      <c r="H1292" s="126"/>
      <c r="I1292" s="178" t="str">
        <f t="shared" si="155"/>
        <v>617050104 1 01 20190243</v>
      </c>
      <c r="L1292" s="26"/>
      <c r="M1292" s="26"/>
      <c r="N1292" s="26"/>
      <c r="O1292" s="26"/>
      <c r="P1292" s="26"/>
      <c r="Q1292" s="26"/>
      <c r="R1292" s="17"/>
    </row>
    <row r="1293" spans="1:18" s="16" customFormat="1" ht="15.75">
      <c r="A1293" s="14"/>
      <c r="B1293" s="125" t="s">
        <v>30</v>
      </c>
      <c r="C1293" s="109" t="s">
        <v>746</v>
      </c>
      <c r="D1293" s="108" t="s">
        <v>86</v>
      </c>
      <c r="E1293" s="108" t="s">
        <v>11</v>
      </c>
      <c r="F1293" s="108" t="s">
        <v>771</v>
      </c>
      <c r="G1293" s="108" t="s">
        <v>31</v>
      </c>
      <c r="H1293" s="126"/>
      <c r="I1293" s="178" t="str">
        <f t="shared" si="155"/>
        <v>617050104 1 01 20190244</v>
      </c>
      <c r="L1293" s="26"/>
      <c r="M1293" s="26"/>
      <c r="N1293" s="26"/>
      <c r="O1293" s="26"/>
      <c r="P1293" s="26"/>
      <c r="Q1293" s="26"/>
      <c r="R1293" s="17"/>
    </row>
    <row r="1294" spans="1:18" s="16" customFormat="1" ht="15.75">
      <c r="A1294" s="14"/>
      <c r="B1294" s="121" t="s">
        <v>306</v>
      </c>
      <c r="C1294" s="122" t="s">
        <v>746</v>
      </c>
      <c r="D1294" s="123" t="s">
        <v>86</v>
      </c>
      <c r="E1294" s="123" t="s">
        <v>13</v>
      </c>
      <c r="F1294" s="123" t="s">
        <v>8</v>
      </c>
      <c r="G1294" s="123" t="s">
        <v>9</v>
      </c>
      <c r="H1294" s="124">
        <f>H1295+H1319</f>
        <v>0</v>
      </c>
      <c r="I1294" s="178" t="str">
        <f t="shared" si="155"/>
        <v>617050300 0 00 00000000</v>
      </c>
      <c r="L1294" s="19">
        <v>24177.119999999999</v>
      </c>
      <c r="M1294" s="19">
        <v>18677.12</v>
      </c>
      <c r="N1294" s="19">
        <v>18677.12</v>
      </c>
      <c r="O1294" s="19">
        <f t="shared" ref="O1294:O1299" si="162">H1294-L1294</f>
        <v>-24177.119999999999</v>
      </c>
      <c r="P1294" s="19" t="e">
        <f>#REF!-M1294</f>
        <v>#REF!</v>
      </c>
      <c r="Q1294" s="19" t="e">
        <f>#REF!-N1294</f>
        <v>#REF!</v>
      </c>
      <c r="R1294" s="17" t="str">
        <f t="shared" si="152"/>
        <v>00 0 00 00000000</v>
      </c>
    </row>
    <row r="1295" spans="1:18" s="16" customFormat="1" ht="63">
      <c r="A1295" s="14"/>
      <c r="B1295" s="127" t="s">
        <v>293</v>
      </c>
      <c r="C1295" s="130" t="s">
        <v>746</v>
      </c>
      <c r="D1295" s="131" t="s">
        <v>86</v>
      </c>
      <c r="E1295" s="131" t="s">
        <v>13</v>
      </c>
      <c r="F1295" s="131" t="s">
        <v>294</v>
      </c>
      <c r="G1295" s="131" t="s">
        <v>9</v>
      </c>
      <c r="H1295" s="105">
        <f t="shared" ref="H1295:H1296" si="163">H1296</f>
        <v>0</v>
      </c>
      <c r="I1295" s="178" t="str">
        <f t="shared" si="155"/>
        <v>617050304 0 00 00000000</v>
      </c>
      <c r="L1295" s="26">
        <v>21677.119999999999</v>
      </c>
      <c r="M1295" s="26">
        <v>18677.12</v>
      </c>
      <c r="N1295" s="26">
        <v>18677.12</v>
      </c>
      <c r="O1295" s="26">
        <f t="shared" si="162"/>
        <v>-21677.119999999999</v>
      </c>
      <c r="P1295" s="26" t="e">
        <f>#REF!-M1295</f>
        <v>#REF!</v>
      </c>
      <c r="Q1295" s="26" t="e">
        <f>#REF!-N1295</f>
        <v>#REF!</v>
      </c>
      <c r="R1295" s="17" t="str">
        <f t="shared" si="152"/>
        <v>04 0 00 00000000</v>
      </c>
    </row>
    <row r="1296" spans="1:18" s="16" customFormat="1" ht="31.5">
      <c r="A1296" s="14"/>
      <c r="B1296" s="125" t="s">
        <v>307</v>
      </c>
      <c r="C1296" s="130" t="s">
        <v>746</v>
      </c>
      <c r="D1296" s="131" t="s">
        <v>86</v>
      </c>
      <c r="E1296" s="131" t="s">
        <v>13</v>
      </c>
      <c r="F1296" s="131" t="s">
        <v>308</v>
      </c>
      <c r="G1296" s="131" t="s">
        <v>9</v>
      </c>
      <c r="H1296" s="105">
        <f t="shared" si="163"/>
        <v>0</v>
      </c>
      <c r="I1296" s="178" t="str">
        <f t="shared" si="155"/>
        <v>617050304 3 00 00000000</v>
      </c>
      <c r="L1296" s="26">
        <v>21677.119999999999</v>
      </c>
      <c r="M1296" s="26">
        <v>18677.12</v>
      </c>
      <c r="N1296" s="26">
        <v>18677.12</v>
      </c>
      <c r="O1296" s="26">
        <f t="shared" si="162"/>
        <v>-21677.119999999999</v>
      </c>
      <c r="P1296" s="26" t="e">
        <f>#REF!-M1296</f>
        <v>#REF!</v>
      </c>
      <c r="Q1296" s="26" t="e">
        <f>#REF!-N1296</f>
        <v>#REF!</v>
      </c>
      <c r="R1296" s="17" t="str">
        <f t="shared" si="152"/>
        <v>04 3 00 00000000</v>
      </c>
    </row>
    <row r="1297" spans="1:18" s="16" customFormat="1" ht="31.5">
      <c r="A1297" s="14"/>
      <c r="B1297" s="138" t="s">
        <v>309</v>
      </c>
      <c r="C1297" s="130" t="s">
        <v>746</v>
      </c>
      <c r="D1297" s="131" t="s">
        <v>86</v>
      </c>
      <c r="E1297" s="131" t="s">
        <v>13</v>
      </c>
      <c r="F1297" s="108" t="s">
        <v>310</v>
      </c>
      <c r="G1297" s="131" t="s">
        <v>9</v>
      </c>
      <c r="H1297" s="105">
        <f>H1298+H1301+H1304+H1307+H1313</f>
        <v>0</v>
      </c>
      <c r="I1297" s="178" t="str">
        <f t="shared" si="155"/>
        <v>617050304 3 04 00000000</v>
      </c>
      <c r="L1297" s="26">
        <v>21677.119999999999</v>
      </c>
      <c r="M1297" s="26">
        <v>18677.12</v>
      </c>
      <c r="N1297" s="26">
        <v>18677.12</v>
      </c>
      <c r="O1297" s="26">
        <f t="shared" si="162"/>
        <v>-21677.119999999999</v>
      </c>
      <c r="P1297" s="26" t="e">
        <f>#REF!-M1297</f>
        <v>#REF!</v>
      </c>
      <c r="Q1297" s="26" t="e">
        <f>#REF!-N1297</f>
        <v>#REF!</v>
      </c>
      <c r="R1297" s="17" t="str">
        <f t="shared" si="152"/>
        <v>04 3 04 00000000</v>
      </c>
    </row>
    <row r="1298" spans="1:18" s="16" customFormat="1" ht="31.5">
      <c r="A1298" s="14"/>
      <c r="B1298" s="125" t="s">
        <v>542</v>
      </c>
      <c r="C1298" s="130" t="s">
        <v>746</v>
      </c>
      <c r="D1298" s="131" t="s">
        <v>86</v>
      </c>
      <c r="E1298" s="131" t="s">
        <v>13</v>
      </c>
      <c r="F1298" s="131" t="s">
        <v>543</v>
      </c>
      <c r="G1298" s="131" t="s">
        <v>9</v>
      </c>
      <c r="H1298" s="105">
        <f>H1299</f>
        <v>0</v>
      </c>
      <c r="I1298" s="178" t="str">
        <f t="shared" si="155"/>
        <v>617050304 3 04 20300000</v>
      </c>
      <c r="L1298" s="26">
        <v>8259.32</v>
      </c>
      <c r="M1298" s="26">
        <v>8259.32</v>
      </c>
      <c r="N1298" s="26">
        <v>8259.32</v>
      </c>
      <c r="O1298" s="26">
        <f t="shared" si="162"/>
        <v>-8259.32</v>
      </c>
      <c r="P1298" s="26" t="e">
        <f>#REF!-M1298</f>
        <v>#REF!</v>
      </c>
      <c r="Q1298" s="26" t="e">
        <f>#REF!-N1298</f>
        <v>#REF!</v>
      </c>
      <c r="R1298" s="17" t="str">
        <f t="shared" si="152"/>
        <v>04 3 04 20300000</v>
      </c>
    </row>
    <row r="1299" spans="1:18" s="16" customFormat="1" ht="31.5">
      <c r="A1299" s="14"/>
      <c r="B1299" s="125" t="s">
        <v>28</v>
      </c>
      <c r="C1299" s="130" t="s">
        <v>746</v>
      </c>
      <c r="D1299" s="131" t="s">
        <v>86</v>
      </c>
      <c r="E1299" s="131" t="s">
        <v>13</v>
      </c>
      <c r="F1299" s="131" t="s">
        <v>543</v>
      </c>
      <c r="G1299" s="131" t="s">
        <v>29</v>
      </c>
      <c r="H1299" s="126">
        <f>H1300</f>
        <v>0</v>
      </c>
      <c r="I1299" s="178" t="str">
        <f t="shared" si="155"/>
        <v>617050304 3 04 20300240</v>
      </c>
      <c r="L1299" s="26">
        <v>8259.32</v>
      </c>
      <c r="M1299" s="26">
        <v>8259.32</v>
      </c>
      <c r="N1299" s="26">
        <v>8259.32</v>
      </c>
      <c r="O1299" s="26">
        <f t="shared" si="162"/>
        <v>-8259.32</v>
      </c>
      <c r="P1299" s="26" t="e">
        <f>#REF!-M1299</f>
        <v>#REF!</v>
      </c>
      <c r="Q1299" s="26" t="e">
        <f>#REF!-N1299</f>
        <v>#REF!</v>
      </c>
      <c r="R1299" s="17" t="str">
        <f t="shared" si="152"/>
        <v>04 3 04 20300240</v>
      </c>
    </row>
    <row r="1300" spans="1:18" s="16" customFormat="1" ht="15.75">
      <c r="A1300" s="14"/>
      <c r="B1300" s="125" t="s">
        <v>30</v>
      </c>
      <c r="C1300" s="130" t="s">
        <v>746</v>
      </c>
      <c r="D1300" s="131" t="s">
        <v>86</v>
      </c>
      <c r="E1300" s="131" t="s">
        <v>13</v>
      </c>
      <c r="F1300" s="131" t="s">
        <v>543</v>
      </c>
      <c r="G1300" s="131" t="s">
        <v>31</v>
      </c>
      <c r="H1300" s="126"/>
      <c r="I1300" s="178" t="str">
        <f t="shared" si="155"/>
        <v>617050304 3 04 20300244</v>
      </c>
      <c r="L1300" s="26"/>
      <c r="M1300" s="26"/>
      <c r="N1300" s="26"/>
      <c r="O1300" s="26"/>
      <c r="P1300" s="26"/>
      <c r="Q1300" s="26"/>
      <c r="R1300" s="17"/>
    </row>
    <row r="1301" spans="1:18" s="16" customFormat="1" ht="31.5">
      <c r="A1301" s="14"/>
      <c r="B1301" s="127" t="s">
        <v>774</v>
      </c>
      <c r="C1301" s="130" t="s">
        <v>746</v>
      </c>
      <c r="D1301" s="131" t="s">
        <v>86</v>
      </c>
      <c r="E1301" s="131" t="s">
        <v>13</v>
      </c>
      <c r="F1301" s="131" t="s">
        <v>775</v>
      </c>
      <c r="G1301" s="131" t="s">
        <v>9</v>
      </c>
      <c r="H1301" s="105">
        <f>H1302</f>
        <v>0</v>
      </c>
      <c r="I1301" s="178" t="str">
        <f t="shared" ref="I1301:I1364" si="164">C1301&amp;D1301&amp;E1301&amp;F1301&amp;G1301</f>
        <v>617050304 3 04 21070000</v>
      </c>
      <c r="L1301" s="26">
        <v>941.72</v>
      </c>
      <c r="M1301" s="26">
        <v>941.72</v>
      </c>
      <c r="N1301" s="26">
        <v>941.72</v>
      </c>
      <c r="O1301" s="26">
        <f>H1301-L1301</f>
        <v>-941.72</v>
      </c>
      <c r="P1301" s="26" t="e">
        <f>#REF!-M1301</f>
        <v>#REF!</v>
      </c>
      <c r="Q1301" s="26" t="e">
        <f>#REF!-N1301</f>
        <v>#REF!</v>
      </c>
      <c r="R1301" s="17" t="str">
        <f t="shared" si="152"/>
        <v>04 3 04 21070000</v>
      </c>
    </row>
    <row r="1302" spans="1:18" s="16" customFormat="1" ht="31.5">
      <c r="A1302" s="14"/>
      <c r="B1302" s="125" t="s">
        <v>28</v>
      </c>
      <c r="C1302" s="130" t="s">
        <v>746</v>
      </c>
      <c r="D1302" s="131" t="s">
        <v>86</v>
      </c>
      <c r="E1302" s="131" t="s">
        <v>13</v>
      </c>
      <c r="F1302" s="131" t="s">
        <v>775</v>
      </c>
      <c r="G1302" s="131" t="s">
        <v>29</v>
      </c>
      <c r="H1302" s="126">
        <f>H1303</f>
        <v>0</v>
      </c>
      <c r="I1302" s="178" t="str">
        <f t="shared" si="164"/>
        <v>617050304 3 04 21070240</v>
      </c>
      <c r="L1302" s="26">
        <v>941.72</v>
      </c>
      <c r="M1302" s="26">
        <v>941.72</v>
      </c>
      <c r="N1302" s="26">
        <v>941.72</v>
      </c>
      <c r="O1302" s="26">
        <f>H1302-L1302</f>
        <v>-941.72</v>
      </c>
      <c r="P1302" s="26" t="e">
        <f>#REF!-M1302</f>
        <v>#REF!</v>
      </c>
      <c r="Q1302" s="26" t="e">
        <f>#REF!-N1302</f>
        <v>#REF!</v>
      </c>
      <c r="R1302" s="17" t="str">
        <f t="shared" si="152"/>
        <v>04 3 04 21070240</v>
      </c>
    </row>
    <row r="1303" spans="1:18" s="16" customFormat="1" ht="15.75">
      <c r="A1303" s="14"/>
      <c r="B1303" s="125" t="s">
        <v>30</v>
      </c>
      <c r="C1303" s="130" t="s">
        <v>746</v>
      </c>
      <c r="D1303" s="131" t="s">
        <v>86</v>
      </c>
      <c r="E1303" s="131" t="s">
        <v>13</v>
      </c>
      <c r="F1303" s="131" t="s">
        <v>775</v>
      </c>
      <c r="G1303" s="131" t="s">
        <v>31</v>
      </c>
      <c r="H1303" s="126"/>
      <c r="I1303" s="178" t="str">
        <f t="shared" si="164"/>
        <v>617050304 3 04 21070244</v>
      </c>
      <c r="L1303" s="26"/>
      <c r="M1303" s="26"/>
      <c r="N1303" s="26"/>
      <c r="O1303" s="26"/>
      <c r="P1303" s="26"/>
      <c r="Q1303" s="26"/>
      <c r="R1303" s="17"/>
    </row>
    <row r="1304" spans="1:18" s="16" customFormat="1" ht="78.75">
      <c r="A1304" s="14" t="s">
        <v>80</v>
      </c>
      <c r="B1304" s="127" t="s">
        <v>776</v>
      </c>
      <c r="C1304" s="130" t="s">
        <v>746</v>
      </c>
      <c r="D1304" s="131" t="s">
        <v>86</v>
      </c>
      <c r="E1304" s="131" t="s">
        <v>13</v>
      </c>
      <c r="F1304" s="131" t="s">
        <v>777</v>
      </c>
      <c r="G1304" s="131" t="s">
        <v>9</v>
      </c>
      <c r="H1304" s="105">
        <f>H1305</f>
        <v>0</v>
      </c>
      <c r="I1304" s="178" t="str">
        <f t="shared" si="164"/>
        <v>617050304 3 04 21080000</v>
      </c>
      <c r="L1304" s="26">
        <v>12476.08</v>
      </c>
      <c r="M1304" s="26">
        <v>9476.08</v>
      </c>
      <c r="N1304" s="26">
        <v>9476.08</v>
      </c>
      <c r="O1304" s="26">
        <f>H1304-L1304</f>
        <v>-12476.08</v>
      </c>
      <c r="P1304" s="26" t="e">
        <f>#REF!-M1304</f>
        <v>#REF!</v>
      </c>
      <c r="Q1304" s="26" t="e">
        <f>#REF!-N1304</f>
        <v>#REF!</v>
      </c>
      <c r="R1304" s="17" t="str">
        <f t="shared" si="152"/>
        <v>04 3 04 21080000</v>
      </c>
    </row>
    <row r="1305" spans="1:18" s="16" customFormat="1" ht="31.5">
      <c r="A1305" s="14"/>
      <c r="B1305" s="125" t="s">
        <v>28</v>
      </c>
      <c r="C1305" s="130" t="s">
        <v>746</v>
      </c>
      <c r="D1305" s="131" t="s">
        <v>86</v>
      </c>
      <c r="E1305" s="131" t="s">
        <v>13</v>
      </c>
      <c r="F1305" s="131" t="s">
        <v>777</v>
      </c>
      <c r="G1305" s="131" t="s">
        <v>29</v>
      </c>
      <c r="H1305" s="126">
        <f>H1306</f>
        <v>0</v>
      </c>
      <c r="I1305" s="178" t="str">
        <f t="shared" si="164"/>
        <v>617050304 3 04 21080240</v>
      </c>
      <c r="L1305" s="26">
        <v>12476.08</v>
      </c>
      <c r="M1305" s="26">
        <v>9476.08</v>
      </c>
      <c r="N1305" s="26">
        <v>9476.08</v>
      </c>
      <c r="O1305" s="26">
        <f>H1305-L1305</f>
        <v>-12476.08</v>
      </c>
      <c r="P1305" s="26" t="e">
        <f>#REF!-M1305</f>
        <v>#REF!</v>
      </c>
      <c r="Q1305" s="26" t="e">
        <f>#REF!-N1305</f>
        <v>#REF!</v>
      </c>
      <c r="R1305" s="17" t="str">
        <f t="shared" si="152"/>
        <v>04 3 04 21080240</v>
      </c>
    </row>
    <row r="1306" spans="1:18" s="16" customFormat="1" ht="15.75">
      <c r="A1306" s="14"/>
      <c r="B1306" s="125" t="s">
        <v>30</v>
      </c>
      <c r="C1306" s="130" t="s">
        <v>746</v>
      </c>
      <c r="D1306" s="131" t="s">
        <v>86</v>
      </c>
      <c r="E1306" s="131" t="s">
        <v>13</v>
      </c>
      <c r="F1306" s="131" t="s">
        <v>777</v>
      </c>
      <c r="G1306" s="131" t="s">
        <v>31</v>
      </c>
      <c r="H1306" s="126"/>
      <c r="I1306" s="178" t="str">
        <f t="shared" si="164"/>
        <v>617050304 3 04 21080244</v>
      </c>
      <c r="L1306" s="26"/>
      <c r="M1306" s="26"/>
      <c r="N1306" s="26"/>
      <c r="O1306" s="26"/>
      <c r="P1306" s="26"/>
      <c r="Q1306" s="26"/>
      <c r="R1306" s="17"/>
    </row>
    <row r="1307" spans="1:18" s="16" customFormat="1" ht="47.25">
      <c r="A1307" s="14"/>
      <c r="B1307" s="125" t="s">
        <v>1043</v>
      </c>
      <c r="C1307" s="130" t="s">
        <v>746</v>
      </c>
      <c r="D1307" s="131" t="s">
        <v>86</v>
      </c>
      <c r="E1307" s="131" t="s">
        <v>13</v>
      </c>
      <c r="F1307" s="131" t="s">
        <v>1056</v>
      </c>
      <c r="G1307" s="131" t="s">
        <v>9</v>
      </c>
      <c r="H1307" s="105">
        <f>H1312</f>
        <v>0</v>
      </c>
      <c r="I1307" s="178" t="str">
        <f t="shared" si="164"/>
        <v>617050304 3 04 G6420000</v>
      </c>
      <c r="L1307" s="26"/>
      <c r="M1307" s="26"/>
      <c r="N1307" s="26"/>
      <c r="O1307" s="26"/>
      <c r="P1307" s="26"/>
      <c r="Q1307" s="26"/>
      <c r="R1307" s="17"/>
    </row>
    <row r="1308" spans="1:18" s="16" customFormat="1" ht="15.75">
      <c r="A1308" s="14"/>
      <c r="B1308" s="132" t="s">
        <v>1045</v>
      </c>
      <c r="C1308" s="130"/>
      <c r="D1308" s="131"/>
      <c r="E1308" s="131"/>
      <c r="F1308" s="131"/>
      <c r="G1308" s="131"/>
      <c r="H1308" s="105"/>
      <c r="I1308" s="178" t="str">
        <f t="shared" si="164"/>
        <v/>
      </c>
      <c r="L1308" s="26"/>
      <c r="M1308" s="26"/>
      <c r="N1308" s="26"/>
      <c r="O1308" s="26"/>
      <c r="P1308" s="26"/>
      <c r="Q1308" s="26"/>
      <c r="R1308" s="17"/>
    </row>
    <row r="1309" spans="1:18" s="16" customFormat="1" ht="15.75">
      <c r="A1309" s="14"/>
      <c r="B1309" s="125" t="s">
        <v>1046</v>
      </c>
      <c r="C1309" s="130" t="s">
        <v>746</v>
      </c>
      <c r="D1309" s="131" t="s">
        <v>86</v>
      </c>
      <c r="E1309" s="131" t="s">
        <v>13</v>
      </c>
      <c r="F1309" s="131" t="s">
        <v>1056</v>
      </c>
      <c r="G1309" s="131" t="s">
        <v>9</v>
      </c>
      <c r="H1309" s="105"/>
      <c r="I1309" s="178" t="str">
        <f t="shared" si="164"/>
        <v>617050304 3 04 G6420000</v>
      </c>
      <c r="L1309" s="26"/>
      <c r="M1309" s="26"/>
      <c r="N1309" s="26"/>
      <c r="O1309" s="26"/>
      <c r="P1309" s="26"/>
      <c r="Q1309" s="26"/>
      <c r="R1309" s="17"/>
    </row>
    <row r="1310" spans="1:18" s="16" customFormat="1" ht="15.75">
      <c r="A1310" s="14"/>
      <c r="B1310" s="125" t="s">
        <v>1047</v>
      </c>
      <c r="C1310" s="130" t="s">
        <v>746</v>
      </c>
      <c r="D1310" s="131" t="s">
        <v>86</v>
      </c>
      <c r="E1310" s="131" t="s">
        <v>13</v>
      </c>
      <c r="F1310" s="131" t="s">
        <v>1056</v>
      </c>
      <c r="G1310" s="131" t="s">
        <v>9</v>
      </c>
      <c r="H1310" s="105"/>
      <c r="I1310" s="178" t="str">
        <f t="shared" si="164"/>
        <v>617050304 3 04 G6420000</v>
      </c>
      <c r="L1310" s="26"/>
      <c r="M1310" s="26"/>
      <c r="N1310" s="26"/>
      <c r="O1310" s="26"/>
      <c r="P1310" s="26"/>
      <c r="Q1310" s="26"/>
      <c r="R1310" s="17"/>
    </row>
    <row r="1311" spans="1:18" s="16" customFormat="1" ht="31.5">
      <c r="A1311" s="14"/>
      <c r="B1311" s="125" t="s">
        <v>28</v>
      </c>
      <c r="C1311" s="130" t="s">
        <v>746</v>
      </c>
      <c r="D1311" s="131" t="s">
        <v>86</v>
      </c>
      <c r="E1311" s="131" t="s">
        <v>13</v>
      </c>
      <c r="F1311" s="131" t="s">
        <v>1056</v>
      </c>
      <c r="G1311" s="131" t="s">
        <v>29</v>
      </c>
      <c r="H1311" s="105">
        <f>H1312</f>
        <v>0</v>
      </c>
      <c r="I1311" s="178" t="str">
        <f t="shared" si="164"/>
        <v>617050304 3 04 G6420240</v>
      </c>
      <c r="L1311" s="26"/>
      <c r="M1311" s="26"/>
      <c r="N1311" s="26"/>
      <c r="O1311" s="26"/>
      <c r="P1311" s="26"/>
      <c r="Q1311" s="26"/>
      <c r="R1311" s="17"/>
    </row>
    <row r="1312" spans="1:18" s="16" customFormat="1" ht="15.75">
      <c r="A1312" s="14"/>
      <c r="B1312" s="125" t="s">
        <v>30</v>
      </c>
      <c r="C1312" s="130" t="s">
        <v>746</v>
      </c>
      <c r="D1312" s="131" t="s">
        <v>86</v>
      </c>
      <c r="E1312" s="131" t="s">
        <v>13</v>
      </c>
      <c r="F1312" s="131" t="s">
        <v>1056</v>
      </c>
      <c r="G1312" s="131" t="s">
        <v>31</v>
      </c>
      <c r="H1312" s="105"/>
      <c r="I1312" s="178" t="str">
        <f t="shared" si="164"/>
        <v>617050304 3 04 G6420244</v>
      </c>
      <c r="L1312" s="26"/>
      <c r="M1312" s="26"/>
      <c r="N1312" s="26"/>
      <c r="O1312" s="26"/>
      <c r="P1312" s="26"/>
      <c r="Q1312" s="26"/>
      <c r="R1312" s="17"/>
    </row>
    <row r="1313" spans="1:18" s="16" customFormat="1" ht="47.25">
      <c r="A1313" s="14"/>
      <c r="B1313" s="127" t="s">
        <v>1048</v>
      </c>
      <c r="C1313" s="130" t="s">
        <v>746</v>
      </c>
      <c r="D1313" s="131" t="s">
        <v>86</v>
      </c>
      <c r="E1313" s="131" t="s">
        <v>13</v>
      </c>
      <c r="F1313" s="131" t="s">
        <v>1057</v>
      </c>
      <c r="G1313" s="131" t="s">
        <v>9</v>
      </c>
      <c r="H1313" s="105">
        <f>H1318</f>
        <v>0</v>
      </c>
      <c r="I1313" s="178" t="str">
        <f t="shared" si="164"/>
        <v>617050304 3 04 S6420000</v>
      </c>
      <c r="L1313" s="26"/>
      <c r="M1313" s="26"/>
      <c r="N1313" s="26"/>
      <c r="O1313" s="26"/>
      <c r="P1313" s="26"/>
      <c r="Q1313" s="26"/>
      <c r="R1313" s="17"/>
    </row>
    <row r="1314" spans="1:18" s="16" customFormat="1" ht="15.75">
      <c r="A1314" s="14"/>
      <c r="B1314" s="132" t="s">
        <v>1045</v>
      </c>
      <c r="C1314" s="130"/>
      <c r="D1314" s="131"/>
      <c r="E1314" s="131"/>
      <c r="F1314" s="131"/>
      <c r="G1314" s="131"/>
      <c r="H1314" s="105"/>
      <c r="I1314" s="178" t="str">
        <f t="shared" si="164"/>
        <v/>
      </c>
      <c r="L1314" s="26"/>
      <c r="M1314" s="26"/>
      <c r="N1314" s="26"/>
      <c r="O1314" s="26"/>
      <c r="P1314" s="26"/>
      <c r="Q1314" s="26"/>
      <c r="R1314" s="17"/>
    </row>
    <row r="1315" spans="1:18" s="16" customFormat="1" ht="15.75">
      <c r="A1315" s="14"/>
      <c r="B1315" s="125" t="s">
        <v>1050</v>
      </c>
      <c r="C1315" s="130" t="s">
        <v>746</v>
      </c>
      <c r="D1315" s="131" t="s">
        <v>86</v>
      </c>
      <c r="E1315" s="131" t="s">
        <v>13</v>
      </c>
      <c r="F1315" s="131" t="s">
        <v>1057</v>
      </c>
      <c r="G1315" s="131" t="s">
        <v>9</v>
      </c>
      <c r="H1315" s="105"/>
      <c r="I1315" s="178" t="str">
        <f t="shared" si="164"/>
        <v>617050304 3 04 S6420000</v>
      </c>
      <c r="L1315" s="26"/>
      <c r="M1315" s="26"/>
      <c r="N1315" s="26"/>
      <c r="O1315" s="26"/>
      <c r="P1315" s="26"/>
      <c r="Q1315" s="26"/>
      <c r="R1315" s="17"/>
    </row>
    <row r="1316" spans="1:18" s="16" customFormat="1" ht="15.75">
      <c r="A1316" s="14"/>
      <c r="B1316" s="125" t="s">
        <v>1051</v>
      </c>
      <c r="C1316" s="130" t="s">
        <v>746</v>
      </c>
      <c r="D1316" s="131" t="s">
        <v>86</v>
      </c>
      <c r="E1316" s="131" t="s">
        <v>13</v>
      </c>
      <c r="F1316" s="131" t="s">
        <v>1057</v>
      </c>
      <c r="G1316" s="131" t="s">
        <v>9</v>
      </c>
      <c r="H1316" s="105"/>
      <c r="I1316" s="178" t="str">
        <f t="shared" si="164"/>
        <v>617050304 3 04 S6420000</v>
      </c>
      <c r="L1316" s="26"/>
      <c r="M1316" s="26"/>
      <c r="N1316" s="26"/>
      <c r="O1316" s="26"/>
      <c r="P1316" s="26"/>
      <c r="Q1316" s="26"/>
      <c r="R1316" s="17"/>
    </row>
    <row r="1317" spans="1:18" s="16" customFormat="1" ht="31.5">
      <c r="A1317" s="14"/>
      <c r="B1317" s="125" t="s">
        <v>28</v>
      </c>
      <c r="C1317" s="130" t="s">
        <v>746</v>
      </c>
      <c r="D1317" s="131" t="s">
        <v>86</v>
      </c>
      <c r="E1317" s="131" t="s">
        <v>13</v>
      </c>
      <c r="F1317" s="131" t="s">
        <v>1057</v>
      </c>
      <c r="G1317" s="131" t="s">
        <v>29</v>
      </c>
      <c r="H1317" s="105">
        <f>H1318</f>
        <v>0</v>
      </c>
      <c r="I1317" s="178" t="str">
        <f t="shared" si="164"/>
        <v>617050304 3 04 S6420240</v>
      </c>
      <c r="L1317" s="26"/>
      <c r="M1317" s="26"/>
      <c r="N1317" s="26"/>
      <c r="O1317" s="26"/>
      <c r="P1317" s="26"/>
      <c r="Q1317" s="26"/>
      <c r="R1317" s="17"/>
    </row>
    <row r="1318" spans="1:18" s="16" customFormat="1" ht="15.75">
      <c r="A1318" s="14"/>
      <c r="B1318" s="125" t="s">
        <v>30</v>
      </c>
      <c r="C1318" s="130" t="s">
        <v>746</v>
      </c>
      <c r="D1318" s="131" t="s">
        <v>86</v>
      </c>
      <c r="E1318" s="131" t="s">
        <v>13</v>
      </c>
      <c r="F1318" s="131" t="s">
        <v>1057</v>
      </c>
      <c r="G1318" s="108" t="s">
        <v>31</v>
      </c>
      <c r="H1318" s="126"/>
      <c r="I1318" s="178" t="str">
        <f t="shared" si="164"/>
        <v>617050304 3 04 S6420244</v>
      </c>
      <c r="L1318" s="26"/>
      <c r="M1318" s="26"/>
      <c r="N1318" s="26"/>
      <c r="O1318" s="26"/>
      <c r="P1318" s="26"/>
      <c r="Q1318" s="26"/>
      <c r="R1318" s="17"/>
    </row>
    <row r="1319" spans="1:18" s="16" customFormat="1" ht="63">
      <c r="A1319" s="14"/>
      <c r="B1319" s="140" t="s">
        <v>87</v>
      </c>
      <c r="C1319" s="130" t="s">
        <v>746</v>
      </c>
      <c r="D1319" s="131" t="s">
        <v>86</v>
      </c>
      <c r="E1319" s="131" t="s">
        <v>13</v>
      </c>
      <c r="F1319" s="131" t="s">
        <v>88</v>
      </c>
      <c r="G1319" s="131" t="s">
        <v>9</v>
      </c>
      <c r="H1319" s="105">
        <f>H1320</f>
        <v>0</v>
      </c>
      <c r="I1319" s="178" t="str">
        <f t="shared" si="164"/>
        <v>617050398 0 00 00000000</v>
      </c>
      <c r="L1319" s="26">
        <v>2500</v>
      </c>
      <c r="M1319" s="26">
        <v>0</v>
      </c>
      <c r="N1319" s="26">
        <v>0</v>
      </c>
      <c r="O1319" s="26">
        <f>H1319-L1319</f>
        <v>-2500</v>
      </c>
      <c r="P1319" s="26" t="e">
        <f>#REF!-M1319</f>
        <v>#REF!</v>
      </c>
      <c r="Q1319" s="26" t="e">
        <f>#REF!-N1319</f>
        <v>#REF!</v>
      </c>
      <c r="R1319" s="17" t="str">
        <f t="shared" si="152"/>
        <v>98 0 00 00000000</v>
      </c>
    </row>
    <row r="1320" spans="1:18" s="16" customFormat="1" ht="15.75">
      <c r="A1320" s="14"/>
      <c r="B1320" s="140" t="s">
        <v>89</v>
      </c>
      <c r="C1320" s="130" t="s">
        <v>746</v>
      </c>
      <c r="D1320" s="131" t="s">
        <v>86</v>
      </c>
      <c r="E1320" s="131" t="s">
        <v>13</v>
      </c>
      <c r="F1320" s="131" t="s">
        <v>90</v>
      </c>
      <c r="G1320" s="131" t="s">
        <v>9</v>
      </c>
      <c r="H1320" s="105">
        <f>H1321</f>
        <v>0</v>
      </c>
      <c r="I1320" s="178" t="str">
        <f t="shared" si="164"/>
        <v>617050398 1 00 00000000</v>
      </c>
      <c r="L1320" s="26">
        <v>2500</v>
      </c>
      <c r="M1320" s="26">
        <v>0</v>
      </c>
      <c r="N1320" s="26">
        <v>0</v>
      </c>
      <c r="O1320" s="26">
        <f>H1320-L1320</f>
        <v>-2500</v>
      </c>
      <c r="P1320" s="26" t="e">
        <f>#REF!-M1320</f>
        <v>#REF!</v>
      </c>
      <c r="Q1320" s="26" t="e">
        <f>#REF!-N1320</f>
        <v>#REF!</v>
      </c>
      <c r="R1320" s="17" t="str">
        <f t="shared" si="152"/>
        <v>98 1 00 00000000</v>
      </c>
    </row>
    <row r="1321" spans="1:18" s="16" customFormat="1" ht="31.5">
      <c r="A1321" s="14"/>
      <c r="B1321" s="125" t="s">
        <v>778</v>
      </c>
      <c r="C1321" s="130" t="s">
        <v>746</v>
      </c>
      <c r="D1321" s="131" t="s">
        <v>86</v>
      </c>
      <c r="E1321" s="131" t="s">
        <v>13</v>
      </c>
      <c r="F1321" s="131" t="s">
        <v>779</v>
      </c>
      <c r="G1321" s="131" t="s">
        <v>9</v>
      </c>
      <c r="H1321" s="105">
        <f>H1322</f>
        <v>0</v>
      </c>
      <c r="I1321" s="178" t="str">
        <f t="shared" si="164"/>
        <v>617050398 1 00 21450000</v>
      </c>
      <c r="L1321" s="26">
        <v>2500</v>
      </c>
      <c r="M1321" s="26">
        <v>0</v>
      </c>
      <c r="N1321" s="26">
        <v>0</v>
      </c>
      <c r="O1321" s="26">
        <f>H1321-L1321</f>
        <v>-2500</v>
      </c>
      <c r="P1321" s="26" t="e">
        <f>#REF!-M1321</f>
        <v>#REF!</v>
      </c>
      <c r="Q1321" s="26" t="e">
        <f>#REF!-N1321</f>
        <v>#REF!</v>
      </c>
      <c r="R1321" s="17" t="str">
        <f t="shared" si="152"/>
        <v>98 1 00 21450000</v>
      </c>
    </row>
    <row r="1322" spans="1:18" s="16" customFormat="1" ht="31.5">
      <c r="A1322" s="14"/>
      <c r="B1322" s="125" t="s">
        <v>28</v>
      </c>
      <c r="C1322" s="130" t="s">
        <v>746</v>
      </c>
      <c r="D1322" s="131" t="s">
        <v>86</v>
      </c>
      <c r="E1322" s="131" t="s">
        <v>13</v>
      </c>
      <c r="F1322" s="131" t="s">
        <v>779</v>
      </c>
      <c r="G1322" s="131" t="s">
        <v>29</v>
      </c>
      <c r="H1322" s="126">
        <f>H1323</f>
        <v>0</v>
      </c>
      <c r="I1322" s="178" t="str">
        <f t="shared" si="164"/>
        <v>617050398 1 00 21450240</v>
      </c>
      <c r="L1322" s="26">
        <v>2500</v>
      </c>
      <c r="M1322" s="26">
        <v>0</v>
      </c>
      <c r="N1322" s="26">
        <v>0</v>
      </c>
      <c r="O1322" s="26">
        <f>H1322-L1322</f>
        <v>-2500</v>
      </c>
      <c r="P1322" s="26" t="e">
        <f>#REF!-M1322</f>
        <v>#REF!</v>
      </c>
      <c r="Q1322" s="26" t="e">
        <f>#REF!-N1322</f>
        <v>#REF!</v>
      </c>
      <c r="R1322" s="17" t="str">
        <f t="shared" si="152"/>
        <v>98 1 00 21450240</v>
      </c>
    </row>
    <row r="1323" spans="1:18" s="16" customFormat="1" ht="15.75">
      <c r="A1323" s="14"/>
      <c r="B1323" s="125" t="s">
        <v>30</v>
      </c>
      <c r="C1323" s="130" t="s">
        <v>746</v>
      </c>
      <c r="D1323" s="131" t="s">
        <v>86</v>
      </c>
      <c r="E1323" s="131" t="s">
        <v>13</v>
      </c>
      <c r="F1323" s="131" t="s">
        <v>779</v>
      </c>
      <c r="G1323" s="131" t="s">
        <v>31</v>
      </c>
      <c r="H1323" s="126"/>
      <c r="I1323" s="178" t="str">
        <f t="shared" si="164"/>
        <v>617050398 1 00 21450244</v>
      </c>
      <c r="L1323" s="26"/>
      <c r="M1323" s="26"/>
      <c r="N1323" s="26"/>
      <c r="O1323" s="26"/>
      <c r="P1323" s="26"/>
      <c r="Q1323" s="26"/>
      <c r="R1323" s="17"/>
    </row>
    <row r="1324" spans="1:18" s="16" customFormat="1" ht="15.75">
      <c r="A1324" s="14"/>
      <c r="B1324" s="117" t="s">
        <v>237</v>
      </c>
      <c r="C1324" s="118" t="s">
        <v>746</v>
      </c>
      <c r="D1324" s="119" t="s">
        <v>238</v>
      </c>
      <c r="E1324" s="119" t="s">
        <v>7</v>
      </c>
      <c r="F1324" s="119" t="s">
        <v>8</v>
      </c>
      <c r="G1324" s="119" t="s">
        <v>9</v>
      </c>
      <c r="H1324" s="120">
        <f t="shared" ref="H1324:H1327" si="165">H1325</f>
        <v>0</v>
      </c>
      <c r="I1324" s="178" t="str">
        <f t="shared" si="164"/>
        <v>617080000 0 00 00000000</v>
      </c>
      <c r="L1324" s="18">
        <v>1591</v>
      </c>
      <c r="M1324" s="18">
        <v>1591</v>
      </c>
      <c r="N1324" s="18">
        <v>1591</v>
      </c>
      <c r="O1324" s="18">
        <f t="shared" ref="O1324:O1330" si="166">H1324-L1324</f>
        <v>-1591</v>
      </c>
      <c r="P1324" s="18" t="e">
        <f>#REF!-M1324</f>
        <v>#REF!</v>
      </c>
      <c r="Q1324" s="18" t="e">
        <f>#REF!-N1324</f>
        <v>#REF!</v>
      </c>
      <c r="R1324" s="17" t="str">
        <f t="shared" si="152"/>
        <v>00 0 00 00000000</v>
      </c>
    </row>
    <row r="1325" spans="1:18" s="16" customFormat="1" ht="15.75">
      <c r="A1325" s="14"/>
      <c r="B1325" s="121" t="s">
        <v>239</v>
      </c>
      <c r="C1325" s="122" t="s">
        <v>746</v>
      </c>
      <c r="D1325" s="123" t="s">
        <v>238</v>
      </c>
      <c r="E1325" s="123" t="s">
        <v>11</v>
      </c>
      <c r="F1325" s="123" t="s">
        <v>8</v>
      </c>
      <c r="G1325" s="123" t="s">
        <v>9</v>
      </c>
      <c r="H1325" s="124">
        <f t="shared" si="165"/>
        <v>0</v>
      </c>
      <c r="I1325" s="178" t="str">
        <f t="shared" si="164"/>
        <v>617080100 0 00 00000000</v>
      </c>
      <c r="L1325" s="19">
        <v>1591</v>
      </c>
      <c r="M1325" s="19">
        <v>1591</v>
      </c>
      <c r="N1325" s="19">
        <v>1591</v>
      </c>
      <c r="O1325" s="19">
        <f t="shared" si="166"/>
        <v>-1591</v>
      </c>
      <c r="P1325" s="19" t="e">
        <f>#REF!-M1325</f>
        <v>#REF!</v>
      </c>
      <c r="Q1325" s="19" t="e">
        <f>#REF!-N1325</f>
        <v>#REF!</v>
      </c>
      <c r="R1325" s="17" t="str">
        <f t="shared" si="152"/>
        <v>00 0 00 00000000</v>
      </c>
    </row>
    <row r="1326" spans="1:18" s="16" customFormat="1" ht="31.5">
      <c r="A1326" s="14"/>
      <c r="B1326" s="125" t="s">
        <v>240</v>
      </c>
      <c r="C1326" s="130" t="s">
        <v>746</v>
      </c>
      <c r="D1326" s="131" t="s">
        <v>238</v>
      </c>
      <c r="E1326" s="131" t="s">
        <v>11</v>
      </c>
      <c r="F1326" s="131" t="s">
        <v>241</v>
      </c>
      <c r="G1326" s="131" t="s">
        <v>9</v>
      </c>
      <c r="H1326" s="105">
        <f t="shared" si="165"/>
        <v>0</v>
      </c>
      <c r="I1326" s="178" t="str">
        <f t="shared" si="164"/>
        <v>617080107 0 00 00000000</v>
      </c>
      <c r="L1326" s="26">
        <v>1591</v>
      </c>
      <c r="M1326" s="26">
        <v>1591</v>
      </c>
      <c r="N1326" s="26">
        <v>1591</v>
      </c>
      <c r="O1326" s="26">
        <f t="shared" si="166"/>
        <v>-1591</v>
      </c>
      <c r="P1326" s="26" t="e">
        <f>#REF!-M1326</f>
        <v>#REF!</v>
      </c>
      <c r="Q1326" s="26" t="e">
        <f>#REF!-N1326</f>
        <v>#REF!</v>
      </c>
      <c r="R1326" s="17" t="str">
        <f t="shared" si="152"/>
        <v>07 0 00 00000000</v>
      </c>
    </row>
    <row r="1327" spans="1:18" s="16" customFormat="1" ht="78.75">
      <c r="A1327" s="14"/>
      <c r="B1327" s="140" t="s">
        <v>242</v>
      </c>
      <c r="C1327" s="130" t="s">
        <v>746</v>
      </c>
      <c r="D1327" s="131" t="s">
        <v>238</v>
      </c>
      <c r="E1327" s="131" t="s">
        <v>11</v>
      </c>
      <c r="F1327" s="131" t="s">
        <v>243</v>
      </c>
      <c r="G1327" s="131" t="s">
        <v>9</v>
      </c>
      <c r="H1327" s="105">
        <f t="shared" si="165"/>
        <v>0</v>
      </c>
      <c r="I1327" s="178" t="str">
        <f t="shared" si="164"/>
        <v>617080107 1 00 00000000</v>
      </c>
      <c r="L1327" s="26">
        <v>1591</v>
      </c>
      <c r="M1327" s="26">
        <v>1591</v>
      </c>
      <c r="N1327" s="26">
        <v>1591</v>
      </c>
      <c r="O1327" s="26">
        <f t="shared" si="166"/>
        <v>-1591</v>
      </c>
      <c r="P1327" s="26" t="e">
        <f>#REF!-M1327</f>
        <v>#REF!</v>
      </c>
      <c r="Q1327" s="26" t="e">
        <f>#REF!-N1327</f>
        <v>#REF!</v>
      </c>
      <c r="R1327" s="17" t="str">
        <f t="shared" si="152"/>
        <v>07 1 00 00000000</v>
      </c>
    </row>
    <row r="1328" spans="1:18" s="16" customFormat="1" ht="110.25">
      <c r="A1328" s="14"/>
      <c r="B1328" s="140" t="s">
        <v>244</v>
      </c>
      <c r="C1328" s="130" t="s">
        <v>746</v>
      </c>
      <c r="D1328" s="131" t="s">
        <v>238</v>
      </c>
      <c r="E1328" s="131" t="s">
        <v>11</v>
      </c>
      <c r="F1328" s="131" t="s">
        <v>245</v>
      </c>
      <c r="G1328" s="131" t="s">
        <v>9</v>
      </c>
      <c r="H1328" s="105">
        <f>H1329+H1332</f>
        <v>0</v>
      </c>
      <c r="I1328" s="178" t="str">
        <f t="shared" si="164"/>
        <v>617080107 1 01 00000000</v>
      </c>
      <c r="L1328" s="26">
        <v>1591</v>
      </c>
      <c r="M1328" s="26">
        <v>1591</v>
      </c>
      <c r="N1328" s="26">
        <v>1591</v>
      </c>
      <c r="O1328" s="26">
        <f t="shared" si="166"/>
        <v>-1591</v>
      </c>
      <c r="P1328" s="26" t="e">
        <f>#REF!-M1328</f>
        <v>#REF!</v>
      </c>
      <c r="Q1328" s="26" t="e">
        <f>#REF!-N1328</f>
        <v>#REF!</v>
      </c>
      <c r="R1328" s="17" t="str">
        <f t="shared" si="152"/>
        <v>07 1 01 00000000</v>
      </c>
    </row>
    <row r="1329" spans="1:18" s="16" customFormat="1" ht="31.5">
      <c r="A1329" s="14"/>
      <c r="B1329" s="125" t="s">
        <v>246</v>
      </c>
      <c r="C1329" s="130" t="s">
        <v>746</v>
      </c>
      <c r="D1329" s="131" t="s">
        <v>238</v>
      </c>
      <c r="E1329" s="131" t="s">
        <v>11</v>
      </c>
      <c r="F1329" s="131" t="s">
        <v>247</v>
      </c>
      <c r="G1329" s="131" t="s">
        <v>9</v>
      </c>
      <c r="H1329" s="105">
        <f>H1330</f>
        <v>0</v>
      </c>
      <c r="I1329" s="178" t="str">
        <f t="shared" si="164"/>
        <v>617080107 1 01 20060000</v>
      </c>
      <c r="L1329" s="26">
        <v>1095.45</v>
      </c>
      <c r="M1329" s="26">
        <v>1095.45</v>
      </c>
      <c r="N1329" s="26">
        <v>1095.45</v>
      </c>
      <c r="O1329" s="26">
        <f t="shared" si="166"/>
        <v>-1095.45</v>
      </c>
      <c r="P1329" s="26" t="e">
        <f>#REF!-M1329</f>
        <v>#REF!</v>
      </c>
      <c r="Q1329" s="26" t="e">
        <f>#REF!-N1329</f>
        <v>#REF!</v>
      </c>
      <c r="R1329" s="17" t="str">
        <f t="shared" si="152"/>
        <v>07 1 01 20060000</v>
      </c>
    </row>
    <row r="1330" spans="1:18" s="16" customFormat="1" ht="31.5">
      <c r="A1330" s="14"/>
      <c r="B1330" s="125" t="s">
        <v>28</v>
      </c>
      <c r="C1330" s="130" t="s">
        <v>746</v>
      </c>
      <c r="D1330" s="131" t="s">
        <v>238</v>
      </c>
      <c r="E1330" s="131" t="s">
        <v>11</v>
      </c>
      <c r="F1330" s="131" t="s">
        <v>247</v>
      </c>
      <c r="G1330" s="131" t="s">
        <v>29</v>
      </c>
      <c r="H1330" s="126">
        <f>H1331</f>
        <v>0</v>
      </c>
      <c r="I1330" s="178" t="str">
        <f t="shared" si="164"/>
        <v>617080107 1 01 20060240</v>
      </c>
      <c r="L1330" s="26">
        <v>1095.45</v>
      </c>
      <c r="M1330" s="26">
        <v>1095.45</v>
      </c>
      <c r="N1330" s="26">
        <v>1095.45</v>
      </c>
      <c r="O1330" s="26">
        <f t="shared" si="166"/>
        <v>-1095.45</v>
      </c>
      <c r="P1330" s="26" t="e">
        <f>#REF!-M1330</f>
        <v>#REF!</v>
      </c>
      <c r="Q1330" s="26" t="e">
        <f>#REF!-N1330</f>
        <v>#REF!</v>
      </c>
      <c r="R1330" s="17" t="str">
        <f t="shared" si="152"/>
        <v>07 1 01 20060240</v>
      </c>
    </row>
    <row r="1331" spans="1:18" s="16" customFormat="1" ht="15.75">
      <c r="A1331" s="14"/>
      <c r="B1331" s="125" t="s">
        <v>30</v>
      </c>
      <c r="C1331" s="130" t="s">
        <v>746</v>
      </c>
      <c r="D1331" s="131" t="s">
        <v>238</v>
      </c>
      <c r="E1331" s="131" t="s">
        <v>11</v>
      </c>
      <c r="F1331" s="131" t="s">
        <v>247</v>
      </c>
      <c r="G1331" s="131" t="s">
        <v>31</v>
      </c>
      <c r="H1331" s="126"/>
      <c r="I1331" s="178" t="str">
        <f t="shared" si="164"/>
        <v>617080107 1 01 20060244</v>
      </c>
      <c r="L1331" s="26"/>
      <c r="M1331" s="26"/>
      <c r="N1331" s="26"/>
      <c r="O1331" s="26"/>
      <c r="P1331" s="26"/>
      <c r="Q1331" s="26"/>
      <c r="R1331" s="17"/>
    </row>
    <row r="1332" spans="1:18" s="16" customFormat="1" ht="47.25">
      <c r="A1332" s="14"/>
      <c r="B1332" s="127" t="s">
        <v>780</v>
      </c>
      <c r="C1332" s="130" t="s">
        <v>746</v>
      </c>
      <c r="D1332" s="131" t="s">
        <v>238</v>
      </c>
      <c r="E1332" s="131" t="s">
        <v>11</v>
      </c>
      <c r="F1332" s="131" t="s">
        <v>781</v>
      </c>
      <c r="G1332" s="131" t="s">
        <v>9</v>
      </c>
      <c r="H1332" s="105">
        <f>H1333</f>
        <v>0</v>
      </c>
      <c r="I1332" s="178" t="str">
        <f t="shared" si="164"/>
        <v>617080107 1 01 21130000</v>
      </c>
      <c r="L1332" s="26">
        <v>495.55</v>
      </c>
      <c r="M1332" s="26">
        <v>495.55</v>
      </c>
      <c r="N1332" s="26">
        <v>495.55</v>
      </c>
      <c r="O1332" s="26">
        <f>H1332-L1332</f>
        <v>-495.55</v>
      </c>
      <c r="P1332" s="26" t="e">
        <f>#REF!-M1332</f>
        <v>#REF!</v>
      </c>
      <c r="Q1332" s="26" t="e">
        <f>#REF!-N1332</f>
        <v>#REF!</v>
      </c>
      <c r="R1332" s="17" t="str">
        <f t="shared" ref="R1332:R1430" si="167">CONCATENATE(F1332,G1332)</f>
        <v>07 1 01 21130000</v>
      </c>
    </row>
    <row r="1333" spans="1:18" ht="31.5">
      <c r="B1333" s="125" t="s">
        <v>28</v>
      </c>
      <c r="C1333" s="130" t="s">
        <v>746</v>
      </c>
      <c r="D1333" s="131" t="s">
        <v>238</v>
      </c>
      <c r="E1333" s="131" t="s">
        <v>11</v>
      </c>
      <c r="F1333" s="131" t="s">
        <v>781</v>
      </c>
      <c r="G1333" s="131" t="s">
        <v>29</v>
      </c>
      <c r="H1333" s="126">
        <f>H1334</f>
        <v>0</v>
      </c>
      <c r="I1333" s="178" t="str">
        <f t="shared" si="164"/>
        <v>617080107 1 01 21130240</v>
      </c>
      <c r="L1333" s="26">
        <v>495.55</v>
      </c>
      <c r="M1333" s="26">
        <v>495.55</v>
      </c>
      <c r="N1333" s="26">
        <v>495.55</v>
      </c>
      <c r="O1333" s="26">
        <f>H1333-L1333</f>
        <v>-495.55</v>
      </c>
      <c r="P1333" s="26" t="e">
        <f>#REF!-M1333</f>
        <v>#REF!</v>
      </c>
      <c r="Q1333" s="26" t="e">
        <f>#REF!-N1333</f>
        <v>#REF!</v>
      </c>
      <c r="R1333" s="17" t="str">
        <f t="shared" si="167"/>
        <v>07 1 01 21130240</v>
      </c>
    </row>
    <row r="1334" spans="1:18">
      <c r="B1334" s="125" t="s">
        <v>30</v>
      </c>
      <c r="C1334" s="130" t="s">
        <v>746</v>
      </c>
      <c r="D1334" s="131" t="s">
        <v>238</v>
      </c>
      <c r="E1334" s="131" t="s">
        <v>11</v>
      </c>
      <c r="F1334" s="131" t="s">
        <v>781</v>
      </c>
      <c r="G1334" s="131" t="s">
        <v>31</v>
      </c>
      <c r="H1334" s="126"/>
      <c r="I1334" s="178" t="str">
        <f t="shared" si="164"/>
        <v>617080107 1 01 21130244</v>
      </c>
      <c r="L1334" s="26"/>
      <c r="M1334" s="26"/>
      <c r="N1334" s="26"/>
      <c r="O1334" s="26"/>
      <c r="P1334" s="26"/>
      <c r="Q1334" s="26"/>
      <c r="R1334" s="17"/>
    </row>
    <row r="1335" spans="1:18">
      <c r="B1335" s="125"/>
      <c r="C1335" s="130"/>
      <c r="D1335" s="131"/>
      <c r="E1335" s="131"/>
      <c r="F1335" s="131"/>
      <c r="G1335" s="131"/>
      <c r="H1335" s="105"/>
      <c r="I1335" s="178" t="str">
        <f t="shared" si="164"/>
        <v/>
      </c>
      <c r="L1335" s="26"/>
      <c r="M1335" s="26"/>
      <c r="N1335" s="26"/>
      <c r="O1335" s="26">
        <f t="shared" ref="O1335:O1342" si="168">H1335-L1335</f>
        <v>0</v>
      </c>
      <c r="P1335" s="26" t="e">
        <f>#REF!-M1335</f>
        <v>#REF!</v>
      </c>
      <c r="Q1335" s="26" t="e">
        <f>#REF!-N1335</f>
        <v>#REF!</v>
      </c>
      <c r="R1335" s="17" t="str">
        <f t="shared" si="167"/>
        <v/>
      </c>
    </row>
    <row r="1336" spans="1:18" s="16" customFormat="1" ht="31.5">
      <c r="A1336" s="14"/>
      <c r="B1336" s="67" t="s">
        <v>782</v>
      </c>
      <c r="C1336" s="116" t="s">
        <v>783</v>
      </c>
      <c r="D1336" s="69" t="s">
        <v>7</v>
      </c>
      <c r="E1336" s="69" t="s">
        <v>7</v>
      </c>
      <c r="F1336" s="69" t="s">
        <v>8</v>
      </c>
      <c r="G1336" s="69" t="s">
        <v>9</v>
      </c>
      <c r="H1336" s="70">
        <f>H1337+H1371+H1382+H1421</f>
        <v>0</v>
      </c>
      <c r="I1336" s="178" t="str">
        <f t="shared" si="164"/>
        <v>618000000 0 00 00000000</v>
      </c>
      <c r="L1336" s="25">
        <v>123389.62</v>
      </c>
      <c r="M1336" s="25">
        <v>116997.78</v>
      </c>
      <c r="N1336" s="25">
        <v>122066.77</v>
      </c>
      <c r="O1336" s="25">
        <f t="shared" si="168"/>
        <v>-123389.62</v>
      </c>
      <c r="P1336" s="25" t="e">
        <f>#REF!-M1336</f>
        <v>#REF!</v>
      </c>
      <c r="Q1336" s="25" t="e">
        <f>#REF!-N1336</f>
        <v>#REF!</v>
      </c>
      <c r="R1336" s="17" t="str">
        <f t="shared" si="167"/>
        <v>00 0 00 00000000</v>
      </c>
    </row>
    <row r="1337" spans="1:18" s="16" customFormat="1" ht="15.75">
      <c r="A1337" s="14"/>
      <c r="B1337" s="117" t="s">
        <v>10</v>
      </c>
      <c r="C1337" s="118" t="s">
        <v>783</v>
      </c>
      <c r="D1337" s="119" t="s">
        <v>11</v>
      </c>
      <c r="E1337" s="119" t="s">
        <v>7</v>
      </c>
      <c r="F1337" s="119" t="s">
        <v>8</v>
      </c>
      <c r="G1337" s="119" t="s">
        <v>9</v>
      </c>
      <c r="H1337" s="120">
        <f>H1338+H1364</f>
        <v>0</v>
      </c>
      <c r="I1337" s="178" t="str">
        <f t="shared" si="164"/>
        <v>618010000 0 00 00000000</v>
      </c>
      <c r="L1337" s="18">
        <v>31479.460000000003</v>
      </c>
      <c r="M1337" s="18">
        <v>31479.460000000003</v>
      </c>
      <c r="N1337" s="18">
        <v>31479.460000000003</v>
      </c>
      <c r="O1337" s="18">
        <f t="shared" si="168"/>
        <v>-31479.460000000003</v>
      </c>
      <c r="P1337" s="18" t="e">
        <f>#REF!-M1337</f>
        <v>#REF!</v>
      </c>
      <c r="Q1337" s="18" t="e">
        <f>#REF!-N1337</f>
        <v>#REF!</v>
      </c>
      <c r="R1337" s="17" t="str">
        <f t="shared" si="167"/>
        <v>00 0 00 00000000</v>
      </c>
    </row>
    <row r="1338" spans="1:18" s="16" customFormat="1" ht="63">
      <c r="A1338" s="14"/>
      <c r="B1338" s="121" t="s">
        <v>72</v>
      </c>
      <c r="C1338" s="122" t="s">
        <v>783</v>
      </c>
      <c r="D1338" s="123" t="s">
        <v>11</v>
      </c>
      <c r="E1338" s="123" t="s">
        <v>73</v>
      </c>
      <c r="F1338" s="123" t="s">
        <v>8</v>
      </c>
      <c r="G1338" s="123" t="s">
        <v>9</v>
      </c>
      <c r="H1338" s="124">
        <f t="shared" ref="H1338:H1339" si="169">H1339</f>
        <v>0</v>
      </c>
      <c r="I1338" s="178" t="str">
        <f t="shared" si="164"/>
        <v>618010400 0 00 00000000</v>
      </c>
      <c r="L1338" s="19">
        <v>31121.610000000004</v>
      </c>
      <c r="M1338" s="19">
        <v>31121.610000000004</v>
      </c>
      <c r="N1338" s="19">
        <v>31121.610000000004</v>
      </c>
      <c r="O1338" s="19">
        <f t="shared" si="168"/>
        <v>-31121.610000000004</v>
      </c>
      <c r="P1338" s="19" t="e">
        <f>#REF!-M1338</f>
        <v>#REF!</v>
      </c>
      <c r="Q1338" s="19" t="e">
        <f>#REF!-N1338</f>
        <v>#REF!</v>
      </c>
      <c r="R1338" s="17" t="str">
        <f t="shared" si="167"/>
        <v>00 0 00 00000000</v>
      </c>
    </row>
    <row r="1339" spans="1:18" s="16" customFormat="1" ht="31.5">
      <c r="A1339" s="14"/>
      <c r="B1339" s="125" t="s">
        <v>784</v>
      </c>
      <c r="C1339" s="109" t="s">
        <v>783</v>
      </c>
      <c r="D1339" s="108" t="s">
        <v>11</v>
      </c>
      <c r="E1339" s="108" t="s">
        <v>73</v>
      </c>
      <c r="F1339" s="108" t="s">
        <v>785</v>
      </c>
      <c r="G1339" s="108" t="s">
        <v>9</v>
      </c>
      <c r="H1339" s="126">
        <f t="shared" si="169"/>
        <v>0</v>
      </c>
      <c r="I1339" s="178" t="str">
        <f t="shared" si="164"/>
        <v>618010481 0 00 00000000</v>
      </c>
      <c r="L1339" s="20">
        <v>31121.610000000004</v>
      </c>
      <c r="M1339" s="20">
        <v>31121.610000000004</v>
      </c>
      <c r="N1339" s="20">
        <v>31121.610000000004</v>
      </c>
      <c r="O1339" s="20">
        <f t="shared" si="168"/>
        <v>-31121.610000000004</v>
      </c>
      <c r="P1339" s="20" t="e">
        <f>#REF!-M1339</f>
        <v>#REF!</v>
      </c>
      <c r="Q1339" s="20" t="e">
        <f>#REF!-N1339</f>
        <v>#REF!</v>
      </c>
      <c r="R1339" s="17" t="str">
        <f t="shared" si="167"/>
        <v>81 0 00 00000000</v>
      </c>
    </row>
    <row r="1340" spans="1:18" s="16" customFormat="1" ht="47.25">
      <c r="A1340" s="14"/>
      <c r="B1340" s="125" t="s">
        <v>786</v>
      </c>
      <c r="C1340" s="109" t="s">
        <v>783</v>
      </c>
      <c r="D1340" s="108" t="s">
        <v>11</v>
      </c>
      <c r="E1340" s="108" t="s">
        <v>73</v>
      </c>
      <c r="F1340" s="108" t="s">
        <v>787</v>
      </c>
      <c r="G1340" s="108" t="s">
        <v>9</v>
      </c>
      <c r="H1340" s="126">
        <f>H1341+H1350+H1354+H1361</f>
        <v>0</v>
      </c>
      <c r="I1340" s="178" t="str">
        <f t="shared" si="164"/>
        <v>618010481 1 00 00000000</v>
      </c>
      <c r="L1340" s="20">
        <v>31121.610000000004</v>
      </c>
      <c r="M1340" s="20">
        <v>31121.610000000004</v>
      </c>
      <c r="N1340" s="20">
        <v>31121.610000000004</v>
      </c>
      <c r="O1340" s="20">
        <f t="shared" si="168"/>
        <v>-31121.610000000004</v>
      </c>
      <c r="P1340" s="20" t="e">
        <f>#REF!-M1340</f>
        <v>#REF!</v>
      </c>
      <c r="Q1340" s="20" t="e">
        <f>#REF!-N1340</f>
        <v>#REF!</v>
      </c>
      <c r="R1340" s="17" t="str">
        <f t="shared" si="167"/>
        <v>81 1 00 00000000</v>
      </c>
    </row>
    <row r="1341" spans="1:18" s="16" customFormat="1" ht="31.5">
      <c r="A1341" s="14"/>
      <c r="B1341" s="125" t="s">
        <v>18</v>
      </c>
      <c r="C1341" s="109" t="s">
        <v>783</v>
      </c>
      <c r="D1341" s="108" t="s">
        <v>11</v>
      </c>
      <c r="E1341" s="108" t="s">
        <v>73</v>
      </c>
      <c r="F1341" s="108" t="s">
        <v>788</v>
      </c>
      <c r="G1341" s="108" t="s">
        <v>9</v>
      </c>
      <c r="H1341" s="126">
        <f>H1342+H1345+H1347</f>
        <v>0</v>
      </c>
      <c r="I1341" s="178" t="str">
        <f t="shared" si="164"/>
        <v>618010481 1 00 10010000</v>
      </c>
      <c r="L1341" s="20">
        <v>4289.08</v>
      </c>
      <c r="M1341" s="20">
        <v>4289.08</v>
      </c>
      <c r="N1341" s="20">
        <v>4289.08</v>
      </c>
      <c r="O1341" s="20">
        <f t="shared" si="168"/>
        <v>-4289.08</v>
      </c>
      <c r="P1341" s="20" t="e">
        <f>#REF!-M1341</f>
        <v>#REF!</v>
      </c>
      <c r="Q1341" s="20" t="e">
        <f>#REF!-N1341</f>
        <v>#REF!</v>
      </c>
      <c r="R1341" s="17" t="str">
        <f t="shared" si="167"/>
        <v>81 1 00 10010000</v>
      </c>
    </row>
    <row r="1342" spans="1:18" s="16" customFormat="1" ht="31.5">
      <c r="A1342" s="14"/>
      <c r="B1342" s="129" t="s">
        <v>20</v>
      </c>
      <c r="C1342" s="109" t="s">
        <v>783</v>
      </c>
      <c r="D1342" s="108" t="s">
        <v>11</v>
      </c>
      <c r="E1342" s="108" t="s">
        <v>73</v>
      </c>
      <c r="F1342" s="108" t="s">
        <v>788</v>
      </c>
      <c r="G1342" s="108" t="s">
        <v>21</v>
      </c>
      <c r="H1342" s="126">
        <f>SUM(H1343:H1344)</f>
        <v>0</v>
      </c>
      <c r="I1342" s="178" t="str">
        <f t="shared" si="164"/>
        <v>618010481 1 00 10010120</v>
      </c>
      <c r="L1342" s="20">
        <v>640.11</v>
      </c>
      <c r="M1342" s="20">
        <v>640.11</v>
      </c>
      <c r="N1342" s="20">
        <v>640.11</v>
      </c>
      <c r="O1342" s="20">
        <f t="shared" si="168"/>
        <v>-640.11</v>
      </c>
      <c r="P1342" s="20" t="e">
        <f>#REF!-M1342</f>
        <v>#REF!</v>
      </c>
      <c r="Q1342" s="20" t="e">
        <f>#REF!-N1342</f>
        <v>#REF!</v>
      </c>
      <c r="R1342" s="17" t="str">
        <f t="shared" si="167"/>
        <v>81 1 00 10010120</v>
      </c>
    </row>
    <row r="1343" spans="1:18" s="23" customFormat="1" ht="47.25">
      <c r="A1343" s="21"/>
      <c r="B1343" s="127" t="s">
        <v>22</v>
      </c>
      <c r="C1343" s="109" t="s">
        <v>783</v>
      </c>
      <c r="D1343" s="108" t="s">
        <v>11</v>
      </c>
      <c r="E1343" s="108" t="s">
        <v>73</v>
      </c>
      <c r="F1343" s="108" t="s">
        <v>788</v>
      </c>
      <c r="G1343" s="108" t="s">
        <v>23</v>
      </c>
      <c r="H1343" s="126"/>
      <c r="I1343" s="178" t="str">
        <f t="shared" si="164"/>
        <v>618010481 1 00 10010122</v>
      </c>
      <c r="L1343" s="22"/>
      <c r="M1343" s="22"/>
      <c r="N1343" s="22"/>
      <c r="O1343" s="22"/>
      <c r="P1343" s="22"/>
      <c r="Q1343" s="22"/>
      <c r="R1343" s="24"/>
    </row>
    <row r="1344" spans="1:18" s="23" customFormat="1" ht="63">
      <c r="A1344" s="21"/>
      <c r="B1344" s="127" t="s">
        <v>26</v>
      </c>
      <c r="C1344" s="109" t="s">
        <v>783</v>
      </c>
      <c r="D1344" s="108" t="s">
        <v>11</v>
      </c>
      <c r="E1344" s="108" t="s">
        <v>73</v>
      </c>
      <c r="F1344" s="108" t="s">
        <v>788</v>
      </c>
      <c r="G1344" s="108" t="s">
        <v>27</v>
      </c>
      <c r="H1344" s="126"/>
      <c r="I1344" s="178" t="str">
        <f t="shared" si="164"/>
        <v>618010481 1 00 10010129</v>
      </c>
      <c r="L1344" s="22"/>
      <c r="M1344" s="22"/>
      <c r="N1344" s="22"/>
      <c r="O1344" s="22"/>
      <c r="P1344" s="22"/>
      <c r="Q1344" s="22"/>
      <c r="R1344" s="24"/>
    </row>
    <row r="1345" spans="1:18" s="16" customFormat="1" ht="31.5">
      <c r="A1345" s="14"/>
      <c r="B1345" s="125" t="s">
        <v>28</v>
      </c>
      <c r="C1345" s="109" t="s">
        <v>783</v>
      </c>
      <c r="D1345" s="108" t="s">
        <v>11</v>
      </c>
      <c r="E1345" s="108" t="s">
        <v>73</v>
      </c>
      <c r="F1345" s="108" t="s">
        <v>788</v>
      </c>
      <c r="G1345" s="108" t="s">
        <v>29</v>
      </c>
      <c r="H1345" s="126">
        <f>H1346</f>
        <v>0</v>
      </c>
      <c r="I1345" s="178" t="str">
        <f t="shared" si="164"/>
        <v>618010481 1 00 10010240</v>
      </c>
      <c r="L1345" s="20">
        <v>3598.47</v>
      </c>
      <c r="M1345" s="20">
        <v>3598.47</v>
      </c>
      <c r="N1345" s="20">
        <v>3598.47</v>
      </c>
      <c r="O1345" s="20">
        <f>H1345-L1345</f>
        <v>-3598.47</v>
      </c>
      <c r="P1345" s="20" t="e">
        <f>#REF!-M1345</f>
        <v>#REF!</v>
      </c>
      <c r="Q1345" s="20" t="e">
        <f>#REF!-N1345</f>
        <v>#REF!</v>
      </c>
      <c r="R1345" s="17" t="str">
        <f t="shared" si="167"/>
        <v>81 1 00 10010240</v>
      </c>
    </row>
    <row r="1346" spans="1:18" s="16" customFormat="1" ht="15.75">
      <c r="A1346" s="14"/>
      <c r="B1346" s="125" t="s">
        <v>30</v>
      </c>
      <c r="C1346" s="109" t="s">
        <v>783</v>
      </c>
      <c r="D1346" s="108" t="s">
        <v>11</v>
      </c>
      <c r="E1346" s="108" t="s">
        <v>73</v>
      </c>
      <c r="F1346" s="108" t="s">
        <v>788</v>
      </c>
      <c r="G1346" s="108" t="s">
        <v>31</v>
      </c>
      <c r="H1346" s="126"/>
      <c r="I1346" s="178" t="str">
        <f t="shared" si="164"/>
        <v>618010481 1 00 10010244</v>
      </c>
      <c r="L1346" s="20"/>
      <c r="M1346" s="20"/>
      <c r="N1346" s="20"/>
      <c r="O1346" s="20"/>
      <c r="P1346" s="20"/>
      <c r="Q1346" s="20"/>
      <c r="R1346" s="17"/>
    </row>
    <row r="1347" spans="1:18" s="16" customFormat="1" ht="15.75">
      <c r="A1347" s="14"/>
      <c r="B1347" s="125" t="s">
        <v>32</v>
      </c>
      <c r="C1347" s="109" t="s">
        <v>783</v>
      </c>
      <c r="D1347" s="108" t="s">
        <v>11</v>
      </c>
      <c r="E1347" s="108" t="s">
        <v>73</v>
      </c>
      <c r="F1347" s="108" t="s">
        <v>788</v>
      </c>
      <c r="G1347" s="108" t="s">
        <v>33</v>
      </c>
      <c r="H1347" s="126">
        <f>SUM(H1348:H1349)</f>
        <v>0</v>
      </c>
      <c r="I1347" s="178" t="str">
        <f t="shared" si="164"/>
        <v>618010481 1 00 10010850</v>
      </c>
      <c r="L1347" s="20">
        <v>50.5</v>
      </c>
      <c r="M1347" s="20">
        <v>50.5</v>
      </c>
      <c r="N1347" s="20">
        <v>50.5</v>
      </c>
      <c r="O1347" s="20">
        <f>H1347-L1347</f>
        <v>-50.5</v>
      </c>
      <c r="P1347" s="20" t="e">
        <f>#REF!-M1347</f>
        <v>#REF!</v>
      </c>
      <c r="Q1347" s="20" t="e">
        <f>#REF!-N1347</f>
        <v>#REF!</v>
      </c>
      <c r="R1347" s="17" t="str">
        <f t="shared" si="167"/>
        <v>81 1 00 10010850</v>
      </c>
    </row>
    <row r="1348" spans="1:18" s="23" customFormat="1" ht="31.5">
      <c r="A1348" s="21"/>
      <c r="B1348" s="127" t="s">
        <v>34</v>
      </c>
      <c r="C1348" s="109" t="s">
        <v>783</v>
      </c>
      <c r="D1348" s="108" t="s">
        <v>11</v>
      </c>
      <c r="E1348" s="108" t="s">
        <v>73</v>
      </c>
      <c r="F1348" s="108" t="s">
        <v>788</v>
      </c>
      <c r="G1348" s="108" t="s">
        <v>35</v>
      </c>
      <c r="H1348" s="126"/>
      <c r="I1348" s="178" t="str">
        <f t="shared" si="164"/>
        <v>618010481 1 00 10010851</v>
      </c>
      <c r="L1348" s="22"/>
      <c r="M1348" s="22"/>
      <c r="N1348" s="22"/>
      <c r="O1348" s="22"/>
      <c r="P1348" s="22"/>
      <c r="Q1348" s="22"/>
      <c r="R1348" s="24"/>
    </row>
    <row r="1349" spans="1:18" s="23" customFormat="1" ht="15.75">
      <c r="A1349" s="21"/>
      <c r="B1349" s="127" t="s">
        <v>36</v>
      </c>
      <c r="C1349" s="109" t="s">
        <v>783</v>
      </c>
      <c r="D1349" s="108" t="s">
        <v>11</v>
      </c>
      <c r="E1349" s="108" t="s">
        <v>73</v>
      </c>
      <c r="F1349" s="108" t="s">
        <v>788</v>
      </c>
      <c r="G1349" s="108" t="s">
        <v>37</v>
      </c>
      <c r="H1349" s="126"/>
      <c r="I1349" s="178" t="str">
        <f t="shared" si="164"/>
        <v>618010481 1 00 10010852</v>
      </c>
      <c r="L1349" s="22"/>
      <c r="M1349" s="22"/>
      <c r="N1349" s="22"/>
      <c r="O1349" s="22"/>
      <c r="P1349" s="22"/>
      <c r="Q1349" s="22"/>
      <c r="R1349" s="24"/>
    </row>
    <row r="1350" spans="1:18" s="16" customFormat="1" ht="31.5">
      <c r="A1350" s="14"/>
      <c r="B1350" s="129" t="s">
        <v>789</v>
      </c>
      <c r="C1350" s="109" t="s">
        <v>783</v>
      </c>
      <c r="D1350" s="108" t="s">
        <v>11</v>
      </c>
      <c r="E1350" s="108" t="s">
        <v>73</v>
      </c>
      <c r="F1350" s="108" t="s">
        <v>790</v>
      </c>
      <c r="G1350" s="108" t="s">
        <v>9</v>
      </c>
      <c r="H1350" s="126">
        <f>H1351</f>
        <v>0</v>
      </c>
      <c r="I1350" s="178" t="str">
        <f t="shared" si="164"/>
        <v>618010481 1 00 10020000</v>
      </c>
      <c r="L1350" s="20">
        <v>25543</v>
      </c>
      <c r="M1350" s="20">
        <v>25543</v>
      </c>
      <c r="N1350" s="20">
        <v>25543</v>
      </c>
      <c r="O1350" s="20">
        <f>H1350-L1350</f>
        <v>-25543</v>
      </c>
      <c r="P1350" s="20" t="e">
        <f>#REF!-M1350</f>
        <v>#REF!</v>
      </c>
      <c r="Q1350" s="20" t="e">
        <f>#REF!-N1350</f>
        <v>#REF!</v>
      </c>
      <c r="R1350" s="17" t="str">
        <f t="shared" si="167"/>
        <v>81 1 00 10020000</v>
      </c>
    </row>
    <row r="1351" spans="1:18" s="16" customFormat="1" ht="31.5">
      <c r="A1351" s="14"/>
      <c r="B1351" s="129" t="s">
        <v>20</v>
      </c>
      <c r="C1351" s="109" t="s">
        <v>783</v>
      </c>
      <c r="D1351" s="108" t="s">
        <v>11</v>
      </c>
      <c r="E1351" s="108" t="s">
        <v>73</v>
      </c>
      <c r="F1351" s="108" t="s">
        <v>790</v>
      </c>
      <c r="G1351" s="108" t="s">
        <v>21</v>
      </c>
      <c r="H1351" s="126">
        <f>SUM(H1352:H1353)</f>
        <v>0</v>
      </c>
      <c r="I1351" s="178" t="str">
        <f t="shared" si="164"/>
        <v>618010481 1 00 10020120</v>
      </c>
      <c r="L1351" s="20">
        <v>25543</v>
      </c>
      <c r="M1351" s="20">
        <v>25543</v>
      </c>
      <c r="N1351" s="20">
        <v>25543</v>
      </c>
      <c r="O1351" s="20">
        <f>H1351-L1351</f>
        <v>-25543</v>
      </c>
      <c r="P1351" s="20" t="e">
        <f>#REF!-M1351</f>
        <v>#REF!</v>
      </c>
      <c r="Q1351" s="20" t="e">
        <f>#REF!-N1351</f>
        <v>#REF!</v>
      </c>
      <c r="R1351" s="17" t="str">
        <f t="shared" si="167"/>
        <v>81 1 00 10020120</v>
      </c>
    </row>
    <row r="1352" spans="1:18" s="23" customFormat="1" ht="31.5">
      <c r="A1352" s="21"/>
      <c r="B1352" s="127" t="s">
        <v>40</v>
      </c>
      <c r="C1352" s="109" t="s">
        <v>783</v>
      </c>
      <c r="D1352" s="108" t="s">
        <v>11</v>
      </c>
      <c r="E1352" s="108" t="s">
        <v>73</v>
      </c>
      <c r="F1352" s="108" t="s">
        <v>790</v>
      </c>
      <c r="G1352" s="108" t="s">
        <v>41</v>
      </c>
      <c r="H1352" s="126"/>
      <c r="I1352" s="178" t="str">
        <f t="shared" si="164"/>
        <v>618010481 1 00 10020121</v>
      </c>
      <c r="L1352" s="22"/>
      <c r="M1352" s="22"/>
      <c r="N1352" s="22"/>
      <c r="O1352" s="22"/>
      <c r="P1352" s="22"/>
      <c r="Q1352" s="22"/>
      <c r="R1352" s="24"/>
    </row>
    <row r="1353" spans="1:18" s="23" customFormat="1" ht="63">
      <c r="A1353" s="21"/>
      <c r="B1353" s="127" t="s">
        <v>26</v>
      </c>
      <c r="C1353" s="109" t="s">
        <v>783</v>
      </c>
      <c r="D1353" s="108" t="s">
        <v>11</v>
      </c>
      <c r="E1353" s="108" t="s">
        <v>73</v>
      </c>
      <c r="F1353" s="108" t="s">
        <v>790</v>
      </c>
      <c r="G1353" s="108" t="s">
        <v>27</v>
      </c>
      <c r="H1353" s="126"/>
      <c r="I1353" s="178" t="str">
        <f t="shared" si="164"/>
        <v>618010481 1 00 10020129</v>
      </c>
      <c r="L1353" s="22"/>
      <c r="M1353" s="22"/>
      <c r="N1353" s="22"/>
      <c r="O1353" s="22"/>
      <c r="P1353" s="22"/>
      <c r="Q1353" s="22"/>
      <c r="R1353" s="24"/>
    </row>
    <row r="1354" spans="1:18" s="16" customFormat="1" ht="63">
      <c r="A1354" s="14" t="s">
        <v>80</v>
      </c>
      <c r="B1354" s="150" t="s">
        <v>488</v>
      </c>
      <c r="C1354" s="109" t="s">
        <v>783</v>
      </c>
      <c r="D1354" s="108" t="s">
        <v>11</v>
      </c>
      <c r="E1354" s="108" t="s">
        <v>73</v>
      </c>
      <c r="F1354" s="108" t="s">
        <v>791</v>
      </c>
      <c r="G1354" s="108" t="s">
        <v>9</v>
      </c>
      <c r="H1354" s="126">
        <f>H1355+H1359</f>
        <v>0</v>
      </c>
      <c r="I1354" s="178" t="str">
        <f t="shared" si="164"/>
        <v>618010481 1 00 76200000</v>
      </c>
      <c r="L1354" s="20">
        <v>1218.6300000000001</v>
      </c>
      <c r="M1354" s="20">
        <v>1218.6300000000001</v>
      </c>
      <c r="N1354" s="20">
        <v>1218.6300000000001</v>
      </c>
      <c r="O1354" s="20">
        <f>H1354-L1354</f>
        <v>-1218.6300000000001</v>
      </c>
      <c r="P1354" s="20" t="e">
        <f>#REF!-M1354</f>
        <v>#REF!</v>
      </c>
      <c r="Q1354" s="20" t="e">
        <f>#REF!-N1354</f>
        <v>#REF!</v>
      </c>
      <c r="R1354" s="17" t="str">
        <f t="shared" si="167"/>
        <v>81 1 00 76200000</v>
      </c>
    </row>
    <row r="1355" spans="1:18" s="16" customFormat="1" ht="31.5">
      <c r="A1355" s="14"/>
      <c r="B1355" s="129" t="s">
        <v>20</v>
      </c>
      <c r="C1355" s="109" t="s">
        <v>783</v>
      </c>
      <c r="D1355" s="108" t="s">
        <v>11</v>
      </c>
      <c r="E1355" s="108" t="s">
        <v>73</v>
      </c>
      <c r="F1355" s="108" t="s">
        <v>791</v>
      </c>
      <c r="G1355" s="108" t="s">
        <v>21</v>
      </c>
      <c r="H1355" s="126">
        <f>SUM(H1356:H1358)</f>
        <v>0</v>
      </c>
      <c r="I1355" s="178" t="str">
        <f t="shared" si="164"/>
        <v>618010481 1 00 76200120</v>
      </c>
      <c r="L1355" s="20">
        <v>1059.71</v>
      </c>
      <c r="M1355" s="20">
        <v>1059.71</v>
      </c>
      <c r="N1355" s="20">
        <v>1059.71</v>
      </c>
      <c r="O1355" s="20">
        <f>H1355-L1355</f>
        <v>-1059.71</v>
      </c>
      <c r="P1355" s="20" t="e">
        <f>#REF!-M1355</f>
        <v>#REF!</v>
      </c>
      <c r="Q1355" s="20" t="e">
        <f>#REF!-N1355</f>
        <v>#REF!</v>
      </c>
      <c r="R1355" s="17" t="str">
        <f t="shared" si="167"/>
        <v>81 1 00 76200120</v>
      </c>
    </row>
    <row r="1356" spans="1:18" s="16" customFormat="1" ht="31.5">
      <c r="A1356" s="14"/>
      <c r="B1356" s="127" t="s">
        <v>40</v>
      </c>
      <c r="C1356" s="109" t="s">
        <v>783</v>
      </c>
      <c r="D1356" s="108" t="s">
        <v>11</v>
      </c>
      <c r="E1356" s="108" t="s">
        <v>73</v>
      </c>
      <c r="F1356" s="108" t="s">
        <v>791</v>
      </c>
      <c r="G1356" s="108" t="s">
        <v>41</v>
      </c>
      <c r="H1356" s="126"/>
      <c r="I1356" s="178" t="str">
        <f t="shared" si="164"/>
        <v>618010481 1 00 76200121</v>
      </c>
      <c r="L1356" s="20"/>
      <c r="M1356" s="20"/>
      <c r="N1356" s="20"/>
      <c r="O1356" s="20"/>
      <c r="P1356" s="20"/>
      <c r="Q1356" s="20"/>
      <c r="R1356" s="17"/>
    </row>
    <row r="1357" spans="1:18" s="23" customFormat="1" ht="47.25">
      <c r="A1357" s="21"/>
      <c r="B1357" s="127" t="s">
        <v>22</v>
      </c>
      <c r="C1357" s="109" t="s">
        <v>783</v>
      </c>
      <c r="D1357" s="108" t="s">
        <v>11</v>
      </c>
      <c r="E1357" s="108" t="s">
        <v>73</v>
      </c>
      <c r="F1357" s="108" t="s">
        <v>791</v>
      </c>
      <c r="G1357" s="108" t="s">
        <v>23</v>
      </c>
      <c r="H1357" s="126"/>
      <c r="I1357" s="178" t="str">
        <f t="shared" si="164"/>
        <v>618010481 1 00 76200122</v>
      </c>
      <c r="L1357" s="22"/>
      <c r="M1357" s="22"/>
      <c r="N1357" s="22"/>
      <c r="O1357" s="22"/>
      <c r="P1357" s="22"/>
      <c r="Q1357" s="22"/>
      <c r="R1357" s="24"/>
    </row>
    <row r="1358" spans="1:18" s="23" customFormat="1" ht="63">
      <c r="A1358" s="21"/>
      <c r="B1358" s="127" t="s">
        <v>26</v>
      </c>
      <c r="C1358" s="109" t="s">
        <v>783</v>
      </c>
      <c r="D1358" s="108" t="s">
        <v>11</v>
      </c>
      <c r="E1358" s="108" t="s">
        <v>73</v>
      </c>
      <c r="F1358" s="108" t="s">
        <v>791</v>
      </c>
      <c r="G1358" s="108" t="s">
        <v>27</v>
      </c>
      <c r="H1358" s="126"/>
      <c r="I1358" s="178" t="str">
        <f t="shared" si="164"/>
        <v>618010481 1 00 76200129</v>
      </c>
      <c r="L1358" s="22"/>
      <c r="M1358" s="22"/>
      <c r="N1358" s="22"/>
      <c r="O1358" s="22"/>
      <c r="P1358" s="22"/>
      <c r="Q1358" s="22"/>
      <c r="R1358" s="24"/>
    </row>
    <row r="1359" spans="1:18" s="16" customFormat="1" ht="31.5">
      <c r="A1359" s="14"/>
      <c r="B1359" s="125" t="s">
        <v>28</v>
      </c>
      <c r="C1359" s="109" t="s">
        <v>783</v>
      </c>
      <c r="D1359" s="108" t="s">
        <v>11</v>
      </c>
      <c r="E1359" s="108" t="s">
        <v>73</v>
      </c>
      <c r="F1359" s="108" t="s">
        <v>791</v>
      </c>
      <c r="G1359" s="108" t="s">
        <v>29</v>
      </c>
      <c r="H1359" s="126">
        <f>H1360</f>
        <v>0</v>
      </c>
      <c r="I1359" s="178" t="str">
        <f t="shared" si="164"/>
        <v>618010481 1 00 76200240</v>
      </c>
      <c r="L1359" s="20">
        <v>158.91999999999999</v>
      </c>
      <c r="M1359" s="20">
        <v>158.91999999999999</v>
      </c>
      <c r="N1359" s="20">
        <v>158.91999999999999</v>
      </c>
      <c r="O1359" s="20">
        <f>H1359-L1359</f>
        <v>-158.91999999999999</v>
      </c>
      <c r="P1359" s="20" t="e">
        <f>#REF!-M1359</f>
        <v>#REF!</v>
      </c>
      <c r="Q1359" s="20" t="e">
        <f>#REF!-N1359</f>
        <v>#REF!</v>
      </c>
      <c r="R1359" s="17" t="str">
        <f t="shared" si="167"/>
        <v>81 1 00 76200240</v>
      </c>
    </row>
    <row r="1360" spans="1:18" s="16" customFormat="1" ht="15.75">
      <c r="A1360" s="14"/>
      <c r="B1360" s="125" t="s">
        <v>30</v>
      </c>
      <c r="C1360" s="109" t="s">
        <v>783</v>
      </c>
      <c r="D1360" s="108" t="s">
        <v>11</v>
      </c>
      <c r="E1360" s="108" t="s">
        <v>73</v>
      </c>
      <c r="F1360" s="108" t="s">
        <v>791</v>
      </c>
      <c r="G1360" s="108" t="s">
        <v>31</v>
      </c>
      <c r="H1360" s="126"/>
      <c r="I1360" s="178" t="str">
        <f t="shared" si="164"/>
        <v>618010481 1 00 76200244</v>
      </c>
      <c r="L1360" s="20"/>
      <c r="M1360" s="20"/>
      <c r="N1360" s="20"/>
      <c r="O1360" s="20"/>
      <c r="P1360" s="20"/>
      <c r="Q1360" s="20"/>
      <c r="R1360" s="17"/>
    </row>
    <row r="1361" spans="1:18" s="16" customFormat="1" ht="63">
      <c r="A1361" s="14" t="s">
        <v>80</v>
      </c>
      <c r="B1361" s="129" t="s">
        <v>754</v>
      </c>
      <c r="C1361" s="109" t="str">
        <f t="shared" ref="C1361:E1362" si="170">C1350</f>
        <v>618</v>
      </c>
      <c r="D1361" s="108" t="str">
        <f t="shared" si="170"/>
        <v>01</v>
      </c>
      <c r="E1361" s="108" t="str">
        <f t="shared" si="170"/>
        <v>04</v>
      </c>
      <c r="F1361" s="108" t="s">
        <v>792</v>
      </c>
      <c r="G1361" s="108" t="s">
        <v>9</v>
      </c>
      <c r="H1361" s="126">
        <f>H1362</f>
        <v>0</v>
      </c>
      <c r="I1361" s="178" t="str">
        <f t="shared" si="164"/>
        <v>618010481 1 00 76360000</v>
      </c>
      <c r="L1361" s="20">
        <v>70.900000000000006</v>
      </c>
      <c r="M1361" s="20">
        <v>70.900000000000006</v>
      </c>
      <c r="N1361" s="20">
        <v>70.900000000000006</v>
      </c>
      <c r="O1361" s="20">
        <f>H1361-L1361</f>
        <v>-70.900000000000006</v>
      </c>
      <c r="P1361" s="20" t="e">
        <f>#REF!-M1361</f>
        <v>#REF!</v>
      </c>
      <c r="Q1361" s="20" t="e">
        <f>#REF!-N1361</f>
        <v>#REF!</v>
      </c>
      <c r="R1361" s="17" t="str">
        <f t="shared" si="167"/>
        <v>81 1 00 76360000</v>
      </c>
    </row>
    <row r="1362" spans="1:18" s="16" customFormat="1" ht="31.5">
      <c r="A1362" s="14"/>
      <c r="B1362" s="125" t="s">
        <v>28</v>
      </c>
      <c r="C1362" s="109" t="str">
        <f t="shared" si="170"/>
        <v>618</v>
      </c>
      <c r="D1362" s="108" t="str">
        <f t="shared" si="170"/>
        <v>01</v>
      </c>
      <c r="E1362" s="108" t="str">
        <f t="shared" si="170"/>
        <v>04</v>
      </c>
      <c r="F1362" s="108" t="s">
        <v>792</v>
      </c>
      <c r="G1362" s="108" t="s">
        <v>29</v>
      </c>
      <c r="H1362" s="126">
        <f>H1363</f>
        <v>0</v>
      </c>
      <c r="I1362" s="178" t="str">
        <f t="shared" si="164"/>
        <v>618010481 1 00 76360240</v>
      </c>
      <c r="L1362" s="20">
        <v>70.900000000000006</v>
      </c>
      <c r="M1362" s="20">
        <v>70.900000000000006</v>
      </c>
      <c r="N1362" s="20">
        <v>70.900000000000006</v>
      </c>
      <c r="O1362" s="20">
        <f>H1362-L1362</f>
        <v>-70.900000000000006</v>
      </c>
      <c r="P1362" s="20" t="e">
        <f>#REF!-M1362</f>
        <v>#REF!</v>
      </c>
      <c r="Q1362" s="20" t="e">
        <f>#REF!-N1362</f>
        <v>#REF!</v>
      </c>
      <c r="R1362" s="17" t="str">
        <f t="shared" si="167"/>
        <v>81 1 00 76360240</v>
      </c>
    </row>
    <row r="1363" spans="1:18" s="16" customFormat="1" ht="15.75">
      <c r="A1363" s="14"/>
      <c r="B1363" s="125" t="s">
        <v>30</v>
      </c>
      <c r="C1363" s="109" t="s">
        <v>783</v>
      </c>
      <c r="D1363" s="108" t="s">
        <v>11</v>
      </c>
      <c r="E1363" s="108" t="s">
        <v>73</v>
      </c>
      <c r="F1363" s="108" t="s">
        <v>792</v>
      </c>
      <c r="G1363" s="108" t="s">
        <v>31</v>
      </c>
      <c r="H1363" s="126"/>
      <c r="I1363" s="178" t="str">
        <f t="shared" si="164"/>
        <v>618010481 1 00 76360244</v>
      </c>
      <c r="L1363" s="20"/>
      <c r="M1363" s="20"/>
      <c r="N1363" s="20"/>
      <c r="O1363" s="20"/>
      <c r="P1363" s="20"/>
      <c r="Q1363" s="20"/>
      <c r="R1363" s="17"/>
    </row>
    <row r="1364" spans="1:18" s="16" customFormat="1" ht="15.75">
      <c r="A1364" s="14"/>
      <c r="B1364" s="121" t="s">
        <v>50</v>
      </c>
      <c r="C1364" s="122" t="s">
        <v>783</v>
      </c>
      <c r="D1364" s="123" t="s">
        <v>11</v>
      </c>
      <c r="E1364" s="123" t="s">
        <v>51</v>
      </c>
      <c r="F1364" s="123" t="s">
        <v>8</v>
      </c>
      <c r="G1364" s="123" t="s">
        <v>9</v>
      </c>
      <c r="H1364" s="124">
        <f>H1365</f>
        <v>0</v>
      </c>
      <c r="I1364" s="178" t="str">
        <f t="shared" si="164"/>
        <v>618011300 0 00 00000000</v>
      </c>
      <c r="L1364" s="19">
        <v>357.85</v>
      </c>
      <c r="M1364" s="19">
        <v>357.85</v>
      </c>
      <c r="N1364" s="19">
        <v>357.85</v>
      </c>
      <c r="O1364" s="19">
        <f t="shared" ref="O1364:O1369" si="171">H1364-L1364</f>
        <v>-357.85</v>
      </c>
      <c r="P1364" s="19" t="e">
        <f>#REF!-M1364</f>
        <v>#REF!</v>
      </c>
      <c r="Q1364" s="19" t="e">
        <f>#REF!-N1364</f>
        <v>#REF!</v>
      </c>
      <c r="R1364" s="17" t="str">
        <f t="shared" si="167"/>
        <v>00 0 00 00000000</v>
      </c>
    </row>
    <row r="1365" spans="1:18" s="16" customFormat="1" ht="63">
      <c r="A1365" s="14"/>
      <c r="B1365" s="132" t="s">
        <v>257</v>
      </c>
      <c r="C1365" s="109" t="s">
        <v>783</v>
      </c>
      <c r="D1365" s="108" t="s">
        <v>11</v>
      </c>
      <c r="E1365" s="108" t="s">
        <v>51</v>
      </c>
      <c r="F1365" s="108" t="s">
        <v>258</v>
      </c>
      <c r="G1365" s="108" t="s">
        <v>9</v>
      </c>
      <c r="H1365" s="126">
        <f t="shared" ref="H1365:H1368" si="172">H1366</f>
        <v>0</v>
      </c>
      <c r="I1365" s="178" t="str">
        <f t="shared" ref="I1365:I1428" si="173">C1365&amp;D1365&amp;E1365&amp;F1365&amp;G1365</f>
        <v>618011311 0 00 00000000</v>
      </c>
      <c r="L1365" s="20">
        <v>357.85</v>
      </c>
      <c r="M1365" s="20">
        <v>357.85</v>
      </c>
      <c r="N1365" s="20">
        <v>357.85</v>
      </c>
      <c r="O1365" s="20">
        <f t="shared" si="171"/>
        <v>-357.85</v>
      </c>
      <c r="P1365" s="20" t="e">
        <f>#REF!-M1365</f>
        <v>#REF!</v>
      </c>
      <c r="Q1365" s="20" t="e">
        <f>#REF!-N1365</f>
        <v>#REF!</v>
      </c>
      <c r="R1365" s="17" t="str">
        <f t="shared" si="167"/>
        <v>11 0 00 00000000</v>
      </c>
    </row>
    <row r="1366" spans="1:18" s="16" customFormat="1" ht="63">
      <c r="A1366" s="14"/>
      <c r="B1366" s="132" t="s">
        <v>259</v>
      </c>
      <c r="C1366" s="109" t="s">
        <v>783</v>
      </c>
      <c r="D1366" s="108" t="s">
        <v>11</v>
      </c>
      <c r="E1366" s="108" t="s">
        <v>51</v>
      </c>
      <c r="F1366" s="108" t="s">
        <v>260</v>
      </c>
      <c r="G1366" s="108" t="s">
        <v>9</v>
      </c>
      <c r="H1366" s="126">
        <f t="shared" si="172"/>
        <v>0</v>
      </c>
      <c r="I1366" s="178" t="str">
        <f t="shared" si="173"/>
        <v>618011311 Б 00 00000000</v>
      </c>
      <c r="L1366" s="20">
        <v>357.85</v>
      </c>
      <c r="M1366" s="20">
        <v>357.85</v>
      </c>
      <c r="N1366" s="20">
        <v>357.85</v>
      </c>
      <c r="O1366" s="20">
        <f t="shared" si="171"/>
        <v>-357.85</v>
      </c>
      <c r="P1366" s="20" t="e">
        <f>#REF!-M1366</f>
        <v>#REF!</v>
      </c>
      <c r="Q1366" s="20" t="e">
        <f>#REF!-N1366</f>
        <v>#REF!</v>
      </c>
      <c r="R1366" s="17" t="str">
        <f t="shared" si="167"/>
        <v>11 Б 00 00000000</v>
      </c>
    </row>
    <row r="1367" spans="1:18" s="16" customFormat="1" ht="47.25">
      <c r="A1367" s="14"/>
      <c r="B1367" s="155" t="s">
        <v>261</v>
      </c>
      <c r="C1367" s="108" t="s">
        <v>783</v>
      </c>
      <c r="D1367" s="108" t="s">
        <v>11</v>
      </c>
      <c r="E1367" s="108" t="s">
        <v>51</v>
      </c>
      <c r="F1367" s="108" t="s">
        <v>262</v>
      </c>
      <c r="G1367" s="108" t="s">
        <v>9</v>
      </c>
      <c r="H1367" s="126">
        <f t="shared" si="172"/>
        <v>0</v>
      </c>
      <c r="I1367" s="178" t="str">
        <f t="shared" si="173"/>
        <v>618011311 Б 01 00000000</v>
      </c>
      <c r="L1367" s="20">
        <v>357.85</v>
      </c>
      <c r="M1367" s="20">
        <v>357.85</v>
      </c>
      <c r="N1367" s="20">
        <v>357.85</v>
      </c>
      <c r="O1367" s="20">
        <f t="shared" si="171"/>
        <v>-357.85</v>
      </c>
      <c r="P1367" s="20" t="e">
        <f>#REF!-M1367</f>
        <v>#REF!</v>
      </c>
      <c r="Q1367" s="20" t="e">
        <f>#REF!-N1367</f>
        <v>#REF!</v>
      </c>
      <c r="R1367" s="17" t="str">
        <f t="shared" si="167"/>
        <v>11 Б 01 00000000</v>
      </c>
    </row>
    <row r="1368" spans="1:18" s="16" customFormat="1" ht="31.5">
      <c r="A1368" s="14"/>
      <c r="B1368" s="125" t="s">
        <v>756</v>
      </c>
      <c r="C1368" s="109" t="s">
        <v>783</v>
      </c>
      <c r="D1368" s="108" t="s">
        <v>11</v>
      </c>
      <c r="E1368" s="108" t="s">
        <v>51</v>
      </c>
      <c r="F1368" s="108" t="s">
        <v>757</v>
      </c>
      <c r="G1368" s="108" t="s">
        <v>9</v>
      </c>
      <c r="H1368" s="126">
        <f t="shared" si="172"/>
        <v>0</v>
      </c>
      <c r="I1368" s="178" t="str">
        <f t="shared" si="173"/>
        <v>618011311 Б 01 20840000</v>
      </c>
      <c r="L1368" s="20">
        <v>357.85</v>
      </c>
      <c r="M1368" s="20">
        <v>357.85</v>
      </c>
      <c r="N1368" s="20">
        <v>357.85</v>
      </c>
      <c r="O1368" s="20">
        <f t="shared" si="171"/>
        <v>-357.85</v>
      </c>
      <c r="P1368" s="20" t="e">
        <f>#REF!-M1368</f>
        <v>#REF!</v>
      </c>
      <c r="Q1368" s="20" t="e">
        <f>#REF!-N1368</f>
        <v>#REF!</v>
      </c>
      <c r="R1368" s="17" t="str">
        <f t="shared" si="167"/>
        <v>11 Б 01 20840000</v>
      </c>
    </row>
    <row r="1369" spans="1:18" s="16" customFormat="1" ht="31.5">
      <c r="A1369" s="14"/>
      <c r="B1369" s="125" t="s">
        <v>28</v>
      </c>
      <c r="C1369" s="109" t="s">
        <v>783</v>
      </c>
      <c r="D1369" s="108" t="s">
        <v>11</v>
      </c>
      <c r="E1369" s="108" t="s">
        <v>51</v>
      </c>
      <c r="F1369" s="108" t="s">
        <v>757</v>
      </c>
      <c r="G1369" s="108" t="s">
        <v>29</v>
      </c>
      <c r="H1369" s="126">
        <f>H1370</f>
        <v>0</v>
      </c>
      <c r="I1369" s="178" t="str">
        <f t="shared" si="173"/>
        <v>618011311 Б 01 20840240</v>
      </c>
      <c r="L1369" s="20">
        <v>357.85</v>
      </c>
      <c r="M1369" s="20">
        <v>357.85</v>
      </c>
      <c r="N1369" s="20">
        <v>357.85</v>
      </c>
      <c r="O1369" s="20">
        <f t="shared" si="171"/>
        <v>-357.85</v>
      </c>
      <c r="P1369" s="20" t="e">
        <f>#REF!-M1369</f>
        <v>#REF!</v>
      </c>
      <c r="Q1369" s="20" t="e">
        <f>#REF!-N1369</f>
        <v>#REF!</v>
      </c>
      <c r="R1369" s="17" t="str">
        <f t="shared" si="167"/>
        <v>11 Б 01 20840240</v>
      </c>
    </row>
    <row r="1370" spans="1:18" s="16" customFormat="1" ht="15.75">
      <c r="A1370" s="14"/>
      <c r="B1370" s="125" t="s">
        <v>30</v>
      </c>
      <c r="C1370" s="109" t="s">
        <v>783</v>
      </c>
      <c r="D1370" s="108" t="s">
        <v>11</v>
      </c>
      <c r="E1370" s="108" t="s">
        <v>51</v>
      </c>
      <c r="F1370" s="108" t="s">
        <v>757</v>
      </c>
      <c r="G1370" s="108" t="s">
        <v>31</v>
      </c>
      <c r="H1370" s="126"/>
      <c r="I1370" s="178" t="str">
        <f t="shared" si="173"/>
        <v>618011311 Б 01 20840244</v>
      </c>
      <c r="L1370" s="20"/>
      <c r="M1370" s="20"/>
      <c r="N1370" s="20"/>
      <c r="O1370" s="20"/>
      <c r="P1370" s="20"/>
      <c r="Q1370" s="20"/>
      <c r="R1370" s="17"/>
    </row>
    <row r="1371" spans="1:18" s="16" customFormat="1" ht="15.75">
      <c r="A1371" s="14"/>
      <c r="B1371" s="117" t="s">
        <v>195</v>
      </c>
      <c r="C1371" s="118" t="s">
        <v>783</v>
      </c>
      <c r="D1371" s="119" t="s">
        <v>73</v>
      </c>
      <c r="E1371" s="119" t="s">
        <v>7</v>
      </c>
      <c r="F1371" s="119" t="s">
        <v>8</v>
      </c>
      <c r="G1371" s="119" t="s">
        <v>9</v>
      </c>
      <c r="H1371" s="120">
        <f t="shared" ref="H1371:H1374" si="174">H1372</f>
        <v>0</v>
      </c>
      <c r="I1371" s="178" t="str">
        <f t="shared" si="173"/>
        <v>618040000 0 00 00000000</v>
      </c>
      <c r="L1371" s="18">
        <v>60223.26</v>
      </c>
      <c r="M1371" s="18">
        <v>64831.42</v>
      </c>
      <c r="N1371" s="18">
        <v>69900.41</v>
      </c>
      <c r="O1371" s="18">
        <f t="shared" ref="O1371:O1377" si="175">H1371-L1371</f>
        <v>-60223.26</v>
      </c>
      <c r="P1371" s="18" t="e">
        <f>#REF!-M1371</f>
        <v>#REF!</v>
      </c>
      <c r="Q1371" s="18" t="e">
        <f>#REF!-N1371</f>
        <v>#REF!</v>
      </c>
      <c r="R1371" s="17" t="str">
        <f t="shared" si="167"/>
        <v>00 0 00 00000000</v>
      </c>
    </row>
    <row r="1372" spans="1:18" s="16" customFormat="1" ht="15.75">
      <c r="A1372" s="14"/>
      <c r="B1372" s="121" t="s">
        <v>760</v>
      </c>
      <c r="C1372" s="122" t="s">
        <v>783</v>
      </c>
      <c r="D1372" s="123" t="s">
        <v>73</v>
      </c>
      <c r="E1372" s="123" t="s">
        <v>471</v>
      </c>
      <c r="F1372" s="123" t="s">
        <v>8</v>
      </c>
      <c r="G1372" s="123" t="s">
        <v>9</v>
      </c>
      <c r="H1372" s="124">
        <f t="shared" si="174"/>
        <v>0</v>
      </c>
      <c r="I1372" s="178" t="str">
        <f t="shared" si="173"/>
        <v>618040900 0 00 00000000</v>
      </c>
      <c r="L1372" s="19">
        <v>60223.26</v>
      </c>
      <c r="M1372" s="19">
        <v>64831.42</v>
      </c>
      <c r="N1372" s="19">
        <v>69900.41</v>
      </c>
      <c r="O1372" s="19">
        <f t="shared" si="175"/>
        <v>-60223.26</v>
      </c>
      <c r="P1372" s="19" t="e">
        <f>#REF!-M1372</f>
        <v>#REF!</v>
      </c>
      <c r="Q1372" s="19" t="e">
        <f>#REF!-N1372</f>
        <v>#REF!</v>
      </c>
      <c r="R1372" s="17" t="str">
        <f t="shared" si="167"/>
        <v>00 0 00 00000000</v>
      </c>
    </row>
    <row r="1373" spans="1:18" s="16" customFormat="1" ht="63">
      <c r="A1373" s="14"/>
      <c r="B1373" s="127" t="s">
        <v>293</v>
      </c>
      <c r="C1373" s="109" t="s">
        <v>783</v>
      </c>
      <c r="D1373" s="108" t="s">
        <v>73</v>
      </c>
      <c r="E1373" s="108" t="s">
        <v>471</v>
      </c>
      <c r="F1373" s="108" t="s">
        <v>294</v>
      </c>
      <c r="G1373" s="108" t="s">
        <v>9</v>
      </c>
      <c r="H1373" s="126">
        <f t="shared" si="174"/>
        <v>0</v>
      </c>
      <c r="I1373" s="178" t="str">
        <f t="shared" si="173"/>
        <v>618040904 0 00 00000000</v>
      </c>
      <c r="L1373" s="20">
        <v>60223.26</v>
      </c>
      <c r="M1373" s="20">
        <v>64831.42</v>
      </c>
      <c r="N1373" s="20">
        <v>69900.41</v>
      </c>
      <c r="O1373" s="20">
        <f t="shared" si="175"/>
        <v>-60223.26</v>
      </c>
      <c r="P1373" s="20" t="e">
        <f>#REF!-M1373</f>
        <v>#REF!</v>
      </c>
      <c r="Q1373" s="20" t="e">
        <f>#REF!-N1373</f>
        <v>#REF!</v>
      </c>
      <c r="R1373" s="17" t="str">
        <f t="shared" si="167"/>
        <v>04 0 00 00000000</v>
      </c>
    </row>
    <row r="1374" spans="1:18" s="16" customFormat="1" ht="63">
      <c r="A1374" s="14"/>
      <c r="B1374" s="140" t="s">
        <v>295</v>
      </c>
      <c r="C1374" s="109" t="s">
        <v>783</v>
      </c>
      <c r="D1374" s="108" t="s">
        <v>73</v>
      </c>
      <c r="E1374" s="108" t="s">
        <v>471</v>
      </c>
      <c r="F1374" s="108" t="s">
        <v>296</v>
      </c>
      <c r="G1374" s="108" t="s">
        <v>9</v>
      </c>
      <c r="H1374" s="126">
        <f t="shared" si="174"/>
        <v>0</v>
      </c>
      <c r="I1374" s="178" t="str">
        <f t="shared" si="173"/>
        <v>618040904 2 00 00000000</v>
      </c>
      <c r="L1374" s="20">
        <v>60223.26</v>
      </c>
      <c r="M1374" s="20">
        <v>64831.42</v>
      </c>
      <c r="N1374" s="20">
        <v>69900.41</v>
      </c>
      <c r="O1374" s="20">
        <f t="shared" si="175"/>
        <v>-60223.26</v>
      </c>
      <c r="P1374" s="20" t="e">
        <f>#REF!-M1374</f>
        <v>#REF!</v>
      </c>
      <c r="Q1374" s="20" t="e">
        <f>#REF!-N1374</f>
        <v>#REF!</v>
      </c>
      <c r="R1374" s="17" t="str">
        <f t="shared" si="167"/>
        <v>04 2 00 00000000</v>
      </c>
    </row>
    <row r="1375" spans="1:18" s="16" customFormat="1" ht="63">
      <c r="A1375" s="14"/>
      <c r="B1375" s="140" t="s">
        <v>297</v>
      </c>
      <c r="C1375" s="109" t="s">
        <v>783</v>
      </c>
      <c r="D1375" s="108" t="s">
        <v>73</v>
      </c>
      <c r="E1375" s="108" t="s">
        <v>471</v>
      </c>
      <c r="F1375" s="108" t="s">
        <v>298</v>
      </c>
      <c r="G1375" s="108" t="s">
        <v>9</v>
      </c>
      <c r="H1375" s="126">
        <f>H1379+H1376</f>
        <v>0</v>
      </c>
      <c r="I1375" s="178" t="str">
        <f t="shared" si="173"/>
        <v>618040904 2 02 00000000</v>
      </c>
      <c r="L1375" s="20">
        <v>60223.26</v>
      </c>
      <c r="M1375" s="20">
        <v>64831.42</v>
      </c>
      <c r="N1375" s="20">
        <v>69900.41</v>
      </c>
      <c r="O1375" s="20">
        <f t="shared" si="175"/>
        <v>-60223.26</v>
      </c>
      <c r="P1375" s="20" t="e">
        <f>#REF!-M1375</f>
        <v>#REF!</v>
      </c>
      <c r="Q1375" s="20" t="e">
        <f>#REF!-N1375</f>
        <v>#REF!</v>
      </c>
      <c r="R1375" s="17" t="str">
        <f t="shared" si="167"/>
        <v>04 2 02 00000000</v>
      </c>
    </row>
    <row r="1376" spans="1:18" s="16" customFormat="1" ht="47.25">
      <c r="A1376" s="14"/>
      <c r="B1376" s="127" t="s">
        <v>761</v>
      </c>
      <c r="C1376" s="109" t="s">
        <v>783</v>
      </c>
      <c r="D1376" s="108" t="s">
        <v>73</v>
      </c>
      <c r="E1376" s="108" t="s">
        <v>471</v>
      </c>
      <c r="F1376" s="108" t="s">
        <v>762</v>
      </c>
      <c r="G1376" s="108" t="s">
        <v>9</v>
      </c>
      <c r="H1376" s="126">
        <f>H1377</f>
        <v>0</v>
      </c>
      <c r="I1376" s="178" t="str">
        <f t="shared" si="173"/>
        <v>618040904 2 02 20820000</v>
      </c>
      <c r="L1376" s="20">
        <v>10087.43</v>
      </c>
      <c r="M1376" s="20">
        <v>10087.43</v>
      </c>
      <c r="N1376" s="20">
        <v>10087.43</v>
      </c>
      <c r="O1376" s="20">
        <f t="shared" si="175"/>
        <v>-10087.43</v>
      </c>
      <c r="P1376" s="20" t="e">
        <f>#REF!-M1376</f>
        <v>#REF!</v>
      </c>
      <c r="Q1376" s="20" t="e">
        <f>#REF!-N1376</f>
        <v>#REF!</v>
      </c>
      <c r="R1376" s="17" t="str">
        <f t="shared" si="167"/>
        <v>04 2 02 20820000</v>
      </c>
    </row>
    <row r="1377" spans="1:18" s="16" customFormat="1" ht="31.5">
      <c r="A1377" s="14"/>
      <c r="B1377" s="125" t="s">
        <v>28</v>
      </c>
      <c r="C1377" s="109" t="s">
        <v>783</v>
      </c>
      <c r="D1377" s="108" t="s">
        <v>73</v>
      </c>
      <c r="E1377" s="108" t="s">
        <v>471</v>
      </c>
      <c r="F1377" s="108" t="s">
        <v>762</v>
      </c>
      <c r="G1377" s="108" t="s">
        <v>29</v>
      </c>
      <c r="H1377" s="126">
        <f>H1378</f>
        <v>0</v>
      </c>
      <c r="I1377" s="178" t="str">
        <f t="shared" si="173"/>
        <v>618040904 2 02 20820240</v>
      </c>
      <c r="L1377" s="20">
        <v>10087.43</v>
      </c>
      <c r="M1377" s="20">
        <v>10087.43</v>
      </c>
      <c r="N1377" s="20">
        <v>10087.43</v>
      </c>
      <c r="O1377" s="20">
        <f t="shared" si="175"/>
        <v>-10087.43</v>
      </c>
      <c r="P1377" s="20" t="e">
        <f>#REF!-M1377</f>
        <v>#REF!</v>
      </c>
      <c r="Q1377" s="20" t="e">
        <f>#REF!-N1377</f>
        <v>#REF!</v>
      </c>
      <c r="R1377" s="17" t="str">
        <f t="shared" si="167"/>
        <v>04 2 02 20820240</v>
      </c>
    </row>
    <row r="1378" spans="1:18" s="16" customFormat="1" ht="15.75">
      <c r="A1378" s="14"/>
      <c r="B1378" s="125" t="s">
        <v>30</v>
      </c>
      <c r="C1378" s="109" t="s">
        <v>783</v>
      </c>
      <c r="D1378" s="108" t="s">
        <v>73</v>
      </c>
      <c r="E1378" s="108" t="s">
        <v>471</v>
      </c>
      <c r="F1378" s="108" t="s">
        <v>762</v>
      </c>
      <c r="G1378" s="108" t="s">
        <v>31</v>
      </c>
      <c r="H1378" s="126"/>
      <c r="I1378" s="178" t="str">
        <f t="shared" si="173"/>
        <v>618040904 2 02 20820244</v>
      </c>
      <c r="L1378" s="20"/>
      <c r="M1378" s="20"/>
      <c r="N1378" s="20"/>
      <c r="O1378" s="20"/>
      <c r="P1378" s="20"/>
      <c r="Q1378" s="20"/>
      <c r="R1378" s="17"/>
    </row>
    <row r="1379" spans="1:18" s="16" customFormat="1" ht="31.5">
      <c r="A1379" s="14"/>
      <c r="B1379" s="125" t="s">
        <v>763</v>
      </c>
      <c r="C1379" s="109" t="s">
        <v>783</v>
      </c>
      <c r="D1379" s="108" t="s">
        <v>73</v>
      </c>
      <c r="E1379" s="108" t="s">
        <v>471</v>
      </c>
      <c r="F1379" s="108" t="s">
        <v>764</v>
      </c>
      <c r="G1379" s="108" t="s">
        <v>9</v>
      </c>
      <c r="H1379" s="126">
        <f>H1380</f>
        <v>0</v>
      </c>
      <c r="I1379" s="178" t="str">
        <f t="shared" si="173"/>
        <v>618040904 2 02 21090000</v>
      </c>
      <c r="L1379" s="20">
        <v>50135.83</v>
      </c>
      <c r="M1379" s="20">
        <v>54743.99</v>
      </c>
      <c r="N1379" s="20">
        <v>59812.98</v>
      </c>
      <c r="O1379" s="20">
        <f>H1379-L1379</f>
        <v>-50135.83</v>
      </c>
      <c r="P1379" s="20" t="e">
        <f>#REF!-M1379</f>
        <v>#REF!</v>
      </c>
      <c r="Q1379" s="20" t="e">
        <f>#REF!-N1379</f>
        <v>#REF!</v>
      </c>
      <c r="R1379" s="17" t="str">
        <f t="shared" si="167"/>
        <v>04 2 02 21090000</v>
      </c>
    </row>
    <row r="1380" spans="1:18" s="16" customFormat="1" ht="31.5">
      <c r="A1380" s="14"/>
      <c r="B1380" s="125" t="s">
        <v>28</v>
      </c>
      <c r="C1380" s="109" t="s">
        <v>783</v>
      </c>
      <c r="D1380" s="108" t="s">
        <v>73</v>
      </c>
      <c r="E1380" s="108" t="s">
        <v>471</v>
      </c>
      <c r="F1380" s="108" t="s">
        <v>764</v>
      </c>
      <c r="G1380" s="108" t="s">
        <v>29</v>
      </c>
      <c r="H1380" s="126">
        <f>H1381</f>
        <v>0</v>
      </c>
      <c r="I1380" s="178" t="str">
        <f t="shared" si="173"/>
        <v>618040904 2 02 21090240</v>
      </c>
      <c r="L1380" s="20">
        <v>50135.83</v>
      </c>
      <c r="M1380" s="20">
        <v>54743.99</v>
      </c>
      <c r="N1380" s="20">
        <v>59812.98</v>
      </c>
      <c r="O1380" s="20">
        <f>H1380-L1380</f>
        <v>-50135.83</v>
      </c>
      <c r="P1380" s="20" t="e">
        <f>#REF!-M1380</f>
        <v>#REF!</v>
      </c>
      <c r="Q1380" s="20" t="e">
        <f>#REF!-N1380</f>
        <v>#REF!</v>
      </c>
      <c r="R1380" s="17" t="str">
        <f t="shared" si="167"/>
        <v>04 2 02 21090240</v>
      </c>
    </row>
    <row r="1381" spans="1:18" s="16" customFormat="1" ht="15.75">
      <c r="A1381" s="14"/>
      <c r="B1381" s="125" t="s">
        <v>30</v>
      </c>
      <c r="C1381" s="109" t="s">
        <v>783</v>
      </c>
      <c r="D1381" s="108" t="s">
        <v>73</v>
      </c>
      <c r="E1381" s="108" t="s">
        <v>471</v>
      </c>
      <c r="F1381" s="108" t="s">
        <v>764</v>
      </c>
      <c r="G1381" s="108" t="s">
        <v>31</v>
      </c>
      <c r="H1381" s="126"/>
      <c r="I1381" s="178" t="str">
        <f t="shared" si="173"/>
        <v>618040904 2 02 21090244</v>
      </c>
      <c r="L1381" s="20"/>
      <c r="M1381" s="20"/>
      <c r="N1381" s="20"/>
      <c r="O1381" s="20"/>
      <c r="P1381" s="20"/>
      <c r="Q1381" s="20"/>
      <c r="R1381" s="17"/>
    </row>
    <row r="1382" spans="1:18" s="16" customFormat="1" ht="15.75">
      <c r="A1382" s="14"/>
      <c r="B1382" s="117" t="s">
        <v>305</v>
      </c>
      <c r="C1382" s="118" t="s">
        <v>783</v>
      </c>
      <c r="D1382" s="119" t="s">
        <v>86</v>
      </c>
      <c r="E1382" s="119" t="s">
        <v>7</v>
      </c>
      <c r="F1382" s="119" t="s">
        <v>8</v>
      </c>
      <c r="G1382" s="119" t="s">
        <v>9</v>
      </c>
      <c r="H1382" s="120">
        <f>H1383+H1391</f>
        <v>0</v>
      </c>
      <c r="I1382" s="178" t="str">
        <f t="shared" si="173"/>
        <v>618050000 0 00 00000000</v>
      </c>
      <c r="L1382" s="18">
        <v>30206.899999999998</v>
      </c>
      <c r="M1382" s="18">
        <v>19206.899999999998</v>
      </c>
      <c r="N1382" s="18">
        <v>19206.899999999998</v>
      </c>
      <c r="O1382" s="18">
        <f t="shared" ref="O1382:O1388" si="176">H1382-L1382</f>
        <v>-30206.899999999998</v>
      </c>
      <c r="P1382" s="18" t="e">
        <f>#REF!-M1382</f>
        <v>#REF!</v>
      </c>
      <c r="Q1382" s="18" t="e">
        <f>#REF!-N1382</f>
        <v>#REF!</v>
      </c>
      <c r="R1382" s="17" t="str">
        <f t="shared" si="167"/>
        <v>00 0 00 00000000</v>
      </c>
    </row>
    <row r="1383" spans="1:18" s="16" customFormat="1" ht="15.75">
      <c r="A1383" s="14"/>
      <c r="B1383" s="121" t="s">
        <v>765</v>
      </c>
      <c r="C1383" s="122" t="s">
        <v>783</v>
      </c>
      <c r="D1383" s="123" t="s">
        <v>86</v>
      </c>
      <c r="E1383" s="123" t="s">
        <v>11</v>
      </c>
      <c r="F1383" s="123" t="s">
        <v>8</v>
      </c>
      <c r="G1383" s="123" t="s">
        <v>9</v>
      </c>
      <c r="H1383" s="124">
        <f>H1384</f>
        <v>0</v>
      </c>
      <c r="I1383" s="178" t="str">
        <f t="shared" si="173"/>
        <v>618050100 0 00 00000000</v>
      </c>
      <c r="L1383" s="19">
        <v>1723.26</v>
      </c>
      <c r="M1383" s="19">
        <v>1723.26</v>
      </c>
      <c r="N1383" s="19">
        <v>1723.26</v>
      </c>
      <c r="O1383" s="19">
        <f t="shared" si="176"/>
        <v>-1723.26</v>
      </c>
      <c r="P1383" s="19" t="e">
        <f>#REF!-M1383</f>
        <v>#REF!</v>
      </c>
      <c r="Q1383" s="19" t="e">
        <f>#REF!-N1383</f>
        <v>#REF!</v>
      </c>
      <c r="R1383" s="17" t="str">
        <f t="shared" si="167"/>
        <v>00 0 00 00000000</v>
      </c>
    </row>
    <row r="1384" spans="1:18" s="16" customFormat="1" ht="63">
      <c r="A1384" s="14"/>
      <c r="B1384" s="127" t="s">
        <v>293</v>
      </c>
      <c r="C1384" s="109" t="s">
        <v>783</v>
      </c>
      <c r="D1384" s="108" t="s">
        <v>86</v>
      </c>
      <c r="E1384" s="108" t="s">
        <v>11</v>
      </c>
      <c r="F1384" s="108" t="s">
        <v>294</v>
      </c>
      <c r="G1384" s="108" t="s">
        <v>9</v>
      </c>
      <c r="H1384" s="126">
        <f t="shared" ref="H1384" si="177">H1385</f>
        <v>0</v>
      </c>
      <c r="I1384" s="178" t="str">
        <f t="shared" si="173"/>
        <v>618050104 0 00 00000000</v>
      </c>
      <c r="L1384" s="20">
        <v>1723.26</v>
      </c>
      <c r="M1384" s="20">
        <v>1723.26</v>
      </c>
      <c r="N1384" s="20">
        <v>1723.26</v>
      </c>
      <c r="O1384" s="20">
        <f t="shared" si="176"/>
        <v>-1723.26</v>
      </c>
      <c r="P1384" s="20" t="e">
        <f>#REF!-M1384</f>
        <v>#REF!</v>
      </c>
      <c r="Q1384" s="20" t="e">
        <f>#REF!-N1384</f>
        <v>#REF!</v>
      </c>
      <c r="R1384" s="17" t="str">
        <f t="shared" si="167"/>
        <v>04 0 00 00000000</v>
      </c>
    </row>
    <row r="1385" spans="1:18" s="16" customFormat="1" ht="31.5">
      <c r="A1385" s="14"/>
      <c r="B1385" s="125" t="s">
        <v>766</v>
      </c>
      <c r="C1385" s="109" t="s">
        <v>783</v>
      </c>
      <c r="D1385" s="108" t="s">
        <v>86</v>
      </c>
      <c r="E1385" s="108" t="s">
        <v>11</v>
      </c>
      <c r="F1385" s="108" t="s">
        <v>767</v>
      </c>
      <c r="G1385" s="108" t="s">
        <v>9</v>
      </c>
      <c r="H1385" s="126">
        <f>H1388</f>
        <v>0</v>
      </c>
      <c r="I1385" s="178" t="str">
        <f t="shared" si="173"/>
        <v>618050104 1 00 00000000</v>
      </c>
      <c r="L1385" s="20">
        <v>1723.26</v>
      </c>
      <c r="M1385" s="20">
        <v>1723.26</v>
      </c>
      <c r="N1385" s="20">
        <v>1723.26</v>
      </c>
      <c r="O1385" s="20">
        <f t="shared" si="176"/>
        <v>-1723.26</v>
      </c>
      <c r="P1385" s="20" t="e">
        <f>#REF!-M1385</f>
        <v>#REF!</v>
      </c>
      <c r="Q1385" s="20" t="e">
        <f>#REF!-N1385</f>
        <v>#REF!</v>
      </c>
      <c r="R1385" s="17" t="str">
        <f t="shared" si="167"/>
        <v>04 1 00 00000000</v>
      </c>
    </row>
    <row r="1386" spans="1:18" s="16" customFormat="1" ht="47.25">
      <c r="A1386" s="14"/>
      <c r="B1386" s="140" t="s">
        <v>793</v>
      </c>
      <c r="C1386" s="130" t="s">
        <v>783</v>
      </c>
      <c r="D1386" s="131" t="s">
        <v>86</v>
      </c>
      <c r="E1386" s="131" t="s">
        <v>11</v>
      </c>
      <c r="F1386" s="131" t="s">
        <v>769</v>
      </c>
      <c r="G1386" s="131" t="s">
        <v>9</v>
      </c>
      <c r="H1386" s="105">
        <f t="shared" ref="H1386:H1387" si="178">H1387</f>
        <v>0</v>
      </c>
      <c r="I1386" s="178" t="str">
        <f t="shared" si="173"/>
        <v>618050104 1 01 00000000</v>
      </c>
      <c r="L1386" s="26">
        <v>1723.26</v>
      </c>
      <c r="M1386" s="26">
        <v>1723.26</v>
      </c>
      <c r="N1386" s="26">
        <v>1723.26</v>
      </c>
      <c r="O1386" s="26">
        <f t="shared" si="176"/>
        <v>-1723.26</v>
      </c>
      <c r="P1386" s="26" t="e">
        <f>#REF!-M1386</f>
        <v>#REF!</v>
      </c>
      <c r="Q1386" s="26" t="e">
        <f>#REF!-N1386</f>
        <v>#REF!</v>
      </c>
      <c r="R1386" s="17" t="str">
        <f t="shared" si="167"/>
        <v>04 1 01 00000000</v>
      </c>
    </row>
    <row r="1387" spans="1:18" s="16" customFormat="1" ht="31.5">
      <c r="A1387" s="14"/>
      <c r="B1387" s="127" t="s">
        <v>770</v>
      </c>
      <c r="C1387" s="109" t="s">
        <v>783</v>
      </c>
      <c r="D1387" s="108" t="s">
        <v>86</v>
      </c>
      <c r="E1387" s="108" t="s">
        <v>11</v>
      </c>
      <c r="F1387" s="108" t="s">
        <v>771</v>
      </c>
      <c r="G1387" s="108" t="s">
        <v>9</v>
      </c>
      <c r="H1387" s="126">
        <f t="shared" si="178"/>
        <v>0</v>
      </c>
      <c r="I1387" s="178" t="str">
        <f t="shared" si="173"/>
        <v>618050104 1 01 20190000</v>
      </c>
      <c r="L1387" s="20">
        <v>1723.26</v>
      </c>
      <c r="M1387" s="20">
        <v>1723.26</v>
      </c>
      <c r="N1387" s="20">
        <v>1723.26</v>
      </c>
      <c r="O1387" s="20">
        <f t="shared" si="176"/>
        <v>-1723.26</v>
      </c>
      <c r="P1387" s="20" t="e">
        <f>#REF!-M1387</f>
        <v>#REF!</v>
      </c>
      <c r="Q1387" s="20" t="e">
        <f>#REF!-N1387</f>
        <v>#REF!</v>
      </c>
      <c r="R1387" s="17" t="str">
        <f t="shared" si="167"/>
        <v>04 1 01 20190000</v>
      </c>
    </row>
    <row r="1388" spans="1:18" s="16" customFormat="1" ht="31.5">
      <c r="A1388" s="14"/>
      <c r="B1388" s="125" t="s">
        <v>28</v>
      </c>
      <c r="C1388" s="109" t="s">
        <v>783</v>
      </c>
      <c r="D1388" s="108" t="s">
        <v>86</v>
      </c>
      <c r="E1388" s="108" t="s">
        <v>11</v>
      </c>
      <c r="F1388" s="108" t="s">
        <v>771</v>
      </c>
      <c r="G1388" s="108" t="s">
        <v>29</v>
      </c>
      <c r="H1388" s="126">
        <f>SUM(H1389:H1390)</f>
        <v>0</v>
      </c>
      <c r="I1388" s="178" t="str">
        <f t="shared" si="173"/>
        <v>618050104 1 01 20190240</v>
      </c>
      <c r="L1388" s="20">
        <v>1723.26</v>
      </c>
      <c r="M1388" s="20">
        <v>1723.26</v>
      </c>
      <c r="N1388" s="20">
        <v>1723.26</v>
      </c>
      <c r="O1388" s="20">
        <f t="shared" si="176"/>
        <v>-1723.26</v>
      </c>
      <c r="P1388" s="20" t="e">
        <f>#REF!-M1388</f>
        <v>#REF!</v>
      </c>
      <c r="Q1388" s="20" t="e">
        <f>#REF!-N1388</f>
        <v>#REF!</v>
      </c>
      <c r="R1388" s="17" t="str">
        <f t="shared" si="167"/>
        <v>04 1 01 20190240</v>
      </c>
    </row>
    <row r="1389" spans="1:18" s="16" customFormat="1" ht="47.25">
      <c r="A1389" s="14"/>
      <c r="B1389" s="127" t="s">
        <v>772</v>
      </c>
      <c r="C1389" s="109" t="s">
        <v>783</v>
      </c>
      <c r="D1389" s="108" t="s">
        <v>86</v>
      </c>
      <c r="E1389" s="108" t="s">
        <v>11</v>
      </c>
      <c r="F1389" s="108" t="s">
        <v>771</v>
      </c>
      <c r="G1389" s="108" t="s">
        <v>773</v>
      </c>
      <c r="H1389" s="126"/>
      <c r="I1389" s="178" t="str">
        <f t="shared" si="173"/>
        <v>618050104 1 01 20190243</v>
      </c>
      <c r="L1389" s="20"/>
      <c r="M1389" s="20"/>
      <c r="N1389" s="20"/>
      <c r="O1389" s="20"/>
      <c r="P1389" s="20"/>
      <c r="Q1389" s="20"/>
      <c r="R1389" s="17"/>
    </row>
    <row r="1390" spans="1:18" s="16" customFormat="1" ht="15.75">
      <c r="A1390" s="14"/>
      <c r="B1390" s="125" t="s">
        <v>30</v>
      </c>
      <c r="C1390" s="109" t="s">
        <v>783</v>
      </c>
      <c r="D1390" s="108" t="s">
        <v>86</v>
      </c>
      <c r="E1390" s="108" t="s">
        <v>11</v>
      </c>
      <c r="F1390" s="108" t="s">
        <v>771</v>
      </c>
      <c r="G1390" s="108" t="s">
        <v>31</v>
      </c>
      <c r="H1390" s="126"/>
      <c r="I1390" s="178" t="str">
        <f t="shared" si="173"/>
        <v>618050104 1 01 20190244</v>
      </c>
      <c r="L1390" s="20"/>
      <c r="M1390" s="20"/>
      <c r="N1390" s="20"/>
      <c r="O1390" s="20"/>
      <c r="P1390" s="20"/>
      <c r="Q1390" s="20"/>
      <c r="R1390" s="17"/>
    </row>
    <row r="1391" spans="1:18" s="16" customFormat="1" ht="15.75">
      <c r="A1391" s="14"/>
      <c r="B1391" s="121" t="s">
        <v>306</v>
      </c>
      <c r="C1391" s="122" t="s">
        <v>783</v>
      </c>
      <c r="D1391" s="123" t="s">
        <v>86</v>
      </c>
      <c r="E1391" s="123" t="s">
        <v>13</v>
      </c>
      <c r="F1391" s="123" t="s">
        <v>8</v>
      </c>
      <c r="G1391" s="123" t="s">
        <v>9</v>
      </c>
      <c r="H1391" s="124">
        <f>H1392+H1416</f>
        <v>0</v>
      </c>
      <c r="I1391" s="178" t="str">
        <f t="shared" si="173"/>
        <v>618050300 0 00 00000000</v>
      </c>
      <c r="L1391" s="19">
        <v>28483.64</v>
      </c>
      <c r="M1391" s="19">
        <v>17483.64</v>
      </c>
      <c r="N1391" s="19">
        <v>17483.64</v>
      </c>
      <c r="O1391" s="19">
        <f t="shared" ref="O1391:O1396" si="179">H1391-L1391</f>
        <v>-28483.64</v>
      </c>
      <c r="P1391" s="19" t="e">
        <f>#REF!-M1391</f>
        <v>#REF!</v>
      </c>
      <c r="Q1391" s="19" t="e">
        <f>#REF!-N1391</f>
        <v>#REF!</v>
      </c>
      <c r="R1391" s="17" t="str">
        <f t="shared" si="167"/>
        <v>00 0 00 00000000</v>
      </c>
    </row>
    <row r="1392" spans="1:18" s="16" customFormat="1" ht="63">
      <c r="A1392" s="14"/>
      <c r="B1392" s="127" t="s">
        <v>293</v>
      </c>
      <c r="C1392" s="109" t="s">
        <v>783</v>
      </c>
      <c r="D1392" s="108" t="s">
        <v>86</v>
      </c>
      <c r="E1392" s="108" t="s">
        <v>13</v>
      </c>
      <c r="F1392" s="108" t="s">
        <v>294</v>
      </c>
      <c r="G1392" s="108" t="s">
        <v>9</v>
      </c>
      <c r="H1392" s="126">
        <f t="shared" ref="H1392:H1393" si="180">H1393</f>
        <v>0</v>
      </c>
      <c r="I1392" s="178" t="str">
        <f t="shared" si="173"/>
        <v>618050304 0 00 00000000</v>
      </c>
      <c r="L1392" s="20">
        <v>26483.64</v>
      </c>
      <c r="M1392" s="20">
        <v>17483.64</v>
      </c>
      <c r="N1392" s="20">
        <v>17483.64</v>
      </c>
      <c r="O1392" s="20">
        <f t="shared" si="179"/>
        <v>-26483.64</v>
      </c>
      <c r="P1392" s="20" t="e">
        <f>#REF!-M1392</f>
        <v>#REF!</v>
      </c>
      <c r="Q1392" s="20" t="e">
        <f>#REF!-N1392</f>
        <v>#REF!</v>
      </c>
      <c r="R1392" s="17" t="str">
        <f t="shared" si="167"/>
        <v>04 0 00 00000000</v>
      </c>
    </row>
    <row r="1393" spans="1:18" s="16" customFormat="1" ht="31.5">
      <c r="A1393" s="14"/>
      <c r="B1393" s="125" t="s">
        <v>307</v>
      </c>
      <c r="C1393" s="109" t="s">
        <v>783</v>
      </c>
      <c r="D1393" s="108" t="s">
        <v>86</v>
      </c>
      <c r="E1393" s="108" t="s">
        <v>13</v>
      </c>
      <c r="F1393" s="108" t="s">
        <v>308</v>
      </c>
      <c r="G1393" s="108" t="s">
        <v>9</v>
      </c>
      <c r="H1393" s="126">
        <f t="shared" si="180"/>
        <v>0</v>
      </c>
      <c r="I1393" s="178" t="str">
        <f t="shared" si="173"/>
        <v>618050304 3 00 00000000</v>
      </c>
      <c r="L1393" s="20">
        <v>26483.64</v>
      </c>
      <c r="M1393" s="20">
        <v>17483.64</v>
      </c>
      <c r="N1393" s="20">
        <v>17483.64</v>
      </c>
      <c r="O1393" s="20">
        <f t="shared" si="179"/>
        <v>-26483.64</v>
      </c>
      <c r="P1393" s="20" t="e">
        <f>#REF!-M1393</f>
        <v>#REF!</v>
      </c>
      <c r="Q1393" s="20" t="e">
        <f>#REF!-N1393</f>
        <v>#REF!</v>
      </c>
      <c r="R1393" s="17" t="str">
        <f t="shared" si="167"/>
        <v>04 3 00 00000000</v>
      </c>
    </row>
    <row r="1394" spans="1:18" s="16" customFormat="1" ht="31.5">
      <c r="A1394" s="14"/>
      <c r="B1394" s="138" t="s">
        <v>309</v>
      </c>
      <c r="C1394" s="130" t="s">
        <v>783</v>
      </c>
      <c r="D1394" s="131" t="s">
        <v>86</v>
      </c>
      <c r="E1394" s="131" t="s">
        <v>13</v>
      </c>
      <c r="F1394" s="108" t="s">
        <v>310</v>
      </c>
      <c r="G1394" s="131" t="s">
        <v>9</v>
      </c>
      <c r="H1394" s="105">
        <f>H1395+H1398+H1401+H1404+H1410</f>
        <v>0</v>
      </c>
      <c r="I1394" s="178" t="str">
        <f t="shared" si="173"/>
        <v>618050304 3 04 00000000</v>
      </c>
      <c r="L1394" s="26">
        <v>26483.64</v>
      </c>
      <c r="M1394" s="26">
        <v>17483.64</v>
      </c>
      <c r="N1394" s="26">
        <v>17483.64</v>
      </c>
      <c r="O1394" s="26">
        <f t="shared" si="179"/>
        <v>-26483.64</v>
      </c>
      <c r="P1394" s="26" t="e">
        <f>#REF!-M1394</f>
        <v>#REF!</v>
      </c>
      <c r="Q1394" s="26" t="e">
        <f>#REF!-N1394</f>
        <v>#REF!</v>
      </c>
      <c r="R1394" s="17" t="str">
        <f t="shared" si="167"/>
        <v>04 3 04 00000000</v>
      </c>
    </row>
    <row r="1395" spans="1:18" s="16" customFormat="1" ht="31.5">
      <c r="A1395" s="14"/>
      <c r="B1395" s="125" t="s">
        <v>542</v>
      </c>
      <c r="C1395" s="109" t="s">
        <v>783</v>
      </c>
      <c r="D1395" s="108" t="s">
        <v>86</v>
      </c>
      <c r="E1395" s="108" t="s">
        <v>13</v>
      </c>
      <c r="F1395" s="108" t="s">
        <v>543</v>
      </c>
      <c r="G1395" s="108" t="s">
        <v>9</v>
      </c>
      <c r="H1395" s="126">
        <f>H1396</f>
        <v>0</v>
      </c>
      <c r="I1395" s="178" t="str">
        <f t="shared" si="173"/>
        <v>618050304 3 04 20300000</v>
      </c>
      <c r="L1395" s="20">
        <v>9545.0499999999993</v>
      </c>
      <c r="M1395" s="20">
        <v>9545.0499999999993</v>
      </c>
      <c r="N1395" s="20">
        <v>9545.0499999999993</v>
      </c>
      <c r="O1395" s="20">
        <f t="shared" si="179"/>
        <v>-9545.0499999999993</v>
      </c>
      <c r="P1395" s="20" t="e">
        <f>#REF!-M1395</f>
        <v>#REF!</v>
      </c>
      <c r="Q1395" s="20" t="e">
        <f>#REF!-N1395</f>
        <v>#REF!</v>
      </c>
      <c r="R1395" s="17" t="str">
        <f t="shared" si="167"/>
        <v>04 3 04 20300000</v>
      </c>
    </row>
    <row r="1396" spans="1:18" s="16" customFormat="1" ht="31.5">
      <c r="A1396" s="14"/>
      <c r="B1396" s="125" t="s">
        <v>28</v>
      </c>
      <c r="C1396" s="109" t="s">
        <v>783</v>
      </c>
      <c r="D1396" s="108" t="s">
        <v>86</v>
      </c>
      <c r="E1396" s="108" t="s">
        <v>13</v>
      </c>
      <c r="F1396" s="108" t="s">
        <v>543</v>
      </c>
      <c r="G1396" s="108" t="s">
        <v>29</v>
      </c>
      <c r="H1396" s="126">
        <f>H1397</f>
        <v>0</v>
      </c>
      <c r="I1396" s="178" t="str">
        <f t="shared" si="173"/>
        <v>618050304 3 04 20300240</v>
      </c>
      <c r="L1396" s="20">
        <v>9545.0499999999993</v>
      </c>
      <c r="M1396" s="20">
        <v>9545.0499999999993</v>
      </c>
      <c r="N1396" s="20">
        <v>9545.0499999999993</v>
      </c>
      <c r="O1396" s="20">
        <f t="shared" si="179"/>
        <v>-9545.0499999999993</v>
      </c>
      <c r="P1396" s="20" t="e">
        <f>#REF!-M1396</f>
        <v>#REF!</v>
      </c>
      <c r="Q1396" s="20" t="e">
        <f>#REF!-N1396</f>
        <v>#REF!</v>
      </c>
      <c r="R1396" s="17" t="str">
        <f t="shared" si="167"/>
        <v>04 3 04 20300240</v>
      </c>
    </row>
    <row r="1397" spans="1:18" s="16" customFormat="1" ht="15.75">
      <c r="A1397" s="14"/>
      <c r="B1397" s="125" t="s">
        <v>30</v>
      </c>
      <c r="C1397" s="109" t="s">
        <v>783</v>
      </c>
      <c r="D1397" s="108" t="s">
        <v>86</v>
      </c>
      <c r="E1397" s="108" t="s">
        <v>13</v>
      </c>
      <c r="F1397" s="108" t="s">
        <v>543</v>
      </c>
      <c r="G1397" s="108" t="s">
        <v>31</v>
      </c>
      <c r="H1397" s="126"/>
      <c r="I1397" s="178" t="str">
        <f t="shared" si="173"/>
        <v>618050304 3 04 20300244</v>
      </c>
      <c r="L1397" s="20"/>
      <c r="M1397" s="20"/>
      <c r="N1397" s="20"/>
      <c r="O1397" s="20"/>
      <c r="P1397" s="20"/>
      <c r="Q1397" s="20"/>
      <c r="R1397" s="17"/>
    </row>
    <row r="1398" spans="1:18" s="16" customFormat="1" ht="31.5">
      <c r="A1398" s="14"/>
      <c r="B1398" s="127" t="s">
        <v>774</v>
      </c>
      <c r="C1398" s="109" t="s">
        <v>783</v>
      </c>
      <c r="D1398" s="131" t="s">
        <v>86</v>
      </c>
      <c r="E1398" s="131" t="s">
        <v>13</v>
      </c>
      <c r="F1398" s="131" t="s">
        <v>775</v>
      </c>
      <c r="G1398" s="131" t="s">
        <v>9</v>
      </c>
      <c r="H1398" s="126">
        <f>H1399</f>
        <v>0</v>
      </c>
      <c r="I1398" s="178" t="str">
        <f t="shared" si="173"/>
        <v>618050304 3 04 21070000</v>
      </c>
      <c r="L1398" s="20">
        <v>941.72</v>
      </c>
      <c r="M1398" s="20">
        <v>941.72</v>
      </c>
      <c r="N1398" s="20">
        <v>941.72</v>
      </c>
      <c r="O1398" s="20">
        <f>H1398-L1398</f>
        <v>-941.72</v>
      </c>
      <c r="P1398" s="20" t="e">
        <f>#REF!-M1398</f>
        <v>#REF!</v>
      </c>
      <c r="Q1398" s="20" t="e">
        <f>#REF!-N1398</f>
        <v>#REF!</v>
      </c>
      <c r="R1398" s="17" t="str">
        <f t="shared" si="167"/>
        <v>04 3 04 21070000</v>
      </c>
    </row>
    <row r="1399" spans="1:18" s="16" customFormat="1" ht="31.5">
      <c r="A1399" s="14"/>
      <c r="B1399" s="125" t="s">
        <v>28</v>
      </c>
      <c r="C1399" s="109" t="s">
        <v>783</v>
      </c>
      <c r="D1399" s="131" t="s">
        <v>86</v>
      </c>
      <c r="E1399" s="131" t="s">
        <v>13</v>
      </c>
      <c r="F1399" s="131" t="s">
        <v>775</v>
      </c>
      <c r="G1399" s="131" t="s">
        <v>29</v>
      </c>
      <c r="H1399" s="126">
        <f>H1400</f>
        <v>0</v>
      </c>
      <c r="I1399" s="178" t="str">
        <f t="shared" si="173"/>
        <v>618050304 3 04 21070240</v>
      </c>
      <c r="L1399" s="20">
        <v>941.72</v>
      </c>
      <c r="M1399" s="20">
        <v>941.72</v>
      </c>
      <c r="N1399" s="20">
        <v>941.72</v>
      </c>
      <c r="O1399" s="20">
        <f>H1399-L1399</f>
        <v>-941.72</v>
      </c>
      <c r="P1399" s="20" t="e">
        <f>#REF!-M1399</f>
        <v>#REF!</v>
      </c>
      <c r="Q1399" s="20" t="e">
        <f>#REF!-N1399</f>
        <v>#REF!</v>
      </c>
      <c r="R1399" s="17" t="str">
        <f t="shared" si="167"/>
        <v>04 3 04 21070240</v>
      </c>
    </row>
    <row r="1400" spans="1:18" s="16" customFormat="1" ht="15.75">
      <c r="A1400" s="14"/>
      <c r="B1400" s="125" t="s">
        <v>30</v>
      </c>
      <c r="C1400" s="109" t="s">
        <v>783</v>
      </c>
      <c r="D1400" s="131" t="s">
        <v>86</v>
      </c>
      <c r="E1400" s="131" t="s">
        <v>13</v>
      </c>
      <c r="F1400" s="131" t="s">
        <v>775</v>
      </c>
      <c r="G1400" s="131" t="s">
        <v>31</v>
      </c>
      <c r="H1400" s="126"/>
      <c r="I1400" s="178" t="str">
        <f t="shared" si="173"/>
        <v>618050304 3 04 21070244</v>
      </c>
      <c r="L1400" s="20"/>
      <c r="M1400" s="20"/>
      <c r="N1400" s="20"/>
      <c r="O1400" s="20"/>
      <c r="P1400" s="20"/>
      <c r="Q1400" s="20"/>
      <c r="R1400" s="17"/>
    </row>
    <row r="1401" spans="1:18" s="16" customFormat="1" ht="78.75">
      <c r="A1401" s="14" t="s">
        <v>80</v>
      </c>
      <c r="B1401" s="127" t="s">
        <v>776</v>
      </c>
      <c r="C1401" s="130" t="s">
        <v>783</v>
      </c>
      <c r="D1401" s="131" t="s">
        <v>86</v>
      </c>
      <c r="E1401" s="131" t="s">
        <v>13</v>
      </c>
      <c r="F1401" s="108" t="s">
        <v>777</v>
      </c>
      <c r="G1401" s="131" t="s">
        <v>9</v>
      </c>
      <c r="H1401" s="105">
        <f>H1402</f>
        <v>0</v>
      </c>
      <c r="I1401" s="178" t="str">
        <f t="shared" si="173"/>
        <v>618050304 3 04 21080000</v>
      </c>
      <c r="L1401" s="26">
        <v>15996.87</v>
      </c>
      <c r="M1401" s="26">
        <v>6996.87</v>
      </c>
      <c r="N1401" s="26">
        <v>6996.87</v>
      </c>
      <c r="O1401" s="26">
        <f>H1401-L1401</f>
        <v>-15996.87</v>
      </c>
      <c r="P1401" s="26" t="e">
        <f>#REF!-M1401</f>
        <v>#REF!</v>
      </c>
      <c r="Q1401" s="26" t="e">
        <f>#REF!-N1401</f>
        <v>#REF!</v>
      </c>
      <c r="R1401" s="17" t="str">
        <f t="shared" si="167"/>
        <v>04 3 04 21080000</v>
      </c>
    </row>
    <row r="1402" spans="1:18" s="16" customFormat="1" ht="31.5">
      <c r="A1402" s="14"/>
      <c r="B1402" s="125" t="s">
        <v>28</v>
      </c>
      <c r="C1402" s="109" t="s">
        <v>783</v>
      </c>
      <c r="D1402" s="108" t="s">
        <v>86</v>
      </c>
      <c r="E1402" s="108" t="s">
        <v>13</v>
      </c>
      <c r="F1402" s="108" t="s">
        <v>777</v>
      </c>
      <c r="G1402" s="108" t="s">
        <v>29</v>
      </c>
      <c r="H1402" s="126">
        <f>H1403</f>
        <v>0</v>
      </c>
      <c r="I1402" s="178" t="str">
        <f t="shared" si="173"/>
        <v>618050304 3 04 21080240</v>
      </c>
      <c r="L1402" s="20">
        <v>15996.87</v>
      </c>
      <c r="M1402" s="20">
        <v>6996.87</v>
      </c>
      <c r="N1402" s="20">
        <v>6996.87</v>
      </c>
      <c r="O1402" s="20">
        <f>H1402-L1402</f>
        <v>-15996.87</v>
      </c>
      <c r="P1402" s="20" t="e">
        <f>#REF!-M1402</f>
        <v>#REF!</v>
      </c>
      <c r="Q1402" s="20" t="e">
        <f>#REF!-N1402</f>
        <v>#REF!</v>
      </c>
      <c r="R1402" s="17" t="str">
        <f t="shared" si="167"/>
        <v>04 3 04 21080240</v>
      </c>
    </row>
    <row r="1403" spans="1:18" s="16" customFormat="1" ht="15.75">
      <c r="A1403" s="14"/>
      <c r="B1403" s="125" t="s">
        <v>30</v>
      </c>
      <c r="C1403" s="109" t="s">
        <v>783</v>
      </c>
      <c r="D1403" s="108" t="s">
        <v>86</v>
      </c>
      <c r="E1403" s="108" t="s">
        <v>13</v>
      </c>
      <c r="F1403" s="108" t="s">
        <v>777</v>
      </c>
      <c r="G1403" s="108" t="s">
        <v>31</v>
      </c>
      <c r="H1403" s="126"/>
      <c r="I1403" s="178" t="str">
        <f t="shared" si="173"/>
        <v>618050304 3 04 21080244</v>
      </c>
      <c r="L1403" s="20"/>
      <c r="M1403" s="20"/>
      <c r="N1403" s="20"/>
      <c r="O1403" s="20"/>
      <c r="P1403" s="20"/>
      <c r="Q1403" s="20"/>
      <c r="R1403" s="17"/>
    </row>
    <row r="1404" spans="1:18" s="16" customFormat="1" ht="47.25">
      <c r="A1404" s="14"/>
      <c r="B1404" s="125" t="s">
        <v>1043</v>
      </c>
      <c r="C1404" s="109" t="s">
        <v>783</v>
      </c>
      <c r="D1404" s="108" t="s">
        <v>86</v>
      </c>
      <c r="E1404" s="108" t="s">
        <v>13</v>
      </c>
      <c r="F1404" s="131" t="s">
        <v>1056</v>
      </c>
      <c r="G1404" s="131" t="s">
        <v>9</v>
      </c>
      <c r="H1404" s="126">
        <f>H1408</f>
        <v>0</v>
      </c>
      <c r="I1404" s="178" t="str">
        <f t="shared" si="173"/>
        <v>618050304 3 04 G6420000</v>
      </c>
      <c r="L1404" s="20"/>
      <c r="M1404" s="20"/>
      <c r="N1404" s="20"/>
      <c r="O1404" s="20"/>
      <c r="P1404" s="20"/>
      <c r="Q1404" s="20"/>
      <c r="R1404" s="17"/>
    </row>
    <row r="1405" spans="1:18" s="16" customFormat="1" ht="15.75">
      <c r="A1405" s="14"/>
      <c r="B1405" s="132" t="s">
        <v>1045</v>
      </c>
      <c r="C1405" s="109"/>
      <c r="D1405" s="108"/>
      <c r="E1405" s="108"/>
      <c r="F1405" s="131"/>
      <c r="G1405" s="131"/>
      <c r="H1405" s="126"/>
      <c r="I1405" s="178" t="str">
        <f t="shared" si="173"/>
        <v/>
      </c>
      <c r="L1405" s="20"/>
      <c r="M1405" s="20"/>
      <c r="N1405" s="20"/>
      <c r="O1405" s="20"/>
      <c r="P1405" s="20"/>
      <c r="Q1405" s="20"/>
      <c r="R1405" s="17"/>
    </row>
    <row r="1406" spans="1:18" s="16" customFormat="1" ht="15.75">
      <c r="A1406" s="14"/>
      <c r="B1406" s="125" t="s">
        <v>1046</v>
      </c>
      <c r="C1406" s="109" t="s">
        <v>783</v>
      </c>
      <c r="D1406" s="108" t="s">
        <v>86</v>
      </c>
      <c r="E1406" s="108" t="s">
        <v>13</v>
      </c>
      <c r="F1406" s="131" t="s">
        <v>1056</v>
      </c>
      <c r="G1406" s="131" t="s">
        <v>9</v>
      </c>
      <c r="H1406" s="126"/>
      <c r="I1406" s="178" t="str">
        <f t="shared" si="173"/>
        <v>618050304 3 04 G6420000</v>
      </c>
      <c r="L1406" s="20"/>
      <c r="M1406" s="20"/>
      <c r="N1406" s="20"/>
      <c r="O1406" s="20"/>
      <c r="P1406" s="20"/>
      <c r="Q1406" s="20"/>
      <c r="R1406" s="17"/>
    </row>
    <row r="1407" spans="1:18" s="16" customFormat="1" ht="15.75">
      <c r="A1407" s="14"/>
      <c r="B1407" s="125" t="s">
        <v>1047</v>
      </c>
      <c r="C1407" s="109" t="s">
        <v>783</v>
      </c>
      <c r="D1407" s="108" t="s">
        <v>86</v>
      </c>
      <c r="E1407" s="108" t="s">
        <v>13</v>
      </c>
      <c r="F1407" s="131" t="s">
        <v>1056</v>
      </c>
      <c r="G1407" s="131" t="s">
        <v>9</v>
      </c>
      <c r="H1407" s="126"/>
      <c r="I1407" s="178" t="str">
        <f t="shared" si="173"/>
        <v>618050304 3 04 G6420000</v>
      </c>
      <c r="L1407" s="20"/>
      <c r="M1407" s="20"/>
      <c r="N1407" s="20"/>
      <c r="O1407" s="20"/>
      <c r="P1407" s="20"/>
      <c r="Q1407" s="20"/>
      <c r="R1407" s="17"/>
    </row>
    <row r="1408" spans="1:18" s="16" customFormat="1" ht="31.5">
      <c r="A1408" s="14"/>
      <c r="B1408" s="125" t="s">
        <v>28</v>
      </c>
      <c r="C1408" s="109" t="s">
        <v>783</v>
      </c>
      <c r="D1408" s="108" t="s">
        <v>86</v>
      </c>
      <c r="E1408" s="108" t="s">
        <v>13</v>
      </c>
      <c r="F1408" s="131" t="s">
        <v>1056</v>
      </c>
      <c r="G1408" s="131" t="s">
        <v>29</v>
      </c>
      <c r="H1408" s="126">
        <f>H1409</f>
        <v>0</v>
      </c>
      <c r="I1408" s="178" t="str">
        <f t="shared" si="173"/>
        <v>618050304 3 04 G6420240</v>
      </c>
      <c r="L1408" s="20"/>
      <c r="M1408" s="20"/>
      <c r="N1408" s="20"/>
      <c r="O1408" s="20"/>
      <c r="P1408" s="20"/>
      <c r="Q1408" s="20"/>
      <c r="R1408" s="17"/>
    </row>
    <row r="1409" spans="1:18" s="16" customFormat="1" ht="15.75">
      <c r="A1409" s="14"/>
      <c r="B1409" s="125" t="s">
        <v>30</v>
      </c>
      <c r="C1409" s="109" t="s">
        <v>783</v>
      </c>
      <c r="D1409" s="108" t="s">
        <v>86</v>
      </c>
      <c r="E1409" s="108" t="s">
        <v>13</v>
      </c>
      <c r="F1409" s="131" t="s">
        <v>1056</v>
      </c>
      <c r="G1409" s="131" t="s">
        <v>31</v>
      </c>
      <c r="H1409" s="126">
        <f>H1406+H1407</f>
        <v>0</v>
      </c>
      <c r="I1409" s="178" t="str">
        <f t="shared" si="173"/>
        <v>618050304 3 04 G6420244</v>
      </c>
      <c r="L1409" s="20"/>
      <c r="M1409" s="20"/>
      <c r="N1409" s="20"/>
      <c r="O1409" s="20"/>
      <c r="P1409" s="20"/>
      <c r="Q1409" s="20"/>
      <c r="R1409" s="17"/>
    </row>
    <row r="1410" spans="1:18" s="16" customFormat="1" ht="47.25">
      <c r="A1410" s="14"/>
      <c r="B1410" s="127" t="s">
        <v>1048</v>
      </c>
      <c r="C1410" s="109" t="s">
        <v>783</v>
      </c>
      <c r="D1410" s="108" t="s">
        <v>86</v>
      </c>
      <c r="E1410" s="108" t="s">
        <v>13</v>
      </c>
      <c r="F1410" s="131" t="s">
        <v>1057</v>
      </c>
      <c r="G1410" s="131" t="s">
        <v>9</v>
      </c>
      <c r="H1410" s="126">
        <f>H1414</f>
        <v>0</v>
      </c>
      <c r="I1410" s="178" t="str">
        <f t="shared" si="173"/>
        <v>618050304 3 04 S6420000</v>
      </c>
      <c r="L1410" s="20"/>
      <c r="M1410" s="20"/>
      <c r="N1410" s="20"/>
      <c r="O1410" s="20"/>
      <c r="P1410" s="20"/>
      <c r="Q1410" s="20"/>
      <c r="R1410" s="17"/>
    </row>
    <row r="1411" spans="1:18" s="16" customFormat="1" ht="15.75">
      <c r="A1411" s="14"/>
      <c r="B1411" s="132" t="s">
        <v>1045</v>
      </c>
      <c r="C1411" s="109"/>
      <c r="D1411" s="108"/>
      <c r="E1411" s="108"/>
      <c r="F1411" s="131"/>
      <c r="G1411" s="131"/>
      <c r="H1411" s="126"/>
      <c r="I1411" s="178" t="str">
        <f t="shared" si="173"/>
        <v/>
      </c>
      <c r="L1411" s="20"/>
      <c r="M1411" s="20"/>
      <c r="N1411" s="20"/>
      <c r="O1411" s="20"/>
      <c r="P1411" s="20"/>
      <c r="Q1411" s="20"/>
      <c r="R1411" s="17"/>
    </row>
    <row r="1412" spans="1:18" s="16" customFormat="1" ht="15.75">
      <c r="A1412" s="14"/>
      <c r="B1412" s="125" t="s">
        <v>1050</v>
      </c>
      <c r="C1412" s="109" t="s">
        <v>783</v>
      </c>
      <c r="D1412" s="108" t="s">
        <v>86</v>
      </c>
      <c r="E1412" s="108" t="s">
        <v>13</v>
      </c>
      <c r="F1412" s="131" t="s">
        <v>1057</v>
      </c>
      <c r="G1412" s="131" t="s">
        <v>9</v>
      </c>
      <c r="H1412" s="126"/>
      <c r="I1412" s="178" t="str">
        <f t="shared" si="173"/>
        <v>618050304 3 04 S6420000</v>
      </c>
      <c r="L1412" s="20"/>
      <c r="M1412" s="20"/>
      <c r="N1412" s="20"/>
      <c r="O1412" s="20"/>
      <c r="P1412" s="20"/>
      <c r="Q1412" s="20"/>
      <c r="R1412" s="17"/>
    </row>
    <row r="1413" spans="1:18" s="16" customFormat="1" ht="15.75">
      <c r="A1413" s="14"/>
      <c r="B1413" s="125" t="s">
        <v>1051</v>
      </c>
      <c r="C1413" s="109" t="s">
        <v>783</v>
      </c>
      <c r="D1413" s="108" t="s">
        <v>86</v>
      </c>
      <c r="E1413" s="108" t="s">
        <v>13</v>
      </c>
      <c r="F1413" s="131" t="s">
        <v>1057</v>
      </c>
      <c r="G1413" s="131" t="s">
        <v>9</v>
      </c>
      <c r="H1413" s="126"/>
      <c r="I1413" s="178" t="str">
        <f t="shared" si="173"/>
        <v>618050304 3 04 S6420000</v>
      </c>
      <c r="L1413" s="20"/>
      <c r="M1413" s="20"/>
      <c r="N1413" s="20"/>
      <c r="O1413" s="20"/>
      <c r="P1413" s="20"/>
      <c r="Q1413" s="20"/>
      <c r="R1413" s="17"/>
    </row>
    <row r="1414" spans="1:18" s="16" customFormat="1" ht="15.75">
      <c r="A1414" s="14"/>
      <c r="B1414" s="125" t="s">
        <v>30</v>
      </c>
      <c r="C1414" s="109" t="s">
        <v>783</v>
      </c>
      <c r="D1414" s="108" t="s">
        <v>86</v>
      </c>
      <c r="E1414" s="108" t="s">
        <v>13</v>
      </c>
      <c r="F1414" s="131" t="s">
        <v>1057</v>
      </c>
      <c r="G1414" s="131" t="s">
        <v>29</v>
      </c>
      <c r="H1414" s="126">
        <f>H1415</f>
        <v>0</v>
      </c>
      <c r="I1414" s="178" t="str">
        <f t="shared" si="173"/>
        <v>618050304 3 04 S6420240</v>
      </c>
      <c r="L1414" s="20"/>
      <c r="M1414" s="20"/>
      <c r="N1414" s="20"/>
      <c r="O1414" s="20"/>
      <c r="P1414" s="20"/>
      <c r="Q1414" s="20"/>
      <c r="R1414" s="17"/>
    </row>
    <row r="1415" spans="1:18" s="16" customFormat="1" ht="15.75">
      <c r="A1415" s="14"/>
      <c r="B1415" s="125" t="s">
        <v>30</v>
      </c>
      <c r="C1415" s="109" t="s">
        <v>783</v>
      </c>
      <c r="D1415" s="108" t="s">
        <v>86</v>
      </c>
      <c r="E1415" s="108" t="s">
        <v>13</v>
      </c>
      <c r="F1415" s="131" t="s">
        <v>1057</v>
      </c>
      <c r="G1415" s="131" t="s">
        <v>31</v>
      </c>
      <c r="H1415" s="126">
        <f>H1413+H1412</f>
        <v>0</v>
      </c>
      <c r="I1415" s="178" t="str">
        <f t="shared" si="173"/>
        <v>618050304 3 04 S6420244</v>
      </c>
      <c r="L1415" s="20"/>
      <c r="M1415" s="20"/>
      <c r="N1415" s="20"/>
      <c r="O1415" s="20"/>
      <c r="P1415" s="20"/>
      <c r="Q1415" s="20"/>
      <c r="R1415" s="17"/>
    </row>
    <row r="1416" spans="1:18" s="16" customFormat="1" ht="63">
      <c r="A1416" s="14"/>
      <c r="B1416" s="140" t="s">
        <v>87</v>
      </c>
      <c r="C1416" s="109" t="s">
        <v>783</v>
      </c>
      <c r="D1416" s="131" t="s">
        <v>86</v>
      </c>
      <c r="E1416" s="131" t="s">
        <v>13</v>
      </c>
      <c r="F1416" s="131" t="s">
        <v>88</v>
      </c>
      <c r="G1416" s="131" t="s">
        <v>9</v>
      </c>
      <c r="H1416" s="105">
        <f>H1417</f>
        <v>0</v>
      </c>
      <c r="I1416" s="178" t="str">
        <f t="shared" si="173"/>
        <v>618050398 0 00 00000000</v>
      </c>
      <c r="L1416" s="26">
        <v>2000</v>
      </c>
      <c r="M1416" s="26">
        <v>0</v>
      </c>
      <c r="N1416" s="26">
        <v>0</v>
      </c>
      <c r="O1416" s="26">
        <f>H1416-L1416</f>
        <v>-2000</v>
      </c>
      <c r="P1416" s="26" t="e">
        <f>#REF!-M1416</f>
        <v>#REF!</v>
      </c>
      <c r="Q1416" s="26" t="e">
        <f>#REF!-N1416</f>
        <v>#REF!</v>
      </c>
      <c r="R1416" s="17" t="str">
        <f t="shared" si="167"/>
        <v>98 0 00 00000000</v>
      </c>
    </row>
    <row r="1417" spans="1:18" s="16" customFormat="1" ht="15.75">
      <c r="A1417" s="14"/>
      <c r="B1417" s="140" t="s">
        <v>89</v>
      </c>
      <c r="C1417" s="109" t="s">
        <v>783</v>
      </c>
      <c r="D1417" s="131" t="s">
        <v>86</v>
      </c>
      <c r="E1417" s="131" t="s">
        <v>13</v>
      </c>
      <c r="F1417" s="131" t="s">
        <v>90</v>
      </c>
      <c r="G1417" s="131" t="s">
        <v>9</v>
      </c>
      <c r="H1417" s="105">
        <f>H1418</f>
        <v>0</v>
      </c>
      <c r="I1417" s="178" t="str">
        <f t="shared" si="173"/>
        <v>618050398 1 00 00000000</v>
      </c>
      <c r="L1417" s="26">
        <v>2000</v>
      </c>
      <c r="M1417" s="26">
        <v>0</v>
      </c>
      <c r="N1417" s="26">
        <v>0</v>
      </c>
      <c r="O1417" s="26">
        <f>H1417-L1417</f>
        <v>-2000</v>
      </c>
      <c r="P1417" s="26" t="e">
        <f>#REF!-M1417</f>
        <v>#REF!</v>
      </c>
      <c r="Q1417" s="26" t="e">
        <f>#REF!-N1417</f>
        <v>#REF!</v>
      </c>
      <c r="R1417" s="17" t="str">
        <f t="shared" si="167"/>
        <v>98 1 00 00000000</v>
      </c>
    </row>
    <row r="1418" spans="1:18" s="16" customFormat="1" ht="31.5">
      <c r="A1418" s="14"/>
      <c r="B1418" s="125" t="s">
        <v>778</v>
      </c>
      <c r="C1418" s="109" t="s">
        <v>783</v>
      </c>
      <c r="D1418" s="131" t="s">
        <v>86</v>
      </c>
      <c r="E1418" s="131" t="s">
        <v>13</v>
      </c>
      <c r="F1418" s="131" t="s">
        <v>779</v>
      </c>
      <c r="G1418" s="131" t="s">
        <v>9</v>
      </c>
      <c r="H1418" s="105">
        <f>H1419</f>
        <v>0</v>
      </c>
      <c r="I1418" s="178" t="str">
        <f t="shared" si="173"/>
        <v>618050398 1 00 21450000</v>
      </c>
      <c r="L1418" s="26">
        <v>2000</v>
      </c>
      <c r="M1418" s="26">
        <v>0</v>
      </c>
      <c r="N1418" s="26">
        <v>0</v>
      </c>
      <c r="O1418" s="26">
        <f>H1418-L1418</f>
        <v>-2000</v>
      </c>
      <c r="P1418" s="26" t="e">
        <f>#REF!-M1418</f>
        <v>#REF!</v>
      </c>
      <c r="Q1418" s="26" t="e">
        <f>#REF!-N1418</f>
        <v>#REF!</v>
      </c>
      <c r="R1418" s="17" t="str">
        <f t="shared" si="167"/>
        <v>98 1 00 21450000</v>
      </c>
    </row>
    <row r="1419" spans="1:18" s="16" customFormat="1" ht="31.5">
      <c r="A1419" s="14"/>
      <c r="B1419" s="125" t="s">
        <v>28</v>
      </c>
      <c r="C1419" s="109" t="s">
        <v>783</v>
      </c>
      <c r="D1419" s="131" t="s">
        <v>86</v>
      </c>
      <c r="E1419" s="131" t="s">
        <v>13</v>
      </c>
      <c r="F1419" s="131" t="s">
        <v>779</v>
      </c>
      <c r="G1419" s="131" t="s">
        <v>29</v>
      </c>
      <c r="H1419" s="126">
        <f>H1420</f>
        <v>0</v>
      </c>
      <c r="I1419" s="178" t="str">
        <f t="shared" si="173"/>
        <v>618050398 1 00 21450240</v>
      </c>
      <c r="L1419" s="26">
        <v>2000</v>
      </c>
      <c r="M1419" s="26">
        <v>0</v>
      </c>
      <c r="N1419" s="26">
        <v>0</v>
      </c>
      <c r="O1419" s="26">
        <f>H1419-L1419</f>
        <v>-2000</v>
      </c>
      <c r="P1419" s="26" t="e">
        <f>#REF!-M1419</f>
        <v>#REF!</v>
      </c>
      <c r="Q1419" s="26" t="e">
        <f>#REF!-N1419</f>
        <v>#REF!</v>
      </c>
      <c r="R1419" s="17" t="str">
        <f t="shared" si="167"/>
        <v>98 1 00 21450240</v>
      </c>
    </row>
    <row r="1420" spans="1:18" s="16" customFormat="1" ht="15.75">
      <c r="A1420" s="14"/>
      <c r="B1420" s="125" t="s">
        <v>30</v>
      </c>
      <c r="C1420" s="109" t="s">
        <v>783</v>
      </c>
      <c r="D1420" s="131" t="s">
        <v>86</v>
      </c>
      <c r="E1420" s="131" t="s">
        <v>13</v>
      </c>
      <c r="F1420" s="131" t="s">
        <v>779</v>
      </c>
      <c r="G1420" s="131" t="s">
        <v>31</v>
      </c>
      <c r="H1420" s="126"/>
      <c r="I1420" s="178" t="str">
        <f t="shared" si="173"/>
        <v>618050398 1 00 21450244</v>
      </c>
      <c r="L1420" s="26"/>
      <c r="M1420" s="26"/>
      <c r="N1420" s="26"/>
      <c r="O1420" s="26"/>
      <c r="P1420" s="26"/>
      <c r="Q1420" s="26"/>
      <c r="R1420" s="17"/>
    </row>
    <row r="1421" spans="1:18" s="16" customFormat="1" ht="15.75">
      <c r="A1421" s="14"/>
      <c r="B1421" s="117" t="s">
        <v>237</v>
      </c>
      <c r="C1421" s="118" t="s">
        <v>783</v>
      </c>
      <c r="D1421" s="119" t="s">
        <v>238</v>
      </c>
      <c r="E1421" s="119" t="s">
        <v>7</v>
      </c>
      <c r="F1421" s="119" t="s">
        <v>8</v>
      </c>
      <c r="G1421" s="119" t="s">
        <v>9</v>
      </c>
      <c r="H1421" s="120">
        <f t="shared" ref="H1421:H1424" si="181">H1422</f>
        <v>0</v>
      </c>
      <c r="I1421" s="178" t="str">
        <f t="shared" si="173"/>
        <v>618080000 0 00 00000000</v>
      </c>
      <c r="L1421" s="18">
        <v>1480</v>
      </c>
      <c r="M1421" s="18">
        <v>1480</v>
      </c>
      <c r="N1421" s="18">
        <v>1480</v>
      </c>
      <c r="O1421" s="18">
        <f t="shared" ref="O1421:O1427" si="182">H1421-L1421</f>
        <v>-1480</v>
      </c>
      <c r="P1421" s="18" t="e">
        <f>#REF!-M1421</f>
        <v>#REF!</v>
      </c>
      <c r="Q1421" s="18" t="e">
        <f>#REF!-N1421</f>
        <v>#REF!</v>
      </c>
      <c r="R1421" s="17" t="str">
        <f t="shared" si="167"/>
        <v>00 0 00 00000000</v>
      </c>
    </row>
    <row r="1422" spans="1:18" s="16" customFormat="1" ht="15.75">
      <c r="A1422" s="14"/>
      <c r="B1422" s="121" t="s">
        <v>239</v>
      </c>
      <c r="C1422" s="122" t="s">
        <v>783</v>
      </c>
      <c r="D1422" s="123" t="s">
        <v>238</v>
      </c>
      <c r="E1422" s="123" t="s">
        <v>11</v>
      </c>
      <c r="F1422" s="123" t="s">
        <v>8</v>
      </c>
      <c r="G1422" s="123" t="s">
        <v>9</v>
      </c>
      <c r="H1422" s="124">
        <f t="shared" si="181"/>
        <v>0</v>
      </c>
      <c r="I1422" s="178" t="str">
        <f t="shared" si="173"/>
        <v>618080100 0 00 00000000</v>
      </c>
      <c r="L1422" s="19">
        <v>1480</v>
      </c>
      <c r="M1422" s="19">
        <v>1480</v>
      </c>
      <c r="N1422" s="19">
        <v>1480</v>
      </c>
      <c r="O1422" s="19">
        <f t="shared" si="182"/>
        <v>-1480</v>
      </c>
      <c r="P1422" s="19" t="e">
        <f>#REF!-M1422</f>
        <v>#REF!</v>
      </c>
      <c r="Q1422" s="19" t="e">
        <f>#REF!-N1422</f>
        <v>#REF!</v>
      </c>
      <c r="R1422" s="17" t="str">
        <f t="shared" si="167"/>
        <v>00 0 00 00000000</v>
      </c>
    </row>
    <row r="1423" spans="1:18" s="16" customFormat="1" ht="31.5">
      <c r="A1423" s="14"/>
      <c r="B1423" s="125" t="s">
        <v>240</v>
      </c>
      <c r="C1423" s="109" t="s">
        <v>783</v>
      </c>
      <c r="D1423" s="108" t="s">
        <v>238</v>
      </c>
      <c r="E1423" s="108" t="s">
        <v>11</v>
      </c>
      <c r="F1423" s="108" t="s">
        <v>241</v>
      </c>
      <c r="G1423" s="108" t="s">
        <v>9</v>
      </c>
      <c r="H1423" s="126">
        <f t="shared" si="181"/>
        <v>0</v>
      </c>
      <c r="I1423" s="178" t="str">
        <f t="shared" si="173"/>
        <v>618080107 0 00 00000000</v>
      </c>
      <c r="L1423" s="20">
        <v>1480</v>
      </c>
      <c r="M1423" s="20">
        <v>1480</v>
      </c>
      <c r="N1423" s="20">
        <v>1480</v>
      </c>
      <c r="O1423" s="20">
        <f t="shared" si="182"/>
        <v>-1480</v>
      </c>
      <c r="P1423" s="20" t="e">
        <f>#REF!-M1423</f>
        <v>#REF!</v>
      </c>
      <c r="Q1423" s="20" t="e">
        <f>#REF!-N1423</f>
        <v>#REF!</v>
      </c>
      <c r="R1423" s="17" t="str">
        <f t="shared" si="167"/>
        <v>07 0 00 00000000</v>
      </c>
    </row>
    <row r="1424" spans="1:18" s="16" customFormat="1" ht="78.75">
      <c r="A1424" s="14"/>
      <c r="B1424" s="127" t="s">
        <v>384</v>
      </c>
      <c r="C1424" s="109" t="s">
        <v>783</v>
      </c>
      <c r="D1424" s="108" t="s">
        <v>238</v>
      </c>
      <c r="E1424" s="108" t="s">
        <v>11</v>
      </c>
      <c r="F1424" s="108" t="s">
        <v>243</v>
      </c>
      <c r="G1424" s="108" t="s">
        <v>9</v>
      </c>
      <c r="H1424" s="126">
        <f t="shared" si="181"/>
        <v>0</v>
      </c>
      <c r="I1424" s="178" t="str">
        <f t="shared" si="173"/>
        <v>618080107 1 00 00000000</v>
      </c>
      <c r="L1424" s="20">
        <v>1480</v>
      </c>
      <c r="M1424" s="20">
        <v>1480</v>
      </c>
      <c r="N1424" s="20">
        <v>1480</v>
      </c>
      <c r="O1424" s="20">
        <f t="shared" si="182"/>
        <v>-1480</v>
      </c>
      <c r="P1424" s="20" t="e">
        <f>#REF!-M1424</f>
        <v>#REF!</v>
      </c>
      <c r="Q1424" s="20" t="e">
        <f>#REF!-N1424</f>
        <v>#REF!</v>
      </c>
      <c r="R1424" s="17" t="str">
        <f t="shared" si="167"/>
        <v>07 1 00 00000000</v>
      </c>
    </row>
    <row r="1425" spans="1:18" s="16" customFormat="1" ht="110.25">
      <c r="A1425" s="14"/>
      <c r="B1425" s="140" t="s">
        <v>244</v>
      </c>
      <c r="C1425" s="130" t="s">
        <v>783</v>
      </c>
      <c r="D1425" s="131" t="s">
        <v>238</v>
      </c>
      <c r="E1425" s="131" t="s">
        <v>11</v>
      </c>
      <c r="F1425" s="131" t="s">
        <v>245</v>
      </c>
      <c r="G1425" s="131" t="s">
        <v>9</v>
      </c>
      <c r="H1425" s="105">
        <f>H1426+H1429</f>
        <v>0</v>
      </c>
      <c r="I1425" s="178" t="str">
        <f t="shared" si="173"/>
        <v>618080107 1 01 00000000</v>
      </c>
      <c r="L1425" s="26">
        <v>1480</v>
      </c>
      <c r="M1425" s="26">
        <v>1480</v>
      </c>
      <c r="N1425" s="26">
        <v>1480</v>
      </c>
      <c r="O1425" s="26">
        <f t="shared" si="182"/>
        <v>-1480</v>
      </c>
      <c r="P1425" s="26" t="e">
        <f>#REF!-M1425</f>
        <v>#REF!</v>
      </c>
      <c r="Q1425" s="26" t="e">
        <f>#REF!-N1425</f>
        <v>#REF!</v>
      </c>
      <c r="R1425" s="17" t="str">
        <f t="shared" si="167"/>
        <v>07 1 01 00000000</v>
      </c>
    </row>
    <row r="1426" spans="1:18" s="16" customFormat="1" ht="31.5">
      <c r="A1426" s="14"/>
      <c r="B1426" s="125" t="s">
        <v>246</v>
      </c>
      <c r="C1426" s="109" t="s">
        <v>783</v>
      </c>
      <c r="D1426" s="108" t="s">
        <v>238</v>
      </c>
      <c r="E1426" s="108" t="s">
        <v>11</v>
      </c>
      <c r="F1426" s="108" t="s">
        <v>247</v>
      </c>
      <c r="G1426" s="108" t="s">
        <v>9</v>
      </c>
      <c r="H1426" s="126">
        <f>H1427</f>
        <v>0</v>
      </c>
      <c r="I1426" s="178" t="str">
        <f t="shared" si="173"/>
        <v>618080107 1 01 20060000</v>
      </c>
      <c r="L1426" s="20">
        <v>919</v>
      </c>
      <c r="M1426" s="20">
        <v>919</v>
      </c>
      <c r="N1426" s="20">
        <v>919</v>
      </c>
      <c r="O1426" s="20">
        <f t="shared" si="182"/>
        <v>-919</v>
      </c>
      <c r="P1426" s="20" t="e">
        <f>#REF!-M1426</f>
        <v>#REF!</v>
      </c>
      <c r="Q1426" s="20" t="e">
        <f>#REF!-N1426</f>
        <v>#REF!</v>
      </c>
      <c r="R1426" s="17" t="str">
        <f t="shared" si="167"/>
        <v>07 1 01 20060000</v>
      </c>
    </row>
    <row r="1427" spans="1:18" s="16" customFormat="1" ht="31.5">
      <c r="A1427" s="14"/>
      <c r="B1427" s="125" t="s">
        <v>28</v>
      </c>
      <c r="C1427" s="109" t="s">
        <v>783</v>
      </c>
      <c r="D1427" s="108" t="s">
        <v>238</v>
      </c>
      <c r="E1427" s="108" t="s">
        <v>11</v>
      </c>
      <c r="F1427" s="108" t="s">
        <v>247</v>
      </c>
      <c r="G1427" s="108" t="s">
        <v>29</v>
      </c>
      <c r="H1427" s="126">
        <f>H1428</f>
        <v>0</v>
      </c>
      <c r="I1427" s="178" t="str">
        <f t="shared" si="173"/>
        <v>618080107 1 01 20060240</v>
      </c>
      <c r="L1427" s="20">
        <v>919</v>
      </c>
      <c r="M1427" s="20">
        <v>919</v>
      </c>
      <c r="N1427" s="20">
        <v>919</v>
      </c>
      <c r="O1427" s="20">
        <f t="shared" si="182"/>
        <v>-919</v>
      </c>
      <c r="P1427" s="20" t="e">
        <f>#REF!-M1427</f>
        <v>#REF!</v>
      </c>
      <c r="Q1427" s="20" t="e">
        <f>#REF!-N1427</f>
        <v>#REF!</v>
      </c>
      <c r="R1427" s="17" t="str">
        <f t="shared" si="167"/>
        <v>07 1 01 20060240</v>
      </c>
    </row>
    <row r="1428" spans="1:18" s="16" customFormat="1" ht="15.75">
      <c r="A1428" s="14"/>
      <c r="B1428" s="125" t="s">
        <v>30</v>
      </c>
      <c r="C1428" s="109" t="s">
        <v>783</v>
      </c>
      <c r="D1428" s="108" t="s">
        <v>238</v>
      </c>
      <c r="E1428" s="108" t="s">
        <v>11</v>
      </c>
      <c r="F1428" s="108" t="s">
        <v>247</v>
      </c>
      <c r="G1428" s="108" t="s">
        <v>31</v>
      </c>
      <c r="H1428" s="126"/>
      <c r="I1428" s="178" t="str">
        <f t="shared" si="173"/>
        <v>618080107 1 01 20060244</v>
      </c>
      <c r="L1428" s="20"/>
      <c r="M1428" s="20"/>
      <c r="N1428" s="20"/>
      <c r="O1428" s="20"/>
      <c r="P1428" s="20"/>
      <c r="Q1428" s="20"/>
      <c r="R1428" s="17"/>
    </row>
    <row r="1429" spans="1:18" s="16" customFormat="1" ht="47.25">
      <c r="A1429" s="14"/>
      <c r="B1429" s="127" t="s">
        <v>780</v>
      </c>
      <c r="C1429" s="109" t="s">
        <v>783</v>
      </c>
      <c r="D1429" s="108" t="s">
        <v>238</v>
      </c>
      <c r="E1429" s="108" t="s">
        <v>11</v>
      </c>
      <c r="F1429" s="108" t="s">
        <v>781</v>
      </c>
      <c r="G1429" s="108" t="s">
        <v>9</v>
      </c>
      <c r="H1429" s="126">
        <f>H1430</f>
        <v>0</v>
      </c>
      <c r="I1429" s="178" t="str">
        <f t="shared" ref="I1429:I1492" si="183">C1429&amp;D1429&amp;E1429&amp;F1429&amp;G1429</f>
        <v>618080107 1 01 21130000</v>
      </c>
      <c r="L1429" s="20">
        <v>561</v>
      </c>
      <c r="M1429" s="20">
        <v>561</v>
      </c>
      <c r="N1429" s="20">
        <v>561</v>
      </c>
      <c r="O1429" s="20">
        <f>H1429-L1429</f>
        <v>-561</v>
      </c>
      <c r="P1429" s="20" t="e">
        <f>#REF!-M1429</f>
        <v>#REF!</v>
      </c>
      <c r="Q1429" s="20" t="e">
        <f>#REF!-N1429</f>
        <v>#REF!</v>
      </c>
      <c r="R1429" s="17" t="str">
        <f t="shared" si="167"/>
        <v>07 1 01 21130000</v>
      </c>
    </row>
    <row r="1430" spans="1:18" s="16" customFormat="1" ht="31.5">
      <c r="A1430" s="14"/>
      <c r="B1430" s="125" t="s">
        <v>28</v>
      </c>
      <c r="C1430" s="109" t="s">
        <v>783</v>
      </c>
      <c r="D1430" s="108" t="s">
        <v>238</v>
      </c>
      <c r="E1430" s="108" t="s">
        <v>11</v>
      </c>
      <c r="F1430" s="108" t="s">
        <v>781</v>
      </c>
      <c r="G1430" s="108" t="s">
        <v>29</v>
      </c>
      <c r="H1430" s="126">
        <f>H1431</f>
        <v>0</v>
      </c>
      <c r="I1430" s="178" t="str">
        <f t="shared" si="183"/>
        <v>618080107 1 01 21130240</v>
      </c>
      <c r="L1430" s="20">
        <v>561</v>
      </c>
      <c r="M1430" s="20">
        <v>561</v>
      </c>
      <c r="N1430" s="20">
        <v>561</v>
      </c>
      <c r="O1430" s="20">
        <f>H1430-L1430</f>
        <v>-561</v>
      </c>
      <c r="P1430" s="20" t="e">
        <f>#REF!-M1430</f>
        <v>#REF!</v>
      </c>
      <c r="Q1430" s="20" t="e">
        <f>#REF!-N1430</f>
        <v>#REF!</v>
      </c>
      <c r="R1430" s="17" t="str">
        <f t="shared" si="167"/>
        <v>07 1 01 21130240</v>
      </c>
    </row>
    <row r="1431" spans="1:18" s="16" customFormat="1" ht="15.75">
      <c r="A1431" s="14"/>
      <c r="B1431" s="125" t="s">
        <v>30</v>
      </c>
      <c r="C1431" s="109" t="s">
        <v>783</v>
      </c>
      <c r="D1431" s="108" t="s">
        <v>238</v>
      </c>
      <c r="E1431" s="108" t="s">
        <v>11</v>
      </c>
      <c r="F1431" s="108" t="s">
        <v>781</v>
      </c>
      <c r="G1431" s="108" t="s">
        <v>31</v>
      </c>
      <c r="H1431" s="126"/>
      <c r="I1431" s="178" t="str">
        <f t="shared" si="183"/>
        <v>618080107 1 01 21130244</v>
      </c>
      <c r="L1431" s="20"/>
      <c r="M1431" s="20"/>
      <c r="N1431" s="20"/>
      <c r="O1431" s="20"/>
      <c r="P1431" s="20"/>
      <c r="Q1431" s="20"/>
      <c r="R1431" s="17"/>
    </row>
    <row r="1432" spans="1:18" s="16" customFormat="1" ht="15.75">
      <c r="A1432" s="14"/>
      <c r="B1432" s="129"/>
      <c r="C1432" s="109"/>
      <c r="D1432" s="108"/>
      <c r="E1432" s="108"/>
      <c r="F1432" s="108"/>
      <c r="G1432" s="108"/>
      <c r="H1432" s="126"/>
      <c r="I1432" s="178" t="str">
        <f t="shared" si="183"/>
        <v/>
      </c>
      <c r="L1432" s="20"/>
      <c r="M1432" s="20"/>
      <c r="N1432" s="20"/>
      <c r="O1432" s="20">
        <f t="shared" ref="O1432:O1439" si="184">H1432-L1432</f>
        <v>0</v>
      </c>
      <c r="P1432" s="20" t="e">
        <f>#REF!-M1432</f>
        <v>#REF!</v>
      </c>
      <c r="Q1432" s="20" t="e">
        <f>#REF!-N1432</f>
        <v>#REF!</v>
      </c>
      <c r="R1432" s="17" t="str">
        <f t="shared" ref="R1432:R1554" si="185">CONCATENATE(F1432,G1432)</f>
        <v/>
      </c>
    </row>
    <row r="1433" spans="1:18" s="16" customFormat="1" ht="31.5">
      <c r="A1433" s="14"/>
      <c r="B1433" s="67" t="s">
        <v>794</v>
      </c>
      <c r="C1433" s="116" t="s">
        <v>795</v>
      </c>
      <c r="D1433" s="69" t="s">
        <v>7</v>
      </c>
      <c r="E1433" s="69" t="s">
        <v>7</v>
      </c>
      <c r="F1433" s="156" t="s">
        <v>8</v>
      </c>
      <c r="G1433" s="69" t="s">
        <v>9</v>
      </c>
      <c r="H1433" s="70">
        <f>H1434+H1480+H1499+H1540</f>
        <v>0</v>
      </c>
      <c r="I1433" s="178" t="str">
        <f t="shared" si="183"/>
        <v>619000000 0 00 00000000</v>
      </c>
      <c r="L1433" s="25">
        <v>194853.65</v>
      </c>
      <c r="M1433" s="25">
        <v>199261.83000000002</v>
      </c>
      <c r="N1433" s="25">
        <v>211041.97000000003</v>
      </c>
      <c r="O1433" s="25">
        <f t="shared" si="184"/>
        <v>-194853.65</v>
      </c>
      <c r="P1433" s="25" t="e">
        <f>#REF!-M1433</f>
        <v>#REF!</v>
      </c>
      <c r="Q1433" s="25" t="e">
        <f>#REF!-N1433</f>
        <v>#REF!</v>
      </c>
      <c r="R1433" s="17" t="str">
        <f t="shared" si="185"/>
        <v>00 0 00 00000000</v>
      </c>
    </row>
    <row r="1434" spans="1:18" s="16" customFormat="1" ht="15.75">
      <c r="A1434" s="14"/>
      <c r="B1434" s="117" t="s">
        <v>10</v>
      </c>
      <c r="C1434" s="118" t="s">
        <v>795</v>
      </c>
      <c r="D1434" s="119" t="s">
        <v>11</v>
      </c>
      <c r="E1434" s="119" t="s">
        <v>7</v>
      </c>
      <c r="F1434" s="119" t="s">
        <v>8</v>
      </c>
      <c r="G1434" s="119" t="s">
        <v>9</v>
      </c>
      <c r="H1434" s="120">
        <f>H1435+H1461</f>
        <v>0</v>
      </c>
      <c r="I1434" s="178" t="str">
        <f t="shared" si="183"/>
        <v>619010000 0 00 00000000</v>
      </c>
      <c r="L1434" s="18">
        <v>44007.149999999994</v>
      </c>
      <c r="M1434" s="18">
        <v>43253.189999999995</v>
      </c>
      <c r="N1434" s="18">
        <v>43253.189999999995</v>
      </c>
      <c r="O1434" s="18">
        <f t="shared" si="184"/>
        <v>-44007.149999999994</v>
      </c>
      <c r="P1434" s="18" t="e">
        <f>#REF!-M1434</f>
        <v>#REF!</v>
      </c>
      <c r="Q1434" s="18" t="e">
        <f>#REF!-N1434</f>
        <v>#REF!</v>
      </c>
      <c r="R1434" s="17" t="str">
        <f t="shared" si="185"/>
        <v>00 0 00 00000000</v>
      </c>
    </row>
    <row r="1435" spans="1:18" s="16" customFormat="1" ht="63">
      <c r="A1435" s="14"/>
      <c r="B1435" s="121" t="s">
        <v>72</v>
      </c>
      <c r="C1435" s="122" t="s">
        <v>795</v>
      </c>
      <c r="D1435" s="123" t="s">
        <v>11</v>
      </c>
      <c r="E1435" s="123" t="s">
        <v>73</v>
      </c>
      <c r="F1435" s="123" t="s">
        <v>8</v>
      </c>
      <c r="G1435" s="123" t="s">
        <v>9</v>
      </c>
      <c r="H1435" s="124">
        <f t="shared" ref="H1435:H1436" si="186">H1436</f>
        <v>0</v>
      </c>
      <c r="I1435" s="178" t="str">
        <f t="shared" si="183"/>
        <v>619010400 0 00 00000000</v>
      </c>
      <c r="L1435" s="19">
        <v>42676.389999999992</v>
      </c>
      <c r="M1435" s="19">
        <v>42676.389999999992</v>
      </c>
      <c r="N1435" s="19">
        <v>42676.389999999992</v>
      </c>
      <c r="O1435" s="19">
        <f t="shared" si="184"/>
        <v>-42676.389999999992</v>
      </c>
      <c r="P1435" s="19" t="e">
        <f>#REF!-M1435</f>
        <v>#REF!</v>
      </c>
      <c r="Q1435" s="19" t="e">
        <f>#REF!-N1435</f>
        <v>#REF!</v>
      </c>
      <c r="R1435" s="17" t="str">
        <f t="shared" si="185"/>
        <v>00 0 00 00000000</v>
      </c>
    </row>
    <row r="1436" spans="1:18" s="16" customFormat="1" ht="31.5">
      <c r="A1436" s="14"/>
      <c r="B1436" s="125" t="s">
        <v>796</v>
      </c>
      <c r="C1436" s="108" t="s">
        <v>795</v>
      </c>
      <c r="D1436" s="108" t="s">
        <v>11</v>
      </c>
      <c r="E1436" s="108" t="s">
        <v>73</v>
      </c>
      <c r="F1436" s="108" t="s">
        <v>797</v>
      </c>
      <c r="G1436" s="108" t="s">
        <v>9</v>
      </c>
      <c r="H1436" s="126">
        <f t="shared" si="186"/>
        <v>0</v>
      </c>
      <c r="I1436" s="178" t="str">
        <f t="shared" si="183"/>
        <v>619010482 0 00 00000000</v>
      </c>
      <c r="L1436" s="20">
        <v>42676.389999999992</v>
      </c>
      <c r="M1436" s="20">
        <v>42676.389999999992</v>
      </c>
      <c r="N1436" s="20">
        <v>42676.389999999992</v>
      </c>
      <c r="O1436" s="20">
        <f t="shared" si="184"/>
        <v>-42676.389999999992</v>
      </c>
      <c r="P1436" s="20" t="e">
        <f>#REF!-M1436</f>
        <v>#REF!</v>
      </c>
      <c r="Q1436" s="20" t="e">
        <f>#REF!-N1436</f>
        <v>#REF!</v>
      </c>
      <c r="R1436" s="17" t="str">
        <f t="shared" si="185"/>
        <v>82 0 00 00000000</v>
      </c>
    </row>
    <row r="1437" spans="1:18" s="16" customFormat="1" ht="47.25">
      <c r="A1437" s="14"/>
      <c r="B1437" s="125" t="s">
        <v>798</v>
      </c>
      <c r="C1437" s="108" t="s">
        <v>795</v>
      </c>
      <c r="D1437" s="108" t="s">
        <v>11</v>
      </c>
      <c r="E1437" s="108" t="s">
        <v>73</v>
      </c>
      <c r="F1437" s="108" t="s">
        <v>799</v>
      </c>
      <c r="G1437" s="108" t="s">
        <v>9</v>
      </c>
      <c r="H1437" s="105">
        <f>H1458+H1451+H1447+H1438</f>
        <v>0</v>
      </c>
      <c r="I1437" s="178" t="str">
        <f t="shared" si="183"/>
        <v>619010482 1 00 00000000</v>
      </c>
      <c r="L1437" s="26">
        <v>42676.389999999992</v>
      </c>
      <c r="M1437" s="26">
        <v>42676.389999999992</v>
      </c>
      <c r="N1437" s="26">
        <v>42676.389999999992</v>
      </c>
      <c r="O1437" s="26">
        <f t="shared" si="184"/>
        <v>-42676.389999999992</v>
      </c>
      <c r="P1437" s="26" t="e">
        <f>#REF!-M1437</f>
        <v>#REF!</v>
      </c>
      <c r="Q1437" s="26" t="e">
        <f>#REF!-N1437</f>
        <v>#REF!</v>
      </c>
      <c r="R1437" s="17" t="str">
        <f t="shared" si="185"/>
        <v>82 1 00 00000000</v>
      </c>
    </row>
    <row r="1438" spans="1:18" s="16" customFormat="1" ht="31.5">
      <c r="A1438" s="14"/>
      <c r="B1438" s="125" t="s">
        <v>18</v>
      </c>
      <c r="C1438" s="108" t="s">
        <v>795</v>
      </c>
      <c r="D1438" s="108" t="s">
        <v>11</v>
      </c>
      <c r="E1438" s="108" t="s">
        <v>73</v>
      </c>
      <c r="F1438" s="108" t="s">
        <v>800</v>
      </c>
      <c r="G1438" s="108" t="s">
        <v>9</v>
      </c>
      <c r="H1438" s="105">
        <f>H1439+H1442+H1444</f>
        <v>0</v>
      </c>
      <c r="I1438" s="178" t="str">
        <f t="shared" si="183"/>
        <v>619010482 1 00 10010000</v>
      </c>
      <c r="L1438" s="26">
        <v>5112.3100000000004</v>
      </c>
      <c r="M1438" s="26">
        <v>5112.3100000000004</v>
      </c>
      <c r="N1438" s="26">
        <v>5112.3100000000004</v>
      </c>
      <c r="O1438" s="26">
        <f t="shared" si="184"/>
        <v>-5112.3100000000004</v>
      </c>
      <c r="P1438" s="26" t="e">
        <f>#REF!-M1438</f>
        <v>#REF!</v>
      </c>
      <c r="Q1438" s="26" t="e">
        <f>#REF!-N1438</f>
        <v>#REF!</v>
      </c>
      <c r="R1438" s="17" t="str">
        <f t="shared" si="185"/>
        <v>82 1 00 10010000</v>
      </c>
    </row>
    <row r="1439" spans="1:18" s="50" customFormat="1" ht="31.5">
      <c r="A1439" s="49"/>
      <c r="B1439" s="129" t="s">
        <v>20</v>
      </c>
      <c r="C1439" s="131" t="s">
        <v>795</v>
      </c>
      <c r="D1439" s="131" t="s">
        <v>11</v>
      </c>
      <c r="E1439" s="131" t="s">
        <v>73</v>
      </c>
      <c r="F1439" s="108" t="s">
        <v>800</v>
      </c>
      <c r="G1439" s="131" t="s">
        <v>21</v>
      </c>
      <c r="H1439" s="126">
        <f>SUM(H1440:H1441)</f>
        <v>0</v>
      </c>
      <c r="I1439" s="178" t="str">
        <f t="shared" si="183"/>
        <v>619010482 1 00 10010120</v>
      </c>
      <c r="L1439" s="26">
        <v>836.55</v>
      </c>
      <c r="M1439" s="26">
        <v>836.55</v>
      </c>
      <c r="N1439" s="26">
        <v>836.55</v>
      </c>
      <c r="O1439" s="26">
        <f t="shared" si="184"/>
        <v>-836.55</v>
      </c>
      <c r="P1439" s="26" t="e">
        <f>#REF!-M1439</f>
        <v>#REF!</v>
      </c>
      <c r="Q1439" s="26" t="e">
        <f>#REF!-N1439</f>
        <v>#REF!</v>
      </c>
      <c r="R1439" s="17" t="str">
        <f t="shared" si="185"/>
        <v>82 1 00 10010120</v>
      </c>
    </row>
    <row r="1440" spans="1:18" s="23" customFormat="1" ht="47.25">
      <c r="A1440" s="21"/>
      <c r="B1440" s="127" t="s">
        <v>22</v>
      </c>
      <c r="C1440" s="131" t="s">
        <v>795</v>
      </c>
      <c r="D1440" s="131" t="s">
        <v>11</v>
      </c>
      <c r="E1440" s="131" t="s">
        <v>73</v>
      </c>
      <c r="F1440" s="108" t="s">
        <v>800</v>
      </c>
      <c r="G1440" s="108" t="s">
        <v>23</v>
      </c>
      <c r="H1440" s="126"/>
      <c r="I1440" s="178" t="str">
        <f t="shared" si="183"/>
        <v>619010482 1 00 10010122</v>
      </c>
      <c r="L1440" s="22"/>
      <c r="M1440" s="22"/>
      <c r="N1440" s="22"/>
      <c r="O1440" s="22"/>
      <c r="P1440" s="22"/>
      <c r="Q1440" s="22"/>
      <c r="R1440" s="24"/>
    </row>
    <row r="1441" spans="1:18" s="23" customFormat="1" ht="63">
      <c r="A1441" s="21"/>
      <c r="B1441" s="127" t="s">
        <v>26</v>
      </c>
      <c r="C1441" s="131" t="s">
        <v>795</v>
      </c>
      <c r="D1441" s="131" t="s">
        <v>11</v>
      </c>
      <c r="E1441" s="131" t="s">
        <v>73</v>
      </c>
      <c r="F1441" s="108" t="s">
        <v>800</v>
      </c>
      <c r="G1441" s="108" t="s">
        <v>27</v>
      </c>
      <c r="H1441" s="126"/>
      <c r="I1441" s="178" t="str">
        <f t="shared" si="183"/>
        <v>619010482 1 00 10010129</v>
      </c>
      <c r="L1441" s="22"/>
      <c r="M1441" s="22"/>
      <c r="N1441" s="22"/>
      <c r="O1441" s="22"/>
      <c r="P1441" s="22"/>
      <c r="Q1441" s="22"/>
      <c r="R1441" s="24"/>
    </row>
    <row r="1442" spans="1:18" s="16" customFormat="1" ht="31.5">
      <c r="A1442" s="14"/>
      <c r="B1442" s="125" t="s">
        <v>28</v>
      </c>
      <c r="C1442" s="131" t="s">
        <v>795</v>
      </c>
      <c r="D1442" s="131" t="s">
        <v>11</v>
      </c>
      <c r="E1442" s="131" t="s">
        <v>73</v>
      </c>
      <c r="F1442" s="108" t="s">
        <v>800</v>
      </c>
      <c r="G1442" s="108" t="s">
        <v>29</v>
      </c>
      <c r="H1442" s="126">
        <f>H1443</f>
        <v>0</v>
      </c>
      <c r="I1442" s="178" t="str">
        <f t="shared" si="183"/>
        <v>619010482 1 00 10010240</v>
      </c>
      <c r="L1442" s="26">
        <v>3935.76</v>
      </c>
      <c r="M1442" s="26">
        <v>3935.76</v>
      </c>
      <c r="N1442" s="26">
        <v>3935.76</v>
      </c>
      <c r="O1442" s="26">
        <f>H1442-L1442</f>
        <v>-3935.76</v>
      </c>
      <c r="P1442" s="26" t="e">
        <f>#REF!-M1442</f>
        <v>#REF!</v>
      </c>
      <c r="Q1442" s="26" t="e">
        <f>#REF!-N1442</f>
        <v>#REF!</v>
      </c>
      <c r="R1442" s="17" t="str">
        <f t="shared" si="185"/>
        <v>82 1 00 10010240</v>
      </c>
    </row>
    <row r="1443" spans="1:18" s="16" customFormat="1" ht="15.75">
      <c r="A1443" s="14"/>
      <c r="B1443" s="125" t="s">
        <v>30</v>
      </c>
      <c r="C1443" s="131" t="s">
        <v>795</v>
      </c>
      <c r="D1443" s="131" t="s">
        <v>11</v>
      </c>
      <c r="E1443" s="131" t="s">
        <v>73</v>
      </c>
      <c r="F1443" s="108" t="s">
        <v>800</v>
      </c>
      <c r="G1443" s="108" t="s">
        <v>31</v>
      </c>
      <c r="H1443" s="126"/>
      <c r="I1443" s="178" t="str">
        <f t="shared" si="183"/>
        <v>619010482 1 00 10010244</v>
      </c>
      <c r="L1443" s="26"/>
      <c r="M1443" s="26"/>
      <c r="N1443" s="26"/>
      <c r="O1443" s="26"/>
      <c r="P1443" s="26"/>
      <c r="Q1443" s="26"/>
      <c r="R1443" s="17"/>
    </row>
    <row r="1444" spans="1:18" s="16" customFormat="1" ht="15.75">
      <c r="A1444" s="14"/>
      <c r="B1444" s="125" t="s">
        <v>32</v>
      </c>
      <c r="C1444" s="131" t="s">
        <v>795</v>
      </c>
      <c r="D1444" s="131" t="s">
        <v>11</v>
      </c>
      <c r="E1444" s="131" t="s">
        <v>73</v>
      </c>
      <c r="F1444" s="108" t="s">
        <v>800</v>
      </c>
      <c r="G1444" s="131" t="s">
        <v>33</v>
      </c>
      <c r="H1444" s="126">
        <f>SUM(H1445:H1446)</f>
        <v>0</v>
      </c>
      <c r="I1444" s="178" t="str">
        <f t="shared" si="183"/>
        <v>619010482 1 00 10010850</v>
      </c>
      <c r="L1444" s="26">
        <v>340</v>
      </c>
      <c r="M1444" s="26">
        <v>340</v>
      </c>
      <c r="N1444" s="26">
        <v>340</v>
      </c>
      <c r="O1444" s="26">
        <f>H1444-L1444</f>
        <v>-340</v>
      </c>
      <c r="P1444" s="26" t="e">
        <f>#REF!-M1444</f>
        <v>#REF!</v>
      </c>
      <c r="Q1444" s="26" t="e">
        <f>#REF!-N1444</f>
        <v>#REF!</v>
      </c>
      <c r="R1444" s="17" t="str">
        <f t="shared" si="185"/>
        <v>82 1 00 10010850</v>
      </c>
    </row>
    <row r="1445" spans="1:18" s="23" customFormat="1" ht="31.5">
      <c r="A1445" s="21"/>
      <c r="B1445" s="127" t="s">
        <v>34</v>
      </c>
      <c r="C1445" s="131" t="s">
        <v>795</v>
      </c>
      <c r="D1445" s="131" t="s">
        <v>11</v>
      </c>
      <c r="E1445" s="131" t="s">
        <v>73</v>
      </c>
      <c r="F1445" s="108" t="s">
        <v>800</v>
      </c>
      <c r="G1445" s="108" t="s">
        <v>35</v>
      </c>
      <c r="H1445" s="126"/>
      <c r="I1445" s="178" t="str">
        <f t="shared" si="183"/>
        <v>619010482 1 00 10010851</v>
      </c>
      <c r="L1445" s="22"/>
      <c r="M1445" s="22"/>
      <c r="N1445" s="22"/>
      <c r="O1445" s="22"/>
      <c r="P1445" s="22"/>
      <c r="Q1445" s="22"/>
      <c r="R1445" s="24"/>
    </row>
    <row r="1446" spans="1:18" s="23" customFormat="1" ht="15.75">
      <c r="A1446" s="21"/>
      <c r="B1446" s="127" t="s">
        <v>36</v>
      </c>
      <c r="C1446" s="131" t="s">
        <v>795</v>
      </c>
      <c r="D1446" s="131" t="s">
        <v>11</v>
      </c>
      <c r="E1446" s="131" t="s">
        <v>73</v>
      </c>
      <c r="F1446" s="108" t="s">
        <v>800</v>
      </c>
      <c r="G1446" s="108" t="s">
        <v>37</v>
      </c>
      <c r="H1446" s="126"/>
      <c r="I1446" s="178" t="str">
        <f t="shared" si="183"/>
        <v>619010482 1 00 10010852</v>
      </c>
      <c r="L1446" s="22"/>
      <c r="M1446" s="22"/>
      <c r="N1446" s="22"/>
      <c r="O1446" s="22"/>
      <c r="P1446" s="22"/>
      <c r="Q1446" s="22"/>
      <c r="R1446" s="24"/>
    </row>
    <row r="1447" spans="1:18" s="47" customFormat="1" ht="31.5">
      <c r="A1447" s="46"/>
      <c r="B1447" s="129" t="s">
        <v>789</v>
      </c>
      <c r="C1447" s="131" t="s">
        <v>795</v>
      </c>
      <c r="D1447" s="131" t="s">
        <v>11</v>
      </c>
      <c r="E1447" s="131" t="s">
        <v>73</v>
      </c>
      <c r="F1447" s="131" t="s">
        <v>801</v>
      </c>
      <c r="G1447" s="131" t="s">
        <v>9</v>
      </c>
      <c r="H1447" s="105">
        <f>H1448</f>
        <v>0</v>
      </c>
      <c r="I1447" s="178" t="str">
        <f t="shared" si="183"/>
        <v>619010482 1 00 10020000</v>
      </c>
      <c r="L1447" s="26">
        <v>35958.199999999997</v>
      </c>
      <c r="M1447" s="26">
        <v>35958.199999999997</v>
      </c>
      <c r="N1447" s="26">
        <v>35958.199999999997</v>
      </c>
      <c r="O1447" s="26">
        <f>H1447-L1447</f>
        <v>-35958.199999999997</v>
      </c>
      <c r="P1447" s="26" t="e">
        <f>#REF!-M1447</f>
        <v>#REF!</v>
      </c>
      <c r="Q1447" s="26" t="e">
        <f>#REF!-N1447</f>
        <v>#REF!</v>
      </c>
      <c r="R1447" s="17" t="str">
        <f t="shared" si="185"/>
        <v>82 1 00 10020000</v>
      </c>
    </row>
    <row r="1448" spans="1:18" s="50" customFormat="1" ht="31.5">
      <c r="A1448" s="49"/>
      <c r="B1448" s="129" t="s">
        <v>20</v>
      </c>
      <c r="C1448" s="131" t="s">
        <v>795</v>
      </c>
      <c r="D1448" s="131" t="s">
        <v>11</v>
      </c>
      <c r="E1448" s="131" t="s">
        <v>73</v>
      </c>
      <c r="F1448" s="131" t="s">
        <v>801</v>
      </c>
      <c r="G1448" s="131" t="s">
        <v>21</v>
      </c>
      <c r="H1448" s="126">
        <f>SUM(H1449:H1450)</f>
        <v>0</v>
      </c>
      <c r="I1448" s="178" t="str">
        <f t="shared" si="183"/>
        <v>619010482 1 00 10020120</v>
      </c>
      <c r="L1448" s="26">
        <v>35958.199999999997</v>
      </c>
      <c r="M1448" s="26">
        <v>35958.199999999997</v>
      </c>
      <c r="N1448" s="26">
        <v>35958.199999999997</v>
      </c>
      <c r="O1448" s="26">
        <f>H1448-L1448</f>
        <v>-35958.199999999997</v>
      </c>
      <c r="P1448" s="26" t="e">
        <f>#REF!-M1448</f>
        <v>#REF!</v>
      </c>
      <c r="Q1448" s="26" t="e">
        <f>#REF!-N1448</f>
        <v>#REF!</v>
      </c>
      <c r="R1448" s="17" t="str">
        <f t="shared" si="185"/>
        <v>82 1 00 10020120</v>
      </c>
    </row>
    <row r="1449" spans="1:18" s="23" customFormat="1" ht="31.5">
      <c r="A1449" s="21"/>
      <c r="B1449" s="127" t="s">
        <v>40</v>
      </c>
      <c r="C1449" s="131" t="s">
        <v>795</v>
      </c>
      <c r="D1449" s="131" t="s">
        <v>11</v>
      </c>
      <c r="E1449" s="131" t="s">
        <v>73</v>
      </c>
      <c r="F1449" s="131" t="s">
        <v>801</v>
      </c>
      <c r="G1449" s="108" t="s">
        <v>41</v>
      </c>
      <c r="H1449" s="126"/>
      <c r="I1449" s="178" t="str">
        <f t="shared" si="183"/>
        <v>619010482 1 00 10020121</v>
      </c>
      <c r="L1449" s="22"/>
      <c r="M1449" s="22"/>
      <c r="N1449" s="22"/>
      <c r="O1449" s="22"/>
      <c r="P1449" s="22"/>
      <c r="Q1449" s="22"/>
      <c r="R1449" s="24"/>
    </row>
    <row r="1450" spans="1:18" s="23" customFormat="1" ht="63">
      <c r="A1450" s="21"/>
      <c r="B1450" s="127" t="s">
        <v>26</v>
      </c>
      <c r="C1450" s="131" t="s">
        <v>795</v>
      </c>
      <c r="D1450" s="131" t="s">
        <v>11</v>
      </c>
      <c r="E1450" s="131" t="s">
        <v>73</v>
      </c>
      <c r="F1450" s="131" t="s">
        <v>801</v>
      </c>
      <c r="G1450" s="108" t="s">
        <v>27</v>
      </c>
      <c r="H1450" s="126"/>
      <c r="I1450" s="178" t="str">
        <f t="shared" si="183"/>
        <v>619010482 1 00 10020129</v>
      </c>
      <c r="L1450" s="22"/>
      <c r="M1450" s="22"/>
      <c r="N1450" s="22"/>
      <c r="O1450" s="22"/>
      <c r="P1450" s="22"/>
      <c r="Q1450" s="22"/>
      <c r="R1450" s="24"/>
    </row>
    <row r="1451" spans="1:18" s="47" customFormat="1" ht="63">
      <c r="A1451" s="14" t="s">
        <v>80</v>
      </c>
      <c r="B1451" s="150" t="s">
        <v>488</v>
      </c>
      <c r="C1451" s="131" t="s">
        <v>795</v>
      </c>
      <c r="D1451" s="131" t="s">
        <v>11</v>
      </c>
      <c r="E1451" s="131" t="s">
        <v>73</v>
      </c>
      <c r="F1451" s="131" t="s">
        <v>802</v>
      </c>
      <c r="G1451" s="131" t="s">
        <v>9</v>
      </c>
      <c r="H1451" s="105">
        <f>H1452+H1456</f>
        <v>0</v>
      </c>
      <c r="I1451" s="178" t="str">
        <f t="shared" si="183"/>
        <v>619010482 1 00 76200000</v>
      </c>
      <c r="L1451" s="26">
        <v>1534.98</v>
      </c>
      <c r="M1451" s="26">
        <v>1534.98</v>
      </c>
      <c r="N1451" s="26">
        <v>1534.98</v>
      </c>
      <c r="O1451" s="26">
        <f>H1451-L1451</f>
        <v>-1534.98</v>
      </c>
      <c r="P1451" s="26" t="e">
        <f>#REF!-M1451</f>
        <v>#REF!</v>
      </c>
      <c r="Q1451" s="26" t="e">
        <f>#REF!-N1451</f>
        <v>#REF!</v>
      </c>
      <c r="R1451" s="17" t="str">
        <f t="shared" si="185"/>
        <v>82 1 00 76200000</v>
      </c>
    </row>
    <row r="1452" spans="1:18" s="50" customFormat="1" ht="31.5">
      <c r="A1452" s="49"/>
      <c r="B1452" s="129" t="s">
        <v>20</v>
      </c>
      <c r="C1452" s="131" t="s">
        <v>795</v>
      </c>
      <c r="D1452" s="131" t="s">
        <v>11</v>
      </c>
      <c r="E1452" s="131" t="s">
        <v>73</v>
      </c>
      <c r="F1452" s="131" t="s">
        <v>802</v>
      </c>
      <c r="G1452" s="131" t="s">
        <v>21</v>
      </c>
      <c r="H1452" s="126">
        <f>SUM(H1453:H1455)</f>
        <v>0</v>
      </c>
      <c r="I1452" s="178" t="str">
        <f t="shared" si="183"/>
        <v>619010482 1 00 76200120</v>
      </c>
      <c r="L1452" s="26">
        <v>1338.68</v>
      </c>
      <c r="M1452" s="26">
        <v>1338.68</v>
      </c>
      <c r="N1452" s="26">
        <v>1338.68</v>
      </c>
      <c r="O1452" s="26">
        <f>H1452-L1452</f>
        <v>-1338.68</v>
      </c>
      <c r="P1452" s="26" t="e">
        <f>#REF!-M1452</f>
        <v>#REF!</v>
      </c>
      <c r="Q1452" s="26" t="e">
        <f>#REF!-N1452</f>
        <v>#REF!</v>
      </c>
      <c r="R1452" s="17" t="str">
        <f t="shared" si="185"/>
        <v>82 1 00 76200120</v>
      </c>
    </row>
    <row r="1453" spans="1:18" s="23" customFormat="1" ht="31.5">
      <c r="A1453" s="21"/>
      <c r="B1453" s="127" t="s">
        <v>40</v>
      </c>
      <c r="C1453" s="131" t="s">
        <v>795</v>
      </c>
      <c r="D1453" s="131" t="s">
        <v>11</v>
      </c>
      <c r="E1453" s="131" t="s">
        <v>73</v>
      </c>
      <c r="F1453" s="131" t="s">
        <v>802</v>
      </c>
      <c r="G1453" s="108" t="s">
        <v>41</v>
      </c>
      <c r="H1453" s="126"/>
      <c r="I1453" s="178" t="str">
        <f t="shared" si="183"/>
        <v>619010482 1 00 76200121</v>
      </c>
      <c r="L1453" s="22"/>
      <c r="M1453" s="22"/>
      <c r="N1453" s="22"/>
      <c r="O1453" s="22"/>
      <c r="P1453" s="22"/>
      <c r="Q1453" s="22"/>
      <c r="R1453" s="24"/>
    </row>
    <row r="1454" spans="1:18" s="23" customFormat="1" ht="47.25">
      <c r="A1454" s="21"/>
      <c r="B1454" s="127" t="s">
        <v>22</v>
      </c>
      <c r="C1454" s="131" t="s">
        <v>795</v>
      </c>
      <c r="D1454" s="131" t="s">
        <v>11</v>
      </c>
      <c r="E1454" s="131" t="s">
        <v>73</v>
      </c>
      <c r="F1454" s="131" t="s">
        <v>802</v>
      </c>
      <c r="G1454" s="108" t="s">
        <v>23</v>
      </c>
      <c r="H1454" s="126"/>
      <c r="I1454" s="178" t="str">
        <f t="shared" si="183"/>
        <v>619010482 1 00 76200122</v>
      </c>
      <c r="L1454" s="22"/>
      <c r="M1454" s="22"/>
      <c r="N1454" s="22"/>
      <c r="O1454" s="22"/>
      <c r="P1454" s="22"/>
      <c r="Q1454" s="22"/>
      <c r="R1454" s="24"/>
    </row>
    <row r="1455" spans="1:18" s="23" customFormat="1" ht="63">
      <c r="A1455" s="21"/>
      <c r="B1455" s="127" t="s">
        <v>26</v>
      </c>
      <c r="C1455" s="131" t="s">
        <v>795</v>
      </c>
      <c r="D1455" s="131" t="s">
        <v>11</v>
      </c>
      <c r="E1455" s="131" t="s">
        <v>73</v>
      </c>
      <c r="F1455" s="131" t="s">
        <v>802</v>
      </c>
      <c r="G1455" s="108" t="s">
        <v>27</v>
      </c>
      <c r="H1455" s="126"/>
      <c r="I1455" s="178" t="str">
        <f t="shared" si="183"/>
        <v>619010482 1 00 76200129</v>
      </c>
      <c r="L1455" s="22"/>
      <c r="M1455" s="22"/>
      <c r="N1455" s="22"/>
      <c r="O1455" s="22"/>
      <c r="P1455" s="22"/>
      <c r="Q1455" s="22"/>
      <c r="R1455" s="24"/>
    </row>
    <row r="1456" spans="1:18" s="50" customFormat="1" ht="31.5">
      <c r="A1456" s="49"/>
      <c r="B1456" s="125" t="s">
        <v>28</v>
      </c>
      <c r="C1456" s="131" t="s">
        <v>795</v>
      </c>
      <c r="D1456" s="131" t="s">
        <v>11</v>
      </c>
      <c r="E1456" s="131" t="s">
        <v>73</v>
      </c>
      <c r="F1456" s="131" t="s">
        <v>802</v>
      </c>
      <c r="G1456" s="131" t="s">
        <v>29</v>
      </c>
      <c r="H1456" s="126">
        <f>H1457</f>
        <v>0</v>
      </c>
      <c r="I1456" s="178" t="str">
        <f t="shared" si="183"/>
        <v>619010482 1 00 76200240</v>
      </c>
      <c r="L1456" s="26">
        <v>196.3</v>
      </c>
      <c r="M1456" s="26">
        <v>196.3</v>
      </c>
      <c r="N1456" s="26">
        <v>196.3</v>
      </c>
      <c r="O1456" s="26">
        <f>H1456-L1456</f>
        <v>-196.3</v>
      </c>
      <c r="P1456" s="26" t="e">
        <f>#REF!-M1456</f>
        <v>#REF!</v>
      </c>
      <c r="Q1456" s="26" t="e">
        <f>#REF!-N1456</f>
        <v>#REF!</v>
      </c>
      <c r="R1456" s="17" t="str">
        <f t="shared" si="185"/>
        <v>82 1 00 76200240</v>
      </c>
    </row>
    <row r="1457" spans="1:18" s="50" customFormat="1" ht="15.75">
      <c r="A1457" s="49"/>
      <c r="B1457" s="125" t="s">
        <v>30</v>
      </c>
      <c r="C1457" s="131" t="s">
        <v>795</v>
      </c>
      <c r="D1457" s="131" t="s">
        <v>11</v>
      </c>
      <c r="E1457" s="131" t="s">
        <v>73</v>
      </c>
      <c r="F1457" s="131" t="s">
        <v>802</v>
      </c>
      <c r="G1457" s="131" t="s">
        <v>31</v>
      </c>
      <c r="H1457" s="126"/>
      <c r="I1457" s="178" t="str">
        <f t="shared" si="183"/>
        <v>619010482 1 00 76200244</v>
      </c>
      <c r="L1457" s="26"/>
      <c r="M1457" s="26"/>
      <c r="N1457" s="26"/>
      <c r="O1457" s="26"/>
      <c r="P1457" s="26"/>
      <c r="Q1457" s="26"/>
      <c r="R1457" s="17"/>
    </row>
    <row r="1458" spans="1:18" s="47" customFormat="1" ht="63">
      <c r="A1458" s="14" t="s">
        <v>80</v>
      </c>
      <c r="B1458" s="129" t="s">
        <v>754</v>
      </c>
      <c r="C1458" s="131" t="s">
        <v>795</v>
      </c>
      <c r="D1458" s="131" t="s">
        <v>11</v>
      </c>
      <c r="E1458" s="131" t="s">
        <v>73</v>
      </c>
      <c r="F1458" s="131" t="s">
        <v>803</v>
      </c>
      <c r="G1458" s="131" t="s">
        <v>9</v>
      </c>
      <c r="H1458" s="105">
        <f>H1459</f>
        <v>0</v>
      </c>
      <c r="I1458" s="178" t="str">
        <f t="shared" si="183"/>
        <v>619010482 1 00 76360000</v>
      </c>
      <c r="L1458" s="26">
        <v>70.900000000000006</v>
      </c>
      <c r="M1458" s="26">
        <v>70.900000000000006</v>
      </c>
      <c r="N1458" s="26">
        <v>70.900000000000006</v>
      </c>
      <c r="O1458" s="26">
        <f>H1458-L1458</f>
        <v>-70.900000000000006</v>
      </c>
      <c r="P1458" s="26" t="e">
        <f>#REF!-M1458</f>
        <v>#REF!</v>
      </c>
      <c r="Q1458" s="26" t="e">
        <f>#REF!-N1458</f>
        <v>#REF!</v>
      </c>
      <c r="R1458" s="17" t="str">
        <f t="shared" si="185"/>
        <v>82 1 00 76360000</v>
      </c>
    </row>
    <row r="1459" spans="1:18" s="50" customFormat="1" ht="31.5">
      <c r="A1459" s="49"/>
      <c r="B1459" s="125" t="s">
        <v>28</v>
      </c>
      <c r="C1459" s="131" t="s">
        <v>795</v>
      </c>
      <c r="D1459" s="131" t="s">
        <v>11</v>
      </c>
      <c r="E1459" s="131" t="s">
        <v>73</v>
      </c>
      <c r="F1459" s="131" t="s">
        <v>803</v>
      </c>
      <c r="G1459" s="131" t="s">
        <v>29</v>
      </c>
      <c r="H1459" s="126">
        <f>H1460</f>
        <v>0</v>
      </c>
      <c r="I1459" s="178" t="str">
        <f t="shared" si="183"/>
        <v>619010482 1 00 76360240</v>
      </c>
      <c r="L1459" s="26">
        <v>70.900000000000006</v>
      </c>
      <c r="M1459" s="26">
        <v>70.900000000000006</v>
      </c>
      <c r="N1459" s="26">
        <v>70.900000000000006</v>
      </c>
      <c r="O1459" s="26">
        <f>H1459-L1459</f>
        <v>-70.900000000000006</v>
      </c>
      <c r="P1459" s="26" t="e">
        <f>#REF!-M1459</f>
        <v>#REF!</v>
      </c>
      <c r="Q1459" s="26" t="e">
        <f>#REF!-N1459</f>
        <v>#REF!</v>
      </c>
      <c r="R1459" s="17" t="str">
        <f t="shared" si="185"/>
        <v>82 1 00 76360240</v>
      </c>
    </row>
    <row r="1460" spans="1:18" s="50" customFormat="1" ht="15.75">
      <c r="A1460" s="49"/>
      <c r="B1460" s="125" t="s">
        <v>30</v>
      </c>
      <c r="C1460" s="131" t="s">
        <v>795</v>
      </c>
      <c r="D1460" s="131" t="s">
        <v>11</v>
      </c>
      <c r="E1460" s="131" t="s">
        <v>73</v>
      </c>
      <c r="F1460" s="131" t="s">
        <v>803</v>
      </c>
      <c r="G1460" s="131" t="s">
        <v>31</v>
      </c>
      <c r="H1460" s="126"/>
      <c r="I1460" s="178" t="str">
        <f t="shared" si="183"/>
        <v>619010482 1 00 76360244</v>
      </c>
      <c r="L1460" s="26"/>
      <c r="M1460" s="26"/>
      <c r="N1460" s="26"/>
      <c r="O1460" s="26"/>
      <c r="P1460" s="26"/>
      <c r="Q1460" s="26"/>
      <c r="R1460" s="17"/>
    </row>
    <row r="1461" spans="1:18" s="16" customFormat="1" ht="15.75">
      <c r="A1461" s="14"/>
      <c r="B1461" s="157" t="s">
        <v>50</v>
      </c>
      <c r="C1461" s="122" t="s">
        <v>795</v>
      </c>
      <c r="D1461" s="123" t="s">
        <v>11</v>
      </c>
      <c r="E1461" s="123" t="s">
        <v>51</v>
      </c>
      <c r="F1461" s="123" t="s">
        <v>8</v>
      </c>
      <c r="G1461" s="123" t="s">
        <v>9</v>
      </c>
      <c r="H1461" s="124">
        <f>H1462+H1471</f>
        <v>0</v>
      </c>
      <c r="I1461" s="178" t="str">
        <f t="shared" si="183"/>
        <v>619011300 0 00 00000000</v>
      </c>
      <c r="L1461" s="19">
        <v>1330.76</v>
      </c>
      <c r="M1461" s="19">
        <v>576.79999999999995</v>
      </c>
      <c r="N1461" s="19">
        <v>576.79999999999995</v>
      </c>
      <c r="O1461" s="19">
        <f t="shared" ref="O1461:O1466" si="187">H1461-L1461</f>
        <v>-1330.76</v>
      </c>
      <c r="P1461" s="19" t="e">
        <f>#REF!-M1461</f>
        <v>#REF!</v>
      </c>
      <c r="Q1461" s="19" t="e">
        <f>#REF!-N1461</f>
        <v>#REF!</v>
      </c>
      <c r="R1461" s="17" t="str">
        <f t="shared" si="185"/>
        <v>00 0 00 00000000</v>
      </c>
    </row>
    <row r="1462" spans="1:18" s="16" customFormat="1" ht="63">
      <c r="A1462" s="14"/>
      <c r="B1462" s="132" t="s">
        <v>257</v>
      </c>
      <c r="C1462" s="108" t="s">
        <v>795</v>
      </c>
      <c r="D1462" s="108" t="s">
        <v>11</v>
      </c>
      <c r="E1462" s="108" t="s">
        <v>51</v>
      </c>
      <c r="F1462" s="108" t="s">
        <v>258</v>
      </c>
      <c r="G1462" s="108" t="s">
        <v>9</v>
      </c>
      <c r="H1462" s="126">
        <f>H1463</f>
        <v>0</v>
      </c>
      <c r="I1462" s="178" t="str">
        <f t="shared" si="183"/>
        <v>619011311 0 00 00000000</v>
      </c>
      <c r="L1462" s="20">
        <v>576.79999999999995</v>
      </c>
      <c r="M1462" s="20">
        <v>576.79999999999995</v>
      </c>
      <c r="N1462" s="20">
        <v>576.79999999999995</v>
      </c>
      <c r="O1462" s="20">
        <f t="shared" si="187"/>
        <v>-576.79999999999995</v>
      </c>
      <c r="P1462" s="20" t="e">
        <f>#REF!-M1462</f>
        <v>#REF!</v>
      </c>
      <c r="Q1462" s="20" t="e">
        <f>#REF!-N1462</f>
        <v>#REF!</v>
      </c>
      <c r="R1462" s="17" t="str">
        <f t="shared" si="185"/>
        <v>11 0 00 00000000</v>
      </c>
    </row>
    <row r="1463" spans="1:18" s="16" customFormat="1" ht="63">
      <c r="A1463" s="14"/>
      <c r="B1463" s="132" t="s">
        <v>259</v>
      </c>
      <c r="C1463" s="108" t="s">
        <v>795</v>
      </c>
      <c r="D1463" s="108" t="s">
        <v>11</v>
      </c>
      <c r="E1463" s="108" t="s">
        <v>51</v>
      </c>
      <c r="F1463" s="108" t="s">
        <v>260</v>
      </c>
      <c r="G1463" s="108" t="s">
        <v>9</v>
      </c>
      <c r="H1463" s="126">
        <f>H1464</f>
        <v>0</v>
      </c>
      <c r="I1463" s="178" t="str">
        <f t="shared" si="183"/>
        <v>619011311 Б 00 00000000</v>
      </c>
      <c r="L1463" s="20">
        <v>576.79999999999995</v>
      </c>
      <c r="M1463" s="20">
        <v>576.79999999999995</v>
      </c>
      <c r="N1463" s="20">
        <v>576.79999999999995</v>
      </c>
      <c r="O1463" s="20">
        <f t="shared" si="187"/>
        <v>-576.79999999999995</v>
      </c>
      <c r="P1463" s="20" t="e">
        <f>#REF!-M1463</f>
        <v>#REF!</v>
      </c>
      <c r="Q1463" s="20" t="e">
        <f>#REF!-N1463</f>
        <v>#REF!</v>
      </c>
      <c r="R1463" s="17" t="str">
        <f t="shared" si="185"/>
        <v>11 Б 00 00000000</v>
      </c>
    </row>
    <row r="1464" spans="1:18" s="16" customFormat="1" ht="47.25">
      <c r="A1464" s="14"/>
      <c r="B1464" s="155" t="s">
        <v>261</v>
      </c>
      <c r="C1464" s="108" t="s">
        <v>795</v>
      </c>
      <c r="D1464" s="108" t="s">
        <v>11</v>
      </c>
      <c r="E1464" s="108" t="s">
        <v>51</v>
      </c>
      <c r="F1464" s="108" t="s">
        <v>262</v>
      </c>
      <c r="G1464" s="108" t="s">
        <v>9</v>
      </c>
      <c r="H1464" s="126">
        <f>H1465+H1468</f>
        <v>0</v>
      </c>
      <c r="I1464" s="178" t="str">
        <f t="shared" si="183"/>
        <v>619011311 Б 01 00000000</v>
      </c>
      <c r="L1464" s="20">
        <v>576.79999999999995</v>
      </c>
      <c r="M1464" s="20">
        <v>576.79999999999995</v>
      </c>
      <c r="N1464" s="20">
        <v>576.79999999999995</v>
      </c>
      <c r="O1464" s="20">
        <f t="shared" si="187"/>
        <v>-576.79999999999995</v>
      </c>
      <c r="P1464" s="20" t="e">
        <f>#REF!-M1464</f>
        <v>#REF!</v>
      </c>
      <c r="Q1464" s="20" t="e">
        <f>#REF!-N1464</f>
        <v>#REF!</v>
      </c>
      <c r="R1464" s="17" t="str">
        <f t="shared" si="185"/>
        <v>11 Б 01 00000000</v>
      </c>
    </row>
    <row r="1465" spans="1:18" s="16" customFormat="1" ht="31.5">
      <c r="A1465" s="14"/>
      <c r="B1465" s="147" t="s">
        <v>756</v>
      </c>
      <c r="C1465" s="108" t="s">
        <v>795</v>
      </c>
      <c r="D1465" s="108" t="s">
        <v>11</v>
      </c>
      <c r="E1465" s="108" t="s">
        <v>51</v>
      </c>
      <c r="F1465" s="108" t="s">
        <v>757</v>
      </c>
      <c r="G1465" s="108" t="s">
        <v>9</v>
      </c>
      <c r="H1465" s="126">
        <f>H1466</f>
        <v>0</v>
      </c>
      <c r="I1465" s="178" t="str">
        <f t="shared" si="183"/>
        <v>619011311 Б 01 20840000</v>
      </c>
      <c r="L1465" s="20">
        <v>476.64</v>
      </c>
      <c r="M1465" s="20">
        <v>476.64</v>
      </c>
      <c r="N1465" s="20">
        <v>476.64</v>
      </c>
      <c r="O1465" s="20">
        <f t="shared" si="187"/>
        <v>-476.64</v>
      </c>
      <c r="P1465" s="20" t="e">
        <f>#REF!-M1465</f>
        <v>#REF!</v>
      </c>
      <c r="Q1465" s="20" t="e">
        <f>#REF!-N1465</f>
        <v>#REF!</v>
      </c>
      <c r="R1465" s="17" t="str">
        <f t="shared" si="185"/>
        <v>11 Б 01 20840000</v>
      </c>
    </row>
    <row r="1466" spans="1:18" s="16" customFormat="1" ht="31.5">
      <c r="A1466" s="14"/>
      <c r="B1466" s="125" t="s">
        <v>28</v>
      </c>
      <c r="C1466" s="108" t="s">
        <v>795</v>
      </c>
      <c r="D1466" s="108" t="s">
        <v>11</v>
      </c>
      <c r="E1466" s="108" t="s">
        <v>51</v>
      </c>
      <c r="F1466" s="108" t="s">
        <v>757</v>
      </c>
      <c r="G1466" s="108" t="s">
        <v>29</v>
      </c>
      <c r="H1466" s="126">
        <f>H1467</f>
        <v>0</v>
      </c>
      <c r="I1466" s="178" t="str">
        <f t="shared" si="183"/>
        <v>619011311 Б 01 20840240</v>
      </c>
      <c r="L1466" s="26">
        <v>476.64</v>
      </c>
      <c r="M1466" s="26">
        <v>476.64</v>
      </c>
      <c r="N1466" s="26">
        <v>476.64</v>
      </c>
      <c r="O1466" s="26">
        <f t="shared" si="187"/>
        <v>-476.64</v>
      </c>
      <c r="P1466" s="26" t="e">
        <f>#REF!-M1466</f>
        <v>#REF!</v>
      </c>
      <c r="Q1466" s="26" t="e">
        <f>#REF!-N1466</f>
        <v>#REF!</v>
      </c>
      <c r="R1466" s="17" t="str">
        <f t="shared" si="185"/>
        <v>11 Б 01 20840240</v>
      </c>
    </row>
    <row r="1467" spans="1:18" s="16" customFormat="1" ht="15.75">
      <c r="A1467" s="14"/>
      <c r="B1467" s="125" t="s">
        <v>30</v>
      </c>
      <c r="C1467" s="108" t="s">
        <v>795</v>
      </c>
      <c r="D1467" s="108" t="s">
        <v>11</v>
      </c>
      <c r="E1467" s="108" t="s">
        <v>51</v>
      </c>
      <c r="F1467" s="108" t="s">
        <v>757</v>
      </c>
      <c r="G1467" s="108" t="s">
        <v>31</v>
      </c>
      <c r="H1467" s="126"/>
      <c r="I1467" s="178" t="str">
        <f t="shared" si="183"/>
        <v>619011311 Б 01 20840244</v>
      </c>
      <c r="L1467" s="26"/>
      <c r="M1467" s="26"/>
      <c r="N1467" s="26"/>
      <c r="O1467" s="26"/>
      <c r="P1467" s="26"/>
      <c r="Q1467" s="26"/>
      <c r="R1467" s="17"/>
    </row>
    <row r="1468" spans="1:18" s="16" customFormat="1" ht="31.5">
      <c r="A1468" s="14"/>
      <c r="B1468" s="125" t="s">
        <v>267</v>
      </c>
      <c r="C1468" s="108" t="s">
        <v>795</v>
      </c>
      <c r="D1468" s="131" t="s">
        <v>11</v>
      </c>
      <c r="E1468" s="131" t="s">
        <v>51</v>
      </c>
      <c r="F1468" s="14" t="s">
        <v>268</v>
      </c>
      <c r="G1468" s="108" t="s">
        <v>9</v>
      </c>
      <c r="H1468" s="126">
        <f>H1469</f>
        <v>0</v>
      </c>
      <c r="I1468" s="178" t="str">
        <f t="shared" si="183"/>
        <v>619011311 Б 01 21120000</v>
      </c>
      <c r="L1468" s="20">
        <v>100.16</v>
      </c>
      <c r="M1468" s="20">
        <v>100.16</v>
      </c>
      <c r="N1468" s="20">
        <v>100.16</v>
      </c>
      <c r="O1468" s="20">
        <f>H1468-L1468</f>
        <v>-100.16</v>
      </c>
      <c r="P1468" s="20" t="e">
        <f>#REF!-M1468</f>
        <v>#REF!</v>
      </c>
      <c r="Q1468" s="20" t="e">
        <f>#REF!-N1468</f>
        <v>#REF!</v>
      </c>
      <c r="R1468" s="17" t="str">
        <f t="shared" si="185"/>
        <v>11 Б 01 21120000</v>
      </c>
    </row>
    <row r="1469" spans="1:18" s="16" customFormat="1" ht="31.5">
      <c r="A1469" s="14"/>
      <c r="B1469" s="125" t="s">
        <v>28</v>
      </c>
      <c r="C1469" s="108" t="s">
        <v>795</v>
      </c>
      <c r="D1469" s="131" t="s">
        <v>11</v>
      </c>
      <c r="E1469" s="131" t="s">
        <v>51</v>
      </c>
      <c r="F1469" s="14" t="s">
        <v>268</v>
      </c>
      <c r="G1469" s="108" t="s">
        <v>29</v>
      </c>
      <c r="H1469" s="126">
        <f>H1470</f>
        <v>0</v>
      </c>
      <c r="I1469" s="178" t="str">
        <f t="shared" si="183"/>
        <v>619011311 Б 01 21120240</v>
      </c>
      <c r="L1469" s="20">
        <v>100.16</v>
      </c>
      <c r="M1469" s="20">
        <v>100.16</v>
      </c>
      <c r="N1469" s="20">
        <v>100.16</v>
      </c>
      <c r="O1469" s="20">
        <f>H1469-L1469</f>
        <v>-100.16</v>
      </c>
      <c r="P1469" s="20" t="e">
        <f>#REF!-M1469</f>
        <v>#REF!</v>
      </c>
      <c r="Q1469" s="20" t="e">
        <f>#REF!-N1469</f>
        <v>#REF!</v>
      </c>
      <c r="R1469" s="17" t="str">
        <f t="shared" si="185"/>
        <v>11 Б 01 21120240</v>
      </c>
    </row>
    <row r="1470" spans="1:18" s="16" customFormat="1" ht="15.75">
      <c r="A1470" s="14"/>
      <c r="B1470" s="125" t="s">
        <v>30</v>
      </c>
      <c r="C1470" s="108" t="s">
        <v>795</v>
      </c>
      <c r="D1470" s="131" t="s">
        <v>11</v>
      </c>
      <c r="E1470" s="131" t="s">
        <v>51</v>
      </c>
      <c r="F1470" s="14" t="s">
        <v>268</v>
      </c>
      <c r="G1470" s="108" t="s">
        <v>31</v>
      </c>
      <c r="H1470" s="126"/>
      <c r="I1470" s="178" t="str">
        <f t="shared" si="183"/>
        <v>619011311 Б 01 21120244</v>
      </c>
      <c r="L1470" s="20"/>
      <c r="M1470" s="20"/>
      <c r="N1470" s="20"/>
      <c r="O1470" s="20"/>
      <c r="P1470" s="20"/>
      <c r="Q1470" s="20"/>
      <c r="R1470" s="17"/>
    </row>
    <row r="1471" spans="1:18" s="16" customFormat="1" ht="63">
      <c r="A1471" s="14"/>
      <c r="B1471" s="127" t="s">
        <v>87</v>
      </c>
      <c r="C1471" s="108" t="s">
        <v>795</v>
      </c>
      <c r="D1471" s="108" t="s">
        <v>11</v>
      </c>
      <c r="E1471" s="108" t="s">
        <v>51</v>
      </c>
      <c r="F1471" s="14" t="s">
        <v>88</v>
      </c>
      <c r="G1471" s="108" t="s">
        <v>9</v>
      </c>
      <c r="H1471" s="126">
        <f>H1472</f>
        <v>0</v>
      </c>
      <c r="I1471" s="178" t="str">
        <f t="shared" si="183"/>
        <v>619011398 0 00 00000000</v>
      </c>
      <c r="L1471" s="20">
        <v>753.96</v>
      </c>
      <c r="M1471" s="20">
        <v>0</v>
      </c>
      <c r="N1471" s="20">
        <v>0</v>
      </c>
      <c r="O1471" s="20">
        <f>H1471-L1471</f>
        <v>-753.96</v>
      </c>
      <c r="P1471" s="20" t="e">
        <f>#REF!-M1471</f>
        <v>#REF!</v>
      </c>
      <c r="Q1471" s="20" t="e">
        <f>#REF!-N1471</f>
        <v>#REF!</v>
      </c>
      <c r="R1471" s="17" t="str">
        <f t="shared" si="185"/>
        <v>98 0 00 00000000</v>
      </c>
    </row>
    <row r="1472" spans="1:18" s="16" customFormat="1" ht="15.75">
      <c r="A1472" s="14"/>
      <c r="B1472" s="127" t="s">
        <v>89</v>
      </c>
      <c r="C1472" s="108" t="s">
        <v>795</v>
      </c>
      <c r="D1472" s="108" t="s">
        <v>11</v>
      </c>
      <c r="E1472" s="108" t="s">
        <v>51</v>
      </c>
      <c r="F1472" s="14" t="s">
        <v>90</v>
      </c>
      <c r="G1472" s="108" t="s">
        <v>9</v>
      </c>
      <c r="H1472" s="126">
        <f>H1473+H1476</f>
        <v>0</v>
      </c>
      <c r="I1472" s="178" t="str">
        <f t="shared" si="183"/>
        <v>619011398 1 00 00000000</v>
      </c>
      <c r="L1472" s="20">
        <v>753.96</v>
      </c>
      <c r="M1472" s="20">
        <v>0</v>
      </c>
      <c r="N1472" s="20">
        <v>0</v>
      </c>
      <c r="O1472" s="20">
        <f>H1472-L1472</f>
        <v>-753.96</v>
      </c>
      <c r="P1472" s="20" t="e">
        <f>#REF!-M1472</f>
        <v>#REF!</v>
      </c>
      <c r="Q1472" s="20" t="e">
        <f>#REF!-N1472</f>
        <v>#REF!</v>
      </c>
      <c r="R1472" s="17" t="str">
        <f t="shared" si="185"/>
        <v>98 1 00 00000000</v>
      </c>
    </row>
    <row r="1473" spans="1:18" s="16" customFormat="1" ht="78.75">
      <c r="A1473" s="14"/>
      <c r="B1473" s="127" t="s">
        <v>758</v>
      </c>
      <c r="C1473" s="108" t="s">
        <v>795</v>
      </c>
      <c r="D1473" s="108" t="s">
        <v>11</v>
      </c>
      <c r="E1473" s="108" t="s">
        <v>51</v>
      </c>
      <c r="F1473" s="14" t="s">
        <v>759</v>
      </c>
      <c r="G1473" s="108" t="s">
        <v>9</v>
      </c>
      <c r="H1473" s="126">
        <f>H1474</f>
        <v>0</v>
      </c>
      <c r="I1473" s="178" t="str">
        <f t="shared" si="183"/>
        <v>619011398 1 00 21020000</v>
      </c>
      <c r="L1473" s="20">
        <v>753.96</v>
      </c>
      <c r="M1473" s="20">
        <v>0</v>
      </c>
      <c r="N1473" s="20">
        <v>0</v>
      </c>
      <c r="O1473" s="20">
        <f>H1473-L1473</f>
        <v>-753.96</v>
      </c>
      <c r="P1473" s="20" t="e">
        <f>#REF!-M1473</f>
        <v>#REF!</v>
      </c>
      <c r="Q1473" s="20" t="e">
        <f>#REF!-N1473</f>
        <v>#REF!</v>
      </c>
      <c r="R1473" s="17" t="str">
        <f t="shared" si="185"/>
        <v>98 1 00 21020000</v>
      </c>
    </row>
    <row r="1474" spans="1:18" s="16" customFormat="1" ht="31.5">
      <c r="A1474" s="14"/>
      <c r="B1474" s="125" t="s">
        <v>28</v>
      </c>
      <c r="C1474" s="108" t="s">
        <v>795</v>
      </c>
      <c r="D1474" s="108" t="s">
        <v>11</v>
      </c>
      <c r="E1474" s="108" t="s">
        <v>51</v>
      </c>
      <c r="F1474" s="14" t="s">
        <v>759</v>
      </c>
      <c r="G1474" s="131" t="s">
        <v>29</v>
      </c>
      <c r="H1474" s="126">
        <f>H1475</f>
        <v>0</v>
      </c>
      <c r="I1474" s="178" t="str">
        <f t="shared" si="183"/>
        <v>619011398 1 00 21020240</v>
      </c>
      <c r="L1474" s="20">
        <v>753.96</v>
      </c>
      <c r="M1474" s="20">
        <v>0</v>
      </c>
      <c r="N1474" s="20">
        <v>0</v>
      </c>
      <c r="O1474" s="20">
        <f>H1474-L1474</f>
        <v>-753.96</v>
      </c>
      <c r="P1474" s="20" t="e">
        <f>#REF!-M1474</f>
        <v>#REF!</v>
      </c>
      <c r="Q1474" s="20" t="e">
        <f>#REF!-N1474</f>
        <v>#REF!</v>
      </c>
      <c r="R1474" s="17" t="str">
        <f t="shared" si="185"/>
        <v>98 1 00 21020240</v>
      </c>
    </row>
    <row r="1475" spans="1:18" s="16" customFormat="1" ht="15.75">
      <c r="A1475" s="14"/>
      <c r="B1475" s="125" t="s">
        <v>30</v>
      </c>
      <c r="C1475" s="108" t="s">
        <v>795</v>
      </c>
      <c r="D1475" s="108" t="s">
        <v>11</v>
      </c>
      <c r="E1475" s="108" t="s">
        <v>51</v>
      </c>
      <c r="F1475" s="14" t="s">
        <v>759</v>
      </c>
      <c r="G1475" s="131" t="s">
        <v>31</v>
      </c>
      <c r="H1475" s="126"/>
      <c r="I1475" s="178" t="str">
        <f t="shared" si="183"/>
        <v>619011398 1 00 21020244</v>
      </c>
      <c r="L1475" s="20"/>
      <c r="M1475" s="20"/>
      <c r="N1475" s="20"/>
      <c r="O1475" s="20"/>
      <c r="P1475" s="20"/>
      <c r="Q1475" s="20"/>
      <c r="R1475" s="17"/>
    </row>
    <row r="1476" spans="1:18" s="16" customFormat="1" ht="31.5">
      <c r="A1476" s="14"/>
      <c r="B1476" s="138" t="s">
        <v>282</v>
      </c>
      <c r="C1476" s="108" t="s">
        <v>795</v>
      </c>
      <c r="D1476" s="108" t="s">
        <v>11</v>
      </c>
      <c r="E1476" s="108" t="s">
        <v>51</v>
      </c>
      <c r="F1476" s="108" t="s">
        <v>283</v>
      </c>
      <c r="G1476" s="108" t="s">
        <v>9</v>
      </c>
      <c r="H1476" s="126">
        <f>H1477</f>
        <v>0</v>
      </c>
      <c r="I1476" s="178" t="str">
        <f t="shared" si="183"/>
        <v>619011398 1 00 21350000</v>
      </c>
      <c r="L1476" s="20"/>
      <c r="M1476" s="20"/>
      <c r="N1476" s="20"/>
      <c r="O1476" s="20">
        <f>H1476-L1476</f>
        <v>0</v>
      </c>
      <c r="P1476" s="20" t="e">
        <f>#REF!-M1476</f>
        <v>#REF!</v>
      </c>
      <c r="Q1476" s="20" t="e">
        <f>#REF!-N1476</f>
        <v>#REF!</v>
      </c>
      <c r="R1476" s="17" t="str">
        <f t="shared" si="185"/>
        <v>98 1 00 21350000</v>
      </c>
    </row>
    <row r="1477" spans="1:18" s="16" customFormat="1" ht="31.5">
      <c r="A1477" s="14"/>
      <c r="B1477" s="125" t="s">
        <v>28</v>
      </c>
      <c r="C1477" s="108" t="s">
        <v>795</v>
      </c>
      <c r="D1477" s="108" t="s">
        <v>11</v>
      </c>
      <c r="E1477" s="108" t="s">
        <v>51</v>
      </c>
      <c r="F1477" s="108" t="s">
        <v>283</v>
      </c>
      <c r="G1477" s="131" t="s">
        <v>29</v>
      </c>
      <c r="H1477" s="126">
        <f>H1479+H1478</f>
        <v>0</v>
      </c>
      <c r="I1477" s="178" t="str">
        <f t="shared" si="183"/>
        <v>619011398 1 00 21350240</v>
      </c>
      <c r="L1477" s="20"/>
      <c r="M1477" s="20"/>
      <c r="N1477" s="20"/>
      <c r="O1477" s="20">
        <f>H1477-L1477</f>
        <v>0</v>
      </c>
      <c r="P1477" s="20" t="e">
        <f>#REF!-M1477</f>
        <v>#REF!</v>
      </c>
      <c r="Q1477" s="20" t="e">
        <f>#REF!-N1477</f>
        <v>#REF!</v>
      </c>
      <c r="R1477" s="17" t="str">
        <f>CONCATENATE(F1477,G1477)</f>
        <v>98 1 00 21350240</v>
      </c>
    </row>
    <row r="1478" spans="1:18" s="16" customFormat="1" ht="47.25">
      <c r="A1478" s="14"/>
      <c r="B1478" s="127" t="s">
        <v>772</v>
      </c>
      <c r="C1478" s="108" t="s">
        <v>795</v>
      </c>
      <c r="D1478" s="108" t="s">
        <v>11</v>
      </c>
      <c r="E1478" s="108" t="s">
        <v>51</v>
      </c>
      <c r="F1478" s="108" t="s">
        <v>283</v>
      </c>
      <c r="G1478" s="131" t="s">
        <v>773</v>
      </c>
      <c r="H1478" s="126"/>
      <c r="I1478" s="178" t="str">
        <f t="shared" si="183"/>
        <v>619011398 1 00 21350243</v>
      </c>
      <c r="L1478" s="20"/>
      <c r="M1478" s="20"/>
      <c r="N1478" s="20"/>
      <c r="O1478" s="20"/>
      <c r="P1478" s="20"/>
      <c r="Q1478" s="20"/>
      <c r="R1478" s="17" t="str">
        <f>CONCATENATE(F1478,G1478)</f>
        <v>98 1 00 21350243</v>
      </c>
    </row>
    <row r="1479" spans="1:18" s="16" customFormat="1" ht="15.75">
      <c r="A1479" s="14"/>
      <c r="B1479" s="125" t="s">
        <v>30</v>
      </c>
      <c r="C1479" s="108" t="s">
        <v>795</v>
      </c>
      <c r="D1479" s="108" t="s">
        <v>11</v>
      </c>
      <c r="E1479" s="108" t="s">
        <v>51</v>
      </c>
      <c r="F1479" s="108" t="s">
        <v>283</v>
      </c>
      <c r="G1479" s="131" t="s">
        <v>31</v>
      </c>
      <c r="H1479" s="126"/>
      <c r="I1479" s="178" t="str">
        <f t="shared" si="183"/>
        <v>619011398 1 00 21350244</v>
      </c>
      <c r="L1479" s="20"/>
      <c r="M1479" s="20"/>
      <c r="N1479" s="20"/>
      <c r="O1479" s="20"/>
      <c r="P1479" s="20"/>
      <c r="Q1479" s="20"/>
      <c r="R1479" s="17"/>
    </row>
    <row r="1480" spans="1:18" s="16" customFormat="1" ht="15.75">
      <c r="A1480" s="14"/>
      <c r="B1480" s="117" t="s">
        <v>195</v>
      </c>
      <c r="C1480" s="118" t="s">
        <v>795</v>
      </c>
      <c r="D1480" s="119" t="s">
        <v>73</v>
      </c>
      <c r="E1480" s="119" t="s">
        <v>7</v>
      </c>
      <c r="F1480" s="119" t="s">
        <v>8</v>
      </c>
      <c r="G1480" s="119" t="s">
        <v>9</v>
      </c>
      <c r="H1480" s="120">
        <f t="shared" ref="H1480:H1482" si="188">H1481</f>
        <v>0</v>
      </c>
      <c r="I1480" s="178" t="str">
        <f t="shared" si="183"/>
        <v>619040000 0 00 00000000</v>
      </c>
      <c r="L1480" s="18">
        <v>118296.83</v>
      </c>
      <c r="M1480" s="18">
        <v>129176.97</v>
      </c>
      <c r="N1480" s="18">
        <v>141145.11000000002</v>
      </c>
      <c r="O1480" s="18">
        <f t="shared" ref="O1480:O1486" si="189">H1480-L1480</f>
        <v>-118296.83</v>
      </c>
      <c r="P1480" s="18" t="e">
        <f>#REF!-M1480</f>
        <v>#REF!</v>
      </c>
      <c r="Q1480" s="18" t="e">
        <f>#REF!-N1480</f>
        <v>#REF!</v>
      </c>
      <c r="R1480" s="17" t="str">
        <f t="shared" si="185"/>
        <v>00 0 00 00000000</v>
      </c>
    </row>
    <row r="1481" spans="1:18" s="16" customFormat="1" ht="15.75">
      <c r="A1481" s="14"/>
      <c r="B1481" s="121" t="s">
        <v>760</v>
      </c>
      <c r="C1481" s="122" t="s">
        <v>795</v>
      </c>
      <c r="D1481" s="123" t="s">
        <v>73</v>
      </c>
      <c r="E1481" s="123" t="s">
        <v>471</v>
      </c>
      <c r="F1481" s="123" t="s">
        <v>8</v>
      </c>
      <c r="G1481" s="123" t="s">
        <v>9</v>
      </c>
      <c r="H1481" s="124">
        <f>H1482+H1494</f>
        <v>0</v>
      </c>
      <c r="I1481" s="178" t="str">
        <f t="shared" si="183"/>
        <v>619040900 0 00 00000000</v>
      </c>
      <c r="L1481" s="19">
        <v>118296.83</v>
      </c>
      <c r="M1481" s="19">
        <v>129176.97</v>
      </c>
      <c r="N1481" s="19">
        <v>141145.11000000002</v>
      </c>
      <c r="O1481" s="19">
        <f t="shared" si="189"/>
        <v>-118296.83</v>
      </c>
      <c r="P1481" s="19" t="e">
        <f>#REF!-M1481</f>
        <v>#REF!</v>
      </c>
      <c r="Q1481" s="19" t="e">
        <f>#REF!-N1481</f>
        <v>#REF!</v>
      </c>
      <c r="R1481" s="17" t="str">
        <f t="shared" si="185"/>
        <v>00 0 00 00000000</v>
      </c>
    </row>
    <row r="1482" spans="1:18" s="16" customFormat="1" ht="63">
      <c r="A1482" s="14"/>
      <c r="B1482" s="127" t="s">
        <v>293</v>
      </c>
      <c r="C1482" s="131" t="s">
        <v>795</v>
      </c>
      <c r="D1482" s="130" t="s">
        <v>73</v>
      </c>
      <c r="E1482" s="130" t="s">
        <v>471</v>
      </c>
      <c r="F1482" s="130" t="s">
        <v>294</v>
      </c>
      <c r="G1482" s="131" t="s">
        <v>9</v>
      </c>
      <c r="H1482" s="105">
        <f t="shared" si="188"/>
        <v>0</v>
      </c>
      <c r="I1482" s="178" t="str">
        <f t="shared" si="183"/>
        <v>619040904 0 00 00000000</v>
      </c>
      <c r="L1482" s="51">
        <v>118296.83</v>
      </c>
      <c r="M1482" s="51">
        <v>129176.97</v>
      </c>
      <c r="N1482" s="51">
        <v>141145.11000000002</v>
      </c>
      <c r="O1482" s="51">
        <f t="shared" si="189"/>
        <v>-118296.83</v>
      </c>
      <c r="P1482" s="51" t="e">
        <f>#REF!-M1482</f>
        <v>#REF!</v>
      </c>
      <c r="Q1482" s="51" t="e">
        <f>#REF!-N1482</f>
        <v>#REF!</v>
      </c>
      <c r="R1482" s="17" t="str">
        <f t="shared" si="185"/>
        <v>04 0 00 00000000</v>
      </c>
    </row>
    <row r="1483" spans="1:18" s="16" customFormat="1" ht="63">
      <c r="A1483" s="14"/>
      <c r="B1483" s="140" t="s">
        <v>295</v>
      </c>
      <c r="C1483" s="131" t="s">
        <v>795</v>
      </c>
      <c r="D1483" s="130" t="s">
        <v>73</v>
      </c>
      <c r="E1483" s="130" t="s">
        <v>471</v>
      </c>
      <c r="F1483" s="130" t="s">
        <v>296</v>
      </c>
      <c r="G1483" s="130" t="s">
        <v>9</v>
      </c>
      <c r="H1483" s="105">
        <f>H1484</f>
        <v>0</v>
      </c>
      <c r="I1483" s="178" t="str">
        <f t="shared" si="183"/>
        <v>619040904 2 00 00000000</v>
      </c>
      <c r="L1483" s="26">
        <v>118296.83</v>
      </c>
      <c r="M1483" s="26">
        <v>129176.97</v>
      </c>
      <c r="N1483" s="26">
        <v>141145.11000000002</v>
      </c>
      <c r="O1483" s="26">
        <f t="shared" si="189"/>
        <v>-118296.83</v>
      </c>
      <c r="P1483" s="26" t="e">
        <f>#REF!-M1483</f>
        <v>#REF!</v>
      </c>
      <c r="Q1483" s="26" t="e">
        <f>#REF!-N1483</f>
        <v>#REF!</v>
      </c>
      <c r="R1483" s="17" t="str">
        <f t="shared" si="185"/>
        <v>04 2 00 00000000</v>
      </c>
    </row>
    <row r="1484" spans="1:18" s="16" customFormat="1" ht="63">
      <c r="A1484" s="14"/>
      <c r="B1484" s="129" t="s">
        <v>297</v>
      </c>
      <c r="C1484" s="131" t="s">
        <v>795</v>
      </c>
      <c r="D1484" s="131" t="s">
        <v>73</v>
      </c>
      <c r="E1484" s="131" t="s">
        <v>471</v>
      </c>
      <c r="F1484" s="131" t="s">
        <v>298</v>
      </c>
      <c r="G1484" s="131" t="s">
        <v>9</v>
      </c>
      <c r="H1484" s="105">
        <f>H1491+H1485+H1488</f>
        <v>0</v>
      </c>
      <c r="I1484" s="178" t="str">
        <f t="shared" si="183"/>
        <v>619040904 2 02 00000000</v>
      </c>
      <c r="L1484" s="26">
        <v>118296.83</v>
      </c>
      <c r="M1484" s="26">
        <v>129176.97</v>
      </c>
      <c r="N1484" s="26">
        <v>141145.11000000002</v>
      </c>
      <c r="O1484" s="26">
        <f t="shared" si="189"/>
        <v>-118296.83</v>
      </c>
      <c r="P1484" s="26" t="e">
        <f>#REF!-M1484</f>
        <v>#REF!</v>
      </c>
      <c r="Q1484" s="26" t="e">
        <f>#REF!-N1484</f>
        <v>#REF!</v>
      </c>
      <c r="R1484" s="17" t="str">
        <f t="shared" si="185"/>
        <v>04 2 02 00000000</v>
      </c>
    </row>
    <row r="1485" spans="1:18" s="16" customFormat="1" ht="47.25">
      <c r="A1485" s="14"/>
      <c r="B1485" s="143" t="s">
        <v>761</v>
      </c>
      <c r="C1485" s="131" t="s">
        <v>795</v>
      </c>
      <c r="D1485" s="131" t="s">
        <v>73</v>
      </c>
      <c r="E1485" s="131" t="s">
        <v>471</v>
      </c>
      <c r="F1485" s="131" t="s">
        <v>762</v>
      </c>
      <c r="G1485" s="131" t="s">
        <v>9</v>
      </c>
      <c r="H1485" s="105">
        <f>H1486</f>
        <v>0</v>
      </c>
      <c r="I1485" s="178" t="str">
        <f t="shared" si="183"/>
        <v>619040904 2 02 20820000</v>
      </c>
      <c r="L1485" s="26">
        <v>10095.51</v>
      </c>
      <c r="M1485" s="26">
        <v>10095.51</v>
      </c>
      <c r="N1485" s="26">
        <v>10095.51</v>
      </c>
      <c r="O1485" s="26">
        <f t="shared" si="189"/>
        <v>-10095.51</v>
      </c>
      <c r="P1485" s="26" t="e">
        <f>#REF!-M1485</f>
        <v>#REF!</v>
      </c>
      <c r="Q1485" s="26" t="e">
        <f>#REF!-N1485</f>
        <v>#REF!</v>
      </c>
      <c r="R1485" s="17" t="str">
        <f t="shared" si="185"/>
        <v>04 2 02 20820000</v>
      </c>
    </row>
    <row r="1486" spans="1:18" s="47" customFormat="1" ht="31.5">
      <c r="A1486" s="46"/>
      <c r="B1486" s="125" t="s">
        <v>28</v>
      </c>
      <c r="C1486" s="131" t="s">
        <v>795</v>
      </c>
      <c r="D1486" s="131" t="s">
        <v>73</v>
      </c>
      <c r="E1486" s="131" t="s">
        <v>471</v>
      </c>
      <c r="F1486" s="131" t="s">
        <v>762</v>
      </c>
      <c r="G1486" s="131" t="s">
        <v>29</v>
      </c>
      <c r="H1486" s="126">
        <f>H1487</f>
        <v>0</v>
      </c>
      <c r="I1486" s="178" t="str">
        <f t="shared" si="183"/>
        <v>619040904 2 02 20820240</v>
      </c>
      <c r="L1486" s="26">
        <v>10095.51</v>
      </c>
      <c r="M1486" s="26">
        <v>10095.51</v>
      </c>
      <c r="N1486" s="26">
        <v>10095.51</v>
      </c>
      <c r="O1486" s="26">
        <f t="shared" si="189"/>
        <v>-10095.51</v>
      </c>
      <c r="P1486" s="26" t="e">
        <f>#REF!-M1486</f>
        <v>#REF!</v>
      </c>
      <c r="Q1486" s="26" t="e">
        <f>#REF!-N1486</f>
        <v>#REF!</v>
      </c>
      <c r="R1486" s="17" t="str">
        <f t="shared" si="185"/>
        <v>04 2 02 20820240</v>
      </c>
    </row>
    <row r="1487" spans="1:18" s="47" customFormat="1" ht="15.75">
      <c r="A1487" s="46"/>
      <c r="B1487" s="125" t="s">
        <v>30</v>
      </c>
      <c r="C1487" s="131" t="s">
        <v>795</v>
      </c>
      <c r="D1487" s="131" t="s">
        <v>73</v>
      </c>
      <c r="E1487" s="131" t="s">
        <v>471</v>
      </c>
      <c r="F1487" s="131" t="s">
        <v>762</v>
      </c>
      <c r="G1487" s="131" t="s">
        <v>31</v>
      </c>
      <c r="H1487" s="126"/>
      <c r="I1487" s="178" t="str">
        <f t="shared" si="183"/>
        <v>619040904 2 02 20820244</v>
      </c>
      <c r="L1487" s="26"/>
      <c r="M1487" s="26"/>
      <c r="N1487" s="26"/>
      <c r="O1487" s="26"/>
      <c r="P1487" s="26"/>
      <c r="Q1487" s="26"/>
      <c r="R1487" s="17"/>
    </row>
    <row r="1488" spans="1:18" s="47" customFormat="1" ht="126">
      <c r="A1488" s="46"/>
      <c r="B1488" s="125" t="s">
        <v>1061</v>
      </c>
      <c r="C1488" s="109" t="s">
        <v>795</v>
      </c>
      <c r="D1488" s="108" t="s">
        <v>73</v>
      </c>
      <c r="E1488" s="108" t="s">
        <v>471</v>
      </c>
      <c r="F1488" s="108" t="s">
        <v>1062</v>
      </c>
      <c r="G1488" s="108" t="s">
        <v>9</v>
      </c>
      <c r="H1488" s="126">
        <f>H1489</f>
        <v>0</v>
      </c>
      <c r="I1488" s="178" t="str">
        <f t="shared" si="183"/>
        <v>619040904 2 02 21030000</v>
      </c>
      <c r="L1488" s="26"/>
      <c r="M1488" s="26"/>
      <c r="N1488" s="26"/>
      <c r="O1488" s="26"/>
      <c r="P1488" s="26"/>
      <c r="Q1488" s="26"/>
      <c r="R1488" s="17"/>
    </row>
    <row r="1489" spans="1:18" s="47" customFormat="1" ht="31.5">
      <c r="A1489" s="46"/>
      <c r="B1489" s="125" t="s">
        <v>28</v>
      </c>
      <c r="C1489" s="109" t="s">
        <v>795</v>
      </c>
      <c r="D1489" s="108" t="s">
        <v>73</v>
      </c>
      <c r="E1489" s="108" t="s">
        <v>471</v>
      </c>
      <c r="F1489" s="108" t="s">
        <v>1062</v>
      </c>
      <c r="G1489" s="108" t="s">
        <v>29</v>
      </c>
      <c r="H1489" s="126">
        <f>H1490</f>
        <v>0</v>
      </c>
      <c r="I1489" s="178" t="str">
        <f t="shared" si="183"/>
        <v>619040904 2 02 21030240</v>
      </c>
      <c r="L1489" s="26"/>
      <c r="M1489" s="26"/>
      <c r="N1489" s="26"/>
      <c r="O1489" s="26"/>
      <c r="P1489" s="26"/>
      <c r="Q1489" s="26"/>
      <c r="R1489" s="17"/>
    </row>
    <row r="1490" spans="1:18" s="47" customFormat="1" ht="15.75">
      <c r="A1490" s="46"/>
      <c r="B1490" s="125" t="s">
        <v>30</v>
      </c>
      <c r="C1490" s="109" t="s">
        <v>795</v>
      </c>
      <c r="D1490" s="108" t="s">
        <v>73</v>
      </c>
      <c r="E1490" s="108" t="s">
        <v>471</v>
      </c>
      <c r="F1490" s="108" t="s">
        <v>1062</v>
      </c>
      <c r="G1490" s="108" t="s">
        <v>31</v>
      </c>
      <c r="H1490" s="126"/>
      <c r="I1490" s="178" t="str">
        <f t="shared" si="183"/>
        <v>619040904 2 02 21030244</v>
      </c>
      <c r="L1490" s="26"/>
      <c r="M1490" s="26"/>
      <c r="N1490" s="26"/>
      <c r="O1490" s="26"/>
      <c r="P1490" s="26"/>
      <c r="Q1490" s="26"/>
      <c r="R1490" s="17"/>
    </row>
    <row r="1491" spans="1:18" s="16" customFormat="1" ht="31.5">
      <c r="A1491" s="14"/>
      <c r="B1491" s="125" t="s">
        <v>763</v>
      </c>
      <c r="C1491" s="131" t="s">
        <v>795</v>
      </c>
      <c r="D1491" s="131" t="s">
        <v>73</v>
      </c>
      <c r="E1491" s="131" t="s">
        <v>471</v>
      </c>
      <c r="F1491" s="108" t="s">
        <v>764</v>
      </c>
      <c r="G1491" s="131" t="s">
        <v>9</v>
      </c>
      <c r="H1491" s="105">
        <f>H1492</f>
        <v>0</v>
      </c>
      <c r="I1491" s="178" t="str">
        <f t="shared" si="183"/>
        <v>619040904 2 02 21090000</v>
      </c>
      <c r="L1491" s="26">
        <v>108201.32</v>
      </c>
      <c r="M1491" s="26">
        <v>119081.46</v>
      </c>
      <c r="N1491" s="26">
        <v>131049.60000000001</v>
      </c>
      <c r="O1491" s="26">
        <f>H1491-L1491</f>
        <v>-108201.32</v>
      </c>
      <c r="P1491" s="26" t="e">
        <f>#REF!-M1491</f>
        <v>#REF!</v>
      </c>
      <c r="Q1491" s="26" t="e">
        <f>#REF!-N1491</f>
        <v>#REF!</v>
      </c>
      <c r="R1491" s="17" t="str">
        <f t="shared" si="185"/>
        <v>04 2 02 21090000</v>
      </c>
    </row>
    <row r="1492" spans="1:18" s="16" customFormat="1" ht="31.5">
      <c r="A1492" s="14"/>
      <c r="B1492" s="125" t="s">
        <v>28</v>
      </c>
      <c r="C1492" s="131" t="s">
        <v>795</v>
      </c>
      <c r="D1492" s="131" t="s">
        <v>73</v>
      </c>
      <c r="E1492" s="131" t="s">
        <v>471</v>
      </c>
      <c r="F1492" s="108" t="s">
        <v>764</v>
      </c>
      <c r="G1492" s="131" t="s">
        <v>29</v>
      </c>
      <c r="H1492" s="126">
        <f>H1493</f>
        <v>0</v>
      </c>
      <c r="I1492" s="178" t="str">
        <f t="shared" si="183"/>
        <v>619040904 2 02 21090240</v>
      </c>
      <c r="L1492" s="26">
        <v>108201.32</v>
      </c>
      <c r="M1492" s="26">
        <v>119081.46</v>
      </c>
      <c r="N1492" s="26">
        <v>131049.60000000001</v>
      </c>
      <c r="O1492" s="26">
        <f>H1492-L1492</f>
        <v>-108201.32</v>
      </c>
      <c r="P1492" s="26" t="e">
        <f>#REF!-M1492</f>
        <v>#REF!</v>
      </c>
      <c r="Q1492" s="26" t="e">
        <f>#REF!-N1492</f>
        <v>#REF!</v>
      </c>
      <c r="R1492" s="17" t="str">
        <f t="shared" si="185"/>
        <v>04 2 02 21090240</v>
      </c>
    </row>
    <row r="1493" spans="1:18" s="16" customFormat="1" ht="15.75">
      <c r="A1493" s="14"/>
      <c r="B1493" s="125" t="s">
        <v>30</v>
      </c>
      <c r="C1493" s="131" t="s">
        <v>795</v>
      </c>
      <c r="D1493" s="131" t="s">
        <v>73</v>
      </c>
      <c r="E1493" s="131" t="s">
        <v>471</v>
      </c>
      <c r="F1493" s="108" t="s">
        <v>764</v>
      </c>
      <c r="G1493" s="131" t="s">
        <v>31</v>
      </c>
      <c r="H1493" s="126"/>
      <c r="I1493" s="178" t="str">
        <f t="shared" ref="I1493:I1556" si="190">C1493&amp;D1493&amp;E1493&amp;F1493&amp;G1493</f>
        <v>619040904 2 02 21090244</v>
      </c>
      <c r="L1493" s="26"/>
      <c r="M1493" s="26"/>
      <c r="N1493" s="26"/>
      <c r="O1493" s="26"/>
      <c r="P1493" s="26"/>
      <c r="Q1493" s="26"/>
      <c r="R1493" s="17"/>
    </row>
    <row r="1494" spans="1:18" s="16" customFormat="1" ht="63">
      <c r="A1494" s="14"/>
      <c r="B1494" s="140" t="s">
        <v>87</v>
      </c>
      <c r="C1494" s="131" t="s">
        <v>795</v>
      </c>
      <c r="D1494" s="131" t="s">
        <v>73</v>
      </c>
      <c r="E1494" s="131" t="s">
        <v>471</v>
      </c>
      <c r="F1494" s="131" t="s">
        <v>88</v>
      </c>
      <c r="G1494" s="131" t="s">
        <v>9</v>
      </c>
      <c r="H1494" s="105">
        <f>H1495</f>
        <v>0</v>
      </c>
      <c r="I1494" s="178" t="str">
        <f t="shared" si="190"/>
        <v>619040998 0 00 00000000</v>
      </c>
      <c r="L1494" s="26"/>
      <c r="M1494" s="26"/>
      <c r="N1494" s="26"/>
      <c r="O1494" s="26"/>
      <c r="P1494" s="26"/>
      <c r="Q1494" s="26"/>
      <c r="R1494" s="17"/>
    </row>
    <row r="1495" spans="1:18" s="16" customFormat="1" ht="15.75">
      <c r="A1495" s="14"/>
      <c r="B1495" s="140" t="s">
        <v>89</v>
      </c>
      <c r="C1495" s="131" t="s">
        <v>795</v>
      </c>
      <c r="D1495" s="131" t="s">
        <v>73</v>
      </c>
      <c r="E1495" s="131" t="s">
        <v>471</v>
      </c>
      <c r="F1495" s="131" t="s">
        <v>90</v>
      </c>
      <c r="G1495" s="131" t="s">
        <v>9</v>
      </c>
      <c r="H1495" s="105">
        <f>H1496</f>
        <v>0</v>
      </c>
      <c r="I1495" s="178" t="str">
        <f t="shared" si="190"/>
        <v>619040998 1 00 00000000</v>
      </c>
      <c r="L1495" s="26"/>
      <c r="M1495" s="26"/>
      <c r="N1495" s="26"/>
      <c r="O1495" s="26"/>
      <c r="P1495" s="26"/>
      <c r="Q1495" s="26"/>
      <c r="R1495" s="17"/>
    </row>
    <row r="1496" spans="1:18" s="16" customFormat="1" ht="31.5">
      <c r="A1496" s="14"/>
      <c r="B1496" s="125" t="s">
        <v>778</v>
      </c>
      <c r="C1496" s="131" t="s">
        <v>795</v>
      </c>
      <c r="D1496" s="131" t="s">
        <v>73</v>
      </c>
      <c r="E1496" s="131" t="s">
        <v>471</v>
      </c>
      <c r="F1496" s="131" t="s">
        <v>779</v>
      </c>
      <c r="G1496" s="131" t="s">
        <v>9</v>
      </c>
      <c r="H1496" s="105">
        <f>H1497</f>
        <v>0</v>
      </c>
      <c r="I1496" s="178" t="str">
        <f t="shared" si="190"/>
        <v>619040998 1 00 21450000</v>
      </c>
      <c r="L1496" s="26"/>
      <c r="M1496" s="26"/>
      <c r="N1496" s="26"/>
      <c r="O1496" s="26"/>
      <c r="P1496" s="26"/>
      <c r="Q1496" s="26"/>
      <c r="R1496" s="17"/>
    </row>
    <row r="1497" spans="1:18" s="16" customFormat="1" ht="31.5">
      <c r="A1497" s="14"/>
      <c r="B1497" s="125" t="s">
        <v>28</v>
      </c>
      <c r="C1497" s="131" t="s">
        <v>795</v>
      </c>
      <c r="D1497" s="131" t="s">
        <v>73</v>
      </c>
      <c r="E1497" s="131" t="s">
        <v>471</v>
      </c>
      <c r="F1497" s="131" t="s">
        <v>779</v>
      </c>
      <c r="G1497" s="131" t="s">
        <v>29</v>
      </c>
      <c r="H1497" s="105">
        <f>H1498</f>
        <v>0</v>
      </c>
      <c r="I1497" s="178" t="str">
        <f t="shared" si="190"/>
        <v>619040998 1 00 21450240</v>
      </c>
      <c r="L1497" s="26"/>
      <c r="M1497" s="26"/>
      <c r="N1497" s="26"/>
      <c r="O1497" s="26"/>
      <c r="P1497" s="26"/>
      <c r="Q1497" s="26"/>
      <c r="R1497" s="17"/>
    </row>
    <row r="1498" spans="1:18" s="16" customFormat="1" ht="15.75">
      <c r="A1498" s="14"/>
      <c r="B1498" s="125" t="s">
        <v>30</v>
      </c>
      <c r="C1498" s="131" t="s">
        <v>795</v>
      </c>
      <c r="D1498" s="131" t="s">
        <v>73</v>
      </c>
      <c r="E1498" s="131" t="s">
        <v>471</v>
      </c>
      <c r="F1498" s="131" t="s">
        <v>779</v>
      </c>
      <c r="G1498" s="108" t="s">
        <v>31</v>
      </c>
      <c r="H1498" s="126"/>
      <c r="I1498" s="178" t="str">
        <f t="shared" si="190"/>
        <v>619040998 1 00 21450244</v>
      </c>
      <c r="L1498" s="26"/>
      <c r="M1498" s="26"/>
      <c r="N1498" s="26"/>
      <c r="O1498" s="26"/>
      <c r="P1498" s="26"/>
      <c r="Q1498" s="26"/>
      <c r="R1498" s="17"/>
    </row>
    <row r="1499" spans="1:18" s="47" customFormat="1" ht="15.75">
      <c r="A1499" s="46"/>
      <c r="B1499" s="117" t="s">
        <v>305</v>
      </c>
      <c r="C1499" s="118" t="s">
        <v>795</v>
      </c>
      <c r="D1499" s="119" t="s">
        <v>86</v>
      </c>
      <c r="E1499" s="119" t="s">
        <v>7</v>
      </c>
      <c r="F1499" s="119" t="s">
        <v>8</v>
      </c>
      <c r="G1499" s="119" t="s">
        <v>9</v>
      </c>
      <c r="H1499" s="120">
        <f>H1500+H1513</f>
        <v>0</v>
      </c>
      <c r="I1499" s="178" t="str">
        <f t="shared" si="190"/>
        <v>619050000 0 00 00000000</v>
      </c>
      <c r="L1499" s="18">
        <v>31000.670000000002</v>
      </c>
      <c r="M1499" s="18">
        <v>25282.670000000002</v>
      </c>
      <c r="N1499" s="18">
        <v>25094.670000000002</v>
      </c>
      <c r="O1499" s="18">
        <f t="shared" ref="O1499:O1505" si="191">H1499-L1499</f>
        <v>-31000.670000000002</v>
      </c>
      <c r="P1499" s="18" t="e">
        <f>#REF!-M1499</f>
        <v>#REF!</v>
      </c>
      <c r="Q1499" s="18" t="e">
        <f>#REF!-N1499</f>
        <v>#REF!</v>
      </c>
      <c r="R1499" s="17" t="str">
        <f t="shared" si="185"/>
        <v>00 0 00 00000000</v>
      </c>
    </row>
    <row r="1500" spans="1:18" s="16" customFormat="1" ht="15.75">
      <c r="A1500" s="14"/>
      <c r="B1500" s="121" t="s">
        <v>765</v>
      </c>
      <c r="C1500" s="122" t="s">
        <v>795</v>
      </c>
      <c r="D1500" s="123" t="s">
        <v>86</v>
      </c>
      <c r="E1500" s="123" t="s">
        <v>11</v>
      </c>
      <c r="F1500" s="123" t="s">
        <v>8</v>
      </c>
      <c r="G1500" s="123" t="s">
        <v>9</v>
      </c>
      <c r="H1500" s="124">
        <f>H1501+H1508</f>
        <v>0</v>
      </c>
      <c r="I1500" s="178" t="str">
        <f t="shared" si="190"/>
        <v>619050100 0 00 00000000</v>
      </c>
      <c r="L1500" s="52">
        <v>4069.93</v>
      </c>
      <c r="M1500" s="52">
        <v>3851.93</v>
      </c>
      <c r="N1500" s="52">
        <v>3663.93</v>
      </c>
      <c r="O1500" s="52">
        <f t="shared" si="191"/>
        <v>-4069.93</v>
      </c>
      <c r="P1500" s="52" t="e">
        <f>#REF!-M1500</f>
        <v>#REF!</v>
      </c>
      <c r="Q1500" s="52" t="e">
        <f>#REF!-N1500</f>
        <v>#REF!</v>
      </c>
      <c r="R1500" s="17" t="str">
        <f t="shared" si="185"/>
        <v>00 0 00 00000000</v>
      </c>
    </row>
    <row r="1501" spans="1:18" s="16" customFormat="1" ht="66.75" customHeight="1">
      <c r="A1501" s="14"/>
      <c r="B1501" s="127" t="s">
        <v>293</v>
      </c>
      <c r="C1501" s="131" t="s">
        <v>795</v>
      </c>
      <c r="D1501" s="131" t="s">
        <v>86</v>
      </c>
      <c r="E1501" s="131" t="s">
        <v>11</v>
      </c>
      <c r="F1501" s="131" t="s">
        <v>294</v>
      </c>
      <c r="G1501" s="131" t="s">
        <v>9</v>
      </c>
      <c r="H1501" s="158">
        <f t="shared" ref="H1501:H1502" si="192">H1502</f>
        <v>0</v>
      </c>
      <c r="I1501" s="178" t="str">
        <f t="shared" si="190"/>
        <v>619050104 0 00 00000000</v>
      </c>
      <c r="L1501" s="53">
        <v>4069.93</v>
      </c>
      <c r="M1501" s="53">
        <v>3851.93</v>
      </c>
      <c r="N1501" s="53">
        <v>3663.93</v>
      </c>
      <c r="O1501" s="53">
        <f t="shared" si="191"/>
        <v>-4069.93</v>
      </c>
      <c r="P1501" s="53" t="e">
        <f>#REF!-M1501</f>
        <v>#REF!</v>
      </c>
      <c r="Q1501" s="53" t="e">
        <f>#REF!-N1501</f>
        <v>#REF!</v>
      </c>
      <c r="R1501" s="17" t="str">
        <f t="shared" si="185"/>
        <v>04 0 00 00000000</v>
      </c>
    </row>
    <row r="1502" spans="1:18" s="47" customFormat="1" ht="34.5" customHeight="1">
      <c r="A1502" s="46"/>
      <c r="B1502" s="155" t="s">
        <v>766</v>
      </c>
      <c r="C1502" s="131" t="s">
        <v>795</v>
      </c>
      <c r="D1502" s="131" t="s">
        <v>86</v>
      </c>
      <c r="E1502" s="131" t="s">
        <v>11</v>
      </c>
      <c r="F1502" s="131" t="s">
        <v>767</v>
      </c>
      <c r="G1502" s="131" t="s">
        <v>9</v>
      </c>
      <c r="H1502" s="105">
        <f t="shared" si="192"/>
        <v>0</v>
      </c>
      <c r="I1502" s="178" t="str">
        <f t="shared" si="190"/>
        <v>619050104 1 00 00000000</v>
      </c>
      <c r="L1502" s="54">
        <v>4069.93</v>
      </c>
      <c r="M1502" s="54">
        <v>3851.93</v>
      </c>
      <c r="N1502" s="54">
        <v>3663.93</v>
      </c>
      <c r="O1502" s="54">
        <f t="shared" si="191"/>
        <v>-4069.93</v>
      </c>
      <c r="P1502" s="54" t="e">
        <f>#REF!-M1502</f>
        <v>#REF!</v>
      </c>
      <c r="Q1502" s="54" t="e">
        <f>#REF!-N1502</f>
        <v>#REF!</v>
      </c>
      <c r="R1502" s="17" t="str">
        <f t="shared" si="185"/>
        <v>04 1 00 00000000</v>
      </c>
    </row>
    <row r="1503" spans="1:18" s="16" customFormat="1" ht="50.25" customHeight="1">
      <c r="A1503" s="14"/>
      <c r="B1503" s="129" t="s">
        <v>793</v>
      </c>
      <c r="C1503" s="131" t="s">
        <v>795</v>
      </c>
      <c r="D1503" s="131" t="s">
        <v>86</v>
      </c>
      <c r="E1503" s="131" t="s">
        <v>11</v>
      </c>
      <c r="F1503" s="131" t="s">
        <v>769</v>
      </c>
      <c r="G1503" s="131" t="s">
        <v>9</v>
      </c>
      <c r="H1503" s="105">
        <f>H1504</f>
        <v>0</v>
      </c>
      <c r="I1503" s="178" t="str">
        <f t="shared" si="190"/>
        <v>619050104 1 01 00000000</v>
      </c>
      <c r="L1503" s="26">
        <v>4069.93</v>
      </c>
      <c r="M1503" s="26">
        <v>3851.93</v>
      </c>
      <c r="N1503" s="26">
        <v>3663.93</v>
      </c>
      <c r="O1503" s="26">
        <f t="shared" si="191"/>
        <v>-4069.93</v>
      </c>
      <c r="P1503" s="26" t="e">
        <f>#REF!-M1503</f>
        <v>#REF!</v>
      </c>
      <c r="Q1503" s="26" t="e">
        <f>#REF!-N1503</f>
        <v>#REF!</v>
      </c>
      <c r="R1503" s="17" t="str">
        <f t="shared" si="185"/>
        <v>04 1 01 00000000</v>
      </c>
    </row>
    <row r="1504" spans="1:18" s="16" customFormat="1" ht="36" customHeight="1">
      <c r="A1504" s="14"/>
      <c r="B1504" s="159" t="s">
        <v>770</v>
      </c>
      <c r="C1504" s="131" t="s">
        <v>795</v>
      </c>
      <c r="D1504" s="131" t="s">
        <v>86</v>
      </c>
      <c r="E1504" s="131" t="s">
        <v>11</v>
      </c>
      <c r="F1504" s="131" t="s">
        <v>771</v>
      </c>
      <c r="G1504" s="131" t="s">
        <v>9</v>
      </c>
      <c r="H1504" s="105">
        <f>H1505</f>
        <v>0</v>
      </c>
      <c r="I1504" s="178" t="str">
        <f t="shared" si="190"/>
        <v>619050104 1 01 20190000</v>
      </c>
      <c r="L1504" s="26">
        <v>4069.93</v>
      </c>
      <c r="M1504" s="26">
        <v>3851.93</v>
      </c>
      <c r="N1504" s="26">
        <v>3663.93</v>
      </c>
      <c r="O1504" s="26">
        <f t="shared" si="191"/>
        <v>-4069.93</v>
      </c>
      <c r="P1504" s="26" t="e">
        <f>#REF!-M1504</f>
        <v>#REF!</v>
      </c>
      <c r="Q1504" s="26" t="e">
        <f>#REF!-N1504</f>
        <v>#REF!</v>
      </c>
      <c r="R1504" s="17" t="str">
        <f t="shared" si="185"/>
        <v>04 1 01 20190000</v>
      </c>
    </row>
    <row r="1505" spans="1:18" s="16" customFormat="1" ht="34.5" customHeight="1">
      <c r="A1505" s="14"/>
      <c r="B1505" s="125" t="s">
        <v>28</v>
      </c>
      <c r="C1505" s="131" t="s">
        <v>795</v>
      </c>
      <c r="D1505" s="131" t="s">
        <v>86</v>
      </c>
      <c r="E1505" s="131" t="s">
        <v>11</v>
      </c>
      <c r="F1505" s="131" t="s">
        <v>771</v>
      </c>
      <c r="G1505" s="131" t="s">
        <v>29</v>
      </c>
      <c r="H1505" s="126">
        <f>SUM(H1506:H1507)</f>
        <v>0</v>
      </c>
      <c r="I1505" s="178" t="str">
        <f t="shared" si="190"/>
        <v>619050104 1 01 20190240</v>
      </c>
      <c r="L1505" s="26">
        <v>4069.93</v>
      </c>
      <c r="M1505" s="26">
        <v>3851.93</v>
      </c>
      <c r="N1505" s="26">
        <v>3663.93</v>
      </c>
      <c r="O1505" s="26">
        <f t="shared" si="191"/>
        <v>-4069.93</v>
      </c>
      <c r="P1505" s="26" t="e">
        <f>#REF!-M1505</f>
        <v>#REF!</v>
      </c>
      <c r="Q1505" s="26" t="e">
        <f>#REF!-N1505</f>
        <v>#REF!</v>
      </c>
      <c r="R1505" s="17" t="str">
        <f t="shared" si="185"/>
        <v>04 1 01 20190240</v>
      </c>
    </row>
    <row r="1506" spans="1:18" s="16" customFormat="1" ht="50.25" customHeight="1">
      <c r="A1506" s="14"/>
      <c r="B1506" s="127" t="s">
        <v>772</v>
      </c>
      <c r="C1506" s="131" t="s">
        <v>795</v>
      </c>
      <c r="D1506" s="131" t="s">
        <v>86</v>
      </c>
      <c r="E1506" s="131" t="s">
        <v>11</v>
      </c>
      <c r="F1506" s="131" t="s">
        <v>771</v>
      </c>
      <c r="G1506" s="131" t="s">
        <v>773</v>
      </c>
      <c r="H1506" s="126"/>
      <c r="I1506" s="178" t="str">
        <f t="shared" si="190"/>
        <v>619050104 1 01 20190243</v>
      </c>
      <c r="L1506" s="26"/>
      <c r="M1506" s="26"/>
      <c r="N1506" s="26"/>
      <c r="O1506" s="26"/>
      <c r="P1506" s="26"/>
      <c r="Q1506" s="26"/>
      <c r="R1506" s="17" t="str">
        <f t="shared" si="185"/>
        <v>04 1 01 20190243</v>
      </c>
    </row>
    <row r="1507" spans="1:18" s="16" customFormat="1" ht="19.5" customHeight="1">
      <c r="A1507" s="14"/>
      <c r="B1507" s="125" t="s">
        <v>30</v>
      </c>
      <c r="C1507" s="131" t="s">
        <v>795</v>
      </c>
      <c r="D1507" s="131" t="s">
        <v>86</v>
      </c>
      <c r="E1507" s="131" t="s">
        <v>11</v>
      </c>
      <c r="F1507" s="131" t="s">
        <v>771</v>
      </c>
      <c r="G1507" s="131" t="s">
        <v>31</v>
      </c>
      <c r="H1507" s="126"/>
      <c r="I1507" s="178" t="str">
        <f t="shared" si="190"/>
        <v>619050104 1 01 20190244</v>
      </c>
      <c r="L1507" s="26"/>
      <c r="M1507" s="26"/>
      <c r="N1507" s="26"/>
      <c r="O1507" s="26"/>
      <c r="P1507" s="26"/>
      <c r="Q1507" s="26"/>
      <c r="R1507" s="17"/>
    </row>
    <row r="1508" spans="1:18" s="16" customFormat="1" ht="33.75" customHeight="1">
      <c r="A1508" s="14"/>
      <c r="B1508" s="125" t="s">
        <v>796</v>
      </c>
      <c r="C1508" s="108" t="s">
        <v>795</v>
      </c>
      <c r="D1508" s="131" t="s">
        <v>86</v>
      </c>
      <c r="E1508" s="131" t="s">
        <v>11</v>
      </c>
      <c r="F1508" s="108" t="s">
        <v>797</v>
      </c>
      <c r="G1508" s="108" t="s">
        <v>9</v>
      </c>
      <c r="H1508" s="105">
        <f>H1509</f>
        <v>0</v>
      </c>
      <c r="I1508" s="178" t="str">
        <f t="shared" si="190"/>
        <v>619050182 0 00 00000000</v>
      </c>
      <c r="L1508" s="26"/>
      <c r="M1508" s="26"/>
      <c r="N1508" s="26"/>
      <c r="O1508" s="26"/>
      <c r="P1508" s="26"/>
      <c r="Q1508" s="26"/>
      <c r="R1508" s="17"/>
    </row>
    <row r="1509" spans="1:18" s="16" customFormat="1" ht="15.75">
      <c r="A1509" s="14"/>
      <c r="B1509" s="129" t="s">
        <v>52</v>
      </c>
      <c r="C1509" s="108" t="s">
        <v>795</v>
      </c>
      <c r="D1509" s="131" t="s">
        <v>86</v>
      </c>
      <c r="E1509" s="131" t="s">
        <v>11</v>
      </c>
      <c r="F1509" s="108" t="s">
        <v>1089</v>
      </c>
      <c r="G1509" s="108" t="s">
        <v>9</v>
      </c>
      <c r="H1509" s="105">
        <f>H1510</f>
        <v>0</v>
      </c>
      <c r="I1509" s="178" t="str">
        <f t="shared" si="190"/>
        <v>619050182 2 00 00000000</v>
      </c>
      <c r="L1509" s="26"/>
      <c r="M1509" s="26"/>
      <c r="N1509" s="26"/>
      <c r="O1509" s="26"/>
      <c r="P1509" s="26"/>
      <c r="Q1509" s="26"/>
      <c r="R1509" s="17"/>
    </row>
    <row r="1510" spans="1:18" s="16" customFormat="1" ht="31.5">
      <c r="A1510" s="14"/>
      <c r="B1510" s="125" t="s">
        <v>856</v>
      </c>
      <c r="C1510" s="108" t="s">
        <v>795</v>
      </c>
      <c r="D1510" s="108" t="s">
        <v>86</v>
      </c>
      <c r="E1510" s="108" t="s">
        <v>11</v>
      </c>
      <c r="F1510" s="108" t="s">
        <v>1090</v>
      </c>
      <c r="G1510" s="108" t="s">
        <v>9</v>
      </c>
      <c r="H1510" s="105">
        <f>H1511</f>
        <v>0</v>
      </c>
      <c r="I1510" s="178" t="str">
        <f t="shared" si="190"/>
        <v>619050182 2 00 20200000</v>
      </c>
      <c r="L1510" s="26"/>
      <c r="M1510" s="26"/>
      <c r="N1510" s="26"/>
      <c r="O1510" s="26"/>
      <c r="P1510" s="26"/>
      <c r="Q1510" s="26"/>
      <c r="R1510" s="17"/>
    </row>
    <row r="1511" spans="1:18" s="16" customFormat="1" ht="31.5">
      <c r="A1511" s="14"/>
      <c r="B1511" s="125" t="s">
        <v>28</v>
      </c>
      <c r="C1511" s="131" t="s">
        <v>795</v>
      </c>
      <c r="D1511" s="131" t="s">
        <v>86</v>
      </c>
      <c r="E1511" s="131" t="s">
        <v>11</v>
      </c>
      <c r="F1511" s="108" t="s">
        <v>1090</v>
      </c>
      <c r="G1511" s="131" t="s">
        <v>29</v>
      </c>
      <c r="H1511" s="105">
        <f>H1512</f>
        <v>0</v>
      </c>
      <c r="I1511" s="178" t="str">
        <f t="shared" si="190"/>
        <v>619050182 2 00 20200240</v>
      </c>
      <c r="L1511" s="26"/>
      <c r="M1511" s="26"/>
      <c r="N1511" s="26"/>
      <c r="O1511" s="26"/>
      <c r="P1511" s="26"/>
      <c r="Q1511" s="26"/>
      <c r="R1511" s="17"/>
    </row>
    <row r="1512" spans="1:18" s="16" customFormat="1" ht="15.75">
      <c r="A1512" s="14"/>
      <c r="B1512" s="125" t="s">
        <v>30</v>
      </c>
      <c r="C1512" s="131" t="s">
        <v>795</v>
      </c>
      <c r="D1512" s="131" t="s">
        <v>86</v>
      </c>
      <c r="E1512" s="131" t="s">
        <v>11</v>
      </c>
      <c r="F1512" s="108" t="s">
        <v>1090</v>
      </c>
      <c r="G1512" s="108" t="s">
        <v>31</v>
      </c>
      <c r="H1512" s="126"/>
      <c r="I1512" s="178" t="str">
        <f t="shared" si="190"/>
        <v>619050182 2 00 20200244</v>
      </c>
      <c r="L1512" s="26"/>
      <c r="M1512" s="26"/>
      <c r="N1512" s="26"/>
      <c r="O1512" s="26"/>
      <c r="P1512" s="26"/>
      <c r="Q1512" s="26"/>
      <c r="R1512" s="17"/>
    </row>
    <row r="1513" spans="1:18" s="16" customFormat="1" ht="15.75">
      <c r="A1513" s="14"/>
      <c r="B1513" s="157" t="s">
        <v>306</v>
      </c>
      <c r="C1513" s="122" t="s">
        <v>795</v>
      </c>
      <c r="D1513" s="123" t="s">
        <v>86</v>
      </c>
      <c r="E1513" s="123" t="s">
        <v>13</v>
      </c>
      <c r="F1513" s="123" t="s">
        <v>8</v>
      </c>
      <c r="G1513" s="123" t="s">
        <v>9</v>
      </c>
      <c r="H1513" s="124">
        <f>H1514+H1535</f>
        <v>0</v>
      </c>
      <c r="I1513" s="178" t="str">
        <f t="shared" si="190"/>
        <v>619050300 0 00 00000000</v>
      </c>
      <c r="L1513" s="19">
        <v>26930.74</v>
      </c>
      <c r="M1513" s="19">
        <v>21430.74</v>
      </c>
      <c r="N1513" s="19">
        <v>21430.74</v>
      </c>
      <c r="O1513" s="19">
        <f t="shared" ref="O1513:O1518" si="193">H1513-L1513</f>
        <v>-26930.74</v>
      </c>
      <c r="P1513" s="19" t="e">
        <f>#REF!-M1513</f>
        <v>#REF!</v>
      </c>
      <c r="Q1513" s="19" t="e">
        <f>#REF!-N1513</f>
        <v>#REF!</v>
      </c>
      <c r="R1513" s="17" t="str">
        <f t="shared" si="185"/>
        <v>00 0 00 00000000</v>
      </c>
    </row>
    <row r="1514" spans="1:18" s="16" customFormat="1" ht="63">
      <c r="A1514" s="14"/>
      <c r="B1514" s="127" t="s">
        <v>293</v>
      </c>
      <c r="C1514" s="131" t="s">
        <v>795</v>
      </c>
      <c r="D1514" s="131" t="s">
        <v>86</v>
      </c>
      <c r="E1514" s="131" t="s">
        <v>13</v>
      </c>
      <c r="F1514" s="131" t="s">
        <v>294</v>
      </c>
      <c r="G1514" s="131" t="s">
        <v>9</v>
      </c>
      <c r="H1514" s="105">
        <f t="shared" ref="H1514:H1515" si="194">H1515</f>
        <v>0</v>
      </c>
      <c r="I1514" s="178" t="str">
        <f t="shared" si="190"/>
        <v>619050304 0 00 00000000</v>
      </c>
      <c r="L1514" s="26">
        <v>21430.74</v>
      </c>
      <c r="M1514" s="26">
        <v>21430.74</v>
      </c>
      <c r="N1514" s="26">
        <v>21430.74</v>
      </c>
      <c r="O1514" s="26">
        <f t="shared" si="193"/>
        <v>-21430.74</v>
      </c>
      <c r="P1514" s="26" t="e">
        <f>#REF!-M1514</f>
        <v>#REF!</v>
      </c>
      <c r="Q1514" s="26" t="e">
        <f>#REF!-N1514</f>
        <v>#REF!</v>
      </c>
      <c r="R1514" s="17" t="str">
        <f t="shared" si="185"/>
        <v>04 0 00 00000000</v>
      </c>
    </row>
    <row r="1515" spans="1:18" s="16" customFormat="1" ht="31.5">
      <c r="A1515" s="14"/>
      <c r="B1515" s="125" t="s">
        <v>307</v>
      </c>
      <c r="C1515" s="131" t="s">
        <v>795</v>
      </c>
      <c r="D1515" s="131" t="s">
        <v>86</v>
      </c>
      <c r="E1515" s="131" t="s">
        <v>13</v>
      </c>
      <c r="F1515" s="131" t="s">
        <v>308</v>
      </c>
      <c r="G1515" s="131" t="s">
        <v>9</v>
      </c>
      <c r="H1515" s="105">
        <f t="shared" si="194"/>
        <v>0</v>
      </c>
      <c r="I1515" s="178" t="str">
        <f t="shared" si="190"/>
        <v>619050304 3 00 00000000</v>
      </c>
      <c r="L1515" s="26">
        <v>21430.74</v>
      </c>
      <c r="M1515" s="26">
        <v>21430.74</v>
      </c>
      <c r="N1515" s="26">
        <v>21430.74</v>
      </c>
      <c r="O1515" s="26">
        <f t="shared" si="193"/>
        <v>-21430.74</v>
      </c>
      <c r="P1515" s="26" t="e">
        <f>#REF!-M1515</f>
        <v>#REF!</v>
      </c>
      <c r="Q1515" s="26" t="e">
        <f>#REF!-N1515</f>
        <v>#REF!</v>
      </c>
      <c r="R1515" s="17" t="str">
        <f t="shared" si="185"/>
        <v>04 3 00 00000000</v>
      </c>
    </row>
    <row r="1516" spans="1:18" s="16" customFormat="1" ht="31.5">
      <c r="A1516" s="14"/>
      <c r="B1516" s="138" t="s">
        <v>309</v>
      </c>
      <c r="C1516" s="131" t="s">
        <v>795</v>
      </c>
      <c r="D1516" s="131" t="s">
        <v>86</v>
      </c>
      <c r="E1516" s="131" t="s">
        <v>13</v>
      </c>
      <c r="F1516" s="108" t="s">
        <v>310</v>
      </c>
      <c r="G1516" s="131" t="s">
        <v>9</v>
      </c>
      <c r="H1516" s="105">
        <f>H1517+H1520+H1523+H1529</f>
        <v>0</v>
      </c>
      <c r="I1516" s="178" t="str">
        <f t="shared" si="190"/>
        <v>619050304 3 04 00000000</v>
      </c>
      <c r="L1516" s="26">
        <v>21430.74</v>
      </c>
      <c r="M1516" s="26">
        <v>21430.74</v>
      </c>
      <c r="N1516" s="26">
        <v>21430.74</v>
      </c>
      <c r="O1516" s="26">
        <f t="shared" si="193"/>
        <v>-21430.74</v>
      </c>
      <c r="P1516" s="26" t="e">
        <f>#REF!-M1516</f>
        <v>#REF!</v>
      </c>
      <c r="Q1516" s="26" t="e">
        <f>#REF!-N1516</f>
        <v>#REF!</v>
      </c>
      <c r="R1516" s="17" t="str">
        <f t="shared" si="185"/>
        <v>04 3 04 00000000</v>
      </c>
    </row>
    <row r="1517" spans="1:18" s="16" customFormat="1" ht="31.5">
      <c r="A1517" s="14"/>
      <c r="B1517" s="160" t="s">
        <v>542</v>
      </c>
      <c r="C1517" s="131" t="s">
        <v>795</v>
      </c>
      <c r="D1517" s="131" t="s">
        <v>86</v>
      </c>
      <c r="E1517" s="131" t="s">
        <v>13</v>
      </c>
      <c r="F1517" s="108" t="s">
        <v>543</v>
      </c>
      <c r="G1517" s="131" t="s">
        <v>9</v>
      </c>
      <c r="H1517" s="105">
        <f>H1518</f>
        <v>0</v>
      </c>
      <c r="I1517" s="178" t="str">
        <f t="shared" si="190"/>
        <v>619050304 3 04 20300000</v>
      </c>
      <c r="L1517" s="26">
        <v>20489.02</v>
      </c>
      <c r="M1517" s="26">
        <v>20489.02</v>
      </c>
      <c r="N1517" s="26">
        <v>20489.02</v>
      </c>
      <c r="O1517" s="26">
        <f t="shared" si="193"/>
        <v>-20489.02</v>
      </c>
      <c r="P1517" s="26" t="e">
        <f>#REF!-M1517</f>
        <v>#REF!</v>
      </c>
      <c r="Q1517" s="26" t="e">
        <f>#REF!-N1517</f>
        <v>#REF!</v>
      </c>
      <c r="R1517" s="17" t="str">
        <f t="shared" si="185"/>
        <v>04 3 04 20300000</v>
      </c>
    </row>
    <row r="1518" spans="1:18" s="16" customFormat="1" ht="31.5">
      <c r="A1518" s="14"/>
      <c r="B1518" s="125" t="s">
        <v>28</v>
      </c>
      <c r="C1518" s="131" t="s">
        <v>795</v>
      </c>
      <c r="D1518" s="131" t="s">
        <v>86</v>
      </c>
      <c r="E1518" s="131" t="s">
        <v>13</v>
      </c>
      <c r="F1518" s="108" t="s">
        <v>543</v>
      </c>
      <c r="G1518" s="131" t="s">
        <v>29</v>
      </c>
      <c r="H1518" s="126">
        <f>H1519</f>
        <v>0</v>
      </c>
      <c r="I1518" s="178" t="str">
        <f t="shared" si="190"/>
        <v>619050304 3 04 20300240</v>
      </c>
      <c r="L1518" s="20">
        <v>20489.02</v>
      </c>
      <c r="M1518" s="20">
        <v>20489.02</v>
      </c>
      <c r="N1518" s="20">
        <v>20489.02</v>
      </c>
      <c r="O1518" s="20">
        <f t="shared" si="193"/>
        <v>-20489.02</v>
      </c>
      <c r="P1518" s="20" t="e">
        <f>#REF!-M1518</f>
        <v>#REF!</v>
      </c>
      <c r="Q1518" s="20" t="e">
        <f>#REF!-N1518</f>
        <v>#REF!</v>
      </c>
      <c r="R1518" s="17" t="str">
        <f t="shared" si="185"/>
        <v>04 3 04 20300240</v>
      </c>
    </row>
    <row r="1519" spans="1:18" s="16" customFormat="1" ht="15.75">
      <c r="A1519" s="14"/>
      <c r="B1519" s="125" t="s">
        <v>30</v>
      </c>
      <c r="C1519" s="131" t="s">
        <v>795</v>
      </c>
      <c r="D1519" s="131" t="s">
        <v>86</v>
      </c>
      <c r="E1519" s="131" t="s">
        <v>13</v>
      </c>
      <c r="F1519" s="108" t="s">
        <v>543</v>
      </c>
      <c r="G1519" s="131" t="s">
        <v>31</v>
      </c>
      <c r="H1519" s="126"/>
      <c r="I1519" s="178" t="str">
        <f t="shared" si="190"/>
        <v>619050304 3 04 20300244</v>
      </c>
      <c r="L1519" s="20"/>
      <c r="M1519" s="20"/>
      <c r="N1519" s="20"/>
      <c r="O1519" s="20"/>
      <c r="P1519" s="20"/>
      <c r="Q1519" s="20"/>
      <c r="R1519" s="17"/>
    </row>
    <row r="1520" spans="1:18" s="16" customFormat="1" ht="31.5">
      <c r="A1520" s="14"/>
      <c r="B1520" s="127" t="s">
        <v>774</v>
      </c>
      <c r="C1520" s="131" t="s">
        <v>795</v>
      </c>
      <c r="D1520" s="131" t="s">
        <v>86</v>
      </c>
      <c r="E1520" s="131" t="s">
        <v>13</v>
      </c>
      <c r="F1520" s="131" t="s">
        <v>775</v>
      </c>
      <c r="G1520" s="131" t="s">
        <v>9</v>
      </c>
      <c r="H1520" s="105">
        <f>H1521</f>
        <v>0</v>
      </c>
      <c r="I1520" s="178" t="str">
        <f t="shared" si="190"/>
        <v>619050304 3 04 21070000</v>
      </c>
      <c r="L1520" s="26">
        <v>941.72</v>
      </c>
      <c r="M1520" s="26">
        <v>941.72</v>
      </c>
      <c r="N1520" s="26">
        <v>941.72</v>
      </c>
      <c r="O1520" s="26">
        <f>H1520-L1520</f>
        <v>-941.72</v>
      </c>
      <c r="P1520" s="26" t="e">
        <f>#REF!-M1520</f>
        <v>#REF!</v>
      </c>
      <c r="Q1520" s="26" t="e">
        <f>#REF!-N1520</f>
        <v>#REF!</v>
      </c>
      <c r="R1520" s="17" t="str">
        <f t="shared" si="185"/>
        <v>04 3 04 21070000</v>
      </c>
    </row>
    <row r="1521" spans="1:18" s="16" customFormat="1" ht="31.5">
      <c r="A1521" s="14"/>
      <c r="B1521" s="125" t="s">
        <v>28</v>
      </c>
      <c r="C1521" s="131" t="s">
        <v>795</v>
      </c>
      <c r="D1521" s="131" t="s">
        <v>86</v>
      </c>
      <c r="E1521" s="131" t="s">
        <v>13</v>
      </c>
      <c r="F1521" s="131" t="s">
        <v>775</v>
      </c>
      <c r="G1521" s="131" t="s">
        <v>29</v>
      </c>
      <c r="H1521" s="126">
        <f>H1522</f>
        <v>0</v>
      </c>
      <c r="I1521" s="178" t="str">
        <f t="shared" si="190"/>
        <v>619050304 3 04 21070240</v>
      </c>
      <c r="L1521" s="20">
        <v>941.72</v>
      </c>
      <c r="M1521" s="20">
        <v>941.72</v>
      </c>
      <c r="N1521" s="20">
        <v>941.72</v>
      </c>
      <c r="O1521" s="20">
        <f>H1521-L1521</f>
        <v>-941.72</v>
      </c>
      <c r="P1521" s="20" t="e">
        <f>#REF!-M1521</f>
        <v>#REF!</v>
      </c>
      <c r="Q1521" s="20" t="e">
        <f>#REF!-N1521</f>
        <v>#REF!</v>
      </c>
      <c r="R1521" s="17" t="str">
        <f t="shared" si="185"/>
        <v>04 3 04 21070240</v>
      </c>
    </row>
    <row r="1522" spans="1:18" s="16" customFormat="1" ht="15.75">
      <c r="A1522" s="14"/>
      <c r="B1522" s="125" t="s">
        <v>30</v>
      </c>
      <c r="C1522" s="131" t="s">
        <v>795</v>
      </c>
      <c r="D1522" s="131" t="s">
        <v>86</v>
      </c>
      <c r="E1522" s="131" t="s">
        <v>13</v>
      </c>
      <c r="F1522" s="131" t="s">
        <v>775</v>
      </c>
      <c r="G1522" s="131" t="s">
        <v>31</v>
      </c>
      <c r="H1522" s="126"/>
      <c r="I1522" s="178" t="str">
        <f t="shared" si="190"/>
        <v>619050304 3 04 21070244</v>
      </c>
      <c r="L1522" s="20"/>
      <c r="M1522" s="20"/>
      <c r="N1522" s="20"/>
      <c r="O1522" s="20"/>
      <c r="P1522" s="20"/>
      <c r="Q1522" s="20"/>
      <c r="R1522" s="17"/>
    </row>
    <row r="1523" spans="1:18" s="16" customFormat="1" ht="47.25">
      <c r="A1523" s="14"/>
      <c r="B1523" s="125" t="s">
        <v>1043</v>
      </c>
      <c r="C1523" s="131" t="s">
        <v>795</v>
      </c>
      <c r="D1523" s="108" t="s">
        <v>86</v>
      </c>
      <c r="E1523" s="108" t="s">
        <v>13</v>
      </c>
      <c r="F1523" s="131" t="s">
        <v>1056</v>
      </c>
      <c r="G1523" s="131" t="s">
        <v>9</v>
      </c>
      <c r="H1523" s="126">
        <f>H1527</f>
        <v>0</v>
      </c>
      <c r="I1523" s="178" t="str">
        <f t="shared" si="190"/>
        <v>619050304 3 04 G6420000</v>
      </c>
      <c r="L1523" s="20"/>
      <c r="M1523" s="20"/>
      <c r="N1523" s="20"/>
      <c r="O1523" s="20"/>
      <c r="P1523" s="20"/>
      <c r="Q1523" s="20"/>
      <c r="R1523" s="17"/>
    </row>
    <row r="1524" spans="1:18" s="16" customFormat="1" ht="15.75">
      <c r="A1524" s="14"/>
      <c r="B1524" s="132" t="s">
        <v>1045</v>
      </c>
      <c r="C1524" s="131"/>
      <c r="D1524" s="108"/>
      <c r="E1524" s="108"/>
      <c r="F1524" s="131"/>
      <c r="G1524" s="131"/>
      <c r="H1524" s="126"/>
      <c r="I1524" s="178" t="str">
        <f t="shared" si="190"/>
        <v/>
      </c>
      <c r="L1524" s="20"/>
      <c r="M1524" s="20"/>
      <c r="N1524" s="20"/>
      <c r="O1524" s="20"/>
      <c r="P1524" s="20"/>
      <c r="Q1524" s="20"/>
      <c r="R1524" s="17"/>
    </row>
    <row r="1525" spans="1:18" s="16" customFormat="1" ht="15.75">
      <c r="A1525" s="14"/>
      <c r="B1525" s="125" t="s">
        <v>1046</v>
      </c>
      <c r="C1525" s="131" t="s">
        <v>795</v>
      </c>
      <c r="D1525" s="108" t="s">
        <v>86</v>
      </c>
      <c r="E1525" s="108" t="s">
        <v>13</v>
      </c>
      <c r="F1525" s="131" t="s">
        <v>1056</v>
      </c>
      <c r="G1525" s="131" t="s">
        <v>9</v>
      </c>
      <c r="H1525" s="126"/>
      <c r="I1525" s="178" t="str">
        <f t="shared" si="190"/>
        <v>619050304 3 04 G6420000</v>
      </c>
      <c r="L1525" s="20"/>
      <c r="M1525" s="20"/>
      <c r="N1525" s="20"/>
      <c r="O1525" s="20"/>
      <c r="P1525" s="20"/>
      <c r="Q1525" s="20"/>
      <c r="R1525" s="17"/>
    </row>
    <row r="1526" spans="1:18" s="16" customFormat="1" ht="15.75">
      <c r="A1526" s="14"/>
      <c r="B1526" s="125" t="s">
        <v>1047</v>
      </c>
      <c r="C1526" s="131" t="s">
        <v>795</v>
      </c>
      <c r="D1526" s="108" t="s">
        <v>86</v>
      </c>
      <c r="E1526" s="108" t="s">
        <v>13</v>
      </c>
      <c r="F1526" s="131" t="s">
        <v>1056</v>
      </c>
      <c r="G1526" s="131" t="s">
        <v>9</v>
      </c>
      <c r="H1526" s="126"/>
      <c r="I1526" s="178" t="str">
        <f t="shared" si="190"/>
        <v>619050304 3 04 G6420000</v>
      </c>
      <c r="L1526" s="20"/>
      <c r="M1526" s="20"/>
      <c r="N1526" s="20"/>
      <c r="O1526" s="20"/>
      <c r="P1526" s="20"/>
      <c r="Q1526" s="20"/>
      <c r="R1526" s="17"/>
    </row>
    <row r="1527" spans="1:18" s="16" customFormat="1" ht="31.5">
      <c r="A1527" s="14"/>
      <c r="B1527" s="125" t="s">
        <v>28</v>
      </c>
      <c r="C1527" s="131" t="s">
        <v>795</v>
      </c>
      <c r="D1527" s="108" t="s">
        <v>86</v>
      </c>
      <c r="E1527" s="108" t="s">
        <v>13</v>
      </c>
      <c r="F1527" s="131" t="s">
        <v>1056</v>
      </c>
      <c r="G1527" s="131" t="s">
        <v>29</v>
      </c>
      <c r="H1527" s="126">
        <f>H1528</f>
        <v>0</v>
      </c>
      <c r="I1527" s="178" t="str">
        <f t="shared" si="190"/>
        <v>619050304 3 04 G6420240</v>
      </c>
      <c r="L1527" s="20"/>
      <c r="M1527" s="20"/>
      <c r="N1527" s="20"/>
      <c r="O1527" s="20"/>
      <c r="P1527" s="20"/>
      <c r="Q1527" s="20"/>
      <c r="R1527" s="17"/>
    </row>
    <row r="1528" spans="1:18" s="16" customFormat="1" ht="15.75">
      <c r="A1528" s="14"/>
      <c r="B1528" s="125" t="s">
        <v>30</v>
      </c>
      <c r="C1528" s="131" t="s">
        <v>795</v>
      </c>
      <c r="D1528" s="108" t="s">
        <v>86</v>
      </c>
      <c r="E1528" s="108" t="s">
        <v>13</v>
      </c>
      <c r="F1528" s="131" t="s">
        <v>1056</v>
      </c>
      <c r="G1528" s="131" t="s">
        <v>31</v>
      </c>
      <c r="H1528" s="126">
        <f>H1525+H1526</f>
        <v>0</v>
      </c>
      <c r="I1528" s="178" t="str">
        <f t="shared" si="190"/>
        <v>619050304 3 04 G6420244</v>
      </c>
      <c r="L1528" s="20"/>
      <c r="M1528" s="20"/>
      <c r="N1528" s="20"/>
      <c r="O1528" s="20"/>
      <c r="P1528" s="20"/>
      <c r="Q1528" s="20"/>
      <c r="R1528" s="17"/>
    </row>
    <row r="1529" spans="1:18" s="16" customFormat="1" ht="47.25">
      <c r="A1529" s="14"/>
      <c r="B1529" s="127" t="s">
        <v>1048</v>
      </c>
      <c r="C1529" s="131" t="s">
        <v>795</v>
      </c>
      <c r="D1529" s="108" t="s">
        <v>86</v>
      </c>
      <c r="E1529" s="108" t="s">
        <v>13</v>
      </c>
      <c r="F1529" s="131" t="s">
        <v>1057</v>
      </c>
      <c r="G1529" s="131" t="s">
        <v>9</v>
      </c>
      <c r="H1529" s="126">
        <f>H1533</f>
        <v>0</v>
      </c>
      <c r="I1529" s="178" t="str">
        <f t="shared" si="190"/>
        <v>619050304 3 04 S6420000</v>
      </c>
      <c r="L1529" s="20"/>
      <c r="M1529" s="20"/>
      <c r="N1529" s="20"/>
      <c r="O1529" s="20"/>
      <c r="P1529" s="20"/>
      <c r="Q1529" s="20"/>
      <c r="R1529" s="17"/>
    </row>
    <row r="1530" spans="1:18" s="16" customFormat="1" ht="15.75">
      <c r="A1530" s="14"/>
      <c r="B1530" s="132" t="s">
        <v>1045</v>
      </c>
      <c r="C1530" s="131"/>
      <c r="D1530" s="108"/>
      <c r="E1530" s="108"/>
      <c r="F1530" s="131"/>
      <c r="G1530" s="131"/>
      <c r="H1530" s="126"/>
      <c r="I1530" s="178" t="str">
        <f t="shared" si="190"/>
        <v/>
      </c>
      <c r="L1530" s="20"/>
      <c r="M1530" s="20"/>
      <c r="N1530" s="20"/>
      <c r="O1530" s="20"/>
      <c r="P1530" s="20"/>
      <c r="Q1530" s="20"/>
      <c r="R1530" s="17"/>
    </row>
    <row r="1531" spans="1:18" s="16" customFormat="1" ht="15.75">
      <c r="A1531" s="14"/>
      <c r="B1531" s="125" t="s">
        <v>1050</v>
      </c>
      <c r="C1531" s="131" t="s">
        <v>795</v>
      </c>
      <c r="D1531" s="108" t="s">
        <v>86</v>
      </c>
      <c r="E1531" s="108" t="s">
        <v>13</v>
      </c>
      <c r="F1531" s="131" t="s">
        <v>1057</v>
      </c>
      <c r="G1531" s="131" t="s">
        <v>9</v>
      </c>
      <c r="H1531" s="126"/>
      <c r="I1531" s="178" t="str">
        <f t="shared" si="190"/>
        <v>619050304 3 04 S6420000</v>
      </c>
      <c r="L1531" s="20"/>
      <c r="M1531" s="20"/>
      <c r="N1531" s="20"/>
      <c r="O1531" s="20"/>
      <c r="P1531" s="20"/>
      <c r="Q1531" s="20"/>
      <c r="R1531" s="17"/>
    </row>
    <row r="1532" spans="1:18" s="16" customFormat="1" ht="15.75">
      <c r="A1532" s="14"/>
      <c r="B1532" s="125" t="s">
        <v>1051</v>
      </c>
      <c r="C1532" s="131" t="s">
        <v>795</v>
      </c>
      <c r="D1532" s="108" t="s">
        <v>86</v>
      </c>
      <c r="E1532" s="108" t="s">
        <v>13</v>
      </c>
      <c r="F1532" s="131" t="s">
        <v>1057</v>
      </c>
      <c r="G1532" s="131" t="s">
        <v>9</v>
      </c>
      <c r="H1532" s="126"/>
      <c r="I1532" s="178" t="str">
        <f t="shared" si="190"/>
        <v>619050304 3 04 S6420000</v>
      </c>
      <c r="L1532" s="20"/>
      <c r="M1532" s="20"/>
      <c r="N1532" s="20"/>
      <c r="O1532" s="20"/>
      <c r="P1532" s="20"/>
      <c r="Q1532" s="20"/>
      <c r="R1532" s="17"/>
    </row>
    <row r="1533" spans="1:18" s="16" customFormat="1" ht="15.75">
      <c r="A1533" s="14"/>
      <c r="B1533" s="125" t="s">
        <v>30</v>
      </c>
      <c r="C1533" s="131" t="s">
        <v>795</v>
      </c>
      <c r="D1533" s="108" t="s">
        <v>86</v>
      </c>
      <c r="E1533" s="108" t="s">
        <v>13</v>
      </c>
      <c r="F1533" s="131" t="s">
        <v>1057</v>
      </c>
      <c r="G1533" s="131" t="s">
        <v>29</v>
      </c>
      <c r="H1533" s="126">
        <f>H1534</f>
        <v>0</v>
      </c>
      <c r="I1533" s="178" t="str">
        <f t="shared" si="190"/>
        <v>619050304 3 04 S6420240</v>
      </c>
      <c r="L1533" s="20"/>
      <c r="M1533" s="20"/>
      <c r="N1533" s="20"/>
      <c r="O1533" s="20"/>
      <c r="P1533" s="20"/>
      <c r="Q1533" s="20"/>
      <c r="R1533" s="17"/>
    </row>
    <row r="1534" spans="1:18" s="16" customFormat="1" ht="15.75">
      <c r="A1534" s="14"/>
      <c r="B1534" s="125" t="s">
        <v>30</v>
      </c>
      <c r="C1534" s="131" t="s">
        <v>795</v>
      </c>
      <c r="D1534" s="108" t="s">
        <v>86</v>
      </c>
      <c r="E1534" s="108" t="s">
        <v>13</v>
      </c>
      <c r="F1534" s="131" t="s">
        <v>1057</v>
      </c>
      <c r="G1534" s="131" t="s">
        <v>31</v>
      </c>
      <c r="H1534" s="126">
        <f>H1532+H1531</f>
        <v>0</v>
      </c>
      <c r="I1534" s="178" t="str">
        <f t="shared" si="190"/>
        <v>619050304 3 04 S6420244</v>
      </c>
      <c r="L1534" s="20"/>
      <c r="M1534" s="20"/>
      <c r="N1534" s="20"/>
      <c r="O1534" s="20"/>
      <c r="P1534" s="20"/>
      <c r="Q1534" s="20"/>
      <c r="R1534" s="17"/>
    </row>
    <row r="1535" spans="1:18" s="16" customFormat="1" ht="63">
      <c r="A1535" s="14"/>
      <c r="B1535" s="140" t="s">
        <v>87</v>
      </c>
      <c r="C1535" s="131" t="s">
        <v>795</v>
      </c>
      <c r="D1535" s="131" t="s">
        <v>86</v>
      </c>
      <c r="E1535" s="131" t="s">
        <v>13</v>
      </c>
      <c r="F1535" s="131" t="s">
        <v>88</v>
      </c>
      <c r="G1535" s="131" t="s">
        <v>9</v>
      </c>
      <c r="H1535" s="105">
        <f>H1536</f>
        <v>0</v>
      </c>
      <c r="I1535" s="178" t="str">
        <f t="shared" si="190"/>
        <v>619050398 0 00 00000000</v>
      </c>
      <c r="L1535" s="26">
        <v>5500</v>
      </c>
      <c r="M1535" s="26">
        <v>0</v>
      </c>
      <c r="N1535" s="26">
        <v>0</v>
      </c>
      <c r="O1535" s="26">
        <f>H1535-L1535</f>
        <v>-5500</v>
      </c>
      <c r="P1535" s="26" t="e">
        <f>#REF!-M1535</f>
        <v>#REF!</v>
      </c>
      <c r="Q1535" s="26" t="e">
        <f>#REF!-N1535</f>
        <v>#REF!</v>
      </c>
      <c r="R1535" s="17" t="str">
        <f t="shared" si="185"/>
        <v>98 0 00 00000000</v>
      </c>
    </row>
    <row r="1536" spans="1:18" s="16" customFormat="1" ht="15.75">
      <c r="A1536" s="14"/>
      <c r="B1536" s="140" t="s">
        <v>89</v>
      </c>
      <c r="C1536" s="131" t="s">
        <v>795</v>
      </c>
      <c r="D1536" s="131" t="s">
        <v>86</v>
      </c>
      <c r="E1536" s="131" t="s">
        <v>13</v>
      </c>
      <c r="F1536" s="131" t="s">
        <v>90</v>
      </c>
      <c r="G1536" s="131" t="s">
        <v>9</v>
      </c>
      <c r="H1536" s="105">
        <f>H1537</f>
        <v>0</v>
      </c>
      <c r="I1536" s="178" t="str">
        <f t="shared" si="190"/>
        <v>619050398 1 00 00000000</v>
      </c>
      <c r="L1536" s="26">
        <v>5500</v>
      </c>
      <c r="M1536" s="26">
        <v>0</v>
      </c>
      <c r="N1536" s="26">
        <v>0</v>
      </c>
      <c r="O1536" s="26">
        <f>H1536-L1536</f>
        <v>-5500</v>
      </c>
      <c r="P1536" s="26" t="e">
        <f>#REF!-M1536</f>
        <v>#REF!</v>
      </c>
      <c r="Q1536" s="26" t="e">
        <f>#REF!-N1536</f>
        <v>#REF!</v>
      </c>
      <c r="R1536" s="17" t="str">
        <f t="shared" si="185"/>
        <v>98 1 00 00000000</v>
      </c>
    </row>
    <row r="1537" spans="1:18" s="16" customFormat="1" ht="31.5">
      <c r="A1537" s="14"/>
      <c r="B1537" s="125" t="s">
        <v>778</v>
      </c>
      <c r="C1537" s="131" t="s">
        <v>795</v>
      </c>
      <c r="D1537" s="131" t="s">
        <v>86</v>
      </c>
      <c r="E1537" s="131" t="s">
        <v>13</v>
      </c>
      <c r="F1537" s="131" t="s">
        <v>779</v>
      </c>
      <c r="G1537" s="131" t="s">
        <v>9</v>
      </c>
      <c r="H1537" s="105">
        <f>H1538</f>
        <v>0</v>
      </c>
      <c r="I1537" s="178" t="str">
        <f t="shared" si="190"/>
        <v>619050398 1 00 21450000</v>
      </c>
      <c r="L1537" s="26">
        <v>5500</v>
      </c>
      <c r="M1537" s="26">
        <v>0</v>
      </c>
      <c r="N1537" s="26">
        <v>0</v>
      </c>
      <c r="O1537" s="26">
        <f>H1537-L1537</f>
        <v>-5500</v>
      </c>
      <c r="P1537" s="26" t="e">
        <f>#REF!-M1537</f>
        <v>#REF!</v>
      </c>
      <c r="Q1537" s="26" t="e">
        <f>#REF!-N1537</f>
        <v>#REF!</v>
      </c>
      <c r="R1537" s="17" t="str">
        <f t="shared" si="185"/>
        <v>98 1 00 21450000</v>
      </c>
    </row>
    <row r="1538" spans="1:18" s="16" customFormat="1" ht="31.5">
      <c r="A1538" s="14"/>
      <c r="B1538" s="125" t="s">
        <v>28</v>
      </c>
      <c r="C1538" s="131" t="s">
        <v>795</v>
      </c>
      <c r="D1538" s="131" t="s">
        <v>86</v>
      </c>
      <c r="E1538" s="131" t="s">
        <v>13</v>
      </c>
      <c r="F1538" s="131" t="s">
        <v>779</v>
      </c>
      <c r="G1538" s="131" t="s">
        <v>29</v>
      </c>
      <c r="H1538" s="126">
        <f>H1539</f>
        <v>0</v>
      </c>
      <c r="I1538" s="178" t="str">
        <f t="shared" si="190"/>
        <v>619050398 1 00 21450240</v>
      </c>
      <c r="L1538" s="26">
        <v>5500</v>
      </c>
      <c r="M1538" s="26">
        <v>0</v>
      </c>
      <c r="N1538" s="26">
        <v>0</v>
      </c>
      <c r="O1538" s="26">
        <f>H1538-L1538</f>
        <v>-5500</v>
      </c>
      <c r="P1538" s="26" t="e">
        <f>#REF!-M1538</f>
        <v>#REF!</v>
      </c>
      <c r="Q1538" s="26" t="e">
        <f>#REF!-N1538</f>
        <v>#REF!</v>
      </c>
      <c r="R1538" s="17" t="str">
        <f t="shared" si="185"/>
        <v>98 1 00 21450240</v>
      </c>
    </row>
    <row r="1539" spans="1:18" s="16" customFormat="1" ht="15.75">
      <c r="A1539" s="14"/>
      <c r="B1539" s="125" t="s">
        <v>30</v>
      </c>
      <c r="C1539" s="131" t="s">
        <v>795</v>
      </c>
      <c r="D1539" s="131" t="s">
        <v>86</v>
      </c>
      <c r="E1539" s="131" t="s">
        <v>13</v>
      </c>
      <c r="F1539" s="131" t="s">
        <v>779</v>
      </c>
      <c r="G1539" s="131" t="s">
        <v>31</v>
      </c>
      <c r="H1539" s="126"/>
      <c r="I1539" s="178" t="str">
        <f t="shared" si="190"/>
        <v>619050398 1 00 21450244</v>
      </c>
      <c r="L1539" s="26"/>
      <c r="M1539" s="26"/>
      <c r="N1539" s="26"/>
      <c r="O1539" s="26"/>
      <c r="P1539" s="26"/>
      <c r="Q1539" s="26"/>
      <c r="R1539" s="17"/>
    </row>
    <row r="1540" spans="1:18" s="16" customFormat="1" ht="15.75">
      <c r="A1540" s="14"/>
      <c r="B1540" s="117" t="s">
        <v>569</v>
      </c>
      <c r="C1540" s="118" t="s">
        <v>795</v>
      </c>
      <c r="D1540" s="119" t="s">
        <v>238</v>
      </c>
      <c r="E1540" s="119" t="s">
        <v>7</v>
      </c>
      <c r="F1540" s="119" t="s">
        <v>8</v>
      </c>
      <c r="G1540" s="119" t="s">
        <v>9</v>
      </c>
      <c r="H1540" s="120">
        <f t="shared" ref="H1540:H1543" si="195">H1541</f>
        <v>0</v>
      </c>
      <c r="I1540" s="178" t="str">
        <f t="shared" si="190"/>
        <v>619080000 0 00 00000000</v>
      </c>
      <c r="L1540" s="18">
        <v>1549</v>
      </c>
      <c r="M1540" s="18">
        <v>1549</v>
      </c>
      <c r="N1540" s="18">
        <v>1549</v>
      </c>
      <c r="O1540" s="18">
        <f t="shared" ref="O1540:O1546" si="196">H1540-L1540</f>
        <v>-1549</v>
      </c>
      <c r="P1540" s="18" t="e">
        <f>#REF!-M1540</f>
        <v>#REF!</v>
      </c>
      <c r="Q1540" s="18" t="e">
        <f>#REF!-N1540</f>
        <v>#REF!</v>
      </c>
      <c r="R1540" s="17" t="str">
        <f t="shared" si="185"/>
        <v>00 0 00 00000000</v>
      </c>
    </row>
    <row r="1541" spans="1:18" s="16" customFormat="1" ht="15.75">
      <c r="A1541" s="14"/>
      <c r="B1541" s="157" t="s">
        <v>239</v>
      </c>
      <c r="C1541" s="122" t="s">
        <v>795</v>
      </c>
      <c r="D1541" s="123" t="s">
        <v>238</v>
      </c>
      <c r="E1541" s="123" t="s">
        <v>11</v>
      </c>
      <c r="F1541" s="123" t="s">
        <v>8</v>
      </c>
      <c r="G1541" s="123" t="s">
        <v>9</v>
      </c>
      <c r="H1541" s="124">
        <f t="shared" si="195"/>
        <v>0</v>
      </c>
      <c r="I1541" s="178" t="str">
        <f t="shared" si="190"/>
        <v>619080100 0 00 00000000</v>
      </c>
      <c r="L1541" s="19">
        <v>1549</v>
      </c>
      <c r="M1541" s="19">
        <v>1549</v>
      </c>
      <c r="N1541" s="19">
        <v>1549</v>
      </c>
      <c r="O1541" s="19">
        <f t="shared" si="196"/>
        <v>-1549</v>
      </c>
      <c r="P1541" s="19" t="e">
        <f>#REF!-M1541</f>
        <v>#REF!</v>
      </c>
      <c r="Q1541" s="19" t="e">
        <f>#REF!-N1541</f>
        <v>#REF!</v>
      </c>
      <c r="R1541" s="17" t="str">
        <f t="shared" si="185"/>
        <v>00 0 00 00000000</v>
      </c>
    </row>
    <row r="1542" spans="1:18" s="16" customFormat="1" ht="31.5">
      <c r="A1542" s="14"/>
      <c r="B1542" s="125" t="s">
        <v>240</v>
      </c>
      <c r="C1542" s="108" t="s">
        <v>795</v>
      </c>
      <c r="D1542" s="108" t="s">
        <v>238</v>
      </c>
      <c r="E1542" s="108" t="s">
        <v>11</v>
      </c>
      <c r="F1542" s="108" t="s">
        <v>241</v>
      </c>
      <c r="G1542" s="108" t="s">
        <v>9</v>
      </c>
      <c r="H1542" s="126">
        <f t="shared" si="195"/>
        <v>0</v>
      </c>
      <c r="I1542" s="178" t="str">
        <f t="shared" si="190"/>
        <v>619080107 0 00 00000000</v>
      </c>
      <c r="L1542" s="20">
        <v>1549</v>
      </c>
      <c r="M1542" s="20">
        <v>1549</v>
      </c>
      <c r="N1542" s="20">
        <v>1549</v>
      </c>
      <c r="O1542" s="20">
        <f t="shared" si="196"/>
        <v>-1549</v>
      </c>
      <c r="P1542" s="20" t="e">
        <f>#REF!-M1542</f>
        <v>#REF!</v>
      </c>
      <c r="Q1542" s="20" t="e">
        <f>#REF!-N1542</f>
        <v>#REF!</v>
      </c>
      <c r="R1542" s="17" t="str">
        <f t="shared" si="185"/>
        <v>07 0 00 00000000</v>
      </c>
    </row>
    <row r="1543" spans="1:18" s="16" customFormat="1" ht="78.75">
      <c r="A1543" s="14"/>
      <c r="B1543" s="129" t="s">
        <v>804</v>
      </c>
      <c r="C1543" s="131" t="s">
        <v>795</v>
      </c>
      <c r="D1543" s="131" t="s">
        <v>238</v>
      </c>
      <c r="E1543" s="131" t="s">
        <v>11</v>
      </c>
      <c r="F1543" s="131" t="s">
        <v>243</v>
      </c>
      <c r="G1543" s="131" t="s">
        <v>9</v>
      </c>
      <c r="H1543" s="105">
        <f t="shared" si="195"/>
        <v>0</v>
      </c>
      <c r="I1543" s="178" t="str">
        <f t="shared" si="190"/>
        <v>619080107 1 00 00000000</v>
      </c>
      <c r="L1543" s="26">
        <v>1549</v>
      </c>
      <c r="M1543" s="26">
        <v>1549</v>
      </c>
      <c r="N1543" s="26">
        <v>1549</v>
      </c>
      <c r="O1543" s="26">
        <f t="shared" si="196"/>
        <v>-1549</v>
      </c>
      <c r="P1543" s="26" t="e">
        <f>#REF!-M1543</f>
        <v>#REF!</v>
      </c>
      <c r="Q1543" s="26" t="e">
        <f>#REF!-N1543</f>
        <v>#REF!</v>
      </c>
      <c r="R1543" s="17" t="str">
        <f t="shared" si="185"/>
        <v>07 1 00 00000000</v>
      </c>
    </row>
    <row r="1544" spans="1:18" s="16" customFormat="1" ht="110.25">
      <c r="A1544" s="14"/>
      <c r="B1544" s="155" t="s">
        <v>244</v>
      </c>
      <c r="C1544" s="131" t="s">
        <v>795</v>
      </c>
      <c r="D1544" s="131" t="s">
        <v>238</v>
      </c>
      <c r="E1544" s="131" t="s">
        <v>11</v>
      </c>
      <c r="F1544" s="131" t="s">
        <v>245</v>
      </c>
      <c r="G1544" s="131" t="s">
        <v>9</v>
      </c>
      <c r="H1544" s="105">
        <f>H1545+H1548</f>
        <v>0</v>
      </c>
      <c r="I1544" s="178" t="str">
        <f t="shared" si="190"/>
        <v>619080107 1 01 00000000</v>
      </c>
      <c r="L1544" s="26">
        <v>1549</v>
      </c>
      <c r="M1544" s="26">
        <v>1549</v>
      </c>
      <c r="N1544" s="26">
        <v>1549</v>
      </c>
      <c r="O1544" s="26">
        <f t="shared" si="196"/>
        <v>-1549</v>
      </c>
      <c r="P1544" s="26" t="e">
        <f>#REF!-M1544</f>
        <v>#REF!</v>
      </c>
      <c r="Q1544" s="26" t="e">
        <f>#REF!-N1544</f>
        <v>#REF!</v>
      </c>
      <c r="R1544" s="17" t="str">
        <f t="shared" si="185"/>
        <v>07 1 01 00000000</v>
      </c>
    </row>
    <row r="1545" spans="1:18" s="16" customFormat="1" ht="31.5">
      <c r="A1545" s="14"/>
      <c r="B1545" s="129" t="s">
        <v>246</v>
      </c>
      <c r="C1545" s="131" t="s">
        <v>795</v>
      </c>
      <c r="D1545" s="131" t="s">
        <v>238</v>
      </c>
      <c r="E1545" s="131" t="s">
        <v>11</v>
      </c>
      <c r="F1545" s="131" t="s">
        <v>247</v>
      </c>
      <c r="G1545" s="131" t="s">
        <v>9</v>
      </c>
      <c r="H1545" s="105">
        <f>H1546</f>
        <v>0</v>
      </c>
      <c r="I1545" s="178" t="str">
        <f t="shared" si="190"/>
        <v>619080107 1 01 20060000</v>
      </c>
      <c r="L1545" s="26">
        <v>911.5</v>
      </c>
      <c r="M1545" s="26">
        <v>911.5</v>
      </c>
      <c r="N1545" s="26">
        <v>911.5</v>
      </c>
      <c r="O1545" s="26">
        <f t="shared" si="196"/>
        <v>-911.5</v>
      </c>
      <c r="P1545" s="26" t="e">
        <f>#REF!-M1545</f>
        <v>#REF!</v>
      </c>
      <c r="Q1545" s="26" t="e">
        <f>#REF!-N1545</f>
        <v>#REF!</v>
      </c>
      <c r="R1545" s="17" t="str">
        <f t="shared" si="185"/>
        <v>07 1 01 20060000</v>
      </c>
    </row>
    <row r="1546" spans="1:18" s="16" customFormat="1" ht="31.5">
      <c r="A1546" s="14"/>
      <c r="B1546" s="125" t="s">
        <v>28</v>
      </c>
      <c r="C1546" s="131" t="s">
        <v>795</v>
      </c>
      <c r="D1546" s="131" t="s">
        <v>238</v>
      </c>
      <c r="E1546" s="131" t="s">
        <v>11</v>
      </c>
      <c r="F1546" s="131" t="s">
        <v>247</v>
      </c>
      <c r="G1546" s="131" t="s">
        <v>29</v>
      </c>
      <c r="H1546" s="126">
        <f>H1547</f>
        <v>0</v>
      </c>
      <c r="I1546" s="178" t="str">
        <f t="shared" si="190"/>
        <v>619080107 1 01 20060240</v>
      </c>
      <c r="L1546" s="20">
        <v>911.5</v>
      </c>
      <c r="M1546" s="20">
        <v>911.5</v>
      </c>
      <c r="N1546" s="20">
        <v>911.5</v>
      </c>
      <c r="O1546" s="20">
        <f t="shared" si="196"/>
        <v>-911.5</v>
      </c>
      <c r="P1546" s="20" t="e">
        <f>#REF!-M1546</f>
        <v>#REF!</v>
      </c>
      <c r="Q1546" s="20" t="e">
        <f>#REF!-N1546</f>
        <v>#REF!</v>
      </c>
      <c r="R1546" s="17" t="str">
        <f t="shared" si="185"/>
        <v>07 1 01 20060240</v>
      </c>
    </row>
    <row r="1547" spans="1:18" s="16" customFormat="1" ht="15.75">
      <c r="A1547" s="14"/>
      <c r="B1547" s="125" t="s">
        <v>30</v>
      </c>
      <c r="C1547" s="131" t="s">
        <v>795</v>
      </c>
      <c r="D1547" s="131" t="s">
        <v>238</v>
      </c>
      <c r="E1547" s="131" t="s">
        <v>11</v>
      </c>
      <c r="F1547" s="131" t="s">
        <v>247</v>
      </c>
      <c r="G1547" s="131" t="s">
        <v>31</v>
      </c>
      <c r="H1547" s="126"/>
      <c r="I1547" s="178" t="str">
        <f t="shared" si="190"/>
        <v>619080107 1 01 20060244</v>
      </c>
      <c r="L1547" s="20"/>
      <c r="M1547" s="20"/>
      <c r="N1547" s="20"/>
      <c r="O1547" s="20"/>
      <c r="P1547" s="20"/>
      <c r="Q1547" s="20"/>
      <c r="R1547" s="17"/>
    </row>
    <row r="1548" spans="1:18" s="16" customFormat="1" ht="47.25">
      <c r="A1548" s="14"/>
      <c r="B1548" s="127" t="s">
        <v>780</v>
      </c>
      <c r="C1548" s="131" t="s">
        <v>795</v>
      </c>
      <c r="D1548" s="131" t="s">
        <v>238</v>
      </c>
      <c r="E1548" s="131" t="s">
        <v>11</v>
      </c>
      <c r="F1548" s="131" t="s">
        <v>781</v>
      </c>
      <c r="G1548" s="131" t="s">
        <v>9</v>
      </c>
      <c r="H1548" s="161">
        <f>H1549</f>
        <v>0</v>
      </c>
      <c r="I1548" s="178" t="str">
        <f t="shared" si="190"/>
        <v>619080107 1 01 21130000</v>
      </c>
      <c r="L1548" s="55">
        <v>637.5</v>
      </c>
      <c r="M1548" s="55">
        <v>637.5</v>
      </c>
      <c r="N1548" s="55">
        <v>637.5</v>
      </c>
      <c r="O1548" s="55">
        <f>H1548-L1548</f>
        <v>-637.5</v>
      </c>
      <c r="P1548" s="55" t="e">
        <f>#REF!-M1548</f>
        <v>#REF!</v>
      </c>
      <c r="Q1548" s="55" t="e">
        <f>#REF!-N1548</f>
        <v>#REF!</v>
      </c>
      <c r="R1548" s="17" t="str">
        <f t="shared" si="185"/>
        <v>07 1 01 21130000</v>
      </c>
    </row>
    <row r="1549" spans="1:18" s="16" customFormat="1" ht="31.5">
      <c r="A1549" s="14"/>
      <c r="B1549" s="125" t="s">
        <v>28</v>
      </c>
      <c r="C1549" s="131" t="s">
        <v>795</v>
      </c>
      <c r="D1549" s="131" t="s">
        <v>238</v>
      </c>
      <c r="E1549" s="131" t="s">
        <v>11</v>
      </c>
      <c r="F1549" s="131" t="s">
        <v>781</v>
      </c>
      <c r="G1549" s="131" t="s">
        <v>29</v>
      </c>
      <c r="H1549" s="126">
        <f>H1550</f>
        <v>0</v>
      </c>
      <c r="I1549" s="178" t="str">
        <f t="shared" si="190"/>
        <v>619080107 1 01 21130240</v>
      </c>
      <c r="L1549" s="20">
        <v>637.5</v>
      </c>
      <c r="M1549" s="20">
        <v>637.5</v>
      </c>
      <c r="N1549" s="20">
        <v>637.5</v>
      </c>
      <c r="O1549" s="20">
        <f>H1549-L1549</f>
        <v>-637.5</v>
      </c>
      <c r="P1549" s="20" t="e">
        <f>#REF!-M1549</f>
        <v>#REF!</v>
      </c>
      <c r="Q1549" s="20" t="e">
        <f>#REF!-N1549</f>
        <v>#REF!</v>
      </c>
      <c r="R1549" s="17" t="str">
        <f t="shared" si="185"/>
        <v>07 1 01 21130240</v>
      </c>
    </row>
    <row r="1550" spans="1:18" s="16" customFormat="1" ht="15.75">
      <c r="A1550" s="14"/>
      <c r="B1550" s="125" t="s">
        <v>30</v>
      </c>
      <c r="C1550" s="131" t="s">
        <v>795</v>
      </c>
      <c r="D1550" s="131" t="s">
        <v>238</v>
      </c>
      <c r="E1550" s="131" t="s">
        <v>11</v>
      </c>
      <c r="F1550" s="131" t="s">
        <v>781</v>
      </c>
      <c r="G1550" s="131" t="s">
        <v>31</v>
      </c>
      <c r="H1550" s="126"/>
      <c r="I1550" s="178" t="str">
        <f t="shared" si="190"/>
        <v>619080107 1 01 21130244</v>
      </c>
      <c r="L1550" s="20"/>
      <c r="M1550" s="20"/>
      <c r="N1550" s="20"/>
      <c r="O1550" s="20"/>
      <c r="P1550" s="20"/>
      <c r="Q1550" s="20"/>
      <c r="R1550" s="17"/>
    </row>
    <row r="1551" spans="1:18" s="16" customFormat="1" ht="15.75">
      <c r="A1551" s="14"/>
      <c r="B1551" s="125"/>
      <c r="C1551" s="131"/>
      <c r="D1551" s="131"/>
      <c r="E1551" s="131"/>
      <c r="F1551" s="131"/>
      <c r="G1551" s="131"/>
      <c r="H1551" s="126"/>
      <c r="I1551" s="178" t="str">
        <f t="shared" si="190"/>
        <v/>
      </c>
      <c r="L1551" s="20"/>
      <c r="M1551" s="20"/>
      <c r="N1551" s="20"/>
      <c r="O1551" s="20">
        <f t="shared" ref="O1551:O1559" si="197">H1551-L1551</f>
        <v>0</v>
      </c>
      <c r="P1551" s="20" t="e">
        <f>#REF!-M1551</f>
        <v>#REF!</v>
      </c>
      <c r="Q1551" s="20" t="e">
        <f>#REF!-N1551</f>
        <v>#REF!</v>
      </c>
      <c r="R1551" s="17" t="str">
        <f t="shared" si="185"/>
        <v/>
      </c>
    </row>
    <row r="1552" spans="1:18" s="16" customFormat="1" ht="31.5">
      <c r="A1552" s="14"/>
      <c r="B1552" s="67" t="s">
        <v>805</v>
      </c>
      <c r="C1552" s="116" t="s">
        <v>410</v>
      </c>
      <c r="D1552" s="69" t="s">
        <v>7</v>
      </c>
      <c r="E1552" s="69" t="s">
        <v>7</v>
      </c>
      <c r="F1552" s="69" t="s">
        <v>8</v>
      </c>
      <c r="G1552" s="69" t="s">
        <v>9</v>
      </c>
      <c r="H1552" s="162">
        <f>H1553+H1566+H1644+H1744+H1736</f>
        <v>0</v>
      </c>
      <c r="I1552" s="178" t="str">
        <f t="shared" si="190"/>
        <v>620000000 0 00 00000000</v>
      </c>
      <c r="L1552" s="56">
        <v>613479.86</v>
      </c>
      <c r="M1552" s="56">
        <v>551006.57000000007</v>
      </c>
      <c r="N1552" s="56">
        <v>543634.79</v>
      </c>
      <c r="O1552" s="56">
        <f t="shared" si="197"/>
        <v>-613479.86</v>
      </c>
      <c r="P1552" s="56" t="e">
        <f>#REF!-M1552</f>
        <v>#REF!</v>
      </c>
      <c r="Q1552" s="56" t="e">
        <f>#REF!-N1552</f>
        <v>#REF!</v>
      </c>
      <c r="R1552" s="17" t="str">
        <f t="shared" si="185"/>
        <v>00 0 00 00000000</v>
      </c>
    </row>
    <row r="1553" spans="1:18" s="16" customFormat="1" ht="15.75">
      <c r="A1553" s="14"/>
      <c r="B1553" s="117" t="s">
        <v>10</v>
      </c>
      <c r="C1553" s="118" t="s">
        <v>410</v>
      </c>
      <c r="D1553" s="119" t="s">
        <v>11</v>
      </c>
      <c r="E1553" s="119" t="s">
        <v>7</v>
      </c>
      <c r="F1553" s="119" t="s">
        <v>8</v>
      </c>
      <c r="G1553" s="119" t="s">
        <v>9</v>
      </c>
      <c r="H1553" s="120">
        <f t="shared" ref="H1553:H1561" si="198">H1554</f>
        <v>0</v>
      </c>
      <c r="I1553" s="178" t="str">
        <f t="shared" si="190"/>
        <v>620010000 0 00 00000000</v>
      </c>
      <c r="L1553" s="18">
        <v>571.66</v>
      </c>
      <c r="M1553" s="18">
        <v>571.66</v>
      </c>
      <c r="N1553" s="18">
        <v>571.66</v>
      </c>
      <c r="O1553" s="18">
        <f t="shared" si="197"/>
        <v>-571.66</v>
      </c>
      <c r="P1553" s="18" t="e">
        <f>#REF!-M1553</f>
        <v>#REF!</v>
      </c>
      <c r="Q1553" s="18" t="e">
        <f>#REF!-N1553</f>
        <v>#REF!</v>
      </c>
      <c r="R1553" s="17" t="str">
        <f t="shared" si="185"/>
        <v>00 0 00 00000000</v>
      </c>
    </row>
    <row r="1554" spans="1:18" s="16" customFormat="1" ht="15.75">
      <c r="A1554" s="14"/>
      <c r="B1554" s="121" t="s">
        <v>50</v>
      </c>
      <c r="C1554" s="122" t="s">
        <v>410</v>
      </c>
      <c r="D1554" s="123" t="s">
        <v>11</v>
      </c>
      <c r="E1554" s="123" t="s">
        <v>51</v>
      </c>
      <c r="F1554" s="123" t="s">
        <v>8</v>
      </c>
      <c r="G1554" s="123" t="s">
        <v>9</v>
      </c>
      <c r="H1554" s="124">
        <f>H1561+H1555</f>
        <v>0</v>
      </c>
      <c r="I1554" s="178" t="str">
        <f t="shared" si="190"/>
        <v>620011300 0 00 00000000</v>
      </c>
      <c r="L1554" s="19">
        <v>571.66</v>
      </c>
      <c r="M1554" s="19">
        <v>571.66</v>
      </c>
      <c r="N1554" s="19">
        <v>571.66</v>
      </c>
      <c r="O1554" s="19">
        <f t="shared" si="197"/>
        <v>-571.66</v>
      </c>
      <c r="P1554" s="19" t="e">
        <f>#REF!-M1554</f>
        <v>#REF!</v>
      </c>
      <c r="Q1554" s="19" t="e">
        <f>#REF!-N1554</f>
        <v>#REF!</v>
      </c>
      <c r="R1554" s="17" t="str">
        <f t="shared" si="185"/>
        <v>00 0 00 00000000</v>
      </c>
    </row>
    <row r="1555" spans="1:18" s="16" customFormat="1" ht="63">
      <c r="A1555" s="14"/>
      <c r="B1555" s="125" t="s">
        <v>257</v>
      </c>
      <c r="C1555" s="109" t="s">
        <v>410</v>
      </c>
      <c r="D1555" s="108" t="s">
        <v>11</v>
      </c>
      <c r="E1555" s="108" t="s">
        <v>51</v>
      </c>
      <c r="F1555" s="14" t="s">
        <v>258</v>
      </c>
      <c r="G1555" s="108" t="s">
        <v>9</v>
      </c>
      <c r="H1555" s="126">
        <f>H1556</f>
        <v>0</v>
      </c>
      <c r="I1555" s="178" t="str">
        <f t="shared" si="190"/>
        <v>620011311 0 00 00000000</v>
      </c>
      <c r="L1555" s="20">
        <v>71.66</v>
      </c>
      <c r="M1555" s="20">
        <v>71.66</v>
      </c>
      <c r="N1555" s="20">
        <v>71.66</v>
      </c>
      <c r="O1555" s="20">
        <f t="shared" si="197"/>
        <v>-71.66</v>
      </c>
      <c r="P1555" s="20" t="e">
        <f>#REF!-M1555</f>
        <v>#REF!</v>
      </c>
      <c r="Q1555" s="20" t="e">
        <f>#REF!-N1555</f>
        <v>#REF!</v>
      </c>
      <c r="R1555" s="17" t="str">
        <f t="shared" ref="R1555:R1627" si="199">CONCATENATE(F1555,G1555)</f>
        <v>11 0 00 00000000</v>
      </c>
    </row>
    <row r="1556" spans="1:18" s="16" customFormat="1" ht="63">
      <c r="A1556" s="14"/>
      <c r="B1556" s="125" t="s">
        <v>259</v>
      </c>
      <c r="C1556" s="109" t="s">
        <v>410</v>
      </c>
      <c r="D1556" s="108" t="s">
        <v>11</v>
      </c>
      <c r="E1556" s="108" t="s">
        <v>51</v>
      </c>
      <c r="F1556" s="14" t="s">
        <v>260</v>
      </c>
      <c r="G1556" s="108" t="s">
        <v>9</v>
      </c>
      <c r="H1556" s="126">
        <f>H1557</f>
        <v>0</v>
      </c>
      <c r="I1556" s="178" t="str">
        <f t="shared" si="190"/>
        <v>620011311 Б 00 00000000</v>
      </c>
      <c r="L1556" s="20">
        <v>71.66</v>
      </c>
      <c r="M1556" s="20">
        <v>71.66</v>
      </c>
      <c r="N1556" s="20">
        <v>71.66</v>
      </c>
      <c r="O1556" s="20">
        <f t="shared" si="197"/>
        <v>-71.66</v>
      </c>
      <c r="P1556" s="20" t="e">
        <f>#REF!-M1556</f>
        <v>#REF!</v>
      </c>
      <c r="Q1556" s="20" t="e">
        <f>#REF!-N1556</f>
        <v>#REF!</v>
      </c>
      <c r="R1556" s="17" t="str">
        <f t="shared" si="199"/>
        <v>11 Б 00 00000000</v>
      </c>
    </row>
    <row r="1557" spans="1:18" s="16" customFormat="1" ht="47.25">
      <c r="A1557" s="14"/>
      <c r="B1557" s="125" t="s">
        <v>261</v>
      </c>
      <c r="C1557" s="109" t="s">
        <v>410</v>
      </c>
      <c r="D1557" s="108" t="s">
        <v>11</v>
      </c>
      <c r="E1557" s="108" t="s">
        <v>51</v>
      </c>
      <c r="F1557" s="14" t="s">
        <v>262</v>
      </c>
      <c r="G1557" s="108" t="s">
        <v>9</v>
      </c>
      <c r="H1557" s="126">
        <f>H1558</f>
        <v>0</v>
      </c>
      <c r="I1557" s="178" t="str">
        <f t="shared" ref="I1557:I1620" si="200">C1557&amp;D1557&amp;E1557&amp;F1557&amp;G1557</f>
        <v>620011311 Б 01 00000000</v>
      </c>
      <c r="L1557" s="20">
        <v>71.66</v>
      </c>
      <c r="M1557" s="20">
        <v>71.66</v>
      </c>
      <c r="N1557" s="20">
        <v>71.66</v>
      </c>
      <c r="O1557" s="20">
        <f t="shared" si="197"/>
        <v>-71.66</v>
      </c>
      <c r="P1557" s="20" t="e">
        <f>#REF!-M1557</f>
        <v>#REF!</v>
      </c>
      <c r="Q1557" s="20" t="e">
        <f>#REF!-N1557</f>
        <v>#REF!</v>
      </c>
      <c r="R1557" s="17" t="str">
        <f t="shared" si="199"/>
        <v>11 Б 01 00000000</v>
      </c>
    </row>
    <row r="1558" spans="1:18" s="16" customFormat="1" ht="31.5">
      <c r="A1558" s="14"/>
      <c r="B1558" s="125" t="s">
        <v>267</v>
      </c>
      <c r="C1558" s="109" t="s">
        <v>410</v>
      </c>
      <c r="D1558" s="108" t="s">
        <v>11</v>
      </c>
      <c r="E1558" s="108" t="s">
        <v>51</v>
      </c>
      <c r="F1558" s="14" t="s">
        <v>268</v>
      </c>
      <c r="G1558" s="108" t="s">
        <v>9</v>
      </c>
      <c r="H1558" s="126">
        <f>H1559</f>
        <v>0</v>
      </c>
      <c r="I1558" s="178" t="str">
        <f t="shared" si="200"/>
        <v>620011311 Б 01 21120000</v>
      </c>
      <c r="L1558" s="20">
        <v>71.66</v>
      </c>
      <c r="M1558" s="20">
        <v>71.66</v>
      </c>
      <c r="N1558" s="20">
        <v>71.66</v>
      </c>
      <c r="O1558" s="20">
        <f t="shared" si="197"/>
        <v>-71.66</v>
      </c>
      <c r="P1558" s="20" t="e">
        <f>#REF!-M1558</f>
        <v>#REF!</v>
      </c>
      <c r="Q1558" s="20" t="e">
        <f>#REF!-N1558</f>
        <v>#REF!</v>
      </c>
      <c r="R1558" s="17" t="str">
        <f t="shared" si="199"/>
        <v>11 Б 01 21120000</v>
      </c>
    </row>
    <row r="1559" spans="1:18" s="16" customFormat="1" ht="31.5">
      <c r="A1559" s="14"/>
      <c r="B1559" s="125" t="s">
        <v>28</v>
      </c>
      <c r="C1559" s="109" t="s">
        <v>410</v>
      </c>
      <c r="D1559" s="108" t="s">
        <v>11</v>
      </c>
      <c r="E1559" s="108" t="s">
        <v>51</v>
      </c>
      <c r="F1559" s="14" t="s">
        <v>268</v>
      </c>
      <c r="G1559" s="108" t="s">
        <v>29</v>
      </c>
      <c r="H1559" s="126">
        <f>H1560</f>
        <v>0</v>
      </c>
      <c r="I1559" s="178" t="str">
        <f t="shared" si="200"/>
        <v>620011311 Б 01 21120240</v>
      </c>
      <c r="L1559" s="20">
        <v>71.66</v>
      </c>
      <c r="M1559" s="20">
        <v>71.66</v>
      </c>
      <c r="N1559" s="20">
        <v>71.66</v>
      </c>
      <c r="O1559" s="20">
        <f t="shared" si="197"/>
        <v>-71.66</v>
      </c>
      <c r="P1559" s="20" t="e">
        <f>#REF!-M1559</f>
        <v>#REF!</v>
      </c>
      <c r="Q1559" s="20" t="e">
        <f>#REF!-N1559</f>
        <v>#REF!</v>
      </c>
      <c r="R1559" s="17" t="str">
        <f t="shared" si="199"/>
        <v>11 Б 01 21120240</v>
      </c>
    </row>
    <row r="1560" spans="1:18" s="16" customFormat="1" ht="15.75">
      <c r="A1560" s="14"/>
      <c r="B1560" s="125" t="s">
        <v>30</v>
      </c>
      <c r="C1560" s="109" t="s">
        <v>410</v>
      </c>
      <c r="D1560" s="108" t="s">
        <v>11</v>
      </c>
      <c r="E1560" s="108" t="s">
        <v>51</v>
      </c>
      <c r="F1560" s="14" t="s">
        <v>268</v>
      </c>
      <c r="G1560" s="108" t="s">
        <v>31</v>
      </c>
      <c r="H1560" s="126"/>
      <c r="I1560" s="178" t="str">
        <f t="shared" si="200"/>
        <v>620011311 Б 01 21120244</v>
      </c>
      <c r="L1560" s="20"/>
      <c r="M1560" s="20"/>
      <c r="N1560" s="20"/>
      <c r="O1560" s="20"/>
      <c r="P1560" s="20"/>
      <c r="Q1560" s="20"/>
      <c r="R1560" s="17"/>
    </row>
    <row r="1561" spans="1:18" s="16" customFormat="1" ht="31.5">
      <c r="A1561" s="14"/>
      <c r="B1561" s="125" t="s">
        <v>806</v>
      </c>
      <c r="C1561" s="108" t="s">
        <v>410</v>
      </c>
      <c r="D1561" s="108" t="s">
        <v>11</v>
      </c>
      <c r="E1561" s="108" t="s">
        <v>51</v>
      </c>
      <c r="F1561" s="108" t="s">
        <v>807</v>
      </c>
      <c r="G1561" s="108" t="s">
        <v>9</v>
      </c>
      <c r="H1561" s="126">
        <f t="shared" si="198"/>
        <v>0</v>
      </c>
      <c r="I1561" s="178" t="str">
        <f t="shared" si="200"/>
        <v>620011383 0 00 00000000</v>
      </c>
      <c r="L1561" s="20">
        <v>500</v>
      </c>
      <c r="M1561" s="20">
        <v>500</v>
      </c>
      <c r="N1561" s="20">
        <v>500</v>
      </c>
      <c r="O1561" s="20">
        <f>H1561-L1561</f>
        <v>-500</v>
      </c>
      <c r="P1561" s="20" t="e">
        <f>#REF!-M1561</f>
        <v>#REF!</v>
      </c>
      <c r="Q1561" s="20" t="e">
        <f>#REF!-N1561</f>
        <v>#REF!</v>
      </c>
      <c r="R1561" s="17" t="str">
        <f t="shared" si="199"/>
        <v>83 0 00 00000000</v>
      </c>
    </row>
    <row r="1562" spans="1:18" s="16" customFormat="1" ht="47.25">
      <c r="A1562" s="14"/>
      <c r="B1562" s="125" t="s">
        <v>808</v>
      </c>
      <c r="C1562" s="108" t="s">
        <v>410</v>
      </c>
      <c r="D1562" s="108" t="s">
        <v>11</v>
      </c>
      <c r="E1562" s="108" t="s">
        <v>51</v>
      </c>
      <c r="F1562" s="108" t="s">
        <v>809</v>
      </c>
      <c r="G1562" s="108" t="s">
        <v>9</v>
      </c>
      <c r="H1562" s="126">
        <f>H1563</f>
        <v>0</v>
      </c>
      <c r="I1562" s="178" t="str">
        <f t="shared" si="200"/>
        <v>620011383 1 00 00000000</v>
      </c>
      <c r="L1562" s="20">
        <v>500</v>
      </c>
      <c r="M1562" s="20">
        <v>500</v>
      </c>
      <c r="N1562" s="20">
        <v>500</v>
      </c>
      <c r="O1562" s="20">
        <f>H1562-L1562</f>
        <v>-500</v>
      </c>
      <c r="P1562" s="20" t="e">
        <f>#REF!-M1562</f>
        <v>#REF!</v>
      </c>
      <c r="Q1562" s="20" t="e">
        <f>#REF!-N1562</f>
        <v>#REF!</v>
      </c>
      <c r="R1562" s="17" t="str">
        <f t="shared" si="199"/>
        <v>83 1 00 00000000</v>
      </c>
    </row>
    <row r="1563" spans="1:18" s="16" customFormat="1" ht="31.5">
      <c r="A1563" s="14"/>
      <c r="B1563" s="125" t="s">
        <v>187</v>
      </c>
      <c r="C1563" s="108" t="s">
        <v>410</v>
      </c>
      <c r="D1563" s="108" t="s">
        <v>11</v>
      </c>
      <c r="E1563" s="108" t="s">
        <v>51</v>
      </c>
      <c r="F1563" s="108" t="s">
        <v>810</v>
      </c>
      <c r="G1563" s="108" t="s">
        <v>9</v>
      </c>
      <c r="H1563" s="126">
        <f>H1564</f>
        <v>0</v>
      </c>
      <c r="I1563" s="178" t="str">
        <f t="shared" si="200"/>
        <v>620011383 1 00 20050000</v>
      </c>
      <c r="L1563" s="20">
        <v>500</v>
      </c>
      <c r="M1563" s="20">
        <v>500</v>
      </c>
      <c r="N1563" s="20">
        <v>500</v>
      </c>
      <c r="O1563" s="20">
        <f>H1563-L1563</f>
        <v>-500</v>
      </c>
      <c r="P1563" s="20" t="e">
        <f>#REF!-M1563</f>
        <v>#REF!</v>
      </c>
      <c r="Q1563" s="20" t="e">
        <f>#REF!-N1563</f>
        <v>#REF!</v>
      </c>
      <c r="R1563" s="17" t="str">
        <f t="shared" si="199"/>
        <v>83 1 00 20050000</v>
      </c>
    </row>
    <row r="1564" spans="1:18" s="16" customFormat="1" ht="15.75">
      <c r="A1564" s="14"/>
      <c r="B1564" s="125" t="s">
        <v>189</v>
      </c>
      <c r="C1564" s="108" t="s">
        <v>410</v>
      </c>
      <c r="D1564" s="108" t="s">
        <v>11</v>
      </c>
      <c r="E1564" s="108" t="s">
        <v>51</v>
      </c>
      <c r="F1564" s="108" t="s">
        <v>810</v>
      </c>
      <c r="G1564" s="108" t="s">
        <v>190</v>
      </c>
      <c r="H1564" s="126">
        <f>H1565</f>
        <v>0</v>
      </c>
      <c r="I1564" s="178" t="str">
        <f t="shared" si="200"/>
        <v>620011383 1 00 20050830</v>
      </c>
      <c r="L1564" s="20">
        <v>500</v>
      </c>
      <c r="M1564" s="20">
        <v>500</v>
      </c>
      <c r="N1564" s="20">
        <v>500</v>
      </c>
      <c r="O1564" s="20">
        <f>H1564-L1564</f>
        <v>-500</v>
      </c>
      <c r="P1564" s="20" t="e">
        <f>#REF!-M1564</f>
        <v>#REF!</v>
      </c>
      <c r="Q1564" s="20" t="e">
        <f>#REF!-N1564</f>
        <v>#REF!</v>
      </c>
      <c r="R1564" s="17" t="str">
        <f t="shared" si="199"/>
        <v>83 1 00 20050830</v>
      </c>
    </row>
    <row r="1565" spans="1:18" s="16" customFormat="1" ht="47.25">
      <c r="A1565" s="14"/>
      <c r="B1565" s="125" t="s">
        <v>191</v>
      </c>
      <c r="C1565" s="108" t="s">
        <v>410</v>
      </c>
      <c r="D1565" s="108" t="s">
        <v>11</v>
      </c>
      <c r="E1565" s="108" t="s">
        <v>51</v>
      </c>
      <c r="F1565" s="108" t="s">
        <v>810</v>
      </c>
      <c r="G1565" s="108" t="s">
        <v>192</v>
      </c>
      <c r="H1565" s="126"/>
      <c r="I1565" s="178" t="str">
        <f t="shared" si="200"/>
        <v>620011383 1 00 20050831</v>
      </c>
      <c r="L1565" s="20"/>
      <c r="M1565" s="20"/>
      <c r="N1565" s="20"/>
      <c r="O1565" s="20"/>
      <c r="P1565" s="20"/>
      <c r="Q1565" s="20"/>
      <c r="R1565" s="17"/>
    </row>
    <row r="1566" spans="1:18" s="16" customFormat="1" ht="15.75">
      <c r="A1566" s="14"/>
      <c r="B1566" s="117" t="s">
        <v>195</v>
      </c>
      <c r="C1566" s="118" t="s">
        <v>410</v>
      </c>
      <c r="D1566" s="119" t="s">
        <v>73</v>
      </c>
      <c r="E1566" s="119" t="s">
        <v>7</v>
      </c>
      <c r="F1566" s="119" t="s">
        <v>8</v>
      </c>
      <c r="G1566" s="119" t="s">
        <v>9</v>
      </c>
      <c r="H1566" s="120">
        <f>H1567+H1575+H1593+H1638</f>
        <v>0</v>
      </c>
      <c r="I1566" s="178" t="str">
        <f t="shared" si="200"/>
        <v>620040000 0 00 00000000</v>
      </c>
      <c r="L1566" s="18">
        <v>307061.11</v>
      </c>
      <c r="M1566" s="18">
        <v>263240.06</v>
      </c>
      <c r="N1566" s="18">
        <v>252044.31999999998</v>
      </c>
      <c r="O1566" s="18">
        <f t="shared" ref="O1566:O1572" si="201">H1566-L1566</f>
        <v>-307061.11</v>
      </c>
      <c r="P1566" s="18" t="e">
        <f>#REF!-M1566</f>
        <v>#REF!</v>
      </c>
      <c r="Q1566" s="18" t="e">
        <f>#REF!-N1566</f>
        <v>#REF!</v>
      </c>
      <c r="R1566" s="17" t="str">
        <f t="shared" si="199"/>
        <v>00 0 00 00000000</v>
      </c>
    </row>
    <row r="1567" spans="1:18" s="16" customFormat="1" ht="15.75">
      <c r="A1567" s="14"/>
      <c r="B1567" s="121" t="s">
        <v>811</v>
      </c>
      <c r="C1567" s="122" t="s">
        <v>410</v>
      </c>
      <c r="D1567" s="123" t="s">
        <v>73</v>
      </c>
      <c r="E1567" s="123" t="s">
        <v>229</v>
      </c>
      <c r="F1567" s="123" t="s">
        <v>8</v>
      </c>
      <c r="G1567" s="123" t="s">
        <v>9</v>
      </c>
      <c r="H1567" s="124">
        <f t="shared" ref="H1567:H1571" si="202">H1568</f>
        <v>0</v>
      </c>
      <c r="I1567" s="178" t="str">
        <f t="shared" si="200"/>
        <v>620040700 0 00 00000000</v>
      </c>
      <c r="L1567" s="19">
        <v>13609.359999999999</v>
      </c>
      <c r="M1567" s="19">
        <v>13609.359999999999</v>
      </c>
      <c r="N1567" s="19">
        <v>13609.359999999999</v>
      </c>
      <c r="O1567" s="19">
        <f t="shared" si="201"/>
        <v>-13609.359999999999</v>
      </c>
      <c r="P1567" s="19" t="e">
        <f>#REF!-M1567</f>
        <v>#REF!</v>
      </c>
      <c r="Q1567" s="19" t="e">
        <f>#REF!-N1567</f>
        <v>#REF!</v>
      </c>
      <c r="R1567" s="17" t="str">
        <f t="shared" si="199"/>
        <v>00 0 00 00000000</v>
      </c>
    </row>
    <row r="1568" spans="1:18" s="16" customFormat="1" ht="63">
      <c r="A1568" s="14"/>
      <c r="B1568" s="127" t="s">
        <v>293</v>
      </c>
      <c r="C1568" s="108" t="s">
        <v>410</v>
      </c>
      <c r="D1568" s="108" t="s">
        <v>73</v>
      </c>
      <c r="E1568" s="108" t="s">
        <v>229</v>
      </c>
      <c r="F1568" s="108" t="s">
        <v>294</v>
      </c>
      <c r="G1568" s="108" t="s">
        <v>9</v>
      </c>
      <c r="H1568" s="126">
        <f t="shared" si="202"/>
        <v>0</v>
      </c>
      <c r="I1568" s="178" t="str">
        <f t="shared" si="200"/>
        <v>620040704 0 00 00000000</v>
      </c>
      <c r="L1568" s="20">
        <v>13609.359999999999</v>
      </c>
      <c r="M1568" s="20">
        <v>13609.359999999999</v>
      </c>
      <c r="N1568" s="20">
        <v>13609.359999999999</v>
      </c>
      <c r="O1568" s="20">
        <f t="shared" si="201"/>
        <v>-13609.359999999999</v>
      </c>
      <c r="P1568" s="20" t="e">
        <f>#REF!-M1568</f>
        <v>#REF!</v>
      </c>
      <c r="Q1568" s="20" t="e">
        <f>#REF!-N1568</f>
        <v>#REF!</v>
      </c>
      <c r="R1568" s="17" t="str">
        <f t="shared" si="199"/>
        <v>04 0 00 00000000</v>
      </c>
    </row>
    <row r="1569" spans="1:18" s="16" customFormat="1" ht="31.5">
      <c r="A1569" s="14"/>
      <c r="B1569" s="125" t="s">
        <v>307</v>
      </c>
      <c r="C1569" s="108" t="s">
        <v>410</v>
      </c>
      <c r="D1569" s="108" t="s">
        <v>73</v>
      </c>
      <c r="E1569" s="108" t="s">
        <v>229</v>
      </c>
      <c r="F1569" s="108" t="s">
        <v>308</v>
      </c>
      <c r="G1569" s="108" t="s">
        <v>9</v>
      </c>
      <c r="H1569" s="126">
        <f>H1570</f>
        <v>0</v>
      </c>
      <c r="I1569" s="178" t="str">
        <f t="shared" si="200"/>
        <v>620040704 3 00 00000000</v>
      </c>
      <c r="L1569" s="20">
        <v>13609.359999999999</v>
      </c>
      <c r="M1569" s="20">
        <v>13609.359999999999</v>
      </c>
      <c r="N1569" s="20">
        <v>13609.359999999999</v>
      </c>
      <c r="O1569" s="20">
        <f t="shared" si="201"/>
        <v>-13609.359999999999</v>
      </c>
      <c r="P1569" s="20" t="e">
        <f>#REF!-M1569</f>
        <v>#REF!</v>
      </c>
      <c r="Q1569" s="20" t="e">
        <f>#REF!-N1569</f>
        <v>#REF!</v>
      </c>
      <c r="R1569" s="17" t="str">
        <f t="shared" si="199"/>
        <v>04 3 00 00000000</v>
      </c>
    </row>
    <row r="1570" spans="1:18" s="16" customFormat="1" ht="47.25">
      <c r="A1570" s="14"/>
      <c r="B1570" s="125" t="s">
        <v>812</v>
      </c>
      <c r="C1570" s="108" t="s">
        <v>410</v>
      </c>
      <c r="D1570" s="108" t="s">
        <v>73</v>
      </c>
      <c r="E1570" s="108" t="s">
        <v>229</v>
      </c>
      <c r="F1570" s="108" t="s">
        <v>813</v>
      </c>
      <c r="G1570" s="108" t="s">
        <v>9</v>
      </c>
      <c r="H1570" s="126">
        <f>H1571</f>
        <v>0</v>
      </c>
      <c r="I1570" s="178" t="str">
        <f t="shared" si="200"/>
        <v>620040704 3 01 00000000</v>
      </c>
      <c r="L1570" s="20">
        <v>13609.359999999999</v>
      </c>
      <c r="M1570" s="20">
        <v>13609.359999999999</v>
      </c>
      <c r="N1570" s="20">
        <v>13609.359999999999</v>
      </c>
      <c r="O1570" s="20">
        <f t="shared" si="201"/>
        <v>-13609.359999999999</v>
      </c>
      <c r="P1570" s="20" t="e">
        <f>#REF!-M1570</f>
        <v>#REF!</v>
      </c>
      <c r="Q1570" s="20" t="e">
        <f>#REF!-N1570</f>
        <v>#REF!</v>
      </c>
      <c r="R1570" s="17" t="str">
        <f t="shared" si="199"/>
        <v>04 3 01 00000000</v>
      </c>
    </row>
    <row r="1571" spans="1:18" s="16" customFormat="1" ht="31.5">
      <c r="A1571" s="14"/>
      <c r="B1571" s="125" t="s">
        <v>136</v>
      </c>
      <c r="C1571" s="108" t="s">
        <v>410</v>
      </c>
      <c r="D1571" s="108" t="s">
        <v>73</v>
      </c>
      <c r="E1571" s="108" t="s">
        <v>229</v>
      </c>
      <c r="F1571" s="108" t="s">
        <v>814</v>
      </c>
      <c r="G1571" s="108" t="s">
        <v>9</v>
      </c>
      <c r="H1571" s="126">
        <f t="shared" si="202"/>
        <v>0</v>
      </c>
      <c r="I1571" s="178" t="str">
        <f t="shared" si="200"/>
        <v>620040704 3 01 11010000</v>
      </c>
      <c r="L1571" s="20">
        <v>13609.359999999999</v>
      </c>
      <c r="M1571" s="20">
        <v>13609.359999999999</v>
      </c>
      <c r="N1571" s="20">
        <v>13609.359999999999</v>
      </c>
      <c r="O1571" s="20">
        <f t="shared" si="201"/>
        <v>-13609.359999999999</v>
      </c>
      <c r="P1571" s="20" t="e">
        <f>#REF!-M1571</f>
        <v>#REF!</v>
      </c>
      <c r="Q1571" s="20" t="e">
        <f>#REF!-N1571</f>
        <v>#REF!</v>
      </c>
      <c r="R1571" s="17" t="str">
        <f t="shared" si="199"/>
        <v>04 3 01 11010000</v>
      </c>
    </row>
    <row r="1572" spans="1:18" s="16" customFormat="1" ht="15.75">
      <c r="A1572" s="14"/>
      <c r="B1572" s="132" t="s">
        <v>403</v>
      </c>
      <c r="C1572" s="108" t="s">
        <v>410</v>
      </c>
      <c r="D1572" s="108" t="s">
        <v>73</v>
      </c>
      <c r="E1572" s="108" t="s">
        <v>229</v>
      </c>
      <c r="F1572" s="108" t="s">
        <v>814</v>
      </c>
      <c r="G1572" s="108" t="s">
        <v>404</v>
      </c>
      <c r="H1572" s="126">
        <f>SUM(H1573:H1574)</f>
        <v>0</v>
      </c>
      <c r="I1572" s="178" t="str">
        <f t="shared" si="200"/>
        <v>620040704 3 01 11010610</v>
      </c>
      <c r="L1572" s="20">
        <v>13609.359999999999</v>
      </c>
      <c r="M1572" s="20">
        <v>13609.359999999999</v>
      </c>
      <c r="N1572" s="20">
        <v>13609.359999999999</v>
      </c>
      <c r="O1572" s="20">
        <f t="shared" si="201"/>
        <v>-13609.359999999999</v>
      </c>
      <c r="P1572" s="20" t="e">
        <f>#REF!-M1572</f>
        <v>#REF!</v>
      </c>
      <c r="Q1572" s="20" t="e">
        <f>#REF!-N1572</f>
        <v>#REF!</v>
      </c>
      <c r="R1572" s="17" t="str">
        <f t="shared" si="199"/>
        <v>04 3 01 11010610</v>
      </c>
    </row>
    <row r="1573" spans="1:18" s="23" customFormat="1" ht="63">
      <c r="A1573" s="21"/>
      <c r="B1573" s="127" t="s">
        <v>405</v>
      </c>
      <c r="C1573" s="108" t="s">
        <v>410</v>
      </c>
      <c r="D1573" s="108" t="s">
        <v>73</v>
      </c>
      <c r="E1573" s="108" t="s">
        <v>229</v>
      </c>
      <c r="F1573" s="108" t="s">
        <v>814</v>
      </c>
      <c r="G1573" s="108" t="s">
        <v>406</v>
      </c>
      <c r="H1573" s="126"/>
      <c r="I1573" s="178" t="str">
        <f t="shared" si="200"/>
        <v>620040704 3 01 11010611</v>
      </c>
      <c r="L1573" s="22"/>
      <c r="M1573" s="22"/>
      <c r="N1573" s="22"/>
      <c r="O1573" s="22"/>
      <c r="P1573" s="22"/>
      <c r="Q1573" s="22"/>
      <c r="R1573" s="24"/>
    </row>
    <row r="1574" spans="1:18" s="23" customFormat="1" ht="15.75">
      <c r="A1574" s="21"/>
      <c r="B1574" s="127" t="s">
        <v>407</v>
      </c>
      <c r="C1574" s="108" t="s">
        <v>410</v>
      </c>
      <c r="D1574" s="108" t="s">
        <v>73</v>
      </c>
      <c r="E1574" s="108" t="s">
        <v>229</v>
      </c>
      <c r="F1574" s="108" t="s">
        <v>814</v>
      </c>
      <c r="G1574" s="108" t="s">
        <v>408</v>
      </c>
      <c r="H1574" s="126"/>
      <c r="I1574" s="178" t="str">
        <f t="shared" si="200"/>
        <v>620040704 3 01 11010612</v>
      </c>
      <c r="L1574" s="22"/>
      <c r="M1574" s="22"/>
      <c r="N1574" s="22"/>
      <c r="O1574" s="22"/>
      <c r="P1574" s="22"/>
      <c r="Q1574" s="22"/>
      <c r="R1574" s="24"/>
    </row>
    <row r="1575" spans="1:18" s="16" customFormat="1" ht="15.75">
      <c r="A1575" s="14"/>
      <c r="B1575" s="121" t="s">
        <v>815</v>
      </c>
      <c r="C1575" s="122" t="s">
        <v>410</v>
      </c>
      <c r="D1575" s="123" t="s">
        <v>73</v>
      </c>
      <c r="E1575" s="123" t="s">
        <v>238</v>
      </c>
      <c r="F1575" s="123" t="s">
        <v>8</v>
      </c>
      <c r="G1575" s="123" t="s">
        <v>9</v>
      </c>
      <c r="H1575" s="124">
        <f>H1576+H1588</f>
        <v>0</v>
      </c>
      <c r="I1575" s="178" t="str">
        <f t="shared" si="200"/>
        <v>620040800 0 00 00000000</v>
      </c>
      <c r="L1575" s="19">
        <v>52490.759999999995</v>
      </c>
      <c r="M1575" s="19">
        <v>55046.320000000007</v>
      </c>
      <c r="N1575" s="19">
        <v>25587.94</v>
      </c>
      <c r="O1575" s="19">
        <f t="shared" ref="O1575:O1580" si="203">H1575-L1575</f>
        <v>-52490.759999999995</v>
      </c>
      <c r="P1575" s="19" t="e">
        <f>#REF!-M1575</f>
        <v>#REF!</v>
      </c>
      <c r="Q1575" s="19" t="e">
        <f>#REF!-N1575</f>
        <v>#REF!</v>
      </c>
      <c r="R1575" s="17" t="str">
        <f t="shared" si="199"/>
        <v>00 0 00 00000000</v>
      </c>
    </row>
    <row r="1576" spans="1:18" s="16" customFormat="1" ht="63">
      <c r="A1576" s="14"/>
      <c r="B1576" s="127" t="s">
        <v>293</v>
      </c>
      <c r="C1576" s="108" t="s">
        <v>410</v>
      </c>
      <c r="D1576" s="108" t="s">
        <v>73</v>
      </c>
      <c r="E1576" s="108" t="s">
        <v>238</v>
      </c>
      <c r="F1576" s="108" t="s">
        <v>294</v>
      </c>
      <c r="G1576" s="108" t="s">
        <v>9</v>
      </c>
      <c r="H1576" s="126">
        <f>H1577</f>
        <v>0</v>
      </c>
      <c r="I1576" s="178" t="str">
        <f t="shared" si="200"/>
        <v>620040804 0 00 00000000</v>
      </c>
      <c r="L1576" s="20">
        <v>52490.759999999995</v>
      </c>
      <c r="M1576" s="20">
        <v>55046.320000000007</v>
      </c>
      <c r="N1576" s="20">
        <v>25587.94</v>
      </c>
      <c r="O1576" s="20">
        <f t="shared" si="203"/>
        <v>-52490.759999999995</v>
      </c>
      <c r="P1576" s="20" t="e">
        <f>#REF!-M1576</f>
        <v>#REF!</v>
      </c>
      <c r="Q1576" s="20" t="e">
        <f>#REF!-N1576</f>
        <v>#REF!</v>
      </c>
      <c r="R1576" s="17" t="str">
        <f t="shared" si="199"/>
        <v>04 0 00 00000000</v>
      </c>
    </row>
    <row r="1577" spans="1:18" s="16" customFormat="1" ht="63">
      <c r="A1577" s="14"/>
      <c r="B1577" s="140" t="s">
        <v>295</v>
      </c>
      <c r="C1577" s="108" t="s">
        <v>410</v>
      </c>
      <c r="D1577" s="108" t="s">
        <v>73</v>
      </c>
      <c r="E1577" s="108" t="s">
        <v>238</v>
      </c>
      <c r="F1577" s="108" t="s">
        <v>296</v>
      </c>
      <c r="G1577" s="108" t="s">
        <v>9</v>
      </c>
      <c r="H1577" s="126">
        <f t="shared" ref="H1577" si="204">H1578</f>
        <v>0</v>
      </c>
      <c r="I1577" s="178" t="str">
        <f t="shared" si="200"/>
        <v>620040804 2 00 00000000</v>
      </c>
      <c r="L1577" s="20">
        <v>52490.759999999995</v>
      </c>
      <c r="M1577" s="20">
        <v>55046.320000000007</v>
      </c>
      <c r="N1577" s="20">
        <v>25587.94</v>
      </c>
      <c r="O1577" s="20">
        <f t="shared" si="203"/>
        <v>-52490.759999999995</v>
      </c>
      <c r="P1577" s="20" t="e">
        <f>#REF!-M1577</f>
        <v>#REF!</v>
      </c>
      <c r="Q1577" s="20" t="e">
        <f>#REF!-N1577</f>
        <v>#REF!</v>
      </c>
      <c r="R1577" s="17" t="str">
        <f t="shared" si="199"/>
        <v>04 2 00 00000000</v>
      </c>
    </row>
    <row r="1578" spans="1:18" s="16" customFormat="1" ht="63">
      <c r="A1578" s="14"/>
      <c r="B1578" s="135" t="s">
        <v>816</v>
      </c>
      <c r="C1578" s="108" t="s">
        <v>410</v>
      </c>
      <c r="D1578" s="108" t="s">
        <v>73</v>
      </c>
      <c r="E1578" s="108" t="s">
        <v>238</v>
      </c>
      <c r="F1578" s="108" t="s">
        <v>817</v>
      </c>
      <c r="G1578" s="108" t="s">
        <v>9</v>
      </c>
      <c r="H1578" s="126">
        <f>H1579+H1582+H1585</f>
        <v>0</v>
      </c>
      <c r="I1578" s="178" t="str">
        <f t="shared" si="200"/>
        <v>620040804 2 01 00000000</v>
      </c>
      <c r="L1578" s="20">
        <v>52490.759999999995</v>
      </c>
      <c r="M1578" s="20">
        <v>55046.320000000007</v>
      </c>
      <c r="N1578" s="20">
        <v>25587.94</v>
      </c>
      <c r="O1578" s="20">
        <f t="shared" si="203"/>
        <v>-52490.759999999995</v>
      </c>
      <c r="P1578" s="20" t="e">
        <f>#REF!-M1578</f>
        <v>#REF!</v>
      </c>
      <c r="Q1578" s="20" t="e">
        <f>#REF!-N1578</f>
        <v>#REF!</v>
      </c>
      <c r="R1578" s="17" t="str">
        <f t="shared" si="199"/>
        <v>04 2 01 00000000</v>
      </c>
    </row>
    <row r="1579" spans="1:18" s="16" customFormat="1" ht="31.5">
      <c r="A1579" s="14"/>
      <c r="B1579" s="135" t="s">
        <v>136</v>
      </c>
      <c r="C1579" s="108" t="s">
        <v>410</v>
      </c>
      <c r="D1579" s="108" t="s">
        <v>73</v>
      </c>
      <c r="E1579" s="108" t="s">
        <v>238</v>
      </c>
      <c r="F1579" s="108" t="s">
        <v>818</v>
      </c>
      <c r="G1579" s="108" t="s">
        <v>9</v>
      </c>
      <c r="H1579" s="126">
        <f>H1580</f>
        <v>0</v>
      </c>
      <c r="I1579" s="178" t="str">
        <f t="shared" si="200"/>
        <v>620040804 2 01 11010000</v>
      </c>
      <c r="L1579" s="20">
        <v>4023.94</v>
      </c>
      <c r="M1579" s="20">
        <v>4023.94</v>
      </c>
      <c r="N1579" s="20">
        <v>4023.94</v>
      </c>
      <c r="O1579" s="20">
        <f t="shared" si="203"/>
        <v>-4023.94</v>
      </c>
      <c r="P1579" s="20" t="e">
        <f>#REF!-M1579</f>
        <v>#REF!</v>
      </c>
      <c r="Q1579" s="20" t="e">
        <f>#REF!-N1579</f>
        <v>#REF!</v>
      </c>
      <c r="R1579" s="17" t="str">
        <f t="shared" si="199"/>
        <v>04 2 01 11010000</v>
      </c>
    </row>
    <row r="1580" spans="1:18" s="16" customFormat="1" ht="15.75">
      <c r="A1580" s="14"/>
      <c r="B1580" s="132" t="s">
        <v>403</v>
      </c>
      <c r="C1580" s="108" t="s">
        <v>410</v>
      </c>
      <c r="D1580" s="108" t="s">
        <v>73</v>
      </c>
      <c r="E1580" s="108" t="s">
        <v>238</v>
      </c>
      <c r="F1580" s="108" t="s">
        <v>818</v>
      </c>
      <c r="G1580" s="108" t="s">
        <v>404</v>
      </c>
      <c r="H1580" s="126">
        <f>H1581</f>
        <v>0</v>
      </c>
      <c r="I1580" s="178" t="str">
        <f t="shared" si="200"/>
        <v>620040804 2 01 11010610</v>
      </c>
      <c r="L1580" s="20">
        <v>4023.94</v>
      </c>
      <c r="M1580" s="20">
        <v>4023.94</v>
      </c>
      <c r="N1580" s="20">
        <v>4023.94</v>
      </c>
      <c r="O1580" s="20">
        <f t="shared" si="203"/>
        <v>-4023.94</v>
      </c>
      <c r="P1580" s="20" t="e">
        <f>#REF!-M1580</f>
        <v>#REF!</v>
      </c>
      <c r="Q1580" s="20" t="e">
        <f>#REF!-N1580</f>
        <v>#REF!</v>
      </c>
      <c r="R1580" s="17" t="str">
        <f t="shared" si="199"/>
        <v>04 2 01 11010610</v>
      </c>
    </row>
    <row r="1581" spans="1:18" s="23" customFormat="1" ht="63">
      <c r="A1581" s="21"/>
      <c r="B1581" s="127" t="s">
        <v>405</v>
      </c>
      <c r="C1581" s="108" t="s">
        <v>410</v>
      </c>
      <c r="D1581" s="108" t="s">
        <v>73</v>
      </c>
      <c r="E1581" s="108" t="s">
        <v>238</v>
      </c>
      <c r="F1581" s="108" t="s">
        <v>818</v>
      </c>
      <c r="G1581" s="108" t="s">
        <v>406</v>
      </c>
      <c r="H1581" s="126"/>
      <c r="I1581" s="178" t="str">
        <f t="shared" si="200"/>
        <v>620040804 2 01 11010611</v>
      </c>
      <c r="L1581" s="22"/>
      <c r="M1581" s="22"/>
      <c r="N1581" s="22"/>
      <c r="O1581" s="22"/>
      <c r="P1581" s="22"/>
      <c r="Q1581" s="22"/>
      <c r="R1581" s="24"/>
    </row>
    <row r="1582" spans="1:18" s="16" customFormat="1" ht="31.5">
      <c r="A1582" s="14"/>
      <c r="B1582" s="135" t="s">
        <v>819</v>
      </c>
      <c r="C1582" s="108" t="s">
        <v>410</v>
      </c>
      <c r="D1582" s="108" t="s">
        <v>73</v>
      </c>
      <c r="E1582" s="108" t="s">
        <v>238</v>
      </c>
      <c r="F1582" s="108" t="s">
        <v>820</v>
      </c>
      <c r="G1582" s="108" t="s">
        <v>9</v>
      </c>
      <c r="H1582" s="126">
        <f>H1583</f>
        <v>0</v>
      </c>
      <c r="I1582" s="178" t="str">
        <f t="shared" si="200"/>
        <v>620040804 2 01 60020000</v>
      </c>
      <c r="L1582" s="20">
        <v>11796.87</v>
      </c>
      <c r="M1582" s="20">
        <v>11796.87</v>
      </c>
      <c r="N1582" s="20">
        <v>21564</v>
      </c>
      <c r="O1582" s="20">
        <f>H1582-L1582</f>
        <v>-11796.87</v>
      </c>
      <c r="P1582" s="20" t="e">
        <f>#REF!-M1582</f>
        <v>#REF!</v>
      </c>
      <c r="Q1582" s="20" t="e">
        <f>#REF!-N1582</f>
        <v>#REF!</v>
      </c>
      <c r="R1582" s="17" t="str">
        <f t="shared" si="199"/>
        <v>04 2 01 60020000</v>
      </c>
    </row>
    <row r="1583" spans="1:18" s="16" customFormat="1" ht="63">
      <c r="A1583" s="14"/>
      <c r="B1583" s="129" t="s">
        <v>203</v>
      </c>
      <c r="C1583" s="108" t="s">
        <v>410</v>
      </c>
      <c r="D1583" s="108" t="s">
        <v>73</v>
      </c>
      <c r="E1583" s="108" t="s">
        <v>238</v>
      </c>
      <c r="F1583" s="108" t="s">
        <v>820</v>
      </c>
      <c r="G1583" s="108" t="s">
        <v>204</v>
      </c>
      <c r="H1583" s="126">
        <f>H1584</f>
        <v>0</v>
      </c>
      <c r="I1583" s="178" t="str">
        <f t="shared" si="200"/>
        <v>620040804 2 01 60020810</v>
      </c>
      <c r="L1583" s="57">
        <v>11796.87</v>
      </c>
      <c r="M1583" s="57">
        <v>11796.87</v>
      </c>
      <c r="N1583" s="57">
        <v>21564</v>
      </c>
      <c r="O1583" s="57">
        <f>H1583-L1583</f>
        <v>-11796.87</v>
      </c>
      <c r="P1583" s="57" t="e">
        <f>#REF!-M1583</f>
        <v>#REF!</v>
      </c>
      <c r="Q1583" s="57" t="e">
        <f>#REF!-N1583</f>
        <v>#REF!</v>
      </c>
      <c r="R1583" s="17" t="str">
        <f t="shared" si="199"/>
        <v>04 2 01 60020810</v>
      </c>
    </row>
    <row r="1584" spans="1:18" s="23" customFormat="1" ht="110.25">
      <c r="A1584" s="21"/>
      <c r="B1584" s="127" t="s">
        <v>207</v>
      </c>
      <c r="C1584" s="108" t="s">
        <v>410</v>
      </c>
      <c r="D1584" s="108" t="s">
        <v>73</v>
      </c>
      <c r="E1584" s="108" t="s">
        <v>238</v>
      </c>
      <c r="F1584" s="108" t="s">
        <v>820</v>
      </c>
      <c r="G1584" s="108" t="s">
        <v>208</v>
      </c>
      <c r="H1584" s="126"/>
      <c r="I1584" s="178" t="str">
        <f t="shared" si="200"/>
        <v>620040804 2 01 60020812</v>
      </c>
      <c r="L1584" s="58"/>
      <c r="M1584" s="58"/>
      <c r="N1584" s="58"/>
      <c r="O1584" s="58"/>
      <c r="P1584" s="58"/>
      <c r="Q1584" s="58"/>
      <c r="R1584" s="24"/>
    </row>
    <row r="1585" spans="1:18" s="59" customFormat="1" ht="157.5">
      <c r="A1585" s="92"/>
      <c r="B1585" s="129" t="s">
        <v>821</v>
      </c>
      <c r="C1585" s="108" t="s">
        <v>410</v>
      </c>
      <c r="D1585" s="108" t="s">
        <v>73</v>
      </c>
      <c r="E1585" s="108" t="s">
        <v>238</v>
      </c>
      <c r="F1585" s="108" t="s">
        <v>822</v>
      </c>
      <c r="G1585" s="108" t="s">
        <v>9</v>
      </c>
      <c r="H1585" s="126">
        <f>H1586</f>
        <v>0</v>
      </c>
      <c r="I1585" s="178" t="str">
        <f t="shared" si="200"/>
        <v>620040804 2 01 60070000</v>
      </c>
      <c r="L1585" s="20">
        <v>36669.949999999997</v>
      </c>
      <c r="M1585" s="20">
        <v>39225.51</v>
      </c>
      <c r="N1585" s="20">
        <v>0</v>
      </c>
      <c r="O1585" s="20">
        <f>H1585-L1585</f>
        <v>-36669.949999999997</v>
      </c>
      <c r="P1585" s="20" t="e">
        <f>#REF!-M1585</f>
        <v>#REF!</v>
      </c>
      <c r="Q1585" s="20" t="e">
        <f>#REF!-N1585</f>
        <v>#REF!</v>
      </c>
      <c r="R1585" s="17" t="str">
        <f t="shared" si="199"/>
        <v>04 2 01 60070000</v>
      </c>
    </row>
    <row r="1586" spans="1:18" s="59" customFormat="1" ht="63">
      <c r="A1586" s="92"/>
      <c r="B1586" s="129" t="s">
        <v>203</v>
      </c>
      <c r="C1586" s="108" t="s">
        <v>410</v>
      </c>
      <c r="D1586" s="108" t="s">
        <v>73</v>
      </c>
      <c r="E1586" s="108" t="s">
        <v>238</v>
      </c>
      <c r="F1586" s="108" t="s">
        <v>822</v>
      </c>
      <c r="G1586" s="108" t="s">
        <v>204</v>
      </c>
      <c r="H1586" s="126">
        <f>H1587</f>
        <v>0</v>
      </c>
      <c r="I1586" s="178" t="str">
        <f t="shared" si="200"/>
        <v>620040804 2 01 60070810</v>
      </c>
      <c r="L1586" s="20">
        <v>36669.949999999997</v>
      </c>
      <c r="M1586" s="20">
        <v>39225.51</v>
      </c>
      <c r="N1586" s="20">
        <v>0</v>
      </c>
      <c r="O1586" s="20">
        <f>H1586-L1586</f>
        <v>-36669.949999999997</v>
      </c>
      <c r="P1586" s="20" t="e">
        <f>#REF!-M1586</f>
        <v>#REF!</v>
      </c>
      <c r="Q1586" s="20" t="e">
        <f>#REF!-N1586</f>
        <v>#REF!</v>
      </c>
      <c r="R1586" s="17" t="str">
        <f t="shared" si="199"/>
        <v>04 2 01 60070810</v>
      </c>
    </row>
    <row r="1587" spans="1:18" s="59" customFormat="1" ht="110.25">
      <c r="A1587" s="92"/>
      <c r="B1587" s="125" t="s">
        <v>207</v>
      </c>
      <c r="C1587" s="108" t="s">
        <v>410</v>
      </c>
      <c r="D1587" s="108" t="s">
        <v>73</v>
      </c>
      <c r="E1587" s="108" t="s">
        <v>238</v>
      </c>
      <c r="F1587" s="108" t="s">
        <v>822</v>
      </c>
      <c r="G1587" s="108" t="s">
        <v>208</v>
      </c>
      <c r="H1587" s="126"/>
      <c r="I1587" s="178" t="str">
        <f t="shared" si="200"/>
        <v>620040804 2 01 60070812</v>
      </c>
      <c r="L1587" s="20"/>
      <c r="M1587" s="20"/>
      <c r="N1587" s="20"/>
      <c r="O1587" s="20"/>
      <c r="P1587" s="20"/>
      <c r="Q1587" s="20"/>
      <c r="R1587" s="17"/>
    </row>
    <row r="1588" spans="1:18" s="59" customFormat="1" ht="63">
      <c r="A1588" s="92"/>
      <c r="B1588" s="129" t="s">
        <v>87</v>
      </c>
      <c r="C1588" s="108" t="s">
        <v>410</v>
      </c>
      <c r="D1588" s="108" t="s">
        <v>73</v>
      </c>
      <c r="E1588" s="108" t="s">
        <v>238</v>
      </c>
      <c r="F1588" s="108" t="s">
        <v>88</v>
      </c>
      <c r="G1588" s="108" t="s">
        <v>9</v>
      </c>
      <c r="H1588" s="126">
        <f>H1589</f>
        <v>0</v>
      </c>
      <c r="I1588" s="178" t="str">
        <f t="shared" si="200"/>
        <v>620040898 0 00 00000000</v>
      </c>
      <c r="L1588" s="20"/>
      <c r="M1588" s="20"/>
      <c r="N1588" s="20"/>
      <c r="O1588" s="20">
        <f>H1588-L1588</f>
        <v>0</v>
      </c>
      <c r="P1588" s="20" t="e">
        <f>#REF!-M1588</f>
        <v>#REF!</v>
      </c>
      <c r="Q1588" s="20" t="e">
        <f>#REF!-N1588</f>
        <v>#REF!</v>
      </c>
      <c r="R1588" s="17" t="str">
        <f t="shared" si="199"/>
        <v>98 0 00 00000000</v>
      </c>
    </row>
    <row r="1589" spans="1:18" s="59" customFormat="1" ht="15.75">
      <c r="A1589" s="92"/>
      <c r="B1589" s="129" t="s">
        <v>89</v>
      </c>
      <c r="C1589" s="108" t="s">
        <v>410</v>
      </c>
      <c r="D1589" s="108" t="s">
        <v>73</v>
      </c>
      <c r="E1589" s="108" t="s">
        <v>238</v>
      </c>
      <c r="F1589" s="108" t="s">
        <v>90</v>
      </c>
      <c r="G1589" s="108" t="s">
        <v>9</v>
      </c>
      <c r="H1589" s="126">
        <f>H1590</f>
        <v>0</v>
      </c>
      <c r="I1589" s="178" t="str">
        <f t="shared" si="200"/>
        <v>620040898 1 00 00000000</v>
      </c>
      <c r="L1589" s="20"/>
      <c r="M1589" s="20"/>
      <c r="N1589" s="20"/>
      <c r="O1589" s="20">
        <f>H1589-L1589</f>
        <v>0</v>
      </c>
      <c r="P1589" s="20" t="e">
        <f>#REF!-M1589</f>
        <v>#REF!</v>
      </c>
      <c r="Q1589" s="20" t="e">
        <f>#REF!-N1589</f>
        <v>#REF!</v>
      </c>
      <c r="R1589" s="17" t="str">
        <f t="shared" si="199"/>
        <v>98 1 00 00000000</v>
      </c>
    </row>
    <row r="1590" spans="1:18" s="59" customFormat="1" ht="31.5">
      <c r="A1590" s="92"/>
      <c r="B1590" s="129" t="s">
        <v>823</v>
      </c>
      <c r="C1590" s="108" t="s">
        <v>410</v>
      </c>
      <c r="D1590" s="108" t="s">
        <v>73</v>
      </c>
      <c r="E1590" s="108" t="s">
        <v>238</v>
      </c>
      <c r="F1590" s="108" t="s">
        <v>824</v>
      </c>
      <c r="G1590" s="108" t="s">
        <v>9</v>
      </c>
      <c r="H1590" s="126">
        <f>H1591</f>
        <v>0</v>
      </c>
      <c r="I1590" s="178" t="str">
        <f t="shared" si="200"/>
        <v>620040898 1 00 21170000</v>
      </c>
      <c r="L1590" s="20"/>
      <c r="M1590" s="20"/>
      <c r="N1590" s="20"/>
      <c r="O1590" s="20">
        <f>H1590-L1590</f>
        <v>0</v>
      </c>
      <c r="P1590" s="20" t="e">
        <f>#REF!-M1590</f>
        <v>#REF!</v>
      </c>
      <c r="Q1590" s="20" t="e">
        <f>#REF!-N1590</f>
        <v>#REF!</v>
      </c>
      <c r="R1590" s="17" t="str">
        <f t="shared" si="199"/>
        <v>98 1 00 21170000</v>
      </c>
    </row>
    <row r="1591" spans="1:18" s="16" customFormat="1" ht="31.5">
      <c r="A1591" s="14"/>
      <c r="B1591" s="125" t="s">
        <v>28</v>
      </c>
      <c r="C1591" s="108" t="s">
        <v>410</v>
      </c>
      <c r="D1591" s="108" t="s">
        <v>73</v>
      </c>
      <c r="E1591" s="108" t="s">
        <v>238</v>
      </c>
      <c r="F1591" s="108" t="s">
        <v>824</v>
      </c>
      <c r="G1591" s="108" t="s">
        <v>29</v>
      </c>
      <c r="H1591" s="126">
        <f>H1592</f>
        <v>0</v>
      </c>
      <c r="I1591" s="178" t="str">
        <f t="shared" si="200"/>
        <v>620040898 1 00 21170240</v>
      </c>
      <c r="L1591" s="20"/>
      <c r="M1591" s="20"/>
      <c r="N1591" s="20"/>
      <c r="O1591" s="20">
        <f>H1591-L1591</f>
        <v>0</v>
      </c>
      <c r="P1591" s="20" t="e">
        <f>#REF!-M1591</f>
        <v>#REF!</v>
      </c>
      <c r="Q1591" s="20" t="e">
        <f>#REF!-N1591</f>
        <v>#REF!</v>
      </c>
      <c r="R1591" s="17" t="str">
        <f t="shared" si="199"/>
        <v>98 1 00 21170240</v>
      </c>
    </row>
    <row r="1592" spans="1:18" s="16" customFormat="1" ht="15.75">
      <c r="A1592" s="14"/>
      <c r="B1592" s="125" t="s">
        <v>30</v>
      </c>
      <c r="C1592" s="108" t="s">
        <v>410</v>
      </c>
      <c r="D1592" s="108" t="s">
        <v>73</v>
      </c>
      <c r="E1592" s="108" t="s">
        <v>238</v>
      </c>
      <c r="F1592" s="108" t="s">
        <v>824</v>
      </c>
      <c r="G1592" s="108" t="s">
        <v>31</v>
      </c>
      <c r="H1592" s="126"/>
      <c r="I1592" s="178" t="str">
        <f t="shared" si="200"/>
        <v>620040898 1 00 21170244</v>
      </c>
      <c r="L1592" s="60"/>
      <c r="M1592" s="60"/>
      <c r="N1592" s="60"/>
      <c r="O1592" s="60"/>
      <c r="P1592" s="60"/>
      <c r="Q1592" s="60"/>
      <c r="R1592" s="17"/>
    </row>
    <row r="1593" spans="1:18" s="16" customFormat="1" ht="15.75">
      <c r="A1593" s="14"/>
      <c r="B1593" s="121" t="s">
        <v>760</v>
      </c>
      <c r="C1593" s="122" t="s">
        <v>410</v>
      </c>
      <c r="D1593" s="123" t="s">
        <v>73</v>
      </c>
      <c r="E1593" s="123" t="s">
        <v>471</v>
      </c>
      <c r="F1593" s="123" t="s">
        <v>8</v>
      </c>
      <c r="G1593" s="123" t="s">
        <v>9</v>
      </c>
      <c r="H1593" s="124">
        <f>H1594+H1600</f>
        <v>0</v>
      </c>
      <c r="I1593" s="178" t="str">
        <f t="shared" si="200"/>
        <v>620040900 0 00 00000000</v>
      </c>
      <c r="L1593" s="61">
        <v>240960.98999999996</v>
      </c>
      <c r="M1593" s="61">
        <v>194584.37999999998</v>
      </c>
      <c r="N1593" s="61">
        <v>212847.02</v>
      </c>
      <c r="O1593" s="61">
        <f t="shared" ref="O1593:O1598" si="205">H1593-L1593</f>
        <v>-240960.98999999996</v>
      </c>
      <c r="P1593" s="61" t="e">
        <f>#REF!-M1593</f>
        <v>#REF!</v>
      </c>
      <c r="Q1593" s="61" t="e">
        <f>#REF!-N1593</f>
        <v>#REF!</v>
      </c>
      <c r="R1593" s="17" t="str">
        <f t="shared" si="199"/>
        <v>00 0 00 00000000</v>
      </c>
    </row>
    <row r="1594" spans="1:18" s="16" customFormat="1" ht="63">
      <c r="A1594" s="14"/>
      <c r="B1594" s="135" t="s">
        <v>285</v>
      </c>
      <c r="C1594" s="109" t="s">
        <v>410</v>
      </c>
      <c r="D1594" s="109" t="s">
        <v>73</v>
      </c>
      <c r="E1594" s="109" t="s">
        <v>471</v>
      </c>
      <c r="F1594" s="109" t="s">
        <v>286</v>
      </c>
      <c r="G1594" s="109" t="s">
        <v>9</v>
      </c>
      <c r="H1594" s="141">
        <f t="shared" ref="H1594:H1597" si="206">H1595</f>
        <v>0</v>
      </c>
      <c r="I1594" s="178" t="str">
        <f t="shared" si="200"/>
        <v>620040902 0 00 00000000</v>
      </c>
      <c r="L1594" s="32">
        <v>7251.46</v>
      </c>
      <c r="M1594" s="32">
        <v>5251.46</v>
      </c>
      <c r="N1594" s="32">
        <v>5251.46</v>
      </c>
      <c r="O1594" s="32">
        <f t="shared" si="205"/>
        <v>-7251.46</v>
      </c>
      <c r="P1594" s="32" t="e">
        <f>#REF!-M1594</f>
        <v>#REF!</v>
      </c>
      <c r="Q1594" s="32" t="e">
        <f>#REF!-N1594</f>
        <v>#REF!</v>
      </c>
      <c r="R1594" s="17" t="str">
        <f t="shared" si="199"/>
        <v>02 0 00 00000000</v>
      </c>
    </row>
    <row r="1595" spans="1:18" s="16" customFormat="1" ht="78.75">
      <c r="A1595" s="14"/>
      <c r="B1595" s="125" t="s">
        <v>287</v>
      </c>
      <c r="C1595" s="109" t="s">
        <v>410</v>
      </c>
      <c r="D1595" s="109" t="s">
        <v>73</v>
      </c>
      <c r="E1595" s="109" t="s">
        <v>471</v>
      </c>
      <c r="F1595" s="109" t="s">
        <v>288</v>
      </c>
      <c r="G1595" s="109" t="s">
        <v>9</v>
      </c>
      <c r="H1595" s="141">
        <f t="shared" si="206"/>
        <v>0</v>
      </c>
      <c r="I1595" s="178" t="str">
        <f t="shared" si="200"/>
        <v>620040902 Б 00 00000000</v>
      </c>
      <c r="L1595" s="32">
        <v>7251.46</v>
      </c>
      <c r="M1595" s="32">
        <v>5251.46</v>
      </c>
      <c r="N1595" s="32">
        <v>5251.46</v>
      </c>
      <c r="O1595" s="32">
        <f t="shared" si="205"/>
        <v>-7251.46</v>
      </c>
      <c r="P1595" s="32" t="e">
        <f>#REF!-M1595</f>
        <v>#REF!</v>
      </c>
      <c r="Q1595" s="32" t="e">
        <f>#REF!-N1595</f>
        <v>#REF!</v>
      </c>
      <c r="R1595" s="17" t="str">
        <f t="shared" si="199"/>
        <v>02 Б 00 00000000</v>
      </c>
    </row>
    <row r="1596" spans="1:18" s="16" customFormat="1" ht="78.75">
      <c r="A1596" s="14"/>
      <c r="B1596" s="127" t="s">
        <v>825</v>
      </c>
      <c r="C1596" s="109" t="s">
        <v>410</v>
      </c>
      <c r="D1596" s="109" t="s">
        <v>73</v>
      </c>
      <c r="E1596" s="109" t="s">
        <v>471</v>
      </c>
      <c r="F1596" s="109" t="s">
        <v>826</v>
      </c>
      <c r="G1596" s="109" t="s">
        <v>9</v>
      </c>
      <c r="H1596" s="141">
        <f t="shared" si="206"/>
        <v>0</v>
      </c>
      <c r="I1596" s="178" t="str">
        <f t="shared" si="200"/>
        <v>620040902 Б 02 00000000</v>
      </c>
      <c r="L1596" s="32">
        <v>7251.46</v>
      </c>
      <c r="M1596" s="32">
        <v>5251.46</v>
      </c>
      <c r="N1596" s="32">
        <v>5251.46</v>
      </c>
      <c r="O1596" s="32">
        <f t="shared" si="205"/>
        <v>-7251.46</v>
      </c>
      <c r="P1596" s="32" t="e">
        <f>#REF!-M1596</f>
        <v>#REF!</v>
      </c>
      <c r="Q1596" s="32" t="e">
        <f>#REF!-N1596</f>
        <v>#REF!</v>
      </c>
      <c r="R1596" s="17" t="str">
        <f t="shared" si="199"/>
        <v>02 Б 02 00000000</v>
      </c>
    </row>
    <row r="1597" spans="1:18" s="16" customFormat="1" ht="78.75">
      <c r="A1597" s="14"/>
      <c r="B1597" s="127" t="s">
        <v>827</v>
      </c>
      <c r="C1597" s="109" t="s">
        <v>410</v>
      </c>
      <c r="D1597" s="109" t="s">
        <v>73</v>
      </c>
      <c r="E1597" s="109" t="s">
        <v>471</v>
      </c>
      <c r="F1597" s="109" t="s">
        <v>828</v>
      </c>
      <c r="G1597" s="109" t="s">
        <v>9</v>
      </c>
      <c r="H1597" s="141">
        <f t="shared" si="206"/>
        <v>0</v>
      </c>
      <c r="I1597" s="178" t="str">
        <f t="shared" si="200"/>
        <v>620040902 Б 02 20560000</v>
      </c>
      <c r="L1597" s="32">
        <v>7251.46</v>
      </c>
      <c r="M1597" s="32">
        <v>5251.46</v>
      </c>
      <c r="N1597" s="32">
        <v>5251.46</v>
      </c>
      <c r="O1597" s="32">
        <f t="shared" si="205"/>
        <v>-7251.46</v>
      </c>
      <c r="P1597" s="32" t="e">
        <f>#REF!-M1597</f>
        <v>#REF!</v>
      </c>
      <c r="Q1597" s="32" t="e">
        <f>#REF!-N1597</f>
        <v>#REF!</v>
      </c>
      <c r="R1597" s="17" t="str">
        <f t="shared" si="199"/>
        <v>02 Б 02 20560000</v>
      </c>
    </row>
    <row r="1598" spans="1:18" s="16" customFormat="1" ht="31.5">
      <c r="A1598" s="14"/>
      <c r="B1598" s="125" t="s">
        <v>28</v>
      </c>
      <c r="C1598" s="109" t="s">
        <v>410</v>
      </c>
      <c r="D1598" s="109" t="s">
        <v>73</v>
      </c>
      <c r="E1598" s="109" t="s">
        <v>471</v>
      </c>
      <c r="F1598" s="109" t="s">
        <v>828</v>
      </c>
      <c r="G1598" s="109" t="s">
        <v>29</v>
      </c>
      <c r="H1598" s="126">
        <f>H1599</f>
        <v>0</v>
      </c>
      <c r="I1598" s="178" t="str">
        <f t="shared" si="200"/>
        <v>620040902 Б 02 20560240</v>
      </c>
      <c r="L1598" s="32">
        <v>7251.46</v>
      </c>
      <c r="M1598" s="32">
        <v>5251.46</v>
      </c>
      <c r="N1598" s="32">
        <v>5251.46</v>
      </c>
      <c r="O1598" s="32">
        <f t="shared" si="205"/>
        <v>-7251.46</v>
      </c>
      <c r="P1598" s="32" t="e">
        <f>#REF!-M1598</f>
        <v>#REF!</v>
      </c>
      <c r="Q1598" s="32" t="e">
        <f>#REF!-N1598</f>
        <v>#REF!</v>
      </c>
      <c r="R1598" s="17" t="str">
        <f t="shared" si="199"/>
        <v>02 Б 02 20560240</v>
      </c>
    </row>
    <row r="1599" spans="1:18" s="16" customFormat="1" ht="15.75">
      <c r="A1599" s="14"/>
      <c r="B1599" s="125" t="s">
        <v>30</v>
      </c>
      <c r="C1599" s="109" t="s">
        <v>410</v>
      </c>
      <c r="D1599" s="109" t="s">
        <v>73</v>
      </c>
      <c r="E1599" s="109" t="s">
        <v>471</v>
      </c>
      <c r="F1599" s="109" t="s">
        <v>828</v>
      </c>
      <c r="G1599" s="109" t="s">
        <v>31</v>
      </c>
      <c r="H1599" s="126"/>
      <c r="I1599" s="178" t="str">
        <f t="shared" si="200"/>
        <v>620040902 Б 02 20560244</v>
      </c>
      <c r="L1599" s="32"/>
      <c r="M1599" s="32"/>
      <c r="N1599" s="32"/>
      <c r="O1599" s="32"/>
      <c r="P1599" s="32"/>
      <c r="Q1599" s="32"/>
      <c r="R1599" s="17"/>
    </row>
    <row r="1600" spans="1:18" s="16" customFormat="1" ht="63">
      <c r="A1600" s="14"/>
      <c r="B1600" s="127" t="s">
        <v>293</v>
      </c>
      <c r="C1600" s="108" t="s">
        <v>410</v>
      </c>
      <c r="D1600" s="108" t="s">
        <v>73</v>
      </c>
      <c r="E1600" s="108" t="s">
        <v>471</v>
      </c>
      <c r="F1600" s="108" t="s">
        <v>294</v>
      </c>
      <c r="G1600" s="109" t="s">
        <v>9</v>
      </c>
      <c r="H1600" s="141">
        <f>H1601</f>
        <v>0</v>
      </c>
      <c r="I1600" s="178" t="str">
        <f t="shared" si="200"/>
        <v>620040904 0 00 00000000</v>
      </c>
      <c r="L1600" s="32">
        <v>233709.52999999997</v>
      </c>
      <c r="M1600" s="32">
        <v>189332.91999999998</v>
      </c>
      <c r="N1600" s="32">
        <v>207595.56</v>
      </c>
      <c r="O1600" s="32">
        <f>H1600-L1600</f>
        <v>-233709.52999999997</v>
      </c>
      <c r="P1600" s="32" t="e">
        <f>#REF!-M1600</f>
        <v>#REF!</v>
      </c>
      <c r="Q1600" s="32" t="e">
        <f>#REF!-N1600</f>
        <v>#REF!</v>
      </c>
      <c r="R1600" s="17" t="str">
        <f t="shared" si="199"/>
        <v>04 0 00 00000000</v>
      </c>
    </row>
    <row r="1601" spans="1:18" s="16" customFormat="1" ht="63">
      <c r="A1601" s="14"/>
      <c r="B1601" s="140" t="s">
        <v>295</v>
      </c>
      <c r="C1601" s="108" t="s">
        <v>410</v>
      </c>
      <c r="D1601" s="108" t="s">
        <v>73</v>
      </c>
      <c r="E1601" s="108" t="s">
        <v>471</v>
      </c>
      <c r="F1601" s="108" t="s">
        <v>296</v>
      </c>
      <c r="G1601" s="109" t="s">
        <v>9</v>
      </c>
      <c r="H1601" s="141">
        <f>H1602+H1630</f>
        <v>0</v>
      </c>
      <c r="I1601" s="178" t="str">
        <f t="shared" si="200"/>
        <v>620040904 2 00 00000000</v>
      </c>
      <c r="L1601" s="32">
        <v>233709.52999999997</v>
      </c>
      <c r="M1601" s="32">
        <v>189332.91999999998</v>
      </c>
      <c r="N1601" s="32">
        <v>207595.56</v>
      </c>
      <c r="O1601" s="32">
        <f>H1601-L1601</f>
        <v>-233709.52999999997</v>
      </c>
      <c r="P1601" s="32" t="e">
        <f>#REF!-M1601</f>
        <v>#REF!</v>
      </c>
      <c r="Q1601" s="32" t="e">
        <f>#REF!-N1601</f>
        <v>#REF!</v>
      </c>
      <c r="R1601" s="17" t="str">
        <f t="shared" si="199"/>
        <v>04 2 00 00000000</v>
      </c>
    </row>
    <row r="1602" spans="1:18" s="16" customFormat="1" ht="63">
      <c r="A1602" s="14"/>
      <c r="B1602" s="125" t="s">
        <v>297</v>
      </c>
      <c r="C1602" s="108" t="s">
        <v>410</v>
      </c>
      <c r="D1602" s="108" t="s">
        <v>73</v>
      </c>
      <c r="E1602" s="108" t="s">
        <v>471</v>
      </c>
      <c r="F1602" s="108" t="s">
        <v>298</v>
      </c>
      <c r="G1602" s="109" t="s">
        <v>9</v>
      </c>
      <c r="H1602" s="141">
        <f>H1603+H1606+H1609+H1624+H1627+H1612+H1618+H1621+H1615</f>
        <v>0</v>
      </c>
      <c r="I1602" s="178" t="str">
        <f t="shared" si="200"/>
        <v>620040904 2 02 00000000</v>
      </c>
      <c r="L1602" s="32">
        <v>177184.91999999998</v>
      </c>
      <c r="M1602" s="32">
        <v>137808.31</v>
      </c>
      <c r="N1602" s="32">
        <v>156070.95000000001</v>
      </c>
      <c r="O1602" s="32">
        <f>H1602-L1602</f>
        <v>-177184.91999999998</v>
      </c>
      <c r="P1602" s="32" t="e">
        <f>#REF!-M1602</f>
        <v>#REF!</v>
      </c>
      <c r="Q1602" s="32" t="e">
        <f>#REF!-N1602</f>
        <v>#REF!</v>
      </c>
      <c r="R1602" s="17" t="str">
        <f t="shared" si="199"/>
        <v>04 2 02 00000000</v>
      </c>
    </row>
    <row r="1603" spans="1:18" s="16" customFormat="1" ht="31.5">
      <c r="A1603" s="14"/>
      <c r="B1603" s="125" t="s">
        <v>829</v>
      </c>
      <c r="C1603" s="108" t="s">
        <v>410</v>
      </c>
      <c r="D1603" s="108" t="s">
        <v>73</v>
      </c>
      <c r="E1603" s="108" t="s">
        <v>471</v>
      </c>
      <c r="F1603" s="108" t="s">
        <v>830</v>
      </c>
      <c r="G1603" s="109" t="s">
        <v>9</v>
      </c>
      <c r="H1603" s="141">
        <f>H1604</f>
        <v>0</v>
      </c>
      <c r="I1603" s="178" t="str">
        <f t="shared" si="200"/>
        <v>620040904 2 02 20130000</v>
      </c>
      <c r="L1603" s="32">
        <v>78131.709999999992</v>
      </c>
      <c r="M1603" s="32">
        <v>72051.709999999992</v>
      </c>
      <c r="N1603" s="32">
        <v>72051.709999999992</v>
      </c>
      <c r="O1603" s="32">
        <f>H1603-L1603</f>
        <v>-78131.709999999992</v>
      </c>
      <c r="P1603" s="32" t="e">
        <f>#REF!-M1603</f>
        <v>#REF!</v>
      </c>
      <c r="Q1603" s="32" t="e">
        <f>#REF!-N1603</f>
        <v>#REF!</v>
      </c>
      <c r="R1603" s="17" t="str">
        <f t="shared" si="199"/>
        <v>04 2 02 20130000</v>
      </c>
    </row>
    <row r="1604" spans="1:18" s="16" customFormat="1" ht="31.5">
      <c r="A1604" s="14"/>
      <c r="B1604" s="125" t="s">
        <v>28</v>
      </c>
      <c r="C1604" s="108" t="s">
        <v>410</v>
      </c>
      <c r="D1604" s="108" t="s">
        <v>73</v>
      </c>
      <c r="E1604" s="108" t="s">
        <v>471</v>
      </c>
      <c r="F1604" s="108" t="s">
        <v>830</v>
      </c>
      <c r="G1604" s="109" t="s">
        <v>29</v>
      </c>
      <c r="H1604" s="126">
        <f>H1605</f>
        <v>0</v>
      </c>
      <c r="I1604" s="178" t="str">
        <f t="shared" si="200"/>
        <v>620040904 2 02 20130240</v>
      </c>
      <c r="L1604" s="32">
        <v>78131.709999999992</v>
      </c>
      <c r="M1604" s="32">
        <v>72051.709999999992</v>
      </c>
      <c r="N1604" s="32">
        <v>72051.709999999992</v>
      </c>
      <c r="O1604" s="32">
        <f>H1604-L1604</f>
        <v>-78131.709999999992</v>
      </c>
      <c r="P1604" s="32" t="e">
        <f>#REF!-M1604</f>
        <v>#REF!</v>
      </c>
      <c r="Q1604" s="32" t="e">
        <f>#REF!-N1604</f>
        <v>#REF!</v>
      </c>
      <c r="R1604" s="17" t="str">
        <f t="shared" si="199"/>
        <v>04 2 02 20130240</v>
      </c>
    </row>
    <row r="1605" spans="1:18" s="16" customFormat="1" ht="15.75">
      <c r="A1605" s="14"/>
      <c r="B1605" s="125" t="s">
        <v>30</v>
      </c>
      <c r="C1605" s="108" t="s">
        <v>410</v>
      </c>
      <c r="D1605" s="108" t="s">
        <v>73</v>
      </c>
      <c r="E1605" s="108" t="s">
        <v>471</v>
      </c>
      <c r="F1605" s="108" t="s">
        <v>830</v>
      </c>
      <c r="G1605" s="109" t="s">
        <v>31</v>
      </c>
      <c r="H1605" s="126"/>
      <c r="I1605" s="178" t="str">
        <f t="shared" si="200"/>
        <v>620040904 2 02 20130244</v>
      </c>
      <c r="L1605" s="32"/>
      <c r="M1605" s="32"/>
      <c r="N1605" s="32"/>
      <c r="O1605" s="32"/>
      <c r="P1605" s="32"/>
      <c r="Q1605" s="32"/>
      <c r="R1605" s="17"/>
    </row>
    <row r="1606" spans="1:18" s="16" customFormat="1" ht="126">
      <c r="A1606" s="14" t="s">
        <v>80</v>
      </c>
      <c r="B1606" s="125" t="s">
        <v>831</v>
      </c>
      <c r="C1606" s="108" t="s">
        <v>410</v>
      </c>
      <c r="D1606" s="108" t="s">
        <v>73</v>
      </c>
      <c r="E1606" s="108" t="s">
        <v>471</v>
      </c>
      <c r="F1606" s="108" t="s">
        <v>832</v>
      </c>
      <c r="G1606" s="109" t="s">
        <v>9</v>
      </c>
      <c r="H1606" s="141">
        <f>H1607</f>
        <v>0</v>
      </c>
      <c r="I1606" s="178" t="str">
        <f t="shared" si="200"/>
        <v>620040904 2 02 20810000</v>
      </c>
      <c r="L1606" s="32">
        <v>18688.990000000002</v>
      </c>
      <c r="M1606" s="32">
        <v>18688.990000000002</v>
      </c>
      <c r="N1606" s="32">
        <v>18688.990000000002</v>
      </c>
      <c r="O1606" s="32">
        <f>H1606-L1606</f>
        <v>-18688.990000000002</v>
      </c>
      <c r="P1606" s="32" t="e">
        <f>#REF!-M1606</f>
        <v>#REF!</v>
      </c>
      <c r="Q1606" s="32" t="e">
        <f>#REF!-N1606</f>
        <v>#REF!</v>
      </c>
      <c r="R1606" s="17" t="str">
        <f t="shared" si="199"/>
        <v>04 2 02 20810000</v>
      </c>
    </row>
    <row r="1607" spans="1:18" s="16" customFormat="1" ht="31.5">
      <c r="A1607" s="14"/>
      <c r="B1607" s="125" t="s">
        <v>28</v>
      </c>
      <c r="C1607" s="108" t="s">
        <v>410</v>
      </c>
      <c r="D1607" s="108" t="s">
        <v>73</v>
      </c>
      <c r="E1607" s="108" t="s">
        <v>471</v>
      </c>
      <c r="F1607" s="108" t="s">
        <v>832</v>
      </c>
      <c r="G1607" s="109" t="s">
        <v>29</v>
      </c>
      <c r="H1607" s="126">
        <f>H1608</f>
        <v>0</v>
      </c>
      <c r="I1607" s="178" t="str">
        <f t="shared" si="200"/>
        <v>620040904 2 02 20810240</v>
      </c>
      <c r="L1607" s="32">
        <v>18688.990000000002</v>
      </c>
      <c r="M1607" s="32">
        <v>18688.990000000002</v>
      </c>
      <c r="N1607" s="32">
        <v>18688.990000000002</v>
      </c>
      <c r="O1607" s="32">
        <f>H1607-L1607</f>
        <v>-18688.990000000002</v>
      </c>
      <c r="P1607" s="32" t="e">
        <f>#REF!-M1607</f>
        <v>#REF!</v>
      </c>
      <c r="Q1607" s="32" t="e">
        <f>#REF!-N1607</f>
        <v>#REF!</v>
      </c>
      <c r="R1607" s="17" t="str">
        <f t="shared" si="199"/>
        <v>04 2 02 20810240</v>
      </c>
    </row>
    <row r="1608" spans="1:18" s="16" customFormat="1" ht="15.75">
      <c r="A1608" s="14"/>
      <c r="B1608" s="125" t="s">
        <v>30</v>
      </c>
      <c r="C1608" s="108" t="s">
        <v>410</v>
      </c>
      <c r="D1608" s="108" t="s">
        <v>73</v>
      </c>
      <c r="E1608" s="108" t="s">
        <v>471</v>
      </c>
      <c r="F1608" s="108" t="s">
        <v>832</v>
      </c>
      <c r="G1608" s="109" t="s">
        <v>31</v>
      </c>
      <c r="H1608" s="126"/>
      <c r="I1608" s="178" t="str">
        <f t="shared" si="200"/>
        <v>620040904 2 02 20810244</v>
      </c>
      <c r="L1608" s="32"/>
      <c r="M1608" s="32"/>
      <c r="N1608" s="32"/>
      <c r="O1608" s="32"/>
      <c r="P1608" s="32"/>
      <c r="Q1608" s="32"/>
      <c r="R1608" s="17"/>
    </row>
    <row r="1609" spans="1:18" s="16" customFormat="1" ht="31.5">
      <c r="A1609" s="14"/>
      <c r="B1609" s="125" t="s">
        <v>833</v>
      </c>
      <c r="C1609" s="108" t="s">
        <v>410</v>
      </c>
      <c r="D1609" s="108" t="s">
        <v>73</v>
      </c>
      <c r="E1609" s="108" t="s">
        <v>471</v>
      </c>
      <c r="F1609" s="108" t="s">
        <v>834</v>
      </c>
      <c r="G1609" s="109" t="s">
        <v>9</v>
      </c>
      <c r="H1609" s="141">
        <f>H1610</f>
        <v>0</v>
      </c>
      <c r="I1609" s="178" t="str">
        <f t="shared" si="200"/>
        <v>620040904 2 02 20830000</v>
      </c>
      <c r="L1609" s="32">
        <v>1350</v>
      </c>
      <c r="M1609" s="32">
        <v>1350</v>
      </c>
      <c r="N1609" s="32">
        <v>1350</v>
      </c>
      <c r="O1609" s="32">
        <f>H1609-L1609</f>
        <v>-1350</v>
      </c>
      <c r="P1609" s="32" t="e">
        <f>#REF!-M1609</f>
        <v>#REF!</v>
      </c>
      <c r="Q1609" s="32" t="e">
        <f>#REF!-N1609</f>
        <v>#REF!</v>
      </c>
      <c r="R1609" s="17" t="str">
        <f t="shared" si="199"/>
        <v>04 2 02 20830000</v>
      </c>
    </row>
    <row r="1610" spans="1:18" s="16" customFormat="1" ht="31.5">
      <c r="A1610" s="14"/>
      <c r="B1610" s="125" t="s">
        <v>28</v>
      </c>
      <c r="C1610" s="108" t="s">
        <v>410</v>
      </c>
      <c r="D1610" s="108" t="s">
        <v>73</v>
      </c>
      <c r="E1610" s="108" t="s">
        <v>471</v>
      </c>
      <c r="F1610" s="108" t="s">
        <v>834</v>
      </c>
      <c r="G1610" s="109" t="s">
        <v>29</v>
      </c>
      <c r="H1610" s="126">
        <f>H1611</f>
        <v>0</v>
      </c>
      <c r="I1610" s="178" t="str">
        <f t="shared" si="200"/>
        <v>620040904 2 02 20830240</v>
      </c>
      <c r="L1610" s="32">
        <v>1350</v>
      </c>
      <c r="M1610" s="32">
        <v>1350</v>
      </c>
      <c r="N1610" s="32">
        <v>1350</v>
      </c>
      <c r="O1610" s="32">
        <f>H1610-L1610</f>
        <v>-1350</v>
      </c>
      <c r="P1610" s="32" t="e">
        <f>#REF!-M1610</f>
        <v>#REF!</v>
      </c>
      <c r="Q1610" s="32" t="e">
        <f>#REF!-N1610</f>
        <v>#REF!</v>
      </c>
      <c r="R1610" s="17" t="str">
        <f t="shared" si="199"/>
        <v>04 2 02 20830240</v>
      </c>
    </row>
    <row r="1611" spans="1:18" s="16" customFormat="1" ht="15.75">
      <c r="A1611" s="14"/>
      <c r="B1611" s="125" t="s">
        <v>30</v>
      </c>
      <c r="C1611" s="108" t="s">
        <v>410</v>
      </c>
      <c r="D1611" s="108" t="s">
        <v>73</v>
      </c>
      <c r="E1611" s="108" t="s">
        <v>471</v>
      </c>
      <c r="F1611" s="108" t="s">
        <v>834</v>
      </c>
      <c r="G1611" s="109" t="s">
        <v>31</v>
      </c>
      <c r="H1611" s="126"/>
      <c r="I1611" s="178" t="str">
        <f t="shared" si="200"/>
        <v>620040904 2 02 20830244</v>
      </c>
      <c r="L1611" s="32"/>
      <c r="M1611" s="32"/>
      <c r="N1611" s="32"/>
      <c r="O1611" s="32"/>
      <c r="P1611" s="32"/>
      <c r="Q1611" s="32"/>
      <c r="R1611" s="17"/>
    </row>
    <row r="1612" spans="1:18" s="16" customFormat="1" ht="47.25">
      <c r="A1612" s="14"/>
      <c r="B1612" s="125" t="s">
        <v>835</v>
      </c>
      <c r="C1612" s="108" t="s">
        <v>410</v>
      </c>
      <c r="D1612" s="108" t="s">
        <v>73</v>
      </c>
      <c r="E1612" s="108" t="s">
        <v>471</v>
      </c>
      <c r="F1612" s="108" t="s">
        <v>836</v>
      </c>
      <c r="G1612" s="109" t="s">
        <v>9</v>
      </c>
      <c r="H1612" s="141">
        <f>H1613</f>
        <v>0</v>
      </c>
      <c r="I1612" s="178" t="str">
        <f t="shared" si="200"/>
        <v>620040904 2 02 21180000</v>
      </c>
      <c r="L1612" s="32">
        <v>21274.62</v>
      </c>
      <c r="M1612" s="32">
        <v>4435.2800000000007</v>
      </c>
      <c r="N1612" s="32">
        <v>22697.919999999998</v>
      </c>
      <c r="O1612" s="32">
        <f>H1612-L1612</f>
        <v>-21274.62</v>
      </c>
      <c r="P1612" s="32" t="e">
        <f>#REF!-M1612</f>
        <v>#REF!</v>
      </c>
      <c r="Q1612" s="32" t="e">
        <f>#REF!-N1612</f>
        <v>#REF!</v>
      </c>
      <c r="R1612" s="17" t="str">
        <f t="shared" si="199"/>
        <v>04 2 02 21180000</v>
      </c>
    </row>
    <row r="1613" spans="1:18" s="16" customFormat="1" ht="15.75">
      <c r="A1613" s="14"/>
      <c r="B1613" s="125" t="s">
        <v>837</v>
      </c>
      <c r="C1613" s="108" t="s">
        <v>410</v>
      </c>
      <c r="D1613" s="108" t="s">
        <v>73</v>
      </c>
      <c r="E1613" s="108" t="s">
        <v>471</v>
      </c>
      <c r="F1613" s="108" t="s">
        <v>836</v>
      </c>
      <c r="G1613" s="109" t="s">
        <v>838</v>
      </c>
      <c r="H1613" s="126">
        <f>H1614</f>
        <v>0</v>
      </c>
      <c r="I1613" s="178" t="str">
        <f t="shared" si="200"/>
        <v>620040904 2 02 21180410</v>
      </c>
      <c r="L1613" s="32">
        <v>21274.62</v>
      </c>
      <c r="M1613" s="32">
        <v>4435.2800000000007</v>
      </c>
      <c r="N1613" s="32">
        <v>22697.919999999998</v>
      </c>
      <c r="O1613" s="32">
        <f>H1613-L1613</f>
        <v>-21274.62</v>
      </c>
      <c r="P1613" s="32" t="e">
        <f>#REF!-M1613</f>
        <v>#REF!</v>
      </c>
      <c r="Q1613" s="32" t="e">
        <f>#REF!-N1613</f>
        <v>#REF!</v>
      </c>
      <c r="R1613" s="17" t="str">
        <f t="shared" si="199"/>
        <v>04 2 02 21180410</v>
      </c>
    </row>
    <row r="1614" spans="1:18" s="16" customFormat="1" ht="47.25">
      <c r="A1614" s="14"/>
      <c r="B1614" s="125" t="s">
        <v>839</v>
      </c>
      <c r="C1614" s="108" t="s">
        <v>410</v>
      </c>
      <c r="D1614" s="108" t="s">
        <v>73</v>
      </c>
      <c r="E1614" s="108" t="s">
        <v>471</v>
      </c>
      <c r="F1614" s="108" t="s">
        <v>836</v>
      </c>
      <c r="G1614" s="109" t="s">
        <v>840</v>
      </c>
      <c r="H1614" s="126"/>
      <c r="I1614" s="178" t="str">
        <f t="shared" si="200"/>
        <v>620040904 2 02 21180414</v>
      </c>
      <c r="L1614" s="32"/>
      <c r="M1614" s="32"/>
      <c r="N1614" s="32"/>
      <c r="O1614" s="32"/>
      <c r="P1614" s="32"/>
      <c r="Q1614" s="32"/>
      <c r="R1614" s="17" t="str">
        <f t="shared" si="199"/>
        <v>04 2 02 21180414</v>
      </c>
    </row>
    <row r="1615" spans="1:18" s="16" customFormat="1" ht="94.5">
      <c r="A1615" s="14"/>
      <c r="B1615" s="125" t="s">
        <v>1075</v>
      </c>
      <c r="C1615" s="130" t="s">
        <v>410</v>
      </c>
      <c r="D1615" s="108" t="s">
        <v>73</v>
      </c>
      <c r="E1615" s="108" t="s">
        <v>471</v>
      </c>
      <c r="F1615" s="108" t="s">
        <v>1076</v>
      </c>
      <c r="G1615" s="108" t="s">
        <v>9</v>
      </c>
      <c r="H1615" s="126">
        <f>H1616</f>
        <v>0</v>
      </c>
      <c r="I1615" s="178" t="str">
        <f t="shared" si="200"/>
        <v>620040904 2 02 21410000</v>
      </c>
      <c r="L1615" s="32"/>
      <c r="M1615" s="32"/>
      <c r="N1615" s="32"/>
      <c r="O1615" s="32"/>
      <c r="P1615" s="32"/>
      <c r="Q1615" s="32"/>
      <c r="R1615" s="17"/>
    </row>
    <row r="1616" spans="1:18" s="16" customFormat="1" ht="31.5">
      <c r="A1616" s="14"/>
      <c r="B1616" s="125" t="s">
        <v>28</v>
      </c>
      <c r="C1616" s="130" t="s">
        <v>410</v>
      </c>
      <c r="D1616" s="108" t="s">
        <v>73</v>
      </c>
      <c r="E1616" s="108" t="s">
        <v>471</v>
      </c>
      <c r="F1616" s="108" t="s">
        <v>1076</v>
      </c>
      <c r="G1616" s="108" t="s">
        <v>29</v>
      </c>
      <c r="H1616" s="126">
        <f>H1617</f>
        <v>0</v>
      </c>
      <c r="I1616" s="178" t="str">
        <f t="shared" si="200"/>
        <v>620040904 2 02 21410240</v>
      </c>
      <c r="L1616" s="32"/>
      <c r="M1616" s="32"/>
      <c r="N1616" s="32"/>
      <c r="O1616" s="32"/>
      <c r="P1616" s="32"/>
      <c r="Q1616" s="32"/>
      <c r="R1616" s="17"/>
    </row>
    <row r="1617" spans="1:18" s="16" customFormat="1" ht="15.75">
      <c r="A1617" s="14"/>
      <c r="B1617" s="125" t="s">
        <v>30</v>
      </c>
      <c r="C1617" s="130" t="s">
        <v>410</v>
      </c>
      <c r="D1617" s="108" t="s">
        <v>73</v>
      </c>
      <c r="E1617" s="108" t="s">
        <v>471</v>
      </c>
      <c r="F1617" s="108" t="s">
        <v>1076</v>
      </c>
      <c r="G1617" s="108" t="s">
        <v>31</v>
      </c>
      <c r="H1617" s="126"/>
      <c r="I1617" s="178" t="str">
        <f t="shared" si="200"/>
        <v>620040904 2 02 21410244</v>
      </c>
      <c r="L1617" s="32"/>
      <c r="M1617" s="32"/>
      <c r="N1617" s="32"/>
      <c r="O1617" s="32"/>
      <c r="P1617" s="32"/>
      <c r="Q1617" s="32"/>
      <c r="R1617" s="17"/>
    </row>
    <row r="1618" spans="1:18" s="16" customFormat="1" ht="236.25">
      <c r="A1618" s="14"/>
      <c r="B1618" s="125" t="s">
        <v>841</v>
      </c>
      <c r="C1618" s="108" t="s">
        <v>410</v>
      </c>
      <c r="D1618" s="108" t="s">
        <v>73</v>
      </c>
      <c r="E1618" s="108" t="s">
        <v>471</v>
      </c>
      <c r="F1618" s="108" t="s">
        <v>842</v>
      </c>
      <c r="G1618" s="109" t="s">
        <v>9</v>
      </c>
      <c r="H1618" s="141">
        <f>H1619</f>
        <v>0</v>
      </c>
      <c r="I1618" s="178" t="str">
        <f t="shared" si="200"/>
        <v>620040904 2 02 21460000</v>
      </c>
      <c r="L1618" s="32">
        <v>19287.71</v>
      </c>
      <c r="M1618" s="32">
        <v>0</v>
      </c>
      <c r="N1618" s="32">
        <v>0</v>
      </c>
      <c r="O1618" s="32">
        <f>H1618-L1618</f>
        <v>-19287.71</v>
      </c>
      <c r="P1618" s="32" t="e">
        <f>#REF!-M1618</f>
        <v>#REF!</v>
      </c>
      <c r="Q1618" s="32" t="e">
        <f>#REF!-N1618</f>
        <v>#REF!</v>
      </c>
      <c r="R1618" s="62" t="str">
        <f t="shared" si="199"/>
        <v>04 2 02 21460000</v>
      </c>
    </row>
    <row r="1619" spans="1:18" s="16" customFormat="1" ht="31.5">
      <c r="A1619" s="14"/>
      <c r="B1619" s="125" t="s">
        <v>28</v>
      </c>
      <c r="C1619" s="108" t="s">
        <v>410</v>
      </c>
      <c r="D1619" s="108" t="s">
        <v>73</v>
      </c>
      <c r="E1619" s="108" t="s">
        <v>471</v>
      </c>
      <c r="F1619" s="108" t="s">
        <v>842</v>
      </c>
      <c r="G1619" s="109" t="s">
        <v>29</v>
      </c>
      <c r="H1619" s="126">
        <f>H1620</f>
        <v>0</v>
      </c>
      <c r="I1619" s="178" t="str">
        <f t="shared" si="200"/>
        <v>620040904 2 02 21460240</v>
      </c>
      <c r="L1619" s="32">
        <v>19287.71</v>
      </c>
      <c r="M1619" s="32">
        <v>0</v>
      </c>
      <c r="N1619" s="32">
        <v>0</v>
      </c>
      <c r="O1619" s="32">
        <f>H1619-L1619</f>
        <v>-19287.71</v>
      </c>
      <c r="P1619" s="32" t="e">
        <f>#REF!-M1619</f>
        <v>#REF!</v>
      </c>
      <c r="Q1619" s="32" t="e">
        <f>#REF!-N1619</f>
        <v>#REF!</v>
      </c>
      <c r="R1619" s="62" t="str">
        <f t="shared" si="199"/>
        <v>04 2 02 21460240</v>
      </c>
    </row>
    <row r="1620" spans="1:18" s="16" customFormat="1" ht="15.75">
      <c r="A1620" s="14"/>
      <c r="B1620" s="125" t="s">
        <v>30</v>
      </c>
      <c r="C1620" s="108" t="s">
        <v>410</v>
      </c>
      <c r="D1620" s="108" t="s">
        <v>73</v>
      </c>
      <c r="E1620" s="108" t="s">
        <v>471</v>
      </c>
      <c r="F1620" s="108" t="s">
        <v>842</v>
      </c>
      <c r="G1620" s="109" t="s">
        <v>31</v>
      </c>
      <c r="H1620" s="126"/>
      <c r="I1620" s="178" t="str">
        <f t="shared" si="200"/>
        <v>620040904 2 02 21460244</v>
      </c>
      <c r="L1620" s="32"/>
      <c r="M1620" s="32"/>
      <c r="N1620" s="32"/>
      <c r="O1620" s="32"/>
      <c r="P1620" s="32"/>
      <c r="Q1620" s="32"/>
      <c r="R1620" s="62"/>
    </row>
    <row r="1621" spans="1:18" s="16" customFormat="1" ht="78.75">
      <c r="A1621" s="14"/>
      <c r="B1621" s="125" t="s">
        <v>843</v>
      </c>
      <c r="C1621" s="108" t="s">
        <v>410</v>
      </c>
      <c r="D1621" s="108" t="s">
        <v>73</v>
      </c>
      <c r="E1621" s="108" t="s">
        <v>471</v>
      </c>
      <c r="F1621" s="108" t="s">
        <v>844</v>
      </c>
      <c r="G1621" s="109" t="s">
        <v>9</v>
      </c>
      <c r="H1621" s="141">
        <f>H1622</f>
        <v>0</v>
      </c>
      <c r="I1621" s="178" t="str">
        <f t="shared" ref="I1621:I1684" si="207">C1621&amp;D1621&amp;E1621&amp;F1621&amp;G1621</f>
        <v>620040904 2 02 21490000</v>
      </c>
      <c r="L1621" s="32">
        <v>6350</v>
      </c>
      <c r="M1621" s="32">
        <v>0</v>
      </c>
      <c r="N1621" s="32">
        <v>0</v>
      </c>
      <c r="O1621" s="32">
        <f>H1621-L1621</f>
        <v>-6350</v>
      </c>
      <c r="P1621" s="32" t="e">
        <f>#REF!-M1621</f>
        <v>#REF!</v>
      </c>
      <c r="Q1621" s="32" t="e">
        <f>#REF!-N1621</f>
        <v>#REF!</v>
      </c>
      <c r="R1621" s="62" t="str">
        <f t="shared" si="199"/>
        <v>04 2 02 21490000</v>
      </c>
    </row>
    <row r="1622" spans="1:18" s="16" customFormat="1" ht="31.5">
      <c r="A1622" s="14"/>
      <c r="B1622" s="125" t="s">
        <v>28</v>
      </c>
      <c r="C1622" s="108" t="s">
        <v>410</v>
      </c>
      <c r="D1622" s="108" t="s">
        <v>73</v>
      </c>
      <c r="E1622" s="108" t="s">
        <v>471</v>
      </c>
      <c r="F1622" s="108" t="s">
        <v>844</v>
      </c>
      <c r="G1622" s="109" t="s">
        <v>29</v>
      </c>
      <c r="H1622" s="126">
        <f>H1623</f>
        <v>0</v>
      </c>
      <c r="I1622" s="178" t="str">
        <f t="shared" si="207"/>
        <v>620040904 2 02 21490240</v>
      </c>
      <c r="L1622" s="32">
        <v>6350</v>
      </c>
      <c r="M1622" s="32">
        <v>0</v>
      </c>
      <c r="N1622" s="32">
        <v>0</v>
      </c>
      <c r="O1622" s="32">
        <f>H1622-L1622</f>
        <v>-6350</v>
      </c>
      <c r="P1622" s="32" t="e">
        <f>#REF!-M1622</f>
        <v>#REF!</v>
      </c>
      <c r="Q1622" s="32" t="e">
        <f>#REF!-N1622</f>
        <v>#REF!</v>
      </c>
      <c r="R1622" s="62" t="str">
        <f t="shared" si="199"/>
        <v>04 2 02 21490240</v>
      </c>
    </row>
    <row r="1623" spans="1:18" s="16" customFormat="1" ht="15.75">
      <c r="A1623" s="14"/>
      <c r="B1623" s="125" t="s">
        <v>30</v>
      </c>
      <c r="C1623" s="108" t="s">
        <v>410</v>
      </c>
      <c r="D1623" s="108" t="s">
        <v>73</v>
      </c>
      <c r="E1623" s="108" t="s">
        <v>471</v>
      </c>
      <c r="F1623" s="108" t="s">
        <v>844</v>
      </c>
      <c r="G1623" s="109" t="s">
        <v>31</v>
      </c>
      <c r="H1623" s="126"/>
      <c r="I1623" s="178" t="str">
        <f t="shared" si="207"/>
        <v>620040904 2 02 21490244</v>
      </c>
      <c r="L1623" s="32"/>
      <c r="M1623" s="32"/>
      <c r="N1623" s="32"/>
      <c r="O1623" s="32"/>
      <c r="P1623" s="32"/>
      <c r="Q1623" s="32"/>
      <c r="R1623" s="62"/>
    </row>
    <row r="1624" spans="1:18" s="16" customFormat="1" ht="94.5">
      <c r="A1624" s="14"/>
      <c r="B1624" s="125" t="s">
        <v>845</v>
      </c>
      <c r="C1624" s="109" t="s">
        <v>410</v>
      </c>
      <c r="D1624" s="108" t="s">
        <v>73</v>
      </c>
      <c r="E1624" s="108" t="s">
        <v>471</v>
      </c>
      <c r="F1624" s="14" t="s">
        <v>846</v>
      </c>
      <c r="G1624" s="109" t="s">
        <v>9</v>
      </c>
      <c r="H1624" s="141">
        <f>H1625</f>
        <v>0</v>
      </c>
      <c r="I1624" s="178" t="str">
        <f t="shared" si="207"/>
        <v>620040904 2 02 60090000</v>
      </c>
      <c r="L1624" s="32">
        <v>17260.62</v>
      </c>
      <c r="M1624" s="32">
        <v>26441.059999999998</v>
      </c>
      <c r="N1624" s="32">
        <v>26441.059999999998</v>
      </c>
      <c r="O1624" s="32">
        <f>H1624-L1624</f>
        <v>-17260.62</v>
      </c>
      <c r="P1624" s="32" t="e">
        <f>#REF!-M1624</f>
        <v>#REF!</v>
      </c>
      <c r="Q1624" s="32" t="e">
        <f>#REF!-N1624</f>
        <v>#REF!</v>
      </c>
      <c r="R1624" s="17" t="str">
        <f t="shared" si="199"/>
        <v>04 2 02 60090000</v>
      </c>
    </row>
    <row r="1625" spans="1:18" s="16" customFormat="1" ht="63">
      <c r="A1625" s="14"/>
      <c r="B1625" s="129" t="s">
        <v>203</v>
      </c>
      <c r="C1625" s="109" t="s">
        <v>410</v>
      </c>
      <c r="D1625" s="108" t="s">
        <v>73</v>
      </c>
      <c r="E1625" s="108" t="s">
        <v>471</v>
      </c>
      <c r="F1625" s="14" t="s">
        <v>846</v>
      </c>
      <c r="G1625" s="109" t="s">
        <v>204</v>
      </c>
      <c r="H1625" s="126">
        <f>H1626</f>
        <v>0</v>
      </c>
      <c r="I1625" s="178" t="str">
        <f t="shared" si="207"/>
        <v>620040904 2 02 60090810</v>
      </c>
      <c r="L1625" s="32">
        <v>17260.62</v>
      </c>
      <c r="M1625" s="32">
        <v>26441.059999999998</v>
      </c>
      <c r="N1625" s="32">
        <v>26441.059999999998</v>
      </c>
      <c r="O1625" s="32">
        <f>H1625-L1625</f>
        <v>-17260.62</v>
      </c>
      <c r="P1625" s="32" t="e">
        <f>#REF!-M1625</f>
        <v>#REF!</v>
      </c>
      <c r="Q1625" s="32" t="e">
        <f>#REF!-N1625</f>
        <v>#REF!</v>
      </c>
      <c r="R1625" s="17" t="str">
        <f t="shared" si="199"/>
        <v>04 2 02 60090810</v>
      </c>
    </row>
    <row r="1626" spans="1:18" s="16" customFormat="1" ht="63">
      <c r="A1626" s="14"/>
      <c r="B1626" s="125" t="s">
        <v>205</v>
      </c>
      <c r="C1626" s="109" t="s">
        <v>410</v>
      </c>
      <c r="D1626" s="108" t="s">
        <v>73</v>
      </c>
      <c r="E1626" s="108" t="s">
        <v>471</v>
      </c>
      <c r="F1626" s="14" t="s">
        <v>846</v>
      </c>
      <c r="G1626" s="109" t="s">
        <v>206</v>
      </c>
      <c r="H1626" s="126"/>
      <c r="I1626" s="178" t="str">
        <f t="shared" si="207"/>
        <v>620040904 2 02 60090811</v>
      </c>
      <c r="L1626" s="32"/>
      <c r="M1626" s="32"/>
      <c r="N1626" s="32"/>
      <c r="O1626" s="32"/>
      <c r="P1626" s="32"/>
      <c r="Q1626" s="32"/>
      <c r="R1626" s="17"/>
    </row>
    <row r="1627" spans="1:18" s="16" customFormat="1" ht="47.25">
      <c r="A1627" s="14"/>
      <c r="B1627" s="125" t="s">
        <v>847</v>
      </c>
      <c r="C1627" s="109" t="s">
        <v>410</v>
      </c>
      <c r="D1627" s="108" t="s">
        <v>73</v>
      </c>
      <c r="E1627" s="108" t="s">
        <v>471</v>
      </c>
      <c r="F1627" s="14" t="s">
        <v>848</v>
      </c>
      <c r="G1627" s="109" t="s">
        <v>9</v>
      </c>
      <c r="H1627" s="141">
        <f>H1628</f>
        <v>0</v>
      </c>
      <c r="I1627" s="178" t="str">
        <f t="shared" si="207"/>
        <v>620040904 2 02 S6460000</v>
      </c>
      <c r="L1627" s="32">
        <v>14841.27</v>
      </c>
      <c r="M1627" s="32">
        <v>14841.27</v>
      </c>
      <c r="N1627" s="32">
        <v>14841.27</v>
      </c>
      <c r="O1627" s="32">
        <f>H1627-L1627</f>
        <v>-14841.27</v>
      </c>
      <c r="P1627" s="32" t="e">
        <f>#REF!-M1627</f>
        <v>#REF!</v>
      </c>
      <c r="Q1627" s="32" t="e">
        <f>#REF!-N1627</f>
        <v>#REF!</v>
      </c>
      <c r="R1627" s="17" t="str">
        <f t="shared" si="199"/>
        <v>04 2 02 S6460000</v>
      </c>
    </row>
    <row r="1628" spans="1:18" s="16" customFormat="1" ht="31.5">
      <c r="A1628" s="14"/>
      <c r="B1628" s="125" t="s">
        <v>28</v>
      </c>
      <c r="C1628" s="109" t="s">
        <v>410</v>
      </c>
      <c r="D1628" s="108" t="s">
        <v>73</v>
      </c>
      <c r="E1628" s="108" t="s">
        <v>471</v>
      </c>
      <c r="F1628" s="14" t="s">
        <v>848</v>
      </c>
      <c r="G1628" s="109" t="s">
        <v>29</v>
      </c>
      <c r="H1628" s="126">
        <f>H1629</f>
        <v>0</v>
      </c>
      <c r="I1628" s="178" t="str">
        <f t="shared" si="207"/>
        <v>620040904 2 02 S6460240</v>
      </c>
      <c r="L1628" s="32">
        <v>14841.27</v>
      </c>
      <c r="M1628" s="32">
        <v>14841.27</v>
      </c>
      <c r="N1628" s="32">
        <v>14841.27</v>
      </c>
      <c r="O1628" s="32">
        <f>H1628-L1628</f>
        <v>-14841.27</v>
      </c>
      <c r="P1628" s="32" t="e">
        <f>#REF!-M1628</f>
        <v>#REF!</v>
      </c>
      <c r="Q1628" s="32" t="e">
        <f>#REF!-N1628</f>
        <v>#REF!</v>
      </c>
      <c r="R1628" s="17" t="str">
        <f>CONCATENATE(F1628,G1628)</f>
        <v>04 2 02 S6460240</v>
      </c>
    </row>
    <row r="1629" spans="1:18" s="16" customFormat="1" ht="15.75">
      <c r="A1629" s="14"/>
      <c r="B1629" s="125" t="s">
        <v>30</v>
      </c>
      <c r="C1629" s="109" t="s">
        <v>410</v>
      </c>
      <c r="D1629" s="108" t="s">
        <v>73</v>
      </c>
      <c r="E1629" s="108" t="s">
        <v>471</v>
      </c>
      <c r="F1629" s="14" t="s">
        <v>848</v>
      </c>
      <c r="G1629" s="109" t="s">
        <v>31</v>
      </c>
      <c r="H1629" s="126"/>
      <c r="I1629" s="178" t="str">
        <f t="shared" si="207"/>
        <v>620040904 2 02 S6460244</v>
      </c>
      <c r="L1629" s="32"/>
      <c r="M1629" s="32"/>
      <c r="N1629" s="32"/>
      <c r="O1629" s="32"/>
      <c r="P1629" s="32"/>
      <c r="Q1629" s="32"/>
      <c r="R1629" s="17"/>
    </row>
    <row r="1630" spans="1:18" s="16" customFormat="1" ht="47.25">
      <c r="A1630" s="14"/>
      <c r="B1630" s="125" t="s">
        <v>849</v>
      </c>
      <c r="C1630" s="108" t="s">
        <v>410</v>
      </c>
      <c r="D1630" s="108" t="s">
        <v>73</v>
      </c>
      <c r="E1630" s="108" t="s">
        <v>471</v>
      </c>
      <c r="F1630" s="108" t="s">
        <v>850</v>
      </c>
      <c r="G1630" s="109" t="s">
        <v>9</v>
      </c>
      <c r="H1630" s="141">
        <f>H1635+H1631</f>
        <v>0</v>
      </c>
      <c r="I1630" s="178" t="str">
        <f t="shared" si="207"/>
        <v>620040904 2 03 00000000</v>
      </c>
      <c r="L1630" s="32">
        <v>56524.61</v>
      </c>
      <c r="M1630" s="32">
        <v>51524.61</v>
      </c>
      <c r="N1630" s="32">
        <v>51524.61</v>
      </c>
      <c r="O1630" s="32">
        <f>H1630-L1630</f>
        <v>-56524.61</v>
      </c>
      <c r="P1630" s="32" t="e">
        <f>#REF!-M1630</f>
        <v>#REF!</v>
      </c>
      <c r="Q1630" s="32" t="e">
        <f>#REF!-N1630</f>
        <v>#REF!</v>
      </c>
      <c r="R1630" s="17" t="str">
        <f>CONCATENATE(F1630,G1630)</f>
        <v>04 2 03 00000000</v>
      </c>
    </row>
    <row r="1631" spans="1:18" s="16" customFormat="1" ht="31.5">
      <c r="A1631" s="14"/>
      <c r="B1631" s="135" t="s">
        <v>136</v>
      </c>
      <c r="C1631" s="108" t="s">
        <v>410</v>
      </c>
      <c r="D1631" s="108" t="s">
        <v>73</v>
      </c>
      <c r="E1631" s="108" t="s">
        <v>471</v>
      </c>
      <c r="F1631" s="108" t="s">
        <v>851</v>
      </c>
      <c r="G1631" s="108" t="s">
        <v>9</v>
      </c>
      <c r="H1631" s="126">
        <f>H1632</f>
        <v>0</v>
      </c>
      <c r="I1631" s="178" t="str">
        <f t="shared" si="207"/>
        <v>620040904 2 03 11010000</v>
      </c>
      <c r="L1631" s="20">
        <v>42580.75</v>
      </c>
      <c r="M1631" s="20">
        <v>42580.75</v>
      </c>
      <c r="N1631" s="20">
        <v>42580.75</v>
      </c>
      <c r="O1631" s="20">
        <f>H1631-L1631</f>
        <v>-42580.75</v>
      </c>
      <c r="P1631" s="20" t="e">
        <f>#REF!-M1631</f>
        <v>#REF!</v>
      </c>
      <c r="Q1631" s="20" t="e">
        <f>#REF!-N1631</f>
        <v>#REF!</v>
      </c>
      <c r="R1631" s="17" t="str">
        <f>CONCATENATE(F1631,G1631)</f>
        <v>04 2 03 11010000</v>
      </c>
    </row>
    <row r="1632" spans="1:18" s="16" customFormat="1" ht="15.75">
      <c r="A1632" s="14"/>
      <c r="B1632" s="132" t="s">
        <v>403</v>
      </c>
      <c r="C1632" s="108" t="s">
        <v>410</v>
      </c>
      <c r="D1632" s="108" t="s">
        <v>73</v>
      </c>
      <c r="E1632" s="108" t="s">
        <v>471</v>
      </c>
      <c r="F1632" s="108" t="s">
        <v>851</v>
      </c>
      <c r="G1632" s="108" t="s">
        <v>404</v>
      </c>
      <c r="H1632" s="126">
        <f>SUM(H1633:H1634)</f>
        <v>0</v>
      </c>
      <c r="I1632" s="178" t="str">
        <f t="shared" si="207"/>
        <v>620040904 2 03 11010610</v>
      </c>
      <c r="L1632" s="20">
        <v>42580.75</v>
      </c>
      <c r="M1632" s="20">
        <v>42580.75</v>
      </c>
      <c r="N1632" s="20">
        <v>42580.75</v>
      </c>
      <c r="O1632" s="20">
        <f>H1632-L1632</f>
        <v>-42580.75</v>
      </c>
      <c r="P1632" s="20" t="e">
        <f>#REF!-M1632</f>
        <v>#REF!</v>
      </c>
      <c r="Q1632" s="20" t="e">
        <f>#REF!-N1632</f>
        <v>#REF!</v>
      </c>
      <c r="R1632" s="17" t="str">
        <f>CONCATENATE(F1632,G1632)</f>
        <v>04 2 03 11010610</v>
      </c>
    </row>
    <row r="1633" spans="1:18" s="23" customFormat="1" ht="63">
      <c r="A1633" s="21"/>
      <c r="B1633" s="127" t="s">
        <v>405</v>
      </c>
      <c r="C1633" s="108" t="s">
        <v>410</v>
      </c>
      <c r="D1633" s="108" t="s">
        <v>73</v>
      </c>
      <c r="E1633" s="108" t="s">
        <v>471</v>
      </c>
      <c r="F1633" s="108" t="s">
        <v>851</v>
      </c>
      <c r="G1633" s="108" t="s">
        <v>406</v>
      </c>
      <c r="H1633" s="126"/>
      <c r="I1633" s="178" t="str">
        <f t="shared" si="207"/>
        <v>620040904 2 03 11010611</v>
      </c>
      <c r="L1633" s="22"/>
      <c r="M1633" s="22"/>
      <c r="N1633" s="22"/>
      <c r="O1633" s="22"/>
      <c r="P1633" s="22"/>
      <c r="Q1633" s="22"/>
      <c r="R1633" s="24"/>
    </row>
    <row r="1634" spans="1:18" s="23" customFormat="1" ht="15.75">
      <c r="A1634" s="21"/>
      <c r="B1634" s="127" t="s">
        <v>407</v>
      </c>
      <c r="C1634" s="108" t="s">
        <v>410</v>
      </c>
      <c r="D1634" s="108" t="s">
        <v>73</v>
      </c>
      <c r="E1634" s="108" t="s">
        <v>471</v>
      </c>
      <c r="F1634" s="108" t="s">
        <v>851</v>
      </c>
      <c r="G1634" s="108" t="s">
        <v>408</v>
      </c>
      <c r="H1634" s="126"/>
      <c r="I1634" s="178" t="str">
        <f t="shared" si="207"/>
        <v>620040904 2 03 11010612</v>
      </c>
      <c r="L1634" s="22"/>
      <c r="M1634" s="22"/>
      <c r="N1634" s="22"/>
      <c r="O1634" s="22"/>
      <c r="P1634" s="22"/>
      <c r="Q1634" s="22"/>
      <c r="R1634" s="24"/>
    </row>
    <row r="1635" spans="1:18" s="16" customFormat="1" ht="63">
      <c r="A1635" s="14"/>
      <c r="B1635" s="125" t="s">
        <v>852</v>
      </c>
      <c r="C1635" s="108" t="s">
        <v>410</v>
      </c>
      <c r="D1635" s="108" t="s">
        <v>73</v>
      </c>
      <c r="E1635" s="108" t="s">
        <v>471</v>
      </c>
      <c r="F1635" s="108" t="s">
        <v>853</v>
      </c>
      <c r="G1635" s="109" t="s">
        <v>9</v>
      </c>
      <c r="H1635" s="141">
        <f>H1636</f>
        <v>0</v>
      </c>
      <c r="I1635" s="178" t="str">
        <f t="shared" si="207"/>
        <v>620040904 2 03 20570000</v>
      </c>
      <c r="L1635" s="32">
        <v>13943.86</v>
      </c>
      <c r="M1635" s="32">
        <v>8943.86</v>
      </c>
      <c r="N1635" s="32">
        <v>8943.86</v>
      </c>
      <c r="O1635" s="32">
        <f>H1635-L1635</f>
        <v>-13943.86</v>
      </c>
      <c r="P1635" s="32" t="e">
        <f>#REF!-M1635</f>
        <v>#REF!</v>
      </c>
      <c r="Q1635" s="32" t="e">
        <f>#REF!-N1635</f>
        <v>#REF!</v>
      </c>
      <c r="R1635" s="17" t="str">
        <f>CONCATENATE(F1635,G1635)</f>
        <v>04 2 03 20570000</v>
      </c>
    </row>
    <row r="1636" spans="1:18" s="16" customFormat="1" ht="31.5">
      <c r="A1636" s="14"/>
      <c r="B1636" s="125" t="s">
        <v>28</v>
      </c>
      <c r="C1636" s="108" t="s">
        <v>410</v>
      </c>
      <c r="D1636" s="108" t="s">
        <v>73</v>
      </c>
      <c r="E1636" s="108" t="s">
        <v>471</v>
      </c>
      <c r="F1636" s="108" t="s">
        <v>853</v>
      </c>
      <c r="G1636" s="109" t="s">
        <v>29</v>
      </c>
      <c r="H1636" s="126">
        <f>H1637</f>
        <v>0</v>
      </c>
      <c r="I1636" s="178" t="str">
        <f t="shared" si="207"/>
        <v>620040904 2 03 20570240</v>
      </c>
      <c r="L1636" s="32">
        <v>13943.86</v>
      </c>
      <c r="M1636" s="32">
        <v>8943.86</v>
      </c>
      <c r="N1636" s="32">
        <v>8943.86</v>
      </c>
      <c r="O1636" s="32">
        <f>H1636-L1636</f>
        <v>-13943.86</v>
      </c>
      <c r="P1636" s="32" t="e">
        <f>#REF!-M1636</f>
        <v>#REF!</v>
      </c>
      <c r="Q1636" s="32" t="e">
        <f>#REF!-N1636</f>
        <v>#REF!</v>
      </c>
      <c r="R1636" s="17" t="str">
        <f>CONCATENATE(F1636,G1636)</f>
        <v>04 2 03 20570240</v>
      </c>
    </row>
    <row r="1637" spans="1:18" s="16" customFormat="1" ht="15.75">
      <c r="A1637" s="14"/>
      <c r="B1637" s="125" t="s">
        <v>30</v>
      </c>
      <c r="C1637" s="108" t="s">
        <v>410</v>
      </c>
      <c r="D1637" s="108" t="s">
        <v>73</v>
      </c>
      <c r="E1637" s="108" t="s">
        <v>471</v>
      </c>
      <c r="F1637" s="108" t="s">
        <v>853</v>
      </c>
      <c r="G1637" s="109" t="s">
        <v>31</v>
      </c>
      <c r="H1637" s="126"/>
      <c r="I1637" s="178" t="str">
        <f t="shared" si="207"/>
        <v>620040904 2 03 20570244</v>
      </c>
      <c r="L1637" s="32"/>
      <c r="M1637" s="32"/>
      <c r="N1637" s="32"/>
      <c r="O1637" s="32"/>
      <c r="P1637" s="32"/>
      <c r="Q1637" s="32"/>
      <c r="R1637" s="17"/>
    </row>
    <row r="1638" spans="1:18" s="16" customFormat="1" ht="15.75">
      <c r="A1638" s="14"/>
      <c r="B1638" s="121" t="s">
        <v>284</v>
      </c>
      <c r="C1638" s="122" t="s">
        <v>410</v>
      </c>
      <c r="D1638" s="123" t="s">
        <v>73</v>
      </c>
      <c r="E1638" s="123" t="s">
        <v>57</v>
      </c>
      <c r="F1638" s="123" t="s">
        <v>8</v>
      </c>
      <c r="G1638" s="123" t="s">
        <v>9</v>
      </c>
      <c r="H1638" s="124">
        <f>H1639</f>
        <v>0</v>
      </c>
      <c r="I1638" s="178" t="str">
        <f t="shared" si="207"/>
        <v>620041200 0 00 00000000</v>
      </c>
      <c r="L1638" s="19"/>
      <c r="M1638" s="19"/>
      <c r="N1638" s="19"/>
      <c r="O1638" s="32">
        <f>H1638-L1638</f>
        <v>0</v>
      </c>
      <c r="P1638" s="32" t="e">
        <f>#REF!-M1638</f>
        <v>#REF!</v>
      </c>
      <c r="Q1638" s="32" t="e">
        <f>#REF!-N1638</f>
        <v>#REF!</v>
      </c>
      <c r="R1638" s="17" t="str">
        <f>CONCATENATE(F1638,G1638)</f>
        <v>00 0 00 00000000</v>
      </c>
    </row>
    <row r="1639" spans="1:18" s="16" customFormat="1" ht="63">
      <c r="A1639" s="14"/>
      <c r="B1639" s="125" t="s">
        <v>87</v>
      </c>
      <c r="C1639" s="108" t="s">
        <v>410</v>
      </c>
      <c r="D1639" s="108" t="s">
        <v>73</v>
      </c>
      <c r="E1639" s="108" t="s">
        <v>57</v>
      </c>
      <c r="F1639" s="108" t="s">
        <v>88</v>
      </c>
      <c r="G1639" s="109" t="s">
        <v>9</v>
      </c>
      <c r="H1639" s="141">
        <f>H1640</f>
        <v>0</v>
      </c>
      <c r="I1639" s="178" t="str">
        <f t="shared" si="207"/>
        <v>620041298 0 00 00000000</v>
      </c>
      <c r="L1639" s="32"/>
      <c r="M1639" s="32"/>
      <c r="N1639" s="32"/>
      <c r="O1639" s="32">
        <f>H1639-L1639</f>
        <v>0</v>
      </c>
      <c r="P1639" s="32" t="e">
        <f>#REF!-M1639</f>
        <v>#REF!</v>
      </c>
      <c r="Q1639" s="32" t="e">
        <f>#REF!-N1639</f>
        <v>#REF!</v>
      </c>
      <c r="R1639" s="17" t="str">
        <f>CONCATENATE(F1639,G1639)</f>
        <v>98 0 00 00000000</v>
      </c>
    </row>
    <row r="1640" spans="1:18" s="16" customFormat="1" ht="15.75">
      <c r="A1640" s="14"/>
      <c r="B1640" s="125" t="s">
        <v>89</v>
      </c>
      <c r="C1640" s="108" t="s">
        <v>410</v>
      </c>
      <c r="D1640" s="108" t="s">
        <v>73</v>
      </c>
      <c r="E1640" s="108" t="s">
        <v>57</v>
      </c>
      <c r="F1640" s="108" t="s">
        <v>90</v>
      </c>
      <c r="G1640" s="109" t="s">
        <v>9</v>
      </c>
      <c r="H1640" s="141">
        <f>H1641</f>
        <v>0</v>
      </c>
      <c r="I1640" s="178" t="str">
        <f t="shared" si="207"/>
        <v>620041298 1 00 00000000</v>
      </c>
      <c r="L1640" s="32"/>
      <c r="M1640" s="32"/>
      <c r="N1640" s="32"/>
      <c r="O1640" s="32">
        <f>H1640-L1640</f>
        <v>0</v>
      </c>
      <c r="P1640" s="32" t="e">
        <f>#REF!-M1640</f>
        <v>#REF!</v>
      </c>
      <c r="Q1640" s="32" t="e">
        <f>#REF!-N1640</f>
        <v>#REF!</v>
      </c>
      <c r="R1640" s="17" t="str">
        <f>CONCATENATE(F1640,G1640)</f>
        <v>98 1 00 00000000</v>
      </c>
    </row>
    <row r="1641" spans="1:18" s="16" customFormat="1" ht="31.5">
      <c r="A1641" s="14"/>
      <c r="B1641" s="125" t="s">
        <v>854</v>
      </c>
      <c r="C1641" s="108" t="s">
        <v>410</v>
      </c>
      <c r="D1641" s="108" t="s">
        <v>73</v>
      </c>
      <c r="E1641" s="108" t="s">
        <v>57</v>
      </c>
      <c r="F1641" s="108" t="s">
        <v>855</v>
      </c>
      <c r="G1641" s="109" t="s">
        <v>9</v>
      </c>
      <c r="H1641" s="141">
        <f>H1642</f>
        <v>0</v>
      </c>
      <c r="I1641" s="178" t="str">
        <f t="shared" si="207"/>
        <v>620041298 1 00 21540000</v>
      </c>
      <c r="L1641" s="32"/>
      <c r="M1641" s="32"/>
      <c r="N1641" s="32"/>
      <c r="O1641" s="32">
        <f>H1641-L1641</f>
        <v>0</v>
      </c>
      <c r="P1641" s="32" t="e">
        <f>#REF!-M1641</f>
        <v>#REF!</v>
      </c>
      <c r="Q1641" s="32" t="e">
        <f>#REF!-N1641</f>
        <v>#REF!</v>
      </c>
      <c r="R1641" s="17" t="str">
        <f>CONCATENATE(F1641,G1641)</f>
        <v>98 1 00 21540000</v>
      </c>
    </row>
    <row r="1642" spans="1:18" s="16" customFormat="1" ht="31.5">
      <c r="A1642" s="14"/>
      <c r="B1642" s="125" t="s">
        <v>28</v>
      </c>
      <c r="C1642" s="108" t="s">
        <v>410</v>
      </c>
      <c r="D1642" s="108" t="s">
        <v>73</v>
      </c>
      <c r="E1642" s="108" t="s">
        <v>57</v>
      </c>
      <c r="F1642" s="108" t="s">
        <v>855</v>
      </c>
      <c r="G1642" s="109" t="s">
        <v>29</v>
      </c>
      <c r="H1642" s="126">
        <f>H1643</f>
        <v>0</v>
      </c>
      <c r="I1642" s="178" t="str">
        <f t="shared" si="207"/>
        <v>620041298 1 00 21540240</v>
      </c>
      <c r="L1642" s="32"/>
      <c r="M1642" s="32"/>
      <c r="N1642" s="32"/>
      <c r="O1642" s="32">
        <f>H1642-L1642</f>
        <v>0</v>
      </c>
      <c r="P1642" s="32" t="e">
        <f>#REF!-M1642</f>
        <v>#REF!</v>
      </c>
      <c r="Q1642" s="32" t="e">
        <f>#REF!-N1642</f>
        <v>#REF!</v>
      </c>
      <c r="R1642" s="17" t="str">
        <f>CONCATENATE(F1642,G1642)</f>
        <v>98 1 00 21540240</v>
      </c>
    </row>
    <row r="1643" spans="1:18" s="16" customFormat="1" ht="15.75">
      <c r="A1643" s="14"/>
      <c r="B1643" s="125" t="s">
        <v>30</v>
      </c>
      <c r="C1643" s="108" t="s">
        <v>410</v>
      </c>
      <c r="D1643" s="108" t="s">
        <v>73</v>
      </c>
      <c r="E1643" s="108" t="s">
        <v>57</v>
      </c>
      <c r="F1643" s="108" t="s">
        <v>855</v>
      </c>
      <c r="G1643" s="109" t="s">
        <v>31</v>
      </c>
      <c r="H1643" s="126"/>
      <c r="I1643" s="178" t="str">
        <f t="shared" si="207"/>
        <v>620041298 1 00 21540244</v>
      </c>
      <c r="L1643" s="32"/>
      <c r="M1643" s="32"/>
      <c r="N1643" s="32"/>
      <c r="O1643" s="32"/>
      <c r="P1643" s="32"/>
      <c r="Q1643" s="32"/>
      <c r="R1643" s="17"/>
    </row>
    <row r="1644" spans="1:18" s="16" customFormat="1" ht="15.75">
      <c r="A1644" s="14"/>
      <c r="B1644" s="117" t="s">
        <v>305</v>
      </c>
      <c r="C1644" s="118" t="s">
        <v>410</v>
      </c>
      <c r="D1644" s="119" t="s">
        <v>86</v>
      </c>
      <c r="E1644" s="119" t="s">
        <v>7</v>
      </c>
      <c r="F1644" s="119" t="s">
        <v>8</v>
      </c>
      <c r="G1644" s="119" t="s">
        <v>9</v>
      </c>
      <c r="H1644" s="120">
        <f>H1645+H1652+H1663+H1720</f>
        <v>0</v>
      </c>
      <c r="I1644" s="178" t="str">
        <f t="shared" si="207"/>
        <v>620050000 0 00 00000000</v>
      </c>
      <c r="L1644" s="18">
        <v>281198.81</v>
      </c>
      <c r="M1644" s="18">
        <v>262546.57</v>
      </c>
      <c r="N1644" s="18">
        <v>265456.62</v>
      </c>
      <c r="O1644" s="18">
        <f t="shared" ref="O1644:O1650" si="208">H1644-L1644</f>
        <v>-281198.81</v>
      </c>
      <c r="P1644" s="18" t="e">
        <f>#REF!-M1644</f>
        <v>#REF!</v>
      </c>
      <c r="Q1644" s="18" t="e">
        <f>#REF!-N1644</f>
        <v>#REF!</v>
      </c>
      <c r="R1644" s="17" t="str">
        <f t="shared" ref="R1644:R1650" si="209">CONCATENATE(F1644,G1644)</f>
        <v>00 0 00 00000000</v>
      </c>
    </row>
    <row r="1645" spans="1:18" s="16" customFormat="1" ht="15.75">
      <c r="A1645" s="14"/>
      <c r="B1645" s="121" t="s">
        <v>765</v>
      </c>
      <c r="C1645" s="122" t="s">
        <v>410</v>
      </c>
      <c r="D1645" s="123" t="s">
        <v>86</v>
      </c>
      <c r="E1645" s="123" t="s">
        <v>11</v>
      </c>
      <c r="F1645" s="123" t="s">
        <v>8</v>
      </c>
      <c r="G1645" s="123" t="s">
        <v>9</v>
      </c>
      <c r="H1645" s="124">
        <f>H1646</f>
        <v>0</v>
      </c>
      <c r="I1645" s="178" t="str">
        <f t="shared" si="207"/>
        <v>620050100 0 00 00000000</v>
      </c>
      <c r="L1645" s="19">
        <v>90</v>
      </c>
      <c r="M1645" s="19">
        <v>90</v>
      </c>
      <c r="N1645" s="19">
        <v>90</v>
      </c>
      <c r="O1645" s="19">
        <f t="shared" si="208"/>
        <v>-90</v>
      </c>
      <c r="P1645" s="19" t="e">
        <f>#REF!-M1645</f>
        <v>#REF!</v>
      </c>
      <c r="Q1645" s="19" t="e">
        <f>#REF!-N1645</f>
        <v>#REF!</v>
      </c>
      <c r="R1645" s="17" t="str">
        <f t="shared" si="209"/>
        <v>00 0 00 00000000</v>
      </c>
    </row>
    <row r="1646" spans="1:18" s="16" customFormat="1" ht="63">
      <c r="A1646" s="14"/>
      <c r="B1646" s="127" t="s">
        <v>293</v>
      </c>
      <c r="C1646" s="109" t="s">
        <v>410</v>
      </c>
      <c r="D1646" s="108" t="s">
        <v>86</v>
      </c>
      <c r="E1646" s="108" t="s">
        <v>11</v>
      </c>
      <c r="F1646" s="14" t="s">
        <v>294</v>
      </c>
      <c r="G1646" s="108" t="s">
        <v>9</v>
      </c>
      <c r="H1646" s="141">
        <f t="shared" ref="H1646:H1647" si="210">H1647</f>
        <v>0</v>
      </c>
      <c r="I1646" s="178" t="str">
        <f t="shared" si="207"/>
        <v>620050104 0 00 00000000</v>
      </c>
      <c r="L1646" s="32">
        <v>90</v>
      </c>
      <c r="M1646" s="32">
        <v>90</v>
      </c>
      <c r="N1646" s="32">
        <v>90</v>
      </c>
      <c r="O1646" s="32">
        <f t="shared" si="208"/>
        <v>-90</v>
      </c>
      <c r="P1646" s="32" t="e">
        <f>#REF!-M1646</f>
        <v>#REF!</v>
      </c>
      <c r="Q1646" s="32" t="e">
        <f>#REF!-N1646</f>
        <v>#REF!</v>
      </c>
      <c r="R1646" s="17" t="str">
        <f t="shared" si="209"/>
        <v>04 0 00 00000000</v>
      </c>
    </row>
    <row r="1647" spans="1:18" s="16" customFormat="1" ht="31.5">
      <c r="A1647" s="14"/>
      <c r="B1647" s="125" t="s">
        <v>766</v>
      </c>
      <c r="C1647" s="109" t="s">
        <v>410</v>
      </c>
      <c r="D1647" s="108" t="s">
        <v>86</v>
      </c>
      <c r="E1647" s="108" t="s">
        <v>11</v>
      </c>
      <c r="F1647" s="14" t="s">
        <v>767</v>
      </c>
      <c r="G1647" s="108" t="s">
        <v>9</v>
      </c>
      <c r="H1647" s="141">
        <f t="shared" si="210"/>
        <v>0</v>
      </c>
      <c r="I1647" s="178" t="str">
        <f t="shared" si="207"/>
        <v>620050104 1 00 00000000</v>
      </c>
      <c r="L1647" s="32">
        <v>90</v>
      </c>
      <c r="M1647" s="32">
        <v>90</v>
      </c>
      <c r="N1647" s="32">
        <v>90</v>
      </c>
      <c r="O1647" s="32">
        <f t="shared" si="208"/>
        <v>-90</v>
      </c>
      <c r="P1647" s="32" t="e">
        <f>#REF!-M1647</f>
        <v>#REF!</v>
      </c>
      <c r="Q1647" s="32" t="e">
        <f>#REF!-N1647</f>
        <v>#REF!</v>
      </c>
      <c r="R1647" s="17" t="str">
        <f t="shared" si="209"/>
        <v>04 1 00 00000000</v>
      </c>
    </row>
    <row r="1648" spans="1:18" s="16" customFormat="1" ht="47.25">
      <c r="A1648" s="14"/>
      <c r="B1648" s="125" t="s">
        <v>793</v>
      </c>
      <c r="C1648" s="109" t="s">
        <v>410</v>
      </c>
      <c r="D1648" s="108" t="s">
        <v>86</v>
      </c>
      <c r="E1648" s="108" t="s">
        <v>11</v>
      </c>
      <c r="F1648" s="14" t="s">
        <v>769</v>
      </c>
      <c r="G1648" s="108" t="s">
        <v>9</v>
      </c>
      <c r="H1648" s="141">
        <f>H1649</f>
        <v>0</v>
      </c>
      <c r="I1648" s="178" t="str">
        <f t="shared" si="207"/>
        <v>620050104 1 01 00000000</v>
      </c>
      <c r="L1648" s="32">
        <v>90</v>
      </c>
      <c r="M1648" s="32">
        <v>90</v>
      </c>
      <c r="N1648" s="32">
        <v>90</v>
      </c>
      <c r="O1648" s="32">
        <f t="shared" si="208"/>
        <v>-90</v>
      </c>
      <c r="P1648" s="32" t="e">
        <f>#REF!-M1648</f>
        <v>#REF!</v>
      </c>
      <c r="Q1648" s="32" t="e">
        <f>#REF!-N1648</f>
        <v>#REF!</v>
      </c>
      <c r="R1648" s="17" t="str">
        <f t="shared" si="209"/>
        <v>04 1 01 00000000</v>
      </c>
    </row>
    <row r="1649" spans="1:18" s="16" customFormat="1" ht="31.5">
      <c r="A1649" s="14"/>
      <c r="B1649" s="125" t="s">
        <v>856</v>
      </c>
      <c r="C1649" s="109" t="s">
        <v>410</v>
      </c>
      <c r="D1649" s="108" t="s">
        <v>86</v>
      </c>
      <c r="E1649" s="108" t="s">
        <v>11</v>
      </c>
      <c r="F1649" s="14" t="s">
        <v>857</v>
      </c>
      <c r="G1649" s="108" t="s">
        <v>9</v>
      </c>
      <c r="H1649" s="141">
        <f>H1650</f>
        <v>0</v>
      </c>
      <c r="I1649" s="178" t="str">
        <f t="shared" si="207"/>
        <v>620050104 1 01 20200000</v>
      </c>
      <c r="L1649" s="32">
        <v>90</v>
      </c>
      <c r="M1649" s="32">
        <v>90</v>
      </c>
      <c r="N1649" s="32">
        <v>90</v>
      </c>
      <c r="O1649" s="32">
        <f t="shared" si="208"/>
        <v>-90</v>
      </c>
      <c r="P1649" s="32" t="e">
        <f>#REF!-M1649</f>
        <v>#REF!</v>
      </c>
      <c r="Q1649" s="32" t="e">
        <f>#REF!-N1649</f>
        <v>#REF!</v>
      </c>
      <c r="R1649" s="17" t="str">
        <f t="shared" si="209"/>
        <v>04 1 01 20200000</v>
      </c>
    </row>
    <row r="1650" spans="1:18" s="16" customFormat="1" ht="31.5">
      <c r="A1650" s="14"/>
      <c r="B1650" s="125" t="s">
        <v>28</v>
      </c>
      <c r="C1650" s="108" t="s">
        <v>410</v>
      </c>
      <c r="D1650" s="108" t="s">
        <v>86</v>
      </c>
      <c r="E1650" s="108" t="s">
        <v>11</v>
      </c>
      <c r="F1650" s="14" t="s">
        <v>857</v>
      </c>
      <c r="G1650" s="108" t="s">
        <v>29</v>
      </c>
      <c r="H1650" s="126">
        <f>H1651</f>
        <v>0</v>
      </c>
      <c r="I1650" s="178" t="str">
        <f t="shared" si="207"/>
        <v>620050104 1 01 20200240</v>
      </c>
      <c r="L1650" s="32">
        <v>90</v>
      </c>
      <c r="M1650" s="32">
        <v>90</v>
      </c>
      <c r="N1650" s="32">
        <v>90</v>
      </c>
      <c r="O1650" s="32">
        <f t="shared" si="208"/>
        <v>-90</v>
      </c>
      <c r="P1650" s="32" t="e">
        <f>#REF!-M1650</f>
        <v>#REF!</v>
      </c>
      <c r="Q1650" s="32" t="e">
        <f>#REF!-N1650</f>
        <v>#REF!</v>
      </c>
      <c r="R1650" s="17" t="str">
        <f t="shared" si="209"/>
        <v>04 1 01 20200240</v>
      </c>
    </row>
    <row r="1651" spans="1:18" s="16" customFormat="1" ht="15.75">
      <c r="A1651" s="14"/>
      <c r="B1651" s="125" t="s">
        <v>30</v>
      </c>
      <c r="C1651" s="108" t="s">
        <v>410</v>
      </c>
      <c r="D1651" s="108" t="s">
        <v>86</v>
      </c>
      <c r="E1651" s="108" t="s">
        <v>11</v>
      </c>
      <c r="F1651" s="14" t="s">
        <v>857</v>
      </c>
      <c r="G1651" s="108" t="s">
        <v>31</v>
      </c>
      <c r="H1651" s="126"/>
      <c r="I1651" s="178" t="str">
        <f t="shared" si="207"/>
        <v>620050104 1 01 20200244</v>
      </c>
      <c r="L1651" s="32"/>
      <c r="M1651" s="32"/>
      <c r="N1651" s="32"/>
      <c r="O1651" s="32"/>
      <c r="P1651" s="32"/>
      <c r="Q1651" s="32"/>
      <c r="R1651" s="17"/>
    </row>
    <row r="1652" spans="1:18" s="16" customFormat="1" ht="15.75">
      <c r="A1652" s="14"/>
      <c r="B1652" s="121" t="s">
        <v>858</v>
      </c>
      <c r="C1652" s="122">
        <v>620</v>
      </c>
      <c r="D1652" s="123" t="s">
        <v>86</v>
      </c>
      <c r="E1652" s="123" t="s">
        <v>62</v>
      </c>
      <c r="F1652" s="123" t="s">
        <v>8</v>
      </c>
      <c r="G1652" s="123" t="s">
        <v>9</v>
      </c>
      <c r="H1652" s="124">
        <f t="shared" ref="H1652:H1655" si="211">H1653</f>
        <v>0</v>
      </c>
      <c r="I1652" s="178" t="str">
        <f t="shared" si="207"/>
        <v>620050200 0 00 00000000</v>
      </c>
      <c r="L1652" s="19">
        <v>120</v>
      </c>
      <c r="M1652" s="19">
        <v>20</v>
      </c>
      <c r="N1652" s="19">
        <v>20</v>
      </c>
      <c r="O1652" s="19">
        <f t="shared" ref="O1652:O1657" si="212">H1652-L1652</f>
        <v>-120</v>
      </c>
      <c r="P1652" s="19" t="e">
        <f>#REF!-M1652</f>
        <v>#REF!</v>
      </c>
      <c r="Q1652" s="19" t="e">
        <f>#REF!-N1652</f>
        <v>#REF!</v>
      </c>
      <c r="R1652" s="17" t="str">
        <f t="shared" ref="R1652:R1657" si="213">CONCATENATE(F1652,G1652)</f>
        <v>00 0 00 00000000</v>
      </c>
    </row>
    <row r="1653" spans="1:18" s="16" customFormat="1" ht="63">
      <c r="A1653" s="14"/>
      <c r="B1653" s="127" t="s">
        <v>293</v>
      </c>
      <c r="C1653" s="133">
        <v>620</v>
      </c>
      <c r="D1653" s="108" t="s">
        <v>86</v>
      </c>
      <c r="E1653" s="108" t="s">
        <v>62</v>
      </c>
      <c r="F1653" s="14" t="s">
        <v>294</v>
      </c>
      <c r="G1653" s="108" t="s">
        <v>9</v>
      </c>
      <c r="H1653" s="141">
        <f t="shared" si="211"/>
        <v>0</v>
      </c>
      <c r="I1653" s="178" t="str">
        <f t="shared" si="207"/>
        <v>620050204 0 00 00000000</v>
      </c>
      <c r="L1653" s="32">
        <v>120</v>
      </c>
      <c r="M1653" s="32">
        <v>20</v>
      </c>
      <c r="N1653" s="32">
        <v>20</v>
      </c>
      <c r="O1653" s="32">
        <f t="shared" si="212"/>
        <v>-120</v>
      </c>
      <c r="P1653" s="32" t="e">
        <f>#REF!-M1653</f>
        <v>#REF!</v>
      </c>
      <c r="Q1653" s="32" t="e">
        <f>#REF!-N1653</f>
        <v>#REF!</v>
      </c>
      <c r="R1653" s="17" t="str">
        <f t="shared" si="213"/>
        <v>04 0 00 00000000</v>
      </c>
    </row>
    <row r="1654" spans="1:18" s="16" customFormat="1" ht="31.5">
      <c r="A1654" s="14"/>
      <c r="B1654" s="125" t="s">
        <v>766</v>
      </c>
      <c r="C1654" s="133">
        <v>620</v>
      </c>
      <c r="D1654" s="108" t="s">
        <v>86</v>
      </c>
      <c r="E1654" s="108" t="s">
        <v>62</v>
      </c>
      <c r="F1654" s="14" t="s">
        <v>767</v>
      </c>
      <c r="G1654" s="108" t="s">
        <v>9</v>
      </c>
      <c r="H1654" s="141">
        <f>H1655+H1659</f>
        <v>0</v>
      </c>
      <c r="I1654" s="178" t="str">
        <f t="shared" si="207"/>
        <v>620050204 1 00 00000000</v>
      </c>
      <c r="L1654" s="32">
        <v>120</v>
      </c>
      <c r="M1654" s="32">
        <v>20</v>
      </c>
      <c r="N1654" s="32">
        <v>20</v>
      </c>
      <c r="O1654" s="32">
        <f t="shared" si="212"/>
        <v>-120</v>
      </c>
      <c r="P1654" s="32" t="e">
        <f>#REF!-M1654</f>
        <v>#REF!</v>
      </c>
      <c r="Q1654" s="32" t="e">
        <f>#REF!-N1654</f>
        <v>#REF!</v>
      </c>
      <c r="R1654" s="17" t="str">
        <f t="shared" si="213"/>
        <v>04 1 00 00000000</v>
      </c>
    </row>
    <row r="1655" spans="1:18" s="16" customFormat="1" ht="63">
      <c r="A1655" s="14"/>
      <c r="B1655" s="125" t="s">
        <v>859</v>
      </c>
      <c r="C1655" s="133">
        <v>620</v>
      </c>
      <c r="D1655" s="108" t="s">
        <v>86</v>
      </c>
      <c r="E1655" s="108" t="s">
        <v>62</v>
      </c>
      <c r="F1655" s="14" t="s">
        <v>860</v>
      </c>
      <c r="G1655" s="108" t="s">
        <v>9</v>
      </c>
      <c r="H1655" s="141">
        <f t="shared" si="211"/>
        <v>0</v>
      </c>
      <c r="I1655" s="178" t="str">
        <f t="shared" si="207"/>
        <v>620050204 1 02 00000000</v>
      </c>
      <c r="L1655" s="32">
        <v>20</v>
      </c>
      <c r="M1655" s="32">
        <v>20</v>
      </c>
      <c r="N1655" s="32">
        <v>20</v>
      </c>
      <c r="O1655" s="32">
        <f t="shared" si="212"/>
        <v>-20</v>
      </c>
      <c r="P1655" s="32" t="e">
        <f>#REF!-M1655</f>
        <v>#REF!</v>
      </c>
      <c r="Q1655" s="32" t="e">
        <f>#REF!-N1655</f>
        <v>#REF!</v>
      </c>
      <c r="R1655" s="17" t="str">
        <f t="shared" si="213"/>
        <v>04 1 02 00000000</v>
      </c>
    </row>
    <row r="1656" spans="1:18" s="16" customFormat="1" ht="31.5">
      <c r="A1656" s="14"/>
      <c r="B1656" s="125" t="s">
        <v>861</v>
      </c>
      <c r="C1656" s="133">
        <v>620</v>
      </c>
      <c r="D1656" s="108" t="s">
        <v>86</v>
      </c>
      <c r="E1656" s="108" t="s">
        <v>62</v>
      </c>
      <c r="F1656" s="14" t="s">
        <v>862</v>
      </c>
      <c r="G1656" s="108" t="s">
        <v>9</v>
      </c>
      <c r="H1656" s="141">
        <f>H1657</f>
        <v>0</v>
      </c>
      <c r="I1656" s="178" t="str">
        <f t="shared" si="207"/>
        <v>620050204 1 02 20220000</v>
      </c>
      <c r="L1656" s="32">
        <v>20</v>
      </c>
      <c r="M1656" s="32">
        <v>20</v>
      </c>
      <c r="N1656" s="32">
        <v>20</v>
      </c>
      <c r="O1656" s="32">
        <f t="shared" si="212"/>
        <v>-20</v>
      </c>
      <c r="P1656" s="32" t="e">
        <f>#REF!-M1656</f>
        <v>#REF!</v>
      </c>
      <c r="Q1656" s="32" t="e">
        <f>#REF!-N1656</f>
        <v>#REF!</v>
      </c>
      <c r="R1656" s="17" t="str">
        <f t="shared" si="213"/>
        <v>04 1 02 20220000</v>
      </c>
    </row>
    <row r="1657" spans="1:18" s="16" customFormat="1" ht="31.5">
      <c r="A1657" s="14"/>
      <c r="B1657" s="125" t="s">
        <v>28</v>
      </c>
      <c r="C1657" s="108" t="s">
        <v>410</v>
      </c>
      <c r="D1657" s="108" t="s">
        <v>86</v>
      </c>
      <c r="E1657" s="108" t="s">
        <v>62</v>
      </c>
      <c r="F1657" s="14" t="s">
        <v>862</v>
      </c>
      <c r="G1657" s="108" t="s">
        <v>29</v>
      </c>
      <c r="H1657" s="126">
        <f>H1658</f>
        <v>0</v>
      </c>
      <c r="I1657" s="178" t="str">
        <f t="shared" si="207"/>
        <v>620050204 1 02 20220240</v>
      </c>
      <c r="L1657" s="32">
        <v>20</v>
      </c>
      <c r="M1657" s="32">
        <v>20</v>
      </c>
      <c r="N1657" s="32">
        <v>20</v>
      </c>
      <c r="O1657" s="32">
        <f t="shared" si="212"/>
        <v>-20</v>
      </c>
      <c r="P1657" s="32" t="e">
        <f>#REF!-M1657</f>
        <v>#REF!</v>
      </c>
      <c r="Q1657" s="32" t="e">
        <f>#REF!-N1657</f>
        <v>#REF!</v>
      </c>
      <c r="R1657" s="17" t="str">
        <f t="shared" si="213"/>
        <v>04 1 02 20220240</v>
      </c>
    </row>
    <row r="1658" spans="1:18" s="16" customFormat="1" ht="15.75">
      <c r="A1658" s="14"/>
      <c r="B1658" s="125" t="s">
        <v>30</v>
      </c>
      <c r="C1658" s="108" t="s">
        <v>410</v>
      </c>
      <c r="D1658" s="108" t="s">
        <v>86</v>
      </c>
      <c r="E1658" s="108" t="s">
        <v>62</v>
      </c>
      <c r="F1658" s="14" t="s">
        <v>862</v>
      </c>
      <c r="G1658" s="108" t="s">
        <v>31</v>
      </c>
      <c r="H1658" s="126"/>
      <c r="I1658" s="178" t="str">
        <f t="shared" si="207"/>
        <v>620050204 1 02 20220244</v>
      </c>
      <c r="L1658" s="32"/>
      <c r="M1658" s="32"/>
      <c r="N1658" s="32"/>
      <c r="O1658" s="32"/>
      <c r="P1658" s="32"/>
      <c r="Q1658" s="32"/>
      <c r="R1658" s="17"/>
    </row>
    <row r="1659" spans="1:18" s="16" customFormat="1" ht="63">
      <c r="A1659" s="14"/>
      <c r="B1659" s="125" t="s">
        <v>863</v>
      </c>
      <c r="C1659" s="133">
        <v>620</v>
      </c>
      <c r="D1659" s="108" t="s">
        <v>86</v>
      </c>
      <c r="E1659" s="108" t="s">
        <v>62</v>
      </c>
      <c r="F1659" s="14" t="s">
        <v>864</v>
      </c>
      <c r="G1659" s="108" t="s">
        <v>9</v>
      </c>
      <c r="H1659" s="141">
        <f>H1660</f>
        <v>0</v>
      </c>
      <c r="I1659" s="178" t="str">
        <f t="shared" si="207"/>
        <v>620050204 1 03 00000000</v>
      </c>
      <c r="L1659" s="32">
        <v>100</v>
      </c>
      <c r="M1659" s="32">
        <v>0</v>
      </c>
      <c r="N1659" s="32">
        <v>0</v>
      </c>
      <c r="O1659" s="32">
        <f>H1659-L1659</f>
        <v>-100</v>
      </c>
      <c r="P1659" s="32" t="e">
        <f>#REF!-M1659</f>
        <v>#REF!</v>
      </c>
      <c r="Q1659" s="32" t="e">
        <f>#REF!-N1659</f>
        <v>#REF!</v>
      </c>
      <c r="R1659" s="17" t="str">
        <f>CONCATENATE(F1659,G1659)</f>
        <v>04 1 03 00000000</v>
      </c>
    </row>
    <row r="1660" spans="1:18" s="16" customFormat="1" ht="31.5">
      <c r="A1660" s="14"/>
      <c r="B1660" s="125" t="s">
        <v>861</v>
      </c>
      <c r="C1660" s="133">
        <v>620</v>
      </c>
      <c r="D1660" s="108" t="s">
        <v>86</v>
      </c>
      <c r="E1660" s="108" t="s">
        <v>62</v>
      </c>
      <c r="F1660" s="14" t="s">
        <v>865</v>
      </c>
      <c r="G1660" s="108" t="s">
        <v>9</v>
      </c>
      <c r="H1660" s="141">
        <f>H1661</f>
        <v>0</v>
      </c>
      <c r="I1660" s="178" t="str">
        <f t="shared" si="207"/>
        <v>620050204 1 03 20220000</v>
      </c>
      <c r="L1660" s="32">
        <v>100</v>
      </c>
      <c r="M1660" s="32">
        <v>0</v>
      </c>
      <c r="N1660" s="32">
        <v>0</v>
      </c>
      <c r="O1660" s="32">
        <f>H1660-L1660</f>
        <v>-100</v>
      </c>
      <c r="P1660" s="32" t="e">
        <f>#REF!-M1660</f>
        <v>#REF!</v>
      </c>
      <c r="Q1660" s="32" t="e">
        <f>#REF!-N1660</f>
        <v>#REF!</v>
      </c>
      <c r="R1660" s="17" t="str">
        <f>CONCATENATE(F1660,G1660)</f>
        <v>04 1 03 20220000</v>
      </c>
    </row>
    <row r="1661" spans="1:18" s="16" customFormat="1" ht="31.5">
      <c r="A1661" s="14"/>
      <c r="B1661" s="125" t="s">
        <v>28</v>
      </c>
      <c r="C1661" s="133">
        <v>620</v>
      </c>
      <c r="D1661" s="108" t="s">
        <v>86</v>
      </c>
      <c r="E1661" s="108" t="s">
        <v>62</v>
      </c>
      <c r="F1661" s="14" t="s">
        <v>865</v>
      </c>
      <c r="G1661" s="108" t="s">
        <v>29</v>
      </c>
      <c r="H1661" s="126">
        <f>H1662</f>
        <v>0</v>
      </c>
      <c r="I1661" s="178" t="str">
        <f t="shared" si="207"/>
        <v>620050204 1 03 20220240</v>
      </c>
      <c r="L1661" s="32">
        <v>100</v>
      </c>
      <c r="M1661" s="32">
        <v>0</v>
      </c>
      <c r="N1661" s="32">
        <v>0</v>
      </c>
      <c r="O1661" s="32">
        <f>H1661-L1661</f>
        <v>-100</v>
      </c>
      <c r="P1661" s="32" t="e">
        <f>#REF!-M1661</f>
        <v>#REF!</v>
      </c>
      <c r="Q1661" s="32" t="e">
        <f>#REF!-N1661</f>
        <v>#REF!</v>
      </c>
      <c r="R1661" s="17" t="str">
        <f>CONCATENATE(F1661,G1661)</f>
        <v>04 1 03 20220240</v>
      </c>
    </row>
    <row r="1662" spans="1:18" s="16" customFormat="1" ht="15.75">
      <c r="A1662" s="14"/>
      <c r="B1662" s="125" t="s">
        <v>30</v>
      </c>
      <c r="C1662" s="133">
        <v>620</v>
      </c>
      <c r="D1662" s="108" t="s">
        <v>86</v>
      </c>
      <c r="E1662" s="108" t="s">
        <v>62</v>
      </c>
      <c r="F1662" s="14" t="s">
        <v>865</v>
      </c>
      <c r="G1662" s="108" t="s">
        <v>31</v>
      </c>
      <c r="H1662" s="126"/>
      <c r="I1662" s="178" t="str">
        <f t="shared" si="207"/>
        <v>620050204 1 03 20220244</v>
      </c>
      <c r="L1662" s="32"/>
      <c r="M1662" s="32"/>
      <c r="N1662" s="32"/>
      <c r="O1662" s="32"/>
      <c r="P1662" s="32"/>
      <c r="Q1662" s="32"/>
      <c r="R1662" s="17"/>
    </row>
    <row r="1663" spans="1:18" s="16" customFormat="1" ht="15.75">
      <c r="A1663" s="14"/>
      <c r="B1663" s="121" t="s">
        <v>306</v>
      </c>
      <c r="C1663" s="122" t="s">
        <v>410</v>
      </c>
      <c r="D1663" s="123" t="s">
        <v>86</v>
      </c>
      <c r="E1663" s="123" t="s">
        <v>13</v>
      </c>
      <c r="F1663" s="123" t="s">
        <v>8</v>
      </c>
      <c r="G1663" s="123" t="s">
        <v>9</v>
      </c>
      <c r="H1663" s="124">
        <f>H1664+H1706+H1700</f>
        <v>0</v>
      </c>
      <c r="I1663" s="178" t="str">
        <f t="shared" si="207"/>
        <v>620050300 0 00 00000000</v>
      </c>
      <c r="L1663" s="19">
        <v>232730.36</v>
      </c>
      <c r="M1663" s="19">
        <v>214178.12</v>
      </c>
      <c r="N1663" s="19">
        <v>217088.16999999998</v>
      </c>
      <c r="O1663" s="19">
        <f t="shared" ref="O1663:O1668" si="214">H1663-L1663</f>
        <v>-232730.36</v>
      </c>
      <c r="P1663" s="19" t="e">
        <f>#REF!-M1663</f>
        <v>#REF!</v>
      </c>
      <c r="Q1663" s="19" t="e">
        <f>#REF!-N1663</f>
        <v>#REF!</v>
      </c>
      <c r="R1663" s="17" t="str">
        <f t="shared" ref="R1663:R1668" si="215">CONCATENATE(F1663,G1663)</f>
        <v>00 0 00 00000000</v>
      </c>
    </row>
    <row r="1664" spans="1:18" s="16" customFormat="1" ht="63">
      <c r="A1664" s="14"/>
      <c r="B1664" s="127" t="s">
        <v>293</v>
      </c>
      <c r="C1664" s="108" t="s">
        <v>410</v>
      </c>
      <c r="D1664" s="108" t="s">
        <v>86</v>
      </c>
      <c r="E1664" s="108" t="s">
        <v>13</v>
      </c>
      <c r="F1664" s="108" t="s">
        <v>294</v>
      </c>
      <c r="G1664" s="108" t="s">
        <v>9</v>
      </c>
      <c r="H1664" s="141">
        <f>H1665</f>
        <v>0</v>
      </c>
      <c r="I1664" s="178" t="str">
        <f t="shared" si="207"/>
        <v>620050304 0 00 00000000</v>
      </c>
      <c r="L1664" s="32">
        <v>223074.72999999998</v>
      </c>
      <c r="M1664" s="32">
        <v>201612.44</v>
      </c>
      <c r="N1664" s="32">
        <v>201612.44</v>
      </c>
      <c r="O1664" s="32">
        <f t="shared" si="214"/>
        <v>-223074.72999999998</v>
      </c>
      <c r="P1664" s="32" t="e">
        <f>#REF!-M1664</f>
        <v>#REF!</v>
      </c>
      <c r="Q1664" s="32" t="e">
        <f>#REF!-N1664</f>
        <v>#REF!</v>
      </c>
      <c r="R1664" s="17" t="str">
        <f t="shared" si="215"/>
        <v>04 0 00 00000000</v>
      </c>
    </row>
    <row r="1665" spans="1:18" s="16" customFormat="1" ht="31.5">
      <c r="A1665" s="14"/>
      <c r="B1665" s="125" t="s">
        <v>307</v>
      </c>
      <c r="C1665" s="108" t="s">
        <v>410</v>
      </c>
      <c r="D1665" s="108" t="s">
        <v>86</v>
      </c>
      <c r="E1665" s="108" t="s">
        <v>13</v>
      </c>
      <c r="F1665" s="108" t="s">
        <v>308</v>
      </c>
      <c r="G1665" s="108" t="s">
        <v>9</v>
      </c>
      <c r="H1665" s="141">
        <f>H1666+H1670+H1674</f>
        <v>0</v>
      </c>
      <c r="I1665" s="178" t="str">
        <f t="shared" si="207"/>
        <v>620050304 3 00 00000000</v>
      </c>
      <c r="L1665" s="32">
        <v>223074.72999999998</v>
      </c>
      <c r="M1665" s="32">
        <v>201612.44</v>
      </c>
      <c r="N1665" s="32">
        <v>201612.44</v>
      </c>
      <c r="O1665" s="32">
        <f t="shared" si="214"/>
        <v>-223074.72999999998</v>
      </c>
      <c r="P1665" s="32" t="e">
        <f>#REF!-M1665</f>
        <v>#REF!</v>
      </c>
      <c r="Q1665" s="32" t="e">
        <f>#REF!-N1665</f>
        <v>#REF!</v>
      </c>
      <c r="R1665" s="17" t="str">
        <f t="shared" si="215"/>
        <v>04 3 00 00000000</v>
      </c>
    </row>
    <row r="1666" spans="1:18" s="16" customFormat="1" ht="47.25">
      <c r="A1666" s="14"/>
      <c r="B1666" s="125" t="s">
        <v>866</v>
      </c>
      <c r="C1666" s="108" t="s">
        <v>410</v>
      </c>
      <c r="D1666" s="108" t="s">
        <v>86</v>
      </c>
      <c r="E1666" s="108" t="s">
        <v>13</v>
      </c>
      <c r="F1666" s="108" t="s">
        <v>867</v>
      </c>
      <c r="G1666" s="108" t="s">
        <v>9</v>
      </c>
      <c r="H1666" s="141">
        <f>H1667</f>
        <v>0</v>
      </c>
      <c r="I1666" s="178" t="str">
        <f t="shared" si="207"/>
        <v>620050304 3 02 00000000</v>
      </c>
      <c r="L1666" s="32">
        <v>21821.77</v>
      </c>
      <c r="M1666" s="32">
        <v>16821.77</v>
      </c>
      <c r="N1666" s="32">
        <v>16821.77</v>
      </c>
      <c r="O1666" s="32">
        <f t="shared" si="214"/>
        <v>-21821.77</v>
      </c>
      <c r="P1666" s="32" t="e">
        <f>#REF!-M1666</f>
        <v>#REF!</v>
      </c>
      <c r="Q1666" s="32" t="e">
        <f>#REF!-N1666</f>
        <v>#REF!</v>
      </c>
      <c r="R1666" s="17" t="str">
        <f t="shared" si="215"/>
        <v>04 3 02 00000000</v>
      </c>
    </row>
    <row r="1667" spans="1:18" s="16" customFormat="1" ht="47.25">
      <c r="A1667" s="14"/>
      <c r="B1667" s="125" t="s">
        <v>868</v>
      </c>
      <c r="C1667" s="108" t="s">
        <v>410</v>
      </c>
      <c r="D1667" s="108" t="s">
        <v>86</v>
      </c>
      <c r="E1667" s="108" t="s">
        <v>13</v>
      </c>
      <c r="F1667" s="108" t="s">
        <v>869</v>
      </c>
      <c r="G1667" s="108" t="s">
        <v>9</v>
      </c>
      <c r="H1667" s="141">
        <f>H1668</f>
        <v>0</v>
      </c>
      <c r="I1667" s="178" t="str">
        <f t="shared" si="207"/>
        <v>620050304 3 02 20290000</v>
      </c>
      <c r="L1667" s="32">
        <v>21821.77</v>
      </c>
      <c r="M1667" s="32">
        <v>16821.77</v>
      </c>
      <c r="N1667" s="32">
        <v>16821.77</v>
      </c>
      <c r="O1667" s="32">
        <f t="shared" si="214"/>
        <v>-21821.77</v>
      </c>
      <c r="P1667" s="32" t="e">
        <f>#REF!-M1667</f>
        <v>#REF!</v>
      </c>
      <c r="Q1667" s="32" t="e">
        <f>#REF!-N1667</f>
        <v>#REF!</v>
      </c>
      <c r="R1667" s="17" t="str">
        <f t="shared" si="215"/>
        <v>04 3 02 20290000</v>
      </c>
    </row>
    <row r="1668" spans="1:18" s="16" customFormat="1" ht="31.5">
      <c r="A1668" s="14"/>
      <c r="B1668" s="125" t="s">
        <v>28</v>
      </c>
      <c r="C1668" s="108" t="s">
        <v>410</v>
      </c>
      <c r="D1668" s="108" t="s">
        <v>86</v>
      </c>
      <c r="E1668" s="108" t="s">
        <v>13</v>
      </c>
      <c r="F1668" s="108" t="s">
        <v>869</v>
      </c>
      <c r="G1668" s="108" t="s">
        <v>29</v>
      </c>
      <c r="H1668" s="126">
        <f>H1669</f>
        <v>0</v>
      </c>
      <c r="I1668" s="178" t="str">
        <f t="shared" si="207"/>
        <v>620050304 3 02 20290240</v>
      </c>
      <c r="L1668" s="32">
        <v>21821.77</v>
      </c>
      <c r="M1668" s="32">
        <v>16821.77</v>
      </c>
      <c r="N1668" s="32">
        <v>16821.77</v>
      </c>
      <c r="O1668" s="32">
        <f t="shared" si="214"/>
        <v>-21821.77</v>
      </c>
      <c r="P1668" s="32" t="e">
        <f>#REF!-M1668</f>
        <v>#REF!</v>
      </c>
      <c r="Q1668" s="32" t="e">
        <f>#REF!-N1668</f>
        <v>#REF!</v>
      </c>
      <c r="R1668" s="17" t="str">
        <f t="shared" si="215"/>
        <v>04 3 02 20290240</v>
      </c>
    </row>
    <row r="1669" spans="1:18" s="16" customFormat="1" ht="15.75">
      <c r="A1669" s="14"/>
      <c r="B1669" s="125" t="s">
        <v>30</v>
      </c>
      <c r="C1669" s="108" t="s">
        <v>410</v>
      </c>
      <c r="D1669" s="108" t="s">
        <v>86</v>
      </c>
      <c r="E1669" s="108" t="s">
        <v>13</v>
      </c>
      <c r="F1669" s="108" t="s">
        <v>869</v>
      </c>
      <c r="G1669" s="108" t="s">
        <v>31</v>
      </c>
      <c r="H1669" s="126"/>
      <c r="I1669" s="178" t="str">
        <f t="shared" si="207"/>
        <v>620050304 3 02 20290244</v>
      </c>
      <c r="L1669" s="32"/>
      <c r="M1669" s="32"/>
      <c r="N1669" s="32"/>
      <c r="O1669" s="32"/>
      <c r="P1669" s="32"/>
      <c r="Q1669" s="32"/>
      <c r="R1669" s="17"/>
    </row>
    <row r="1670" spans="1:18" s="16" customFormat="1" ht="47.25">
      <c r="A1670" s="14"/>
      <c r="B1670" s="125" t="s">
        <v>870</v>
      </c>
      <c r="C1670" s="108" t="s">
        <v>410</v>
      </c>
      <c r="D1670" s="108" t="s">
        <v>86</v>
      </c>
      <c r="E1670" s="108" t="s">
        <v>13</v>
      </c>
      <c r="F1670" s="108" t="s">
        <v>871</v>
      </c>
      <c r="G1670" s="108" t="s">
        <v>9</v>
      </c>
      <c r="H1670" s="141">
        <f t="shared" ref="H1670:H1671" si="216">H1671</f>
        <v>0</v>
      </c>
      <c r="I1670" s="178" t="str">
        <f t="shared" si="207"/>
        <v>620050304 3 03 00000000</v>
      </c>
      <c r="L1670" s="32">
        <v>2284.56</v>
      </c>
      <c r="M1670" s="32">
        <v>2284.56</v>
      </c>
      <c r="N1670" s="32">
        <v>2284.56</v>
      </c>
      <c r="O1670" s="32">
        <f>H1670-L1670</f>
        <v>-2284.56</v>
      </c>
      <c r="P1670" s="32" t="e">
        <f>#REF!-M1670</f>
        <v>#REF!</v>
      </c>
      <c r="Q1670" s="32" t="e">
        <f>#REF!-N1670</f>
        <v>#REF!</v>
      </c>
      <c r="R1670" s="17" t="str">
        <f>CONCATENATE(F1670,G1670)</f>
        <v>04 3 03 00000000</v>
      </c>
    </row>
    <row r="1671" spans="1:18" s="16" customFormat="1" ht="47.25">
      <c r="A1671" s="14" t="s">
        <v>80</v>
      </c>
      <c r="B1671" s="125" t="s">
        <v>872</v>
      </c>
      <c r="C1671" s="108" t="s">
        <v>410</v>
      </c>
      <c r="D1671" s="108" t="s">
        <v>86</v>
      </c>
      <c r="E1671" s="108" t="s">
        <v>13</v>
      </c>
      <c r="F1671" s="108" t="s">
        <v>873</v>
      </c>
      <c r="G1671" s="108" t="s">
        <v>9</v>
      </c>
      <c r="H1671" s="141">
        <f t="shared" si="216"/>
        <v>0</v>
      </c>
      <c r="I1671" s="178" t="str">
        <f t="shared" si="207"/>
        <v>620050304 3 03 77150000</v>
      </c>
      <c r="L1671" s="32">
        <v>2284.56</v>
      </c>
      <c r="M1671" s="32">
        <v>2284.56</v>
      </c>
      <c r="N1671" s="32">
        <v>2284.56</v>
      </c>
      <c r="O1671" s="32">
        <f>H1671-L1671</f>
        <v>-2284.56</v>
      </c>
      <c r="P1671" s="32" t="e">
        <f>#REF!-M1671</f>
        <v>#REF!</v>
      </c>
      <c r="Q1671" s="32" t="e">
        <f>#REF!-N1671</f>
        <v>#REF!</v>
      </c>
      <c r="R1671" s="17" t="str">
        <f>CONCATENATE(F1671,G1671)</f>
        <v>04 3 03 77150000</v>
      </c>
    </row>
    <row r="1672" spans="1:18" s="16" customFormat="1" ht="31.5">
      <c r="A1672" s="14"/>
      <c r="B1672" s="125" t="s">
        <v>28</v>
      </c>
      <c r="C1672" s="108" t="s">
        <v>410</v>
      </c>
      <c r="D1672" s="108" t="s">
        <v>86</v>
      </c>
      <c r="E1672" s="108" t="s">
        <v>13</v>
      </c>
      <c r="F1672" s="108" t="s">
        <v>873</v>
      </c>
      <c r="G1672" s="108" t="s">
        <v>29</v>
      </c>
      <c r="H1672" s="126">
        <f>H1673</f>
        <v>0</v>
      </c>
      <c r="I1672" s="178" t="str">
        <f t="shared" si="207"/>
        <v>620050304 3 03 77150240</v>
      </c>
      <c r="L1672" s="32">
        <v>2284.56</v>
      </c>
      <c r="M1672" s="32">
        <v>2284.56</v>
      </c>
      <c r="N1672" s="32">
        <v>2284.56</v>
      </c>
      <c r="O1672" s="32">
        <f>H1672-L1672</f>
        <v>-2284.56</v>
      </c>
      <c r="P1672" s="32" t="e">
        <f>#REF!-M1672</f>
        <v>#REF!</v>
      </c>
      <c r="Q1672" s="32" t="e">
        <f>#REF!-N1672</f>
        <v>#REF!</v>
      </c>
      <c r="R1672" s="17" t="str">
        <f>CONCATENATE(F1672,G1672)</f>
        <v>04 3 03 77150240</v>
      </c>
    </row>
    <row r="1673" spans="1:18" s="16" customFormat="1" ht="15.75">
      <c r="A1673" s="14"/>
      <c r="B1673" s="125" t="s">
        <v>30</v>
      </c>
      <c r="C1673" s="108" t="s">
        <v>410</v>
      </c>
      <c r="D1673" s="108" t="s">
        <v>86</v>
      </c>
      <c r="E1673" s="108" t="s">
        <v>13</v>
      </c>
      <c r="F1673" s="108" t="s">
        <v>873</v>
      </c>
      <c r="G1673" s="108" t="s">
        <v>31</v>
      </c>
      <c r="H1673" s="126"/>
      <c r="I1673" s="178" t="str">
        <f t="shared" si="207"/>
        <v>620050304 3 03 77150244</v>
      </c>
      <c r="L1673" s="32"/>
      <c r="M1673" s="32"/>
      <c r="N1673" s="32"/>
      <c r="O1673" s="32"/>
      <c r="P1673" s="32"/>
      <c r="Q1673" s="32"/>
      <c r="R1673" s="17"/>
    </row>
    <row r="1674" spans="1:18" s="16" customFormat="1" ht="31.5">
      <c r="A1674" s="14"/>
      <c r="B1674" s="138" t="s">
        <v>309</v>
      </c>
      <c r="C1674" s="108" t="s">
        <v>410</v>
      </c>
      <c r="D1674" s="108" t="s">
        <v>86</v>
      </c>
      <c r="E1674" s="108" t="s">
        <v>13</v>
      </c>
      <c r="F1674" s="108" t="s">
        <v>310</v>
      </c>
      <c r="G1674" s="108" t="s">
        <v>9</v>
      </c>
      <c r="H1674" s="141">
        <f>H1675+H1678+H1681+H1688+H1691+H1694+H1697</f>
        <v>0</v>
      </c>
      <c r="I1674" s="178" t="str">
        <f t="shared" si="207"/>
        <v>620050304 3 04 00000000</v>
      </c>
      <c r="L1674" s="32">
        <v>198968.4</v>
      </c>
      <c r="M1674" s="32">
        <v>182506.11</v>
      </c>
      <c r="N1674" s="32">
        <v>182506.11</v>
      </c>
      <c r="O1674" s="32">
        <f>H1674-L1674</f>
        <v>-198968.4</v>
      </c>
      <c r="P1674" s="32" t="e">
        <f>#REF!-M1674</f>
        <v>#REF!</v>
      </c>
      <c r="Q1674" s="32" t="e">
        <f>#REF!-N1674</f>
        <v>#REF!</v>
      </c>
      <c r="R1674" s="17" t="str">
        <f>CONCATENATE(F1674,G1674)</f>
        <v>04 3 04 00000000</v>
      </c>
    </row>
    <row r="1675" spans="1:18" s="16" customFormat="1" ht="31.5">
      <c r="A1675" s="14"/>
      <c r="B1675" s="125" t="s">
        <v>136</v>
      </c>
      <c r="C1675" s="108" t="s">
        <v>410</v>
      </c>
      <c r="D1675" s="108" t="s">
        <v>86</v>
      </c>
      <c r="E1675" s="108" t="s">
        <v>13</v>
      </c>
      <c r="F1675" s="108" t="s">
        <v>874</v>
      </c>
      <c r="G1675" s="108" t="s">
        <v>9</v>
      </c>
      <c r="H1675" s="141">
        <f>H1676</f>
        <v>0</v>
      </c>
      <c r="I1675" s="178" t="str">
        <f t="shared" si="207"/>
        <v>620050304 3 04 11010000</v>
      </c>
      <c r="L1675" s="32">
        <v>17734.23</v>
      </c>
      <c r="M1675" s="32">
        <v>17734.23</v>
      </c>
      <c r="N1675" s="32">
        <v>17734.23</v>
      </c>
      <c r="O1675" s="32">
        <f>H1675-L1675</f>
        <v>-17734.23</v>
      </c>
      <c r="P1675" s="32" t="e">
        <f>#REF!-M1675</f>
        <v>#REF!</v>
      </c>
      <c r="Q1675" s="32" t="e">
        <f>#REF!-N1675</f>
        <v>#REF!</v>
      </c>
      <c r="R1675" s="17" t="str">
        <f>CONCATENATE(F1675,G1675)</f>
        <v>04 3 04 11010000</v>
      </c>
    </row>
    <row r="1676" spans="1:18" s="16" customFormat="1" ht="15.75">
      <c r="A1676" s="14"/>
      <c r="B1676" s="132" t="s">
        <v>403</v>
      </c>
      <c r="C1676" s="108" t="s">
        <v>410</v>
      </c>
      <c r="D1676" s="108" t="s">
        <v>86</v>
      </c>
      <c r="E1676" s="108" t="s">
        <v>13</v>
      </c>
      <c r="F1676" s="108" t="s">
        <v>874</v>
      </c>
      <c r="G1676" s="108" t="s">
        <v>404</v>
      </c>
      <c r="H1676" s="126">
        <f>H1677</f>
        <v>0</v>
      </c>
      <c r="I1676" s="178" t="str">
        <f t="shared" si="207"/>
        <v>620050304 3 04 11010610</v>
      </c>
      <c r="L1676" s="32">
        <v>17734.23</v>
      </c>
      <c r="M1676" s="32">
        <v>17734.23</v>
      </c>
      <c r="N1676" s="32">
        <v>17734.23</v>
      </c>
      <c r="O1676" s="32">
        <f>H1676-L1676</f>
        <v>-17734.23</v>
      </c>
      <c r="P1676" s="32" t="e">
        <f>#REF!-M1676</f>
        <v>#REF!</v>
      </c>
      <c r="Q1676" s="32" t="e">
        <f>#REF!-N1676</f>
        <v>#REF!</v>
      </c>
      <c r="R1676" s="17" t="str">
        <f>CONCATENATE(F1676,G1676)</f>
        <v>04 3 04 11010610</v>
      </c>
    </row>
    <row r="1677" spans="1:18" s="23" customFormat="1" ht="63">
      <c r="A1677" s="21"/>
      <c r="B1677" s="127" t="s">
        <v>405</v>
      </c>
      <c r="C1677" s="108" t="s">
        <v>410</v>
      </c>
      <c r="D1677" s="108" t="s">
        <v>86</v>
      </c>
      <c r="E1677" s="108" t="s">
        <v>13</v>
      </c>
      <c r="F1677" s="108" t="s">
        <v>874</v>
      </c>
      <c r="G1677" s="108" t="s">
        <v>406</v>
      </c>
      <c r="H1677" s="126"/>
      <c r="I1677" s="178" t="str">
        <f t="shared" si="207"/>
        <v>620050304 3 04 11010611</v>
      </c>
      <c r="L1677" s="63"/>
      <c r="M1677" s="63"/>
      <c r="N1677" s="63"/>
      <c r="O1677" s="63"/>
      <c r="P1677" s="63"/>
      <c r="Q1677" s="63"/>
      <c r="R1677" s="24"/>
    </row>
    <row r="1678" spans="1:18" s="16" customFormat="1" ht="31.5">
      <c r="A1678" s="14"/>
      <c r="B1678" s="125" t="s">
        <v>875</v>
      </c>
      <c r="C1678" s="108" t="s">
        <v>410</v>
      </c>
      <c r="D1678" s="108" t="s">
        <v>86</v>
      </c>
      <c r="E1678" s="108" t="s">
        <v>13</v>
      </c>
      <c r="F1678" s="108" t="s">
        <v>876</v>
      </c>
      <c r="G1678" s="108" t="s">
        <v>9</v>
      </c>
      <c r="H1678" s="141">
        <f>H1679</f>
        <v>0</v>
      </c>
      <c r="I1678" s="178" t="str">
        <f t="shared" si="207"/>
        <v>620050304 3 04 20280000</v>
      </c>
      <c r="L1678" s="32">
        <v>108492.62</v>
      </c>
      <c r="M1678" s="32">
        <v>105992.62</v>
      </c>
      <c r="N1678" s="32">
        <v>105992.62</v>
      </c>
      <c r="O1678" s="32">
        <f>H1678-L1678</f>
        <v>-108492.62</v>
      </c>
      <c r="P1678" s="32" t="e">
        <f>#REF!-M1678</f>
        <v>#REF!</v>
      </c>
      <c r="Q1678" s="32" t="e">
        <f>#REF!-N1678</f>
        <v>#REF!</v>
      </c>
      <c r="R1678" s="17" t="str">
        <f>CONCATENATE(F1678,G1678)</f>
        <v>04 3 04 20280000</v>
      </c>
    </row>
    <row r="1679" spans="1:18" s="16" customFormat="1" ht="31.5">
      <c r="A1679" s="14"/>
      <c r="B1679" s="125" t="s">
        <v>28</v>
      </c>
      <c r="C1679" s="108" t="s">
        <v>410</v>
      </c>
      <c r="D1679" s="108" t="s">
        <v>86</v>
      </c>
      <c r="E1679" s="108" t="s">
        <v>13</v>
      </c>
      <c r="F1679" s="108" t="s">
        <v>876</v>
      </c>
      <c r="G1679" s="108" t="s">
        <v>29</v>
      </c>
      <c r="H1679" s="126">
        <f>H1680</f>
        <v>0</v>
      </c>
      <c r="I1679" s="178" t="str">
        <f t="shared" si="207"/>
        <v>620050304 3 04 20280240</v>
      </c>
      <c r="L1679" s="32">
        <v>108492.62</v>
      </c>
      <c r="M1679" s="32">
        <v>105992.62</v>
      </c>
      <c r="N1679" s="32">
        <v>105992.62</v>
      </c>
      <c r="O1679" s="32">
        <f>H1679-L1679</f>
        <v>-108492.62</v>
      </c>
      <c r="P1679" s="32" t="e">
        <f>#REF!-M1679</f>
        <v>#REF!</v>
      </c>
      <c r="Q1679" s="32" t="e">
        <f>#REF!-N1679</f>
        <v>#REF!</v>
      </c>
      <c r="R1679" s="17" t="str">
        <f>CONCATENATE(F1679,G1679)</f>
        <v>04 3 04 20280240</v>
      </c>
    </row>
    <row r="1680" spans="1:18" s="16" customFormat="1" ht="15.75">
      <c r="A1680" s="14"/>
      <c r="B1680" s="125" t="s">
        <v>30</v>
      </c>
      <c r="C1680" s="108" t="s">
        <v>410</v>
      </c>
      <c r="D1680" s="108" t="s">
        <v>86</v>
      </c>
      <c r="E1680" s="108" t="s">
        <v>13</v>
      </c>
      <c r="F1680" s="108" t="s">
        <v>876</v>
      </c>
      <c r="G1680" s="108" t="s">
        <v>31</v>
      </c>
      <c r="H1680" s="126"/>
      <c r="I1680" s="178" t="str">
        <f t="shared" si="207"/>
        <v>620050304 3 04 20280244</v>
      </c>
      <c r="L1680" s="32"/>
      <c r="M1680" s="32"/>
      <c r="N1680" s="32"/>
      <c r="O1680" s="32"/>
      <c r="P1680" s="32"/>
      <c r="Q1680" s="32"/>
      <c r="R1680" s="17"/>
    </row>
    <row r="1681" spans="1:18" s="16" customFormat="1" ht="31.5">
      <c r="A1681" s="14"/>
      <c r="B1681" s="125" t="s">
        <v>542</v>
      </c>
      <c r="C1681" s="108" t="s">
        <v>410</v>
      </c>
      <c r="D1681" s="108" t="s">
        <v>86</v>
      </c>
      <c r="E1681" s="108" t="s">
        <v>13</v>
      </c>
      <c r="F1681" s="108" t="s">
        <v>543</v>
      </c>
      <c r="G1681" s="108" t="s">
        <v>9</v>
      </c>
      <c r="H1681" s="141">
        <f>H1682+H1686+H1684</f>
        <v>0</v>
      </c>
      <c r="I1681" s="178" t="str">
        <f t="shared" si="207"/>
        <v>620050304 3 04 20300000</v>
      </c>
      <c r="L1681" s="32">
        <v>10131.51</v>
      </c>
      <c r="M1681" s="32">
        <v>8531.51</v>
      </c>
      <c r="N1681" s="32">
        <v>8531.51</v>
      </c>
      <c r="O1681" s="32">
        <f>H1681-L1681</f>
        <v>-10131.51</v>
      </c>
      <c r="P1681" s="32" t="e">
        <f>#REF!-M1681</f>
        <v>#REF!</v>
      </c>
      <c r="Q1681" s="32" t="e">
        <f>#REF!-N1681</f>
        <v>#REF!</v>
      </c>
      <c r="R1681" s="17" t="str">
        <f>CONCATENATE(F1681,G1681)</f>
        <v>04 3 04 20300000</v>
      </c>
    </row>
    <row r="1682" spans="1:18" s="16" customFormat="1" ht="31.5">
      <c r="A1682" s="14"/>
      <c r="B1682" s="125" t="s">
        <v>28</v>
      </c>
      <c r="C1682" s="108" t="s">
        <v>410</v>
      </c>
      <c r="D1682" s="108" t="s">
        <v>86</v>
      </c>
      <c r="E1682" s="108" t="s">
        <v>13</v>
      </c>
      <c r="F1682" s="108" t="s">
        <v>543</v>
      </c>
      <c r="G1682" s="108" t="s">
        <v>29</v>
      </c>
      <c r="H1682" s="126">
        <f>H1683</f>
        <v>0</v>
      </c>
      <c r="I1682" s="178" t="str">
        <f t="shared" si="207"/>
        <v>620050304 3 04 20300240</v>
      </c>
      <c r="L1682" s="32">
        <v>9881.51</v>
      </c>
      <c r="M1682" s="32">
        <v>8381.51</v>
      </c>
      <c r="N1682" s="32">
        <v>8381.51</v>
      </c>
      <c r="O1682" s="32">
        <f>H1682-L1682</f>
        <v>-9881.51</v>
      </c>
      <c r="P1682" s="32" t="e">
        <f>#REF!-M1682</f>
        <v>#REF!</v>
      </c>
      <c r="Q1682" s="32" t="e">
        <f>#REF!-N1682</f>
        <v>#REF!</v>
      </c>
      <c r="R1682" s="17" t="str">
        <f>CONCATENATE(F1682,G1682)</f>
        <v>04 3 04 20300240</v>
      </c>
    </row>
    <row r="1683" spans="1:18" s="16" customFormat="1" ht="15.75">
      <c r="A1683" s="14"/>
      <c r="B1683" s="125" t="s">
        <v>30</v>
      </c>
      <c r="C1683" s="108" t="s">
        <v>410</v>
      </c>
      <c r="D1683" s="108" t="s">
        <v>86</v>
      </c>
      <c r="E1683" s="108" t="s">
        <v>13</v>
      </c>
      <c r="F1683" s="108" t="s">
        <v>543</v>
      </c>
      <c r="G1683" s="108" t="s">
        <v>31</v>
      </c>
      <c r="H1683" s="126"/>
      <c r="I1683" s="178" t="str">
        <f t="shared" si="207"/>
        <v>620050304 3 04 20300244</v>
      </c>
      <c r="L1683" s="32"/>
      <c r="M1683" s="32"/>
      <c r="N1683" s="32"/>
      <c r="O1683" s="32"/>
      <c r="P1683" s="32"/>
      <c r="Q1683" s="32"/>
      <c r="R1683" s="17"/>
    </row>
    <row r="1684" spans="1:18" s="16" customFormat="1" ht="15.75">
      <c r="A1684" s="14"/>
      <c r="B1684" s="125" t="s">
        <v>837</v>
      </c>
      <c r="C1684" s="108" t="s">
        <v>410</v>
      </c>
      <c r="D1684" s="108" t="s">
        <v>86</v>
      </c>
      <c r="E1684" s="108" t="s">
        <v>13</v>
      </c>
      <c r="F1684" s="108" t="s">
        <v>543</v>
      </c>
      <c r="G1684" s="109" t="s">
        <v>838</v>
      </c>
      <c r="H1684" s="126">
        <f>H1685</f>
        <v>0</v>
      </c>
      <c r="I1684" s="178" t="str">
        <f t="shared" si="207"/>
        <v>620050304 3 04 20300410</v>
      </c>
      <c r="L1684" s="32">
        <v>100</v>
      </c>
      <c r="M1684" s="32">
        <v>0</v>
      </c>
      <c r="N1684" s="32">
        <v>0</v>
      </c>
      <c r="O1684" s="32">
        <f>H1684-L1684</f>
        <v>-100</v>
      </c>
      <c r="P1684" s="32" t="e">
        <f>#REF!-M1684</f>
        <v>#REF!</v>
      </c>
      <c r="Q1684" s="32" t="e">
        <f>#REF!-N1684</f>
        <v>#REF!</v>
      </c>
      <c r="R1684" s="17" t="str">
        <f>CONCATENATE(F1684,G1684)</f>
        <v>04 3 04 20300410</v>
      </c>
    </row>
    <row r="1685" spans="1:18" s="16" customFormat="1" ht="47.25">
      <c r="A1685" s="14"/>
      <c r="B1685" s="125" t="s">
        <v>839</v>
      </c>
      <c r="C1685" s="108" t="s">
        <v>410</v>
      </c>
      <c r="D1685" s="108" t="s">
        <v>86</v>
      </c>
      <c r="E1685" s="108" t="s">
        <v>13</v>
      </c>
      <c r="F1685" s="108" t="s">
        <v>543</v>
      </c>
      <c r="G1685" s="109" t="s">
        <v>840</v>
      </c>
      <c r="H1685" s="126"/>
      <c r="I1685" s="178" t="str">
        <f t="shared" ref="I1685:I1748" si="217">C1685&amp;D1685&amp;E1685&amp;F1685&amp;G1685</f>
        <v>620050304 3 04 20300414</v>
      </c>
      <c r="L1685" s="32"/>
      <c r="M1685" s="32"/>
      <c r="N1685" s="32"/>
      <c r="O1685" s="32"/>
      <c r="P1685" s="32"/>
      <c r="Q1685" s="32"/>
      <c r="R1685" s="17"/>
    </row>
    <row r="1686" spans="1:18" s="16" customFormat="1" ht="63">
      <c r="A1686" s="14"/>
      <c r="B1686" s="125" t="s">
        <v>203</v>
      </c>
      <c r="C1686" s="108" t="s">
        <v>410</v>
      </c>
      <c r="D1686" s="108" t="s">
        <v>86</v>
      </c>
      <c r="E1686" s="108" t="s">
        <v>13</v>
      </c>
      <c r="F1686" s="108" t="s">
        <v>543</v>
      </c>
      <c r="G1686" s="108" t="s">
        <v>204</v>
      </c>
      <c r="H1686" s="126">
        <f>H1687</f>
        <v>0</v>
      </c>
      <c r="I1686" s="178" t="str">
        <f t="shared" si="217"/>
        <v>620050304 3 04 20300810</v>
      </c>
      <c r="L1686" s="32">
        <v>150</v>
      </c>
      <c r="M1686" s="32">
        <v>150</v>
      </c>
      <c r="N1686" s="32">
        <v>150</v>
      </c>
      <c r="O1686" s="32">
        <f>H1686-L1686</f>
        <v>-150</v>
      </c>
      <c r="P1686" s="32" t="e">
        <f>#REF!-M1686</f>
        <v>#REF!</v>
      </c>
      <c r="Q1686" s="32" t="e">
        <f>#REF!-N1686</f>
        <v>#REF!</v>
      </c>
      <c r="R1686" s="17" t="str">
        <f>CONCATENATE(F1686,G1686)</f>
        <v>04 3 04 20300810</v>
      </c>
    </row>
    <row r="1687" spans="1:18" s="16" customFormat="1" ht="110.25">
      <c r="A1687" s="14"/>
      <c r="B1687" s="125" t="s">
        <v>226</v>
      </c>
      <c r="C1687" s="108" t="s">
        <v>410</v>
      </c>
      <c r="D1687" s="108" t="s">
        <v>86</v>
      </c>
      <c r="E1687" s="108" t="s">
        <v>13</v>
      </c>
      <c r="F1687" s="108" t="s">
        <v>543</v>
      </c>
      <c r="G1687" s="108" t="s">
        <v>227</v>
      </c>
      <c r="H1687" s="126"/>
      <c r="I1687" s="178" t="str">
        <f t="shared" si="217"/>
        <v>620050304 3 04 20300813</v>
      </c>
      <c r="L1687" s="32"/>
      <c r="M1687" s="32"/>
      <c r="N1687" s="32"/>
      <c r="O1687" s="32"/>
      <c r="P1687" s="32"/>
      <c r="Q1687" s="32"/>
      <c r="R1687" s="17"/>
    </row>
    <row r="1688" spans="1:18" s="16" customFormat="1" ht="31.5">
      <c r="A1688" s="14"/>
      <c r="B1688" s="135" t="s">
        <v>877</v>
      </c>
      <c r="C1688" s="108" t="s">
        <v>410</v>
      </c>
      <c r="D1688" s="108" t="s">
        <v>86</v>
      </c>
      <c r="E1688" s="108" t="s">
        <v>13</v>
      </c>
      <c r="F1688" s="108" t="s">
        <v>878</v>
      </c>
      <c r="G1688" s="108" t="s">
        <v>9</v>
      </c>
      <c r="H1688" s="141">
        <f>H1689</f>
        <v>0</v>
      </c>
      <c r="I1688" s="178" t="str">
        <f t="shared" si="217"/>
        <v>620050304 3 04 20780000</v>
      </c>
      <c r="L1688" s="32">
        <v>35409.69</v>
      </c>
      <c r="M1688" s="32">
        <v>35409.69</v>
      </c>
      <c r="N1688" s="32">
        <v>35409.69</v>
      </c>
      <c r="O1688" s="32">
        <f>H1688-L1688</f>
        <v>-35409.69</v>
      </c>
      <c r="P1688" s="32" t="e">
        <f>#REF!-M1688</f>
        <v>#REF!</v>
      </c>
      <c r="Q1688" s="32" t="e">
        <f>#REF!-N1688</f>
        <v>#REF!</v>
      </c>
      <c r="R1688" s="17" t="str">
        <f>CONCATENATE(F1688,G1688)</f>
        <v>04 3 04 20780000</v>
      </c>
    </row>
    <row r="1689" spans="1:18" s="16" customFormat="1" ht="31.5">
      <c r="A1689" s="14"/>
      <c r="B1689" s="125" t="s">
        <v>28</v>
      </c>
      <c r="C1689" s="108" t="s">
        <v>410</v>
      </c>
      <c r="D1689" s="108" t="s">
        <v>86</v>
      </c>
      <c r="E1689" s="108" t="s">
        <v>13</v>
      </c>
      <c r="F1689" s="108" t="s">
        <v>878</v>
      </c>
      <c r="G1689" s="108" t="s">
        <v>29</v>
      </c>
      <c r="H1689" s="126">
        <f>H1690</f>
        <v>0</v>
      </c>
      <c r="I1689" s="178" t="str">
        <f t="shared" si="217"/>
        <v>620050304 3 04 20780240</v>
      </c>
      <c r="L1689" s="32">
        <v>35409.69</v>
      </c>
      <c r="M1689" s="32">
        <v>35409.69</v>
      </c>
      <c r="N1689" s="32">
        <v>35409.69</v>
      </c>
      <c r="O1689" s="32">
        <f>H1689-L1689</f>
        <v>-35409.69</v>
      </c>
      <c r="P1689" s="32" t="e">
        <f>#REF!-M1689</f>
        <v>#REF!</v>
      </c>
      <c r="Q1689" s="32" t="e">
        <f>#REF!-N1689</f>
        <v>#REF!</v>
      </c>
      <c r="R1689" s="17" t="str">
        <f>CONCATENATE(F1689,G1689)</f>
        <v>04 3 04 20780240</v>
      </c>
    </row>
    <row r="1690" spans="1:18" s="16" customFormat="1" ht="15.75">
      <c r="A1690" s="14"/>
      <c r="B1690" s="125" t="s">
        <v>30</v>
      </c>
      <c r="C1690" s="108" t="s">
        <v>410</v>
      </c>
      <c r="D1690" s="108" t="s">
        <v>86</v>
      </c>
      <c r="E1690" s="108" t="s">
        <v>13</v>
      </c>
      <c r="F1690" s="108" t="s">
        <v>878</v>
      </c>
      <c r="G1690" s="108" t="s">
        <v>31</v>
      </c>
      <c r="H1690" s="126"/>
      <c r="I1690" s="178" t="str">
        <f t="shared" si="217"/>
        <v>620050304 3 04 20780244</v>
      </c>
      <c r="L1690" s="32"/>
      <c r="M1690" s="32"/>
      <c r="N1690" s="32"/>
      <c r="O1690" s="32"/>
      <c r="P1690" s="32"/>
      <c r="Q1690" s="32"/>
      <c r="R1690" s="17"/>
    </row>
    <row r="1691" spans="1:18" s="16" customFormat="1" ht="94.5">
      <c r="A1691" s="14" t="s">
        <v>80</v>
      </c>
      <c r="B1691" s="125" t="s">
        <v>879</v>
      </c>
      <c r="C1691" s="108" t="s">
        <v>410</v>
      </c>
      <c r="D1691" s="108" t="s">
        <v>86</v>
      </c>
      <c r="E1691" s="108" t="s">
        <v>13</v>
      </c>
      <c r="F1691" s="108" t="s">
        <v>880</v>
      </c>
      <c r="G1691" s="108" t="s">
        <v>9</v>
      </c>
      <c r="H1691" s="141">
        <f>H1692</f>
        <v>0</v>
      </c>
      <c r="I1691" s="178" t="str">
        <f t="shared" si="217"/>
        <v>620050304 3 04 20790000</v>
      </c>
      <c r="L1691" s="32">
        <v>19744.080000000002</v>
      </c>
      <c r="M1691" s="32">
        <v>14838.06</v>
      </c>
      <c r="N1691" s="32">
        <v>14838.06</v>
      </c>
      <c r="O1691" s="32">
        <f>H1691-L1691</f>
        <v>-19744.080000000002</v>
      </c>
      <c r="P1691" s="32" t="e">
        <f>#REF!-M1691</f>
        <v>#REF!</v>
      </c>
      <c r="Q1691" s="32" t="e">
        <f>#REF!-N1691</f>
        <v>#REF!</v>
      </c>
      <c r="R1691" s="17" t="str">
        <f>CONCATENATE(F1691,G1691)</f>
        <v>04 3 04 20790000</v>
      </c>
    </row>
    <row r="1692" spans="1:18" s="16" customFormat="1" ht="31.5">
      <c r="A1692" s="14"/>
      <c r="B1692" s="125" t="s">
        <v>28</v>
      </c>
      <c r="C1692" s="108" t="s">
        <v>410</v>
      </c>
      <c r="D1692" s="108" t="s">
        <v>86</v>
      </c>
      <c r="E1692" s="108" t="s">
        <v>13</v>
      </c>
      <c r="F1692" s="108" t="s">
        <v>880</v>
      </c>
      <c r="G1692" s="108" t="s">
        <v>29</v>
      </c>
      <c r="H1692" s="126">
        <f>H1693</f>
        <v>0</v>
      </c>
      <c r="I1692" s="178" t="str">
        <f t="shared" si="217"/>
        <v>620050304 3 04 20790240</v>
      </c>
      <c r="L1692" s="32">
        <v>19744.080000000002</v>
      </c>
      <c r="M1692" s="32">
        <v>14838.06</v>
      </c>
      <c r="N1692" s="32">
        <v>14838.06</v>
      </c>
      <c r="O1692" s="32">
        <f>H1692-L1692</f>
        <v>-19744.080000000002</v>
      </c>
      <c r="P1692" s="32" t="e">
        <f>#REF!-M1692</f>
        <v>#REF!</v>
      </c>
      <c r="Q1692" s="32" t="e">
        <f>#REF!-N1692</f>
        <v>#REF!</v>
      </c>
      <c r="R1692" s="17" t="str">
        <f>CONCATENATE(F1692,G1692)</f>
        <v>04 3 04 20790240</v>
      </c>
    </row>
    <row r="1693" spans="1:18" s="16" customFormat="1" ht="15.75">
      <c r="A1693" s="14"/>
      <c r="B1693" s="125" t="s">
        <v>30</v>
      </c>
      <c r="C1693" s="108" t="s">
        <v>410</v>
      </c>
      <c r="D1693" s="108" t="s">
        <v>86</v>
      </c>
      <c r="E1693" s="108" t="s">
        <v>13</v>
      </c>
      <c r="F1693" s="108" t="s">
        <v>880</v>
      </c>
      <c r="G1693" s="108" t="s">
        <v>31</v>
      </c>
      <c r="H1693" s="126"/>
      <c r="I1693" s="178" t="str">
        <f t="shared" si="217"/>
        <v>620050304 3 04 20790244</v>
      </c>
      <c r="L1693" s="32"/>
      <c r="M1693" s="32"/>
      <c r="N1693" s="32"/>
      <c r="O1693" s="32"/>
      <c r="P1693" s="32"/>
      <c r="Q1693" s="32"/>
      <c r="R1693" s="17"/>
    </row>
    <row r="1694" spans="1:18" s="16" customFormat="1" ht="141.75">
      <c r="A1694" s="14"/>
      <c r="B1694" s="125" t="s">
        <v>881</v>
      </c>
      <c r="C1694" s="130" t="s">
        <v>410</v>
      </c>
      <c r="D1694" s="131" t="s">
        <v>86</v>
      </c>
      <c r="E1694" s="131" t="s">
        <v>13</v>
      </c>
      <c r="F1694" s="131" t="s">
        <v>882</v>
      </c>
      <c r="G1694" s="131" t="s">
        <v>9</v>
      </c>
      <c r="H1694" s="105">
        <f t="shared" ref="H1694" si="218">H1695</f>
        <v>0</v>
      </c>
      <c r="I1694" s="178" t="str">
        <f t="shared" si="217"/>
        <v>620050304 3 04 21480000</v>
      </c>
      <c r="L1694" s="26">
        <v>7456.27</v>
      </c>
      <c r="M1694" s="26">
        <v>0</v>
      </c>
      <c r="N1694" s="26">
        <v>0</v>
      </c>
      <c r="O1694" s="26">
        <f>H1694-L1694</f>
        <v>-7456.27</v>
      </c>
      <c r="P1694" s="26" t="e">
        <f>#REF!-M1694</f>
        <v>#REF!</v>
      </c>
      <c r="Q1694" s="26" t="e">
        <f>#REF!-N1694</f>
        <v>#REF!</v>
      </c>
      <c r="R1694" s="17" t="str">
        <f>CONCATENATE(F1694,G1694)</f>
        <v>04 3 04 21480000</v>
      </c>
    </row>
    <row r="1695" spans="1:18" s="16" customFormat="1" ht="31.5">
      <c r="A1695" s="14"/>
      <c r="B1695" s="125" t="s">
        <v>28</v>
      </c>
      <c r="C1695" s="130" t="s">
        <v>410</v>
      </c>
      <c r="D1695" s="131" t="s">
        <v>86</v>
      </c>
      <c r="E1695" s="131" t="s">
        <v>13</v>
      </c>
      <c r="F1695" s="131" t="s">
        <v>882</v>
      </c>
      <c r="G1695" s="131" t="s">
        <v>29</v>
      </c>
      <c r="H1695" s="126">
        <f>H1696</f>
        <v>0</v>
      </c>
      <c r="I1695" s="178" t="str">
        <f t="shared" si="217"/>
        <v>620050304 3 04 21480240</v>
      </c>
      <c r="L1695" s="26">
        <v>7456.27</v>
      </c>
      <c r="M1695" s="26">
        <v>0</v>
      </c>
      <c r="N1695" s="26">
        <v>0</v>
      </c>
      <c r="O1695" s="26">
        <f>H1695-L1695</f>
        <v>-7456.27</v>
      </c>
      <c r="P1695" s="26" t="e">
        <f>#REF!-M1695</f>
        <v>#REF!</v>
      </c>
      <c r="Q1695" s="26" t="e">
        <f>#REF!-N1695</f>
        <v>#REF!</v>
      </c>
      <c r="R1695" s="17" t="str">
        <f>CONCATENATE(F1695,G1695)</f>
        <v>04 3 04 21480240</v>
      </c>
    </row>
    <row r="1696" spans="1:18" s="16" customFormat="1" ht="15.75">
      <c r="A1696" s="14"/>
      <c r="B1696" s="125" t="s">
        <v>30</v>
      </c>
      <c r="C1696" s="130" t="s">
        <v>410</v>
      </c>
      <c r="D1696" s="131" t="s">
        <v>86</v>
      </c>
      <c r="E1696" s="131" t="s">
        <v>13</v>
      </c>
      <c r="F1696" s="131" t="s">
        <v>882</v>
      </c>
      <c r="G1696" s="131" t="s">
        <v>31</v>
      </c>
      <c r="H1696" s="126"/>
      <c r="I1696" s="178" t="str">
        <f t="shared" si="217"/>
        <v>620050304 3 04 21480244</v>
      </c>
      <c r="L1696" s="26"/>
      <c r="M1696" s="26"/>
      <c r="N1696" s="26"/>
      <c r="O1696" s="26"/>
      <c r="P1696" s="26"/>
      <c r="Q1696" s="26"/>
      <c r="R1696" s="17"/>
    </row>
    <row r="1697" spans="1:18" s="16" customFormat="1" ht="47.25">
      <c r="A1697" s="14"/>
      <c r="B1697" s="125" t="s">
        <v>1063</v>
      </c>
      <c r="C1697" s="130" t="s">
        <v>410</v>
      </c>
      <c r="D1697" s="131" t="s">
        <v>86</v>
      </c>
      <c r="E1697" s="131" t="s">
        <v>13</v>
      </c>
      <c r="F1697" s="131" t="s">
        <v>1064</v>
      </c>
      <c r="G1697" s="131" t="s">
        <v>9</v>
      </c>
      <c r="H1697" s="105">
        <f>H1698</f>
        <v>0</v>
      </c>
      <c r="I1697" s="178" t="str">
        <f t="shared" si="217"/>
        <v>620050304 3 04 S7241000</v>
      </c>
      <c r="L1697" s="26"/>
      <c r="M1697" s="26"/>
      <c r="N1697" s="26"/>
      <c r="O1697" s="26"/>
      <c r="P1697" s="26"/>
      <c r="Q1697" s="26"/>
      <c r="R1697" s="17"/>
    </row>
    <row r="1698" spans="1:18" s="16" customFormat="1" ht="15.75">
      <c r="A1698" s="14"/>
      <c r="B1698" s="125" t="s">
        <v>837</v>
      </c>
      <c r="C1698" s="130" t="s">
        <v>410</v>
      </c>
      <c r="D1698" s="131" t="s">
        <v>86</v>
      </c>
      <c r="E1698" s="131" t="s">
        <v>13</v>
      </c>
      <c r="F1698" s="131" t="s">
        <v>1064</v>
      </c>
      <c r="G1698" s="109" t="s">
        <v>838</v>
      </c>
      <c r="H1698" s="126">
        <f>H1699</f>
        <v>0</v>
      </c>
      <c r="I1698" s="178" t="str">
        <f t="shared" si="217"/>
        <v>620050304 3 04 S7241410</v>
      </c>
      <c r="L1698" s="26"/>
      <c r="M1698" s="26"/>
      <c r="N1698" s="26"/>
      <c r="O1698" s="26"/>
      <c r="P1698" s="26"/>
      <c r="Q1698" s="26"/>
      <c r="R1698" s="17"/>
    </row>
    <row r="1699" spans="1:18" s="16" customFormat="1" ht="47.25">
      <c r="A1699" s="14"/>
      <c r="B1699" s="125" t="s">
        <v>839</v>
      </c>
      <c r="C1699" s="130" t="s">
        <v>410</v>
      </c>
      <c r="D1699" s="131" t="s">
        <v>86</v>
      </c>
      <c r="E1699" s="131" t="s">
        <v>13</v>
      </c>
      <c r="F1699" s="131" t="s">
        <v>1064</v>
      </c>
      <c r="G1699" s="109" t="s">
        <v>840</v>
      </c>
      <c r="H1699" s="126"/>
      <c r="I1699" s="178" t="str">
        <f t="shared" si="217"/>
        <v>620050304 3 04 S7241414</v>
      </c>
      <c r="L1699" s="26"/>
      <c r="M1699" s="26"/>
      <c r="N1699" s="26"/>
      <c r="O1699" s="26"/>
      <c r="P1699" s="26"/>
      <c r="Q1699" s="26"/>
      <c r="R1699" s="17"/>
    </row>
    <row r="1700" spans="1:18" s="16" customFormat="1" ht="47.25">
      <c r="A1700" s="14"/>
      <c r="B1700" s="125" t="s">
        <v>430</v>
      </c>
      <c r="C1700" s="131" t="s">
        <v>410</v>
      </c>
      <c r="D1700" s="131" t="s">
        <v>86</v>
      </c>
      <c r="E1700" s="131" t="s">
        <v>13</v>
      </c>
      <c r="F1700" s="131" t="s">
        <v>431</v>
      </c>
      <c r="G1700" s="131" t="s">
        <v>9</v>
      </c>
      <c r="H1700" s="172">
        <f>H1701</f>
        <v>0</v>
      </c>
      <c r="I1700" s="178" t="str">
        <f t="shared" si="217"/>
        <v>620050317 0 00 00000000</v>
      </c>
      <c r="L1700" s="53">
        <v>3385.52</v>
      </c>
      <c r="M1700" s="53">
        <v>3385.52</v>
      </c>
      <c r="N1700" s="53">
        <v>3385.52</v>
      </c>
      <c r="O1700" s="53">
        <f>'[1]прил. 1.СБР (2018)'!G424-L1700</f>
        <v>19996614.48</v>
      </c>
      <c r="P1700" s="53" t="e">
        <f>#REF!-M1700</f>
        <v>#REF!</v>
      </c>
      <c r="Q1700" s="53" t="e">
        <f>#REF!-N1700</f>
        <v>#REF!</v>
      </c>
      <c r="R1700" s="17" t="str">
        <f>CONCATENATE('[1]прил. 1.СБР (2018)'!E424,'[1]прил. 1.СБР (2018)'!F424)</f>
        <v>04 2 01 00000000</v>
      </c>
    </row>
    <row r="1701" spans="1:18" s="16" customFormat="1" ht="47.25">
      <c r="A1701" s="14"/>
      <c r="B1701" s="129" t="s">
        <v>432</v>
      </c>
      <c r="C1701" s="131" t="s">
        <v>410</v>
      </c>
      <c r="D1701" s="131" t="s">
        <v>86</v>
      </c>
      <c r="E1701" s="131" t="s">
        <v>13</v>
      </c>
      <c r="F1701" s="131" t="s">
        <v>433</v>
      </c>
      <c r="G1701" s="131" t="s">
        <v>9</v>
      </c>
      <c r="H1701" s="172">
        <f>H1702</f>
        <v>0</v>
      </c>
      <c r="I1701" s="178" t="str">
        <f t="shared" si="217"/>
        <v>620050317 Б 00 00000000</v>
      </c>
      <c r="L1701" s="53">
        <v>3385.52</v>
      </c>
      <c r="M1701" s="53">
        <v>3385.52</v>
      </c>
      <c r="N1701" s="53">
        <v>3385.52</v>
      </c>
      <c r="O1701" s="53">
        <f>'[1]прил. 1.СБР (2018)'!G425-L1701</f>
        <v>19996614.48</v>
      </c>
      <c r="P1701" s="53" t="e">
        <f>#REF!-M1701</f>
        <v>#REF!</v>
      </c>
      <c r="Q1701" s="53" t="e">
        <f>#REF!-N1701</f>
        <v>#REF!</v>
      </c>
      <c r="R1701" s="17" t="str">
        <f>CONCATENATE('[1]прил. 1.СБР (2018)'!E425,'[1]прил. 1.СБР (2018)'!F425)</f>
        <v>04 2 01 60070000</v>
      </c>
    </row>
    <row r="1702" spans="1:18" s="16" customFormat="1" ht="47.25">
      <c r="A1702" s="14"/>
      <c r="B1702" s="129" t="s">
        <v>883</v>
      </c>
      <c r="C1702" s="131" t="s">
        <v>410</v>
      </c>
      <c r="D1702" s="131" t="s">
        <v>86</v>
      </c>
      <c r="E1702" s="131" t="s">
        <v>13</v>
      </c>
      <c r="F1702" s="131" t="s">
        <v>884</v>
      </c>
      <c r="G1702" s="131" t="s">
        <v>9</v>
      </c>
      <c r="H1702" s="172">
        <f>H1703</f>
        <v>0</v>
      </c>
      <c r="I1702" s="178" t="str">
        <f t="shared" si="217"/>
        <v>620050317 Б 02 00000000</v>
      </c>
      <c r="L1702" s="53">
        <v>3385.52</v>
      </c>
      <c r="M1702" s="53">
        <v>3385.52</v>
      </c>
      <c r="N1702" s="53">
        <v>3385.52</v>
      </c>
      <c r="O1702" s="53">
        <f>'[1]прил. 1.СБР (2018)'!G426-L1702</f>
        <v>19996614.48</v>
      </c>
      <c r="P1702" s="53" t="e">
        <f>#REF!-M1702</f>
        <v>#REF!</v>
      </c>
      <c r="Q1702" s="53" t="e">
        <f>#REF!-N1702</f>
        <v>#REF!</v>
      </c>
      <c r="R1702" s="17" t="str">
        <f>CONCATENATE('[1]прил. 1.СБР (2018)'!E426,'[1]прил. 1.СБР (2018)'!F426)</f>
        <v>04 2 01 60070810</v>
      </c>
    </row>
    <row r="1703" spans="1:18" s="16" customFormat="1" ht="47.25">
      <c r="A1703" s="14"/>
      <c r="B1703" s="132" t="s">
        <v>436</v>
      </c>
      <c r="C1703" s="108" t="s">
        <v>410</v>
      </c>
      <c r="D1703" s="108" t="s">
        <v>86</v>
      </c>
      <c r="E1703" s="108" t="s">
        <v>13</v>
      </c>
      <c r="F1703" s="108" t="s">
        <v>885</v>
      </c>
      <c r="G1703" s="108" t="s">
        <v>9</v>
      </c>
      <c r="H1703" s="173">
        <f>H1704</f>
        <v>0</v>
      </c>
      <c r="I1703" s="178" t="str">
        <f t="shared" si="217"/>
        <v>620050317 Б 02 20490000</v>
      </c>
      <c r="L1703" s="64">
        <v>3385.52</v>
      </c>
      <c r="M1703" s="64">
        <v>3385.52</v>
      </c>
      <c r="N1703" s="64">
        <v>3385.52</v>
      </c>
      <c r="O1703" s="64">
        <f>'[1]прил. 1.СБР (2018)'!G427-L1703</f>
        <v>19996614.48</v>
      </c>
      <c r="P1703" s="64" t="e">
        <f>#REF!-M1703</f>
        <v>#REF!</v>
      </c>
      <c r="Q1703" s="64" t="e">
        <f>#REF!-N1703</f>
        <v>#REF!</v>
      </c>
      <c r="R1703" s="17" t="str">
        <f>CONCATENATE('[1]прил. 1.СБР (2018)'!E427,'[1]прил. 1.СБР (2018)'!F427)</f>
        <v>04 2 01 60070812</v>
      </c>
    </row>
    <row r="1704" spans="1:18" s="16" customFormat="1" ht="31.5">
      <c r="A1704" s="14"/>
      <c r="B1704" s="125" t="s">
        <v>28</v>
      </c>
      <c r="C1704" s="108" t="s">
        <v>410</v>
      </c>
      <c r="D1704" s="108" t="s">
        <v>86</v>
      </c>
      <c r="E1704" s="108" t="s">
        <v>13</v>
      </c>
      <c r="F1704" s="108" t="s">
        <v>885</v>
      </c>
      <c r="G1704" s="108" t="s">
        <v>29</v>
      </c>
      <c r="H1704" s="126">
        <f>H1705</f>
        <v>0</v>
      </c>
      <c r="I1704" s="178" t="str">
        <f t="shared" si="217"/>
        <v>620050317 Б 02 20490240</v>
      </c>
      <c r="L1704" s="64">
        <v>3385.52</v>
      </c>
      <c r="M1704" s="64">
        <v>3385.52</v>
      </c>
      <c r="N1704" s="64">
        <v>3385.52</v>
      </c>
      <c r="O1704" s="64">
        <f>'[1]прил. 1.СБР (2018)'!G428-L1704</f>
        <v>-3175.52</v>
      </c>
      <c r="P1704" s="64" t="e">
        <f>#REF!-M1704</f>
        <v>#REF!</v>
      </c>
      <c r="Q1704" s="64" t="e">
        <f>#REF!-N1704</f>
        <v>#REF!</v>
      </c>
      <c r="R1704" s="17" t="str">
        <f>CONCATENATE('[1]прил. 1.СБР (2018)'!E428,'[1]прил. 1.СБР (2018)'!F428)</f>
        <v>98 0 00 00000000</v>
      </c>
    </row>
    <row r="1705" spans="1:18" s="16" customFormat="1" ht="15.75">
      <c r="A1705" s="14"/>
      <c r="B1705" s="125" t="s">
        <v>30</v>
      </c>
      <c r="C1705" s="108" t="s">
        <v>410</v>
      </c>
      <c r="D1705" s="108" t="s">
        <v>86</v>
      </c>
      <c r="E1705" s="108" t="s">
        <v>13</v>
      </c>
      <c r="F1705" s="108" t="s">
        <v>885</v>
      </c>
      <c r="G1705" s="108" t="s">
        <v>31</v>
      </c>
      <c r="H1705" s="126"/>
      <c r="I1705" s="178" t="str">
        <f t="shared" si="217"/>
        <v>620050317 Б 02 20490244</v>
      </c>
      <c r="L1705" s="64"/>
      <c r="M1705" s="64"/>
      <c r="N1705" s="64"/>
      <c r="O1705" s="64"/>
      <c r="P1705" s="64"/>
      <c r="Q1705" s="64"/>
      <c r="R1705" s="17"/>
    </row>
    <row r="1706" spans="1:18" s="16" customFormat="1" ht="47.25">
      <c r="A1706" s="14"/>
      <c r="B1706" s="125" t="s">
        <v>886</v>
      </c>
      <c r="C1706" s="108" t="s">
        <v>410</v>
      </c>
      <c r="D1706" s="108" t="s">
        <v>86</v>
      </c>
      <c r="E1706" s="108" t="s">
        <v>13</v>
      </c>
      <c r="F1706" s="108" t="s">
        <v>887</v>
      </c>
      <c r="G1706" s="108" t="s">
        <v>9</v>
      </c>
      <c r="H1706" s="163">
        <f>H1707</f>
        <v>0</v>
      </c>
      <c r="I1706" s="178" t="str">
        <f t="shared" si="217"/>
        <v>620050320 0 00 00000000</v>
      </c>
      <c r="L1706" s="64">
        <v>6270.1100000000006</v>
      </c>
      <c r="M1706" s="64">
        <v>9180.16</v>
      </c>
      <c r="N1706" s="64">
        <v>12090.21</v>
      </c>
      <c r="O1706" s="64">
        <f>H1706-L1706</f>
        <v>-6270.1100000000006</v>
      </c>
      <c r="P1706" s="64" t="e">
        <f>#REF!-M1706</f>
        <v>#REF!</v>
      </c>
      <c r="Q1706" s="64" t="e">
        <f>#REF!-N1706</f>
        <v>#REF!</v>
      </c>
      <c r="R1706" s="17" t="str">
        <f>CONCATENATE(F1706,G1706)</f>
        <v>20 0 00 00000000</v>
      </c>
    </row>
    <row r="1707" spans="1:18" s="16" customFormat="1" ht="47.25">
      <c r="A1707" s="14"/>
      <c r="B1707" s="125" t="s">
        <v>888</v>
      </c>
      <c r="C1707" s="108" t="s">
        <v>410</v>
      </c>
      <c r="D1707" s="108" t="s">
        <v>86</v>
      </c>
      <c r="E1707" s="108" t="s">
        <v>13</v>
      </c>
      <c r="F1707" s="108" t="s">
        <v>889</v>
      </c>
      <c r="G1707" s="108" t="s">
        <v>9</v>
      </c>
      <c r="H1707" s="163">
        <f>H1708+H1712+H1716</f>
        <v>0</v>
      </c>
      <c r="I1707" s="178" t="str">
        <f t="shared" si="217"/>
        <v>620050320 Б 00 00000000</v>
      </c>
      <c r="L1707" s="64">
        <v>6270.1100000000006</v>
      </c>
      <c r="M1707" s="64">
        <v>9180.16</v>
      </c>
      <c r="N1707" s="64">
        <v>12090.21</v>
      </c>
      <c r="O1707" s="64">
        <f>H1707-L1707</f>
        <v>-6270.1100000000006</v>
      </c>
      <c r="P1707" s="64" t="e">
        <f>#REF!-M1707</f>
        <v>#REF!</v>
      </c>
      <c r="Q1707" s="64" t="e">
        <f>#REF!-N1707</f>
        <v>#REF!</v>
      </c>
      <c r="R1707" s="17" t="str">
        <f>CONCATENATE(F1707,G1707)</f>
        <v>20 Б 00 00000000</v>
      </c>
    </row>
    <row r="1708" spans="1:18" s="16" customFormat="1" ht="31.5">
      <c r="A1708" s="14"/>
      <c r="B1708" s="125" t="s">
        <v>890</v>
      </c>
      <c r="C1708" s="108" t="s">
        <v>410</v>
      </c>
      <c r="D1708" s="108" t="s">
        <v>86</v>
      </c>
      <c r="E1708" s="108" t="s">
        <v>13</v>
      </c>
      <c r="F1708" s="108" t="s">
        <v>891</v>
      </c>
      <c r="G1708" s="108" t="s">
        <v>9</v>
      </c>
      <c r="H1708" s="163">
        <f>H1709</f>
        <v>0</v>
      </c>
      <c r="I1708" s="178" t="str">
        <f t="shared" si="217"/>
        <v>620050320 Б 01 00000000</v>
      </c>
      <c r="L1708" s="64">
        <v>3880.07</v>
      </c>
      <c r="M1708" s="64">
        <v>5820.1</v>
      </c>
      <c r="N1708" s="64">
        <v>7760.13</v>
      </c>
      <c r="O1708" s="64">
        <f>H1708-L1708</f>
        <v>-3880.07</v>
      </c>
      <c r="P1708" s="64" t="e">
        <f>#REF!-M1708</f>
        <v>#REF!</v>
      </c>
      <c r="Q1708" s="64" t="e">
        <f>#REF!-N1708</f>
        <v>#REF!</v>
      </c>
      <c r="R1708" s="17" t="str">
        <f>CONCATENATE(F1708,G1708)</f>
        <v>20 Б 01 00000000</v>
      </c>
    </row>
    <row r="1709" spans="1:18" s="16" customFormat="1" ht="31.5">
      <c r="A1709" s="14"/>
      <c r="B1709" s="125" t="s">
        <v>892</v>
      </c>
      <c r="C1709" s="108" t="s">
        <v>410</v>
      </c>
      <c r="D1709" s="108" t="s">
        <v>86</v>
      </c>
      <c r="E1709" s="108" t="s">
        <v>13</v>
      </c>
      <c r="F1709" s="108" t="s">
        <v>893</v>
      </c>
      <c r="G1709" s="108" t="s">
        <v>9</v>
      </c>
      <c r="H1709" s="163">
        <f>H1710</f>
        <v>0</v>
      </c>
      <c r="I1709" s="178" t="str">
        <f t="shared" si="217"/>
        <v>620050320 Б 01 L5550000</v>
      </c>
      <c r="L1709" s="64">
        <v>3880.07</v>
      </c>
      <c r="M1709" s="64">
        <v>5820.1</v>
      </c>
      <c r="N1709" s="64">
        <v>7760.13</v>
      </c>
      <c r="O1709" s="64">
        <f>H1709-L1709</f>
        <v>-3880.07</v>
      </c>
      <c r="P1709" s="64" t="e">
        <f>#REF!-M1709</f>
        <v>#REF!</v>
      </c>
      <c r="Q1709" s="64" t="e">
        <f>#REF!-N1709</f>
        <v>#REF!</v>
      </c>
      <c r="R1709" s="17" t="str">
        <f>CONCATENATE(F1709,G1709)</f>
        <v>20 Б 01 L5550000</v>
      </c>
    </row>
    <row r="1710" spans="1:18" s="16" customFormat="1" ht="31.5">
      <c r="A1710" s="14"/>
      <c r="B1710" s="125" t="s">
        <v>28</v>
      </c>
      <c r="C1710" s="108" t="s">
        <v>410</v>
      </c>
      <c r="D1710" s="108" t="s">
        <v>86</v>
      </c>
      <c r="E1710" s="108" t="s">
        <v>13</v>
      </c>
      <c r="F1710" s="108" t="s">
        <v>893</v>
      </c>
      <c r="G1710" s="108" t="s">
        <v>29</v>
      </c>
      <c r="H1710" s="126">
        <f>H1711</f>
        <v>0</v>
      </c>
      <c r="I1710" s="178" t="str">
        <f t="shared" si="217"/>
        <v>620050320 Б 01 L5550240</v>
      </c>
      <c r="L1710" s="32">
        <v>3880.07</v>
      </c>
      <c r="M1710" s="32">
        <v>5820.1</v>
      </c>
      <c r="N1710" s="32">
        <v>7760.13</v>
      </c>
      <c r="O1710" s="32">
        <f>H1710-L1710</f>
        <v>-3880.07</v>
      </c>
      <c r="P1710" s="32" t="e">
        <f>#REF!-M1710</f>
        <v>#REF!</v>
      </c>
      <c r="Q1710" s="32" t="e">
        <f>#REF!-N1710</f>
        <v>#REF!</v>
      </c>
      <c r="R1710" s="17" t="str">
        <f>CONCATENATE(F1710,G1710)</f>
        <v>20 Б 01 L5550240</v>
      </c>
    </row>
    <row r="1711" spans="1:18" s="16" customFormat="1" ht="15.75">
      <c r="A1711" s="14"/>
      <c r="B1711" s="125" t="s">
        <v>30</v>
      </c>
      <c r="C1711" s="108" t="s">
        <v>410</v>
      </c>
      <c r="D1711" s="108" t="s">
        <v>86</v>
      </c>
      <c r="E1711" s="108" t="s">
        <v>13</v>
      </c>
      <c r="F1711" s="108" t="s">
        <v>893</v>
      </c>
      <c r="G1711" s="108" t="s">
        <v>31</v>
      </c>
      <c r="H1711" s="126"/>
      <c r="I1711" s="178" t="str">
        <f t="shared" si="217"/>
        <v>620050320 Б 01 L5550244</v>
      </c>
      <c r="L1711" s="32"/>
      <c r="M1711" s="32"/>
      <c r="N1711" s="32"/>
      <c r="O1711" s="32"/>
      <c r="P1711" s="32"/>
      <c r="Q1711" s="32"/>
      <c r="R1711" s="17"/>
    </row>
    <row r="1712" spans="1:18" s="16" customFormat="1" ht="31.5">
      <c r="A1712" s="14"/>
      <c r="B1712" s="125" t="s">
        <v>894</v>
      </c>
      <c r="C1712" s="108" t="s">
        <v>410</v>
      </c>
      <c r="D1712" s="108" t="s">
        <v>86</v>
      </c>
      <c r="E1712" s="108" t="s">
        <v>13</v>
      </c>
      <c r="F1712" s="108" t="s">
        <v>895</v>
      </c>
      <c r="G1712" s="108" t="s">
        <v>9</v>
      </c>
      <c r="H1712" s="163">
        <f>H1713</f>
        <v>0</v>
      </c>
      <c r="I1712" s="178" t="str">
        <f t="shared" si="217"/>
        <v>620050320 Б 02 00000000</v>
      </c>
      <c r="L1712" s="64">
        <v>1940.04</v>
      </c>
      <c r="M1712" s="64">
        <v>2910.06</v>
      </c>
      <c r="N1712" s="64">
        <v>3880.08</v>
      </c>
      <c r="O1712" s="64">
        <f>H1712-L1712</f>
        <v>-1940.04</v>
      </c>
      <c r="P1712" s="64" t="e">
        <f>#REF!-M1712</f>
        <v>#REF!</v>
      </c>
      <c r="Q1712" s="64" t="e">
        <f>#REF!-N1712</f>
        <v>#REF!</v>
      </c>
      <c r="R1712" s="17" t="str">
        <f>CONCATENATE(F1712,G1712)</f>
        <v>20 Б 02 00000000</v>
      </c>
    </row>
    <row r="1713" spans="1:18" s="16" customFormat="1" ht="31.5">
      <c r="A1713" s="14"/>
      <c r="B1713" s="125" t="s">
        <v>892</v>
      </c>
      <c r="C1713" s="108" t="s">
        <v>410</v>
      </c>
      <c r="D1713" s="108" t="s">
        <v>86</v>
      </c>
      <c r="E1713" s="108" t="s">
        <v>13</v>
      </c>
      <c r="F1713" s="108" t="s">
        <v>896</v>
      </c>
      <c r="G1713" s="108" t="s">
        <v>9</v>
      </c>
      <c r="H1713" s="163">
        <f>H1714</f>
        <v>0</v>
      </c>
      <c r="I1713" s="178" t="str">
        <f t="shared" si="217"/>
        <v>620050320 Б 02 L5550000</v>
      </c>
      <c r="L1713" s="64">
        <v>1940.04</v>
      </c>
      <c r="M1713" s="64">
        <v>2910.06</v>
      </c>
      <c r="N1713" s="64">
        <v>3880.08</v>
      </c>
      <c r="O1713" s="64">
        <f>H1713-L1713</f>
        <v>-1940.04</v>
      </c>
      <c r="P1713" s="64" t="e">
        <f>#REF!-M1713</f>
        <v>#REF!</v>
      </c>
      <c r="Q1713" s="64" t="e">
        <f>#REF!-N1713</f>
        <v>#REF!</v>
      </c>
      <c r="R1713" s="17" t="str">
        <f>CONCATENATE(F1713,G1713)</f>
        <v>20 Б 02 L5550000</v>
      </c>
    </row>
    <row r="1714" spans="1:18" s="16" customFormat="1" ht="31.5">
      <c r="A1714" s="14"/>
      <c r="B1714" s="125" t="s">
        <v>28</v>
      </c>
      <c r="C1714" s="108" t="s">
        <v>410</v>
      </c>
      <c r="D1714" s="108" t="s">
        <v>86</v>
      </c>
      <c r="E1714" s="108" t="s">
        <v>13</v>
      </c>
      <c r="F1714" s="108" t="s">
        <v>896</v>
      </c>
      <c r="G1714" s="108" t="s">
        <v>29</v>
      </c>
      <c r="H1714" s="126">
        <f>H1715</f>
        <v>0</v>
      </c>
      <c r="I1714" s="178" t="str">
        <f t="shared" si="217"/>
        <v>620050320 Б 02 L5550240</v>
      </c>
      <c r="L1714" s="32">
        <v>1940.04</v>
      </c>
      <c r="M1714" s="32">
        <v>2910.06</v>
      </c>
      <c r="N1714" s="32">
        <v>3880.08</v>
      </c>
      <c r="O1714" s="32">
        <f>H1714-L1714</f>
        <v>-1940.04</v>
      </c>
      <c r="P1714" s="32" t="e">
        <f>#REF!-M1714</f>
        <v>#REF!</v>
      </c>
      <c r="Q1714" s="32" t="e">
        <f>#REF!-N1714</f>
        <v>#REF!</v>
      </c>
      <c r="R1714" s="17" t="str">
        <f>CONCATENATE(F1714,G1714)</f>
        <v>20 Б 02 L5550240</v>
      </c>
    </row>
    <row r="1715" spans="1:18" s="16" customFormat="1" ht="15.75">
      <c r="A1715" s="14"/>
      <c r="B1715" s="125" t="s">
        <v>30</v>
      </c>
      <c r="C1715" s="108" t="s">
        <v>410</v>
      </c>
      <c r="D1715" s="108" t="s">
        <v>86</v>
      </c>
      <c r="E1715" s="108" t="s">
        <v>13</v>
      </c>
      <c r="F1715" s="108" t="s">
        <v>896</v>
      </c>
      <c r="G1715" s="108" t="s">
        <v>31</v>
      </c>
      <c r="H1715" s="126"/>
      <c r="I1715" s="178" t="str">
        <f t="shared" si="217"/>
        <v>620050320 Б 02 L5550244</v>
      </c>
      <c r="L1715" s="32"/>
      <c r="M1715" s="32"/>
      <c r="N1715" s="32"/>
      <c r="O1715" s="32"/>
      <c r="P1715" s="32"/>
      <c r="Q1715" s="32"/>
      <c r="R1715" s="17"/>
    </row>
    <row r="1716" spans="1:18" s="16" customFormat="1" ht="78.75">
      <c r="A1716" s="14"/>
      <c r="B1716" s="125" t="s">
        <v>1067</v>
      </c>
      <c r="C1716" s="108" t="s">
        <v>410</v>
      </c>
      <c r="D1716" s="108" t="s">
        <v>86</v>
      </c>
      <c r="E1716" s="108" t="s">
        <v>13</v>
      </c>
      <c r="F1716" s="108" t="s">
        <v>898</v>
      </c>
      <c r="G1716" s="108" t="s">
        <v>9</v>
      </c>
      <c r="H1716" s="141">
        <f t="shared" ref="H1716:H1717" si="219">H1717</f>
        <v>0</v>
      </c>
      <c r="I1716" s="178" t="str">
        <f t="shared" si="217"/>
        <v>620050320 Б 03 00000000</v>
      </c>
      <c r="L1716" s="32">
        <v>450</v>
      </c>
      <c r="M1716" s="32">
        <v>450</v>
      </c>
      <c r="N1716" s="32">
        <v>450</v>
      </c>
      <c r="O1716" s="32">
        <f>H1716-L1716</f>
        <v>-450</v>
      </c>
      <c r="P1716" s="32" t="e">
        <f>#REF!-M1716</f>
        <v>#REF!</v>
      </c>
      <c r="Q1716" s="32" t="e">
        <f>#REF!-N1716</f>
        <v>#REF!</v>
      </c>
      <c r="R1716" s="17" t="str">
        <f>CONCATENATE(F1716,G1716)</f>
        <v>20 Б 03 00000000</v>
      </c>
    </row>
    <row r="1717" spans="1:18" s="16" customFormat="1" ht="31.5">
      <c r="A1717" s="14"/>
      <c r="B1717" s="138" t="s">
        <v>542</v>
      </c>
      <c r="C1717" s="108" t="s">
        <v>410</v>
      </c>
      <c r="D1717" s="108" t="s">
        <v>86</v>
      </c>
      <c r="E1717" s="108" t="s">
        <v>13</v>
      </c>
      <c r="F1717" s="108" t="s">
        <v>899</v>
      </c>
      <c r="G1717" s="108" t="s">
        <v>9</v>
      </c>
      <c r="H1717" s="141">
        <f t="shared" si="219"/>
        <v>0</v>
      </c>
      <c r="I1717" s="178" t="str">
        <f t="shared" si="217"/>
        <v>620050320 Б 03 20300000</v>
      </c>
      <c r="L1717" s="32">
        <v>450</v>
      </c>
      <c r="M1717" s="32">
        <v>450</v>
      </c>
      <c r="N1717" s="32">
        <v>450</v>
      </c>
      <c r="O1717" s="32">
        <f>H1717-L1717</f>
        <v>-450</v>
      </c>
      <c r="P1717" s="32" t="e">
        <f>#REF!-M1717</f>
        <v>#REF!</v>
      </c>
      <c r="Q1717" s="32" t="e">
        <f>#REF!-N1717</f>
        <v>#REF!</v>
      </c>
      <c r="R1717" s="17" t="str">
        <f>CONCATENATE(F1717,G1717)</f>
        <v>20 Б 03 20300000</v>
      </c>
    </row>
    <row r="1718" spans="1:18" s="16" customFormat="1" ht="31.5">
      <c r="A1718" s="14"/>
      <c r="B1718" s="138" t="s">
        <v>28</v>
      </c>
      <c r="C1718" s="108" t="s">
        <v>410</v>
      </c>
      <c r="D1718" s="108" t="s">
        <v>86</v>
      </c>
      <c r="E1718" s="108" t="s">
        <v>13</v>
      </c>
      <c r="F1718" s="108" t="s">
        <v>899</v>
      </c>
      <c r="G1718" s="108" t="s">
        <v>29</v>
      </c>
      <c r="H1718" s="126">
        <f>H1719</f>
        <v>0</v>
      </c>
      <c r="I1718" s="178" t="str">
        <f t="shared" si="217"/>
        <v>620050320 Б 03 20300240</v>
      </c>
      <c r="L1718" s="32">
        <v>450</v>
      </c>
      <c r="M1718" s="32">
        <v>450</v>
      </c>
      <c r="N1718" s="32">
        <v>450</v>
      </c>
      <c r="O1718" s="32">
        <f>H1718-L1718</f>
        <v>-450</v>
      </c>
      <c r="P1718" s="32" t="e">
        <f>#REF!-M1718</f>
        <v>#REF!</v>
      </c>
      <c r="Q1718" s="32" t="e">
        <f>#REF!-N1718</f>
        <v>#REF!</v>
      </c>
      <c r="R1718" s="17" t="str">
        <f>CONCATENATE(F1718,G1718)</f>
        <v>20 Б 03 20300240</v>
      </c>
    </row>
    <row r="1719" spans="1:18" s="16" customFormat="1" ht="15.75">
      <c r="A1719" s="14"/>
      <c r="B1719" s="125" t="s">
        <v>30</v>
      </c>
      <c r="C1719" s="108" t="s">
        <v>410</v>
      </c>
      <c r="D1719" s="108" t="s">
        <v>86</v>
      </c>
      <c r="E1719" s="108" t="s">
        <v>13</v>
      </c>
      <c r="F1719" s="108" t="s">
        <v>899</v>
      </c>
      <c r="G1719" s="108" t="s">
        <v>31</v>
      </c>
      <c r="H1719" s="126"/>
      <c r="I1719" s="178" t="str">
        <f t="shared" si="217"/>
        <v>620050320 Б 03 20300244</v>
      </c>
      <c r="L1719" s="32"/>
      <c r="M1719" s="32"/>
      <c r="N1719" s="32"/>
      <c r="O1719" s="32"/>
      <c r="P1719" s="32"/>
      <c r="Q1719" s="32"/>
      <c r="R1719" s="17"/>
    </row>
    <row r="1720" spans="1:18" s="16" customFormat="1" ht="31.5">
      <c r="A1720" s="14"/>
      <c r="B1720" s="121" t="s">
        <v>313</v>
      </c>
      <c r="C1720" s="122" t="s">
        <v>410</v>
      </c>
      <c r="D1720" s="123" t="s">
        <v>86</v>
      </c>
      <c r="E1720" s="123" t="s">
        <v>86</v>
      </c>
      <c r="F1720" s="123" t="s">
        <v>8</v>
      </c>
      <c r="G1720" s="123" t="s">
        <v>9</v>
      </c>
      <c r="H1720" s="124">
        <f>H1721</f>
        <v>0</v>
      </c>
      <c r="I1720" s="178" t="str">
        <f t="shared" si="217"/>
        <v>620050500 0 00 00000000</v>
      </c>
      <c r="L1720" s="19">
        <v>48258.450000000004</v>
      </c>
      <c r="M1720" s="19">
        <v>48258.450000000004</v>
      </c>
      <c r="N1720" s="19">
        <v>48258.450000000004</v>
      </c>
      <c r="O1720" s="19">
        <f>H1720-L1720</f>
        <v>-48258.450000000004</v>
      </c>
      <c r="P1720" s="19" t="e">
        <f>#REF!-M1720</f>
        <v>#REF!</v>
      </c>
      <c r="Q1720" s="19" t="e">
        <f>#REF!-N1720</f>
        <v>#REF!</v>
      </c>
      <c r="R1720" s="17" t="str">
        <f>CONCATENATE(F1720,G1720)</f>
        <v>00 0 00 00000000</v>
      </c>
    </row>
    <row r="1721" spans="1:18" s="16" customFormat="1" ht="31.5">
      <c r="A1721" s="14"/>
      <c r="B1721" s="125" t="s">
        <v>806</v>
      </c>
      <c r="C1721" s="108" t="s">
        <v>410</v>
      </c>
      <c r="D1721" s="108" t="s">
        <v>86</v>
      </c>
      <c r="E1721" s="108" t="s">
        <v>86</v>
      </c>
      <c r="F1721" s="108" t="s">
        <v>807</v>
      </c>
      <c r="G1721" s="108" t="s">
        <v>9</v>
      </c>
      <c r="H1721" s="163">
        <f>H1722</f>
        <v>0</v>
      </c>
      <c r="I1721" s="178" t="str">
        <f t="shared" si="217"/>
        <v>620050583 0 00 00000000</v>
      </c>
      <c r="L1721" s="64">
        <v>48258.450000000004</v>
      </c>
      <c r="M1721" s="64">
        <v>48258.450000000004</v>
      </c>
      <c r="N1721" s="64">
        <v>48258.450000000004</v>
      </c>
      <c r="O1721" s="64">
        <f>H1721-L1721</f>
        <v>-48258.450000000004</v>
      </c>
      <c r="P1721" s="64" t="e">
        <f>#REF!-M1721</f>
        <v>#REF!</v>
      </c>
      <c r="Q1721" s="64" t="e">
        <f>#REF!-N1721</f>
        <v>#REF!</v>
      </c>
      <c r="R1721" s="17" t="str">
        <f>CONCATENATE(F1721,G1721)</f>
        <v>83 0 00 00000000</v>
      </c>
    </row>
    <row r="1722" spans="1:18" s="16" customFormat="1" ht="47.25">
      <c r="A1722" s="14"/>
      <c r="B1722" s="125" t="s">
        <v>808</v>
      </c>
      <c r="C1722" s="108" t="s">
        <v>410</v>
      </c>
      <c r="D1722" s="108" t="s">
        <v>86</v>
      </c>
      <c r="E1722" s="108" t="s">
        <v>86</v>
      </c>
      <c r="F1722" s="108" t="s">
        <v>809</v>
      </c>
      <c r="G1722" s="108" t="s">
        <v>9</v>
      </c>
      <c r="H1722" s="163">
        <f>H1723+H1732</f>
        <v>0</v>
      </c>
      <c r="I1722" s="178" t="str">
        <f t="shared" si="217"/>
        <v>620050583 1 00 00000000</v>
      </c>
      <c r="L1722" s="64">
        <v>48258.450000000004</v>
      </c>
      <c r="M1722" s="64">
        <v>48258.450000000004</v>
      </c>
      <c r="N1722" s="64">
        <v>48258.450000000004</v>
      </c>
      <c r="O1722" s="64">
        <f>H1722-L1722</f>
        <v>-48258.450000000004</v>
      </c>
      <c r="P1722" s="64" t="e">
        <f>#REF!-M1722</f>
        <v>#REF!</v>
      </c>
      <c r="Q1722" s="64" t="e">
        <f>#REF!-N1722</f>
        <v>#REF!</v>
      </c>
      <c r="R1722" s="17" t="str">
        <f>CONCATENATE(F1722,G1722)</f>
        <v>83 1 00 00000000</v>
      </c>
    </row>
    <row r="1723" spans="1:18" s="16" customFormat="1" ht="31.5">
      <c r="A1723" s="14"/>
      <c r="B1723" s="125" t="s">
        <v>18</v>
      </c>
      <c r="C1723" s="108" t="s">
        <v>410</v>
      </c>
      <c r="D1723" s="108" t="s">
        <v>86</v>
      </c>
      <c r="E1723" s="108" t="s">
        <v>86</v>
      </c>
      <c r="F1723" s="108" t="s">
        <v>900</v>
      </c>
      <c r="G1723" s="108" t="s">
        <v>9</v>
      </c>
      <c r="H1723" s="163">
        <f>H1724+H1727+H1729</f>
        <v>0</v>
      </c>
      <c r="I1723" s="178" t="str">
        <f t="shared" si="217"/>
        <v>620050583 1 00 10010000</v>
      </c>
      <c r="L1723" s="64">
        <v>6747.7300000000005</v>
      </c>
      <c r="M1723" s="64">
        <v>6747.7300000000005</v>
      </c>
      <c r="N1723" s="64">
        <v>6747.7300000000005</v>
      </c>
      <c r="O1723" s="64">
        <f>H1723-L1723</f>
        <v>-6747.7300000000005</v>
      </c>
      <c r="P1723" s="64" t="e">
        <f>#REF!-M1723</f>
        <v>#REF!</v>
      </c>
      <c r="Q1723" s="64" t="e">
        <f>#REF!-N1723</f>
        <v>#REF!</v>
      </c>
      <c r="R1723" s="17" t="str">
        <f>CONCATENATE(F1723,G1723)</f>
        <v>83 1 00 10010000</v>
      </c>
    </row>
    <row r="1724" spans="1:18" s="16" customFormat="1" ht="31.5">
      <c r="A1724" s="14"/>
      <c r="B1724" s="127" t="s">
        <v>20</v>
      </c>
      <c r="C1724" s="108" t="s">
        <v>410</v>
      </c>
      <c r="D1724" s="108" t="s">
        <v>86</v>
      </c>
      <c r="E1724" s="108" t="s">
        <v>86</v>
      </c>
      <c r="F1724" s="108" t="s">
        <v>900</v>
      </c>
      <c r="G1724" s="108" t="s">
        <v>21</v>
      </c>
      <c r="H1724" s="126">
        <f>SUM(H1725:H1726)</f>
        <v>0</v>
      </c>
      <c r="I1724" s="178" t="str">
        <f t="shared" si="217"/>
        <v>620050583 1 00 10010120</v>
      </c>
      <c r="L1724" s="20">
        <v>1182.76</v>
      </c>
      <c r="M1724" s="20">
        <v>1182.76</v>
      </c>
      <c r="N1724" s="20">
        <v>1182.76</v>
      </c>
      <c r="O1724" s="20">
        <f>H1724-L1724</f>
        <v>-1182.76</v>
      </c>
      <c r="P1724" s="20" t="e">
        <f>#REF!-M1724</f>
        <v>#REF!</v>
      </c>
      <c r="Q1724" s="20" t="e">
        <f>#REF!-N1724</f>
        <v>#REF!</v>
      </c>
      <c r="R1724" s="17" t="str">
        <f>CONCATENATE(F1724,G1724)</f>
        <v>83 1 00 10010120</v>
      </c>
    </row>
    <row r="1725" spans="1:18" s="23" customFormat="1" ht="47.25">
      <c r="A1725" s="21"/>
      <c r="B1725" s="127" t="s">
        <v>22</v>
      </c>
      <c r="C1725" s="108" t="s">
        <v>410</v>
      </c>
      <c r="D1725" s="108" t="s">
        <v>86</v>
      </c>
      <c r="E1725" s="108" t="s">
        <v>86</v>
      </c>
      <c r="F1725" s="108" t="s">
        <v>900</v>
      </c>
      <c r="G1725" s="108" t="s">
        <v>23</v>
      </c>
      <c r="H1725" s="126"/>
      <c r="I1725" s="178" t="str">
        <f t="shared" si="217"/>
        <v>620050583 1 00 10010122</v>
      </c>
      <c r="L1725" s="22"/>
      <c r="M1725" s="22"/>
      <c r="N1725" s="22"/>
      <c r="O1725" s="22"/>
      <c r="P1725" s="22"/>
      <c r="Q1725" s="22"/>
      <c r="R1725" s="24"/>
    </row>
    <row r="1726" spans="1:18" s="23" customFormat="1" ht="63">
      <c r="A1726" s="21"/>
      <c r="B1726" s="127" t="s">
        <v>26</v>
      </c>
      <c r="C1726" s="108" t="s">
        <v>410</v>
      </c>
      <c r="D1726" s="108" t="s">
        <v>86</v>
      </c>
      <c r="E1726" s="108" t="s">
        <v>86</v>
      </c>
      <c r="F1726" s="108" t="s">
        <v>900</v>
      </c>
      <c r="G1726" s="108" t="s">
        <v>27</v>
      </c>
      <c r="H1726" s="126"/>
      <c r="I1726" s="178" t="str">
        <f t="shared" si="217"/>
        <v>620050583 1 00 10010129</v>
      </c>
      <c r="L1726" s="22"/>
      <c r="M1726" s="22"/>
      <c r="N1726" s="22"/>
      <c r="O1726" s="22"/>
      <c r="P1726" s="22"/>
      <c r="Q1726" s="22"/>
      <c r="R1726" s="24"/>
    </row>
    <row r="1727" spans="1:18" s="16" customFormat="1" ht="31.5">
      <c r="A1727" s="14"/>
      <c r="B1727" s="125" t="s">
        <v>28</v>
      </c>
      <c r="C1727" s="108" t="s">
        <v>410</v>
      </c>
      <c r="D1727" s="108" t="s">
        <v>86</v>
      </c>
      <c r="E1727" s="108" t="s">
        <v>86</v>
      </c>
      <c r="F1727" s="108" t="s">
        <v>900</v>
      </c>
      <c r="G1727" s="108" t="s">
        <v>29</v>
      </c>
      <c r="H1727" s="126">
        <f>H1728</f>
        <v>0</v>
      </c>
      <c r="I1727" s="178" t="str">
        <f t="shared" si="217"/>
        <v>620050583 1 00 10010240</v>
      </c>
      <c r="L1727" s="20">
        <v>5455.97</v>
      </c>
      <c r="M1727" s="20">
        <v>5455.97</v>
      </c>
      <c r="N1727" s="20">
        <v>5455.97</v>
      </c>
      <c r="O1727" s="20">
        <f>H1727-L1727</f>
        <v>-5455.97</v>
      </c>
      <c r="P1727" s="20" t="e">
        <f>#REF!-M1727</f>
        <v>#REF!</v>
      </c>
      <c r="Q1727" s="20" t="e">
        <f>#REF!-N1727</f>
        <v>#REF!</v>
      </c>
      <c r="R1727" s="17" t="str">
        <f>CONCATENATE(F1727,G1727)</f>
        <v>83 1 00 10010240</v>
      </c>
    </row>
    <row r="1728" spans="1:18" s="16" customFormat="1" ht="15.75">
      <c r="A1728" s="14"/>
      <c r="B1728" s="125" t="s">
        <v>30</v>
      </c>
      <c r="C1728" s="108" t="s">
        <v>410</v>
      </c>
      <c r="D1728" s="108" t="s">
        <v>86</v>
      </c>
      <c r="E1728" s="108" t="s">
        <v>86</v>
      </c>
      <c r="F1728" s="108" t="s">
        <v>900</v>
      </c>
      <c r="G1728" s="108" t="s">
        <v>31</v>
      </c>
      <c r="H1728" s="126"/>
      <c r="I1728" s="178" t="str">
        <f t="shared" si="217"/>
        <v>620050583 1 00 10010244</v>
      </c>
      <c r="L1728" s="20"/>
      <c r="M1728" s="20"/>
      <c r="N1728" s="20"/>
      <c r="O1728" s="20"/>
      <c r="P1728" s="20"/>
      <c r="Q1728" s="20"/>
      <c r="R1728" s="17"/>
    </row>
    <row r="1729" spans="1:18" s="16" customFormat="1" ht="15.75">
      <c r="A1729" s="14"/>
      <c r="B1729" s="125" t="s">
        <v>32</v>
      </c>
      <c r="C1729" s="108" t="s">
        <v>410</v>
      </c>
      <c r="D1729" s="108" t="s">
        <v>86</v>
      </c>
      <c r="E1729" s="108" t="s">
        <v>86</v>
      </c>
      <c r="F1729" s="108" t="s">
        <v>900</v>
      </c>
      <c r="G1729" s="108" t="s">
        <v>33</v>
      </c>
      <c r="H1729" s="126">
        <f>SUM(H1730:H1731)</f>
        <v>0</v>
      </c>
      <c r="I1729" s="178" t="str">
        <f t="shared" si="217"/>
        <v>620050583 1 00 10010850</v>
      </c>
      <c r="L1729" s="20">
        <v>109</v>
      </c>
      <c r="M1729" s="20">
        <v>109</v>
      </c>
      <c r="N1729" s="20">
        <v>109</v>
      </c>
      <c r="O1729" s="20">
        <f>H1729-L1729</f>
        <v>-109</v>
      </c>
      <c r="P1729" s="20" t="e">
        <f>#REF!-M1729</f>
        <v>#REF!</v>
      </c>
      <c r="Q1729" s="20" t="e">
        <f>#REF!-N1729</f>
        <v>#REF!</v>
      </c>
      <c r="R1729" s="17" t="str">
        <f>CONCATENATE(F1729,G1729)</f>
        <v>83 1 00 10010850</v>
      </c>
    </row>
    <row r="1730" spans="1:18" s="23" customFormat="1" ht="31.5">
      <c r="A1730" s="21"/>
      <c r="B1730" s="127" t="s">
        <v>34</v>
      </c>
      <c r="C1730" s="108" t="s">
        <v>410</v>
      </c>
      <c r="D1730" s="108" t="s">
        <v>86</v>
      </c>
      <c r="E1730" s="108" t="s">
        <v>86</v>
      </c>
      <c r="F1730" s="108" t="s">
        <v>900</v>
      </c>
      <c r="G1730" s="108" t="s">
        <v>35</v>
      </c>
      <c r="H1730" s="126"/>
      <c r="I1730" s="178" t="str">
        <f t="shared" si="217"/>
        <v>620050583 1 00 10010851</v>
      </c>
      <c r="L1730" s="22"/>
      <c r="M1730" s="22"/>
      <c r="N1730" s="22"/>
      <c r="O1730" s="22"/>
      <c r="P1730" s="22"/>
      <c r="Q1730" s="22"/>
      <c r="R1730" s="24"/>
    </row>
    <row r="1731" spans="1:18" s="23" customFormat="1" ht="15.75">
      <c r="A1731" s="21"/>
      <c r="B1731" s="127" t="s">
        <v>36</v>
      </c>
      <c r="C1731" s="108" t="s">
        <v>410</v>
      </c>
      <c r="D1731" s="108" t="s">
        <v>86</v>
      </c>
      <c r="E1731" s="108" t="s">
        <v>86</v>
      </c>
      <c r="F1731" s="108" t="s">
        <v>900</v>
      </c>
      <c r="G1731" s="108" t="s">
        <v>37</v>
      </c>
      <c r="H1731" s="126"/>
      <c r="I1731" s="178" t="str">
        <f t="shared" si="217"/>
        <v>620050583 1 00 10010852</v>
      </c>
      <c r="L1731" s="22"/>
      <c r="M1731" s="22"/>
      <c r="N1731" s="22"/>
      <c r="O1731" s="22"/>
      <c r="P1731" s="22"/>
      <c r="Q1731" s="22"/>
      <c r="R1731" s="24"/>
    </row>
    <row r="1732" spans="1:18" s="16" customFormat="1" ht="31.5">
      <c r="A1732" s="14"/>
      <c r="B1732" s="125" t="s">
        <v>38</v>
      </c>
      <c r="C1732" s="108" t="s">
        <v>410</v>
      </c>
      <c r="D1732" s="108" t="s">
        <v>86</v>
      </c>
      <c r="E1732" s="108" t="s">
        <v>86</v>
      </c>
      <c r="F1732" s="108" t="s">
        <v>901</v>
      </c>
      <c r="G1732" s="108" t="s">
        <v>9</v>
      </c>
      <c r="H1732" s="126">
        <f>H1733</f>
        <v>0</v>
      </c>
      <c r="I1732" s="178" t="str">
        <f t="shared" si="217"/>
        <v>620050583 1 00 10020000</v>
      </c>
      <c r="L1732" s="20">
        <v>41510.720000000001</v>
      </c>
      <c r="M1732" s="20">
        <v>41510.720000000001</v>
      </c>
      <c r="N1732" s="20">
        <v>41510.720000000001</v>
      </c>
      <c r="O1732" s="20">
        <f>H1732-L1732</f>
        <v>-41510.720000000001</v>
      </c>
      <c r="P1732" s="20" t="e">
        <f>#REF!-M1732</f>
        <v>#REF!</v>
      </c>
      <c r="Q1732" s="20" t="e">
        <f>#REF!-N1732</f>
        <v>#REF!</v>
      </c>
      <c r="R1732" s="17" t="str">
        <f>CONCATENATE(F1732,G1732)</f>
        <v>83 1 00 10020000</v>
      </c>
    </row>
    <row r="1733" spans="1:18" s="16" customFormat="1" ht="31.5">
      <c r="A1733" s="14"/>
      <c r="B1733" s="127" t="s">
        <v>20</v>
      </c>
      <c r="C1733" s="108" t="s">
        <v>410</v>
      </c>
      <c r="D1733" s="108" t="s">
        <v>86</v>
      </c>
      <c r="E1733" s="108" t="s">
        <v>86</v>
      </c>
      <c r="F1733" s="108" t="s">
        <v>901</v>
      </c>
      <c r="G1733" s="108" t="s">
        <v>21</v>
      </c>
      <c r="H1733" s="126">
        <f>SUM(H1734:H1735)</f>
        <v>0</v>
      </c>
      <c r="I1733" s="178" t="str">
        <f t="shared" si="217"/>
        <v>620050583 1 00 10020120</v>
      </c>
      <c r="L1733" s="20">
        <v>41510.720000000001</v>
      </c>
      <c r="M1733" s="20">
        <v>41510.720000000001</v>
      </c>
      <c r="N1733" s="20">
        <v>41510.720000000001</v>
      </c>
      <c r="O1733" s="20">
        <f>H1733-L1733</f>
        <v>-41510.720000000001</v>
      </c>
      <c r="P1733" s="20" t="e">
        <f>#REF!-M1733</f>
        <v>#REF!</v>
      </c>
      <c r="Q1733" s="20" t="e">
        <f>#REF!-N1733</f>
        <v>#REF!</v>
      </c>
      <c r="R1733" s="17" t="str">
        <f>CONCATENATE(F1733,G1733)</f>
        <v>83 1 00 10020120</v>
      </c>
    </row>
    <row r="1734" spans="1:18" s="23" customFormat="1" ht="31.5">
      <c r="A1734" s="21"/>
      <c r="B1734" s="127" t="s">
        <v>40</v>
      </c>
      <c r="C1734" s="108" t="s">
        <v>410</v>
      </c>
      <c r="D1734" s="108" t="s">
        <v>86</v>
      </c>
      <c r="E1734" s="108" t="s">
        <v>86</v>
      </c>
      <c r="F1734" s="108" t="s">
        <v>901</v>
      </c>
      <c r="G1734" s="108" t="s">
        <v>41</v>
      </c>
      <c r="H1734" s="126"/>
      <c r="I1734" s="178" t="str">
        <f t="shared" si="217"/>
        <v>620050583 1 00 10020121</v>
      </c>
      <c r="L1734" s="22"/>
      <c r="M1734" s="22"/>
      <c r="N1734" s="22"/>
      <c r="O1734" s="22"/>
      <c r="P1734" s="22"/>
      <c r="Q1734" s="22"/>
      <c r="R1734" s="24"/>
    </row>
    <row r="1735" spans="1:18" s="23" customFormat="1" ht="63">
      <c r="A1735" s="21"/>
      <c r="B1735" s="127" t="s">
        <v>26</v>
      </c>
      <c r="C1735" s="108" t="s">
        <v>410</v>
      </c>
      <c r="D1735" s="108" t="s">
        <v>86</v>
      </c>
      <c r="E1735" s="108" t="s">
        <v>86</v>
      </c>
      <c r="F1735" s="108" t="s">
        <v>901</v>
      </c>
      <c r="G1735" s="108" t="s">
        <v>27</v>
      </c>
      <c r="H1735" s="126"/>
      <c r="I1735" s="178" t="str">
        <f t="shared" si="217"/>
        <v>620050583 1 00 10020129</v>
      </c>
      <c r="L1735" s="22"/>
      <c r="M1735" s="22"/>
      <c r="N1735" s="22"/>
      <c r="O1735" s="22"/>
      <c r="P1735" s="22"/>
      <c r="Q1735" s="22"/>
      <c r="R1735" s="24"/>
    </row>
    <row r="1736" spans="1:18" s="16" customFormat="1" ht="15.75">
      <c r="A1736" s="14"/>
      <c r="B1736" s="117" t="s">
        <v>569</v>
      </c>
      <c r="C1736" s="118" t="s">
        <v>410</v>
      </c>
      <c r="D1736" s="119" t="s">
        <v>238</v>
      </c>
      <c r="E1736" s="119" t="s">
        <v>7</v>
      </c>
      <c r="F1736" s="119" t="s">
        <v>8</v>
      </c>
      <c r="G1736" s="119" t="s">
        <v>9</v>
      </c>
      <c r="H1736" s="120">
        <f>H1737</f>
        <v>0</v>
      </c>
      <c r="I1736" s="178" t="str">
        <f t="shared" si="217"/>
        <v>620080000 0 00 00000000</v>
      </c>
      <c r="L1736" s="18">
        <v>1162.5</v>
      </c>
      <c r="M1736" s="18">
        <v>1162.5</v>
      </c>
      <c r="N1736" s="18">
        <v>1162.5</v>
      </c>
      <c r="O1736" s="18">
        <f t="shared" ref="O1736:O1742" si="220">H1736-L1736</f>
        <v>-1162.5</v>
      </c>
      <c r="P1736" s="18" t="e">
        <f>#REF!-M1736</f>
        <v>#REF!</v>
      </c>
      <c r="Q1736" s="18" t="e">
        <f>#REF!-N1736</f>
        <v>#REF!</v>
      </c>
      <c r="R1736" s="17" t="str">
        <f t="shared" ref="R1736:R1802" si="221">CONCATENATE(F1736,G1736)</f>
        <v>00 0 00 00000000</v>
      </c>
    </row>
    <row r="1737" spans="1:18" s="16" customFormat="1" ht="15.75">
      <c r="A1737" s="14"/>
      <c r="B1737" s="121" t="s">
        <v>239</v>
      </c>
      <c r="C1737" s="122" t="s">
        <v>410</v>
      </c>
      <c r="D1737" s="123" t="s">
        <v>238</v>
      </c>
      <c r="E1737" s="123" t="s">
        <v>11</v>
      </c>
      <c r="F1737" s="123" t="s">
        <v>8</v>
      </c>
      <c r="G1737" s="123" t="s">
        <v>9</v>
      </c>
      <c r="H1737" s="124">
        <f>H1738</f>
        <v>0</v>
      </c>
      <c r="I1737" s="178" t="str">
        <f t="shared" si="217"/>
        <v>620080100 0 00 00000000</v>
      </c>
      <c r="L1737" s="19">
        <v>1162.5</v>
      </c>
      <c r="M1737" s="19">
        <v>1162.5</v>
      </c>
      <c r="N1737" s="19">
        <v>1162.5</v>
      </c>
      <c r="O1737" s="19">
        <f t="shared" si="220"/>
        <v>-1162.5</v>
      </c>
      <c r="P1737" s="19" t="e">
        <f>#REF!-M1737</f>
        <v>#REF!</v>
      </c>
      <c r="Q1737" s="19" t="e">
        <f>#REF!-N1737</f>
        <v>#REF!</v>
      </c>
      <c r="R1737" s="17" t="str">
        <f t="shared" si="221"/>
        <v>00 0 00 00000000</v>
      </c>
    </row>
    <row r="1738" spans="1:18" s="16" customFormat="1" ht="31.5">
      <c r="A1738" s="14"/>
      <c r="B1738" s="125" t="s">
        <v>240</v>
      </c>
      <c r="C1738" s="109" t="s">
        <v>410</v>
      </c>
      <c r="D1738" s="108" t="s">
        <v>238</v>
      </c>
      <c r="E1738" s="108" t="s">
        <v>11</v>
      </c>
      <c r="F1738" s="131" t="s">
        <v>241</v>
      </c>
      <c r="G1738" s="108" t="s">
        <v>9</v>
      </c>
      <c r="H1738" s="126">
        <f>H1739</f>
        <v>0</v>
      </c>
      <c r="I1738" s="178" t="str">
        <f t="shared" si="217"/>
        <v>620080107 0 00 00000000</v>
      </c>
      <c r="L1738" s="20">
        <v>1162.5</v>
      </c>
      <c r="M1738" s="20">
        <v>1162.5</v>
      </c>
      <c r="N1738" s="20">
        <v>1162.5</v>
      </c>
      <c r="O1738" s="20">
        <f t="shared" si="220"/>
        <v>-1162.5</v>
      </c>
      <c r="P1738" s="20" t="e">
        <f>#REF!-M1738</f>
        <v>#REF!</v>
      </c>
      <c r="Q1738" s="20" t="e">
        <f>#REF!-N1738</f>
        <v>#REF!</v>
      </c>
      <c r="R1738" s="17" t="str">
        <f t="shared" si="221"/>
        <v>07 0 00 00000000</v>
      </c>
    </row>
    <row r="1739" spans="1:18" s="16" customFormat="1" ht="78.75">
      <c r="A1739" s="14"/>
      <c r="B1739" s="125" t="s">
        <v>384</v>
      </c>
      <c r="C1739" s="109" t="s">
        <v>410</v>
      </c>
      <c r="D1739" s="108" t="s">
        <v>238</v>
      </c>
      <c r="E1739" s="108" t="s">
        <v>11</v>
      </c>
      <c r="F1739" s="131" t="s">
        <v>243</v>
      </c>
      <c r="G1739" s="108" t="s">
        <v>9</v>
      </c>
      <c r="H1739" s="126">
        <f t="shared" ref="H1739:H1741" si="222">H1740</f>
        <v>0</v>
      </c>
      <c r="I1739" s="178" t="str">
        <f t="shared" si="217"/>
        <v>620080107 1 00 00000000</v>
      </c>
      <c r="L1739" s="20">
        <v>1162.5</v>
      </c>
      <c r="M1739" s="20">
        <v>1162.5</v>
      </c>
      <c r="N1739" s="20">
        <v>1162.5</v>
      </c>
      <c r="O1739" s="20">
        <f t="shared" si="220"/>
        <v>-1162.5</v>
      </c>
      <c r="P1739" s="20" t="e">
        <f>#REF!-M1739</f>
        <v>#REF!</v>
      </c>
      <c r="Q1739" s="20" t="e">
        <f>#REF!-N1739</f>
        <v>#REF!</v>
      </c>
      <c r="R1739" s="17" t="str">
        <f t="shared" si="221"/>
        <v>07 1 00 00000000</v>
      </c>
    </row>
    <row r="1740" spans="1:18" s="16" customFormat="1" ht="110.25">
      <c r="A1740" s="14"/>
      <c r="B1740" s="125" t="s">
        <v>244</v>
      </c>
      <c r="C1740" s="109" t="s">
        <v>410</v>
      </c>
      <c r="D1740" s="108" t="s">
        <v>238</v>
      </c>
      <c r="E1740" s="108" t="s">
        <v>11</v>
      </c>
      <c r="F1740" s="131" t="s">
        <v>245</v>
      </c>
      <c r="G1740" s="108" t="s">
        <v>9</v>
      </c>
      <c r="H1740" s="126">
        <f t="shared" si="222"/>
        <v>0</v>
      </c>
      <c r="I1740" s="178" t="str">
        <f t="shared" si="217"/>
        <v>620080107 1 01 00000000</v>
      </c>
      <c r="L1740" s="20">
        <v>1162.5</v>
      </c>
      <c r="M1740" s="20">
        <v>1162.5</v>
      </c>
      <c r="N1740" s="20">
        <v>1162.5</v>
      </c>
      <c r="O1740" s="20">
        <f t="shared" si="220"/>
        <v>-1162.5</v>
      </c>
      <c r="P1740" s="20" t="e">
        <f>#REF!-M1740</f>
        <v>#REF!</v>
      </c>
      <c r="Q1740" s="20" t="e">
        <f>#REF!-N1740</f>
        <v>#REF!</v>
      </c>
      <c r="R1740" s="17" t="str">
        <f t="shared" si="221"/>
        <v>07 1 01 00000000</v>
      </c>
    </row>
    <row r="1741" spans="1:18" s="16" customFormat="1" ht="31.5">
      <c r="A1741" s="14"/>
      <c r="B1741" s="125" t="s">
        <v>246</v>
      </c>
      <c r="C1741" s="109" t="s">
        <v>410</v>
      </c>
      <c r="D1741" s="108" t="s">
        <v>238</v>
      </c>
      <c r="E1741" s="108" t="s">
        <v>11</v>
      </c>
      <c r="F1741" s="131" t="s">
        <v>247</v>
      </c>
      <c r="G1741" s="108" t="s">
        <v>9</v>
      </c>
      <c r="H1741" s="126">
        <f t="shared" si="222"/>
        <v>0</v>
      </c>
      <c r="I1741" s="178" t="str">
        <f t="shared" si="217"/>
        <v>620080107 1 01 20060000</v>
      </c>
      <c r="L1741" s="20">
        <v>1162.5</v>
      </c>
      <c r="M1741" s="20">
        <v>1162.5</v>
      </c>
      <c r="N1741" s="20">
        <v>1162.5</v>
      </c>
      <c r="O1741" s="20">
        <f t="shared" si="220"/>
        <v>-1162.5</v>
      </c>
      <c r="P1741" s="20" t="e">
        <f>#REF!-M1741</f>
        <v>#REF!</v>
      </c>
      <c r="Q1741" s="20" t="e">
        <f>#REF!-N1741</f>
        <v>#REF!</v>
      </c>
      <c r="R1741" s="17" t="str">
        <f t="shared" si="221"/>
        <v>07 1 01 20060000</v>
      </c>
    </row>
    <row r="1742" spans="1:18" s="16" customFormat="1" ht="31.5">
      <c r="A1742" s="14"/>
      <c r="B1742" s="127" t="s">
        <v>28</v>
      </c>
      <c r="C1742" s="109" t="s">
        <v>410</v>
      </c>
      <c r="D1742" s="108" t="s">
        <v>238</v>
      </c>
      <c r="E1742" s="108" t="s">
        <v>11</v>
      </c>
      <c r="F1742" s="131" t="s">
        <v>247</v>
      </c>
      <c r="G1742" s="108" t="s">
        <v>29</v>
      </c>
      <c r="H1742" s="126">
        <f>H1743</f>
        <v>0</v>
      </c>
      <c r="I1742" s="178" t="str">
        <f t="shared" si="217"/>
        <v>620080107 1 01 20060240</v>
      </c>
      <c r="L1742" s="20">
        <v>1162.5</v>
      </c>
      <c r="M1742" s="20">
        <v>1162.5</v>
      </c>
      <c r="N1742" s="20">
        <v>1162.5</v>
      </c>
      <c r="O1742" s="20">
        <f t="shared" si="220"/>
        <v>-1162.5</v>
      </c>
      <c r="P1742" s="20" t="e">
        <f>#REF!-M1742</f>
        <v>#REF!</v>
      </c>
      <c r="Q1742" s="20" t="e">
        <f>#REF!-N1742</f>
        <v>#REF!</v>
      </c>
      <c r="R1742" s="17" t="str">
        <f t="shared" si="221"/>
        <v>07 1 01 20060240</v>
      </c>
    </row>
    <row r="1743" spans="1:18" s="16" customFormat="1" ht="15.75">
      <c r="A1743" s="14"/>
      <c r="B1743" s="125" t="s">
        <v>30</v>
      </c>
      <c r="C1743" s="109" t="s">
        <v>410</v>
      </c>
      <c r="D1743" s="108" t="s">
        <v>238</v>
      </c>
      <c r="E1743" s="108" t="s">
        <v>11</v>
      </c>
      <c r="F1743" s="108" t="s">
        <v>247</v>
      </c>
      <c r="G1743" s="108" t="s">
        <v>31</v>
      </c>
      <c r="H1743" s="126"/>
      <c r="I1743" s="178" t="str">
        <f t="shared" si="217"/>
        <v>620080107 1 01 20060244</v>
      </c>
      <c r="L1743" s="20"/>
      <c r="M1743" s="20"/>
      <c r="N1743" s="20"/>
      <c r="O1743" s="20"/>
      <c r="P1743" s="20"/>
      <c r="Q1743" s="20"/>
      <c r="R1743" s="17"/>
    </row>
    <row r="1744" spans="1:18" s="16" customFormat="1" ht="15.75">
      <c r="A1744" s="14"/>
      <c r="B1744" s="117" t="s">
        <v>316</v>
      </c>
      <c r="C1744" s="118" t="s">
        <v>410</v>
      </c>
      <c r="D1744" s="119" t="s">
        <v>317</v>
      </c>
      <c r="E1744" s="119" t="s">
        <v>7</v>
      </c>
      <c r="F1744" s="119" t="s">
        <v>8</v>
      </c>
      <c r="G1744" s="119" t="s">
        <v>9</v>
      </c>
      <c r="H1744" s="120">
        <f>H1745</f>
        <v>0</v>
      </c>
      <c r="I1744" s="178" t="str">
        <f t="shared" si="217"/>
        <v>620100000 0 00 00000000</v>
      </c>
      <c r="L1744" s="18">
        <v>23485.78</v>
      </c>
      <c r="M1744" s="18">
        <v>23485.78</v>
      </c>
      <c r="N1744" s="18">
        <v>24399.690000000002</v>
      </c>
      <c r="O1744" s="18">
        <f t="shared" ref="O1744:O1750" si="223">H1744-L1744</f>
        <v>-23485.78</v>
      </c>
      <c r="P1744" s="18" t="e">
        <f>#REF!-M1744</f>
        <v>#REF!</v>
      </c>
      <c r="Q1744" s="18" t="e">
        <f>#REF!-N1744</f>
        <v>#REF!</v>
      </c>
      <c r="R1744" s="17" t="str">
        <f t="shared" si="221"/>
        <v>00 0 00 00000000</v>
      </c>
    </row>
    <row r="1745" spans="1:18" s="16" customFormat="1" ht="15.75">
      <c r="A1745" s="14"/>
      <c r="B1745" s="121" t="s">
        <v>318</v>
      </c>
      <c r="C1745" s="122" t="s">
        <v>410</v>
      </c>
      <c r="D1745" s="123">
        <v>10</v>
      </c>
      <c r="E1745" s="123" t="s">
        <v>13</v>
      </c>
      <c r="F1745" s="123" t="s">
        <v>8</v>
      </c>
      <c r="G1745" s="123" t="s">
        <v>9</v>
      </c>
      <c r="H1745" s="124">
        <f>H1746</f>
        <v>0</v>
      </c>
      <c r="I1745" s="178" t="str">
        <f t="shared" si="217"/>
        <v>620100300 0 00 00000000</v>
      </c>
      <c r="L1745" s="19">
        <v>23485.78</v>
      </c>
      <c r="M1745" s="19">
        <v>23485.78</v>
      </c>
      <c r="N1745" s="19">
        <v>24399.690000000002</v>
      </c>
      <c r="O1745" s="19">
        <f t="shared" si="223"/>
        <v>-23485.78</v>
      </c>
      <c r="P1745" s="19" t="e">
        <f>#REF!-M1745</f>
        <v>#REF!</v>
      </c>
      <c r="Q1745" s="19" t="e">
        <f>#REF!-N1745</f>
        <v>#REF!</v>
      </c>
      <c r="R1745" s="17" t="str">
        <f t="shared" si="221"/>
        <v>00 0 00 00000000</v>
      </c>
    </row>
    <row r="1746" spans="1:18" s="16" customFormat="1" ht="31.5">
      <c r="A1746" s="14"/>
      <c r="B1746" s="135" t="s">
        <v>385</v>
      </c>
      <c r="C1746" s="131" t="s">
        <v>410</v>
      </c>
      <c r="D1746" s="131">
        <v>10</v>
      </c>
      <c r="E1746" s="131" t="s">
        <v>13</v>
      </c>
      <c r="F1746" s="131" t="s">
        <v>386</v>
      </c>
      <c r="G1746" s="131" t="s">
        <v>9</v>
      </c>
      <c r="H1746" s="105">
        <f>H1747</f>
        <v>0</v>
      </c>
      <c r="I1746" s="178" t="str">
        <f t="shared" si="217"/>
        <v>620100303 0 00 00000000</v>
      </c>
      <c r="L1746" s="26">
        <v>23485.78</v>
      </c>
      <c r="M1746" s="26">
        <v>23485.78</v>
      </c>
      <c r="N1746" s="26">
        <v>24399.690000000002</v>
      </c>
      <c r="O1746" s="26">
        <f t="shared" si="223"/>
        <v>-23485.78</v>
      </c>
      <c r="P1746" s="26" t="e">
        <f>#REF!-M1746</f>
        <v>#REF!</v>
      </c>
      <c r="Q1746" s="26" t="e">
        <f>#REF!-N1746</f>
        <v>#REF!</v>
      </c>
      <c r="R1746" s="17" t="str">
        <f t="shared" si="221"/>
        <v>03 0 00 00000000</v>
      </c>
    </row>
    <row r="1747" spans="1:18" s="16" customFormat="1" ht="63">
      <c r="A1747" s="14"/>
      <c r="B1747" s="135" t="s">
        <v>387</v>
      </c>
      <c r="C1747" s="131" t="s">
        <v>410</v>
      </c>
      <c r="D1747" s="131">
        <v>10</v>
      </c>
      <c r="E1747" s="131" t="s">
        <v>13</v>
      </c>
      <c r="F1747" s="131" t="s">
        <v>388</v>
      </c>
      <c r="G1747" s="131" t="s">
        <v>9</v>
      </c>
      <c r="H1747" s="105">
        <f>H1748+H1752</f>
        <v>0</v>
      </c>
      <c r="I1747" s="178" t="str">
        <f t="shared" si="217"/>
        <v>620100303 2 00 00000000</v>
      </c>
      <c r="L1747" s="26">
        <v>23485.78</v>
      </c>
      <c r="M1747" s="26">
        <v>23485.78</v>
      </c>
      <c r="N1747" s="26">
        <v>24399.690000000002</v>
      </c>
      <c r="O1747" s="26">
        <f t="shared" si="223"/>
        <v>-23485.78</v>
      </c>
      <c r="P1747" s="26" t="e">
        <f>#REF!-M1747</f>
        <v>#REF!</v>
      </c>
      <c r="Q1747" s="26" t="e">
        <f>#REF!-N1747</f>
        <v>#REF!</v>
      </c>
      <c r="R1747" s="17" t="str">
        <f t="shared" si="221"/>
        <v>03 2 00 00000000</v>
      </c>
    </row>
    <row r="1748" spans="1:18" s="16" customFormat="1" ht="63">
      <c r="A1748" s="14"/>
      <c r="B1748" s="129" t="s">
        <v>902</v>
      </c>
      <c r="C1748" s="131" t="s">
        <v>410</v>
      </c>
      <c r="D1748" s="131">
        <v>10</v>
      </c>
      <c r="E1748" s="131" t="s">
        <v>13</v>
      </c>
      <c r="F1748" s="131" t="s">
        <v>903</v>
      </c>
      <c r="G1748" s="131" t="s">
        <v>9</v>
      </c>
      <c r="H1748" s="105">
        <f t="shared" ref="H1748:H1749" si="224">H1749</f>
        <v>0</v>
      </c>
      <c r="I1748" s="178" t="str">
        <f t="shared" si="217"/>
        <v>620100303 2 03 00000000</v>
      </c>
      <c r="L1748" s="26">
        <v>2109.2600000000002</v>
      </c>
      <c r="M1748" s="26">
        <v>2109.2600000000002</v>
      </c>
      <c r="N1748" s="26">
        <v>2109.2600000000002</v>
      </c>
      <c r="O1748" s="26">
        <f t="shared" si="223"/>
        <v>-2109.2600000000002</v>
      </c>
      <c r="P1748" s="26" t="e">
        <f>#REF!-M1748</f>
        <v>#REF!</v>
      </c>
      <c r="Q1748" s="26" t="e">
        <f>#REF!-N1748</f>
        <v>#REF!</v>
      </c>
      <c r="R1748" s="17" t="str">
        <f t="shared" si="221"/>
        <v>03 2 03 00000000</v>
      </c>
    </row>
    <row r="1749" spans="1:18" s="16" customFormat="1" ht="63">
      <c r="A1749" s="14"/>
      <c r="B1749" s="125" t="s">
        <v>904</v>
      </c>
      <c r="C1749" s="108" t="s">
        <v>410</v>
      </c>
      <c r="D1749" s="108">
        <v>10</v>
      </c>
      <c r="E1749" s="108" t="s">
        <v>13</v>
      </c>
      <c r="F1749" s="108" t="s">
        <v>905</v>
      </c>
      <c r="G1749" s="108" t="s">
        <v>9</v>
      </c>
      <c r="H1749" s="126">
        <f t="shared" si="224"/>
        <v>0</v>
      </c>
      <c r="I1749" s="178" t="str">
        <f t="shared" ref="I1749:I1812" si="225">C1749&amp;D1749&amp;E1749&amp;F1749&amp;G1749</f>
        <v>620100303 2 03 80020000</v>
      </c>
      <c r="L1749" s="20">
        <v>2109.2600000000002</v>
      </c>
      <c r="M1749" s="20">
        <v>2109.2600000000002</v>
      </c>
      <c r="N1749" s="20">
        <v>2109.2600000000002</v>
      </c>
      <c r="O1749" s="20">
        <f t="shared" si="223"/>
        <v>-2109.2600000000002</v>
      </c>
      <c r="P1749" s="20" t="e">
        <f>#REF!-M1749</f>
        <v>#REF!</v>
      </c>
      <c r="Q1749" s="20" t="e">
        <f>#REF!-N1749</f>
        <v>#REF!</v>
      </c>
      <c r="R1749" s="17" t="str">
        <f t="shared" si="221"/>
        <v>03 2 03 80020000</v>
      </c>
    </row>
    <row r="1750" spans="1:18" s="16" customFormat="1" ht="63">
      <c r="A1750" s="14"/>
      <c r="B1750" s="125" t="s">
        <v>203</v>
      </c>
      <c r="C1750" s="108" t="s">
        <v>410</v>
      </c>
      <c r="D1750" s="108">
        <v>10</v>
      </c>
      <c r="E1750" s="108" t="s">
        <v>13</v>
      </c>
      <c r="F1750" s="108" t="s">
        <v>905</v>
      </c>
      <c r="G1750" s="108" t="s">
        <v>204</v>
      </c>
      <c r="H1750" s="126">
        <f>H1751</f>
        <v>0</v>
      </c>
      <c r="I1750" s="178" t="str">
        <f t="shared" si="225"/>
        <v>620100303 2 03 80020810</v>
      </c>
      <c r="L1750" s="20">
        <v>2109.2600000000002</v>
      </c>
      <c r="M1750" s="20">
        <v>2109.2600000000002</v>
      </c>
      <c r="N1750" s="20">
        <v>2109.2600000000002</v>
      </c>
      <c r="O1750" s="20">
        <f t="shared" si="223"/>
        <v>-2109.2600000000002</v>
      </c>
      <c r="P1750" s="20" t="e">
        <f>#REF!-M1750</f>
        <v>#REF!</v>
      </c>
      <c r="Q1750" s="20" t="e">
        <f>#REF!-N1750</f>
        <v>#REF!</v>
      </c>
      <c r="R1750" s="17" t="str">
        <f t="shared" si="221"/>
        <v>03 2 03 80020810</v>
      </c>
    </row>
    <row r="1751" spans="1:18" s="16" customFormat="1" ht="63">
      <c r="A1751" s="14"/>
      <c r="B1751" s="125" t="s">
        <v>205</v>
      </c>
      <c r="C1751" s="108" t="s">
        <v>410</v>
      </c>
      <c r="D1751" s="108">
        <v>10</v>
      </c>
      <c r="E1751" s="108" t="s">
        <v>13</v>
      </c>
      <c r="F1751" s="108" t="s">
        <v>905</v>
      </c>
      <c r="G1751" s="108" t="s">
        <v>206</v>
      </c>
      <c r="H1751" s="126"/>
      <c r="I1751" s="178" t="str">
        <f t="shared" si="225"/>
        <v>620100303 2 03 80020811</v>
      </c>
      <c r="L1751" s="20"/>
      <c r="M1751" s="20"/>
      <c r="N1751" s="20"/>
      <c r="O1751" s="20"/>
      <c r="P1751" s="20"/>
      <c r="Q1751" s="20"/>
      <c r="R1751" s="17" t="str">
        <f t="shared" si="221"/>
        <v>03 2 03 80020811</v>
      </c>
    </row>
    <row r="1752" spans="1:18" s="16" customFormat="1" ht="78.75">
      <c r="A1752" s="14"/>
      <c r="B1752" s="129" t="s">
        <v>906</v>
      </c>
      <c r="C1752" s="131" t="s">
        <v>410</v>
      </c>
      <c r="D1752" s="131">
        <v>10</v>
      </c>
      <c r="E1752" s="131" t="s">
        <v>13</v>
      </c>
      <c r="F1752" s="131" t="s">
        <v>907</v>
      </c>
      <c r="G1752" s="131" t="s">
        <v>9</v>
      </c>
      <c r="H1752" s="105">
        <f t="shared" ref="H1752:H1753" si="226">H1753</f>
        <v>0</v>
      </c>
      <c r="I1752" s="178" t="str">
        <f t="shared" si="225"/>
        <v>620100303 2 04 00000000</v>
      </c>
      <c r="L1752" s="26">
        <v>21376.52</v>
      </c>
      <c r="M1752" s="26">
        <v>21376.52</v>
      </c>
      <c r="N1752" s="26">
        <v>22290.43</v>
      </c>
      <c r="O1752" s="26">
        <f>H1752-L1752</f>
        <v>-21376.52</v>
      </c>
      <c r="P1752" s="26" t="e">
        <f>#REF!-M1752</f>
        <v>#REF!</v>
      </c>
      <c r="Q1752" s="26" t="e">
        <f>#REF!-N1752</f>
        <v>#REF!</v>
      </c>
      <c r="R1752" s="17" t="str">
        <f t="shared" si="221"/>
        <v>03 2 04 00000000</v>
      </c>
    </row>
    <row r="1753" spans="1:18" s="16" customFormat="1" ht="63">
      <c r="A1753" s="14"/>
      <c r="B1753" s="125" t="s">
        <v>908</v>
      </c>
      <c r="C1753" s="108" t="s">
        <v>410</v>
      </c>
      <c r="D1753" s="108">
        <v>10</v>
      </c>
      <c r="E1753" s="108" t="s">
        <v>13</v>
      </c>
      <c r="F1753" s="108" t="s">
        <v>909</v>
      </c>
      <c r="G1753" s="108" t="s">
        <v>9</v>
      </c>
      <c r="H1753" s="126">
        <f t="shared" si="226"/>
        <v>0</v>
      </c>
      <c r="I1753" s="178" t="str">
        <f t="shared" si="225"/>
        <v>620100303 2 04 80220000</v>
      </c>
      <c r="L1753" s="20">
        <v>21376.52</v>
      </c>
      <c r="M1753" s="20">
        <v>21376.52</v>
      </c>
      <c r="N1753" s="20">
        <v>22290.43</v>
      </c>
      <c r="O1753" s="20">
        <f>H1753-L1753</f>
        <v>-21376.52</v>
      </c>
      <c r="P1753" s="20" t="e">
        <f>#REF!-M1753</f>
        <v>#REF!</v>
      </c>
      <c r="Q1753" s="20" t="e">
        <f>#REF!-N1753</f>
        <v>#REF!</v>
      </c>
      <c r="R1753" s="17" t="str">
        <f t="shared" si="221"/>
        <v>03 2 04 80220000</v>
      </c>
    </row>
    <row r="1754" spans="1:18" s="16" customFormat="1" ht="63">
      <c r="A1754" s="14"/>
      <c r="B1754" s="125" t="s">
        <v>203</v>
      </c>
      <c r="C1754" s="108" t="s">
        <v>410</v>
      </c>
      <c r="D1754" s="108">
        <v>10</v>
      </c>
      <c r="E1754" s="108" t="s">
        <v>13</v>
      </c>
      <c r="F1754" s="108" t="s">
        <v>909</v>
      </c>
      <c r="G1754" s="108" t="s">
        <v>204</v>
      </c>
      <c r="H1754" s="126">
        <f>H1755</f>
        <v>0</v>
      </c>
      <c r="I1754" s="178" t="str">
        <f t="shared" si="225"/>
        <v>620100303 2 04 80220810</v>
      </c>
      <c r="L1754" s="20">
        <v>21376.52</v>
      </c>
      <c r="M1754" s="20">
        <v>21376.52</v>
      </c>
      <c r="N1754" s="20">
        <v>22290.43</v>
      </c>
      <c r="O1754" s="20">
        <f>H1754-L1754</f>
        <v>-21376.52</v>
      </c>
      <c r="P1754" s="20" t="e">
        <f>#REF!-M1754</f>
        <v>#REF!</v>
      </c>
      <c r="Q1754" s="20" t="e">
        <f>#REF!-N1754</f>
        <v>#REF!</v>
      </c>
      <c r="R1754" s="17" t="str">
        <f t="shared" si="221"/>
        <v>03 2 04 80220810</v>
      </c>
    </row>
    <row r="1755" spans="1:18" s="16" customFormat="1" ht="110.25">
      <c r="A1755" s="14"/>
      <c r="B1755" s="125" t="s">
        <v>207</v>
      </c>
      <c r="C1755" s="108" t="s">
        <v>410</v>
      </c>
      <c r="D1755" s="108">
        <v>10</v>
      </c>
      <c r="E1755" s="108" t="s">
        <v>13</v>
      </c>
      <c r="F1755" s="108" t="s">
        <v>909</v>
      </c>
      <c r="G1755" s="108" t="s">
        <v>208</v>
      </c>
      <c r="H1755" s="126"/>
      <c r="I1755" s="178" t="str">
        <f t="shared" si="225"/>
        <v>620100303 2 04 80220812</v>
      </c>
      <c r="L1755" s="20"/>
      <c r="M1755" s="20"/>
      <c r="N1755" s="20"/>
      <c r="O1755" s="20"/>
      <c r="P1755" s="20"/>
      <c r="Q1755" s="20"/>
      <c r="R1755" s="17" t="str">
        <f t="shared" si="221"/>
        <v>03 2 04 80220812</v>
      </c>
    </row>
    <row r="1756" spans="1:18" s="16" customFormat="1" ht="15.75">
      <c r="A1756" s="14"/>
      <c r="B1756" s="132"/>
      <c r="C1756" s="131"/>
      <c r="D1756" s="131"/>
      <c r="E1756" s="131"/>
      <c r="F1756" s="131"/>
      <c r="G1756" s="131"/>
      <c r="H1756" s="105"/>
      <c r="I1756" s="178" t="str">
        <f t="shared" si="225"/>
        <v/>
      </c>
      <c r="L1756" s="26"/>
      <c r="M1756" s="26"/>
      <c r="N1756" s="26"/>
      <c r="O1756" s="26">
        <f t="shared" ref="O1756:O1763" si="227">H1756-L1756</f>
        <v>0</v>
      </c>
      <c r="P1756" s="26" t="e">
        <f>#REF!-M1756</f>
        <v>#REF!</v>
      </c>
      <c r="Q1756" s="26" t="e">
        <f>#REF!-N1756</f>
        <v>#REF!</v>
      </c>
      <c r="R1756" s="17" t="str">
        <f t="shared" si="221"/>
        <v/>
      </c>
    </row>
    <row r="1757" spans="1:18" s="16" customFormat="1" ht="31.5">
      <c r="A1757" s="14"/>
      <c r="B1757" s="67" t="s">
        <v>910</v>
      </c>
      <c r="C1757" s="116" t="s">
        <v>412</v>
      </c>
      <c r="D1757" s="69" t="s">
        <v>7</v>
      </c>
      <c r="E1757" s="69" t="s">
        <v>7</v>
      </c>
      <c r="F1757" s="69" t="s">
        <v>8</v>
      </c>
      <c r="G1757" s="69" t="s">
        <v>9</v>
      </c>
      <c r="H1757" s="70">
        <f>H1758+H1785+H1831+H1842+H1802+H1850</f>
        <v>0</v>
      </c>
      <c r="I1757" s="178" t="str">
        <f t="shared" si="225"/>
        <v>621000000 0 00 00000000</v>
      </c>
      <c r="L1757" s="25">
        <v>70127.8</v>
      </c>
      <c r="M1757" s="25">
        <v>89106.85</v>
      </c>
      <c r="N1757" s="25">
        <v>80479.070000000007</v>
      </c>
      <c r="O1757" s="25">
        <f t="shared" si="227"/>
        <v>-70127.8</v>
      </c>
      <c r="P1757" s="25" t="e">
        <f>#REF!-M1757</f>
        <v>#REF!</v>
      </c>
      <c r="Q1757" s="25" t="e">
        <f>#REF!-N1757</f>
        <v>#REF!</v>
      </c>
      <c r="R1757" s="17" t="str">
        <f t="shared" si="221"/>
        <v>00 0 00 00000000</v>
      </c>
    </row>
    <row r="1758" spans="1:18" s="16" customFormat="1" ht="15.75">
      <c r="A1758" s="14"/>
      <c r="B1758" s="117" t="s">
        <v>10</v>
      </c>
      <c r="C1758" s="118" t="s">
        <v>412</v>
      </c>
      <c r="D1758" s="119" t="s">
        <v>11</v>
      </c>
      <c r="E1758" s="119" t="s">
        <v>7</v>
      </c>
      <c r="F1758" s="119" t="s">
        <v>8</v>
      </c>
      <c r="G1758" s="119" t="s">
        <v>9</v>
      </c>
      <c r="H1758" s="120">
        <f>H1759</f>
        <v>0</v>
      </c>
      <c r="I1758" s="178" t="str">
        <f t="shared" si="225"/>
        <v>621010000 0 00 00000000</v>
      </c>
      <c r="L1758" s="18">
        <v>51015.950000000004</v>
      </c>
      <c r="M1758" s="18">
        <v>51015.950000000004</v>
      </c>
      <c r="N1758" s="18">
        <v>51015.950000000004</v>
      </c>
      <c r="O1758" s="18">
        <f t="shared" si="227"/>
        <v>-51015.950000000004</v>
      </c>
      <c r="P1758" s="18" t="e">
        <f>#REF!-M1758</f>
        <v>#REF!</v>
      </c>
      <c r="Q1758" s="18" t="e">
        <f>#REF!-N1758</f>
        <v>#REF!</v>
      </c>
      <c r="R1758" s="17" t="str">
        <f t="shared" si="221"/>
        <v>00 0 00 00000000</v>
      </c>
    </row>
    <row r="1759" spans="1:18" s="16" customFormat="1" ht="15.75">
      <c r="A1759" s="14"/>
      <c r="B1759" s="121" t="s">
        <v>50</v>
      </c>
      <c r="C1759" s="122" t="s">
        <v>412</v>
      </c>
      <c r="D1759" s="123" t="s">
        <v>11</v>
      </c>
      <c r="E1759" s="123" t="s">
        <v>51</v>
      </c>
      <c r="F1759" s="123" t="s">
        <v>8</v>
      </c>
      <c r="G1759" s="123" t="s">
        <v>9</v>
      </c>
      <c r="H1759" s="124">
        <f>H1760</f>
        <v>0</v>
      </c>
      <c r="I1759" s="178" t="str">
        <f t="shared" si="225"/>
        <v>621011300 0 00 00000000</v>
      </c>
      <c r="L1759" s="19">
        <v>51015.950000000004</v>
      </c>
      <c r="M1759" s="19">
        <v>51015.950000000004</v>
      </c>
      <c r="N1759" s="19">
        <v>51015.950000000004</v>
      </c>
      <c r="O1759" s="19">
        <f t="shared" si="227"/>
        <v>-51015.950000000004</v>
      </c>
      <c r="P1759" s="19" t="e">
        <f>#REF!-M1759</f>
        <v>#REF!</v>
      </c>
      <c r="Q1759" s="19" t="e">
        <f>#REF!-N1759</f>
        <v>#REF!</v>
      </c>
      <c r="R1759" s="17" t="str">
        <f t="shared" si="221"/>
        <v>00 0 00 00000000</v>
      </c>
    </row>
    <row r="1760" spans="1:18" s="16" customFormat="1" ht="31.5">
      <c r="A1760" s="14"/>
      <c r="B1760" s="164" t="s">
        <v>911</v>
      </c>
      <c r="C1760" s="109" t="s">
        <v>412</v>
      </c>
      <c r="D1760" s="108" t="s">
        <v>11</v>
      </c>
      <c r="E1760" s="108" t="s">
        <v>51</v>
      </c>
      <c r="F1760" s="108" t="s">
        <v>912</v>
      </c>
      <c r="G1760" s="108" t="s">
        <v>9</v>
      </c>
      <c r="H1760" s="126">
        <f>H1761+H1776</f>
        <v>0</v>
      </c>
      <c r="I1760" s="178" t="str">
        <f t="shared" si="225"/>
        <v>621011384 0 00 00000000</v>
      </c>
      <c r="L1760" s="20">
        <v>51015.950000000004</v>
      </c>
      <c r="M1760" s="20">
        <v>51015.950000000004</v>
      </c>
      <c r="N1760" s="20">
        <v>51015.950000000004</v>
      </c>
      <c r="O1760" s="20">
        <f t="shared" si="227"/>
        <v>-51015.950000000004</v>
      </c>
      <c r="P1760" s="20" t="e">
        <f>#REF!-M1760</f>
        <v>#REF!</v>
      </c>
      <c r="Q1760" s="20" t="e">
        <f>#REF!-N1760</f>
        <v>#REF!</v>
      </c>
      <c r="R1760" s="17" t="str">
        <f t="shared" si="221"/>
        <v>84 0 00 00000000</v>
      </c>
    </row>
    <row r="1761" spans="1:18" s="16" customFormat="1" ht="47.25">
      <c r="A1761" s="14"/>
      <c r="B1761" s="164" t="s">
        <v>913</v>
      </c>
      <c r="C1761" s="109" t="s">
        <v>412</v>
      </c>
      <c r="D1761" s="108" t="s">
        <v>11</v>
      </c>
      <c r="E1761" s="108" t="s">
        <v>51</v>
      </c>
      <c r="F1761" s="108" t="s">
        <v>914</v>
      </c>
      <c r="G1761" s="108" t="s">
        <v>9</v>
      </c>
      <c r="H1761" s="126">
        <f>H1762+H1772</f>
        <v>0</v>
      </c>
      <c r="I1761" s="178" t="str">
        <f t="shared" si="225"/>
        <v>621011384 1 00 00000000</v>
      </c>
      <c r="L1761" s="20">
        <v>46915.950000000004</v>
      </c>
      <c r="M1761" s="20">
        <v>46915.950000000004</v>
      </c>
      <c r="N1761" s="20">
        <v>46915.950000000004</v>
      </c>
      <c r="O1761" s="20">
        <f t="shared" si="227"/>
        <v>-46915.950000000004</v>
      </c>
      <c r="P1761" s="20" t="e">
        <f>#REF!-M1761</f>
        <v>#REF!</v>
      </c>
      <c r="Q1761" s="20" t="e">
        <f>#REF!-N1761</f>
        <v>#REF!</v>
      </c>
      <c r="R1761" s="17" t="str">
        <f t="shared" si="221"/>
        <v>84 1 00 00000000</v>
      </c>
    </row>
    <row r="1762" spans="1:18" s="16" customFormat="1" ht="31.5">
      <c r="A1762" s="14"/>
      <c r="B1762" s="164" t="s">
        <v>18</v>
      </c>
      <c r="C1762" s="109" t="s">
        <v>412</v>
      </c>
      <c r="D1762" s="108" t="s">
        <v>11</v>
      </c>
      <c r="E1762" s="108" t="s">
        <v>51</v>
      </c>
      <c r="F1762" s="108" t="s">
        <v>915</v>
      </c>
      <c r="G1762" s="108" t="s">
        <v>9</v>
      </c>
      <c r="H1762" s="126">
        <f>H1763+H1766+H1768</f>
        <v>0</v>
      </c>
      <c r="I1762" s="178" t="str">
        <f t="shared" si="225"/>
        <v>621011384 1 00 10010000</v>
      </c>
      <c r="L1762" s="20">
        <v>4084.58</v>
      </c>
      <c r="M1762" s="20">
        <v>4084.58</v>
      </c>
      <c r="N1762" s="20">
        <v>4084.58</v>
      </c>
      <c r="O1762" s="20">
        <f t="shared" si="227"/>
        <v>-4084.58</v>
      </c>
      <c r="P1762" s="20" t="e">
        <f>#REF!-M1762</f>
        <v>#REF!</v>
      </c>
      <c r="Q1762" s="20" t="e">
        <f>#REF!-N1762</f>
        <v>#REF!</v>
      </c>
      <c r="R1762" s="17" t="str">
        <f t="shared" si="221"/>
        <v>84 1 00 10010000</v>
      </c>
    </row>
    <row r="1763" spans="1:18" s="16" customFormat="1" ht="31.5">
      <c r="A1763" s="14"/>
      <c r="B1763" s="164" t="s">
        <v>20</v>
      </c>
      <c r="C1763" s="109" t="s">
        <v>412</v>
      </c>
      <c r="D1763" s="108" t="s">
        <v>11</v>
      </c>
      <c r="E1763" s="108" t="s">
        <v>51</v>
      </c>
      <c r="F1763" s="108" t="s">
        <v>915</v>
      </c>
      <c r="G1763" s="108" t="s">
        <v>21</v>
      </c>
      <c r="H1763" s="126">
        <f>SUM(H1764:H1765)</f>
        <v>0</v>
      </c>
      <c r="I1763" s="178" t="str">
        <f t="shared" si="225"/>
        <v>621011384 1 00 10010120</v>
      </c>
      <c r="L1763" s="20">
        <v>994.43</v>
      </c>
      <c r="M1763" s="20">
        <v>994.43</v>
      </c>
      <c r="N1763" s="20">
        <v>994.43</v>
      </c>
      <c r="O1763" s="20">
        <f t="shared" si="227"/>
        <v>-994.43</v>
      </c>
      <c r="P1763" s="20" t="e">
        <f>#REF!-M1763</f>
        <v>#REF!</v>
      </c>
      <c r="Q1763" s="20" t="e">
        <f>#REF!-N1763</f>
        <v>#REF!</v>
      </c>
      <c r="R1763" s="17" t="str">
        <f t="shared" si="221"/>
        <v>84 1 00 10010120</v>
      </c>
    </row>
    <row r="1764" spans="1:18" s="23" customFormat="1" ht="47.25">
      <c r="A1764" s="21"/>
      <c r="B1764" s="127" t="s">
        <v>22</v>
      </c>
      <c r="C1764" s="109" t="s">
        <v>412</v>
      </c>
      <c r="D1764" s="108" t="s">
        <v>11</v>
      </c>
      <c r="E1764" s="108" t="s">
        <v>51</v>
      </c>
      <c r="F1764" s="108" t="s">
        <v>915</v>
      </c>
      <c r="G1764" s="108" t="s">
        <v>23</v>
      </c>
      <c r="H1764" s="126"/>
      <c r="I1764" s="178" t="str">
        <f t="shared" si="225"/>
        <v>621011384 1 00 10010122</v>
      </c>
      <c r="L1764" s="22"/>
      <c r="M1764" s="22"/>
      <c r="N1764" s="22"/>
      <c r="O1764" s="22"/>
      <c r="P1764" s="22"/>
      <c r="Q1764" s="22"/>
      <c r="R1764" s="24"/>
    </row>
    <row r="1765" spans="1:18" s="23" customFormat="1" ht="63">
      <c r="A1765" s="21"/>
      <c r="B1765" s="127" t="s">
        <v>26</v>
      </c>
      <c r="C1765" s="109" t="s">
        <v>412</v>
      </c>
      <c r="D1765" s="108" t="s">
        <v>11</v>
      </c>
      <c r="E1765" s="108" t="s">
        <v>51</v>
      </c>
      <c r="F1765" s="108" t="s">
        <v>915</v>
      </c>
      <c r="G1765" s="108" t="s">
        <v>27</v>
      </c>
      <c r="H1765" s="126"/>
      <c r="I1765" s="178" t="str">
        <f t="shared" si="225"/>
        <v>621011384 1 00 10010129</v>
      </c>
      <c r="L1765" s="22"/>
      <c r="M1765" s="22"/>
      <c r="N1765" s="22"/>
      <c r="O1765" s="22"/>
      <c r="P1765" s="22"/>
      <c r="Q1765" s="22"/>
      <c r="R1765" s="24"/>
    </row>
    <row r="1766" spans="1:18" s="16" customFormat="1" ht="31.5">
      <c r="A1766" s="14"/>
      <c r="B1766" s="164" t="s">
        <v>28</v>
      </c>
      <c r="C1766" s="109" t="s">
        <v>412</v>
      </c>
      <c r="D1766" s="108" t="s">
        <v>11</v>
      </c>
      <c r="E1766" s="108" t="s">
        <v>51</v>
      </c>
      <c r="F1766" s="108" t="s">
        <v>915</v>
      </c>
      <c r="G1766" s="108" t="s">
        <v>29</v>
      </c>
      <c r="H1766" s="126">
        <f>H1767</f>
        <v>0</v>
      </c>
      <c r="I1766" s="178" t="str">
        <f t="shared" si="225"/>
        <v>621011384 1 00 10010240</v>
      </c>
      <c r="L1766" s="20">
        <v>2863.85</v>
      </c>
      <c r="M1766" s="20">
        <v>2863.85</v>
      </c>
      <c r="N1766" s="20">
        <v>2863.85</v>
      </c>
      <c r="O1766" s="20">
        <f>H1766-L1766</f>
        <v>-2863.85</v>
      </c>
      <c r="P1766" s="20" t="e">
        <f>#REF!-M1766</f>
        <v>#REF!</v>
      </c>
      <c r="Q1766" s="20" t="e">
        <f>#REF!-N1766</f>
        <v>#REF!</v>
      </c>
      <c r="R1766" s="17" t="str">
        <f t="shared" si="221"/>
        <v>84 1 00 10010240</v>
      </c>
    </row>
    <row r="1767" spans="1:18" s="16" customFormat="1" ht="15.75">
      <c r="A1767" s="14"/>
      <c r="B1767" s="125" t="s">
        <v>30</v>
      </c>
      <c r="C1767" s="109" t="s">
        <v>412</v>
      </c>
      <c r="D1767" s="108" t="s">
        <v>11</v>
      </c>
      <c r="E1767" s="108" t="s">
        <v>51</v>
      </c>
      <c r="F1767" s="108" t="s">
        <v>915</v>
      </c>
      <c r="G1767" s="108" t="s">
        <v>31</v>
      </c>
      <c r="H1767" s="126"/>
      <c r="I1767" s="178" t="str">
        <f t="shared" si="225"/>
        <v>621011384 1 00 10010244</v>
      </c>
      <c r="L1767" s="20"/>
      <c r="M1767" s="20"/>
      <c r="N1767" s="20"/>
      <c r="O1767" s="20"/>
      <c r="P1767" s="20"/>
      <c r="Q1767" s="20"/>
      <c r="R1767" s="17"/>
    </row>
    <row r="1768" spans="1:18" s="16" customFormat="1" ht="15.75">
      <c r="A1768" s="14"/>
      <c r="B1768" s="164" t="s">
        <v>32</v>
      </c>
      <c r="C1768" s="109" t="s">
        <v>412</v>
      </c>
      <c r="D1768" s="108" t="s">
        <v>11</v>
      </c>
      <c r="E1768" s="108" t="s">
        <v>51</v>
      </c>
      <c r="F1768" s="108" t="s">
        <v>915</v>
      </c>
      <c r="G1768" s="108" t="s">
        <v>33</v>
      </c>
      <c r="H1768" s="126">
        <f>SUM(H1769:H1771)</f>
        <v>0</v>
      </c>
      <c r="I1768" s="178" t="str">
        <f t="shared" si="225"/>
        <v>621011384 1 00 10010850</v>
      </c>
      <c r="L1768" s="20">
        <v>226.3</v>
      </c>
      <c r="M1768" s="20">
        <v>226.3</v>
      </c>
      <c r="N1768" s="20">
        <v>226.3</v>
      </c>
      <c r="O1768" s="20">
        <f>H1768-L1768</f>
        <v>-226.3</v>
      </c>
      <c r="P1768" s="20" t="e">
        <f>#REF!-M1768</f>
        <v>#REF!</v>
      </c>
      <c r="Q1768" s="20" t="e">
        <f>#REF!-N1768</f>
        <v>#REF!</v>
      </c>
      <c r="R1768" s="17" t="str">
        <f t="shared" si="221"/>
        <v>84 1 00 10010850</v>
      </c>
    </row>
    <row r="1769" spans="1:18" s="23" customFormat="1" ht="31.5">
      <c r="A1769" s="21"/>
      <c r="B1769" s="127" t="s">
        <v>34</v>
      </c>
      <c r="C1769" s="109" t="s">
        <v>412</v>
      </c>
      <c r="D1769" s="108" t="s">
        <v>11</v>
      </c>
      <c r="E1769" s="108" t="s">
        <v>51</v>
      </c>
      <c r="F1769" s="108" t="s">
        <v>915</v>
      </c>
      <c r="G1769" s="108" t="s">
        <v>35</v>
      </c>
      <c r="H1769" s="126"/>
      <c r="I1769" s="178" t="str">
        <f t="shared" si="225"/>
        <v>621011384 1 00 10010851</v>
      </c>
      <c r="L1769" s="22"/>
      <c r="M1769" s="22"/>
      <c r="N1769" s="22"/>
      <c r="O1769" s="22"/>
      <c r="P1769" s="22"/>
      <c r="Q1769" s="22"/>
      <c r="R1769" s="24"/>
    </row>
    <row r="1770" spans="1:18" s="23" customFormat="1" ht="15.75">
      <c r="A1770" s="21"/>
      <c r="B1770" s="127" t="s">
        <v>36</v>
      </c>
      <c r="C1770" s="109" t="s">
        <v>412</v>
      </c>
      <c r="D1770" s="108" t="s">
        <v>11</v>
      </c>
      <c r="E1770" s="108" t="s">
        <v>51</v>
      </c>
      <c r="F1770" s="108" t="s">
        <v>915</v>
      </c>
      <c r="G1770" s="108" t="s">
        <v>37</v>
      </c>
      <c r="H1770" s="126"/>
      <c r="I1770" s="178" t="str">
        <f t="shared" si="225"/>
        <v>621011384 1 00 10010852</v>
      </c>
      <c r="L1770" s="22"/>
      <c r="M1770" s="22"/>
      <c r="N1770" s="22"/>
      <c r="O1770" s="22"/>
      <c r="P1770" s="22"/>
      <c r="Q1770" s="22"/>
      <c r="R1770" s="24"/>
    </row>
    <row r="1771" spans="1:18" s="23" customFormat="1" ht="15.75">
      <c r="A1771" s="21"/>
      <c r="B1771" s="127" t="s">
        <v>77</v>
      </c>
      <c r="C1771" s="109" t="s">
        <v>412</v>
      </c>
      <c r="D1771" s="108" t="s">
        <v>11</v>
      </c>
      <c r="E1771" s="108" t="s">
        <v>51</v>
      </c>
      <c r="F1771" s="108" t="s">
        <v>915</v>
      </c>
      <c r="G1771" s="108" t="s">
        <v>78</v>
      </c>
      <c r="H1771" s="126"/>
      <c r="I1771" s="178" t="str">
        <f t="shared" si="225"/>
        <v>621011384 1 00 10010853</v>
      </c>
      <c r="L1771" s="22"/>
      <c r="M1771" s="22"/>
      <c r="N1771" s="22"/>
      <c r="O1771" s="22"/>
      <c r="P1771" s="22"/>
      <c r="Q1771" s="22"/>
      <c r="R1771" s="24"/>
    </row>
    <row r="1772" spans="1:18" s="16" customFormat="1" ht="31.5">
      <c r="A1772" s="14"/>
      <c r="B1772" s="164" t="s">
        <v>38</v>
      </c>
      <c r="C1772" s="109" t="s">
        <v>412</v>
      </c>
      <c r="D1772" s="108" t="s">
        <v>11</v>
      </c>
      <c r="E1772" s="108" t="s">
        <v>51</v>
      </c>
      <c r="F1772" s="108" t="s">
        <v>916</v>
      </c>
      <c r="G1772" s="108" t="s">
        <v>9</v>
      </c>
      <c r="H1772" s="126">
        <f>H1773</f>
        <v>0</v>
      </c>
      <c r="I1772" s="178" t="str">
        <f t="shared" si="225"/>
        <v>621011384 1 00 10020000</v>
      </c>
      <c r="L1772" s="20">
        <v>42831.37</v>
      </c>
      <c r="M1772" s="20">
        <v>42831.37</v>
      </c>
      <c r="N1772" s="20">
        <v>42831.37</v>
      </c>
      <c r="O1772" s="20">
        <f>H1772-L1772</f>
        <v>-42831.37</v>
      </c>
      <c r="P1772" s="20" t="e">
        <f>#REF!-M1772</f>
        <v>#REF!</v>
      </c>
      <c r="Q1772" s="20" t="e">
        <f>#REF!-N1772</f>
        <v>#REF!</v>
      </c>
      <c r="R1772" s="17" t="str">
        <f t="shared" si="221"/>
        <v>84 1 00 10020000</v>
      </c>
    </row>
    <row r="1773" spans="1:18" s="16" customFormat="1" ht="31.5">
      <c r="A1773" s="14"/>
      <c r="B1773" s="164" t="s">
        <v>20</v>
      </c>
      <c r="C1773" s="109" t="s">
        <v>412</v>
      </c>
      <c r="D1773" s="108" t="s">
        <v>11</v>
      </c>
      <c r="E1773" s="108" t="s">
        <v>51</v>
      </c>
      <c r="F1773" s="108" t="s">
        <v>916</v>
      </c>
      <c r="G1773" s="108" t="s">
        <v>21</v>
      </c>
      <c r="H1773" s="126">
        <f>SUM(H1774:H1775)</f>
        <v>0</v>
      </c>
      <c r="I1773" s="178" t="str">
        <f t="shared" si="225"/>
        <v>621011384 1 00 10020120</v>
      </c>
      <c r="L1773" s="20">
        <v>42831.37</v>
      </c>
      <c r="M1773" s="20">
        <v>42831.37</v>
      </c>
      <c r="N1773" s="20">
        <v>42831.37</v>
      </c>
      <c r="O1773" s="20">
        <f>H1773-L1773</f>
        <v>-42831.37</v>
      </c>
      <c r="P1773" s="20" t="e">
        <f>#REF!-M1773</f>
        <v>#REF!</v>
      </c>
      <c r="Q1773" s="20" t="e">
        <f>#REF!-N1773</f>
        <v>#REF!</v>
      </c>
      <c r="R1773" s="17" t="str">
        <f t="shared" si="221"/>
        <v>84 1 00 10020120</v>
      </c>
    </row>
    <row r="1774" spans="1:18" s="23" customFormat="1" ht="31.5">
      <c r="A1774" s="21"/>
      <c r="B1774" s="127" t="s">
        <v>40</v>
      </c>
      <c r="C1774" s="109" t="s">
        <v>412</v>
      </c>
      <c r="D1774" s="108" t="s">
        <v>11</v>
      </c>
      <c r="E1774" s="108" t="s">
        <v>51</v>
      </c>
      <c r="F1774" s="108" t="s">
        <v>916</v>
      </c>
      <c r="G1774" s="108" t="s">
        <v>41</v>
      </c>
      <c r="H1774" s="126"/>
      <c r="I1774" s="178" t="str">
        <f t="shared" si="225"/>
        <v>621011384 1 00 10020121</v>
      </c>
      <c r="L1774" s="22"/>
      <c r="M1774" s="22"/>
      <c r="N1774" s="22"/>
      <c r="O1774" s="22"/>
      <c r="P1774" s="22"/>
      <c r="Q1774" s="22"/>
      <c r="R1774" s="24"/>
    </row>
    <row r="1775" spans="1:18" s="23" customFormat="1" ht="63">
      <c r="A1775" s="21"/>
      <c r="B1775" s="127" t="s">
        <v>26</v>
      </c>
      <c r="C1775" s="109" t="s">
        <v>412</v>
      </c>
      <c r="D1775" s="108" t="s">
        <v>11</v>
      </c>
      <c r="E1775" s="108" t="s">
        <v>51</v>
      </c>
      <c r="F1775" s="108" t="s">
        <v>916</v>
      </c>
      <c r="G1775" s="108" t="s">
        <v>27</v>
      </c>
      <c r="H1775" s="126"/>
      <c r="I1775" s="178" t="str">
        <f t="shared" si="225"/>
        <v>621011384 1 00 10020129</v>
      </c>
      <c r="L1775" s="22"/>
      <c r="M1775" s="22"/>
      <c r="N1775" s="22"/>
      <c r="O1775" s="22"/>
      <c r="P1775" s="22"/>
      <c r="Q1775" s="22"/>
      <c r="R1775" s="24"/>
    </row>
    <row r="1776" spans="1:18" s="16" customFormat="1" ht="15.75">
      <c r="A1776" s="14"/>
      <c r="B1776" s="164" t="s">
        <v>52</v>
      </c>
      <c r="C1776" s="109" t="s">
        <v>412</v>
      </c>
      <c r="D1776" s="108" t="s">
        <v>11</v>
      </c>
      <c r="E1776" s="108" t="s">
        <v>51</v>
      </c>
      <c r="F1776" s="108" t="s">
        <v>917</v>
      </c>
      <c r="G1776" s="108" t="s">
        <v>9</v>
      </c>
      <c r="H1776" s="126">
        <f>H1782+H1777</f>
        <v>0</v>
      </c>
      <c r="I1776" s="178" t="str">
        <f t="shared" si="225"/>
        <v>621011384 2 00 00000000</v>
      </c>
      <c r="L1776" s="20">
        <v>4100</v>
      </c>
      <c r="M1776" s="20">
        <v>4100</v>
      </c>
      <c r="N1776" s="20">
        <v>4100</v>
      </c>
      <c r="O1776" s="20">
        <f>H1776-L1776</f>
        <v>-4100</v>
      </c>
      <c r="P1776" s="20" t="e">
        <f>#REF!-M1776</f>
        <v>#REF!</v>
      </c>
      <c r="Q1776" s="20" t="e">
        <f>#REF!-N1776</f>
        <v>#REF!</v>
      </c>
      <c r="R1776" s="17" t="str">
        <f t="shared" si="221"/>
        <v>84 2 00 00000000</v>
      </c>
    </row>
    <row r="1777" spans="1:18" s="16" customFormat="1" ht="47.25">
      <c r="A1777" s="14"/>
      <c r="B1777" s="164" t="s">
        <v>918</v>
      </c>
      <c r="C1777" s="109" t="s">
        <v>412</v>
      </c>
      <c r="D1777" s="108" t="s">
        <v>11</v>
      </c>
      <c r="E1777" s="108" t="s">
        <v>51</v>
      </c>
      <c r="F1777" s="108" t="s">
        <v>919</v>
      </c>
      <c r="G1777" s="108" t="s">
        <v>9</v>
      </c>
      <c r="H1777" s="126">
        <f>H1778+H1780</f>
        <v>0</v>
      </c>
      <c r="I1777" s="178" t="str">
        <f t="shared" si="225"/>
        <v>621011384 2 00 20740000</v>
      </c>
      <c r="L1777" s="20">
        <v>600</v>
      </c>
      <c r="M1777" s="20">
        <v>600</v>
      </c>
      <c r="N1777" s="20">
        <v>600</v>
      </c>
      <c r="O1777" s="20">
        <f>H1777-L1777</f>
        <v>-600</v>
      </c>
      <c r="P1777" s="20" t="e">
        <f>#REF!-M1777</f>
        <v>#REF!</v>
      </c>
      <c r="Q1777" s="20" t="e">
        <f>#REF!-N1777</f>
        <v>#REF!</v>
      </c>
      <c r="R1777" s="17" t="str">
        <f t="shared" si="221"/>
        <v>84 2 00 20740000</v>
      </c>
    </row>
    <row r="1778" spans="1:18" s="16" customFormat="1" ht="31.5">
      <c r="A1778" s="14"/>
      <c r="B1778" s="125" t="s">
        <v>28</v>
      </c>
      <c r="C1778" s="109" t="s">
        <v>412</v>
      </c>
      <c r="D1778" s="108" t="s">
        <v>11</v>
      </c>
      <c r="E1778" s="108" t="s">
        <v>51</v>
      </c>
      <c r="F1778" s="108" t="s">
        <v>919</v>
      </c>
      <c r="G1778" s="108" t="s">
        <v>29</v>
      </c>
      <c r="H1778" s="126">
        <f>H1779</f>
        <v>0</v>
      </c>
      <c r="I1778" s="178" t="str">
        <f t="shared" si="225"/>
        <v>621011384 2 00 20740240</v>
      </c>
      <c r="L1778" s="20">
        <v>150</v>
      </c>
      <c r="M1778" s="20">
        <v>150</v>
      </c>
      <c r="N1778" s="20">
        <v>150</v>
      </c>
      <c r="O1778" s="20">
        <f>H1778-L1778</f>
        <v>-150</v>
      </c>
      <c r="P1778" s="20" t="e">
        <f>#REF!-M1778</f>
        <v>#REF!</v>
      </c>
      <c r="Q1778" s="20" t="e">
        <f>#REF!-N1778</f>
        <v>#REF!</v>
      </c>
      <c r="R1778" s="17" t="str">
        <f t="shared" si="221"/>
        <v>84 2 00 20740240</v>
      </c>
    </row>
    <row r="1779" spans="1:18" s="16" customFormat="1" ht="15.75">
      <c r="A1779" s="14"/>
      <c r="B1779" s="125" t="s">
        <v>30</v>
      </c>
      <c r="C1779" s="109" t="s">
        <v>412</v>
      </c>
      <c r="D1779" s="108" t="s">
        <v>11</v>
      </c>
      <c r="E1779" s="108" t="s">
        <v>51</v>
      </c>
      <c r="F1779" s="108" t="s">
        <v>919</v>
      </c>
      <c r="G1779" s="108" t="s">
        <v>31</v>
      </c>
      <c r="H1779" s="126"/>
      <c r="I1779" s="178" t="str">
        <f t="shared" si="225"/>
        <v>621011384 2 00 20740244</v>
      </c>
      <c r="L1779" s="20"/>
      <c r="M1779" s="20"/>
      <c r="N1779" s="20"/>
      <c r="O1779" s="20"/>
      <c r="P1779" s="20"/>
      <c r="Q1779" s="20"/>
      <c r="R1779" s="17"/>
    </row>
    <row r="1780" spans="1:18" s="16" customFormat="1" ht="15.75">
      <c r="A1780" s="14"/>
      <c r="B1780" s="132" t="s">
        <v>189</v>
      </c>
      <c r="C1780" s="109" t="s">
        <v>412</v>
      </c>
      <c r="D1780" s="108" t="s">
        <v>11</v>
      </c>
      <c r="E1780" s="108" t="s">
        <v>51</v>
      </c>
      <c r="F1780" s="108" t="s">
        <v>919</v>
      </c>
      <c r="G1780" s="108" t="s">
        <v>190</v>
      </c>
      <c r="H1780" s="126">
        <f>H1781</f>
        <v>0</v>
      </c>
      <c r="I1780" s="178" t="str">
        <f t="shared" si="225"/>
        <v>621011384 2 00 20740830</v>
      </c>
      <c r="L1780" s="20">
        <v>450</v>
      </c>
      <c r="M1780" s="20">
        <v>450</v>
      </c>
      <c r="N1780" s="20">
        <v>450</v>
      </c>
      <c r="O1780" s="20">
        <f>H1780-L1780</f>
        <v>-450</v>
      </c>
      <c r="P1780" s="20" t="e">
        <f>#REF!-M1780</f>
        <v>#REF!</v>
      </c>
      <c r="Q1780" s="20" t="e">
        <f>#REF!-N1780</f>
        <v>#REF!</v>
      </c>
      <c r="R1780" s="17" t="str">
        <f t="shared" si="221"/>
        <v>84 2 00 20740830</v>
      </c>
    </row>
    <row r="1781" spans="1:18" s="16" customFormat="1" ht="47.25">
      <c r="A1781" s="14"/>
      <c r="B1781" s="127" t="s">
        <v>191</v>
      </c>
      <c r="C1781" s="109" t="s">
        <v>412</v>
      </c>
      <c r="D1781" s="108" t="s">
        <v>11</v>
      </c>
      <c r="E1781" s="108" t="s">
        <v>51</v>
      </c>
      <c r="F1781" s="108" t="s">
        <v>919</v>
      </c>
      <c r="G1781" s="108" t="s">
        <v>192</v>
      </c>
      <c r="H1781" s="126"/>
      <c r="I1781" s="178" t="str">
        <f t="shared" si="225"/>
        <v>621011384 2 00 20740831</v>
      </c>
      <c r="L1781" s="20"/>
      <c r="M1781" s="20"/>
      <c r="N1781" s="20"/>
      <c r="O1781" s="20"/>
      <c r="P1781" s="20"/>
      <c r="Q1781" s="20"/>
      <c r="R1781" s="17"/>
    </row>
    <row r="1782" spans="1:18" s="16" customFormat="1" ht="47.25">
      <c r="A1782" s="14"/>
      <c r="B1782" s="132" t="s">
        <v>920</v>
      </c>
      <c r="C1782" s="109" t="s">
        <v>412</v>
      </c>
      <c r="D1782" s="108" t="s">
        <v>11</v>
      </c>
      <c r="E1782" s="108" t="s">
        <v>51</v>
      </c>
      <c r="F1782" s="108" t="s">
        <v>921</v>
      </c>
      <c r="G1782" s="108" t="s">
        <v>9</v>
      </c>
      <c r="H1782" s="126">
        <f>H1783</f>
        <v>0</v>
      </c>
      <c r="I1782" s="178" t="str">
        <f t="shared" si="225"/>
        <v>621011384 2 00 21100000</v>
      </c>
      <c r="L1782" s="20">
        <v>3500</v>
      </c>
      <c r="M1782" s="20">
        <v>3500</v>
      </c>
      <c r="N1782" s="20">
        <v>3500</v>
      </c>
      <c r="O1782" s="20">
        <f>H1782-L1782</f>
        <v>-3500</v>
      </c>
      <c r="P1782" s="20" t="e">
        <f>#REF!-M1782</f>
        <v>#REF!</v>
      </c>
      <c r="Q1782" s="20" t="e">
        <f>#REF!-N1782</f>
        <v>#REF!</v>
      </c>
      <c r="R1782" s="17" t="str">
        <f t="shared" si="221"/>
        <v>84 2 00 21100000</v>
      </c>
    </row>
    <row r="1783" spans="1:18" s="16" customFormat="1" ht="31.5">
      <c r="A1783" s="14"/>
      <c r="B1783" s="125" t="s">
        <v>28</v>
      </c>
      <c r="C1783" s="109" t="s">
        <v>412</v>
      </c>
      <c r="D1783" s="108" t="s">
        <v>11</v>
      </c>
      <c r="E1783" s="108" t="s">
        <v>51</v>
      </c>
      <c r="F1783" s="108" t="s">
        <v>921</v>
      </c>
      <c r="G1783" s="108" t="s">
        <v>29</v>
      </c>
      <c r="H1783" s="126">
        <f>H1784</f>
        <v>0</v>
      </c>
      <c r="I1783" s="178" t="str">
        <f t="shared" si="225"/>
        <v>621011384 2 00 21100240</v>
      </c>
      <c r="L1783" s="20">
        <v>3500</v>
      </c>
      <c r="M1783" s="20">
        <v>3500</v>
      </c>
      <c r="N1783" s="20">
        <v>3500</v>
      </c>
      <c r="O1783" s="20">
        <f>H1783-L1783</f>
        <v>-3500</v>
      </c>
      <c r="P1783" s="20" t="e">
        <f>#REF!-M1783</f>
        <v>#REF!</v>
      </c>
      <c r="Q1783" s="20" t="e">
        <f>#REF!-N1783</f>
        <v>#REF!</v>
      </c>
      <c r="R1783" s="17" t="str">
        <f t="shared" si="221"/>
        <v>84 2 00 21100240</v>
      </c>
    </row>
    <row r="1784" spans="1:18" s="16" customFormat="1" ht="15.75">
      <c r="A1784" s="14"/>
      <c r="B1784" s="125" t="s">
        <v>30</v>
      </c>
      <c r="C1784" s="109" t="s">
        <v>412</v>
      </c>
      <c r="D1784" s="108" t="s">
        <v>11</v>
      </c>
      <c r="E1784" s="108" t="s">
        <v>51</v>
      </c>
      <c r="F1784" s="108" t="s">
        <v>921</v>
      </c>
      <c r="G1784" s="108" t="s">
        <v>31</v>
      </c>
      <c r="H1784" s="126"/>
      <c r="I1784" s="178" t="str">
        <f t="shared" si="225"/>
        <v>621011384 2 00 21100244</v>
      </c>
      <c r="L1784" s="20"/>
      <c r="M1784" s="20"/>
      <c r="N1784" s="20"/>
      <c r="O1784" s="20"/>
      <c r="P1784" s="20"/>
      <c r="Q1784" s="20"/>
      <c r="R1784" s="17"/>
    </row>
    <row r="1785" spans="1:18" s="16" customFormat="1" ht="15.75">
      <c r="A1785" s="14"/>
      <c r="B1785" s="117" t="s">
        <v>195</v>
      </c>
      <c r="C1785" s="118" t="s">
        <v>412</v>
      </c>
      <c r="D1785" s="119" t="s">
        <v>73</v>
      </c>
      <c r="E1785" s="119" t="s">
        <v>7</v>
      </c>
      <c r="F1785" s="119" t="s">
        <v>8</v>
      </c>
      <c r="G1785" s="119" t="s">
        <v>9</v>
      </c>
      <c r="H1785" s="120">
        <f>H1786</f>
        <v>0</v>
      </c>
      <c r="I1785" s="178" t="str">
        <f t="shared" si="225"/>
        <v>621040000 0 00 00000000</v>
      </c>
      <c r="L1785" s="18">
        <v>4903</v>
      </c>
      <c r="M1785" s="18">
        <v>9588.2999999999993</v>
      </c>
      <c r="N1785" s="18">
        <v>9588.2999999999993</v>
      </c>
      <c r="O1785" s="18">
        <f t="shared" ref="O1785:O1791" si="228">H1785-L1785</f>
        <v>-4903</v>
      </c>
      <c r="P1785" s="18" t="e">
        <f>#REF!-M1785</f>
        <v>#REF!</v>
      </c>
      <c r="Q1785" s="18" t="e">
        <f>#REF!-N1785</f>
        <v>#REF!</v>
      </c>
      <c r="R1785" s="17" t="str">
        <f t="shared" si="221"/>
        <v>00 0 00 00000000</v>
      </c>
    </row>
    <row r="1786" spans="1:18" s="16" customFormat="1" ht="15.75">
      <c r="A1786" s="14"/>
      <c r="B1786" s="121" t="s">
        <v>284</v>
      </c>
      <c r="C1786" s="122" t="s">
        <v>412</v>
      </c>
      <c r="D1786" s="123" t="s">
        <v>73</v>
      </c>
      <c r="E1786" s="123" t="s">
        <v>57</v>
      </c>
      <c r="F1786" s="123" t="s">
        <v>8</v>
      </c>
      <c r="G1786" s="123" t="s">
        <v>9</v>
      </c>
      <c r="H1786" s="124">
        <f>H1787+H1797</f>
        <v>0</v>
      </c>
      <c r="I1786" s="178" t="str">
        <f t="shared" si="225"/>
        <v>621041200 0 00 00000000</v>
      </c>
      <c r="L1786" s="19">
        <v>4903</v>
      </c>
      <c r="M1786" s="19">
        <v>9588.2999999999993</v>
      </c>
      <c r="N1786" s="19">
        <v>9588.2999999999993</v>
      </c>
      <c r="O1786" s="19">
        <f t="shared" si="228"/>
        <v>-4903</v>
      </c>
      <c r="P1786" s="19" t="e">
        <f>#REF!-M1786</f>
        <v>#REF!</v>
      </c>
      <c r="Q1786" s="19" t="e">
        <f>#REF!-N1786</f>
        <v>#REF!</v>
      </c>
      <c r="R1786" s="17" t="str">
        <f t="shared" si="221"/>
        <v>00 0 00 00000000</v>
      </c>
    </row>
    <row r="1787" spans="1:18" s="16" customFormat="1" ht="31.5">
      <c r="A1787" s="14"/>
      <c r="B1787" s="125" t="s">
        <v>922</v>
      </c>
      <c r="C1787" s="109" t="s">
        <v>412</v>
      </c>
      <c r="D1787" s="109" t="s">
        <v>73</v>
      </c>
      <c r="E1787" s="109" t="s">
        <v>57</v>
      </c>
      <c r="F1787" s="109" t="s">
        <v>923</v>
      </c>
      <c r="G1787" s="109" t="s">
        <v>9</v>
      </c>
      <c r="H1787" s="141">
        <f>H1788</f>
        <v>0</v>
      </c>
      <c r="I1787" s="178" t="str">
        <f t="shared" si="225"/>
        <v>621041205 0 00 00000000</v>
      </c>
      <c r="L1787" s="32">
        <v>4803</v>
      </c>
      <c r="M1787" s="32">
        <v>9488.2999999999993</v>
      </c>
      <c r="N1787" s="32">
        <v>9488.2999999999993</v>
      </c>
      <c r="O1787" s="32">
        <f t="shared" si="228"/>
        <v>-4803</v>
      </c>
      <c r="P1787" s="32" t="e">
        <f>#REF!-M1787</f>
        <v>#REF!</v>
      </c>
      <c r="Q1787" s="32" t="e">
        <f>#REF!-N1787</f>
        <v>#REF!</v>
      </c>
      <c r="R1787" s="17" t="str">
        <f t="shared" si="221"/>
        <v>05 0 00 00000000</v>
      </c>
    </row>
    <row r="1788" spans="1:18" s="16" customFormat="1" ht="47.25">
      <c r="A1788" s="14"/>
      <c r="B1788" s="125" t="s">
        <v>924</v>
      </c>
      <c r="C1788" s="109" t="s">
        <v>412</v>
      </c>
      <c r="D1788" s="109" t="s">
        <v>73</v>
      </c>
      <c r="E1788" s="109" t="s">
        <v>57</v>
      </c>
      <c r="F1788" s="109" t="s">
        <v>925</v>
      </c>
      <c r="G1788" s="109" t="s">
        <v>9</v>
      </c>
      <c r="H1788" s="141">
        <f>H1789+H1793</f>
        <v>0</v>
      </c>
      <c r="I1788" s="178" t="str">
        <f t="shared" si="225"/>
        <v>621041205 Б 00 00000000</v>
      </c>
      <c r="L1788" s="32">
        <v>4803</v>
      </c>
      <c r="M1788" s="32">
        <v>9488.2999999999993</v>
      </c>
      <c r="N1788" s="32">
        <v>9488.2999999999993</v>
      </c>
      <c r="O1788" s="32">
        <f t="shared" si="228"/>
        <v>-4803</v>
      </c>
      <c r="P1788" s="32" t="e">
        <f>#REF!-M1788</f>
        <v>#REF!</v>
      </c>
      <c r="Q1788" s="32" t="e">
        <f>#REF!-N1788</f>
        <v>#REF!</v>
      </c>
      <c r="R1788" s="17" t="str">
        <f t="shared" si="221"/>
        <v>05 Б 00 00000000</v>
      </c>
    </row>
    <row r="1789" spans="1:18" s="16" customFormat="1" ht="78.75">
      <c r="A1789" s="14"/>
      <c r="B1789" s="125" t="s">
        <v>926</v>
      </c>
      <c r="C1789" s="109" t="s">
        <v>412</v>
      </c>
      <c r="D1789" s="109" t="s">
        <v>73</v>
      </c>
      <c r="E1789" s="109" t="s">
        <v>57</v>
      </c>
      <c r="F1789" s="109" t="s">
        <v>927</v>
      </c>
      <c r="G1789" s="109" t="s">
        <v>9</v>
      </c>
      <c r="H1789" s="141">
        <f t="shared" ref="H1789:H1790" si="229">H1790</f>
        <v>0</v>
      </c>
      <c r="I1789" s="178" t="str">
        <f t="shared" si="225"/>
        <v>621041205 Б 01 00000000</v>
      </c>
      <c r="L1789" s="32">
        <v>4403</v>
      </c>
      <c r="M1789" s="32">
        <v>9488.2999999999993</v>
      </c>
      <c r="N1789" s="32">
        <v>9488.2999999999993</v>
      </c>
      <c r="O1789" s="32">
        <f t="shared" si="228"/>
        <v>-4403</v>
      </c>
      <c r="P1789" s="32" t="e">
        <f>#REF!-M1789</f>
        <v>#REF!</v>
      </c>
      <c r="Q1789" s="32" t="e">
        <f>#REF!-N1789</f>
        <v>#REF!</v>
      </c>
      <c r="R1789" s="17" t="str">
        <f t="shared" si="221"/>
        <v>05 Б 01 00000000</v>
      </c>
    </row>
    <row r="1790" spans="1:18" s="16" customFormat="1" ht="31.5">
      <c r="A1790" s="14"/>
      <c r="B1790" s="127" t="s">
        <v>928</v>
      </c>
      <c r="C1790" s="109" t="s">
        <v>412</v>
      </c>
      <c r="D1790" s="109" t="s">
        <v>73</v>
      </c>
      <c r="E1790" s="109" t="s">
        <v>57</v>
      </c>
      <c r="F1790" s="109" t="s">
        <v>929</v>
      </c>
      <c r="G1790" s="109" t="s">
        <v>9</v>
      </c>
      <c r="H1790" s="141">
        <f t="shared" si="229"/>
        <v>0</v>
      </c>
      <c r="I1790" s="178" t="str">
        <f t="shared" si="225"/>
        <v>621041205 Б 01 20390000</v>
      </c>
      <c r="L1790" s="32">
        <v>4403</v>
      </c>
      <c r="M1790" s="32">
        <v>9488.2999999999993</v>
      </c>
      <c r="N1790" s="32">
        <v>9488.2999999999993</v>
      </c>
      <c r="O1790" s="32">
        <f t="shared" si="228"/>
        <v>-4403</v>
      </c>
      <c r="P1790" s="32" t="e">
        <f>#REF!-M1790</f>
        <v>#REF!</v>
      </c>
      <c r="Q1790" s="32" t="e">
        <f>#REF!-N1790</f>
        <v>#REF!</v>
      </c>
      <c r="R1790" s="17" t="str">
        <f t="shared" si="221"/>
        <v>05 Б 01 20390000</v>
      </c>
    </row>
    <row r="1791" spans="1:18" s="16" customFormat="1" ht="31.5">
      <c r="A1791" s="14"/>
      <c r="B1791" s="125" t="s">
        <v>28</v>
      </c>
      <c r="C1791" s="109" t="s">
        <v>412</v>
      </c>
      <c r="D1791" s="109" t="s">
        <v>73</v>
      </c>
      <c r="E1791" s="109" t="s">
        <v>57</v>
      </c>
      <c r="F1791" s="109" t="s">
        <v>929</v>
      </c>
      <c r="G1791" s="109" t="s">
        <v>29</v>
      </c>
      <c r="H1791" s="126">
        <f>H1792</f>
        <v>0</v>
      </c>
      <c r="I1791" s="178" t="str">
        <f t="shared" si="225"/>
        <v>621041205 Б 01 20390240</v>
      </c>
      <c r="L1791" s="32">
        <v>4403</v>
      </c>
      <c r="M1791" s="32">
        <v>9488.2999999999993</v>
      </c>
      <c r="N1791" s="32">
        <v>9488.2999999999993</v>
      </c>
      <c r="O1791" s="32">
        <f t="shared" si="228"/>
        <v>-4403</v>
      </c>
      <c r="P1791" s="32" t="e">
        <f>#REF!-M1791</f>
        <v>#REF!</v>
      </c>
      <c r="Q1791" s="32" t="e">
        <f>#REF!-N1791</f>
        <v>#REF!</v>
      </c>
      <c r="R1791" s="17" t="str">
        <f t="shared" si="221"/>
        <v>05 Б 01 20390240</v>
      </c>
    </row>
    <row r="1792" spans="1:18" s="16" customFormat="1" ht="15.75">
      <c r="A1792" s="14"/>
      <c r="B1792" s="125" t="s">
        <v>30</v>
      </c>
      <c r="C1792" s="109" t="s">
        <v>412</v>
      </c>
      <c r="D1792" s="109" t="s">
        <v>73</v>
      </c>
      <c r="E1792" s="109" t="s">
        <v>57</v>
      </c>
      <c r="F1792" s="109" t="s">
        <v>929</v>
      </c>
      <c r="G1792" s="109" t="s">
        <v>31</v>
      </c>
      <c r="H1792" s="126"/>
      <c r="I1792" s="178" t="str">
        <f t="shared" si="225"/>
        <v>621041205 Б 01 20390244</v>
      </c>
      <c r="L1792" s="32"/>
      <c r="M1792" s="32"/>
      <c r="N1792" s="32"/>
      <c r="O1792" s="32"/>
      <c r="P1792" s="32"/>
      <c r="Q1792" s="32"/>
      <c r="R1792" s="17"/>
    </row>
    <row r="1793" spans="1:18" s="16" customFormat="1" ht="78.75">
      <c r="A1793" s="14"/>
      <c r="B1793" s="125" t="s">
        <v>930</v>
      </c>
      <c r="C1793" s="109" t="s">
        <v>412</v>
      </c>
      <c r="D1793" s="109" t="s">
        <v>73</v>
      </c>
      <c r="E1793" s="109" t="s">
        <v>57</v>
      </c>
      <c r="F1793" s="109" t="s">
        <v>931</v>
      </c>
      <c r="G1793" s="109" t="s">
        <v>9</v>
      </c>
      <c r="H1793" s="141">
        <f t="shared" ref="H1793:H1794" si="230">H1794</f>
        <v>0</v>
      </c>
      <c r="I1793" s="178" t="str">
        <f t="shared" si="225"/>
        <v>621041205 Б 02 00000000</v>
      </c>
      <c r="L1793" s="32">
        <v>400</v>
      </c>
      <c r="M1793" s="32">
        <v>0</v>
      </c>
      <c r="N1793" s="32">
        <v>0</v>
      </c>
      <c r="O1793" s="32">
        <f>H1793-L1793</f>
        <v>-400</v>
      </c>
      <c r="P1793" s="32" t="e">
        <f>#REF!-M1793</f>
        <v>#REF!</v>
      </c>
      <c r="Q1793" s="32" t="e">
        <f>#REF!-N1793</f>
        <v>#REF!</v>
      </c>
      <c r="R1793" s="17" t="str">
        <f t="shared" si="221"/>
        <v>05 Б 02 00000000</v>
      </c>
    </row>
    <row r="1794" spans="1:18" s="16" customFormat="1" ht="31.5">
      <c r="A1794" s="14"/>
      <c r="B1794" s="125" t="s">
        <v>932</v>
      </c>
      <c r="C1794" s="109" t="s">
        <v>412</v>
      </c>
      <c r="D1794" s="109" t="s">
        <v>73</v>
      </c>
      <c r="E1794" s="109" t="s">
        <v>57</v>
      </c>
      <c r="F1794" s="109" t="s">
        <v>933</v>
      </c>
      <c r="G1794" s="109" t="s">
        <v>9</v>
      </c>
      <c r="H1794" s="141">
        <f t="shared" si="230"/>
        <v>0</v>
      </c>
      <c r="I1794" s="178" t="str">
        <f t="shared" si="225"/>
        <v>621041205 Б 02 21190000</v>
      </c>
      <c r="L1794" s="32">
        <v>400</v>
      </c>
      <c r="M1794" s="32">
        <v>0</v>
      </c>
      <c r="N1794" s="32">
        <v>0</v>
      </c>
      <c r="O1794" s="32">
        <f>H1794-L1794</f>
        <v>-400</v>
      </c>
      <c r="P1794" s="32" t="e">
        <f>#REF!-M1794</f>
        <v>#REF!</v>
      </c>
      <c r="Q1794" s="32" t="e">
        <f>#REF!-N1794</f>
        <v>#REF!</v>
      </c>
      <c r="R1794" s="17" t="str">
        <f t="shared" si="221"/>
        <v>05 Б 02 21190000</v>
      </c>
    </row>
    <row r="1795" spans="1:18" s="16" customFormat="1" ht="31.5">
      <c r="A1795" s="14"/>
      <c r="B1795" s="125" t="s">
        <v>28</v>
      </c>
      <c r="C1795" s="109" t="s">
        <v>412</v>
      </c>
      <c r="D1795" s="109" t="s">
        <v>73</v>
      </c>
      <c r="E1795" s="109" t="s">
        <v>57</v>
      </c>
      <c r="F1795" s="109" t="s">
        <v>933</v>
      </c>
      <c r="G1795" s="109" t="s">
        <v>29</v>
      </c>
      <c r="H1795" s="126">
        <f>H1796</f>
        <v>0</v>
      </c>
      <c r="I1795" s="178" t="str">
        <f t="shared" si="225"/>
        <v>621041205 Б 02 21190240</v>
      </c>
      <c r="L1795" s="32">
        <v>400</v>
      </c>
      <c r="M1795" s="32">
        <v>0</v>
      </c>
      <c r="N1795" s="32">
        <v>0</v>
      </c>
      <c r="O1795" s="32">
        <f>H1795-L1795</f>
        <v>-400</v>
      </c>
      <c r="P1795" s="32" t="e">
        <f>#REF!-M1795</f>
        <v>#REF!</v>
      </c>
      <c r="Q1795" s="32" t="e">
        <f>#REF!-N1795</f>
        <v>#REF!</v>
      </c>
      <c r="R1795" s="17" t="str">
        <f t="shared" si="221"/>
        <v>05 Б 02 21190240</v>
      </c>
    </row>
    <row r="1796" spans="1:18" s="16" customFormat="1" ht="15.75">
      <c r="A1796" s="14"/>
      <c r="B1796" s="125" t="s">
        <v>30</v>
      </c>
      <c r="C1796" s="109" t="s">
        <v>412</v>
      </c>
      <c r="D1796" s="109" t="s">
        <v>73</v>
      </c>
      <c r="E1796" s="109" t="s">
        <v>57</v>
      </c>
      <c r="F1796" s="109" t="s">
        <v>933</v>
      </c>
      <c r="G1796" s="109" t="s">
        <v>31</v>
      </c>
      <c r="H1796" s="126"/>
      <c r="I1796" s="178" t="str">
        <f t="shared" si="225"/>
        <v>621041205 Б 02 21190244</v>
      </c>
      <c r="L1796" s="32"/>
      <c r="M1796" s="32"/>
      <c r="N1796" s="32"/>
      <c r="O1796" s="32"/>
      <c r="P1796" s="32"/>
      <c r="Q1796" s="32"/>
      <c r="R1796" s="17"/>
    </row>
    <row r="1797" spans="1:18" s="16" customFormat="1" ht="31.5">
      <c r="A1797" s="14"/>
      <c r="B1797" s="164" t="s">
        <v>911</v>
      </c>
      <c r="C1797" s="109" t="s">
        <v>412</v>
      </c>
      <c r="D1797" s="109" t="s">
        <v>73</v>
      </c>
      <c r="E1797" s="109" t="s">
        <v>57</v>
      </c>
      <c r="F1797" s="108" t="s">
        <v>912</v>
      </c>
      <c r="G1797" s="108" t="s">
        <v>9</v>
      </c>
      <c r="H1797" s="126">
        <f t="shared" ref="H1797:H1798" si="231">H1798</f>
        <v>0</v>
      </c>
      <c r="I1797" s="178" t="str">
        <f t="shared" si="225"/>
        <v>621041284 0 00 00000000</v>
      </c>
      <c r="L1797" s="20">
        <v>100</v>
      </c>
      <c r="M1797" s="20">
        <v>100</v>
      </c>
      <c r="N1797" s="20">
        <v>100</v>
      </c>
      <c r="O1797" s="20">
        <f>H1797-L1797</f>
        <v>-100</v>
      </c>
      <c r="P1797" s="20" t="e">
        <f>#REF!-M1797</f>
        <v>#REF!</v>
      </c>
      <c r="Q1797" s="20" t="e">
        <f>#REF!-N1797</f>
        <v>#REF!</v>
      </c>
      <c r="R1797" s="17" t="str">
        <f t="shared" si="221"/>
        <v>84 0 00 00000000</v>
      </c>
    </row>
    <row r="1798" spans="1:18" s="16" customFormat="1" ht="15.75">
      <c r="A1798" s="14"/>
      <c r="B1798" s="164" t="s">
        <v>52</v>
      </c>
      <c r="C1798" s="109" t="s">
        <v>412</v>
      </c>
      <c r="D1798" s="109" t="s">
        <v>73</v>
      </c>
      <c r="E1798" s="109" t="s">
        <v>57</v>
      </c>
      <c r="F1798" s="108" t="s">
        <v>917</v>
      </c>
      <c r="G1798" s="108" t="s">
        <v>9</v>
      </c>
      <c r="H1798" s="126">
        <f t="shared" si="231"/>
        <v>0</v>
      </c>
      <c r="I1798" s="178" t="str">
        <f t="shared" si="225"/>
        <v>621041284 2 00 00000000</v>
      </c>
      <c r="L1798" s="20">
        <v>100</v>
      </c>
      <c r="M1798" s="20">
        <v>100</v>
      </c>
      <c r="N1798" s="20">
        <v>100</v>
      </c>
      <c r="O1798" s="20">
        <f>H1798-L1798</f>
        <v>-100</v>
      </c>
      <c r="P1798" s="20" t="e">
        <f>#REF!-M1798</f>
        <v>#REF!</v>
      </c>
      <c r="Q1798" s="20" t="e">
        <f>#REF!-N1798</f>
        <v>#REF!</v>
      </c>
      <c r="R1798" s="17" t="str">
        <f t="shared" si="221"/>
        <v>84 2 00 00000000</v>
      </c>
    </row>
    <row r="1799" spans="1:18" s="16" customFormat="1" ht="31.5">
      <c r="A1799" s="14"/>
      <c r="B1799" s="164" t="s">
        <v>934</v>
      </c>
      <c r="C1799" s="109" t="s">
        <v>412</v>
      </c>
      <c r="D1799" s="109" t="s">
        <v>73</v>
      </c>
      <c r="E1799" s="109" t="s">
        <v>57</v>
      </c>
      <c r="F1799" s="108" t="s">
        <v>935</v>
      </c>
      <c r="G1799" s="108" t="s">
        <v>9</v>
      </c>
      <c r="H1799" s="126">
        <f>H1800</f>
        <v>0</v>
      </c>
      <c r="I1799" s="178" t="str">
        <f t="shared" si="225"/>
        <v>621041284 2 00 21210000</v>
      </c>
      <c r="L1799" s="20">
        <v>100</v>
      </c>
      <c r="M1799" s="20">
        <v>100</v>
      </c>
      <c r="N1799" s="20">
        <v>100</v>
      </c>
      <c r="O1799" s="20">
        <f>H1799-L1799</f>
        <v>-100</v>
      </c>
      <c r="P1799" s="20" t="e">
        <f>#REF!-M1799</f>
        <v>#REF!</v>
      </c>
      <c r="Q1799" s="20" t="e">
        <f>#REF!-N1799</f>
        <v>#REF!</v>
      </c>
      <c r="R1799" s="17" t="str">
        <f t="shared" si="221"/>
        <v>84 2 00 21210000</v>
      </c>
    </row>
    <row r="1800" spans="1:18" s="16" customFormat="1" ht="31.5">
      <c r="A1800" s="14"/>
      <c r="B1800" s="125" t="s">
        <v>28</v>
      </c>
      <c r="C1800" s="109" t="s">
        <v>412</v>
      </c>
      <c r="D1800" s="109" t="s">
        <v>73</v>
      </c>
      <c r="E1800" s="109" t="s">
        <v>57</v>
      </c>
      <c r="F1800" s="108" t="s">
        <v>935</v>
      </c>
      <c r="G1800" s="108" t="s">
        <v>29</v>
      </c>
      <c r="H1800" s="126">
        <f>H1801</f>
        <v>0</v>
      </c>
      <c r="I1800" s="178" t="str">
        <f t="shared" si="225"/>
        <v>621041284 2 00 21210240</v>
      </c>
      <c r="L1800" s="20">
        <v>100</v>
      </c>
      <c r="M1800" s="20">
        <v>100</v>
      </c>
      <c r="N1800" s="20">
        <v>100</v>
      </c>
      <c r="O1800" s="20">
        <f>H1800-L1800</f>
        <v>-100</v>
      </c>
      <c r="P1800" s="20" t="e">
        <f>#REF!-M1800</f>
        <v>#REF!</v>
      </c>
      <c r="Q1800" s="20" t="e">
        <f>#REF!-N1800</f>
        <v>#REF!</v>
      </c>
      <c r="R1800" s="17" t="str">
        <f t="shared" si="221"/>
        <v>84 2 00 21210240</v>
      </c>
    </row>
    <row r="1801" spans="1:18" s="16" customFormat="1" ht="15.75">
      <c r="A1801" s="14"/>
      <c r="B1801" s="125" t="s">
        <v>30</v>
      </c>
      <c r="C1801" s="109" t="s">
        <v>412</v>
      </c>
      <c r="D1801" s="109" t="s">
        <v>73</v>
      </c>
      <c r="E1801" s="109" t="s">
        <v>57</v>
      </c>
      <c r="F1801" s="108" t="s">
        <v>935</v>
      </c>
      <c r="G1801" s="108" t="s">
        <v>31</v>
      </c>
      <c r="H1801" s="126"/>
      <c r="I1801" s="178" t="str">
        <f t="shared" si="225"/>
        <v>621041284 2 00 21210244</v>
      </c>
      <c r="L1801" s="20"/>
      <c r="M1801" s="20"/>
      <c r="N1801" s="20"/>
      <c r="O1801" s="20"/>
      <c r="P1801" s="20"/>
      <c r="Q1801" s="20"/>
      <c r="R1801" s="17"/>
    </row>
    <row r="1802" spans="1:18" s="16" customFormat="1" ht="15.75">
      <c r="A1802" s="14"/>
      <c r="B1802" s="117" t="s">
        <v>305</v>
      </c>
      <c r="C1802" s="118" t="s">
        <v>412</v>
      </c>
      <c r="D1802" s="119" t="s">
        <v>86</v>
      </c>
      <c r="E1802" s="119" t="s">
        <v>7</v>
      </c>
      <c r="F1802" s="119" t="s">
        <v>8</v>
      </c>
      <c r="G1802" s="119" t="s">
        <v>9</v>
      </c>
      <c r="H1802" s="120">
        <f>H1809+H1803</f>
        <v>0</v>
      </c>
      <c r="I1802" s="178" t="str">
        <f t="shared" si="225"/>
        <v>621050000 0 00 00000000</v>
      </c>
      <c r="L1802" s="18">
        <v>50</v>
      </c>
      <c r="M1802" s="18">
        <v>0</v>
      </c>
      <c r="N1802" s="18">
        <v>0</v>
      </c>
      <c r="O1802" s="18">
        <f t="shared" ref="O1802:O1814" si="232">H1802-L1802</f>
        <v>-50</v>
      </c>
      <c r="P1802" s="18" t="e">
        <f>#REF!-M1802</f>
        <v>#REF!</v>
      </c>
      <c r="Q1802" s="18" t="e">
        <f>#REF!-N1802</f>
        <v>#REF!</v>
      </c>
      <c r="R1802" s="17" t="str">
        <f t="shared" si="221"/>
        <v>00 0 00 00000000</v>
      </c>
    </row>
    <row r="1803" spans="1:18" s="16" customFormat="1" ht="15.75">
      <c r="A1803" s="14"/>
      <c r="B1803" s="121" t="s">
        <v>765</v>
      </c>
      <c r="C1803" s="122" t="s">
        <v>412</v>
      </c>
      <c r="D1803" s="123" t="s">
        <v>86</v>
      </c>
      <c r="E1803" s="123" t="s">
        <v>11</v>
      </c>
      <c r="F1803" s="123" t="s">
        <v>8</v>
      </c>
      <c r="G1803" s="123" t="s">
        <v>9</v>
      </c>
      <c r="H1803" s="124">
        <f>H1804</f>
        <v>0</v>
      </c>
      <c r="I1803" s="178" t="str">
        <f t="shared" si="225"/>
        <v>621050100 0 00 00000000</v>
      </c>
      <c r="L1803" s="18"/>
      <c r="M1803" s="18"/>
      <c r="N1803" s="18"/>
      <c r="O1803" s="18"/>
      <c r="P1803" s="18"/>
      <c r="Q1803" s="18"/>
      <c r="R1803" s="17"/>
    </row>
    <row r="1804" spans="1:18" s="16" customFormat="1" ht="31.5">
      <c r="A1804" s="14"/>
      <c r="B1804" s="164" t="s">
        <v>911</v>
      </c>
      <c r="C1804" s="109" t="s">
        <v>412</v>
      </c>
      <c r="D1804" s="108" t="s">
        <v>86</v>
      </c>
      <c r="E1804" s="108" t="s">
        <v>11</v>
      </c>
      <c r="F1804" s="108" t="s">
        <v>912</v>
      </c>
      <c r="G1804" s="108" t="s">
        <v>9</v>
      </c>
      <c r="H1804" s="126">
        <f>H1805</f>
        <v>0</v>
      </c>
      <c r="I1804" s="178" t="str">
        <f t="shared" si="225"/>
        <v>621050184 0 00 00000000</v>
      </c>
      <c r="L1804" s="18"/>
      <c r="M1804" s="18"/>
      <c r="N1804" s="18"/>
      <c r="O1804" s="18"/>
      <c r="P1804" s="18"/>
      <c r="Q1804" s="18"/>
      <c r="R1804" s="17"/>
    </row>
    <row r="1805" spans="1:18" s="16" customFormat="1" ht="15.75">
      <c r="A1805" s="14"/>
      <c r="B1805" s="164" t="s">
        <v>52</v>
      </c>
      <c r="C1805" s="109" t="s">
        <v>412</v>
      </c>
      <c r="D1805" s="108" t="s">
        <v>86</v>
      </c>
      <c r="E1805" s="108" t="s">
        <v>11</v>
      </c>
      <c r="F1805" s="108" t="s">
        <v>917</v>
      </c>
      <c r="G1805" s="108" t="s">
        <v>9</v>
      </c>
      <c r="H1805" s="126">
        <f>H1806</f>
        <v>0</v>
      </c>
      <c r="I1805" s="178" t="str">
        <f t="shared" si="225"/>
        <v>621050184 2 00 00000000</v>
      </c>
      <c r="L1805" s="18"/>
      <c r="M1805" s="18"/>
      <c r="N1805" s="18"/>
      <c r="O1805" s="18"/>
      <c r="P1805" s="18"/>
      <c r="Q1805" s="18"/>
      <c r="R1805" s="17"/>
    </row>
    <row r="1806" spans="1:18" s="16" customFormat="1" ht="31.5">
      <c r="A1806" s="14"/>
      <c r="B1806" s="164" t="s">
        <v>856</v>
      </c>
      <c r="C1806" s="109" t="s">
        <v>412</v>
      </c>
      <c r="D1806" s="108" t="s">
        <v>86</v>
      </c>
      <c r="E1806" s="108" t="s">
        <v>11</v>
      </c>
      <c r="F1806" s="108" t="s">
        <v>1079</v>
      </c>
      <c r="G1806" s="108" t="s">
        <v>9</v>
      </c>
      <c r="H1806" s="126">
        <f>H1807</f>
        <v>0</v>
      </c>
      <c r="I1806" s="178" t="str">
        <f t="shared" si="225"/>
        <v>621050184 2 00 20200000</v>
      </c>
      <c r="L1806" s="18"/>
      <c r="M1806" s="18"/>
      <c r="N1806" s="18"/>
      <c r="O1806" s="18"/>
      <c r="P1806" s="18"/>
      <c r="Q1806" s="18"/>
      <c r="R1806" s="17"/>
    </row>
    <row r="1807" spans="1:18" s="16" customFormat="1" ht="31.5">
      <c r="A1807" s="14"/>
      <c r="B1807" s="125" t="s">
        <v>28</v>
      </c>
      <c r="C1807" s="109" t="s">
        <v>412</v>
      </c>
      <c r="D1807" s="108" t="s">
        <v>86</v>
      </c>
      <c r="E1807" s="108" t="s">
        <v>11</v>
      </c>
      <c r="F1807" s="108" t="s">
        <v>1079</v>
      </c>
      <c r="G1807" s="108" t="s">
        <v>29</v>
      </c>
      <c r="H1807" s="126">
        <f>H1808</f>
        <v>0</v>
      </c>
      <c r="I1807" s="178" t="str">
        <f t="shared" si="225"/>
        <v>621050184 2 00 20200240</v>
      </c>
      <c r="L1807" s="18"/>
      <c r="M1807" s="18"/>
      <c r="N1807" s="18"/>
      <c r="O1807" s="18"/>
      <c r="P1807" s="18"/>
      <c r="Q1807" s="18"/>
      <c r="R1807" s="17"/>
    </row>
    <row r="1808" spans="1:18" s="16" customFormat="1" ht="20.25" customHeight="1">
      <c r="A1808" s="14"/>
      <c r="B1808" s="125" t="s">
        <v>30</v>
      </c>
      <c r="C1808" s="109" t="s">
        <v>412</v>
      </c>
      <c r="D1808" s="108" t="s">
        <v>86</v>
      </c>
      <c r="E1808" s="108" t="s">
        <v>11</v>
      </c>
      <c r="F1808" s="108" t="s">
        <v>1079</v>
      </c>
      <c r="G1808" s="108" t="s">
        <v>31</v>
      </c>
      <c r="H1808" s="126"/>
      <c r="I1808" s="178" t="str">
        <f t="shared" si="225"/>
        <v>621050184 2 00 20200244</v>
      </c>
      <c r="L1808" s="18"/>
      <c r="M1808" s="18"/>
      <c r="N1808" s="18"/>
      <c r="O1808" s="18"/>
      <c r="P1808" s="18"/>
      <c r="Q1808" s="18"/>
      <c r="R1808" s="17"/>
    </row>
    <row r="1809" spans="1:18" s="16" customFormat="1" ht="15.75">
      <c r="A1809" s="14"/>
      <c r="B1809" s="121" t="s">
        <v>306</v>
      </c>
      <c r="C1809" s="122" t="s">
        <v>412</v>
      </c>
      <c r="D1809" s="123" t="s">
        <v>86</v>
      </c>
      <c r="E1809" s="123" t="s">
        <v>13</v>
      </c>
      <c r="F1809" s="123" t="s">
        <v>8</v>
      </c>
      <c r="G1809" s="123" t="s">
        <v>9</v>
      </c>
      <c r="H1809" s="124">
        <f t="shared" ref="H1809:H1813" si="233">H1810</f>
        <v>0</v>
      </c>
      <c r="I1809" s="178" t="str">
        <f t="shared" si="225"/>
        <v>621050300 0 00 00000000</v>
      </c>
      <c r="L1809" s="19">
        <v>50</v>
      </c>
      <c r="M1809" s="19">
        <v>0</v>
      </c>
      <c r="N1809" s="19">
        <v>0</v>
      </c>
      <c r="O1809" s="19">
        <f t="shared" si="232"/>
        <v>-50</v>
      </c>
      <c r="P1809" s="19" t="e">
        <f>#REF!-M1809</f>
        <v>#REF!</v>
      </c>
      <c r="Q1809" s="19" t="e">
        <f>#REF!-N1809</f>
        <v>#REF!</v>
      </c>
      <c r="R1809" s="17" t="str">
        <f t="shared" ref="R1809:R1892" si="234">CONCATENATE(F1809,G1809)</f>
        <v>00 0 00 00000000</v>
      </c>
    </row>
    <row r="1810" spans="1:18" s="16" customFormat="1" ht="63">
      <c r="A1810" s="14"/>
      <c r="B1810" s="127" t="s">
        <v>293</v>
      </c>
      <c r="C1810" s="108" t="s">
        <v>412</v>
      </c>
      <c r="D1810" s="108" t="s">
        <v>86</v>
      </c>
      <c r="E1810" s="108" t="s">
        <v>13</v>
      </c>
      <c r="F1810" s="108" t="s">
        <v>294</v>
      </c>
      <c r="G1810" s="108" t="s">
        <v>9</v>
      </c>
      <c r="H1810" s="141">
        <f t="shared" si="233"/>
        <v>0</v>
      </c>
      <c r="I1810" s="178" t="str">
        <f t="shared" si="225"/>
        <v>621050304 0 00 00000000</v>
      </c>
      <c r="L1810" s="32">
        <v>50</v>
      </c>
      <c r="M1810" s="32">
        <v>0</v>
      </c>
      <c r="N1810" s="32">
        <v>0</v>
      </c>
      <c r="O1810" s="32">
        <f t="shared" si="232"/>
        <v>-50</v>
      </c>
      <c r="P1810" s="32" t="e">
        <f>#REF!-M1810</f>
        <v>#REF!</v>
      </c>
      <c r="Q1810" s="32" t="e">
        <f>#REF!-N1810</f>
        <v>#REF!</v>
      </c>
      <c r="R1810" s="17" t="str">
        <f t="shared" si="234"/>
        <v>04 0 00 00000000</v>
      </c>
    </row>
    <row r="1811" spans="1:18" s="16" customFormat="1" ht="31.5">
      <c r="A1811" s="14"/>
      <c r="B1811" s="125" t="s">
        <v>307</v>
      </c>
      <c r="C1811" s="108" t="s">
        <v>412</v>
      </c>
      <c r="D1811" s="108" t="s">
        <v>86</v>
      </c>
      <c r="E1811" s="108" t="s">
        <v>13</v>
      </c>
      <c r="F1811" s="108" t="s">
        <v>308</v>
      </c>
      <c r="G1811" s="108" t="s">
        <v>9</v>
      </c>
      <c r="H1811" s="141">
        <f t="shared" si="233"/>
        <v>0</v>
      </c>
      <c r="I1811" s="178" t="str">
        <f t="shared" si="225"/>
        <v>621050304 3 00 00000000</v>
      </c>
      <c r="L1811" s="32">
        <v>50</v>
      </c>
      <c r="M1811" s="32">
        <v>0</v>
      </c>
      <c r="N1811" s="32">
        <v>0</v>
      </c>
      <c r="O1811" s="32">
        <f t="shared" si="232"/>
        <v>-50</v>
      </c>
      <c r="P1811" s="32" t="e">
        <f>#REF!-M1811</f>
        <v>#REF!</v>
      </c>
      <c r="Q1811" s="32" t="e">
        <f>#REF!-N1811</f>
        <v>#REF!</v>
      </c>
      <c r="R1811" s="17" t="str">
        <f t="shared" si="234"/>
        <v>04 3 00 00000000</v>
      </c>
    </row>
    <row r="1812" spans="1:18" s="16" customFormat="1" ht="31.5">
      <c r="A1812" s="14"/>
      <c r="B1812" s="138" t="s">
        <v>309</v>
      </c>
      <c r="C1812" s="130" t="s">
        <v>412</v>
      </c>
      <c r="D1812" s="131" t="s">
        <v>86</v>
      </c>
      <c r="E1812" s="131" t="s">
        <v>13</v>
      </c>
      <c r="F1812" s="108" t="s">
        <v>310</v>
      </c>
      <c r="G1812" s="131" t="s">
        <v>9</v>
      </c>
      <c r="H1812" s="105">
        <f>H1813+H1819+H1825+H1816</f>
        <v>0</v>
      </c>
      <c r="I1812" s="178" t="str">
        <f t="shared" si="225"/>
        <v>621050304 3 04 00000000</v>
      </c>
      <c r="L1812" s="26">
        <v>50</v>
      </c>
      <c r="M1812" s="26">
        <v>0</v>
      </c>
      <c r="N1812" s="26">
        <v>0</v>
      </c>
      <c r="O1812" s="26">
        <f t="shared" si="232"/>
        <v>-50</v>
      </c>
      <c r="P1812" s="26" t="e">
        <f>#REF!-M1812</f>
        <v>#REF!</v>
      </c>
      <c r="Q1812" s="26" t="e">
        <f>#REF!-N1812</f>
        <v>#REF!</v>
      </c>
      <c r="R1812" s="17" t="str">
        <f t="shared" si="234"/>
        <v>04 3 04 00000000</v>
      </c>
    </row>
    <row r="1813" spans="1:18" s="16" customFormat="1" ht="31.5">
      <c r="A1813" s="14"/>
      <c r="B1813" s="138" t="s">
        <v>542</v>
      </c>
      <c r="C1813" s="130" t="s">
        <v>412</v>
      </c>
      <c r="D1813" s="131" t="s">
        <v>86</v>
      </c>
      <c r="E1813" s="131" t="s">
        <v>13</v>
      </c>
      <c r="F1813" s="142" t="s">
        <v>543</v>
      </c>
      <c r="G1813" s="142" t="s">
        <v>9</v>
      </c>
      <c r="H1813" s="126">
        <f t="shared" si="233"/>
        <v>0</v>
      </c>
      <c r="I1813" s="178" t="str">
        <f t="shared" ref="I1813:I1876" si="235">C1813&amp;D1813&amp;E1813&amp;F1813&amp;G1813</f>
        <v>621050304 3 04 20300000</v>
      </c>
      <c r="L1813" s="20">
        <v>50</v>
      </c>
      <c r="M1813" s="20">
        <v>0</v>
      </c>
      <c r="N1813" s="20">
        <v>0</v>
      </c>
      <c r="O1813" s="20">
        <f t="shared" si="232"/>
        <v>-50</v>
      </c>
      <c r="P1813" s="20" t="e">
        <f>#REF!-M1813</f>
        <v>#REF!</v>
      </c>
      <c r="Q1813" s="20" t="e">
        <f>#REF!-N1813</f>
        <v>#REF!</v>
      </c>
      <c r="R1813" s="17" t="str">
        <f t="shared" si="234"/>
        <v>04 3 04 20300000</v>
      </c>
    </row>
    <row r="1814" spans="1:18" s="16" customFormat="1" ht="31.5">
      <c r="A1814" s="14"/>
      <c r="B1814" s="138" t="s">
        <v>28</v>
      </c>
      <c r="C1814" s="130" t="s">
        <v>412</v>
      </c>
      <c r="D1814" s="131" t="s">
        <v>86</v>
      </c>
      <c r="E1814" s="131" t="s">
        <v>13</v>
      </c>
      <c r="F1814" s="142" t="s">
        <v>543</v>
      </c>
      <c r="G1814" s="142" t="s">
        <v>29</v>
      </c>
      <c r="H1814" s="126">
        <f>H1815</f>
        <v>0</v>
      </c>
      <c r="I1814" s="178" t="str">
        <f t="shared" si="235"/>
        <v>621050304 3 04 20300240</v>
      </c>
      <c r="L1814" s="20">
        <v>50</v>
      </c>
      <c r="M1814" s="20">
        <v>0</v>
      </c>
      <c r="N1814" s="20">
        <v>0</v>
      </c>
      <c r="O1814" s="20">
        <f t="shared" si="232"/>
        <v>-50</v>
      </c>
      <c r="P1814" s="20" t="e">
        <f>#REF!-M1814</f>
        <v>#REF!</v>
      </c>
      <c r="Q1814" s="20" t="e">
        <f>#REF!-N1814</f>
        <v>#REF!</v>
      </c>
      <c r="R1814" s="17" t="str">
        <f t="shared" si="234"/>
        <v>04 3 04 20300240</v>
      </c>
    </row>
    <row r="1815" spans="1:18" s="16" customFormat="1" ht="15.75">
      <c r="A1815" s="14"/>
      <c r="B1815" s="125" t="s">
        <v>30</v>
      </c>
      <c r="C1815" s="130" t="s">
        <v>412</v>
      </c>
      <c r="D1815" s="131" t="s">
        <v>86</v>
      </c>
      <c r="E1815" s="131" t="s">
        <v>13</v>
      </c>
      <c r="F1815" s="142" t="s">
        <v>543</v>
      </c>
      <c r="G1815" s="142" t="s">
        <v>31</v>
      </c>
      <c r="H1815" s="126"/>
      <c r="I1815" s="178" t="str">
        <f t="shared" si="235"/>
        <v>621050304 3 04 20300244</v>
      </c>
      <c r="L1815" s="20"/>
      <c r="M1815" s="20"/>
      <c r="N1815" s="20"/>
      <c r="O1815" s="20"/>
      <c r="P1815" s="20"/>
      <c r="Q1815" s="20"/>
      <c r="R1815" s="17"/>
    </row>
    <row r="1816" spans="1:18" s="16" customFormat="1" ht="94.5">
      <c r="A1816" s="14"/>
      <c r="B1816" s="127" t="s">
        <v>1084</v>
      </c>
      <c r="C1816" s="130" t="s">
        <v>412</v>
      </c>
      <c r="D1816" s="131" t="s">
        <v>86</v>
      </c>
      <c r="E1816" s="131" t="s">
        <v>13</v>
      </c>
      <c r="F1816" s="131" t="s">
        <v>1085</v>
      </c>
      <c r="G1816" s="131" t="s">
        <v>9</v>
      </c>
      <c r="H1816" s="105">
        <f>H1817</f>
        <v>0</v>
      </c>
      <c r="I1816" s="178" t="str">
        <f t="shared" si="235"/>
        <v>621050304 3 04 20800000</v>
      </c>
      <c r="L1816" s="20"/>
      <c r="M1816" s="20"/>
      <c r="N1816" s="20"/>
      <c r="O1816" s="20"/>
      <c r="P1816" s="20"/>
      <c r="Q1816" s="20"/>
      <c r="R1816" s="17"/>
    </row>
    <row r="1817" spans="1:18" s="16" customFormat="1" ht="31.5">
      <c r="A1817" s="14"/>
      <c r="B1817" s="125" t="s">
        <v>28</v>
      </c>
      <c r="C1817" s="130" t="s">
        <v>412</v>
      </c>
      <c r="D1817" s="131" t="s">
        <v>86</v>
      </c>
      <c r="E1817" s="131" t="s">
        <v>13</v>
      </c>
      <c r="F1817" s="131" t="s">
        <v>1085</v>
      </c>
      <c r="G1817" s="131" t="s">
        <v>29</v>
      </c>
      <c r="H1817" s="105">
        <f>H1818</f>
        <v>0</v>
      </c>
      <c r="I1817" s="178" t="str">
        <f t="shared" si="235"/>
        <v>621050304 3 04 20800240</v>
      </c>
      <c r="L1817" s="20"/>
      <c r="M1817" s="20"/>
      <c r="N1817" s="20"/>
      <c r="O1817" s="20"/>
      <c r="P1817" s="20"/>
      <c r="Q1817" s="20"/>
      <c r="R1817" s="17"/>
    </row>
    <row r="1818" spans="1:18" s="16" customFormat="1" ht="15.75">
      <c r="A1818" s="14"/>
      <c r="B1818" s="125" t="s">
        <v>30</v>
      </c>
      <c r="C1818" s="130" t="s">
        <v>412</v>
      </c>
      <c r="D1818" s="131" t="s">
        <v>86</v>
      </c>
      <c r="E1818" s="131" t="s">
        <v>13</v>
      </c>
      <c r="F1818" s="131" t="s">
        <v>1085</v>
      </c>
      <c r="G1818" s="108" t="s">
        <v>31</v>
      </c>
      <c r="H1818" s="126"/>
      <c r="I1818" s="178" t="str">
        <f t="shared" si="235"/>
        <v>621050304 3 04 20800244</v>
      </c>
      <c r="L1818" s="20"/>
      <c r="M1818" s="20"/>
      <c r="N1818" s="20"/>
      <c r="O1818" s="20"/>
      <c r="P1818" s="20"/>
      <c r="Q1818" s="20"/>
      <c r="R1818" s="17"/>
    </row>
    <row r="1819" spans="1:18" s="16" customFormat="1" ht="47.25">
      <c r="A1819" s="14"/>
      <c r="B1819" s="125" t="s">
        <v>1043</v>
      </c>
      <c r="C1819" s="130" t="s">
        <v>412</v>
      </c>
      <c r="D1819" s="131" t="s">
        <v>86</v>
      </c>
      <c r="E1819" s="131" t="s">
        <v>13</v>
      </c>
      <c r="F1819" s="131" t="s">
        <v>1056</v>
      </c>
      <c r="G1819" s="131" t="s">
        <v>9</v>
      </c>
      <c r="H1819" s="126">
        <f>H1823</f>
        <v>0</v>
      </c>
      <c r="I1819" s="178" t="str">
        <f t="shared" si="235"/>
        <v>621050304 3 04 G6420000</v>
      </c>
      <c r="L1819" s="20"/>
      <c r="M1819" s="20"/>
      <c r="N1819" s="20"/>
      <c r="O1819" s="20"/>
      <c r="P1819" s="20"/>
      <c r="Q1819" s="20"/>
      <c r="R1819" s="17"/>
    </row>
    <row r="1820" spans="1:18" s="16" customFormat="1" ht="15.75">
      <c r="A1820" s="14"/>
      <c r="B1820" s="132" t="s">
        <v>1045</v>
      </c>
      <c r="C1820" s="130"/>
      <c r="D1820" s="131"/>
      <c r="E1820" s="131"/>
      <c r="F1820" s="131"/>
      <c r="G1820" s="131"/>
      <c r="H1820" s="126"/>
      <c r="I1820" s="178" t="str">
        <f t="shared" si="235"/>
        <v/>
      </c>
      <c r="L1820" s="20"/>
      <c r="M1820" s="20"/>
      <c r="N1820" s="20"/>
      <c r="O1820" s="20"/>
      <c r="P1820" s="20"/>
      <c r="Q1820" s="20"/>
      <c r="R1820" s="17"/>
    </row>
    <row r="1821" spans="1:18" s="16" customFormat="1" ht="15.75">
      <c r="A1821" s="14"/>
      <c r="B1821" s="125" t="s">
        <v>1046</v>
      </c>
      <c r="C1821" s="130" t="s">
        <v>412</v>
      </c>
      <c r="D1821" s="131" t="s">
        <v>86</v>
      </c>
      <c r="E1821" s="131" t="s">
        <v>13</v>
      </c>
      <c r="F1821" s="131" t="s">
        <v>1056</v>
      </c>
      <c r="G1821" s="131" t="s">
        <v>9</v>
      </c>
      <c r="H1821" s="126"/>
      <c r="I1821" s="178" t="str">
        <f t="shared" si="235"/>
        <v>621050304 3 04 G6420000</v>
      </c>
      <c r="L1821" s="20"/>
      <c r="M1821" s="20"/>
      <c r="N1821" s="20"/>
      <c r="O1821" s="20"/>
      <c r="P1821" s="20"/>
      <c r="Q1821" s="20"/>
      <c r="R1821" s="17"/>
    </row>
    <row r="1822" spans="1:18" s="16" customFormat="1" ht="15.75">
      <c r="A1822" s="14"/>
      <c r="B1822" s="125" t="s">
        <v>1047</v>
      </c>
      <c r="C1822" s="130" t="s">
        <v>412</v>
      </c>
      <c r="D1822" s="131" t="s">
        <v>86</v>
      </c>
      <c r="E1822" s="131" t="s">
        <v>13</v>
      </c>
      <c r="F1822" s="131" t="s">
        <v>1056</v>
      </c>
      <c r="G1822" s="131" t="s">
        <v>9</v>
      </c>
      <c r="H1822" s="126"/>
      <c r="I1822" s="178" t="str">
        <f t="shared" si="235"/>
        <v>621050304 3 04 G6420000</v>
      </c>
      <c r="L1822" s="20"/>
      <c r="M1822" s="20"/>
      <c r="N1822" s="20"/>
      <c r="O1822" s="20"/>
      <c r="P1822" s="20"/>
      <c r="Q1822" s="20"/>
      <c r="R1822" s="17"/>
    </row>
    <row r="1823" spans="1:18" s="16" customFormat="1" ht="31.5">
      <c r="A1823" s="14"/>
      <c r="B1823" s="125" t="s">
        <v>28</v>
      </c>
      <c r="C1823" s="130" t="s">
        <v>412</v>
      </c>
      <c r="D1823" s="131" t="s">
        <v>86</v>
      </c>
      <c r="E1823" s="131" t="s">
        <v>13</v>
      </c>
      <c r="F1823" s="131" t="s">
        <v>1056</v>
      </c>
      <c r="G1823" s="131" t="s">
        <v>29</v>
      </c>
      <c r="H1823" s="126">
        <f>H1824</f>
        <v>0</v>
      </c>
      <c r="I1823" s="178" t="str">
        <f t="shared" si="235"/>
        <v>621050304 3 04 G6420240</v>
      </c>
      <c r="L1823" s="20"/>
      <c r="M1823" s="20"/>
      <c r="N1823" s="20"/>
      <c r="O1823" s="20"/>
      <c r="P1823" s="20"/>
      <c r="Q1823" s="20"/>
      <c r="R1823" s="17"/>
    </row>
    <row r="1824" spans="1:18" s="16" customFormat="1" ht="15.75">
      <c r="A1824" s="14"/>
      <c r="B1824" s="125" t="s">
        <v>30</v>
      </c>
      <c r="C1824" s="130" t="s">
        <v>412</v>
      </c>
      <c r="D1824" s="131" t="s">
        <v>86</v>
      </c>
      <c r="E1824" s="131" t="s">
        <v>13</v>
      </c>
      <c r="F1824" s="131" t="s">
        <v>1056</v>
      </c>
      <c r="G1824" s="131" t="s">
        <v>31</v>
      </c>
      <c r="H1824" s="126">
        <f>H1821+H1822</f>
        <v>0</v>
      </c>
      <c r="I1824" s="178" t="str">
        <f t="shared" si="235"/>
        <v>621050304 3 04 G6420244</v>
      </c>
      <c r="L1824" s="20"/>
      <c r="M1824" s="20"/>
      <c r="N1824" s="20"/>
      <c r="O1824" s="20"/>
      <c r="P1824" s="20"/>
      <c r="Q1824" s="20"/>
      <c r="R1824" s="17"/>
    </row>
    <row r="1825" spans="1:18" s="16" customFormat="1" ht="47.25">
      <c r="A1825" s="14"/>
      <c r="B1825" s="127" t="s">
        <v>1048</v>
      </c>
      <c r="C1825" s="130" t="s">
        <v>412</v>
      </c>
      <c r="D1825" s="131" t="s">
        <v>86</v>
      </c>
      <c r="E1825" s="131" t="s">
        <v>13</v>
      </c>
      <c r="F1825" s="131" t="s">
        <v>1057</v>
      </c>
      <c r="G1825" s="131" t="s">
        <v>9</v>
      </c>
      <c r="H1825" s="126">
        <f>H1829</f>
        <v>0</v>
      </c>
      <c r="I1825" s="178" t="str">
        <f t="shared" si="235"/>
        <v>621050304 3 04 S6420000</v>
      </c>
      <c r="L1825" s="20"/>
      <c r="M1825" s="20"/>
      <c r="N1825" s="20"/>
      <c r="O1825" s="20"/>
      <c r="P1825" s="20"/>
      <c r="Q1825" s="20"/>
      <c r="R1825" s="17"/>
    </row>
    <row r="1826" spans="1:18" s="16" customFormat="1" ht="15.75">
      <c r="A1826" s="14"/>
      <c r="B1826" s="132" t="s">
        <v>1045</v>
      </c>
      <c r="C1826" s="130"/>
      <c r="D1826" s="131"/>
      <c r="E1826" s="131"/>
      <c r="F1826" s="131"/>
      <c r="G1826" s="131"/>
      <c r="H1826" s="126"/>
      <c r="I1826" s="178" t="str">
        <f t="shared" si="235"/>
        <v/>
      </c>
      <c r="L1826" s="20"/>
      <c r="M1826" s="20"/>
      <c r="N1826" s="20"/>
      <c r="O1826" s="20"/>
      <c r="P1826" s="20"/>
      <c r="Q1826" s="20"/>
      <c r="R1826" s="17"/>
    </row>
    <row r="1827" spans="1:18" s="16" customFormat="1" ht="15.75">
      <c r="A1827" s="14"/>
      <c r="B1827" s="125" t="s">
        <v>1050</v>
      </c>
      <c r="C1827" s="130" t="s">
        <v>412</v>
      </c>
      <c r="D1827" s="131" t="s">
        <v>86</v>
      </c>
      <c r="E1827" s="131" t="s">
        <v>13</v>
      </c>
      <c r="F1827" s="131" t="s">
        <v>1057</v>
      </c>
      <c r="G1827" s="131" t="s">
        <v>9</v>
      </c>
      <c r="H1827" s="126"/>
      <c r="I1827" s="178" t="str">
        <f t="shared" si="235"/>
        <v>621050304 3 04 S6420000</v>
      </c>
      <c r="L1827" s="20"/>
      <c r="M1827" s="20"/>
      <c r="N1827" s="20"/>
      <c r="O1827" s="20"/>
      <c r="P1827" s="20"/>
      <c r="Q1827" s="20"/>
      <c r="R1827" s="17"/>
    </row>
    <row r="1828" spans="1:18" s="16" customFormat="1" ht="15.75">
      <c r="A1828" s="14"/>
      <c r="B1828" s="125" t="s">
        <v>1051</v>
      </c>
      <c r="C1828" s="130" t="s">
        <v>412</v>
      </c>
      <c r="D1828" s="131" t="s">
        <v>86</v>
      </c>
      <c r="E1828" s="131" t="s">
        <v>13</v>
      </c>
      <c r="F1828" s="131" t="s">
        <v>1057</v>
      </c>
      <c r="G1828" s="131" t="s">
        <v>9</v>
      </c>
      <c r="H1828" s="126"/>
      <c r="I1828" s="178" t="str">
        <f t="shared" si="235"/>
        <v>621050304 3 04 S6420000</v>
      </c>
      <c r="L1828" s="20"/>
      <c r="M1828" s="20"/>
      <c r="N1828" s="20"/>
      <c r="O1828" s="20"/>
      <c r="P1828" s="20"/>
      <c r="Q1828" s="20"/>
      <c r="R1828" s="17"/>
    </row>
    <row r="1829" spans="1:18" s="16" customFormat="1" ht="31.5">
      <c r="A1829" s="14"/>
      <c r="B1829" s="125" t="s">
        <v>28</v>
      </c>
      <c r="C1829" s="130" t="s">
        <v>412</v>
      </c>
      <c r="D1829" s="131" t="s">
        <v>86</v>
      </c>
      <c r="E1829" s="131" t="s">
        <v>13</v>
      </c>
      <c r="F1829" s="131" t="s">
        <v>1057</v>
      </c>
      <c r="G1829" s="131" t="s">
        <v>29</v>
      </c>
      <c r="H1829" s="126">
        <f>H1830</f>
        <v>0</v>
      </c>
      <c r="I1829" s="178" t="str">
        <f t="shared" si="235"/>
        <v>621050304 3 04 S6420240</v>
      </c>
      <c r="L1829" s="20"/>
      <c r="M1829" s="20"/>
      <c r="N1829" s="20"/>
      <c r="O1829" s="20"/>
      <c r="P1829" s="20"/>
      <c r="Q1829" s="20"/>
      <c r="R1829" s="17"/>
    </row>
    <row r="1830" spans="1:18" s="16" customFormat="1" ht="15.75">
      <c r="A1830" s="14"/>
      <c r="B1830" s="125" t="s">
        <v>30</v>
      </c>
      <c r="C1830" s="130" t="s">
        <v>412</v>
      </c>
      <c r="D1830" s="131" t="s">
        <v>86</v>
      </c>
      <c r="E1830" s="131" t="s">
        <v>13</v>
      </c>
      <c r="F1830" s="131" t="s">
        <v>1057</v>
      </c>
      <c r="G1830" s="108" t="s">
        <v>31</v>
      </c>
      <c r="H1830" s="126">
        <f>H1827+H1828</f>
        <v>0</v>
      </c>
      <c r="I1830" s="178" t="str">
        <f t="shared" si="235"/>
        <v>621050304 3 04 S6420244</v>
      </c>
      <c r="L1830" s="20"/>
      <c r="M1830" s="20"/>
      <c r="N1830" s="20"/>
      <c r="O1830" s="20"/>
      <c r="P1830" s="20"/>
      <c r="Q1830" s="20"/>
      <c r="R1830" s="17"/>
    </row>
    <row r="1831" spans="1:18" s="16" customFormat="1" ht="15.75">
      <c r="A1831" s="14"/>
      <c r="B1831" s="117" t="s">
        <v>228</v>
      </c>
      <c r="C1831" s="118" t="s">
        <v>412</v>
      </c>
      <c r="D1831" s="119" t="s">
        <v>229</v>
      </c>
      <c r="E1831" s="119" t="s">
        <v>7</v>
      </c>
      <c r="F1831" s="119" t="s">
        <v>8</v>
      </c>
      <c r="G1831" s="119" t="s">
        <v>9</v>
      </c>
      <c r="H1831" s="120">
        <f>H1832</f>
        <v>0</v>
      </c>
      <c r="I1831" s="178" t="str">
        <f t="shared" si="235"/>
        <v>621070000 0 00 00000000</v>
      </c>
      <c r="L1831" s="18">
        <v>13358.85</v>
      </c>
      <c r="M1831" s="18">
        <v>27702.6</v>
      </c>
      <c r="N1831" s="18">
        <v>19074.82</v>
      </c>
      <c r="O1831" s="18">
        <f t="shared" ref="O1831:O1837" si="236">H1831-L1831</f>
        <v>-13358.85</v>
      </c>
      <c r="P1831" s="18" t="e">
        <f>#REF!-M1831</f>
        <v>#REF!</v>
      </c>
      <c r="Q1831" s="18" t="e">
        <f>#REF!-N1831</f>
        <v>#REF!</v>
      </c>
      <c r="R1831" s="17" t="str">
        <f t="shared" si="234"/>
        <v>00 0 00 00000000</v>
      </c>
    </row>
    <row r="1832" spans="1:18" s="16" customFormat="1" ht="15.75">
      <c r="A1832" s="14"/>
      <c r="B1832" s="121" t="s">
        <v>438</v>
      </c>
      <c r="C1832" s="122" t="s">
        <v>412</v>
      </c>
      <c r="D1832" s="123" t="s">
        <v>229</v>
      </c>
      <c r="E1832" s="123" t="s">
        <v>62</v>
      </c>
      <c r="F1832" s="123" t="s">
        <v>8</v>
      </c>
      <c r="G1832" s="123" t="s">
        <v>9</v>
      </c>
      <c r="H1832" s="124">
        <f>H1833</f>
        <v>0</v>
      </c>
      <c r="I1832" s="178" t="str">
        <f t="shared" si="235"/>
        <v>621070200 0 00 00000000</v>
      </c>
      <c r="L1832" s="19">
        <v>13358.85</v>
      </c>
      <c r="M1832" s="19">
        <v>7613.02</v>
      </c>
      <c r="N1832" s="19">
        <v>15579.71</v>
      </c>
      <c r="O1832" s="19">
        <f t="shared" si="236"/>
        <v>-13358.85</v>
      </c>
      <c r="P1832" s="19" t="e">
        <f>#REF!-M1832</f>
        <v>#REF!</v>
      </c>
      <c r="Q1832" s="19" t="e">
        <f>#REF!-N1832</f>
        <v>#REF!</v>
      </c>
      <c r="R1832" s="17" t="str">
        <f t="shared" si="234"/>
        <v>00 0 00 00000000</v>
      </c>
    </row>
    <row r="1833" spans="1:18" s="16" customFormat="1" ht="31.5">
      <c r="A1833" s="14"/>
      <c r="B1833" s="132" t="s">
        <v>396</v>
      </c>
      <c r="C1833" s="109" t="s">
        <v>412</v>
      </c>
      <c r="D1833" s="108" t="s">
        <v>229</v>
      </c>
      <c r="E1833" s="108" t="s">
        <v>62</v>
      </c>
      <c r="F1833" s="108" t="s">
        <v>397</v>
      </c>
      <c r="G1833" s="108" t="s">
        <v>9</v>
      </c>
      <c r="H1833" s="126">
        <f t="shared" ref="H1833:H1834" si="237">H1834</f>
        <v>0</v>
      </c>
      <c r="I1833" s="178" t="str">
        <f t="shared" si="235"/>
        <v>621070201 0 00 00000000</v>
      </c>
      <c r="L1833" s="20">
        <v>13358.85</v>
      </c>
      <c r="M1833" s="20">
        <v>7613.02</v>
      </c>
      <c r="N1833" s="20">
        <v>15579.71</v>
      </c>
      <c r="O1833" s="20">
        <f t="shared" si="236"/>
        <v>-13358.85</v>
      </c>
      <c r="P1833" s="20" t="e">
        <f>#REF!-M1833</f>
        <v>#REF!</v>
      </c>
      <c r="Q1833" s="20" t="e">
        <f>#REF!-N1833</f>
        <v>#REF!</v>
      </c>
      <c r="R1833" s="17" t="str">
        <f t="shared" si="234"/>
        <v>01 0 00 00000000</v>
      </c>
    </row>
    <row r="1834" spans="1:18" s="16" customFormat="1" ht="47.25">
      <c r="A1834" s="14"/>
      <c r="B1834" s="125" t="s">
        <v>444</v>
      </c>
      <c r="C1834" s="109" t="s">
        <v>412</v>
      </c>
      <c r="D1834" s="108" t="s">
        <v>229</v>
      </c>
      <c r="E1834" s="108" t="s">
        <v>62</v>
      </c>
      <c r="F1834" s="108" t="s">
        <v>445</v>
      </c>
      <c r="G1834" s="108" t="s">
        <v>9</v>
      </c>
      <c r="H1834" s="126">
        <f t="shared" si="237"/>
        <v>0</v>
      </c>
      <c r="I1834" s="178" t="str">
        <f t="shared" si="235"/>
        <v>621070201 2 00 00000000</v>
      </c>
      <c r="L1834" s="20">
        <v>13358.85</v>
      </c>
      <c r="M1834" s="20">
        <v>7613.02</v>
      </c>
      <c r="N1834" s="20">
        <v>15579.71</v>
      </c>
      <c r="O1834" s="20">
        <f t="shared" si="236"/>
        <v>-13358.85</v>
      </c>
      <c r="P1834" s="20" t="e">
        <f>#REF!-M1834</f>
        <v>#REF!</v>
      </c>
      <c r="Q1834" s="20" t="e">
        <f>#REF!-N1834</f>
        <v>#REF!</v>
      </c>
      <c r="R1834" s="17" t="str">
        <f t="shared" si="234"/>
        <v>01 2 00 00000000</v>
      </c>
    </row>
    <row r="1835" spans="1:18" s="16" customFormat="1" ht="63">
      <c r="A1835" s="14"/>
      <c r="B1835" s="125" t="s">
        <v>936</v>
      </c>
      <c r="C1835" s="109" t="s">
        <v>412</v>
      </c>
      <c r="D1835" s="108" t="s">
        <v>229</v>
      </c>
      <c r="E1835" s="108" t="s">
        <v>62</v>
      </c>
      <c r="F1835" s="108" t="s">
        <v>447</v>
      </c>
      <c r="G1835" s="108" t="s">
        <v>9</v>
      </c>
      <c r="H1835" s="126">
        <f>H1836+H1839</f>
        <v>0</v>
      </c>
      <c r="I1835" s="178" t="str">
        <f t="shared" si="235"/>
        <v>621070201 2 01 00000000</v>
      </c>
      <c r="L1835" s="20">
        <v>13358.85</v>
      </c>
      <c r="M1835" s="20">
        <v>7613.02</v>
      </c>
      <c r="N1835" s="20">
        <v>15579.71</v>
      </c>
      <c r="O1835" s="20">
        <f t="shared" si="236"/>
        <v>-13358.85</v>
      </c>
      <c r="P1835" s="20" t="e">
        <f>#REF!-M1835</f>
        <v>#REF!</v>
      </c>
      <c r="Q1835" s="20" t="e">
        <f>#REF!-N1835</f>
        <v>#REF!</v>
      </c>
      <c r="R1835" s="17" t="str">
        <f t="shared" si="234"/>
        <v>01 2 01 00000000</v>
      </c>
    </row>
    <row r="1836" spans="1:18" s="16" customFormat="1" ht="47.25">
      <c r="A1836" s="14"/>
      <c r="B1836" s="125" t="s">
        <v>448</v>
      </c>
      <c r="C1836" s="109" t="s">
        <v>412</v>
      </c>
      <c r="D1836" s="108" t="s">
        <v>229</v>
      </c>
      <c r="E1836" s="108" t="s">
        <v>62</v>
      </c>
      <c r="F1836" s="108" t="s">
        <v>449</v>
      </c>
      <c r="G1836" s="108" t="s">
        <v>9</v>
      </c>
      <c r="H1836" s="126">
        <f>H1837</f>
        <v>0</v>
      </c>
      <c r="I1836" s="178" t="str">
        <f t="shared" si="235"/>
        <v>621070201 2 01 40010000</v>
      </c>
      <c r="L1836" s="20">
        <v>13358.85</v>
      </c>
      <c r="M1836" s="20">
        <v>7613.02</v>
      </c>
      <c r="N1836" s="20">
        <v>15579.71</v>
      </c>
      <c r="O1836" s="20">
        <f t="shared" si="236"/>
        <v>-13358.85</v>
      </c>
      <c r="P1836" s="20" t="e">
        <f>#REF!-M1836</f>
        <v>#REF!</v>
      </c>
      <c r="Q1836" s="20" t="e">
        <f>#REF!-N1836</f>
        <v>#REF!</v>
      </c>
      <c r="R1836" s="17" t="str">
        <f t="shared" si="234"/>
        <v>01 2 01 40010000</v>
      </c>
    </row>
    <row r="1837" spans="1:18" s="16" customFormat="1" ht="15.75">
      <c r="A1837" s="14"/>
      <c r="B1837" s="125" t="s">
        <v>937</v>
      </c>
      <c r="C1837" s="109" t="s">
        <v>412</v>
      </c>
      <c r="D1837" s="108" t="s">
        <v>229</v>
      </c>
      <c r="E1837" s="108" t="s">
        <v>62</v>
      </c>
      <c r="F1837" s="108" t="s">
        <v>449</v>
      </c>
      <c r="G1837" s="108" t="s">
        <v>838</v>
      </c>
      <c r="H1837" s="126">
        <f>H1838</f>
        <v>0</v>
      </c>
      <c r="I1837" s="178" t="str">
        <f t="shared" si="235"/>
        <v>621070201 2 01 40010410</v>
      </c>
      <c r="L1837" s="20">
        <v>13358.85</v>
      </c>
      <c r="M1837" s="20">
        <v>7613.02</v>
      </c>
      <c r="N1837" s="20">
        <v>15579.71</v>
      </c>
      <c r="O1837" s="20">
        <f t="shared" si="236"/>
        <v>-13358.85</v>
      </c>
      <c r="P1837" s="20" t="e">
        <f>#REF!-M1837</f>
        <v>#REF!</v>
      </c>
      <c r="Q1837" s="20" t="e">
        <f>#REF!-N1837</f>
        <v>#REF!</v>
      </c>
      <c r="R1837" s="17" t="str">
        <f t="shared" si="234"/>
        <v>01 2 01 40010410</v>
      </c>
    </row>
    <row r="1838" spans="1:18" s="16" customFormat="1" ht="47.25">
      <c r="A1838" s="14"/>
      <c r="B1838" s="125" t="s">
        <v>839</v>
      </c>
      <c r="C1838" s="109" t="s">
        <v>412</v>
      </c>
      <c r="D1838" s="108" t="s">
        <v>229</v>
      </c>
      <c r="E1838" s="108" t="s">
        <v>62</v>
      </c>
      <c r="F1838" s="108" t="s">
        <v>449</v>
      </c>
      <c r="G1838" s="108" t="s">
        <v>840</v>
      </c>
      <c r="H1838" s="126"/>
      <c r="I1838" s="178" t="str">
        <f t="shared" si="235"/>
        <v>621070201 2 01 40010414</v>
      </c>
      <c r="L1838" s="20"/>
      <c r="M1838" s="20"/>
      <c r="N1838" s="20"/>
      <c r="O1838" s="20"/>
      <c r="P1838" s="20"/>
      <c r="Q1838" s="20"/>
      <c r="R1838" s="17" t="str">
        <f t="shared" si="234"/>
        <v>01 2 01 40010414</v>
      </c>
    </row>
    <row r="1839" spans="1:18" s="16" customFormat="1" ht="47.25">
      <c r="A1839" s="14"/>
      <c r="B1839" s="125" t="s">
        <v>1077</v>
      </c>
      <c r="C1839" s="109" t="s">
        <v>412</v>
      </c>
      <c r="D1839" s="108" t="s">
        <v>229</v>
      </c>
      <c r="E1839" s="108" t="s">
        <v>62</v>
      </c>
      <c r="F1839" s="108" t="s">
        <v>1078</v>
      </c>
      <c r="G1839" s="108" t="s">
        <v>9</v>
      </c>
      <c r="H1839" s="126">
        <f>H1840</f>
        <v>0</v>
      </c>
      <c r="I1839" s="178" t="str">
        <f t="shared" si="235"/>
        <v>621070201 2 01 R5200000</v>
      </c>
      <c r="L1839" s="20"/>
      <c r="M1839" s="20"/>
      <c r="N1839" s="20"/>
      <c r="O1839" s="20"/>
      <c r="P1839" s="20"/>
      <c r="Q1839" s="20"/>
      <c r="R1839" s="17"/>
    </row>
    <row r="1840" spans="1:18" s="16" customFormat="1" ht="15.75">
      <c r="A1840" s="14"/>
      <c r="B1840" s="125" t="s">
        <v>937</v>
      </c>
      <c r="C1840" s="109" t="s">
        <v>412</v>
      </c>
      <c r="D1840" s="108" t="s">
        <v>229</v>
      </c>
      <c r="E1840" s="108" t="s">
        <v>62</v>
      </c>
      <c r="F1840" s="108" t="s">
        <v>1078</v>
      </c>
      <c r="G1840" s="108" t="s">
        <v>838</v>
      </c>
      <c r="H1840" s="126">
        <f>H1841</f>
        <v>0</v>
      </c>
      <c r="I1840" s="178" t="str">
        <f t="shared" si="235"/>
        <v>621070201 2 01 R5200410</v>
      </c>
      <c r="L1840" s="20"/>
      <c r="M1840" s="20"/>
      <c r="N1840" s="20"/>
      <c r="O1840" s="20"/>
      <c r="P1840" s="20"/>
      <c r="Q1840" s="20"/>
      <c r="R1840" s="17"/>
    </row>
    <row r="1841" spans="1:18" s="16" customFormat="1" ht="47.25">
      <c r="A1841" s="14"/>
      <c r="B1841" s="125" t="s">
        <v>839</v>
      </c>
      <c r="C1841" s="109" t="s">
        <v>412</v>
      </c>
      <c r="D1841" s="108" t="s">
        <v>229</v>
      </c>
      <c r="E1841" s="108" t="s">
        <v>62</v>
      </c>
      <c r="F1841" s="108" t="s">
        <v>1078</v>
      </c>
      <c r="G1841" s="108" t="s">
        <v>840</v>
      </c>
      <c r="H1841" s="126"/>
      <c r="I1841" s="178" t="str">
        <f t="shared" si="235"/>
        <v>621070201 2 01 R5200414</v>
      </c>
      <c r="L1841" s="20"/>
      <c r="M1841" s="20"/>
      <c r="N1841" s="20"/>
      <c r="O1841" s="20"/>
      <c r="P1841" s="20"/>
      <c r="Q1841" s="20"/>
      <c r="R1841" s="17"/>
    </row>
    <row r="1842" spans="1:18" s="16" customFormat="1" ht="15.75">
      <c r="A1842" s="14"/>
      <c r="B1842" s="117" t="s">
        <v>569</v>
      </c>
      <c r="C1842" s="118" t="s">
        <v>412</v>
      </c>
      <c r="D1842" s="119" t="s">
        <v>238</v>
      </c>
      <c r="E1842" s="119" t="s">
        <v>7</v>
      </c>
      <c r="F1842" s="119" t="s">
        <v>8</v>
      </c>
      <c r="G1842" s="119" t="s">
        <v>9</v>
      </c>
      <c r="H1842" s="120">
        <f t="shared" ref="H1842" si="238">H1843</f>
        <v>0</v>
      </c>
      <c r="I1842" s="178" t="str">
        <f t="shared" si="235"/>
        <v>621080000 0 00 00000000</v>
      </c>
      <c r="L1842" s="18">
        <v>800</v>
      </c>
      <c r="M1842" s="18">
        <v>800</v>
      </c>
      <c r="N1842" s="18">
        <v>800</v>
      </c>
      <c r="O1842" s="18">
        <f t="shared" ref="O1842:O1848" si="239">H1842-L1842</f>
        <v>-800</v>
      </c>
      <c r="P1842" s="18" t="e">
        <f>#REF!-M1842</f>
        <v>#REF!</v>
      </c>
      <c r="Q1842" s="18" t="e">
        <f>#REF!-N1842</f>
        <v>#REF!</v>
      </c>
      <c r="R1842" s="17" t="str">
        <f t="shared" si="234"/>
        <v>00 0 00 00000000</v>
      </c>
    </row>
    <row r="1843" spans="1:18" s="16" customFormat="1" ht="15.75">
      <c r="A1843" s="14"/>
      <c r="B1843" s="121" t="s">
        <v>239</v>
      </c>
      <c r="C1843" s="122" t="s">
        <v>412</v>
      </c>
      <c r="D1843" s="123" t="s">
        <v>238</v>
      </c>
      <c r="E1843" s="123" t="s">
        <v>11</v>
      </c>
      <c r="F1843" s="123" t="s">
        <v>8</v>
      </c>
      <c r="G1843" s="123" t="s">
        <v>9</v>
      </c>
      <c r="H1843" s="124">
        <f>H1844</f>
        <v>0</v>
      </c>
      <c r="I1843" s="178" t="str">
        <f t="shared" si="235"/>
        <v>621080100 0 00 00000000</v>
      </c>
      <c r="L1843" s="19">
        <v>800</v>
      </c>
      <c r="M1843" s="19">
        <v>800</v>
      </c>
      <c r="N1843" s="19">
        <v>800</v>
      </c>
      <c r="O1843" s="19">
        <f t="shared" si="239"/>
        <v>-800</v>
      </c>
      <c r="P1843" s="19" t="e">
        <f>#REF!-M1843</f>
        <v>#REF!</v>
      </c>
      <c r="Q1843" s="19" t="e">
        <f>#REF!-N1843</f>
        <v>#REF!</v>
      </c>
      <c r="R1843" s="17" t="str">
        <f t="shared" si="234"/>
        <v>00 0 00 00000000</v>
      </c>
    </row>
    <row r="1844" spans="1:18" s="16" customFormat="1" ht="31.5">
      <c r="A1844" s="14"/>
      <c r="B1844" s="125" t="s">
        <v>240</v>
      </c>
      <c r="C1844" s="109" t="s">
        <v>412</v>
      </c>
      <c r="D1844" s="108" t="s">
        <v>238</v>
      </c>
      <c r="E1844" s="108" t="s">
        <v>11</v>
      </c>
      <c r="F1844" s="131" t="s">
        <v>241</v>
      </c>
      <c r="G1844" s="108" t="s">
        <v>9</v>
      </c>
      <c r="H1844" s="126">
        <f>H1845</f>
        <v>0</v>
      </c>
      <c r="I1844" s="178" t="str">
        <f t="shared" si="235"/>
        <v>621080107 0 00 00000000</v>
      </c>
      <c r="L1844" s="20">
        <v>800</v>
      </c>
      <c r="M1844" s="20">
        <v>800</v>
      </c>
      <c r="N1844" s="20">
        <v>800</v>
      </c>
      <c r="O1844" s="20">
        <f t="shared" si="239"/>
        <v>-800</v>
      </c>
      <c r="P1844" s="20" t="e">
        <f>#REF!-M1844</f>
        <v>#REF!</v>
      </c>
      <c r="Q1844" s="20" t="e">
        <f>#REF!-N1844</f>
        <v>#REF!</v>
      </c>
      <c r="R1844" s="17" t="str">
        <f t="shared" si="234"/>
        <v>07 0 00 00000000</v>
      </c>
    </row>
    <row r="1845" spans="1:18" s="16" customFormat="1" ht="78.75">
      <c r="A1845" s="14"/>
      <c r="B1845" s="125" t="s">
        <v>384</v>
      </c>
      <c r="C1845" s="109" t="s">
        <v>412</v>
      </c>
      <c r="D1845" s="108" t="s">
        <v>238</v>
      </c>
      <c r="E1845" s="108" t="s">
        <v>11</v>
      </c>
      <c r="F1845" s="131" t="s">
        <v>243</v>
      </c>
      <c r="G1845" s="108" t="s">
        <v>9</v>
      </c>
      <c r="H1845" s="126">
        <f t="shared" ref="H1845:H1847" si="240">H1846</f>
        <v>0</v>
      </c>
      <c r="I1845" s="178" t="str">
        <f t="shared" si="235"/>
        <v>621080107 1 00 00000000</v>
      </c>
      <c r="L1845" s="20">
        <v>800</v>
      </c>
      <c r="M1845" s="20">
        <v>800</v>
      </c>
      <c r="N1845" s="20">
        <v>800</v>
      </c>
      <c r="O1845" s="20">
        <f t="shared" si="239"/>
        <v>-800</v>
      </c>
      <c r="P1845" s="20" t="e">
        <f>#REF!-M1845</f>
        <v>#REF!</v>
      </c>
      <c r="Q1845" s="20" t="e">
        <f>#REF!-N1845</f>
        <v>#REF!</v>
      </c>
      <c r="R1845" s="17" t="str">
        <f t="shared" si="234"/>
        <v>07 1 00 00000000</v>
      </c>
    </row>
    <row r="1846" spans="1:18" s="16" customFormat="1" ht="110.25">
      <c r="A1846" s="14"/>
      <c r="B1846" s="125" t="s">
        <v>244</v>
      </c>
      <c r="C1846" s="109" t="s">
        <v>412</v>
      </c>
      <c r="D1846" s="108" t="s">
        <v>238</v>
      </c>
      <c r="E1846" s="108" t="s">
        <v>11</v>
      </c>
      <c r="F1846" s="131" t="s">
        <v>245</v>
      </c>
      <c r="G1846" s="108" t="s">
        <v>9</v>
      </c>
      <c r="H1846" s="126">
        <f t="shared" si="240"/>
        <v>0</v>
      </c>
      <c r="I1846" s="178" t="str">
        <f t="shared" si="235"/>
        <v>621080107 1 01 00000000</v>
      </c>
      <c r="L1846" s="20">
        <v>800</v>
      </c>
      <c r="M1846" s="20">
        <v>800</v>
      </c>
      <c r="N1846" s="20">
        <v>800</v>
      </c>
      <c r="O1846" s="20">
        <f t="shared" si="239"/>
        <v>-800</v>
      </c>
      <c r="P1846" s="20" t="e">
        <f>#REF!-M1846</f>
        <v>#REF!</v>
      </c>
      <c r="Q1846" s="20" t="e">
        <f>#REF!-N1846</f>
        <v>#REF!</v>
      </c>
      <c r="R1846" s="17" t="str">
        <f t="shared" si="234"/>
        <v>07 1 01 00000000</v>
      </c>
    </row>
    <row r="1847" spans="1:18" s="16" customFormat="1" ht="31.5">
      <c r="A1847" s="14"/>
      <c r="B1847" s="125" t="s">
        <v>246</v>
      </c>
      <c r="C1847" s="109" t="s">
        <v>412</v>
      </c>
      <c r="D1847" s="108" t="s">
        <v>238</v>
      </c>
      <c r="E1847" s="108" t="s">
        <v>11</v>
      </c>
      <c r="F1847" s="131" t="s">
        <v>247</v>
      </c>
      <c r="G1847" s="108" t="s">
        <v>9</v>
      </c>
      <c r="H1847" s="126">
        <f t="shared" si="240"/>
        <v>0</v>
      </c>
      <c r="I1847" s="178" t="str">
        <f t="shared" si="235"/>
        <v>621080107 1 01 20060000</v>
      </c>
      <c r="L1847" s="20">
        <v>800</v>
      </c>
      <c r="M1847" s="20">
        <v>800</v>
      </c>
      <c r="N1847" s="20">
        <v>800</v>
      </c>
      <c r="O1847" s="20">
        <f t="shared" si="239"/>
        <v>-800</v>
      </c>
      <c r="P1847" s="20" t="e">
        <f>#REF!-M1847</f>
        <v>#REF!</v>
      </c>
      <c r="Q1847" s="20" t="e">
        <f>#REF!-N1847</f>
        <v>#REF!</v>
      </c>
      <c r="R1847" s="17" t="str">
        <f t="shared" si="234"/>
        <v>07 1 01 20060000</v>
      </c>
    </row>
    <row r="1848" spans="1:18" s="16" customFormat="1" ht="31.5">
      <c r="A1848" s="14"/>
      <c r="B1848" s="127" t="s">
        <v>28</v>
      </c>
      <c r="C1848" s="109" t="s">
        <v>412</v>
      </c>
      <c r="D1848" s="108" t="s">
        <v>238</v>
      </c>
      <c r="E1848" s="108" t="s">
        <v>11</v>
      </c>
      <c r="F1848" s="131" t="s">
        <v>247</v>
      </c>
      <c r="G1848" s="108" t="s">
        <v>29</v>
      </c>
      <c r="H1848" s="126">
        <f>H1849</f>
        <v>0</v>
      </c>
      <c r="I1848" s="178" t="str">
        <f t="shared" si="235"/>
        <v>621080107 1 01 20060240</v>
      </c>
      <c r="L1848" s="20">
        <v>800</v>
      </c>
      <c r="M1848" s="20">
        <v>800</v>
      </c>
      <c r="N1848" s="20">
        <v>800</v>
      </c>
      <c r="O1848" s="20">
        <f t="shared" si="239"/>
        <v>-800</v>
      </c>
      <c r="P1848" s="20" t="e">
        <f>#REF!-M1848</f>
        <v>#REF!</v>
      </c>
      <c r="Q1848" s="20" t="e">
        <f>#REF!-N1848</f>
        <v>#REF!</v>
      </c>
      <c r="R1848" s="17" t="str">
        <f t="shared" si="234"/>
        <v>07 1 01 20060240</v>
      </c>
    </row>
    <row r="1849" spans="1:18" s="16" customFormat="1" ht="15.75">
      <c r="A1849" s="14"/>
      <c r="B1849" s="125" t="s">
        <v>30</v>
      </c>
      <c r="C1849" s="109" t="s">
        <v>412</v>
      </c>
      <c r="D1849" s="108" t="s">
        <v>238</v>
      </c>
      <c r="E1849" s="108" t="s">
        <v>11</v>
      </c>
      <c r="F1849" s="131" t="s">
        <v>247</v>
      </c>
      <c r="G1849" s="108" t="s">
        <v>31</v>
      </c>
      <c r="H1849" s="126"/>
      <c r="I1849" s="178" t="str">
        <f t="shared" si="235"/>
        <v>621080107 1 01 20060244</v>
      </c>
      <c r="L1849" s="20"/>
      <c r="M1849" s="20"/>
      <c r="N1849" s="20"/>
      <c r="O1849" s="20"/>
      <c r="P1849" s="20"/>
      <c r="Q1849" s="20"/>
      <c r="R1849" s="17"/>
    </row>
    <row r="1850" spans="1:18" s="16" customFormat="1" ht="15.75">
      <c r="A1850" s="14"/>
      <c r="B1850" s="117" t="s">
        <v>707</v>
      </c>
      <c r="C1850" s="118" t="s">
        <v>412</v>
      </c>
      <c r="D1850" s="119" t="s">
        <v>342</v>
      </c>
      <c r="E1850" s="119" t="s">
        <v>7</v>
      </c>
      <c r="F1850" s="119" t="s">
        <v>8</v>
      </c>
      <c r="G1850" s="119" t="s">
        <v>9</v>
      </c>
      <c r="H1850" s="120">
        <f t="shared" ref="H1850:H1856" si="241">H1851</f>
        <v>0</v>
      </c>
      <c r="I1850" s="178" t="str">
        <f t="shared" si="235"/>
        <v>621110000 0 00 00000000</v>
      </c>
      <c r="L1850" s="20"/>
      <c r="M1850" s="20"/>
      <c r="N1850" s="20"/>
      <c r="O1850" s="20"/>
      <c r="P1850" s="20"/>
      <c r="Q1850" s="20"/>
      <c r="R1850" s="17"/>
    </row>
    <row r="1851" spans="1:18" s="16" customFormat="1" ht="15.75">
      <c r="A1851" s="14"/>
      <c r="B1851" s="121" t="s">
        <v>712</v>
      </c>
      <c r="C1851" s="122" t="s">
        <v>412</v>
      </c>
      <c r="D1851" s="123" t="s">
        <v>342</v>
      </c>
      <c r="E1851" s="123" t="s">
        <v>62</v>
      </c>
      <c r="F1851" s="123" t="s">
        <v>8</v>
      </c>
      <c r="G1851" s="123" t="s">
        <v>9</v>
      </c>
      <c r="H1851" s="124">
        <f t="shared" si="241"/>
        <v>0</v>
      </c>
      <c r="I1851" s="178" t="str">
        <f t="shared" si="235"/>
        <v>621110200 0 00 00000000</v>
      </c>
      <c r="L1851" s="20"/>
      <c r="M1851" s="20"/>
      <c r="N1851" s="20"/>
      <c r="O1851" s="20"/>
      <c r="P1851" s="20"/>
      <c r="Q1851" s="20"/>
      <c r="R1851" s="17"/>
    </row>
    <row r="1852" spans="1:18" s="16" customFormat="1" ht="31.5">
      <c r="A1852" s="14"/>
      <c r="B1852" s="125" t="s">
        <v>700</v>
      </c>
      <c r="C1852" s="109" t="s">
        <v>412</v>
      </c>
      <c r="D1852" s="108" t="s">
        <v>342</v>
      </c>
      <c r="E1852" s="108" t="s">
        <v>62</v>
      </c>
      <c r="F1852" s="108" t="s">
        <v>701</v>
      </c>
      <c r="G1852" s="108" t="s">
        <v>9</v>
      </c>
      <c r="H1852" s="126">
        <f t="shared" si="241"/>
        <v>0</v>
      </c>
      <c r="I1852" s="178" t="str">
        <f t="shared" si="235"/>
        <v>621110208 0 00 00000000</v>
      </c>
      <c r="L1852" s="20"/>
      <c r="M1852" s="20"/>
      <c r="N1852" s="20"/>
      <c r="O1852" s="20"/>
      <c r="P1852" s="20"/>
      <c r="Q1852" s="20"/>
      <c r="R1852" s="17"/>
    </row>
    <row r="1853" spans="1:18" s="16" customFormat="1" ht="47.25">
      <c r="A1853" s="14"/>
      <c r="B1853" s="125" t="s">
        <v>702</v>
      </c>
      <c r="C1853" s="109" t="s">
        <v>412</v>
      </c>
      <c r="D1853" s="108" t="s">
        <v>342</v>
      </c>
      <c r="E1853" s="108" t="s">
        <v>62</v>
      </c>
      <c r="F1853" s="108" t="s">
        <v>703</v>
      </c>
      <c r="G1853" s="108" t="s">
        <v>9</v>
      </c>
      <c r="H1853" s="126">
        <f t="shared" si="241"/>
        <v>0</v>
      </c>
      <c r="I1853" s="178" t="str">
        <f t="shared" si="235"/>
        <v>621110208 1 00 00000000</v>
      </c>
      <c r="L1853" s="20"/>
      <c r="M1853" s="20"/>
      <c r="N1853" s="20"/>
      <c r="O1853" s="20"/>
      <c r="P1853" s="20"/>
      <c r="Q1853" s="20"/>
      <c r="R1853" s="17"/>
    </row>
    <row r="1854" spans="1:18" s="16" customFormat="1" ht="31.5">
      <c r="A1854" s="14"/>
      <c r="B1854" s="132" t="s">
        <v>1080</v>
      </c>
      <c r="C1854" s="109" t="s">
        <v>412</v>
      </c>
      <c r="D1854" s="108" t="s">
        <v>342</v>
      </c>
      <c r="E1854" s="108" t="s">
        <v>62</v>
      </c>
      <c r="F1854" s="108" t="s">
        <v>1081</v>
      </c>
      <c r="G1854" s="108" t="s">
        <v>9</v>
      </c>
      <c r="H1854" s="126">
        <f t="shared" si="241"/>
        <v>0</v>
      </c>
      <c r="I1854" s="178" t="str">
        <f t="shared" si="235"/>
        <v>621110208 1 04 00000000</v>
      </c>
      <c r="L1854" s="20"/>
      <c r="M1854" s="20"/>
      <c r="N1854" s="20"/>
      <c r="O1854" s="20"/>
      <c r="P1854" s="20"/>
      <c r="Q1854" s="20"/>
      <c r="R1854" s="17"/>
    </row>
    <row r="1855" spans="1:18" s="16" customFormat="1" ht="63">
      <c r="A1855" s="14"/>
      <c r="B1855" s="132" t="s">
        <v>1082</v>
      </c>
      <c r="C1855" s="109" t="s">
        <v>412</v>
      </c>
      <c r="D1855" s="108" t="s">
        <v>342</v>
      </c>
      <c r="E1855" s="108" t="s">
        <v>62</v>
      </c>
      <c r="F1855" s="108" t="s">
        <v>1083</v>
      </c>
      <c r="G1855" s="108" t="s">
        <v>9</v>
      </c>
      <c r="H1855" s="126">
        <f t="shared" si="241"/>
        <v>0</v>
      </c>
      <c r="I1855" s="178" t="str">
        <f t="shared" si="235"/>
        <v>621110208 1 04 21380000</v>
      </c>
      <c r="L1855" s="20"/>
      <c r="M1855" s="20"/>
      <c r="N1855" s="20"/>
      <c r="O1855" s="20"/>
      <c r="P1855" s="20"/>
      <c r="Q1855" s="20"/>
      <c r="R1855" s="17"/>
    </row>
    <row r="1856" spans="1:18" s="16" customFormat="1" ht="31.5">
      <c r="A1856" s="14"/>
      <c r="B1856" s="125" t="s">
        <v>28</v>
      </c>
      <c r="C1856" s="109" t="s">
        <v>412</v>
      </c>
      <c r="D1856" s="108" t="s">
        <v>342</v>
      </c>
      <c r="E1856" s="108" t="s">
        <v>62</v>
      </c>
      <c r="F1856" s="108" t="s">
        <v>1083</v>
      </c>
      <c r="G1856" s="108" t="s">
        <v>29</v>
      </c>
      <c r="H1856" s="126">
        <f t="shared" si="241"/>
        <v>0</v>
      </c>
      <c r="I1856" s="178" t="str">
        <f t="shared" si="235"/>
        <v>621110208 1 04 21380240</v>
      </c>
      <c r="L1856" s="20"/>
      <c r="M1856" s="20"/>
      <c r="N1856" s="20"/>
      <c r="O1856" s="20"/>
      <c r="P1856" s="20"/>
      <c r="Q1856" s="20"/>
      <c r="R1856" s="17"/>
    </row>
    <row r="1857" spans="1:18" s="16" customFormat="1" ht="15.75">
      <c r="A1857" s="14"/>
      <c r="B1857" s="125" t="s">
        <v>30</v>
      </c>
      <c r="C1857" s="109" t="s">
        <v>412</v>
      </c>
      <c r="D1857" s="108" t="s">
        <v>342</v>
      </c>
      <c r="E1857" s="108" t="s">
        <v>62</v>
      </c>
      <c r="F1857" s="108" t="s">
        <v>1083</v>
      </c>
      <c r="G1857" s="108" t="s">
        <v>31</v>
      </c>
      <c r="H1857" s="126"/>
      <c r="I1857" s="178" t="str">
        <f t="shared" si="235"/>
        <v>621110208 1 04 21380244</v>
      </c>
      <c r="L1857" s="20"/>
      <c r="M1857" s="20"/>
      <c r="N1857" s="20"/>
      <c r="O1857" s="20"/>
      <c r="P1857" s="20"/>
      <c r="Q1857" s="20"/>
      <c r="R1857" s="17"/>
    </row>
    <row r="1858" spans="1:18" s="16" customFormat="1" ht="15.75">
      <c r="A1858" s="14"/>
      <c r="B1858" s="125"/>
      <c r="C1858" s="109"/>
      <c r="D1858" s="108"/>
      <c r="E1858" s="108"/>
      <c r="F1858" s="108"/>
      <c r="G1858" s="108"/>
      <c r="H1858" s="126"/>
      <c r="I1858" s="178" t="str">
        <f t="shared" si="235"/>
        <v/>
      </c>
      <c r="L1858" s="20"/>
      <c r="M1858" s="20"/>
      <c r="N1858" s="20"/>
      <c r="O1858" s="20">
        <f t="shared" ref="O1858:O1866" si="242">H1858-L1858</f>
        <v>0</v>
      </c>
      <c r="P1858" s="20" t="e">
        <f>#REF!-M1858</f>
        <v>#REF!</v>
      </c>
      <c r="Q1858" s="20" t="e">
        <f>#REF!-N1858</f>
        <v>#REF!</v>
      </c>
      <c r="R1858" s="17" t="str">
        <f t="shared" si="234"/>
        <v/>
      </c>
    </row>
    <row r="1859" spans="1:18" s="16" customFormat="1" ht="47.25">
      <c r="A1859" s="14"/>
      <c r="B1859" s="67" t="s">
        <v>938</v>
      </c>
      <c r="C1859" s="116" t="s">
        <v>939</v>
      </c>
      <c r="D1859" s="69" t="s">
        <v>7</v>
      </c>
      <c r="E1859" s="69" t="s">
        <v>7</v>
      </c>
      <c r="F1859" s="69" t="s">
        <v>8</v>
      </c>
      <c r="G1859" s="69" t="s">
        <v>9</v>
      </c>
      <c r="H1859" s="70">
        <f>H1860</f>
        <v>0</v>
      </c>
      <c r="I1859" s="178" t="str">
        <f t="shared" si="235"/>
        <v>624000000 0 00 00000000</v>
      </c>
      <c r="L1859" s="25">
        <v>71663.040000000008</v>
      </c>
      <c r="M1859" s="25">
        <v>71312.98000000001</v>
      </c>
      <c r="N1859" s="25">
        <v>71312.98000000001</v>
      </c>
      <c r="O1859" s="25">
        <f t="shared" si="242"/>
        <v>-71663.040000000008</v>
      </c>
      <c r="P1859" s="25" t="e">
        <f>#REF!-M1859</f>
        <v>#REF!</v>
      </c>
      <c r="Q1859" s="25" t="e">
        <f>#REF!-N1859</f>
        <v>#REF!</v>
      </c>
      <c r="R1859" s="17" t="str">
        <f t="shared" si="234"/>
        <v>00 0 00 00000000</v>
      </c>
    </row>
    <row r="1860" spans="1:18" s="16" customFormat="1" ht="31.5">
      <c r="A1860" s="14"/>
      <c r="B1860" s="117" t="s">
        <v>940</v>
      </c>
      <c r="C1860" s="118" t="s">
        <v>939</v>
      </c>
      <c r="D1860" s="119" t="s">
        <v>13</v>
      </c>
      <c r="E1860" s="119" t="s">
        <v>7</v>
      </c>
      <c r="F1860" s="119" t="s">
        <v>8</v>
      </c>
      <c r="G1860" s="119" t="s">
        <v>9</v>
      </c>
      <c r="H1860" s="120">
        <f t="shared" ref="H1860" si="243">H1861</f>
        <v>0</v>
      </c>
      <c r="I1860" s="178" t="str">
        <f t="shared" si="235"/>
        <v>624030000 0 00 00000000</v>
      </c>
      <c r="L1860" s="18">
        <v>71663.040000000008</v>
      </c>
      <c r="M1860" s="18">
        <v>71312.98000000001</v>
      </c>
      <c r="N1860" s="18">
        <v>71312.98000000001</v>
      </c>
      <c r="O1860" s="18">
        <f t="shared" si="242"/>
        <v>-71663.040000000008</v>
      </c>
      <c r="P1860" s="18" t="e">
        <f>#REF!-M1860</f>
        <v>#REF!</v>
      </c>
      <c r="Q1860" s="18" t="e">
        <f>#REF!-N1860</f>
        <v>#REF!</v>
      </c>
      <c r="R1860" s="17" t="str">
        <f t="shared" si="234"/>
        <v>00 0 00 00000000</v>
      </c>
    </row>
    <row r="1861" spans="1:18" s="16" customFormat="1" ht="47.25">
      <c r="A1861" s="14"/>
      <c r="B1861" s="121" t="s">
        <v>941</v>
      </c>
      <c r="C1861" s="122" t="s">
        <v>939</v>
      </c>
      <c r="D1861" s="123" t="s">
        <v>13</v>
      </c>
      <c r="E1861" s="123" t="s">
        <v>471</v>
      </c>
      <c r="F1861" s="123" t="s">
        <v>8</v>
      </c>
      <c r="G1861" s="123" t="s">
        <v>9</v>
      </c>
      <c r="H1861" s="124">
        <f>H1862+H1868+H1920</f>
        <v>0</v>
      </c>
      <c r="I1861" s="178" t="str">
        <f t="shared" si="235"/>
        <v>624030900 0 00 00000000</v>
      </c>
      <c r="L1861" s="19">
        <v>71663.040000000008</v>
      </c>
      <c r="M1861" s="19">
        <v>71312.98000000001</v>
      </c>
      <c r="N1861" s="19">
        <v>71312.98000000001</v>
      </c>
      <c r="O1861" s="19">
        <f t="shared" si="242"/>
        <v>-71663.040000000008</v>
      </c>
      <c r="P1861" s="19" t="e">
        <f>#REF!-M1861</f>
        <v>#REF!</v>
      </c>
      <c r="Q1861" s="19" t="e">
        <f>#REF!-N1861</f>
        <v>#REF!</v>
      </c>
      <c r="R1861" s="17" t="str">
        <f t="shared" si="234"/>
        <v>00 0 00 00000000</v>
      </c>
    </row>
    <row r="1862" spans="1:18" s="16" customFormat="1" ht="47.25">
      <c r="A1862" s="14"/>
      <c r="B1862" s="148" t="s">
        <v>146</v>
      </c>
      <c r="C1862" s="109" t="s">
        <v>939</v>
      </c>
      <c r="D1862" s="108" t="s">
        <v>13</v>
      </c>
      <c r="E1862" s="108" t="s">
        <v>471</v>
      </c>
      <c r="F1862" s="108" t="s">
        <v>147</v>
      </c>
      <c r="G1862" s="108" t="s">
        <v>9</v>
      </c>
      <c r="H1862" s="126">
        <f>H1863</f>
        <v>0</v>
      </c>
      <c r="I1862" s="178" t="str">
        <f t="shared" si="235"/>
        <v>624030915 0 00 00000000</v>
      </c>
      <c r="L1862" s="20">
        <v>22.95</v>
      </c>
      <c r="M1862" s="20">
        <v>22.95</v>
      </c>
      <c r="N1862" s="20">
        <v>22.95</v>
      </c>
      <c r="O1862" s="20">
        <f t="shared" si="242"/>
        <v>-22.95</v>
      </c>
      <c r="P1862" s="20" t="e">
        <f>#REF!-M1862</f>
        <v>#REF!</v>
      </c>
      <c r="Q1862" s="20" t="e">
        <f>#REF!-N1862</f>
        <v>#REF!</v>
      </c>
      <c r="R1862" s="17" t="str">
        <f t="shared" si="234"/>
        <v>15 0 00 00000000</v>
      </c>
    </row>
    <row r="1863" spans="1:18" s="66" customFormat="1" ht="31.5">
      <c r="A1863" s="65"/>
      <c r="B1863" s="125" t="s">
        <v>168</v>
      </c>
      <c r="C1863" s="109" t="s">
        <v>939</v>
      </c>
      <c r="D1863" s="108" t="s">
        <v>13</v>
      </c>
      <c r="E1863" s="108" t="s">
        <v>471</v>
      </c>
      <c r="F1863" s="108" t="s">
        <v>169</v>
      </c>
      <c r="G1863" s="108" t="s">
        <v>9</v>
      </c>
      <c r="H1863" s="126">
        <f t="shared" ref="H1863:H1865" si="244">H1864</f>
        <v>0</v>
      </c>
      <c r="I1863" s="178" t="str">
        <f t="shared" si="235"/>
        <v>624030915 3 00 00000000</v>
      </c>
      <c r="L1863" s="20">
        <v>22.95</v>
      </c>
      <c r="M1863" s="20">
        <v>22.95</v>
      </c>
      <c r="N1863" s="20">
        <v>22.95</v>
      </c>
      <c r="O1863" s="20">
        <f t="shared" si="242"/>
        <v>-22.95</v>
      </c>
      <c r="P1863" s="20" t="e">
        <f>#REF!-M1863</f>
        <v>#REF!</v>
      </c>
      <c r="Q1863" s="20" t="e">
        <f>#REF!-N1863</f>
        <v>#REF!</v>
      </c>
      <c r="R1863" s="17" t="str">
        <f t="shared" si="234"/>
        <v>15 3 00 00000000</v>
      </c>
    </row>
    <row r="1864" spans="1:18" s="16" customFormat="1" ht="31.5">
      <c r="A1864" s="14"/>
      <c r="B1864" s="148" t="s">
        <v>942</v>
      </c>
      <c r="C1864" s="109" t="s">
        <v>939</v>
      </c>
      <c r="D1864" s="108" t="s">
        <v>13</v>
      </c>
      <c r="E1864" s="108" t="s">
        <v>471</v>
      </c>
      <c r="F1864" s="108" t="s">
        <v>943</v>
      </c>
      <c r="G1864" s="108" t="s">
        <v>9</v>
      </c>
      <c r="H1864" s="126">
        <f t="shared" si="244"/>
        <v>0</v>
      </c>
      <c r="I1864" s="178" t="str">
        <f t="shared" si="235"/>
        <v>624030915 3 02 00000000</v>
      </c>
      <c r="L1864" s="20">
        <v>22.95</v>
      </c>
      <c r="M1864" s="20">
        <v>22.95</v>
      </c>
      <c r="N1864" s="20">
        <v>22.95</v>
      </c>
      <c r="O1864" s="20">
        <f t="shared" si="242"/>
        <v>-22.95</v>
      </c>
      <c r="P1864" s="20" t="e">
        <f>#REF!-M1864</f>
        <v>#REF!</v>
      </c>
      <c r="Q1864" s="20" t="e">
        <f>#REF!-N1864</f>
        <v>#REF!</v>
      </c>
      <c r="R1864" s="17" t="str">
        <f t="shared" si="234"/>
        <v>15 3 02 00000000</v>
      </c>
    </row>
    <row r="1865" spans="1:18" s="16" customFormat="1" ht="47.25">
      <c r="A1865" s="14"/>
      <c r="B1865" s="148" t="s">
        <v>944</v>
      </c>
      <c r="C1865" s="109" t="s">
        <v>939</v>
      </c>
      <c r="D1865" s="108" t="s">
        <v>13</v>
      </c>
      <c r="E1865" s="108" t="s">
        <v>471</v>
      </c>
      <c r="F1865" s="108" t="s">
        <v>945</v>
      </c>
      <c r="G1865" s="108" t="s">
        <v>9</v>
      </c>
      <c r="H1865" s="126">
        <f t="shared" si="244"/>
        <v>0</v>
      </c>
      <c r="I1865" s="178" t="str">
        <f t="shared" si="235"/>
        <v>624030915 3 02 21290000</v>
      </c>
      <c r="L1865" s="20">
        <v>22.95</v>
      </c>
      <c r="M1865" s="20">
        <v>22.95</v>
      </c>
      <c r="N1865" s="20">
        <v>22.95</v>
      </c>
      <c r="O1865" s="20">
        <f t="shared" si="242"/>
        <v>-22.95</v>
      </c>
      <c r="P1865" s="20" t="e">
        <f>#REF!-M1865</f>
        <v>#REF!</v>
      </c>
      <c r="Q1865" s="20" t="e">
        <f>#REF!-N1865</f>
        <v>#REF!</v>
      </c>
      <c r="R1865" s="17" t="str">
        <f t="shared" si="234"/>
        <v>15 3 02 21290000</v>
      </c>
    </row>
    <row r="1866" spans="1:18" s="16" customFormat="1" ht="31.5">
      <c r="A1866" s="14"/>
      <c r="B1866" s="148" t="s">
        <v>28</v>
      </c>
      <c r="C1866" s="109" t="s">
        <v>939</v>
      </c>
      <c r="D1866" s="108" t="s">
        <v>13</v>
      </c>
      <c r="E1866" s="108" t="s">
        <v>471</v>
      </c>
      <c r="F1866" s="108" t="s">
        <v>945</v>
      </c>
      <c r="G1866" s="108" t="s">
        <v>29</v>
      </c>
      <c r="H1866" s="126">
        <f>H1867</f>
        <v>0</v>
      </c>
      <c r="I1866" s="178" t="str">
        <f t="shared" si="235"/>
        <v>624030915 3 02 21290240</v>
      </c>
      <c r="L1866" s="20">
        <v>22.95</v>
      </c>
      <c r="M1866" s="20">
        <v>22.95</v>
      </c>
      <c r="N1866" s="20">
        <v>22.95</v>
      </c>
      <c r="O1866" s="20">
        <f t="shared" si="242"/>
        <v>-22.95</v>
      </c>
      <c r="P1866" s="20" t="e">
        <f>#REF!-M1866</f>
        <v>#REF!</v>
      </c>
      <c r="Q1866" s="20" t="e">
        <f>#REF!-N1866</f>
        <v>#REF!</v>
      </c>
      <c r="R1866" s="17" t="str">
        <f t="shared" si="234"/>
        <v>15 3 02 21290240</v>
      </c>
    </row>
    <row r="1867" spans="1:18" s="16" customFormat="1" ht="15.75">
      <c r="A1867" s="14"/>
      <c r="B1867" s="125" t="s">
        <v>30</v>
      </c>
      <c r="C1867" s="109" t="s">
        <v>939</v>
      </c>
      <c r="D1867" s="108" t="s">
        <v>13</v>
      </c>
      <c r="E1867" s="108" t="s">
        <v>471</v>
      </c>
      <c r="F1867" s="108" t="s">
        <v>945</v>
      </c>
      <c r="G1867" s="108" t="s">
        <v>31</v>
      </c>
      <c r="H1867" s="126"/>
      <c r="I1867" s="178" t="str">
        <f t="shared" si="235"/>
        <v>624030915 3 02 21290244</v>
      </c>
      <c r="L1867" s="20"/>
      <c r="M1867" s="20"/>
      <c r="N1867" s="20"/>
      <c r="O1867" s="20"/>
      <c r="P1867" s="20"/>
      <c r="Q1867" s="20"/>
      <c r="R1867" s="17"/>
    </row>
    <row r="1868" spans="1:18" s="16" customFormat="1" ht="94.5">
      <c r="A1868" s="14"/>
      <c r="B1868" s="125" t="s">
        <v>420</v>
      </c>
      <c r="C1868" s="109" t="s">
        <v>939</v>
      </c>
      <c r="D1868" s="108" t="s">
        <v>13</v>
      </c>
      <c r="E1868" s="108" t="s">
        <v>471</v>
      </c>
      <c r="F1868" s="108" t="s">
        <v>421</v>
      </c>
      <c r="G1868" s="108" t="s">
        <v>9</v>
      </c>
      <c r="H1868" s="126">
        <f>H1869+H1889+H1896</f>
        <v>0</v>
      </c>
      <c r="I1868" s="178" t="str">
        <f t="shared" si="235"/>
        <v>624030916 0 00 00000000</v>
      </c>
      <c r="L1868" s="20">
        <v>56290.600000000006</v>
      </c>
      <c r="M1868" s="20">
        <v>55940.540000000008</v>
      </c>
      <c r="N1868" s="20">
        <v>55940.540000000008</v>
      </c>
      <c r="O1868" s="20">
        <f>H1868-L1868</f>
        <v>-56290.600000000006</v>
      </c>
      <c r="P1868" s="20" t="e">
        <f>#REF!-M1868</f>
        <v>#REF!</v>
      </c>
      <c r="Q1868" s="20" t="e">
        <f>#REF!-N1868</f>
        <v>#REF!</v>
      </c>
      <c r="R1868" s="17" t="str">
        <f t="shared" si="234"/>
        <v>16 0 00 00000000</v>
      </c>
    </row>
    <row r="1869" spans="1:18" s="66" customFormat="1" ht="47.25">
      <c r="A1869" s="65"/>
      <c r="B1869" s="125" t="s">
        <v>946</v>
      </c>
      <c r="C1869" s="109" t="s">
        <v>939</v>
      </c>
      <c r="D1869" s="108" t="s">
        <v>13</v>
      </c>
      <c r="E1869" s="108" t="s">
        <v>471</v>
      </c>
      <c r="F1869" s="108" t="s">
        <v>947</v>
      </c>
      <c r="G1869" s="108" t="s">
        <v>9</v>
      </c>
      <c r="H1869" s="126">
        <f>H1870+H1874+H1885</f>
        <v>0</v>
      </c>
      <c r="I1869" s="178" t="str">
        <f t="shared" si="235"/>
        <v>624030916 1 00 00000000</v>
      </c>
      <c r="L1869" s="20">
        <v>31046.15</v>
      </c>
      <c r="M1869" s="20">
        <v>31046.15</v>
      </c>
      <c r="N1869" s="20">
        <v>31046.15</v>
      </c>
      <c r="O1869" s="20">
        <f>H1869-L1869</f>
        <v>-31046.15</v>
      </c>
      <c r="P1869" s="20" t="e">
        <f>#REF!-M1869</f>
        <v>#REF!</v>
      </c>
      <c r="Q1869" s="20" t="e">
        <f>#REF!-N1869</f>
        <v>#REF!</v>
      </c>
      <c r="R1869" s="17" t="str">
        <f t="shared" si="234"/>
        <v>16 1 00 00000000</v>
      </c>
    </row>
    <row r="1870" spans="1:18" s="16" customFormat="1" ht="63">
      <c r="A1870" s="14"/>
      <c r="B1870" s="125" t="s">
        <v>948</v>
      </c>
      <c r="C1870" s="109" t="s">
        <v>939</v>
      </c>
      <c r="D1870" s="108" t="s">
        <v>13</v>
      </c>
      <c r="E1870" s="108" t="s">
        <v>471</v>
      </c>
      <c r="F1870" s="108" t="s">
        <v>949</v>
      </c>
      <c r="G1870" s="108" t="s">
        <v>9</v>
      </c>
      <c r="H1870" s="126">
        <f t="shared" ref="H1870:H1871" si="245">H1871</f>
        <v>0</v>
      </c>
      <c r="I1870" s="178" t="str">
        <f t="shared" si="235"/>
        <v>624030916 1 01 00000000</v>
      </c>
      <c r="L1870" s="20">
        <v>100</v>
      </c>
      <c r="M1870" s="20">
        <v>100</v>
      </c>
      <c r="N1870" s="20">
        <v>100</v>
      </c>
      <c r="O1870" s="20">
        <f>H1870-L1870</f>
        <v>-100</v>
      </c>
      <c r="P1870" s="20" t="e">
        <f>#REF!-M1870</f>
        <v>#REF!</v>
      </c>
      <c r="Q1870" s="20" t="e">
        <f>#REF!-N1870</f>
        <v>#REF!</v>
      </c>
      <c r="R1870" s="17" t="str">
        <f t="shared" si="234"/>
        <v>16 1 01 00000000</v>
      </c>
    </row>
    <row r="1871" spans="1:18" s="16" customFormat="1" ht="78.75">
      <c r="A1871" s="14"/>
      <c r="B1871" s="148" t="s">
        <v>950</v>
      </c>
      <c r="C1871" s="109" t="s">
        <v>939</v>
      </c>
      <c r="D1871" s="108" t="s">
        <v>13</v>
      </c>
      <c r="E1871" s="108" t="s">
        <v>471</v>
      </c>
      <c r="F1871" s="108" t="s">
        <v>951</v>
      </c>
      <c r="G1871" s="108" t="s">
        <v>9</v>
      </c>
      <c r="H1871" s="126">
        <f t="shared" si="245"/>
        <v>0</v>
      </c>
      <c r="I1871" s="178" t="str">
        <f t="shared" si="235"/>
        <v>624030916 1 01 20120000</v>
      </c>
      <c r="L1871" s="20">
        <v>100</v>
      </c>
      <c r="M1871" s="20">
        <v>100</v>
      </c>
      <c r="N1871" s="20">
        <v>100</v>
      </c>
      <c r="O1871" s="20">
        <f>H1871-L1871</f>
        <v>-100</v>
      </c>
      <c r="P1871" s="20" t="e">
        <f>#REF!-M1871</f>
        <v>#REF!</v>
      </c>
      <c r="Q1871" s="20" t="e">
        <f>#REF!-N1871</f>
        <v>#REF!</v>
      </c>
      <c r="R1871" s="17" t="str">
        <f t="shared" si="234"/>
        <v>16 1 01 20120000</v>
      </c>
    </row>
    <row r="1872" spans="1:18" s="16" customFormat="1" ht="31.5">
      <c r="A1872" s="14"/>
      <c r="B1872" s="125" t="s">
        <v>28</v>
      </c>
      <c r="C1872" s="109" t="s">
        <v>939</v>
      </c>
      <c r="D1872" s="108" t="s">
        <v>13</v>
      </c>
      <c r="E1872" s="108" t="s">
        <v>471</v>
      </c>
      <c r="F1872" s="108" t="s">
        <v>951</v>
      </c>
      <c r="G1872" s="108" t="s">
        <v>29</v>
      </c>
      <c r="H1872" s="126">
        <f>H1873</f>
        <v>0</v>
      </c>
      <c r="I1872" s="178" t="str">
        <f t="shared" si="235"/>
        <v>624030916 1 01 20120240</v>
      </c>
      <c r="L1872" s="20">
        <v>100</v>
      </c>
      <c r="M1872" s="20">
        <v>100</v>
      </c>
      <c r="N1872" s="20">
        <v>100</v>
      </c>
      <c r="O1872" s="20">
        <f>H1872-L1872</f>
        <v>-100</v>
      </c>
      <c r="P1872" s="20" t="e">
        <f>#REF!-M1872</f>
        <v>#REF!</v>
      </c>
      <c r="Q1872" s="20" t="e">
        <f>#REF!-N1872</f>
        <v>#REF!</v>
      </c>
      <c r="R1872" s="17" t="str">
        <f t="shared" si="234"/>
        <v>16 1 01 20120240</v>
      </c>
    </row>
    <row r="1873" spans="1:18" s="16" customFormat="1" ht="15.75">
      <c r="A1873" s="14"/>
      <c r="B1873" s="125" t="s">
        <v>30</v>
      </c>
      <c r="C1873" s="109" t="s">
        <v>939</v>
      </c>
      <c r="D1873" s="108" t="s">
        <v>13</v>
      </c>
      <c r="E1873" s="108" t="s">
        <v>471</v>
      </c>
      <c r="F1873" s="108" t="s">
        <v>951</v>
      </c>
      <c r="G1873" s="108" t="s">
        <v>31</v>
      </c>
      <c r="H1873" s="126"/>
      <c r="I1873" s="178" t="str">
        <f t="shared" si="235"/>
        <v>624030916 1 01 20120244</v>
      </c>
      <c r="L1873" s="20"/>
      <c r="M1873" s="20"/>
      <c r="N1873" s="20"/>
      <c r="O1873" s="20"/>
      <c r="P1873" s="20"/>
      <c r="Q1873" s="20"/>
      <c r="R1873" s="17"/>
    </row>
    <row r="1874" spans="1:18" s="16" customFormat="1" ht="47.25">
      <c r="A1874" s="14"/>
      <c r="B1874" s="148" t="s">
        <v>952</v>
      </c>
      <c r="C1874" s="109" t="s">
        <v>939</v>
      </c>
      <c r="D1874" s="108" t="s">
        <v>13</v>
      </c>
      <c r="E1874" s="108" t="s">
        <v>471</v>
      </c>
      <c r="F1874" s="108" t="s">
        <v>953</v>
      </c>
      <c r="G1874" s="108" t="s">
        <v>9</v>
      </c>
      <c r="H1874" s="126">
        <f>H1875</f>
        <v>0</v>
      </c>
      <c r="I1874" s="178" t="str">
        <f t="shared" si="235"/>
        <v>624030916 1 02 00000000</v>
      </c>
      <c r="L1874" s="20">
        <v>30516.15</v>
      </c>
      <c r="M1874" s="20">
        <v>30516.15</v>
      </c>
      <c r="N1874" s="20">
        <v>30516.15</v>
      </c>
      <c r="O1874" s="20">
        <f>H1874-L1874</f>
        <v>-30516.15</v>
      </c>
      <c r="P1874" s="20" t="e">
        <f>#REF!-M1874</f>
        <v>#REF!</v>
      </c>
      <c r="Q1874" s="20" t="e">
        <f>#REF!-N1874</f>
        <v>#REF!</v>
      </c>
      <c r="R1874" s="17" t="str">
        <f t="shared" si="234"/>
        <v>16 1 02 00000000</v>
      </c>
    </row>
    <row r="1875" spans="1:18" s="16" customFormat="1" ht="31.5">
      <c r="A1875" s="14"/>
      <c r="B1875" s="148" t="s">
        <v>136</v>
      </c>
      <c r="C1875" s="109" t="s">
        <v>939</v>
      </c>
      <c r="D1875" s="108" t="s">
        <v>13</v>
      </c>
      <c r="E1875" s="108" t="s">
        <v>471</v>
      </c>
      <c r="F1875" s="108" t="s">
        <v>954</v>
      </c>
      <c r="G1875" s="108" t="s">
        <v>9</v>
      </c>
      <c r="H1875" s="126">
        <f>H1876+H1879+H1881</f>
        <v>0</v>
      </c>
      <c r="I1875" s="178" t="str">
        <f t="shared" si="235"/>
        <v>624030916 1 02 11010000</v>
      </c>
      <c r="L1875" s="20">
        <v>30516.15</v>
      </c>
      <c r="M1875" s="20">
        <v>30516.15</v>
      </c>
      <c r="N1875" s="20">
        <v>30516.15</v>
      </c>
      <c r="O1875" s="20">
        <f>H1875-L1875</f>
        <v>-30516.15</v>
      </c>
      <c r="P1875" s="20" t="e">
        <f>#REF!-M1875</f>
        <v>#REF!</v>
      </c>
      <c r="Q1875" s="20" t="e">
        <f>#REF!-N1875</f>
        <v>#REF!</v>
      </c>
      <c r="R1875" s="17" t="str">
        <f t="shared" si="234"/>
        <v>16 1 02 11010000</v>
      </c>
    </row>
    <row r="1876" spans="1:18" s="16" customFormat="1" ht="15.75">
      <c r="A1876" s="14"/>
      <c r="B1876" s="125" t="s">
        <v>138</v>
      </c>
      <c r="C1876" s="109" t="s">
        <v>939</v>
      </c>
      <c r="D1876" s="108" t="s">
        <v>13</v>
      </c>
      <c r="E1876" s="108" t="s">
        <v>471</v>
      </c>
      <c r="F1876" s="108" t="s">
        <v>954</v>
      </c>
      <c r="G1876" s="108" t="s">
        <v>139</v>
      </c>
      <c r="H1876" s="126">
        <f>SUM(H1877:H1878)</f>
        <v>0</v>
      </c>
      <c r="I1876" s="178" t="str">
        <f t="shared" si="235"/>
        <v>624030916 1 02 11010110</v>
      </c>
      <c r="L1876" s="20">
        <v>25310.93</v>
      </c>
      <c r="M1876" s="20">
        <v>25310.93</v>
      </c>
      <c r="N1876" s="20">
        <v>25310.93</v>
      </c>
      <c r="O1876" s="20">
        <f>H1876-L1876</f>
        <v>-25310.93</v>
      </c>
      <c r="P1876" s="20" t="e">
        <f>#REF!-M1876</f>
        <v>#REF!</v>
      </c>
      <c r="Q1876" s="20" t="e">
        <f>#REF!-N1876</f>
        <v>#REF!</v>
      </c>
      <c r="R1876" s="17" t="str">
        <f t="shared" si="234"/>
        <v>16 1 02 11010110</v>
      </c>
    </row>
    <row r="1877" spans="1:18" s="23" customFormat="1" ht="15.75">
      <c r="A1877" s="21"/>
      <c r="B1877" s="127" t="s">
        <v>140</v>
      </c>
      <c r="C1877" s="109" t="s">
        <v>939</v>
      </c>
      <c r="D1877" s="108" t="s">
        <v>13</v>
      </c>
      <c r="E1877" s="108" t="s">
        <v>471</v>
      </c>
      <c r="F1877" s="108" t="s">
        <v>954</v>
      </c>
      <c r="G1877" s="108" t="s">
        <v>141</v>
      </c>
      <c r="H1877" s="126"/>
      <c r="I1877" s="178" t="str">
        <f t="shared" ref="I1877:I1940" si="246">C1877&amp;D1877&amp;E1877&amp;F1877&amp;G1877</f>
        <v>624030916 1 02 11010111</v>
      </c>
      <c r="L1877" s="22"/>
      <c r="M1877" s="22"/>
      <c r="N1877" s="22"/>
      <c r="O1877" s="22"/>
      <c r="P1877" s="22"/>
      <c r="Q1877" s="22"/>
      <c r="R1877" s="24"/>
    </row>
    <row r="1878" spans="1:18" s="23" customFormat="1" ht="47.25">
      <c r="A1878" s="21"/>
      <c r="B1878" s="127" t="s">
        <v>487</v>
      </c>
      <c r="C1878" s="109" t="s">
        <v>939</v>
      </c>
      <c r="D1878" s="108" t="s">
        <v>13</v>
      </c>
      <c r="E1878" s="108" t="s">
        <v>471</v>
      </c>
      <c r="F1878" s="108" t="s">
        <v>954</v>
      </c>
      <c r="G1878" s="108" t="s">
        <v>145</v>
      </c>
      <c r="H1878" s="126"/>
      <c r="I1878" s="178" t="str">
        <f t="shared" si="246"/>
        <v>624030916 1 02 11010119</v>
      </c>
      <c r="L1878" s="22"/>
      <c r="M1878" s="22"/>
      <c r="N1878" s="22"/>
      <c r="O1878" s="22"/>
      <c r="P1878" s="22"/>
      <c r="Q1878" s="22"/>
      <c r="R1878" s="24"/>
    </row>
    <row r="1879" spans="1:18" s="16" customFormat="1" ht="31.5">
      <c r="A1879" s="14"/>
      <c r="B1879" s="148" t="s">
        <v>28</v>
      </c>
      <c r="C1879" s="109" t="s">
        <v>939</v>
      </c>
      <c r="D1879" s="108" t="s">
        <v>13</v>
      </c>
      <c r="E1879" s="108" t="s">
        <v>471</v>
      </c>
      <c r="F1879" s="108" t="s">
        <v>954</v>
      </c>
      <c r="G1879" s="108" t="s">
        <v>29</v>
      </c>
      <c r="H1879" s="126">
        <f>H1880</f>
        <v>0</v>
      </c>
      <c r="I1879" s="178" t="str">
        <f t="shared" si="246"/>
        <v>624030916 1 02 11010240</v>
      </c>
      <c r="L1879" s="20">
        <v>4264.22</v>
      </c>
      <c r="M1879" s="20">
        <v>4264.22</v>
      </c>
      <c r="N1879" s="20">
        <v>4264.22</v>
      </c>
      <c r="O1879" s="20">
        <f>H1879-L1879</f>
        <v>-4264.22</v>
      </c>
      <c r="P1879" s="20" t="e">
        <f>#REF!-M1879</f>
        <v>#REF!</v>
      </c>
      <c r="Q1879" s="20" t="e">
        <f>#REF!-N1879</f>
        <v>#REF!</v>
      </c>
      <c r="R1879" s="17" t="str">
        <f t="shared" si="234"/>
        <v>16 1 02 11010240</v>
      </c>
    </row>
    <row r="1880" spans="1:18" s="16" customFormat="1" ht="15.75">
      <c r="A1880" s="14"/>
      <c r="B1880" s="125" t="s">
        <v>30</v>
      </c>
      <c r="C1880" s="109" t="s">
        <v>939</v>
      </c>
      <c r="D1880" s="108" t="s">
        <v>13</v>
      </c>
      <c r="E1880" s="108" t="s">
        <v>471</v>
      </c>
      <c r="F1880" s="108" t="s">
        <v>954</v>
      </c>
      <c r="G1880" s="108" t="s">
        <v>31</v>
      </c>
      <c r="H1880" s="126"/>
      <c r="I1880" s="178" t="str">
        <f t="shared" si="246"/>
        <v>624030916 1 02 11010244</v>
      </c>
      <c r="L1880" s="20"/>
      <c r="M1880" s="20"/>
      <c r="N1880" s="20"/>
      <c r="O1880" s="20"/>
      <c r="P1880" s="20"/>
      <c r="Q1880" s="20"/>
      <c r="R1880" s="17"/>
    </row>
    <row r="1881" spans="1:18" s="16" customFormat="1" ht="15.75">
      <c r="A1881" s="14"/>
      <c r="B1881" s="148" t="s">
        <v>32</v>
      </c>
      <c r="C1881" s="109" t="s">
        <v>939</v>
      </c>
      <c r="D1881" s="108" t="s">
        <v>13</v>
      </c>
      <c r="E1881" s="108" t="s">
        <v>471</v>
      </c>
      <c r="F1881" s="108" t="s">
        <v>954</v>
      </c>
      <c r="G1881" s="108" t="s">
        <v>33</v>
      </c>
      <c r="H1881" s="126">
        <f>SUM(H1882:H1884)</f>
        <v>0</v>
      </c>
      <c r="I1881" s="178" t="str">
        <f t="shared" si="246"/>
        <v>624030916 1 02 11010850</v>
      </c>
      <c r="L1881" s="20">
        <v>941</v>
      </c>
      <c r="M1881" s="20">
        <v>941</v>
      </c>
      <c r="N1881" s="20">
        <v>941</v>
      </c>
      <c r="O1881" s="20">
        <f>H1881-L1881</f>
        <v>-941</v>
      </c>
      <c r="P1881" s="20" t="e">
        <f>#REF!-M1881</f>
        <v>#REF!</v>
      </c>
      <c r="Q1881" s="20" t="e">
        <f>#REF!-N1881</f>
        <v>#REF!</v>
      </c>
      <c r="R1881" s="17" t="str">
        <f t="shared" si="234"/>
        <v>16 1 02 11010850</v>
      </c>
    </row>
    <row r="1882" spans="1:18" s="23" customFormat="1" ht="31.5">
      <c r="A1882" s="21"/>
      <c r="B1882" s="127" t="s">
        <v>34</v>
      </c>
      <c r="C1882" s="109" t="s">
        <v>939</v>
      </c>
      <c r="D1882" s="108" t="s">
        <v>13</v>
      </c>
      <c r="E1882" s="108" t="s">
        <v>471</v>
      </c>
      <c r="F1882" s="108" t="s">
        <v>954</v>
      </c>
      <c r="G1882" s="108">
        <v>851</v>
      </c>
      <c r="H1882" s="126"/>
      <c r="I1882" s="178" t="str">
        <f t="shared" si="246"/>
        <v>624030916 1 02 11010851</v>
      </c>
      <c r="L1882" s="22"/>
      <c r="M1882" s="22"/>
      <c r="N1882" s="22"/>
      <c r="O1882" s="22"/>
      <c r="P1882" s="22"/>
      <c r="Q1882" s="22"/>
      <c r="R1882" s="24"/>
    </row>
    <row r="1883" spans="1:18" s="23" customFormat="1" ht="15.75">
      <c r="A1883" s="21"/>
      <c r="B1883" s="127" t="s">
        <v>36</v>
      </c>
      <c r="C1883" s="109" t="s">
        <v>939</v>
      </c>
      <c r="D1883" s="108" t="s">
        <v>13</v>
      </c>
      <c r="E1883" s="108" t="s">
        <v>471</v>
      </c>
      <c r="F1883" s="108" t="s">
        <v>954</v>
      </c>
      <c r="G1883" s="108" t="s">
        <v>37</v>
      </c>
      <c r="H1883" s="126"/>
      <c r="I1883" s="178" t="str">
        <f t="shared" si="246"/>
        <v>624030916 1 02 11010852</v>
      </c>
      <c r="L1883" s="22"/>
      <c r="M1883" s="22"/>
      <c r="N1883" s="22"/>
      <c r="O1883" s="22"/>
      <c r="P1883" s="22"/>
      <c r="Q1883" s="22"/>
      <c r="R1883" s="24"/>
    </row>
    <row r="1884" spans="1:18" s="23" customFormat="1" ht="15.75">
      <c r="A1884" s="21"/>
      <c r="B1884" s="127" t="s">
        <v>77</v>
      </c>
      <c r="C1884" s="109" t="s">
        <v>939</v>
      </c>
      <c r="D1884" s="108" t="s">
        <v>13</v>
      </c>
      <c r="E1884" s="108" t="s">
        <v>471</v>
      </c>
      <c r="F1884" s="108" t="s">
        <v>954</v>
      </c>
      <c r="G1884" s="108" t="s">
        <v>78</v>
      </c>
      <c r="H1884" s="126"/>
      <c r="I1884" s="178" t="str">
        <f t="shared" si="246"/>
        <v>624030916 1 02 11010853</v>
      </c>
      <c r="L1884" s="22"/>
      <c r="M1884" s="22"/>
      <c r="N1884" s="22"/>
      <c r="O1884" s="22"/>
      <c r="P1884" s="22"/>
      <c r="Q1884" s="22"/>
      <c r="R1884" s="24"/>
    </row>
    <row r="1885" spans="1:18" s="16" customFormat="1" ht="31.5">
      <c r="A1885" s="14"/>
      <c r="B1885" s="148" t="s">
        <v>942</v>
      </c>
      <c r="C1885" s="109" t="s">
        <v>939</v>
      </c>
      <c r="D1885" s="108" t="s">
        <v>13</v>
      </c>
      <c r="E1885" s="108" t="s">
        <v>471</v>
      </c>
      <c r="F1885" s="108" t="s">
        <v>955</v>
      </c>
      <c r="G1885" s="108" t="s">
        <v>9</v>
      </c>
      <c r="H1885" s="126">
        <f t="shared" ref="H1885" si="247">H1886</f>
        <v>0</v>
      </c>
      <c r="I1885" s="178" t="str">
        <f t="shared" si="246"/>
        <v>624030916 1 03 00000000</v>
      </c>
      <c r="L1885" s="20">
        <v>430</v>
      </c>
      <c r="M1885" s="20">
        <v>430</v>
      </c>
      <c r="N1885" s="20">
        <v>430</v>
      </c>
      <c r="O1885" s="20">
        <f>H1885-L1885</f>
        <v>-430</v>
      </c>
      <c r="P1885" s="20" t="e">
        <f>#REF!-M1885</f>
        <v>#REF!</v>
      </c>
      <c r="Q1885" s="20" t="e">
        <f>#REF!-N1885</f>
        <v>#REF!</v>
      </c>
      <c r="R1885" s="17" t="str">
        <f t="shared" si="234"/>
        <v>16 1 03 00000000</v>
      </c>
    </row>
    <row r="1886" spans="1:18" s="16" customFormat="1" ht="78.75">
      <c r="A1886" s="14"/>
      <c r="B1886" s="125" t="s">
        <v>950</v>
      </c>
      <c r="C1886" s="109" t="s">
        <v>939</v>
      </c>
      <c r="D1886" s="108" t="s">
        <v>13</v>
      </c>
      <c r="E1886" s="108" t="s">
        <v>471</v>
      </c>
      <c r="F1886" s="108" t="s">
        <v>956</v>
      </c>
      <c r="G1886" s="108" t="s">
        <v>9</v>
      </c>
      <c r="H1886" s="126">
        <f>H1887</f>
        <v>0</v>
      </c>
      <c r="I1886" s="178" t="str">
        <f t="shared" si="246"/>
        <v>624030916 1 03 20120000</v>
      </c>
      <c r="L1886" s="20">
        <v>430</v>
      </c>
      <c r="M1886" s="20">
        <v>430</v>
      </c>
      <c r="N1886" s="20">
        <v>430</v>
      </c>
      <c r="O1886" s="20">
        <f>H1886-L1886</f>
        <v>-430</v>
      </c>
      <c r="P1886" s="20" t="e">
        <f>#REF!-M1886</f>
        <v>#REF!</v>
      </c>
      <c r="Q1886" s="20" t="e">
        <f>#REF!-N1886</f>
        <v>#REF!</v>
      </c>
      <c r="R1886" s="17" t="str">
        <f t="shared" si="234"/>
        <v>16 1 03 20120000</v>
      </c>
    </row>
    <row r="1887" spans="1:18" s="16" customFormat="1" ht="31.5">
      <c r="A1887" s="14"/>
      <c r="B1887" s="148" t="s">
        <v>28</v>
      </c>
      <c r="C1887" s="109" t="s">
        <v>939</v>
      </c>
      <c r="D1887" s="108" t="s">
        <v>13</v>
      </c>
      <c r="E1887" s="108" t="s">
        <v>471</v>
      </c>
      <c r="F1887" s="108" t="s">
        <v>956</v>
      </c>
      <c r="G1887" s="108" t="s">
        <v>29</v>
      </c>
      <c r="H1887" s="126">
        <f>H1888</f>
        <v>0</v>
      </c>
      <c r="I1887" s="178" t="str">
        <f t="shared" si="246"/>
        <v>624030916 1 03 20120240</v>
      </c>
      <c r="L1887" s="20">
        <v>430</v>
      </c>
      <c r="M1887" s="20">
        <v>430</v>
      </c>
      <c r="N1887" s="20">
        <v>430</v>
      </c>
      <c r="O1887" s="20">
        <f>H1887-L1887</f>
        <v>-430</v>
      </c>
      <c r="P1887" s="20" t="e">
        <f>#REF!-M1887</f>
        <v>#REF!</v>
      </c>
      <c r="Q1887" s="20" t="e">
        <f>#REF!-N1887</f>
        <v>#REF!</v>
      </c>
      <c r="R1887" s="17" t="str">
        <f t="shared" si="234"/>
        <v>16 1 03 20120240</v>
      </c>
    </row>
    <row r="1888" spans="1:18" s="16" customFormat="1" ht="15.75">
      <c r="A1888" s="14"/>
      <c r="B1888" s="125" t="s">
        <v>30</v>
      </c>
      <c r="C1888" s="109" t="s">
        <v>939</v>
      </c>
      <c r="D1888" s="108" t="s">
        <v>13</v>
      </c>
      <c r="E1888" s="108" t="s">
        <v>471</v>
      </c>
      <c r="F1888" s="108" t="s">
        <v>956</v>
      </c>
      <c r="G1888" s="108" t="s">
        <v>31</v>
      </c>
      <c r="H1888" s="126"/>
      <c r="I1888" s="178" t="str">
        <f t="shared" si="246"/>
        <v>624030916 1 03 20120244</v>
      </c>
      <c r="L1888" s="20"/>
      <c r="M1888" s="20"/>
      <c r="N1888" s="20"/>
      <c r="O1888" s="20"/>
      <c r="P1888" s="20"/>
      <c r="Q1888" s="20"/>
      <c r="R1888" s="17"/>
    </row>
    <row r="1889" spans="1:18" s="66" customFormat="1" ht="31.5">
      <c r="A1889" s="65"/>
      <c r="B1889" s="125" t="s">
        <v>422</v>
      </c>
      <c r="C1889" s="109" t="s">
        <v>939</v>
      </c>
      <c r="D1889" s="108" t="s">
        <v>13</v>
      </c>
      <c r="E1889" s="108" t="s">
        <v>471</v>
      </c>
      <c r="F1889" s="108" t="s">
        <v>423</v>
      </c>
      <c r="G1889" s="108" t="s">
        <v>9</v>
      </c>
      <c r="H1889" s="126">
        <f t="shared" ref="H1889:H1890" si="248">H1890</f>
        <v>0</v>
      </c>
      <c r="I1889" s="178" t="str">
        <f t="shared" si="246"/>
        <v>624030916 2 00 00000000</v>
      </c>
      <c r="L1889" s="20">
        <v>535</v>
      </c>
      <c r="M1889" s="20">
        <v>535</v>
      </c>
      <c r="N1889" s="20">
        <v>535</v>
      </c>
      <c r="O1889" s="20">
        <f>H1889-L1889</f>
        <v>-535</v>
      </c>
      <c r="P1889" s="20" t="e">
        <f>#REF!-M1889</f>
        <v>#REF!</v>
      </c>
      <c r="Q1889" s="20" t="e">
        <f>#REF!-N1889</f>
        <v>#REF!</v>
      </c>
      <c r="R1889" s="17" t="str">
        <f t="shared" si="234"/>
        <v>16 2 00 00000000</v>
      </c>
    </row>
    <row r="1890" spans="1:18" s="16" customFormat="1" ht="31.5">
      <c r="A1890" s="14"/>
      <c r="B1890" s="148" t="s">
        <v>957</v>
      </c>
      <c r="C1890" s="109" t="s">
        <v>939</v>
      </c>
      <c r="D1890" s="108" t="s">
        <v>13</v>
      </c>
      <c r="E1890" s="108" t="s">
        <v>471</v>
      </c>
      <c r="F1890" s="108" t="s">
        <v>958</v>
      </c>
      <c r="G1890" s="108" t="s">
        <v>9</v>
      </c>
      <c r="H1890" s="126">
        <f t="shared" si="248"/>
        <v>0</v>
      </c>
      <c r="I1890" s="178" t="str">
        <f t="shared" si="246"/>
        <v>624030916 2 01 00000000</v>
      </c>
      <c r="L1890" s="20">
        <v>535</v>
      </c>
      <c r="M1890" s="20">
        <v>535</v>
      </c>
      <c r="N1890" s="20">
        <v>535</v>
      </c>
      <c r="O1890" s="20">
        <f>H1890-L1890</f>
        <v>-535</v>
      </c>
      <c r="P1890" s="20" t="e">
        <f>#REF!-M1890</f>
        <v>#REF!</v>
      </c>
      <c r="Q1890" s="20" t="e">
        <f>#REF!-N1890</f>
        <v>#REF!</v>
      </c>
      <c r="R1890" s="17" t="str">
        <f t="shared" si="234"/>
        <v>16 2 01 00000000</v>
      </c>
    </row>
    <row r="1891" spans="1:18" s="16" customFormat="1" ht="31.5">
      <c r="A1891" s="14"/>
      <c r="B1891" s="148" t="s">
        <v>959</v>
      </c>
      <c r="C1891" s="109" t="s">
        <v>939</v>
      </c>
      <c r="D1891" s="108" t="s">
        <v>13</v>
      </c>
      <c r="E1891" s="108" t="s">
        <v>471</v>
      </c>
      <c r="F1891" s="108" t="s">
        <v>960</v>
      </c>
      <c r="G1891" s="108" t="s">
        <v>9</v>
      </c>
      <c r="H1891" s="126">
        <f>H1892+H1894</f>
        <v>0</v>
      </c>
      <c r="I1891" s="178" t="str">
        <f t="shared" si="246"/>
        <v>624030916 2 01 20540000</v>
      </c>
      <c r="L1891" s="20">
        <v>535</v>
      </c>
      <c r="M1891" s="20">
        <v>535</v>
      </c>
      <c r="N1891" s="20">
        <v>535</v>
      </c>
      <c r="O1891" s="20">
        <f>H1891-L1891</f>
        <v>-535</v>
      </c>
      <c r="P1891" s="20" t="e">
        <f>#REF!-M1891</f>
        <v>#REF!</v>
      </c>
      <c r="Q1891" s="20" t="e">
        <f>#REF!-N1891</f>
        <v>#REF!</v>
      </c>
      <c r="R1891" s="17" t="str">
        <f t="shared" si="234"/>
        <v>16 2 01 20540000</v>
      </c>
    </row>
    <row r="1892" spans="1:18" s="16" customFormat="1" ht="31.5">
      <c r="A1892" s="14"/>
      <c r="B1892" s="125" t="s">
        <v>28</v>
      </c>
      <c r="C1892" s="109" t="s">
        <v>939</v>
      </c>
      <c r="D1892" s="108" t="s">
        <v>13</v>
      </c>
      <c r="E1892" s="108" t="s">
        <v>471</v>
      </c>
      <c r="F1892" s="108" t="s">
        <v>960</v>
      </c>
      <c r="G1892" s="108" t="s">
        <v>29</v>
      </c>
      <c r="H1892" s="126">
        <f>H1893</f>
        <v>0</v>
      </c>
      <c r="I1892" s="178" t="str">
        <f t="shared" si="246"/>
        <v>624030916 2 01 20540240</v>
      </c>
      <c r="L1892" s="20">
        <v>488</v>
      </c>
      <c r="M1892" s="20">
        <v>488</v>
      </c>
      <c r="N1892" s="20">
        <v>488</v>
      </c>
      <c r="O1892" s="20">
        <f>H1892-L1892</f>
        <v>-488</v>
      </c>
      <c r="P1892" s="20" t="e">
        <f>#REF!-M1892</f>
        <v>#REF!</v>
      </c>
      <c r="Q1892" s="20" t="e">
        <f>#REF!-N1892</f>
        <v>#REF!</v>
      </c>
      <c r="R1892" s="17" t="str">
        <f t="shared" si="234"/>
        <v>16 2 01 20540240</v>
      </c>
    </row>
    <row r="1893" spans="1:18" s="16" customFormat="1" ht="15.75">
      <c r="A1893" s="14"/>
      <c r="B1893" s="125" t="s">
        <v>30</v>
      </c>
      <c r="C1893" s="109" t="s">
        <v>939</v>
      </c>
      <c r="D1893" s="108" t="s">
        <v>13</v>
      </c>
      <c r="E1893" s="108" t="s">
        <v>471</v>
      </c>
      <c r="F1893" s="108" t="s">
        <v>960</v>
      </c>
      <c r="G1893" s="108" t="s">
        <v>31</v>
      </c>
      <c r="H1893" s="126"/>
      <c r="I1893" s="178" t="str">
        <f t="shared" si="246"/>
        <v>624030916 2 01 20540244</v>
      </c>
      <c r="L1893" s="20"/>
      <c r="M1893" s="20"/>
      <c r="N1893" s="20"/>
      <c r="O1893" s="20"/>
      <c r="P1893" s="20"/>
      <c r="Q1893" s="20"/>
      <c r="R1893" s="17"/>
    </row>
    <row r="1894" spans="1:18" s="16" customFormat="1" ht="63">
      <c r="A1894" s="14"/>
      <c r="B1894" s="125" t="s">
        <v>203</v>
      </c>
      <c r="C1894" s="109" t="s">
        <v>939</v>
      </c>
      <c r="D1894" s="108" t="s">
        <v>13</v>
      </c>
      <c r="E1894" s="108" t="s">
        <v>471</v>
      </c>
      <c r="F1894" s="108" t="s">
        <v>960</v>
      </c>
      <c r="G1894" s="108" t="s">
        <v>204</v>
      </c>
      <c r="H1894" s="126">
        <f>H1895</f>
        <v>0</v>
      </c>
      <c r="I1894" s="178" t="str">
        <f t="shared" si="246"/>
        <v>624030916 2 01 20540810</v>
      </c>
      <c r="L1894" s="20">
        <v>47</v>
      </c>
      <c r="M1894" s="20">
        <v>47</v>
      </c>
      <c r="N1894" s="20">
        <v>47</v>
      </c>
      <c r="O1894" s="20">
        <f>H1894-L1894</f>
        <v>-47</v>
      </c>
      <c r="P1894" s="20" t="e">
        <f>#REF!-M1894</f>
        <v>#REF!</v>
      </c>
      <c r="Q1894" s="20" t="e">
        <f>#REF!-N1894</f>
        <v>#REF!</v>
      </c>
      <c r="R1894" s="17" t="str">
        <f t="shared" ref="R1894:R1992" si="249">CONCATENATE(F1894,G1894)</f>
        <v>16 2 01 20540810</v>
      </c>
    </row>
    <row r="1895" spans="1:18" s="16" customFormat="1" ht="110.25">
      <c r="A1895" s="14"/>
      <c r="B1895" s="125" t="s">
        <v>226</v>
      </c>
      <c r="C1895" s="109" t="s">
        <v>939</v>
      </c>
      <c r="D1895" s="108" t="s">
        <v>13</v>
      </c>
      <c r="E1895" s="108" t="s">
        <v>471</v>
      </c>
      <c r="F1895" s="108" t="s">
        <v>960</v>
      </c>
      <c r="G1895" s="108" t="s">
        <v>227</v>
      </c>
      <c r="H1895" s="126"/>
      <c r="I1895" s="178" t="str">
        <f t="shared" si="246"/>
        <v>624030916 2 01 20540813</v>
      </c>
      <c r="L1895" s="20"/>
      <c r="M1895" s="20"/>
      <c r="N1895" s="20"/>
      <c r="O1895" s="20"/>
      <c r="P1895" s="20"/>
      <c r="Q1895" s="20"/>
      <c r="R1895" s="17"/>
    </row>
    <row r="1896" spans="1:18" s="16" customFormat="1" ht="47.25">
      <c r="A1896" s="14"/>
      <c r="B1896" s="125" t="s">
        <v>961</v>
      </c>
      <c r="C1896" s="109" t="s">
        <v>939</v>
      </c>
      <c r="D1896" s="108" t="s">
        <v>13</v>
      </c>
      <c r="E1896" s="108" t="s">
        <v>471</v>
      </c>
      <c r="F1896" s="108" t="s">
        <v>962</v>
      </c>
      <c r="G1896" s="108" t="s">
        <v>9</v>
      </c>
      <c r="H1896" s="126">
        <f>H1897+H1908+H1912+H1916</f>
        <v>0</v>
      </c>
      <c r="I1896" s="178" t="str">
        <f t="shared" si="246"/>
        <v>624030916 3 00 00000000</v>
      </c>
      <c r="L1896" s="20">
        <v>24709.450000000004</v>
      </c>
      <c r="M1896" s="20">
        <v>24359.390000000003</v>
      </c>
      <c r="N1896" s="20">
        <v>24359.390000000003</v>
      </c>
      <c r="O1896" s="20">
        <f>H1896-L1896</f>
        <v>-24709.450000000004</v>
      </c>
      <c r="P1896" s="20" t="e">
        <f>#REF!-M1896</f>
        <v>#REF!</v>
      </c>
      <c r="Q1896" s="20" t="e">
        <f>#REF!-N1896</f>
        <v>#REF!</v>
      </c>
      <c r="R1896" s="17" t="str">
        <f t="shared" si="249"/>
        <v>16 3 00 00000000</v>
      </c>
    </row>
    <row r="1897" spans="1:18" s="16" customFormat="1" ht="63">
      <c r="A1897" s="14"/>
      <c r="B1897" s="125" t="s">
        <v>963</v>
      </c>
      <c r="C1897" s="109" t="s">
        <v>939</v>
      </c>
      <c r="D1897" s="108" t="s">
        <v>13</v>
      </c>
      <c r="E1897" s="108" t="s">
        <v>471</v>
      </c>
      <c r="F1897" s="108" t="s">
        <v>964</v>
      </c>
      <c r="G1897" s="108" t="s">
        <v>9</v>
      </c>
      <c r="H1897" s="126">
        <f>H1898</f>
        <v>0</v>
      </c>
      <c r="I1897" s="178" t="str">
        <f t="shared" si="246"/>
        <v>624030916 3 01 00000000</v>
      </c>
      <c r="L1897" s="20">
        <v>19042.640000000003</v>
      </c>
      <c r="M1897" s="20">
        <v>18692.580000000002</v>
      </c>
      <c r="N1897" s="20">
        <v>18692.580000000002</v>
      </c>
      <c r="O1897" s="20">
        <f>H1897-L1897</f>
        <v>-19042.640000000003</v>
      </c>
      <c r="P1897" s="20" t="e">
        <f>#REF!-M1897</f>
        <v>#REF!</v>
      </c>
      <c r="Q1897" s="20" t="e">
        <f>#REF!-N1897</f>
        <v>#REF!</v>
      </c>
      <c r="R1897" s="17" t="str">
        <f t="shared" si="249"/>
        <v>16 3 01 00000000</v>
      </c>
    </row>
    <row r="1898" spans="1:18" s="16" customFormat="1" ht="31.5">
      <c r="A1898" s="14"/>
      <c r="B1898" s="148" t="s">
        <v>136</v>
      </c>
      <c r="C1898" s="109" t="s">
        <v>939</v>
      </c>
      <c r="D1898" s="108" t="s">
        <v>13</v>
      </c>
      <c r="E1898" s="108" t="s">
        <v>471</v>
      </c>
      <c r="F1898" s="108" t="s">
        <v>965</v>
      </c>
      <c r="G1898" s="108" t="s">
        <v>9</v>
      </c>
      <c r="H1898" s="126">
        <f>H1899+H1902+H1904</f>
        <v>0</v>
      </c>
      <c r="I1898" s="178" t="str">
        <f t="shared" si="246"/>
        <v>624030916 3 01 11010000</v>
      </c>
      <c r="L1898" s="20">
        <v>19042.640000000003</v>
      </c>
      <c r="M1898" s="20">
        <v>18692.580000000002</v>
      </c>
      <c r="N1898" s="20">
        <v>18692.580000000002</v>
      </c>
      <c r="O1898" s="20">
        <f>H1898-L1898</f>
        <v>-19042.640000000003</v>
      </c>
      <c r="P1898" s="20" t="e">
        <f>#REF!-M1898</f>
        <v>#REF!</v>
      </c>
      <c r="Q1898" s="20" t="e">
        <f>#REF!-N1898</f>
        <v>#REF!</v>
      </c>
      <c r="R1898" s="17" t="str">
        <f t="shared" si="249"/>
        <v>16 3 01 11010000</v>
      </c>
    </row>
    <row r="1899" spans="1:18" s="16" customFormat="1" ht="15.75">
      <c r="A1899" s="14"/>
      <c r="B1899" s="148" t="s">
        <v>138</v>
      </c>
      <c r="C1899" s="109" t="s">
        <v>939</v>
      </c>
      <c r="D1899" s="108" t="s">
        <v>13</v>
      </c>
      <c r="E1899" s="108" t="s">
        <v>471</v>
      </c>
      <c r="F1899" s="108" t="s">
        <v>965</v>
      </c>
      <c r="G1899" s="108" t="s">
        <v>139</v>
      </c>
      <c r="H1899" s="126">
        <f>SUM(H1900:H1901)</f>
        <v>0</v>
      </c>
      <c r="I1899" s="178" t="str">
        <f t="shared" si="246"/>
        <v>624030916 3 01 11010110</v>
      </c>
      <c r="L1899" s="20">
        <v>16997.420000000002</v>
      </c>
      <c r="M1899" s="20">
        <v>16997.420000000002</v>
      </c>
      <c r="N1899" s="20">
        <v>16997.420000000002</v>
      </c>
      <c r="O1899" s="20">
        <f>H1899-L1899</f>
        <v>-16997.420000000002</v>
      </c>
      <c r="P1899" s="20" t="e">
        <f>#REF!-M1899</f>
        <v>#REF!</v>
      </c>
      <c r="Q1899" s="20" t="e">
        <f>#REF!-N1899</f>
        <v>#REF!</v>
      </c>
      <c r="R1899" s="17" t="str">
        <f t="shared" si="249"/>
        <v>16 3 01 11010110</v>
      </c>
    </row>
    <row r="1900" spans="1:18" s="23" customFormat="1" ht="15.75">
      <c r="A1900" s="21"/>
      <c r="B1900" s="127" t="s">
        <v>140</v>
      </c>
      <c r="C1900" s="109" t="s">
        <v>939</v>
      </c>
      <c r="D1900" s="108" t="s">
        <v>13</v>
      </c>
      <c r="E1900" s="108" t="s">
        <v>471</v>
      </c>
      <c r="F1900" s="108" t="s">
        <v>965</v>
      </c>
      <c r="G1900" s="108" t="s">
        <v>141</v>
      </c>
      <c r="H1900" s="126"/>
      <c r="I1900" s="178" t="str">
        <f t="shared" si="246"/>
        <v>624030916 3 01 11010111</v>
      </c>
      <c r="L1900" s="22"/>
      <c r="M1900" s="22"/>
      <c r="N1900" s="22"/>
      <c r="O1900" s="22"/>
      <c r="P1900" s="22"/>
      <c r="Q1900" s="22"/>
      <c r="R1900" s="24"/>
    </row>
    <row r="1901" spans="1:18" s="23" customFormat="1" ht="47.25">
      <c r="A1901" s="21"/>
      <c r="B1901" s="127" t="s">
        <v>487</v>
      </c>
      <c r="C1901" s="109" t="s">
        <v>939</v>
      </c>
      <c r="D1901" s="108" t="s">
        <v>13</v>
      </c>
      <c r="E1901" s="108" t="s">
        <v>471</v>
      </c>
      <c r="F1901" s="108" t="s">
        <v>965</v>
      </c>
      <c r="G1901" s="108" t="s">
        <v>145</v>
      </c>
      <c r="H1901" s="126"/>
      <c r="I1901" s="178" t="str">
        <f t="shared" si="246"/>
        <v>624030916 3 01 11010119</v>
      </c>
      <c r="L1901" s="22"/>
      <c r="M1901" s="22"/>
      <c r="N1901" s="22"/>
      <c r="O1901" s="22"/>
      <c r="P1901" s="22"/>
      <c r="Q1901" s="22"/>
      <c r="R1901" s="24"/>
    </row>
    <row r="1902" spans="1:18" s="16" customFormat="1" ht="31.5">
      <c r="A1902" s="14"/>
      <c r="B1902" s="125" t="s">
        <v>28</v>
      </c>
      <c r="C1902" s="109" t="s">
        <v>939</v>
      </c>
      <c r="D1902" s="108" t="s">
        <v>13</v>
      </c>
      <c r="E1902" s="108" t="s">
        <v>471</v>
      </c>
      <c r="F1902" s="108" t="s">
        <v>965</v>
      </c>
      <c r="G1902" s="108" t="s">
        <v>29</v>
      </c>
      <c r="H1902" s="126">
        <f>H1903</f>
        <v>0</v>
      </c>
      <c r="I1902" s="178" t="str">
        <f t="shared" si="246"/>
        <v>624030916 3 01 11010240</v>
      </c>
      <c r="L1902" s="20">
        <v>1688.22</v>
      </c>
      <c r="M1902" s="20">
        <v>1338.16</v>
      </c>
      <c r="N1902" s="20">
        <v>1338.16</v>
      </c>
      <c r="O1902" s="20">
        <f>H1902-L1902</f>
        <v>-1688.22</v>
      </c>
      <c r="P1902" s="20" t="e">
        <f>#REF!-M1902</f>
        <v>#REF!</v>
      </c>
      <c r="Q1902" s="20" t="e">
        <f>#REF!-N1902</f>
        <v>#REF!</v>
      </c>
      <c r="R1902" s="17" t="str">
        <f t="shared" si="249"/>
        <v>16 3 01 11010240</v>
      </c>
    </row>
    <row r="1903" spans="1:18" s="16" customFormat="1" ht="15.75">
      <c r="A1903" s="14"/>
      <c r="B1903" s="125" t="s">
        <v>30</v>
      </c>
      <c r="C1903" s="109" t="s">
        <v>939</v>
      </c>
      <c r="D1903" s="108" t="s">
        <v>13</v>
      </c>
      <c r="E1903" s="108" t="s">
        <v>471</v>
      </c>
      <c r="F1903" s="108" t="s">
        <v>965</v>
      </c>
      <c r="G1903" s="108" t="s">
        <v>31</v>
      </c>
      <c r="H1903" s="126"/>
      <c r="I1903" s="178" t="str">
        <f t="shared" si="246"/>
        <v>624030916 3 01 11010244</v>
      </c>
      <c r="L1903" s="20"/>
      <c r="M1903" s="20"/>
      <c r="N1903" s="20"/>
      <c r="O1903" s="20"/>
      <c r="P1903" s="20"/>
      <c r="Q1903" s="20"/>
      <c r="R1903" s="17"/>
    </row>
    <row r="1904" spans="1:18" s="16" customFormat="1" ht="15.75">
      <c r="A1904" s="14"/>
      <c r="B1904" s="148" t="s">
        <v>32</v>
      </c>
      <c r="C1904" s="109" t="s">
        <v>939</v>
      </c>
      <c r="D1904" s="108" t="s">
        <v>13</v>
      </c>
      <c r="E1904" s="108" t="s">
        <v>471</v>
      </c>
      <c r="F1904" s="108" t="s">
        <v>965</v>
      </c>
      <c r="G1904" s="108" t="s">
        <v>33</v>
      </c>
      <c r="H1904" s="126">
        <f>SUM(H1905:H1907)</f>
        <v>0</v>
      </c>
      <c r="I1904" s="178" t="str">
        <f t="shared" si="246"/>
        <v>624030916 3 01 11010850</v>
      </c>
      <c r="L1904" s="20">
        <v>357</v>
      </c>
      <c r="M1904" s="20">
        <v>357</v>
      </c>
      <c r="N1904" s="20">
        <v>357</v>
      </c>
      <c r="O1904" s="20">
        <f>H1904-L1904</f>
        <v>-357</v>
      </c>
      <c r="P1904" s="20" t="e">
        <f>#REF!-M1904</f>
        <v>#REF!</v>
      </c>
      <c r="Q1904" s="20" t="e">
        <f>#REF!-N1904</f>
        <v>#REF!</v>
      </c>
      <c r="R1904" s="17" t="str">
        <f t="shared" si="249"/>
        <v>16 3 01 11010850</v>
      </c>
    </row>
    <row r="1905" spans="1:18" s="23" customFormat="1" ht="31.5">
      <c r="A1905" s="21"/>
      <c r="B1905" s="127" t="s">
        <v>34</v>
      </c>
      <c r="C1905" s="109" t="s">
        <v>939</v>
      </c>
      <c r="D1905" s="108" t="s">
        <v>13</v>
      </c>
      <c r="E1905" s="108" t="s">
        <v>471</v>
      </c>
      <c r="F1905" s="108" t="s">
        <v>965</v>
      </c>
      <c r="G1905" s="108">
        <v>851</v>
      </c>
      <c r="H1905" s="126"/>
      <c r="I1905" s="178" t="str">
        <f t="shared" si="246"/>
        <v>624030916 3 01 11010851</v>
      </c>
      <c r="L1905" s="22"/>
      <c r="M1905" s="22"/>
      <c r="N1905" s="22"/>
      <c r="O1905" s="22"/>
      <c r="P1905" s="22"/>
      <c r="Q1905" s="22"/>
      <c r="R1905" s="24"/>
    </row>
    <row r="1906" spans="1:18" s="23" customFormat="1" ht="15.75">
      <c r="A1906" s="21"/>
      <c r="B1906" s="127" t="s">
        <v>36</v>
      </c>
      <c r="C1906" s="109" t="s">
        <v>939</v>
      </c>
      <c r="D1906" s="108" t="s">
        <v>13</v>
      </c>
      <c r="E1906" s="108" t="s">
        <v>471</v>
      </c>
      <c r="F1906" s="108" t="s">
        <v>965</v>
      </c>
      <c r="G1906" s="108" t="s">
        <v>37</v>
      </c>
      <c r="H1906" s="126"/>
      <c r="I1906" s="178" t="str">
        <f t="shared" si="246"/>
        <v>624030916 3 01 11010852</v>
      </c>
      <c r="L1906" s="22"/>
      <c r="M1906" s="22"/>
      <c r="N1906" s="22"/>
      <c r="O1906" s="22"/>
      <c r="P1906" s="22"/>
      <c r="Q1906" s="22"/>
      <c r="R1906" s="24"/>
    </row>
    <row r="1907" spans="1:18" s="23" customFormat="1" ht="15.75">
      <c r="A1907" s="21"/>
      <c r="B1907" s="127" t="s">
        <v>77</v>
      </c>
      <c r="C1907" s="109" t="s">
        <v>939</v>
      </c>
      <c r="D1907" s="108" t="s">
        <v>13</v>
      </c>
      <c r="E1907" s="108" t="s">
        <v>471</v>
      </c>
      <c r="F1907" s="108" t="s">
        <v>965</v>
      </c>
      <c r="G1907" s="108" t="s">
        <v>78</v>
      </c>
      <c r="H1907" s="126"/>
      <c r="I1907" s="178" t="str">
        <f t="shared" si="246"/>
        <v>624030916 3 01 11010853</v>
      </c>
      <c r="L1907" s="22"/>
      <c r="M1907" s="22"/>
      <c r="N1907" s="22"/>
      <c r="O1907" s="22"/>
      <c r="P1907" s="22"/>
      <c r="Q1907" s="22"/>
      <c r="R1907" s="24"/>
    </row>
    <row r="1908" spans="1:18" s="16" customFormat="1" ht="94.5">
      <c r="A1908" s="14"/>
      <c r="B1908" s="148" t="s">
        <v>966</v>
      </c>
      <c r="C1908" s="109" t="s">
        <v>939</v>
      </c>
      <c r="D1908" s="108" t="s">
        <v>13</v>
      </c>
      <c r="E1908" s="108" t="s">
        <v>471</v>
      </c>
      <c r="F1908" s="108" t="s">
        <v>967</v>
      </c>
      <c r="G1908" s="108" t="s">
        <v>9</v>
      </c>
      <c r="H1908" s="126">
        <f>H1909</f>
        <v>0</v>
      </c>
      <c r="I1908" s="178" t="str">
        <f t="shared" si="246"/>
        <v>624030916 3 02 00000000</v>
      </c>
      <c r="L1908" s="20">
        <v>2201.81</v>
      </c>
      <c r="M1908" s="20">
        <v>2201.81</v>
      </c>
      <c r="N1908" s="20">
        <v>2201.81</v>
      </c>
      <c r="O1908" s="20">
        <f>H1908-L1908</f>
        <v>-2201.81</v>
      </c>
      <c r="P1908" s="20" t="e">
        <f>#REF!-M1908</f>
        <v>#REF!</v>
      </c>
      <c r="Q1908" s="20" t="e">
        <f>#REF!-N1908</f>
        <v>#REF!</v>
      </c>
      <c r="R1908" s="17" t="str">
        <f t="shared" si="249"/>
        <v>16 3 02 00000000</v>
      </c>
    </row>
    <row r="1909" spans="1:18" s="16" customFormat="1" ht="63">
      <c r="A1909" s="14"/>
      <c r="B1909" s="148" t="s">
        <v>968</v>
      </c>
      <c r="C1909" s="109" t="s">
        <v>939</v>
      </c>
      <c r="D1909" s="108" t="s">
        <v>13</v>
      </c>
      <c r="E1909" s="108" t="s">
        <v>471</v>
      </c>
      <c r="F1909" s="108" t="s">
        <v>969</v>
      </c>
      <c r="G1909" s="108" t="s">
        <v>9</v>
      </c>
      <c r="H1909" s="126">
        <f>H1910</f>
        <v>0</v>
      </c>
      <c r="I1909" s="178" t="str">
        <f t="shared" si="246"/>
        <v>624030916 3 02 20690000</v>
      </c>
      <c r="L1909" s="20">
        <v>2201.81</v>
      </c>
      <c r="M1909" s="20">
        <v>2201.81</v>
      </c>
      <c r="N1909" s="20">
        <v>2201.81</v>
      </c>
      <c r="O1909" s="20">
        <f>H1909-L1909</f>
        <v>-2201.81</v>
      </c>
      <c r="P1909" s="20" t="e">
        <f>#REF!-M1909</f>
        <v>#REF!</v>
      </c>
      <c r="Q1909" s="20" t="e">
        <f>#REF!-N1909</f>
        <v>#REF!</v>
      </c>
      <c r="R1909" s="17" t="str">
        <f t="shared" si="249"/>
        <v>16 3 02 20690000</v>
      </c>
    </row>
    <row r="1910" spans="1:18" s="16" customFormat="1" ht="31.5">
      <c r="A1910" s="14"/>
      <c r="B1910" s="125" t="s">
        <v>28</v>
      </c>
      <c r="C1910" s="109" t="s">
        <v>939</v>
      </c>
      <c r="D1910" s="108" t="s">
        <v>13</v>
      </c>
      <c r="E1910" s="108" t="s">
        <v>471</v>
      </c>
      <c r="F1910" s="108" t="s">
        <v>969</v>
      </c>
      <c r="G1910" s="108" t="s">
        <v>29</v>
      </c>
      <c r="H1910" s="126">
        <f>H1911</f>
        <v>0</v>
      </c>
      <c r="I1910" s="178" t="str">
        <f t="shared" si="246"/>
        <v>624030916 3 02 20690240</v>
      </c>
      <c r="L1910" s="20">
        <v>2201.81</v>
      </c>
      <c r="M1910" s="20">
        <v>2201.81</v>
      </c>
      <c r="N1910" s="20">
        <v>2201.81</v>
      </c>
      <c r="O1910" s="20">
        <f>H1910-L1910</f>
        <v>-2201.81</v>
      </c>
      <c r="P1910" s="20" t="e">
        <f>#REF!-M1910</f>
        <v>#REF!</v>
      </c>
      <c r="Q1910" s="20" t="e">
        <f>#REF!-N1910</f>
        <v>#REF!</v>
      </c>
      <c r="R1910" s="17" t="str">
        <f t="shared" si="249"/>
        <v>16 3 02 20690240</v>
      </c>
    </row>
    <row r="1911" spans="1:18" s="16" customFormat="1" ht="15.75">
      <c r="A1911" s="14"/>
      <c r="B1911" s="125" t="s">
        <v>30</v>
      </c>
      <c r="C1911" s="109" t="s">
        <v>939</v>
      </c>
      <c r="D1911" s="108" t="s">
        <v>13</v>
      </c>
      <c r="E1911" s="108" t="s">
        <v>471</v>
      </c>
      <c r="F1911" s="108" t="s">
        <v>969</v>
      </c>
      <c r="G1911" s="108" t="s">
        <v>31</v>
      </c>
      <c r="H1911" s="126"/>
      <c r="I1911" s="178" t="str">
        <f t="shared" si="246"/>
        <v>624030916 3 02 20690244</v>
      </c>
      <c r="L1911" s="20"/>
      <c r="M1911" s="20"/>
      <c r="N1911" s="20"/>
      <c r="O1911" s="20"/>
      <c r="P1911" s="20"/>
      <c r="Q1911" s="20"/>
      <c r="R1911" s="17"/>
    </row>
    <row r="1912" spans="1:18" s="16" customFormat="1" ht="94.5">
      <c r="A1912" s="14"/>
      <c r="B1912" s="148" t="s">
        <v>970</v>
      </c>
      <c r="C1912" s="109" t="s">
        <v>939</v>
      </c>
      <c r="D1912" s="108" t="s">
        <v>13</v>
      </c>
      <c r="E1912" s="108" t="s">
        <v>471</v>
      </c>
      <c r="F1912" s="108" t="s">
        <v>971</v>
      </c>
      <c r="G1912" s="108" t="s">
        <v>9</v>
      </c>
      <c r="H1912" s="126">
        <f>H1913</f>
        <v>0</v>
      </c>
      <c r="I1912" s="178" t="str">
        <f t="shared" si="246"/>
        <v>624030916 3 03 00000000</v>
      </c>
      <c r="L1912" s="20">
        <v>2700</v>
      </c>
      <c r="M1912" s="20">
        <v>2700</v>
      </c>
      <c r="N1912" s="20">
        <v>2700</v>
      </c>
      <c r="O1912" s="20">
        <f>H1912-L1912</f>
        <v>-2700</v>
      </c>
      <c r="P1912" s="20" t="e">
        <f>#REF!-M1912</f>
        <v>#REF!</v>
      </c>
      <c r="Q1912" s="20" t="e">
        <f>#REF!-N1912</f>
        <v>#REF!</v>
      </c>
      <c r="R1912" s="17" t="str">
        <f t="shared" si="249"/>
        <v>16 3 03 00000000</v>
      </c>
    </row>
    <row r="1913" spans="1:18" s="16" customFormat="1" ht="47.25">
      <c r="A1913" s="14"/>
      <c r="B1913" s="148" t="s">
        <v>152</v>
      </c>
      <c r="C1913" s="109" t="s">
        <v>939</v>
      </c>
      <c r="D1913" s="108" t="s">
        <v>13</v>
      </c>
      <c r="E1913" s="108" t="s">
        <v>471</v>
      </c>
      <c r="F1913" s="108" t="s">
        <v>972</v>
      </c>
      <c r="G1913" s="108" t="s">
        <v>9</v>
      </c>
      <c r="H1913" s="126">
        <f>H1914</f>
        <v>0</v>
      </c>
      <c r="I1913" s="178" t="str">
        <f t="shared" si="246"/>
        <v>624030916 3 03 20350000</v>
      </c>
      <c r="L1913" s="20">
        <v>2700</v>
      </c>
      <c r="M1913" s="20">
        <v>2700</v>
      </c>
      <c r="N1913" s="20">
        <v>2700</v>
      </c>
      <c r="O1913" s="20">
        <f>H1913-L1913</f>
        <v>-2700</v>
      </c>
      <c r="P1913" s="20" t="e">
        <f>#REF!-M1913</f>
        <v>#REF!</v>
      </c>
      <c r="Q1913" s="20" t="e">
        <f>#REF!-N1913</f>
        <v>#REF!</v>
      </c>
      <c r="R1913" s="17" t="str">
        <f t="shared" si="249"/>
        <v>16 3 03 20350000</v>
      </c>
    </row>
    <row r="1914" spans="1:18" s="16" customFormat="1" ht="31.5">
      <c r="A1914" s="14"/>
      <c r="B1914" s="148" t="s">
        <v>28</v>
      </c>
      <c r="C1914" s="109" t="s">
        <v>939</v>
      </c>
      <c r="D1914" s="108" t="s">
        <v>13</v>
      </c>
      <c r="E1914" s="108" t="s">
        <v>471</v>
      </c>
      <c r="F1914" s="108" t="s">
        <v>972</v>
      </c>
      <c r="G1914" s="108" t="s">
        <v>29</v>
      </c>
      <c r="H1914" s="126">
        <f>H1915</f>
        <v>0</v>
      </c>
      <c r="I1914" s="178" t="str">
        <f t="shared" si="246"/>
        <v>624030916 3 03 20350240</v>
      </c>
      <c r="L1914" s="20">
        <v>2700</v>
      </c>
      <c r="M1914" s="20">
        <v>2700</v>
      </c>
      <c r="N1914" s="20">
        <v>2700</v>
      </c>
      <c r="O1914" s="20">
        <f>H1914-L1914</f>
        <v>-2700</v>
      </c>
      <c r="P1914" s="20" t="e">
        <f>#REF!-M1914</f>
        <v>#REF!</v>
      </c>
      <c r="Q1914" s="20" t="e">
        <f>#REF!-N1914</f>
        <v>#REF!</v>
      </c>
      <c r="R1914" s="17" t="str">
        <f t="shared" si="249"/>
        <v>16 3 03 20350240</v>
      </c>
    </row>
    <row r="1915" spans="1:18" s="16" customFormat="1" ht="15.75">
      <c r="A1915" s="14"/>
      <c r="B1915" s="125" t="s">
        <v>30</v>
      </c>
      <c r="C1915" s="109" t="s">
        <v>939</v>
      </c>
      <c r="D1915" s="108" t="s">
        <v>13</v>
      </c>
      <c r="E1915" s="108" t="s">
        <v>471</v>
      </c>
      <c r="F1915" s="108" t="s">
        <v>972</v>
      </c>
      <c r="G1915" s="108" t="s">
        <v>31</v>
      </c>
      <c r="H1915" s="126"/>
      <c r="I1915" s="178" t="str">
        <f t="shared" si="246"/>
        <v>624030916 3 03 20350244</v>
      </c>
      <c r="L1915" s="20"/>
      <c r="M1915" s="20"/>
      <c r="N1915" s="20"/>
      <c r="O1915" s="20"/>
      <c r="P1915" s="20"/>
      <c r="Q1915" s="20"/>
      <c r="R1915" s="17"/>
    </row>
    <row r="1916" spans="1:18" s="16" customFormat="1" ht="78.75">
      <c r="A1916" s="14"/>
      <c r="B1916" s="148" t="s">
        <v>973</v>
      </c>
      <c r="C1916" s="109" t="s">
        <v>939</v>
      </c>
      <c r="D1916" s="108" t="s">
        <v>13</v>
      </c>
      <c r="E1916" s="108" t="s">
        <v>471</v>
      </c>
      <c r="F1916" s="108" t="s">
        <v>974</v>
      </c>
      <c r="G1916" s="108" t="s">
        <v>9</v>
      </c>
      <c r="H1916" s="126">
        <f>H1917</f>
        <v>0</v>
      </c>
      <c r="I1916" s="178" t="str">
        <f t="shared" si="246"/>
        <v>624030916 3 04 00000000</v>
      </c>
      <c r="L1916" s="20">
        <v>765</v>
      </c>
      <c r="M1916" s="20">
        <v>765</v>
      </c>
      <c r="N1916" s="20">
        <v>765</v>
      </c>
      <c r="O1916" s="20">
        <f>H1916-L1916</f>
        <v>-765</v>
      </c>
      <c r="P1916" s="20" t="e">
        <f>#REF!-M1916</f>
        <v>#REF!</v>
      </c>
      <c r="Q1916" s="20" t="e">
        <f>#REF!-N1916</f>
        <v>#REF!</v>
      </c>
      <c r="R1916" s="17" t="str">
        <f t="shared" si="249"/>
        <v>16 3 04 00000000</v>
      </c>
    </row>
    <row r="1917" spans="1:18" s="16" customFormat="1" ht="47.25">
      <c r="A1917" s="14"/>
      <c r="B1917" s="148" t="s">
        <v>152</v>
      </c>
      <c r="C1917" s="109" t="s">
        <v>939</v>
      </c>
      <c r="D1917" s="108" t="s">
        <v>13</v>
      </c>
      <c r="E1917" s="108" t="s">
        <v>471</v>
      </c>
      <c r="F1917" s="108" t="s">
        <v>975</v>
      </c>
      <c r="G1917" s="108" t="s">
        <v>9</v>
      </c>
      <c r="H1917" s="126">
        <f>H1918</f>
        <v>0</v>
      </c>
      <c r="I1917" s="178" t="str">
        <f t="shared" si="246"/>
        <v>624030916 3 04 20350000</v>
      </c>
      <c r="L1917" s="20">
        <v>765</v>
      </c>
      <c r="M1917" s="20">
        <v>765</v>
      </c>
      <c r="N1917" s="20">
        <v>765</v>
      </c>
      <c r="O1917" s="20">
        <f>H1917-L1917</f>
        <v>-765</v>
      </c>
      <c r="P1917" s="20" t="e">
        <f>#REF!-M1917</f>
        <v>#REF!</v>
      </c>
      <c r="Q1917" s="20" t="e">
        <f>#REF!-N1917</f>
        <v>#REF!</v>
      </c>
      <c r="R1917" s="17" t="str">
        <f t="shared" si="249"/>
        <v>16 3 04 20350000</v>
      </c>
    </row>
    <row r="1918" spans="1:18" s="16" customFormat="1" ht="31.5">
      <c r="A1918" s="14"/>
      <c r="B1918" s="148" t="s">
        <v>28</v>
      </c>
      <c r="C1918" s="109" t="s">
        <v>939</v>
      </c>
      <c r="D1918" s="108" t="s">
        <v>13</v>
      </c>
      <c r="E1918" s="108" t="s">
        <v>471</v>
      </c>
      <c r="F1918" s="108" t="s">
        <v>975</v>
      </c>
      <c r="G1918" s="108" t="s">
        <v>29</v>
      </c>
      <c r="H1918" s="126">
        <f>H1919</f>
        <v>0</v>
      </c>
      <c r="I1918" s="178" t="str">
        <f t="shared" si="246"/>
        <v>624030916 3 04 20350240</v>
      </c>
      <c r="L1918" s="20">
        <v>765</v>
      </c>
      <c r="M1918" s="20">
        <v>765</v>
      </c>
      <c r="N1918" s="20">
        <v>765</v>
      </c>
      <c r="O1918" s="20">
        <f>H1918-L1918</f>
        <v>-765</v>
      </c>
      <c r="P1918" s="20" t="e">
        <f>#REF!-M1918</f>
        <v>#REF!</v>
      </c>
      <c r="Q1918" s="20" t="e">
        <f>#REF!-N1918</f>
        <v>#REF!</v>
      </c>
      <c r="R1918" s="17" t="str">
        <f t="shared" si="249"/>
        <v>16 3 04 20350240</v>
      </c>
    </row>
    <row r="1919" spans="1:18" s="16" customFormat="1" ht="15.75">
      <c r="A1919" s="14"/>
      <c r="B1919" s="125" t="s">
        <v>30</v>
      </c>
      <c r="C1919" s="109" t="s">
        <v>939</v>
      </c>
      <c r="D1919" s="108" t="s">
        <v>13</v>
      </c>
      <c r="E1919" s="108" t="s">
        <v>471</v>
      </c>
      <c r="F1919" s="108" t="s">
        <v>975</v>
      </c>
      <c r="G1919" s="108" t="s">
        <v>31</v>
      </c>
      <c r="H1919" s="126"/>
      <c r="I1919" s="178" t="str">
        <f t="shared" si="246"/>
        <v>624030916 3 04 20350244</v>
      </c>
      <c r="L1919" s="20"/>
      <c r="M1919" s="20"/>
      <c r="N1919" s="20"/>
      <c r="O1919" s="20"/>
      <c r="P1919" s="20"/>
      <c r="Q1919" s="20"/>
      <c r="R1919" s="17"/>
    </row>
    <row r="1920" spans="1:18" s="16" customFormat="1" ht="47.25">
      <c r="A1920" s="14"/>
      <c r="B1920" s="147" t="s">
        <v>976</v>
      </c>
      <c r="C1920" s="109" t="s">
        <v>939</v>
      </c>
      <c r="D1920" s="108" t="s">
        <v>13</v>
      </c>
      <c r="E1920" s="108" t="s">
        <v>471</v>
      </c>
      <c r="F1920" s="108" t="s">
        <v>977</v>
      </c>
      <c r="G1920" s="108" t="s">
        <v>9</v>
      </c>
      <c r="H1920" s="126">
        <f>H1921</f>
        <v>0</v>
      </c>
      <c r="I1920" s="178" t="str">
        <f t="shared" si="246"/>
        <v>624030985 0 00 00000000</v>
      </c>
      <c r="L1920" s="20">
        <v>15349.49</v>
      </c>
      <c r="M1920" s="20">
        <v>15349.49</v>
      </c>
      <c r="N1920" s="20">
        <v>15349.49</v>
      </c>
      <c r="O1920" s="20">
        <f>H1920-L1920</f>
        <v>-15349.49</v>
      </c>
      <c r="P1920" s="20" t="e">
        <f>#REF!-M1920</f>
        <v>#REF!</v>
      </c>
      <c r="Q1920" s="20" t="e">
        <f>#REF!-N1920</f>
        <v>#REF!</v>
      </c>
      <c r="R1920" s="17" t="str">
        <f t="shared" si="249"/>
        <v>85 0 00 00000000</v>
      </c>
    </row>
    <row r="1921" spans="1:18" s="66" customFormat="1" ht="63">
      <c r="A1921" s="65"/>
      <c r="B1921" s="125" t="s">
        <v>978</v>
      </c>
      <c r="C1921" s="109" t="s">
        <v>939</v>
      </c>
      <c r="D1921" s="108" t="s">
        <v>13</v>
      </c>
      <c r="E1921" s="108" t="s">
        <v>471</v>
      </c>
      <c r="F1921" s="108" t="s">
        <v>979</v>
      </c>
      <c r="G1921" s="108" t="s">
        <v>9</v>
      </c>
      <c r="H1921" s="126">
        <f>H1922+H1931</f>
        <v>0</v>
      </c>
      <c r="I1921" s="178" t="str">
        <f t="shared" si="246"/>
        <v>624030985 1 00 00000000</v>
      </c>
      <c r="L1921" s="20">
        <v>15349.49</v>
      </c>
      <c r="M1921" s="20">
        <v>15349.49</v>
      </c>
      <c r="N1921" s="20">
        <v>15349.49</v>
      </c>
      <c r="O1921" s="20">
        <f>H1921-L1921</f>
        <v>-15349.49</v>
      </c>
      <c r="P1921" s="20" t="e">
        <f>#REF!-M1921</f>
        <v>#REF!</v>
      </c>
      <c r="Q1921" s="20" t="e">
        <f>#REF!-N1921</f>
        <v>#REF!</v>
      </c>
      <c r="R1921" s="17" t="str">
        <f t="shared" si="249"/>
        <v>85 1 00 00000000</v>
      </c>
    </row>
    <row r="1922" spans="1:18" s="16" customFormat="1" ht="31.5">
      <c r="A1922" s="14"/>
      <c r="B1922" s="148" t="s">
        <v>18</v>
      </c>
      <c r="C1922" s="109" t="s">
        <v>939</v>
      </c>
      <c r="D1922" s="108" t="s">
        <v>13</v>
      </c>
      <c r="E1922" s="108" t="s">
        <v>471</v>
      </c>
      <c r="F1922" s="108" t="s">
        <v>980</v>
      </c>
      <c r="G1922" s="108" t="s">
        <v>9</v>
      </c>
      <c r="H1922" s="126">
        <f>H1923+H1926+H1928</f>
        <v>0</v>
      </c>
      <c r="I1922" s="178" t="str">
        <f t="shared" si="246"/>
        <v>624030985 1 00 10010000</v>
      </c>
      <c r="L1922" s="20">
        <v>1772.94</v>
      </c>
      <c r="M1922" s="20">
        <v>1772.94</v>
      </c>
      <c r="N1922" s="20">
        <v>1772.94</v>
      </c>
      <c r="O1922" s="20">
        <f>H1922-L1922</f>
        <v>-1772.94</v>
      </c>
      <c r="P1922" s="20" t="e">
        <f>#REF!-M1922</f>
        <v>#REF!</v>
      </c>
      <c r="Q1922" s="20" t="e">
        <f>#REF!-N1922</f>
        <v>#REF!</v>
      </c>
      <c r="R1922" s="17" t="str">
        <f t="shared" si="249"/>
        <v>85 1 00 10010000</v>
      </c>
    </row>
    <row r="1923" spans="1:18" s="16" customFormat="1" ht="31.5">
      <c r="A1923" s="14"/>
      <c r="B1923" s="125" t="s">
        <v>20</v>
      </c>
      <c r="C1923" s="109" t="s">
        <v>939</v>
      </c>
      <c r="D1923" s="108" t="s">
        <v>13</v>
      </c>
      <c r="E1923" s="108" t="s">
        <v>471</v>
      </c>
      <c r="F1923" s="108" t="s">
        <v>980</v>
      </c>
      <c r="G1923" s="108" t="s">
        <v>21</v>
      </c>
      <c r="H1923" s="126">
        <f>SUM(H1924:H1925)</f>
        <v>0</v>
      </c>
      <c r="I1923" s="178" t="str">
        <f t="shared" si="246"/>
        <v>624030985 1 00 10010120</v>
      </c>
      <c r="L1923" s="20">
        <v>387.25</v>
      </c>
      <c r="M1923" s="20">
        <v>387.25</v>
      </c>
      <c r="N1923" s="20">
        <v>387.25</v>
      </c>
      <c r="O1923" s="20">
        <f>H1923-L1923</f>
        <v>-387.25</v>
      </c>
      <c r="P1923" s="20" t="e">
        <f>#REF!-M1923</f>
        <v>#REF!</v>
      </c>
      <c r="Q1923" s="20" t="e">
        <f>#REF!-N1923</f>
        <v>#REF!</v>
      </c>
      <c r="R1923" s="17" t="str">
        <f t="shared" si="249"/>
        <v>85 1 00 10010120</v>
      </c>
    </row>
    <row r="1924" spans="1:18" s="16" customFormat="1" ht="47.25">
      <c r="A1924" s="14"/>
      <c r="B1924" s="125" t="s">
        <v>22</v>
      </c>
      <c r="C1924" s="109" t="s">
        <v>939</v>
      </c>
      <c r="D1924" s="108" t="s">
        <v>13</v>
      </c>
      <c r="E1924" s="108" t="s">
        <v>471</v>
      </c>
      <c r="F1924" s="108" t="s">
        <v>980</v>
      </c>
      <c r="G1924" s="108" t="s">
        <v>23</v>
      </c>
      <c r="H1924" s="126"/>
      <c r="I1924" s="178" t="str">
        <f t="shared" si="246"/>
        <v>624030985 1 00 10010122</v>
      </c>
      <c r="L1924" s="20"/>
      <c r="M1924" s="20"/>
      <c r="N1924" s="20"/>
      <c r="O1924" s="20"/>
      <c r="P1924" s="20"/>
      <c r="Q1924" s="20"/>
      <c r="R1924" s="17"/>
    </row>
    <row r="1925" spans="1:18" s="16" customFormat="1" ht="63">
      <c r="A1925" s="14"/>
      <c r="B1925" s="125" t="s">
        <v>26</v>
      </c>
      <c r="C1925" s="109" t="s">
        <v>939</v>
      </c>
      <c r="D1925" s="108" t="s">
        <v>13</v>
      </c>
      <c r="E1925" s="108" t="s">
        <v>471</v>
      </c>
      <c r="F1925" s="108" t="s">
        <v>980</v>
      </c>
      <c r="G1925" s="108" t="s">
        <v>27</v>
      </c>
      <c r="H1925" s="126"/>
      <c r="I1925" s="178" t="str">
        <f t="shared" si="246"/>
        <v>624030985 1 00 10010129</v>
      </c>
      <c r="L1925" s="20"/>
      <c r="M1925" s="20"/>
      <c r="N1925" s="20"/>
      <c r="O1925" s="20"/>
      <c r="P1925" s="20"/>
      <c r="Q1925" s="20"/>
      <c r="R1925" s="17"/>
    </row>
    <row r="1926" spans="1:18" s="16" customFormat="1" ht="31.5">
      <c r="A1926" s="14"/>
      <c r="B1926" s="125" t="s">
        <v>28</v>
      </c>
      <c r="C1926" s="109" t="s">
        <v>939</v>
      </c>
      <c r="D1926" s="108" t="s">
        <v>13</v>
      </c>
      <c r="E1926" s="108" t="s">
        <v>471</v>
      </c>
      <c r="F1926" s="108" t="s">
        <v>980</v>
      </c>
      <c r="G1926" s="108" t="s">
        <v>29</v>
      </c>
      <c r="H1926" s="126">
        <f>H1927</f>
        <v>0</v>
      </c>
      <c r="I1926" s="178" t="str">
        <f t="shared" si="246"/>
        <v>624030985 1 00 10010240</v>
      </c>
      <c r="L1926" s="20">
        <v>1183.98</v>
      </c>
      <c r="M1926" s="20">
        <v>1183.98</v>
      </c>
      <c r="N1926" s="20">
        <v>1183.98</v>
      </c>
      <c r="O1926" s="20">
        <f>H1926-L1926</f>
        <v>-1183.98</v>
      </c>
      <c r="P1926" s="20" t="e">
        <f>#REF!-M1926</f>
        <v>#REF!</v>
      </c>
      <c r="Q1926" s="20" t="e">
        <f>#REF!-N1926</f>
        <v>#REF!</v>
      </c>
      <c r="R1926" s="17" t="str">
        <f t="shared" si="249"/>
        <v>85 1 00 10010240</v>
      </c>
    </row>
    <row r="1927" spans="1:18" s="16" customFormat="1" ht="15.75">
      <c r="A1927" s="14"/>
      <c r="B1927" s="125" t="s">
        <v>30</v>
      </c>
      <c r="C1927" s="109" t="s">
        <v>939</v>
      </c>
      <c r="D1927" s="108" t="s">
        <v>13</v>
      </c>
      <c r="E1927" s="108" t="s">
        <v>471</v>
      </c>
      <c r="F1927" s="108" t="s">
        <v>980</v>
      </c>
      <c r="G1927" s="108" t="s">
        <v>31</v>
      </c>
      <c r="H1927" s="126"/>
      <c r="I1927" s="178" t="str">
        <f t="shared" si="246"/>
        <v>624030985 1 00 10010244</v>
      </c>
      <c r="L1927" s="20"/>
      <c r="M1927" s="20"/>
      <c r="N1927" s="20"/>
      <c r="O1927" s="20"/>
      <c r="P1927" s="20"/>
      <c r="Q1927" s="20"/>
      <c r="R1927" s="17"/>
    </row>
    <row r="1928" spans="1:18" s="16" customFormat="1" ht="15.75">
      <c r="A1928" s="14"/>
      <c r="B1928" s="125" t="s">
        <v>32</v>
      </c>
      <c r="C1928" s="109" t="s">
        <v>939</v>
      </c>
      <c r="D1928" s="108" t="s">
        <v>13</v>
      </c>
      <c r="E1928" s="108" t="s">
        <v>471</v>
      </c>
      <c r="F1928" s="108" t="s">
        <v>980</v>
      </c>
      <c r="G1928" s="108" t="s">
        <v>33</v>
      </c>
      <c r="H1928" s="126">
        <f>SUM(H1929:H1930)</f>
        <v>0</v>
      </c>
      <c r="I1928" s="178" t="str">
        <f t="shared" si="246"/>
        <v>624030985 1 00 10010850</v>
      </c>
      <c r="L1928" s="20">
        <v>201.71</v>
      </c>
      <c r="M1928" s="20">
        <v>201.71</v>
      </c>
      <c r="N1928" s="20">
        <v>201.71</v>
      </c>
      <c r="O1928" s="20">
        <f>H1928-L1928</f>
        <v>-201.71</v>
      </c>
      <c r="P1928" s="20" t="e">
        <f>#REF!-M1928</f>
        <v>#REF!</v>
      </c>
      <c r="Q1928" s="20" t="e">
        <f>#REF!-N1928</f>
        <v>#REF!</v>
      </c>
      <c r="R1928" s="17" t="str">
        <f t="shared" si="249"/>
        <v>85 1 00 10010850</v>
      </c>
    </row>
    <row r="1929" spans="1:18" s="16" customFormat="1" ht="31.5">
      <c r="A1929" s="14"/>
      <c r="B1929" s="125" t="s">
        <v>34</v>
      </c>
      <c r="C1929" s="109" t="s">
        <v>939</v>
      </c>
      <c r="D1929" s="108" t="s">
        <v>13</v>
      </c>
      <c r="E1929" s="108" t="s">
        <v>471</v>
      </c>
      <c r="F1929" s="108" t="s">
        <v>980</v>
      </c>
      <c r="G1929" s="108">
        <v>851</v>
      </c>
      <c r="H1929" s="126"/>
      <c r="I1929" s="178" t="str">
        <f t="shared" si="246"/>
        <v>624030985 1 00 10010851</v>
      </c>
      <c r="L1929" s="20"/>
      <c r="M1929" s="20"/>
      <c r="N1929" s="20"/>
      <c r="O1929" s="20"/>
      <c r="P1929" s="20"/>
      <c r="Q1929" s="20"/>
      <c r="R1929" s="17"/>
    </row>
    <row r="1930" spans="1:18" s="16" customFormat="1" ht="15.75">
      <c r="A1930" s="14"/>
      <c r="B1930" s="125" t="s">
        <v>77</v>
      </c>
      <c r="C1930" s="109" t="s">
        <v>939</v>
      </c>
      <c r="D1930" s="108" t="s">
        <v>13</v>
      </c>
      <c r="E1930" s="108" t="s">
        <v>471</v>
      </c>
      <c r="F1930" s="108" t="s">
        <v>980</v>
      </c>
      <c r="G1930" s="108" t="s">
        <v>78</v>
      </c>
      <c r="H1930" s="126"/>
      <c r="I1930" s="178" t="str">
        <f t="shared" si="246"/>
        <v>624030985 1 00 10010853</v>
      </c>
      <c r="L1930" s="20"/>
      <c r="M1930" s="20"/>
      <c r="N1930" s="20"/>
      <c r="O1930" s="20"/>
      <c r="P1930" s="20"/>
      <c r="Q1930" s="20"/>
      <c r="R1930" s="17"/>
    </row>
    <row r="1931" spans="1:18" s="16" customFormat="1" ht="31.5">
      <c r="A1931" s="14"/>
      <c r="B1931" s="148" t="s">
        <v>38</v>
      </c>
      <c r="C1931" s="109" t="s">
        <v>939</v>
      </c>
      <c r="D1931" s="108" t="s">
        <v>13</v>
      </c>
      <c r="E1931" s="108" t="s">
        <v>471</v>
      </c>
      <c r="F1931" s="108" t="s">
        <v>981</v>
      </c>
      <c r="G1931" s="108" t="s">
        <v>9</v>
      </c>
      <c r="H1931" s="126">
        <f>H1932</f>
        <v>0</v>
      </c>
      <c r="I1931" s="178" t="str">
        <f t="shared" si="246"/>
        <v>624030985 1 00 10020000</v>
      </c>
      <c r="L1931" s="20">
        <v>13576.55</v>
      </c>
      <c r="M1931" s="20">
        <v>13576.55</v>
      </c>
      <c r="N1931" s="20">
        <v>13576.55</v>
      </c>
      <c r="O1931" s="20">
        <f>H1931-L1931</f>
        <v>-13576.55</v>
      </c>
      <c r="P1931" s="20" t="e">
        <f>#REF!-M1931</f>
        <v>#REF!</v>
      </c>
      <c r="Q1931" s="20" t="e">
        <f>#REF!-N1931</f>
        <v>#REF!</v>
      </c>
      <c r="R1931" s="17" t="str">
        <f t="shared" si="249"/>
        <v>85 1 00 10020000</v>
      </c>
    </row>
    <row r="1932" spans="1:18" s="16" customFormat="1" ht="31.5">
      <c r="A1932" s="14"/>
      <c r="B1932" s="125" t="s">
        <v>20</v>
      </c>
      <c r="C1932" s="109" t="s">
        <v>939</v>
      </c>
      <c r="D1932" s="108" t="s">
        <v>13</v>
      </c>
      <c r="E1932" s="108" t="s">
        <v>471</v>
      </c>
      <c r="F1932" s="108" t="s">
        <v>981</v>
      </c>
      <c r="G1932" s="108" t="s">
        <v>21</v>
      </c>
      <c r="H1932" s="126">
        <f>SUM(H1933:H1934)</f>
        <v>0</v>
      </c>
      <c r="I1932" s="178" t="str">
        <f t="shared" si="246"/>
        <v>624030985 1 00 10020120</v>
      </c>
      <c r="L1932" s="20">
        <v>13576.55</v>
      </c>
      <c r="M1932" s="20">
        <v>13576.55</v>
      </c>
      <c r="N1932" s="20">
        <v>13576.55</v>
      </c>
      <c r="O1932" s="20">
        <f>H1932-L1932</f>
        <v>-13576.55</v>
      </c>
      <c r="P1932" s="20" t="e">
        <f>#REF!-M1932</f>
        <v>#REF!</v>
      </c>
      <c r="Q1932" s="20" t="e">
        <f>#REF!-N1932</f>
        <v>#REF!</v>
      </c>
      <c r="R1932" s="17" t="str">
        <f t="shared" si="249"/>
        <v>85 1 00 10020120</v>
      </c>
    </row>
    <row r="1933" spans="1:18" s="23" customFormat="1" ht="31.5">
      <c r="A1933" s="21"/>
      <c r="B1933" s="127" t="s">
        <v>40</v>
      </c>
      <c r="C1933" s="109" t="s">
        <v>939</v>
      </c>
      <c r="D1933" s="108" t="s">
        <v>13</v>
      </c>
      <c r="E1933" s="108" t="s">
        <v>471</v>
      </c>
      <c r="F1933" s="108" t="s">
        <v>981</v>
      </c>
      <c r="G1933" s="108" t="s">
        <v>41</v>
      </c>
      <c r="H1933" s="126"/>
      <c r="I1933" s="178" t="str">
        <f t="shared" si="246"/>
        <v>624030985 1 00 10020121</v>
      </c>
      <c r="L1933" s="22"/>
      <c r="M1933" s="22"/>
      <c r="N1933" s="22"/>
      <c r="O1933" s="22"/>
      <c r="P1933" s="22"/>
      <c r="Q1933" s="22"/>
      <c r="R1933" s="24"/>
    </row>
    <row r="1934" spans="1:18" s="23" customFormat="1" ht="63">
      <c r="A1934" s="21"/>
      <c r="B1934" s="127" t="s">
        <v>26</v>
      </c>
      <c r="C1934" s="109" t="s">
        <v>939</v>
      </c>
      <c r="D1934" s="108" t="s">
        <v>13</v>
      </c>
      <c r="E1934" s="108" t="s">
        <v>471</v>
      </c>
      <c r="F1934" s="108" t="s">
        <v>981</v>
      </c>
      <c r="G1934" s="108" t="s">
        <v>27</v>
      </c>
      <c r="H1934" s="126"/>
      <c r="I1934" s="178" t="str">
        <f t="shared" si="246"/>
        <v>624030985 1 00 10020129</v>
      </c>
      <c r="L1934" s="22"/>
      <c r="M1934" s="22"/>
      <c r="N1934" s="22"/>
      <c r="O1934" s="22"/>
      <c r="P1934" s="22"/>
      <c r="Q1934" s="22"/>
      <c r="R1934" s="24"/>
    </row>
    <row r="1935" spans="1:18" s="16" customFormat="1" ht="15.75">
      <c r="A1935" s="14"/>
      <c r="B1935" s="125"/>
      <c r="C1935" s="109"/>
      <c r="D1935" s="108"/>
      <c r="E1935" s="108"/>
      <c r="F1935" s="108"/>
      <c r="G1935" s="108"/>
      <c r="H1935" s="126"/>
      <c r="I1935" s="178" t="str">
        <f t="shared" si="246"/>
        <v/>
      </c>
      <c r="L1935" s="20"/>
      <c r="M1935" s="20"/>
      <c r="N1935" s="20"/>
      <c r="O1935" s="20">
        <f t="shared" ref="O1935:O1942" si="250">H1935-L1935</f>
        <v>0</v>
      </c>
      <c r="P1935" s="20" t="e">
        <f>#REF!-M1935</f>
        <v>#REF!</v>
      </c>
      <c r="Q1935" s="20" t="e">
        <f>#REF!-N1935</f>
        <v>#REF!</v>
      </c>
      <c r="R1935" s="17" t="str">
        <f t="shared" si="249"/>
        <v/>
      </c>
    </row>
    <row r="1936" spans="1:18" s="16" customFormat="1" ht="15.75">
      <c r="A1936" s="14"/>
      <c r="B1936" s="67" t="s">
        <v>982</v>
      </c>
      <c r="C1936" s="116" t="s">
        <v>983</v>
      </c>
      <c r="D1936" s="69" t="s">
        <v>7</v>
      </c>
      <c r="E1936" s="69" t="s">
        <v>7</v>
      </c>
      <c r="F1936" s="69" t="s">
        <v>8</v>
      </c>
      <c r="G1936" s="69" t="s">
        <v>9</v>
      </c>
      <c r="H1936" s="70">
        <f t="shared" ref="H1936:H1939" si="251">H1937</f>
        <v>0</v>
      </c>
      <c r="I1936" s="178" t="str">
        <f t="shared" si="246"/>
        <v>643000000 0 00 00000000</v>
      </c>
      <c r="L1936" s="25">
        <v>14384</v>
      </c>
      <c r="M1936" s="25">
        <v>14384</v>
      </c>
      <c r="N1936" s="25">
        <v>14384</v>
      </c>
      <c r="O1936" s="25">
        <f t="shared" si="250"/>
        <v>-14384</v>
      </c>
      <c r="P1936" s="25" t="e">
        <f>#REF!-M1936</f>
        <v>#REF!</v>
      </c>
      <c r="Q1936" s="25" t="e">
        <f>#REF!-N1936</f>
        <v>#REF!</v>
      </c>
      <c r="R1936" s="17" t="str">
        <f t="shared" si="249"/>
        <v>00 0 00 00000000</v>
      </c>
    </row>
    <row r="1937" spans="1:18" s="16" customFormat="1" ht="15.75">
      <c r="A1937" s="14"/>
      <c r="B1937" s="117" t="s">
        <v>10</v>
      </c>
      <c r="C1937" s="118" t="s">
        <v>983</v>
      </c>
      <c r="D1937" s="119" t="s">
        <v>11</v>
      </c>
      <c r="E1937" s="119" t="s">
        <v>7</v>
      </c>
      <c r="F1937" s="119" t="s">
        <v>8</v>
      </c>
      <c r="G1937" s="119" t="s">
        <v>9</v>
      </c>
      <c r="H1937" s="120">
        <f t="shared" si="251"/>
        <v>0</v>
      </c>
      <c r="I1937" s="178" t="str">
        <f t="shared" si="246"/>
        <v>643010000 0 00 00000000</v>
      </c>
      <c r="L1937" s="18">
        <v>14384</v>
      </c>
      <c r="M1937" s="18">
        <v>14384</v>
      </c>
      <c r="N1937" s="18">
        <v>14384</v>
      </c>
      <c r="O1937" s="18">
        <f t="shared" si="250"/>
        <v>-14384</v>
      </c>
      <c r="P1937" s="18" t="e">
        <f>#REF!-M1937</f>
        <v>#REF!</v>
      </c>
      <c r="Q1937" s="18" t="e">
        <f>#REF!-N1937</f>
        <v>#REF!</v>
      </c>
      <c r="R1937" s="17" t="str">
        <f t="shared" si="249"/>
        <v>00 0 00 00000000</v>
      </c>
    </row>
    <row r="1938" spans="1:18" s="16" customFormat="1" ht="47.25">
      <c r="A1938" s="14"/>
      <c r="B1938" s="121" t="s">
        <v>333</v>
      </c>
      <c r="C1938" s="122" t="s">
        <v>983</v>
      </c>
      <c r="D1938" s="123" t="s">
        <v>11</v>
      </c>
      <c r="E1938" s="123" t="s">
        <v>334</v>
      </c>
      <c r="F1938" s="123" t="s">
        <v>8</v>
      </c>
      <c r="G1938" s="123" t="s">
        <v>9</v>
      </c>
      <c r="H1938" s="124">
        <f t="shared" si="251"/>
        <v>0</v>
      </c>
      <c r="I1938" s="178" t="str">
        <f t="shared" si="246"/>
        <v>643010600 0 00 00000000</v>
      </c>
      <c r="L1938" s="19">
        <v>14384</v>
      </c>
      <c r="M1938" s="19">
        <v>14384</v>
      </c>
      <c r="N1938" s="19">
        <v>14384</v>
      </c>
      <c r="O1938" s="19">
        <f t="shared" si="250"/>
        <v>-14384</v>
      </c>
      <c r="P1938" s="19" t="e">
        <f>#REF!-M1938</f>
        <v>#REF!</v>
      </c>
      <c r="Q1938" s="19" t="e">
        <f>#REF!-N1938</f>
        <v>#REF!</v>
      </c>
      <c r="R1938" s="17" t="str">
        <f t="shared" si="249"/>
        <v>00 0 00 00000000</v>
      </c>
    </row>
    <row r="1939" spans="1:18" s="16" customFormat="1" ht="31.5">
      <c r="A1939" s="14"/>
      <c r="B1939" s="129" t="s">
        <v>984</v>
      </c>
      <c r="C1939" s="109" t="s">
        <v>983</v>
      </c>
      <c r="D1939" s="108" t="s">
        <v>11</v>
      </c>
      <c r="E1939" s="108" t="s">
        <v>334</v>
      </c>
      <c r="F1939" s="108" t="s">
        <v>985</v>
      </c>
      <c r="G1939" s="108" t="s">
        <v>9</v>
      </c>
      <c r="H1939" s="126">
        <f t="shared" si="251"/>
        <v>0</v>
      </c>
      <c r="I1939" s="178" t="str">
        <f t="shared" si="246"/>
        <v>643010686 0 00 00000000</v>
      </c>
      <c r="L1939" s="20">
        <v>14384</v>
      </c>
      <c r="M1939" s="20">
        <v>14384</v>
      </c>
      <c r="N1939" s="20">
        <v>14384</v>
      </c>
      <c r="O1939" s="20">
        <f t="shared" si="250"/>
        <v>-14384</v>
      </c>
      <c r="P1939" s="20" t="e">
        <f>#REF!-M1939</f>
        <v>#REF!</v>
      </c>
      <c r="Q1939" s="20" t="e">
        <f>#REF!-N1939</f>
        <v>#REF!</v>
      </c>
      <c r="R1939" s="17" t="str">
        <f t="shared" si="249"/>
        <v>86 0 00 00000000</v>
      </c>
    </row>
    <row r="1940" spans="1:18" s="16" customFormat="1" ht="47.25">
      <c r="A1940" s="14"/>
      <c r="B1940" s="129" t="s">
        <v>986</v>
      </c>
      <c r="C1940" s="109" t="s">
        <v>983</v>
      </c>
      <c r="D1940" s="108" t="s">
        <v>11</v>
      </c>
      <c r="E1940" s="108" t="s">
        <v>334</v>
      </c>
      <c r="F1940" s="108" t="s">
        <v>987</v>
      </c>
      <c r="G1940" s="108" t="s">
        <v>9</v>
      </c>
      <c r="H1940" s="126">
        <f>H1941+H1951</f>
        <v>0</v>
      </c>
      <c r="I1940" s="178" t="str">
        <f t="shared" si="246"/>
        <v>643010686 1 00 00000000</v>
      </c>
      <c r="L1940" s="20">
        <v>14384</v>
      </c>
      <c r="M1940" s="20">
        <v>14384</v>
      </c>
      <c r="N1940" s="20">
        <v>14384</v>
      </c>
      <c r="O1940" s="20">
        <f t="shared" si="250"/>
        <v>-14384</v>
      </c>
      <c r="P1940" s="20" t="e">
        <f>#REF!-M1940</f>
        <v>#REF!</v>
      </c>
      <c r="Q1940" s="20" t="e">
        <f>#REF!-N1940</f>
        <v>#REF!</v>
      </c>
      <c r="R1940" s="17" t="str">
        <f t="shared" si="249"/>
        <v>86 1 00 00000000</v>
      </c>
    </row>
    <row r="1941" spans="1:18" s="16" customFormat="1" ht="31.5">
      <c r="A1941" s="14"/>
      <c r="B1941" s="125" t="s">
        <v>18</v>
      </c>
      <c r="C1941" s="109" t="s">
        <v>983</v>
      </c>
      <c r="D1941" s="108" t="s">
        <v>11</v>
      </c>
      <c r="E1941" s="108" t="s">
        <v>334</v>
      </c>
      <c r="F1941" s="108" t="s">
        <v>988</v>
      </c>
      <c r="G1941" s="108" t="s">
        <v>9</v>
      </c>
      <c r="H1941" s="126">
        <f>H1942+H1945+H1947</f>
        <v>0</v>
      </c>
      <c r="I1941" s="178" t="str">
        <f t="shared" ref="I1941:I1954" si="252">C1941&amp;D1941&amp;E1941&amp;F1941&amp;G1941</f>
        <v>643010686 1 00 10010000</v>
      </c>
      <c r="L1941" s="20">
        <v>3916.21</v>
      </c>
      <c r="M1941" s="20">
        <v>3916.21</v>
      </c>
      <c r="N1941" s="20">
        <v>3916.21</v>
      </c>
      <c r="O1941" s="20">
        <f t="shared" si="250"/>
        <v>-3916.21</v>
      </c>
      <c r="P1941" s="20" t="e">
        <f>#REF!-M1941</f>
        <v>#REF!</v>
      </c>
      <c r="Q1941" s="20" t="e">
        <f>#REF!-N1941</f>
        <v>#REF!</v>
      </c>
      <c r="R1941" s="17" t="str">
        <f t="shared" si="249"/>
        <v>86 1 00 10010000</v>
      </c>
    </row>
    <row r="1942" spans="1:18" s="16" customFormat="1" ht="31.5">
      <c r="A1942" s="14"/>
      <c r="B1942" s="127" t="s">
        <v>20</v>
      </c>
      <c r="C1942" s="109" t="s">
        <v>983</v>
      </c>
      <c r="D1942" s="108" t="s">
        <v>11</v>
      </c>
      <c r="E1942" s="108" t="s">
        <v>334</v>
      </c>
      <c r="F1942" s="108" t="s">
        <v>988</v>
      </c>
      <c r="G1942" s="108" t="s">
        <v>21</v>
      </c>
      <c r="H1942" s="126">
        <f>SUM(H1943:H1944)</f>
        <v>0</v>
      </c>
      <c r="I1942" s="178" t="str">
        <f t="shared" si="252"/>
        <v>643010686 1 00 10010120</v>
      </c>
      <c r="L1942" s="20">
        <v>546.53</v>
      </c>
      <c r="M1942" s="20">
        <v>546.53</v>
      </c>
      <c r="N1942" s="20">
        <v>546.53</v>
      </c>
      <c r="O1942" s="20">
        <f t="shared" si="250"/>
        <v>-546.53</v>
      </c>
      <c r="P1942" s="20" t="e">
        <f>#REF!-M1942</f>
        <v>#REF!</v>
      </c>
      <c r="Q1942" s="20" t="e">
        <f>#REF!-N1942</f>
        <v>#REF!</v>
      </c>
      <c r="R1942" s="17" t="str">
        <f t="shared" si="249"/>
        <v>86 1 00 10010120</v>
      </c>
    </row>
    <row r="1943" spans="1:18" s="23" customFormat="1" ht="47.25">
      <c r="A1943" s="21"/>
      <c r="B1943" s="127" t="s">
        <v>22</v>
      </c>
      <c r="C1943" s="109" t="s">
        <v>983</v>
      </c>
      <c r="D1943" s="108" t="s">
        <v>11</v>
      </c>
      <c r="E1943" s="108" t="s">
        <v>334</v>
      </c>
      <c r="F1943" s="108" t="s">
        <v>988</v>
      </c>
      <c r="G1943" s="108">
        <v>122</v>
      </c>
      <c r="H1943" s="126"/>
      <c r="I1943" s="178" t="str">
        <f t="shared" si="252"/>
        <v>643010686 1 00 10010122</v>
      </c>
      <c r="L1943" s="22"/>
      <c r="M1943" s="22"/>
      <c r="N1943" s="22"/>
      <c r="O1943" s="22"/>
      <c r="P1943" s="22"/>
      <c r="Q1943" s="22"/>
      <c r="R1943" s="24"/>
    </row>
    <row r="1944" spans="1:18" s="23" customFormat="1" ht="63">
      <c r="A1944" s="21"/>
      <c r="B1944" s="127" t="s">
        <v>26</v>
      </c>
      <c r="C1944" s="109" t="s">
        <v>983</v>
      </c>
      <c r="D1944" s="108" t="s">
        <v>11</v>
      </c>
      <c r="E1944" s="108" t="s">
        <v>334</v>
      </c>
      <c r="F1944" s="108" t="s">
        <v>988</v>
      </c>
      <c r="G1944" s="108" t="s">
        <v>27</v>
      </c>
      <c r="H1944" s="126"/>
      <c r="I1944" s="178" t="str">
        <f t="shared" si="252"/>
        <v>643010686 1 00 10010129</v>
      </c>
      <c r="L1944" s="22"/>
      <c r="M1944" s="22"/>
      <c r="N1944" s="22"/>
      <c r="O1944" s="22"/>
      <c r="P1944" s="22"/>
      <c r="Q1944" s="22"/>
      <c r="R1944" s="24"/>
    </row>
    <row r="1945" spans="1:18" s="16" customFormat="1" ht="31.5">
      <c r="A1945" s="14"/>
      <c r="B1945" s="125" t="s">
        <v>28</v>
      </c>
      <c r="C1945" s="109" t="s">
        <v>983</v>
      </c>
      <c r="D1945" s="108" t="s">
        <v>11</v>
      </c>
      <c r="E1945" s="108" t="s">
        <v>334</v>
      </c>
      <c r="F1945" s="108" t="s">
        <v>988</v>
      </c>
      <c r="G1945" s="108" t="s">
        <v>29</v>
      </c>
      <c r="H1945" s="126">
        <f>H1946</f>
        <v>0</v>
      </c>
      <c r="I1945" s="178" t="str">
        <f t="shared" si="252"/>
        <v>643010686 1 00 10010240</v>
      </c>
      <c r="L1945" s="20">
        <v>3257.98</v>
      </c>
      <c r="M1945" s="20">
        <v>3257.98</v>
      </c>
      <c r="N1945" s="20">
        <v>3257.98</v>
      </c>
      <c r="O1945" s="20">
        <f>H1945-L1945</f>
        <v>-3257.98</v>
      </c>
      <c r="P1945" s="20" t="e">
        <f>#REF!-M1945</f>
        <v>#REF!</v>
      </c>
      <c r="Q1945" s="20" t="e">
        <f>#REF!-N1945</f>
        <v>#REF!</v>
      </c>
      <c r="R1945" s="17" t="str">
        <f t="shared" si="249"/>
        <v>86 1 00 10010240</v>
      </c>
    </row>
    <row r="1946" spans="1:18" s="16" customFormat="1" ht="15.75">
      <c r="A1946" s="14"/>
      <c r="B1946" s="125" t="s">
        <v>30</v>
      </c>
      <c r="C1946" s="109" t="s">
        <v>983</v>
      </c>
      <c r="D1946" s="108" t="s">
        <v>11</v>
      </c>
      <c r="E1946" s="108" t="s">
        <v>334</v>
      </c>
      <c r="F1946" s="108" t="s">
        <v>988</v>
      </c>
      <c r="G1946" s="108" t="s">
        <v>31</v>
      </c>
      <c r="H1946" s="126"/>
      <c r="I1946" s="178" t="str">
        <f t="shared" si="252"/>
        <v>643010686 1 00 10010244</v>
      </c>
      <c r="L1946" s="20"/>
      <c r="M1946" s="20"/>
      <c r="N1946" s="20"/>
      <c r="O1946" s="20"/>
      <c r="P1946" s="20"/>
      <c r="Q1946" s="20"/>
      <c r="R1946" s="17"/>
    </row>
    <row r="1947" spans="1:18" s="16" customFormat="1" ht="15.75">
      <c r="A1947" s="14"/>
      <c r="B1947" s="125" t="s">
        <v>32</v>
      </c>
      <c r="C1947" s="109" t="s">
        <v>983</v>
      </c>
      <c r="D1947" s="108" t="s">
        <v>11</v>
      </c>
      <c r="E1947" s="108" t="s">
        <v>334</v>
      </c>
      <c r="F1947" s="108" t="s">
        <v>988</v>
      </c>
      <c r="G1947" s="108" t="s">
        <v>33</v>
      </c>
      <c r="H1947" s="126">
        <f>SUM(H1948:H1950)</f>
        <v>0</v>
      </c>
      <c r="I1947" s="178" t="str">
        <f t="shared" si="252"/>
        <v>643010686 1 00 10010850</v>
      </c>
      <c r="L1947" s="20">
        <v>111.69999999999999</v>
      </c>
      <c r="M1947" s="20">
        <v>111.69999999999999</v>
      </c>
      <c r="N1947" s="20">
        <v>111.69999999999999</v>
      </c>
      <c r="O1947" s="20">
        <f>H1947-L1947</f>
        <v>-111.69999999999999</v>
      </c>
      <c r="P1947" s="20" t="e">
        <f>#REF!-M1947</f>
        <v>#REF!</v>
      </c>
      <c r="Q1947" s="20" t="e">
        <f>#REF!-N1947</f>
        <v>#REF!</v>
      </c>
      <c r="R1947" s="17" t="str">
        <f t="shared" si="249"/>
        <v>86 1 00 10010850</v>
      </c>
    </row>
    <row r="1948" spans="1:18" s="23" customFormat="1" ht="31.5">
      <c r="A1948" s="21"/>
      <c r="B1948" s="127" t="s">
        <v>34</v>
      </c>
      <c r="C1948" s="109" t="s">
        <v>983</v>
      </c>
      <c r="D1948" s="108" t="s">
        <v>11</v>
      </c>
      <c r="E1948" s="108" t="s">
        <v>334</v>
      </c>
      <c r="F1948" s="108" t="s">
        <v>988</v>
      </c>
      <c r="G1948" s="108" t="s">
        <v>35</v>
      </c>
      <c r="H1948" s="126"/>
      <c r="I1948" s="178" t="str">
        <f t="shared" si="252"/>
        <v>643010686 1 00 10010851</v>
      </c>
      <c r="L1948" s="22"/>
      <c r="M1948" s="22"/>
      <c r="N1948" s="22"/>
      <c r="O1948" s="22"/>
      <c r="P1948" s="22"/>
      <c r="Q1948" s="22"/>
      <c r="R1948" s="24"/>
    </row>
    <row r="1949" spans="1:18" s="23" customFormat="1" ht="15.75">
      <c r="A1949" s="21"/>
      <c r="B1949" s="127" t="s">
        <v>36</v>
      </c>
      <c r="C1949" s="109" t="s">
        <v>983</v>
      </c>
      <c r="D1949" s="108" t="s">
        <v>11</v>
      </c>
      <c r="E1949" s="108" t="s">
        <v>334</v>
      </c>
      <c r="F1949" s="108" t="s">
        <v>988</v>
      </c>
      <c r="G1949" s="108" t="s">
        <v>37</v>
      </c>
      <c r="H1949" s="126"/>
      <c r="I1949" s="178" t="str">
        <f t="shared" si="252"/>
        <v>643010686 1 00 10010852</v>
      </c>
      <c r="L1949" s="22"/>
      <c r="M1949" s="22"/>
      <c r="N1949" s="22"/>
      <c r="O1949" s="22"/>
      <c r="P1949" s="22"/>
      <c r="Q1949" s="22"/>
      <c r="R1949" s="24"/>
    </row>
    <row r="1950" spans="1:18" s="23" customFormat="1" ht="15.75">
      <c r="A1950" s="21"/>
      <c r="B1950" s="127" t="s">
        <v>77</v>
      </c>
      <c r="C1950" s="109" t="s">
        <v>983</v>
      </c>
      <c r="D1950" s="108" t="s">
        <v>11</v>
      </c>
      <c r="E1950" s="108" t="s">
        <v>334</v>
      </c>
      <c r="F1950" s="108" t="s">
        <v>988</v>
      </c>
      <c r="G1950" s="108" t="s">
        <v>78</v>
      </c>
      <c r="H1950" s="126"/>
      <c r="I1950" s="178" t="str">
        <f t="shared" si="252"/>
        <v>643010686 1 00 10010853</v>
      </c>
      <c r="L1950" s="22"/>
      <c r="M1950" s="22"/>
      <c r="N1950" s="22"/>
      <c r="O1950" s="22"/>
      <c r="P1950" s="22"/>
      <c r="Q1950" s="22"/>
      <c r="R1950" s="24"/>
    </row>
    <row r="1951" spans="1:18" s="16" customFormat="1" ht="31.5">
      <c r="A1951" s="14"/>
      <c r="B1951" s="127" t="s">
        <v>38</v>
      </c>
      <c r="C1951" s="109" t="s">
        <v>983</v>
      </c>
      <c r="D1951" s="108" t="s">
        <v>11</v>
      </c>
      <c r="E1951" s="108" t="s">
        <v>334</v>
      </c>
      <c r="F1951" s="108" t="s">
        <v>989</v>
      </c>
      <c r="G1951" s="108" t="s">
        <v>9</v>
      </c>
      <c r="H1951" s="126">
        <f>H1952</f>
        <v>0</v>
      </c>
      <c r="I1951" s="178" t="str">
        <f t="shared" si="252"/>
        <v>643010686 1 00 10020000</v>
      </c>
      <c r="L1951" s="20">
        <v>10467.790000000001</v>
      </c>
      <c r="M1951" s="20">
        <v>10467.790000000001</v>
      </c>
      <c r="N1951" s="20">
        <v>10467.790000000001</v>
      </c>
      <c r="O1951" s="20">
        <f>H1951-L1951</f>
        <v>-10467.790000000001</v>
      </c>
      <c r="P1951" s="20" t="e">
        <f>#REF!-M1951</f>
        <v>#REF!</v>
      </c>
      <c r="Q1951" s="20" t="e">
        <f>#REF!-N1951</f>
        <v>#REF!</v>
      </c>
      <c r="R1951" s="17" t="str">
        <f t="shared" si="249"/>
        <v>86 1 00 10020000</v>
      </c>
    </row>
    <row r="1952" spans="1:18" s="16" customFormat="1" ht="31.5">
      <c r="A1952" s="14"/>
      <c r="B1952" s="127" t="s">
        <v>20</v>
      </c>
      <c r="C1952" s="109" t="s">
        <v>983</v>
      </c>
      <c r="D1952" s="108" t="s">
        <v>11</v>
      </c>
      <c r="E1952" s="108" t="s">
        <v>334</v>
      </c>
      <c r="F1952" s="108" t="s">
        <v>989</v>
      </c>
      <c r="G1952" s="108" t="s">
        <v>21</v>
      </c>
      <c r="H1952" s="126">
        <f>SUM(H1953:H1954)</f>
        <v>0</v>
      </c>
      <c r="I1952" s="178" t="str">
        <f t="shared" si="252"/>
        <v>643010686 1 00 10020120</v>
      </c>
      <c r="L1952" s="20">
        <v>10467.790000000001</v>
      </c>
      <c r="M1952" s="20">
        <v>10467.790000000001</v>
      </c>
      <c r="N1952" s="20">
        <v>10467.790000000001</v>
      </c>
      <c r="O1952" s="20">
        <f>H1952-L1952</f>
        <v>-10467.790000000001</v>
      </c>
      <c r="P1952" s="20" t="e">
        <f>#REF!-M1952</f>
        <v>#REF!</v>
      </c>
      <c r="Q1952" s="20" t="e">
        <f>#REF!-N1952</f>
        <v>#REF!</v>
      </c>
      <c r="R1952" s="17" t="str">
        <f t="shared" si="249"/>
        <v>86 1 00 10020120</v>
      </c>
    </row>
    <row r="1953" spans="1:18" s="23" customFormat="1" ht="31.5">
      <c r="A1953" s="21"/>
      <c r="B1953" s="127" t="s">
        <v>40</v>
      </c>
      <c r="C1953" s="109" t="s">
        <v>983</v>
      </c>
      <c r="D1953" s="108" t="s">
        <v>11</v>
      </c>
      <c r="E1953" s="108" t="s">
        <v>334</v>
      </c>
      <c r="F1953" s="108" t="s">
        <v>989</v>
      </c>
      <c r="G1953" s="108" t="s">
        <v>41</v>
      </c>
      <c r="H1953" s="126"/>
      <c r="I1953" s="178" t="str">
        <f t="shared" si="252"/>
        <v>643010686 1 00 10020121</v>
      </c>
      <c r="L1953" s="22"/>
      <c r="M1953" s="22"/>
      <c r="N1953" s="22"/>
      <c r="O1953" s="22"/>
      <c r="P1953" s="22"/>
      <c r="Q1953" s="22"/>
      <c r="R1953" s="24"/>
    </row>
    <row r="1954" spans="1:18" s="23" customFormat="1" ht="63">
      <c r="A1954" s="21"/>
      <c r="B1954" s="127" t="s">
        <v>26</v>
      </c>
      <c r="C1954" s="109" t="s">
        <v>983</v>
      </c>
      <c r="D1954" s="108" t="s">
        <v>11</v>
      </c>
      <c r="E1954" s="108" t="s">
        <v>334</v>
      </c>
      <c r="F1954" s="108" t="s">
        <v>989</v>
      </c>
      <c r="G1954" s="108" t="s">
        <v>27</v>
      </c>
      <c r="H1954" s="126"/>
      <c r="I1954" s="178" t="str">
        <f t="shared" si="252"/>
        <v>643010686 1 00 10020129</v>
      </c>
      <c r="L1954" s="22"/>
      <c r="M1954" s="22"/>
      <c r="N1954" s="22"/>
      <c r="O1954" s="22"/>
      <c r="P1954" s="22"/>
      <c r="Q1954" s="22"/>
      <c r="R1954" s="24"/>
    </row>
    <row r="1955" spans="1:18" s="16" customFormat="1" ht="15.75">
      <c r="A1955" s="14"/>
      <c r="B1955" s="129"/>
      <c r="C1955" s="109"/>
      <c r="D1955" s="108"/>
      <c r="E1955" s="108"/>
      <c r="F1955" s="108"/>
      <c r="G1955" s="108"/>
      <c r="H1955" s="126"/>
      <c r="L1955" s="20"/>
      <c r="M1955" s="20"/>
      <c r="N1955" s="20"/>
      <c r="O1955" s="20">
        <f>H1955-L1955</f>
        <v>0</v>
      </c>
      <c r="P1955" s="20" t="e">
        <f>#REF!-M1955</f>
        <v>#REF!</v>
      </c>
      <c r="Q1955" s="20" t="e">
        <f>#REF!-N1955</f>
        <v>#REF!</v>
      </c>
      <c r="R1955" s="17" t="str">
        <f t="shared" si="249"/>
        <v/>
      </c>
    </row>
    <row r="1956" spans="1:18">
      <c r="B1956" s="67" t="s">
        <v>990</v>
      </c>
      <c r="C1956" s="68"/>
      <c r="D1956" s="69"/>
      <c r="E1956" s="69"/>
      <c r="F1956" s="69"/>
      <c r="G1956" s="69"/>
      <c r="H1956" s="70">
        <f>H20+H77+H291+H392+H439+H481+H718+H936+H1153+H1228+H1336+H1433+H1552+H1859+H1757+H1936</f>
        <v>0</v>
      </c>
      <c r="L1956" s="25">
        <v>8029027.2400000012</v>
      </c>
      <c r="M1956" s="25">
        <v>8006432.7300000004</v>
      </c>
      <c r="N1956" s="25">
        <v>8125650.7400000002</v>
      </c>
      <c r="O1956" s="25">
        <f>H1956-L1956</f>
        <v>-8029027.2400000012</v>
      </c>
      <c r="P1956" s="25" t="e">
        <f>#REF!-M1956</f>
        <v>#REF!</v>
      </c>
      <c r="Q1956" s="25" t="e">
        <f>#REF!-N1956</f>
        <v>#REF!</v>
      </c>
      <c r="R1956" s="17"/>
    </row>
    <row r="1957" spans="1:18">
      <c r="B1957" s="67"/>
      <c r="C1957" s="68"/>
      <c r="D1957" s="69"/>
      <c r="E1957" s="69"/>
      <c r="F1957" s="69"/>
      <c r="G1957" s="69"/>
      <c r="H1957" s="70"/>
      <c r="L1957" s="71"/>
      <c r="M1957" s="71"/>
      <c r="N1957" s="25"/>
      <c r="O1957" s="71"/>
      <c r="P1957" s="71"/>
      <c r="Q1957" s="25"/>
      <c r="R1957" s="17"/>
    </row>
    <row r="1958" spans="1:18">
      <c r="B1958" s="103" t="s">
        <v>1009</v>
      </c>
      <c r="C1958" s="104"/>
      <c r="D1958" s="105"/>
      <c r="E1958" s="105"/>
      <c r="F1958" s="106"/>
      <c r="G1958" s="106"/>
      <c r="H1958" s="105"/>
      <c r="L1958" s="71"/>
      <c r="M1958" s="71"/>
      <c r="N1958" s="25"/>
      <c r="O1958" s="71"/>
      <c r="P1958" s="71"/>
      <c r="Q1958" s="25"/>
      <c r="R1958" s="17"/>
    </row>
    <row r="1959" spans="1:18">
      <c r="B1959" s="103" t="s">
        <v>1004</v>
      </c>
      <c r="C1959" s="104"/>
      <c r="D1959" s="105"/>
      <c r="E1959" s="105"/>
      <c r="F1959" s="106"/>
      <c r="G1959" s="106"/>
      <c r="H1959" s="105"/>
      <c r="L1959" s="71"/>
      <c r="M1959" s="71"/>
      <c r="N1959" s="25"/>
      <c r="O1959" s="71"/>
      <c r="P1959" s="71"/>
      <c r="Q1959" s="25"/>
      <c r="R1959" s="17"/>
    </row>
    <row r="1960" spans="1:18">
      <c r="B1960" s="103" t="s">
        <v>1005</v>
      </c>
      <c r="C1960" s="104"/>
      <c r="D1960" s="105"/>
      <c r="E1960" s="105"/>
      <c r="F1960" s="106"/>
      <c r="G1960" s="106"/>
      <c r="H1960" s="105"/>
      <c r="L1960" s="71"/>
      <c r="M1960" s="71"/>
      <c r="N1960" s="25"/>
      <c r="O1960" s="71"/>
      <c r="P1960" s="71"/>
      <c r="Q1960" s="25"/>
      <c r="R1960" s="17"/>
    </row>
    <row r="1961" spans="1:18">
      <c r="B1961" s="103" t="s">
        <v>992</v>
      </c>
      <c r="C1961" s="104"/>
      <c r="D1961" s="107"/>
      <c r="E1961" s="107"/>
      <c r="F1961" s="106"/>
      <c r="G1961" s="106"/>
      <c r="H1961" s="6"/>
      <c r="L1961" s="71"/>
      <c r="M1961" s="71"/>
      <c r="N1961" s="25"/>
      <c r="O1961" s="71"/>
      <c r="P1961" s="71"/>
      <c r="Q1961" s="25"/>
      <c r="R1961" s="17"/>
    </row>
    <row r="1962" spans="1:18">
      <c r="B1962" s="103" t="s">
        <v>1010</v>
      </c>
      <c r="C1962" s="3"/>
      <c r="D1962" s="97"/>
      <c r="E1962" s="97"/>
      <c r="F1962" s="97"/>
      <c r="G1962" s="97"/>
      <c r="H1962" s="100"/>
      <c r="L1962" s="71"/>
      <c r="M1962" s="71"/>
      <c r="N1962" s="25"/>
      <c r="O1962" s="71"/>
      <c r="P1962" s="71"/>
      <c r="Q1962" s="25"/>
      <c r="R1962" s="17"/>
    </row>
    <row r="1963" spans="1:18">
      <c r="B1963" s="103" t="s">
        <v>1007</v>
      </c>
      <c r="C1963" s="3"/>
      <c r="D1963" s="97"/>
      <c r="E1963" s="97"/>
      <c r="F1963" s="108"/>
      <c r="G1963" s="109"/>
      <c r="H1963" s="5" t="s">
        <v>1011</v>
      </c>
      <c r="L1963" s="71"/>
      <c r="M1963" s="71"/>
      <c r="N1963" s="25"/>
      <c r="O1963" s="71"/>
      <c r="P1963" s="71"/>
      <c r="Q1963" s="25"/>
      <c r="R1963" s="17"/>
    </row>
    <row r="1964" spans="1:18">
      <c r="B1964" s="67"/>
      <c r="C1964" s="68"/>
      <c r="D1964" s="69"/>
      <c r="E1964" s="69"/>
      <c r="F1964" s="69"/>
      <c r="G1964" s="69"/>
      <c r="H1964" s="70"/>
      <c r="L1964" s="71"/>
      <c r="M1964" s="71"/>
      <c r="N1964" s="25"/>
      <c r="O1964" s="71"/>
      <c r="P1964" s="71"/>
      <c r="Q1964" s="25"/>
      <c r="R1964" s="17"/>
    </row>
    <row r="1965" spans="1:18">
      <c r="B1965" s="67"/>
      <c r="C1965" s="68"/>
      <c r="D1965" s="69"/>
      <c r="E1965" s="69"/>
      <c r="F1965" s="69"/>
      <c r="G1965" s="69"/>
      <c r="H1965" s="70"/>
      <c r="L1965" s="71"/>
      <c r="M1965" s="71"/>
      <c r="N1965" s="25"/>
      <c r="O1965" s="71"/>
      <c r="P1965" s="71"/>
      <c r="Q1965" s="25"/>
      <c r="R1965" s="17"/>
    </row>
    <row r="1966" spans="1:18">
      <c r="B1966" s="67"/>
      <c r="C1966" s="68"/>
      <c r="D1966" s="69"/>
      <c r="E1966" s="69"/>
      <c r="F1966" s="69"/>
      <c r="G1966" s="69"/>
      <c r="H1966" s="70"/>
      <c r="L1966" s="70"/>
      <c r="M1966" s="70"/>
      <c r="N1966" s="18"/>
      <c r="O1966" s="70"/>
      <c r="P1966" s="70"/>
      <c r="Q1966" s="18"/>
      <c r="R1966" s="17"/>
    </row>
    <row r="1967" spans="1:18">
      <c r="B1967" s="93"/>
      <c r="C1967" s="94"/>
      <c r="D1967" s="90"/>
      <c r="E1967" s="90"/>
      <c r="F1967" s="90"/>
      <c r="G1967" s="90"/>
      <c r="H1967" s="77"/>
      <c r="M1967" s="76"/>
      <c r="N1967" s="18"/>
      <c r="P1967" s="76"/>
      <c r="Q1967" s="18"/>
      <c r="R1967" s="17"/>
    </row>
    <row r="1968" spans="1:18">
      <c r="B1968" s="93"/>
      <c r="C1968" s="94"/>
      <c r="D1968" s="90"/>
      <c r="E1968" s="90"/>
      <c r="F1968" s="90"/>
      <c r="G1968" s="90"/>
      <c r="H1968" s="77"/>
      <c r="M1968" s="76"/>
      <c r="N1968" s="18"/>
      <c r="P1968" s="76"/>
      <c r="Q1968" s="18"/>
      <c r="R1968" s="17"/>
    </row>
    <row r="1969" spans="1:18" s="81" customFormat="1" ht="15.75">
      <c r="A1969" s="78"/>
      <c r="B1969" s="95"/>
      <c r="C1969" s="83"/>
      <c r="D1969" s="79"/>
      <c r="E1969" s="79"/>
      <c r="F1969" s="79"/>
      <c r="G1969" s="79"/>
      <c r="H1969" s="80">
        <v>8029027240</v>
      </c>
      <c r="L1969" s="82"/>
      <c r="M1969" s="82"/>
      <c r="N1969" s="82"/>
      <c r="O1969" s="82"/>
      <c r="P1969" s="82"/>
      <c r="Q1969" s="82"/>
      <c r="R1969" s="17"/>
    </row>
    <row r="1970" spans="1:18" s="81" customFormat="1" ht="15.75">
      <c r="A1970" s="78"/>
      <c r="B1970" s="95"/>
      <c r="C1970" s="83"/>
      <c r="D1970" s="79"/>
      <c r="E1970" s="79"/>
      <c r="F1970" s="83" t="s">
        <v>991</v>
      </c>
      <c r="G1970" s="83"/>
      <c r="H1970" s="80">
        <v>-2</v>
      </c>
      <c r="L1970" s="82"/>
      <c r="M1970" s="82"/>
      <c r="N1970" s="82"/>
      <c r="O1970" s="82"/>
      <c r="P1970" s="82"/>
      <c r="Q1970" s="82"/>
      <c r="R1970" s="17"/>
    </row>
    <row r="1971" spans="1:18" s="81" customFormat="1" ht="15.75">
      <c r="A1971" s="78"/>
      <c r="B1971" s="95"/>
      <c r="C1971" s="83"/>
      <c r="D1971" s="79"/>
      <c r="E1971" s="79"/>
      <c r="F1971" s="79"/>
      <c r="G1971" s="79"/>
      <c r="H1971" s="80">
        <f>H1956-H1969-H1970</f>
        <v>-8029027238</v>
      </c>
      <c r="L1971" s="82"/>
      <c r="M1971" s="82"/>
      <c r="N1971" s="82"/>
      <c r="O1971" s="82"/>
      <c r="P1971" s="82"/>
      <c r="Q1971" s="82"/>
      <c r="R1971" s="17"/>
    </row>
    <row r="1972" spans="1:18" s="81" customFormat="1" ht="15.75">
      <c r="A1972" s="78"/>
      <c r="B1972" s="95"/>
      <c r="C1972" s="83"/>
      <c r="D1972" s="79"/>
      <c r="E1972" s="79"/>
      <c r="F1972" s="79"/>
      <c r="G1972" s="79"/>
      <c r="H1972" s="80"/>
      <c r="L1972" s="82"/>
      <c r="M1972" s="82"/>
      <c r="N1972" s="82"/>
      <c r="O1972" s="82"/>
      <c r="P1972" s="82"/>
      <c r="Q1972" s="82"/>
      <c r="R1972" s="17"/>
    </row>
    <row r="1973" spans="1:18" s="81" customFormat="1" ht="15.75">
      <c r="A1973" s="78"/>
      <c r="B1973" s="95"/>
      <c r="C1973" s="83"/>
      <c r="D1973" s="79"/>
      <c r="E1973" s="79"/>
      <c r="F1973" s="79"/>
      <c r="G1973" s="79"/>
      <c r="H1973" s="80"/>
      <c r="L1973" s="82"/>
      <c r="M1973" s="82"/>
      <c r="N1973" s="82"/>
      <c r="O1973" s="82"/>
      <c r="P1973" s="82"/>
      <c r="Q1973" s="82"/>
      <c r="R1973" s="17"/>
    </row>
    <row r="1974" spans="1:18" s="81" customFormat="1" ht="15.75">
      <c r="A1974" s="78"/>
      <c r="B1974" s="95"/>
      <c r="C1974" s="83"/>
      <c r="D1974" s="79"/>
      <c r="E1974" s="79"/>
      <c r="F1974" s="79"/>
      <c r="G1974" s="79"/>
      <c r="H1974" s="80"/>
      <c r="L1974" s="82"/>
      <c r="M1974" s="82"/>
      <c r="N1974" s="82"/>
      <c r="O1974" s="82"/>
      <c r="P1974" s="82"/>
      <c r="Q1974" s="82"/>
      <c r="R1974" s="17"/>
    </row>
    <row r="1975" spans="1:18" s="81" customFormat="1" ht="15.75">
      <c r="A1975" s="78"/>
      <c r="B1975" s="95"/>
      <c r="C1975" s="83"/>
      <c r="D1975" s="79"/>
      <c r="E1975" s="79"/>
      <c r="F1975" s="79"/>
      <c r="G1975" s="79"/>
      <c r="H1975" s="80"/>
      <c r="L1975" s="82"/>
      <c r="M1975" s="82"/>
      <c r="N1975" s="82"/>
      <c r="O1975" s="82"/>
      <c r="P1975" s="82"/>
      <c r="Q1975" s="82"/>
      <c r="R1975" s="17"/>
    </row>
    <row r="1976" spans="1:18">
      <c r="B1976" s="93"/>
      <c r="C1976" s="94"/>
      <c r="D1976" s="90"/>
      <c r="E1976" s="90"/>
      <c r="F1976" s="90"/>
      <c r="G1976" s="90"/>
      <c r="H1976" s="77"/>
      <c r="R1976" s="17"/>
    </row>
    <row r="1977" spans="1:18">
      <c r="B1977" s="93"/>
      <c r="C1977" s="94"/>
      <c r="D1977" s="90"/>
      <c r="E1977" s="90"/>
      <c r="F1977" s="90"/>
      <c r="G1977" s="90"/>
      <c r="H1977" s="77"/>
      <c r="R1977" s="17"/>
    </row>
    <row r="1978" spans="1:18" s="86" customFormat="1" ht="15.75">
      <c r="A1978" s="85"/>
      <c r="B1978" s="96"/>
      <c r="C1978" s="87"/>
      <c r="D1978" s="87"/>
      <c r="E1978" s="87"/>
      <c r="F1978" s="165"/>
      <c r="G1978" s="88"/>
      <c r="H1978" s="89"/>
      <c r="L1978" s="89"/>
      <c r="M1978" s="87"/>
      <c r="O1978" s="89"/>
      <c r="P1978" s="87"/>
      <c r="R1978" s="17"/>
    </row>
    <row r="1979" spans="1:18">
      <c r="B1979" s="24"/>
      <c r="C1979" s="23"/>
      <c r="D1979" s="23"/>
      <c r="E1979" s="23"/>
      <c r="F1979" s="94"/>
      <c r="G1979" s="90"/>
      <c r="H1979" s="89"/>
      <c r="L1979" s="89"/>
      <c r="M1979" s="23"/>
      <c r="N1979" s="48"/>
      <c r="O1979" s="89"/>
      <c r="P1979" s="23"/>
      <c r="Q1979" s="48"/>
      <c r="R1979" s="17"/>
    </row>
    <row r="1980" spans="1:18">
      <c r="B1980" s="24"/>
      <c r="C1980" s="23"/>
      <c r="D1980" s="23"/>
      <c r="E1980" s="23"/>
      <c r="F1980" s="94"/>
      <c r="G1980" s="90"/>
      <c r="H1980" s="89"/>
      <c r="L1980" s="89"/>
      <c r="M1980" s="23"/>
      <c r="N1980" s="48"/>
      <c r="O1980" s="89"/>
      <c r="P1980" s="23"/>
      <c r="Q1980" s="48"/>
      <c r="R1980" s="17"/>
    </row>
    <row r="1981" spans="1:18">
      <c r="B1981" s="24"/>
      <c r="C1981" s="23"/>
      <c r="D1981" s="23"/>
      <c r="E1981" s="23"/>
      <c r="F1981" s="90"/>
      <c r="G1981" s="90"/>
      <c r="H1981" s="89"/>
      <c r="L1981" s="89"/>
      <c r="M1981" s="23"/>
      <c r="N1981" s="48"/>
      <c r="O1981" s="89"/>
      <c r="P1981" s="23"/>
      <c r="Q1981" s="48"/>
      <c r="R1981" s="17"/>
    </row>
    <row r="1982" spans="1:18">
      <c r="B1982" s="93"/>
      <c r="C1982" s="94"/>
      <c r="D1982" s="90"/>
      <c r="E1982" s="90"/>
      <c r="F1982" s="94"/>
      <c r="G1982" s="90"/>
      <c r="H1982" s="89"/>
      <c r="L1982" s="89"/>
      <c r="M1982" s="77"/>
      <c r="O1982" s="89"/>
      <c r="P1982" s="77"/>
      <c r="R1982" s="17"/>
    </row>
    <row r="1983" spans="1:18">
      <c r="B1983" s="93"/>
      <c r="C1983" s="94"/>
      <c r="D1983" s="90"/>
      <c r="E1983" s="90"/>
      <c r="F1983" s="94"/>
      <c r="G1983" s="90"/>
      <c r="H1983" s="89"/>
      <c r="L1983" s="89"/>
      <c r="M1983" s="77"/>
      <c r="O1983" s="89"/>
      <c r="P1983" s="77"/>
      <c r="R1983" s="17"/>
    </row>
    <row r="1984" spans="1:18">
      <c r="B1984" s="93"/>
      <c r="C1984" s="94"/>
      <c r="D1984" s="90"/>
      <c r="E1984" s="90"/>
      <c r="F1984" s="94"/>
      <c r="G1984" s="90"/>
      <c r="H1984" s="89"/>
      <c r="L1984" s="89"/>
      <c r="M1984" s="77"/>
      <c r="O1984" s="89"/>
      <c r="P1984" s="77"/>
      <c r="R1984" s="17"/>
    </row>
    <row r="1985" spans="2:18">
      <c r="B1985" s="93"/>
      <c r="C1985" s="94"/>
      <c r="D1985" s="90"/>
      <c r="E1985" s="90"/>
      <c r="F1985" s="90"/>
      <c r="G1985" s="90"/>
      <c r="H1985" s="77"/>
      <c r="L1985" s="77"/>
      <c r="M1985" s="77"/>
      <c r="O1985" s="77"/>
      <c r="P1985" s="77"/>
      <c r="R1985" s="17"/>
    </row>
    <row r="1986" spans="2:18">
      <c r="B1986" s="93"/>
      <c r="C1986" s="94"/>
      <c r="D1986" s="90"/>
      <c r="E1986" s="90"/>
      <c r="F1986" s="90"/>
      <c r="G1986" s="90"/>
      <c r="H1986" s="77"/>
      <c r="R1986" s="17" t="str">
        <f t="shared" si="249"/>
        <v/>
      </c>
    </row>
    <row r="1987" spans="2:18">
      <c r="B1987" s="93"/>
      <c r="C1987" s="94"/>
      <c r="D1987" s="90"/>
      <c r="E1987" s="90"/>
      <c r="F1987" s="90"/>
      <c r="G1987" s="90"/>
      <c r="H1987" s="77"/>
      <c r="L1987" s="77"/>
      <c r="M1987" s="77"/>
      <c r="N1987" s="91"/>
      <c r="O1987" s="77"/>
      <c r="P1987" s="77"/>
      <c r="Q1987" s="91"/>
      <c r="R1987" s="17" t="str">
        <f t="shared" si="249"/>
        <v/>
      </c>
    </row>
    <row r="1988" spans="2:18">
      <c r="B1988" s="93"/>
      <c r="C1988" s="94"/>
      <c r="D1988" s="90"/>
      <c r="E1988" s="90"/>
      <c r="F1988" s="90"/>
      <c r="G1988" s="90"/>
      <c r="H1988" s="77"/>
      <c r="L1988" s="77"/>
      <c r="M1988" s="77"/>
      <c r="N1988" s="91"/>
      <c r="O1988" s="77"/>
      <c r="P1988" s="77"/>
      <c r="Q1988" s="91"/>
      <c r="R1988" s="17" t="str">
        <f t="shared" si="249"/>
        <v/>
      </c>
    </row>
    <row r="1989" spans="2:18">
      <c r="B1989" s="93"/>
      <c r="C1989" s="94"/>
      <c r="D1989" s="90"/>
      <c r="E1989" s="90"/>
      <c r="F1989" s="90"/>
      <c r="G1989" s="90"/>
      <c r="H1989" s="77"/>
      <c r="L1989" s="77"/>
      <c r="M1989" s="77"/>
      <c r="N1989" s="91"/>
      <c r="O1989" s="77"/>
      <c r="P1989" s="77"/>
      <c r="Q1989" s="91"/>
      <c r="R1989" s="17" t="str">
        <f t="shared" si="249"/>
        <v/>
      </c>
    </row>
    <row r="1990" spans="2:18">
      <c r="B1990" s="93"/>
      <c r="C1990" s="94"/>
      <c r="D1990" s="90"/>
      <c r="E1990" s="90"/>
      <c r="F1990" s="90"/>
      <c r="G1990" s="90"/>
      <c r="H1990" s="76"/>
      <c r="L1990" s="76"/>
      <c r="M1990" s="77"/>
      <c r="N1990" s="77"/>
      <c r="O1990" s="76"/>
      <c r="P1990" s="77"/>
      <c r="Q1990" s="77"/>
      <c r="R1990" s="17" t="str">
        <f t="shared" si="249"/>
        <v/>
      </c>
    </row>
    <row r="1991" spans="2:18">
      <c r="B1991" s="93"/>
      <c r="C1991" s="94"/>
      <c r="D1991" s="90"/>
      <c r="E1991" s="90"/>
      <c r="F1991" s="90"/>
      <c r="G1991" s="90"/>
      <c r="H1991" s="76"/>
      <c r="L1991" s="76"/>
      <c r="M1991" s="77"/>
      <c r="N1991" s="77"/>
      <c r="O1991" s="76"/>
      <c r="P1991" s="77"/>
      <c r="Q1991" s="77"/>
      <c r="R1991" s="17" t="str">
        <f t="shared" si="249"/>
        <v/>
      </c>
    </row>
    <row r="1992" spans="2:18">
      <c r="B1992" s="93"/>
      <c r="C1992" s="94"/>
      <c r="D1992" s="90"/>
      <c r="E1992" s="90"/>
      <c r="F1992" s="90"/>
      <c r="G1992" s="90"/>
      <c r="H1992" s="76"/>
      <c r="L1992" s="76"/>
      <c r="M1992" s="77"/>
      <c r="N1992" s="77"/>
      <c r="O1992" s="76"/>
      <c r="P1992" s="77"/>
      <c r="Q1992" s="77"/>
      <c r="R1992" s="17" t="str">
        <f t="shared" si="249"/>
        <v/>
      </c>
    </row>
    <row r="1993" spans="2:18">
      <c r="B1993" s="93"/>
      <c r="C1993" s="94"/>
      <c r="D1993" s="90"/>
      <c r="E1993" s="90"/>
      <c r="F1993" s="90"/>
      <c r="G1993" s="90"/>
      <c r="H1993" s="76"/>
      <c r="L1993" s="76"/>
      <c r="M1993" s="77"/>
      <c r="N1993" s="77"/>
      <c r="O1993" s="76"/>
      <c r="P1993" s="77"/>
      <c r="Q1993" s="77"/>
      <c r="R1993" s="17" t="str">
        <f t="shared" ref="R1993:R2043" si="253">CONCATENATE(F1993,G1993)</f>
        <v/>
      </c>
    </row>
    <row r="1994" spans="2:18">
      <c r="B1994" s="93"/>
      <c r="C1994" s="94"/>
      <c r="D1994" s="90"/>
      <c r="E1994" s="90"/>
      <c r="F1994" s="90"/>
      <c r="G1994" s="90"/>
      <c r="H1994" s="77"/>
      <c r="L1994" s="77"/>
      <c r="M1994" s="77"/>
      <c r="N1994" s="91"/>
      <c r="O1994" s="77"/>
      <c r="P1994" s="77"/>
      <c r="Q1994" s="91"/>
      <c r="R1994" s="17" t="str">
        <f t="shared" si="253"/>
        <v/>
      </c>
    </row>
    <row r="1995" spans="2:18">
      <c r="B1995" s="93"/>
      <c r="C1995" s="94"/>
      <c r="D1995" s="90"/>
      <c r="E1995" s="90"/>
      <c r="F1995" s="90"/>
      <c r="G1995" s="90"/>
      <c r="H1995" s="77"/>
      <c r="L1995" s="77"/>
      <c r="M1995" s="77"/>
      <c r="N1995" s="91"/>
      <c r="O1995" s="77"/>
      <c r="P1995" s="77"/>
      <c r="Q1995" s="91"/>
      <c r="R1995" s="17" t="str">
        <f t="shared" si="253"/>
        <v/>
      </c>
    </row>
    <row r="1996" spans="2:18">
      <c r="B1996" s="93"/>
      <c r="C1996" s="94"/>
      <c r="D1996" s="90"/>
      <c r="E1996" s="90"/>
      <c r="F1996" s="90"/>
      <c r="G1996" s="90"/>
      <c r="H1996" s="77"/>
      <c r="L1996" s="77"/>
      <c r="M1996" s="77"/>
      <c r="N1996" s="91"/>
      <c r="O1996" s="77"/>
      <c r="P1996" s="77"/>
      <c r="Q1996" s="91"/>
      <c r="R1996" s="17" t="str">
        <f t="shared" si="253"/>
        <v/>
      </c>
    </row>
    <row r="1997" spans="2:18">
      <c r="B1997" s="93"/>
      <c r="C1997" s="94"/>
      <c r="D1997" s="90"/>
      <c r="E1997" s="90"/>
      <c r="F1997" s="90"/>
      <c r="G1997" s="90"/>
      <c r="H1997" s="77"/>
      <c r="L1997" s="77"/>
      <c r="M1997" s="77"/>
      <c r="N1997" s="91"/>
      <c r="O1997" s="77"/>
      <c r="P1997" s="77"/>
      <c r="Q1997" s="91"/>
      <c r="R1997" s="17" t="str">
        <f t="shared" si="253"/>
        <v/>
      </c>
    </row>
    <row r="1998" spans="2:18">
      <c r="B1998" s="93"/>
      <c r="C1998" s="94"/>
      <c r="D1998" s="90"/>
      <c r="E1998" s="90"/>
      <c r="F1998" s="90"/>
      <c r="G1998" s="90"/>
      <c r="H1998" s="77"/>
      <c r="L1998" s="77"/>
      <c r="M1998" s="77"/>
      <c r="N1998" s="91"/>
      <c r="O1998" s="77"/>
      <c r="P1998" s="77"/>
      <c r="Q1998" s="91"/>
      <c r="R1998" s="17" t="str">
        <f t="shared" si="253"/>
        <v/>
      </c>
    </row>
    <row r="1999" spans="2:18">
      <c r="B1999" s="93"/>
      <c r="C1999" s="94"/>
      <c r="D1999" s="90"/>
      <c r="E1999" s="90"/>
      <c r="F1999" s="90"/>
      <c r="G1999" s="90"/>
      <c r="H1999" s="77"/>
      <c r="R1999" s="17" t="str">
        <f t="shared" si="253"/>
        <v/>
      </c>
    </row>
    <row r="2000" spans="2:18">
      <c r="B2000" s="93"/>
      <c r="C2000" s="94"/>
      <c r="D2000" s="90"/>
      <c r="E2000" s="90"/>
      <c r="F2000" s="90"/>
      <c r="G2000" s="90"/>
      <c r="H2000" s="77"/>
      <c r="R2000" s="17" t="str">
        <f t="shared" si="253"/>
        <v/>
      </c>
    </row>
    <row r="2001" spans="2:18">
      <c r="B2001" s="93"/>
      <c r="C2001" s="94"/>
      <c r="D2001" s="90"/>
      <c r="E2001" s="90"/>
      <c r="F2001" s="90"/>
      <c r="G2001" s="90"/>
      <c r="H2001" s="77"/>
      <c r="R2001" s="17" t="str">
        <f t="shared" si="253"/>
        <v/>
      </c>
    </row>
    <row r="2002" spans="2:18">
      <c r="B2002" s="93"/>
      <c r="C2002" s="94"/>
      <c r="D2002" s="90"/>
      <c r="E2002" s="90"/>
      <c r="F2002" s="90"/>
      <c r="G2002" s="90"/>
      <c r="H2002" s="77"/>
      <c r="R2002" s="17" t="str">
        <f t="shared" si="253"/>
        <v/>
      </c>
    </row>
    <row r="2003" spans="2:18">
      <c r="B2003" s="93"/>
      <c r="C2003" s="94"/>
      <c r="D2003" s="90"/>
      <c r="E2003" s="90"/>
      <c r="F2003" s="90"/>
      <c r="G2003" s="90"/>
      <c r="H2003" s="77"/>
      <c r="R2003" s="17" t="str">
        <f t="shared" si="253"/>
        <v/>
      </c>
    </row>
    <row r="2004" spans="2:18">
      <c r="B2004" s="93"/>
      <c r="C2004" s="94"/>
      <c r="D2004" s="90"/>
      <c r="E2004" s="90"/>
      <c r="F2004" s="90"/>
      <c r="G2004" s="90"/>
      <c r="H2004" s="77"/>
      <c r="R2004" s="17" t="str">
        <f t="shared" si="253"/>
        <v/>
      </c>
    </row>
    <row r="2005" spans="2:18">
      <c r="B2005" s="93"/>
      <c r="C2005" s="94"/>
      <c r="D2005" s="90"/>
      <c r="E2005" s="90"/>
      <c r="F2005" s="90"/>
      <c r="G2005" s="90"/>
      <c r="H2005" s="77"/>
      <c r="R2005" s="17" t="str">
        <f t="shared" si="253"/>
        <v/>
      </c>
    </row>
    <row r="2006" spans="2:18">
      <c r="B2006" s="93"/>
      <c r="C2006" s="94"/>
      <c r="D2006" s="90"/>
      <c r="E2006" s="90"/>
      <c r="F2006" s="90"/>
      <c r="G2006" s="90"/>
      <c r="H2006" s="77"/>
      <c r="R2006" s="17" t="str">
        <f t="shared" si="253"/>
        <v/>
      </c>
    </row>
    <row r="2007" spans="2:18">
      <c r="B2007" s="93"/>
      <c r="C2007" s="94"/>
      <c r="D2007" s="90"/>
      <c r="E2007" s="90"/>
      <c r="F2007" s="90"/>
      <c r="G2007" s="90"/>
      <c r="H2007" s="77"/>
      <c r="R2007" s="17" t="str">
        <f t="shared" si="253"/>
        <v/>
      </c>
    </row>
    <row r="2008" spans="2:18">
      <c r="B2008" s="93"/>
      <c r="C2008" s="94"/>
      <c r="D2008" s="90"/>
      <c r="E2008" s="90"/>
      <c r="F2008" s="90"/>
      <c r="G2008" s="90"/>
      <c r="H2008" s="77"/>
      <c r="R2008" s="17" t="str">
        <f t="shared" si="253"/>
        <v/>
      </c>
    </row>
    <row r="2009" spans="2:18">
      <c r="B2009" s="93"/>
      <c r="C2009" s="94"/>
      <c r="D2009" s="90"/>
      <c r="E2009" s="90"/>
      <c r="F2009" s="90"/>
      <c r="G2009" s="90"/>
      <c r="H2009" s="77"/>
      <c r="R2009" s="17" t="str">
        <f t="shared" si="253"/>
        <v/>
      </c>
    </row>
    <row r="2010" spans="2:18">
      <c r="B2010" s="93"/>
      <c r="C2010" s="94"/>
      <c r="D2010" s="90"/>
      <c r="E2010" s="90"/>
      <c r="F2010" s="90"/>
      <c r="G2010" s="90"/>
      <c r="H2010" s="77"/>
      <c r="R2010" s="17" t="str">
        <f t="shared" si="253"/>
        <v/>
      </c>
    </row>
    <row r="2011" spans="2:18">
      <c r="B2011" s="93"/>
      <c r="C2011" s="94"/>
      <c r="D2011" s="90"/>
      <c r="E2011" s="90"/>
      <c r="F2011" s="90"/>
      <c r="G2011" s="90"/>
      <c r="H2011" s="77"/>
      <c r="R2011" s="17" t="str">
        <f t="shared" si="253"/>
        <v/>
      </c>
    </row>
    <row r="2012" spans="2:18">
      <c r="B2012" s="93"/>
      <c r="C2012" s="94"/>
      <c r="D2012" s="90"/>
      <c r="E2012" s="90"/>
      <c r="F2012" s="90"/>
      <c r="G2012" s="90"/>
      <c r="H2012" s="77"/>
      <c r="R2012" s="17" t="str">
        <f t="shared" si="253"/>
        <v/>
      </c>
    </row>
    <row r="2013" spans="2:18">
      <c r="B2013" s="93"/>
      <c r="C2013" s="94"/>
      <c r="D2013" s="90"/>
      <c r="E2013" s="90"/>
      <c r="F2013" s="90"/>
      <c r="G2013" s="90"/>
      <c r="H2013" s="77"/>
      <c r="R2013" s="17" t="str">
        <f t="shared" si="253"/>
        <v/>
      </c>
    </row>
    <row r="2014" spans="2:18">
      <c r="B2014" s="93"/>
      <c r="C2014" s="94"/>
      <c r="D2014" s="90"/>
      <c r="E2014" s="90"/>
      <c r="F2014" s="90"/>
      <c r="G2014" s="90"/>
      <c r="H2014" s="77"/>
      <c r="R2014" s="17" t="str">
        <f t="shared" si="253"/>
        <v/>
      </c>
    </row>
    <row r="2015" spans="2:18">
      <c r="B2015" s="93"/>
      <c r="C2015" s="94"/>
      <c r="D2015" s="90"/>
      <c r="E2015" s="90"/>
      <c r="F2015" s="90"/>
      <c r="G2015" s="90"/>
      <c r="H2015" s="77"/>
      <c r="R2015" s="17" t="str">
        <f t="shared" si="253"/>
        <v/>
      </c>
    </row>
    <row r="2016" spans="2:18">
      <c r="B2016" s="93"/>
      <c r="C2016" s="94"/>
      <c r="D2016" s="90"/>
      <c r="E2016" s="90"/>
      <c r="F2016" s="90"/>
      <c r="G2016" s="90"/>
      <c r="H2016" s="77"/>
      <c r="R2016" s="17" t="str">
        <f t="shared" si="253"/>
        <v/>
      </c>
    </row>
    <row r="2017" spans="2:18">
      <c r="B2017" s="93"/>
      <c r="C2017" s="94"/>
      <c r="D2017" s="90"/>
      <c r="E2017" s="90"/>
      <c r="F2017" s="90"/>
      <c r="G2017" s="90"/>
      <c r="H2017" s="77"/>
      <c r="R2017" s="17" t="str">
        <f t="shared" si="253"/>
        <v/>
      </c>
    </row>
    <row r="2018" spans="2:18">
      <c r="B2018" s="93"/>
      <c r="C2018" s="94"/>
      <c r="D2018" s="90"/>
      <c r="E2018" s="90"/>
      <c r="F2018" s="90"/>
      <c r="G2018" s="90"/>
      <c r="H2018" s="77"/>
      <c r="R2018" s="17" t="str">
        <f t="shared" si="253"/>
        <v/>
      </c>
    </row>
    <row r="2019" spans="2:18">
      <c r="B2019" s="93"/>
      <c r="C2019" s="94"/>
      <c r="D2019" s="90"/>
      <c r="E2019" s="90"/>
      <c r="F2019" s="90"/>
      <c r="G2019" s="90"/>
      <c r="H2019" s="77"/>
      <c r="R2019" s="17" t="str">
        <f t="shared" si="253"/>
        <v/>
      </c>
    </row>
    <row r="2020" spans="2:18">
      <c r="B2020" s="93"/>
      <c r="C2020" s="94"/>
      <c r="D2020" s="90"/>
      <c r="E2020" s="90"/>
      <c r="F2020" s="90"/>
      <c r="G2020" s="90"/>
      <c r="H2020" s="77"/>
      <c r="R2020" s="17" t="str">
        <f t="shared" si="253"/>
        <v/>
      </c>
    </row>
    <row r="2021" spans="2:18">
      <c r="B2021" s="93"/>
      <c r="C2021" s="94"/>
      <c r="D2021" s="90"/>
      <c r="E2021" s="90"/>
      <c r="F2021" s="90"/>
      <c r="G2021" s="90"/>
      <c r="H2021" s="77"/>
      <c r="R2021" s="17" t="str">
        <f t="shared" si="253"/>
        <v/>
      </c>
    </row>
    <row r="2022" spans="2:18">
      <c r="B2022" s="93"/>
      <c r="C2022" s="94"/>
      <c r="D2022" s="90"/>
      <c r="E2022" s="90"/>
      <c r="F2022" s="90"/>
      <c r="G2022" s="90"/>
      <c r="H2022" s="77"/>
      <c r="R2022" s="17" t="str">
        <f t="shared" si="253"/>
        <v/>
      </c>
    </row>
    <row r="2023" spans="2:18">
      <c r="B2023" s="93"/>
      <c r="C2023" s="94"/>
      <c r="D2023" s="90"/>
      <c r="E2023" s="90"/>
      <c r="F2023" s="90"/>
      <c r="G2023" s="90"/>
      <c r="H2023" s="77"/>
      <c r="R2023" s="17" t="str">
        <f t="shared" si="253"/>
        <v/>
      </c>
    </row>
    <row r="2024" spans="2:18">
      <c r="B2024" s="93"/>
      <c r="C2024" s="94"/>
      <c r="D2024" s="90"/>
      <c r="E2024" s="90"/>
      <c r="F2024" s="90"/>
      <c r="G2024" s="90"/>
      <c r="H2024" s="77"/>
      <c r="R2024" s="17" t="str">
        <f t="shared" si="253"/>
        <v/>
      </c>
    </row>
    <row r="2025" spans="2:18">
      <c r="B2025" s="93"/>
      <c r="C2025" s="94"/>
      <c r="D2025" s="90"/>
      <c r="E2025" s="90"/>
      <c r="F2025" s="90"/>
      <c r="G2025" s="90"/>
      <c r="H2025" s="77"/>
      <c r="R2025" s="17" t="str">
        <f t="shared" si="253"/>
        <v/>
      </c>
    </row>
    <row r="2026" spans="2:18">
      <c r="B2026" s="93"/>
      <c r="C2026" s="94"/>
      <c r="D2026" s="90"/>
      <c r="E2026" s="90"/>
      <c r="F2026" s="90"/>
      <c r="G2026" s="90"/>
      <c r="H2026" s="77"/>
      <c r="R2026" s="17" t="str">
        <f t="shared" si="253"/>
        <v/>
      </c>
    </row>
    <row r="2027" spans="2:18">
      <c r="B2027" s="93"/>
      <c r="C2027" s="94"/>
      <c r="D2027" s="90"/>
      <c r="E2027" s="90"/>
      <c r="F2027" s="90"/>
      <c r="G2027" s="90"/>
      <c r="H2027" s="77"/>
      <c r="R2027" s="17" t="str">
        <f t="shared" si="253"/>
        <v/>
      </c>
    </row>
    <row r="2028" spans="2:18">
      <c r="B2028" s="93"/>
      <c r="C2028" s="94"/>
      <c r="D2028" s="90"/>
      <c r="E2028" s="90"/>
      <c r="F2028" s="90"/>
      <c r="G2028" s="90"/>
      <c r="H2028" s="77"/>
      <c r="R2028" s="17" t="str">
        <f t="shared" si="253"/>
        <v/>
      </c>
    </row>
    <row r="2029" spans="2:18">
      <c r="B2029" s="93"/>
      <c r="C2029" s="94"/>
      <c r="D2029" s="90"/>
      <c r="E2029" s="90"/>
      <c r="F2029" s="90"/>
      <c r="G2029" s="90"/>
      <c r="H2029" s="77"/>
      <c r="R2029" s="17" t="str">
        <f t="shared" si="253"/>
        <v/>
      </c>
    </row>
    <row r="2030" spans="2:18">
      <c r="B2030" s="93"/>
      <c r="C2030" s="94"/>
      <c r="D2030" s="90"/>
      <c r="E2030" s="90"/>
      <c r="F2030" s="90"/>
      <c r="G2030" s="90"/>
      <c r="H2030" s="77"/>
      <c r="R2030" s="17" t="str">
        <f t="shared" si="253"/>
        <v/>
      </c>
    </row>
    <row r="2031" spans="2:18">
      <c r="B2031" s="93"/>
      <c r="C2031" s="94"/>
      <c r="D2031" s="90"/>
      <c r="E2031" s="90"/>
      <c r="F2031" s="90"/>
      <c r="G2031" s="90"/>
      <c r="H2031" s="77"/>
      <c r="R2031" s="17" t="str">
        <f t="shared" si="253"/>
        <v/>
      </c>
    </row>
    <row r="2032" spans="2:18">
      <c r="B2032" s="93"/>
      <c r="C2032" s="94"/>
      <c r="D2032" s="90"/>
      <c r="E2032" s="90"/>
      <c r="F2032" s="90"/>
      <c r="G2032" s="90"/>
      <c r="H2032" s="77"/>
      <c r="R2032" s="17" t="str">
        <f t="shared" si="253"/>
        <v/>
      </c>
    </row>
    <row r="2033" spans="1:19">
      <c r="B2033" s="93"/>
      <c r="C2033" s="94"/>
      <c r="D2033" s="90"/>
      <c r="E2033" s="90"/>
      <c r="F2033" s="90"/>
      <c r="G2033" s="90"/>
      <c r="H2033" s="77"/>
      <c r="R2033" s="17" t="str">
        <f t="shared" si="253"/>
        <v/>
      </c>
    </row>
    <row r="2034" spans="1:19">
      <c r="B2034" s="93"/>
      <c r="C2034" s="94"/>
      <c r="D2034" s="90"/>
      <c r="E2034" s="90"/>
      <c r="F2034" s="90"/>
      <c r="G2034" s="90"/>
      <c r="H2034" s="77"/>
      <c r="R2034" s="17" t="str">
        <f t="shared" si="253"/>
        <v/>
      </c>
    </row>
    <row r="2035" spans="1:19">
      <c r="B2035" s="93"/>
      <c r="C2035" s="94"/>
      <c r="D2035" s="90"/>
      <c r="E2035" s="90"/>
      <c r="F2035" s="90"/>
      <c r="G2035" s="90"/>
      <c r="H2035" s="77"/>
      <c r="R2035" s="17" t="str">
        <f t="shared" si="253"/>
        <v/>
      </c>
    </row>
    <row r="2036" spans="1:19">
      <c r="B2036" s="93"/>
      <c r="C2036" s="94"/>
      <c r="D2036" s="90"/>
      <c r="E2036" s="90"/>
      <c r="F2036" s="90"/>
      <c r="G2036" s="90"/>
      <c r="H2036" s="77"/>
      <c r="R2036" s="17" t="str">
        <f t="shared" si="253"/>
        <v/>
      </c>
    </row>
    <row r="2037" spans="1:19">
      <c r="B2037" s="93"/>
      <c r="C2037" s="94"/>
      <c r="D2037" s="90"/>
      <c r="E2037" s="90"/>
      <c r="F2037" s="90"/>
      <c r="G2037" s="90"/>
      <c r="H2037" s="77"/>
      <c r="R2037" s="17" t="str">
        <f t="shared" si="253"/>
        <v/>
      </c>
    </row>
    <row r="2038" spans="1:19">
      <c r="B2038" s="93"/>
      <c r="C2038" s="94"/>
      <c r="D2038" s="90"/>
      <c r="E2038" s="90"/>
      <c r="F2038" s="90"/>
      <c r="G2038" s="90"/>
      <c r="H2038" s="77"/>
      <c r="R2038" s="17" t="str">
        <f t="shared" si="253"/>
        <v/>
      </c>
    </row>
    <row r="2039" spans="1:19">
      <c r="B2039" s="93"/>
      <c r="C2039" s="94"/>
      <c r="D2039" s="90"/>
      <c r="E2039" s="90"/>
      <c r="F2039" s="90"/>
      <c r="G2039" s="90"/>
      <c r="H2039" s="77"/>
      <c r="R2039" s="17" t="str">
        <f t="shared" si="253"/>
        <v/>
      </c>
    </row>
    <row r="2040" spans="1:19">
      <c r="B2040" s="93"/>
      <c r="C2040" s="94"/>
      <c r="D2040" s="90"/>
      <c r="E2040" s="90"/>
      <c r="F2040" s="90"/>
      <c r="G2040" s="90"/>
      <c r="H2040" s="77"/>
      <c r="R2040" s="17" t="str">
        <f t="shared" si="253"/>
        <v/>
      </c>
    </row>
    <row r="2041" spans="1:19">
      <c r="B2041" s="93"/>
      <c r="C2041" s="94"/>
      <c r="D2041" s="90"/>
      <c r="E2041" s="90"/>
      <c r="F2041" s="90"/>
      <c r="G2041" s="90"/>
      <c r="H2041" s="77"/>
      <c r="R2041" s="17" t="str">
        <f t="shared" si="253"/>
        <v/>
      </c>
    </row>
    <row r="2042" spans="1:19">
      <c r="B2042" s="93"/>
      <c r="C2042" s="94"/>
      <c r="D2042" s="90"/>
      <c r="E2042" s="90"/>
      <c r="F2042" s="90"/>
      <c r="G2042" s="90"/>
      <c r="H2042" s="77"/>
      <c r="R2042" s="17" t="str">
        <f t="shared" si="253"/>
        <v/>
      </c>
    </row>
    <row r="2043" spans="1:19">
      <c r="B2043" s="93"/>
      <c r="C2043" s="94"/>
      <c r="D2043" s="90"/>
      <c r="E2043" s="90"/>
      <c r="F2043" s="90"/>
      <c r="G2043" s="90"/>
      <c r="H2043" s="77"/>
      <c r="R2043" s="17" t="str">
        <f t="shared" si="253"/>
        <v/>
      </c>
    </row>
    <row r="2044" spans="1:19">
      <c r="B2044" s="93"/>
      <c r="C2044" s="94"/>
      <c r="D2044" s="90"/>
      <c r="E2044" s="90"/>
      <c r="F2044" s="90"/>
      <c r="G2044" s="90"/>
      <c r="H2044" s="77"/>
    </row>
    <row r="2045" spans="1:19">
      <c r="B2045" s="93"/>
      <c r="C2045" s="94"/>
      <c r="D2045" s="90"/>
      <c r="E2045" s="90"/>
      <c r="F2045" s="90"/>
      <c r="G2045" s="90"/>
      <c r="H2045" s="77"/>
    </row>
    <row r="2046" spans="1:19" customFormat="1">
      <c r="A2046" s="40"/>
      <c r="B2046" s="93"/>
      <c r="C2046" s="94"/>
      <c r="D2046" s="90"/>
      <c r="E2046" s="90"/>
      <c r="F2046" s="90"/>
      <c r="G2046" s="90"/>
      <c r="H2046" s="77"/>
      <c r="L2046" s="75"/>
      <c r="M2046" s="75"/>
      <c r="N2046" s="84"/>
      <c r="O2046" s="75"/>
      <c r="P2046" s="75"/>
      <c r="Q2046" s="84"/>
      <c r="R2046" s="48"/>
      <c r="S2046" s="48"/>
    </row>
    <row r="2047" spans="1:19" customFormat="1">
      <c r="A2047" s="40"/>
      <c r="B2047" s="93"/>
      <c r="C2047" s="94"/>
      <c r="D2047" s="90"/>
      <c r="E2047" s="90"/>
      <c r="F2047" s="90"/>
      <c r="G2047" s="90"/>
      <c r="H2047" s="77"/>
      <c r="L2047" s="75"/>
      <c r="M2047" s="75"/>
      <c r="N2047" s="84"/>
      <c r="O2047" s="75"/>
      <c r="P2047" s="75"/>
      <c r="Q2047" s="84"/>
      <c r="R2047" s="48"/>
      <c r="S2047" s="48"/>
    </row>
    <row r="2048" spans="1:19" customFormat="1">
      <c r="A2048" s="40"/>
      <c r="B2048" s="93"/>
      <c r="C2048" s="94"/>
      <c r="D2048" s="90"/>
      <c r="E2048" s="90"/>
      <c r="F2048" s="90"/>
      <c r="G2048" s="90"/>
      <c r="H2048" s="77"/>
      <c r="L2048" s="75"/>
      <c r="M2048" s="75"/>
      <c r="N2048" s="84"/>
      <c r="O2048" s="75"/>
      <c r="P2048" s="75"/>
      <c r="Q2048" s="84"/>
      <c r="R2048" s="48"/>
      <c r="S2048" s="48"/>
    </row>
    <row r="2049" spans="1:19" customFormat="1">
      <c r="A2049" s="40"/>
      <c r="B2049" s="93"/>
      <c r="C2049" s="94"/>
      <c r="D2049" s="90"/>
      <c r="E2049" s="90"/>
      <c r="F2049" s="90"/>
      <c r="G2049" s="90"/>
      <c r="H2049" s="77"/>
      <c r="L2049" s="75"/>
      <c r="M2049" s="75"/>
      <c r="N2049" s="84"/>
      <c r="O2049" s="75"/>
      <c r="P2049" s="75"/>
      <c r="Q2049" s="84"/>
      <c r="R2049" s="48"/>
      <c r="S2049" s="48"/>
    </row>
    <row r="2050" spans="1:19" customFormat="1">
      <c r="A2050" s="40"/>
      <c r="B2050" s="93"/>
      <c r="C2050" s="94"/>
      <c r="D2050" s="90"/>
      <c r="E2050" s="90"/>
      <c r="F2050" s="90"/>
      <c r="G2050" s="90"/>
      <c r="H2050" s="77"/>
      <c r="L2050" s="75"/>
      <c r="M2050" s="75"/>
      <c r="N2050" s="84"/>
      <c r="O2050" s="75"/>
      <c r="P2050" s="75"/>
      <c r="Q2050" s="84"/>
      <c r="R2050" s="48"/>
      <c r="S2050" s="48"/>
    </row>
    <row r="2051" spans="1:19" customFormat="1">
      <c r="A2051" s="40"/>
      <c r="B2051" s="93"/>
      <c r="C2051" s="94"/>
      <c r="D2051" s="90"/>
      <c r="E2051" s="90"/>
      <c r="F2051" s="90"/>
      <c r="G2051" s="90"/>
      <c r="H2051" s="77"/>
      <c r="L2051" s="75"/>
      <c r="M2051" s="75"/>
      <c r="N2051" s="84"/>
      <c r="O2051" s="75"/>
      <c r="P2051" s="75"/>
      <c r="Q2051" s="84"/>
      <c r="R2051" s="48"/>
      <c r="S2051" s="48"/>
    </row>
    <row r="2052" spans="1:19" customFormat="1">
      <c r="A2052" s="40"/>
      <c r="B2052" s="93"/>
      <c r="C2052" s="94"/>
      <c r="D2052" s="90"/>
      <c r="E2052" s="90"/>
      <c r="F2052" s="90"/>
      <c r="G2052" s="90"/>
      <c r="H2052" s="77"/>
      <c r="L2052" s="75"/>
      <c r="M2052" s="75"/>
      <c r="N2052" s="84"/>
      <c r="O2052" s="75"/>
      <c r="P2052" s="75"/>
      <c r="Q2052" s="84"/>
      <c r="R2052" s="48"/>
      <c r="S2052" s="48"/>
    </row>
    <row r="2053" spans="1:19" customFormat="1">
      <c r="A2053" s="40"/>
      <c r="B2053" s="93"/>
      <c r="C2053" s="94"/>
      <c r="D2053" s="90"/>
      <c r="E2053" s="90"/>
      <c r="F2053" s="90"/>
      <c r="G2053" s="90"/>
      <c r="H2053" s="77"/>
      <c r="L2053" s="75"/>
      <c r="M2053" s="75"/>
      <c r="N2053" s="84"/>
      <c r="O2053" s="75"/>
      <c r="P2053" s="75"/>
      <c r="Q2053" s="84"/>
      <c r="R2053" s="48"/>
      <c r="S2053" s="48"/>
    </row>
    <row r="2054" spans="1:19" customFormat="1">
      <c r="A2054" s="40"/>
      <c r="B2054" s="93"/>
      <c r="C2054" s="94"/>
      <c r="D2054" s="90"/>
      <c r="E2054" s="90"/>
      <c r="F2054" s="90"/>
      <c r="G2054" s="90"/>
      <c r="H2054" s="77"/>
      <c r="L2054" s="75"/>
      <c r="M2054" s="75"/>
      <c r="N2054" s="84"/>
      <c r="O2054" s="75"/>
      <c r="P2054" s="75"/>
      <c r="Q2054" s="84"/>
      <c r="R2054" s="48"/>
      <c r="S2054" s="48"/>
    </row>
    <row r="2055" spans="1:19" customFormat="1">
      <c r="A2055" s="40"/>
      <c r="B2055" s="93"/>
      <c r="C2055" s="94"/>
      <c r="D2055" s="90"/>
      <c r="E2055" s="90"/>
      <c r="F2055" s="90"/>
      <c r="G2055" s="90"/>
      <c r="H2055" s="77"/>
      <c r="L2055" s="75"/>
      <c r="M2055" s="75"/>
      <c r="N2055" s="84"/>
      <c r="O2055" s="75"/>
      <c r="P2055" s="75"/>
      <c r="Q2055" s="84"/>
      <c r="R2055" s="48"/>
      <c r="S2055" s="48"/>
    </row>
    <row r="2056" spans="1:19" customFormat="1">
      <c r="A2056" s="40"/>
      <c r="B2056" s="93"/>
      <c r="C2056" s="94"/>
      <c r="D2056" s="90"/>
      <c r="E2056" s="90"/>
      <c r="F2056" s="90"/>
      <c r="G2056" s="90"/>
      <c r="H2056" s="77"/>
      <c r="L2056" s="75"/>
      <c r="M2056" s="75"/>
      <c r="N2056" s="84"/>
      <c r="O2056" s="75"/>
      <c r="P2056" s="75"/>
      <c r="Q2056" s="84"/>
      <c r="R2056" s="48"/>
      <c r="S2056" s="48"/>
    </row>
    <row r="2057" spans="1:19" customFormat="1">
      <c r="A2057" s="40"/>
      <c r="B2057" s="93"/>
      <c r="C2057" s="94"/>
      <c r="D2057" s="90"/>
      <c r="E2057" s="90"/>
      <c r="F2057" s="90"/>
      <c r="G2057" s="90"/>
      <c r="H2057" s="77"/>
      <c r="L2057" s="75"/>
      <c r="M2057" s="75"/>
      <c r="N2057" s="84"/>
      <c r="O2057" s="75"/>
      <c r="P2057" s="75"/>
      <c r="Q2057" s="84"/>
      <c r="R2057" s="48"/>
      <c r="S2057" s="48"/>
    </row>
    <row r="2058" spans="1:19" customFormat="1">
      <c r="A2058" s="40"/>
      <c r="B2058" s="93"/>
      <c r="C2058" s="94"/>
      <c r="D2058" s="90"/>
      <c r="E2058" s="90"/>
      <c r="F2058" s="90"/>
      <c r="G2058" s="90"/>
      <c r="H2058" s="77"/>
      <c r="L2058" s="75"/>
      <c r="M2058" s="75"/>
      <c r="N2058" s="84"/>
      <c r="O2058" s="75"/>
      <c r="P2058" s="75"/>
      <c r="Q2058" s="84"/>
      <c r="R2058" s="48"/>
      <c r="S2058" s="48"/>
    </row>
    <row r="2059" spans="1:19" customFormat="1">
      <c r="A2059" s="40"/>
      <c r="B2059" s="93"/>
      <c r="C2059" s="94"/>
      <c r="D2059" s="90"/>
      <c r="E2059" s="90"/>
      <c r="F2059" s="90"/>
      <c r="G2059" s="90"/>
      <c r="H2059" s="77"/>
      <c r="L2059" s="75"/>
      <c r="M2059" s="75"/>
      <c r="N2059" s="84"/>
      <c r="O2059" s="75"/>
      <c r="P2059" s="75"/>
      <c r="Q2059" s="84"/>
      <c r="R2059" s="48"/>
      <c r="S2059" s="48"/>
    </row>
    <row r="2060" spans="1:19" customFormat="1">
      <c r="A2060" s="40"/>
      <c r="B2060" s="93"/>
      <c r="C2060" s="94"/>
      <c r="D2060" s="90"/>
      <c r="E2060" s="90"/>
      <c r="F2060" s="90"/>
      <c r="G2060" s="90"/>
      <c r="H2060" s="77"/>
      <c r="L2060" s="75"/>
      <c r="M2060" s="75"/>
      <c r="N2060" s="84"/>
      <c r="O2060" s="75"/>
      <c r="P2060" s="75"/>
      <c r="Q2060" s="84"/>
      <c r="R2060" s="48"/>
      <c r="S2060" s="48"/>
    </row>
    <row r="2061" spans="1:19" customFormat="1">
      <c r="A2061" s="40"/>
      <c r="B2061" s="93"/>
      <c r="C2061" s="94"/>
      <c r="D2061" s="90"/>
      <c r="E2061" s="90"/>
      <c r="F2061" s="90"/>
      <c r="G2061" s="90"/>
      <c r="H2061" s="77"/>
      <c r="L2061" s="75"/>
      <c r="M2061" s="75"/>
      <c r="N2061" s="84"/>
      <c r="O2061" s="75"/>
      <c r="P2061" s="75"/>
      <c r="Q2061" s="84"/>
      <c r="R2061" s="48"/>
      <c r="S2061" s="48"/>
    </row>
    <row r="2062" spans="1:19" customFormat="1">
      <c r="A2062" s="40"/>
      <c r="B2062" s="93"/>
      <c r="C2062" s="94"/>
      <c r="D2062" s="90"/>
      <c r="E2062" s="90"/>
      <c r="F2062" s="90"/>
      <c r="G2062" s="90"/>
      <c r="H2062" s="77"/>
      <c r="L2062" s="75"/>
      <c r="M2062" s="75"/>
      <c r="N2062" s="84"/>
      <c r="O2062" s="75"/>
      <c r="P2062" s="75"/>
      <c r="Q2062" s="84"/>
      <c r="R2062" s="48"/>
      <c r="S2062" s="48"/>
    </row>
    <row r="2063" spans="1:19" customFormat="1">
      <c r="A2063" s="40"/>
      <c r="B2063" s="93"/>
      <c r="C2063" s="94"/>
      <c r="D2063" s="90"/>
      <c r="E2063" s="90"/>
      <c r="F2063" s="90"/>
      <c r="G2063" s="90"/>
      <c r="H2063" s="77"/>
      <c r="L2063" s="75"/>
      <c r="M2063" s="75"/>
      <c r="N2063" s="84"/>
      <c r="O2063" s="75"/>
      <c r="P2063" s="75"/>
      <c r="Q2063" s="84"/>
      <c r="R2063" s="48"/>
      <c r="S2063" s="48"/>
    </row>
    <row r="2064" spans="1:19" customFormat="1">
      <c r="A2064" s="40"/>
      <c r="B2064" s="93"/>
      <c r="C2064" s="94"/>
      <c r="D2064" s="90"/>
      <c r="E2064" s="90"/>
      <c r="F2064" s="90"/>
      <c r="G2064" s="90"/>
      <c r="H2064" s="77"/>
      <c r="L2064" s="75"/>
      <c r="M2064" s="75"/>
      <c r="N2064" s="84"/>
      <c r="O2064" s="75"/>
      <c r="P2064" s="75"/>
      <c r="Q2064" s="84"/>
      <c r="R2064" s="48"/>
      <c r="S2064" s="48"/>
    </row>
    <row r="2065" spans="1:19" customFormat="1">
      <c r="A2065" s="40"/>
      <c r="B2065" s="93"/>
      <c r="C2065" s="94"/>
      <c r="D2065" s="90"/>
      <c r="E2065" s="90"/>
      <c r="F2065" s="90"/>
      <c r="G2065" s="90"/>
      <c r="H2065" s="77"/>
      <c r="L2065" s="75"/>
      <c r="M2065" s="75"/>
      <c r="N2065" s="84"/>
      <c r="O2065" s="75"/>
      <c r="P2065" s="75"/>
      <c r="Q2065" s="84"/>
      <c r="R2065" s="48"/>
      <c r="S2065" s="48"/>
    </row>
    <row r="2066" spans="1:19" customFormat="1">
      <c r="A2066" s="40"/>
      <c r="B2066" s="93"/>
      <c r="C2066" s="94"/>
      <c r="D2066" s="90"/>
      <c r="E2066" s="90"/>
      <c r="F2066" s="90"/>
      <c r="G2066" s="90"/>
      <c r="H2066" s="77"/>
      <c r="L2066" s="75"/>
      <c r="M2066" s="75"/>
      <c r="N2066" s="84"/>
      <c r="O2066" s="75"/>
      <c r="P2066" s="75"/>
      <c r="Q2066" s="84"/>
      <c r="R2066" s="48"/>
      <c r="S2066" s="48"/>
    </row>
    <row r="2067" spans="1:19" customFormat="1">
      <c r="A2067" s="40"/>
      <c r="B2067" s="93"/>
      <c r="C2067" s="94"/>
      <c r="D2067" s="90"/>
      <c r="E2067" s="90"/>
      <c r="F2067" s="90"/>
      <c r="G2067" s="90"/>
      <c r="H2067" s="77"/>
      <c r="L2067" s="75"/>
      <c r="M2067" s="75"/>
      <c r="N2067" s="84"/>
      <c r="O2067" s="75"/>
      <c r="P2067" s="75"/>
      <c r="Q2067" s="84"/>
      <c r="R2067" s="48"/>
      <c r="S2067" s="48"/>
    </row>
    <row r="2068" spans="1:19" customFormat="1">
      <c r="A2068" s="40"/>
      <c r="B2068" s="93"/>
      <c r="C2068" s="94"/>
      <c r="D2068" s="90"/>
      <c r="E2068" s="90"/>
      <c r="F2068" s="90"/>
      <c r="G2068" s="90"/>
      <c r="H2068" s="77"/>
      <c r="L2068" s="75"/>
      <c r="M2068" s="75"/>
      <c r="N2068" s="84"/>
      <c r="O2068" s="75"/>
      <c r="P2068" s="75"/>
      <c r="Q2068" s="84"/>
      <c r="R2068" s="48"/>
      <c r="S2068" s="48"/>
    </row>
    <row r="2069" spans="1:19" customFormat="1">
      <c r="A2069" s="40"/>
      <c r="B2069" s="93"/>
      <c r="C2069" s="94"/>
      <c r="D2069" s="90"/>
      <c r="E2069" s="90"/>
      <c r="F2069" s="90"/>
      <c r="G2069" s="90"/>
      <c r="H2069" s="77"/>
      <c r="L2069" s="75"/>
      <c r="M2069" s="75"/>
      <c r="N2069" s="84"/>
      <c r="O2069" s="75"/>
      <c r="P2069" s="75"/>
      <c r="Q2069" s="84"/>
      <c r="R2069" s="48"/>
      <c r="S2069" s="48"/>
    </row>
    <row r="2070" spans="1:19" customFormat="1">
      <c r="A2070" s="40"/>
      <c r="B2070" s="93"/>
      <c r="C2070" s="94"/>
      <c r="D2070" s="90"/>
      <c r="E2070" s="90"/>
      <c r="F2070" s="90"/>
      <c r="G2070" s="90"/>
      <c r="H2070" s="77"/>
      <c r="L2070" s="75"/>
      <c r="M2070" s="75"/>
      <c r="N2070" s="84"/>
      <c r="O2070" s="75"/>
      <c r="P2070" s="75"/>
      <c r="Q2070" s="84"/>
      <c r="R2070" s="48"/>
      <c r="S2070" s="48"/>
    </row>
    <row r="2071" spans="1:19" customFormat="1">
      <c r="A2071" s="40"/>
      <c r="B2071" s="93"/>
      <c r="C2071" s="94"/>
      <c r="D2071" s="90"/>
      <c r="E2071" s="90"/>
      <c r="F2071" s="90"/>
      <c r="G2071" s="90"/>
      <c r="H2071" s="77"/>
      <c r="L2071" s="75"/>
      <c r="M2071" s="75"/>
      <c r="N2071" s="84"/>
      <c r="O2071" s="75"/>
      <c r="P2071" s="75"/>
      <c r="Q2071" s="84"/>
      <c r="R2071" s="48"/>
      <c r="S2071" s="48"/>
    </row>
    <row r="2072" spans="1:19" customFormat="1">
      <c r="A2072" s="40"/>
      <c r="B2072" s="93"/>
      <c r="C2072" s="94"/>
      <c r="D2072" s="90"/>
      <c r="E2072" s="90"/>
      <c r="F2072" s="90"/>
      <c r="G2072" s="90"/>
      <c r="H2072" s="77"/>
      <c r="L2072" s="75"/>
      <c r="M2072" s="75"/>
      <c r="N2072" s="84"/>
      <c r="O2072" s="75"/>
      <c r="P2072" s="75"/>
      <c r="Q2072" s="84"/>
      <c r="R2072" s="48"/>
      <c r="S2072" s="48"/>
    </row>
    <row r="2073" spans="1:19" customFormat="1">
      <c r="A2073" s="40"/>
      <c r="B2073" s="93"/>
      <c r="C2073" s="94"/>
      <c r="D2073" s="90"/>
      <c r="E2073" s="90"/>
      <c r="F2073" s="90"/>
      <c r="G2073" s="90"/>
      <c r="H2073" s="77"/>
      <c r="L2073" s="75"/>
      <c r="M2073" s="75"/>
      <c r="N2073" s="84"/>
      <c r="O2073" s="75"/>
      <c r="P2073" s="75"/>
      <c r="Q2073" s="84"/>
      <c r="R2073" s="48"/>
      <c r="S2073" s="48"/>
    </row>
    <row r="2074" spans="1:19" customFormat="1">
      <c r="A2074" s="40"/>
      <c r="B2074" s="93"/>
      <c r="C2074" s="94"/>
      <c r="D2074" s="90"/>
      <c r="E2074" s="90"/>
      <c r="F2074" s="90"/>
      <c r="G2074" s="90"/>
      <c r="H2074" s="77"/>
      <c r="L2074" s="75"/>
      <c r="M2074" s="75"/>
      <c r="N2074" s="84"/>
      <c r="O2074" s="75"/>
      <c r="P2074" s="75"/>
      <c r="Q2074" s="84"/>
      <c r="R2074" s="48"/>
      <c r="S2074" s="48"/>
    </row>
    <row r="2075" spans="1:19" customFormat="1">
      <c r="A2075" s="40"/>
      <c r="B2075" s="93"/>
      <c r="C2075" s="94"/>
      <c r="D2075" s="90"/>
      <c r="E2075" s="90"/>
      <c r="F2075" s="90"/>
      <c r="G2075" s="90"/>
      <c r="H2075" s="77"/>
      <c r="L2075" s="75"/>
      <c r="M2075" s="75"/>
      <c r="N2075" s="84"/>
      <c r="O2075" s="75"/>
      <c r="P2075" s="75"/>
      <c r="Q2075" s="84"/>
      <c r="R2075" s="48"/>
      <c r="S2075" s="48"/>
    </row>
    <row r="2076" spans="1:19" customFormat="1">
      <c r="A2076" s="40"/>
      <c r="B2076" s="93"/>
      <c r="C2076" s="94"/>
      <c r="D2076" s="90"/>
      <c r="E2076" s="90"/>
      <c r="F2076" s="90"/>
      <c r="G2076" s="90"/>
      <c r="H2076" s="77"/>
      <c r="L2076" s="75"/>
      <c r="M2076" s="75"/>
      <c r="N2076" s="84"/>
      <c r="O2076" s="75"/>
      <c r="P2076" s="75"/>
      <c r="Q2076" s="84"/>
      <c r="R2076" s="48"/>
      <c r="S2076" s="48"/>
    </row>
    <row r="2077" spans="1:19" customFormat="1">
      <c r="A2077" s="40"/>
      <c r="B2077" s="93"/>
      <c r="C2077" s="94"/>
      <c r="D2077" s="90"/>
      <c r="E2077" s="90"/>
      <c r="F2077" s="90"/>
      <c r="G2077" s="90"/>
      <c r="H2077" s="77"/>
      <c r="L2077" s="75"/>
      <c r="M2077" s="75"/>
      <c r="N2077" s="84"/>
      <c r="O2077" s="75"/>
      <c r="P2077" s="75"/>
      <c r="Q2077" s="84"/>
      <c r="R2077" s="48"/>
      <c r="S2077" s="48"/>
    </row>
    <row r="2078" spans="1:19" customFormat="1">
      <c r="A2078" s="40"/>
      <c r="B2078" s="93"/>
      <c r="C2078" s="94"/>
      <c r="D2078" s="90"/>
      <c r="E2078" s="90"/>
      <c r="F2078" s="90"/>
      <c r="G2078" s="90"/>
      <c r="H2078" s="77"/>
      <c r="L2078" s="75"/>
      <c r="M2078" s="75"/>
      <c r="N2078" s="84"/>
      <c r="O2078" s="75"/>
      <c r="P2078" s="75"/>
      <c r="Q2078" s="84"/>
      <c r="R2078" s="48"/>
      <c r="S2078" s="48"/>
    </row>
    <row r="2079" spans="1:19" customFormat="1">
      <c r="A2079" s="40"/>
      <c r="B2079" s="93"/>
      <c r="C2079" s="94"/>
      <c r="D2079" s="90"/>
      <c r="E2079" s="90"/>
      <c r="F2079" s="90"/>
      <c r="G2079" s="90"/>
      <c r="H2079" s="77"/>
      <c r="L2079" s="75"/>
      <c r="M2079" s="75"/>
      <c r="N2079" s="84"/>
      <c r="O2079" s="75"/>
      <c r="P2079" s="75"/>
      <c r="Q2079" s="84"/>
      <c r="R2079" s="48"/>
      <c r="S2079" s="48"/>
    </row>
    <row r="2080" spans="1:19" customFormat="1">
      <c r="A2080" s="40"/>
      <c r="B2080" s="93"/>
      <c r="C2080" s="94"/>
      <c r="D2080" s="90"/>
      <c r="E2080" s="90"/>
      <c r="F2080" s="90"/>
      <c r="G2080" s="90"/>
      <c r="H2080" s="77"/>
      <c r="L2080" s="75"/>
      <c r="M2080" s="75"/>
      <c r="N2080" s="84"/>
      <c r="O2080" s="75"/>
      <c r="P2080" s="75"/>
      <c r="Q2080" s="84"/>
      <c r="R2080" s="48"/>
      <c r="S2080" s="48"/>
    </row>
    <row r="2081" spans="1:19" customFormat="1">
      <c r="A2081" s="40"/>
      <c r="B2081" s="93"/>
      <c r="C2081" s="94"/>
      <c r="D2081" s="90"/>
      <c r="E2081" s="90"/>
      <c r="F2081" s="90"/>
      <c r="G2081" s="90"/>
      <c r="H2081" s="77"/>
      <c r="L2081" s="75"/>
      <c r="M2081" s="75"/>
      <c r="N2081" s="84"/>
      <c r="O2081" s="75"/>
      <c r="P2081" s="75"/>
      <c r="Q2081" s="84"/>
      <c r="R2081" s="48"/>
      <c r="S2081" s="48"/>
    </row>
    <row r="2082" spans="1:19" customFormat="1">
      <c r="A2082" s="40"/>
      <c r="B2082" s="93"/>
      <c r="C2082" s="94"/>
      <c r="D2082" s="90"/>
      <c r="E2082" s="90"/>
      <c r="F2082" s="90"/>
      <c r="G2082" s="90"/>
      <c r="H2082" s="77"/>
      <c r="L2082" s="75"/>
      <c r="M2082" s="75"/>
      <c r="N2082" s="84"/>
      <c r="O2082" s="75"/>
      <c r="P2082" s="75"/>
      <c r="Q2082" s="84"/>
      <c r="R2082" s="48"/>
      <c r="S2082" s="48"/>
    </row>
    <row r="2083" spans="1:19" customFormat="1">
      <c r="A2083" s="40"/>
      <c r="B2083" s="93"/>
      <c r="C2083" s="94"/>
      <c r="D2083" s="90"/>
      <c r="E2083" s="90"/>
      <c r="F2083" s="90"/>
      <c r="G2083" s="90"/>
      <c r="H2083" s="77"/>
      <c r="L2083" s="75"/>
      <c r="M2083" s="75"/>
      <c r="N2083" s="84"/>
      <c r="O2083" s="75"/>
      <c r="P2083" s="75"/>
      <c r="Q2083" s="84"/>
      <c r="R2083" s="48"/>
      <c r="S2083" s="48"/>
    </row>
    <row r="2084" spans="1:19" customFormat="1">
      <c r="A2084" s="40"/>
      <c r="B2084" s="93"/>
      <c r="C2084" s="94"/>
      <c r="D2084" s="90"/>
      <c r="E2084" s="90"/>
      <c r="F2084" s="90"/>
      <c r="G2084" s="90"/>
      <c r="H2084" s="77"/>
      <c r="L2084" s="75"/>
      <c r="M2084" s="75"/>
      <c r="N2084" s="84"/>
      <c r="O2084" s="75"/>
      <c r="P2084" s="75"/>
      <c r="Q2084" s="84"/>
      <c r="R2084" s="48"/>
      <c r="S2084" s="48"/>
    </row>
    <row r="2085" spans="1:19" customFormat="1">
      <c r="A2085" s="40"/>
      <c r="B2085" s="93"/>
      <c r="C2085" s="94"/>
      <c r="D2085" s="90"/>
      <c r="E2085" s="90"/>
      <c r="F2085" s="90"/>
      <c r="G2085" s="90"/>
      <c r="H2085" s="77"/>
      <c r="L2085" s="75"/>
      <c r="M2085" s="75"/>
      <c r="N2085" s="84"/>
      <c r="O2085" s="75"/>
      <c r="P2085" s="75"/>
      <c r="Q2085" s="84"/>
      <c r="R2085" s="48"/>
      <c r="S2085" s="48"/>
    </row>
    <row r="2086" spans="1:19" customFormat="1">
      <c r="A2086" s="40"/>
      <c r="B2086" s="93"/>
      <c r="C2086" s="94"/>
      <c r="D2086" s="90"/>
      <c r="E2086" s="90"/>
      <c r="F2086" s="90"/>
      <c r="G2086" s="90"/>
      <c r="H2086" s="77"/>
      <c r="L2086" s="75"/>
      <c r="M2086" s="75"/>
      <c r="N2086" s="84"/>
      <c r="O2086" s="75"/>
      <c r="P2086" s="75"/>
      <c r="Q2086" s="84"/>
      <c r="R2086" s="48"/>
      <c r="S2086" s="48"/>
    </row>
    <row r="2087" spans="1:19" customFormat="1">
      <c r="A2087" s="40"/>
      <c r="B2087" s="93"/>
      <c r="C2087" s="94"/>
      <c r="D2087" s="90"/>
      <c r="E2087" s="90"/>
      <c r="F2087" s="90"/>
      <c r="G2087" s="90"/>
      <c r="H2087" s="77"/>
      <c r="L2087" s="75"/>
      <c r="M2087" s="75"/>
      <c r="N2087" s="84"/>
      <c r="O2087" s="75"/>
      <c r="P2087" s="75"/>
      <c r="Q2087" s="84"/>
      <c r="R2087" s="48"/>
      <c r="S2087" s="48"/>
    </row>
    <row r="2088" spans="1:19" customFormat="1">
      <c r="A2088" s="40"/>
      <c r="B2088" s="93"/>
      <c r="C2088" s="94"/>
      <c r="D2088" s="90"/>
      <c r="E2088" s="90"/>
      <c r="F2088" s="90"/>
      <c r="G2088" s="90"/>
      <c r="H2088" s="77"/>
      <c r="L2088" s="75"/>
      <c r="M2088" s="75"/>
      <c r="N2088" s="84"/>
      <c r="O2088" s="75"/>
      <c r="P2088" s="75"/>
      <c r="Q2088" s="84"/>
      <c r="R2088" s="48"/>
      <c r="S2088" s="48"/>
    </row>
    <row r="2089" spans="1:19" customFormat="1">
      <c r="A2089" s="40"/>
      <c r="B2089" s="93"/>
      <c r="C2089" s="94"/>
      <c r="D2089" s="90"/>
      <c r="E2089" s="90"/>
      <c r="F2089" s="90"/>
      <c r="G2089" s="90"/>
      <c r="H2089" s="77"/>
      <c r="L2089" s="75"/>
      <c r="M2089" s="75"/>
      <c r="N2089" s="84"/>
      <c r="O2089" s="75"/>
      <c r="P2089" s="75"/>
      <c r="Q2089" s="84"/>
      <c r="R2089" s="48"/>
      <c r="S2089" s="48"/>
    </row>
    <row r="2090" spans="1:19" customFormat="1">
      <c r="A2090" s="40"/>
      <c r="B2090" s="93"/>
      <c r="C2090" s="94"/>
      <c r="D2090" s="90"/>
      <c r="E2090" s="90"/>
      <c r="F2090" s="90"/>
      <c r="G2090" s="90"/>
      <c r="H2090" s="77"/>
      <c r="L2090" s="75"/>
      <c r="M2090" s="75"/>
      <c r="N2090" s="84"/>
      <c r="O2090" s="75"/>
      <c r="P2090" s="75"/>
      <c r="Q2090" s="84"/>
      <c r="R2090" s="48"/>
      <c r="S2090" s="48"/>
    </row>
    <row r="2091" spans="1:19" customFormat="1">
      <c r="A2091" s="40"/>
      <c r="B2091" s="93"/>
      <c r="C2091" s="94"/>
      <c r="D2091" s="90"/>
      <c r="E2091" s="90"/>
      <c r="F2091" s="90"/>
      <c r="G2091" s="90"/>
      <c r="H2091" s="77"/>
      <c r="L2091" s="75"/>
      <c r="M2091" s="75"/>
      <c r="N2091" s="84"/>
      <c r="O2091" s="75"/>
      <c r="P2091" s="75"/>
      <c r="Q2091" s="84"/>
      <c r="R2091" s="48"/>
      <c r="S2091" s="48"/>
    </row>
    <row r="2092" spans="1:19" customFormat="1">
      <c r="A2092" s="40"/>
      <c r="B2092" s="93"/>
      <c r="C2092" s="94"/>
      <c r="D2092" s="90"/>
      <c r="E2092" s="90"/>
      <c r="F2092" s="90"/>
      <c r="G2092" s="90"/>
      <c r="H2092" s="77"/>
      <c r="L2092" s="75"/>
      <c r="M2092" s="75"/>
      <c r="N2092" s="84"/>
      <c r="O2092" s="75"/>
      <c r="P2092" s="75"/>
      <c r="Q2092" s="84"/>
      <c r="R2092" s="48"/>
      <c r="S2092" s="48"/>
    </row>
    <row r="2093" spans="1:19" customFormat="1">
      <c r="A2093" s="40"/>
      <c r="B2093" s="93"/>
      <c r="C2093" s="94"/>
      <c r="D2093" s="90"/>
      <c r="E2093" s="90"/>
      <c r="F2093" s="90"/>
      <c r="G2093" s="90"/>
      <c r="H2093" s="77"/>
      <c r="L2093" s="75"/>
      <c r="M2093" s="75"/>
      <c r="N2093" s="84"/>
      <c r="O2093" s="75"/>
      <c r="P2093" s="75"/>
      <c r="Q2093" s="84"/>
      <c r="R2093" s="48"/>
      <c r="S2093" s="48"/>
    </row>
    <row r="2094" spans="1:19" customFormat="1">
      <c r="A2094" s="40"/>
      <c r="B2094" s="93"/>
      <c r="C2094" s="94"/>
      <c r="D2094" s="90"/>
      <c r="E2094" s="90"/>
      <c r="F2094" s="90"/>
      <c r="G2094" s="90"/>
      <c r="H2094" s="77"/>
      <c r="L2094" s="75"/>
      <c r="M2094" s="75"/>
      <c r="N2094" s="84"/>
      <c r="O2094" s="75"/>
      <c r="P2094" s="75"/>
      <c r="Q2094" s="84"/>
      <c r="R2094" s="48"/>
      <c r="S2094" s="48"/>
    </row>
    <row r="2095" spans="1:19" customFormat="1">
      <c r="A2095" s="40"/>
      <c r="B2095" s="93"/>
      <c r="C2095" s="94"/>
      <c r="D2095" s="90"/>
      <c r="E2095" s="90"/>
      <c r="F2095" s="90"/>
      <c r="G2095" s="90"/>
      <c r="H2095" s="77"/>
      <c r="L2095" s="75"/>
      <c r="M2095" s="75"/>
      <c r="N2095" s="84"/>
      <c r="O2095" s="75"/>
      <c r="P2095" s="75"/>
      <c r="Q2095" s="84"/>
      <c r="R2095" s="48"/>
      <c r="S2095" s="48"/>
    </row>
    <row r="2096" spans="1:19" customFormat="1">
      <c r="A2096" s="40"/>
      <c r="B2096" s="93"/>
      <c r="C2096" s="94"/>
      <c r="D2096" s="90"/>
      <c r="E2096" s="90"/>
      <c r="F2096" s="90"/>
      <c r="G2096" s="90"/>
      <c r="H2096" s="77"/>
      <c r="L2096" s="75"/>
      <c r="M2096" s="75"/>
      <c r="N2096" s="84"/>
      <c r="O2096" s="75"/>
      <c r="P2096" s="75"/>
      <c r="Q2096" s="84"/>
      <c r="R2096" s="48"/>
      <c r="S2096" s="48"/>
    </row>
    <row r="2097" spans="1:19" customFormat="1">
      <c r="A2097" s="40"/>
      <c r="B2097" s="93"/>
      <c r="C2097" s="94"/>
      <c r="D2097" s="90"/>
      <c r="E2097" s="90"/>
      <c r="F2097" s="90"/>
      <c r="G2097" s="90"/>
      <c r="H2097" s="77"/>
      <c r="L2097" s="75"/>
      <c r="M2097" s="75"/>
      <c r="N2097" s="84"/>
      <c r="O2097" s="75"/>
      <c r="P2097" s="75"/>
      <c r="Q2097" s="84"/>
      <c r="R2097" s="48"/>
      <c r="S2097" s="48"/>
    </row>
    <row r="2098" spans="1:19" customFormat="1">
      <c r="A2098" s="40"/>
      <c r="B2098" s="93"/>
      <c r="C2098" s="94"/>
      <c r="D2098" s="90"/>
      <c r="E2098" s="90"/>
      <c r="F2098" s="90"/>
      <c r="G2098" s="90"/>
      <c r="H2098" s="77"/>
      <c r="L2098" s="75"/>
      <c r="M2098" s="75"/>
      <c r="N2098" s="84"/>
      <c r="O2098" s="75"/>
      <c r="P2098" s="75"/>
      <c r="Q2098" s="84"/>
      <c r="R2098" s="48"/>
      <c r="S2098" s="48"/>
    </row>
    <row r="2099" spans="1:19" customFormat="1">
      <c r="A2099" s="40"/>
      <c r="B2099" s="93"/>
      <c r="C2099" s="94"/>
      <c r="D2099" s="90"/>
      <c r="E2099" s="90"/>
      <c r="F2099" s="90"/>
      <c r="G2099" s="90"/>
      <c r="H2099" s="77"/>
      <c r="L2099" s="75"/>
      <c r="M2099" s="75"/>
      <c r="N2099" s="84"/>
      <c r="O2099" s="75"/>
      <c r="P2099" s="75"/>
      <c r="Q2099" s="84"/>
      <c r="R2099" s="48"/>
      <c r="S2099" s="48"/>
    </row>
    <row r="2100" spans="1:19" customFormat="1">
      <c r="A2100" s="40"/>
      <c r="B2100" s="93"/>
      <c r="C2100" s="94"/>
      <c r="D2100" s="90"/>
      <c r="E2100" s="90"/>
      <c r="F2100" s="90"/>
      <c r="G2100" s="90"/>
      <c r="H2100" s="77"/>
      <c r="L2100" s="75"/>
      <c r="M2100" s="75"/>
      <c r="N2100" s="84"/>
      <c r="O2100" s="75"/>
      <c r="P2100" s="75"/>
      <c r="Q2100" s="84"/>
      <c r="R2100" s="48"/>
      <c r="S2100" s="48"/>
    </row>
    <row r="2101" spans="1:19" customFormat="1">
      <c r="A2101" s="40"/>
      <c r="B2101" s="93"/>
      <c r="C2101" s="94"/>
      <c r="D2101" s="90"/>
      <c r="E2101" s="90"/>
      <c r="F2101" s="90"/>
      <c r="G2101" s="90"/>
      <c r="H2101" s="77"/>
      <c r="L2101" s="75"/>
      <c r="M2101" s="75"/>
      <c r="N2101" s="84"/>
      <c r="O2101" s="75"/>
      <c r="P2101" s="75"/>
      <c r="Q2101" s="84"/>
      <c r="R2101" s="48"/>
      <c r="S2101" s="48"/>
    </row>
    <row r="2102" spans="1:19" customFormat="1">
      <c r="A2102" s="40"/>
      <c r="B2102" s="93"/>
      <c r="C2102" s="94"/>
      <c r="D2102" s="90"/>
      <c r="E2102" s="90"/>
      <c r="F2102" s="90"/>
      <c r="G2102" s="90"/>
      <c r="H2102" s="77"/>
      <c r="L2102" s="75"/>
      <c r="M2102" s="75"/>
      <c r="N2102" s="84"/>
      <c r="O2102" s="75"/>
      <c r="P2102" s="75"/>
      <c r="Q2102" s="84"/>
      <c r="R2102" s="48"/>
      <c r="S2102" s="48"/>
    </row>
    <row r="2103" spans="1:19" customFormat="1">
      <c r="A2103" s="40"/>
      <c r="B2103" s="93"/>
      <c r="C2103" s="94"/>
      <c r="D2103" s="90"/>
      <c r="E2103" s="90"/>
      <c r="F2103" s="90"/>
      <c r="G2103" s="90"/>
      <c r="H2103" s="77"/>
      <c r="L2103" s="75"/>
      <c r="M2103" s="75"/>
      <c r="N2103" s="84"/>
      <c r="O2103" s="75"/>
      <c r="P2103" s="75"/>
      <c r="Q2103" s="84"/>
      <c r="R2103" s="48"/>
      <c r="S2103" s="48"/>
    </row>
    <row r="2104" spans="1:19" customFormat="1">
      <c r="A2104" s="40"/>
      <c r="B2104" s="93"/>
      <c r="C2104" s="94"/>
      <c r="D2104" s="90"/>
      <c r="E2104" s="90"/>
      <c r="F2104" s="90"/>
      <c r="G2104" s="90"/>
      <c r="H2104" s="77"/>
      <c r="L2104" s="75"/>
      <c r="M2104" s="75"/>
      <c r="N2104" s="84"/>
      <c r="O2104" s="75"/>
      <c r="P2104" s="75"/>
      <c r="Q2104" s="84"/>
      <c r="R2104" s="48"/>
      <c r="S2104" s="48"/>
    </row>
    <row r="2105" spans="1:19" customFormat="1">
      <c r="A2105" s="40"/>
      <c r="B2105" s="93"/>
      <c r="C2105" s="94"/>
      <c r="D2105" s="90"/>
      <c r="E2105" s="90"/>
      <c r="F2105" s="90"/>
      <c r="G2105" s="90"/>
      <c r="H2105" s="77"/>
      <c r="L2105" s="75"/>
      <c r="M2105" s="75"/>
      <c r="N2105" s="84"/>
      <c r="O2105" s="75"/>
      <c r="P2105" s="75"/>
      <c r="Q2105" s="84"/>
      <c r="R2105" s="48"/>
      <c r="S2105" s="48"/>
    </row>
    <row r="2106" spans="1:19" customFormat="1">
      <c r="A2106" s="40"/>
      <c r="B2106" s="93"/>
      <c r="C2106" s="94"/>
      <c r="D2106" s="90"/>
      <c r="E2106" s="90"/>
      <c r="F2106" s="90"/>
      <c r="G2106" s="90"/>
      <c r="H2106" s="77"/>
      <c r="L2106" s="75"/>
      <c r="M2106" s="75"/>
      <c r="N2106" s="84"/>
      <c r="O2106" s="75"/>
      <c r="P2106" s="75"/>
      <c r="Q2106" s="84"/>
      <c r="R2106" s="48"/>
      <c r="S2106" s="48"/>
    </row>
    <row r="2107" spans="1:19" customFormat="1">
      <c r="A2107" s="40"/>
      <c r="B2107" s="93"/>
      <c r="C2107" s="94"/>
      <c r="D2107" s="90"/>
      <c r="E2107" s="90"/>
      <c r="F2107" s="90"/>
      <c r="G2107" s="90"/>
      <c r="H2107" s="77"/>
      <c r="L2107" s="75"/>
      <c r="M2107" s="75"/>
      <c r="N2107" s="84"/>
      <c r="O2107" s="75"/>
      <c r="P2107" s="75"/>
      <c r="Q2107" s="84"/>
      <c r="R2107" s="48"/>
      <c r="S2107" s="48"/>
    </row>
  </sheetData>
  <mergeCells count="8">
    <mergeCell ref="B17:B18"/>
    <mergeCell ref="C17:G17"/>
    <mergeCell ref="H17:H18"/>
    <mergeCell ref="B10:H10"/>
    <mergeCell ref="B11:H11"/>
    <mergeCell ref="B13:H13"/>
    <mergeCell ref="B14:H14"/>
    <mergeCell ref="B15:H15"/>
  </mergeCells>
  <pageMargins left="0.59055118110236227" right="0.15748031496062992" top="0.51181102362204722" bottom="0.27559055118110237" header="0.19685039370078741" footer="0.15748031496062992"/>
  <pageSetup paperSize="9" scale="94" fitToHeight="2" orientation="portrait" r:id="rId1"/>
  <headerFooter differentFirst="1" alignWithMargins="0">
    <oddHeader>&amp;C&amp;"Times New Roman,обычный"&amp;P</oddHeader>
  </headerFooter>
</worksheet>
</file>

<file path=xl/worksheets/sheet5.xml><?xml version="1.0" encoding="utf-8"?>
<worksheet xmlns="http://schemas.openxmlformats.org/spreadsheetml/2006/main" xmlns:r="http://schemas.openxmlformats.org/officeDocument/2006/relationships">
  <sheetPr>
    <tabColor rgb="FFFFFF00"/>
  </sheetPr>
  <dimension ref="A1:T2186"/>
  <sheetViews>
    <sheetView view="pageBreakPreview" topLeftCell="A343" zoomScale="92" zoomScaleNormal="100" zoomScaleSheetLayoutView="92" workbookViewId="0">
      <selection activeCell="E349" sqref="E349"/>
    </sheetView>
  </sheetViews>
  <sheetFormatPr defaultColWidth="8.7265625" defaultRowHeight="18"/>
  <cols>
    <col min="1" max="1" width="6.81640625" style="40" customWidth="1"/>
    <col min="2" max="2" width="35.90625" style="72" customWidth="1"/>
    <col min="3" max="3" width="4.90625" style="73" customWidth="1"/>
    <col min="4" max="4" width="3.36328125" style="74" customWidth="1"/>
    <col min="5" max="5" width="3" style="74" customWidth="1"/>
    <col min="6" max="6" width="10" style="74" customWidth="1"/>
    <col min="7" max="7" width="4" style="74" customWidth="1"/>
    <col min="8" max="8" width="11.90625" style="75" customWidth="1"/>
    <col min="9" max="10" width="10" style="74" customWidth="1"/>
    <col min="11" max="11" width="17.54296875" style="294" customWidth="1"/>
    <col min="12" max="12" width="8.7265625" style="292"/>
    <col min="13" max="13" width="10.08984375" style="75" hidden="1" customWidth="1"/>
    <col min="14" max="14" width="10.36328125" style="75" hidden="1" customWidth="1"/>
    <col min="15" max="15" width="10.36328125" style="84" hidden="1" customWidth="1"/>
    <col min="16" max="16" width="10.08984375" style="75" hidden="1" customWidth="1"/>
    <col min="17" max="17" width="10.36328125" style="75" hidden="1" customWidth="1"/>
    <col min="18" max="18" width="10.36328125" style="84" hidden="1" customWidth="1"/>
    <col min="19" max="20" width="0" style="48" hidden="1" customWidth="1"/>
    <col min="21" max="16384" width="8.7265625" style="48"/>
  </cols>
  <sheetData>
    <row r="1" spans="1:19" s="6" customFormat="1" ht="15.75">
      <c r="A1" s="1"/>
      <c r="B1" s="511" t="s">
        <v>993</v>
      </c>
      <c r="C1" s="511"/>
      <c r="D1" s="511"/>
      <c r="E1" s="511"/>
      <c r="F1" s="511"/>
      <c r="G1" s="511"/>
      <c r="H1" s="511"/>
      <c r="I1" s="175"/>
      <c r="J1" s="175"/>
      <c r="K1" s="293"/>
      <c r="L1" s="4"/>
      <c r="M1" s="3"/>
      <c r="N1" s="3"/>
      <c r="O1" s="5"/>
      <c r="P1" s="3"/>
      <c r="Q1" s="3"/>
      <c r="R1" s="5"/>
    </row>
    <row r="2" spans="1:19" s="6" customFormat="1" ht="15.75">
      <c r="A2" s="1"/>
      <c r="B2" s="512" t="s">
        <v>1001</v>
      </c>
      <c r="C2" s="512"/>
      <c r="D2" s="512"/>
      <c r="E2" s="512"/>
      <c r="F2" s="512"/>
      <c r="G2" s="512"/>
      <c r="H2" s="512"/>
      <c r="I2" s="176"/>
      <c r="J2" s="176"/>
      <c r="K2" s="4"/>
      <c r="L2" s="4"/>
      <c r="M2" s="3"/>
      <c r="N2" s="3"/>
      <c r="O2" s="5"/>
      <c r="P2" s="3"/>
      <c r="Q2" s="3"/>
      <c r="R2" s="5"/>
    </row>
    <row r="3" spans="1:19" s="6" customFormat="1" ht="15.75">
      <c r="A3" s="1"/>
      <c r="B3" s="512" t="s">
        <v>1166</v>
      </c>
      <c r="C3" s="512"/>
      <c r="D3" s="512"/>
      <c r="E3" s="512"/>
      <c r="F3" s="512"/>
      <c r="G3" s="512"/>
      <c r="H3" s="512"/>
      <c r="I3" s="176"/>
      <c r="J3" s="176"/>
      <c r="K3" s="4"/>
      <c r="L3" s="4"/>
      <c r="M3" s="3"/>
      <c r="N3" s="3"/>
      <c r="O3" s="5"/>
      <c r="P3" s="3"/>
      <c r="Q3" s="3"/>
      <c r="R3" s="5"/>
    </row>
    <row r="4" spans="1:19" s="6" customFormat="1" ht="15.75">
      <c r="A4" s="1"/>
      <c r="B4" s="176"/>
      <c r="C4" s="176"/>
      <c r="D4" s="176"/>
      <c r="E4" s="176"/>
      <c r="F4" s="176"/>
      <c r="G4" s="176"/>
      <c r="H4" s="176"/>
      <c r="I4" s="176"/>
      <c r="J4" s="176"/>
      <c r="K4" s="4"/>
      <c r="L4" s="4"/>
      <c r="M4" s="3"/>
      <c r="N4" s="3"/>
      <c r="O4" s="5"/>
      <c r="P4" s="3"/>
      <c r="Q4" s="3"/>
      <c r="R4" s="5"/>
    </row>
    <row r="5" spans="1:19" s="6" customFormat="1" ht="15.75">
      <c r="A5" s="1"/>
      <c r="B5" s="512" t="s">
        <v>994</v>
      </c>
      <c r="C5" s="512"/>
      <c r="D5" s="512"/>
      <c r="E5" s="512"/>
      <c r="F5" s="512"/>
      <c r="G5" s="512"/>
      <c r="H5" s="512"/>
      <c r="I5" s="176"/>
      <c r="J5" s="176"/>
      <c r="K5" s="4"/>
      <c r="L5" s="4"/>
      <c r="M5" s="3"/>
      <c r="N5" s="3"/>
      <c r="O5" s="5"/>
      <c r="P5" s="3"/>
      <c r="Q5" s="3"/>
      <c r="R5" s="5"/>
    </row>
    <row r="6" spans="1:19" s="6" customFormat="1" ht="15.75">
      <c r="A6" s="1"/>
      <c r="B6" s="512" t="s">
        <v>995</v>
      </c>
      <c r="C6" s="512"/>
      <c r="D6" s="512"/>
      <c r="E6" s="512"/>
      <c r="F6" s="512"/>
      <c r="G6" s="512"/>
      <c r="H6" s="512"/>
      <c r="I6" s="176"/>
      <c r="J6" s="176"/>
      <c r="K6" s="4"/>
      <c r="L6" s="4"/>
      <c r="M6" s="3"/>
      <c r="N6" s="3"/>
      <c r="O6" s="5"/>
      <c r="P6" s="3"/>
      <c r="Q6" s="3"/>
      <c r="R6" s="5"/>
    </row>
    <row r="7" spans="1:19" s="6" customFormat="1" ht="15.75">
      <c r="A7" s="1"/>
      <c r="B7" s="513"/>
      <c r="C7" s="513"/>
      <c r="D7" s="513"/>
      <c r="E7" s="513"/>
      <c r="F7" s="513"/>
      <c r="G7" s="513"/>
      <c r="H7" s="513"/>
      <c r="I7" s="177"/>
      <c r="J7" s="177"/>
      <c r="K7" s="4"/>
      <c r="L7" s="4"/>
      <c r="M7" s="3"/>
      <c r="N7" s="3"/>
      <c r="O7" s="5"/>
      <c r="P7" s="3"/>
      <c r="Q7" s="3"/>
      <c r="R7" s="5"/>
    </row>
    <row r="8" spans="1:19" s="6" customFormat="1" ht="15.75">
      <c r="A8" s="1"/>
      <c r="B8" s="176"/>
      <c r="C8" s="176"/>
      <c r="D8" s="176"/>
      <c r="E8" s="176"/>
      <c r="F8" s="176"/>
      <c r="G8" s="111"/>
      <c r="H8" s="112" t="s">
        <v>996</v>
      </c>
      <c r="I8" s="176"/>
      <c r="J8" s="176"/>
      <c r="K8" s="4"/>
      <c r="L8" s="4"/>
      <c r="M8" s="3"/>
      <c r="N8" s="3"/>
      <c r="O8" s="5"/>
      <c r="P8" s="3"/>
      <c r="Q8" s="3"/>
      <c r="R8" s="5"/>
    </row>
    <row r="9" spans="1:19" s="6" customFormat="1" ht="38.25" customHeight="1">
      <c r="A9" s="1"/>
      <c r="B9" s="508" t="s">
        <v>997</v>
      </c>
      <c r="C9" s="508" t="s">
        <v>998</v>
      </c>
      <c r="D9" s="508"/>
      <c r="E9" s="508"/>
      <c r="F9" s="508"/>
      <c r="G9" s="508"/>
      <c r="H9" s="509" t="s">
        <v>999</v>
      </c>
      <c r="I9" s="177"/>
      <c r="J9" s="177"/>
      <c r="K9" s="4"/>
      <c r="L9" s="4"/>
      <c r="M9" s="3"/>
      <c r="N9" s="3"/>
      <c r="O9" s="5"/>
      <c r="P9" s="3"/>
      <c r="Q9" s="3"/>
      <c r="R9" s="5"/>
    </row>
    <row r="10" spans="1:19" s="6" customFormat="1" ht="16.5" thickBot="1">
      <c r="A10" s="1"/>
      <c r="B10" s="508"/>
      <c r="C10" s="174" t="s">
        <v>1000</v>
      </c>
      <c r="D10" s="174" t="s">
        <v>0</v>
      </c>
      <c r="E10" s="174" t="s">
        <v>1</v>
      </c>
      <c r="F10" s="174" t="s">
        <v>2</v>
      </c>
      <c r="G10" s="174" t="s">
        <v>3</v>
      </c>
      <c r="H10" s="510"/>
      <c r="I10" s="174" t="s">
        <v>2</v>
      </c>
      <c r="J10" s="174"/>
      <c r="K10" s="4"/>
      <c r="L10" s="4"/>
      <c r="M10" s="9"/>
      <c r="N10" s="10"/>
      <c r="O10" s="11"/>
      <c r="P10" s="9"/>
      <c r="Q10" s="10"/>
      <c r="R10" s="11"/>
    </row>
    <row r="11" spans="1:19" s="13" customFormat="1" ht="16.5" thickBot="1">
      <c r="A11" s="1"/>
      <c r="B11" s="114">
        <v>1</v>
      </c>
      <c r="C11" s="115">
        <v>2</v>
      </c>
      <c r="D11" s="115">
        <v>3</v>
      </c>
      <c r="E11" s="115" t="s">
        <v>4</v>
      </c>
      <c r="F11" s="115">
        <v>5</v>
      </c>
      <c r="G11" s="115">
        <v>6</v>
      </c>
      <c r="H11" s="115">
        <v>7</v>
      </c>
      <c r="I11" s="115">
        <v>5</v>
      </c>
      <c r="J11" s="115"/>
      <c r="K11" s="1"/>
      <c r="L11" s="1"/>
      <c r="M11" s="12"/>
      <c r="N11" s="12"/>
      <c r="O11" s="12"/>
      <c r="P11" s="12"/>
      <c r="Q11" s="12"/>
      <c r="R11" s="12"/>
    </row>
    <row r="12" spans="1:19" s="16" customFormat="1" ht="15.75">
      <c r="A12" s="14"/>
      <c r="B12" s="67" t="s">
        <v>5</v>
      </c>
      <c r="C12" s="116" t="s">
        <v>6</v>
      </c>
      <c r="D12" s="69" t="s">
        <v>7</v>
      </c>
      <c r="E12" s="69" t="s">
        <v>7</v>
      </c>
      <c r="F12" s="69" t="s">
        <v>8</v>
      </c>
      <c r="G12" s="69" t="s">
        <v>9</v>
      </c>
      <c r="H12" s="70">
        <f>H13+H55</f>
        <v>0</v>
      </c>
      <c r="I12" s="69">
        <v>0</v>
      </c>
      <c r="J12" s="69" t="str">
        <f>TEXT(I12,"0000000000")</f>
        <v>0000000000</v>
      </c>
      <c r="K12" s="303"/>
      <c r="L12" s="17"/>
      <c r="M12" s="15">
        <v>54679.56</v>
      </c>
      <c r="N12" s="15">
        <v>54679.56</v>
      </c>
      <c r="O12" s="15">
        <v>54679.56</v>
      </c>
      <c r="P12" s="15">
        <f t="shared" ref="P12:P18" si="0">H12-M12</f>
        <v>-54679.56</v>
      </c>
      <c r="Q12" s="15" t="e">
        <f>#REF!-N12</f>
        <v>#REF!</v>
      </c>
      <c r="R12" s="15" t="e">
        <f>#REF!-O12</f>
        <v>#REF!</v>
      </c>
      <c r="S12" s="17" t="str">
        <f>CONCATENATE(F12,G12)</f>
        <v>00 0 00 00000000</v>
      </c>
    </row>
    <row r="13" spans="1:19" s="16" customFormat="1" ht="15.75">
      <c r="A13" s="14"/>
      <c r="B13" s="117" t="s">
        <v>10</v>
      </c>
      <c r="C13" s="118" t="s">
        <v>6</v>
      </c>
      <c r="D13" s="119" t="s">
        <v>11</v>
      </c>
      <c r="E13" s="119" t="s">
        <v>7</v>
      </c>
      <c r="F13" s="119" t="s">
        <v>8</v>
      </c>
      <c r="G13" s="119" t="s">
        <v>9</v>
      </c>
      <c r="H13" s="120">
        <f>H14+H49</f>
        <v>0</v>
      </c>
      <c r="I13" s="119">
        <v>0</v>
      </c>
      <c r="J13" s="119" t="str">
        <f t="shared" ref="J13:J76" si="1">TEXT(I13,"0000000000")</f>
        <v>0000000000</v>
      </c>
      <c r="K13" s="132"/>
      <c r="L13" s="17"/>
      <c r="M13" s="18">
        <v>47589.06</v>
      </c>
      <c r="N13" s="18">
        <v>47589.06</v>
      </c>
      <c r="O13" s="18">
        <v>47589.06</v>
      </c>
      <c r="P13" s="18">
        <f t="shared" si="0"/>
        <v>-47589.06</v>
      </c>
      <c r="Q13" s="18" t="e">
        <f>#REF!-N13</f>
        <v>#REF!</v>
      </c>
      <c r="R13" s="18" t="e">
        <f>#REF!-O13</f>
        <v>#REF!</v>
      </c>
      <c r="S13" s="17" t="str">
        <f t="shared" ref="S13:S110" si="2">CONCATENATE(F13,G13)</f>
        <v>00 0 00 00000000</v>
      </c>
    </row>
    <row r="14" spans="1:19" s="16" customFormat="1" ht="63">
      <c r="A14" s="14"/>
      <c r="B14" s="121" t="s">
        <v>12</v>
      </c>
      <c r="C14" s="122" t="s">
        <v>6</v>
      </c>
      <c r="D14" s="123" t="s">
        <v>11</v>
      </c>
      <c r="E14" s="123" t="s">
        <v>13</v>
      </c>
      <c r="F14" s="123" t="s">
        <v>8</v>
      </c>
      <c r="G14" s="123" t="s">
        <v>9</v>
      </c>
      <c r="H14" s="124">
        <f>H15</f>
        <v>0</v>
      </c>
      <c r="I14" s="123">
        <v>0</v>
      </c>
      <c r="J14" s="123" t="str">
        <f t="shared" si="1"/>
        <v>0000000000</v>
      </c>
      <c r="K14" s="132"/>
      <c r="L14" s="17"/>
      <c r="M14" s="19">
        <v>47089.06</v>
      </c>
      <c r="N14" s="19">
        <v>47089.06</v>
      </c>
      <c r="O14" s="19">
        <v>47089.06</v>
      </c>
      <c r="P14" s="19">
        <f t="shared" si="0"/>
        <v>-47089.06</v>
      </c>
      <c r="Q14" s="19" t="e">
        <f>#REF!-N14</f>
        <v>#REF!</v>
      </c>
      <c r="R14" s="19" t="e">
        <f>#REF!-O14</f>
        <v>#REF!</v>
      </c>
      <c r="S14" s="17" t="str">
        <f t="shared" si="2"/>
        <v>00 0 00 00000000</v>
      </c>
    </row>
    <row r="15" spans="1:19" s="16" customFormat="1" ht="31.5">
      <c r="A15" s="14"/>
      <c r="B15" s="125" t="s">
        <v>14</v>
      </c>
      <c r="C15" s="109" t="s">
        <v>6</v>
      </c>
      <c r="D15" s="108" t="s">
        <v>11</v>
      </c>
      <c r="E15" s="108" t="s">
        <v>13</v>
      </c>
      <c r="F15" s="108" t="s">
        <v>15</v>
      </c>
      <c r="G15" s="108" t="s">
        <v>9</v>
      </c>
      <c r="H15" s="126">
        <f>H16+H40+H31</f>
        <v>0</v>
      </c>
      <c r="I15" s="108">
        <v>7000000000</v>
      </c>
      <c r="J15" s="108" t="str">
        <f t="shared" si="1"/>
        <v>7000000000</v>
      </c>
      <c r="K15" s="132"/>
      <c r="L15" s="17"/>
      <c r="M15" s="20">
        <v>47089.06</v>
      </c>
      <c r="N15" s="20">
        <v>47089.06</v>
      </c>
      <c r="O15" s="20">
        <v>47089.06</v>
      </c>
      <c r="P15" s="20">
        <f t="shared" si="0"/>
        <v>-47089.06</v>
      </c>
      <c r="Q15" s="20" t="e">
        <f>#REF!-N15</f>
        <v>#REF!</v>
      </c>
      <c r="R15" s="20" t="e">
        <f>#REF!-O15</f>
        <v>#REF!</v>
      </c>
      <c r="S15" s="17" t="str">
        <f t="shared" si="2"/>
        <v>70 0 00 00000000</v>
      </c>
    </row>
    <row r="16" spans="1:19" s="16" customFormat="1" ht="31.5">
      <c r="A16" s="14"/>
      <c r="B16" s="125" t="s">
        <v>16</v>
      </c>
      <c r="C16" s="109" t="s">
        <v>6</v>
      </c>
      <c r="D16" s="108" t="s">
        <v>11</v>
      </c>
      <c r="E16" s="108" t="s">
        <v>13</v>
      </c>
      <c r="F16" s="108" t="s">
        <v>17</v>
      </c>
      <c r="G16" s="108" t="s">
        <v>9</v>
      </c>
      <c r="H16" s="126">
        <f>H17+H27</f>
        <v>0</v>
      </c>
      <c r="I16" s="108">
        <v>7010000000</v>
      </c>
      <c r="J16" s="108" t="str">
        <f t="shared" si="1"/>
        <v>7010000000</v>
      </c>
      <c r="K16" s="132"/>
      <c r="L16" s="17"/>
      <c r="M16" s="20">
        <v>42983.74</v>
      </c>
      <c r="N16" s="20">
        <v>42983.74</v>
      </c>
      <c r="O16" s="20">
        <v>42983.74</v>
      </c>
      <c r="P16" s="20">
        <f t="shared" si="0"/>
        <v>-42983.74</v>
      </c>
      <c r="Q16" s="20" t="e">
        <f>#REF!-N16</f>
        <v>#REF!</v>
      </c>
      <c r="R16" s="20" t="e">
        <f>#REF!-O16</f>
        <v>#REF!</v>
      </c>
      <c r="S16" s="17" t="str">
        <f t="shared" si="2"/>
        <v>70 1 00 00000000</v>
      </c>
    </row>
    <row r="17" spans="1:19" s="16" customFormat="1" ht="31.5">
      <c r="A17" s="14"/>
      <c r="B17" s="125" t="s">
        <v>18</v>
      </c>
      <c r="C17" s="109" t="s">
        <v>6</v>
      </c>
      <c r="D17" s="108" t="s">
        <v>11</v>
      </c>
      <c r="E17" s="108" t="s">
        <v>13</v>
      </c>
      <c r="F17" s="108" t="s">
        <v>19</v>
      </c>
      <c r="G17" s="108" t="s">
        <v>9</v>
      </c>
      <c r="H17" s="126">
        <f>H18+H22+H24</f>
        <v>0</v>
      </c>
      <c r="I17" s="108">
        <v>7010010010</v>
      </c>
      <c r="J17" s="108" t="str">
        <f t="shared" si="1"/>
        <v>7010010010</v>
      </c>
      <c r="K17" s="132"/>
      <c r="L17" s="17"/>
      <c r="M17" s="20">
        <v>10397.540000000001</v>
      </c>
      <c r="N17" s="20">
        <v>10397.540000000001</v>
      </c>
      <c r="O17" s="20">
        <v>10397.540000000001</v>
      </c>
      <c r="P17" s="20">
        <f t="shared" si="0"/>
        <v>-10397.540000000001</v>
      </c>
      <c r="Q17" s="20" t="e">
        <f>#REF!-N17</f>
        <v>#REF!</v>
      </c>
      <c r="R17" s="20" t="e">
        <f>#REF!-O17</f>
        <v>#REF!</v>
      </c>
      <c r="S17" s="17" t="str">
        <f t="shared" si="2"/>
        <v>70 1 00 10010000</v>
      </c>
    </row>
    <row r="18" spans="1:19" s="16" customFormat="1" ht="31.5">
      <c r="A18" s="14"/>
      <c r="B18" s="127" t="s">
        <v>20</v>
      </c>
      <c r="C18" s="109" t="s">
        <v>6</v>
      </c>
      <c r="D18" s="108" t="s">
        <v>11</v>
      </c>
      <c r="E18" s="108" t="s">
        <v>13</v>
      </c>
      <c r="F18" s="108" t="s">
        <v>19</v>
      </c>
      <c r="G18" s="108" t="s">
        <v>21</v>
      </c>
      <c r="H18" s="126">
        <f>SUM(H19:H21)</f>
        <v>0</v>
      </c>
      <c r="I18" s="108">
        <v>7010010010</v>
      </c>
      <c r="J18" s="108" t="str">
        <f t="shared" si="1"/>
        <v>7010010010</v>
      </c>
      <c r="K18" s="132"/>
      <c r="L18" s="17"/>
      <c r="M18" s="20">
        <v>3836.7799999999997</v>
      </c>
      <c r="N18" s="20">
        <v>3836.7799999999997</v>
      </c>
      <c r="O18" s="20">
        <v>3836.7799999999997</v>
      </c>
      <c r="P18" s="20">
        <f t="shared" si="0"/>
        <v>-3836.7799999999997</v>
      </c>
      <c r="Q18" s="20" t="e">
        <f>#REF!-N18</f>
        <v>#REF!</v>
      </c>
      <c r="R18" s="20" t="e">
        <f>#REF!-O18</f>
        <v>#REF!</v>
      </c>
      <c r="S18" s="17" t="str">
        <f t="shared" si="2"/>
        <v>70 1 00 10010120</v>
      </c>
    </row>
    <row r="19" spans="1:19" s="23" customFormat="1" ht="47.25">
      <c r="A19" s="21"/>
      <c r="B19" s="127" t="s">
        <v>22</v>
      </c>
      <c r="C19" s="109" t="s">
        <v>6</v>
      </c>
      <c r="D19" s="108" t="s">
        <v>11</v>
      </c>
      <c r="E19" s="108" t="s">
        <v>13</v>
      </c>
      <c r="F19" s="108" t="s">
        <v>19</v>
      </c>
      <c r="G19" s="108" t="s">
        <v>23</v>
      </c>
      <c r="H19" s="126"/>
      <c r="I19" s="108">
        <v>7010010010</v>
      </c>
      <c r="J19" s="108" t="str">
        <f t="shared" si="1"/>
        <v>7010010010</v>
      </c>
      <c r="K19" s="304" t="str">
        <f>C19&amp;D19&amp;E19&amp;J19&amp;G19</f>
        <v>60001037010010010122</v>
      </c>
      <c r="L19" s="24"/>
      <c r="M19" s="22"/>
      <c r="N19" s="22"/>
      <c r="O19" s="22"/>
      <c r="P19" s="22"/>
      <c r="Q19" s="22"/>
      <c r="R19" s="22"/>
      <c r="S19" s="24"/>
    </row>
    <row r="20" spans="1:19" s="23" customFormat="1" ht="63">
      <c r="A20" s="21"/>
      <c r="B20" s="127" t="s">
        <v>24</v>
      </c>
      <c r="C20" s="109" t="s">
        <v>6</v>
      </c>
      <c r="D20" s="108" t="s">
        <v>11</v>
      </c>
      <c r="E20" s="108" t="s">
        <v>13</v>
      </c>
      <c r="F20" s="108" t="s">
        <v>19</v>
      </c>
      <c r="G20" s="108" t="s">
        <v>25</v>
      </c>
      <c r="H20" s="126"/>
      <c r="I20" s="108">
        <v>7010010010</v>
      </c>
      <c r="J20" s="108" t="str">
        <f t="shared" si="1"/>
        <v>7010010010</v>
      </c>
      <c r="K20" s="304" t="str">
        <f t="shared" ref="K20:K21" si="3">C20&amp;D20&amp;E20&amp;J20&amp;G20</f>
        <v>60001037010010010123</v>
      </c>
      <c r="L20" s="24"/>
      <c r="M20" s="22"/>
      <c r="N20" s="22"/>
      <c r="O20" s="22"/>
      <c r="P20" s="22"/>
      <c r="Q20" s="22"/>
      <c r="R20" s="22"/>
      <c r="S20" s="24"/>
    </row>
    <row r="21" spans="1:19" s="23" customFormat="1" ht="63">
      <c r="A21" s="21"/>
      <c r="B21" s="127" t="s">
        <v>26</v>
      </c>
      <c r="C21" s="109" t="s">
        <v>6</v>
      </c>
      <c r="D21" s="108" t="s">
        <v>11</v>
      </c>
      <c r="E21" s="108" t="s">
        <v>13</v>
      </c>
      <c r="F21" s="108" t="s">
        <v>19</v>
      </c>
      <c r="G21" s="108" t="s">
        <v>27</v>
      </c>
      <c r="H21" s="126"/>
      <c r="I21" s="108">
        <v>7010010010</v>
      </c>
      <c r="J21" s="108" t="str">
        <f t="shared" si="1"/>
        <v>7010010010</v>
      </c>
      <c r="K21" s="304" t="str">
        <f t="shared" si="3"/>
        <v>60001037010010010129</v>
      </c>
      <c r="L21" s="24"/>
      <c r="M21" s="22"/>
      <c r="N21" s="22"/>
      <c r="O21" s="22"/>
      <c r="P21" s="22"/>
      <c r="Q21" s="22"/>
      <c r="R21" s="22"/>
      <c r="S21" s="24"/>
    </row>
    <row r="22" spans="1:19" s="16" customFormat="1" ht="31.5">
      <c r="A22" s="14"/>
      <c r="B22" s="125" t="s">
        <v>28</v>
      </c>
      <c r="C22" s="109" t="s">
        <v>6</v>
      </c>
      <c r="D22" s="108" t="s">
        <v>11</v>
      </c>
      <c r="E22" s="108" t="s">
        <v>13</v>
      </c>
      <c r="F22" s="108" t="s">
        <v>19</v>
      </c>
      <c r="G22" s="108" t="s">
        <v>29</v>
      </c>
      <c r="H22" s="126">
        <f>H23</f>
        <v>0</v>
      </c>
      <c r="I22" s="108">
        <v>7010010010</v>
      </c>
      <c r="J22" s="108" t="str">
        <f t="shared" si="1"/>
        <v>7010010010</v>
      </c>
      <c r="K22" s="132"/>
      <c r="L22" s="17"/>
      <c r="M22" s="20">
        <v>6454.14</v>
      </c>
      <c r="N22" s="20">
        <v>6454.14</v>
      </c>
      <c r="O22" s="20">
        <v>6454.14</v>
      </c>
      <c r="P22" s="20">
        <f>H22-M22</f>
        <v>-6454.14</v>
      </c>
      <c r="Q22" s="20" t="e">
        <f>#REF!-N22</f>
        <v>#REF!</v>
      </c>
      <c r="R22" s="20" t="e">
        <f>#REF!-O22</f>
        <v>#REF!</v>
      </c>
      <c r="S22" s="17" t="str">
        <f t="shared" si="2"/>
        <v>70 1 00 10010240</v>
      </c>
    </row>
    <row r="23" spans="1:19" s="16" customFormat="1" ht="15.75">
      <c r="A23" s="14"/>
      <c r="B23" s="125" t="s">
        <v>30</v>
      </c>
      <c r="C23" s="109" t="s">
        <v>6</v>
      </c>
      <c r="D23" s="108" t="s">
        <v>11</v>
      </c>
      <c r="E23" s="108" t="s">
        <v>13</v>
      </c>
      <c r="F23" s="108" t="s">
        <v>19</v>
      </c>
      <c r="G23" s="108" t="s">
        <v>31</v>
      </c>
      <c r="H23" s="126"/>
      <c r="I23" s="108">
        <v>7010010010</v>
      </c>
      <c r="J23" s="108" t="str">
        <f t="shared" si="1"/>
        <v>7010010010</v>
      </c>
      <c r="K23" s="304" t="str">
        <f>C23&amp;D23&amp;E23&amp;J23&amp;G23</f>
        <v>60001037010010010244</v>
      </c>
      <c r="L23" s="17"/>
      <c r="M23" s="20"/>
      <c r="N23" s="20"/>
      <c r="O23" s="20"/>
      <c r="P23" s="20"/>
      <c r="Q23" s="20"/>
      <c r="R23" s="20"/>
      <c r="S23" s="17"/>
    </row>
    <row r="24" spans="1:19" s="16" customFormat="1" ht="15.75">
      <c r="A24" s="14"/>
      <c r="B24" s="125" t="s">
        <v>32</v>
      </c>
      <c r="C24" s="109" t="s">
        <v>6</v>
      </c>
      <c r="D24" s="108" t="s">
        <v>11</v>
      </c>
      <c r="E24" s="108" t="s">
        <v>13</v>
      </c>
      <c r="F24" s="108" t="s">
        <v>19</v>
      </c>
      <c r="G24" s="108" t="s">
        <v>33</v>
      </c>
      <c r="H24" s="126">
        <f>SUM(H25:H26)</f>
        <v>0</v>
      </c>
      <c r="I24" s="108">
        <v>7010010010</v>
      </c>
      <c r="J24" s="108" t="str">
        <f t="shared" si="1"/>
        <v>7010010010</v>
      </c>
      <c r="K24" s="132"/>
      <c r="L24" s="17"/>
      <c r="M24" s="20">
        <v>106.62</v>
      </c>
      <c r="N24" s="20">
        <v>106.62</v>
      </c>
      <c r="O24" s="20">
        <v>106.62</v>
      </c>
      <c r="P24" s="20">
        <f>H24-M24</f>
        <v>-106.62</v>
      </c>
      <c r="Q24" s="20" t="e">
        <f>#REF!-N24</f>
        <v>#REF!</v>
      </c>
      <c r="R24" s="20" t="e">
        <f>#REF!-O24</f>
        <v>#REF!</v>
      </c>
      <c r="S24" s="17" t="str">
        <f t="shared" si="2"/>
        <v>70 1 00 10010850</v>
      </c>
    </row>
    <row r="25" spans="1:19" s="23" customFormat="1" ht="31.5">
      <c r="A25" s="21"/>
      <c r="B25" s="127" t="s">
        <v>34</v>
      </c>
      <c r="C25" s="109" t="s">
        <v>6</v>
      </c>
      <c r="D25" s="108" t="s">
        <v>11</v>
      </c>
      <c r="E25" s="108" t="s">
        <v>13</v>
      </c>
      <c r="F25" s="108" t="s">
        <v>19</v>
      </c>
      <c r="G25" s="108" t="s">
        <v>35</v>
      </c>
      <c r="H25" s="126"/>
      <c r="I25" s="108">
        <v>7010010010</v>
      </c>
      <c r="J25" s="108" t="str">
        <f t="shared" si="1"/>
        <v>7010010010</v>
      </c>
      <c r="K25" s="304" t="str">
        <f t="shared" ref="K25:K26" si="4">C25&amp;D25&amp;E25&amp;J25&amp;G25</f>
        <v>60001037010010010851</v>
      </c>
      <c r="L25" s="24"/>
      <c r="M25" s="22"/>
      <c r="N25" s="22"/>
      <c r="O25" s="22"/>
      <c r="P25" s="22"/>
      <c r="Q25" s="22"/>
      <c r="R25" s="22"/>
      <c r="S25" s="24"/>
    </row>
    <row r="26" spans="1:19" s="23" customFormat="1" ht="15.75">
      <c r="A26" s="21"/>
      <c r="B26" s="127" t="s">
        <v>36</v>
      </c>
      <c r="C26" s="109" t="s">
        <v>6</v>
      </c>
      <c r="D26" s="108" t="s">
        <v>11</v>
      </c>
      <c r="E26" s="108" t="s">
        <v>13</v>
      </c>
      <c r="F26" s="108" t="s">
        <v>19</v>
      </c>
      <c r="G26" s="108" t="s">
        <v>37</v>
      </c>
      <c r="H26" s="126"/>
      <c r="I26" s="108">
        <v>7010010010</v>
      </c>
      <c r="J26" s="108" t="str">
        <f t="shared" si="1"/>
        <v>7010010010</v>
      </c>
      <c r="K26" s="304" t="str">
        <f t="shared" si="4"/>
        <v>60001037010010010852</v>
      </c>
      <c r="L26" s="24"/>
      <c r="M26" s="22"/>
      <c r="N26" s="22"/>
      <c r="O26" s="22"/>
      <c r="P26" s="22"/>
      <c r="Q26" s="22"/>
      <c r="R26" s="22"/>
      <c r="S26" s="24"/>
    </row>
    <row r="27" spans="1:19" s="16" customFormat="1" ht="31.5">
      <c r="A27" s="14"/>
      <c r="B27" s="127" t="s">
        <v>38</v>
      </c>
      <c r="C27" s="109" t="s">
        <v>6</v>
      </c>
      <c r="D27" s="108" t="s">
        <v>11</v>
      </c>
      <c r="E27" s="108" t="s">
        <v>13</v>
      </c>
      <c r="F27" s="108" t="s">
        <v>39</v>
      </c>
      <c r="G27" s="108" t="s">
        <v>9</v>
      </c>
      <c r="H27" s="126">
        <f>H28</f>
        <v>0</v>
      </c>
      <c r="I27" s="108">
        <v>7010010020</v>
      </c>
      <c r="J27" s="108" t="str">
        <f t="shared" si="1"/>
        <v>7010010020</v>
      </c>
      <c r="K27" s="132"/>
      <c r="L27" s="17"/>
      <c r="M27" s="20">
        <v>32586.199999999997</v>
      </c>
      <c r="N27" s="20">
        <v>32586.199999999997</v>
      </c>
      <c r="O27" s="20">
        <v>32586.199999999997</v>
      </c>
      <c r="P27" s="20">
        <f>H27-M27</f>
        <v>-32586.199999999997</v>
      </c>
      <c r="Q27" s="20" t="e">
        <f>#REF!-N27</f>
        <v>#REF!</v>
      </c>
      <c r="R27" s="20" t="e">
        <f>#REF!-O27</f>
        <v>#REF!</v>
      </c>
      <c r="S27" s="17" t="str">
        <f t="shared" si="2"/>
        <v>70 1 00 10020000</v>
      </c>
    </row>
    <row r="28" spans="1:19" s="16" customFormat="1" ht="31.5">
      <c r="A28" s="14"/>
      <c r="B28" s="127" t="s">
        <v>20</v>
      </c>
      <c r="C28" s="109" t="s">
        <v>6</v>
      </c>
      <c r="D28" s="108" t="s">
        <v>11</v>
      </c>
      <c r="E28" s="108" t="s">
        <v>13</v>
      </c>
      <c r="F28" s="108" t="s">
        <v>39</v>
      </c>
      <c r="G28" s="108" t="s">
        <v>21</v>
      </c>
      <c r="H28" s="126">
        <f>SUM(H29:H30)</f>
        <v>0</v>
      </c>
      <c r="I28" s="108">
        <v>7010010020</v>
      </c>
      <c r="J28" s="108" t="str">
        <f t="shared" si="1"/>
        <v>7010010020</v>
      </c>
      <c r="K28" s="132"/>
      <c r="L28" s="17"/>
      <c r="M28" s="20">
        <v>32586.199999999997</v>
      </c>
      <c r="N28" s="20">
        <v>32586.199999999997</v>
      </c>
      <c r="O28" s="20">
        <v>32586.199999999997</v>
      </c>
      <c r="P28" s="20">
        <f>H28-M28</f>
        <v>-32586.199999999997</v>
      </c>
      <c r="Q28" s="20" t="e">
        <f>#REF!-N28</f>
        <v>#REF!</v>
      </c>
      <c r="R28" s="20" t="e">
        <f>#REF!-O28</f>
        <v>#REF!</v>
      </c>
      <c r="S28" s="17" t="str">
        <f t="shared" si="2"/>
        <v>70 1 00 10020120</v>
      </c>
    </row>
    <row r="29" spans="1:19" s="23" customFormat="1" ht="31.5">
      <c r="A29" s="21"/>
      <c r="B29" s="127" t="s">
        <v>40</v>
      </c>
      <c r="C29" s="109" t="s">
        <v>6</v>
      </c>
      <c r="D29" s="108" t="s">
        <v>11</v>
      </c>
      <c r="E29" s="108" t="s">
        <v>13</v>
      </c>
      <c r="F29" s="108" t="s">
        <v>39</v>
      </c>
      <c r="G29" s="108" t="s">
        <v>41</v>
      </c>
      <c r="H29" s="126"/>
      <c r="I29" s="108">
        <v>7010010020</v>
      </c>
      <c r="J29" s="108" t="str">
        <f t="shared" si="1"/>
        <v>7010010020</v>
      </c>
      <c r="K29" s="304" t="str">
        <f t="shared" ref="K29:K30" si="5">C29&amp;D29&amp;E29&amp;J29&amp;G29</f>
        <v>60001037010010020121</v>
      </c>
      <c r="L29" s="24"/>
      <c r="M29" s="22"/>
      <c r="N29" s="22"/>
      <c r="O29" s="22"/>
      <c r="P29" s="22"/>
      <c r="Q29" s="22"/>
      <c r="R29" s="22"/>
      <c r="S29" s="24"/>
    </row>
    <row r="30" spans="1:19" s="23" customFormat="1" ht="63">
      <c r="A30" s="21"/>
      <c r="B30" s="127" t="s">
        <v>26</v>
      </c>
      <c r="C30" s="109" t="s">
        <v>6</v>
      </c>
      <c r="D30" s="108" t="s">
        <v>11</v>
      </c>
      <c r="E30" s="108" t="s">
        <v>13</v>
      </c>
      <c r="F30" s="108" t="s">
        <v>39</v>
      </c>
      <c r="G30" s="108" t="s">
        <v>27</v>
      </c>
      <c r="H30" s="126"/>
      <c r="I30" s="108">
        <v>7010010020</v>
      </c>
      <c r="J30" s="108" t="str">
        <f t="shared" si="1"/>
        <v>7010010020</v>
      </c>
      <c r="K30" s="304" t="str">
        <f t="shared" si="5"/>
        <v>60001037010010020129</v>
      </c>
      <c r="L30" s="24"/>
      <c r="M30" s="22"/>
      <c r="N30" s="22"/>
      <c r="O30" s="22"/>
      <c r="P30" s="22"/>
      <c r="Q30" s="22"/>
      <c r="R30" s="22"/>
      <c r="S30" s="24"/>
    </row>
    <row r="31" spans="1:19" s="16" customFormat="1" ht="31.5">
      <c r="A31" s="14"/>
      <c r="B31" s="127" t="s">
        <v>42</v>
      </c>
      <c r="C31" s="109" t="s">
        <v>6</v>
      </c>
      <c r="D31" s="108" t="s">
        <v>11</v>
      </c>
      <c r="E31" s="108" t="s">
        <v>13</v>
      </c>
      <c r="F31" s="108" t="s">
        <v>43</v>
      </c>
      <c r="G31" s="108" t="s">
        <v>9</v>
      </c>
      <c r="H31" s="126">
        <f>H36+H32</f>
        <v>0</v>
      </c>
      <c r="I31" s="108">
        <v>7020000000</v>
      </c>
      <c r="J31" s="108" t="str">
        <f t="shared" si="1"/>
        <v>7020000000</v>
      </c>
      <c r="K31" s="132"/>
      <c r="L31" s="17"/>
      <c r="M31" s="20">
        <v>1593.55</v>
      </c>
      <c r="N31" s="20">
        <v>1593.55</v>
      </c>
      <c r="O31" s="20">
        <v>1593.55</v>
      </c>
      <c r="P31" s="20">
        <f>H31-M31</f>
        <v>-1593.55</v>
      </c>
      <c r="Q31" s="20" t="e">
        <f>#REF!-N31</f>
        <v>#REF!</v>
      </c>
      <c r="R31" s="20" t="e">
        <f>#REF!-O31</f>
        <v>#REF!</v>
      </c>
      <c r="S31" s="17" t="str">
        <f t="shared" si="2"/>
        <v>70 2 00 00000000</v>
      </c>
    </row>
    <row r="32" spans="1:19" s="16" customFormat="1" ht="31.5">
      <c r="A32" s="14"/>
      <c r="B32" s="125" t="s">
        <v>18</v>
      </c>
      <c r="C32" s="109" t="s">
        <v>6</v>
      </c>
      <c r="D32" s="108" t="s">
        <v>11</v>
      </c>
      <c r="E32" s="108" t="s">
        <v>13</v>
      </c>
      <c r="F32" s="108" t="s">
        <v>44</v>
      </c>
      <c r="G32" s="108" t="s">
        <v>9</v>
      </c>
      <c r="H32" s="126">
        <f>H33</f>
        <v>0</v>
      </c>
      <c r="I32" s="108">
        <v>7020010010</v>
      </c>
      <c r="J32" s="108" t="str">
        <f t="shared" si="1"/>
        <v>7020010010</v>
      </c>
      <c r="K32" s="132"/>
      <c r="L32" s="17"/>
      <c r="M32" s="20">
        <v>41.55</v>
      </c>
      <c r="N32" s="20">
        <v>41.55</v>
      </c>
      <c r="O32" s="20">
        <v>41.55</v>
      </c>
      <c r="P32" s="20">
        <f>H32-M32</f>
        <v>-41.55</v>
      </c>
      <c r="Q32" s="20" t="e">
        <f>#REF!-N32</f>
        <v>#REF!</v>
      </c>
      <c r="R32" s="20" t="e">
        <f>#REF!-O32</f>
        <v>#REF!</v>
      </c>
      <c r="S32" s="17" t="str">
        <f t="shared" si="2"/>
        <v>70 2 00 10010000</v>
      </c>
    </row>
    <row r="33" spans="1:19" s="16" customFormat="1" ht="31.5">
      <c r="A33" s="14"/>
      <c r="B33" s="127" t="s">
        <v>20</v>
      </c>
      <c r="C33" s="109" t="s">
        <v>6</v>
      </c>
      <c r="D33" s="108" t="s">
        <v>11</v>
      </c>
      <c r="E33" s="108" t="s">
        <v>13</v>
      </c>
      <c r="F33" s="108" t="s">
        <v>44</v>
      </c>
      <c r="G33" s="108" t="s">
        <v>21</v>
      </c>
      <c r="H33" s="126">
        <f>SUM(H34:H35)</f>
        <v>0</v>
      </c>
      <c r="I33" s="108">
        <v>7020010010</v>
      </c>
      <c r="J33" s="108" t="str">
        <f t="shared" si="1"/>
        <v>7020010010</v>
      </c>
      <c r="K33" s="132"/>
      <c r="L33" s="17"/>
      <c r="M33" s="20">
        <v>41.55</v>
      </c>
      <c r="N33" s="20">
        <v>41.55</v>
      </c>
      <c r="O33" s="20">
        <v>41.55</v>
      </c>
      <c r="P33" s="20">
        <f>H33-M33</f>
        <v>-41.55</v>
      </c>
      <c r="Q33" s="20" t="e">
        <f>#REF!-N33</f>
        <v>#REF!</v>
      </c>
      <c r="R33" s="20" t="e">
        <f>#REF!-O33</f>
        <v>#REF!</v>
      </c>
      <c r="S33" s="17" t="str">
        <f t="shared" si="2"/>
        <v>70 2 00 10010120</v>
      </c>
    </row>
    <row r="34" spans="1:19" s="23" customFormat="1" ht="47.25">
      <c r="A34" s="21"/>
      <c r="B34" s="127" t="s">
        <v>22</v>
      </c>
      <c r="C34" s="109" t="s">
        <v>6</v>
      </c>
      <c r="D34" s="108" t="s">
        <v>11</v>
      </c>
      <c r="E34" s="108" t="s">
        <v>13</v>
      </c>
      <c r="F34" s="108" t="s">
        <v>44</v>
      </c>
      <c r="G34" s="108" t="s">
        <v>23</v>
      </c>
      <c r="H34" s="126"/>
      <c r="I34" s="108">
        <v>7020010010</v>
      </c>
      <c r="J34" s="108" t="str">
        <f t="shared" si="1"/>
        <v>7020010010</v>
      </c>
      <c r="K34" s="304" t="str">
        <f t="shared" ref="K34:K35" si="6">C34&amp;D34&amp;E34&amp;J34&amp;G34</f>
        <v>60001037020010010122</v>
      </c>
      <c r="L34" s="24"/>
      <c r="M34" s="22"/>
      <c r="N34" s="22"/>
      <c r="O34" s="22"/>
      <c r="P34" s="22"/>
      <c r="Q34" s="22"/>
      <c r="R34" s="22"/>
      <c r="S34" s="24"/>
    </row>
    <row r="35" spans="1:19" s="23" customFormat="1" ht="63">
      <c r="A35" s="21"/>
      <c r="B35" s="127" t="s">
        <v>26</v>
      </c>
      <c r="C35" s="109" t="s">
        <v>6</v>
      </c>
      <c r="D35" s="108" t="s">
        <v>11</v>
      </c>
      <c r="E35" s="108" t="s">
        <v>13</v>
      </c>
      <c r="F35" s="108" t="s">
        <v>44</v>
      </c>
      <c r="G35" s="108" t="s">
        <v>27</v>
      </c>
      <c r="H35" s="126"/>
      <c r="I35" s="108">
        <v>7020010010</v>
      </c>
      <c r="J35" s="108" t="str">
        <f t="shared" si="1"/>
        <v>7020010010</v>
      </c>
      <c r="K35" s="304" t="str">
        <f t="shared" si="6"/>
        <v>60001037020010010129</v>
      </c>
      <c r="L35" s="24"/>
      <c r="M35" s="22"/>
      <c r="N35" s="22"/>
      <c r="O35" s="22"/>
      <c r="P35" s="22"/>
      <c r="Q35" s="22"/>
      <c r="R35" s="22"/>
      <c r="S35" s="24"/>
    </row>
    <row r="36" spans="1:19" s="16" customFormat="1" ht="31.5">
      <c r="A36" s="14"/>
      <c r="B36" s="127" t="s">
        <v>38</v>
      </c>
      <c r="C36" s="109" t="s">
        <v>6</v>
      </c>
      <c r="D36" s="108" t="s">
        <v>11</v>
      </c>
      <c r="E36" s="108" t="s">
        <v>13</v>
      </c>
      <c r="F36" s="108" t="s">
        <v>45</v>
      </c>
      <c r="G36" s="108" t="s">
        <v>9</v>
      </c>
      <c r="H36" s="126">
        <f>H37</f>
        <v>0</v>
      </c>
      <c r="I36" s="108">
        <v>7020010020</v>
      </c>
      <c r="J36" s="108" t="str">
        <f t="shared" si="1"/>
        <v>7020010020</v>
      </c>
      <c r="K36" s="132"/>
      <c r="L36" s="17"/>
      <c r="M36" s="20">
        <v>1552</v>
      </c>
      <c r="N36" s="20">
        <v>1552</v>
      </c>
      <c r="O36" s="20">
        <v>1552</v>
      </c>
      <c r="P36" s="20">
        <f>H36-M36</f>
        <v>-1552</v>
      </c>
      <c r="Q36" s="20" t="e">
        <f>#REF!-N36</f>
        <v>#REF!</v>
      </c>
      <c r="R36" s="20" t="e">
        <f>#REF!-O36</f>
        <v>#REF!</v>
      </c>
      <c r="S36" s="17" t="str">
        <f t="shared" si="2"/>
        <v>70 2 00 10020000</v>
      </c>
    </row>
    <row r="37" spans="1:19" s="16" customFormat="1" ht="31.5">
      <c r="A37" s="14"/>
      <c r="B37" s="127" t="s">
        <v>20</v>
      </c>
      <c r="C37" s="109" t="s">
        <v>6</v>
      </c>
      <c r="D37" s="108" t="s">
        <v>11</v>
      </c>
      <c r="E37" s="108" t="s">
        <v>13</v>
      </c>
      <c r="F37" s="108" t="s">
        <v>45</v>
      </c>
      <c r="G37" s="108" t="s">
        <v>21</v>
      </c>
      <c r="H37" s="126">
        <f>SUM(H38:H39)</f>
        <v>0</v>
      </c>
      <c r="I37" s="108">
        <v>7020010020</v>
      </c>
      <c r="J37" s="108" t="str">
        <f t="shared" si="1"/>
        <v>7020010020</v>
      </c>
      <c r="K37" s="132"/>
      <c r="L37" s="17"/>
      <c r="M37" s="20">
        <v>1552</v>
      </c>
      <c r="N37" s="20">
        <v>1552</v>
      </c>
      <c r="O37" s="20">
        <v>1552</v>
      </c>
      <c r="P37" s="20">
        <f>H37-M37</f>
        <v>-1552</v>
      </c>
      <c r="Q37" s="20" t="e">
        <f>#REF!-N37</f>
        <v>#REF!</v>
      </c>
      <c r="R37" s="20" t="e">
        <f>#REF!-O37</f>
        <v>#REF!</v>
      </c>
      <c r="S37" s="17" t="str">
        <f t="shared" si="2"/>
        <v>70 2 00 10020120</v>
      </c>
    </row>
    <row r="38" spans="1:19" s="16" customFormat="1" ht="31.5">
      <c r="A38" s="14"/>
      <c r="B38" s="125" t="s">
        <v>40</v>
      </c>
      <c r="C38" s="109" t="s">
        <v>6</v>
      </c>
      <c r="D38" s="108" t="s">
        <v>11</v>
      </c>
      <c r="E38" s="108" t="s">
        <v>13</v>
      </c>
      <c r="F38" s="108" t="s">
        <v>45</v>
      </c>
      <c r="G38" s="108" t="s">
        <v>41</v>
      </c>
      <c r="H38" s="126"/>
      <c r="I38" s="108">
        <v>7020010020</v>
      </c>
      <c r="J38" s="108" t="str">
        <f t="shared" si="1"/>
        <v>7020010020</v>
      </c>
      <c r="K38" s="304" t="str">
        <f t="shared" ref="K38:K39" si="7">C38&amp;D38&amp;E38&amp;J38&amp;G38</f>
        <v>60001037020010020121</v>
      </c>
      <c r="L38" s="17"/>
      <c r="M38" s="20"/>
      <c r="N38" s="20"/>
      <c r="O38" s="20"/>
      <c r="P38" s="20"/>
      <c r="Q38" s="20"/>
      <c r="R38" s="20"/>
      <c r="S38" s="17"/>
    </row>
    <row r="39" spans="1:19" s="16" customFormat="1" ht="63">
      <c r="A39" s="14"/>
      <c r="B39" s="125" t="s">
        <v>26</v>
      </c>
      <c r="C39" s="109" t="s">
        <v>6</v>
      </c>
      <c r="D39" s="108" t="s">
        <v>11</v>
      </c>
      <c r="E39" s="108" t="s">
        <v>13</v>
      </c>
      <c r="F39" s="108" t="s">
        <v>45</v>
      </c>
      <c r="G39" s="108" t="s">
        <v>27</v>
      </c>
      <c r="H39" s="126"/>
      <c r="I39" s="108">
        <v>7020010020</v>
      </c>
      <c r="J39" s="108" t="str">
        <f t="shared" si="1"/>
        <v>7020010020</v>
      </c>
      <c r="K39" s="304" t="str">
        <f t="shared" si="7"/>
        <v>60001037020010020129</v>
      </c>
      <c r="L39" s="17"/>
      <c r="M39" s="20"/>
      <c r="N39" s="20"/>
      <c r="O39" s="20"/>
      <c r="P39" s="20"/>
      <c r="Q39" s="20"/>
      <c r="R39" s="20"/>
      <c r="S39" s="17"/>
    </row>
    <row r="40" spans="1:19" s="16" customFormat="1" ht="31.5">
      <c r="A40" s="14"/>
      <c r="B40" s="127" t="s">
        <v>46</v>
      </c>
      <c r="C40" s="109" t="s">
        <v>6</v>
      </c>
      <c r="D40" s="108" t="s">
        <v>11</v>
      </c>
      <c r="E40" s="108" t="s">
        <v>13</v>
      </c>
      <c r="F40" s="108" t="s">
        <v>47</v>
      </c>
      <c r="G40" s="108" t="s">
        <v>9</v>
      </c>
      <c r="H40" s="126">
        <f>H45+H41</f>
        <v>0</v>
      </c>
      <c r="I40" s="108">
        <v>7030000000</v>
      </c>
      <c r="J40" s="108" t="str">
        <f t="shared" si="1"/>
        <v>7030000000</v>
      </c>
      <c r="K40" s="132"/>
      <c r="L40" s="17"/>
      <c r="M40" s="20">
        <v>2511.77</v>
      </c>
      <c r="N40" s="20">
        <v>2511.77</v>
      </c>
      <c r="O40" s="20">
        <v>2511.77</v>
      </c>
      <c r="P40" s="20">
        <f>H40-M40</f>
        <v>-2511.77</v>
      </c>
      <c r="Q40" s="20" t="e">
        <f>#REF!-N40</f>
        <v>#REF!</v>
      </c>
      <c r="R40" s="20" t="e">
        <f>#REF!-O40</f>
        <v>#REF!</v>
      </c>
      <c r="S40" s="17" t="str">
        <f t="shared" si="2"/>
        <v>70 3 00 00000000</v>
      </c>
    </row>
    <row r="41" spans="1:19" s="16" customFormat="1" ht="31.5">
      <c r="A41" s="14"/>
      <c r="B41" s="125" t="s">
        <v>18</v>
      </c>
      <c r="C41" s="109" t="s">
        <v>6</v>
      </c>
      <c r="D41" s="108" t="s">
        <v>11</v>
      </c>
      <c r="E41" s="108" t="s">
        <v>13</v>
      </c>
      <c r="F41" s="108" t="s">
        <v>48</v>
      </c>
      <c r="G41" s="108" t="s">
        <v>9</v>
      </c>
      <c r="H41" s="126">
        <f>H42</f>
        <v>0</v>
      </c>
      <c r="I41" s="108">
        <v>7030010010</v>
      </c>
      <c r="J41" s="108" t="str">
        <f t="shared" si="1"/>
        <v>7030010010</v>
      </c>
      <c r="K41" s="132"/>
      <c r="L41" s="17"/>
      <c r="M41" s="20">
        <v>83.11</v>
      </c>
      <c r="N41" s="20">
        <v>83.11</v>
      </c>
      <c r="O41" s="20">
        <v>83.11</v>
      </c>
      <c r="P41" s="20">
        <f>H41-M41</f>
        <v>-83.11</v>
      </c>
      <c r="Q41" s="20" t="e">
        <f>#REF!-N41</f>
        <v>#REF!</v>
      </c>
      <c r="R41" s="20" t="e">
        <f>#REF!-O41</f>
        <v>#REF!</v>
      </c>
      <c r="S41" s="17" t="str">
        <f t="shared" si="2"/>
        <v>70 3 00 10010000</v>
      </c>
    </row>
    <row r="42" spans="1:19" s="16" customFormat="1" ht="31.5">
      <c r="A42" s="14"/>
      <c r="B42" s="127" t="s">
        <v>20</v>
      </c>
      <c r="C42" s="109" t="s">
        <v>6</v>
      </c>
      <c r="D42" s="108" t="s">
        <v>11</v>
      </c>
      <c r="E42" s="108" t="s">
        <v>13</v>
      </c>
      <c r="F42" s="108" t="s">
        <v>48</v>
      </c>
      <c r="G42" s="108" t="s">
        <v>21</v>
      </c>
      <c r="H42" s="126">
        <f>SUM(H43:H44)</f>
        <v>0</v>
      </c>
      <c r="I42" s="108">
        <v>7030010010</v>
      </c>
      <c r="J42" s="108" t="str">
        <f t="shared" si="1"/>
        <v>7030010010</v>
      </c>
      <c r="K42" s="132"/>
      <c r="L42" s="17"/>
      <c r="M42" s="20">
        <v>83.11</v>
      </c>
      <c r="N42" s="20">
        <v>83.11</v>
      </c>
      <c r="O42" s="20">
        <v>83.11</v>
      </c>
      <c r="P42" s="20">
        <f>H42-M42</f>
        <v>-83.11</v>
      </c>
      <c r="Q42" s="20" t="e">
        <f>#REF!-N42</f>
        <v>#REF!</v>
      </c>
      <c r="R42" s="20" t="e">
        <f>#REF!-O42</f>
        <v>#REF!</v>
      </c>
      <c r="S42" s="17" t="str">
        <f t="shared" si="2"/>
        <v>70 3 00 10010120</v>
      </c>
    </row>
    <row r="43" spans="1:19" s="16" customFormat="1" ht="47.25">
      <c r="A43" s="14"/>
      <c r="B43" s="127" t="s">
        <v>22</v>
      </c>
      <c r="C43" s="109" t="s">
        <v>6</v>
      </c>
      <c r="D43" s="108" t="s">
        <v>11</v>
      </c>
      <c r="E43" s="108" t="s">
        <v>13</v>
      </c>
      <c r="F43" s="108" t="s">
        <v>48</v>
      </c>
      <c r="G43" s="108" t="s">
        <v>23</v>
      </c>
      <c r="H43" s="126"/>
      <c r="I43" s="108">
        <v>7030010010</v>
      </c>
      <c r="J43" s="108" t="str">
        <f t="shared" si="1"/>
        <v>7030010010</v>
      </c>
      <c r="K43" s="304" t="str">
        <f t="shared" ref="K43:K44" si="8">C43&amp;D43&amp;E43&amp;J43&amp;G43</f>
        <v>60001037030010010122</v>
      </c>
      <c r="L43" s="17"/>
      <c r="M43" s="20"/>
      <c r="N43" s="20"/>
      <c r="O43" s="20"/>
      <c r="P43" s="20"/>
      <c r="Q43" s="20"/>
      <c r="R43" s="20"/>
      <c r="S43" s="17"/>
    </row>
    <row r="44" spans="1:19" s="16" customFormat="1" ht="63">
      <c r="A44" s="14"/>
      <c r="B44" s="127" t="s">
        <v>26</v>
      </c>
      <c r="C44" s="109" t="s">
        <v>6</v>
      </c>
      <c r="D44" s="108" t="s">
        <v>11</v>
      </c>
      <c r="E44" s="108" t="s">
        <v>13</v>
      </c>
      <c r="F44" s="108" t="s">
        <v>48</v>
      </c>
      <c r="G44" s="108" t="s">
        <v>27</v>
      </c>
      <c r="H44" s="126"/>
      <c r="I44" s="108">
        <v>7030010010</v>
      </c>
      <c r="J44" s="108" t="str">
        <f t="shared" si="1"/>
        <v>7030010010</v>
      </c>
      <c r="K44" s="304" t="str">
        <f t="shared" si="8"/>
        <v>60001037030010010129</v>
      </c>
      <c r="L44" s="17"/>
      <c r="M44" s="20"/>
      <c r="N44" s="20"/>
      <c r="O44" s="20"/>
      <c r="P44" s="20"/>
      <c r="Q44" s="20"/>
      <c r="R44" s="20"/>
      <c r="S44" s="17"/>
    </row>
    <row r="45" spans="1:19" s="16" customFormat="1" ht="31.5">
      <c r="A45" s="14"/>
      <c r="B45" s="127" t="s">
        <v>38</v>
      </c>
      <c r="C45" s="109" t="s">
        <v>6</v>
      </c>
      <c r="D45" s="108" t="s">
        <v>11</v>
      </c>
      <c r="E45" s="108" t="s">
        <v>13</v>
      </c>
      <c r="F45" s="108" t="s">
        <v>49</v>
      </c>
      <c r="G45" s="108" t="s">
        <v>9</v>
      </c>
      <c r="H45" s="126">
        <f>H46</f>
        <v>0</v>
      </c>
      <c r="I45" s="108">
        <v>7030010020</v>
      </c>
      <c r="J45" s="108" t="str">
        <f t="shared" si="1"/>
        <v>7030010020</v>
      </c>
      <c r="K45" s="132"/>
      <c r="L45" s="17"/>
      <c r="M45" s="20">
        <v>2428.66</v>
      </c>
      <c r="N45" s="20">
        <v>2428.66</v>
      </c>
      <c r="O45" s="20">
        <v>2428.66</v>
      </c>
      <c r="P45" s="20">
        <f>H45-M45</f>
        <v>-2428.66</v>
      </c>
      <c r="Q45" s="20" t="e">
        <f>#REF!-N45</f>
        <v>#REF!</v>
      </c>
      <c r="R45" s="20" t="e">
        <f>#REF!-O45</f>
        <v>#REF!</v>
      </c>
      <c r="S45" s="17" t="str">
        <f t="shared" si="2"/>
        <v>70 3 00 10020000</v>
      </c>
    </row>
    <row r="46" spans="1:19" s="16" customFormat="1" ht="31.5">
      <c r="A46" s="14"/>
      <c r="B46" s="127" t="s">
        <v>20</v>
      </c>
      <c r="C46" s="109" t="s">
        <v>6</v>
      </c>
      <c r="D46" s="108" t="s">
        <v>11</v>
      </c>
      <c r="E46" s="108" t="s">
        <v>13</v>
      </c>
      <c r="F46" s="108" t="s">
        <v>49</v>
      </c>
      <c r="G46" s="108" t="s">
        <v>21</v>
      </c>
      <c r="H46" s="126">
        <f>SUM(H47:H48)</f>
        <v>0</v>
      </c>
      <c r="I46" s="108">
        <v>7030010020</v>
      </c>
      <c r="J46" s="108" t="str">
        <f t="shared" si="1"/>
        <v>7030010020</v>
      </c>
      <c r="K46" s="132"/>
      <c r="L46" s="17"/>
      <c r="M46" s="20">
        <v>2428.66</v>
      </c>
      <c r="N46" s="20">
        <v>2428.66</v>
      </c>
      <c r="O46" s="20">
        <v>2428.66</v>
      </c>
      <c r="P46" s="20">
        <f>H46-M46</f>
        <v>-2428.66</v>
      </c>
      <c r="Q46" s="20" t="e">
        <f>#REF!-N46</f>
        <v>#REF!</v>
      </c>
      <c r="R46" s="20" t="e">
        <f>#REF!-O46</f>
        <v>#REF!</v>
      </c>
      <c r="S46" s="17" t="str">
        <f t="shared" si="2"/>
        <v>70 3 00 10020120</v>
      </c>
    </row>
    <row r="47" spans="1:19" s="16" customFormat="1" ht="31.5">
      <c r="A47" s="14"/>
      <c r="B47" s="127" t="s">
        <v>40</v>
      </c>
      <c r="C47" s="109" t="s">
        <v>6</v>
      </c>
      <c r="D47" s="108" t="s">
        <v>11</v>
      </c>
      <c r="E47" s="108" t="s">
        <v>13</v>
      </c>
      <c r="F47" s="108" t="s">
        <v>49</v>
      </c>
      <c r="G47" s="108" t="s">
        <v>41</v>
      </c>
      <c r="H47" s="126"/>
      <c r="I47" s="108">
        <v>7030010020</v>
      </c>
      <c r="J47" s="108" t="str">
        <f t="shared" si="1"/>
        <v>7030010020</v>
      </c>
      <c r="K47" s="304" t="str">
        <f t="shared" ref="K47:K48" si="9">C47&amp;D47&amp;E47&amp;J47&amp;G47</f>
        <v>60001037030010020121</v>
      </c>
      <c r="L47" s="17"/>
      <c r="M47" s="20"/>
      <c r="N47" s="20"/>
      <c r="O47" s="20"/>
      <c r="P47" s="20"/>
      <c r="Q47" s="20"/>
      <c r="R47" s="20"/>
      <c r="S47" s="17"/>
    </row>
    <row r="48" spans="1:19" s="16" customFormat="1" ht="63">
      <c r="A48" s="14"/>
      <c r="B48" s="127" t="s">
        <v>26</v>
      </c>
      <c r="C48" s="109" t="s">
        <v>6</v>
      </c>
      <c r="D48" s="108" t="s">
        <v>11</v>
      </c>
      <c r="E48" s="108" t="s">
        <v>13</v>
      </c>
      <c r="F48" s="108" t="s">
        <v>49</v>
      </c>
      <c r="G48" s="108" t="s">
        <v>27</v>
      </c>
      <c r="H48" s="126"/>
      <c r="I48" s="108">
        <v>7030010020</v>
      </c>
      <c r="J48" s="108" t="str">
        <f t="shared" si="1"/>
        <v>7030010020</v>
      </c>
      <c r="K48" s="304" t="str">
        <f t="shared" si="9"/>
        <v>60001037030010020129</v>
      </c>
      <c r="L48" s="17"/>
      <c r="M48" s="20"/>
      <c r="N48" s="20"/>
      <c r="O48" s="20"/>
      <c r="P48" s="20"/>
      <c r="Q48" s="20"/>
      <c r="R48" s="20"/>
      <c r="S48" s="17"/>
    </row>
    <row r="49" spans="1:19" s="16" customFormat="1" ht="15.75">
      <c r="A49" s="14"/>
      <c r="B49" s="121" t="s">
        <v>50</v>
      </c>
      <c r="C49" s="122" t="s">
        <v>6</v>
      </c>
      <c r="D49" s="123" t="s">
        <v>11</v>
      </c>
      <c r="E49" s="123" t="s">
        <v>51</v>
      </c>
      <c r="F49" s="123" t="s">
        <v>8</v>
      </c>
      <c r="G49" s="123" t="s">
        <v>9</v>
      </c>
      <c r="H49" s="124">
        <f t="shared" ref="H49" si="10">H50</f>
        <v>0</v>
      </c>
      <c r="I49" s="123">
        <v>0</v>
      </c>
      <c r="J49" s="123" t="str">
        <f t="shared" si="1"/>
        <v>0000000000</v>
      </c>
      <c r="K49" s="132"/>
      <c r="L49" s="17"/>
      <c r="M49" s="19">
        <v>500</v>
      </c>
      <c r="N49" s="19">
        <v>500</v>
      </c>
      <c r="O49" s="19">
        <v>500</v>
      </c>
      <c r="P49" s="19">
        <f>H49-M49</f>
        <v>-500</v>
      </c>
      <c r="Q49" s="19" t="e">
        <f>#REF!-N49</f>
        <v>#REF!</v>
      </c>
      <c r="R49" s="19" t="e">
        <f>#REF!-O49</f>
        <v>#REF!</v>
      </c>
      <c r="S49" s="17" t="str">
        <f t="shared" si="2"/>
        <v>00 0 00 00000000</v>
      </c>
    </row>
    <row r="50" spans="1:19" s="16" customFormat="1" ht="31.5">
      <c r="A50" s="14"/>
      <c r="B50" s="125" t="s">
        <v>14</v>
      </c>
      <c r="C50" s="109" t="s">
        <v>6</v>
      </c>
      <c r="D50" s="108" t="s">
        <v>11</v>
      </c>
      <c r="E50" s="108" t="s">
        <v>51</v>
      </c>
      <c r="F50" s="108" t="s">
        <v>15</v>
      </c>
      <c r="G50" s="108" t="s">
        <v>9</v>
      </c>
      <c r="H50" s="126">
        <f>H51</f>
        <v>0</v>
      </c>
      <c r="I50" s="108">
        <v>7000000000</v>
      </c>
      <c r="J50" s="108" t="str">
        <f t="shared" si="1"/>
        <v>7000000000</v>
      </c>
      <c r="K50" s="132"/>
      <c r="L50" s="17"/>
      <c r="M50" s="20">
        <v>500</v>
      </c>
      <c r="N50" s="20">
        <v>500</v>
      </c>
      <c r="O50" s="20">
        <v>500</v>
      </c>
      <c r="P50" s="20">
        <f>H50-M50</f>
        <v>-500</v>
      </c>
      <c r="Q50" s="20" t="e">
        <f>#REF!-N50</f>
        <v>#REF!</v>
      </c>
      <c r="R50" s="20" t="e">
        <f>#REF!-O50</f>
        <v>#REF!</v>
      </c>
      <c r="S50" s="17" t="str">
        <f t="shared" si="2"/>
        <v>70 0 00 00000000</v>
      </c>
    </row>
    <row r="51" spans="1:19" s="16" customFormat="1" ht="15.75">
      <c r="A51" s="14"/>
      <c r="B51" s="125" t="s">
        <v>52</v>
      </c>
      <c r="C51" s="109" t="s">
        <v>6</v>
      </c>
      <c r="D51" s="108" t="s">
        <v>11</v>
      </c>
      <c r="E51" s="108" t="s">
        <v>51</v>
      </c>
      <c r="F51" s="108" t="s">
        <v>53</v>
      </c>
      <c r="G51" s="108" t="s">
        <v>9</v>
      </c>
      <c r="H51" s="126">
        <f>H52</f>
        <v>0</v>
      </c>
      <c r="I51" s="108">
        <v>7040000000</v>
      </c>
      <c r="J51" s="108" t="str">
        <f t="shared" si="1"/>
        <v>7040000000</v>
      </c>
      <c r="K51" s="132"/>
      <c r="L51" s="17"/>
      <c r="M51" s="20">
        <v>500</v>
      </c>
      <c r="N51" s="20">
        <v>500</v>
      </c>
      <c r="O51" s="20">
        <v>500</v>
      </c>
      <c r="P51" s="20">
        <f>H51-M51</f>
        <v>-500</v>
      </c>
      <c r="Q51" s="20" t="e">
        <f>#REF!-N51</f>
        <v>#REF!</v>
      </c>
      <c r="R51" s="20" t="e">
        <f>#REF!-O51</f>
        <v>#REF!</v>
      </c>
      <c r="S51" s="17" t="str">
        <f t="shared" si="2"/>
        <v>70 4 00 00000000</v>
      </c>
    </row>
    <row r="52" spans="1:19" s="16" customFormat="1" ht="94.5">
      <c r="A52" s="14"/>
      <c r="B52" s="129" t="s">
        <v>54</v>
      </c>
      <c r="C52" s="109" t="s">
        <v>6</v>
      </c>
      <c r="D52" s="108" t="s">
        <v>11</v>
      </c>
      <c r="E52" s="108" t="s">
        <v>51</v>
      </c>
      <c r="F52" s="108" t="s">
        <v>55</v>
      </c>
      <c r="G52" s="108" t="s">
        <v>9</v>
      </c>
      <c r="H52" s="126">
        <f t="shared" ref="H52" si="11">H53</f>
        <v>0</v>
      </c>
      <c r="I52" s="108">
        <v>7040020090</v>
      </c>
      <c r="J52" s="108" t="str">
        <f t="shared" si="1"/>
        <v>7040020090</v>
      </c>
      <c r="K52" s="132"/>
      <c r="L52" s="17"/>
      <c r="M52" s="20">
        <v>500</v>
      </c>
      <c r="N52" s="20">
        <v>500</v>
      </c>
      <c r="O52" s="20">
        <v>500</v>
      </c>
      <c r="P52" s="20">
        <f>H52-M52</f>
        <v>-500</v>
      </c>
      <c r="Q52" s="20" t="e">
        <f>#REF!-N52</f>
        <v>#REF!</v>
      </c>
      <c r="R52" s="20" t="e">
        <f>#REF!-O52</f>
        <v>#REF!</v>
      </c>
      <c r="S52" s="17" t="str">
        <f t="shared" si="2"/>
        <v>70 4 00 20090000</v>
      </c>
    </row>
    <row r="53" spans="1:19" s="16" customFormat="1" ht="31.5">
      <c r="A53" s="14"/>
      <c r="B53" s="125" t="s">
        <v>28</v>
      </c>
      <c r="C53" s="109" t="s">
        <v>6</v>
      </c>
      <c r="D53" s="108" t="s">
        <v>11</v>
      </c>
      <c r="E53" s="108" t="s">
        <v>51</v>
      </c>
      <c r="F53" s="108" t="s">
        <v>55</v>
      </c>
      <c r="G53" s="108" t="s">
        <v>29</v>
      </c>
      <c r="H53" s="126">
        <f>H54</f>
        <v>0</v>
      </c>
      <c r="I53" s="108">
        <v>7040020090</v>
      </c>
      <c r="J53" s="108" t="str">
        <f t="shared" si="1"/>
        <v>7040020090</v>
      </c>
      <c r="K53" s="132"/>
      <c r="L53" s="17"/>
      <c r="M53" s="20">
        <v>500</v>
      </c>
      <c r="N53" s="20">
        <v>500</v>
      </c>
      <c r="O53" s="20">
        <v>500</v>
      </c>
      <c r="P53" s="20">
        <f>H53-M53</f>
        <v>-500</v>
      </c>
      <c r="Q53" s="20" t="e">
        <f>#REF!-N53</f>
        <v>#REF!</v>
      </c>
      <c r="R53" s="20" t="e">
        <f>#REF!-O53</f>
        <v>#REF!</v>
      </c>
      <c r="S53" s="17" t="str">
        <f t="shared" si="2"/>
        <v>70 4 00 20090240</v>
      </c>
    </row>
    <row r="54" spans="1:19" s="16" customFormat="1" ht="15.75">
      <c r="A54" s="14"/>
      <c r="B54" s="125" t="s">
        <v>30</v>
      </c>
      <c r="C54" s="109" t="s">
        <v>6</v>
      </c>
      <c r="D54" s="108" t="s">
        <v>11</v>
      </c>
      <c r="E54" s="108" t="s">
        <v>51</v>
      </c>
      <c r="F54" s="108" t="s">
        <v>55</v>
      </c>
      <c r="G54" s="108" t="s">
        <v>31</v>
      </c>
      <c r="H54" s="126"/>
      <c r="I54" s="108">
        <v>7040020090</v>
      </c>
      <c r="J54" s="108" t="str">
        <f t="shared" si="1"/>
        <v>7040020090</v>
      </c>
      <c r="K54" s="304" t="str">
        <f>C54&amp;D54&amp;E54&amp;J54&amp;G54</f>
        <v>60001137040020090244</v>
      </c>
      <c r="L54" s="17"/>
      <c r="M54" s="20"/>
      <c r="N54" s="20"/>
      <c r="O54" s="20"/>
      <c r="P54" s="20"/>
      <c r="Q54" s="20"/>
      <c r="R54" s="20"/>
      <c r="S54" s="17" t="str">
        <f t="shared" si="2"/>
        <v>70 4 00 20090244</v>
      </c>
    </row>
    <row r="55" spans="1:19" s="6" customFormat="1" ht="15.75">
      <c r="A55" s="1"/>
      <c r="B55" s="117" t="s">
        <v>56</v>
      </c>
      <c r="C55" s="118" t="s">
        <v>6</v>
      </c>
      <c r="D55" s="119" t="s">
        <v>57</v>
      </c>
      <c r="E55" s="119" t="s">
        <v>7</v>
      </c>
      <c r="F55" s="119" t="s">
        <v>8</v>
      </c>
      <c r="G55" s="119" t="s">
        <v>9</v>
      </c>
      <c r="H55" s="120">
        <f>H62+H56</f>
        <v>0</v>
      </c>
      <c r="I55" s="119">
        <v>0</v>
      </c>
      <c r="J55" s="119" t="str">
        <f t="shared" si="1"/>
        <v>0000000000</v>
      </c>
      <c r="K55" s="132"/>
      <c r="L55" s="17"/>
      <c r="M55" s="18">
        <v>7090.5</v>
      </c>
      <c r="N55" s="18">
        <v>7090.5</v>
      </c>
      <c r="O55" s="18">
        <v>7090.5</v>
      </c>
      <c r="P55" s="18">
        <f t="shared" ref="P55:P60" si="12">H55-M55</f>
        <v>-7090.5</v>
      </c>
      <c r="Q55" s="18" t="e">
        <f>#REF!-N55</f>
        <v>#REF!</v>
      </c>
      <c r="R55" s="18" t="e">
        <f>#REF!-O55</f>
        <v>#REF!</v>
      </c>
      <c r="S55" s="17" t="str">
        <f t="shared" si="2"/>
        <v>00 0 00 00000000</v>
      </c>
    </row>
    <row r="56" spans="1:19" s="6" customFormat="1" ht="15.75">
      <c r="A56" s="1"/>
      <c r="B56" s="121" t="s">
        <v>58</v>
      </c>
      <c r="C56" s="122" t="s">
        <v>6</v>
      </c>
      <c r="D56" s="123" t="s">
        <v>57</v>
      </c>
      <c r="E56" s="123" t="s">
        <v>11</v>
      </c>
      <c r="F56" s="123" t="s">
        <v>8</v>
      </c>
      <c r="G56" s="123" t="s">
        <v>9</v>
      </c>
      <c r="H56" s="124">
        <f>H57</f>
        <v>0</v>
      </c>
      <c r="I56" s="123">
        <v>0</v>
      </c>
      <c r="J56" s="123" t="str">
        <f t="shared" si="1"/>
        <v>0000000000</v>
      </c>
      <c r="K56" s="132"/>
      <c r="L56" s="17"/>
      <c r="M56" s="19">
        <v>5090.5</v>
      </c>
      <c r="N56" s="19">
        <v>5090.5</v>
      </c>
      <c r="O56" s="19">
        <v>5090.5</v>
      </c>
      <c r="P56" s="19">
        <f t="shared" si="12"/>
        <v>-5090.5</v>
      </c>
      <c r="Q56" s="19" t="e">
        <f>#REF!-N56</f>
        <v>#REF!</v>
      </c>
      <c r="R56" s="19" t="e">
        <f>#REF!-O56</f>
        <v>#REF!</v>
      </c>
      <c r="S56" s="17" t="str">
        <f t="shared" si="2"/>
        <v>00 0 00 00000000</v>
      </c>
    </row>
    <row r="57" spans="1:19" s="16" customFormat="1" ht="31.5">
      <c r="A57" s="14"/>
      <c r="B57" s="125" t="s">
        <v>14</v>
      </c>
      <c r="C57" s="109" t="s">
        <v>6</v>
      </c>
      <c r="D57" s="108" t="s">
        <v>57</v>
      </c>
      <c r="E57" s="108" t="s">
        <v>11</v>
      </c>
      <c r="F57" s="108" t="s">
        <v>15</v>
      </c>
      <c r="G57" s="108" t="s">
        <v>9</v>
      </c>
      <c r="H57" s="126">
        <f>H58</f>
        <v>0</v>
      </c>
      <c r="I57" s="108">
        <v>7000000000</v>
      </c>
      <c r="J57" s="108" t="str">
        <f t="shared" si="1"/>
        <v>7000000000</v>
      </c>
      <c r="K57" s="132"/>
      <c r="L57" s="17"/>
      <c r="M57" s="20">
        <v>5090.5</v>
      </c>
      <c r="N57" s="20">
        <v>5090.5</v>
      </c>
      <c r="O57" s="20">
        <v>5090.5</v>
      </c>
      <c r="P57" s="20">
        <f t="shared" si="12"/>
        <v>-5090.5</v>
      </c>
      <c r="Q57" s="20" t="e">
        <f>#REF!-N57</f>
        <v>#REF!</v>
      </c>
      <c r="R57" s="20" t="e">
        <f>#REF!-O57</f>
        <v>#REF!</v>
      </c>
      <c r="S57" s="17" t="str">
        <f t="shared" si="2"/>
        <v>70 0 00 00000000</v>
      </c>
    </row>
    <row r="58" spans="1:19" s="16" customFormat="1" ht="15.75">
      <c r="A58" s="14"/>
      <c r="B58" s="125" t="s">
        <v>52</v>
      </c>
      <c r="C58" s="109" t="s">
        <v>6</v>
      </c>
      <c r="D58" s="108" t="s">
        <v>57</v>
      </c>
      <c r="E58" s="108" t="s">
        <v>11</v>
      </c>
      <c r="F58" s="108" t="s">
        <v>53</v>
      </c>
      <c r="G58" s="108" t="s">
        <v>9</v>
      </c>
      <c r="H58" s="126">
        <f t="shared" ref="H58:H59" si="13">H59</f>
        <v>0</v>
      </c>
      <c r="I58" s="108">
        <v>7040000000</v>
      </c>
      <c r="J58" s="108" t="str">
        <f t="shared" si="1"/>
        <v>7040000000</v>
      </c>
      <c r="K58" s="132"/>
      <c r="L58" s="17"/>
      <c r="M58" s="20">
        <v>5090.5</v>
      </c>
      <c r="N58" s="20">
        <v>5090.5</v>
      </c>
      <c r="O58" s="20">
        <v>5090.5</v>
      </c>
      <c r="P58" s="20">
        <f t="shared" si="12"/>
        <v>-5090.5</v>
      </c>
      <c r="Q58" s="20" t="e">
        <f>#REF!-N58</f>
        <v>#REF!</v>
      </c>
      <c r="R58" s="20" t="e">
        <f>#REF!-O58</f>
        <v>#REF!</v>
      </c>
      <c r="S58" s="17" t="str">
        <f t="shared" si="2"/>
        <v>70 4 00 00000000</v>
      </c>
    </row>
    <row r="59" spans="1:19" s="16" customFormat="1" ht="31.5">
      <c r="A59" s="14"/>
      <c r="B59" s="125" t="s">
        <v>59</v>
      </c>
      <c r="C59" s="109" t="s">
        <v>6</v>
      </c>
      <c r="D59" s="108" t="s">
        <v>57</v>
      </c>
      <c r="E59" s="108" t="s">
        <v>11</v>
      </c>
      <c r="F59" s="108" t="s">
        <v>60</v>
      </c>
      <c r="G59" s="108" t="s">
        <v>9</v>
      </c>
      <c r="H59" s="126">
        <f t="shared" si="13"/>
        <v>0</v>
      </c>
      <c r="I59" s="108">
        <v>7040098710</v>
      </c>
      <c r="J59" s="108" t="str">
        <f t="shared" si="1"/>
        <v>7040098710</v>
      </c>
      <c r="K59" s="132"/>
      <c r="L59" s="17"/>
      <c r="M59" s="20">
        <v>5090.5</v>
      </c>
      <c r="N59" s="20">
        <v>5090.5</v>
      </c>
      <c r="O59" s="20">
        <v>5090.5</v>
      </c>
      <c r="P59" s="20">
        <f t="shared" si="12"/>
        <v>-5090.5</v>
      </c>
      <c r="Q59" s="20" t="e">
        <f>#REF!-N59</f>
        <v>#REF!</v>
      </c>
      <c r="R59" s="20" t="e">
        <f>#REF!-O59</f>
        <v>#REF!</v>
      </c>
      <c r="S59" s="17" t="str">
        <f t="shared" si="2"/>
        <v>70 4 00 98710000</v>
      </c>
    </row>
    <row r="60" spans="1:19" s="16" customFormat="1" ht="31.5">
      <c r="A60" s="14"/>
      <c r="B60" s="125" t="s">
        <v>28</v>
      </c>
      <c r="C60" s="109" t="s">
        <v>6</v>
      </c>
      <c r="D60" s="108" t="s">
        <v>57</v>
      </c>
      <c r="E60" s="108" t="s">
        <v>11</v>
      </c>
      <c r="F60" s="108" t="s">
        <v>60</v>
      </c>
      <c r="G60" s="108" t="s">
        <v>29</v>
      </c>
      <c r="H60" s="126">
        <f>H61</f>
        <v>0</v>
      </c>
      <c r="I60" s="108">
        <v>7040098710</v>
      </c>
      <c r="J60" s="108" t="str">
        <f t="shared" si="1"/>
        <v>7040098710</v>
      </c>
      <c r="K60" s="132"/>
      <c r="L60" s="17"/>
      <c r="M60" s="20">
        <v>5090.5</v>
      </c>
      <c r="N60" s="20">
        <v>5090.5</v>
      </c>
      <c r="O60" s="20">
        <v>5090.5</v>
      </c>
      <c r="P60" s="20">
        <f t="shared" si="12"/>
        <v>-5090.5</v>
      </c>
      <c r="Q60" s="20" t="e">
        <f>#REF!-N60</f>
        <v>#REF!</v>
      </c>
      <c r="R60" s="20" t="e">
        <f>#REF!-O60</f>
        <v>#REF!</v>
      </c>
      <c r="S60" s="17" t="str">
        <f t="shared" si="2"/>
        <v>70 4 00 98710240</v>
      </c>
    </row>
    <row r="61" spans="1:19" s="16" customFormat="1" ht="15.75">
      <c r="A61" s="14"/>
      <c r="B61" s="125" t="s">
        <v>30</v>
      </c>
      <c r="C61" s="109" t="s">
        <v>6</v>
      </c>
      <c r="D61" s="108" t="s">
        <v>57</v>
      </c>
      <c r="E61" s="108" t="s">
        <v>11</v>
      </c>
      <c r="F61" s="108" t="s">
        <v>60</v>
      </c>
      <c r="G61" s="108" t="s">
        <v>31</v>
      </c>
      <c r="H61" s="126"/>
      <c r="I61" s="108">
        <v>7040098710</v>
      </c>
      <c r="J61" s="108" t="str">
        <f t="shared" si="1"/>
        <v>7040098710</v>
      </c>
      <c r="K61" s="304" t="str">
        <f>C61&amp;D61&amp;E61&amp;J61&amp;G61</f>
        <v>60012017040098710244</v>
      </c>
      <c r="L61" s="17"/>
      <c r="M61" s="20"/>
      <c r="N61" s="20"/>
      <c r="O61" s="20"/>
      <c r="P61" s="20"/>
      <c r="Q61" s="20"/>
      <c r="R61" s="20"/>
      <c r="S61" s="17" t="str">
        <f t="shared" si="2"/>
        <v>70 4 00 98710244</v>
      </c>
    </row>
    <row r="62" spans="1:19" s="16" customFormat="1" ht="15.75">
      <c r="A62" s="14"/>
      <c r="B62" s="121" t="s">
        <v>61</v>
      </c>
      <c r="C62" s="122" t="s">
        <v>6</v>
      </c>
      <c r="D62" s="123" t="s">
        <v>57</v>
      </c>
      <c r="E62" s="123" t="s">
        <v>62</v>
      </c>
      <c r="F62" s="123" t="s">
        <v>8</v>
      </c>
      <c r="G62" s="123" t="s">
        <v>9</v>
      </c>
      <c r="H62" s="124">
        <f t="shared" ref="H62" si="14">H63</f>
        <v>0</v>
      </c>
      <c r="I62" s="123">
        <v>0</v>
      </c>
      <c r="J62" s="123" t="str">
        <f t="shared" si="1"/>
        <v>0000000000</v>
      </c>
      <c r="K62" s="132"/>
      <c r="L62" s="17"/>
      <c r="M62" s="19">
        <v>2000</v>
      </c>
      <c r="N62" s="19">
        <v>2000</v>
      </c>
      <c r="O62" s="19">
        <v>2000</v>
      </c>
      <c r="P62" s="19">
        <f>H62-M62</f>
        <v>-2000</v>
      </c>
      <c r="Q62" s="19" t="e">
        <f>#REF!-N62</f>
        <v>#REF!</v>
      </c>
      <c r="R62" s="19" t="e">
        <f>#REF!-O62</f>
        <v>#REF!</v>
      </c>
      <c r="S62" s="17" t="str">
        <f t="shared" si="2"/>
        <v>00 0 00 00000000</v>
      </c>
    </row>
    <row r="63" spans="1:19" s="16" customFormat="1" ht="31.5">
      <c r="A63" s="14"/>
      <c r="B63" s="125" t="s">
        <v>14</v>
      </c>
      <c r="C63" s="109" t="s">
        <v>6</v>
      </c>
      <c r="D63" s="108" t="s">
        <v>57</v>
      </c>
      <c r="E63" s="108" t="s">
        <v>62</v>
      </c>
      <c r="F63" s="108" t="s">
        <v>15</v>
      </c>
      <c r="G63" s="108" t="s">
        <v>9</v>
      </c>
      <c r="H63" s="126">
        <f>H64</f>
        <v>0</v>
      </c>
      <c r="I63" s="108">
        <v>7000000000</v>
      </c>
      <c r="J63" s="108" t="str">
        <f t="shared" si="1"/>
        <v>7000000000</v>
      </c>
      <c r="K63" s="132"/>
      <c r="L63" s="17"/>
      <c r="M63" s="20">
        <v>2000</v>
      </c>
      <c r="N63" s="20">
        <v>2000</v>
      </c>
      <c r="O63" s="20">
        <v>2000</v>
      </c>
      <c r="P63" s="20">
        <f>H63-M63</f>
        <v>-2000</v>
      </c>
      <c r="Q63" s="20" t="e">
        <f>#REF!-N63</f>
        <v>#REF!</v>
      </c>
      <c r="R63" s="20" t="e">
        <f>#REF!-O63</f>
        <v>#REF!</v>
      </c>
      <c r="S63" s="17" t="str">
        <f t="shared" si="2"/>
        <v>70 0 00 00000000</v>
      </c>
    </row>
    <row r="64" spans="1:19" s="16" customFormat="1" ht="15.75">
      <c r="A64" s="14"/>
      <c r="B64" s="125" t="s">
        <v>52</v>
      </c>
      <c r="C64" s="109" t="s">
        <v>6</v>
      </c>
      <c r="D64" s="108" t="s">
        <v>57</v>
      </c>
      <c r="E64" s="108" t="s">
        <v>62</v>
      </c>
      <c r="F64" s="108" t="s">
        <v>53</v>
      </c>
      <c r="G64" s="108" t="s">
        <v>9</v>
      </c>
      <c r="H64" s="126">
        <f>H65</f>
        <v>0</v>
      </c>
      <c r="I64" s="108">
        <v>7040000000</v>
      </c>
      <c r="J64" s="108" t="str">
        <f t="shared" si="1"/>
        <v>7040000000</v>
      </c>
      <c r="K64" s="132"/>
      <c r="L64" s="17"/>
      <c r="M64" s="20">
        <v>2000</v>
      </c>
      <c r="N64" s="20">
        <v>2000</v>
      </c>
      <c r="O64" s="20">
        <v>2000</v>
      </c>
      <c r="P64" s="20">
        <f>H64-M64</f>
        <v>-2000</v>
      </c>
      <c r="Q64" s="20" t="e">
        <f>#REF!-N64</f>
        <v>#REF!</v>
      </c>
      <c r="R64" s="20" t="e">
        <f>#REF!-O64</f>
        <v>#REF!</v>
      </c>
      <c r="S64" s="17" t="str">
        <f t="shared" si="2"/>
        <v>70 4 00 00000000</v>
      </c>
    </row>
    <row r="65" spans="1:19" s="16" customFormat="1" ht="31.5">
      <c r="A65" s="14"/>
      <c r="B65" s="125" t="s">
        <v>59</v>
      </c>
      <c r="C65" s="109" t="s">
        <v>6</v>
      </c>
      <c r="D65" s="108" t="s">
        <v>57</v>
      </c>
      <c r="E65" s="108" t="s">
        <v>62</v>
      </c>
      <c r="F65" s="108" t="s">
        <v>60</v>
      </c>
      <c r="G65" s="108" t="s">
        <v>9</v>
      </c>
      <c r="H65" s="126">
        <f>H66</f>
        <v>0</v>
      </c>
      <c r="I65" s="108">
        <v>7040098710</v>
      </c>
      <c r="J65" s="108" t="str">
        <f t="shared" si="1"/>
        <v>7040098710</v>
      </c>
      <c r="K65" s="132"/>
      <c r="L65" s="17"/>
      <c r="M65" s="20">
        <v>2000</v>
      </c>
      <c r="N65" s="20">
        <v>2000</v>
      </c>
      <c r="O65" s="20">
        <v>2000</v>
      </c>
      <c r="P65" s="20">
        <f>H65-M65</f>
        <v>-2000</v>
      </c>
      <c r="Q65" s="20" t="e">
        <f>#REF!-N65</f>
        <v>#REF!</v>
      </c>
      <c r="R65" s="20" t="e">
        <f>#REF!-O65</f>
        <v>#REF!</v>
      </c>
      <c r="S65" s="17" t="str">
        <f t="shared" si="2"/>
        <v>70 4 00 98710000</v>
      </c>
    </row>
    <row r="66" spans="1:19" s="16" customFormat="1" ht="31.5">
      <c r="A66" s="14"/>
      <c r="B66" s="125" t="s">
        <v>28</v>
      </c>
      <c r="C66" s="109" t="s">
        <v>6</v>
      </c>
      <c r="D66" s="108" t="s">
        <v>57</v>
      </c>
      <c r="E66" s="108" t="s">
        <v>62</v>
      </c>
      <c r="F66" s="108" t="s">
        <v>60</v>
      </c>
      <c r="G66" s="108" t="s">
        <v>29</v>
      </c>
      <c r="H66" s="126">
        <f>H67</f>
        <v>0</v>
      </c>
      <c r="I66" s="108">
        <v>7040098710</v>
      </c>
      <c r="J66" s="108" t="str">
        <f t="shared" si="1"/>
        <v>7040098710</v>
      </c>
      <c r="K66" s="132"/>
      <c r="L66" s="17"/>
      <c r="M66" s="20">
        <v>2000</v>
      </c>
      <c r="N66" s="20">
        <v>2000</v>
      </c>
      <c r="O66" s="20">
        <v>2000</v>
      </c>
      <c r="P66" s="20">
        <f>H66-M66</f>
        <v>-2000</v>
      </c>
      <c r="Q66" s="20" t="e">
        <f>#REF!-N66</f>
        <v>#REF!</v>
      </c>
      <c r="R66" s="20" t="e">
        <f>#REF!-O66</f>
        <v>#REF!</v>
      </c>
      <c r="S66" s="17" t="str">
        <f t="shared" si="2"/>
        <v>70 4 00 98710240</v>
      </c>
    </row>
    <row r="67" spans="1:19" s="16" customFormat="1" ht="15.75">
      <c r="A67" s="14"/>
      <c r="B67" s="125" t="s">
        <v>30</v>
      </c>
      <c r="C67" s="109" t="s">
        <v>6</v>
      </c>
      <c r="D67" s="108" t="s">
        <v>57</v>
      </c>
      <c r="E67" s="108" t="s">
        <v>62</v>
      </c>
      <c r="F67" s="108" t="s">
        <v>60</v>
      </c>
      <c r="G67" s="108" t="s">
        <v>31</v>
      </c>
      <c r="H67" s="126"/>
      <c r="I67" s="108">
        <v>7040098710</v>
      </c>
      <c r="J67" s="108" t="str">
        <f t="shared" si="1"/>
        <v>7040098710</v>
      </c>
      <c r="K67" s="304" t="str">
        <f>C67&amp;D67&amp;E67&amp;J67&amp;G67</f>
        <v>60012027040098710244</v>
      </c>
      <c r="L67" s="17"/>
      <c r="M67" s="20"/>
      <c r="N67" s="20"/>
      <c r="O67" s="20"/>
      <c r="P67" s="20"/>
      <c r="Q67" s="20"/>
      <c r="R67" s="20"/>
      <c r="S67" s="17" t="str">
        <f t="shared" si="2"/>
        <v>70 4 00 98710244</v>
      </c>
    </row>
    <row r="68" spans="1:19" s="16" customFormat="1" ht="15.75">
      <c r="A68" s="14"/>
      <c r="B68" s="125"/>
      <c r="C68" s="109"/>
      <c r="D68" s="108"/>
      <c r="E68" s="108"/>
      <c r="F68" s="108"/>
      <c r="G68" s="108"/>
      <c r="H68" s="126"/>
      <c r="I68" s="108"/>
      <c r="J68" s="108" t="str">
        <f t="shared" si="1"/>
        <v>0000000000</v>
      </c>
      <c r="K68" s="17"/>
      <c r="L68" s="17"/>
      <c r="M68" s="20"/>
      <c r="N68" s="20"/>
      <c r="O68" s="20"/>
      <c r="P68" s="20">
        <f t="shared" ref="P68:P75" si="15">H68-M68</f>
        <v>0</v>
      </c>
      <c r="Q68" s="20" t="e">
        <f>#REF!-N68</f>
        <v>#REF!</v>
      </c>
      <c r="R68" s="20" t="e">
        <f>#REF!-O68</f>
        <v>#REF!</v>
      </c>
      <c r="S68" s="17" t="str">
        <f t="shared" si="2"/>
        <v/>
      </c>
    </row>
    <row r="69" spans="1:19" s="16" customFormat="1" ht="15.75">
      <c r="A69" s="14"/>
      <c r="B69" s="67" t="s">
        <v>63</v>
      </c>
      <c r="C69" s="116" t="s">
        <v>64</v>
      </c>
      <c r="D69" s="69" t="s">
        <v>7</v>
      </c>
      <c r="E69" s="69" t="s">
        <v>7</v>
      </c>
      <c r="F69" s="69" t="s">
        <v>8</v>
      </c>
      <c r="G69" s="69" t="s">
        <v>9</v>
      </c>
      <c r="H69" s="70">
        <f>H70+H231+H259+H267+H275</f>
        <v>0</v>
      </c>
      <c r="I69" s="69">
        <v>0</v>
      </c>
      <c r="J69" s="69" t="str">
        <f t="shared" si="1"/>
        <v>0000000000</v>
      </c>
      <c r="K69" s="132"/>
      <c r="L69" s="17"/>
      <c r="M69" s="25">
        <v>289884.67</v>
      </c>
      <c r="N69" s="25">
        <v>273496.95</v>
      </c>
      <c r="O69" s="25">
        <v>273550.05</v>
      </c>
      <c r="P69" s="25">
        <f t="shared" si="15"/>
        <v>-289884.67</v>
      </c>
      <c r="Q69" s="25" t="e">
        <f>#REF!-N69</f>
        <v>#REF!</v>
      </c>
      <c r="R69" s="25" t="e">
        <f>#REF!-O69</f>
        <v>#REF!</v>
      </c>
      <c r="S69" s="17" t="str">
        <f t="shared" si="2"/>
        <v>00 0 00 00000000</v>
      </c>
    </row>
    <row r="70" spans="1:19" s="16" customFormat="1" ht="15.75">
      <c r="A70" s="14"/>
      <c r="B70" s="117" t="s">
        <v>10</v>
      </c>
      <c r="C70" s="118" t="s">
        <v>64</v>
      </c>
      <c r="D70" s="119" t="s">
        <v>11</v>
      </c>
      <c r="E70" s="119" t="s">
        <v>7</v>
      </c>
      <c r="F70" s="119" t="s">
        <v>8</v>
      </c>
      <c r="G70" s="119" t="s">
        <v>9</v>
      </c>
      <c r="H70" s="120">
        <f>H82+H107+H113+H71</f>
        <v>0</v>
      </c>
      <c r="I70" s="119">
        <v>0</v>
      </c>
      <c r="J70" s="119" t="str">
        <f t="shared" si="1"/>
        <v>0000000000</v>
      </c>
      <c r="K70" s="132"/>
      <c r="L70" s="17"/>
      <c r="M70" s="18">
        <v>255808.66999999998</v>
      </c>
      <c r="N70" s="18">
        <v>239420.95</v>
      </c>
      <c r="O70" s="18">
        <v>239474.05</v>
      </c>
      <c r="P70" s="18">
        <f t="shared" si="15"/>
        <v>-255808.66999999998</v>
      </c>
      <c r="Q70" s="18" t="e">
        <f>#REF!-N70</f>
        <v>#REF!</v>
      </c>
      <c r="R70" s="18" t="e">
        <f>#REF!-O70</f>
        <v>#REF!</v>
      </c>
      <c r="S70" s="17" t="str">
        <f t="shared" si="2"/>
        <v>00 0 00 00000000</v>
      </c>
    </row>
    <row r="71" spans="1:19" s="16" customFormat="1" ht="47.25">
      <c r="A71" s="14"/>
      <c r="B71" s="121" t="s">
        <v>65</v>
      </c>
      <c r="C71" s="122" t="s">
        <v>64</v>
      </c>
      <c r="D71" s="123" t="s">
        <v>11</v>
      </c>
      <c r="E71" s="123" t="s">
        <v>62</v>
      </c>
      <c r="F71" s="123" t="s">
        <v>8</v>
      </c>
      <c r="G71" s="123" t="s">
        <v>9</v>
      </c>
      <c r="H71" s="124">
        <f>H72</f>
        <v>0</v>
      </c>
      <c r="I71" s="123">
        <v>0</v>
      </c>
      <c r="J71" s="123" t="str">
        <f t="shared" si="1"/>
        <v>0000000000</v>
      </c>
      <c r="K71" s="132"/>
      <c r="L71" s="17"/>
      <c r="M71" s="19">
        <v>1593.55</v>
      </c>
      <c r="N71" s="19">
        <v>1593.55</v>
      </c>
      <c r="O71" s="19">
        <v>1593.55</v>
      </c>
      <c r="P71" s="19">
        <f t="shared" si="15"/>
        <v>-1593.55</v>
      </c>
      <c r="Q71" s="19" t="e">
        <f>#REF!-N71</f>
        <v>#REF!</v>
      </c>
      <c r="R71" s="19" t="e">
        <f>#REF!-O71</f>
        <v>#REF!</v>
      </c>
      <c r="S71" s="17" t="str">
        <f t="shared" si="2"/>
        <v>00 0 00 00000000</v>
      </c>
    </row>
    <row r="72" spans="1:19" s="16" customFormat="1" ht="31.5">
      <c r="A72" s="14"/>
      <c r="B72" s="129" t="s">
        <v>66</v>
      </c>
      <c r="C72" s="109" t="s">
        <v>64</v>
      </c>
      <c r="D72" s="108" t="s">
        <v>11</v>
      </c>
      <c r="E72" s="108" t="s">
        <v>62</v>
      </c>
      <c r="F72" s="108" t="s">
        <v>67</v>
      </c>
      <c r="G72" s="108" t="s">
        <v>9</v>
      </c>
      <c r="H72" s="126">
        <f>H73</f>
        <v>0</v>
      </c>
      <c r="I72" s="108">
        <v>7100000000</v>
      </c>
      <c r="J72" s="108" t="str">
        <f t="shared" si="1"/>
        <v>7100000000</v>
      </c>
      <c r="K72" s="132"/>
      <c r="L72" s="17"/>
      <c r="M72" s="20">
        <v>1593.55</v>
      </c>
      <c r="N72" s="20">
        <v>1593.55</v>
      </c>
      <c r="O72" s="20">
        <v>1593.55</v>
      </c>
      <c r="P72" s="20">
        <f t="shared" si="15"/>
        <v>-1593.55</v>
      </c>
      <c r="Q72" s="20" t="e">
        <f>#REF!-N72</f>
        <v>#REF!</v>
      </c>
      <c r="R72" s="20" t="e">
        <f>#REF!-O72</f>
        <v>#REF!</v>
      </c>
      <c r="S72" s="17" t="str">
        <f t="shared" si="2"/>
        <v>71 0 00 00000000</v>
      </c>
    </row>
    <row r="73" spans="1:19" s="16" customFormat="1" ht="15.75">
      <c r="A73" s="14"/>
      <c r="B73" s="125" t="s">
        <v>68</v>
      </c>
      <c r="C73" s="109" t="s">
        <v>64</v>
      </c>
      <c r="D73" s="108" t="s">
        <v>11</v>
      </c>
      <c r="E73" s="108" t="s">
        <v>62</v>
      </c>
      <c r="F73" s="108" t="s">
        <v>69</v>
      </c>
      <c r="G73" s="108" t="s">
        <v>9</v>
      </c>
      <c r="H73" s="126">
        <f>H74+H78</f>
        <v>0</v>
      </c>
      <c r="I73" s="108">
        <v>7120000000</v>
      </c>
      <c r="J73" s="108" t="str">
        <f t="shared" si="1"/>
        <v>7120000000</v>
      </c>
      <c r="K73" s="132"/>
      <c r="L73" s="17"/>
      <c r="M73" s="20">
        <v>1593.55</v>
      </c>
      <c r="N73" s="20">
        <v>1593.55</v>
      </c>
      <c r="O73" s="20">
        <v>1593.55</v>
      </c>
      <c r="P73" s="20">
        <f t="shared" si="15"/>
        <v>-1593.55</v>
      </c>
      <c r="Q73" s="20" t="e">
        <f>#REF!-N73</f>
        <v>#REF!</v>
      </c>
      <c r="R73" s="20" t="e">
        <f>#REF!-O73</f>
        <v>#REF!</v>
      </c>
      <c r="S73" s="17" t="str">
        <f t="shared" si="2"/>
        <v>71 2 00 00000000</v>
      </c>
    </row>
    <row r="74" spans="1:19" s="16" customFormat="1" ht="31.5">
      <c r="A74" s="14"/>
      <c r="B74" s="125" t="s">
        <v>18</v>
      </c>
      <c r="C74" s="109" t="s">
        <v>64</v>
      </c>
      <c r="D74" s="108" t="s">
        <v>11</v>
      </c>
      <c r="E74" s="108" t="s">
        <v>62</v>
      </c>
      <c r="F74" s="108" t="s">
        <v>70</v>
      </c>
      <c r="G74" s="108" t="s">
        <v>9</v>
      </c>
      <c r="H74" s="126">
        <f>H75</f>
        <v>0</v>
      </c>
      <c r="I74" s="108">
        <v>7120010010</v>
      </c>
      <c r="J74" s="108" t="str">
        <f t="shared" si="1"/>
        <v>7120010010</v>
      </c>
      <c r="K74" s="132"/>
      <c r="L74" s="17"/>
      <c r="M74" s="20">
        <v>41.55</v>
      </c>
      <c r="N74" s="20">
        <v>41.55</v>
      </c>
      <c r="O74" s="20">
        <v>41.55</v>
      </c>
      <c r="P74" s="20">
        <f t="shared" si="15"/>
        <v>-41.55</v>
      </c>
      <c r="Q74" s="20" t="e">
        <f>#REF!-N74</f>
        <v>#REF!</v>
      </c>
      <c r="R74" s="20" t="e">
        <f>#REF!-O74</f>
        <v>#REF!</v>
      </c>
      <c r="S74" s="17" t="str">
        <f t="shared" si="2"/>
        <v>71 2 00 10010000</v>
      </c>
    </row>
    <row r="75" spans="1:19" s="16" customFormat="1" ht="31.5">
      <c r="A75" s="14"/>
      <c r="B75" s="127" t="s">
        <v>20</v>
      </c>
      <c r="C75" s="109" t="s">
        <v>64</v>
      </c>
      <c r="D75" s="108" t="s">
        <v>11</v>
      </c>
      <c r="E75" s="108" t="s">
        <v>62</v>
      </c>
      <c r="F75" s="108" t="s">
        <v>70</v>
      </c>
      <c r="G75" s="108" t="s">
        <v>21</v>
      </c>
      <c r="H75" s="126">
        <f>SUM(H76:H77)</f>
        <v>0</v>
      </c>
      <c r="I75" s="108">
        <v>7120010010</v>
      </c>
      <c r="J75" s="108" t="str">
        <f t="shared" si="1"/>
        <v>7120010010</v>
      </c>
      <c r="K75" s="132"/>
      <c r="L75" s="17"/>
      <c r="M75" s="20">
        <v>41.55</v>
      </c>
      <c r="N75" s="20">
        <v>41.55</v>
      </c>
      <c r="O75" s="20">
        <v>41.55</v>
      </c>
      <c r="P75" s="20">
        <f t="shared" si="15"/>
        <v>-41.55</v>
      </c>
      <c r="Q75" s="20" t="e">
        <f>#REF!-N75</f>
        <v>#REF!</v>
      </c>
      <c r="R75" s="20" t="e">
        <f>#REF!-O75</f>
        <v>#REF!</v>
      </c>
      <c r="S75" s="17" t="str">
        <f t="shared" si="2"/>
        <v>71 2 00 10010120</v>
      </c>
    </row>
    <row r="76" spans="1:19" s="23" customFormat="1" ht="47.25">
      <c r="A76" s="21"/>
      <c r="B76" s="127" t="s">
        <v>22</v>
      </c>
      <c r="C76" s="109" t="s">
        <v>64</v>
      </c>
      <c r="D76" s="108" t="s">
        <v>11</v>
      </c>
      <c r="E76" s="108" t="s">
        <v>62</v>
      </c>
      <c r="F76" s="108" t="s">
        <v>70</v>
      </c>
      <c r="G76" s="108" t="s">
        <v>23</v>
      </c>
      <c r="H76" s="126"/>
      <c r="I76" s="108">
        <v>7120010010</v>
      </c>
      <c r="J76" s="108" t="str">
        <f t="shared" si="1"/>
        <v>7120010010</v>
      </c>
      <c r="K76" s="304" t="str">
        <f t="shared" ref="K76:K77" si="16">C76&amp;D76&amp;E76&amp;J76&amp;G76</f>
        <v>60101027120010010122</v>
      </c>
      <c r="L76" s="24"/>
      <c r="M76" s="22"/>
      <c r="N76" s="22"/>
      <c r="O76" s="22"/>
      <c r="P76" s="22"/>
      <c r="Q76" s="22"/>
      <c r="R76" s="22"/>
      <c r="S76" s="24"/>
    </row>
    <row r="77" spans="1:19" s="23" customFormat="1" ht="63">
      <c r="A77" s="21"/>
      <c r="B77" s="127" t="s">
        <v>26</v>
      </c>
      <c r="C77" s="109" t="s">
        <v>64</v>
      </c>
      <c r="D77" s="108" t="s">
        <v>11</v>
      </c>
      <c r="E77" s="108" t="s">
        <v>62</v>
      </c>
      <c r="F77" s="108" t="s">
        <v>70</v>
      </c>
      <c r="G77" s="108" t="s">
        <v>27</v>
      </c>
      <c r="H77" s="126"/>
      <c r="I77" s="108">
        <v>7120010010</v>
      </c>
      <c r="J77" s="108" t="str">
        <f t="shared" ref="J77:J140" si="17">TEXT(I77,"0000000000")</f>
        <v>7120010010</v>
      </c>
      <c r="K77" s="304" t="str">
        <f t="shared" si="16"/>
        <v>60101027120010010129</v>
      </c>
      <c r="L77" s="24"/>
      <c r="M77" s="22"/>
      <c r="N77" s="22"/>
      <c r="O77" s="22"/>
      <c r="P77" s="22"/>
      <c r="Q77" s="22"/>
      <c r="R77" s="22"/>
      <c r="S77" s="24"/>
    </row>
    <row r="78" spans="1:19" s="16" customFormat="1" ht="31.5">
      <c r="A78" s="14"/>
      <c r="B78" s="125" t="s">
        <v>38</v>
      </c>
      <c r="C78" s="109" t="s">
        <v>64</v>
      </c>
      <c r="D78" s="108" t="s">
        <v>11</v>
      </c>
      <c r="E78" s="108" t="s">
        <v>62</v>
      </c>
      <c r="F78" s="108" t="s">
        <v>71</v>
      </c>
      <c r="G78" s="108" t="s">
        <v>9</v>
      </c>
      <c r="H78" s="126">
        <f>H79</f>
        <v>0</v>
      </c>
      <c r="I78" s="108">
        <v>7120010020</v>
      </c>
      <c r="J78" s="108" t="str">
        <f t="shared" si="17"/>
        <v>7120010020</v>
      </c>
      <c r="K78" s="132"/>
      <c r="L78" s="17"/>
      <c r="M78" s="20">
        <v>1552</v>
      </c>
      <c r="N78" s="20">
        <v>1552</v>
      </c>
      <c r="O78" s="20">
        <v>1552</v>
      </c>
      <c r="P78" s="20">
        <f>H78-M78</f>
        <v>-1552</v>
      </c>
      <c r="Q78" s="20" t="e">
        <f>#REF!-N78</f>
        <v>#REF!</v>
      </c>
      <c r="R78" s="20" t="e">
        <f>#REF!-O78</f>
        <v>#REF!</v>
      </c>
      <c r="S78" s="17" t="str">
        <f t="shared" si="2"/>
        <v>71 2 00 10020000</v>
      </c>
    </row>
    <row r="79" spans="1:19" s="16" customFormat="1" ht="31.5">
      <c r="A79" s="14"/>
      <c r="B79" s="127" t="s">
        <v>20</v>
      </c>
      <c r="C79" s="109" t="s">
        <v>64</v>
      </c>
      <c r="D79" s="108" t="s">
        <v>11</v>
      </c>
      <c r="E79" s="108" t="s">
        <v>62</v>
      </c>
      <c r="F79" s="108" t="s">
        <v>71</v>
      </c>
      <c r="G79" s="108" t="s">
        <v>21</v>
      </c>
      <c r="H79" s="126">
        <f>SUM(H80:H81)</f>
        <v>0</v>
      </c>
      <c r="I79" s="108">
        <v>7120010020</v>
      </c>
      <c r="J79" s="108" t="str">
        <f t="shared" si="17"/>
        <v>7120010020</v>
      </c>
      <c r="K79" s="132"/>
      <c r="L79" s="17"/>
      <c r="M79" s="20">
        <v>1552</v>
      </c>
      <c r="N79" s="20">
        <v>1552</v>
      </c>
      <c r="O79" s="20">
        <v>1552</v>
      </c>
      <c r="P79" s="20">
        <f>H79-M79</f>
        <v>-1552</v>
      </c>
      <c r="Q79" s="20" t="e">
        <f>#REF!-N79</f>
        <v>#REF!</v>
      </c>
      <c r="R79" s="20" t="e">
        <f>#REF!-O79</f>
        <v>#REF!</v>
      </c>
      <c r="S79" s="17" t="str">
        <f t="shared" si="2"/>
        <v>71 2 00 10020120</v>
      </c>
    </row>
    <row r="80" spans="1:19" s="23" customFormat="1" ht="31.5">
      <c r="A80" s="21"/>
      <c r="B80" s="127" t="s">
        <v>40</v>
      </c>
      <c r="C80" s="109" t="s">
        <v>64</v>
      </c>
      <c r="D80" s="108" t="s">
        <v>11</v>
      </c>
      <c r="E80" s="108" t="s">
        <v>62</v>
      </c>
      <c r="F80" s="108" t="s">
        <v>71</v>
      </c>
      <c r="G80" s="108" t="s">
        <v>41</v>
      </c>
      <c r="H80" s="126"/>
      <c r="I80" s="108">
        <v>7120010020</v>
      </c>
      <c r="J80" s="108" t="str">
        <f t="shared" si="17"/>
        <v>7120010020</v>
      </c>
      <c r="K80" s="304" t="str">
        <f t="shared" ref="K80:K81" si="18">C80&amp;D80&amp;E80&amp;J80&amp;G80</f>
        <v>60101027120010020121</v>
      </c>
      <c r="L80" s="24"/>
      <c r="M80" s="22"/>
      <c r="N80" s="22"/>
      <c r="O80" s="22"/>
      <c r="P80" s="22"/>
      <c r="Q80" s="22"/>
      <c r="R80" s="22"/>
      <c r="S80" s="24"/>
    </row>
    <row r="81" spans="1:19" s="23" customFormat="1" ht="63">
      <c r="A81" s="21"/>
      <c r="B81" s="127" t="s">
        <v>26</v>
      </c>
      <c r="C81" s="109" t="s">
        <v>64</v>
      </c>
      <c r="D81" s="108" t="s">
        <v>11</v>
      </c>
      <c r="E81" s="108" t="s">
        <v>62</v>
      </c>
      <c r="F81" s="108" t="s">
        <v>71</v>
      </c>
      <c r="G81" s="108" t="s">
        <v>27</v>
      </c>
      <c r="H81" s="126"/>
      <c r="I81" s="108">
        <v>7120010020</v>
      </c>
      <c r="J81" s="108" t="str">
        <f t="shared" si="17"/>
        <v>7120010020</v>
      </c>
      <c r="K81" s="304" t="str">
        <f t="shared" si="18"/>
        <v>60101027120010020129</v>
      </c>
      <c r="L81" s="24"/>
      <c r="M81" s="22"/>
      <c r="N81" s="22"/>
      <c r="O81" s="22"/>
      <c r="P81" s="22"/>
      <c r="Q81" s="22"/>
      <c r="R81" s="22"/>
      <c r="S81" s="24"/>
    </row>
    <row r="82" spans="1:19" s="16" customFormat="1" ht="63">
      <c r="A82" s="14"/>
      <c r="B82" s="121" t="s">
        <v>72</v>
      </c>
      <c r="C82" s="122" t="s">
        <v>64</v>
      </c>
      <c r="D82" s="123" t="s">
        <v>11</v>
      </c>
      <c r="E82" s="123" t="s">
        <v>73</v>
      </c>
      <c r="F82" s="123" t="s">
        <v>8</v>
      </c>
      <c r="G82" s="123" t="s">
        <v>9</v>
      </c>
      <c r="H82" s="124">
        <f>H83</f>
        <v>0</v>
      </c>
      <c r="I82" s="123">
        <v>0</v>
      </c>
      <c r="J82" s="123" t="str">
        <f t="shared" si="17"/>
        <v>0000000000</v>
      </c>
      <c r="K82" s="132"/>
      <c r="L82" s="17"/>
      <c r="M82" s="19">
        <v>106659.61</v>
      </c>
      <c r="N82" s="19">
        <v>106659.61</v>
      </c>
      <c r="O82" s="19">
        <v>106659.61</v>
      </c>
      <c r="P82" s="19">
        <f>H82-M82</f>
        <v>-106659.61</v>
      </c>
      <c r="Q82" s="19" t="e">
        <f>#REF!-N82</f>
        <v>#REF!</v>
      </c>
      <c r="R82" s="19" t="e">
        <f>#REF!-O82</f>
        <v>#REF!</v>
      </c>
      <c r="S82" s="17" t="str">
        <f t="shared" si="2"/>
        <v>00 0 00 00000000</v>
      </c>
    </row>
    <row r="83" spans="1:19" s="16" customFormat="1" ht="31.5">
      <c r="A83" s="14"/>
      <c r="B83" s="129" t="s">
        <v>66</v>
      </c>
      <c r="C83" s="109" t="s">
        <v>64</v>
      </c>
      <c r="D83" s="108" t="s">
        <v>11</v>
      </c>
      <c r="E83" s="108" t="s">
        <v>73</v>
      </c>
      <c r="F83" s="108" t="s">
        <v>67</v>
      </c>
      <c r="G83" s="108" t="s">
        <v>9</v>
      </c>
      <c r="H83" s="126">
        <f>H84</f>
        <v>0</v>
      </c>
      <c r="I83" s="108">
        <v>7100000000</v>
      </c>
      <c r="J83" s="108" t="str">
        <f t="shared" si="17"/>
        <v>7100000000</v>
      </c>
      <c r="K83" s="132"/>
      <c r="L83" s="17"/>
      <c r="M83" s="20">
        <v>106659.61</v>
      </c>
      <c r="N83" s="20">
        <v>106659.61</v>
      </c>
      <c r="O83" s="20">
        <v>106659.61</v>
      </c>
      <c r="P83" s="20">
        <f>H83-M83</f>
        <v>-106659.61</v>
      </c>
      <c r="Q83" s="20" t="e">
        <f>#REF!-N83</f>
        <v>#REF!</v>
      </c>
      <c r="R83" s="20" t="e">
        <f>#REF!-O83</f>
        <v>#REF!</v>
      </c>
      <c r="S83" s="17" t="str">
        <f t="shared" si="2"/>
        <v>71 0 00 00000000</v>
      </c>
    </row>
    <row r="84" spans="1:19" s="16" customFormat="1" ht="31.5">
      <c r="A84" s="14"/>
      <c r="B84" s="129" t="s">
        <v>74</v>
      </c>
      <c r="C84" s="109" t="s">
        <v>64</v>
      </c>
      <c r="D84" s="108" t="s">
        <v>11</v>
      </c>
      <c r="E84" s="108" t="s">
        <v>73</v>
      </c>
      <c r="F84" s="108" t="s">
        <v>75</v>
      </c>
      <c r="G84" s="108" t="s">
        <v>9</v>
      </c>
      <c r="H84" s="126">
        <f>H85+H94+H98+H104</f>
        <v>0</v>
      </c>
      <c r="I84" s="108">
        <v>7110000000</v>
      </c>
      <c r="J84" s="108" t="str">
        <f t="shared" si="17"/>
        <v>7110000000</v>
      </c>
      <c r="K84" s="132"/>
      <c r="L84" s="17"/>
      <c r="M84" s="20">
        <v>106659.61</v>
      </c>
      <c r="N84" s="20">
        <v>106659.61</v>
      </c>
      <c r="O84" s="20">
        <v>106659.61</v>
      </c>
      <c r="P84" s="20">
        <f>H84-M84</f>
        <v>-106659.61</v>
      </c>
      <c r="Q84" s="20" t="e">
        <f>#REF!-N84</f>
        <v>#REF!</v>
      </c>
      <c r="R84" s="20" t="e">
        <f>#REF!-O84</f>
        <v>#REF!</v>
      </c>
      <c r="S84" s="17" t="str">
        <f t="shared" si="2"/>
        <v>71 1 00 00000000</v>
      </c>
    </row>
    <row r="85" spans="1:19" s="16" customFormat="1" ht="31.5">
      <c r="A85" s="14"/>
      <c r="B85" s="129" t="s">
        <v>18</v>
      </c>
      <c r="C85" s="130" t="s">
        <v>64</v>
      </c>
      <c r="D85" s="131" t="s">
        <v>11</v>
      </c>
      <c r="E85" s="131" t="s">
        <v>73</v>
      </c>
      <c r="F85" s="131" t="s">
        <v>76</v>
      </c>
      <c r="G85" s="131" t="s">
        <v>9</v>
      </c>
      <c r="H85" s="105">
        <f>H86+H89+H91</f>
        <v>0</v>
      </c>
      <c r="I85" s="131">
        <v>7110010010</v>
      </c>
      <c r="J85" s="131" t="str">
        <f t="shared" si="17"/>
        <v>7110010010</v>
      </c>
      <c r="K85" s="132"/>
      <c r="L85" s="17"/>
      <c r="M85" s="26">
        <v>12140.56</v>
      </c>
      <c r="N85" s="26">
        <v>12140.56</v>
      </c>
      <c r="O85" s="26">
        <v>12140.56</v>
      </c>
      <c r="P85" s="26">
        <f>H85-M85</f>
        <v>-12140.56</v>
      </c>
      <c r="Q85" s="26" t="e">
        <f>#REF!-N85</f>
        <v>#REF!</v>
      </c>
      <c r="R85" s="26" t="e">
        <f>#REF!-O85</f>
        <v>#REF!</v>
      </c>
      <c r="S85" s="17" t="str">
        <f t="shared" si="2"/>
        <v>71 1 00 10010000</v>
      </c>
    </row>
    <row r="86" spans="1:19" s="16" customFormat="1" ht="31.5">
      <c r="A86" s="14"/>
      <c r="B86" s="127" t="s">
        <v>20</v>
      </c>
      <c r="C86" s="130" t="s">
        <v>64</v>
      </c>
      <c r="D86" s="131" t="s">
        <v>11</v>
      </c>
      <c r="E86" s="131" t="s">
        <v>73</v>
      </c>
      <c r="F86" s="131" t="s">
        <v>76</v>
      </c>
      <c r="G86" s="108" t="s">
        <v>21</v>
      </c>
      <c r="H86" s="126">
        <f>SUM(H87:H88)</f>
        <v>0</v>
      </c>
      <c r="I86" s="131">
        <v>7110010010</v>
      </c>
      <c r="J86" s="131" t="str">
        <f t="shared" si="17"/>
        <v>7110010010</v>
      </c>
      <c r="K86" s="132"/>
      <c r="L86" s="17"/>
      <c r="M86" s="20">
        <v>4414.8999999999996</v>
      </c>
      <c r="N86" s="20">
        <v>4414.8999999999996</v>
      </c>
      <c r="O86" s="20">
        <v>4414.8999999999996</v>
      </c>
      <c r="P86" s="20">
        <f>H86-M86</f>
        <v>-4414.8999999999996</v>
      </c>
      <c r="Q86" s="20" t="e">
        <f>#REF!-N86</f>
        <v>#REF!</v>
      </c>
      <c r="R86" s="20" t="e">
        <f>#REF!-O86</f>
        <v>#REF!</v>
      </c>
      <c r="S86" s="17" t="str">
        <f t="shared" si="2"/>
        <v>71 1 00 10010120</v>
      </c>
    </row>
    <row r="87" spans="1:19" s="23" customFormat="1" ht="47.25">
      <c r="A87" s="21"/>
      <c r="B87" s="127" t="s">
        <v>22</v>
      </c>
      <c r="C87" s="130" t="s">
        <v>64</v>
      </c>
      <c r="D87" s="131" t="s">
        <v>11</v>
      </c>
      <c r="E87" s="131" t="s">
        <v>73</v>
      </c>
      <c r="F87" s="131" t="s">
        <v>76</v>
      </c>
      <c r="G87" s="108" t="s">
        <v>23</v>
      </c>
      <c r="H87" s="126"/>
      <c r="I87" s="131">
        <v>7110010010</v>
      </c>
      <c r="J87" s="131" t="str">
        <f t="shared" si="17"/>
        <v>7110010010</v>
      </c>
      <c r="K87" s="304" t="str">
        <f t="shared" ref="K87:K88" si="19">C87&amp;D87&amp;E87&amp;J87&amp;G87</f>
        <v>60101047110010010122</v>
      </c>
      <c r="L87" s="24"/>
      <c r="M87" s="22"/>
      <c r="N87" s="22"/>
      <c r="O87" s="22"/>
      <c r="P87" s="22"/>
      <c r="Q87" s="22"/>
      <c r="R87" s="22"/>
      <c r="S87" s="24"/>
    </row>
    <row r="88" spans="1:19" s="23" customFormat="1" ht="63">
      <c r="A88" s="21"/>
      <c r="B88" s="127" t="s">
        <v>26</v>
      </c>
      <c r="C88" s="130" t="s">
        <v>64</v>
      </c>
      <c r="D88" s="131" t="s">
        <v>11</v>
      </c>
      <c r="E88" s="131" t="s">
        <v>73</v>
      </c>
      <c r="F88" s="131" t="s">
        <v>76</v>
      </c>
      <c r="G88" s="108" t="s">
        <v>27</v>
      </c>
      <c r="H88" s="126"/>
      <c r="I88" s="131">
        <v>7110010010</v>
      </c>
      <c r="J88" s="131" t="str">
        <f t="shared" si="17"/>
        <v>7110010010</v>
      </c>
      <c r="K88" s="304" t="str">
        <f t="shared" si="19"/>
        <v>60101047110010010129</v>
      </c>
      <c r="L88" s="24"/>
      <c r="M88" s="22"/>
      <c r="N88" s="22"/>
      <c r="O88" s="22"/>
      <c r="P88" s="22"/>
      <c r="Q88" s="22"/>
      <c r="R88" s="22"/>
      <c r="S88" s="24"/>
    </row>
    <row r="89" spans="1:19" s="16" customFormat="1" ht="31.5">
      <c r="A89" s="14"/>
      <c r="B89" s="125" t="s">
        <v>28</v>
      </c>
      <c r="C89" s="130" t="s">
        <v>64</v>
      </c>
      <c r="D89" s="131" t="s">
        <v>11</v>
      </c>
      <c r="E89" s="131" t="s">
        <v>73</v>
      </c>
      <c r="F89" s="131" t="s">
        <v>76</v>
      </c>
      <c r="G89" s="108" t="s">
        <v>29</v>
      </c>
      <c r="H89" s="126">
        <f>H90</f>
        <v>0</v>
      </c>
      <c r="I89" s="131">
        <v>7110010010</v>
      </c>
      <c r="J89" s="131" t="str">
        <f t="shared" si="17"/>
        <v>7110010010</v>
      </c>
      <c r="K89" s="132"/>
      <c r="L89" s="17"/>
      <c r="M89" s="20">
        <v>7701.66</v>
      </c>
      <c r="N89" s="20">
        <v>7701.66</v>
      </c>
      <c r="O89" s="20">
        <v>7701.66</v>
      </c>
      <c r="P89" s="20">
        <f>H89-M89</f>
        <v>-7701.66</v>
      </c>
      <c r="Q89" s="20" t="e">
        <f>#REF!-N89</f>
        <v>#REF!</v>
      </c>
      <c r="R89" s="20" t="e">
        <f>#REF!-O89</f>
        <v>#REF!</v>
      </c>
      <c r="S89" s="17" t="str">
        <f t="shared" si="2"/>
        <v>71 1 00 10010240</v>
      </c>
    </row>
    <row r="90" spans="1:19" s="16" customFormat="1" ht="15.75">
      <c r="A90" s="14"/>
      <c r="B90" s="125" t="s">
        <v>30</v>
      </c>
      <c r="C90" s="130" t="s">
        <v>64</v>
      </c>
      <c r="D90" s="131" t="s">
        <v>11</v>
      </c>
      <c r="E90" s="131" t="s">
        <v>73</v>
      </c>
      <c r="F90" s="131" t="s">
        <v>76</v>
      </c>
      <c r="G90" s="108" t="s">
        <v>31</v>
      </c>
      <c r="H90" s="126"/>
      <c r="I90" s="131">
        <v>7110010010</v>
      </c>
      <c r="J90" s="131" t="str">
        <f t="shared" si="17"/>
        <v>7110010010</v>
      </c>
      <c r="K90" s="304" t="str">
        <f>C90&amp;D90&amp;E90&amp;J90&amp;G90</f>
        <v>60101047110010010244</v>
      </c>
      <c r="L90" s="17"/>
      <c r="M90" s="20"/>
      <c r="N90" s="20"/>
      <c r="O90" s="20"/>
      <c r="P90" s="20"/>
      <c r="Q90" s="20"/>
      <c r="R90" s="20"/>
      <c r="S90" s="17"/>
    </row>
    <row r="91" spans="1:19" s="16" customFormat="1" ht="15.75">
      <c r="A91" s="14"/>
      <c r="B91" s="125" t="s">
        <v>32</v>
      </c>
      <c r="C91" s="130" t="s">
        <v>64</v>
      </c>
      <c r="D91" s="131" t="s">
        <v>11</v>
      </c>
      <c r="E91" s="131" t="s">
        <v>73</v>
      </c>
      <c r="F91" s="131" t="s">
        <v>76</v>
      </c>
      <c r="G91" s="108" t="s">
        <v>33</v>
      </c>
      <c r="H91" s="126">
        <f>SUM(H92:H93)</f>
        <v>0</v>
      </c>
      <c r="I91" s="131">
        <v>7110010010</v>
      </c>
      <c r="J91" s="131" t="str">
        <f t="shared" si="17"/>
        <v>7110010010</v>
      </c>
      <c r="K91" s="132"/>
      <c r="L91" s="17"/>
      <c r="M91" s="20">
        <v>24</v>
      </c>
      <c r="N91" s="20">
        <v>24</v>
      </c>
      <c r="O91" s="20">
        <v>24</v>
      </c>
      <c r="P91" s="20">
        <f>H91-M91</f>
        <v>-24</v>
      </c>
      <c r="Q91" s="20" t="e">
        <f>#REF!-N91</f>
        <v>#REF!</v>
      </c>
      <c r="R91" s="20" t="e">
        <f>#REF!-O91</f>
        <v>#REF!</v>
      </c>
      <c r="S91" s="17" t="str">
        <f t="shared" si="2"/>
        <v>71 1 00 10010850</v>
      </c>
    </row>
    <row r="92" spans="1:19" s="16" customFormat="1" ht="15.75">
      <c r="A92" s="14"/>
      <c r="B92" s="125" t="s">
        <v>36</v>
      </c>
      <c r="C92" s="109" t="s">
        <v>64</v>
      </c>
      <c r="D92" s="108" t="s">
        <v>11</v>
      </c>
      <c r="E92" s="108" t="s">
        <v>73</v>
      </c>
      <c r="F92" s="108" t="s">
        <v>76</v>
      </c>
      <c r="G92" s="108" t="s">
        <v>37</v>
      </c>
      <c r="H92" s="126"/>
      <c r="I92" s="108">
        <v>7110010010</v>
      </c>
      <c r="J92" s="108" t="str">
        <f t="shared" si="17"/>
        <v>7110010010</v>
      </c>
      <c r="K92" s="304" t="str">
        <f t="shared" ref="K92:K93" si="20">C92&amp;D92&amp;E92&amp;J92&amp;G92</f>
        <v>60101047110010010852</v>
      </c>
      <c r="L92" s="17"/>
      <c r="M92" s="20"/>
      <c r="N92" s="20"/>
      <c r="O92" s="20"/>
      <c r="P92" s="20"/>
      <c r="Q92" s="20"/>
      <c r="R92" s="20"/>
      <c r="S92" s="17"/>
    </row>
    <row r="93" spans="1:19" s="16" customFormat="1" ht="15.75">
      <c r="A93" s="14"/>
      <c r="B93" s="125" t="s">
        <v>77</v>
      </c>
      <c r="C93" s="109" t="s">
        <v>64</v>
      </c>
      <c r="D93" s="108" t="s">
        <v>11</v>
      </c>
      <c r="E93" s="108" t="s">
        <v>73</v>
      </c>
      <c r="F93" s="108" t="s">
        <v>76</v>
      </c>
      <c r="G93" s="108" t="s">
        <v>78</v>
      </c>
      <c r="H93" s="126"/>
      <c r="I93" s="108">
        <v>7110010010</v>
      </c>
      <c r="J93" s="108" t="str">
        <f t="shared" si="17"/>
        <v>7110010010</v>
      </c>
      <c r="K93" s="304" t="str">
        <f t="shared" si="20"/>
        <v>60101047110010010853</v>
      </c>
      <c r="L93" s="17"/>
      <c r="M93" s="20"/>
      <c r="N93" s="20"/>
      <c r="O93" s="20"/>
      <c r="P93" s="20"/>
      <c r="Q93" s="20"/>
      <c r="R93" s="20"/>
      <c r="S93" s="17"/>
    </row>
    <row r="94" spans="1:19" s="16" customFormat="1" ht="31.5">
      <c r="A94" s="14"/>
      <c r="B94" s="129" t="s">
        <v>38</v>
      </c>
      <c r="C94" s="109" t="s">
        <v>64</v>
      </c>
      <c r="D94" s="108" t="s">
        <v>11</v>
      </c>
      <c r="E94" s="108" t="s">
        <v>73</v>
      </c>
      <c r="F94" s="108" t="s">
        <v>79</v>
      </c>
      <c r="G94" s="131" t="s">
        <v>9</v>
      </c>
      <c r="H94" s="126">
        <f>H95</f>
        <v>0</v>
      </c>
      <c r="I94" s="108">
        <v>7110010020</v>
      </c>
      <c r="J94" s="108" t="str">
        <f t="shared" si="17"/>
        <v>7110010020</v>
      </c>
      <c r="K94" s="132"/>
      <c r="L94" s="17"/>
      <c r="M94" s="20">
        <v>93494.03</v>
      </c>
      <c r="N94" s="20">
        <v>93494.03</v>
      </c>
      <c r="O94" s="20">
        <v>93494.03</v>
      </c>
      <c r="P94" s="20">
        <f>H94-M94</f>
        <v>-93494.03</v>
      </c>
      <c r="Q94" s="20" t="e">
        <f>#REF!-N94</f>
        <v>#REF!</v>
      </c>
      <c r="R94" s="20" t="e">
        <f>#REF!-O94</f>
        <v>#REF!</v>
      </c>
      <c r="S94" s="17" t="str">
        <f t="shared" si="2"/>
        <v>71 1 00 10020000</v>
      </c>
    </row>
    <row r="95" spans="1:19" s="16" customFormat="1" ht="31.5">
      <c r="A95" s="14"/>
      <c r="B95" s="127" t="s">
        <v>20</v>
      </c>
      <c r="C95" s="109" t="s">
        <v>64</v>
      </c>
      <c r="D95" s="108" t="s">
        <v>11</v>
      </c>
      <c r="E95" s="108" t="s">
        <v>73</v>
      </c>
      <c r="F95" s="108" t="s">
        <v>79</v>
      </c>
      <c r="G95" s="131" t="s">
        <v>21</v>
      </c>
      <c r="H95" s="126">
        <f>SUM(H96:H97)</f>
        <v>0</v>
      </c>
      <c r="I95" s="108">
        <v>7110010020</v>
      </c>
      <c r="J95" s="108" t="str">
        <f t="shared" si="17"/>
        <v>7110010020</v>
      </c>
      <c r="K95" s="132"/>
      <c r="L95" s="17"/>
      <c r="M95" s="20">
        <v>93494.03</v>
      </c>
      <c r="N95" s="20">
        <v>93494.03</v>
      </c>
      <c r="O95" s="20">
        <v>93494.03</v>
      </c>
      <c r="P95" s="20">
        <f>H95-M95</f>
        <v>-93494.03</v>
      </c>
      <c r="Q95" s="20" t="e">
        <f>#REF!-N95</f>
        <v>#REF!</v>
      </c>
      <c r="R95" s="20" t="e">
        <f>#REF!-O95</f>
        <v>#REF!</v>
      </c>
      <c r="S95" s="17" t="str">
        <f t="shared" si="2"/>
        <v>71 1 00 10020120</v>
      </c>
    </row>
    <row r="96" spans="1:19" s="16" customFormat="1" ht="31.5">
      <c r="A96" s="14"/>
      <c r="B96" s="125" t="s">
        <v>40</v>
      </c>
      <c r="C96" s="109" t="s">
        <v>64</v>
      </c>
      <c r="D96" s="108" t="s">
        <v>11</v>
      </c>
      <c r="E96" s="108" t="s">
        <v>73</v>
      </c>
      <c r="F96" s="108" t="s">
        <v>79</v>
      </c>
      <c r="G96" s="108" t="s">
        <v>41</v>
      </c>
      <c r="H96" s="126"/>
      <c r="I96" s="108">
        <v>7110010020</v>
      </c>
      <c r="J96" s="108" t="str">
        <f t="shared" si="17"/>
        <v>7110010020</v>
      </c>
      <c r="K96" s="304" t="str">
        <f t="shared" ref="K96:K97" si="21">C96&amp;D96&amp;E96&amp;J96&amp;G96</f>
        <v>60101047110010020121</v>
      </c>
      <c r="L96" s="17"/>
      <c r="M96" s="20"/>
      <c r="N96" s="20"/>
      <c r="O96" s="20"/>
      <c r="P96" s="20"/>
      <c r="Q96" s="20"/>
      <c r="R96" s="20"/>
      <c r="S96" s="17"/>
    </row>
    <row r="97" spans="1:19" s="16" customFormat="1" ht="63">
      <c r="A97" s="14"/>
      <c r="B97" s="125" t="s">
        <v>26</v>
      </c>
      <c r="C97" s="109" t="s">
        <v>64</v>
      </c>
      <c r="D97" s="108" t="s">
        <v>11</v>
      </c>
      <c r="E97" s="108" t="s">
        <v>73</v>
      </c>
      <c r="F97" s="108" t="s">
        <v>79</v>
      </c>
      <c r="G97" s="108" t="s">
        <v>27</v>
      </c>
      <c r="H97" s="126"/>
      <c r="I97" s="108">
        <v>7110010020</v>
      </c>
      <c r="J97" s="108" t="str">
        <f t="shared" si="17"/>
        <v>7110010020</v>
      </c>
      <c r="K97" s="304" t="str">
        <f t="shared" si="21"/>
        <v>60101047110010020129</v>
      </c>
      <c r="L97" s="17"/>
      <c r="M97" s="20"/>
      <c r="N97" s="20"/>
      <c r="O97" s="20"/>
      <c r="P97" s="20"/>
      <c r="Q97" s="20"/>
      <c r="R97" s="20"/>
      <c r="S97" s="17"/>
    </row>
    <row r="98" spans="1:19" s="16" customFormat="1" ht="63">
      <c r="A98" s="14" t="s">
        <v>80</v>
      </c>
      <c r="B98" s="125" t="s">
        <v>81</v>
      </c>
      <c r="C98" s="130" t="s">
        <v>64</v>
      </c>
      <c r="D98" s="131" t="s">
        <v>11</v>
      </c>
      <c r="E98" s="131" t="s">
        <v>73</v>
      </c>
      <c r="F98" s="131" t="s">
        <v>82</v>
      </c>
      <c r="G98" s="131" t="s">
        <v>9</v>
      </c>
      <c r="H98" s="126">
        <f>H99+H102</f>
        <v>0</v>
      </c>
      <c r="I98" s="131">
        <v>7110076630</v>
      </c>
      <c r="J98" s="131" t="str">
        <f t="shared" si="17"/>
        <v>7110076630</v>
      </c>
      <c r="K98" s="132"/>
      <c r="L98" s="17"/>
      <c r="M98" s="20">
        <v>1016.02</v>
      </c>
      <c r="N98" s="20">
        <v>1016.02</v>
      </c>
      <c r="O98" s="20">
        <v>1016.02</v>
      </c>
      <c r="P98" s="20">
        <f>H98-M98</f>
        <v>-1016.02</v>
      </c>
      <c r="Q98" s="20" t="e">
        <f>#REF!-N98</f>
        <v>#REF!</v>
      </c>
      <c r="R98" s="20" t="e">
        <f>#REF!-O98</f>
        <v>#REF!</v>
      </c>
      <c r="S98" s="17" t="str">
        <f t="shared" si="2"/>
        <v>71 1 00 76630000</v>
      </c>
    </row>
    <row r="99" spans="1:19" s="16" customFormat="1" ht="31.5">
      <c r="A99" s="14"/>
      <c r="B99" s="127" t="s">
        <v>20</v>
      </c>
      <c r="C99" s="130" t="s">
        <v>64</v>
      </c>
      <c r="D99" s="131" t="s">
        <v>11</v>
      </c>
      <c r="E99" s="131" t="s">
        <v>73</v>
      </c>
      <c r="F99" s="131" t="s">
        <v>82</v>
      </c>
      <c r="G99" s="131" t="s">
        <v>21</v>
      </c>
      <c r="H99" s="126">
        <f>SUM(H100:H101)</f>
        <v>0</v>
      </c>
      <c r="I99" s="131">
        <v>7110076630</v>
      </c>
      <c r="J99" s="131" t="str">
        <f t="shared" si="17"/>
        <v>7110076630</v>
      </c>
      <c r="K99" s="132"/>
      <c r="L99" s="17"/>
      <c r="M99" s="20">
        <v>803.81</v>
      </c>
      <c r="N99" s="20">
        <v>803.81</v>
      </c>
      <c r="O99" s="20">
        <v>803.81</v>
      </c>
      <c r="P99" s="20">
        <f>H99-M99</f>
        <v>-803.81</v>
      </c>
      <c r="Q99" s="20" t="e">
        <f>#REF!-N99</f>
        <v>#REF!</v>
      </c>
      <c r="R99" s="20" t="e">
        <f>#REF!-O99</f>
        <v>#REF!</v>
      </c>
      <c r="S99" s="17" t="str">
        <f t="shared" si="2"/>
        <v>71 1 00 76630120</v>
      </c>
    </row>
    <row r="100" spans="1:19" s="23" customFormat="1" ht="31.5">
      <c r="A100" s="21"/>
      <c r="B100" s="127" t="s">
        <v>40</v>
      </c>
      <c r="C100" s="109" t="s">
        <v>64</v>
      </c>
      <c r="D100" s="108" t="s">
        <v>11</v>
      </c>
      <c r="E100" s="108" t="s">
        <v>73</v>
      </c>
      <c r="F100" s="108" t="s">
        <v>82</v>
      </c>
      <c r="G100" s="108" t="s">
        <v>41</v>
      </c>
      <c r="H100" s="126"/>
      <c r="I100" s="108">
        <v>7110076630</v>
      </c>
      <c r="J100" s="108" t="str">
        <f t="shared" si="17"/>
        <v>7110076630</v>
      </c>
      <c r="K100" s="304" t="str">
        <f t="shared" ref="K100:K101" si="22">C100&amp;D100&amp;E100&amp;J100&amp;G100</f>
        <v>60101047110076630121</v>
      </c>
      <c r="L100" s="24"/>
      <c r="M100" s="22"/>
      <c r="N100" s="22"/>
      <c r="O100" s="22"/>
      <c r="P100" s="22"/>
      <c r="Q100" s="22"/>
      <c r="R100" s="22"/>
      <c r="S100" s="24"/>
    </row>
    <row r="101" spans="1:19" s="23" customFormat="1" ht="63">
      <c r="A101" s="21"/>
      <c r="B101" s="127" t="s">
        <v>26</v>
      </c>
      <c r="C101" s="109" t="s">
        <v>64</v>
      </c>
      <c r="D101" s="108" t="s">
        <v>11</v>
      </c>
      <c r="E101" s="108" t="s">
        <v>73</v>
      </c>
      <c r="F101" s="108" t="s">
        <v>82</v>
      </c>
      <c r="G101" s="108" t="s">
        <v>27</v>
      </c>
      <c r="H101" s="126"/>
      <c r="I101" s="108">
        <v>7110076630</v>
      </c>
      <c r="J101" s="108" t="str">
        <f t="shared" si="17"/>
        <v>7110076630</v>
      </c>
      <c r="K101" s="304" t="str">
        <f t="shared" si="22"/>
        <v>60101047110076630129</v>
      </c>
      <c r="L101" s="24"/>
      <c r="M101" s="22"/>
      <c r="N101" s="22"/>
      <c r="O101" s="22"/>
      <c r="P101" s="22"/>
      <c r="Q101" s="22"/>
      <c r="R101" s="22"/>
      <c r="S101" s="24"/>
    </row>
    <row r="102" spans="1:19" s="16" customFormat="1" ht="31.5">
      <c r="A102" s="14"/>
      <c r="B102" s="125" t="s">
        <v>28</v>
      </c>
      <c r="C102" s="130" t="s">
        <v>64</v>
      </c>
      <c r="D102" s="131" t="s">
        <v>11</v>
      </c>
      <c r="E102" s="131" t="s">
        <v>73</v>
      </c>
      <c r="F102" s="131" t="s">
        <v>82</v>
      </c>
      <c r="G102" s="131" t="s">
        <v>29</v>
      </c>
      <c r="H102" s="126">
        <f>H103</f>
        <v>0</v>
      </c>
      <c r="I102" s="131">
        <v>7110076630</v>
      </c>
      <c r="J102" s="131" t="str">
        <f t="shared" si="17"/>
        <v>7110076630</v>
      </c>
      <c r="K102" s="132"/>
      <c r="L102" s="17"/>
      <c r="M102" s="20">
        <v>212.21</v>
      </c>
      <c r="N102" s="20">
        <v>212.21</v>
      </c>
      <c r="O102" s="20">
        <v>212.21</v>
      </c>
      <c r="P102" s="20">
        <f>H102-M102</f>
        <v>-212.21</v>
      </c>
      <c r="Q102" s="20" t="e">
        <f>#REF!-N102</f>
        <v>#REF!</v>
      </c>
      <c r="R102" s="20" t="e">
        <f>#REF!-O102</f>
        <v>#REF!</v>
      </c>
      <c r="S102" s="17" t="str">
        <f t="shared" si="2"/>
        <v>71 1 00 76630240</v>
      </c>
    </row>
    <row r="103" spans="1:19" s="16" customFormat="1" ht="15.75">
      <c r="A103" s="14"/>
      <c r="B103" s="125" t="s">
        <v>30</v>
      </c>
      <c r="C103" s="130" t="s">
        <v>64</v>
      </c>
      <c r="D103" s="131" t="s">
        <v>11</v>
      </c>
      <c r="E103" s="131" t="s">
        <v>73</v>
      </c>
      <c r="F103" s="131" t="s">
        <v>82</v>
      </c>
      <c r="G103" s="131" t="s">
        <v>31</v>
      </c>
      <c r="H103" s="126"/>
      <c r="I103" s="131">
        <v>7110076630</v>
      </c>
      <c r="J103" s="131" t="str">
        <f t="shared" si="17"/>
        <v>7110076630</v>
      </c>
      <c r="K103" s="304" t="str">
        <f>C103&amp;D103&amp;E103&amp;J103&amp;G103</f>
        <v>60101047110076630244</v>
      </c>
      <c r="L103" s="17"/>
      <c r="M103" s="20"/>
      <c r="N103" s="20"/>
      <c r="O103" s="20"/>
      <c r="P103" s="20"/>
      <c r="Q103" s="20"/>
      <c r="R103" s="20"/>
      <c r="S103" s="17"/>
    </row>
    <row r="104" spans="1:19" s="16" customFormat="1" ht="47.25">
      <c r="A104" s="14" t="s">
        <v>80</v>
      </c>
      <c r="B104" s="129" t="s">
        <v>83</v>
      </c>
      <c r="C104" s="130" t="s">
        <v>64</v>
      </c>
      <c r="D104" s="131" t="s">
        <v>11</v>
      </c>
      <c r="E104" s="131" t="s">
        <v>73</v>
      </c>
      <c r="F104" s="131" t="s">
        <v>84</v>
      </c>
      <c r="G104" s="131" t="s">
        <v>9</v>
      </c>
      <c r="H104" s="105">
        <f>H105</f>
        <v>0</v>
      </c>
      <c r="I104" s="131">
        <v>7110076930</v>
      </c>
      <c r="J104" s="131" t="str">
        <f t="shared" si="17"/>
        <v>7110076930</v>
      </c>
      <c r="K104" s="132"/>
      <c r="L104" s="17"/>
      <c r="M104" s="26">
        <v>9</v>
      </c>
      <c r="N104" s="26">
        <v>9</v>
      </c>
      <c r="O104" s="26">
        <v>9</v>
      </c>
      <c r="P104" s="26">
        <f>H104-M104</f>
        <v>-9</v>
      </c>
      <c r="Q104" s="26" t="e">
        <f>#REF!-N104</f>
        <v>#REF!</v>
      </c>
      <c r="R104" s="26" t="e">
        <f>#REF!-O104</f>
        <v>#REF!</v>
      </c>
      <c r="S104" s="17" t="str">
        <f t="shared" si="2"/>
        <v>71 1 00 76930000</v>
      </c>
    </row>
    <row r="105" spans="1:19" s="16" customFormat="1" ht="31.5">
      <c r="A105" s="14"/>
      <c r="B105" s="125" t="s">
        <v>28</v>
      </c>
      <c r="C105" s="130" t="s">
        <v>64</v>
      </c>
      <c r="D105" s="131" t="s">
        <v>11</v>
      </c>
      <c r="E105" s="131" t="s">
        <v>73</v>
      </c>
      <c r="F105" s="131" t="s">
        <v>84</v>
      </c>
      <c r="G105" s="131" t="s">
        <v>29</v>
      </c>
      <c r="H105" s="126">
        <f>H106</f>
        <v>0</v>
      </c>
      <c r="I105" s="131">
        <v>7110076930</v>
      </c>
      <c r="J105" s="131" t="str">
        <f t="shared" si="17"/>
        <v>7110076930</v>
      </c>
      <c r="K105" s="132"/>
      <c r="L105" s="17"/>
      <c r="M105" s="20">
        <v>9</v>
      </c>
      <c r="N105" s="20">
        <v>9</v>
      </c>
      <c r="O105" s="20">
        <v>9</v>
      </c>
      <c r="P105" s="20">
        <f>H105-M105</f>
        <v>-9</v>
      </c>
      <c r="Q105" s="20" t="e">
        <f>#REF!-N105</f>
        <v>#REF!</v>
      </c>
      <c r="R105" s="20" t="e">
        <f>#REF!-O105</f>
        <v>#REF!</v>
      </c>
      <c r="S105" s="17" t="str">
        <f t="shared" si="2"/>
        <v>71 1 00 76930240</v>
      </c>
    </row>
    <row r="106" spans="1:19" s="16" customFormat="1" ht="15.75">
      <c r="A106" s="14"/>
      <c r="B106" s="125" t="s">
        <v>30</v>
      </c>
      <c r="C106" s="130" t="s">
        <v>64</v>
      </c>
      <c r="D106" s="131" t="s">
        <v>11</v>
      </c>
      <c r="E106" s="131" t="s">
        <v>73</v>
      </c>
      <c r="F106" s="131" t="s">
        <v>84</v>
      </c>
      <c r="G106" s="131" t="s">
        <v>31</v>
      </c>
      <c r="H106" s="126"/>
      <c r="I106" s="131">
        <v>7110076930</v>
      </c>
      <c r="J106" s="131" t="str">
        <f t="shared" si="17"/>
        <v>7110076930</v>
      </c>
      <c r="K106" s="304" t="str">
        <f>C106&amp;D106&amp;E106&amp;J106&amp;G106</f>
        <v>60101047110076930244</v>
      </c>
      <c r="L106" s="17"/>
      <c r="M106" s="20"/>
      <c r="N106" s="20"/>
      <c r="O106" s="20"/>
      <c r="P106" s="20"/>
      <c r="Q106" s="20"/>
      <c r="R106" s="20"/>
      <c r="S106" s="17"/>
    </row>
    <row r="107" spans="1:19" s="16" customFormat="1" ht="15.75">
      <c r="A107" s="14"/>
      <c r="B107" s="121" t="s">
        <v>85</v>
      </c>
      <c r="C107" s="122" t="s">
        <v>64</v>
      </c>
      <c r="D107" s="123" t="s">
        <v>11</v>
      </c>
      <c r="E107" s="123" t="s">
        <v>86</v>
      </c>
      <c r="F107" s="123" t="s">
        <v>8</v>
      </c>
      <c r="G107" s="123" t="s">
        <v>9</v>
      </c>
      <c r="H107" s="124">
        <f>H108</f>
        <v>0</v>
      </c>
      <c r="I107" s="123">
        <v>0</v>
      </c>
      <c r="J107" s="123" t="str">
        <f t="shared" si="17"/>
        <v>0000000000</v>
      </c>
      <c r="K107" s="132"/>
      <c r="L107" s="17"/>
      <c r="M107" s="19">
        <v>1291.44</v>
      </c>
      <c r="N107" s="19">
        <v>86.53</v>
      </c>
      <c r="O107" s="19">
        <v>139.63</v>
      </c>
      <c r="P107" s="19">
        <f>H107-M107</f>
        <v>-1291.44</v>
      </c>
      <c r="Q107" s="19" t="e">
        <f>#REF!-N107</f>
        <v>#REF!</v>
      </c>
      <c r="R107" s="19" t="e">
        <f>#REF!-O107</f>
        <v>#REF!</v>
      </c>
      <c r="S107" s="17" t="str">
        <f t="shared" si="2"/>
        <v>00 0 00 00000000</v>
      </c>
    </row>
    <row r="108" spans="1:19" s="16" customFormat="1" ht="63">
      <c r="A108" s="14"/>
      <c r="B108" s="125" t="s">
        <v>87</v>
      </c>
      <c r="C108" s="109" t="s">
        <v>64</v>
      </c>
      <c r="D108" s="108" t="s">
        <v>11</v>
      </c>
      <c r="E108" s="131" t="s">
        <v>86</v>
      </c>
      <c r="F108" s="108" t="s">
        <v>88</v>
      </c>
      <c r="G108" s="108" t="s">
        <v>9</v>
      </c>
      <c r="H108" s="126">
        <f t="shared" ref="H108:H110" si="23">H109</f>
        <v>0</v>
      </c>
      <c r="I108" s="108">
        <v>9800000000</v>
      </c>
      <c r="J108" s="108" t="str">
        <f t="shared" si="17"/>
        <v>9800000000</v>
      </c>
      <c r="K108" s="132"/>
      <c r="L108" s="17"/>
      <c r="M108" s="20">
        <v>1291.44</v>
      </c>
      <c r="N108" s="20">
        <v>86.53</v>
      </c>
      <c r="O108" s="20">
        <v>139.63</v>
      </c>
      <c r="P108" s="20">
        <f>H108-M108</f>
        <v>-1291.44</v>
      </c>
      <c r="Q108" s="20" t="e">
        <f>#REF!-N108</f>
        <v>#REF!</v>
      </c>
      <c r="R108" s="20" t="e">
        <f>#REF!-O108</f>
        <v>#REF!</v>
      </c>
      <c r="S108" s="17" t="str">
        <f t="shared" si="2"/>
        <v>98 0 00 00000000</v>
      </c>
    </row>
    <row r="109" spans="1:19" s="16" customFormat="1" ht="15.75">
      <c r="A109" s="14"/>
      <c r="B109" s="125" t="s">
        <v>89</v>
      </c>
      <c r="C109" s="109" t="s">
        <v>64</v>
      </c>
      <c r="D109" s="108" t="s">
        <v>11</v>
      </c>
      <c r="E109" s="131" t="s">
        <v>86</v>
      </c>
      <c r="F109" s="108" t="s">
        <v>90</v>
      </c>
      <c r="G109" s="108" t="s">
        <v>9</v>
      </c>
      <c r="H109" s="126">
        <f t="shared" si="23"/>
        <v>0</v>
      </c>
      <c r="I109" s="108">
        <v>9810000000</v>
      </c>
      <c r="J109" s="108" t="str">
        <f t="shared" si="17"/>
        <v>9810000000</v>
      </c>
      <c r="K109" s="132"/>
      <c r="L109" s="17"/>
      <c r="M109" s="20">
        <v>1291.44</v>
      </c>
      <c r="N109" s="20">
        <v>86.53</v>
      </c>
      <c r="O109" s="20">
        <v>139.63</v>
      </c>
      <c r="P109" s="20">
        <f>H109-M109</f>
        <v>-1291.44</v>
      </c>
      <c r="Q109" s="20" t="e">
        <f>#REF!-N109</f>
        <v>#REF!</v>
      </c>
      <c r="R109" s="20" t="e">
        <f>#REF!-O109</f>
        <v>#REF!</v>
      </c>
      <c r="S109" s="17" t="str">
        <f t="shared" si="2"/>
        <v>98 1 00 00000000</v>
      </c>
    </row>
    <row r="110" spans="1:19" s="16" customFormat="1" ht="63">
      <c r="A110" s="14" t="s">
        <v>91</v>
      </c>
      <c r="B110" s="129" t="s">
        <v>92</v>
      </c>
      <c r="C110" s="130" t="s">
        <v>64</v>
      </c>
      <c r="D110" s="131" t="s">
        <v>11</v>
      </c>
      <c r="E110" s="131" t="s">
        <v>86</v>
      </c>
      <c r="F110" s="131" t="s">
        <v>93</v>
      </c>
      <c r="G110" s="131" t="s">
        <v>9</v>
      </c>
      <c r="H110" s="105">
        <f t="shared" si="23"/>
        <v>0</v>
      </c>
      <c r="I110" s="131">
        <v>9810051200</v>
      </c>
      <c r="J110" s="131" t="str">
        <f t="shared" si="17"/>
        <v>9810051200</v>
      </c>
      <c r="K110" s="132"/>
      <c r="L110" s="17"/>
      <c r="M110" s="26">
        <v>1291.44</v>
      </c>
      <c r="N110" s="26">
        <v>86.53</v>
      </c>
      <c r="O110" s="26">
        <v>139.63</v>
      </c>
      <c r="P110" s="26">
        <f>H110-M110</f>
        <v>-1291.44</v>
      </c>
      <c r="Q110" s="26" t="e">
        <f>#REF!-N110</f>
        <v>#REF!</v>
      </c>
      <c r="R110" s="26" t="e">
        <f>#REF!-O110</f>
        <v>#REF!</v>
      </c>
      <c r="S110" s="17" t="str">
        <f t="shared" si="2"/>
        <v>98 1 00 51200000</v>
      </c>
    </row>
    <row r="111" spans="1:19" s="16" customFormat="1" ht="31.5">
      <c r="A111" s="14"/>
      <c r="B111" s="125" t="s">
        <v>28</v>
      </c>
      <c r="C111" s="130" t="s">
        <v>64</v>
      </c>
      <c r="D111" s="131" t="s">
        <v>11</v>
      </c>
      <c r="E111" s="131" t="s">
        <v>86</v>
      </c>
      <c r="F111" s="131" t="s">
        <v>93</v>
      </c>
      <c r="G111" s="131" t="s">
        <v>29</v>
      </c>
      <c r="H111" s="126">
        <f>H112</f>
        <v>0</v>
      </c>
      <c r="I111" s="131">
        <v>9810051200</v>
      </c>
      <c r="J111" s="131" t="str">
        <f t="shared" si="17"/>
        <v>9810051200</v>
      </c>
      <c r="K111" s="132"/>
      <c r="L111" s="17"/>
      <c r="M111" s="20">
        <v>1291.44</v>
      </c>
      <c r="N111" s="20">
        <v>86.53</v>
      </c>
      <c r="O111" s="20">
        <v>139.63</v>
      </c>
      <c r="P111" s="20">
        <f>H111-M111</f>
        <v>-1291.44</v>
      </c>
      <c r="Q111" s="20" t="e">
        <f>#REF!-N111</f>
        <v>#REF!</v>
      </c>
      <c r="R111" s="20" t="e">
        <f>#REF!-O111</f>
        <v>#REF!</v>
      </c>
      <c r="S111" s="17" t="str">
        <f t="shared" ref="S111:S203" si="24">CONCATENATE(F111,G111)</f>
        <v>98 1 00 51200240</v>
      </c>
    </row>
    <row r="112" spans="1:19" s="16" customFormat="1" ht="15.75">
      <c r="A112" s="14"/>
      <c r="B112" s="125" t="s">
        <v>30</v>
      </c>
      <c r="C112" s="130" t="s">
        <v>64</v>
      </c>
      <c r="D112" s="131" t="s">
        <v>11</v>
      </c>
      <c r="E112" s="131" t="s">
        <v>86</v>
      </c>
      <c r="F112" s="131" t="s">
        <v>93</v>
      </c>
      <c r="G112" s="131" t="s">
        <v>31</v>
      </c>
      <c r="H112" s="126"/>
      <c r="I112" s="131">
        <v>9810051200</v>
      </c>
      <c r="J112" s="131" t="str">
        <f t="shared" si="17"/>
        <v>9810051200</v>
      </c>
      <c r="K112" s="304" t="str">
        <f>C112&amp;D112&amp;E112&amp;J112&amp;G112</f>
        <v>60101059810051200244</v>
      </c>
      <c r="L112" s="17"/>
      <c r="M112" s="20"/>
      <c r="N112" s="20"/>
      <c r="O112" s="20"/>
      <c r="P112" s="20"/>
      <c r="Q112" s="20"/>
      <c r="R112" s="20"/>
      <c r="S112" s="17"/>
    </row>
    <row r="113" spans="1:19" s="16" customFormat="1" ht="15.75">
      <c r="A113" s="14"/>
      <c r="B113" s="121" t="s">
        <v>50</v>
      </c>
      <c r="C113" s="122" t="s">
        <v>64</v>
      </c>
      <c r="D113" s="123" t="s">
        <v>11</v>
      </c>
      <c r="E113" s="123" t="s">
        <v>51</v>
      </c>
      <c r="F113" s="123" t="s">
        <v>8</v>
      </c>
      <c r="G113" s="123" t="s">
        <v>9</v>
      </c>
      <c r="H113" s="124">
        <f>H114+H123+H129+H164+H197+H203+H223</f>
        <v>0</v>
      </c>
      <c r="I113" s="123">
        <v>0</v>
      </c>
      <c r="J113" s="123" t="str">
        <f t="shared" si="17"/>
        <v>0000000000</v>
      </c>
      <c r="K113" s="132"/>
      <c r="L113" s="17"/>
      <c r="M113" s="19">
        <v>146264.07</v>
      </c>
      <c r="N113" s="19">
        <v>131081.26</v>
      </c>
      <c r="O113" s="19">
        <v>131081.26</v>
      </c>
      <c r="P113" s="19">
        <f t="shared" ref="P113:P118" si="25">H113-M113</f>
        <v>-146264.07</v>
      </c>
      <c r="Q113" s="19" t="e">
        <f>#REF!-N113</f>
        <v>#REF!</v>
      </c>
      <c r="R113" s="19" t="e">
        <f>#REF!-O113</f>
        <v>#REF!</v>
      </c>
      <c r="S113" s="17" t="str">
        <f t="shared" si="24"/>
        <v>00 0 00 00000000</v>
      </c>
    </row>
    <row r="114" spans="1:19" s="16" customFormat="1" ht="31.5">
      <c r="A114" s="14"/>
      <c r="B114" s="129" t="s">
        <v>94</v>
      </c>
      <c r="C114" s="109" t="s">
        <v>64</v>
      </c>
      <c r="D114" s="108" t="s">
        <v>11</v>
      </c>
      <c r="E114" s="108" t="s">
        <v>51</v>
      </c>
      <c r="F114" s="108" t="s">
        <v>95</v>
      </c>
      <c r="G114" s="108" t="s">
        <v>9</v>
      </c>
      <c r="H114" s="126">
        <f t="shared" ref="H114:H115" si="26">H115</f>
        <v>0</v>
      </c>
      <c r="I114" s="108">
        <v>1200000000</v>
      </c>
      <c r="J114" s="108" t="str">
        <f t="shared" si="17"/>
        <v>1200000000</v>
      </c>
      <c r="K114" s="132"/>
      <c r="L114" s="17"/>
      <c r="M114" s="20">
        <v>2119.08</v>
      </c>
      <c r="N114" s="20">
        <v>2119.08</v>
      </c>
      <c r="O114" s="20">
        <v>2119.08</v>
      </c>
      <c r="P114" s="20">
        <f t="shared" si="25"/>
        <v>-2119.08</v>
      </c>
      <c r="Q114" s="20" t="e">
        <f>#REF!-N114</f>
        <v>#REF!</v>
      </c>
      <c r="R114" s="20" t="e">
        <f>#REF!-O114</f>
        <v>#REF!</v>
      </c>
      <c r="S114" s="17" t="str">
        <f t="shared" si="24"/>
        <v>12 0 00 00000000</v>
      </c>
    </row>
    <row r="115" spans="1:19" s="16" customFormat="1" ht="31.5">
      <c r="A115" s="14"/>
      <c r="B115" s="129" t="s">
        <v>96</v>
      </c>
      <c r="C115" s="109" t="s">
        <v>64</v>
      </c>
      <c r="D115" s="108" t="s">
        <v>11</v>
      </c>
      <c r="E115" s="108" t="s">
        <v>51</v>
      </c>
      <c r="F115" s="108" t="s">
        <v>97</v>
      </c>
      <c r="G115" s="108" t="s">
        <v>9</v>
      </c>
      <c r="H115" s="126">
        <f t="shared" si="26"/>
        <v>0</v>
      </c>
      <c r="I115" s="108">
        <v>1220000000</v>
      </c>
      <c r="J115" s="108" t="str">
        <f t="shared" si="17"/>
        <v>1220000000</v>
      </c>
      <c r="K115" s="132"/>
      <c r="L115" s="17"/>
      <c r="M115" s="20">
        <v>2119.08</v>
      </c>
      <c r="N115" s="20">
        <v>2119.08</v>
      </c>
      <c r="O115" s="20">
        <v>2119.08</v>
      </c>
      <c r="P115" s="20">
        <f t="shared" si="25"/>
        <v>-2119.08</v>
      </c>
      <c r="Q115" s="20" t="e">
        <f>#REF!-N115</f>
        <v>#REF!</v>
      </c>
      <c r="R115" s="20" t="e">
        <f>#REF!-O115</f>
        <v>#REF!</v>
      </c>
      <c r="S115" s="17" t="str">
        <f t="shared" si="24"/>
        <v>12 2 00 00000000</v>
      </c>
    </row>
    <row r="116" spans="1:19" s="16" customFormat="1" ht="47.25">
      <c r="A116" s="14"/>
      <c r="B116" s="129" t="s">
        <v>98</v>
      </c>
      <c r="C116" s="109" t="s">
        <v>64</v>
      </c>
      <c r="D116" s="108" t="s">
        <v>11</v>
      </c>
      <c r="E116" s="108" t="s">
        <v>51</v>
      </c>
      <c r="F116" s="108" t="s">
        <v>99</v>
      </c>
      <c r="G116" s="108" t="s">
        <v>9</v>
      </c>
      <c r="H116" s="126">
        <f>H117+H120</f>
        <v>0</v>
      </c>
      <c r="I116" s="108">
        <v>1220300000</v>
      </c>
      <c r="J116" s="108" t="str">
        <f t="shared" si="17"/>
        <v>1220300000</v>
      </c>
      <c r="K116" s="132"/>
      <c r="L116" s="17"/>
      <c r="M116" s="20">
        <v>2119.08</v>
      </c>
      <c r="N116" s="20">
        <v>2119.08</v>
      </c>
      <c r="O116" s="20">
        <v>2119.08</v>
      </c>
      <c r="P116" s="20">
        <f t="shared" si="25"/>
        <v>-2119.08</v>
      </c>
      <c r="Q116" s="20" t="e">
        <f>#REF!-N116</f>
        <v>#REF!</v>
      </c>
      <c r="R116" s="20" t="e">
        <f>#REF!-O116</f>
        <v>#REF!</v>
      </c>
      <c r="S116" s="17" t="str">
        <f t="shared" si="24"/>
        <v>12 2 03 00000000</v>
      </c>
    </row>
    <row r="117" spans="1:19" s="16" customFormat="1" ht="63">
      <c r="A117" s="14"/>
      <c r="B117" s="129" t="s">
        <v>100</v>
      </c>
      <c r="C117" s="109" t="s">
        <v>64</v>
      </c>
      <c r="D117" s="108" t="s">
        <v>11</v>
      </c>
      <c r="E117" s="108" t="s">
        <v>51</v>
      </c>
      <c r="F117" s="108" t="s">
        <v>101</v>
      </c>
      <c r="G117" s="108" t="s">
        <v>9</v>
      </c>
      <c r="H117" s="126">
        <f>H118</f>
        <v>0</v>
      </c>
      <c r="I117" s="108">
        <v>1220320040</v>
      </c>
      <c r="J117" s="108" t="str">
        <f t="shared" si="17"/>
        <v>1220320040</v>
      </c>
      <c r="K117" s="132"/>
      <c r="L117" s="17"/>
      <c r="M117" s="20">
        <v>1329.08</v>
      </c>
      <c r="N117" s="20">
        <v>1329.08</v>
      </c>
      <c r="O117" s="20">
        <v>1329.08</v>
      </c>
      <c r="P117" s="20">
        <f t="shared" si="25"/>
        <v>-1329.08</v>
      </c>
      <c r="Q117" s="20" t="e">
        <f>#REF!-N117</f>
        <v>#REF!</v>
      </c>
      <c r="R117" s="20" t="e">
        <f>#REF!-O117</f>
        <v>#REF!</v>
      </c>
      <c r="S117" s="17" t="str">
        <f t="shared" si="24"/>
        <v>12 2 03 20040000</v>
      </c>
    </row>
    <row r="118" spans="1:19" s="16" customFormat="1" ht="15.75">
      <c r="A118" s="14"/>
      <c r="B118" s="125" t="s">
        <v>32</v>
      </c>
      <c r="C118" s="109" t="s">
        <v>64</v>
      </c>
      <c r="D118" s="108" t="s">
        <v>11</v>
      </c>
      <c r="E118" s="108" t="s">
        <v>51</v>
      </c>
      <c r="F118" s="108" t="s">
        <v>101</v>
      </c>
      <c r="G118" s="108" t="s">
        <v>33</v>
      </c>
      <c r="H118" s="126">
        <f>H119</f>
        <v>0</v>
      </c>
      <c r="I118" s="108">
        <v>1220320040</v>
      </c>
      <c r="J118" s="108" t="str">
        <f t="shared" si="17"/>
        <v>1220320040</v>
      </c>
      <c r="K118" s="132"/>
      <c r="L118" s="17"/>
      <c r="M118" s="20">
        <v>1329.08</v>
      </c>
      <c r="N118" s="20">
        <v>1329.08</v>
      </c>
      <c r="O118" s="20">
        <v>1329.08</v>
      </c>
      <c r="P118" s="20">
        <f t="shared" si="25"/>
        <v>-1329.08</v>
      </c>
      <c r="Q118" s="20" t="e">
        <f>#REF!-N118</f>
        <v>#REF!</v>
      </c>
      <c r="R118" s="20" t="e">
        <f>#REF!-O118</f>
        <v>#REF!</v>
      </c>
      <c r="S118" s="17" t="str">
        <f t="shared" si="24"/>
        <v>12 2 03 20040850</v>
      </c>
    </row>
    <row r="119" spans="1:19" s="23" customFormat="1" ht="15.75">
      <c r="A119" s="21"/>
      <c r="B119" s="127" t="s">
        <v>77</v>
      </c>
      <c r="C119" s="109" t="s">
        <v>64</v>
      </c>
      <c r="D119" s="108" t="s">
        <v>11</v>
      </c>
      <c r="E119" s="108" t="s">
        <v>51</v>
      </c>
      <c r="F119" s="108" t="s">
        <v>101</v>
      </c>
      <c r="G119" s="108" t="s">
        <v>78</v>
      </c>
      <c r="H119" s="126"/>
      <c r="I119" s="108">
        <v>1220320040</v>
      </c>
      <c r="J119" s="108" t="str">
        <f t="shared" si="17"/>
        <v>1220320040</v>
      </c>
      <c r="K119" s="304" t="str">
        <f>C119&amp;D119&amp;E119&amp;J119&amp;G119</f>
        <v>60101131220320040853</v>
      </c>
      <c r="L119" s="24"/>
      <c r="M119" s="22"/>
      <c r="N119" s="22"/>
      <c r="O119" s="22"/>
      <c r="P119" s="22"/>
      <c r="Q119" s="22"/>
      <c r="R119" s="22"/>
      <c r="S119" s="24"/>
    </row>
    <row r="120" spans="1:19" s="16" customFormat="1" ht="94.5">
      <c r="A120" s="14"/>
      <c r="B120" s="129" t="s">
        <v>54</v>
      </c>
      <c r="C120" s="109" t="s">
        <v>64</v>
      </c>
      <c r="D120" s="108" t="s">
        <v>11</v>
      </c>
      <c r="E120" s="108" t="s">
        <v>51</v>
      </c>
      <c r="F120" s="108" t="s">
        <v>102</v>
      </c>
      <c r="G120" s="108" t="s">
        <v>9</v>
      </c>
      <c r="H120" s="126">
        <f>H121</f>
        <v>0</v>
      </c>
      <c r="I120" s="108">
        <v>1220320090</v>
      </c>
      <c r="J120" s="108" t="str">
        <f t="shared" si="17"/>
        <v>1220320090</v>
      </c>
      <c r="K120" s="132"/>
      <c r="L120" s="17"/>
      <c r="M120" s="20">
        <v>790</v>
      </c>
      <c r="N120" s="20">
        <v>790</v>
      </c>
      <c r="O120" s="20">
        <v>790</v>
      </c>
      <c r="P120" s="20">
        <f>H120-M120</f>
        <v>-790</v>
      </c>
      <c r="Q120" s="20" t="e">
        <f>#REF!-N120</f>
        <v>#REF!</v>
      </c>
      <c r="R120" s="20" t="e">
        <f>#REF!-O120</f>
        <v>#REF!</v>
      </c>
      <c r="S120" s="17" t="str">
        <f t="shared" si="24"/>
        <v>12 2 03 20090000</v>
      </c>
    </row>
    <row r="121" spans="1:19" s="16" customFormat="1" ht="31.5">
      <c r="A121" s="14"/>
      <c r="B121" s="125" t="s">
        <v>28</v>
      </c>
      <c r="C121" s="109" t="s">
        <v>64</v>
      </c>
      <c r="D121" s="108" t="s">
        <v>11</v>
      </c>
      <c r="E121" s="108" t="s">
        <v>51</v>
      </c>
      <c r="F121" s="108" t="s">
        <v>102</v>
      </c>
      <c r="G121" s="108" t="s">
        <v>29</v>
      </c>
      <c r="H121" s="126">
        <f>H122</f>
        <v>0</v>
      </c>
      <c r="I121" s="108">
        <v>1220320090</v>
      </c>
      <c r="J121" s="108" t="str">
        <f t="shared" si="17"/>
        <v>1220320090</v>
      </c>
      <c r="K121" s="132"/>
      <c r="L121" s="17"/>
      <c r="M121" s="20">
        <v>790</v>
      </c>
      <c r="N121" s="20">
        <v>790</v>
      </c>
      <c r="O121" s="20">
        <v>790</v>
      </c>
      <c r="P121" s="20">
        <f>H121-M121</f>
        <v>-790</v>
      </c>
      <c r="Q121" s="20" t="e">
        <f>#REF!-N121</f>
        <v>#REF!</v>
      </c>
      <c r="R121" s="20" t="e">
        <f>#REF!-O121</f>
        <v>#REF!</v>
      </c>
      <c r="S121" s="17" t="str">
        <f t="shared" si="24"/>
        <v>12 2 03 20090240</v>
      </c>
    </row>
    <row r="122" spans="1:19" s="16" customFormat="1" ht="15.75">
      <c r="A122" s="14"/>
      <c r="B122" s="125" t="s">
        <v>30</v>
      </c>
      <c r="C122" s="109" t="s">
        <v>64</v>
      </c>
      <c r="D122" s="108" t="s">
        <v>11</v>
      </c>
      <c r="E122" s="108" t="s">
        <v>51</v>
      </c>
      <c r="F122" s="108" t="s">
        <v>102</v>
      </c>
      <c r="G122" s="108" t="s">
        <v>31</v>
      </c>
      <c r="H122" s="126"/>
      <c r="I122" s="108">
        <v>1220320090</v>
      </c>
      <c r="J122" s="108" t="str">
        <f t="shared" si="17"/>
        <v>1220320090</v>
      </c>
      <c r="K122" s="304" t="str">
        <f>C122&amp;D122&amp;E122&amp;J122&amp;G122</f>
        <v>60101131220320090244</v>
      </c>
      <c r="L122" s="17"/>
      <c r="M122" s="20"/>
      <c r="N122" s="20"/>
      <c r="O122" s="20"/>
      <c r="P122" s="20"/>
      <c r="Q122" s="20"/>
      <c r="R122" s="20"/>
      <c r="S122" s="17" t="str">
        <f t="shared" si="24"/>
        <v>12 2 03 20090244</v>
      </c>
    </row>
    <row r="123" spans="1:19" s="16" customFormat="1" ht="47.25">
      <c r="A123" s="14"/>
      <c r="B123" s="129" t="s">
        <v>103</v>
      </c>
      <c r="C123" s="109" t="s">
        <v>64</v>
      </c>
      <c r="D123" s="108" t="s">
        <v>11</v>
      </c>
      <c r="E123" s="108" t="s">
        <v>51</v>
      </c>
      <c r="F123" s="108" t="s">
        <v>104</v>
      </c>
      <c r="G123" s="108" t="s">
        <v>9</v>
      </c>
      <c r="H123" s="126">
        <f>H124</f>
        <v>0</v>
      </c>
      <c r="I123" s="108">
        <v>1300000000</v>
      </c>
      <c r="J123" s="108" t="str">
        <f t="shared" si="17"/>
        <v>1300000000</v>
      </c>
      <c r="K123" s="132"/>
      <c r="L123" s="17"/>
      <c r="M123" s="20">
        <v>100</v>
      </c>
      <c r="N123" s="20">
        <v>100</v>
      </c>
      <c r="O123" s="20">
        <v>100</v>
      </c>
      <c r="P123" s="20">
        <f>H123-M123</f>
        <v>-100</v>
      </c>
      <c r="Q123" s="20" t="e">
        <f>#REF!-N123</f>
        <v>#REF!</v>
      </c>
      <c r="R123" s="20" t="e">
        <f>#REF!-O123</f>
        <v>#REF!</v>
      </c>
      <c r="S123" s="17" t="str">
        <f t="shared" si="24"/>
        <v>13 0 00 00000000</v>
      </c>
    </row>
    <row r="124" spans="1:19" s="16" customFormat="1" ht="47.25">
      <c r="A124" s="14"/>
      <c r="B124" s="125" t="s">
        <v>105</v>
      </c>
      <c r="C124" s="109" t="s">
        <v>64</v>
      </c>
      <c r="D124" s="108" t="s">
        <v>11</v>
      </c>
      <c r="E124" s="108" t="s">
        <v>51</v>
      </c>
      <c r="F124" s="108" t="s">
        <v>106</v>
      </c>
      <c r="G124" s="108" t="s">
        <v>9</v>
      </c>
      <c r="H124" s="126">
        <f>H125</f>
        <v>0</v>
      </c>
      <c r="I124" s="108">
        <v>1320000000</v>
      </c>
      <c r="J124" s="108" t="str">
        <f t="shared" si="17"/>
        <v>1320000000</v>
      </c>
      <c r="K124" s="132"/>
      <c r="L124" s="17"/>
      <c r="M124" s="20">
        <v>100</v>
      </c>
      <c r="N124" s="20">
        <v>100</v>
      </c>
      <c r="O124" s="20">
        <v>100</v>
      </c>
      <c r="P124" s="20">
        <f>H124-M124</f>
        <v>-100</v>
      </c>
      <c r="Q124" s="20" t="e">
        <f>#REF!-N124</f>
        <v>#REF!</v>
      </c>
      <c r="R124" s="20" t="e">
        <f>#REF!-O124</f>
        <v>#REF!</v>
      </c>
      <c r="S124" s="17" t="str">
        <f t="shared" si="24"/>
        <v>13 2 00 00000000</v>
      </c>
    </row>
    <row r="125" spans="1:19" s="16" customFormat="1" ht="31.5">
      <c r="A125" s="14"/>
      <c r="B125" s="129" t="s">
        <v>107</v>
      </c>
      <c r="C125" s="109" t="s">
        <v>64</v>
      </c>
      <c r="D125" s="108" t="s">
        <v>11</v>
      </c>
      <c r="E125" s="108" t="s">
        <v>51</v>
      </c>
      <c r="F125" s="108" t="s">
        <v>108</v>
      </c>
      <c r="G125" s="108" t="s">
        <v>9</v>
      </c>
      <c r="H125" s="126">
        <f>H126</f>
        <v>0</v>
      </c>
      <c r="I125" s="108">
        <v>1320100000</v>
      </c>
      <c r="J125" s="108" t="str">
        <f t="shared" si="17"/>
        <v>1320100000</v>
      </c>
      <c r="K125" s="132"/>
      <c r="L125" s="17"/>
      <c r="M125" s="20">
        <v>100</v>
      </c>
      <c r="N125" s="20">
        <v>100</v>
      </c>
      <c r="O125" s="20">
        <v>100</v>
      </c>
      <c r="P125" s="20">
        <f>H125-M125</f>
        <v>-100</v>
      </c>
      <c r="Q125" s="20" t="e">
        <f>#REF!-N125</f>
        <v>#REF!</v>
      </c>
      <c r="R125" s="20" t="e">
        <f>#REF!-O125</f>
        <v>#REF!</v>
      </c>
      <c r="S125" s="17" t="str">
        <f t="shared" si="24"/>
        <v>13 2 01 00000000</v>
      </c>
    </row>
    <row r="126" spans="1:19" s="16" customFormat="1" ht="47.25">
      <c r="A126" s="14"/>
      <c r="B126" s="129" t="s">
        <v>109</v>
      </c>
      <c r="C126" s="109" t="s">
        <v>64</v>
      </c>
      <c r="D126" s="108" t="s">
        <v>11</v>
      </c>
      <c r="E126" s="108" t="s">
        <v>51</v>
      </c>
      <c r="F126" s="108" t="s">
        <v>110</v>
      </c>
      <c r="G126" s="108" t="s">
        <v>9</v>
      </c>
      <c r="H126" s="126">
        <f>H127</f>
        <v>0</v>
      </c>
      <c r="I126" s="108">
        <v>1320120620</v>
      </c>
      <c r="J126" s="108" t="str">
        <f t="shared" si="17"/>
        <v>1320120620</v>
      </c>
      <c r="K126" s="132"/>
      <c r="L126" s="17"/>
      <c r="M126" s="20">
        <v>100</v>
      </c>
      <c r="N126" s="20">
        <v>100</v>
      </c>
      <c r="O126" s="20">
        <v>100</v>
      </c>
      <c r="P126" s="20">
        <f>H126-M126</f>
        <v>-100</v>
      </c>
      <c r="Q126" s="20" t="e">
        <f>#REF!-N126</f>
        <v>#REF!</v>
      </c>
      <c r="R126" s="20" t="e">
        <f>#REF!-O126</f>
        <v>#REF!</v>
      </c>
      <c r="S126" s="17" t="str">
        <f t="shared" si="24"/>
        <v>13 2 01 20620000</v>
      </c>
    </row>
    <row r="127" spans="1:19" s="16" customFormat="1" ht="31.5">
      <c r="A127" s="14"/>
      <c r="B127" s="125" t="s">
        <v>28</v>
      </c>
      <c r="C127" s="109" t="s">
        <v>64</v>
      </c>
      <c r="D127" s="108" t="s">
        <v>11</v>
      </c>
      <c r="E127" s="108" t="s">
        <v>51</v>
      </c>
      <c r="F127" s="108" t="s">
        <v>110</v>
      </c>
      <c r="G127" s="108" t="s">
        <v>29</v>
      </c>
      <c r="H127" s="126">
        <f>H128</f>
        <v>0</v>
      </c>
      <c r="I127" s="108">
        <v>1320120620</v>
      </c>
      <c r="J127" s="108" t="str">
        <f t="shared" si="17"/>
        <v>1320120620</v>
      </c>
      <c r="K127" s="132"/>
      <c r="L127" s="17"/>
      <c r="M127" s="20">
        <v>100</v>
      </c>
      <c r="N127" s="20">
        <v>100</v>
      </c>
      <c r="O127" s="20">
        <v>100</v>
      </c>
      <c r="P127" s="20">
        <f>H127-M127</f>
        <v>-100</v>
      </c>
      <c r="Q127" s="20" t="e">
        <f>#REF!-N127</f>
        <v>#REF!</v>
      </c>
      <c r="R127" s="20" t="e">
        <f>#REF!-O127</f>
        <v>#REF!</v>
      </c>
      <c r="S127" s="17" t="str">
        <f t="shared" si="24"/>
        <v>13 2 01 20620240</v>
      </c>
    </row>
    <row r="128" spans="1:19" s="16" customFormat="1" ht="15.75">
      <c r="A128" s="14"/>
      <c r="B128" s="125" t="s">
        <v>30</v>
      </c>
      <c r="C128" s="109" t="s">
        <v>64</v>
      </c>
      <c r="D128" s="108" t="s">
        <v>11</v>
      </c>
      <c r="E128" s="108" t="s">
        <v>51</v>
      </c>
      <c r="F128" s="108" t="s">
        <v>110</v>
      </c>
      <c r="G128" s="108" t="s">
        <v>31</v>
      </c>
      <c r="H128" s="126"/>
      <c r="I128" s="108">
        <v>1320120620</v>
      </c>
      <c r="J128" s="108" t="str">
        <f t="shared" si="17"/>
        <v>1320120620</v>
      </c>
      <c r="K128" s="304" t="str">
        <f>C128&amp;D128&amp;E128&amp;J128&amp;G128</f>
        <v>60101131320120620244</v>
      </c>
      <c r="L128" s="17"/>
      <c r="M128" s="20"/>
      <c r="N128" s="20"/>
      <c r="O128" s="20"/>
      <c r="P128" s="20"/>
      <c r="Q128" s="20"/>
      <c r="R128" s="20"/>
      <c r="S128" s="17" t="str">
        <f t="shared" si="24"/>
        <v>13 2 01 20620244</v>
      </c>
    </row>
    <row r="129" spans="1:19" s="16" customFormat="1" ht="63">
      <c r="A129" s="14"/>
      <c r="B129" s="129" t="s">
        <v>111</v>
      </c>
      <c r="C129" s="109" t="s">
        <v>64</v>
      </c>
      <c r="D129" s="108" t="s">
        <v>11</v>
      </c>
      <c r="E129" s="108" t="s">
        <v>51</v>
      </c>
      <c r="F129" s="108" t="s">
        <v>112</v>
      </c>
      <c r="G129" s="108" t="s">
        <v>9</v>
      </c>
      <c r="H129" s="126">
        <f>H130+H139</f>
        <v>0</v>
      </c>
      <c r="I129" s="108">
        <v>1400000000</v>
      </c>
      <c r="J129" s="108" t="str">
        <f t="shared" si="17"/>
        <v>1400000000</v>
      </c>
      <c r="K129" s="132"/>
      <c r="L129" s="17"/>
      <c r="M129" s="20">
        <v>95957.5</v>
      </c>
      <c r="N129" s="20">
        <v>85824.690000000017</v>
      </c>
      <c r="O129" s="20">
        <v>85824.690000000017</v>
      </c>
      <c r="P129" s="20">
        <f>H129-M129</f>
        <v>-95957.5</v>
      </c>
      <c r="Q129" s="20" t="e">
        <f>#REF!-N129</f>
        <v>#REF!</v>
      </c>
      <c r="R129" s="20" t="e">
        <f>#REF!-O129</f>
        <v>#REF!</v>
      </c>
      <c r="S129" s="17" t="str">
        <f t="shared" si="24"/>
        <v>14 0 00 00000000</v>
      </c>
    </row>
    <row r="130" spans="1:19" s="16" customFormat="1" ht="31.5">
      <c r="A130" s="14"/>
      <c r="B130" s="129" t="s">
        <v>113</v>
      </c>
      <c r="C130" s="109" t="s">
        <v>64</v>
      </c>
      <c r="D130" s="108" t="s">
        <v>11</v>
      </c>
      <c r="E130" s="108" t="s">
        <v>51</v>
      </c>
      <c r="F130" s="108" t="s">
        <v>114</v>
      </c>
      <c r="G130" s="108" t="s">
        <v>9</v>
      </c>
      <c r="H130" s="126">
        <f>H131+H135</f>
        <v>0</v>
      </c>
      <c r="I130" s="108">
        <v>1410000000</v>
      </c>
      <c r="J130" s="108" t="str">
        <f t="shared" si="17"/>
        <v>1410000000</v>
      </c>
      <c r="K130" s="132"/>
      <c r="L130" s="17"/>
      <c r="M130" s="20">
        <v>21574.29</v>
      </c>
      <c r="N130" s="20">
        <v>12061.880000000001</v>
      </c>
      <c r="O130" s="20">
        <v>12061.880000000001</v>
      </c>
      <c r="P130" s="20">
        <f>H130-M130</f>
        <v>-21574.29</v>
      </c>
      <c r="Q130" s="20" t="e">
        <f>#REF!-N130</f>
        <v>#REF!</v>
      </c>
      <c r="R130" s="20" t="e">
        <f>#REF!-O130</f>
        <v>#REF!</v>
      </c>
      <c r="S130" s="17" t="str">
        <f t="shared" si="24"/>
        <v>14 1 00 00000000</v>
      </c>
    </row>
    <row r="131" spans="1:19" s="16" customFormat="1" ht="47.25">
      <c r="A131" s="14"/>
      <c r="B131" s="129" t="s">
        <v>115</v>
      </c>
      <c r="C131" s="109" t="s">
        <v>64</v>
      </c>
      <c r="D131" s="108" t="s">
        <v>11</v>
      </c>
      <c r="E131" s="108" t="s">
        <v>51</v>
      </c>
      <c r="F131" s="108" t="s">
        <v>116</v>
      </c>
      <c r="G131" s="108" t="s">
        <v>9</v>
      </c>
      <c r="H131" s="126">
        <f>H132</f>
        <v>0</v>
      </c>
      <c r="I131" s="108">
        <v>1410100000</v>
      </c>
      <c r="J131" s="108" t="str">
        <f t="shared" si="17"/>
        <v>1410100000</v>
      </c>
      <c r="K131" s="132"/>
      <c r="L131" s="17"/>
      <c r="M131" s="20">
        <v>15750.150000000001</v>
      </c>
      <c r="N131" s="20">
        <v>8250.85</v>
      </c>
      <c r="O131" s="20">
        <v>8250.85</v>
      </c>
      <c r="P131" s="20">
        <f>H131-M131</f>
        <v>-15750.150000000001</v>
      </c>
      <c r="Q131" s="20" t="e">
        <f>#REF!-N131</f>
        <v>#REF!</v>
      </c>
      <c r="R131" s="20" t="e">
        <f>#REF!-O131</f>
        <v>#REF!</v>
      </c>
      <c r="S131" s="17" t="str">
        <f t="shared" si="24"/>
        <v>14 1 01 00000000</v>
      </c>
    </row>
    <row r="132" spans="1:19" s="16" customFormat="1" ht="31.5">
      <c r="A132" s="14"/>
      <c r="B132" s="129" t="s">
        <v>117</v>
      </c>
      <c r="C132" s="109" t="s">
        <v>64</v>
      </c>
      <c r="D132" s="108" t="s">
        <v>11</v>
      </c>
      <c r="E132" s="108" t="s">
        <v>51</v>
      </c>
      <c r="F132" s="108" t="s">
        <v>118</v>
      </c>
      <c r="G132" s="108" t="s">
        <v>9</v>
      </c>
      <c r="H132" s="126">
        <f t="shared" ref="H132" si="27">H133</f>
        <v>0</v>
      </c>
      <c r="I132" s="108">
        <v>1410120630</v>
      </c>
      <c r="J132" s="108" t="str">
        <f t="shared" si="17"/>
        <v>1410120630</v>
      </c>
      <c r="K132" s="132"/>
      <c r="L132" s="17"/>
      <c r="M132" s="20">
        <v>15750.150000000001</v>
      </c>
      <c r="N132" s="20">
        <v>8250.85</v>
      </c>
      <c r="O132" s="20">
        <v>8250.85</v>
      </c>
      <c r="P132" s="20">
        <f>H132-M132</f>
        <v>-15750.150000000001</v>
      </c>
      <c r="Q132" s="20" t="e">
        <f>#REF!-N132</f>
        <v>#REF!</v>
      </c>
      <c r="R132" s="20" t="e">
        <f>#REF!-O132</f>
        <v>#REF!</v>
      </c>
      <c r="S132" s="17" t="str">
        <f t="shared" si="24"/>
        <v>14 1 01 20630000</v>
      </c>
    </row>
    <row r="133" spans="1:19" s="16" customFormat="1" ht="31.5">
      <c r="A133" s="14"/>
      <c r="B133" s="125" t="s">
        <v>28</v>
      </c>
      <c r="C133" s="109" t="s">
        <v>64</v>
      </c>
      <c r="D133" s="108" t="s">
        <v>11</v>
      </c>
      <c r="E133" s="108" t="s">
        <v>51</v>
      </c>
      <c r="F133" s="108" t="s">
        <v>118</v>
      </c>
      <c r="G133" s="108" t="s">
        <v>29</v>
      </c>
      <c r="H133" s="126">
        <f>H134</f>
        <v>0</v>
      </c>
      <c r="I133" s="108">
        <v>1410120630</v>
      </c>
      <c r="J133" s="108" t="str">
        <f t="shared" si="17"/>
        <v>1410120630</v>
      </c>
      <c r="K133" s="132"/>
      <c r="L133" s="17"/>
      <c r="M133" s="20">
        <v>15750.150000000001</v>
      </c>
      <c r="N133" s="20">
        <v>8250.85</v>
      </c>
      <c r="O133" s="20">
        <v>8250.85</v>
      </c>
      <c r="P133" s="20">
        <f>H133-M133</f>
        <v>-15750.150000000001</v>
      </c>
      <c r="Q133" s="20" t="e">
        <f>#REF!-N133</f>
        <v>#REF!</v>
      </c>
      <c r="R133" s="20" t="e">
        <f>#REF!-O133</f>
        <v>#REF!</v>
      </c>
      <c r="S133" s="17" t="str">
        <f t="shared" si="24"/>
        <v>14 1 01 20630240</v>
      </c>
    </row>
    <row r="134" spans="1:19" s="16" customFormat="1" ht="15.75">
      <c r="A134" s="14"/>
      <c r="B134" s="125" t="s">
        <v>30</v>
      </c>
      <c r="C134" s="109" t="s">
        <v>64</v>
      </c>
      <c r="D134" s="108" t="s">
        <v>11</v>
      </c>
      <c r="E134" s="108" t="s">
        <v>51</v>
      </c>
      <c r="F134" s="108" t="s">
        <v>118</v>
      </c>
      <c r="G134" s="108" t="s">
        <v>31</v>
      </c>
      <c r="H134" s="126"/>
      <c r="I134" s="108">
        <v>1410120630</v>
      </c>
      <c r="J134" s="108" t="str">
        <f t="shared" si="17"/>
        <v>1410120630</v>
      </c>
      <c r="K134" s="304" t="str">
        <f>C134&amp;D134&amp;E134&amp;J134&amp;G134</f>
        <v>60101131410120630244</v>
      </c>
      <c r="L134" s="17"/>
      <c r="M134" s="20"/>
      <c r="N134" s="20"/>
      <c r="O134" s="20"/>
      <c r="P134" s="20"/>
      <c r="Q134" s="20"/>
      <c r="R134" s="20"/>
      <c r="S134" s="17" t="str">
        <f t="shared" si="24"/>
        <v>14 1 01 20630244</v>
      </c>
    </row>
    <row r="135" spans="1:19" s="16" customFormat="1" ht="63">
      <c r="A135" s="14"/>
      <c r="B135" s="129" t="s">
        <v>119</v>
      </c>
      <c r="C135" s="109" t="s">
        <v>64</v>
      </c>
      <c r="D135" s="108" t="s">
        <v>11</v>
      </c>
      <c r="E135" s="108" t="s">
        <v>51</v>
      </c>
      <c r="F135" s="108" t="s">
        <v>120</v>
      </c>
      <c r="G135" s="108" t="s">
        <v>9</v>
      </c>
      <c r="H135" s="126">
        <f t="shared" ref="H135:H136" si="28">H136</f>
        <v>0</v>
      </c>
      <c r="I135" s="108">
        <v>1410200000</v>
      </c>
      <c r="J135" s="108" t="str">
        <f t="shared" si="17"/>
        <v>1410200000</v>
      </c>
      <c r="K135" s="132"/>
      <c r="L135" s="17"/>
      <c r="M135" s="20">
        <v>5824.1400000000012</v>
      </c>
      <c r="N135" s="20">
        <v>3811.03</v>
      </c>
      <c r="O135" s="20">
        <v>3811.03</v>
      </c>
      <c r="P135" s="20">
        <f>H135-M135</f>
        <v>-5824.1400000000012</v>
      </c>
      <c r="Q135" s="20" t="e">
        <f>#REF!-N135</f>
        <v>#REF!</v>
      </c>
      <c r="R135" s="20" t="e">
        <f>#REF!-O135</f>
        <v>#REF!</v>
      </c>
      <c r="S135" s="17" t="str">
        <f t="shared" si="24"/>
        <v>14 1 02 00000000</v>
      </c>
    </row>
    <row r="136" spans="1:19" s="16" customFormat="1" ht="31.5">
      <c r="A136" s="14"/>
      <c r="B136" s="129" t="s">
        <v>117</v>
      </c>
      <c r="C136" s="109" t="s">
        <v>64</v>
      </c>
      <c r="D136" s="108" t="s">
        <v>11</v>
      </c>
      <c r="E136" s="108" t="s">
        <v>51</v>
      </c>
      <c r="F136" s="108" t="s">
        <v>121</v>
      </c>
      <c r="G136" s="108" t="s">
        <v>9</v>
      </c>
      <c r="H136" s="126">
        <f t="shared" si="28"/>
        <v>0</v>
      </c>
      <c r="I136" s="108">
        <v>1410220630</v>
      </c>
      <c r="J136" s="108" t="str">
        <f t="shared" si="17"/>
        <v>1410220630</v>
      </c>
      <c r="K136" s="132"/>
      <c r="L136" s="17"/>
      <c r="M136" s="20">
        <v>5824.1400000000012</v>
      </c>
      <c r="N136" s="20">
        <v>3811.03</v>
      </c>
      <c r="O136" s="20">
        <v>3811.03</v>
      </c>
      <c r="P136" s="20">
        <f>H136-M136</f>
        <v>-5824.1400000000012</v>
      </c>
      <c r="Q136" s="20" t="e">
        <f>#REF!-N136</f>
        <v>#REF!</v>
      </c>
      <c r="R136" s="20" t="e">
        <f>#REF!-O136</f>
        <v>#REF!</v>
      </c>
      <c r="S136" s="17" t="str">
        <f t="shared" si="24"/>
        <v>14 1 02 20630000</v>
      </c>
    </row>
    <row r="137" spans="1:19" s="16" customFormat="1" ht="31.5">
      <c r="A137" s="14"/>
      <c r="B137" s="125" t="s">
        <v>28</v>
      </c>
      <c r="C137" s="109" t="s">
        <v>64</v>
      </c>
      <c r="D137" s="108" t="s">
        <v>11</v>
      </c>
      <c r="E137" s="108" t="s">
        <v>51</v>
      </c>
      <c r="F137" s="108" t="s">
        <v>121</v>
      </c>
      <c r="G137" s="108" t="s">
        <v>29</v>
      </c>
      <c r="H137" s="126">
        <f>H138</f>
        <v>0</v>
      </c>
      <c r="I137" s="108">
        <v>1410220630</v>
      </c>
      <c r="J137" s="108" t="str">
        <f t="shared" si="17"/>
        <v>1410220630</v>
      </c>
      <c r="K137" s="132"/>
      <c r="L137" s="17"/>
      <c r="M137" s="20">
        <v>5824.1400000000012</v>
      </c>
      <c r="N137" s="20">
        <v>3811.03</v>
      </c>
      <c r="O137" s="20">
        <v>3811.03</v>
      </c>
      <c r="P137" s="20">
        <f>H137-M137</f>
        <v>-5824.1400000000012</v>
      </c>
      <c r="Q137" s="20" t="e">
        <f>#REF!-N137</f>
        <v>#REF!</v>
      </c>
      <c r="R137" s="20" t="e">
        <f>#REF!-O137</f>
        <v>#REF!</v>
      </c>
      <c r="S137" s="17" t="str">
        <f t="shared" si="24"/>
        <v>14 1 02 20630240</v>
      </c>
    </row>
    <row r="138" spans="1:19" s="16" customFormat="1" ht="15.75">
      <c r="A138" s="14"/>
      <c r="B138" s="125" t="s">
        <v>30</v>
      </c>
      <c r="C138" s="109" t="s">
        <v>64</v>
      </c>
      <c r="D138" s="108" t="s">
        <v>11</v>
      </c>
      <c r="E138" s="108" t="s">
        <v>51</v>
      </c>
      <c r="F138" s="108" t="s">
        <v>121</v>
      </c>
      <c r="G138" s="108" t="s">
        <v>31</v>
      </c>
      <c r="H138" s="126"/>
      <c r="I138" s="108">
        <v>1410220630</v>
      </c>
      <c r="J138" s="108" t="str">
        <f t="shared" si="17"/>
        <v>1410220630</v>
      </c>
      <c r="K138" s="304" t="str">
        <f>C138&amp;D138&amp;E138&amp;J138&amp;G138</f>
        <v>60101131410220630244</v>
      </c>
      <c r="L138" s="17"/>
      <c r="M138" s="20"/>
      <c r="N138" s="20"/>
      <c r="O138" s="20"/>
      <c r="P138" s="20"/>
      <c r="Q138" s="20"/>
      <c r="R138" s="20"/>
      <c r="S138" s="17"/>
    </row>
    <row r="139" spans="1:19" s="16" customFormat="1" ht="47.25">
      <c r="A139" s="14"/>
      <c r="B139" s="129" t="s">
        <v>122</v>
      </c>
      <c r="C139" s="109" t="s">
        <v>64</v>
      </c>
      <c r="D139" s="108" t="s">
        <v>11</v>
      </c>
      <c r="E139" s="108" t="s">
        <v>51</v>
      </c>
      <c r="F139" s="108" t="s">
        <v>123</v>
      </c>
      <c r="G139" s="108" t="s">
        <v>9</v>
      </c>
      <c r="H139" s="126">
        <f>H140+H144+H152+H148</f>
        <v>0</v>
      </c>
      <c r="I139" s="108">
        <v>1420000000</v>
      </c>
      <c r="J139" s="108" t="str">
        <f t="shared" si="17"/>
        <v>1420000000</v>
      </c>
      <c r="K139" s="132"/>
      <c r="L139" s="17"/>
      <c r="M139" s="20">
        <v>74383.210000000006</v>
      </c>
      <c r="N139" s="20">
        <v>73762.810000000012</v>
      </c>
      <c r="O139" s="20">
        <v>73762.810000000012</v>
      </c>
      <c r="P139" s="20">
        <f>H139-M139</f>
        <v>-74383.210000000006</v>
      </c>
      <c r="Q139" s="20" t="e">
        <f>#REF!-N139</f>
        <v>#REF!</v>
      </c>
      <c r="R139" s="20" t="e">
        <f>#REF!-O139</f>
        <v>#REF!</v>
      </c>
      <c r="S139" s="17" t="str">
        <f t="shared" si="24"/>
        <v>14 2 00 00000000</v>
      </c>
    </row>
    <row r="140" spans="1:19" s="16" customFormat="1" ht="47.25">
      <c r="A140" s="14"/>
      <c r="B140" s="129" t="s">
        <v>124</v>
      </c>
      <c r="C140" s="109" t="s">
        <v>64</v>
      </c>
      <c r="D140" s="108" t="s">
        <v>11</v>
      </c>
      <c r="E140" s="108" t="s">
        <v>51</v>
      </c>
      <c r="F140" s="108" t="s">
        <v>125</v>
      </c>
      <c r="G140" s="108" t="s">
        <v>9</v>
      </c>
      <c r="H140" s="126">
        <f t="shared" ref="H140:H141" si="29">H141</f>
        <v>0</v>
      </c>
      <c r="I140" s="108">
        <v>1420100000</v>
      </c>
      <c r="J140" s="108" t="str">
        <f t="shared" si="17"/>
        <v>1420100000</v>
      </c>
      <c r="K140" s="132"/>
      <c r="L140" s="17"/>
      <c r="M140" s="20">
        <v>450</v>
      </c>
      <c r="N140" s="20">
        <v>450</v>
      </c>
      <c r="O140" s="20">
        <v>450</v>
      </c>
      <c r="P140" s="20">
        <f>H140-M140</f>
        <v>-450</v>
      </c>
      <c r="Q140" s="20" t="e">
        <f>#REF!-N140</f>
        <v>#REF!</v>
      </c>
      <c r="R140" s="20" t="e">
        <f>#REF!-O140</f>
        <v>#REF!</v>
      </c>
      <c r="S140" s="17" t="str">
        <f t="shared" si="24"/>
        <v>14 2 01 00000000</v>
      </c>
    </row>
    <row r="141" spans="1:19" s="16" customFormat="1" ht="63">
      <c r="A141" s="14"/>
      <c r="B141" s="129" t="s">
        <v>126</v>
      </c>
      <c r="C141" s="109" t="s">
        <v>64</v>
      </c>
      <c r="D141" s="108" t="s">
        <v>11</v>
      </c>
      <c r="E141" s="108" t="s">
        <v>51</v>
      </c>
      <c r="F141" s="108" t="s">
        <v>127</v>
      </c>
      <c r="G141" s="108" t="s">
        <v>9</v>
      </c>
      <c r="H141" s="126">
        <f t="shared" si="29"/>
        <v>0</v>
      </c>
      <c r="I141" s="108">
        <v>1420120710</v>
      </c>
      <c r="J141" s="108" t="str">
        <f t="shared" ref="J141:J204" si="30">TEXT(I141,"0000000000")</f>
        <v>1420120710</v>
      </c>
      <c r="K141" s="132"/>
      <c r="L141" s="17"/>
      <c r="M141" s="20">
        <v>450</v>
      </c>
      <c r="N141" s="20">
        <v>450</v>
      </c>
      <c r="O141" s="20">
        <v>450</v>
      </c>
      <c r="P141" s="20">
        <f>H141-M141</f>
        <v>-450</v>
      </c>
      <c r="Q141" s="20" t="e">
        <f>#REF!-N141</f>
        <v>#REF!</v>
      </c>
      <c r="R141" s="20" t="e">
        <f>#REF!-O141</f>
        <v>#REF!</v>
      </c>
      <c r="S141" s="17" t="str">
        <f t="shared" si="24"/>
        <v>14 2 01 20710000</v>
      </c>
    </row>
    <row r="142" spans="1:19" s="16" customFormat="1" ht="31.5">
      <c r="A142" s="14"/>
      <c r="B142" s="125" t="s">
        <v>28</v>
      </c>
      <c r="C142" s="109" t="s">
        <v>64</v>
      </c>
      <c r="D142" s="108" t="s">
        <v>11</v>
      </c>
      <c r="E142" s="108" t="s">
        <v>51</v>
      </c>
      <c r="F142" s="108" t="s">
        <v>127</v>
      </c>
      <c r="G142" s="108" t="s">
        <v>29</v>
      </c>
      <c r="H142" s="126">
        <f>H143</f>
        <v>0</v>
      </c>
      <c r="I142" s="108">
        <v>1420120710</v>
      </c>
      <c r="J142" s="108" t="str">
        <f t="shared" si="30"/>
        <v>1420120710</v>
      </c>
      <c r="K142" s="132"/>
      <c r="L142" s="17"/>
      <c r="M142" s="20">
        <v>450</v>
      </c>
      <c r="N142" s="20">
        <v>450</v>
      </c>
      <c r="O142" s="20">
        <v>450</v>
      </c>
      <c r="P142" s="20">
        <f>H142-M142</f>
        <v>-450</v>
      </c>
      <c r="Q142" s="20" t="e">
        <f>#REF!-N142</f>
        <v>#REF!</v>
      </c>
      <c r="R142" s="20" t="e">
        <f>#REF!-O142</f>
        <v>#REF!</v>
      </c>
      <c r="S142" s="17" t="str">
        <f t="shared" si="24"/>
        <v>14 2 01 20710240</v>
      </c>
    </row>
    <row r="143" spans="1:19" s="16" customFormat="1" ht="15.75">
      <c r="A143" s="14"/>
      <c r="B143" s="125" t="s">
        <v>30</v>
      </c>
      <c r="C143" s="109" t="s">
        <v>64</v>
      </c>
      <c r="D143" s="108" t="s">
        <v>11</v>
      </c>
      <c r="E143" s="108" t="s">
        <v>51</v>
      </c>
      <c r="F143" s="108" t="s">
        <v>127</v>
      </c>
      <c r="G143" s="108" t="s">
        <v>31</v>
      </c>
      <c r="H143" s="126"/>
      <c r="I143" s="108">
        <v>1420120710</v>
      </c>
      <c r="J143" s="108" t="str">
        <f t="shared" si="30"/>
        <v>1420120710</v>
      </c>
      <c r="K143" s="304" t="str">
        <f>C143&amp;D143&amp;E143&amp;J143&amp;G143</f>
        <v>60101131420120710244</v>
      </c>
      <c r="L143" s="17"/>
      <c r="M143" s="20"/>
      <c r="N143" s="20"/>
      <c r="O143" s="20"/>
      <c r="P143" s="20"/>
      <c r="Q143" s="20"/>
      <c r="R143" s="20"/>
      <c r="S143" s="17" t="str">
        <f t="shared" si="24"/>
        <v>14 2 01 20710244</v>
      </c>
    </row>
    <row r="144" spans="1:19" s="16" customFormat="1" ht="78.75">
      <c r="A144" s="14"/>
      <c r="B144" s="129" t="s">
        <v>128</v>
      </c>
      <c r="C144" s="109" t="s">
        <v>64</v>
      </c>
      <c r="D144" s="108" t="s">
        <v>11</v>
      </c>
      <c r="E144" s="108" t="s">
        <v>51</v>
      </c>
      <c r="F144" s="108" t="s">
        <v>129</v>
      </c>
      <c r="G144" s="108" t="s">
        <v>9</v>
      </c>
      <c r="H144" s="126">
        <f t="shared" ref="H144:H145" si="31">H145</f>
        <v>0</v>
      </c>
      <c r="I144" s="108">
        <v>1420200000</v>
      </c>
      <c r="J144" s="108" t="str">
        <f t="shared" si="30"/>
        <v>1420200000</v>
      </c>
      <c r="K144" s="132"/>
      <c r="L144" s="17"/>
      <c r="M144" s="20">
        <v>76.5</v>
      </c>
      <c r="N144" s="20">
        <v>76.5</v>
      </c>
      <c r="O144" s="20">
        <v>76.5</v>
      </c>
      <c r="P144" s="20">
        <f>H144-M144</f>
        <v>-76.5</v>
      </c>
      <c r="Q144" s="20" t="e">
        <f>#REF!-N144</f>
        <v>#REF!</v>
      </c>
      <c r="R144" s="20" t="e">
        <f>#REF!-O144</f>
        <v>#REF!</v>
      </c>
      <c r="S144" s="17" t="str">
        <f t="shared" si="24"/>
        <v>14 2 02 00000000</v>
      </c>
    </row>
    <row r="145" spans="1:19" s="16" customFormat="1" ht="63">
      <c r="A145" s="14"/>
      <c r="B145" s="129" t="s">
        <v>126</v>
      </c>
      <c r="C145" s="109" t="s">
        <v>64</v>
      </c>
      <c r="D145" s="108" t="s">
        <v>11</v>
      </c>
      <c r="E145" s="108" t="s">
        <v>51</v>
      </c>
      <c r="F145" s="108" t="s">
        <v>130</v>
      </c>
      <c r="G145" s="108" t="s">
        <v>9</v>
      </c>
      <c r="H145" s="126">
        <f t="shared" si="31"/>
        <v>0</v>
      </c>
      <c r="I145" s="108">
        <v>1420220710</v>
      </c>
      <c r="J145" s="108" t="str">
        <f t="shared" si="30"/>
        <v>1420220710</v>
      </c>
      <c r="K145" s="132"/>
      <c r="L145" s="17"/>
      <c r="M145" s="20">
        <v>76.5</v>
      </c>
      <c r="N145" s="20">
        <v>76.5</v>
      </c>
      <c r="O145" s="20">
        <v>76.5</v>
      </c>
      <c r="P145" s="20">
        <f>H145-M145</f>
        <v>-76.5</v>
      </c>
      <c r="Q145" s="20" t="e">
        <f>#REF!-N145</f>
        <v>#REF!</v>
      </c>
      <c r="R145" s="20" t="e">
        <f>#REF!-O145</f>
        <v>#REF!</v>
      </c>
      <c r="S145" s="17" t="str">
        <f t="shared" si="24"/>
        <v>14 2 02 20710000</v>
      </c>
    </row>
    <row r="146" spans="1:19" s="16" customFormat="1" ht="31.5">
      <c r="A146" s="14"/>
      <c r="B146" s="125" t="s">
        <v>28</v>
      </c>
      <c r="C146" s="109" t="s">
        <v>64</v>
      </c>
      <c r="D146" s="108" t="s">
        <v>11</v>
      </c>
      <c r="E146" s="108" t="s">
        <v>51</v>
      </c>
      <c r="F146" s="108" t="s">
        <v>130</v>
      </c>
      <c r="G146" s="108" t="s">
        <v>29</v>
      </c>
      <c r="H146" s="126">
        <f>H147</f>
        <v>0</v>
      </c>
      <c r="I146" s="108">
        <v>1420220710</v>
      </c>
      <c r="J146" s="108" t="str">
        <f t="shared" si="30"/>
        <v>1420220710</v>
      </c>
      <c r="K146" s="132"/>
      <c r="L146" s="17"/>
      <c r="M146" s="20">
        <v>76.5</v>
      </c>
      <c r="N146" s="20">
        <v>76.5</v>
      </c>
      <c r="O146" s="20">
        <v>76.5</v>
      </c>
      <c r="P146" s="20">
        <f>H146-M146</f>
        <v>-76.5</v>
      </c>
      <c r="Q146" s="20" t="e">
        <f>#REF!-N146</f>
        <v>#REF!</v>
      </c>
      <c r="R146" s="20" t="e">
        <f>#REF!-O146</f>
        <v>#REF!</v>
      </c>
      <c r="S146" s="17" t="str">
        <f t="shared" si="24"/>
        <v>14 2 02 20710240</v>
      </c>
    </row>
    <row r="147" spans="1:19" s="16" customFormat="1" ht="15.75">
      <c r="A147" s="14"/>
      <c r="B147" s="125" t="s">
        <v>30</v>
      </c>
      <c r="C147" s="109" t="s">
        <v>64</v>
      </c>
      <c r="D147" s="108" t="s">
        <v>11</v>
      </c>
      <c r="E147" s="108" t="s">
        <v>51</v>
      </c>
      <c r="F147" s="108" t="s">
        <v>130</v>
      </c>
      <c r="G147" s="108" t="s">
        <v>31</v>
      </c>
      <c r="H147" s="126"/>
      <c r="I147" s="108">
        <v>1420220710</v>
      </c>
      <c r="J147" s="108" t="str">
        <f t="shared" si="30"/>
        <v>1420220710</v>
      </c>
      <c r="K147" s="304" t="str">
        <f>C147&amp;D147&amp;E147&amp;J147&amp;G147</f>
        <v>60101131420220710244</v>
      </c>
      <c r="L147" s="17"/>
      <c r="M147" s="20"/>
      <c r="N147" s="20"/>
      <c r="O147" s="20"/>
      <c r="P147" s="20"/>
      <c r="Q147" s="20"/>
      <c r="R147" s="20"/>
      <c r="S147" s="17" t="str">
        <f t="shared" si="24"/>
        <v>14 2 02 20710244</v>
      </c>
    </row>
    <row r="148" spans="1:19" s="16" customFormat="1" ht="78.75">
      <c r="A148" s="14"/>
      <c r="B148" s="129" t="s">
        <v>131</v>
      </c>
      <c r="C148" s="109" t="s">
        <v>64</v>
      </c>
      <c r="D148" s="108" t="s">
        <v>11</v>
      </c>
      <c r="E148" s="108" t="s">
        <v>51</v>
      </c>
      <c r="F148" s="108" t="s">
        <v>132</v>
      </c>
      <c r="G148" s="108" t="s">
        <v>9</v>
      </c>
      <c r="H148" s="126">
        <f>H149</f>
        <v>0</v>
      </c>
      <c r="I148" s="108">
        <v>1420300000</v>
      </c>
      <c r="J148" s="108" t="str">
        <f t="shared" si="30"/>
        <v>1420300000</v>
      </c>
      <c r="K148" s="132"/>
      <c r="L148" s="17"/>
      <c r="M148" s="20">
        <v>76.5</v>
      </c>
      <c r="N148" s="20">
        <v>76.5</v>
      </c>
      <c r="O148" s="20">
        <v>76.5</v>
      </c>
      <c r="P148" s="20">
        <f>H148-M148</f>
        <v>-76.5</v>
      </c>
      <c r="Q148" s="20" t="e">
        <f>#REF!-N148</f>
        <v>#REF!</v>
      </c>
      <c r="R148" s="20" t="e">
        <f>#REF!-O148</f>
        <v>#REF!</v>
      </c>
      <c r="S148" s="17" t="str">
        <f t="shared" si="24"/>
        <v>14 2 03 00000000</v>
      </c>
    </row>
    <row r="149" spans="1:19" s="16" customFormat="1" ht="63">
      <c r="A149" s="14"/>
      <c r="B149" s="129" t="s">
        <v>126</v>
      </c>
      <c r="C149" s="109" t="s">
        <v>64</v>
      </c>
      <c r="D149" s="108" t="s">
        <v>11</v>
      </c>
      <c r="E149" s="108" t="s">
        <v>51</v>
      </c>
      <c r="F149" s="108" t="s">
        <v>133</v>
      </c>
      <c r="G149" s="108" t="s">
        <v>9</v>
      </c>
      <c r="H149" s="126">
        <f>H150</f>
        <v>0</v>
      </c>
      <c r="I149" s="108">
        <v>1420320710</v>
      </c>
      <c r="J149" s="108" t="str">
        <f t="shared" si="30"/>
        <v>1420320710</v>
      </c>
      <c r="K149" s="132"/>
      <c r="L149" s="17"/>
      <c r="M149" s="20">
        <v>76.5</v>
      </c>
      <c r="N149" s="20">
        <v>76.5</v>
      </c>
      <c r="O149" s="20">
        <v>76.5</v>
      </c>
      <c r="P149" s="20">
        <f>H149-M149</f>
        <v>-76.5</v>
      </c>
      <c r="Q149" s="20" t="e">
        <f>#REF!-N149</f>
        <v>#REF!</v>
      </c>
      <c r="R149" s="20" t="e">
        <f>#REF!-O149</f>
        <v>#REF!</v>
      </c>
      <c r="S149" s="17" t="str">
        <f t="shared" si="24"/>
        <v>14 2 03 20710000</v>
      </c>
    </row>
    <row r="150" spans="1:19" s="16" customFormat="1" ht="31.5">
      <c r="A150" s="14"/>
      <c r="B150" s="125" t="s">
        <v>28</v>
      </c>
      <c r="C150" s="109" t="s">
        <v>64</v>
      </c>
      <c r="D150" s="108" t="s">
        <v>11</v>
      </c>
      <c r="E150" s="108" t="s">
        <v>51</v>
      </c>
      <c r="F150" s="108" t="s">
        <v>133</v>
      </c>
      <c r="G150" s="108" t="s">
        <v>29</v>
      </c>
      <c r="H150" s="126">
        <f>H151</f>
        <v>0</v>
      </c>
      <c r="I150" s="108">
        <v>1420320710</v>
      </c>
      <c r="J150" s="108" t="str">
        <f t="shared" si="30"/>
        <v>1420320710</v>
      </c>
      <c r="K150" s="132"/>
      <c r="L150" s="17"/>
      <c r="M150" s="20">
        <v>76.5</v>
      </c>
      <c r="N150" s="20">
        <v>76.5</v>
      </c>
      <c r="O150" s="20">
        <v>76.5</v>
      </c>
      <c r="P150" s="20">
        <f>H150-M150</f>
        <v>-76.5</v>
      </c>
      <c r="Q150" s="20" t="e">
        <f>#REF!-N150</f>
        <v>#REF!</v>
      </c>
      <c r="R150" s="20" t="e">
        <f>#REF!-O150</f>
        <v>#REF!</v>
      </c>
      <c r="S150" s="17" t="str">
        <f t="shared" si="24"/>
        <v>14 2 03 20710240</v>
      </c>
    </row>
    <row r="151" spans="1:19" s="16" customFormat="1" ht="15.75">
      <c r="A151" s="14"/>
      <c r="B151" s="125" t="s">
        <v>30</v>
      </c>
      <c r="C151" s="109" t="s">
        <v>64</v>
      </c>
      <c r="D151" s="108" t="s">
        <v>11</v>
      </c>
      <c r="E151" s="108" t="s">
        <v>51</v>
      </c>
      <c r="F151" s="108" t="s">
        <v>133</v>
      </c>
      <c r="G151" s="108" t="s">
        <v>31</v>
      </c>
      <c r="H151" s="126"/>
      <c r="I151" s="108">
        <v>1420320710</v>
      </c>
      <c r="J151" s="108" t="str">
        <f t="shared" si="30"/>
        <v>1420320710</v>
      </c>
      <c r="K151" s="304" t="str">
        <f>C151&amp;D151&amp;E151&amp;J151&amp;G151</f>
        <v>60101131420320710244</v>
      </c>
      <c r="L151" s="17"/>
      <c r="M151" s="20"/>
      <c r="N151" s="20"/>
      <c r="O151" s="20"/>
      <c r="P151" s="20"/>
      <c r="Q151" s="20"/>
      <c r="R151" s="20"/>
      <c r="S151" s="17" t="str">
        <f t="shared" si="24"/>
        <v>14 2 03 20710244</v>
      </c>
    </row>
    <row r="152" spans="1:19" s="16" customFormat="1" ht="63">
      <c r="A152" s="14"/>
      <c r="B152" s="125" t="s">
        <v>134</v>
      </c>
      <c r="C152" s="109" t="s">
        <v>64</v>
      </c>
      <c r="D152" s="108" t="s">
        <v>11</v>
      </c>
      <c r="E152" s="108" t="s">
        <v>51</v>
      </c>
      <c r="F152" s="108" t="s">
        <v>135</v>
      </c>
      <c r="G152" s="108" t="s">
        <v>9</v>
      </c>
      <c r="H152" s="126">
        <f>H153</f>
        <v>0</v>
      </c>
      <c r="I152" s="108">
        <v>1420400000</v>
      </c>
      <c r="J152" s="108" t="str">
        <f t="shared" si="30"/>
        <v>1420400000</v>
      </c>
      <c r="K152" s="132"/>
      <c r="L152" s="17"/>
      <c r="M152" s="20">
        <v>73780.210000000006</v>
      </c>
      <c r="N152" s="20">
        <v>73159.810000000012</v>
      </c>
      <c r="O152" s="20">
        <v>73159.810000000012</v>
      </c>
      <c r="P152" s="20">
        <f>H152-M152</f>
        <v>-73780.210000000006</v>
      </c>
      <c r="Q152" s="20" t="e">
        <f>#REF!-N152</f>
        <v>#REF!</v>
      </c>
      <c r="R152" s="20" t="e">
        <f>#REF!-O152</f>
        <v>#REF!</v>
      </c>
      <c r="S152" s="17" t="str">
        <f t="shared" si="24"/>
        <v>14 2 04 00000000</v>
      </c>
    </row>
    <row r="153" spans="1:19" s="16" customFormat="1" ht="31.5">
      <c r="A153" s="14"/>
      <c r="B153" s="125" t="s">
        <v>136</v>
      </c>
      <c r="C153" s="109" t="s">
        <v>64</v>
      </c>
      <c r="D153" s="108" t="s">
        <v>11</v>
      </c>
      <c r="E153" s="108" t="s">
        <v>51</v>
      </c>
      <c r="F153" s="108" t="s">
        <v>137</v>
      </c>
      <c r="G153" s="108" t="s">
        <v>9</v>
      </c>
      <c r="H153" s="126">
        <f>H154+H158+H160</f>
        <v>0</v>
      </c>
      <c r="I153" s="108">
        <v>1420411010</v>
      </c>
      <c r="J153" s="108" t="str">
        <f t="shared" si="30"/>
        <v>1420411010</v>
      </c>
      <c r="K153" s="132"/>
      <c r="L153" s="17"/>
      <c r="M153" s="20">
        <v>73780.210000000006</v>
      </c>
      <c r="N153" s="20">
        <v>73159.810000000012</v>
      </c>
      <c r="O153" s="20">
        <v>73159.810000000012</v>
      </c>
      <c r="P153" s="20">
        <f>H153-M153</f>
        <v>-73780.210000000006</v>
      </c>
      <c r="Q153" s="20" t="e">
        <f>#REF!-N153</f>
        <v>#REF!</v>
      </c>
      <c r="R153" s="20" t="e">
        <f>#REF!-O153</f>
        <v>#REF!</v>
      </c>
      <c r="S153" s="17" t="str">
        <f t="shared" si="24"/>
        <v>14 2 04 11010000</v>
      </c>
    </row>
    <row r="154" spans="1:19" s="16" customFormat="1" ht="15.75">
      <c r="A154" s="14"/>
      <c r="B154" s="132" t="s">
        <v>138</v>
      </c>
      <c r="C154" s="109" t="s">
        <v>64</v>
      </c>
      <c r="D154" s="108" t="s">
        <v>11</v>
      </c>
      <c r="E154" s="108" t="s">
        <v>51</v>
      </c>
      <c r="F154" s="108" t="s">
        <v>137</v>
      </c>
      <c r="G154" s="108" t="s">
        <v>139</v>
      </c>
      <c r="H154" s="126">
        <f>SUM(H155:H157)</f>
        <v>0</v>
      </c>
      <c r="I154" s="108">
        <v>1420411010</v>
      </c>
      <c r="J154" s="108" t="str">
        <f t="shared" si="30"/>
        <v>1420411010</v>
      </c>
      <c r="K154" s="132"/>
      <c r="L154" s="17"/>
      <c r="M154" s="20">
        <v>60027.510000000009</v>
      </c>
      <c r="N154" s="20">
        <v>60027.510000000009</v>
      </c>
      <c r="O154" s="20">
        <v>60027.510000000009</v>
      </c>
      <c r="P154" s="20">
        <f>H154-M154</f>
        <v>-60027.510000000009</v>
      </c>
      <c r="Q154" s="20" t="e">
        <f>#REF!-N154</f>
        <v>#REF!</v>
      </c>
      <c r="R154" s="20" t="e">
        <f>#REF!-O154</f>
        <v>#REF!</v>
      </c>
      <c r="S154" s="17" t="str">
        <f t="shared" si="24"/>
        <v>14 2 04 11010110</v>
      </c>
    </row>
    <row r="155" spans="1:19" s="23" customFormat="1" ht="15.75">
      <c r="A155" s="21"/>
      <c r="B155" s="127" t="s">
        <v>140</v>
      </c>
      <c r="C155" s="109" t="s">
        <v>64</v>
      </c>
      <c r="D155" s="108" t="s">
        <v>11</v>
      </c>
      <c r="E155" s="108" t="s">
        <v>51</v>
      </c>
      <c r="F155" s="108" t="s">
        <v>137</v>
      </c>
      <c r="G155" s="108" t="s">
        <v>141</v>
      </c>
      <c r="H155" s="126"/>
      <c r="I155" s="108">
        <v>1420411010</v>
      </c>
      <c r="J155" s="108" t="str">
        <f t="shared" si="30"/>
        <v>1420411010</v>
      </c>
      <c r="K155" s="304" t="str">
        <f t="shared" ref="K155:K157" si="32">C155&amp;D155&amp;E155&amp;J155&amp;G155</f>
        <v>60101131420411010111</v>
      </c>
      <c r="L155" s="24"/>
      <c r="M155" s="22"/>
      <c r="N155" s="22"/>
      <c r="O155" s="22"/>
      <c r="P155" s="22"/>
      <c r="Q155" s="22"/>
      <c r="R155" s="22"/>
      <c r="S155" s="24"/>
    </row>
    <row r="156" spans="1:19" s="23" customFormat="1" ht="31.5">
      <c r="A156" s="21"/>
      <c r="B156" s="127" t="s">
        <v>142</v>
      </c>
      <c r="C156" s="109" t="s">
        <v>64</v>
      </c>
      <c r="D156" s="108" t="s">
        <v>11</v>
      </c>
      <c r="E156" s="108" t="s">
        <v>51</v>
      </c>
      <c r="F156" s="108" t="s">
        <v>137</v>
      </c>
      <c r="G156" s="108" t="s">
        <v>143</v>
      </c>
      <c r="H156" s="126"/>
      <c r="I156" s="108">
        <v>1420411010</v>
      </c>
      <c r="J156" s="108" t="str">
        <f t="shared" si="30"/>
        <v>1420411010</v>
      </c>
      <c r="K156" s="304" t="str">
        <f t="shared" si="32"/>
        <v>60101131420411010112</v>
      </c>
      <c r="L156" s="24"/>
      <c r="M156" s="22"/>
      <c r="N156" s="22"/>
      <c r="O156" s="22"/>
      <c r="P156" s="22"/>
      <c r="Q156" s="22"/>
      <c r="R156" s="22"/>
      <c r="S156" s="24"/>
    </row>
    <row r="157" spans="1:19" s="23" customFormat="1" ht="63">
      <c r="A157" s="21"/>
      <c r="B157" s="127" t="s">
        <v>144</v>
      </c>
      <c r="C157" s="109" t="s">
        <v>64</v>
      </c>
      <c r="D157" s="108" t="s">
        <v>11</v>
      </c>
      <c r="E157" s="108" t="s">
        <v>51</v>
      </c>
      <c r="F157" s="108" t="s">
        <v>137</v>
      </c>
      <c r="G157" s="108" t="s">
        <v>145</v>
      </c>
      <c r="H157" s="126"/>
      <c r="I157" s="108">
        <v>1420411010</v>
      </c>
      <c r="J157" s="108" t="str">
        <f t="shared" si="30"/>
        <v>1420411010</v>
      </c>
      <c r="K157" s="304" t="str">
        <f t="shared" si="32"/>
        <v>60101131420411010119</v>
      </c>
      <c r="L157" s="24"/>
      <c r="M157" s="22"/>
      <c r="N157" s="22"/>
      <c r="O157" s="22"/>
      <c r="P157" s="22"/>
      <c r="Q157" s="22"/>
      <c r="R157" s="22"/>
      <c r="S157" s="24"/>
    </row>
    <row r="158" spans="1:19" s="16" customFormat="1" ht="31.5">
      <c r="A158" s="14"/>
      <c r="B158" s="125" t="s">
        <v>28</v>
      </c>
      <c r="C158" s="109" t="s">
        <v>64</v>
      </c>
      <c r="D158" s="108" t="s">
        <v>11</v>
      </c>
      <c r="E158" s="108" t="s">
        <v>51</v>
      </c>
      <c r="F158" s="108" t="s">
        <v>137</v>
      </c>
      <c r="G158" s="108" t="s">
        <v>29</v>
      </c>
      <c r="H158" s="126">
        <f>H159</f>
        <v>0</v>
      </c>
      <c r="I158" s="108">
        <v>1420411010</v>
      </c>
      <c r="J158" s="108" t="str">
        <f t="shared" si="30"/>
        <v>1420411010</v>
      </c>
      <c r="K158" s="132"/>
      <c r="L158" s="17"/>
      <c r="M158" s="20">
        <v>12409.95</v>
      </c>
      <c r="N158" s="20">
        <v>11789.55</v>
      </c>
      <c r="O158" s="20">
        <v>11789.55</v>
      </c>
      <c r="P158" s="20">
        <f>H158-M158</f>
        <v>-12409.95</v>
      </c>
      <c r="Q158" s="20" t="e">
        <f>#REF!-N158</f>
        <v>#REF!</v>
      </c>
      <c r="R158" s="20" t="e">
        <f>#REF!-O158</f>
        <v>#REF!</v>
      </c>
      <c r="S158" s="17" t="str">
        <f t="shared" si="24"/>
        <v>14 2 04 11010240</v>
      </c>
    </row>
    <row r="159" spans="1:19" s="16" customFormat="1" ht="15.75">
      <c r="A159" s="14"/>
      <c r="B159" s="125" t="s">
        <v>30</v>
      </c>
      <c r="C159" s="109" t="s">
        <v>64</v>
      </c>
      <c r="D159" s="108" t="s">
        <v>11</v>
      </c>
      <c r="E159" s="108" t="s">
        <v>51</v>
      </c>
      <c r="F159" s="108" t="s">
        <v>137</v>
      </c>
      <c r="G159" s="108" t="s">
        <v>31</v>
      </c>
      <c r="H159" s="126"/>
      <c r="I159" s="108">
        <v>1420411010</v>
      </c>
      <c r="J159" s="108" t="str">
        <f t="shared" si="30"/>
        <v>1420411010</v>
      </c>
      <c r="K159" s="304" t="str">
        <f>C159&amp;D159&amp;E159&amp;J159&amp;G159</f>
        <v>60101131420411010244</v>
      </c>
      <c r="L159" s="17"/>
      <c r="M159" s="20"/>
      <c r="N159" s="20"/>
      <c r="O159" s="20"/>
      <c r="P159" s="20"/>
      <c r="Q159" s="20"/>
      <c r="R159" s="20"/>
      <c r="S159" s="17"/>
    </row>
    <row r="160" spans="1:19" s="16" customFormat="1" ht="15.75">
      <c r="A160" s="14"/>
      <c r="B160" s="125" t="s">
        <v>32</v>
      </c>
      <c r="C160" s="109" t="s">
        <v>64</v>
      </c>
      <c r="D160" s="108" t="s">
        <v>11</v>
      </c>
      <c r="E160" s="108" t="s">
        <v>51</v>
      </c>
      <c r="F160" s="108" t="s">
        <v>137</v>
      </c>
      <c r="G160" s="133">
        <v>850</v>
      </c>
      <c r="H160" s="126">
        <f>SUM(H161:H163)</f>
        <v>0</v>
      </c>
      <c r="I160" s="108">
        <v>1420411010</v>
      </c>
      <c r="J160" s="108" t="str">
        <f t="shared" si="30"/>
        <v>1420411010</v>
      </c>
      <c r="K160" s="132"/>
      <c r="L160" s="17"/>
      <c r="M160" s="20">
        <v>1342.7499999999998</v>
      </c>
      <c r="N160" s="20">
        <v>1342.7499999999998</v>
      </c>
      <c r="O160" s="20">
        <v>1342.7499999999998</v>
      </c>
      <c r="P160" s="20">
        <f>H160-M160</f>
        <v>-1342.7499999999998</v>
      </c>
      <c r="Q160" s="20" t="e">
        <f>#REF!-N160</f>
        <v>#REF!</v>
      </c>
      <c r="R160" s="20" t="e">
        <f>#REF!-O160</f>
        <v>#REF!</v>
      </c>
      <c r="S160" s="17" t="str">
        <f t="shared" si="24"/>
        <v>14 2 04 11010850</v>
      </c>
    </row>
    <row r="161" spans="1:19" s="23" customFormat="1" ht="31.5">
      <c r="A161" s="21"/>
      <c r="B161" s="127" t="s">
        <v>34</v>
      </c>
      <c r="C161" s="109" t="s">
        <v>64</v>
      </c>
      <c r="D161" s="108" t="s">
        <v>11</v>
      </c>
      <c r="E161" s="108" t="s">
        <v>51</v>
      </c>
      <c r="F161" s="108" t="s">
        <v>137</v>
      </c>
      <c r="G161" s="133">
        <v>851</v>
      </c>
      <c r="H161" s="126"/>
      <c r="I161" s="108">
        <v>1420411010</v>
      </c>
      <c r="J161" s="108" t="str">
        <f t="shared" si="30"/>
        <v>1420411010</v>
      </c>
      <c r="K161" s="304" t="str">
        <f t="shared" ref="K161:K163" si="33">C161&amp;D161&amp;E161&amp;J161&amp;G161</f>
        <v>60101131420411010851</v>
      </c>
      <c r="L161" s="24"/>
      <c r="M161" s="22"/>
      <c r="N161" s="22"/>
      <c r="O161" s="22"/>
      <c r="P161" s="22"/>
      <c r="Q161" s="22"/>
      <c r="R161" s="22"/>
      <c r="S161" s="24"/>
    </row>
    <row r="162" spans="1:19" s="23" customFormat="1" ht="15.75">
      <c r="A162" s="21"/>
      <c r="B162" s="127" t="s">
        <v>36</v>
      </c>
      <c r="C162" s="109" t="s">
        <v>64</v>
      </c>
      <c r="D162" s="108" t="s">
        <v>11</v>
      </c>
      <c r="E162" s="108" t="s">
        <v>51</v>
      </c>
      <c r="F162" s="108" t="s">
        <v>137</v>
      </c>
      <c r="G162" s="133">
        <v>852</v>
      </c>
      <c r="H162" s="126"/>
      <c r="I162" s="108">
        <v>1420411010</v>
      </c>
      <c r="J162" s="108" t="str">
        <f t="shared" si="30"/>
        <v>1420411010</v>
      </c>
      <c r="K162" s="304" t="str">
        <f t="shared" si="33"/>
        <v>60101131420411010852</v>
      </c>
      <c r="L162" s="24"/>
      <c r="M162" s="22"/>
      <c r="N162" s="22"/>
      <c r="O162" s="22"/>
      <c r="P162" s="22"/>
      <c r="Q162" s="22"/>
      <c r="R162" s="22"/>
      <c r="S162" s="24"/>
    </row>
    <row r="163" spans="1:19" s="23" customFormat="1" ht="15.75">
      <c r="A163" s="21"/>
      <c r="B163" s="127" t="s">
        <v>77</v>
      </c>
      <c r="C163" s="109" t="s">
        <v>64</v>
      </c>
      <c r="D163" s="108" t="s">
        <v>11</v>
      </c>
      <c r="E163" s="108" t="s">
        <v>51</v>
      </c>
      <c r="F163" s="108" t="s">
        <v>137</v>
      </c>
      <c r="G163" s="133">
        <v>853</v>
      </c>
      <c r="H163" s="126"/>
      <c r="I163" s="108">
        <v>1420411010</v>
      </c>
      <c r="J163" s="108" t="str">
        <f t="shared" si="30"/>
        <v>1420411010</v>
      </c>
      <c r="K163" s="304" t="str">
        <f t="shared" si="33"/>
        <v>60101131420411010853</v>
      </c>
      <c r="L163" s="24"/>
      <c r="M163" s="22"/>
      <c r="N163" s="22"/>
      <c r="O163" s="22"/>
      <c r="P163" s="22"/>
      <c r="Q163" s="22"/>
      <c r="R163" s="22"/>
      <c r="S163" s="24"/>
    </row>
    <row r="164" spans="1:19" s="16" customFormat="1" ht="47.25">
      <c r="A164" s="14"/>
      <c r="B164" s="127" t="s">
        <v>146</v>
      </c>
      <c r="C164" s="130">
        <v>601</v>
      </c>
      <c r="D164" s="130" t="s">
        <v>11</v>
      </c>
      <c r="E164" s="130">
        <v>13</v>
      </c>
      <c r="F164" s="130" t="s">
        <v>147</v>
      </c>
      <c r="G164" s="130" t="s">
        <v>9</v>
      </c>
      <c r="H164" s="134">
        <f>H165+H178+H193</f>
        <v>0</v>
      </c>
      <c r="I164" s="130">
        <v>1500000000</v>
      </c>
      <c r="J164" s="130" t="str">
        <f t="shared" si="30"/>
        <v>1500000000</v>
      </c>
      <c r="K164" s="132"/>
      <c r="L164" s="17"/>
      <c r="M164" s="27">
        <v>1051.79</v>
      </c>
      <c r="N164" s="27">
        <v>1001.79</v>
      </c>
      <c r="O164" s="27">
        <v>1001.79</v>
      </c>
      <c r="P164" s="27">
        <f>H164-M164</f>
        <v>-1051.79</v>
      </c>
      <c r="Q164" s="27" t="e">
        <f>#REF!-N164</f>
        <v>#REF!</v>
      </c>
      <c r="R164" s="27" t="e">
        <f>#REF!-O164</f>
        <v>#REF!</v>
      </c>
      <c r="S164" s="17" t="str">
        <f t="shared" si="24"/>
        <v>15 0 00 00000000</v>
      </c>
    </row>
    <row r="165" spans="1:19" s="16" customFormat="1" ht="47.25">
      <c r="A165" s="14"/>
      <c r="B165" s="125" t="s">
        <v>1065</v>
      </c>
      <c r="C165" s="130">
        <v>601</v>
      </c>
      <c r="D165" s="130" t="s">
        <v>11</v>
      </c>
      <c r="E165" s="130">
        <v>13</v>
      </c>
      <c r="F165" s="130" t="s">
        <v>149</v>
      </c>
      <c r="G165" s="130" t="s">
        <v>9</v>
      </c>
      <c r="H165" s="134">
        <f>H166+H170+H174</f>
        <v>0</v>
      </c>
      <c r="I165" s="130">
        <v>1510000000</v>
      </c>
      <c r="J165" s="130" t="str">
        <f t="shared" si="30"/>
        <v>1510000000</v>
      </c>
      <c r="K165" s="132"/>
      <c r="L165" s="17"/>
      <c r="M165" s="27">
        <v>386.6</v>
      </c>
      <c r="N165" s="27">
        <v>336.6</v>
      </c>
      <c r="O165" s="27">
        <v>336.6</v>
      </c>
      <c r="P165" s="27">
        <f>H165-M165</f>
        <v>-386.6</v>
      </c>
      <c r="Q165" s="27" t="e">
        <f>#REF!-N165</f>
        <v>#REF!</v>
      </c>
      <c r="R165" s="27" t="e">
        <f>#REF!-O165</f>
        <v>#REF!</v>
      </c>
      <c r="S165" s="17" t="str">
        <f t="shared" si="24"/>
        <v>15 1 00 00000000</v>
      </c>
    </row>
    <row r="166" spans="1:19" s="16" customFormat="1" ht="63">
      <c r="A166" s="14"/>
      <c r="B166" s="125" t="s">
        <v>1103</v>
      </c>
      <c r="C166" s="130">
        <v>601</v>
      </c>
      <c r="D166" s="130" t="s">
        <v>11</v>
      </c>
      <c r="E166" s="130">
        <v>13</v>
      </c>
      <c r="F166" s="130" t="s">
        <v>151</v>
      </c>
      <c r="G166" s="130" t="s">
        <v>9</v>
      </c>
      <c r="H166" s="134">
        <f>H167</f>
        <v>0</v>
      </c>
      <c r="I166" s="130">
        <v>1510100000</v>
      </c>
      <c r="J166" s="130" t="str">
        <f t="shared" si="30"/>
        <v>1510100000</v>
      </c>
      <c r="K166" s="132"/>
      <c r="L166" s="17"/>
      <c r="M166" s="27">
        <v>386.6</v>
      </c>
      <c r="N166" s="27">
        <v>336.6</v>
      </c>
      <c r="O166" s="27">
        <v>336.6</v>
      </c>
      <c r="P166" s="27">
        <f>H166-M166</f>
        <v>-386.6</v>
      </c>
      <c r="Q166" s="27" t="e">
        <f>#REF!-N166</f>
        <v>#REF!</v>
      </c>
      <c r="R166" s="27" t="e">
        <f>#REF!-O166</f>
        <v>#REF!</v>
      </c>
      <c r="S166" s="17" t="str">
        <f t="shared" si="24"/>
        <v>15 1 01 00000000</v>
      </c>
    </row>
    <row r="167" spans="1:19" s="16" customFormat="1" ht="47.25">
      <c r="A167" s="14"/>
      <c r="B167" s="129" t="s">
        <v>152</v>
      </c>
      <c r="C167" s="130">
        <v>601</v>
      </c>
      <c r="D167" s="130" t="s">
        <v>11</v>
      </c>
      <c r="E167" s="130">
        <v>13</v>
      </c>
      <c r="F167" s="130" t="s">
        <v>153</v>
      </c>
      <c r="G167" s="130" t="s">
        <v>9</v>
      </c>
      <c r="H167" s="134">
        <f>SUM(H168:H168)</f>
        <v>0</v>
      </c>
      <c r="I167" s="130">
        <v>1510120350</v>
      </c>
      <c r="J167" s="130" t="str">
        <f t="shared" si="30"/>
        <v>1510120350</v>
      </c>
      <c r="K167" s="132"/>
      <c r="L167" s="17"/>
      <c r="M167" s="27">
        <v>386.6</v>
      </c>
      <c r="N167" s="27">
        <v>336.6</v>
      </c>
      <c r="O167" s="27">
        <v>336.6</v>
      </c>
      <c r="P167" s="27">
        <f>H167-M167</f>
        <v>-386.6</v>
      </c>
      <c r="Q167" s="27" t="e">
        <f>#REF!-N167</f>
        <v>#REF!</v>
      </c>
      <c r="R167" s="27" t="e">
        <f>#REF!-O167</f>
        <v>#REF!</v>
      </c>
      <c r="S167" s="17" t="str">
        <f t="shared" si="24"/>
        <v>15 1 01 20350000</v>
      </c>
    </row>
    <row r="168" spans="1:19" s="16" customFormat="1" ht="31.5">
      <c r="A168" s="14"/>
      <c r="B168" s="135" t="s">
        <v>28</v>
      </c>
      <c r="C168" s="130">
        <v>601</v>
      </c>
      <c r="D168" s="130" t="s">
        <v>11</v>
      </c>
      <c r="E168" s="130">
        <v>13</v>
      </c>
      <c r="F168" s="130" t="s">
        <v>153</v>
      </c>
      <c r="G168" s="130" t="s">
        <v>29</v>
      </c>
      <c r="H168" s="126">
        <f>H169</f>
        <v>0</v>
      </c>
      <c r="I168" s="130">
        <v>1510120350</v>
      </c>
      <c r="J168" s="130" t="str">
        <f t="shared" si="30"/>
        <v>1510120350</v>
      </c>
      <c r="K168" s="132"/>
      <c r="L168" s="17"/>
      <c r="M168" s="20">
        <v>386.6</v>
      </c>
      <c r="N168" s="20">
        <v>336.6</v>
      </c>
      <c r="O168" s="20">
        <v>336.6</v>
      </c>
      <c r="P168" s="20">
        <f>H168-M168</f>
        <v>-386.6</v>
      </c>
      <c r="Q168" s="20" t="e">
        <f>#REF!-N168</f>
        <v>#REF!</v>
      </c>
      <c r="R168" s="20" t="e">
        <f>#REF!-O168</f>
        <v>#REF!</v>
      </c>
      <c r="S168" s="17" t="str">
        <f t="shared" si="24"/>
        <v>15 1 01 20350240</v>
      </c>
    </row>
    <row r="169" spans="1:19" s="16" customFormat="1" ht="15.75">
      <c r="A169" s="14"/>
      <c r="B169" s="125" t="s">
        <v>30</v>
      </c>
      <c r="C169" s="130">
        <v>601</v>
      </c>
      <c r="D169" s="130" t="s">
        <v>11</v>
      </c>
      <c r="E169" s="130">
        <v>13</v>
      </c>
      <c r="F169" s="130" t="s">
        <v>153</v>
      </c>
      <c r="G169" s="130" t="s">
        <v>31</v>
      </c>
      <c r="H169" s="126"/>
      <c r="I169" s="130">
        <v>1510120350</v>
      </c>
      <c r="J169" s="130" t="str">
        <f t="shared" si="30"/>
        <v>1510120350</v>
      </c>
      <c r="K169" s="304" t="str">
        <f>C169&amp;D169&amp;E169&amp;J169&amp;G169</f>
        <v>60101131510120350244</v>
      </c>
      <c r="L169" s="17"/>
      <c r="M169" s="20"/>
      <c r="N169" s="20"/>
      <c r="O169" s="20"/>
      <c r="P169" s="20"/>
      <c r="Q169" s="20"/>
      <c r="R169" s="20"/>
      <c r="S169" s="17" t="str">
        <f t="shared" si="24"/>
        <v>15 1 01 20350244</v>
      </c>
    </row>
    <row r="170" spans="1:19" s="16" customFormat="1" ht="63">
      <c r="A170" s="14"/>
      <c r="B170" s="125" t="s">
        <v>1071</v>
      </c>
      <c r="C170" s="130">
        <v>601</v>
      </c>
      <c r="D170" s="130" t="s">
        <v>11</v>
      </c>
      <c r="E170" s="130">
        <v>13</v>
      </c>
      <c r="F170" s="130" t="s">
        <v>274</v>
      </c>
      <c r="G170" s="130" t="s">
        <v>9</v>
      </c>
      <c r="H170" s="126">
        <f>H171</f>
        <v>0</v>
      </c>
      <c r="I170" s="130">
        <v>1510200000</v>
      </c>
      <c r="J170" s="130" t="str">
        <f t="shared" si="30"/>
        <v>1510200000</v>
      </c>
      <c r="K170" s="17"/>
      <c r="L170" s="17"/>
      <c r="M170" s="20"/>
      <c r="N170" s="20"/>
      <c r="O170" s="20"/>
      <c r="P170" s="20"/>
      <c r="Q170" s="20"/>
      <c r="R170" s="20"/>
      <c r="S170" s="17"/>
    </row>
    <row r="171" spans="1:19" s="16" customFormat="1" ht="47.25">
      <c r="A171" s="14"/>
      <c r="B171" s="129" t="s">
        <v>152</v>
      </c>
      <c r="C171" s="130">
        <v>601</v>
      </c>
      <c r="D171" s="130" t="s">
        <v>11</v>
      </c>
      <c r="E171" s="130">
        <v>13</v>
      </c>
      <c r="F171" s="130" t="s">
        <v>275</v>
      </c>
      <c r="G171" s="130" t="s">
        <v>9</v>
      </c>
      <c r="H171" s="126">
        <f>H172</f>
        <v>0</v>
      </c>
      <c r="I171" s="130">
        <v>1510220350</v>
      </c>
      <c r="J171" s="130" t="str">
        <f t="shared" si="30"/>
        <v>1510220350</v>
      </c>
      <c r="K171" s="17"/>
      <c r="L171" s="17"/>
      <c r="M171" s="20"/>
      <c r="N171" s="20"/>
      <c r="O171" s="20"/>
      <c r="P171" s="20"/>
      <c r="Q171" s="20"/>
      <c r="R171" s="20"/>
      <c r="S171" s="17"/>
    </row>
    <row r="172" spans="1:19" s="16" customFormat="1" ht="31.5">
      <c r="A172" s="14"/>
      <c r="B172" s="129" t="s">
        <v>28</v>
      </c>
      <c r="C172" s="130">
        <v>601</v>
      </c>
      <c r="D172" s="130" t="s">
        <v>11</v>
      </c>
      <c r="E172" s="130">
        <v>13</v>
      </c>
      <c r="F172" s="130" t="s">
        <v>275</v>
      </c>
      <c r="G172" s="130" t="s">
        <v>29</v>
      </c>
      <c r="H172" s="126">
        <f>H173</f>
        <v>0</v>
      </c>
      <c r="I172" s="130">
        <v>1510220350</v>
      </c>
      <c r="J172" s="130" t="str">
        <f t="shared" si="30"/>
        <v>1510220350</v>
      </c>
      <c r="K172" s="17"/>
      <c r="L172" s="17"/>
      <c r="M172" s="20"/>
      <c r="N172" s="20"/>
      <c r="O172" s="20"/>
      <c r="P172" s="20"/>
      <c r="Q172" s="20"/>
      <c r="R172" s="20"/>
      <c r="S172" s="17"/>
    </row>
    <row r="173" spans="1:19" s="16" customFormat="1" ht="15.75">
      <c r="A173" s="14"/>
      <c r="B173" s="129" t="s">
        <v>30</v>
      </c>
      <c r="C173" s="130">
        <v>601</v>
      </c>
      <c r="D173" s="130" t="s">
        <v>11</v>
      </c>
      <c r="E173" s="130">
        <v>13</v>
      </c>
      <c r="F173" s="130" t="s">
        <v>275</v>
      </c>
      <c r="G173" s="130" t="s">
        <v>31</v>
      </c>
      <c r="H173" s="126"/>
      <c r="I173" s="130">
        <v>1510220350</v>
      </c>
      <c r="J173" s="130" t="str">
        <f t="shared" si="30"/>
        <v>1510220350</v>
      </c>
      <c r="K173" s="304" t="str">
        <f>C173&amp;D173&amp;E173&amp;J173&amp;G173</f>
        <v>60101131510220350244</v>
      </c>
      <c r="L173" s="17"/>
      <c r="M173" s="20"/>
      <c r="N173" s="20"/>
      <c r="O173" s="20"/>
      <c r="P173" s="20"/>
      <c r="Q173" s="20"/>
      <c r="R173" s="20"/>
      <c r="S173" s="17"/>
    </row>
    <row r="174" spans="1:19" s="16" customFormat="1" ht="47.25">
      <c r="A174" s="14"/>
      <c r="B174" s="125" t="s">
        <v>1072</v>
      </c>
      <c r="C174" s="130">
        <v>601</v>
      </c>
      <c r="D174" s="130" t="s">
        <v>11</v>
      </c>
      <c r="E174" s="130">
        <v>13</v>
      </c>
      <c r="F174" s="130" t="s">
        <v>1073</v>
      </c>
      <c r="G174" s="130" t="s">
        <v>9</v>
      </c>
      <c r="H174" s="126">
        <f>H175</f>
        <v>0</v>
      </c>
      <c r="I174" s="130">
        <v>1510300000</v>
      </c>
      <c r="J174" s="130" t="str">
        <f t="shared" si="30"/>
        <v>1510300000</v>
      </c>
      <c r="K174" s="17"/>
      <c r="L174" s="17"/>
      <c r="M174" s="20"/>
      <c r="N174" s="20"/>
      <c r="O174" s="20"/>
      <c r="P174" s="20"/>
      <c r="Q174" s="20"/>
      <c r="R174" s="20"/>
      <c r="S174" s="17"/>
    </row>
    <row r="175" spans="1:19" s="16" customFormat="1" ht="47.25">
      <c r="A175" s="14"/>
      <c r="B175" s="129" t="s">
        <v>152</v>
      </c>
      <c r="C175" s="130">
        <v>601</v>
      </c>
      <c r="D175" s="130" t="s">
        <v>11</v>
      </c>
      <c r="E175" s="130">
        <v>13</v>
      </c>
      <c r="F175" s="130" t="s">
        <v>1074</v>
      </c>
      <c r="G175" s="130" t="s">
        <v>9</v>
      </c>
      <c r="H175" s="126">
        <f>H176</f>
        <v>0</v>
      </c>
      <c r="I175" s="130">
        <v>1510320350</v>
      </c>
      <c r="J175" s="130" t="str">
        <f t="shared" si="30"/>
        <v>1510320350</v>
      </c>
      <c r="K175" s="17"/>
      <c r="L175" s="17"/>
      <c r="M175" s="20"/>
      <c r="N175" s="20"/>
      <c r="O175" s="20"/>
      <c r="P175" s="20"/>
      <c r="Q175" s="20"/>
      <c r="R175" s="20"/>
      <c r="S175" s="17"/>
    </row>
    <row r="176" spans="1:19" s="16" customFormat="1" ht="31.5">
      <c r="A176" s="14"/>
      <c r="B176" s="135" t="s">
        <v>28</v>
      </c>
      <c r="C176" s="130">
        <v>601</v>
      </c>
      <c r="D176" s="130" t="s">
        <v>11</v>
      </c>
      <c r="E176" s="130">
        <v>13</v>
      </c>
      <c r="F176" s="130" t="s">
        <v>1074</v>
      </c>
      <c r="G176" s="130" t="s">
        <v>29</v>
      </c>
      <c r="H176" s="126">
        <f>H177</f>
        <v>0</v>
      </c>
      <c r="I176" s="130">
        <v>1510320350</v>
      </c>
      <c r="J176" s="130" t="str">
        <f t="shared" si="30"/>
        <v>1510320350</v>
      </c>
      <c r="K176" s="17"/>
      <c r="L176" s="17"/>
      <c r="M176" s="20"/>
      <c r="N176" s="20"/>
      <c r="O176" s="20"/>
      <c r="P176" s="20"/>
      <c r="Q176" s="20"/>
      <c r="R176" s="20"/>
      <c r="S176" s="17"/>
    </row>
    <row r="177" spans="1:19" s="16" customFormat="1" ht="15.75">
      <c r="A177" s="14"/>
      <c r="B177" s="129" t="s">
        <v>30</v>
      </c>
      <c r="C177" s="130">
        <v>601</v>
      </c>
      <c r="D177" s="130" t="s">
        <v>11</v>
      </c>
      <c r="E177" s="130">
        <v>13</v>
      </c>
      <c r="F177" s="130" t="s">
        <v>1074</v>
      </c>
      <c r="G177" s="130" t="s">
        <v>31</v>
      </c>
      <c r="H177" s="126"/>
      <c r="I177" s="130">
        <v>1510320350</v>
      </c>
      <c r="J177" s="130" t="str">
        <f t="shared" si="30"/>
        <v>1510320350</v>
      </c>
      <c r="K177" s="304" t="str">
        <f>C177&amp;D177&amp;E177&amp;J177&amp;G177</f>
        <v>60101131510320350244</v>
      </c>
      <c r="L177" s="17"/>
      <c r="M177" s="20"/>
      <c r="N177" s="20"/>
      <c r="O177" s="20"/>
      <c r="P177" s="20"/>
      <c r="Q177" s="20"/>
      <c r="R177" s="20"/>
      <c r="S177" s="17"/>
    </row>
    <row r="178" spans="1:19" s="16" customFormat="1" ht="15.75">
      <c r="A178" s="14"/>
      <c r="B178" s="127" t="s">
        <v>154</v>
      </c>
      <c r="C178" s="136">
        <v>601</v>
      </c>
      <c r="D178" s="130" t="s">
        <v>11</v>
      </c>
      <c r="E178" s="130">
        <v>13</v>
      </c>
      <c r="F178" s="130" t="s">
        <v>155</v>
      </c>
      <c r="G178" s="130" t="s">
        <v>9</v>
      </c>
      <c r="H178" s="134">
        <f>H183+H188+H179</f>
        <v>0</v>
      </c>
      <c r="I178" s="130">
        <v>1520000000</v>
      </c>
      <c r="J178" s="130" t="str">
        <f t="shared" si="30"/>
        <v>1520000000</v>
      </c>
      <c r="K178" s="132"/>
      <c r="L178" s="17"/>
      <c r="M178" s="27">
        <v>414.27</v>
      </c>
      <c r="N178" s="27">
        <v>414.27</v>
      </c>
      <c r="O178" s="27">
        <v>414.27</v>
      </c>
      <c r="P178" s="27">
        <f>H178-M178</f>
        <v>-414.27</v>
      </c>
      <c r="Q178" s="27" t="e">
        <f>#REF!-N178</f>
        <v>#REF!</v>
      </c>
      <c r="R178" s="27" t="e">
        <f>#REF!-O178</f>
        <v>#REF!</v>
      </c>
      <c r="S178" s="17" t="str">
        <f t="shared" si="24"/>
        <v>15 2 00 00000000</v>
      </c>
    </row>
    <row r="179" spans="1:19" s="16" customFormat="1" ht="47.25">
      <c r="A179" s="14"/>
      <c r="B179" s="129" t="s">
        <v>156</v>
      </c>
      <c r="C179" s="136">
        <v>601</v>
      </c>
      <c r="D179" s="130" t="s">
        <v>11</v>
      </c>
      <c r="E179" s="130">
        <v>13</v>
      </c>
      <c r="F179" s="130" t="s">
        <v>157</v>
      </c>
      <c r="G179" s="130" t="s">
        <v>9</v>
      </c>
      <c r="H179" s="134">
        <f>H180</f>
        <v>0</v>
      </c>
      <c r="I179" s="130">
        <v>1520100000</v>
      </c>
      <c r="J179" s="130" t="str">
        <f t="shared" si="30"/>
        <v>1520100000</v>
      </c>
      <c r="K179" s="132"/>
      <c r="L179" s="17"/>
      <c r="M179" s="27">
        <v>74.97</v>
      </c>
      <c r="N179" s="27">
        <v>74.97</v>
      </c>
      <c r="O179" s="27">
        <v>74.97</v>
      </c>
      <c r="P179" s="27">
        <f>H179-M179</f>
        <v>-74.97</v>
      </c>
      <c r="Q179" s="27" t="e">
        <f>#REF!-N179</f>
        <v>#REF!</v>
      </c>
      <c r="R179" s="27" t="e">
        <f>#REF!-O179</f>
        <v>#REF!</v>
      </c>
      <c r="S179" s="17" t="str">
        <f t="shared" si="24"/>
        <v>15 2 01 00000000</v>
      </c>
    </row>
    <row r="180" spans="1:19" s="16" customFormat="1" ht="78.75">
      <c r="A180" s="14"/>
      <c r="B180" s="129" t="s">
        <v>158</v>
      </c>
      <c r="C180" s="136">
        <v>601</v>
      </c>
      <c r="D180" s="130" t="s">
        <v>11</v>
      </c>
      <c r="E180" s="130">
        <v>13</v>
      </c>
      <c r="F180" s="130" t="s">
        <v>159</v>
      </c>
      <c r="G180" s="130" t="s">
        <v>9</v>
      </c>
      <c r="H180" s="126">
        <f>H181</f>
        <v>0</v>
      </c>
      <c r="I180" s="130">
        <v>1520120370</v>
      </c>
      <c r="J180" s="130" t="str">
        <f t="shared" si="30"/>
        <v>1520120370</v>
      </c>
      <c r="K180" s="132"/>
      <c r="L180" s="17"/>
      <c r="M180" s="20">
        <v>74.97</v>
      </c>
      <c r="N180" s="20">
        <v>74.97</v>
      </c>
      <c r="O180" s="20">
        <v>74.97</v>
      </c>
      <c r="P180" s="20">
        <f>H180-M180</f>
        <v>-74.97</v>
      </c>
      <c r="Q180" s="20" t="e">
        <f>#REF!-N180</f>
        <v>#REF!</v>
      </c>
      <c r="R180" s="20" t="e">
        <f>#REF!-O180</f>
        <v>#REF!</v>
      </c>
      <c r="S180" s="17" t="str">
        <f t="shared" si="24"/>
        <v>15 2 01 20370000</v>
      </c>
    </row>
    <row r="181" spans="1:19" s="16" customFormat="1" ht="31.5">
      <c r="A181" s="14"/>
      <c r="B181" s="125" t="s">
        <v>28</v>
      </c>
      <c r="C181" s="136">
        <v>601</v>
      </c>
      <c r="D181" s="130" t="s">
        <v>11</v>
      </c>
      <c r="E181" s="130">
        <v>13</v>
      </c>
      <c r="F181" s="130" t="s">
        <v>159</v>
      </c>
      <c r="G181" s="130" t="s">
        <v>29</v>
      </c>
      <c r="H181" s="126">
        <f>H182</f>
        <v>0</v>
      </c>
      <c r="I181" s="130">
        <v>1520120370</v>
      </c>
      <c r="J181" s="130" t="str">
        <f t="shared" si="30"/>
        <v>1520120370</v>
      </c>
      <c r="K181" s="132"/>
      <c r="L181" s="17"/>
      <c r="M181" s="20">
        <v>74.97</v>
      </c>
      <c r="N181" s="20">
        <v>74.97</v>
      </c>
      <c r="O181" s="20">
        <v>74.97</v>
      </c>
      <c r="P181" s="20">
        <f>H181-M181</f>
        <v>-74.97</v>
      </c>
      <c r="Q181" s="20" t="e">
        <f>#REF!-N181</f>
        <v>#REF!</v>
      </c>
      <c r="R181" s="20" t="e">
        <f>#REF!-O181</f>
        <v>#REF!</v>
      </c>
      <c r="S181" s="17" t="str">
        <f t="shared" si="24"/>
        <v>15 2 01 20370240</v>
      </c>
    </row>
    <row r="182" spans="1:19" s="16" customFormat="1" ht="15.75">
      <c r="A182" s="14"/>
      <c r="B182" s="125" t="s">
        <v>30</v>
      </c>
      <c r="C182" s="136">
        <v>601</v>
      </c>
      <c r="D182" s="130" t="s">
        <v>11</v>
      </c>
      <c r="E182" s="130">
        <v>13</v>
      </c>
      <c r="F182" s="130" t="s">
        <v>159</v>
      </c>
      <c r="G182" s="130" t="s">
        <v>31</v>
      </c>
      <c r="H182" s="126"/>
      <c r="I182" s="130">
        <v>1520120370</v>
      </c>
      <c r="J182" s="130" t="str">
        <f t="shared" si="30"/>
        <v>1520120370</v>
      </c>
      <c r="K182" s="304" t="str">
        <f>C182&amp;D182&amp;E182&amp;J182&amp;G182</f>
        <v>60101131520120370244</v>
      </c>
      <c r="L182" s="17"/>
      <c r="M182" s="20"/>
      <c r="N182" s="20"/>
      <c r="O182" s="20"/>
      <c r="P182" s="20"/>
      <c r="Q182" s="20"/>
      <c r="R182" s="20"/>
      <c r="S182" s="17" t="str">
        <f t="shared" si="24"/>
        <v>15 2 01 20370244</v>
      </c>
    </row>
    <row r="183" spans="1:19" s="16" customFormat="1" ht="47.25">
      <c r="A183" s="14"/>
      <c r="B183" s="129" t="s">
        <v>160</v>
      </c>
      <c r="C183" s="136">
        <v>601</v>
      </c>
      <c r="D183" s="130" t="s">
        <v>11</v>
      </c>
      <c r="E183" s="130">
        <v>13</v>
      </c>
      <c r="F183" s="130" t="s">
        <v>161</v>
      </c>
      <c r="G183" s="108" t="s">
        <v>9</v>
      </c>
      <c r="H183" s="126">
        <f>H184</f>
        <v>0</v>
      </c>
      <c r="I183" s="130">
        <v>1520200000</v>
      </c>
      <c r="J183" s="130" t="str">
        <f t="shared" si="30"/>
        <v>1520200000</v>
      </c>
      <c r="K183" s="132"/>
      <c r="L183" s="17"/>
      <c r="M183" s="20">
        <v>76.5</v>
      </c>
      <c r="N183" s="20">
        <v>76.5</v>
      </c>
      <c r="O183" s="20">
        <v>76.5</v>
      </c>
      <c r="P183" s="20">
        <f>H183-M183</f>
        <v>-76.5</v>
      </c>
      <c r="Q183" s="20" t="e">
        <f>#REF!-N183</f>
        <v>#REF!</v>
      </c>
      <c r="R183" s="20" t="e">
        <f>#REF!-O183</f>
        <v>#REF!</v>
      </c>
      <c r="S183" s="17" t="str">
        <f t="shared" si="24"/>
        <v>15 2 02 00000000</v>
      </c>
    </row>
    <row r="184" spans="1:19" s="16" customFormat="1" ht="78.75">
      <c r="A184" s="14"/>
      <c r="B184" s="129" t="s">
        <v>158</v>
      </c>
      <c r="C184" s="136">
        <v>601</v>
      </c>
      <c r="D184" s="130" t="s">
        <v>11</v>
      </c>
      <c r="E184" s="130">
        <v>13</v>
      </c>
      <c r="F184" s="130" t="s">
        <v>162</v>
      </c>
      <c r="G184" s="108" t="s">
        <v>9</v>
      </c>
      <c r="H184" s="126">
        <f>H185+H187</f>
        <v>0</v>
      </c>
      <c r="I184" s="130">
        <v>1520220370</v>
      </c>
      <c r="J184" s="130" t="str">
        <f t="shared" si="30"/>
        <v>1520220370</v>
      </c>
      <c r="K184" s="132"/>
      <c r="L184" s="17"/>
      <c r="M184" s="20">
        <v>76.5</v>
      </c>
      <c r="N184" s="20">
        <v>76.5</v>
      </c>
      <c r="O184" s="20">
        <v>76.5</v>
      </c>
      <c r="P184" s="20">
        <f>H184-M184</f>
        <v>-76.5</v>
      </c>
      <c r="Q184" s="20" t="e">
        <f>#REF!-N184</f>
        <v>#REF!</v>
      </c>
      <c r="R184" s="20" t="e">
        <f>#REF!-O184</f>
        <v>#REF!</v>
      </c>
      <c r="S184" s="17" t="str">
        <f t="shared" si="24"/>
        <v>15 2 02 20370000</v>
      </c>
    </row>
    <row r="185" spans="1:19" s="16" customFormat="1" ht="31.5">
      <c r="A185" s="14"/>
      <c r="B185" s="125" t="s">
        <v>28</v>
      </c>
      <c r="C185" s="136">
        <v>601</v>
      </c>
      <c r="D185" s="130" t="s">
        <v>11</v>
      </c>
      <c r="E185" s="130">
        <v>13</v>
      </c>
      <c r="F185" s="130" t="s">
        <v>162</v>
      </c>
      <c r="G185" s="108" t="s">
        <v>29</v>
      </c>
      <c r="H185" s="126">
        <f>H186</f>
        <v>0</v>
      </c>
      <c r="I185" s="130">
        <v>1520220370</v>
      </c>
      <c r="J185" s="130" t="str">
        <f t="shared" si="30"/>
        <v>1520220370</v>
      </c>
      <c r="K185" s="132"/>
      <c r="L185" s="17"/>
      <c r="M185" s="20">
        <v>13.5</v>
      </c>
      <c r="N185" s="20">
        <v>13.5</v>
      </c>
      <c r="O185" s="20">
        <v>13.5</v>
      </c>
      <c r="P185" s="20">
        <f>H185-M185</f>
        <v>-13.5</v>
      </c>
      <c r="Q185" s="20" t="e">
        <f>#REF!-N185</f>
        <v>#REF!</v>
      </c>
      <c r="R185" s="20" t="e">
        <f>#REF!-O185</f>
        <v>#REF!</v>
      </c>
      <c r="S185" s="17" t="str">
        <f t="shared" si="24"/>
        <v>15 2 02 20370240</v>
      </c>
    </row>
    <row r="186" spans="1:19" s="16" customFormat="1" ht="15.75">
      <c r="A186" s="14"/>
      <c r="B186" s="125" t="s">
        <v>30</v>
      </c>
      <c r="C186" s="136">
        <v>601</v>
      </c>
      <c r="D186" s="130" t="s">
        <v>11</v>
      </c>
      <c r="E186" s="130">
        <v>13</v>
      </c>
      <c r="F186" s="130" t="s">
        <v>162</v>
      </c>
      <c r="G186" s="108" t="s">
        <v>31</v>
      </c>
      <c r="H186" s="126"/>
      <c r="I186" s="130">
        <v>1520220370</v>
      </c>
      <c r="J186" s="130" t="str">
        <f t="shared" si="30"/>
        <v>1520220370</v>
      </c>
      <c r="K186" s="304" t="str">
        <f t="shared" ref="K186:K187" si="34">C186&amp;D186&amp;E186&amp;J186&amp;G186</f>
        <v>60101131520220370244</v>
      </c>
      <c r="L186" s="17"/>
      <c r="M186" s="20"/>
      <c r="N186" s="20"/>
      <c r="O186" s="20"/>
      <c r="P186" s="20"/>
      <c r="Q186" s="20"/>
      <c r="R186" s="20"/>
      <c r="S186" s="17" t="str">
        <f t="shared" si="24"/>
        <v>15 2 02 20370244</v>
      </c>
    </row>
    <row r="187" spans="1:19" s="16" customFormat="1" ht="15.75">
      <c r="A187" s="14"/>
      <c r="B187" s="125" t="s">
        <v>163</v>
      </c>
      <c r="C187" s="136">
        <v>601</v>
      </c>
      <c r="D187" s="130" t="s">
        <v>11</v>
      </c>
      <c r="E187" s="130">
        <v>13</v>
      </c>
      <c r="F187" s="130" t="s">
        <v>162</v>
      </c>
      <c r="G187" s="108" t="s">
        <v>164</v>
      </c>
      <c r="H187" s="126"/>
      <c r="I187" s="130">
        <v>1520220370</v>
      </c>
      <c r="J187" s="130" t="str">
        <f t="shared" si="30"/>
        <v>1520220370</v>
      </c>
      <c r="K187" s="304" t="str">
        <f t="shared" si="34"/>
        <v>60101131520220370350</v>
      </c>
      <c r="L187" s="17"/>
      <c r="M187" s="20">
        <v>63</v>
      </c>
      <c r="N187" s="20">
        <v>63</v>
      </c>
      <c r="O187" s="20">
        <v>63</v>
      </c>
      <c r="P187" s="20">
        <f>H187-M187</f>
        <v>-63</v>
      </c>
      <c r="Q187" s="20" t="e">
        <f>#REF!-N187</f>
        <v>#REF!</v>
      </c>
      <c r="R187" s="20" t="e">
        <f>#REF!-O187</f>
        <v>#REF!</v>
      </c>
      <c r="S187" s="17" t="str">
        <f t="shared" si="24"/>
        <v>15 2 02 20370350</v>
      </c>
    </row>
    <row r="188" spans="1:19" s="16" customFormat="1" ht="47.25">
      <c r="A188" s="14"/>
      <c r="B188" s="129" t="s">
        <v>165</v>
      </c>
      <c r="C188" s="136">
        <v>601</v>
      </c>
      <c r="D188" s="130" t="s">
        <v>11</v>
      </c>
      <c r="E188" s="130">
        <v>13</v>
      </c>
      <c r="F188" s="130" t="s">
        <v>166</v>
      </c>
      <c r="G188" s="108" t="s">
        <v>9</v>
      </c>
      <c r="H188" s="126">
        <f>H189</f>
        <v>0</v>
      </c>
      <c r="I188" s="130">
        <v>1520300000</v>
      </c>
      <c r="J188" s="130" t="str">
        <f t="shared" si="30"/>
        <v>1520300000</v>
      </c>
      <c r="K188" s="132"/>
      <c r="L188" s="17"/>
      <c r="M188" s="20">
        <v>262.8</v>
      </c>
      <c r="N188" s="20">
        <v>262.8</v>
      </c>
      <c r="O188" s="20">
        <v>262.8</v>
      </c>
      <c r="P188" s="20">
        <f>H188-M188</f>
        <v>-262.8</v>
      </c>
      <c r="Q188" s="20" t="e">
        <f>#REF!-N188</f>
        <v>#REF!</v>
      </c>
      <c r="R188" s="20" t="e">
        <f>#REF!-O188</f>
        <v>#REF!</v>
      </c>
      <c r="S188" s="17" t="str">
        <f t="shared" si="24"/>
        <v>15 2 03 00000000</v>
      </c>
    </row>
    <row r="189" spans="1:19" s="16" customFormat="1" ht="78.75">
      <c r="A189" s="14"/>
      <c r="B189" s="129" t="s">
        <v>158</v>
      </c>
      <c r="C189" s="136">
        <v>601</v>
      </c>
      <c r="D189" s="130" t="s">
        <v>11</v>
      </c>
      <c r="E189" s="130">
        <v>13</v>
      </c>
      <c r="F189" s="130" t="s">
        <v>167</v>
      </c>
      <c r="G189" s="108" t="s">
        <v>9</v>
      </c>
      <c r="H189" s="126">
        <f>H190+H192</f>
        <v>0</v>
      </c>
      <c r="I189" s="130">
        <v>1520320370</v>
      </c>
      <c r="J189" s="130" t="str">
        <f t="shared" si="30"/>
        <v>1520320370</v>
      </c>
      <c r="K189" s="132"/>
      <c r="L189" s="17"/>
      <c r="M189" s="20">
        <v>262.8</v>
      </c>
      <c r="N189" s="20">
        <v>262.8</v>
      </c>
      <c r="O189" s="20">
        <v>262.8</v>
      </c>
      <c r="P189" s="20">
        <f>H189-M189</f>
        <v>-262.8</v>
      </c>
      <c r="Q189" s="20" t="e">
        <f>#REF!-N189</f>
        <v>#REF!</v>
      </c>
      <c r="R189" s="20" t="e">
        <f>#REF!-O189</f>
        <v>#REF!</v>
      </c>
      <c r="S189" s="17" t="str">
        <f t="shared" si="24"/>
        <v>15 2 03 20370000</v>
      </c>
    </row>
    <row r="190" spans="1:19" s="16" customFormat="1" ht="31.5">
      <c r="A190" s="14"/>
      <c r="B190" s="125" t="s">
        <v>28</v>
      </c>
      <c r="C190" s="136">
        <v>601</v>
      </c>
      <c r="D190" s="130" t="s">
        <v>11</v>
      </c>
      <c r="E190" s="130">
        <v>13</v>
      </c>
      <c r="F190" s="130" t="s">
        <v>167</v>
      </c>
      <c r="G190" s="108" t="s">
        <v>29</v>
      </c>
      <c r="H190" s="126">
        <f>H191</f>
        <v>0</v>
      </c>
      <c r="I190" s="130">
        <v>1520320370</v>
      </c>
      <c r="J190" s="130" t="str">
        <f t="shared" si="30"/>
        <v>1520320370</v>
      </c>
      <c r="K190" s="132"/>
      <c r="L190" s="17"/>
      <c r="M190" s="20">
        <v>202.8</v>
      </c>
      <c r="N190" s="20">
        <v>202.8</v>
      </c>
      <c r="O190" s="20">
        <v>202.8</v>
      </c>
      <c r="P190" s="20">
        <f>H190-M190</f>
        <v>-202.8</v>
      </c>
      <c r="Q190" s="20" t="e">
        <f>#REF!-N190</f>
        <v>#REF!</v>
      </c>
      <c r="R190" s="20" t="e">
        <f>#REF!-O190</f>
        <v>#REF!</v>
      </c>
      <c r="S190" s="17" t="str">
        <f t="shared" si="24"/>
        <v>15 2 03 20370240</v>
      </c>
    </row>
    <row r="191" spans="1:19" s="16" customFormat="1" ht="15.75">
      <c r="A191" s="14"/>
      <c r="B191" s="125" t="s">
        <v>30</v>
      </c>
      <c r="C191" s="136">
        <v>601</v>
      </c>
      <c r="D191" s="130" t="s">
        <v>11</v>
      </c>
      <c r="E191" s="130">
        <v>13</v>
      </c>
      <c r="F191" s="130" t="s">
        <v>167</v>
      </c>
      <c r="G191" s="108" t="s">
        <v>31</v>
      </c>
      <c r="H191" s="126"/>
      <c r="I191" s="130">
        <v>1520320370</v>
      </c>
      <c r="J191" s="130" t="str">
        <f t="shared" si="30"/>
        <v>1520320370</v>
      </c>
      <c r="K191" s="304" t="str">
        <f t="shared" ref="K191:K192" si="35">C191&amp;D191&amp;E191&amp;J191&amp;G191</f>
        <v>60101131520320370244</v>
      </c>
      <c r="L191" s="17"/>
      <c r="M191" s="20"/>
      <c r="N191" s="20"/>
      <c r="O191" s="20"/>
      <c r="P191" s="20"/>
      <c r="Q191" s="20"/>
      <c r="R191" s="20"/>
      <c r="S191" s="17" t="str">
        <f t="shared" si="24"/>
        <v>15 2 03 20370244</v>
      </c>
    </row>
    <row r="192" spans="1:19" s="16" customFormat="1" ht="15.75">
      <c r="A192" s="14"/>
      <c r="B192" s="125" t="s">
        <v>163</v>
      </c>
      <c r="C192" s="136">
        <v>601</v>
      </c>
      <c r="D192" s="130" t="s">
        <v>11</v>
      </c>
      <c r="E192" s="130">
        <v>13</v>
      </c>
      <c r="F192" s="130" t="s">
        <v>167</v>
      </c>
      <c r="G192" s="108" t="s">
        <v>164</v>
      </c>
      <c r="H192" s="126"/>
      <c r="I192" s="130">
        <v>1520320370</v>
      </c>
      <c r="J192" s="130" t="str">
        <f t="shared" si="30"/>
        <v>1520320370</v>
      </c>
      <c r="K192" s="304" t="str">
        <f t="shared" si="35"/>
        <v>60101131520320370350</v>
      </c>
      <c r="L192" s="17"/>
      <c r="M192" s="20">
        <v>60</v>
      </c>
      <c r="N192" s="20">
        <v>60</v>
      </c>
      <c r="O192" s="20">
        <v>60</v>
      </c>
      <c r="P192" s="20">
        <f t="shared" ref="P192:P201" si="36">H192-M192</f>
        <v>-60</v>
      </c>
      <c r="Q192" s="20" t="e">
        <f>#REF!-N192</f>
        <v>#REF!</v>
      </c>
      <c r="R192" s="20" t="e">
        <f>#REF!-O192</f>
        <v>#REF!</v>
      </c>
      <c r="S192" s="17" t="str">
        <f t="shared" si="24"/>
        <v>15 2 03 20370350</v>
      </c>
    </row>
    <row r="193" spans="1:19" s="16" customFormat="1" ht="31.5">
      <c r="A193" s="14"/>
      <c r="B193" s="125" t="s">
        <v>168</v>
      </c>
      <c r="C193" s="136">
        <v>601</v>
      </c>
      <c r="D193" s="130" t="s">
        <v>11</v>
      </c>
      <c r="E193" s="130">
        <v>13</v>
      </c>
      <c r="F193" s="130" t="s">
        <v>169</v>
      </c>
      <c r="G193" s="108" t="s">
        <v>9</v>
      </c>
      <c r="H193" s="126">
        <f t="shared" ref="H193:H195" si="37">H194</f>
        <v>0</v>
      </c>
      <c r="I193" s="130">
        <v>1530000000</v>
      </c>
      <c r="J193" s="130" t="str">
        <f t="shared" si="30"/>
        <v>1530000000</v>
      </c>
      <c r="K193" s="132"/>
      <c r="L193" s="17"/>
      <c r="M193" s="20">
        <v>250.92</v>
      </c>
      <c r="N193" s="20">
        <v>250.92</v>
      </c>
      <c r="O193" s="20">
        <v>250.92</v>
      </c>
      <c r="P193" s="20">
        <f t="shared" si="36"/>
        <v>-250.92</v>
      </c>
      <c r="Q193" s="20" t="e">
        <f>#REF!-N193</f>
        <v>#REF!</v>
      </c>
      <c r="R193" s="20" t="e">
        <f>#REF!-O193</f>
        <v>#REF!</v>
      </c>
      <c r="S193" s="17" t="str">
        <f t="shared" si="24"/>
        <v>15 3 00 00000000</v>
      </c>
    </row>
    <row r="194" spans="1:19" s="16" customFormat="1" ht="47.25">
      <c r="A194" s="14"/>
      <c r="B194" s="125" t="s">
        <v>170</v>
      </c>
      <c r="C194" s="136">
        <v>601</v>
      </c>
      <c r="D194" s="130" t="s">
        <v>11</v>
      </c>
      <c r="E194" s="130">
        <v>13</v>
      </c>
      <c r="F194" s="130" t="s">
        <v>171</v>
      </c>
      <c r="G194" s="108" t="s">
        <v>9</v>
      </c>
      <c r="H194" s="126">
        <f t="shared" si="37"/>
        <v>0</v>
      </c>
      <c r="I194" s="130">
        <v>1530300000</v>
      </c>
      <c r="J194" s="130" t="str">
        <f t="shared" si="30"/>
        <v>1530300000</v>
      </c>
      <c r="K194" s="132"/>
      <c r="L194" s="17"/>
      <c r="M194" s="20">
        <v>250.92</v>
      </c>
      <c r="N194" s="20">
        <v>250.92</v>
      </c>
      <c r="O194" s="20">
        <v>250.92</v>
      </c>
      <c r="P194" s="20">
        <f t="shared" si="36"/>
        <v>-250.92</v>
      </c>
      <c r="Q194" s="20" t="e">
        <f>#REF!-N194</f>
        <v>#REF!</v>
      </c>
      <c r="R194" s="20" t="e">
        <f>#REF!-O194</f>
        <v>#REF!</v>
      </c>
      <c r="S194" s="17" t="str">
        <f t="shared" si="24"/>
        <v>15 3 03 00000000</v>
      </c>
    </row>
    <row r="195" spans="1:19" s="16" customFormat="1" ht="63">
      <c r="A195" s="14"/>
      <c r="B195" s="125" t="s">
        <v>172</v>
      </c>
      <c r="C195" s="136">
        <v>601</v>
      </c>
      <c r="D195" s="130" t="s">
        <v>11</v>
      </c>
      <c r="E195" s="130">
        <v>13</v>
      </c>
      <c r="F195" s="130" t="s">
        <v>173</v>
      </c>
      <c r="G195" s="108" t="s">
        <v>9</v>
      </c>
      <c r="H195" s="126">
        <f t="shared" si="37"/>
        <v>0</v>
      </c>
      <c r="I195" s="130">
        <v>1530320100</v>
      </c>
      <c r="J195" s="130" t="str">
        <f t="shared" si="30"/>
        <v>1530320100</v>
      </c>
      <c r="K195" s="132"/>
      <c r="L195" s="17"/>
      <c r="M195" s="20">
        <v>250.92</v>
      </c>
      <c r="N195" s="20">
        <v>250.92</v>
      </c>
      <c r="O195" s="20">
        <v>250.92</v>
      </c>
      <c r="P195" s="20">
        <f t="shared" si="36"/>
        <v>-250.92</v>
      </c>
      <c r="Q195" s="20" t="e">
        <f>#REF!-N195</f>
        <v>#REF!</v>
      </c>
      <c r="R195" s="20" t="e">
        <f>#REF!-O195</f>
        <v>#REF!</v>
      </c>
      <c r="S195" s="17" t="str">
        <f t="shared" si="24"/>
        <v>15 3 03 20100000</v>
      </c>
    </row>
    <row r="196" spans="1:19" s="16" customFormat="1" ht="15.75">
      <c r="A196" s="14"/>
      <c r="B196" s="125" t="s">
        <v>163</v>
      </c>
      <c r="C196" s="136">
        <v>601</v>
      </c>
      <c r="D196" s="130" t="s">
        <v>11</v>
      </c>
      <c r="E196" s="130">
        <v>13</v>
      </c>
      <c r="F196" s="130" t="s">
        <v>173</v>
      </c>
      <c r="G196" s="108" t="s">
        <v>164</v>
      </c>
      <c r="H196" s="126"/>
      <c r="I196" s="130">
        <v>1530320100</v>
      </c>
      <c r="J196" s="130" t="str">
        <f t="shared" si="30"/>
        <v>1530320100</v>
      </c>
      <c r="K196" s="304" t="str">
        <f>C196&amp;D196&amp;E196&amp;J196&amp;G196</f>
        <v>60101131530320100350</v>
      </c>
      <c r="L196" s="17"/>
      <c r="M196" s="20">
        <v>250.92</v>
      </c>
      <c r="N196" s="20">
        <v>250.92</v>
      </c>
      <c r="O196" s="20">
        <v>250.92</v>
      </c>
      <c r="P196" s="20">
        <f t="shared" si="36"/>
        <v>-250.92</v>
      </c>
      <c r="Q196" s="20" t="e">
        <f>#REF!-N196</f>
        <v>#REF!</v>
      </c>
      <c r="R196" s="20" t="e">
        <f>#REF!-O196</f>
        <v>#REF!</v>
      </c>
      <c r="S196" s="17" t="str">
        <f t="shared" si="24"/>
        <v>15 3 03 20100350</v>
      </c>
    </row>
    <row r="197" spans="1:19" s="16" customFormat="1" ht="31.5">
      <c r="A197" s="14"/>
      <c r="B197" s="125" t="s">
        <v>174</v>
      </c>
      <c r="C197" s="109" t="s">
        <v>64</v>
      </c>
      <c r="D197" s="108" t="s">
        <v>11</v>
      </c>
      <c r="E197" s="108" t="s">
        <v>51</v>
      </c>
      <c r="F197" s="108" t="s">
        <v>175</v>
      </c>
      <c r="G197" s="108" t="s">
        <v>9</v>
      </c>
      <c r="H197" s="126">
        <f t="shared" ref="H197:H199" si="38">H198</f>
        <v>0</v>
      </c>
      <c r="I197" s="108">
        <v>1800000000</v>
      </c>
      <c r="J197" s="108" t="str">
        <f t="shared" si="30"/>
        <v>1800000000</v>
      </c>
      <c r="K197" s="132"/>
      <c r="L197" s="17"/>
      <c r="M197" s="20">
        <v>2292.5</v>
      </c>
      <c r="N197" s="20">
        <v>2292.5</v>
      </c>
      <c r="O197" s="20">
        <v>2292.5</v>
      </c>
      <c r="P197" s="20">
        <f t="shared" si="36"/>
        <v>-2292.5</v>
      </c>
      <c r="Q197" s="20" t="e">
        <f>#REF!-N197</f>
        <v>#REF!</v>
      </c>
      <c r="R197" s="20" t="e">
        <f>#REF!-O197</f>
        <v>#REF!</v>
      </c>
      <c r="S197" s="17" t="str">
        <f t="shared" si="24"/>
        <v>18 0 00 00000000</v>
      </c>
    </row>
    <row r="198" spans="1:19" s="16" customFormat="1" ht="31.5">
      <c r="A198" s="14"/>
      <c r="B198" s="125" t="s">
        <v>176</v>
      </c>
      <c r="C198" s="109" t="s">
        <v>64</v>
      </c>
      <c r="D198" s="108" t="s">
        <v>11</v>
      </c>
      <c r="E198" s="108" t="s">
        <v>51</v>
      </c>
      <c r="F198" s="108" t="s">
        <v>177</v>
      </c>
      <c r="G198" s="108" t="s">
        <v>9</v>
      </c>
      <c r="H198" s="126">
        <f t="shared" si="38"/>
        <v>0</v>
      </c>
      <c r="I198" s="108" t="s">
        <v>1167</v>
      </c>
      <c r="J198" s="108" t="str">
        <f t="shared" si="30"/>
        <v>18Б0000000</v>
      </c>
      <c r="K198" s="132"/>
      <c r="L198" s="17"/>
      <c r="M198" s="20">
        <v>2292.5</v>
      </c>
      <c r="N198" s="20">
        <v>2292.5</v>
      </c>
      <c r="O198" s="20">
        <v>2292.5</v>
      </c>
      <c r="P198" s="20">
        <f t="shared" si="36"/>
        <v>-2292.5</v>
      </c>
      <c r="Q198" s="20" t="e">
        <f>#REF!-N198</f>
        <v>#REF!</v>
      </c>
      <c r="R198" s="20" t="e">
        <f>#REF!-O198</f>
        <v>#REF!</v>
      </c>
      <c r="S198" s="17" t="str">
        <f t="shared" si="24"/>
        <v>18 Б 00 00000000</v>
      </c>
    </row>
    <row r="199" spans="1:19" s="16" customFormat="1" ht="63">
      <c r="A199" s="14"/>
      <c r="B199" s="129" t="s">
        <v>178</v>
      </c>
      <c r="C199" s="109" t="s">
        <v>64</v>
      </c>
      <c r="D199" s="108" t="s">
        <v>11</v>
      </c>
      <c r="E199" s="108" t="s">
        <v>51</v>
      </c>
      <c r="F199" s="108" t="s">
        <v>179</v>
      </c>
      <c r="G199" s="108" t="s">
        <v>9</v>
      </c>
      <c r="H199" s="126">
        <f t="shared" si="38"/>
        <v>0</v>
      </c>
      <c r="I199" s="108" t="s">
        <v>1168</v>
      </c>
      <c r="J199" s="108" t="str">
        <f t="shared" si="30"/>
        <v>18Б0100000</v>
      </c>
      <c r="K199" s="132"/>
      <c r="L199" s="17"/>
      <c r="M199" s="20">
        <v>2292.5</v>
      </c>
      <c r="N199" s="20">
        <v>2292.5</v>
      </c>
      <c r="O199" s="20">
        <v>2292.5</v>
      </c>
      <c r="P199" s="20">
        <f t="shared" si="36"/>
        <v>-2292.5</v>
      </c>
      <c r="Q199" s="20" t="e">
        <f>#REF!-N199</f>
        <v>#REF!</v>
      </c>
      <c r="R199" s="20" t="e">
        <f>#REF!-O199</f>
        <v>#REF!</v>
      </c>
      <c r="S199" s="17" t="str">
        <f t="shared" si="24"/>
        <v>18 Б 01 00000000</v>
      </c>
    </row>
    <row r="200" spans="1:19" s="16" customFormat="1" ht="126">
      <c r="A200" s="14"/>
      <c r="B200" s="125" t="s">
        <v>180</v>
      </c>
      <c r="C200" s="109" t="s">
        <v>64</v>
      </c>
      <c r="D200" s="108" t="s">
        <v>11</v>
      </c>
      <c r="E200" s="108" t="s">
        <v>51</v>
      </c>
      <c r="F200" s="108" t="s">
        <v>181</v>
      </c>
      <c r="G200" s="108" t="s">
        <v>9</v>
      </c>
      <c r="H200" s="126">
        <f>H201</f>
        <v>0</v>
      </c>
      <c r="I200" s="108" t="s">
        <v>1169</v>
      </c>
      <c r="J200" s="108" t="str">
        <f t="shared" si="30"/>
        <v>18Б0160080</v>
      </c>
      <c r="K200" s="132"/>
      <c r="L200" s="17"/>
      <c r="M200" s="20">
        <v>2292.5</v>
      </c>
      <c r="N200" s="20">
        <v>2292.5</v>
      </c>
      <c r="O200" s="20">
        <v>2292.5</v>
      </c>
      <c r="P200" s="20">
        <f t="shared" si="36"/>
        <v>-2292.5</v>
      </c>
      <c r="Q200" s="20" t="e">
        <f>#REF!-N200</f>
        <v>#REF!</v>
      </c>
      <c r="R200" s="20" t="e">
        <f>#REF!-O200</f>
        <v>#REF!</v>
      </c>
      <c r="S200" s="17" t="str">
        <f t="shared" si="24"/>
        <v>18 Б 01 60080000</v>
      </c>
    </row>
    <row r="201" spans="1:19" s="16" customFormat="1" ht="47.25">
      <c r="A201" s="14"/>
      <c r="B201" s="125" t="s">
        <v>182</v>
      </c>
      <c r="C201" s="109" t="s">
        <v>64</v>
      </c>
      <c r="D201" s="108" t="s">
        <v>11</v>
      </c>
      <c r="E201" s="108" t="s">
        <v>51</v>
      </c>
      <c r="F201" s="108" t="s">
        <v>181</v>
      </c>
      <c r="G201" s="108" t="s">
        <v>183</v>
      </c>
      <c r="H201" s="126">
        <f>H202</f>
        <v>0</v>
      </c>
      <c r="I201" s="108" t="s">
        <v>1169</v>
      </c>
      <c r="J201" s="108" t="str">
        <f t="shared" si="30"/>
        <v>18Б0160080</v>
      </c>
      <c r="K201" s="132"/>
      <c r="L201" s="17"/>
      <c r="M201" s="20">
        <v>2292.5</v>
      </c>
      <c r="N201" s="20">
        <v>2292.5</v>
      </c>
      <c r="O201" s="20">
        <v>2292.5</v>
      </c>
      <c r="P201" s="20">
        <f t="shared" si="36"/>
        <v>-2292.5</v>
      </c>
      <c r="Q201" s="20" t="e">
        <f>#REF!-N201</f>
        <v>#REF!</v>
      </c>
      <c r="R201" s="20" t="e">
        <f>#REF!-O201</f>
        <v>#REF!</v>
      </c>
      <c r="S201" s="17" t="str">
        <f t="shared" si="24"/>
        <v>18 Б 01 60080630</v>
      </c>
    </row>
    <row r="202" spans="1:19" s="16" customFormat="1" ht="31.5">
      <c r="A202" s="14"/>
      <c r="B202" s="125" t="s">
        <v>1037</v>
      </c>
      <c r="C202" s="109" t="s">
        <v>64</v>
      </c>
      <c r="D202" s="108" t="s">
        <v>11</v>
      </c>
      <c r="E202" s="108" t="s">
        <v>51</v>
      </c>
      <c r="F202" s="108" t="s">
        <v>181</v>
      </c>
      <c r="G202" s="108" t="s">
        <v>185</v>
      </c>
      <c r="H202" s="126"/>
      <c r="I202" s="108" t="s">
        <v>1169</v>
      </c>
      <c r="J202" s="108" t="str">
        <f t="shared" si="30"/>
        <v>18Б0160080</v>
      </c>
      <c r="K202" s="304" t="str">
        <f>C202&amp;D202&amp;E202&amp;J202&amp;G202</f>
        <v>601011318Б0160080631</v>
      </c>
      <c r="L202" s="17"/>
      <c r="M202" s="20"/>
      <c r="N202" s="20"/>
      <c r="O202" s="20"/>
      <c r="P202" s="20"/>
      <c r="Q202" s="20"/>
      <c r="R202" s="20"/>
      <c r="S202" s="17" t="str">
        <f t="shared" si="24"/>
        <v>18 Б 01 60080631</v>
      </c>
    </row>
    <row r="203" spans="1:19" s="16" customFormat="1" ht="31.5">
      <c r="A203" s="14"/>
      <c r="B203" s="129" t="s">
        <v>66</v>
      </c>
      <c r="C203" s="130" t="s">
        <v>64</v>
      </c>
      <c r="D203" s="131" t="s">
        <v>11</v>
      </c>
      <c r="E203" s="131" t="s">
        <v>51</v>
      </c>
      <c r="F203" s="131" t="s">
        <v>67</v>
      </c>
      <c r="G203" s="131" t="s">
        <v>9</v>
      </c>
      <c r="H203" s="126">
        <f>H204</f>
        <v>0</v>
      </c>
      <c r="I203" s="131">
        <v>7100000000</v>
      </c>
      <c r="J203" s="131" t="str">
        <f t="shared" si="30"/>
        <v>7100000000</v>
      </c>
      <c r="K203" s="132"/>
      <c r="L203" s="17"/>
      <c r="M203" s="20">
        <v>37338.509999999995</v>
      </c>
      <c r="N203" s="20">
        <v>32338.51</v>
      </c>
      <c r="O203" s="20">
        <v>32338.51</v>
      </c>
      <c r="P203" s="20">
        <f>H203-M203</f>
        <v>-37338.509999999995</v>
      </c>
      <c r="Q203" s="20" t="e">
        <f>#REF!-N203</f>
        <v>#REF!</v>
      </c>
      <c r="R203" s="20" t="e">
        <f>#REF!-O203</f>
        <v>#REF!</v>
      </c>
      <c r="S203" s="17" t="str">
        <f t="shared" si="24"/>
        <v>71 0 00 00000000</v>
      </c>
    </row>
    <row r="204" spans="1:19" s="16" customFormat="1" ht="31.5">
      <c r="A204" s="14"/>
      <c r="B204" s="129" t="s">
        <v>74</v>
      </c>
      <c r="C204" s="130" t="s">
        <v>64</v>
      </c>
      <c r="D204" s="131" t="s">
        <v>11</v>
      </c>
      <c r="E204" s="131" t="s">
        <v>51</v>
      </c>
      <c r="F204" s="131" t="s">
        <v>75</v>
      </c>
      <c r="G204" s="131" t="s">
        <v>9</v>
      </c>
      <c r="H204" s="126">
        <f>H209+H220+H205</f>
        <v>0</v>
      </c>
      <c r="I204" s="131">
        <v>7110000000</v>
      </c>
      <c r="J204" s="131" t="str">
        <f t="shared" si="30"/>
        <v>7110000000</v>
      </c>
      <c r="K204" s="132"/>
      <c r="L204" s="17"/>
      <c r="M204" s="20">
        <v>37338.509999999995</v>
      </c>
      <c r="N204" s="20">
        <v>32338.51</v>
      </c>
      <c r="O204" s="20">
        <v>32338.51</v>
      </c>
      <c r="P204" s="20">
        <f>H204-M204</f>
        <v>-37338.509999999995</v>
      </c>
      <c r="Q204" s="20" t="e">
        <f>#REF!-N204</f>
        <v>#REF!</v>
      </c>
      <c r="R204" s="20" t="e">
        <f>#REF!-O204</f>
        <v>#REF!</v>
      </c>
      <c r="S204" s="17" t="str">
        <f t="shared" ref="S204:S293" si="39">CONCATENATE(F204,G204)</f>
        <v>71 1 00 00000000</v>
      </c>
    </row>
    <row r="205" spans="1:19" s="16" customFormat="1" ht="47.25">
      <c r="A205" s="14"/>
      <c r="B205" s="125" t="s">
        <v>355</v>
      </c>
      <c r="C205" s="130" t="s">
        <v>64</v>
      </c>
      <c r="D205" s="131" t="s">
        <v>11</v>
      </c>
      <c r="E205" s="131" t="s">
        <v>51</v>
      </c>
      <c r="F205" s="131" t="s">
        <v>1170</v>
      </c>
      <c r="G205" s="131" t="s">
        <v>9</v>
      </c>
      <c r="H205" s="126">
        <f t="shared" ref="H205" si="40">H206</f>
        <v>0</v>
      </c>
      <c r="I205" s="131"/>
      <c r="J205" s="131"/>
      <c r="K205" s="132"/>
      <c r="L205" s="17"/>
      <c r="M205" s="20"/>
      <c r="N205" s="20"/>
      <c r="O205" s="20"/>
      <c r="P205" s="20"/>
      <c r="Q205" s="20"/>
      <c r="R205" s="20"/>
      <c r="S205" s="17"/>
    </row>
    <row r="206" spans="1:19" s="16" customFormat="1" ht="31.5">
      <c r="A206" s="14"/>
      <c r="B206" s="127" t="s">
        <v>20</v>
      </c>
      <c r="C206" s="130" t="s">
        <v>64</v>
      </c>
      <c r="D206" s="131" t="s">
        <v>11</v>
      </c>
      <c r="E206" s="131" t="s">
        <v>51</v>
      </c>
      <c r="F206" s="131" t="s">
        <v>1170</v>
      </c>
      <c r="G206" s="305" t="s">
        <v>21</v>
      </c>
      <c r="H206" s="126">
        <f>SUM(H207:H208)</f>
        <v>0</v>
      </c>
      <c r="I206" s="131"/>
      <c r="J206" s="131"/>
      <c r="K206" s="132"/>
      <c r="L206" s="17"/>
      <c r="M206" s="20"/>
      <c r="N206" s="20"/>
      <c r="O206" s="20"/>
      <c r="P206" s="20"/>
      <c r="Q206" s="20"/>
      <c r="R206" s="20"/>
      <c r="S206" s="17"/>
    </row>
    <row r="207" spans="1:19" s="16" customFormat="1" ht="47.25">
      <c r="A207" s="14"/>
      <c r="B207" s="127" t="s">
        <v>22</v>
      </c>
      <c r="C207" s="130" t="s">
        <v>64</v>
      </c>
      <c r="D207" s="131" t="s">
        <v>11</v>
      </c>
      <c r="E207" s="131" t="s">
        <v>51</v>
      </c>
      <c r="F207" s="131" t="s">
        <v>1170</v>
      </c>
      <c r="G207" s="305" t="s">
        <v>23</v>
      </c>
      <c r="H207" s="126"/>
      <c r="I207" s="131"/>
      <c r="J207" s="131"/>
      <c r="K207" s="132"/>
      <c r="L207" s="17"/>
      <c r="M207" s="20"/>
      <c r="N207" s="20"/>
      <c r="O207" s="20"/>
      <c r="P207" s="20"/>
      <c r="Q207" s="20"/>
      <c r="R207" s="20"/>
      <c r="S207" s="17"/>
    </row>
    <row r="208" spans="1:19" s="16" customFormat="1" ht="63">
      <c r="A208" s="14"/>
      <c r="B208" s="127" t="s">
        <v>26</v>
      </c>
      <c r="C208" s="130" t="s">
        <v>64</v>
      </c>
      <c r="D208" s="131" t="s">
        <v>11</v>
      </c>
      <c r="E208" s="131" t="s">
        <v>51</v>
      </c>
      <c r="F208" s="131" t="s">
        <v>1170</v>
      </c>
      <c r="G208" s="305" t="s">
        <v>27</v>
      </c>
      <c r="H208" s="126"/>
      <c r="I208" s="131"/>
      <c r="J208" s="131"/>
      <c r="K208" s="132"/>
      <c r="L208" s="17"/>
      <c r="M208" s="20"/>
      <c r="N208" s="20"/>
      <c r="O208" s="20"/>
      <c r="P208" s="20"/>
      <c r="Q208" s="20"/>
      <c r="R208" s="20"/>
      <c r="S208" s="17"/>
    </row>
    <row r="209" spans="1:19" s="16" customFormat="1" ht="31.5">
      <c r="A209" s="14"/>
      <c r="B209" s="125" t="s">
        <v>136</v>
      </c>
      <c r="C209" s="109" t="s">
        <v>64</v>
      </c>
      <c r="D209" s="108" t="s">
        <v>11</v>
      </c>
      <c r="E209" s="108" t="s">
        <v>51</v>
      </c>
      <c r="F209" s="108" t="s">
        <v>186</v>
      </c>
      <c r="G209" s="108" t="s">
        <v>9</v>
      </c>
      <c r="H209" s="126">
        <f>H210+H214+H216</f>
        <v>0</v>
      </c>
      <c r="I209" s="108">
        <v>7110011010</v>
      </c>
      <c r="J209" s="108" t="str">
        <f t="shared" ref="J209:J272" si="41">TEXT(I209,"0000000000")</f>
        <v>7110011010</v>
      </c>
      <c r="K209" s="132"/>
      <c r="L209" s="17"/>
      <c r="M209" s="20">
        <v>37138.509999999995</v>
      </c>
      <c r="N209" s="20">
        <v>32138.51</v>
      </c>
      <c r="O209" s="20">
        <v>32138.51</v>
      </c>
      <c r="P209" s="20">
        <f>H209-M209</f>
        <v>-37138.509999999995</v>
      </c>
      <c r="Q209" s="20" t="e">
        <f>#REF!-N209</f>
        <v>#REF!</v>
      </c>
      <c r="R209" s="20" t="e">
        <f>#REF!-O209</f>
        <v>#REF!</v>
      </c>
      <c r="S209" s="17" t="str">
        <f t="shared" si="39"/>
        <v>71 1 00 11010000</v>
      </c>
    </row>
    <row r="210" spans="1:19" s="16" customFormat="1" ht="15.75">
      <c r="A210" s="14"/>
      <c r="B210" s="132" t="s">
        <v>138</v>
      </c>
      <c r="C210" s="109" t="s">
        <v>64</v>
      </c>
      <c r="D210" s="108" t="s">
        <v>11</v>
      </c>
      <c r="E210" s="108" t="s">
        <v>51</v>
      </c>
      <c r="F210" s="108" t="s">
        <v>186</v>
      </c>
      <c r="G210" s="108" t="s">
        <v>139</v>
      </c>
      <c r="H210" s="126">
        <f>SUM(H211:H213)</f>
        <v>0</v>
      </c>
      <c r="I210" s="108">
        <v>7110011010</v>
      </c>
      <c r="J210" s="108" t="str">
        <f t="shared" si="41"/>
        <v>7110011010</v>
      </c>
      <c r="K210" s="132"/>
      <c r="L210" s="17"/>
      <c r="M210" s="20">
        <v>12661.96</v>
      </c>
      <c r="N210" s="20">
        <v>12661.96</v>
      </c>
      <c r="O210" s="20">
        <v>12661.96</v>
      </c>
      <c r="P210" s="20">
        <f>H210-M210</f>
        <v>-12661.96</v>
      </c>
      <c r="Q210" s="20" t="e">
        <f>#REF!-N210</f>
        <v>#REF!</v>
      </c>
      <c r="R210" s="20" t="e">
        <f>#REF!-O210</f>
        <v>#REF!</v>
      </c>
      <c r="S210" s="17" t="str">
        <f t="shared" si="39"/>
        <v>71 1 00 11010110</v>
      </c>
    </row>
    <row r="211" spans="1:19" s="23" customFormat="1" ht="15.75">
      <c r="A211" s="21"/>
      <c r="B211" s="127" t="s">
        <v>140</v>
      </c>
      <c r="C211" s="109" t="s">
        <v>64</v>
      </c>
      <c r="D211" s="108" t="s">
        <v>11</v>
      </c>
      <c r="E211" s="108" t="s">
        <v>51</v>
      </c>
      <c r="F211" s="108" t="s">
        <v>186</v>
      </c>
      <c r="G211" s="108" t="s">
        <v>141</v>
      </c>
      <c r="H211" s="126"/>
      <c r="I211" s="108">
        <v>7110011010</v>
      </c>
      <c r="J211" s="108" t="str">
        <f t="shared" si="41"/>
        <v>7110011010</v>
      </c>
      <c r="K211" s="304" t="str">
        <f t="shared" ref="K211:K213" si="42">C211&amp;D211&amp;E211&amp;J211&amp;G211</f>
        <v>60101137110011010111</v>
      </c>
      <c r="L211" s="24"/>
      <c r="M211" s="22"/>
      <c r="N211" s="22"/>
      <c r="O211" s="22"/>
      <c r="P211" s="22"/>
      <c r="Q211" s="22"/>
      <c r="R211" s="22"/>
      <c r="S211" s="24"/>
    </row>
    <row r="212" spans="1:19" s="23" customFormat="1" ht="31.5">
      <c r="A212" s="21"/>
      <c r="B212" s="127" t="s">
        <v>142</v>
      </c>
      <c r="C212" s="109" t="s">
        <v>64</v>
      </c>
      <c r="D212" s="108" t="s">
        <v>11</v>
      </c>
      <c r="E212" s="108" t="s">
        <v>51</v>
      </c>
      <c r="F212" s="108" t="s">
        <v>186</v>
      </c>
      <c r="G212" s="108" t="s">
        <v>143</v>
      </c>
      <c r="H212" s="126"/>
      <c r="I212" s="108">
        <v>7110011010</v>
      </c>
      <c r="J212" s="108" t="str">
        <f t="shared" si="41"/>
        <v>7110011010</v>
      </c>
      <c r="K212" s="304" t="str">
        <f t="shared" si="42"/>
        <v>60101137110011010112</v>
      </c>
      <c r="L212" s="24"/>
      <c r="M212" s="22"/>
      <c r="N212" s="22"/>
      <c r="O212" s="22"/>
      <c r="P212" s="22"/>
      <c r="Q212" s="22"/>
      <c r="R212" s="22"/>
      <c r="S212" s="24"/>
    </row>
    <row r="213" spans="1:19" s="23" customFormat="1" ht="63">
      <c r="A213" s="21"/>
      <c r="B213" s="127" t="s">
        <v>144</v>
      </c>
      <c r="C213" s="109" t="s">
        <v>64</v>
      </c>
      <c r="D213" s="108" t="s">
        <v>11</v>
      </c>
      <c r="E213" s="108" t="s">
        <v>51</v>
      </c>
      <c r="F213" s="108" t="s">
        <v>186</v>
      </c>
      <c r="G213" s="108" t="s">
        <v>145</v>
      </c>
      <c r="H213" s="126"/>
      <c r="I213" s="108">
        <v>7110011010</v>
      </c>
      <c r="J213" s="108" t="str">
        <f t="shared" si="41"/>
        <v>7110011010</v>
      </c>
      <c r="K213" s="304" t="str">
        <f t="shared" si="42"/>
        <v>60101137110011010119</v>
      </c>
      <c r="L213" s="24"/>
      <c r="M213" s="22"/>
      <c r="N213" s="22"/>
      <c r="O213" s="22"/>
      <c r="P213" s="22"/>
      <c r="Q213" s="22"/>
      <c r="R213" s="22"/>
      <c r="S213" s="24"/>
    </row>
    <row r="214" spans="1:19" s="16" customFormat="1" ht="31.5">
      <c r="A214" s="14"/>
      <c r="B214" s="125" t="s">
        <v>28</v>
      </c>
      <c r="C214" s="109" t="s">
        <v>64</v>
      </c>
      <c r="D214" s="108" t="s">
        <v>11</v>
      </c>
      <c r="E214" s="108" t="s">
        <v>51</v>
      </c>
      <c r="F214" s="108" t="s">
        <v>186</v>
      </c>
      <c r="G214" s="108" t="s">
        <v>29</v>
      </c>
      <c r="H214" s="126">
        <f>H215</f>
        <v>0</v>
      </c>
      <c r="I214" s="108">
        <v>7110011010</v>
      </c>
      <c r="J214" s="108" t="str">
        <f t="shared" si="41"/>
        <v>7110011010</v>
      </c>
      <c r="K214" s="132"/>
      <c r="L214" s="17"/>
      <c r="M214" s="20">
        <v>24082.02</v>
      </c>
      <c r="N214" s="20">
        <v>19082.02</v>
      </c>
      <c r="O214" s="20">
        <v>19082.02</v>
      </c>
      <c r="P214" s="20">
        <f>H214-M214</f>
        <v>-24082.02</v>
      </c>
      <c r="Q214" s="20" t="e">
        <f>#REF!-N214</f>
        <v>#REF!</v>
      </c>
      <c r="R214" s="20" t="e">
        <f>#REF!-O214</f>
        <v>#REF!</v>
      </c>
      <c r="S214" s="17" t="str">
        <f t="shared" si="39"/>
        <v>71 1 00 11010240</v>
      </c>
    </row>
    <row r="215" spans="1:19" s="16" customFormat="1" ht="15.75">
      <c r="A215" s="14"/>
      <c r="B215" s="125" t="s">
        <v>30</v>
      </c>
      <c r="C215" s="109" t="s">
        <v>64</v>
      </c>
      <c r="D215" s="108" t="s">
        <v>11</v>
      </c>
      <c r="E215" s="108" t="s">
        <v>51</v>
      </c>
      <c r="F215" s="108" t="s">
        <v>186</v>
      </c>
      <c r="G215" s="108" t="s">
        <v>31</v>
      </c>
      <c r="H215" s="126"/>
      <c r="I215" s="108">
        <v>7110011010</v>
      </c>
      <c r="J215" s="108" t="str">
        <f t="shared" si="41"/>
        <v>7110011010</v>
      </c>
      <c r="K215" s="304" t="str">
        <f>C215&amp;D215&amp;E215&amp;J215&amp;G215</f>
        <v>60101137110011010244</v>
      </c>
      <c r="L215" s="17"/>
      <c r="M215" s="20"/>
      <c r="N215" s="20"/>
      <c r="O215" s="20"/>
      <c r="P215" s="20"/>
      <c r="Q215" s="20"/>
      <c r="R215" s="20"/>
      <c r="S215" s="17"/>
    </row>
    <row r="216" spans="1:19" s="16" customFormat="1" ht="15.75">
      <c r="A216" s="14"/>
      <c r="B216" s="125" t="s">
        <v>32</v>
      </c>
      <c r="C216" s="109" t="s">
        <v>64</v>
      </c>
      <c r="D216" s="108" t="s">
        <v>11</v>
      </c>
      <c r="E216" s="108" t="s">
        <v>51</v>
      </c>
      <c r="F216" s="108" t="s">
        <v>186</v>
      </c>
      <c r="G216" s="108" t="s">
        <v>33</v>
      </c>
      <c r="H216" s="126">
        <f>SUM(H217:H219)</f>
        <v>0</v>
      </c>
      <c r="I216" s="108">
        <v>7110011010</v>
      </c>
      <c r="J216" s="108" t="str">
        <f t="shared" si="41"/>
        <v>7110011010</v>
      </c>
      <c r="K216" s="132"/>
      <c r="L216" s="17"/>
      <c r="M216" s="20">
        <v>394.53</v>
      </c>
      <c r="N216" s="20">
        <v>394.53</v>
      </c>
      <c r="O216" s="20">
        <v>394.53</v>
      </c>
      <c r="P216" s="20">
        <f>H216-M216</f>
        <v>-394.53</v>
      </c>
      <c r="Q216" s="20" t="e">
        <f>#REF!-N216</f>
        <v>#REF!</v>
      </c>
      <c r="R216" s="20" t="e">
        <f>#REF!-O216</f>
        <v>#REF!</v>
      </c>
      <c r="S216" s="17" t="str">
        <f t="shared" si="39"/>
        <v>71 1 00 11010850</v>
      </c>
    </row>
    <row r="217" spans="1:19" s="23" customFormat="1" ht="31.5">
      <c r="A217" s="21"/>
      <c r="B217" s="127" t="s">
        <v>34</v>
      </c>
      <c r="C217" s="109" t="s">
        <v>64</v>
      </c>
      <c r="D217" s="108" t="s">
        <v>11</v>
      </c>
      <c r="E217" s="108" t="s">
        <v>51</v>
      </c>
      <c r="F217" s="108" t="s">
        <v>186</v>
      </c>
      <c r="G217" s="108" t="s">
        <v>35</v>
      </c>
      <c r="H217" s="126"/>
      <c r="I217" s="108">
        <v>7110011010</v>
      </c>
      <c r="J217" s="108" t="str">
        <f t="shared" si="41"/>
        <v>7110011010</v>
      </c>
      <c r="K217" s="304" t="str">
        <f t="shared" ref="K217:K219" si="43">C217&amp;D217&amp;E217&amp;J217&amp;G217</f>
        <v>60101137110011010851</v>
      </c>
      <c r="L217" s="24"/>
      <c r="M217" s="22"/>
      <c r="N217" s="22"/>
      <c r="O217" s="22"/>
      <c r="P217" s="22"/>
      <c r="Q217" s="22"/>
      <c r="R217" s="22"/>
      <c r="S217" s="24"/>
    </row>
    <row r="218" spans="1:19" s="23" customFormat="1" ht="15.75">
      <c r="A218" s="21"/>
      <c r="B218" s="127" t="s">
        <v>36</v>
      </c>
      <c r="C218" s="109" t="s">
        <v>64</v>
      </c>
      <c r="D218" s="108" t="s">
        <v>11</v>
      </c>
      <c r="E218" s="108" t="s">
        <v>51</v>
      </c>
      <c r="F218" s="108" t="s">
        <v>186</v>
      </c>
      <c r="G218" s="108" t="s">
        <v>37</v>
      </c>
      <c r="H218" s="126"/>
      <c r="I218" s="108">
        <v>7110011010</v>
      </c>
      <c r="J218" s="108" t="str">
        <f t="shared" si="41"/>
        <v>7110011010</v>
      </c>
      <c r="K218" s="304" t="str">
        <f t="shared" si="43"/>
        <v>60101137110011010852</v>
      </c>
      <c r="L218" s="24"/>
      <c r="M218" s="22"/>
      <c r="N218" s="22"/>
      <c r="O218" s="22"/>
      <c r="P218" s="22"/>
      <c r="Q218" s="22"/>
      <c r="R218" s="22"/>
      <c r="S218" s="24"/>
    </row>
    <row r="219" spans="1:19" s="23" customFormat="1" ht="15.75">
      <c r="A219" s="21"/>
      <c r="B219" s="127" t="s">
        <v>77</v>
      </c>
      <c r="C219" s="109" t="s">
        <v>64</v>
      </c>
      <c r="D219" s="108" t="s">
        <v>11</v>
      </c>
      <c r="E219" s="108" t="s">
        <v>51</v>
      </c>
      <c r="F219" s="108" t="s">
        <v>186</v>
      </c>
      <c r="G219" s="108" t="s">
        <v>78</v>
      </c>
      <c r="H219" s="126"/>
      <c r="I219" s="108">
        <v>7110011010</v>
      </c>
      <c r="J219" s="108" t="str">
        <f t="shared" si="41"/>
        <v>7110011010</v>
      </c>
      <c r="K219" s="304" t="str">
        <f t="shared" si="43"/>
        <v>60101137110011010853</v>
      </c>
      <c r="L219" s="24"/>
      <c r="M219" s="22"/>
      <c r="N219" s="22"/>
      <c r="O219" s="22"/>
      <c r="P219" s="22"/>
      <c r="Q219" s="22"/>
      <c r="R219" s="22"/>
      <c r="S219" s="24"/>
    </row>
    <row r="220" spans="1:19" s="16" customFormat="1" ht="31.5">
      <c r="A220" s="14"/>
      <c r="B220" s="129" t="s">
        <v>187</v>
      </c>
      <c r="C220" s="130" t="s">
        <v>64</v>
      </c>
      <c r="D220" s="131" t="s">
        <v>11</v>
      </c>
      <c r="E220" s="131" t="s">
        <v>51</v>
      </c>
      <c r="F220" s="131" t="s">
        <v>188</v>
      </c>
      <c r="G220" s="131" t="s">
        <v>9</v>
      </c>
      <c r="H220" s="126">
        <f>H221</f>
        <v>0</v>
      </c>
      <c r="I220" s="131">
        <v>7110020050</v>
      </c>
      <c r="J220" s="131" t="str">
        <f t="shared" si="41"/>
        <v>7110020050</v>
      </c>
      <c r="K220" s="132"/>
      <c r="L220" s="17"/>
      <c r="M220" s="20">
        <v>200</v>
      </c>
      <c r="N220" s="20">
        <v>200</v>
      </c>
      <c r="O220" s="20">
        <v>200</v>
      </c>
      <c r="P220" s="20">
        <f>H220-M220</f>
        <v>-200</v>
      </c>
      <c r="Q220" s="20" t="e">
        <f>#REF!-N220</f>
        <v>#REF!</v>
      </c>
      <c r="R220" s="20" t="e">
        <f>#REF!-O220</f>
        <v>#REF!</v>
      </c>
      <c r="S220" s="17" t="str">
        <f t="shared" si="39"/>
        <v>71 1 00 20050000</v>
      </c>
    </row>
    <row r="221" spans="1:19" s="16" customFormat="1" ht="15.75">
      <c r="A221" s="14"/>
      <c r="B221" s="125" t="s">
        <v>189</v>
      </c>
      <c r="C221" s="130" t="s">
        <v>64</v>
      </c>
      <c r="D221" s="131" t="s">
        <v>11</v>
      </c>
      <c r="E221" s="131" t="s">
        <v>51</v>
      </c>
      <c r="F221" s="131" t="s">
        <v>188</v>
      </c>
      <c r="G221" s="131" t="s">
        <v>190</v>
      </c>
      <c r="H221" s="126">
        <f>H222</f>
        <v>0</v>
      </c>
      <c r="I221" s="131">
        <v>7110020050</v>
      </c>
      <c r="J221" s="131" t="str">
        <f t="shared" si="41"/>
        <v>7110020050</v>
      </c>
      <c r="K221" s="132"/>
      <c r="L221" s="17"/>
      <c r="M221" s="20">
        <v>200</v>
      </c>
      <c r="N221" s="20">
        <v>200</v>
      </c>
      <c r="O221" s="20">
        <v>200</v>
      </c>
      <c r="P221" s="20">
        <f>H221-M221</f>
        <v>-200</v>
      </c>
      <c r="Q221" s="20" t="e">
        <f>#REF!-N221</f>
        <v>#REF!</v>
      </c>
      <c r="R221" s="20" t="e">
        <f>#REF!-O221</f>
        <v>#REF!</v>
      </c>
      <c r="S221" s="17" t="str">
        <f t="shared" si="39"/>
        <v>71 1 00 20050830</v>
      </c>
    </row>
    <row r="222" spans="1:19" s="16" customFormat="1" ht="47.25">
      <c r="A222" s="14"/>
      <c r="B222" s="129" t="s">
        <v>191</v>
      </c>
      <c r="C222" s="130" t="s">
        <v>64</v>
      </c>
      <c r="D222" s="131" t="s">
        <v>11</v>
      </c>
      <c r="E222" s="131" t="s">
        <v>51</v>
      </c>
      <c r="F222" s="131" t="s">
        <v>188</v>
      </c>
      <c r="G222" s="131" t="s">
        <v>192</v>
      </c>
      <c r="H222" s="126"/>
      <c r="I222" s="131">
        <v>7110020050</v>
      </c>
      <c r="J222" s="131" t="str">
        <f t="shared" si="41"/>
        <v>7110020050</v>
      </c>
      <c r="K222" s="304" t="str">
        <f>C222&amp;D222&amp;E222&amp;J222&amp;G222</f>
        <v>60101137110020050831</v>
      </c>
      <c r="L222" s="17"/>
      <c r="M222" s="20"/>
      <c r="N222" s="20"/>
      <c r="O222" s="20"/>
      <c r="P222" s="20"/>
      <c r="Q222" s="20"/>
      <c r="R222" s="20"/>
      <c r="S222" s="17"/>
    </row>
    <row r="223" spans="1:19" s="16" customFormat="1" ht="63">
      <c r="A223" s="14"/>
      <c r="B223" s="125" t="s">
        <v>87</v>
      </c>
      <c r="C223" s="130" t="s">
        <v>64</v>
      </c>
      <c r="D223" s="131" t="s">
        <v>11</v>
      </c>
      <c r="E223" s="131" t="s">
        <v>51</v>
      </c>
      <c r="F223" s="131" t="s">
        <v>88</v>
      </c>
      <c r="G223" s="131" t="s">
        <v>9</v>
      </c>
      <c r="H223" s="126">
        <f>H224</f>
        <v>0</v>
      </c>
      <c r="I223" s="131">
        <v>9800000000</v>
      </c>
      <c r="J223" s="131" t="str">
        <f t="shared" si="41"/>
        <v>9800000000</v>
      </c>
      <c r="K223" s="132"/>
      <c r="L223" s="17"/>
      <c r="M223" s="20">
        <v>7404.69</v>
      </c>
      <c r="N223" s="20">
        <v>7404.69</v>
      </c>
      <c r="O223" s="20">
        <v>7404.69</v>
      </c>
      <c r="P223" s="20">
        <f>H223-M223</f>
        <v>-7404.69</v>
      </c>
      <c r="Q223" s="20" t="e">
        <f>#REF!-N223</f>
        <v>#REF!</v>
      </c>
      <c r="R223" s="20" t="e">
        <f>#REF!-O223</f>
        <v>#REF!</v>
      </c>
      <c r="S223" s="17" t="str">
        <f t="shared" si="39"/>
        <v>98 0 00 00000000</v>
      </c>
    </row>
    <row r="224" spans="1:19" s="16" customFormat="1" ht="15.75">
      <c r="A224" s="14"/>
      <c r="B224" s="125" t="s">
        <v>89</v>
      </c>
      <c r="C224" s="130" t="s">
        <v>64</v>
      </c>
      <c r="D224" s="131" t="s">
        <v>11</v>
      </c>
      <c r="E224" s="131" t="s">
        <v>51</v>
      </c>
      <c r="F224" s="131" t="s">
        <v>90</v>
      </c>
      <c r="G224" s="131" t="s">
        <v>9</v>
      </c>
      <c r="H224" s="126">
        <f t="shared" ref="H224" si="44">H225</f>
        <v>0</v>
      </c>
      <c r="I224" s="131">
        <v>9810000000</v>
      </c>
      <c r="J224" s="131" t="str">
        <f t="shared" si="41"/>
        <v>9810000000</v>
      </c>
      <c r="K224" s="132"/>
      <c r="L224" s="17"/>
      <c r="M224" s="20">
        <v>7404.69</v>
      </c>
      <c r="N224" s="20">
        <v>7404.69</v>
      </c>
      <c r="O224" s="20">
        <v>7404.69</v>
      </c>
      <c r="P224" s="20">
        <f>H224-M224</f>
        <v>-7404.69</v>
      </c>
      <c r="Q224" s="20" t="e">
        <f>#REF!-N224</f>
        <v>#REF!</v>
      </c>
      <c r="R224" s="20" t="e">
        <f>#REF!-O224</f>
        <v>#REF!</v>
      </c>
      <c r="S224" s="17" t="str">
        <f t="shared" si="39"/>
        <v>98 1 00 00000000</v>
      </c>
    </row>
    <row r="225" spans="1:19" s="16" customFormat="1" ht="63">
      <c r="A225" s="14" t="s">
        <v>80</v>
      </c>
      <c r="B225" s="129" t="s">
        <v>193</v>
      </c>
      <c r="C225" s="130" t="s">
        <v>64</v>
      </c>
      <c r="D225" s="131" t="s">
        <v>11</v>
      </c>
      <c r="E225" s="131" t="s">
        <v>51</v>
      </c>
      <c r="F225" s="131" t="s">
        <v>194</v>
      </c>
      <c r="G225" s="131" t="s">
        <v>9</v>
      </c>
      <c r="H225" s="126">
        <f>H226+H229</f>
        <v>0</v>
      </c>
      <c r="I225" s="131">
        <v>9810076610</v>
      </c>
      <c r="J225" s="131" t="str">
        <f t="shared" si="41"/>
        <v>9810076610</v>
      </c>
      <c r="K225" s="132"/>
      <c r="L225" s="17"/>
      <c r="M225" s="20">
        <v>7404.69</v>
      </c>
      <c r="N225" s="20">
        <v>7404.69</v>
      </c>
      <c r="O225" s="20">
        <v>7404.69</v>
      </c>
      <c r="P225" s="20">
        <f>H225-M225</f>
        <v>-7404.69</v>
      </c>
      <c r="Q225" s="20" t="e">
        <f>#REF!-N225</f>
        <v>#REF!</v>
      </c>
      <c r="R225" s="20" t="e">
        <f>#REF!-O225</f>
        <v>#REF!</v>
      </c>
      <c r="S225" s="17" t="str">
        <f t="shared" si="39"/>
        <v>98 1 00 76610000</v>
      </c>
    </row>
    <row r="226" spans="1:19" s="16" customFormat="1" ht="31.5">
      <c r="A226" s="14"/>
      <c r="B226" s="127" t="s">
        <v>20</v>
      </c>
      <c r="C226" s="130" t="s">
        <v>64</v>
      </c>
      <c r="D226" s="131" t="s">
        <v>11</v>
      </c>
      <c r="E226" s="131" t="s">
        <v>51</v>
      </c>
      <c r="F226" s="131" t="s">
        <v>194</v>
      </c>
      <c r="G226" s="131" t="s">
        <v>21</v>
      </c>
      <c r="H226" s="126">
        <f>SUM(H227:H228)</f>
        <v>0</v>
      </c>
      <c r="I226" s="131">
        <v>9810076610</v>
      </c>
      <c r="J226" s="131" t="str">
        <f t="shared" si="41"/>
        <v>9810076610</v>
      </c>
      <c r="K226" s="132"/>
      <c r="L226" s="17"/>
      <c r="M226" s="20">
        <v>7404.69</v>
      </c>
      <c r="N226" s="20">
        <v>7404.69</v>
      </c>
      <c r="O226" s="20">
        <v>7404.69</v>
      </c>
      <c r="P226" s="20">
        <f>H226-M226</f>
        <v>-7404.69</v>
      </c>
      <c r="Q226" s="20" t="e">
        <f>#REF!-N226</f>
        <v>#REF!</v>
      </c>
      <c r="R226" s="20" t="e">
        <f>#REF!-O226</f>
        <v>#REF!</v>
      </c>
      <c r="S226" s="17" t="str">
        <f t="shared" si="39"/>
        <v>98 1 00 76610120</v>
      </c>
    </row>
    <row r="227" spans="1:19" s="23" customFormat="1" ht="31.5">
      <c r="A227" s="21"/>
      <c r="B227" s="127" t="s">
        <v>40</v>
      </c>
      <c r="C227" s="130" t="s">
        <v>64</v>
      </c>
      <c r="D227" s="131" t="s">
        <v>11</v>
      </c>
      <c r="E227" s="131" t="s">
        <v>51</v>
      </c>
      <c r="F227" s="131" t="s">
        <v>194</v>
      </c>
      <c r="G227" s="108" t="s">
        <v>41</v>
      </c>
      <c r="H227" s="126"/>
      <c r="I227" s="131">
        <v>9810076610</v>
      </c>
      <c r="J227" s="131" t="str">
        <f t="shared" si="41"/>
        <v>9810076610</v>
      </c>
      <c r="K227" s="304" t="str">
        <f t="shared" ref="K227:K228" si="45">C227&amp;D227&amp;E227&amp;J227&amp;G227</f>
        <v>60101139810076610121</v>
      </c>
      <c r="L227" s="24"/>
      <c r="M227" s="22"/>
      <c r="N227" s="22"/>
      <c r="O227" s="22"/>
      <c r="P227" s="22"/>
      <c r="Q227" s="22"/>
      <c r="R227" s="22"/>
      <c r="S227" s="24"/>
    </row>
    <row r="228" spans="1:19" s="23" customFormat="1" ht="63">
      <c r="A228" s="21"/>
      <c r="B228" s="127" t="s">
        <v>26</v>
      </c>
      <c r="C228" s="130" t="s">
        <v>64</v>
      </c>
      <c r="D228" s="131" t="s">
        <v>11</v>
      </c>
      <c r="E228" s="131" t="s">
        <v>51</v>
      </c>
      <c r="F228" s="131" t="s">
        <v>194</v>
      </c>
      <c r="G228" s="108" t="s">
        <v>27</v>
      </c>
      <c r="H228" s="126"/>
      <c r="I228" s="131">
        <v>9810076610</v>
      </c>
      <c r="J228" s="131" t="str">
        <f t="shared" si="41"/>
        <v>9810076610</v>
      </c>
      <c r="K228" s="304" t="str">
        <f t="shared" si="45"/>
        <v>60101139810076610129</v>
      </c>
      <c r="L228" s="24"/>
      <c r="M228" s="22"/>
      <c r="N228" s="22"/>
      <c r="O228" s="22"/>
      <c r="P228" s="22"/>
      <c r="Q228" s="22"/>
      <c r="R228" s="22"/>
      <c r="S228" s="24"/>
    </row>
    <row r="229" spans="1:19" s="23" customFormat="1" ht="31.5">
      <c r="A229" s="21"/>
      <c r="B229" s="125" t="s">
        <v>28</v>
      </c>
      <c r="C229" s="130" t="s">
        <v>64</v>
      </c>
      <c r="D229" s="131" t="s">
        <v>11</v>
      </c>
      <c r="E229" s="131" t="s">
        <v>51</v>
      </c>
      <c r="F229" s="131" t="s">
        <v>194</v>
      </c>
      <c r="G229" s="108" t="s">
        <v>29</v>
      </c>
      <c r="H229" s="126">
        <f>H230</f>
        <v>0</v>
      </c>
      <c r="I229" s="131">
        <v>9810076610</v>
      </c>
      <c r="J229" s="131" t="str">
        <f t="shared" si="41"/>
        <v>9810076610</v>
      </c>
      <c r="K229" s="24"/>
      <c r="L229" s="24"/>
      <c r="M229" s="22"/>
      <c r="N229" s="22"/>
      <c r="O229" s="22"/>
      <c r="P229" s="22"/>
      <c r="Q229" s="22"/>
      <c r="R229" s="22"/>
      <c r="S229" s="24"/>
    </row>
    <row r="230" spans="1:19" s="23" customFormat="1" ht="15.75">
      <c r="A230" s="21"/>
      <c r="B230" s="125" t="s">
        <v>30</v>
      </c>
      <c r="C230" s="130" t="s">
        <v>64</v>
      </c>
      <c r="D230" s="131" t="s">
        <v>11</v>
      </c>
      <c r="E230" s="131" t="s">
        <v>51</v>
      </c>
      <c r="F230" s="131" t="s">
        <v>194</v>
      </c>
      <c r="G230" s="108" t="s">
        <v>31</v>
      </c>
      <c r="H230" s="126"/>
      <c r="I230" s="131">
        <v>9810076610</v>
      </c>
      <c r="J230" s="131" t="str">
        <f t="shared" si="41"/>
        <v>9810076610</v>
      </c>
      <c r="K230" s="304" t="str">
        <f>C230&amp;D230&amp;E230&amp;J230&amp;G230</f>
        <v>60101139810076610244</v>
      </c>
      <c r="L230" s="24"/>
      <c r="M230" s="22"/>
      <c r="N230" s="22"/>
      <c r="O230" s="22"/>
      <c r="P230" s="22"/>
      <c r="Q230" s="22"/>
      <c r="R230" s="22"/>
      <c r="S230" s="24"/>
    </row>
    <row r="231" spans="1:19" s="16" customFormat="1" ht="15.75">
      <c r="A231" s="14"/>
      <c r="B231" s="117" t="s">
        <v>195</v>
      </c>
      <c r="C231" s="118" t="s">
        <v>64</v>
      </c>
      <c r="D231" s="119" t="s">
        <v>73</v>
      </c>
      <c r="E231" s="119" t="s">
        <v>7</v>
      </c>
      <c r="F231" s="119" t="s">
        <v>8</v>
      </c>
      <c r="G231" s="119" t="s">
        <v>9</v>
      </c>
      <c r="H231" s="120">
        <f t="shared" ref="H231:H232" si="46">H232</f>
        <v>0</v>
      </c>
      <c r="I231" s="119">
        <v>0</v>
      </c>
      <c r="J231" s="119" t="str">
        <f t="shared" si="41"/>
        <v>0000000000</v>
      </c>
      <c r="K231" s="132"/>
      <c r="L231" s="17"/>
      <c r="M231" s="18">
        <v>11547.5</v>
      </c>
      <c r="N231" s="18">
        <v>11547.5</v>
      </c>
      <c r="O231" s="18">
        <v>11547.5</v>
      </c>
      <c r="P231" s="18">
        <f t="shared" ref="P231:P237" si="47">H231-M231</f>
        <v>-11547.5</v>
      </c>
      <c r="Q231" s="18" t="e">
        <f>#REF!-N231</f>
        <v>#REF!</v>
      </c>
      <c r="R231" s="18" t="e">
        <f>#REF!-O231</f>
        <v>#REF!</v>
      </c>
      <c r="S231" s="17" t="str">
        <f t="shared" si="39"/>
        <v>00 0 00 00000000</v>
      </c>
    </row>
    <row r="232" spans="1:19" s="16" customFormat="1" ht="15.75">
      <c r="A232" s="14"/>
      <c r="B232" s="121" t="s">
        <v>196</v>
      </c>
      <c r="C232" s="122" t="s">
        <v>64</v>
      </c>
      <c r="D232" s="123" t="s">
        <v>73</v>
      </c>
      <c r="E232" s="123" t="s">
        <v>57</v>
      </c>
      <c r="F232" s="123" t="s">
        <v>8</v>
      </c>
      <c r="G232" s="123" t="s">
        <v>9</v>
      </c>
      <c r="H232" s="124">
        <f t="shared" si="46"/>
        <v>0</v>
      </c>
      <c r="I232" s="123">
        <v>0</v>
      </c>
      <c r="J232" s="123" t="str">
        <f t="shared" si="41"/>
        <v>0000000000</v>
      </c>
      <c r="K232" s="132"/>
      <c r="L232" s="17"/>
      <c r="M232" s="19">
        <v>11547.5</v>
      </c>
      <c r="N232" s="19">
        <v>11547.5</v>
      </c>
      <c r="O232" s="19">
        <v>11547.5</v>
      </c>
      <c r="P232" s="19">
        <f t="shared" si="47"/>
        <v>-11547.5</v>
      </c>
      <c r="Q232" s="19" t="e">
        <f>#REF!-N232</f>
        <v>#REF!</v>
      </c>
      <c r="R232" s="19" t="e">
        <f>#REF!-O232</f>
        <v>#REF!</v>
      </c>
      <c r="S232" s="17" t="str">
        <f t="shared" si="39"/>
        <v>00 0 00 00000000</v>
      </c>
    </row>
    <row r="233" spans="1:19" s="16" customFormat="1" ht="31.5">
      <c r="A233" s="14"/>
      <c r="B233" s="129" t="s">
        <v>94</v>
      </c>
      <c r="C233" s="109" t="s">
        <v>64</v>
      </c>
      <c r="D233" s="108" t="s">
        <v>73</v>
      </c>
      <c r="E233" s="108" t="s">
        <v>57</v>
      </c>
      <c r="F233" s="108" t="s">
        <v>95</v>
      </c>
      <c r="G233" s="108" t="s">
        <v>9</v>
      </c>
      <c r="H233" s="126">
        <f>H234+H248</f>
        <v>0</v>
      </c>
      <c r="I233" s="108">
        <v>1200000000</v>
      </c>
      <c r="J233" s="108" t="str">
        <f t="shared" si="41"/>
        <v>1200000000</v>
      </c>
      <c r="K233" s="132"/>
      <c r="L233" s="17"/>
      <c r="M233" s="20">
        <v>11547.5</v>
      </c>
      <c r="N233" s="20">
        <v>11547.5</v>
      </c>
      <c r="O233" s="20">
        <v>11547.5</v>
      </c>
      <c r="P233" s="20">
        <f t="shared" si="47"/>
        <v>-11547.5</v>
      </c>
      <c r="Q233" s="20" t="e">
        <f>#REF!-N233</f>
        <v>#REF!</v>
      </c>
      <c r="R233" s="20" t="e">
        <f>#REF!-O233</f>
        <v>#REF!</v>
      </c>
      <c r="S233" s="17" t="str">
        <f t="shared" si="39"/>
        <v>12 0 00 00000000</v>
      </c>
    </row>
    <row r="234" spans="1:19" s="16" customFormat="1" ht="31.5">
      <c r="A234" s="14"/>
      <c r="B234" s="129" t="s">
        <v>197</v>
      </c>
      <c r="C234" s="109" t="s">
        <v>64</v>
      </c>
      <c r="D234" s="108" t="s">
        <v>73</v>
      </c>
      <c r="E234" s="108" t="s">
        <v>57</v>
      </c>
      <c r="F234" s="108" t="s">
        <v>198</v>
      </c>
      <c r="G234" s="108" t="s">
        <v>9</v>
      </c>
      <c r="H234" s="126">
        <f>H235+H240+H244</f>
        <v>0</v>
      </c>
      <c r="I234" s="108">
        <v>1210000000</v>
      </c>
      <c r="J234" s="108" t="str">
        <f t="shared" si="41"/>
        <v>1210000000</v>
      </c>
      <c r="K234" s="132"/>
      <c r="L234" s="17"/>
      <c r="M234" s="20">
        <v>8210</v>
      </c>
      <c r="N234" s="20">
        <v>8210</v>
      </c>
      <c r="O234" s="20">
        <v>8210</v>
      </c>
      <c r="P234" s="20">
        <f t="shared" si="47"/>
        <v>-8210</v>
      </c>
      <c r="Q234" s="20" t="e">
        <f>#REF!-N234</f>
        <v>#REF!</v>
      </c>
      <c r="R234" s="20" t="e">
        <f>#REF!-O234</f>
        <v>#REF!</v>
      </c>
      <c r="S234" s="17" t="str">
        <f t="shared" si="39"/>
        <v>12 1 00 00000000</v>
      </c>
    </row>
    <row r="235" spans="1:19" s="16" customFormat="1" ht="47.25">
      <c r="A235" s="14"/>
      <c r="B235" s="129" t="s">
        <v>199</v>
      </c>
      <c r="C235" s="109" t="s">
        <v>64</v>
      </c>
      <c r="D235" s="108" t="s">
        <v>73</v>
      </c>
      <c r="E235" s="108" t="s">
        <v>57</v>
      </c>
      <c r="F235" s="108" t="s">
        <v>200</v>
      </c>
      <c r="G235" s="108" t="s">
        <v>9</v>
      </c>
      <c r="H235" s="126">
        <f t="shared" ref="H235:H236" si="48">H236</f>
        <v>0</v>
      </c>
      <c r="I235" s="108">
        <v>1210100000</v>
      </c>
      <c r="J235" s="108" t="str">
        <f t="shared" si="41"/>
        <v>1210100000</v>
      </c>
      <c r="K235" s="132"/>
      <c r="L235" s="17"/>
      <c r="M235" s="20">
        <v>5000</v>
      </c>
      <c r="N235" s="20">
        <v>5000</v>
      </c>
      <c r="O235" s="20">
        <v>5000</v>
      </c>
      <c r="P235" s="20">
        <f t="shared" si="47"/>
        <v>-5000</v>
      </c>
      <c r="Q235" s="20" t="e">
        <f>#REF!-N235</f>
        <v>#REF!</v>
      </c>
      <c r="R235" s="20" t="e">
        <f>#REF!-O235</f>
        <v>#REF!</v>
      </c>
      <c r="S235" s="17" t="str">
        <f t="shared" si="39"/>
        <v>12 1 01 00000000</v>
      </c>
    </row>
    <row r="236" spans="1:19" s="16" customFormat="1" ht="47.25">
      <c r="A236" s="14"/>
      <c r="B236" s="129" t="s">
        <v>201</v>
      </c>
      <c r="C236" s="109" t="s">
        <v>64</v>
      </c>
      <c r="D236" s="108" t="s">
        <v>73</v>
      </c>
      <c r="E236" s="108" t="s">
        <v>57</v>
      </c>
      <c r="F236" s="108" t="s">
        <v>202</v>
      </c>
      <c r="G236" s="108" t="s">
        <v>9</v>
      </c>
      <c r="H236" s="126">
        <f t="shared" si="48"/>
        <v>0</v>
      </c>
      <c r="I236" s="108">
        <v>1210160130</v>
      </c>
      <c r="J236" s="108" t="str">
        <f t="shared" si="41"/>
        <v>1210160130</v>
      </c>
      <c r="K236" s="132"/>
      <c r="L236" s="17"/>
      <c r="M236" s="20">
        <v>5000</v>
      </c>
      <c r="N236" s="20">
        <v>5000</v>
      </c>
      <c r="O236" s="20">
        <v>5000</v>
      </c>
      <c r="P236" s="20">
        <f t="shared" si="47"/>
        <v>-5000</v>
      </c>
      <c r="Q236" s="20" t="e">
        <f>#REF!-N236</f>
        <v>#REF!</v>
      </c>
      <c r="R236" s="20" t="e">
        <f>#REF!-O236</f>
        <v>#REF!</v>
      </c>
      <c r="S236" s="17" t="str">
        <f t="shared" si="39"/>
        <v>12 1 01 60130000</v>
      </c>
    </row>
    <row r="237" spans="1:19" s="16" customFormat="1" ht="63">
      <c r="A237" s="14"/>
      <c r="B237" s="129" t="s">
        <v>203</v>
      </c>
      <c r="C237" s="109" t="s">
        <v>64</v>
      </c>
      <c r="D237" s="108" t="s">
        <v>73</v>
      </c>
      <c r="E237" s="108" t="s">
        <v>57</v>
      </c>
      <c r="F237" s="108" t="s">
        <v>202</v>
      </c>
      <c r="G237" s="108" t="s">
        <v>204</v>
      </c>
      <c r="H237" s="126">
        <f>SUM(H238:H239)</f>
        <v>0</v>
      </c>
      <c r="I237" s="108">
        <v>1210160130</v>
      </c>
      <c r="J237" s="108" t="str">
        <f t="shared" si="41"/>
        <v>1210160130</v>
      </c>
      <c r="K237" s="132"/>
      <c r="L237" s="17"/>
      <c r="M237" s="20">
        <v>5000</v>
      </c>
      <c r="N237" s="20">
        <v>5000</v>
      </c>
      <c r="O237" s="20">
        <v>5000</v>
      </c>
      <c r="P237" s="20">
        <f t="shared" si="47"/>
        <v>-5000</v>
      </c>
      <c r="Q237" s="20" t="e">
        <f>#REF!-N237</f>
        <v>#REF!</v>
      </c>
      <c r="R237" s="20" t="e">
        <f>#REF!-O237</f>
        <v>#REF!</v>
      </c>
      <c r="S237" s="17" t="str">
        <f t="shared" si="39"/>
        <v>12 1 01 60130810</v>
      </c>
    </row>
    <row r="238" spans="1:19" s="23" customFormat="1" ht="63">
      <c r="A238" s="21"/>
      <c r="B238" s="127" t="s">
        <v>205</v>
      </c>
      <c r="C238" s="109" t="s">
        <v>64</v>
      </c>
      <c r="D238" s="108" t="s">
        <v>73</v>
      </c>
      <c r="E238" s="108" t="s">
        <v>57</v>
      </c>
      <c r="F238" s="108" t="s">
        <v>202</v>
      </c>
      <c r="G238" s="108" t="s">
        <v>206</v>
      </c>
      <c r="H238" s="126"/>
      <c r="I238" s="108">
        <v>1210160130</v>
      </c>
      <c r="J238" s="108" t="str">
        <f t="shared" si="41"/>
        <v>1210160130</v>
      </c>
      <c r="K238" s="304" t="str">
        <f t="shared" ref="K238:K239" si="49">C238&amp;D238&amp;E238&amp;J238&amp;G238</f>
        <v>60104121210160130811</v>
      </c>
      <c r="L238" s="24"/>
      <c r="M238" s="22"/>
      <c r="N238" s="22"/>
      <c r="O238" s="22"/>
      <c r="P238" s="22"/>
      <c r="Q238" s="22"/>
      <c r="R238" s="22"/>
      <c r="S238" s="24"/>
    </row>
    <row r="239" spans="1:19" s="23" customFormat="1" ht="110.25">
      <c r="A239" s="21"/>
      <c r="B239" s="127" t="s">
        <v>207</v>
      </c>
      <c r="C239" s="109" t="s">
        <v>64</v>
      </c>
      <c r="D239" s="108" t="s">
        <v>73</v>
      </c>
      <c r="E239" s="108" t="s">
        <v>57</v>
      </c>
      <c r="F239" s="108" t="s">
        <v>202</v>
      </c>
      <c r="G239" s="108" t="s">
        <v>208</v>
      </c>
      <c r="H239" s="126"/>
      <c r="I239" s="108">
        <v>1210160130</v>
      </c>
      <c r="J239" s="108" t="str">
        <f t="shared" si="41"/>
        <v>1210160130</v>
      </c>
      <c r="K239" s="304" t="str">
        <f t="shared" si="49"/>
        <v>60104121210160130812</v>
      </c>
      <c r="L239" s="24"/>
      <c r="M239" s="22"/>
      <c r="N239" s="22"/>
      <c r="O239" s="22"/>
      <c r="P239" s="22"/>
      <c r="Q239" s="22"/>
      <c r="R239" s="22"/>
      <c r="S239" s="24"/>
    </row>
    <row r="240" spans="1:19" s="16" customFormat="1" ht="63">
      <c r="A240" s="14"/>
      <c r="B240" s="129" t="s">
        <v>209</v>
      </c>
      <c r="C240" s="109" t="s">
        <v>64</v>
      </c>
      <c r="D240" s="108" t="s">
        <v>73</v>
      </c>
      <c r="E240" s="108" t="s">
        <v>57</v>
      </c>
      <c r="F240" s="108" t="s">
        <v>210</v>
      </c>
      <c r="G240" s="108" t="s">
        <v>9</v>
      </c>
      <c r="H240" s="126">
        <f t="shared" ref="H240" si="50">H241</f>
        <v>0</v>
      </c>
      <c r="I240" s="108">
        <v>1210200000</v>
      </c>
      <c r="J240" s="108" t="str">
        <f t="shared" si="41"/>
        <v>1210200000</v>
      </c>
      <c r="K240" s="132"/>
      <c r="L240" s="17"/>
      <c r="M240" s="20">
        <v>2550</v>
      </c>
      <c r="N240" s="20">
        <v>2550</v>
      </c>
      <c r="O240" s="20">
        <v>2550</v>
      </c>
      <c r="P240" s="20">
        <f>H240-M240</f>
        <v>-2550</v>
      </c>
      <c r="Q240" s="20" t="e">
        <f>#REF!-N240</f>
        <v>#REF!</v>
      </c>
      <c r="R240" s="20" t="e">
        <f>#REF!-O240</f>
        <v>#REF!</v>
      </c>
      <c r="S240" s="17" t="str">
        <f t="shared" si="39"/>
        <v>12 1 02 00000000</v>
      </c>
    </row>
    <row r="241" spans="1:19" s="16" customFormat="1" ht="47.25">
      <c r="A241" s="14"/>
      <c r="B241" s="129" t="s">
        <v>211</v>
      </c>
      <c r="C241" s="109" t="s">
        <v>64</v>
      </c>
      <c r="D241" s="108" t="s">
        <v>73</v>
      </c>
      <c r="E241" s="108" t="s">
        <v>57</v>
      </c>
      <c r="F241" s="108" t="s">
        <v>212</v>
      </c>
      <c r="G241" s="108" t="s">
        <v>9</v>
      </c>
      <c r="H241" s="126">
        <f>H242</f>
        <v>0</v>
      </c>
      <c r="I241" s="108">
        <v>1210220480</v>
      </c>
      <c r="J241" s="108" t="str">
        <f t="shared" si="41"/>
        <v>1210220480</v>
      </c>
      <c r="K241" s="132"/>
      <c r="L241" s="17"/>
      <c r="M241" s="20">
        <v>2550</v>
      </c>
      <c r="N241" s="20">
        <v>2550</v>
      </c>
      <c r="O241" s="20">
        <v>2550</v>
      </c>
      <c r="P241" s="20">
        <f>H241-M241</f>
        <v>-2550</v>
      </c>
      <c r="Q241" s="20" t="e">
        <f>#REF!-N241</f>
        <v>#REF!</v>
      </c>
      <c r="R241" s="20" t="e">
        <f>#REF!-O241</f>
        <v>#REF!</v>
      </c>
      <c r="S241" s="17" t="str">
        <f t="shared" si="39"/>
        <v>12 1 02 20480000</v>
      </c>
    </row>
    <row r="242" spans="1:19" s="16" customFormat="1" ht="47.25">
      <c r="A242" s="14"/>
      <c r="B242" s="306" t="s">
        <v>182</v>
      </c>
      <c r="C242" s="109" t="s">
        <v>64</v>
      </c>
      <c r="D242" s="108" t="s">
        <v>73</v>
      </c>
      <c r="E242" s="108" t="s">
        <v>57</v>
      </c>
      <c r="F242" s="108" t="s">
        <v>212</v>
      </c>
      <c r="G242" s="108" t="s">
        <v>183</v>
      </c>
      <c r="H242" s="126">
        <f>H243</f>
        <v>0</v>
      </c>
      <c r="I242" s="108">
        <v>1210220480</v>
      </c>
      <c r="J242" s="108" t="str">
        <f t="shared" si="41"/>
        <v>1210220480</v>
      </c>
      <c r="K242" s="132"/>
      <c r="L242" s="17"/>
      <c r="M242" s="20">
        <v>2400</v>
      </c>
      <c r="N242" s="20">
        <v>2400</v>
      </c>
      <c r="O242" s="20">
        <v>2400</v>
      </c>
      <c r="P242" s="20">
        <f>H242-M242</f>
        <v>-2400</v>
      </c>
      <c r="Q242" s="20" t="e">
        <f>#REF!-N242</f>
        <v>#REF!</v>
      </c>
      <c r="R242" s="20" t="e">
        <f>#REF!-O242</f>
        <v>#REF!</v>
      </c>
      <c r="S242" s="17" t="str">
        <f t="shared" si="39"/>
        <v>12 1 02 20480630</v>
      </c>
    </row>
    <row r="243" spans="1:19" s="16" customFormat="1" ht="47.25">
      <c r="A243" s="14"/>
      <c r="B243" s="125" t="s">
        <v>213</v>
      </c>
      <c r="C243" s="109" t="s">
        <v>64</v>
      </c>
      <c r="D243" s="108" t="s">
        <v>73</v>
      </c>
      <c r="E243" s="108" t="s">
        <v>57</v>
      </c>
      <c r="F243" s="108" t="s">
        <v>212</v>
      </c>
      <c r="G243" s="108" t="s">
        <v>214</v>
      </c>
      <c r="H243" s="126"/>
      <c r="I243" s="108">
        <v>1210220480</v>
      </c>
      <c r="J243" s="108" t="str">
        <f t="shared" si="41"/>
        <v>1210220480</v>
      </c>
      <c r="K243" s="304" t="str">
        <f>C243&amp;D243&amp;E243&amp;J243&amp;G243</f>
        <v>60104121210220480634</v>
      </c>
      <c r="L243" s="17"/>
      <c r="M243" s="20"/>
      <c r="N243" s="20"/>
      <c r="O243" s="20"/>
      <c r="P243" s="20"/>
      <c r="Q243" s="20"/>
      <c r="R243" s="20"/>
      <c r="S243" s="17" t="str">
        <f t="shared" si="39"/>
        <v>12 1 02 20480634</v>
      </c>
    </row>
    <row r="244" spans="1:19" s="16" customFormat="1" ht="63">
      <c r="A244" s="14"/>
      <c r="B244" s="129" t="s">
        <v>215</v>
      </c>
      <c r="C244" s="109" t="s">
        <v>64</v>
      </c>
      <c r="D244" s="108" t="s">
        <v>73</v>
      </c>
      <c r="E244" s="108" t="s">
        <v>57</v>
      </c>
      <c r="F244" s="108" t="s">
        <v>216</v>
      </c>
      <c r="G244" s="108" t="s">
        <v>9</v>
      </c>
      <c r="H244" s="126">
        <f t="shared" ref="H244:H245" si="51">H245</f>
        <v>0</v>
      </c>
      <c r="I244" s="108">
        <v>1210300000</v>
      </c>
      <c r="J244" s="108" t="str">
        <f t="shared" si="41"/>
        <v>1210300000</v>
      </c>
      <c r="K244" s="132"/>
      <c r="L244" s="17"/>
      <c r="M244" s="20">
        <v>660</v>
      </c>
      <c r="N244" s="20">
        <v>660</v>
      </c>
      <c r="O244" s="20">
        <v>660</v>
      </c>
      <c r="P244" s="20">
        <f>H244-M244</f>
        <v>-660</v>
      </c>
      <c r="Q244" s="20" t="e">
        <f>#REF!-N244</f>
        <v>#REF!</v>
      </c>
      <c r="R244" s="20" t="e">
        <f>#REF!-O244</f>
        <v>#REF!</v>
      </c>
      <c r="S244" s="17" t="str">
        <f t="shared" si="39"/>
        <v>12 1 03 00000000</v>
      </c>
    </row>
    <row r="245" spans="1:19" s="16" customFormat="1" ht="47.25">
      <c r="A245" s="14"/>
      <c r="B245" s="129" t="s">
        <v>211</v>
      </c>
      <c r="C245" s="109" t="s">
        <v>64</v>
      </c>
      <c r="D245" s="108" t="s">
        <v>73</v>
      </c>
      <c r="E245" s="108" t="s">
        <v>57</v>
      </c>
      <c r="F245" s="108" t="s">
        <v>217</v>
      </c>
      <c r="G245" s="108" t="s">
        <v>9</v>
      </c>
      <c r="H245" s="126">
        <f t="shared" si="51"/>
        <v>0</v>
      </c>
      <c r="I245" s="108">
        <v>1210320480</v>
      </c>
      <c r="J245" s="108" t="str">
        <f t="shared" si="41"/>
        <v>1210320480</v>
      </c>
      <c r="K245" s="132"/>
      <c r="L245" s="17"/>
      <c r="M245" s="20">
        <v>660</v>
      </c>
      <c r="N245" s="20">
        <v>660</v>
      </c>
      <c r="O245" s="20">
        <v>660</v>
      </c>
      <c r="P245" s="20">
        <f>H245-M245</f>
        <v>-660</v>
      </c>
      <c r="Q245" s="20" t="e">
        <f>#REF!-N245</f>
        <v>#REF!</v>
      </c>
      <c r="R245" s="20" t="e">
        <f>#REF!-O245</f>
        <v>#REF!</v>
      </c>
      <c r="S245" s="17" t="str">
        <f t="shared" si="39"/>
        <v>12 1 03 20480000</v>
      </c>
    </row>
    <row r="246" spans="1:19" s="16" customFormat="1" ht="31.5">
      <c r="A246" s="14"/>
      <c r="B246" s="125" t="s">
        <v>28</v>
      </c>
      <c r="C246" s="109" t="s">
        <v>64</v>
      </c>
      <c r="D246" s="108" t="s">
        <v>73</v>
      </c>
      <c r="E246" s="108" t="s">
        <v>57</v>
      </c>
      <c r="F246" s="108" t="s">
        <v>217</v>
      </c>
      <c r="G246" s="108" t="s">
        <v>29</v>
      </c>
      <c r="H246" s="126">
        <f>H247</f>
        <v>0</v>
      </c>
      <c r="I246" s="108">
        <v>1210320480</v>
      </c>
      <c r="J246" s="108" t="str">
        <f t="shared" si="41"/>
        <v>1210320480</v>
      </c>
      <c r="K246" s="132"/>
      <c r="L246" s="17"/>
      <c r="M246" s="20">
        <v>660</v>
      </c>
      <c r="N246" s="20">
        <v>660</v>
      </c>
      <c r="O246" s="20">
        <v>660</v>
      </c>
      <c r="P246" s="20">
        <f>H246-M246</f>
        <v>-660</v>
      </c>
      <c r="Q246" s="20" t="e">
        <f>#REF!-N246</f>
        <v>#REF!</v>
      </c>
      <c r="R246" s="20" t="e">
        <f>#REF!-O246</f>
        <v>#REF!</v>
      </c>
      <c r="S246" s="17" t="str">
        <f t="shared" si="39"/>
        <v>12 1 03 20480240</v>
      </c>
    </row>
    <row r="247" spans="1:19" s="16" customFormat="1" ht="15.75">
      <c r="A247" s="14"/>
      <c r="B247" s="125" t="s">
        <v>30</v>
      </c>
      <c r="C247" s="109" t="s">
        <v>64</v>
      </c>
      <c r="D247" s="108" t="s">
        <v>73</v>
      </c>
      <c r="E247" s="108" t="s">
        <v>57</v>
      </c>
      <c r="F247" s="108" t="s">
        <v>217</v>
      </c>
      <c r="G247" s="108" t="s">
        <v>31</v>
      </c>
      <c r="H247" s="126"/>
      <c r="I247" s="108">
        <v>1210320480</v>
      </c>
      <c r="J247" s="108" t="str">
        <f t="shared" si="41"/>
        <v>1210320480</v>
      </c>
      <c r="K247" s="304" t="str">
        <f>C247&amp;D247&amp;E247&amp;J247&amp;G247</f>
        <v>60104121210320480244</v>
      </c>
      <c r="L247" s="17"/>
      <c r="M247" s="20"/>
      <c r="N247" s="20"/>
      <c r="O247" s="20"/>
      <c r="P247" s="20"/>
      <c r="Q247" s="20"/>
      <c r="R247" s="20"/>
      <c r="S247" s="17" t="str">
        <f t="shared" si="39"/>
        <v>12 1 03 20480244</v>
      </c>
    </row>
    <row r="248" spans="1:19" s="16" customFormat="1" ht="31.5">
      <c r="A248" s="14"/>
      <c r="B248" s="125" t="s">
        <v>96</v>
      </c>
      <c r="C248" s="109" t="s">
        <v>64</v>
      </c>
      <c r="D248" s="108" t="s">
        <v>73</v>
      </c>
      <c r="E248" s="108" t="s">
        <v>57</v>
      </c>
      <c r="F248" s="108" t="s">
        <v>97</v>
      </c>
      <c r="G248" s="108" t="s">
        <v>9</v>
      </c>
      <c r="H248" s="126">
        <f>H253+H249</f>
        <v>0</v>
      </c>
      <c r="I248" s="108">
        <v>1220000000</v>
      </c>
      <c r="J248" s="108" t="str">
        <f t="shared" si="41"/>
        <v>1220000000</v>
      </c>
      <c r="K248" s="132"/>
      <c r="L248" s="17"/>
      <c r="M248" s="20">
        <v>3337.5</v>
      </c>
      <c r="N248" s="20">
        <v>3337.5</v>
      </c>
      <c r="O248" s="20">
        <v>3337.5</v>
      </c>
      <c r="P248" s="20">
        <f>H248-M248</f>
        <v>-3337.5</v>
      </c>
      <c r="Q248" s="20" t="e">
        <f>#REF!-N248</f>
        <v>#REF!</v>
      </c>
      <c r="R248" s="20" t="e">
        <f>#REF!-O248</f>
        <v>#REF!</v>
      </c>
      <c r="S248" s="17" t="str">
        <f t="shared" si="39"/>
        <v>12 2 00 00000000</v>
      </c>
    </row>
    <row r="249" spans="1:19" s="16" customFormat="1" ht="31.5">
      <c r="A249" s="14"/>
      <c r="B249" s="129" t="s">
        <v>218</v>
      </c>
      <c r="C249" s="109" t="s">
        <v>64</v>
      </c>
      <c r="D249" s="108" t="s">
        <v>73</v>
      </c>
      <c r="E249" s="108" t="s">
        <v>57</v>
      </c>
      <c r="F249" s="108" t="s">
        <v>219</v>
      </c>
      <c r="G249" s="108" t="s">
        <v>9</v>
      </c>
      <c r="H249" s="126">
        <f>H250</f>
        <v>0</v>
      </c>
      <c r="I249" s="108">
        <v>1220100000</v>
      </c>
      <c r="J249" s="108" t="str">
        <f t="shared" si="41"/>
        <v>1220100000</v>
      </c>
      <c r="K249" s="132"/>
      <c r="L249" s="17"/>
      <c r="M249" s="20">
        <v>1150</v>
      </c>
      <c r="N249" s="20">
        <v>1150</v>
      </c>
      <c r="O249" s="20">
        <v>1150</v>
      </c>
      <c r="P249" s="20">
        <f>H249-M249</f>
        <v>-1150</v>
      </c>
      <c r="Q249" s="20" t="e">
        <f>#REF!-N249</f>
        <v>#REF!</v>
      </c>
      <c r="R249" s="20" t="e">
        <f>#REF!-O249</f>
        <v>#REF!</v>
      </c>
      <c r="S249" s="17" t="str">
        <f t="shared" si="39"/>
        <v>12 2 01 00000000</v>
      </c>
    </row>
    <row r="250" spans="1:19" s="16" customFormat="1" ht="31.5">
      <c r="A250" s="14"/>
      <c r="B250" s="129" t="s">
        <v>220</v>
      </c>
      <c r="C250" s="109" t="s">
        <v>64</v>
      </c>
      <c r="D250" s="108" t="s">
        <v>73</v>
      </c>
      <c r="E250" s="108" t="s">
        <v>57</v>
      </c>
      <c r="F250" s="108" t="s">
        <v>221</v>
      </c>
      <c r="G250" s="108" t="s">
        <v>9</v>
      </c>
      <c r="H250" s="126">
        <f>H251</f>
        <v>0</v>
      </c>
      <c r="I250" s="108">
        <v>1220120650</v>
      </c>
      <c r="J250" s="108" t="str">
        <f t="shared" si="41"/>
        <v>1220120650</v>
      </c>
      <c r="K250" s="132"/>
      <c r="L250" s="17"/>
      <c r="M250" s="20">
        <v>1150</v>
      </c>
      <c r="N250" s="20">
        <v>1150</v>
      </c>
      <c r="O250" s="20">
        <v>1150</v>
      </c>
      <c r="P250" s="20">
        <f>H250-M250</f>
        <v>-1150</v>
      </c>
      <c r="Q250" s="20" t="e">
        <f>#REF!-N250</f>
        <v>#REF!</v>
      </c>
      <c r="R250" s="20" t="e">
        <f>#REF!-O250</f>
        <v>#REF!</v>
      </c>
      <c r="S250" s="17" t="str">
        <f t="shared" si="39"/>
        <v>12 2 01 20650000</v>
      </c>
    </row>
    <row r="251" spans="1:19" s="16" customFormat="1" ht="31.5">
      <c r="A251" s="14"/>
      <c r="B251" s="125" t="s">
        <v>28</v>
      </c>
      <c r="C251" s="109" t="s">
        <v>64</v>
      </c>
      <c r="D251" s="108" t="s">
        <v>73</v>
      </c>
      <c r="E251" s="108" t="s">
        <v>57</v>
      </c>
      <c r="F251" s="108" t="s">
        <v>221</v>
      </c>
      <c r="G251" s="108" t="s">
        <v>29</v>
      </c>
      <c r="H251" s="126">
        <f>H252</f>
        <v>0</v>
      </c>
      <c r="I251" s="108">
        <v>1220120650</v>
      </c>
      <c r="J251" s="108" t="str">
        <f t="shared" si="41"/>
        <v>1220120650</v>
      </c>
      <c r="K251" s="132"/>
      <c r="L251" s="17"/>
      <c r="M251" s="20">
        <v>1150</v>
      </c>
      <c r="N251" s="20">
        <v>1150</v>
      </c>
      <c r="O251" s="20">
        <v>1150</v>
      </c>
      <c r="P251" s="20">
        <f>H251-M251</f>
        <v>-1150</v>
      </c>
      <c r="Q251" s="20" t="e">
        <f>#REF!-N251</f>
        <v>#REF!</v>
      </c>
      <c r="R251" s="20" t="e">
        <f>#REF!-O251</f>
        <v>#REF!</v>
      </c>
      <c r="S251" s="17" t="str">
        <f t="shared" si="39"/>
        <v>12 2 01 20650240</v>
      </c>
    </row>
    <row r="252" spans="1:19" s="16" customFormat="1" ht="15.75">
      <c r="A252" s="14"/>
      <c r="B252" s="125" t="s">
        <v>30</v>
      </c>
      <c r="C252" s="109" t="s">
        <v>64</v>
      </c>
      <c r="D252" s="108" t="s">
        <v>73</v>
      </c>
      <c r="E252" s="108" t="s">
        <v>57</v>
      </c>
      <c r="F252" s="108" t="s">
        <v>221</v>
      </c>
      <c r="G252" s="108" t="s">
        <v>31</v>
      </c>
      <c r="H252" s="126"/>
      <c r="I252" s="108">
        <v>1220120650</v>
      </c>
      <c r="J252" s="108" t="str">
        <f t="shared" si="41"/>
        <v>1220120650</v>
      </c>
      <c r="K252" s="304" t="str">
        <f>C252&amp;D252&amp;E252&amp;J252&amp;G252</f>
        <v>60104121220120650244</v>
      </c>
      <c r="L252" s="17"/>
      <c r="M252" s="20"/>
      <c r="N252" s="20"/>
      <c r="O252" s="20"/>
      <c r="P252" s="20"/>
      <c r="Q252" s="20"/>
      <c r="R252" s="20"/>
      <c r="S252" s="17" t="str">
        <f t="shared" si="39"/>
        <v>12 2 01 20650244</v>
      </c>
    </row>
    <row r="253" spans="1:19" s="16" customFormat="1" ht="31.5">
      <c r="A253" s="14"/>
      <c r="B253" s="125" t="s">
        <v>222</v>
      </c>
      <c r="C253" s="109" t="s">
        <v>64</v>
      </c>
      <c r="D253" s="108" t="s">
        <v>73</v>
      </c>
      <c r="E253" s="108" t="s">
        <v>57</v>
      </c>
      <c r="F253" s="108" t="s">
        <v>223</v>
      </c>
      <c r="G253" s="108" t="s">
        <v>9</v>
      </c>
      <c r="H253" s="126">
        <f t="shared" ref="H253" si="52">H254</f>
        <v>0</v>
      </c>
      <c r="I253" s="108">
        <v>1220200000</v>
      </c>
      <c r="J253" s="108" t="str">
        <f t="shared" si="41"/>
        <v>1220200000</v>
      </c>
      <c r="K253" s="132"/>
      <c r="L253" s="17"/>
      <c r="M253" s="20">
        <v>2187.5</v>
      </c>
      <c r="N253" s="20">
        <v>2187.5</v>
      </c>
      <c r="O253" s="20">
        <v>2187.5</v>
      </c>
      <c r="P253" s="20">
        <f>H253-M253</f>
        <v>-2187.5</v>
      </c>
      <c r="Q253" s="20" t="e">
        <f>#REF!-N253</f>
        <v>#REF!</v>
      </c>
      <c r="R253" s="20" t="e">
        <f>#REF!-O253</f>
        <v>#REF!</v>
      </c>
      <c r="S253" s="17" t="str">
        <f t="shared" si="39"/>
        <v>12 2 02 00000000</v>
      </c>
    </row>
    <row r="254" spans="1:19" s="16" customFormat="1" ht="47.25">
      <c r="A254" s="14"/>
      <c r="B254" s="129" t="s">
        <v>224</v>
      </c>
      <c r="C254" s="109" t="s">
        <v>64</v>
      </c>
      <c r="D254" s="108" t="s">
        <v>73</v>
      </c>
      <c r="E254" s="108" t="s">
        <v>57</v>
      </c>
      <c r="F254" s="108" t="s">
        <v>225</v>
      </c>
      <c r="G254" s="108" t="s">
        <v>9</v>
      </c>
      <c r="H254" s="126">
        <f>H255+H257</f>
        <v>0</v>
      </c>
      <c r="I254" s="108">
        <v>1220220640</v>
      </c>
      <c r="J254" s="108" t="str">
        <f t="shared" si="41"/>
        <v>1220220640</v>
      </c>
      <c r="K254" s="132"/>
      <c r="L254" s="17"/>
      <c r="M254" s="20">
        <v>2187.5</v>
      </c>
      <c r="N254" s="20">
        <v>2187.5</v>
      </c>
      <c r="O254" s="20">
        <v>2187.5</v>
      </c>
      <c r="P254" s="20">
        <f>H254-M254</f>
        <v>-2187.5</v>
      </c>
      <c r="Q254" s="20" t="e">
        <f>#REF!-N254</f>
        <v>#REF!</v>
      </c>
      <c r="R254" s="20" t="e">
        <f>#REF!-O254</f>
        <v>#REF!</v>
      </c>
      <c r="S254" s="17" t="str">
        <f t="shared" si="39"/>
        <v>12 2 02 20640000</v>
      </c>
    </row>
    <row r="255" spans="1:19" s="16" customFormat="1" ht="31.5">
      <c r="A255" s="14"/>
      <c r="B255" s="125" t="s">
        <v>28</v>
      </c>
      <c r="C255" s="109" t="s">
        <v>64</v>
      </c>
      <c r="D255" s="108" t="s">
        <v>73</v>
      </c>
      <c r="E255" s="108" t="s">
        <v>57</v>
      </c>
      <c r="F255" s="108" t="s">
        <v>225</v>
      </c>
      <c r="G255" s="108" t="s">
        <v>29</v>
      </c>
      <c r="H255" s="126">
        <f>H256</f>
        <v>0</v>
      </c>
      <c r="I255" s="108">
        <v>1220220640</v>
      </c>
      <c r="J255" s="108" t="str">
        <f t="shared" si="41"/>
        <v>1220220640</v>
      </c>
      <c r="K255" s="132"/>
      <c r="L255" s="17"/>
      <c r="M255" s="20">
        <v>2087.5</v>
      </c>
      <c r="N255" s="20">
        <v>2087.5</v>
      </c>
      <c r="O255" s="20">
        <v>2087.5</v>
      </c>
      <c r="P255" s="20">
        <f>H255-M255</f>
        <v>-2087.5</v>
      </c>
      <c r="Q255" s="20" t="e">
        <f>#REF!-N255</f>
        <v>#REF!</v>
      </c>
      <c r="R255" s="20" t="e">
        <f>#REF!-O255</f>
        <v>#REF!</v>
      </c>
      <c r="S255" s="17" t="str">
        <f t="shared" si="39"/>
        <v>12 2 02 20640240</v>
      </c>
    </row>
    <row r="256" spans="1:19" s="16" customFormat="1" ht="15.75">
      <c r="A256" s="14"/>
      <c r="B256" s="125" t="s">
        <v>30</v>
      </c>
      <c r="C256" s="109" t="s">
        <v>64</v>
      </c>
      <c r="D256" s="108" t="s">
        <v>73</v>
      </c>
      <c r="E256" s="108" t="s">
        <v>57</v>
      </c>
      <c r="F256" s="108" t="s">
        <v>225</v>
      </c>
      <c r="G256" s="108" t="s">
        <v>31</v>
      </c>
      <c r="H256" s="126"/>
      <c r="I256" s="108">
        <v>1220220640</v>
      </c>
      <c r="J256" s="108" t="str">
        <f t="shared" si="41"/>
        <v>1220220640</v>
      </c>
      <c r="K256" s="304" t="str">
        <f>C256&amp;D256&amp;E256&amp;J256&amp;G256</f>
        <v>60104121220220640244</v>
      </c>
      <c r="L256" s="17"/>
      <c r="M256" s="20"/>
      <c r="N256" s="20"/>
      <c r="O256" s="20"/>
      <c r="P256" s="20"/>
      <c r="Q256" s="20"/>
      <c r="R256" s="20"/>
      <c r="S256" s="17" t="str">
        <f t="shared" si="39"/>
        <v>12 2 02 20640244</v>
      </c>
    </row>
    <row r="257" spans="1:19" s="16" customFormat="1" ht="63">
      <c r="A257" s="14"/>
      <c r="B257" s="125" t="s">
        <v>203</v>
      </c>
      <c r="C257" s="109" t="s">
        <v>64</v>
      </c>
      <c r="D257" s="108" t="s">
        <v>73</v>
      </c>
      <c r="E257" s="108" t="s">
        <v>57</v>
      </c>
      <c r="F257" s="108" t="s">
        <v>225</v>
      </c>
      <c r="G257" s="108" t="s">
        <v>204</v>
      </c>
      <c r="H257" s="126">
        <f>H258</f>
        <v>0</v>
      </c>
      <c r="I257" s="108">
        <v>1220220640</v>
      </c>
      <c r="J257" s="108" t="str">
        <f t="shared" si="41"/>
        <v>1220220640</v>
      </c>
      <c r="K257" s="132"/>
      <c r="L257" s="17"/>
      <c r="M257" s="20">
        <v>100</v>
      </c>
      <c r="N257" s="20">
        <v>100</v>
      </c>
      <c r="O257" s="20">
        <v>100</v>
      </c>
      <c r="P257" s="20">
        <f>H257-M257</f>
        <v>-100</v>
      </c>
      <c r="Q257" s="20" t="e">
        <f>#REF!-N257</f>
        <v>#REF!</v>
      </c>
      <c r="R257" s="20" t="e">
        <f>#REF!-O257</f>
        <v>#REF!</v>
      </c>
      <c r="S257" s="17" t="str">
        <f t="shared" si="39"/>
        <v>12 2 02 20640810</v>
      </c>
    </row>
    <row r="258" spans="1:19" s="23" customFormat="1" ht="110.25">
      <c r="A258" s="21"/>
      <c r="B258" s="127" t="s">
        <v>226</v>
      </c>
      <c r="C258" s="109" t="s">
        <v>64</v>
      </c>
      <c r="D258" s="108" t="s">
        <v>73</v>
      </c>
      <c r="E258" s="108" t="s">
        <v>57</v>
      </c>
      <c r="F258" s="108" t="s">
        <v>225</v>
      </c>
      <c r="G258" s="108" t="s">
        <v>227</v>
      </c>
      <c r="H258" s="126"/>
      <c r="I258" s="108">
        <v>1220220640</v>
      </c>
      <c r="J258" s="108" t="str">
        <f t="shared" si="41"/>
        <v>1220220640</v>
      </c>
      <c r="K258" s="304" t="str">
        <f>C258&amp;D258&amp;E258&amp;J258&amp;G258</f>
        <v>60104121220220640813</v>
      </c>
      <c r="L258" s="24"/>
      <c r="M258" s="22"/>
      <c r="N258" s="22"/>
      <c r="O258" s="22"/>
      <c r="P258" s="22"/>
      <c r="Q258" s="22"/>
      <c r="R258" s="22"/>
      <c r="S258" s="24" t="str">
        <f t="shared" si="39"/>
        <v>12 2 02 20640813</v>
      </c>
    </row>
    <row r="259" spans="1:19" s="16" customFormat="1" ht="15.75">
      <c r="A259" s="14"/>
      <c r="B259" s="117" t="s">
        <v>228</v>
      </c>
      <c r="C259" s="118" t="s">
        <v>64</v>
      </c>
      <c r="D259" s="119" t="s">
        <v>229</v>
      </c>
      <c r="E259" s="119" t="s">
        <v>7</v>
      </c>
      <c r="F259" s="119" t="s">
        <v>8</v>
      </c>
      <c r="G259" s="119" t="s">
        <v>9</v>
      </c>
      <c r="H259" s="120">
        <f t="shared" ref="H259:H264" si="53">H260</f>
        <v>0</v>
      </c>
      <c r="I259" s="119">
        <v>0</v>
      </c>
      <c r="J259" s="119" t="str">
        <f t="shared" si="41"/>
        <v>0000000000</v>
      </c>
      <c r="K259" s="132"/>
      <c r="L259" s="17"/>
      <c r="M259" s="18">
        <v>160</v>
      </c>
      <c r="N259" s="18">
        <v>160</v>
      </c>
      <c r="O259" s="18">
        <v>160</v>
      </c>
      <c r="P259" s="18">
        <f t="shared" ref="P259:P265" si="54">H259-M259</f>
        <v>-160</v>
      </c>
      <c r="Q259" s="18" t="e">
        <f>#REF!-N259</f>
        <v>#REF!</v>
      </c>
      <c r="R259" s="18" t="e">
        <f>#REF!-O259</f>
        <v>#REF!</v>
      </c>
      <c r="S259" s="17" t="str">
        <f t="shared" si="39"/>
        <v>00 0 00 00000000</v>
      </c>
    </row>
    <row r="260" spans="1:19" s="16" customFormat="1" ht="31.5">
      <c r="A260" s="14"/>
      <c r="B260" s="121" t="s">
        <v>230</v>
      </c>
      <c r="C260" s="122" t="s">
        <v>64</v>
      </c>
      <c r="D260" s="123" t="s">
        <v>229</v>
      </c>
      <c r="E260" s="123" t="s">
        <v>86</v>
      </c>
      <c r="F260" s="123" t="s">
        <v>8</v>
      </c>
      <c r="G260" s="123" t="s">
        <v>9</v>
      </c>
      <c r="H260" s="124">
        <f t="shared" si="53"/>
        <v>0</v>
      </c>
      <c r="I260" s="123">
        <v>0</v>
      </c>
      <c r="J260" s="123" t="str">
        <f t="shared" si="41"/>
        <v>0000000000</v>
      </c>
      <c r="K260" s="132"/>
      <c r="L260" s="17"/>
      <c r="M260" s="19">
        <v>160</v>
      </c>
      <c r="N260" s="19">
        <v>160</v>
      </c>
      <c r="O260" s="19">
        <v>160</v>
      </c>
      <c r="P260" s="19">
        <f t="shared" si="54"/>
        <v>-160</v>
      </c>
      <c r="Q260" s="19" t="e">
        <f>#REF!-N260</f>
        <v>#REF!</v>
      </c>
      <c r="R260" s="19" t="e">
        <f>#REF!-O260</f>
        <v>#REF!</v>
      </c>
      <c r="S260" s="17" t="str">
        <f t="shared" si="39"/>
        <v>00 0 00 00000000</v>
      </c>
    </row>
    <row r="261" spans="1:19" s="16" customFormat="1" ht="47.25">
      <c r="A261" s="14"/>
      <c r="B261" s="129" t="s">
        <v>103</v>
      </c>
      <c r="C261" s="109" t="s">
        <v>64</v>
      </c>
      <c r="D261" s="108" t="s">
        <v>229</v>
      </c>
      <c r="E261" s="108" t="s">
        <v>86</v>
      </c>
      <c r="F261" s="108" t="s">
        <v>104</v>
      </c>
      <c r="G261" s="108" t="s">
        <v>9</v>
      </c>
      <c r="H261" s="126">
        <f t="shared" si="53"/>
        <v>0</v>
      </c>
      <c r="I261" s="108">
        <v>1300000000</v>
      </c>
      <c r="J261" s="108" t="str">
        <f t="shared" si="41"/>
        <v>1300000000</v>
      </c>
      <c r="K261" s="132"/>
      <c r="L261" s="17"/>
      <c r="M261" s="20">
        <v>160</v>
      </c>
      <c r="N261" s="20">
        <v>160</v>
      </c>
      <c r="O261" s="20">
        <v>160</v>
      </c>
      <c r="P261" s="20">
        <f t="shared" si="54"/>
        <v>-160</v>
      </c>
      <c r="Q261" s="20" t="e">
        <f>#REF!-N261</f>
        <v>#REF!</v>
      </c>
      <c r="R261" s="20" t="e">
        <f>#REF!-O261</f>
        <v>#REF!</v>
      </c>
      <c r="S261" s="17" t="str">
        <f t="shared" si="39"/>
        <v>13 0 00 00000000</v>
      </c>
    </row>
    <row r="262" spans="1:19" s="16" customFormat="1" ht="31.5">
      <c r="A262" s="14"/>
      <c r="B262" s="129" t="s">
        <v>231</v>
      </c>
      <c r="C262" s="109" t="s">
        <v>64</v>
      </c>
      <c r="D262" s="108" t="s">
        <v>229</v>
      </c>
      <c r="E262" s="108" t="s">
        <v>86</v>
      </c>
      <c r="F262" s="108" t="s">
        <v>232</v>
      </c>
      <c r="G262" s="108" t="s">
        <v>9</v>
      </c>
      <c r="H262" s="126">
        <f t="shared" si="53"/>
        <v>0</v>
      </c>
      <c r="I262" s="108">
        <v>1310000000</v>
      </c>
      <c r="J262" s="108" t="str">
        <f t="shared" si="41"/>
        <v>1310000000</v>
      </c>
      <c r="K262" s="132"/>
      <c r="L262" s="17"/>
      <c r="M262" s="20">
        <v>160</v>
      </c>
      <c r="N262" s="20">
        <v>160</v>
      </c>
      <c r="O262" s="20">
        <v>160</v>
      </c>
      <c r="P262" s="20">
        <f t="shared" si="54"/>
        <v>-160</v>
      </c>
      <c r="Q262" s="20" t="e">
        <f>#REF!-N262</f>
        <v>#REF!</v>
      </c>
      <c r="R262" s="20" t="e">
        <f>#REF!-O262</f>
        <v>#REF!</v>
      </c>
      <c r="S262" s="17" t="str">
        <f t="shared" si="39"/>
        <v>13 1 00 00000000</v>
      </c>
    </row>
    <row r="263" spans="1:19" s="16" customFormat="1" ht="47.25">
      <c r="A263" s="14"/>
      <c r="B263" s="129" t="s">
        <v>233</v>
      </c>
      <c r="C263" s="109" t="s">
        <v>64</v>
      </c>
      <c r="D263" s="108" t="s">
        <v>229</v>
      </c>
      <c r="E263" s="108" t="s">
        <v>86</v>
      </c>
      <c r="F263" s="108" t="s">
        <v>234</v>
      </c>
      <c r="G263" s="108" t="s">
        <v>9</v>
      </c>
      <c r="H263" s="126">
        <f t="shared" si="53"/>
        <v>0</v>
      </c>
      <c r="I263" s="108">
        <v>1310100000</v>
      </c>
      <c r="J263" s="108" t="str">
        <f t="shared" si="41"/>
        <v>1310100000</v>
      </c>
      <c r="K263" s="132"/>
      <c r="L263" s="17"/>
      <c r="M263" s="20">
        <v>160</v>
      </c>
      <c r="N263" s="20">
        <v>160</v>
      </c>
      <c r="O263" s="20">
        <v>160</v>
      </c>
      <c r="P263" s="20">
        <f t="shared" si="54"/>
        <v>-160</v>
      </c>
      <c r="Q263" s="20" t="e">
        <f>#REF!-N263</f>
        <v>#REF!</v>
      </c>
      <c r="R263" s="20" t="e">
        <f>#REF!-O263</f>
        <v>#REF!</v>
      </c>
      <c r="S263" s="17" t="str">
        <f t="shared" si="39"/>
        <v>13 1 01 00000000</v>
      </c>
    </row>
    <row r="264" spans="1:19" s="16" customFormat="1" ht="47.25">
      <c r="A264" s="14"/>
      <c r="B264" s="129" t="s">
        <v>235</v>
      </c>
      <c r="C264" s="109" t="s">
        <v>64</v>
      </c>
      <c r="D264" s="108" t="s">
        <v>229</v>
      </c>
      <c r="E264" s="108" t="s">
        <v>86</v>
      </c>
      <c r="F264" s="108" t="s">
        <v>236</v>
      </c>
      <c r="G264" s="108" t="s">
        <v>9</v>
      </c>
      <c r="H264" s="126">
        <f t="shared" si="53"/>
        <v>0</v>
      </c>
      <c r="I264" s="108">
        <v>1310120450</v>
      </c>
      <c r="J264" s="108" t="str">
        <f t="shared" si="41"/>
        <v>1310120450</v>
      </c>
      <c r="K264" s="132"/>
      <c r="L264" s="17"/>
      <c r="M264" s="20">
        <v>160</v>
      </c>
      <c r="N264" s="20">
        <v>160</v>
      </c>
      <c r="O264" s="20">
        <v>160</v>
      </c>
      <c r="P264" s="20">
        <f t="shared" si="54"/>
        <v>-160</v>
      </c>
      <c r="Q264" s="20" t="e">
        <f>#REF!-N264</f>
        <v>#REF!</v>
      </c>
      <c r="R264" s="20" t="e">
        <f>#REF!-O264</f>
        <v>#REF!</v>
      </c>
      <c r="S264" s="17" t="str">
        <f t="shared" si="39"/>
        <v>13 1 01 20450000</v>
      </c>
    </row>
    <row r="265" spans="1:19" s="16" customFormat="1" ht="31.5">
      <c r="A265" s="14"/>
      <c r="B265" s="125" t="s">
        <v>28</v>
      </c>
      <c r="C265" s="109" t="s">
        <v>64</v>
      </c>
      <c r="D265" s="108" t="s">
        <v>229</v>
      </c>
      <c r="E265" s="108" t="s">
        <v>86</v>
      </c>
      <c r="F265" s="108" t="s">
        <v>236</v>
      </c>
      <c r="G265" s="108" t="s">
        <v>29</v>
      </c>
      <c r="H265" s="126">
        <f>H266</f>
        <v>0</v>
      </c>
      <c r="I265" s="108">
        <v>1310120450</v>
      </c>
      <c r="J265" s="108" t="str">
        <f t="shared" si="41"/>
        <v>1310120450</v>
      </c>
      <c r="K265" s="132"/>
      <c r="L265" s="17"/>
      <c r="M265" s="20">
        <v>160</v>
      </c>
      <c r="N265" s="20">
        <v>160</v>
      </c>
      <c r="O265" s="20">
        <v>160</v>
      </c>
      <c r="P265" s="20">
        <f t="shared" si="54"/>
        <v>-160</v>
      </c>
      <c r="Q265" s="20" t="e">
        <f>#REF!-N265</f>
        <v>#REF!</v>
      </c>
      <c r="R265" s="20" t="e">
        <f>#REF!-O265</f>
        <v>#REF!</v>
      </c>
      <c r="S265" s="17" t="str">
        <f t="shared" si="39"/>
        <v>13 1 01 20450240</v>
      </c>
    </row>
    <row r="266" spans="1:19" s="16" customFormat="1" ht="15.75">
      <c r="A266" s="14"/>
      <c r="B266" s="125" t="s">
        <v>30</v>
      </c>
      <c r="C266" s="109" t="s">
        <v>64</v>
      </c>
      <c r="D266" s="108" t="s">
        <v>229</v>
      </c>
      <c r="E266" s="108" t="s">
        <v>86</v>
      </c>
      <c r="F266" s="108" t="s">
        <v>236</v>
      </c>
      <c r="G266" s="108" t="s">
        <v>31</v>
      </c>
      <c r="H266" s="126"/>
      <c r="I266" s="108">
        <v>1310120450</v>
      </c>
      <c r="J266" s="108" t="str">
        <f t="shared" si="41"/>
        <v>1310120450</v>
      </c>
      <c r="K266" s="304" t="str">
        <f>C266&amp;D266&amp;E266&amp;J266&amp;G266</f>
        <v>60107051310120450244</v>
      </c>
      <c r="L266" s="17"/>
      <c r="M266" s="20"/>
      <c r="N266" s="20"/>
      <c r="O266" s="20"/>
      <c r="P266" s="20"/>
      <c r="Q266" s="20"/>
      <c r="R266" s="20"/>
      <c r="S266" s="17" t="str">
        <f t="shared" si="39"/>
        <v>13 1 01 20450244</v>
      </c>
    </row>
    <row r="267" spans="1:19" s="16" customFormat="1" ht="15.75">
      <c r="A267" s="14"/>
      <c r="B267" s="117" t="s">
        <v>237</v>
      </c>
      <c r="C267" s="118" t="s">
        <v>64</v>
      </c>
      <c r="D267" s="119" t="s">
        <v>238</v>
      </c>
      <c r="E267" s="119" t="s">
        <v>7</v>
      </c>
      <c r="F267" s="119" t="s">
        <v>8</v>
      </c>
      <c r="G267" s="119" t="s">
        <v>9</v>
      </c>
      <c r="H267" s="120">
        <f t="shared" ref="H267:H271" si="55">H268</f>
        <v>0</v>
      </c>
      <c r="I267" s="119">
        <v>0</v>
      </c>
      <c r="J267" s="119" t="str">
        <f t="shared" si="41"/>
        <v>0000000000</v>
      </c>
      <c r="K267" s="132"/>
      <c r="L267" s="17"/>
      <c r="M267" s="18">
        <v>1911</v>
      </c>
      <c r="N267" s="18">
        <v>1911</v>
      </c>
      <c r="O267" s="18">
        <v>1911</v>
      </c>
      <c r="P267" s="18">
        <f t="shared" ref="P267:P273" si="56">H267-M267</f>
        <v>-1911</v>
      </c>
      <c r="Q267" s="18" t="e">
        <f>#REF!-N267</f>
        <v>#REF!</v>
      </c>
      <c r="R267" s="18" t="e">
        <f>#REF!-O267</f>
        <v>#REF!</v>
      </c>
      <c r="S267" s="17" t="str">
        <f t="shared" si="39"/>
        <v>00 0 00 00000000</v>
      </c>
    </row>
    <row r="268" spans="1:19" s="16" customFormat="1" ht="15.75">
      <c r="A268" s="14"/>
      <c r="B268" s="121" t="s">
        <v>239</v>
      </c>
      <c r="C268" s="122" t="s">
        <v>64</v>
      </c>
      <c r="D268" s="123" t="s">
        <v>238</v>
      </c>
      <c r="E268" s="123" t="s">
        <v>11</v>
      </c>
      <c r="F268" s="123" t="s">
        <v>8</v>
      </c>
      <c r="G268" s="123" t="s">
        <v>9</v>
      </c>
      <c r="H268" s="124">
        <f t="shared" si="55"/>
        <v>0</v>
      </c>
      <c r="I268" s="123">
        <v>0</v>
      </c>
      <c r="J268" s="123" t="str">
        <f t="shared" si="41"/>
        <v>0000000000</v>
      </c>
      <c r="K268" s="132"/>
      <c r="L268" s="17"/>
      <c r="M268" s="19">
        <v>1911</v>
      </c>
      <c r="N268" s="19">
        <v>1911</v>
      </c>
      <c r="O268" s="19">
        <v>1911</v>
      </c>
      <c r="P268" s="19">
        <f t="shared" si="56"/>
        <v>-1911</v>
      </c>
      <c r="Q268" s="19" t="e">
        <f>#REF!-N268</f>
        <v>#REF!</v>
      </c>
      <c r="R268" s="19" t="e">
        <f>#REF!-O268</f>
        <v>#REF!</v>
      </c>
      <c r="S268" s="17" t="str">
        <f t="shared" si="39"/>
        <v>00 0 00 00000000</v>
      </c>
    </row>
    <row r="269" spans="1:19" s="16" customFormat="1" ht="31.5">
      <c r="A269" s="14"/>
      <c r="B269" s="125" t="s">
        <v>240</v>
      </c>
      <c r="C269" s="109" t="s">
        <v>64</v>
      </c>
      <c r="D269" s="108" t="s">
        <v>238</v>
      </c>
      <c r="E269" s="108" t="s">
        <v>11</v>
      </c>
      <c r="F269" s="108" t="s">
        <v>241</v>
      </c>
      <c r="G269" s="108" t="s">
        <v>9</v>
      </c>
      <c r="H269" s="126">
        <f t="shared" si="55"/>
        <v>0</v>
      </c>
      <c r="I269" s="108">
        <v>700000000</v>
      </c>
      <c r="J269" s="108" t="str">
        <f t="shared" si="41"/>
        <v>0700000000</v>
      </c>
      <c r="K269" s="132"/>
      <c r="L269" s="17"/>
      <c r="M269" s="20">
        <v>1911</v>
      </c>
      <c r="N269" s="20">
        <v>1911</v>
      </c>
      <c r="O269" s="20">
        <v>1911</v>
      </c>
      <c r="P269" s="20">
        <f t="shared" si="56"/>
        <v>-1911</v>
      </c>
      <c r="Q269" s="20" t="e">
        <f>#REF!-N269</f>
        <v>#REF!</v>
      </c>
      <c r="R269" s="20" t="e">
        <f>#REF!-O269</f>
        <v>#REF!</v>
      </c>
      <c r="S269" s="17" t="str">
        <f t="shared" si="39"/>
        <v>07 0 00 00000000</v>
      </c>
    </row>
    <row r="270" spans="1:19" s="16" customFormat="1" ht="78.75">
      <c r="A270" s="14"/>
      <c r="B270" s="129" t="s">
        <v>242</v>
      </c>
      <c r="C270" s="109" t="s">
        <v>64</v>
      </c>
      <c r="D270" s="108" t="s">
        <v>238</v>
      </c>
      <c r="E270" s="108" t="s">
        <v>11</v>
      </c>
      <c r="F270" s="108" t="s">
        <v>243</v>
      </c>
      <c r="G270" s="108" t="s">
        <v>9</v>
      </c>
      <c r="H270" s="126">
        <f t="shared" si="55"/>
        <v>0</v>
      </c>
      <c r="I270" s="108">
        <v>710000000</v>
      </c>
      <c r="J270" s="108" t="str">
        <f t="shared" si="41"/>
        <v>0710000000</v>
      </c>
      <c r="K270" s="132"/>
      <c r="L270" s="17"/>
      <c r="M270" s="20">
        <v>1911</v>
      </c>
      <c r="N270" s="20">
        <v>1911</v>
      </c>
      <c r="O270" s="20">
        <v>1911</v>
      </c>
      <c r="P270" s="20">
        <f t="shared" si="56"/>
        <v>-1911</v>
      </c>
      <c r="Q270" s="20" t="e">
        <f>#REF!-N270</f>
        <v>#REF!</v>
      </c>
      <c r="R270" s="20" t="e">
        <f>#REF!-O270</f>
        <v>#REF!</v>
      </c>
      <c r="S270" s="17" t="str">
        <f t="shared" si="39"/>
        <v>07 1 00 00000000</v>
      </c>
    </row>
    <row r="271" spans="1:19" s="16" customFormat="1" ht="110.25">
      <c r="A271" s="14"/>
      <c r="B271" s="129" t="s">
        <v>244</v>
      </c>
      <c r="C271" s="109" t="s">
        <v>64</v>
      </c>
      <c r="D271" s="108" t="s">
        <v>238</v>
      </c>
      <c r="E271" s="108" t="s">
        <v>11</v>
      </c>
      <c r="F271" s="108" t="s">
        <v>245</v>
      </c>
      <c r="G271" s="108" t="s">
        <v>9</v>
      </c>
      <c r="H271" s="126">
        <f t="shared" si="55"/>
        <v>0</v>
      </c>
      <c r="I271" s="108">
        <v>710100000</v>
      </c>
      <c r="J271" s="108" t="str">
        <f t="shared" si="41"/>
        <v>0710100000</v>
      </c>
      <c r="K271" s="132"/>
      <c r="L271" s="17"/>
      <c r="M271" s="20">
        <v>1911</v>
      </c>
      <c r="N271" s="20">
        <v>1911</v>
      </c>
      <c r="O271" s="20">
        <v>1911</v>
      </c>
      <c r="P271" s="20">
        <f t="shared" si="56"/>
        <v>-1911</v>
      </c>
      <c r="Q271" s="20" t="e">
        <f>#REF!-N271</f>
        <v>#REF!</v>
      </c>
      <c r="R271" s="20" t="e">
        <f>#REF!-O271</f>
        <v>#REF!</v>
      </c>
      <c r="S271" s="17" t="str">
        <f t="shared" si="39"/>
        <v>07 1 01 00000000</v>
      </c>
    </row>
    <row r="272" spans="1:19" s="16" customFormat="1" ht="31.5">
      <c r="A272" s="14"/>
      <c r="B272" s="129" t="s">
        <v>246</v>
      </c>
      <c r="C272" s="109" t="s">
        <v>64</v>
      </c>
      <c r="D272" s="108" t="s">
        <v>238</v>
      </c>
      <c r="E272" s="108" t="s">
        <v>11</v>
      </c>
      <c r="F272" s="108" t="s">
        <v>247</v>
      </c>
      <c r="G272" s="108" t="s">
        <v>9</v>
      </c>
      <c r="H272" s="126">
        <f>H273</f>
        <v>0</v>
      </c>
      <c r="I272" s="108">
        <v>710120060</v>
      </c>
      <c r="J272" s="108" t="str">
        <f t="shared" si="41"/>
        <v>0710120060</v>
      </c>
      <c r="K272" s="132"/>
      <c r="L272" s="17"/>
      <c r="M272" s="20">
        <v>1911</v>
      </c>
      <c r="N272" s="20">
        <v>1911</v>
      </c>
      <c r="O272" s="20">
        <v>1911</v>
      </c>
      <c r="P272" s="20">
        <f t="shared" si="56"/>
        <v>-1911</v>
      </c>
      <c r="Q272" s="20" t="e">
        <f>#REF!-N272</f>
        <v>#REF!</v>
      </c>
      <c r="R272" s="20" t="e">
        <f>#REF!-O272</f>
        <v>#REF!</v>
      </c>
      <c r="S272" s="17" t="str">
        <f t="shared" si="39"/>
        <v>07 1 01 20060000</v>
      </c>
    </row>
    <row r="273" spans="1:19" s="16" customFormat="1" ht="31.5">
      <c r="A273" s="14"/>
      <c r="B273" s="125" t="s">
        <v>28</v>
      </c>
      <c r="C273" s="109" t="s">
        <v>64</v>
      </c>
      <c r="D273" s="108" t="s">
        <v>238</v>
      </c>
      <c r="E273" s="108" t="s">
        <v>11</v>
      </c>
      <c r="F273" s="108" t="s">
        <v>247</v>
      </c>
      <c r="G273" s="108" t="s">
        <v>29</v>
      </c>
      <c r="H273" s="126">
        <f>H274</f>
        <v>0</v>
      </c>
      <c r="I273" s="108">
        <v>710120060</v>
      </c>
      <c r="J273" s="108" t="str">
        <f t="shared" ref="J273:J339" si="57">TEXT(I273,"0000000000")</f>
        <v>0710120060</v>
      </c>
      <c r="K273" s="132"/>
      <c r="L273" s="17"/>
      <c r="M273" s="20">
        <v>1911</v>
      </c>
      <c r="N273" s="20">
        <v>1911</v>
      </c>
      <c r="O273" s="20">
        <v>1911</v>
      </c>
      <c r="P273" s="20">
        <f t="shared" si="56"/>
        <v>-1911</v>
      </c>
      <c r="Q273" s="20" t="e">
        <f>#REF!-N273</f>
        <v>#REF!</v>
      </c>
      <c r="R273" s="20" t="e">
        <f>#REF!-O273</f>
        <v>#REF!</v>
      </c>
      <c r="S273" s="17" t="str">
        <f t="shared" si="39"/>
        <v>07 1 01 20060240</v>
      </c>
    </row>
    <row r="274" spans="1:19" s="16" customFormat="1" ht="15.75">
      <c r="A274" s="14"/>
      <c r="B274" s="125" t="s">
        <v>30</v>
      </c>
      <c r="C274" s="109" t="s">
        <v>64</v>
      </c>
      <c r="D274" s="108" t="s">
        <v>238</v>
      </c>
      <c r="E274" s="108" t="s">
        <v>11</v>
      </c>
      <c r="F274" s="108" t="s">
        <v>247</v>
      </c>
      <c r="G274" s="108" t="s">
        <v>31</v>
      </c>
      <c r="H274" s="126"/>
      <c r="I274" s="108">
        <v>710120060</v>
      </c>
      <c r="J274" s="108" t="str">
        <f t="shared" si="57"/>
        <v>0710120060</v>
      </c>
      <c r="K274" s="304" t="str">
        <f>C274&amp;D274&amp;E274&amp;J274&amp;G274</f>
        <v>60108010710120060244</v>
      </c>
      <c r="L274" s="17"/>
      <c r="M274" s="20"/>
      <c r="N274" s="20"/>
      <c r="O274" s="20"/>
      <c r="P274" s="20"/>
      <c r="Q274" s="20"/>
      <c r="R274" s="20"/>
      <c r="S274" s="17" t="str">
        <f t="shared" si="39"/>
        <v>07 1 01 20060244</v>
      </c>
    </row>
    <row r="275" spans="1:19" s="6" customFormat="1" ht="15.75">
      <c r="A275" s="1"/>
      <c r="B275" s="117" t="s">
        <v>56</v>
      </c>
      <c r="C275" s="118" t="s">
        <v>64</v>
      </c>
      <c r="D275" s="119" t="s">
        <v>57</v>
      </c>
      <c r="E275" s="119" t="s">
        <v>7</v>
      </c>
      <c r="F275" s="119" t="s">
        <v>8</v>
      </c>
      <c r="G275" s="119" t="s">
        <v>9</v>
      </c>
      <c r="H275" s="120">
        <f>H283+H276</f>
        <v>0</v>
      </c>
      <c r="I275" s="119">
        <v>0</v>
      </c>
      <c r="J275" s="119" t="str">
        <f t="shared" si="57"/>
        <v>0000000000</v>
      </c>
      <c r="K275" s="132"/>
      <c r="L275" s="17"/>
      <c r="M275" s="18">
        <v>20457.5</v>
      </c>
      <c r="N275" s="18">
        <v>20457.5</v>
      </c>
      <c r="O275" s="18">
        <v>20457.5</v>
      </c>
      <c r="P275" s="18">
        <f t="shared" ref="P275:P281" si="58">H275-M275</f>
        <v>-20457.5</v>
      </c>
      <c r="Q275" s="18" t="e">
        <f>#REF!-N275</f>
        <v>#REF!</v>
      </c>
      <c r="R275" s="18" t="e">
        <f>#REF!-O275</f>
        <v>#REF!</v>
      </c>
      <c r="S275" s="17" t="str">
        <f t="shared" si="39"/>
        <v>00 0 00 00000000</v>
      </c>
    </row>
    <row r="276" spans="1:19" s="6" customFormat="1" ht="15.75">
      <c r="A276" s="1"/>
      <c r="B276" s="121" t="s">
        <v>58</v>
      </c>
      <c r="C276" s="122" t="s">
        <v>64</v>
      </c>
      <c r="D276" s="123" t="s">
        <v>57</v>
      </c>
      <c r="E276" s="123" t="s">
        <v>11</v>
      </c>
      <c r="F276" s="123" t="s">
        <v>8</v>
      </c>
      <c r="G276" s="123" t="s">
        <v>9</v>
      </c>
      <c r="H276" s="124">
        <f t="shared" ref="H276:H281" si="59">H277</f>
        <v>0</v>
      </c>
      <c r="I276" s="123">
        <v>0</v>
      </c>
      <c r="J276" s="123" t="str">
        <f t="shared" si="57"/>
        <v>0000000000</v>
      </c>
      <c r="K276" s="132"/>
      <c r="L276" s="17"/>
      <c r="M276" s="19">
        <v>5900.5</v>
      </c>
      <c r="N276" s="19">
        <v>5900.5</v>
      </c>
      <c r="O276" s="19">
        <v>5900.5</v>
      </c>
      <c r="P276" s="19">
        <f t="shared" si="58"/>
        <v>-5900.5</v>
      </c>
      <c r="Q276" s="19" t="e">
        <f>#REF!-N276</f>
        <v>#REF!</v>
      </c>
      <c r="R276" s="19" t="e">
        <f>#REF!-O276</f>
        <v>#REF!</v>
      </c>
      <c r="S276" s="17" t="str">
        <f t="shared" si="39"/>
        <v>00 0 00 00000000</v>
      </c>
    </row>
    <row r="277" spans="1:19" s="6" customFormat="1" ht="63">
      <c r="A277" s="1"/>
      <c r="B277" s="129" t="s">
        <v>111</v>
      </c>
      <c r="C277" s="109" t="s">
        <v>64</v>
      </c>
      <c r="D277" s="108" t="s">
        <v>57</v>
      </c>
      <c r="E277" s="108" t="s">
        <v>11</v>
      </c>
      <c r="F277" s="108" t="s">
        <v>112</v>
      </c>
      <c r="G277" s="108" t="s">
        <v>9</v>
      </c>
      <c r="H277" s="126">
        <f t="shared" si="59"/>
        <v>0</v>
      </c>
      <c r="I277" s="108">
        <v>1400000000</v>
      </c>
      <c r="J277" s="108" t="str">
        <f t="shared" si="57"/>
        <v>1400000000</v>
      </c>
      <c r="K277" s="132"/>
      <c r="L277" s="17"/>
      <c r="M277" s="20">
        <v>5900.5</v>
      </c>
      <c r="N277" s="20">
        <v>5900.5</v>
      </c>
      <c r="O277" s="20">
        <v>5900.5</v>
      </c>
      <c r="P277" s="20">
        <f t="shared" si="58"/>
        <v>-5900.5</v>
      </c>
      <c r="Q277" s="20" t="e">
        <f>#REF!-N277</f>
        <v>#REF!</v>
      </c>
      <c r="R277" s="20" t="e">
        <f>#REF!-O277</f>
        <v>#REF!</v>
      </c>
      <c r="S277" s="17" t="str">
        <f t="shared" si="39"/>
        <v>14 0 00 00000000</v>
      </c>
    </row>
    <row r="278" spans="1:19" s="6" customFormat="1" ht="31.5">
      <c r="A278" s="1"/>
      <c r="B278" s="129" t="s">
        <v>113</v>
      </c>
      <c r="C278" s="109" t="s">
        <v>64</v>
      </c>
      <c r="D278" s="108" t="s">
        <v>57</v>
      </c>
      <c r="E278" s="108" t="s">
        <v>11</v>
      </c>
      <c r="F278" s="108" t="s">
        <v>114</v>
      </c>
      <c r="G278" s="108" t="s">
        <v>9</v>
      </c>
      <c r="H278" s="126">
        <f t="shared" si="59"/>
        <v>0</v>
      </c>
      <c r="I278" s="108">
        <v>1410000000</v>
      </c>
      <c r="J278" s="108" t="str">
        <f t="shared" si="57"/>
        <v>1410000000</v>
      </c>
      <c r="K278" s="132"/>
      <c r="L278" s="17"/>
      <c r="M278" s="20">
        <v>5900.5</v>
      </c>
      <c r="N278" s="20">
        <v>5900.5</v>
      </c>
      <c r="O278" s="20">
        <v>5900.5</v>
      </c>
      <c r="P278" s="20">
        <f t="shared" si="58"/>
        <v>-5900.5</v>
      </c>
      <c r="Q278" s="20" t="e">
        <f>#REF!-N278</f>
        <v>#REF!</v>
      </c>
      <c r="R278" s="20" t="e">
        <f>#REF!-O278</f>
        <v>#REF!</v>
      </c>
      <c r="S278" s="17" t="str">
        <f t="shared" si="39"/>
        <v>14 1 00 00000000</v>
      </c>
    </row>
    <row r="279" spans="1:19" s="6" customFormat="1" ht="63">
      <c r="A279" s="1"/>
      <c r="B279" s="129" t="s">
        <v>248</v>
      </c>
      <c r="C279" s="109" t="s">
        <v>64</v>
      </c>
      <c r="D279" s="108" t="s">
        <v>57</v>
      </c>
      <c r="E279" s="108" t="s">
        <v>11</v>
      </c>
      <c r="F279" s="108" t="s">
        <v>249</v>
      </c>
      <c r="G279" s="108" t="s">
        <v>9</v>
      </c>
      <c r="H279" s="126">
        <f t="shared" si="59"/>
        <v>0</v>
      </c>
      <c r="I279" s="108">
        <v>1410300000</v>
      </c>
      <c r="J279" s="108" t="str">
        <f t="shared" si="57"/>
        <v>1410300000</v>
      </c>
      <c r="K279" s="132"/>
      <c r="L279" s="17"/>
      <c r="M279" s="20">
        <v>5900.5</v>
      </c>
      <c r="N279" s="20">
        <v>5900.5</v>
      </c>
      <c r="O279" s="20">
        <v>5900.5</v>
      </c>
      <c r="P279" s="20">
        <f t="shared" si="58"/>
        <v>-5900.5</v>
      </c>
      <c r="Q279" s="20" t="e">
        <f>#REF!-N279</f>
        <v>#REF!</v>
      </c>
      <c r="R279" s="20" t="e">
        <f>#REF!-O279</f>
        <v>#REF!</v>
      </c>
      <c r="S279" s="17" t="str">
        <f t="shared" si="39"/>
        <v>14 1 03 00000000</v>
      </c>
    </row>
    <row r="280" spans="1:19" s="6" customFormat="1" ht="31.5">
      <c r="A280" s="1"/>
      <c r="B280" s="129" t="s">
        <v>59</v>
      </c>
      <c r="C280" s="109" t="s">
        <v>64</v>
      </c>
      <c r="D280" s="108" t="s">
        <v>57</v>
      </c>
      <c r="E280" s="108" t="s">
        <v>11</v>
      </c>
      <c r="F280" s="108" t="s">
        <v>250</v>
      </c>
      <c r="G280" s="108" t="s">
        <v>9</v>
      </c>
      <c r="H280" s="126">
        <f t="shared" si="59"/>
        <v>0</v>
      </c>
      <c r="I280" s="108">
        <v>1410398710</v>
      </c>
      <c r="J280" s="108" t="str">
        <f t="shared" si="57"/>
        <v>1410398710</v>
      </c>
      <c r="K280" s="132"/>
      <c r="L280" s="17"/>
      <c r="M280" s="20">
        <v>5900.5</v>
      </c>
      <c r="N280" s="20">
        <v>5900.5</v>
      </c>
      <c r="O280" s="20">
        <v>5900.5</v>
      </c>
      <c r="P280" s="20">
        <f t="shared" si="58"/>
        <v>-5900.5</v>
      </c>
      <c r="Q280" s="20" t="e">
        <f>#REF!-N280</f>
        <v>#REF!</v>
      </c>
      <c r="R280" s="20" t="e">
        <f>#REF!-O280</f>
        <v>#REF!</v>
      </c>
      <c r="S280" s="17" t="str">
        <f t="shared" si="39"/>
        <v>14 1 03 98710000</v>
      </c>
    </row>
    <row r="281" spans="1:19" s="6" customFormat="1" ht="31.5">
      <c r="A281" s="1"/>
      <c r="B281" s="125" t="s">
        <v>28</v>
      </c>
      <c r="C281" s="109" t="s">
        <v>64</v>
      </c>
      <c r="D281" s="108" t="s">
        <v>57</v>
      </c>
      <c r="E281" s="108" t="s">
        <v>11</v>
      </c>
      <c r="F281" s="108" t="s">
        <v>250</v>
      </c>
      <c r="G281" s="108" t="s">
        <v>29</v>
      </c>
      <c r="H281" s="126">
        <f t="shared" si="59"/>
        <v>0</v>
      </c>
      <c r="I281" s="108">
        <v>1410398710</v>
      </c>
      <c r="J281" s="108" t="str">
        <f t="shared" si="57"/>
        <v>1410398710</v>
      </c>
      <c r="K281" s="132"/>
      <c r="L281" s="17"/>
      <c r="M281" s="20">
        <v>5900.5</v>
      </c>
      <c r="N281" s="20">
        <v>5900.5</v>
      </c>
      <c r="O281" s="20">
        <v>5900.5</v>
      </c>
      <c r="P281" s="20">
        <f t="shared" si="58"/>
        <v>-5900.5</v>
      </c>
      <c r="Q281" s="20" t="e">
        <f>#REF!-N281</f>
        <v>#REF!</v>
      </c>
      <c r="R281" s="20" t="e">
        <f>#REF!-O281</f>
        <v>#REF!</v>
      </c>
      <c r="S281" s="17" t="str">
        <f t="shared" si="39"/>
        <v>14 1 03 98710240</v>
      </c>
    </row>
    <row r="282" spans="1:19" s="6" customFormat="1" ht="15.75">
      <c r="A282" s="1"/>
      <c r="B282" s="125" t="s">
        <v>30</v>
      </c>
      <c r="C282" s="109" t="s">
        <v>64</v>
      </c>
      <c r="D282" s="108" t="s">
        <v>57</v>
      </c>
      <c r="E282" s="108" t="s">
        <v>11</v>
      </c>
      <c r="F282" s="108" t="s">
        <v>250</v>
      </c>
      <c r="G282" s="108" t="s">
        <v>31</v>
      </c>
      <c r="H282" s="126"/>
      <c r="I282" s="108">
        <v>1410398710</v>
      </c>
      <c r="J282" s="108" t="str">
        <f t="shared" si="57"/>
        <v>1410398710</v>
      </c>
      <c r="K282" s="304" t="str">
        <f>C282&amp;D282&amp;E282&amp;J282&amp;G282</f>
        <v>60112011410398710244</v>
      </c>
      <c r="L282" s="4"/>
      <c r="M282" s="20"/>
      <c r="N282" s="20"/>
      <c r="O282" s="20"/>
      <c r="P282" s="20"/>
      <c r="Q282" s="20"/>
      <c r="R282" s="20"/>
      <c r="S282" s="17" t="str">
        <f t="shared" si="39"/>
        <v>14 1 03 98710244</v>
      </c>
    </row>
    <row r="283" spans="1:19" s="6" customFormat="1" ht="15.75">
      <c r="A283" s="1"/>
      <c r="B283" s="121" t="s">
        <v>61</v>
      </c>
      <c r="C283" s="122" t="s">
        <v>64</v>
      </c>
      <c r="D283" s="123" t="s">
        <v>57</v>
      </c>
      <c r="E283" s="123" t="s">
        <v>62</v>
      </c>
      <c r="F283" s="123" t="s">
        <v>8</v>
      </c>
      <c r="G283" s="123" t="s">
        <v>9</v>
      </c>
      <c r="H283" s="124">
        <f t="shared" ref="H283:H291" si="60">H284</f>
        <v>0</v>
      </c>
      <c r="I283" s="123">
        <v>0</v>
      </c>
      <c r="J283" s="123" t="str">
        <f t="shared" si="57"/>
        <v>0000000000</v>
      </c>
      <c r="K283" s="132"/>
      <c r="L283" s="17"/>
      <c r="M283" s="19">
        <v>14557</v>
      </c>
      <c r="N283" s="19">
        <v>14557</v>
      </c>
      <c r="O283" s="19">
        <v>14557</v>
      </c>
      <c r="P283" s="19">
        <f t="shared" ref="P283:P288" si="61">H283-M283</f>
        <v>-14557</v>
      </c>
      <c r="Q283" s="19" t="e">
        <f>#REF!-N283</f>
        <v>#REF!</v>
      </c>
      <c r="R283" s="19" t="e">
        <f>#REF!-O283</f>
        <v>#REF!</v>
      </c>
      <c r="S283" s="17" t="str">
        <f t="shared" si="39"/>
        <v>00 0 00 00000000</v>
      </c>
    </row>
    <row r="284" spans="1:19" s="16" customFormat="1" ht="63">
      <c r="A284" s="14"/>
      <c r="B284" s="129" t="s">
        <v>111</v>
      </c>
      <c r="C284" s="109" t="s">
        <v>64</v>
      </c>
      <c r="D284" s="108" t="s">
        <v>57</v>
      </c>
      <c r="E284" s="108" t="s">
        <v>62</v>
      </c>
      <c r="F284" s="108" t="s">
        <v>112</v>
      </c>
      <c r="G284" s="108" t="s">
        <v>9</v>
      </c>
      <c r="H284" s="126">
        <f t="shared" si="60"/>
        <v>0</v>
      </c>
      <c r="I284" s="108">
        <v>1400000000</v>
      </c>
      <c r="J284" s="108" t="str">
        <f t="shared" si="57"/>
        <v>1400000000</v>
      </c>
      <c r="K284" s="132"/>
      <c r="L284" s="17"/>
      <c r="M284" s="20">
        <v>14557</v>
      </c>
      <c r="N284" s="20">
        <v>14557</v>
      </c>
      <c r="O284" s="20">
        <v>14557</v>
      </c>
      <c r="P284" s="20">
        <f t="shared" si="61"/>
        <v>-14557</v>
      </c>
      <c r="Q284" s="20" t="e">
        <f>#REF!-N284</f>
        <v>#REF!</v>
      </c>
      <c r="R284" s="20" t="e">
        <f>#REF!-O284</f>
        <v>#REF!</v>
      </c>
      <c r="S284" s="17" t="str">
        <f t="shared" si="39"/>
        <v>14 0 00 00000000</v>
      </c>
    </row>
    <row r="285" spans="1:19" s="16" customFormat="1" ht="31.5">
      <c r="A285" s="14"/>
      <c r="B285" s="129" t="s">
        <v>113</v>
      </c>
      <c r="C285" s="109" t="s">
        <v>64</v>
      </c>
      <c r="D285" s="108" t="s">
        <v>57</v>
      </c>
      <c r="E285" s="108" t="s">
        <v>62</v>
      </c>
      <c r="F285" s="108" t="s">
        <v>114</v>
      </c>
      <c r="G285" s="108" t="s">
        <v>9</v>
      </c>
      <c r="H285" s="126">
        <f>H290+H286</f>
        <v>0</v>
      </c>
      <c r="I285" s="108">
        <v>1410000000</v>
      </c>
      <c r="J285" s="108" t="str">
        <f t="shared" si="57"/>
        <v>1410000000</v>
      </c>
      <c r="K285" s="132"/>
      <c r="L285" s="17"/>
      <c r="M285" s="20">
        <v>14557</v>
      </c>
      <c r="N285" s="20">
        <v>14557</v>
      </c>
      <c r="O285" s="20">
        <v>14557</v>
      </c>
      <c r="P285" s="20">
        <f t="shared" si="61"/>
        <v>-14557</v>
      </c>
      <c r="Q285" s="20" t="e">
        <f>#REF!-N285</f>
        <v>#REF!</v>
      </c>
      <c r="R285" s="20" t="e">
        <f>#REF!-O285</f>
        <v>#REF!</v>
      </c>
      <c r="S285" s="17" t="str">
        <f t="shared" si="39"/>
        <v>14 1 00 00000000</v>
      </c>
    </row>
    <row r="286" spans="1:19" s="6" customFormat="1" ht="63">
      <c r="A286" s="1"/>
      <c r="B286" s="129" t="s">
        <v>248</v>
      </c>
      <c r="C286" s="109" t="s">
        <v>64</v>
      </c>
      <c r="D286" s="108" t="s">
        <v>57</v>
      </c>
      <c r="E286" s="108" t="s">
        <v>62</v>
      </c>
      <c r="F286" s="108" t="s">
        <v>249</v>
      </c>
      <c r="G286" s="108" t="s">
        <v>9</v>
      </c>
      <c r="H286" s="126">
        <f>H287</f>
        <v>0</v>
      </c>
      <c r="I286" s="108">
        <v>1410300000</v>
      </c>
      <c r="J286" s="108" t="str">
        <f t="shared" si="57"/>
        <v>1410300000</v>
      </c>
      <c r="K286" s="132"/>
      <c r="L286" s="17"/>
      <c r="M286" s="20">
        <v>1190</v>
      </c>
      <c r="N286" s="20">
        <v>1190</v>
      </c>
      <c r="O286" s="20">
        <v>1190</v>
      </c>
      <c r="P286" s="20">
        <f t="shared" si="61"/>
        <v>-1190</v>
      </c>
      <c r="Q286" s="20" t="e">
        <f>#REF!-N286</f>
        <v>#REF!</v>
      </c>
      <c r="R286" s="20" t="e">
        <f>#REF!-O286</f>
        <v>#REF!</v>
      </c>
      <c r="S286" s="17" t="str">
        <f t="shared" si="39"/>
        <v>14 1 03 00000000</v>
      </c>
    </row>
    <row r="287" spans="1:19" s="6" customFormat="1" ht="31.5">
      <c r="A287" s="1"/>
      <c r="B287" s="129" t="s">
        <v>59</v>
      </c>
      <c r="C287" s="109" t="s">
        <v>64</v>
      </c>
      <c r="D287" s="108" t="s">
        <v>57</v>
      </c>
      <c r="E287" s="108" t="s">
        <v>62</v>
      </c>
      <c r="F287" s="108" t="s">
        <v>250</v>
      </c>
      <c r="G287" s="108" t="s">
        <v>9</v>
      </c>
      <c r="H287" s="126">
        <f>H288</f>
        <v>0</v>
      </c>
      <c r="I287" s="108">
        <v>1410398710</v>
      </c>
      <c r="J287" s="108" t="str">
        <f t="shared" si="57"/>
        <v>1410398710</v>
      </c>
      <c r="K287" s="132"/>
      <c r="L287" s="17"/>
      <c r="M287" s="20">
        <v>1190</v>
      </c>
      <c r="N287" s="20">
        <v>1190</v>
      </c>
      <c r="O287" s="20">
        <v>1190</v>
      </c>
      <c r="P287" s="20">
        <f t="shared" si="61"/>
        <v>-1190</v>
      </c>
      <c r="Q287" s="20" t="e">
        <f>#REF!-N287</f>
        <v>#REF!</v>
      </c>
      <c r="R287" s="20" t="e">
        <f>#REF!-O287</f>
        <v>#REF!</v>
      </c>
      <c r="S287" s="17" t="str">
        <f t="shared" si="39"/>
        <v>14 1 03 98710000</v>
      </c>
    </row>
    <row r="288" spans="1:19" s="6" customFormat="1" ht="31.5">
      <c r="A288" s="1"/>
      <c r="B288" s="125" t="s">
        <v>28</v>
      </c>
      <c r="C288" s="109" t="s">
        <v>64</v>
      </c>
      <c r="D288" s="108" t="s">
        <v>57</v>
      </c>
      <c r="E288" s="108" t="s">
        <v>62</v>
      </c>
      <c r="F288" s="108" t="s">
        <v>250</v>
      </c>
      <c r="G288" s="108" t="s">
        <v>29</v>
      </c>
      <c r="H288" s="126">
        <f>H289</f>
        <v>0</v>
      </c>
      <c r="I288" s="108">
        <v>1410398710</v>
      </c>
      <c r="J288" s="108" t="str">
        <f t="shared" si="57"/>
        <v>1410398710</v>
      </c>
      <c r="K288" s="132"/>
      <c r="L288" s="17"/>
      <c r="M288" s="20">
        <v>1190</v>
      </c>
      <c r="N288" s="20">
        <v>1190</v>
      </c>
      <c r="O288" s="20">
        <v>1190</v>
      </c>
      <c r="P288" s="20">
        <f t="shared" si="61"/>
        <v>-1190</v>
      </c>
      <c r="Q288" s="20" t="e">
        <f>#REF!-N288</f>
        <v>#REF!</v>
      </c>
      <c r="R288" s="20" t="e">
        <f>#REF!-O288</f>
        <v>#REF!</v>
      </c>
      <c r="S288" s="17" t="str">
        <f t="shared" si="39"/>
        <v>14 1 03 98710240</v>
      </c>
    </row>
    <row r="289" spans="1:19" s="6" customFormat="1" ht="15.75">
      <c r="A289" s="1"/>
      <c r="B289" s="125" t="s">
        <v>30</v>
      </c>
      <c r="C289" s="109" t="s">
        <v>64</v>
      </c>
      <c r="D289" s="108" t="s">
        <v>57</v>
      </c>
      <c r="E289" s="108" t="s">
        <v>62</v>
      </c>
      <c r="F289" s="108" t="s">
        <v>250</v>
      </c>
      <c r="G289" s="108" t="s">
        <v>31</v>
      </c>
      <c r="H289" s="126"/>
      <c r="I289" s="108">
        <v>1410398710</v>
      </c>
      <c r="J289" s="108" t="str">
        <f t="shared" si="57"/>
        <v>1410398710</v>
      </c>
      <c r="K289" s="304" t="str">
        <f>C289&amp;D289&amp;E289&amp;J289&amp;G289</f>
        <v>60112021410398710244</v>
      </c>
      <c r="L289" s="4"/>
      <c r="M289" s="20"/>
      <c r="N289" s="20"/>
      <c r="O289" s="20"/>
      <c r="P289" s="20"/>
      <c r="Q289" s="20"/>
      <c r="R289" s="20"/>
      <c r="S289" s="17" t="str">
        <f t="shared" si="39"/>
        <v>14 1 03 98710244</v>
      </c>
    </row>
    <row r="290" spans="1:19" s="16" customFormat="1" ht="47.25">
      <c r="A290" s="14"/>
      <c r="B290" s="129" t="s">
        <v>251</v>
      </c>
      <c r="C290" s="109" t="s">
        <v>64</v>
      </c>
      <c r="D290" s="108" t="s">
        <v>57</v>
      </c>
      <c r="E290" s="108" t="s">
        <v>62</v>
      </c>
      <c r="F290" s="108" t="s">
        <v>252</v>
      </c>
      <c r="G290" s="108" t="s">
        <v>9</v>
      </c>
      <c r="H290" s="126">
        <f>H291</f>
        <v>0</v>
      </c>
      <c r="I290" s="108">
        <v>1410400000</v>
      </c>
      <c r="J290" s="108" t="str">
        <f t="shared" si="57"/>
        <v>1410400000</v>
      </c>
      <c r="K290" s="132"/>
      <c r="L290" s="17"/>
      <c r="M290" s="20">
        <v>13367</v>
      </c>
      <c r="N290" s="20">
        <v>13367</v>
      </c>
      <c r="O290" s="20">
        <v>13367</v>
      </c>
      <c r="P290" s="20">
        <f>H290-M290</f>
        <v>-13367</v>
      </c>
      <c r="Q290" s="20" t="e">
        <f>#REF!-N290</f>
        <v>#REF!</v>
      </c>
      <c r="R290" s="20" t="e">
        <f>#REF!-O290</f>
        <v>#REF!</v>
      </c>
      <c r="S290" s="17" t="str">
        <f t="shared" si="39"/>
        <v>14 1 04 00000000</v>
      </c>
    </row>
    <row r="291" spans="1:19" s="16" customFormat="1" ht="47.25">
      <c r="A291" s="14"/>
      <c r="B291" s="129" t="s">
        <v>253</v>
      </c>
      <c r="C291" s="109" t="s">
        <v>64</v>
      </c>
      <c r="D291" s="108" t="s">
        <v>57</v>
      </c>
      <c r="E291" s="108" t="s">
        <v>62</v>
      </c>
      <c r="F291" s="108" t="s">
        <v>254</v>
      </c>
      <c r="G291" s="108" t="s">
        <v>9</v>
      </c>
      <c r="H291" s="126">
        <f t="shared" si="60"/>
        <v>0</v>
      </c>
      <c r="I291" s="108">
        <v>1410498720</v>
      </c>
      <c r="J291" s="108" t="str">
        <f t="shared" si="57"/>
        <v>1410498720</v>
      </c>
      <c r="K291" s="132"/>
      <c r="L291" s="17"/>
      <c r="M291" s="20">
        <v>13367</v>
      </c>
      <c r="N291" s="20">
        <v>13367</v>
      </c>
      <c r="O291" s="20">
        <v>13367</v>
      </c>
      <c r="P291" s="20">
        <f>H291-M291</f>
        <v>-13367</v>
      </c>
      <c r="Q291" s="20" t="e">
        <f>#REF!-N291</f>
        <v>#REF!</v>
      </c>
      <c r="R291" s="20" t="e">
        <f>#REF!-O291</f>
        <v>#REF!</v>
      </c>
      <c r="S291" s="17" t="str">
        <f t="shared" si="39"/>
        <v>14 1 04 98720000</v>
      </c>
    </row>
    <row r="292" spans="1:19" s="16" customFormat="1" ht="63">
      <c r="A292" s="14"/>
      <c r="B292" s="129" t="s">
        <v>203</v>
      </c>
      <c r="C292" s="109" t="s">
        <v>64</v>
      </c>
      <c r="D292" s="108" t="s">
        <v>57</v>
      </c>
      <c r="E292" s="108" t="s">
        <v>62</v>
      </c>
      <c r="F292" s="108" t="s">
        <v>254</v>
      </c>
      <c r="G292" s="108" t="s">
        <v>204</v>
      </c>
      <c r="H292" s="126">
        <f>H293</f>
        <v>0</v>
      </c>
      <c r="I292" s="108">
        <v>1410498720</v>
      </c>
      <c r="J292" s="108" t="str">
        <f t="shared" si="57"/>
        <v>1410498720</v>
      </c>
      <c r="K292" s="132"/>
      <c r="L292" s="17"/>
      <c r="M292" s="20">
        <v>13367</v>
      </c>
      <c r="N292" s="20">
        <v>13367</v>
      </c>
      <c r="O292" s="20">
        <v>13367</v>
      </c>
      <c r="P292" s="20">
        <f>H292-M292</f>
        <v>-13367</v>
      </c>
      <c r="Q292" s="20" t="e">
        <f>#REF!-N292</f>
        <v>#REF!</v>
      </c>
      <c r="R292" s="20" t="e">
        <f>#REF!-O292</f>
        <v>#REF!</v>
      </c>
      <c r="S292" s="17" t="str">
        <f t="shared" si="39"/>
        <v>14 1 04 98720810</v>
      </c>
    </row>
    <row r="293" spans="1:19" s="23" customFormat="1" ht="63">
      <c r="A293" s="21"/>
      <c r="B293" s="127" t="s">
        <v>205</v>
      </c>
      <c r="C293" s="109" t="s">
        <v>64</v>
      </c>
      <c r="D293" s="108" t="s">
        <v>57</v>
      </c>
      <c r="E293" s="108" t="s">
        <v>62</v>
      </c>
      <c r="F293" s="108" t="s">
        <v>254</v>
      </c>
      <c r="G293" s="108" t="s">
        <v>206</v>
      </c>
      <c r="H293" s="126"/>
      <c r="I293" s="108">
        <v>1410498720</v>
      </c>
      <c r="J293" s="108" t="str">
        <f t="shared" si="57"/>
        <v>1410498720</v>
      </c>
      <c r="K293" s="304" t="str">
        <f>C293&amp;D293&amp;E293&amp;J293&amp;G293</f>
        <v>60112021410498720811</v>
      </c>
      <c r="L293" s="24"/>
      <c r="M293" s="22"/>
      <c r="N293" s="22"/>
      <c r="O293" s="22"/>
      <c r="P293" s="22"/>
      <c r="Q293" s="22"/>
      <c r="R293" s="22"/>
      <c r="S293" s="24" t="str">
        <f t="shared" si="39"/>
        <v>14 1 04 98720811</v>
      </c>
    </row>
    <row r="294" spans="1:19" s="16" customFormat="1" ht="15.75">
      <c r="A294" s="14"/>
      <c r="B294" s="129"/>
      <c r="C294" s="109"/>
      <c r="D294" s="108"/>
      <c r="E294" s="108"/>
      <c r="F294" s="108"/>
      <c r="G294" s="108"/>
      <c r="H294" s="126"/>
      <c r="I294" s="108"/>
      <c r="J294" s="108" t="str">
        <f t="shared" si="57"/>
        <v>0000000000</v>
      </c>
      <c r="K294" s="17"/>
      <c r="L294" s="17"/>
      <c r="M294" s="20"/>
      <c r="N294" s="20"/>
      <c r="O294" s="20"/>
      <c r="P294" s="20">
        <f t="shared" ref="P294:P302" si="62">H294-M294</f>
        <v>0</v>
      </c>
      <c r="Q294" s="20" t="e">
        <f>#REF!-N294</f>
        <v>#REF!</v>
      </c>
      <c r="R294" s="20" t="e">
        <f>#REF!-O294</f>
        <v>#REF!</v>
      </c>
      <c r="S294" s="17" t="str">
        <f t="shared" ref="S294:S414" si="63">CONCATENATE(F294,G294)</f>
        <v/>
      </c>
    </row>
    <row r="295" spans="1:19" s="29" customFormat="1" ht="31.5">
      <c r="A295" s="28"/>
      <c r="B295" s="67" t="s">
        <v>255</v>
      </c>
      <c r="C295" s="116" t="s">
        <v>256</v>
      </c>
      <c r="D295" s="69" t="s">
        <v>7</v>
      </c>
      <c r="E295" s="69" t="s">
        <v>7</v>
      </c>
      <c r="F295" s="69" t="s">
        <v>8</v>
      </c>
      <c r="G295" s="69" t="s">
        <v>9</v>
      </c>
      <c r="H295" s="70">
        <f>H296+H356+H376+H396</f>
        <v>0</v>
      </c>
      <c r="I295" s="69">
        <v>0</v>
      </c>
      <c r="J295" s="69" t="str">
        <f t="shared" si="57"/>
        <v>0000000000</v>
      </c>
      <c r="K295" s="132"/>
      <c r="L295" s="17"/>
      <c r="M295" s="25">
        <v>134380.66</v>
      </c>
      <c r="N295" s="25">
        <v>78249.05</v>
      </c>
      <c r="O295" s="25">
        <v>83049.05</v>
      </c>
      <c r="P295" s="25">
        <f t="shared" si="62"/>
        <v>-134380.66</v>
      </c>
      <c r="Q295" s="25" t="e">
        <f>#REF!-N295</f>
        <v>#REF!</v>
      </c>
      <c r="R295" s="25" t="e">
        <f>#REF!-O295</f>
        <v>#REF!</v>
      </c>
      <c r="S295" s="17" t="str">
        <f t="shared" si="63"/>
        <v>00 0 00 00000000</v>
      </c>
    </row>
    <row r="296" spans="1:19" s="29" customFormat="1" ht="15.75">
      <c r="A296" s="28"/>
      <c r="B296" s="117" t="s">
        <v>10</v>
      </c>
      <c r="C296" s="118" t="s">
        <v>256</v>
      </c>
      <c r="D296" s="119" t="s">
        <v>11</v>
      </c>
      <c r="E296" s="119" t="s">
        <v>7</v>
      </c>
      <c r="F296" s="119" t="s">
        <v>8</v>
      </c>
      <c r="G296" s="119" t="s">
        <v>9</v>
      </c>
      <c r="H296" s="120">
        <f>H297</f>
        <v>0</v>
      </c>
      <c r="I296" s="119">
        <v>0</v>
      </c>
      <c r="J296" s="119" t="str">
        <f t="shared" si="57"/>
        <v>0000000000</v>
      </c>
      <c r="K296" s="132"/>
      <c r="L296" s="17"/>
      <c r="M296" s="18">
        <v>79225.42</v>
      </c>
      <c r="N296" s="18">
        <v>74852.42</v>
      </c>
      <c r="O296" s="18">
        <v>74852.42</v>
      </c>
      <c r="P296" s="18">
        <f t="shared" si="62"/>
        <v>-79225.42</v>
      </c>
      <c r="Q296" s="18" t="e">
        <f>#REF!-N296</f>
        <v>#REF!</v>
      </c>
      <c r="R296" s="18" t="e">
        <f>#REF!-O296</f>
        <v>#REF!</v>
      </c>
      <c r="S296" s="17" t="str">
        <f t="shared" si="63"/>
        <v>00 0 00 00000000</v>
      </c>
    </row>
    <row r="297" spans="1:19" s="29" customFormat="1" ht="15.75">
      <c r="A297" s="28"/>
      <c r="B297" s="121" t="s">
        <v>50</v>
      </c>
      <c r="C297" s="122" t="s">
        <v>256</v>
      </c>
      <c r="D297" s="123" t="s">
        <v>11</v>
      </c>
      <c r="E297" s="123" t="s">
        <v>51</v>
      </c>
      <c r="F297" s="123" t="s">
        <v>8</v>
      </c>
      <c r="G297" s="123" t="s">
        <v>9</v>
      </c>
      <c r="H297" s="124">
        <f>H298+H328+H316+H351</f>
        <v>0</v>
      </c>
      <c r="I297" s="123">
        <v>0</v>
      </c>
      <c r="J297" s="123" t="str">
        <f t="shared" si="57"/>
        <v>0000000000</v>
      </c>
      <c r="K297" s="132"/>
      <c r="L297" s="17"/>
      <c r="M297" s="19">
        <v>79225.42</v>
      </c>
      <c r="N297" s="19">
        <v>74852.42</v>
      </c>
      <c r="O297" s="19">
        <v>74852.42</v>
      </c>
      <c r="P297" s="19">
        <f t="shared" si="62"/>
        <v>-79225.42</v>
      </c>
      <c r="Q297" s="19" t="e">
        <f>#REF!-N297</f>
        <v>#REF!</v>
      </c>
      <c r="R297" s="19" t="e">
        <f>#REF!-O297</f>
        <v>#REF!</v>
      </c>
      <c r="S297" s="17" t="str">
        <f t="shared" si="63"/>
        <v>00 0 00 00000000</v>
      </c>
    </row>
    <row r="298" spans="1:19" s="29" customFormat="1" ht="63">
      <c r="A298" s="28"/>
      <c r="B298" s="132" t="s">
        <v>257</v>
      </c>
      <c r="C298" s="109" t="s">
        <v>256</v>
      </c>
      <c r="D298" s="108" t="s">
        <v>11</v>
      </c>
      <c r="E298" s="108" t="s">
        <v>51</v>
      </c>
      <c r="F298" s="108" t="s">
        <v>258</v>
      </c>
      <c r="G298" s="108" t="s">
        <v>9</v>
      </c>
      <c r="H298" s="126">
        <f>H299</f>
        <v>0</v>
      </c>
      <c r="I298" s="108">
        <v>1100000000</v>
      </c>
      <c r="J298" s="108" t="str">
        <f t="shared" si="57"/>
        <v>1100000000</v>
      </c>
      <c r="K298" s="132"/>
      <c r="L298" s="17"/>
      <c r="M298" s="20">
        <v>5342.96</v>
      </c>
      <c r="N298" s="20">
        <v>5342.96</v>
      </c>
      <c r="O298" s="20">
        <v>5342.96</v>
      </c>
      <c r="P298" s="20">
        <f t="shared" si="62"/>
        <v>-5342.96</v>
      </c>
      <c r="Q298" s="20" t="e">
        <f>#REF!-N298</f>
        <v>#REF!</v>
      </c>
      <c r="R298" s="20" t="e">
        <f>#REF!-O298</f>
        <v>#REF!</v>
      </c>
      <c r="S298" s="17" t="str">
        <f t="shared" si="63"/>
        <v>11 0 00 00000000</v>
      </c>
    </row>
    <row r="299" spans="1:19" s="29" customFormat="1" ht="63">
      <c r="A299" s="28"/>
      <c r="B299" s="132" t="s">
        <v>259</v>
      </c>
      <c r="C299" s="109" t="s">
        <v>256</v>
      </c>
      <c r="D299" s="108" t="s">
        <v>11</v>
      </c>
      <c r="E299" s="108" t="s">
        <v>51</v>
      </c>
      <c r="F299" s="108" t="s">
        <v>260</v>
      </c>
      <c r="G299" s="108" t="s">
        <v>9</v>
      </c>
      <c r="H299" s="126">
        <f>H300+H312</f>
        <v>0</v>
      </c>
      <c r="I299" s="108" t="s">
        <v>1171</v>
      </c>
      <c r="J299" s="108" t="str">
        <f t="shared" si="57"/>
        <v>11Б0000000</v>
      </c>
      <c r="K299" s="132"/>
      <c r="L299" s="17"/>
      <c r="M299" s="20">
        <v>5342.96</v>
      </c>
      <c r="N299" s="20">
        <v>5342.96</v>
      </c>
      <c r="O299" s="20">
        <v>5342.96</v>
      </c>
      <c r="P299" s="20">
        <f t="shared" si="62"/>
        <v>-5342.96</v>
      </c>
      <c r="Q299" s="20" t="e">
        <f>#REF!-N299</f>
        <v>#REF!</v>
      </c>
      <c r="R299" s="20" t="e">
        <f>#REF!-O299</f>
        <v>#REF!</v>
      </c>
      <c r="S299" s="17" t="str">
        <f t="shared" si="63"/>
        <v>11 Б 00 00000000</v>
      </c>
    </row>
    <row r="300" spans="1:19" s="29" customFormat="1" ht="47.25">
      <c r="A300" s="28"/>
      <c r="B300" s="125" t="s">
        <v>261</v>
      </c>
      <c r="C300" s="109" t="s">
        <v>256</v>
      </c>
      <c r="D300" s="108" t="s">
        <v>11</v>
      </c>
      <c r="E300" s="108" t="s">
        <v>51</v>
      </c>
      <c r="F300" s="108" t="s">
        <v>262</v>
      </c>
      <c r="G300" s="108" t="s">
        <v>9</v>
      </c>
      <c r="H300" s="126">
        <f>H301+H306+H309</f>
        <v>0</v>
      </c>
      <c r="I300" s="108" t="s">
        <v>1172</v>
      </c>
      <c r="J300" s="108" t="str">
        <f t="shared" si="57"/>
        <v>11Б0100000</v>
      </c>
      <c r="K300" s="132"/>
      <c r="L300" s="17"/>
      <c r="M300" s="20">
        <v>4770.92</v>
      </c>
      <c r="N300" s="20">
        <v>4770.92</v>
      </c>
      <c r="O300" s="20">
        <v>4770.92</v>
      </c>
      <c r="P300" s="20">
        <f t="shared" si="62"/>
        <v>-4770.92</v>
      </c>
      <c r="Q300" s="20" t="e">
        <f>#REF!-N300</f>
        <v>#REF!</v>
      </c>
      <c r="R300" s="20" t="e">
        <f>#REF!-O300</f>
        <v>#REF!</v>
      </c>
      <c r="S300" s="17" t="str">
        <f t="shared" si="63"/>
        <v>11 Б 01 00000000</v>
      </c>
    </row>
    <row r="301" spans="1:19" s="29" customFormat="1" ht="78.75">
      <c r="A301" s="28"/>
      <c r="B301" s="125" t="s">
        <v>263</v>
      </c>
      <c r="C301" s="109" t="s">
        <v>256</v>
      </c>
      <c r="D301" s="108" t="s">
        <v>11</v>
      </c>
      <c r="E301" s="108" t="s">
        <v>51</v>
      </c>
      <c r="F301" s="108" t="s">
        <v>264</v>
      </c>
      <c r="G301" s="108" t="s">
        <v>9</v>
      </c>
      <c r="H301" s="126">
        <f>H302+H304</f>
        <v>0</v>
      </c>
      <c r="I301" s="108" t="s">
        <v>1173</v>
      </c>
      <c r="J301" s="108" t="str">
        <f t="shared" si="57"/>
        <v>11Б0120030</v>
      </c>
      <c r="K301" s="132"/>
      <c r="L301" s="17"/>
      <c r="M301" s="20">
        <v>1261</v>
      </c>
      <c r="N301" s="20">
        <v>1261</v>
      </c>
      <c r="O301" s="20">
        <v>1261</v>
      </c>
      <c r="P301" s="20">
        <f t="shared" si="62"/>
        <v>-1261</v>
      </c>
      <c r="Q301" s="20" t="e">
        <f>#REF!-N301</f>
        <v>#REF!</v>
      </c>
      <c r="R301" s="20" t="e">
        <f>#REF!-O301</f>
        <v>#REF!</v>
      </c>
      <c r="S301" s="17" t="str">
        <f t="shared" si="63"/>
        <v>11 Б 01 20030000</v>
      </c>
    </row>
    <row r="302" spans="1:19" s="29" customFormat="1" ht="31.5">
      <c r="A302" s="28"/>
      <c r="B302" s="125" t="s">
        <v>28</v>
      </c>
      <c r="C302" s="109" t="s">
        <v>256</v>
      </c>
      <c r="D302" s="108" t="s">
        <v>11</v>
      </c>
      <c r="E302" s="108" t="s">
        <v>51</v>
      </c>
      <c r="F302" s="108" t="s">
        <v>264</v>
      </c>
      <c r="G302" s="108" t="s">
        <v>29</v>
      </c>
      <c r="H302" s="126">
        <f>H303</f>
        <v>0</v>
      </c>
      <c r="I302" s="108" t="s">
        <v>1173</v>
      </c>
      <c r="J302" s="108" t="str">
        <f t="shared" si="57"/>
        <v>11Б0120030</v>
      </c>
      <c r="K302" s="132"/>
      <c r="L302" s="17"/>
      <c r="M302" s="20">
        <v>1250</v>
      </c>
      <c r="N302" s="20">
        <v>1250</v>
      </c>
      <c r="O302" s="20">
        <v>1250</v>
      </c>
      <c r="P302" s="20">
        <f t="shared" si="62"/>
        <v>-1250</v>
      </c>
      <c r="Q302" s="20" t="e">
        <f>#REF!-N302</f>
        <v>#REF!</v>
      </c>
      <c r="R302" s="20" t="e">
        <f>#REF!-O302</f>
        <v>#REF!</v>
      </c>
      <c r="S302" s="17" t="str">
        <f t="shared" si="63"/>
        <v>11 Б 01 20030240</v>
      </c>
    </row>
    <row r="303" spans="1:19" s="29" customFormat="1" ht="15.75">
      <c r="A303" s="28"/>
      <c r="B303" s="125" t="s">
        <v>30</v>
      </c>
      <c r="C303" s="109" t="s">
        <v>256</v>
      </c>
      <c r="D303" s="108" t="s">
        <v>11</v>
      </c>
      <c r="E303" s="108" t="s">
        <v>51</v>
      </c>
      <c r="F303" s="108" t="s">
        <v>264</v>
      </c>
      <c r="G303" s="108" t="s">
        <v>31</v>
      </c>
      <c r="H303" s="126"/>
      <c r="I303" s="108" t="s">
        <v>1173</v>
      </c>
      <c r="J303" s="108" t="str">
        <f t="shared" si="57"/>
        <v>11Б0120030</v>
      </c>
      <c r="K303" s="304" t="str">
        <f>C303&amp;D303&amp;E303&amp;J303&amp;G303</f>
        <v>602011311Б0120030244</v>
      </c>
      <c r="L303" s="296"/>
      <c r="M303" s="20"/>
      <c r="N303" s="20"/>
      <c r="O303" s="20"/>
      <c r="P303" s="20"/>
      <c r="Q303" s="20"/>
      <c r="R303" s="20"/>
      <c r="S303" s="17" t="str">
        <f t="shared" si="63"/>
        <v>11 Б 01 20030244</v>
      </c>
    </row>
    <row r="304" spans="1:19" s="29" customFormat="1" ht="15.75">
      <c r="A304" s="28"/>
      <c r="B304" s="125" t="s">
        <v>32</v>
      </c>
      <c r="C304" s="109" t="s">
        <v>256</v>
      </c>
      <c r="D304" s="108" t="s">
        <v>11</v>
      </c>
      <c r="E304" s="108" t="s">
        <v>51</v>
      </c>
      <c r="F304" s="108" t="s">
        <v>264</v>
      </c>
      <c r="G304" s="108" t="s">
        <v>33</v>
      </c>
      <c r="H304" s="126">
        <f>H305</f>
        <v>0</v>
      </c>
      <c r="I304" s="108" t="s">
        <v>1173</v>
      </c>
      <c r="J304" s="108" t="str">
        <f t="shared" si="57"/>
        <v>11Б0120030</v>
      </c>
      <c r="K304" s="132"/>
      <c r="L304" s="17"/>
      <c r="M304" s="20">
        <v>11</v>
      </c>
      <c r="N304" s="20">
        <v>11</v>
      </c>
      <c r="O304" s="20">
        <v>11</v>
      </c>
      <c r="P304" s="20">
        <f>H304-M304</f>
        <v>-11</v>
      </c>
      <c r="Q304" s="20" t="e">
        <f>#REF!-N304</f>
        <v>#REF!</v>
      </c>
      <c r="R304" s="20" t="e">
        <f>#REF!-O304</f>
        <v>#REF!</v>
      </c>
      <c r="S304" s="17" t="str">
        <f t="shared" si="63"/>
        <v>11 Б 01 20030850</v>
      </c>
    </row>
    <row r="305" spans="1:19" s="31" customFormat="1" ht="15.75">
      <c r="A305" s="30"/>
      <c r="B305" s="127" t="s">
        <v>36</v>
      </c>
      <c r="C305" s="109" t="s">
        <v>256</v>
      </c>
      <c r="D305" s="108" t="s">
        <v>11</v>
      </c>
      <c r="E305" s="108" t="s">
        <v>51</v>
      </c>
      <c r="F305" s="108" t="s">
        <v>264</v>
      </c>
      <c r="G305" s="108" t="s">
        <v>37</v>
      </c>
      <c r="H305" s="126"/>
      <c r="I305" s="108" t="s">
        <v>1173</v>
      </c>
      <c r="J305" s="108" t="str">
        <f t="shared" si="57"/>
        <v>11Б0120030</v>
      </c>
      <c r="K305" s="304" t="str">
        <f>C305&amp;D305&amp;E305&amp;J305&amp;G305</f>
        <v>602011311Б0120030852</v>
      </c>
      <c r="L305" s="297"/>
      <c r="M305" s="22"/>
      <c r="N305" s="22"/>
      <c r="O305" s="22"/>
      <c r="P305" s="22"/>
      <c r="Q305" s="22"/>
      <c r="R305" s="22"/>
      <c r="S305" s="24"/>
    </row>
    <row r="306" spans="1:19" s="29" customFormat="1" ht="31.5">
      <c r="A306" s="28"/>
      <c r="B306" s="125" t="s">
        <v>265</v>
      </c>
      <c r="C306" s="109" t="s">
        <v>256</v>
      </c>
      <c r="D306" s="108" t="s">
        <v>11</v>
      </c>
      <c r="E306" s="108" t="s">
        <v>51</v>
      </c>
      <c r="F306" s="108" t="s">
        <v>266</v>
      </c>
      <c r="G306" s="108" t="s">
        <v>9</v>
      </c>
      <c r="H306" s="126">
        <f>H307</f>
        <v>0</v>
      </c>
      <c r="I306" s="108" t="s">
        <v>1174</v>
      </c>
      <c r="J306" s="108" t="str">
        <f t="shared" si="57"/>
        <v>11Б0120070</v>
      </c>
      <c r="K306" s="132"/>
      <c r="L306" s="17"/>
      <c r="M306" s="20">
        <v>1703.92</v>
      </c>
      <c r="N306" s="20">
        <v>1703.92</v>
      </c>
      <c r="O306" s="20">
        <v>1703.92</v>
      </c>
      <c r="P306" s="20">
        <f>H306-M306</f>
        <v>-1703.92</v>
      </c>
      <c r="Q306" s="20" t="e">
        <f>#REF!-N306</f>
        <v>#REF!</v>
      </c>
      <c r="R306" s="20" t="e">
        <f>#REF!-O306</f>
        <v>#REF!</v>
      </c>
      <c r="S306" s="17" t="str">
        <f t="shared" si="63"/>
        <v>11 Б 01 20070000</v>
      </c>
    </row>
    <row r="307" spans="1:19" s="29" customFormat="1" ht="31.5">
      <c r="A307" s="28"/>
      <c r="B307" s="125" t="s">
        <v>28</v>
      </c>
      <c r="C307" s="109" t="s">
        <v>256</v>
      </c>
      <c r="D307" s="108" t="s">
        <v>11</v>
      </c>
      <c r="E307" s="108" t="s">
        <v>51</v>
      </c>
      <c r="F307" s="108" t="s">
        <v>266</v>
      </c>
      <c r="G307" s="108" t="s">
        <v>29</v>
      </c>
      <c r="H307" s="126">
        <f>H308</f>
        <v>0</v>
      </c>
      <c r="I307" s="108" t="s">
        <v>1174</v>
      </c>
      <c r="J307" s="108" t="str">
        <f t="shared" si="57"/>
        <v>11Б0120070</v>
      </c>
      <c r="K307" s="132"/>
      <c r="L307" s="17"/>
      <c r="M307" s="20">
        <v>1703.92</v>
      </c>
      <c r="N307" s="20">
        <v>1703.92</v>
      </c>
      <c r="O307" s="20">
        <v>1703.92</v>
      </c>
      <c r="P307" s="20">
        <f>H307-M307</f>
        <v>-1703.92</v>
      </c>
      <c r="Q307" s="20" t="e">
        <f>#REF!-N307</f>
        <v>#REF!</v>
      </c>
      <c r="R307" s="20" t="e">
        <f>#REF!-O307</f>
        <v>#REF!</v>
      </c>
      <c r="S307" s="17" t="str">
        <f t="shared" si="63"/>
        <v>11 Б 01 20070240</v>
      </c>
    </row>
    <row r="308" spans="1:19" s="29" customFormat="1" ht="15.75">
      <c r="A308" s="28"/>
      <c r="B308" s="125" t="s">
        <v>30</v>
      </c>
      <c r="C308" s="109" t="s">
        <v>256</v>
      </c>
      <c r="D308" s="108" t="s">
        <v>11</v>
      </c>
      <c r="E308" s="108" t="s">
        <v>51</v>
      </c>
      <c r="F308" s="108" t="s">
        <v>266</v>
      </c>
      <c r="G308" s="108" t="s">
        <v>31</v>
      </c>
      <c r="H308" s="126"/>
      <c r="I308" s="108" t="s">
        <v>1174</v>
      </c>
      <c r="J308" s="108" t="str">
        <f t="shared" si="57"/>
        <v>11Б0120070</v>
      </c>
      <c r="K308" s="304" t="str">
        <f>C308&amp;D308&amp;E308&amp;J308&amp;G308</f>
        <v>602011311Б0120070244</v>
      </c>
      <c r="L308" s="296"/>
      <c r="M308" s="20"/>
      <c r="N308" s="20"/>
      <c r="O308" s="20"/>
      <c r="P308" s="20"/>
      <c r="Q308" s="20"/>
      <c r="R308" s="20"/>
      <c r="S308" s="17"/>
    </row>
    <row r="309" spans="1:19" s="29" customFormat="1" ht="31.5">
      <c r="A309" s="28"/>
      <c r="B309" s="125" t="s">
        <v>267</v>
      </c>
      <c r="C309" s="109" t="s">
        <v>256</v>
      </c>
      <c r="D309" s="108" t="s">
        <v>11</v>
      </c>
      <c r="E309" s="108" t="s">
        <v>51</v>
      </c>
      <c r="F309" s="108" t="s">
        <v>268</v>
      </c>
      <c r="G309" s="108" t="s">
        <v>9</v>
      </c>
      <c r="H309" s="126">
        <f>H310</f>
        <v>0</v>
      </c>
      <c r="I309" s="108" t="s">
        <v>1175</v>
      </c>
      <c r="J309" s="108" t="str">
        <f t="shared" si="57"/>
        <v>11Б0121120</v>
      </c>
      <c r="K309" s="132"/>
      <c r="L309" s="17"/>
      <c r="M309" s="20">
        <v>1806</v>
      </c>
      <c r="N309" s="20">
        <v>1806</v>
      </c>
      <c r="O309" s="20">
        <v>1806</v>
      </c>
      <c r="P309" s="20">
        <f>H309-M309</f>
        <v>-1806</v>
      </c>
      <c r="Q309" s="20" t="e">
        <f>#REF!-N309</f>
        <v>#REF!</v>
      </c>
      <c r="R309" s="20" t="e">
        <f>#REF!-O309</f>
        <v>#REF!</v>
      </c>
      <c r="S309" s="17" t="str">
        <f t="shared" si="63"/>
        <v>11 Б 01 21120000</v>
      </c>
    </row>
    <row r="310" spans="1:19" s="29" customFormat="1" ht="31.5">
      <c r="A310" s="28"/>
      <c r="B310" s="125" t="s">
        <v>28</v>
      </c>
      <c r="C310" s="109" t="s">
        <v>256</v>
      </c>
      <c r="D310" s="108" t="s">
        <v>11</v>
      </c>
      <c r="E310" s="108" t="s">
        <v>51</v>
      </c>
      <c r="F310" s="108" t="s">
        <v>268</v>
      </c>
      <c r="G310" s="108" t="s">
        <v>29</v>
      </c>
      <c r="H310" s="126">
        <f>H311</f>
        <v>0</v>
      </c>
      <c r="I310" s="108" t="s">
        <v>1175</v>
      </c>
      <c r="J310" s="108" t="str">
        <f t="shared" si="57"/>
        <v>11Б0121120</v>
      </c>
      <c r="K310" s="132"/>
      <c r="L310" s="17"/>
      <c r="M310" s="20">
        <v>1806</v>
      </c>
      <c r="N310" s="20">
        <v>1806</v>
      </c>
      <c r="O310" s="20">
        <v>1806</v>
      </c>
      <c r="P310" s="20">
        <f>H310-M310</f>
        <v>-1806</v>
      </c>
      <c r="Q310" s="20" t="e">
        <f>#REF!-N310</f>
        <v>#REF!</v>
      </c>
      <c r="R310" s="20" t="e">
        <f>#REF!-O310</f>
        <v>#REF!</v>
      </c>
      <c r="S310" s="17" t="str">
        <f t="shared" si="63"/>
        <v>11 Б 01 21120240</v>
      </c>
    </row>
    <row r="311" spans="1:19" s="29" customFormat="1" ht="15.75">
      <c r="A311" s="28"/>
      <c r="B311" s="125" t="s">
        <v>30</v>
      </c>
      <c r="C311" s="109" t="s">
        <v>256</v>
      </c>
      <c r="D311" s="108" t="s">
        <v>11</v>
      </c>
      <c r="E311" s="108" t="s">
        <v>51</v>
      </c>
      <c r="F311" s="108" t="s">
        <v>268</v>
      </c>
      <c r="G311" s="108" t="s">
        <v>31</v>
      </c>
      <c r="H311" s="126"/>
      <c r="I311" s="108" t="s">
        <v>1175</v>
      </c>
      <c r="J311" s="108" t="str">
        <f t="shared" si="57"/>
        <v>11Б0121120</v>
      </c>
      <c r="K311" s="304" t="str">
        <f>C311&amp;D311&amp;E311&amp;J311&amp;G311</f>
        <v>602011311Б0121120244</v>
      </c>
      <c r="L311" s="296"/>
      <c r="M311" s="20"/>
      <c r="N311" s="20"/>
      <c r="O311" s="20"/>
      <c r="P311" s="20"/>
      <c r="Q311" s="20"/>
      <c r="R311" s="20"/>
      <c r="S311" s="17" t="str">
        <f t="shared" si="63"/>
        <v>11 Б 01 21120244</v>
      </c>
    </row>
    <row r="312" spans="1:19" s="29" customFormat="1" ht="78.75">
      <c r="A312" s="28"/>
      <c r="B312" s="307" t="s">
        <v>269</v>
      </c>
      <c r="C312" s="109" t="s">
        <v>256</v>
      </c>
      <c r="D312" s="108" t="s">
        <v>11</v>
      </c>
      <c r="E312" s="108" t="s">
        <v>51</v>
      </c>
      <c r="F312" s="108" t="s">
        <v>270</v>
      </c>
      <c r="G312" s="108" t="s">
        <v>9</v>
      </c>
      <c r="H312" s="126">
        <f t="shared" ref="H312:H313" si="64">H313</f>
        <v>0</v>
      </c>
      <c r="I312" s="108" t="s">
        <v>1176</v>
      </c>
      <c r="J312" s="108" t="str">
        <f t="shared" si="57"/>
        <v>11Б0300000</v>
      </c>
      <c r="K312" s="132"/>
      <c r="L312" s="17"/>
      <c r="M312" s="20">
        <v>572.04</v>
      </c>
      <c r="N312" s="20">
        <v>572.04</v>
      </c>
      <c r="O312" s="20">
        <v>572.04</v>
      </c>
      <c r="P312" s="20">
        <f>H312-M312</f>
        <v>-572.04</v>
      </c>
      <c r="Q312" s="20" t="e">
        <f>#REF!-N312</f>
        <v>#REF!</v>
      </c>
      <c r="R312" s="20" t="e">
        <f>#REF!-O312</f>
        <v>#REF!</v>
      </c>
      <c r="S312" s="17" t="str">
        <f t="shared" si="63"/>
        <v>11 Б 03 00000000</v>
      </c>
    </row>
    <row r="313" spans="1:19" s="29" customFormat="1" ht="78.75">
      <c r="A313" s="28"/>
      <c r="B313" s="125" t="s">
        <v>271</v>
      </c>
      <c r="C313" s="109" t="s">
        <v>256</v>
      </c>
      <c r="D313" s="108" t="s">
        <v>11</v>
      </c>
      <c r="E313" s="108" t="s">
        <v>51</v>
      </c>
      <c r="F313" s="108" t="s">
        <v>272</v>
      </c>
      <c r="G313" s="108" t="s">
        <v>9</v>
      </c>
      <c r="H313" s="126">
        <f t="shared" si="64"/>
        <v>0</v>
      </c>
      <c r="I313" s="108" t="s">
        <v>1177</v>
      </c>
      <c r="J313" s="108" t="str">
        <f t="shared" si="57"/>
        <v>11Б0320340</v>
      </c>
      <c r="K313" s="132"/>
      <c r="L313" s="17"/>
      <c r="M313" s="20">
        <v>572.04</v>
      </c>
      <c r="N313" s="20">
        <v>572.04</v>
      </c>
      <c r="O313" s="20">
        <v>572.04</v>
      </c>
      <c r="P313" s="20">
        <f>H313-M313</f>
        <v>-572.04</v>
      </c>
      <c r="Q313" s="20" t="e">
        <f>#REF!-N313</f>
        <v>#REF!</v>
      </c>
      <c r="R313" s="20" t="e">
        <f>#REF!-O313</f>
        <v>#REF!</v>
      </c>
      <c r="S313" s="17" t="str">
        <f t="shared" si="63"/>
        <v>11 Б 03 20340000</v>
      </c>
    </row>
    <row r="314" spans="1:19" s="29" customFormat="1" ht="31.5">
      <c r="A314" s="28"/>
      <c r="B314" s="125" t="s">
        <v>28</v>
      </c>
      <c r="C314" s="109" t="s">
        <v>256</v>
      </c>
      <c r="D314" s="108" t="s">
        <v>11</v>
      </c>
      <c r="E314" s="108" t="s">
        <v>51</v>
      </c>
      <c r="F314" s="108" t="s">
        <v>272</v>
      </c>
      <c r="G314" s="108" t="s">
        <v>29</v>
      </c>
      <c r="H314" s="126">
        <f>H315</f>
        <v>0</v>
      </c>
      <c r="I314" s="108" t="s">
        <v>1177</v>
      </c>
      <c r="J314" s="108" t="str">
        <f t="shared" si="57"/>
        <v>11Б0320340</v>
      </c>
      <c r="K314" s="132"/>
      <c r="L314" s="17"/>
      <c r="M314" s="20">
        <v>572.04</v>
      </c>
      <c r="N314" s="20">
        <v>572.04</v>
      </c>
      <c r="O314" s="20">
        <v>572.04</v>
      </c>
      <c r="P314" s="20">
        <f>H314-M314</f>
        <v>-572.04</v>
      </c>
      <c r="Q314" s="20" t="e">
        <f>#REF!-N314</f>
        <v>#REF!</v>
      </c>
      <c r="R314" s="20" t="e">
        <f>#REF!-O314</f>
        <v>#REF!</v>
      </c>
      <c r="S314" s="17" t="str">
        <f t="shared" si="63"/>
        <v>11 Б 03 20340240</v>
      </c>
    </row>
    <row r="315" spans="1:19" s="29" customFormat="1" ht="15.75">
      <c r="A315" s="28"/>
      <c r="B315" s="125" t="s">
        <v>30</v>
      </c>
      <c r="C315" s="109" t="s">
        <v>256</v>
      </c>
      <c r="D315" s="108" t="s">
        <v>11</v>
      </c>
      <c r="E315" s="108" t="s">
        <v>51</v>
      </c>
      <c r="F315" s="108" t="s">
        <v>272</v>
      </c>
      <c r="G315" s="108" t="s">
        <v>31</v>
      </c>
      <c r="H315" s="126"/>
      <c r="I315" s="108" t="s">
        <v>1177</v>
      </c>
      <c r="J315" s="108" t="str">
        <f t="shared" si="57"/>
        <v>11Б0320340</v>
      </c>
      <c r="K315" s="304" t="str">
        <f>C315&amp;D315&amp;E315&amp;J315&amp;G315</f>
        <v>602011311Б0320340244</v>
      </c>
      <c r="L315" s="296"/>
      <c r="M315" s="20"/>
      <c r="N315" s="20"/>
      <c r="O315" s="20"/>
      <c r="P315" s="20"/>
      <c r="Q315" s="20"/>
      <c r="R315" s="20"/>
      <c r="S315" s="17" t="str">
        <f t="shared" si="63"/>
        <v>11 Б 03 20340244</v>
      </c>
    </row>
    <row r="316" spans="1:19" s="16" customFormat="1" ht="47.25">
      <c r="A316" s="14"/>
      <c r="B316" s="127" t="s">
        <v>146</v>
      </c>
      <c r="C316" s="109" t="s">
        <v>256</v>
      </c>
      <c r="D316" s="130" t="s">
        <v>11</v>
      </c>
      <c r="E316" s="130">
        <v>13</v>
      </c>
      <c r="F316" s="130" t="s">
        <v>147</v>
      </c>
      <c r="G316" s="130" t="s">
        <v>9</v>
      </c>
      <c r="H316" s="134">
        <f>H317</f>
        <v>0</v>
      </c>
      <c r="I316" s="130">
        <v>1500000000</v>
      </c>
      <c r="J316" s="130" t="str">
        <f t="shared" si="57"/>
        <v>1500000000</v>
      </c>
      <c r="K316" s="132"/>
      <c r="L316" s="17"/>
      <c r="M316" s="27">
        <v>3000</v>
      </c>
      <c r="N316" s="27">
        <v>0</v>
      </c>
      <c r="O316" s="27">
        <v>0</v>
      </c>
      <c r="P316" s="27">
        <f>H316-M316</f>
        <v>-3000</v>
      </c>
      <c r="Q316" s="27" t="e">
        <f>#REF!-N316</f>
        <v>#REF!</v>
      </c>
      <c r="R316" s="27" t="e">
        <f>#REF!-O316</f>
        <v>#REF!</v>
      </c>
      <c r="S316" s="17" t="str">
        <f t="shared" si="63"/>
        <v>15 0 00 00000000</v>
      </c>
    </row>
    <row r="317" spans="1:19" s="16" customFormat="1" ht="47.25">
      <c r="A317" s="14"/>
      <c r="B317" s="125" t="s">
        <v>1065</v>
      </c>
      <c r="C317" s="109" t="s">
        <v>256</v>
      </c>
      <c r="D317" s="130" t="s">
        <v>11</v>
      </c>
      <c r="E317" s="130">
        <v>13</v>
      </c>
      <c r="F317" s="130" t="s">
        <v>149</v>
      </c>
      <c r="G317" s="130" t="s">
        <v>9</v>
      </c>
      <c r="H317" s="134">
        <f>H318</f>
        <v>0</v>
      </c>
      <c r="I317" s="130">
        <v>1510000000</v>
      </c>
      <c r="J317" s="130" t="str">
        <f t="shared" si="57"/>
        <v>1510000000</v>
      </c>
      <c r="K317" s="132"/>
      <c r="L317" s="17"/>
      <c r="M317" s="27">
        <v>3000</v>
      </c>
      <c r="N317" s="27">
        <v>0</v>
      </c>
      <c r="O317" s="27">
        <v>0</v>
      </c>
      <c r="P317" s="27">
        <f>H317-M317</f>
        <v>-3000</v>
      </c>
      <c r="Q317" s="27" t="e">
        <f>#REF!-N317</f>
        <v>#REF!</v>
      </c>
      <c r="R317" s="27" t="e">
        <f>#REF!-O317</f>
        <v>#REF!</v>
      </c>
      <c r="S317" s="17" t="str">
        <f t="shared" si="63"/>
        <v>15 1 00 00000000</v>
      </c>
    </row>
    <row r="318" spans="1:19" s="16" customFormat="1" ht="63">
      <c r="A318" s="14"/>
      <c r="B318" s="132" t="s">
        <v>1068</v>
      </c>
      <c r="C318" s="109" t="s">
        <v>256</v>
      </c>
      <c r="D318" s="130" t="s">
        <v>11</v>
      </c>
      <c r="E318" s="130">
        <v>13</v>
      </c>
      <c r="F318" s="130" t="s">
        <v>1069</v>
      </c>
      <c r="G318" s="130" t="s">
        <v>9</v>
      </c>
      <c r="H318" s="134">
        <f>H319+H325+H322</f>
        <v>0</v>
      </c>
      <c r="I318" s="130">
        <v>1510400000</v>
      </c>
      <c r="J318" s="130" t="str">
        <f t="shared" si="57"/>
        <v>1510400000</v>
      </c>
      <c r="K318" s="132"/>
      <c r="L318" s="17"/>
      <c r="M318" s="27">
        <v>3000</v>
      </c>
      <c r="N318" s="27">
        <v>0</v>
      </c>
      <c r="O318" s="27">
        <v>0</v>
      </c>
      <c r="P318" s="27">
        <f>H318-M318</f>
        <v>-3000</v>
      </c>
      <c r="Q318" s="27" t="e">
        <f>#REF!-N318</f>
        <v>#REF!</v>
      </c>
      <c r="R318" s="27" t="e">
        <f>#REF!-O318</f>
        <v>#REF!</v>
      </c>
      <c r="S318" s="17" t="str">
        <f t="shared" si="63"/>
        <v>15 1 04 00000000</v>
      </c>
    </row>
    <row r="319" spans="1:19" s="16" customFormat="1" ht="47.25">
      <c r="A319" s="14"/>
      <c r="B319" s="135" t="s">
        <v>152</v>
      </c>
      <c r="C319" s="109" t="s">
        <v>256</v>
      </c>
      <c r="D319" s="130" t="s">
        <v>11</v>
      </c>
      <c r="E319" s="130">
        <v>13</v>
      </c>
      <c r="F319" s="130" t="s">
        <v>1070</v>
      </c>
      <c r="G319" s="130" t="s">
        <v>9</v>
      </c>
      <c r="H319" s="134">
        <f t="shared" ref="H319" si="65">H320</f>
        <v>0</v>
      </c>
      <c r="I319" s="130">
        <v>1510420350</v>
      </c>
      <c r="J319" s="130" t="str">
        <f t="shared" si="57"/>
        <v>1510420350</v>
      </c>
      <c r="K319" s="132"/>
      <c r="L319" s="17"/>
      <c r="M319" s="27">
        <v>3000</v>
      </c>
      <c r="N319" s="27">
        <v>0</v>
      </c>
      <c r="O319" s="27">
        <v>0</v>
      </c>
      <c r="P319" s="27">
        <f>H319-M319</f>
        <v>-3000</v>
      </c>
      <c r="Q319" s="27" t="e">
        <f>#REF!-N319</f>
        <v>#REF!</v>
      </c>
      <c r="R319" s="27" t="e">
        <f>#REF!-O319</f>
        <v>#REF!</v>
      </c>
      <c r="S319" s="17" t="str">
        <f t="shared" si="63"/>
        <v>15 1 04 20350000</v>
      </c>
    </row>
    <row r="320" spans="1:19" s="16" customFormat="1" ht="31.5">
      <c r="A320" s="14"/>
      <c r="B320" s="135" t="s">
        <v>28</v>
      </c>
      <c r="C320" s="109" t="s">
        <v>256</v>
      </c>
      <c r="D320" s="130" t="s">
        <v>11</v>
      </c>
      <c r="E320" s="130">
        <v>13</v>
      </c>
      <c r="F320" s="130" t="s">
        <v>1070</v>
      </c>
      <c r="G320" s="130" t="s">
        <v>29</v>
      </c>
      <c r="H320" s="126">
        <f>H321</f>
        <v>0</v>
      </c>
      <c r="I320" s="130">
        <v>1510420350</v>
      </c>
      <c r="J320" s="130" t="str">
        <f t="shared" si="57"/>
        <v>1510420350</v>
      </c>
      <c r="K320" s="132"/>
      <c r="L320" s="17"/>
      <c r="M320" s="20">
        <v>3000</v>
      </c>
      <c r="N320" s="20">
        <v>0</v>
      </c>
      <c r="O320" s="20">
        <v>0</v>
      </c>
      <c r="P320" s="20">
        <f>H320-M320</f>
        <v>-3000</v>
      </c>
      <c r="Q320" s="20" t="e">
        <f>#REF!-N320</f>
        <v>#REF!</v>
      </c>
      <c r="R320" s="20" t="e">
        <f>#REF!-O320</f>
        <v>#REF!</v>
      </c>
      <c r="S320" s="17" t="str">
        <f t="shared" si="63"/>
        <v>15 1 04 20350240</v>
      </c>
    </row>
    <row r="321" spans="1:19" s="16" customFormat="1" ht="15.75">
      <c r="A321" s="14"/>
      <c r="B321" s="125" t="s">
        <v>30</v>
      </c>
      <c r="C321" s="109" t="s">
        <v>256</v>
      </c>
      <c r="D321" s="130" t="s">
        <v>11</v>
      </c>
      <c r="E321" s="130">
        <v>13</v>
      </c>
      <c r="F321" s="130" t="s">
        <v>1070</v>
      </c>
      <c r="G321" s="130" t="s">
        <v>31</v>
      </c>
      <c r="H321" s="126"/>
      <c r="I321" s="130">
        <v>1510420350</v>
      </c>
      <c r="J321" s="130" t="str">
        <f t="shared" si="57"/>
        <v>1510420350</v>
      </c>
      <c r="K321" s="304" t="str">
        <f>C321&amp;D321&amp;E321&amp;J321&amp;G321</f>
        <v>60201131510420350244</v>
      </c>
      <c r="L321" s="17"/>
      <c r="M321" s="20"/>
      <c r="N321" s="20"/>
      <c r="O321" s="20"/>
      <c r="P321" s="20"/>
      <c r="Q321" s="20"/>
      <c r="R321" s="20"/>
      <c r="S321" s="17" t="str">
        <f t="shared" si="63"/>
        <v>15 1 04 20350244</v>
      </c>
    </row>
    <row r="322" spans="1:19" s="16" customFormat="1" ht="63">
      <c r="A322" s="14"/>
      <c r="B322" s="135" t="s">
        <v>1178</v>
      </c>
      <c r="C322" s="109" t="s">
        <v>256</v>
      </c>
      <c r="D322" s="130" t="s">
        <v>11</v>
      </c>
      <c r="E322" s="130">
        <v>13</v>
      </c>
      <c r="F322" s="130" t="s">
        <v>1179</v>
      </c>
      <c r="G322" s="130" t="s">
        <v>9</v>
      </c>
      <c r="H322" s="126">
        <f>H323</f>
        <v>0</v>
      </c>
      <c r="I322" s="130"/>
      <c r="J322" s="130"/>
      <c r="K322" s="304"/>
      <c r="L322" s="17"/>
      <c r="M322" s="20"/>
      <c r="N322" s="20"/>
      <c r="O322" s="20"/>
      <c r="P322" s="20"/>
      <c r="Q322" s="20"/>
      <c r="R322" s="20"/>
      <c r="S322" s="17"/>
    </row>
    <row r="323" spans="1:19" s="16" customFormat="1" ht="31.5">
      <c r="A323" s="14"/>
      <c r="B323" s="135" t="s">
        <v>28</v>
      </c>
      <c r="C323" s="109" t="s">
        <v>256</v>
      </c>
      <c r="D323" s="130" t="s">
        <v>11</v>
      </c>
      <c r="E323" s="130">
        <v>13</v>
      </c>
      <c r="F323" s="130" t="s">
        <v>1179</v>
      </c>
      <c r="G323" s="130" t="s">
        <v>29</v>
      </c>
      <c r="H323" s="126">
        <f>H324</f>
        <v>0</v>
      </c>
      <c r="I323" s="130"/>
      <c r="J323" s="130"/>
      <c r="K323" s="304"/>
      <c r="L323" s="17"/>
      <c r="M323" s="20"/>
      <c r="N323" s="20"/>
      <c r="O323" s="20"/>
      <c r="P323" s="20"/>
      <c r="Q323" s="20"/>
      <c r="R323" s="20"/>
      <c r="S323" s="17"/>
    </row>
    <row r="324" spans="1:19" s="16" customFormat="1" ht="15.75">
      <c r="A324" s="14"/>
      <c r="B324" s="125" t="s">
        <v>30</v>
      </c>
      <c r="C324" s="109" t="s">
        <v>256</v>
      </c>
      <c r="D324" s="130" t="s">
        <v>11</v>
      </c>
      <c r="E324" s="130">
        <v>13</v>
      </c>
      <c r="F324" s="130" t="s">
        <v>1179</v>
      </c>
      <c r="G324" s="130" t="s">
        <v>31</v>
      </c>
      <c r="H324" s="126"/>
      <c r="I324" s="130"/>
      <c r="J324" s="130"/>
      <c r="K324" s="304"/>
      <c r="L324" s="17"/>
      <c r="M324" s="20"/>
      <c r="N324" s="20"/>
      <c r="O324" s="20"/>
      <c r="P324" s="20"/>
      <c r="Q324" s="20"/>
      <c r="R324" s="20"/>
      <c r="S324" s="17"/>
    </row>
    <row r="325" spans="1:19" s="16" customFormat="1" ht="63">
      <c r="A325" s="14"/>
      <c r="B325" s="135" t="s">
        <v>1039</v>
      </c>
      <c r="C325" s="109" t="s">
        <v>256</v>
      </c>
      <c r="D325" s="130" t="s">
        <v>11</v>
      </c>
      <c r="E325" s="130">
        <v>13</v>
      </c>
      <c r="F325" s="130" t="s">
        <v>1086</v>
      </c>
      <c r="G325" s="130" t="s">
        <v>9</v>
      </c>
      <c r="H325" s="126">
        <f>H326</f>
        <v>0</v>
      </c>
      <c r="I325" s="130" t="s">
        <v>1180</v>
      </c>
      <c r="J325" s="130" t="str">
        <f t="shared" si="57"/>
        <v>15104S7310</v>
      </c>
      <c r="K325" s="132"/>
      <c r="L325" s="17"/>
      <c r="M325" s="20"/>
      <c r="N325" s="20"/>
      <c r="O325" s="20"/>
      <c r="P325" s="20"/>
      <c r="Q325" s="20"/>
      <c r="R325" s="20"/>
      <c r="S325" s="17"/>
    </row>
    <row r="326" spans="1:19" s="16" customFormat="1" ht="31.5">
      <c r="A326" s="14"/>
      <c r="B326" s="135" t="s">
        <v>28</v>
      </c>
      <c r="C326" s="109" t="s">
        <v>256</v>
      </c>
      <c r="D326" s="130" t="s">
        <v>11</v>
      </c>
      <c r="E326" s="130">
        <v>13</v>
      </c>
      <c r="F326" s="130" t="s">
        <v>1086</v>
      </c>
      <c r="G326" s="130" t="s">
        <v>29</v>
      </c>
      <c r="H326" s="126">
        <f>H327</f>
        <v>0</v>
      </c>
      <c r="I326" s="130" t="s">
        <v>1180</v>
      </c>
      <c r="J326" s="130" t="str">
        <f t="shared" si="57"/>
        <v>15104S7310</v>
      </c>
      <c r="K326" s="132"/>
      <c r="L326" s="17"/>
      <c r="M326" s="20"/>
      <c r="N326" s="20"/>
      <c r="O326" s="20"/>
      <c r="P326" s="20"/>
      <c r="Q326" s="20"/>
      <c r="R326" s="20"/>
      <c r="S326" s="17"/>
    </row>
    <row r="327" spans="1:19" s="16" customFormat="1" ht="15.75">
      <c r="A327" s="14"/>
      <c r="B327" s="135" t="s">
        <v>30</v>
      </c>
      <c r="C327" s="109" t="s">
        <v>256</v>
      </c>
      <c r="D327" s="130" t="s">
        <v>11</v>
      </c>
      <c r="E327" s="130">
        <v>13</v>
      </c>
      <c r="F327" s="130" t="s">
        <v>1086</v>
      </c>
      <c r="G327" s="108" t="s">
        <v>31</v>
      </c>
      <c r="H327" s="126"/>
      <c r="I327" s="130" t="s">
        <v>1180</v>
      </c>
      <c r="J327" s="130" t="str">
        <f t="shared" si="57"/>
        <v>15104S7310</v>
      </c>
      <c r="K327" s="304" t="str">
        <f>C327&amp;D327&amp;E327&amp;J327&amp;G327</f>
        <v>602011315104S7310244</v>
      </c>
      <c r="L327" s="17"/>
      <c r="M327" s="20"/>
      <c r="N327" s="20"/>
      <c r="O327" s="20"/>
      <c r="P327" s="20"/>
      <c r="Q327" s="20"/>
      <c r="R327" s="20"/>
      <c r="S327" s="17"/>
    </row>
    <row r="328" spans="1:19" s="29" customFormat="1" ht="31.5">
      <c r="A328" s="28"/>
      <c r="B328" s="125" t="s">
        <v>276</v>
      </c>
      <c r="C328" s="109" t="s">
        <v>256</v>
      </c>
      <c r="D328" s="108" t="s">
        <v>11</v>
      </c>
      <c r="E328" s="108" t="s">
        <v>51</v>
      </c>
      <c r="F328" s="108" t="s">
        <v>277</v>
      </c>
      <c r="G328" s="108" t="s">
        <v>9</v>
      </c>
      <c r="H328" s="126">
        <f>H329+H347</f>
        <v>0</v>
      </c>
      <c r="I328" s="108">
        <v>7200000000</v>
      </c>
      <c r="J328" s="108" t="str">
        <f t="shared" si="57"/>
        <v>7200000000</v>
      </c>
      <c r="K328" s="132"/>
      <c r="L328" s="17"/>
      <c r="M328" s="20">
        <v>70614.459999999992</v>
      </c>
      <c r="N328" s="20">
        <v>69509.459999999992</v>
      </c>
      <c r="O328" s="20">
        <v>69509.459999999992</v>
      </c>
      <c r="P328" s="20">
        <f>H328-M328</f>
        <v>-70614.459999999992</v>
      </c>
      <c r="Q328" s="20" t="e">
        <f>#REF!-N328</f>
        <v>#REF!</v>
      </c>
      <c r="R328" s="20" t="e">
        <f>#REF!-O328</f>
        <v>#REF!</v>
      </c>
      <c r="S328" s="17" t="str">
        <f t="shared" si="63"/>
        <v>72 0 00 00000000</v>
      </c>
    </row>
    <row r="329" spans="1:19" s="29" customFormat="1" ht="47.25">
      <c r="A329" s="28"/>
      <c r="B329" s="125" t="s">
        <v>278</v>
      </c>
      <c r="C329" s="109" t="s">
        <v>256</v>
      </c>
      <c r="D329" s="108" t="s">
        <v>11</v>
      </c>
      <c r="E329" s="108" t="s">
        <v>51</v>
      </c>
      <c r="F329" s="108" t="s">
        <v>279</v>
      </c>
      <c r="G329" s="108" t="s">
        <v>9</v>
      </c>
      <c r="H329" s="126">
        <f>H340+H330+H344</f>
        <v>0</v>
      </c>
      <c r="I329" s="108">
        <v>7210000000</v>
      </c>
      <c r="J329" s="108" t="str">
        <f t="shared" si="57"/>
        <v>7210000000</v>
      </c>
      <c r="K329" s="132"/>
      <c r="L329" s="17"/>
      <c r="M329" s="20">
        <v>70614.459999999992</v>
      </c>
      <c r="N329" s="20">
        <v>69509.459999999992</v>
      </c>
      <c r="O329" s="20">
        <v>69509.459999999992</v>
      </c>
      <c r="P329" s="20">
        <f>H329-M329</f>
        <v>-70614.459999999992</v>
      </c>
      <c r="Q329" s="20" t="e">
        <f>#REF!-N329</f>
        <v>#REF!</v>
      </c>
      <c r="R329" s="20" t="e">
        <f>#REF!-O329</f>
        <v>#REF!</v>
      </c>
      <c r="S329" s="17" t="str">
        <f t="shared" si="63"/>
        <v>72 1 00 00000000</v>
      </c>
    </row>
    <row r="330" spans="1:19" s="29" customFormat="1" ht="31.5">
      <c r="A330" s="28"/>
      <c r="B330" s="125" t="s">
        <v>18</v>
      </c>
      <c r="C330" s="109" t="s">
        <v>256</v>
      </c>
      <c r="D330" s="108" t="s">
        <v>11</v>
      </c>
      <c r="E330" s="108" t="s">
        <v>51</v>
      </c>
      <c r="F330" s="108" t="s">
        <v>280</v>
      </c>
      <c r="G330" s="108" t="s">
        <v>9</v>
      </c>
      <c r="H330" s="126">
        <f>H331+H334+H336</f>
        <v>0</v>
      </c>
      <c r="I330" s="108">
        <v>7210010010</v>
      </c>
      <c r="J330" s="108" t="str">
        <f t="shared" si="57"/>
        <v>7210010010</v>
      </c>
      <c r="K330" s="132"/>
      <c r="L330" s="17"/>
      <c r="M330" s="20">
        <v>11702.940000000002</v>
      </c>
      <c r="N330" s="20">
        <v>10597.939999999999</v>
      </c>
      <c r="O330" s="20">
        <v>10597.939999999999</v>
      </c>
      <c r="P330" s="20">
        <f>H330-M330</f>
        <v>-11702.940000000002</v>
      </c>
      <c r="Q330" s="20" t="e">
        <f>#REF!-N330</f>
        <v>#REF!</v>
      </c>
      <c r="R330" s="20" t="e">
        <f>#REF!-O330</f>
        <v>#REF!</v>
      </c>
      <c r="S330" s="17" t="str">
        <f t="shared" si="63"/>
        <v>72 1 00 10010000</v>
      </c>
    </row>
    <row r="331" spans="1:19" s="29" customFormat="1" ht="31.5">
      <c r="A331" s="28"/>
      <c r="B331" s="127" t="s">
        <v>20</v>
      </c>
      <c r="C331" s="109" t="s">
        <v>256</v>
      </c>
      <c r="D331" s="108" t="s">
        <v>11</v>
      </c>
      <c r="E331" s="108" t="s">
        <v>51</v>
      </c>
      <c r="F331" s="108" t="s">
        <v>280</v>
      </c>
      <c r="G331" s="108" t="s">
        <v>21</v>
      </c>
      <c r="H331" s="126">
        <f>SUM(H332:H333)</f>
        <v>0</v>
      </c>
      <c r="I331" s="108">
        <v>7210010010</v>
      </c>
      <c r="J331" s="108" t="str">
        <f t="shared" si="57"/>
        <v>7210010010</v>
      </c>
      <c r="K331" s="132"/>
      <c r="L331" s="17"/>
      <c r="M331" s="20">
        <v>1571.79</v>
      </c>
      <c r="N331" s="20">
        <v>1571.79</v>
      </c>
      <c r="O331" s="20">
        <v>1571.79</v>
      </c>
      <c r="P331" s="20">
        <f>H331-M331</f>
        <v>-1571.79</v>
      </c>
      <c r="Q331" s="20" t="e">
        <f>#REF!-N331</f>
        <v>#REF!</v>
      </c>
      <c r="R331" s="20" t="e">
        <f>#REF!-O331</f>
        <v>#REF!</v>
      </c>
      <c r="S331" s="17" t="str">
        <f t="shared" si="63"/>
        <v>72 1 00 10010120</v>
      </c>
    </row>
    <row r="332" spans="1:19" s="31" customFormat="1" ht="47.25">
      <c r="A332" s="30"/>
      <c r="B332" s="127" t="s">
        <v>22</v>
      </c>
      <c r="C332" s="109" t="s">
        <v>256</v>
      </c>
      <c r="D332" s="108" t="s">
        <v>11</v>
      </c>
      <c r="E332" s="108" t="s">
        <v>51</v>
      </c>
      <c r="F332" s="108" t="s">
        <v>280</v>
      </c>
      <c r="G332" s="108" t="s">
        <v>23</v>
      </c>
      <c r="H332" s="126"/>
      <c r="I332" s="108">
        <v>7210010010</v>
      </c>
      <c r="J332" s="108" t="str">
        <f t="shared" si="57"/>
        <v>7210010010</v>
      </c>
      <c r="K332" s="304" t="str">
        <f t="shared" ref="K332:K333" si="66">C332&amp;D332&amp;E332&amp;J332&amp;G332</f>
        <v>60201137210010010122</v>
      </c>
      <c r="L332" s="297"/>
      <c r="M332" s="22"/>
      <c r="N332" s="22"/>
      <c r="O332" s="22"/>
      <c r="P332" s="22"/>
      <c r="Q332" s="22"/>
      <c r="R332" s="22"/>
      <c r="S332" s="24"/>
    </row>
    <row r="333" spans="1:19" s="31" customFormat="1" ht="63">
      <c r="A333" s="30"/>
      <c r="B333" s="127" t="s">
        <v>26</v>
      </c>
      <c r="C333" s="109" t="s">
        <v>256</v>
      </c>
      <c r="D333" s="108" t="s">
        <v>11</v>
      </c>
      <c r="E333" s="108" t="s">
        <v>51</v>
      </c>
      <c r="F333" s="108" t="s">
        <v>280</v>
      </c>
      <c r="G333" s="108" t="s">
        <v>27</v>
      </c>
      <c r="H333" s="126"/>
      <c r="I333" s="108">
        <v>7210010010</v>
      </c>
      <c r="J333" s="108" t="str">
        <f t="shared" si="57"/>
        <v>7210010010</v>
      </c>
      <c r="K333" s="304" t="str">
        <f t="shared" si="66"/>
        <v>60201137210010010129</v>
      </c>
      <c r="L333" s="297"/>
      <c r="M333" s="22"/>
      <c r="N333" s="22"/>
      <c r="O333" s="22"/>
      <c r="P333" s="22"/>
      <c r="Q333" s="22"/>
      <c r="R333" s="22"/>
      <c r="S333" s="24"/>
    </row>
    <row r="334" spans="1:19" s="29" customFormat="1" ht="31.5">
      <c r="A334" s="28"/>
      <c r="B334" s="125" t="s">
        <v>28</v>
      </c>
      <c r="C334" s="109" t="s">
        <v>256</v>
      </c>
      <c r="D334" s="108" t="s">
        <v>11</v>
      </c>
      <c r="E334" s="108" t="s">
        <v>51</v>
      </c>
      <c r="F334" s="108" t="s">
        <v>280</v>
      </c>
      <c r="G334" s="108" t="s">
        <v>29</v>
      </c>
      <c r="H334" s="126">
        <f>H335</f>
        <v>0</v>
      </c>
      <c r="I334" s="108">
        <v>7210010010</v>
      </c>
      <c r="J334" s="108" t="str">
        <f t="shared" si="57"/>
        <v>7210010010</v>
      </c>
      <c r="K334" s="132"/>
      <c r="L334" s="17"/>
      <c r="M334" s="20">
        <v>10021.450000000001</v>
      </c>
      <c r="N334" s="20">
        <v>8947.15</v>
      </c>
      <c r="O334" s="20">
        <v>8947.15</v>
      </c>
      <c r="P334" s="20">
        <f>H334-M334</f>
        <v>-10021.450000000001</v>
      </c>
      <c r="Q334" s="20" t="e">
        <f>#REF!-N334</f>
        <v>#REF!</v>
      </c>
      <c r="R334" s="20" t="e">
        <f>#REF!-O334</f>
        <v>#REF!</v>
      </c>
      <c r="S334" s="17" t="str">
        <f t="shared" si="63"/>
        <v>72 1 00 10010240</v>
      </c>
    </row>
    <row r="335" spans="1:19" s="29" customFormat="1" ht="15.75">
      <c r="A335" s="28"/>
      <c r="B335" s="125" t="s">
        <v>30</v>
      </c>
      <c r="C335" s="109" t="s">
        <v>256</v>
      </c>
      <c r="D335" s="108" t="s">
        <v>11</v>
      </c>
      <c r="E335" s="108" t="s">
        <v>51</v>
      </c>
      <c r="F335" s="108" t="s">
        <v>280</v>
      </c>
      <c r="G335" s="108" t="s">
        <v>31</v>
      </c>
      <c r="H335" s="126"/>
      <c r="I335" s="108">
        <v>7210010010</v>
      </c>
      <c r="J335" s="108" t="str">
        <f t="shared" si="57"/>
        <v>7210010010</v>
      </c>
      <c r="K335" s="304" t="str">
        <f>C335&amp;D335&amp;E335&amp;J335&amp;G335</f>
        <v>60201137210010010244</v>
      </c>
      <c r="L335" s="296"/>
      <c r="M335" s="20"/>
      <c r="N335" s="20"/>
      <c r="O335" s="20"/>
      <c r="P335" s="20"/>
      <c r="Q335" s="20"/>
      <c r="R335" s="20"/>
      <c r="S335" s="17"/>
    </row>
    <row r="336" spans="1:19" s="29" customFormat="1" ht="15.75">
      <c r="A336" s="28"/>
      <c r="B336" s="125" t="s">
        <v>32</v>
      </c>
      <c r="C336" s="109" t="s">
        <v>256</v>
      </c>
      <c r="D336" s="108" t="s">
        <v>11</v>
      </c>
      <c r="E336" s="108" t="s">
        <v>51</v>
      </c>
      <c r="F336" s="108" t="s">
        <v>280</v>
      </c>
      <c r="G336" s="108" t="s">
        <v>33</v>
      </c>
      <c r="H336" s="126">
        <f>SUM(H337:H339)</f>
        <v>0</v>
      </c>
      <c r="I336" s="108">
        <v>7210010010</v>
      </c>
      <c r="J336" s="108" t="str">
        <f t="shared" si="57"/>
        <v>7210010010</v>
      </c>
      <c r="K336" s="132"/>
      <c r="L336" s="17"/>
      <c r="M336" s="20">
        <v>109.7</v>
      </c>
      <c r="N336" s="20">
        <v>79</v>
      </c>
      <c r="O336" s="20">
        <v>79</v>
      </c>
      <c r="P336" s="20">
        <f>H336-M336</f>
        <v>-109.7</v>
      </c>
      <c r="Q336" s="20" t="e">
        <f>#REF!-N336</f>
        <v>#REF!</v>
      </c>
      <c r="R336" s="20" t="e">
        <f>#REF!-O336</f>
        <v>#REF!</v>
      </c>
      <c r="S336" s="17" t="str">
        <f t="shared" si="63"/>
        <v>72 1 00 10010850</v>
      </c>
    </row>
    <row r="337" spans="1:19" s="31" customFormat="1" ht="31.5">
      <c r="A337" s="30"/>
      <c r="B337" s="127" t="s">
        <v>34</v>
      </c>
      <c r="C337" s="109" t="s">
        <v>256</v>
      </c>
      <c r="D337" s="108" t="s">
        <v>11</v>
      </c>
      <c r="E337" s="108" t="s">
        <v>51</v>
      </c>
      <c r="F337" s="108" t="s">
        <v>280</v>
      </c>
      <c r="G337" s="108" t="s">
        <v>35</v>
      </c>
      <c r="H337" s="126"/>
      <c r="I337" s="108">
        <v>7210010010</v>
      </c>
      <c r="J337" s="108" t="str">
        <f t="shared" si="57"/>
        <v>7210010010</v>
      </c>
      <c r="K337" s="304" t="str">
        <f t="shared" ref="K337:K339" si="67">C337&amp;D337&amp;E337&amp;J337&amp;G337</f>
        <v>60201137210010010851</v>
      </c>
      <c r="L337" s="297"/>
      <c r="M337" s="22"/>
      <c r="N337" s="22"/>
      <c r="O337" s="22"/>
      <c r="P337" s="22"/>
      <c r="Q337" s="22"/>
      <c r="R337" s="22"/>
      <c r="S337" s="24"/>
    </row>
    <row r="338" spans="1:19" s="31" customFormat="1" ht="15.75">
      <c r="A338" s="30"/>
      <c r="B338" s="127" t="s">
        <v>36</v>
      </c>
      <c r="C338" s="109" t="s">
        <v>256</v>
      </c>
      <c r="D338" s="108" t="s">
        <v>11</v>
      </c>
      <c r="E338" s="108" t="s">
        <v>51</v>
      </c>
      <c r="F338" s="108" t="s">
        <v>280</v>
      </c>
      <c r="G338" s="108" t="s">
        <v>37</v>
      </c>
      <c r="H338" s="126"/>
      <c r="I338" s="108">
        <v>7210010010</v>
      </c>
      <c r="J338" s="108" t="str">
        <f t="shared" si="57"/>
        <v>7210010010</v>
      </c>
      <c r="K338" s="304" t="str">
        <f t="shared" si="67"/>
        <v>60201137210010010852</v>
      </c>
      <c r="L338" s="297"/>
      <c r="M338" s="22"/>
      <c r="N338" s="22"/>
      <c r="O338" s="22"/>
      <c r="P338" s="22"/>
      <c r="Q338" s="22"/>
      <c r="R338" s="22"/>
      <c r="S338" s="24"/>
    </row>
    <row r="339" spans="1:19" s="31" customFormat="1" ht="15.75">
      <c r="A339" s="30"/>
      <c r="B339" s="127" t="s">
        <v>77</v>
      </c>
      <c r="C339" s="109" t="s">
        <v>256</v>
      </c>
      <c r="D339" s="108" t="s">
        <v>11</v>
      </c>
      <c r="E339" s="108" t="s">
        <v>51</v>
      </c>
      <c r="F339" s="108" t="s">
        <v>280</v>
      </c>
      <c r="G339" s="108" t="s">
        <v>78</v>
      </c>
      <c r="H339" s="126"/>
      <c r="I339" s="108">
        <v>7210010010</v>
      </c>
      <c r="J339" s="108" t="str">
        <f t="shared" si="57"/>
        <v>7210010010</v>
      </c>
      <c r="K339" s="304" t="str">
        <f t="shared" si="67"/>
        <v>60201137210010010853</v>
      </c>
      <c r="L339" s="297"/>
      <c r="M339" s="22"/>
      <c r="N339" s="22"/>
      <c r="O339" s="22"/>
      <c r="P339" s="22"/>
      <c r="Q339" s="22"/>
      <c r="R339" s="22"/>
      <c r="S339" s="24"/>
    </row>
    <row r="340" spans="1:19" s="29" customFormat="1" ht="31.5">
      <c r="A340" s="28"/>
      <c r="B340" s="125" t="s">
        <v>38</v>
      </c>
      <c r="C340" s="109" t="s">
        <v>256</v>
      </c>
      <c r="D340" s="108" t="s">
        <v>11</v>
      </c>
      <c r="E340" s="108" t="s">
        <v>51</v>
      </c>
      <c r="F340" s="108" t="s">
        <v>281</v>
      </c>
      <c r="G340" s="108" t="s">
        <v>9</v>
      </c>
      <c r="H340" s="126">
        <f>SUM(H341:H341)</f>
        <v>0</v>
      </c>
      <c r="I340" s="108">
        <v>7210010020</v>
      </c>
      <c r="J340" s="108" t="str">
        <f t="shared" ref="J340:J406" si="68">TEXT(I340,"0000000000")</f>
        <v>7210010020</v>
      </c>
      <c r="K340" s="132"/>
      <c r="L340" s="17"/>
      <c r="M340" s="20">
        <v>58911.519999999997</v>
      </c>
      <c r="N340" s="20">
        <v>58911.519999999997</v>
      </c>
      <c r="O340" s="20">
        <v>58911.519999999997</v>
      </c>
      <c r="P340" s="20">
        <f>H340-M340</f>
        <v>-58911.519999999997</v>
      </c>
      <c r="Q340" s="20" t="e">
        <f>#REF!-N340</f>
        <v>#REF!</v>
      </c>
      <c r="R340" s="20" t="e">
        <f>#REF!-O340</f>
        <v>#REF!</v>
      </c>
      <c r="S340" s="17" t="str">
        <f t="shared" si="63"/>
        <v>72 1 00 10020000</v>
      </c>
    </row>
    <row r="341" spans="1:19" s="29" customFormat="1" ht="31.5">
      <c r="A341" s="28"/>
      <c r="B341" s="127" t="s">
        <v>20</v>
      </c>
      <c r="C341" s="109" t="s">
        <v>256</v>
      </c>
      <c r="D341" s="108" t="s">
        <v>11</v>
      </c>
      <c r="E341" s="108" t="s">
        <v>51</v>
      </c>
      <c r="F341" s="108" t="s">
        <v>281</v>
      </c>
      <c r="G341" s="108" t="s">
        <v>21</v>
      </c>
      <c r="H341" s="126">
        <f>SUM(H342:H343)</f>
        <v>0</v>
      </c>
      <c r="I341" s="108">
        <v>7210010020</v>
      </c>
      <c r="J341" s="108" t="str">
        <f t="shared" si="68"/>
        <v>7210010020</v>
      </c>
      <c r="K341" s="132"/>
      <c r="L341" s="17"/>
      <c r="M341" s="20">
        <v>58911.519999999997</v>
      </c>
      <c r="N341" s="20">
        <v>58911.519999999997</v>
      </c>
      <c r="O341" s="20">
        <v>58911.519999999997</v>
      </c>
      <c r="P341" s="20">
        <f>H341-M341</f>
        <v>-58911.519999999997</v>
      </c>
      <c r="Q341" s="20" t="e">
        <f>#REF!-N341</f>
        <v>#REF!</v>
      </c>
      <c r="R341" s="20" t="e">
        <f>#REF!-O341</f>
        <v>#REF!</v>
      </c>
      <c r="S341" s="17" t="str">
        <f t="shared" si="63"/>
        <v>72 1 00 10020120</v>
      </c>
    </row>
    <row r="342" spans="1:19" s="31" customFormat="1" ht="31.5">
      <c r="A342" s="30"/>
      <c r="B342" s="127" t="s">
        <v>40</v>
      </c>
      <c r="C342" s="109" t="s">
        <v>256</v>
      </c>
      <c r="D342" s="108" t="s">
        <v>11</v>
      </c>
      <c r="E342" s="108" t="s">
        <v>51</v>
      </c>
      <c r="F342" s="108" t="s">
        <v>281</v>
      </c>
      <c r="G342" s="108" t="s">
        <v>41</v>
      </c>
      <c r="H342" s="126"/>
      <c r="I342" s="108">
        <v>7210010020</v>
      </c>
      <c r="J342" s="108" t="str">
        <f t="shared" si="68"/>
        <v>7210010020</v>
      </c>
      <c r="K342" s="304" t="str">
        <f t="shared" ref="K342:K346" si="69">C342&amp;D342&amp;E342&amp;J342&amp;G342</f>
        <v>60201137210010020121</v>
      </c>
      <c r="L342" s="297"/>
      <c r="M342" s="22"/>
      <c r="N342" s="22"/>
      <c r="O342" s="22"/>
      <c r="P342" s="22"/>
      <c r="Q342" s="22"/>
      <c r="R342" s="22"/>
      <c r="S342" s="24"/>
    </row>
    <row r="343" spans="1:19" s="31" customFormat="1" ht="63">
      <c r="A343" s="30"/>
      <c r="B343" s="127" t="s">
        <v>26</v>
      </c>
      <c r="C343" s="109" t="s">
        <v>256</v>
      </c>
      <c r="D343" s="108" t="s">
        <v>11</v>
      </c>
      <c r="E343" s="108" t="s">
        <v>51</v>
      </c>
      <c r="F343" s="108" t="s">
        <v>281</v>
      </c>
      <c r="G343" s="108" t="s">
        <v>27</v>
      </c>
      <c r="H343" s="126"/>
      <c r="I343" s="108">
        <v>7210010020</v>
      </c>
      <c r="J343" s="108" t="str">
        <f t="shared" si="68"/>
        <v>7210010020</v>
      </c>
      <c r="K343" s="304" t="str">
        <f t="shared" si="69"/>
        <v>60201137210010020129</v>
      </c>
      <c r="L343" s="297"/>
      <c r="M343" s="22"/>
      <c r="N343" s="22"/>
      <c r="O343" s="22"/>
      <c r="P343" s="22"/>
      <c r="Q343" s="22"/>
      <c r="R343" s="22"/>
      <c r="S343" s="24"/>
    </row>
    <row r="344" spans="1:19" s="31" customFormat="1" ht="31.5">
      <c r="A344" s="30"/>
      <c r="B344" s="129" t="s">
        <v>187</v>
      </c>
      <c r="C344" s="109" t="s">
        <v>256</v>
      </c>
      <c r="D344" s="108" t="s">
        <v>11</v>
      </c>
      <c r="E344" s="108" t="s">
        <v>51</v>
      </c>
      <c r="F344" s="108" t="s">
        <v>1181</v>
      </c>
      <c r="G344" s="108" t="s">
        <v>9</v>
      </c>
      <c r="H344" s="126">
        <f>H345</f>
        <v>0</v>
      </c>
      <c r="I344" s="108">
        <v>7210020050</v>
      </c>
      <c r="J344" s="108" t="str">
        <f t="shared" si="68"/>
        <v>7210020050</v>
      </c>
      <c r="K344" s="304" t="str">
        <f t="shared" si="69"/>
        <v>60201137210020050000</v>
      </c>
      <c r="L344" s="297"/>
      <c r="M344" s="22"/>
      <c r="N344" s="22"/>
      <c r="O344" s="22"/>
      <c r="P344" s="22"/>
      <c r="Q344" s="22"/>
      <c r="R344" s="22"/>
      <c r="S344" s="24"/>
    </row>
    <row r="345" spans="1:19" s="31" customFormat="1" ht="15.75">
      <c r="A345" s="30"/>
      <c r="B345" s="125" t="s">
        <v>189</v>
      </c>
      <c r="C345" s="109" t="s">
        <v>256</v>
      </c>
      <c r="D345" s="108" t="s">
        <v>11</v>
      </c>
      <c r="E345" s="108" t="s">
        <v>51</v>
      </c>
      <c r="F345" s="108" t="s">
        <v>1181</v>
      </c>
      <c r="G345" s="108" t="s">
        <v>190</v>
      </c>
      <c r="H345" s="126">
        <f>H346</f>
        <v>0</v>
      </c>
      <c r="I345" s="108">
        <v>7210020050</v>
      </c>
      <c r="J345" s="108" t="str">
        <f t="shared" si="68"/>
        <v>7210020050</v>
      </c>
      <c r="K345" s="304" t="str">
        <f t="shared" si="69"/>
        <v>60201137210020050830</v>
      </c>
      <c r="L345" s="297"/>
      <c r="M345" s="22"/>
      <c r="N345" s="22"/>
      <c r="O345" s="22"/>
      <c r="P345" s="22"/>
      <c r="Q345" s="22"/>
      <c r="R345" s="22"/>
      <c r="S345" s="24"/>
    </row>
    <row r="346" spans="1:19" s="31" customFormat="1" ht="47.25">
      <c r="A346" s="30"/>
      <c r="B346" s="129" t="s">
        <v>191</v>
      </c>
      <c r="C346" s="109" t="s">
        <v>256</v>
      </c>
      <c r="D346" s="108" t="s">
        <v>11</v>
      </c>
      <c r="E346" s="108" t="s">
        <v>51</v>
      </c>
      <c r="F346" s="108" t="s">
        <v>1181</v>
      </c>
      <c r="G346" s="108" t="s">
        <v>192</v>
      </c>
      <c r="H346" s="126"/>
      <c r="I346" s="108">
        <v>7210020050</v>
      </c>
      <c r="J346" s="108" t="str">
        <f t="shared" si="68"/>
        <v>7210020050</v>
      </c>
      <c r="K346" s="304" t="str">
        <f t="shared" si="69"/>
        <v>60201137210020050831</v>
      </c>
      <c r="L346" s="297"/>
      <c r="M346" s="22"/>
      <c r="N346" s="22"/>
      <c r="O346" s="22"/>
      <c r="P346" s="22"/>
      <c r="Q346" s="22"/>
      <c r="R346" s="22"/>
      <c r="S346" s="24"/>
    </row>
    <row r="347" spans="1:19" s="31" customFormat="1" ht="15.75">
      <c r="A347" s="30"/>
      <c r="B347" s="125" t="s">
        <v>52</v>
      </c>
      <c r="C347" s="109" t="s">
        <v>256</v>
      </c>
      <c r="D347" s="108" t="s">
        <v>11</v>
      </c>
      <c r="E347" s="108" t="s">
        <v>51</v>
      </c>
      <c r="F347" s="108" t="s">
        <v>1058</v>
      </c>
      <c r="G347" s="108" t="s">
        <v>9</v>
      </c>
      <c r="H347" s="126">
        <f>H348</f>
        <v>0</v>
      </c>
      <c r="I347" s="108">
        <v>7220000000</v>
      </c>
      <c r="J347" s="108" t="str">
        <f t="shared" si="68"/>
        <v>7220000000</v>
      </c>
      <c r="K347" s="132"/>
      <c r="L347" s="17"/>
      <c r="M347" s="22"/>
      <c r="N347" s="22"/>
      <c r="O347" s="22"/>
      <c r="P347" s="22"/>
      <c r="Q347" s="22"/>
      <c r="R347" s="22"/>
      <c r="S347" s="24"/>
    </row>
    <row r="348" spans="1:19" s="31" customFormat="1" ht="47.25">
      <c r="A348" s="30"/>
      <c r="B348" s="125" t="s">
        <v>1059</v>
      </c>
      <c r="C348" s="109" t="s">
        <v>256</v>
      </c>
      <c r="D348" s="108" t="s">
        <v>11</v>
      </c>
      <c r="E348" s="108" t="s">
        <v>51</v>
      </c>
      <c r="F348" s="108" t="s">
        <v>1060</v>
      </c>
      <c r="G348" s="108" t="s">
        <v>9</v>
      </c>
      <c r="H348" s="126">
        <f>H349</f>
        <v>0</v>
      </c>
      <c r="I348" s="108">
        <v>7220020970</v>
      </c>
      <c r="J348" s="108" t="str">
        <f t="shared" si="68"/>
        <v>7220020970</v>
      </c>
      <c r="K348" s="132"/>
      <c r="L348" s="17"/>
      <c r="M348" s="22"/>
      <c r="N348" s="22"/>
      <c r="O348" s="22"/>
      <c r="P348" s="22"/>
      <c r="Q348" s="22"/>
      <c r="R348" s="22"/>
      <c r="S348" s="24"/>
    </row>
    <row r="349" spans="1:19" s="31" customFormat="1" ht="15.75">
      <c r="A349" s="30"/>
      <c r="B349" s="125" t="s">
        <v>32</v>
      </c>
      <c r="C349" s="109" t="s">
        <v>256</v>
      </c>
      <c r="D349" s="108" t="s">
        <v>11</v>
      </c>
      <c r="E349" s="108" t="s">
        <v>51</v>
      </c>
      <c r="F349" s="108" t="s">
        <v>1060</v>
      </c>
      <c r="G349" s="108" t="s">
        <v>33</v>
      </c>
      <c r="H349" s="126">
        <f>H350</f>
        <v>0</v>
      </c>
      <c r="I349" s="108">
        <v>7220020970</v>
      </c>
      <c r="J349" s="108" t="str">
        <f t="shared" si="68"/>
        <v>7220020970</v>
      </c>
      <c r="K349" s="132"/>
      <c r="L349" s="17"/>
      <c r="M349" s="22"/>
      <c r="N349" s="22"/>
      <c r="O349" s="22"/>
      <c r="P349" s="22"/>
      <c r="Q349" s="22"/>
      <c r="R349" s="22"/>
      <c r="S349" s="24"/>
    </row>
    <row r="350" spans="1:19" s="31" customFormat="1" ht="15.75">
      <c r="A350" s="30"/>
      <c r="B350" s="127" t="s">
        <v>36</v>
      </c>
      <c r="C350" s="109" t="s">
        <v>256</v>
      </c>
      <c r="D350" s="108" t="s">
        <v>11</v>
      </c>
      <c r="E350" s="108" t="s">
        <v>51</v>
      </c>
      <c r="F350" s="108" t="s">
        <v>1060</v>
      </c>
      <c r="G350" s="108" t="s">
        <v>37</v>
      </c>
      <c r="H350" s="126"/>
      <c r="I350" s="108">
        <v>7220020970</v>
      </c>
      <c r="J350" s="108" t="str">
        <f t="shared" si="68"/>
        <v>7220020970</v>
      </c>
      <c r="K350" s="304" t="str">
        <f>C350&amp;D350&amp;E350&amp;J350&amp;G350</f>
        <v>60201137220020970852</v>
      </c>
      <c r="L350" s="297"/>
      <c r="M350" s="22"/>
      <c r="N350" s="22"/>
      <c r="O350" s="22"/>
      <c r="P350" s="22"/>
      <c r="Q350" s="22"/>
      <c r="R350" s="22"/>
      <c r="S350" s="24"/>
    </row>
    <row r="351" spans="1:19" s="29" customFormat="1" ht="63">
      <c r="A351" s="28"/>
      <c r="B351" s="307" t="s">
        <v>87</v>
      </c>
      <c r="C351" s="109" t="s">
        <v>256</v>
      </c>
      <c r="D351" s="108" t="s">
        <v>11</v>
      </c>
      <c r="E351" s="108" t="s">
        <v>51</v>
      </c>
      <c r="F351" s="108" t="s">
        <v>88</v>
      </c>
      <c r="G351" s="108" t="s">
        <v>9</v>
      </c>
      <c r="H351" s="126">
        <f>H352</f>
        <v>0</v>
      </c>
      <c r="I351" s="108">
        <v>9800000000</v>
      </c>
      <c r="J351" s="108" t="str">
        <f t="shared" si="68"/>
        <v>9800000000</v>
      </c>
      <c r="K351" s="132"/>
      <c r="L351" s="17"/>
      <c r="M351" s="20">
        <v>268</v>
      </c>
      <c r="N351" s="20">
        <v>0</v>
      </c>
      <c r="O351" s="20">
        <v>0</v>
      </c>
      <c r="P351" s="20">
        <f>H351-M351</f>
        <v>-268</v>
      </c>
      <c r="Q351" s="20" t="e">
        <f>#REF!-N351</f>
        <v>#REF!</v>
      </c>
      <c r="R351" s="20" t="e">
        <f>#REF!-O351</f>
        <v>#REF!</v>
      </c>
      <c r="S351" s="17" t="str">
        <f t="shared" si="63"/>
        <v>98 0 00 00000000</v>
      </c>
    </row>
    <row r="352" spans="1:19" s="29" customFormat="1" ht="15.75">
      <c r="A352" s="28"/>
      <c r="B352" s="307" t="s">
        <v>89</v>
      </c>
      <c r="C352" s="109" t="s">
        <v>256</v>
      </c>
      <c r="D352" s="108" t="s">
        <v>11</v>
      </c>
      <c r="E352" s="108" t="s">
        <v>51</v>
      </c>
      <c r="F352" s="108" t="s">
        <v>90</v>
      </c>
      <c r="G352" s="108" t="s">
        <v>9</v>
      </c>
      <c r="H352" s="126">
        <f>H353</f>
        <v>0</v>
      </c>
      <c r="I352" s="108">
        <v>9810000000</v>
      </c>
      <c r="J352" s="108" t="str">
        <f t="shared" si="68"/>
        <v>9810000000</v>
      </c>
      <c r="K352" s="132"/>
      <c r="L352" s="17"/>
      <c r="M352" s="20">
        <v>268</v>
      </c>
      <c r="N352" s="20">
        <v>0</v>
      </c>
      <c r="O352" s="20">
        <v>0</v>
      </c>
      <c r="P352" s="20">
        <f>H352-M352</f>
        <v>-268</v>
      </c>
      <c r="Q352" s="20" t="e">
        <f>#REF!-N352</f>
        <v>#REF!</v>
      </c>
      <c r="R352" s="20" t="e">
        <f>#REF!-O352</f>
        <v>#REF!</v>
      </c>
      <c r="S352" s="17" t="str">
        <f t="shared" si="63"/>
        <v>98 1 00 00000000</v>
      </c>
    </row>
    <row r="353" spans="1:19" s="29" customFormat="1" ht="31.5">
      <c r="A353" s="28"/>
      <c r="B353" s="307" t="s">
        <v>282</v>
      </c>
      <c r="C353" s="109" t="s">
        <v>256</v>
      </c>
      <c r="D353" s="108" t="s">
        <v>11</v>
      </c>
      <c r="E353" s="108" t="s">
        <v>51</v>
      </c>
      <c r="F353" s="108" t="s">
        <v>283</v>
      </c>
      <c r="G353" s="108" t="s">
        <v>9</v>
      </c>
      <c r="H353" s="126">
        <f>H354</f>
        <v>0</v>
      </c>
      <c r="I353" s="108">
        <v>9810021350</v>
      </c>
      <c r="J353" s="108" t="str">
        <f t="shared" si="68"/>
        <v>9810021350</v>
      </c>
      <c r="K353" s="132"/>
      <c r="L353" s="17"/>
      <c r="M353" s="20">
        <v>268</v>
      </c>
      <c r="N353" s="20">
        <v>0</v>
      </c>
      <c r="O353" s="20">
        <v>0</v>
      </c>
      <c r="P353" s="20">
        <f>H353-M353</f>
        <v>-268</v>
      </c>
      <c r="Q353" s="20" t="e">
        <f>#REF!-N353</f>
        <v>#REF!</v>
      </c>
      <c r="R353" s="20" t="e">
        <f>#REF!-O353</f>
        <v>#REF!</v>
      </c>
      <c r="S353" s="17" t="str">
        <f t="shared" si="63"/>
        <v>98 1 00 21350000</v>
      </c>
    </row>
    <row r="354" spans="1:19" s="29" customFormat="1" ht="15.75">
      <c r="A354" s="28"/>
      <c r="B354" s="307" t="s">
        <v>189</v>
      </c>
      <c r="C354" s="109" t="s">
        <v>256</v>
      </c>
      <c r="D354" s="108" t="s">
        <v>11</v>
      </c>
      <c r="E354" s="108" t="s">
        <v>51</v>
      </c>
      <c r="F354" s="108" t="s">
        <v>283</v>
      </c>
      <c r="G354" s="108" t="s">
        <v>190</v>
      </c>
      <c r="H354" s="126">
        <f>H355</f>
        <v>0</v>
      </c>
      <c r="I354" s="108">
        <v>9810021350</v>
      </c>
      <c r="J354" s="108" t="str">
        <f t="shared" si="68"/>
        <v>9810021350</v>
      </c>
      <c r="K354" s="132"/>
      <c r="L354" s="17"/>
      <c r="M354" s="20">
        <v>268</v>
      </c>
      <c r="N354" s="20">
        <v>0</v>
      </c>
      <c r="O354" s="20">
        <v>0</v>
      </c>
      <c r="P354" s="20">
        <f>H354-M354</f>
        <v>-268</v>
      </c>
      <c r="Q354" s="20" t="e">
        <f>#REF!-N354</f>
        <v>#REF!</v>
      </c>
      <c r="R354" s="20" t="e">
        <f>#REF!-O354</f>
        <v>#REF!</v>
      </c>
      <c r="S354" s="17" t="str">
        <f t="shared" si="63"/>
        <v>98 1 00 21350830</v>
      </c>
    </row>
    <row r="355" spans="1:19" s="29" customFormat="1" ht="47.25">
      <c r="A355" s="28"/>
      <c r="B355" s="307" t="s">
        <v>191</v>
      </c>
      <c r="C355" s="109" t="s">
        <v>256</v>
      </c>
      <c r="D355" s="108" t="s">
        <v>11</v>
      </c>
      <c r="E355" s="108" t="s">
        <v>51</v>
      </c>
      <c r="F355" s="108" t="s">
        <v>283</v>
      </c>
      <c r="G355" s="108" t="s">
        <v>192</v>
      </c>
      <c r="H355" s="126"/>
      <c r="I355" s="108">
        <v>9810021350</v>
      </c>
      <c r="J355" s="108" t="str">
        <f t="shared" si="68"/>
        <v>9810021350</v>
      </c>
      <c r="K355" s="304" t="str">
        <f>C355&amp;D355&amp;E355&amp;J355&amp;G355</f>
        <v>60201139810021350831</v>
      </c>
      <c r="L355" s="296"/>
      <c r="M355" s="20"/>
      <c r="N355" s="20"/>
      <c r="O355" s="20"/>
      <c r="P355" s="20"/>
      <c r="Q355" s="20"/>
      <c r="R355" s="20"/>
      <c r="S355" s="17"/>
    </row>
    <row r="356" spans="1:19" s="29" customFormat="1" ht="15.75">
      <c r="A356" s="28"/>
      <c r="B356" s="117" t="s">
        <v>195</v>
      </c>
      <c r="C356" s="118" t="s">
        <v>256</v>
      </c>
      <c r="D356" s="119" t="s">
        <v>73</v>
      </c>
      <c r="E356" s="119" t="s">
        <v>7</v>
      </c>
      <c r="F356" s="119" t="s">
        <v>8</v>
      </c>
      <c r="G356" s="119" t="s">
        <v>9</v>
      </c>
      <c r="H356" s="120">
        <f>H357</f>
        <v>0</v>
      </c>
      <c r="I356" s="119">
        <v>0</v>
      </c>
      <c r="J356" s="119" t="str">
        <f t="shared" si="68"/>
        <v>0000000000</v>
      </c>
      <c r="K356" s="132"/>
      <c r="L356" s="17"/>
      <c r="M356" s="18">
        <v>43269.74</v>
      </c>
      <c r="N356" s="18">
        <v>792</v>
      </c>
      <c r="O356" s="18">
        <v>792</v>
      </c>
      <c r="P356" s="18">
        <f t="shared" ref="P356:P362" si="70">H356-M356</f>
        <v>-43269.74</v>
      </c>
      <c r="Q356" s="18" t="e">
        <f>#REF!-N356</f>
        <v>#REF!</v>
      </c>
      <c r="R356" s="18" t="e">
        <f>#REF!-O356</f>
        <v>#REF!</v>
      </c>
      <c r="S356" s="17" t="str">
        <f t="shared" si="63"/>
        <v>00 0 00 00000000</v>
      </c>
    </row>
    <row r="357" spans="1:19" s="29" customFormat="1" ht="15.75">
      <c r="A357" s="28"/>
      <c r="B357" s="121" t="s">
        <v>284</v>
      </c>
      <c r="C357" s="122" t="s">
        <v>256</v>
      </c>
      <c r="D357" s="123" t="s">
        <v>73</v>
      </c>
      <c r="E357" s="123" t="s">
        <v>57</v>
      </c>
      <c r="F357" s="139" t="s">
        <v>8</v>
      </c>
      <c r="G357" s="139" t="s">
        <v>9</v>
      </c>
      <c r="H357" s="124">
        <f>H358+H370+H364</f>
        <v>0</v>
      </c>
      <c r="I357" s="139">
        <v>0</v>
      </c>
      <c r="J357" s="139" t="str">
        <f t="shared" si="68"/>
        <v>0000000000</v>
      </c>
      <c r="K357" s="132"/>
      <c r="L357" s="17"/>
      <c r="M357" s="19">
        <v>43269.74</v>
      </c>
      <c r="N357" s="19">
        <v>792</v>
      </c>
      <c r="O357" s="19">
        <v>792</v>
      </c>
      <c r="P357" s="19">
        <f t="shared" si="70"/>
        <v>-43269.74</v>
      </c>
      <c r="Q357" s="19" t="e">
        <f>#REF!-N357</f>
        <v>#REF!</v>
      </c>
      <c r="R357" s="19" t="e">
        <f>#REF!-O357</f>
        <v>#REF!</v>
      </c>
      <c r="S357" s="17" t="str">
        <f t="shared" si="63"/>
        <v>00 0 00 00000000</v>
      </c>
    </row>
    <row r="358" spans="1:19" s="29" customFormat="1" ht="63">
      <c r="A358" s="28"/>
      <c r="B358" s="135" t="s">
        <v>285</v>
      </c>
      <c r="C358" s="109" t="s">
        <v>256</v>
      </c>
      <c r="D358" s="108" t="s">
        <v>73</v>
      </c>
      <c r="E358" s="108" t="s">
        <v>57</v>
      </c>
      <c r="F358" s="108" t="s">
        <v>286</v>
      </c>
      <c r="G358" s="108" t="s">
        <v>9</v>
      </c>
      <c r="H358" s="126">
        <f t="shared" ref="H358:H360" si="71">H359</f>
        <v>0</v>
      </c>
      <c r="I358" s="108">
        <v>200000000</v>
      </c>
      <c r="J358" s="108" t="str">
        <f t="shared" si="68"/>
        <v>0200000000</v>
      </c>
      <c r="K358" s="132"/>
      <c r="L358" s="17"/>
      <c r="M358" s="20">
        <v>180</v>
      </c>
      <c r="N358" s="20">
        <v>180</v>
      </c>
      <c r="O358" s="20">
        <v>180</v>
      </c>
      <c r="P358" s="20">
        <f t="shared" si="70"/>
        <v>-180</v>
      </c>
      <c r="Q358" s="20" t="e">
        <f>#REF!-N358</f>
        <v>#REF!</v>
      </c>
      <c r="R358" s="20" t="e">
        <f>#REF!-O358</f>
        <v>#REF!</v>
      </c>
      <c r="S358" s="17" t="str">
        <f t="shared" si="63"/>
        <v>02 0 00 00000000</v>
      </c>
    </row>
    <row r="359" spans="1:19" s="29" customFormat="1" ht="78.75">
      <c r="A359" s="28"/>
      <c r="B359" s="125" t="s">
        <v>287</v>
      </c>
      <c r="C359" s="109" t="s">
        <v>256</v>
      </c>
      <c r="D359" s="108" t="s">
        <v>73</v>
      </c>
      <c r="E359" s="108" t="s">
        <v>57</v>
      </c>
      <c r="F359" s="108" t="s">
        <v>288</v>
      </c>
      <c r="G359" s="108" t="s">
        <v>9</v>
      </c>
      <c r="H359" s="126">
        <f t="shared" si="71"/>
        <v>0</v>
      </c>
      <c r="I359" s="108" t="s">
        <v>1182</v>
      </c>
      <c r="J359" s="108" t="str">
        <f t="shared" si="68"/>
        <v>02Б0000000</v>
      </c>
      <c r="K359" s="132"/>
      <c r="L359" s="17"/>
      <c r="M359" s="20">
        <v>180</v>
      </c>
      <c r="N359" s="20">
        <v>180</v>
      </c>
      <c r="O359" s="20">
        <v>180</v>
      </c>
      <c r="P359" s="20">
        <f t="shared" si="70"/>
        <v>-180</v>
      </c>
      <c r="Q359" s="20" t="e">
        <f>#REF!-N359</f>
        <v>#REF!</v>
      </c>
      <c r="R359" s="20" t="e">
        <f>#REF!-O359</f>
        <v>#REF!</v>
      </c>
      <c r="S359" s="17" t="str">
        <f t="shared" si="63"/>
        <v>02 Б 00 00000000</v>
      </c>
    </row>
    <row r="360" spans="1:19" s="29" customFormat="1" ht="78.75">
      <c r="A360" s="28"/>
      <c r="B360" s="125" t="s">
        <v>289</v>
      </c>
      <c r="C360" s="109" t="s">
        <v>256</v>
      </c>
      <c r="D360" s="108" t="s">
        <v>73</v>
      </c>
      <c r="E360" s="108" t="s">
        <v>57</v>
      </c>
      <c r="F360" s="108" t="s">
        <v>290</v>
      </c>
      <c r="G360" s="108" t="s">
        <v>9</v>
      </c>
      <c r="H360" s="126">
        <f t="shared" si="71"/>
        <v>0</v>
      </c>
      <c r="I360" s="108" t="s">
        <v>1183</v>
      </c>
      <c r="J360" s="108" t="str">
        <f t="shared" si="68"/>
        <v>02Б0100000</v>
      </c>
      <c r="K360" s="132"/>
      <c r="L360" s="17"/>
      <c r="M360" s="20">
        <v>180</v>
      </c>
      <c r="N360" s="20">
        <v>180</v>
      </c>
      <c r="O360" s="20">
        <v>180</v>
      </c>
      <c r="P360" s="20">
        <f t="shared" si="70"/>
        <v>-180</v>
      </c>
      <c r="Q360" s="20" t="e">
        <f>#REF!-N360</f>
        <v>#REF!</v>
      </c>
      <c r="R360" s="20" t="e">
        <f>#REF!-O360</f>
        <v>#REF!</v>
      </c>
      <c r="S360" s="17" t="str">
        <f t="shared" si="63"/>
        <v>02 Б 01 00000000</v>
      </c>
    </row>
    <row r="361" spans="1:19" s="29" customFormat="1" ht="78.75">
      <c r="A361" s="28"/>
      <c r="B361" s="125" t="s">
        <v>291</v>
      </c>
      <c r="C361" s="109" t="s">
        <v>256</v>
      </c>
      <c r="D361" s="108" t="s">
        <v>73</v>
      </c>
      <c r="E361" s="108" t="s">
        <v>57</v>
      </c>
      <c r="F361" s="108" t="s">
        <v>292</v>
      </c>
      <c r="G361" s="108" t="s">
        <v>9</v>
      </c>
      <c r="H361" s="126">
        <f>H362</f>
        <v>0</v>
      </c>
      <c r="I361" s="108" t="s">
        <v>1184</v>
      </c>
      <c r="J361" s="108" t="str">
        <f t="shared" si="68"/>
        <v>02Б0120160</v>
      </c>
      <c r="K361" s="132"/>
      <c r="L361" s="17"/>
      <c r="M361" s="20">
        <v>180</v>
      </c>
      <c r="N361" s="20">
        <v>180</v>
      </c>
      <c r="O361" s="20">
        <v>180</v>
      </c>
      <c r="P361" s="20">
        <f t="shared" si="70"/>
        <v>-180</v>
      </c>
      <c r="Q361" s="20" t="e">
        <f>#REF!-N361</f>
        <v>#REF!</v>
      </c>
      <c r="R361" s="20" t="e">
        <f>#REF!-O361</f>
        <v>#REF!</v>
      </c>
      <c r="S361" s="17" t="str">
        <f t="shared" si="63"/>
        <v>02 Б 01 20160000</v>
      </c>
    </row>
    <row r="362" spans="1:19" s="29" customFormat="1" ht="31.5">
      <c r="A362" s="28"/>
      <c r="B362" s="125" t="s">
        <v>28</v>
      </c>
      <c r="C362" s="109" t="s">
        <v>256</v>
      </c>
      <c r="D362" s="108" t="s">
        <v>73</v>
      </c>
      <c r="E362" s="108" t="s">
        <v>57</v>
      </c>
      <c r="F362" s="108" t="s">
        <v>292</v>
      </c>
      <c r="G362" s="108" t="s">
        <v>29</v>
      </c>
      <c r="H362" s="126">
        <f>H363</f>
        <v>0</v>
      </c>
      <c r="I362" s="108" t="s">
        <v>1184</v>
      </c>
      <c r="J362" s="108" t="str">
        <f t="shared" si="68"/>
        <v>02Б0120160</v>
      </c>
      <c r="K362" s="132"/>
      <c r="L362" s="17"/>
      <c r="M362" s="20">
        <v>180</v>
      </c>
      <c r="N362" s="20">
        <v>180</v>
      </c>
      <c r="O362" s="20">
        <v>180</v>
      </c>
      <c r="P362" s="20">
        <f t="shared" si="70"/>
        <v>-180</v>
      </c>
      <c r="Q362" s="20" t="e">
        <f>#REF!-N362</f>
        <v>#REF!</v>
      </c>
      <c r="R362" s="20" t="e">
        <f>#REF!-O362</f>
        <v>#REF!</v>
      </c>
      <c r="S362" s="17" t="str">
        <f t="shared" si="63"/>
        <v>02 Б 01 20160240</v>
      </c>
    </row>
    <row r="363" spans="1:19" s="29" customFormat="1" ht="15.75">
      <c r="A363" s="28"/>
      <c r="B363" s="125" t="s">
        <v>30</v>
      </c>
      <c r="C363" s="109" t="s">
        <v>256</v>
      </c>
      <c r="D363" s="108" t="s">
        <v>73</v>
      </c>
      <c r="E363" s="108" t="s">
        <v>57</v>
      </c>
      <c r="F363" s="108" t="s">
        <v>292</v>
      </c>
      <c r="G363" s="108" t="s">
        <v>31</v>
      </c>
      <c r="H363" s="126"/>
      <c r="I363" s="108" t="s">
        <v>1184</v>
      </c>
      <c r="J363" s="108" t="str">
        <f t="shared" si="68"/>
        <v>02Б0120160</v>
      </c>
      <c r="K363" s="304" t="str">
        <f>C363&amp;D363&amp;E363&amp;J363&amp;G363</f>
        <v>602041202Б0120160244</v>
      </c>
      <c r="L363" s="296"/>
      <c r="M363" s="20"/>
      <c r="N363" s="20"/>
      <c r="O363" s="20"/>
      <c r="P363" s="20"/>
      <c r="Q363" s="20"/>
      <c r="R363" s="20"/>
      <c r="S363" s="17" t="str">
        <f t="shared" si="63"/>
        <v>02 Б 01 20160244</v>
      </c>
    </row>
    <row r="364" spans="1:19" s="29" customFormat="1" ht="63">
      <c r="A364" s="28"/>
      <c r="B364" s="127" t="s">
        <v>293</v>
      </c>
      <c r="C364" s="109" t="s">
        <v>256</v>
      </c>
      <c r="D364" s="108" t="s">
        <v>73</v>
      </c>
      <c r="E364" s="108" t="s">
        <v>57</v>
      </c>
      <c r="F364" s="108" t="s">
        <v>294</v>
      </c>
      <c r="G364" s="108" t="s">
        <v>9</v>
      </c>
      <c r="H364" s="126">
        <f t="shared" ref="H364:H367" si="72">H365</f>
        <v>0</v>
      </c>
      <c r="I364" s="108">
        <v>400000000</v>
      </c>
      <c r="J364" s="108" t="str">
        <f t="shared" si="68"/>
        <v>0400000000</v>
      </c>
      <c r="K364" s="132"/>
      <c r="L364" s="17"/>
      <c r="M364" s="20">
        <v>42477.74</v>
      </c>
      <c r="N364" s="20">
        <v>0</v>
      </c>
      <c r="O364" s="20">
        <v>0</v>
      </c>
      <c r="P364" s="20">
        <f>H364-M364</f>
        <v>-42477.74</v>
      </c>
      <c r="Q364" s="20" t="e">
        <f>#REF!-N364</f>
        <v>#REF!</v>
      </c>
      <c r="R364" s="20" t="e">
        <f>#REF!-O364</f>
        <v>#REF!</v>
      </c>
      <c r="S364" s="17" t="str">
        <f t="shared" si="63"/>
        <v>04 0 00 00000000</v>
      </c>
    </row>
    <row r="365" spans="1:19" s="29" customFormat="1" ht="63">
      <c r="A365" s="28"/>
      <c r="B365" s="140" t="s">
        <v>295</v>
      </c>
      <c r="C365" s="109" t="s">
        <v>256</v>
      </c>
      <c r="D365" s="108" t="s">
        <v>73</v>
      </c>
      <c r="E365" s="108" t="s">
        <v>57</v>
      </c>
      <c r="F365" s="108" t="s">
        <v>296</v>
      </c>
      <c r="G365" s="108" t="s">
        <v>9</v>
      </c>
      <c r="H365" s="126">
        <f t="shared" si="72"/>
        <v>0</v>
      </c>
      <c r="I365" s="108">
        <v>420000000</v>
      </c>
      <c r="J365" s="108" t="str">
        <f t="shared" si="68"/>
        <v>0420000000</v>
      </c>
      <c r="K365" s="132"/>
      <c r="L365" s="17"/>
      <c r="M365" s="20">
        <v>42477.74</v>
      </c>
      <c r="N365" s="20">
        <v>0</v>
      </c>
      <c r="O365" s="20">
        <v>0</v>
      </c>
      <c r="P365" s="20">
        <f>H365-M365</f>
        <v>-42477.74</v>
      </c>
      <c r="Q365" s="20" t="e">
        <f>#REF!-N365</f>
        <v>#REF!</v>
      </c>
      <c r="R365" s="20" t="e">
        <f>#REF!-O365</f>
        <v>#REF!</v>
      </c>
      <c r="S365" s="17" t="str">
        <f t="shared" si="63"/>
        <v>04 2 00 00000000</v>
      </c>
    </row>
    <row r="366" spans="1:19" s="29" customFormat="1" ht="63">
      <c r="A366" s="28"/>
      <c r="B366" s="125" t="s">
        <v>297</v>
      </c>
      <c r="C366" s="109" t="s">
        <v>256</v>
      </c>
      <c r="D366" s="108" t="s">
        <v>73</v>
      </c>
      <c r="E366" s="108" t="s">
        <v>57</v>
      </c>
      <c r="F366" s="108" t="s">
        <v>298</v>
      </c>
      <c r="G366" s="108" t="s">
        <v>9</v>
      </c>
      <c r="H366" s="126">
        <f t="shared" si="72"/>
        <v>0</v>
      </c>
      <c r="I366" s="108">
        <v>420200000</v>
      </c>
      <c r="J366" s="108" t="str">
        <f t="shared" si="68"/>
        <v>0420200000</v>
      </c>
      <c r="K366" s="132"/>
      <c r="L366" s="17"/>
      <c r="M366" s="20">
        <v>42477.74</v>
      </c>
      <c r="N366" s="20">
        <v>0</v>
      </c>
      <c r="O366" s="20">
        <v>0</v>
      </c>
      <c r="P366" s="20">
        <f>H366-M366</f>
        <v>-42477.74</v>
      </c>
      <c r="Q366" s="20" t="e">
        <f>#REF!-N366</f>
        <v>#REF!</v>
      </c>
      <c r="R366" s="20" t="e">
        <f>#REF!-O366</f>
        <v>#REF!</v>
      </c>
      <c r="S366" s="17" t="str">
        <f t="shared" si="63"/>
        <v>04 2 02 00000000</v>
      </c>
    </row>
    <row r="367" spans="1:19" s="29" customFormat="1" ht="15.75">
      <c r="A367" s="28"/>
      <c r="B367" s="125" t="s">
        <v>299</v>
      </c>
      <c r="C367" s="109" t="s">
        <v>256</v>
      </c>
      <c r="D367" s="108" t="s">
        <v>73</v>
      </c>
      <c r="E367" s="108" t="s">
        <v>57</v>
      </c>
      <c r="F367" s="108" t="s">
        <v>300</v>
      </c>
      <c r="G367" s="108" t="s">
        <v>9</v>
      </c>
      <c r="H367" s="126">
        <f t="shared" si="72"/>
        <v>0</v>
      </c>
      <c r="I367" s="108">
        <v>420221470</v>
      </c>
      <c r="J367" s="108" t="str">
        <f t="shared" si="68"/>
        <v>0420221470</v>
      </c>
      <c r="K367" s="132"/>
      <c r="L367" s="17"/>
      <c r="M367" s="20">
        <v>42477.74</v>
      </c>
      <c r="N367" s="20">
        <v>0</v>
      </c>
      <c r="O367" s="20">
        <v>0</v>
      </c>
      <c r="P367" s="20">
        <f>H367-M367</f>
        <v>-42477.74</v>
      </c>
      <c r="Q367" s="20" t="e">
        <f>#REF!-N367</f>
        <v>#REF!</v>
      </c>
      <c r="R367" s="20" t="e">
        <f>#REF!-O367</f>
        <v>#REF!</v>
      </c>
      <c r="S367" s="17" t="str">
        <f t="shared" si="63"/>
        <v>04 2 02 21470000</v>
      </c>
    </row>
    <row r="368" spans="1:19" s="29" customFormat="1" ht="31.5">
      <c r="A368" s="28"/>
      <c r="B368" s="125" t="s">
        <v>28</v>
      </c>
      <c r="C368" s="109" t="s">
        <v>256</v>
      </c>
      <c r="D368" s="108" t="s">
        <v>73</v>
      </c>
      <c r="E368" s="108" t="s">
        <v>57</v>
      </c>
      <c r="F368" s="108" t="s">
        <v>300</v>
      </c>
      <c r="G368" s="108" t="s">
        <v>29</v>
      </c>
      <c r="H368" s="126">
        <f>H369</f>
        <v>0</v>
      </c>
      <c r="I368" s="108">
        <v>420221470</v>
      </c>
      <c r="J368" s="108" t="str">
        <f t="shared" si="68"/>
        <v>0420221470</v>
      </c>
      <c r="K368" s="132"/>
      <c r="L368" s="17"/>
      <c r="M368" s="20">
        <v>42477.74</v>
      </c>
      <c r="N368" s="20">
        <v>0</v>
      </c>
      <c r="O368" s="20">
        <v>0</v>
      </c>
      <c r="P368" s="20">
        <f>H368-M368</f>
        <v>-42477.74</v>
      </c>
      <c r="Q368" s="20" t="e">
        <f>#REF!-N368</f>
        <v>#REF!</v>
      </c>
      <c r="R368" s="20" t="e">
        <f>#REF!-O368</f>
        <v>#REF!</v>
      </c>
      <c r="S368" s="17" t="str">
        <f t="shared" si="63"/>
        <v>04 2 02 21470240</v>
      </c>
    </row>
    <row r="369" spans="1:19" s="29" customFormat="1" ht="15.75">
      <c r="A369" s="28"/>
      <c r="B369" s="125" t="s">
        <v>30</v>
      </c>
      <c r="C369" s="109" t="s">
        <v>256</v>
      </c>
      <c r="D369" s="108" t="s">
        <v>73</v>
      </c>
      <c r="E369" s="108" t="s">
        <v>57</v>
      </c>
      <c r="F369" s="108" t="s">
        <v>300</v>
      </c>
      <c r="G369" s="108" t="s">
        <v>31</v>
      </c>
      <c r="H369" s="126"/>
      <c r="I369" s="108">
        <v>420221470</v>
      </c>
      <c r="J369" s="108" t="str">
        <f t="shared" si="68"/>
        <v>0420221470</v>
      </c>
      <c r="K369" s="304" t="str">
        <f>C369&amp;D369&amp;E369&amp;J369&amp;G369</f>
        <v>60204120420221470244</v>
      </c>
      <c r="L369" s="296"/>
      <c r="M369" s="20"/>
      <c r="N369" s="20"/>
      <c r="O369" s="20"/>
      <c r="P369" s="20"/>
      <c r="Q369" s="20"/>
      <c r="R369" s="20"/>
      <c r="S369" s="17" t="str">
        <f t="shared" si="63"/>
        <v>04 2 02 21470244</v>
      </c>
    </row>
    <row r="370" spans="1:19" s="29" customFormat="1" ht="63">
      <c r="A370" s="28"/>
      <c r="B370" s="132" t="s">
        <v>257</v>
      </c>
      <c r="C370" s="109" t="s">
        <v>256</v>
      </c>
      <c r="D370" s="108" t="s">
        <v>73</v>
      </c>
      <c r="E370" s="108" t="s">
        <v>57</v>
      </c>
      <c r="F370" s="108" t="s">
        <v>258</v>
      </c>
      <c r="G370" s="108" t="s">
        <v>9</v>
      </c>
      <c r="H370" s="126">
        <f t="shared" ref="H370:H371" si="73">H371</f>
        <v>0</v>
      </c>
      <c r="I370" s="108">
        <v>1100000000</v>
      </c>
      <c r="J370" s="108" t="str">
        <f t="shared" si="68"/>
        <v>1100000000</v>
      </c>
      <c r="K370" s="132"/>
      <c r="L370" s="17"/>
      <c r="M370" s="20">
        <v>612</v>
      </c>
      <c r="N370" s="20">
        <v>612</v>
      </c>
      <c r="O370" s="20">
        <v>612</v>
      </c>
      <c r="P370" s="20">
        <f>H370-M370</f>
        <v>-612</v>
      </c>
      <c r="Q370" s="20" t="e">
        <f>#REF!-N370</f>
        <v>#REF!</v>
      </c>
      <c r="R370" s="20" t="e">
        <f>#REF!-O370</f>
        <v>#REF!</v>
      </c>
      <c r="S370" s="17" t="str">
        <f t="shared" si="63"/>
        <v>11 0 00 00000000</v>
      </c>
    </row>
    <row r="371" spans="1:19" s="29" customFormat="1" ht="63">
      <c r="A371" s="28"/>
      <c r="B371" s="132" t="s">
        <v>259</v>
      </c>
      <c r="C371" s="109" t="s">
        <v>256</v>
      </c>
      <c r="D371" s="108" t="s">
        <v>73</v>
      </c>
      <c r="E371" s="108" t="s">
        <v>57</v>
      </c>
      <c r="F371" s="108" t="s">
        <v>260</v>
      </c>
      <c r="G371" s="108" t="s">
        <v>9</v>
      </c>
      <c r="H371" s="126">
        <f t="shared" si="73"/>
        <v>0</v>
      </c>
      <c r="I371" s="108" t="s">
        <v>1171</v>
      </c>
      <c r="J371" s="108" t="str">
        <f t="shared" si="68"/>
        <v>11Б0000000</v>
      </c>
      <c r="K371" s="132"/>
      <c r="L371" s="17"/>
      <c r="M371" s="20">
        <v>612</v>
      </c>
      <c r="N371" s="20">
        <v>612</v>
      </c>
      <c r="O371" s="20">
        <v>612</v>
      </c>
      <c r="P371" s="20">
        <f>H371-M371</f>
        <v>-612</v>
      </c>
      <c r="Q371" s="20" t="e">
        <f>#REF!-N371</f>
        <v>#REF!</v>
      </c>
      <c r="R371" s="20" t="e">
        <f>#REF!-O371</f>
        <v>#REF!</v>
      </c>
      <c r="S371" s="17" t="str">
        <f t="shared" si="63"/>
        <v>11 Б 00 00000000</v>
      </c>
    </row>
    <row r="372" spans="1:19" s="29" customFormat="1" ht="47.25">
      <c r="A372" s="28"/>
      <c r="B372" s="125" t="s">
        <v>301</v>
      </c>
      <c r="C372" s="109" t="s">
        <v>256</v>
      </c>
      <c r="D372" s="108" t="s">
        <v>73</v>
      </c>
      <c r="E372" s="108" t="s">
        <v>57</v>
      </c>
      <c r="F372" s="108" t="s">
        <v>302</v>
      </c>
      <c r="G372" s="108" t="s">
        <v>9</v>
      </c>
      <c r="H372" s="126">
        <f>H373</f>
        <v>0</v>
      </c>
      <c r="I372" s="108" t="s">
        <v>1185</v>
      </c>
      <c r="J372" s="108" t="str">
        <f t="shared" si="68"/>
        <v>11Б0200000</v>
      </c>
      <c r="K372" s="132"/>
      <c r="L372" s="17"/>
      <c r="M372" s="20">
        <v>612</v>
      </c>
      <c r="N372" s="20">
        <v>612</v>
      </c>
      <c r="O372" s="20">
        <v>612</v>
      </c>
      <c r="P372" s="20">
        <f>H372-M372</f>
        <v>-612</v>
      </c>
      <c r="Q372" s="20" t="e">
        <f>#REF!-N372</f>
        <v>#REF!</v>
      </c>
      <c r="R372" s="20" t="e">
        <f>#REF!-O372</f>
        <v>#REF!</v>
      </c>
      <c r="S372" s="17" t="str">
        <f t="shared" si="63"/>
        <v>11 Б 02 00000000</v>
      </c>
    </row>
    <row r="373" spans="1:19" s="29" customFormat="1" ht="63">
      <c r="A373" s="28"/>
      <c r="B373" s="125" t="s">
        <v>303</v>
      </c>
      <c r="C373" s="109" t="s">
        <v>256</v>
      </c>
      <c r="D373" s="108" t="s">
        <v>73</v>
      </c>
      <c r="E373" s="108" t="s">
        <v>57</v>
      </c>
      <c r="F373" s="108" t="s">
        <v>304</v>
      </c>
      <c r="G373" s="108" t="s">
        <v>9</v>
      </c>
      <c r="H373" s="126">
        <f>H374</f>
        <v>0</v>
      </c>
      <c r="I373" s="108" t="s">
        <v>1186</v>
      </c>
      <c r="J373" s="108" t="str">
        <f t="shared" si="68"/>
        <v>11Б0220180</v>
      </c>
      <c r="K373" s="132"/>
      <c r="L373" s="17"/>
      <c r="M373" s="20">
        <v>612</v>
      </c>
      <c r="N373" s="20">
        <v>612</v>
      </c>
      <c r="O373" s="20">
        <v>612</v>
      </c>
      <c r="P373" s="20">
        <f>H373-M373</f>
        <v>-612</v>
      </c>
      <c r="Q373" s="20" t="e">
        <f>#REF!-N373</f>
        <v>#REF!</v>
      </c>
      <c r="R373" s="20" t="e">
        <f>#REF!-O373</f>
        <v>#REF!</v>
      </c>
      <c r="S373" s="17" t="str">
        <f t="shared" si="63"/>
        <v>11 Б 02 20180000</v>
      </c>
    </row>
    <row r="374" spans="1:19" s="29" customFormat="1" ht="31.5">
      <c r="A374" s="28"/>
      <c r="B374" s="125" t="s">
        <v>28</v>
      </c>
      <c r="C374" s="109" t="s">
        <v>256</v>
      </c>
      <c r="D374" s="108" t="s">
        <v>73</v>
      </c>
      <c r="E374" s="108" t="s">
        <v>57</v>
      </c>
      <c r="F374" s="108" t="s">
        <v>304</v>
      </c>
      <c r="G374" s="108" t="s">
        <v>29</v>
      </c>
      <c r="H374" s="126">
        <f>H375</f>
        <v>0</v>
      </c>
      <c r="I374" s="108" t="s">
        <v>1186</v>
      </c>
      <c r="J374" s="108" t="str">
        <f t="shared" si="68"/>
        <v>11Б0220180</v>
      </c>
      <c r="K374" s="132"/>
      <c r="L374" s="17"/>
      <c r="M374" s="20">
        <v>612</v>
      </c>
      <c r="N374" s="20">
        <v>612</v>
      </c>
      <c r="O374" s="20">
        <v>612</v>
      </c>
      <c r="P374" s="20">
        <f>H374-M374</f>
        <v>-612</v>
      </c>
      <c r="Q374" s="20" t="e">
        <f>#REF!-N374</f>
        <v>#REF!</v>
      </c>
      <c r="R374" s="20" t="e">
        <f>#REF!-O374</f>
        <v>#REF!</v>
      </c>
      <c r="S374" s="17" t="str">
        <f t="shared" si="63"/>
        <v>11 Б 02 20180240</v>
      </c>
    </row>
    <row r="375" spans="1:19" s="29" customFormat="1" ht="15.75">
      <c r="A375" s="28"/>
      <c r="B375" s="125" t="s">
        <v>30</v>
      </c>
      <c r="C375" s="109" t="s">
        <v>256</v>
      </c>
      <c r="D375" s="108" t="s">
        <v>73</v>
      </c>
      <c r="E375" s="108" t="s">
        <v>57</v>
      </c>
      <c r="F375" s="108" t="s">
        <v>304</v>
      </c>
      <c r="G375" s="108" t="s">
        <v>31</v>
      </c>
      <c r="H375" s="126"/>
      <c r="I375" s="108" t="s">
        <v>1186</v>
      </c>
      <c r="J375" s="108" t="str">
        <f t="shared" si="68"/>
        <v>11Б0220180</v>
      </c>
      <c r="K375" s="304" t="str">
        <f>C375&amp;D375&amp;E375&amp;J375&amp;G375</f>
        <v>602041211Б0220180244</v>
      </c>
      <c r="L375" s="296"/>
      <c r="M375" s="20"/>
      <c r="N375" s="20"/>
      <c r="O375" s="20"/>
      <c r="P375" s="20"/>
      <c r="Q375" s="20"/>
      <c r="R375" s="20"/>
      <c r="S375" s="17" t="str">
        <f t="shared" si="63"/>
        <v>11 Б 02 20180244</v>
      </c>
    </row>
    <row r="376" spans="1:19" s="16" customFormat="1" ht="15.75">
      <c r="A376" s="14"/>
      <c r="B376" s="117" t="s">
        <v>305</v>
      </c>
      <c r="C376" s="118" t="s">
        <v>256</v>
      </c>
      <c r="D376" s="119" t="s">
        <v>86</v>
      </c>
      <c r="E376" s="119" t="s">
        <v>7</v>
      </c>
      <c r="F376" s="119" t="s">
        <v>8</v>
      </c>
      <c r="G376" s="119" t="s">
        <v>9</v>
      </c>
      <c r="H376" s="120">
        <f>H390+H383+H377</f>
        <v>0</v>
      </c>
      <c r="I376" s="119">
        <v>0</v>
      </c>
      <c r="J376" s="119" t="str">
        <f t="shared" si="68"/>
        <v>0000000000</v>
      </c>
      <c r="K376" s="132"/>
      <c r="L376" s="17"/>
      <c r="M376" s="18">
        <v>9280.8700000000008</v>
      </c>
      <c r="N376" s="18">
        <v>0</v>
      </c>
      <c r="O376" s="18">
        <v>0</v>
      </c>
      <c r="P376" s="20">
        <f t="shared" ref="P376:P388" si="74">H376-M376</f>
        <v>-9280.8700000000008</v>
      </c>
      <c r="Q376" s="20" t="e">
        <f>#REF!-N376</f>
        <v>#REF!</v>
      </c>
      <c r="R376" s="20" t="e">
        <f>#REF!-O376</f>
        <v>#REF!</v>
      </c>
      <c r="S376" s="17" t="str">
        <f t="shared" si="63"/>
        <v>00 0 00 00000000</v>
      </c>
    </row>
    <row r="377" spans="1:19" s="16" customFormat="1" ht="15.75">
      <c r="A377" s="14"/>
      <c r="B377" s="121" t="s">
        <v>765</v>
      </c>
      <c r="C377" s="122" t="s">
        <v>256</v>
      </c>
      <c r="D377" s="123" t="s">
        <v>86</v>
      </c>
      <c r="E377" s="123" t="s">
        <v>11</v>
      </c>
      <c r="F377" s="123" t="s">
        <v>8</v>
      </c>
      <c r="G377" s="123" t="s">
        <v>9</v>
      </c>
      <c r="H377" s="124">
        <f t="shared" ref="H377:H381" si="75">H378</f>
        <v>0</v>
      </c>
      <c r="I377" s="123">
        <v>0</v>
      </c>
      <c r="J377" s="123" t="str">
        <f t="shared" si="68"/>
        <v>0000000000</v>
      </c>
      <c r="K377" s="132"/>
      <c r="L377" s="17"/>
      <c r="M377" s="18"/>
      <c r="N377" s="18"/>
      <c r="O377" s="18"/>
      <c r="P377" s="20"/>
      <c r="Q377" s="20"/>
      <c r="R377" s="20"/>
      <c r="S377" s="17"/>
    </row>
    <row r="378" spans="1:19" s="16" customFormat="1" ht="63">
      <c r="A378" s="14"/>
      <c r="B378" s="125" t="s">
        <v>87</v>
      </c>
      <c r="C378" s="109" t="s">
        <v>256</v>
      </c>
      <c r="D378" s="108" t="s">
        <v>86</v>
      </c>
      <c r="E378" s="108" t="s">
        <v>11</v>
      </c>
      <c r="F378" s="108" t="s">
        <v>88</v>
      </c>
      <c r="G378" s="108" t="s">
        <v>9</v>
      </c>
      <c r="H378" s="126">
        <f t="shared" si="75"/>
        <v>0</v>
      </c>
      <c r="I378" s="108">
        <v>9800000000</v>
      </c>
      <c r="J378" s="108" t="str">
        <f t="shared" si="68"/>
        <v>9800000000</v>
      </c>
      <c r="K378" s="132"/>
      <c r="L378" s="17"/>
      <c r="M378" s="18"/>
      <c r="N378" s="18"/>
      <c r="O378" s="18"/>
      <c r="P378" s="20"/>
      <c r="Q378" s="20"/>
      <c r="R378" s="20"/>
      <c r="S378" s="17"/>
    </row>
    <row r="379" spans="1:19" s="16" customFormat="1" ht="63">
      <c r="A379" s="14"/>
      <c r="B379" s="125" t="s">
        <v>1108</v>
      </c>
      <c r="C379" s="108" t="s">
        <v>256</v>
      </c>
      <c r="D379" s="108" t="s">
        <v>86</v>
      </c>
      <c r="E379" s="108" t="s">
        <v>11</v>
      </c>
      <c r="F379" s="108" t="s">
        <v>1109</v>
      </c>
      <c r="G379" s="109" t="s">
        <v>9</v>
      </c>
      <c r="H379" s="141">
        <f t="shared" si="75"/>
        <v>0</v>
      </c>
      <c r="I379" s="108">
        <v>9820000000</v>
      </c>
      <c r="J379" s="108" t="str">
        <f t="shared" si="68"/>
        <v>9820000000</v>
      </c>
      <c r="K379" s="132"/>
      <c r="L379" s="17"/>
      <c r="M379" s="18"/>
      <c r="N379" s="18"/>
      <c r="O379" s="18"/>
      <c r="P379" s="20"/>
      <c r="Q379" s="20"/>
      <c r="R379" s="20"/>
      <c r="S379" s="17"/>
    </row>
    <row r="380" spans="1:19" s="16" customFormat="1" ht="31.5">
      <c r="A380" s="14"/>
      <c r="B380" s="125" t="s">
        <v>1110</v>
      </c>
      <c r="C380" s="109" t="s">
        <v>256</v>
      </c>
      <c r="D380" s="108" t="s">
        <v>86</v>
      </c>
      <c r="E380" s="108" t="s">
        <v>11</v>
      </c>
      <c r="F380" s="108" t="s">
        <v>1111</v>
      </c>
      <c r="G380" s="108" t="s">
        <v>9</v>
      </c>
      <c r="H380" s="126">
        <f t="shared" si="75"/>
        <v>0</v>
      </c>
      <c r="I380" s="108" t="s">
        <v>1187</v>
      </c>
      <c r="J380" s="108" t="str">
        <f t="shared" si="68"/>
        <v>98200S6910</v>
      </c>
      <c r="K380" s="132"/>
      <c r="L380" s="17"/>
      <c r="M380" s="18"/>
      <c r="N380" s="18"/>
      <c r="O380" s="18"/>
      <c r="P380" s="20"/>
      <c r="Q380" s="20"/>
      <c r="R380" s="20"/>
      <c r="S380" s="17"/>
    </row>
    <row r="381" spans="1:19" s="16" customFormat="1" ht="15.75">
      <c r="A381" s="14"/>
      <c r="B381" s="125" t="s">
        <v>937</v>
      </c>
      <c r="C381" s="109" t="s">
        <v>256</v>
      </c>
      <c r="D381" s="108" t="s">
        <v>86</v>
      </c>
      <c r="E381" s="108" t="s">
        <v>11</v>
      </c>
      <c r="F381" s="108" t="s">
        <v>1111</v>
      </c>
      <c r="G381" s="108" t="s">
        <v>838</v>
      </c>
      <c r="H381" s="126">
        <f t="shared" si="75"/>
        <v>0</v>
      </c>
      <c r="I381" s="108" t="s">
        <v>1187</v>
      </c>
      <c r="J381" s="108" t="str">
        <f t="shared" si="68"/>
        <v>98200S6910</v>
      </c>
      <c r="K381" s="132"/>
      <c r="L381" s="17"/>
      <c r="M381" s="18"/>
      <c r="N381" s="18"/>
      <c r="O381" s="18"/>
      <c r="P381" s="20"/>
      <c r="Q381" s="20"/>
      <c r="R381" s="20"/>
      <c r="S381" s="17"/>
    </row>
    <row r="382" spans="1:19" s="16" customFormat="1" ht="47.25">
      <c r="A382" s="14"/>
      <c r="B382" s="125" t="s">
        <v>1161</v>
      </c>
      <c r="C382" s="109" t="s">
        <v>256</v>
      </c>
      <c r="D382" s="108" t="s">
        <v>86</v>
      </c>
      <c r="E382" s="108" t="s">
        <v>11</v>
      </c>
      <c r="F382" s="108" t="s">
        <v>1111</v>
      </c>
      <c r="G382" s="108" t="s">
        <v>1162</v>
      </c>
      <c r="H382" s="126"/>
      <c r="I382" s="108" t="s">
        <v>1187</v>
      </c>
      <c r="J382" s="108" t="str">
        <f t="shared" si="68"/>
        <v>98200S6910</v>
      </c>
      <c r="K382" s="304" t="str">
        <f>C382&amp;D382&amp;E382&amp;J382&amp;G382</f>
        <v>602050198200S6910412</v>
      </c>
      <c r="L382" s="17"/>
      <c r="M382" s="18"/>
      <c r="N382" s="18"/>
      <c r="O382" s="18"/>
      <c r="P382" s="20"/>
      <c r="Q382" s="20"/>
      <c r="R382" s="20"/>
      <c r="S382" s="17"/>
    </row>
    <row r="383" spans="1:19" s="16" customFormat="1" ht="15.75">
      <c r="A383" s="14"/>
      <c r="B383" s="121" t="s">
        <v>306</v>
      </c>
      <c r="C383" s="122" t="s">
        <v>256</v>
      </c>
      <c r="D383" s="123" t="s">
        <v>86</v>
      </c>
      <c r="E383" s="123" t="s">
        <v>13</v>
      </c>
      <c r="F383" s="123" t="s">
        <v>8</v>
      </c>
      <c r="G383" s="123" t="s">
        <v>9</v>
      </c>
      <c r="H383" s="124">
        <f>H384</f>
        <v>0</v>
      </c>
      <c r="I383" s="123">
        <v>0</v>
      </c>
      <c r="J383" s="123" t="str">
        <f t="shared" si="68"/>
        <v>0000000000</v>
      </c>
      <c r="K383" s="132"/>
      <c r="L383" s="17"/>
      <c r="M383" s="19">
        <v>7522.26</v>
      </c>
      <c r="N383" s="19">
        <v>0</v>
      </c>
      <c r="O383" s="19">
        <v>0</v>
      </c>
      <c r="P383" s="19">
        <f t="shared" si="74"/>
        <v>-7522.26</v>
      </c>
      <c r="Q383" s="19" t="e">
        <f>#REF!-N383</f>
        <v>#REF!</v>
      </c>
      <c r="R383" s="19" t="e">
        <f>#REF!-O383</f>
        <v>#REF!</v>
      </c>
      <c r="S383" s="17" t="str">
        <f t="shared" si="63"/>
        <v>00 0 00 00000000</v>
      </c>
    </row>
    <row r="384" spans="1:19" s="16" customFormat="1" ht="63">
      <c r="A384" s="14"/>
      <c r="B384" s="125" t="s">
        <v>293</v>
      </c>
      <c r="C384" s="108" t="s">
        <v>256</v>
      </c>
      <c r="D384" s="108" t="s">
        <v>86</v>
      </c>
      <c r="E384" s="108" t="s">
        <v>13</v>
      </c>
      <c r="F384" s="108" t="s">
        <v>294</v>
      </c>
      <c r="G384" s="108" t="s">
        <v>9</v>
      </c>
      <c r="H384" s="141">
        <f>H385</f>
        <v>0</v>
      </c>
      <c r="I384" s="108">
        <v>400000000</v>
      </c>
      <c r="J384" s="108" t="str">
        <f t="shared" si="68"/>
        <v>0400000000</v>
      </c>
      <c r="K384" s="132"/>
      <c r="L384" s="17"/>
      <c r="M384" s="32">
        <v>7522.26</v>
      </c>
      <c r="N384" s="32">
        <v>0</v>
      </c>
      <c r="O384" s="32">
        <v>0</v>
      </c>
      <c r="P384" s="32">
        <f t="shared" si="74"/>
        <v>-7522.26</v>
      </c>
      <c r="Q384" s="32" t="e">
        <f>#REF!-N384</f>
        <v>#REF!</v>
      </c>
      <c r="R384" s="32" t="e">
        <f>#REF!-O384</f>
        <v>#REF!</v>
      </c>
      <c r="S384" s="17" t="str">
        <f t="shared" si="63"/>
        <v>04 0 00 00000000</v>
      </c>
    </row>
    <row r="385" spans="1:19" s="16" customFormat="1" ht="31.5">
      <c r="A385" s="14"/>
      <c r="B385" s="125" t="s">
        <v>307</v>
      </c>
      <c r="C385" s="108" t="s">
        <v>256</v>
      </c>
      <c r="D385" s="108" t="s">
        <v>86</v>
      </c>
      <c r="E385" s="108" t="s">
        <v>13</v>
      </c>
      <c r="F385" s="108" t="s">
        <v>308</v>
      </c>
      <c r="G385" s="108" t="s">
        <v>9</v>
      </c>
      <c r="H385" s="141">
        <f t="shared" ref="H385:H387" si="76">H386</f>
        <v>0</v>
      </c>
      <c r="I385" s="108">
        <v>430000000</v>
      </c>
      <c r="J385" s="108" t="str">
        <f t="shared" si="68"/>
        <v>0430000000</v>
      </c>
      <c r="K385" s="132"/>
      <c r="L385" s="17"/>
      <c r="M385" s="32">
        <v>7522.26</v>
      </c>
      <c r="N385" s="32">
        <v>0</v>
      </c>
      <c r="O385" s="32">
        <v>0</v>
      </c>
      <c r="P385" s="32">
        <f t="shared" si="74"/>
        <v>-7522.26</v>
      </c>
      <c r="Q385" s="32" t="e">
        <f>#REF!-N385</f>
        <v>#REF!</v>
      </c>
      <c r="R385" s="32" t="e">
        <f>#REF!-O385</f>
        <v>#REF!</v>
      </c>
      <c r="S385" s="17" t="str">
        <f t="shared" si="63"/>
        <v>04 3 00 00000000</v>
      </c>
    </row>
    <row r="386" spans="1:19" s="29" customFormat="1" ht="31.5">
      <c r="A386" s="28"/>
      <c r="B386" s="307" t="s">
        <v>309</v>
      </c>
      <c r="C386" s="109" t="s">
        <v>256</v>
      </c>
      <c r="D386" s="108" t="s">
        <v>86</v>
      </c>
      <c r="E386" s="108" t="s">
        <v>13</v>
      </c>
      <c r="F386" s="308" t="s">
        <v>310</v>
      </c>
      <c r="G386" s="108" t="s">
        <v>9</v>
      </c>
      <c r="H386" s="126">
        <f t="shared" si="76"/>
        <v>0</v>
      </c>
      <c r="I386" s="308">
        <v>430400000</v>
      </c>
      <c r="J386" s="308" t="str">
        <f t="shared" si="68"/>
        <v>0430400000</v>
      </c>
      <c r="K386" s="132"/>
      <c r="L386" s="17"/>
      <c r="M386" s="20">
        <v>7522.26</v>
      </c>
      <c r="N386" s="20">
        <v>0</v>
      </c>
      <c r="O386" s="20">
        <v>0</v>
      </c>
      <c r="P386" s="20">
        <f t="shared" si="74"/>
        <v>-7522.26</v>
      </c>
      <c r="Q386" s="20" t="e">
        <f>#REF!-N386</f>
        <v>#REF!</v>
      </c>
      <c r="R386" s="20" t="e">
        <f>#REF!-O386</f>
        <v>#REF!</v>
      </c>
      <c r="S386" s="17" t="str">
        <f t="shared" si="63"/>
        <v>04 3 04 00000000</v>
      </c>
    </row>
    <row r="387" spans="1:19" s="29" customFormat="1" ht="31.5">
      <c r="A387" s="28"/>
      <c r="B387" s="125" t="s">
        <v>311</v>
      </c>
      <c r="C387" s="109" t="s">
        <v>256</v>
      </c>
      <c r="D387" s="108" t="s">
        <v>86</v>
      </c>
      <c r="E387" s="108" t="s">
        <v>13</v>
      </c>
      <c r="F387" s="108" t="s">
        <v>312</v>
      </c>
      <c r="G387" s="108" t="s">
        <v>9</v>
      </c>
      <c r="H387" s="126">
        <f t="shared" si="76"/>
        <v>0</v>
      </c>
      <c r="I387" s="108">
        <v>430421510</v>
      </c>
      <c r="J387" s="108" t="str">
        <f t="shared" si="68"/>
        <v>0430421510</v>
      </c>
      <c r="K387" s="132"/>
      <c r="L387" s="17"/>
      <c r="M387" s="20">
        <v>7522.26</v>
      </c>
      <c r="N387" s="20">
        <v>0</v>
      </c>
      <c r="O387" s="20">
        <v>0</v>
      </c>
      <c r="P387" s="20">
        <f t="shared" si="74"/>
        <v>-7522.26</v>
      </c>
      <c r="Q387" s="20" t="e">
        <f>#REF!-N387</f>
        <v>#REF!</v>
      </c>
      <c r="R387" s="20" t="e">
        <f>#REF!-O387</f>
        <v>#REF!</v>
      </c>
      <c r="S387" s="17" t="str">
        <f t="shared" si="63"/>
        <v>04 3 04 21510000</v>
      </c>
    </row>
    <row r="388" spans="1:19" s="29" customFormat="1" ht="31.5">
      <c r="A388" s="28"/>
      <c r="B388" s="125" t="s">
        <v>28</v>
      </c>
      <c r="C388" s="109" t="s">
        <v>256</v>
      </c>
      <c r="D388" s="108" t="s">
        <v>86</v>
      </c>
      <c r="E388" s="108" t="s">
        <v>13</v>
      </c>
      <c r="F388" s="108" t="s">
        <v>312</v>
      </c>
      <c r="G388" s="108" t="s">
        <v>29</v>
      </c>
      <c r="H388" s="126">
        <f>H389</f>
        <v>0</v>
      </c>
      <c r="I388" s="108">
        <v>430421510</v>
      </c>
      <c r="J388" s="108" t="str">
        <f t="shared" si="68"/>
        <v>0430421510</v>
      </c>
      <c r="K388" s="132"/>
      <c r="L388" s="17"/>
      <c r="M388" s="20">
        <v>7522.26</v>
      </c>
      <c r="N388" s="20">
        <v>0</v>
      </c>
      <c r="O388" s="20">
        <v>0</v>
      </c>
      <c r="P388" s="20">
        <f t="shared" si="74"/>
        <v>-7522.26</v>
      </c>
      <c r="Q388" s="20" t="e">
        <f>#REF!-N388</f>
        <v>#REF!</v>
      </c>
      <c r="R388" s="20" t="e">
        <f>#REF!-O388</f>
        <v>#REF!</v>
      </c>
      <c r="S388" s="17" t="str">
        <f t="shared" si="63"/>
        <v>04 3 04 21510240</v>
      </c>
    </row>
    <row r="389" spans="1:19" s="29" customFormat="1" ht="15.75">
      <c r="A389" s="28"/>
      <c r="B389" s="125" t="s">
        <v>30</v>
      </c>
      <c r="C389" s="109" t="s">
        <v>256</v>
      </c>
      <c r="D389" s="108" t="s">
        <v>86</v>
      </c>
      <c r="E389" s="108" t="s">
        <v>13</v>
      </c>
      <c r="F389" s="108" t="s">
        <v>312</v>
      </c>
      <c r="G389" s="108" t="s">
        <v>31</v>
      </c>
      <c r="H389" s="126"/>
      <c r="I389" s="108">
        <v>430421510</v>
      </c>
      <c r="J389" s="108" t="str">
        <f t="shared" si="68"/>
        <v>0430421510</v>
      </c>
      <c r="K389" s="304" t="str">
        <f>C389&amp;D389&amp;E389&amp;J389&amp;G389</f>
        <v>60205030430421510244</v>
      </c>
      <c r="L389" s="296"/>
      <c r="M389" s="20"/>
      <c r="N389" s="20"/>
      <c r="O389" s="20"/>
      <c r="P389" s="20"/>
      <c r="Q389" s="20"/>
      <c r="R389" s="20"/>
      <c r="S389" s="17" t="str">
        <f t="shared" si="63"/>
        <v>04 3 04 21510244</v>
      </c>
    </row>
    <row r="390" spans="1:19" s="16" customFormat="1" ht="31.5">
      <c r="A390" s="14"/>
      <c r="B390" s="121" t="s">
        <v>313</v>
      </c>
      <c r="C390" s="122" t="s">
        <v>256</v>
      </c>
      <c r="D390" s="123" t="s">
        <v>86</v>
      </c>
      <c r="E390" s="123" t="s">
        <v>86</v>
      </c>
      <c r="F390" s="123" t="s">
        <v>8</v>
      </c>
      <c r="G390" s="123" t="s">
        <v>9</v>
      </c>
      <c r="H390" s="124">
        <f>H391</f>
        <v>0</v>
      </c>
      <c r="I390" s="123">
        <v>0</v>
      </c>
      <c r="J390" s="123" t="str">
        <f t="shared" si="68"/>
        <v>0000000000</v>
      </c>
      <c r="K390" s="132"/>
      <c r="L390" s="17"/>
      <c r="M390" s="19">
        <v>1758.61</v>
      </c>
      <c r="N390" s="19">
        <v>0</v>
      </c>
      <c r="O390" s="19">
        <v>0</v>
      </c>
      <c r="P390" s="19">
        <f>H390-M390</f>
        <v>-1758.61</v>
      </c>
      <c r="Q390" s="19" t="e">
        <f>#REF!-N390</f>
        <v>#REF!</v>
      </c>
      <c r="R390" s="19" t="e">
        <f>#REF!-O390</f>
        <v>#REF!</v>
      </c>
      <c r="S390" s="17" t="str">
        <f t="shared" si="63"/>
        <v>00 0 00 00000000</v>
      </c>
    </row>
    <row r="391" spans="1:19" s="29" customFormat="1" ht="63">
      <c r="A391" s="28"/>
      <c r="B391" s="307" t="s">
        <v>87</v>
      </c>
      <c r="C391" s="109" t="s">
        <v>256</v>
      </c>
      <c r="D391" s="108" t="s">
        <v>86</v>
      </c>
      <c r="E391" s="108" t="s">
        <v>86</v>
      </c>
      <c r="F391" s="108" t="s">
        <v>88</v>
      </c>
      <c r="G391" s="108" t="s">
        <v>9</v>
      </c>
      <c r="H391" s="126">
        <f>H392</f>
        <v>0</v>
      </c>
      <c r="I391" s="108">
        <v>9800000000</v>
      </c>
      <c r="J391" s="108" t="str">
        <f t="shared" si="68"/>
        <v>9800000000</v>
      </c>
      <c r="K391" s="132"/>
      <c r="L391" s="17"/>
      <c r="M391" s="20">
        <v>1758.61</v>
      </c>
      <c r="N391" s="20">
        <v>0</v>
      </c>
      <c r="O391" s="20">
        <v>0</v>
      </c>
      <c r="P391" s="20">
        <f>H391-M391</f>
        <v>-1758.61</v>
      </c>
      <c r="Q391" s="20" t="e">
        <f>#REF!-N391</f>
        <v>#REF!</v>
      </c>
      <c r="R391" s="20" t="e">
        <f>#REF!-O391</f>
        <v>#REF!</v>
      </c>
      <c r="S391" s="17" t="str">
        <f t="shared" si="63"/>
        <v>98 0 00 00000000</v>
      </c>
    </row>
    <row r="392" spans="1:19" s="29" customFormat="1" ht="15.75">
      <c r="A392" s="28"/>
      <c r="B392" s="307" t="s">
        <v>89</v>
      </c>
      <c r="C392" s="109" t="s">
        <v>256</v>
      </c>
      <c r="D392" s="108" t="s">
        <v>86</v>
      </c>
      <c r="E392" s="108" t="s">
        <v>86</v>
      </c>
      <c r="F392" s="108" t="s">
        <v>90</v>
      </c>
      <c r="G392" s="108" t="s">
        <v>9</v>
      </c>
      <c r="H392" s="126">
        <f>H393</f>
        <v>0</v>
      </c>
      <c r="I392" s="108">
        <v>9810000000</v>
      </c>
      <c r="J392" s="108" t="str">
        <f t="shared" si="68"/>
        <v>9810000000</v>
      </c>
      <c r="K392" s="132"/>
      <c r="L392" s="17"/>
      <c r="M392" s="20">
        <v>1758.61</v>
      </c>
      <c r="N392" s="20">
        <v>0</v>
      </c>
      <c r="O392" s="20">
        <v>0</v>
      </c>
      <c r="P392" s="20">
        <f>H392-M392</f>
        <v>-1758.61</v>
      </c>
      <c r="Q392" s="20" t="e">
        <f>#REF!-N392</f>
        <v>#REF!</v>
      </c>
      <c r="R392" s="20" t="e">
        <f>#REF!-O392</f>
        <v>#REF!</v>
      </c>
      <c r="S392" s="17" t="str">
        <f t="shared" si="63"/>
        <v>98 1 00 00000000</v>
      </c>
    </row>
    <row r="393" spans="1:19" s="29" customFormat="1" ht="47.25">
      <c r="A393" s="28"/>
      <c r="B393" s="125" t="s">
        <v>314</v>
      </c>
      <c r="C393" s="109" t="s">
        <v>256</v>
      </c>
      <c r="D393" s="108" t="s">
        <v>86</v>
      </c>
      <c r="E393" s="108" t="s">
        <v>86</v>
      </c>
      <c r="F393" s="108" t="s">
        <v>315</v>
      </c>
      <c r="G393" s="108" t="s">
        <v>9</v>
      </c>
      <c r="H393" s="126">
        <f>H394</f>
        <v>0</v>
      </c>
      <c r="I393" s="108">
        <v>9810020950</v>
      </c>
      <c r="J393" s="108" t="str">
        <f t="shared" si="68"/>
        <v>9810020950</v>
      </c>
      <c r="K393" s="132"/>
      <c r="L393" s="17"/>
      <c r="M393" s="20">
        <v>1758.61</v>
      </c>
      <c r="N393" s="20">
        <v>0</v>
      </c>
      <c r="O393" s="20">
        <v>0</v>
      </c>
      <c r="P393" s="20">
        <f>H393-M393</f>
        <v>-1758.61</v>
      </c>
      <c r="Q393" s="20" t="e">
        <f>#REF!-N393</f>
        <v>#REF!</v>
      </c>
      <c r="R393" s="20" t="e">
        <f>#REF!-O393</f>
        <v>#REF!</v>
      </c>
      <c r="S393" s="17" t="str">
        <f t="shared" si="63"/>
        <v>98 1 00 20950000</v>
      </c>
    </row>
    <row r="394" spans="1:19" s="29" customFormat="1" ht="31.5">
      <c r="A394" s="28"/>
      <c r="B394" s="125" t="s">
        <v>28</v>
      </c>
      <c r="C394" s="109" t="s">
        <v>256</v>
      </c>
      <c r="D394" s="108" t="s">
        <v>86</v>
      </c>
      <c r="E394" s="108" t="s">
        <v>86</v>
      </c>
      <c r="F394" s="108" t="s">
        <v>315</v>
      </c>
      <c r="G394" s="108" t="s">
        <v>29</v>
      </c>
      <c r="H394" s="126">
        <f>H395</f>
        <v>0</v>
      </c>
      <c r="I394" s="108">
        <v>9810020950</v>
      </c>
      <c r="J394" s="108" t="str">
        <f t="shared" si="68"/>
        <v>9810020950</v>
      </c>
      <c r="K394" s="132"/>
      <c r="L394" s="17"/>
      <c r="M394" s="20">
        <v>1758.61</v>
      </c>
      <c r="N394" s="20">
        <v>0</v>
      </c>
      <c r="O394" s="20">
        <v>0</v>
      </c>
      <c r="P394" s="20">
        <f>H394-M394</f>
        <v>-1758.61</v>
      </c>
      <c r="Q394" s="20" t="e">
        <f>#REF!-N394</f>
        <v>#REF!</v>
      </c>
      <c r="R394" s="20" t="e">
        <f>#REF!-O394</f>
        <v>#REF!</v>
      </c>
      <c r="S394" s="17" t="str">
        <f t="shared" si="63"/>
        <v>98 1 00 20950240</v>
      </c>
    </row>
    <row r="395" spans="1:19" s="29" customFormat="1" ht="15.75">
      <c r="A395" s="28"/>
      <c r="B395" s="125" t="s">
        <v>30</v>
      </c>
      <c r="C395" s="109" t="s">
        <v>256</v>
      </c>
      <c r="D395" s="108" t="s">
        <v>86</v>
      </c>
      <c r="E395" s="108" t="s">
        <v>86</v>
      </c>
      <c r="F395" s="108" t="s">
        <v>315</v>
      </c>
      <c r="G395" s="108" t="s">
        <v>31</v>
      </c>
      <c r="H395" s="126"/>
      <c r="I395" s="108">
        <v>9810020950</v>
      </c>
      <c r="J395" s="108" t="str">
        <f t="shared" si="68"/>
        <v>9810020950</v>
      </c>
      <c r="K395" s="304" t="str">
        <f>C395&amp;D395&amp;E395&amp;J395&amp;G395</f>
        <v>60205059810020950244</v>
      </c>
      <c r="L395" s="296"/>
      <c r="M395" s="20"/>
      <c r="N395" s="20"/>
      <c r="O395" s="20"/>
      <c r="P395" s="20"/>
      <c r="Q395" s="20"/>
      <c r="R395" s="20"/>
      <c r="S395" s="17" t="str">
        <f t="shared" si="63"/>
        <v>98 1 00 20950244</v>
      </c>
    </row>
    <row r="396" spans="1:19" s="29" customFormat="1" ht="15.75">
      <c r="A396" s="28"/>
      <c r="B396" s="117" t="s">
        <v>316</v>
      </c>
      <c r="C396" s="118" t="s">
        <v>256</v>
      </c>
      <c r="D396" s="119" t="s">
        <v>317</v>
      </c>
      <c r="E396" s="119" t="s">
        <v>7</v>
      </c>
      <c r="F396" s="119" t="s">
        <v>8</v>
      </c>
      <c r="G396" s="119" t="s">
        <v>9</v>
      </c>
      <c r="H396" s="120">
        <f>H397</f>
        <v>0</v>
      </c>
      <c r="I396" s="119">
        <v>0</v>
      </c>
      <c r="J396" s="119" t="str">
        <f t="shared" si="68"/>
        <v>0000000000</v>
      </c>
      <c r="K396" s="132"/>
      <c r="L396" s="17"/>
      <c r="M396" s="18">
        <v>2604.63</v>
      </c>
      <c r="N396" s="18">
        <v>2604.63</v>
      </c>
      <c r="O396" s="18">
        <v>7404.63</v>
      </c>
      <c r="P396" s="18">
        <f t="shared" ref="P396:P405" si="77">H396-M396</f>
        <v>-2604.63</v>
      </c>
      <c r="Q396" s="18" t="e">
        <f>#REF!-N396</f>
        <v>#REF!</v>
      </c>
      <c r="R396" s="18" t="e">
        <f>#REF!-O396</f>
        <v>#REF!</v>
      </c>
      <c r="S396" s="17" t="str">
        <f t="shared" si="63"/>
        <v>00 0 00 00000000</v>
      </c>
    </row>
    <row r="397" spans="1:19" s="29" customFormat="1" ht="15.75">
      <c r="A397" s="28"/>
      <c r="B397" s="121" t="s">
        <v>318</v>
      </c>
      <c r="C397" s="122" t="s">
        <v>256</v>
      </c>
      <c r="D397" s="123">
        <v>10</v>
      </c>
      <c r="E397" s="123" t="s">
        <v>13</v>
      </c>
      <c r="F397" s="123" t="s">
        <v>8</v>
      </c>
      <c r="G397" s="123" t="s">
        <v>9</v>
      </c>
      <c r="H397" s="124">
        <f>H398</f>
        <v>0</v>
      </c>
      <c r="I397" s="123">
        <v>0</v>
      </c>
      <c r="J397" s="123" t="str">
        <f t="shared" si="68"/>
        <v>0000000000</v>
      </c>
      <c r="K397" s="132"/>
      <c r="L397" s="17"/>
      <c r="M397" s="19">
        <v>2604.63</v>
      </c>
      <c r="N397" s="19">
        <v>2604.63</v>
      </c>
      <c r="O397" s="19">
        <v>7404.63</v>
      </c>
      <c r="P397" s="19">
        <f t="shared" si="77"/>
        <v>-2604.63</v>
      </c>
      <c r="Q397" s="19" t="e">
        <f>#REF!-N397</f>
        <v>#REF!</v>
      </c>
      <c r="R397" s="19" t="e">
        <f>#REF!-O397</f>
        <v>#REF!</v>
      </c>
      <c r="S397" s="17" t="str">
        <f t="shared" si="63"/>
        <v>00 0 00 00000000</v>
      </c>
    </row>
    <row r="398" spans="1:19" s="29" customFormat="1" ht="31.5">
      <c r="A398" s="28"/>
      <c r="B398" s="125" t="s">
        <v>319</v>
      </c>
      <c r="C398" s="131" t="s">
        <v>256</v>
      </c>
      <c r="D398" s="131" t="s">
        <v>317</v>
      </c>
      <c r="E398" s="131" t="s">
        <v>13</v>
      </c>
      <c r="F398" s="131" t="s">
        <v>320</v>
      </c>
      <c r="G398" s="131" t="s">
        <v>9</v>
      </c>
      <c r="H398" s="105">
        <f t="shared" ref="H398" si="78">H399</f>
        <v>0</v>
      </c>
      <c r="I398" s="131">
        <v>600000000</v>
      </c>
      <c r="J398" s="131" t="str">
        <f t="shared" si="68"/>
        <v>0600000000</v>
      </c>
      <c r="K398" s="132"/>
      <c r="L398" s="17"/>
      <c r="M398" s="26">
        <v>2604.63</v>
      </c>
      <c r="N398" s="26">
        <v>2604.63</v>
      </c>
      <c r="O398" s="26">
        <v>7404.63</v>
      </c>
      <c r="P398" s="26">
        <f t="shared" si="77"/>
        <v>-2604.63</v>
      </c>
      <c r="Q398" s="26" t="e">
        <f>#REF!-N398</f>
        <v>#REF!</v>
      </c>
      <c r="R398" s="26" t="e">
        <f>#REF!-O398</f>
        <v>#REF!</v>
      </c>
      <c r="S398" s="17" t="str">
        <f t="shared" si="63"/>
        <v>06 0 00 00000000</v>
      </c>
    </row>
    <row r="399" spans="1:19" s="29" customFormat="1" ht="47.25">
      <c r="A399" s="28"/>
      <c r="B399" s="129" t="s">
        <v>321</v>
      </c>
      <c r="C399" s="131" t="s">
        <v>256</v>
      </c>
      <c r="D399" s="131" t="s">
        <v>317</v>
      </c>
      <c r="E399" s="131" t="s">
        <v>13</v>
      </c>
      <c r="F399" s="131" t="s">
        <v>322</v>
      </c>
      <c r="G399" s="131" t="s">
        <v>9</v>
      </c>
      <c r="H399" s="105">
        <f>H400</f>
        <v>0</v>
      </c>
      <c r="I399" s="131" t="s">
        <v>1188</v>
      </c>
      <c r="J399" s="131" t="str">
        <f t="shared" si="68"/>
        <v>06Б0000000</v>
      </c>
      <c r="K399" s="132"/>
      <c r="L399" s="17"/>
      <c r="M399" s="26">
        <v>2604.63</v>
      </c>
      <c r="N399" s="26">
        <v>2604.63</v>
      </c>
      <c r="O399" s="26">
        <v>7404.63</v>
      </c>
      <c r="P399" s="26">
        <f t="shared" si="77"/>
        <v>-2604.63</v>
      </c>
      <c r="Q399" s="26" t="e">
        <f>#REF!-N399</f>
        <v>#REF!</v>
      </c>
      <c r="R399" s="26" t="e">
        <f>#REF!-O399</f>
        <v>#REF!</v>
      </c>
      <c r="S399" s="17" t="str">
        <f t="shared" si="63"/>
        <v>06 Б 00 00000000</v>
      </c>
    </row>
    <row r="400" spans="1:19" s="29" customFormat="1" ht="31.5">
      <c r="A400" s="28"/>
      <c r="B400" s="129" t="s">
        <v>323</v>
      </c>
      <c r="C400" s="131" t="s">
        <v>256</v>
      </c>
      <c r="D400" s="131" t="s">
        <v>317</v>
      </c>
      <c r="E400" s="131" t="s">
        <v>13</v>
      </c>
      <c r="F400" s="131" t="s">
        <v>324</v>
      </c>
      <c r="G400" s="131" t="s">
        <v>9</v>
      </c>
      <c r="H400" s="105">
        <f>H404+H401+H407</f>
        <v>0</v>
      </c>
      <c r="I400" s="131" t="s">
        <v>1189</v>
      </c>
      <c r="J400" s="131" t="str">
        <f t="shared" si="68"/>
        <v>06Б0100000</v>
      </c>
      <c r="K400" s="132"/>
      <c r="L400" s="17"/>
      <c r="M400" s="26">
        <v>2604.63</v>
      </c>
      <c r="N400" s="26">
        <v>2604.63</v>
      </c>
      <c r="O400" s="26">
        <v>7404.63</v>
      </c>
      <c r="P400" s="26">
        <f t="shared" si="77"/>
        <v>-2604.63</v>
      </c>
      <c r="Q400" s="26" t="e">
        <f>#REF!-N400</f>
        <v>#REF!</v>
      </c>
      <c r="R400" s="26" t="e">
        <f>#REF!-O400</f>
        <v>#REF!</v>
      </c>
      <c r="S400" s="17" t="str">
        <f t="shared" si="63"/>
        <v>06 Б 01 00000000</v>
      </c>
    </row>
    <row r="401" spans="1:19" s="29" customFormat="1" ht="157.5">
      <c r="A401" s="28"/>
      <c r="B401" s="125" t="s">
        <v>1087</v>
      </c>
      <c r="C401" s="109" t="s">
        <v>256</v>
      </c>
      <c r="D401" s="108" t="s">
        <v>317</v>
      </c>
      <c r="E401" s="108" t="s">
        <v>13</v>
      </c>
      <c r="F401" s="108" t="s">
        <v>1088</v>
      </c>
      <c r="G401" s="108" t="s">
        <v>9</v>
      </c>
      <c r="H401" s="105">
        <f t="shared" ref="H401:H402" si="79">H402</f>
        <v>0</v>
      </c>
      <c r="I401" s="108" t="s">
        <v>1190</v>
      </c>
      <c r="J401" s="108" t="str">
        <f t="shared" si="68"/>
        <v>06Б0177360</v>
      </c>
      <c r="K401" s="132"/>
      <c r="L401" s="17"/>
      <c r="M401" s="26"/>
      <c r="N401" s="26"/>
      <c r="O401" s="26"/>
      <c r="P401" s="26"/>
      <c r="Q401" s="26"/>
      <c r="R401" s="26"/>
      <c r="S401" s="17"/>
    </row>
    <row r="402" spans="1:19" s="29" customFormat="1" ht="31.5">
      <c r="A402" s="28"/>
      <c r="B402" s="125" t="s">
        <v>327</v>
      </c>
      <c r="C402" s="109" t="s">
        <v>256</v>
      </c>
      <c r="D402" s="108" t="s">
        <v>317</v>
      </c>
      <c r="E402" s="108" t="s">
        <v>13</v>
      </c>
      <c r="F402" s="108" t="s">
        <v>1088</v>
      </c>
      <c r="G402" s="108" t="s">
        <v>328</v>
      </c>
      <c r="H402" s="105">
        <f t="shared" si="79"/>
        <v>0</v>
      </c>
      <c r="I402" s="108" t="s">
        <v>1190</v>
      </c>
      <c r="J402" s="108" t="str">
        <f t="shared" si="68"/>
        <v>06Б0177360</v>
      </c>
      <c r="K402" s="132"/>
      <c r="L402" s="17"/>
      <c r="M402" s="26"/>
      <c r="N402" s="26"/>
      <c r="O402" s="26"/>
      <c r="P402" s="26"/>
      <c r="Q402" s="26"/>
      <c r="R402" s="26"/>
      <c r="S402" s="17"/>
    </row>
    <row r="403" spans="1:19" s="29" customFormat="1" ht="15.75">
      <c r="A403" s="28"/>
      <c r="B403" s="127" t="s">
        <v>329</v>
      </c>
      <c r="C403" s="109" t="s">
        <v>256</v>
      </c>
      <c r="D403" s="108" t="s">
        <v>317</v>
      </c>
      <c r="E403" s="108" t="s">
        <v>13</v>
      </c>
      <c r="F403" s="108" t="s">
        <v>1088</v>
      </c>
      <c r="G403" s="108" t="s">
        <v>330</v>
      </c>
      <c r="H403" s="126"/>
      <c r="I403" s="108" t="s">
        <v>1190</v>
      </c>
      <c r="J403" s="108" t="str">
        <f t="shared" si="68"/>
        <v>06Б0177360</v>
      </c>
      <c r="K403" s="304" t="str">
        <f>C403&amp;D403&amp;E403&amp;J403&amp;G403</f>
        <v>602100306Б0177360322</v>
      </c>
      <c r="L403" s="296"/>
      <c r="M403" s="26"/>
      <c r="N403" s="26"/>
      <c r="O403" s="26"/>
      <c r="P403" s="26"/>
      <c r="Q403" s="26"/>
      <c r="R403" s="26"/>
      <c r="S403" s="17"/>
    </row>
    <row r="404" spans="1:19" s="29" customFormat="1" ht="31.5">
      <c r="A404" s="28"/>
      <c r="B404" s="125" t="s">
        <v>325</v>
      </c>
      <c r="C404" s="131" t="s">
        <v>256</v>
      </c>
      <c r="D404" s="131" t="s">
        <v>317</v>
      </c>
      <c r="E404" s="131" t="s">
        <v>13</v>
      </c>
      <c r="F404" s="131" t="s">
        <v>1113</v>
      </c>
      <c r="G404" s="131" t="s">
        <v>9</v>
      </c>
      <c r="H404" s="105">
        <f>H405</f>
        <v>0</v>
      </c>
      <c r="I404" s="131" t="s">
        <v>1191</v>
      </c>
      <c r="J404" s="131" t="str">
        <f t="shared" si="68"/>
        <v>06Б01L4970</v>
      </c>
      <c r="K404" s="132"/>
      <c r="L404" s="17"/>
      <c r="M404" s="26">
        <v>2604.63</v>
      </c>
      <c r="N404" s="26">
        <v>2604.63</v>
      </c>
      <c r="O404" s="26">
        <v>7404.63</v>
      </c>
      <c r="P404" s="26">
        <f t="shared" si="77"/>
        <v>-2604.63</v>
      </c>
      <c r="Q404" s="26" t="e">
        <f>#REF!-N404</f>
        <v>#REF!</v>
      </c>
      <c r="R404" s="26" t="e">
        <f>#REF!-O404</f>
        <v>#REF!</v>
      </c>
      <c r="S404" s="17" t="str">
        <f t="shared" si="63"/>
        <v>06 Б 01 L4970000</v>
      </c>
    </row>
    <row r="405" spans="1:19" s="29" customFormat="1" ht="31.5">
      <c r="A405" s="28"/>
      <c r="B405" s="132" t="s">
        <v>327</v>
      </c>
      <c r="C405" s="131" t="s">
        <v>256</v>
      </c>
      <c r="D405" s="131" t="s">
        <v>317</v>
      </c>
      <c r="E405" s="131" t="s">
        <v>13</v>
      </c>
      <c r="F405" s="131" t="s">
        <v>1113</v>
      </c>
      <c r="G405" s="131" t="s">
        <v>328</v>
      </c>
      <c r="H405" s="126">
        <f>H406</f>
        <v>0</v>
      </c>
      <c r="I405" s="131" t="s">
        <v>1191</v>
      </c>
      <c r="J405" s="131" t="str">
        <f t="shared" si="68"/>
        <v>06Б01L4970</v>
      </c>
      <c r="K405" s="132"/>
      <c r="L405" s="17"/>
      <c r="M405" s="26">
        <v>2604.63</v>
      </c>
      <c r="N405" s="26">
        <v>2604.63</v>
      </c>
      <c r="O405" s="26">
        <v>7404.63</v>
      </c>
      <c r="P405" s="26">
        <f t="shared" si="77"/>
        <v>-2604.63</v>
      </c>
      <c r="Q405" s="26" t="e">
        <f>#REF!-N405</f>
        <v>#REF!</v>
      </c>
      <c r="R405" s="26" t="e">
        <f>#REF!-O405</f>
        <v>#REF!</v>
      </c>
      <c r="S405" s="17" t="str">
        <f t="shared" si="63"/>
        <v>06 Б 01 L4970320</v>
      </c>
    </row>
    <row r="406" spans="1:19" s="29" customFormat="1" ht="15.75">
      <c r="A406" s="28"/>
      <c r="B406" s="127" t="s">
        <v>329</v>
      </c>
      <c r="C406" s="108" t="s">
        <v>256</v>
      </c>
      <c r="D406" s="108" t="s">
        <v>317</v>
      </c>
      <c r="E406" s="108" t="s">
        <v>13</v>
      </c>
      <c r="F406" s="131" t="s">
        <v>1113</v>
      </c>
      <c r="G406" s="108" t="s">
        <v>330</v>
      </c>
      <c r="H406" s="126"/>
      <c r="I406" s="131" t="s">
        <v>1191</v>
      </c>
      <c r="J406" s="131" t="str">
        <f t="shared" si="68"/>
        <v>06Б01L4970</v>
      </c>
      <c r="K406" s="304" t="str">
        <f>C406&amp;D406&amp;E406&amp;J406&amp;G406</f>
        <v>602100306Б01L4970322</v>
      </c>
      <c r="L406" s="296"/>
      <c r="M406" s="20"/>
      <c r="N406" s="20"/>
      <c r="O406" s="20"/>
      <c r="P406" s="20"/>
      <c r="Q406" s="20"/>
      <c r="R406" s="20"/>
      <c r="S406" s="17" t="str">
        <f t="shared" si="63"/>
        <v>06 Б 01 L4970322</v>
      </c>
    </row>
    <row r="407" spans="1:19" s="29" customFormat="1" ht="157.5">
      <c r="A407" s="28"/>
      <c r="B407" s="125" t="s">
        <v>1114</v>
      </c>
      <c r="C407" s="109" t="s">
        <v>256</v>
      </c>
      <c r="D407" s="108" t="s">
        <v>317</v>
      </c>
      <c r="E407" s="108" t="s">
        <v>13</v>
      </c>
      <c r="F407" s="108" t="s">
        <v>1115</v>
      </c>
      <c r="G407" s="108" t="s">
        <v>9</v>
      </c>
      <c r="H407" s="126">
        <f>H408</f>
        <v>0</v>
      </c>
      <c r="I407" s="108" t="s">
        <v>1192</v>
      </c>
      <c r="J407" s="108" t="str">
        <f t="shared" ref="J407:J470" si="80">TEXT(I407,"0000000000")</f>
        <v>06Б01S7360</v>
      </c>
      <c r="K407" s="296"/>
      <c r="L407" s="296"/>
      <c r="M407" s="20"/>
      <c r="N407" s="20"/>
      <c r="O407" s="20"/>
      <c r="P407" s="20"/>
      <c r="Q407" s="20"/>
      <c r="R407" s="20"/>
      <c r="S407" s="17"/>
    </row>
    <row r="408" spans="1:19" s="29" customFormat="1" ht="31.5">
      <c r="A408" s="28"/>
      <c r="B408" s="132" t="s">
        <v>327</v>
      </c>
      <c r="C408" s="109" t="s">
        <v>256</v>
      </c>
      <c r="D408" s="108" t="s">
        <v>317</v>
      </c>
      <c r="E408" s="108" t="s">
        <v>13</v>
      </c>
      <c r="F408" s="108" t="s">
        <v>1115</v>
      </c>
      <c r="G408" s="131" t="s">
        <v>328</v>
      </c>
      <c r="H408" s="126">
        <f>H409</f>
        <v>0</v>
      </c>
      <c r="I408" s="108" t="s">
        <v>1192</v>
      </c>
      <c r="J408" s="108" t="str">
        <f t="shared" si="80"/>
        <v>06Б01S7360</v>
      </c>
      <c r="K408" s="296"/>
      <c r="L408" s="296"/>
      <c r="M408" s="20"/>
      <c r="N408" s="20"/>
      <c r="O408" s="20"/>
      <c r="P408" s="20"/>
      <c r="Q408" s="20"/>
      <c r="R408" s="20"/>
      <c r="S408" s="17"/>
    </row>
    <row r="409" spans="1:19" s="29" customFormat="1" ht="15.75">
      <c r="A409" s="28"/>
      <c r="B409" s="127" t="s">
        <v>329</v>
      </c>
      <c r="C409" s="109" t="s">
        <v>256</v>
      </c>
      <c r="D409" s="108" t="s">
        <v>317</v>
      </c>
      <c r="E409" s="108" t="s">
        <v>13</v>
      </c>
      <c r="F409" s="108" t="s">
        <v>1115</v>
      </c>
      <c r="G409" s="108" t="s">
        <v>330</v>
      </c>
      <c r="H409" s="126"/>
      <c r="I409" s="108" t="s">
        <v>1192</v>
      </c>
      <c r="J409" s="108" t="str">
        <f t="shared" si="80"/>
        <v>06Б01S7360</v>
      </c>
      <c r="K409" s="304" t="str">
        <f>C409&amp;D409&amp;E409&amp;J409&amp;G409</f>
        <v>602100306Б01S7360322</v>
      </c>
      <c r="L409" s="296"/>
      <c r="M409" s="20"/>
      <c r="N409" s="20"/>
      <c r="O409" s="20"/>
      <c r="P409" s="20"/>
      <c r="Q409" s="20"/>
      <c r="R409" s="20"/>
      <c r="S409" s="17"/>
    </row>
    <row r="410" spans="1:19" s="29" customFormat="1" ht="15.75">
      <c r="A410" s="28"/>
      <c r="B410" s="125"/>
      <c r="C410" s="109"/>
      <c r="D410" s="108"/>
      <c r="E410" s="108"/>
      <c r="F410" s="108"/>
      <c r="G410" s="108"/>
      <c r="H410" s="126"/>
      <c r="I410" s="108"/>
      <c r="J410" s="108" t="str">
        <f t="shared" si="80"/>
        <v>0000000000</v>
      </c>
      <c r="K410" s="296"/>
      <c r="L410" s="296"/>
      <c r="M410" s="20"/>
      <c r="N410" s="20"/>
      <c r="O410" s="20"/>
      <c r="P410" s="20">
        <f t="shared" ref="P410:P417" si="81">H410-M410</f>
        <v>0</v>
      </c>
      <c r="Q410" s="20" t="e">
        <f>#REF!-N410</f>
        <v>#REF!</v>
      </c>
      <c r="R410" s="20" t="e">
        <f>#REF!-O410</f>
        <v>#REF!</v>
      </c>
      <c r="S410" s="17" t="str">
        <f t="shared" si="63"/>
        <v/>
      </c>
    </row>
    <row r="411" spans="1:19" s="29" customFormat="1" ht="31.5">
      <c r="A411" s="28"/>
      <c r="B411" s="67" t="s">
        <v>331</v>
      </c>
      <c r="C411" s="116" t="s">
        <v>332</v>
      </c>
      <c r="D411" s="69" t="s">
        <v>7</v>
      </c>
      <c r="E411" s="69" t="s">
        <v>7</v>
      </c>
      <c r="F411" s="69" t="s">
        <v>8</v>
      </c>
      <c r="G411" s="69" t="s">
        <v>9</v>
      </c>
      <c r="H411" s="70">
        <f>H412+H448</f>
        <v>0</v>
      </c>
      <c r="I411" s="69">
        <v>0</v>
      </c>
      <c r="J411" s="69" t="str">
        <f t="shared" si="80"/>
        <v>0000000000</v>
      </c>
      <c r="K411" s="132"/>
      <c r="L411" s="17"/>
      <c r="M411" s="25">
        <v>285569.14</v>
      </c>
      <c r="N411" s="25">
        <v>377029.52</v>
      </c>
      <c r="O411" s="25">
        <v>438474.61</v>
      </c>
      <c r="P411" s="25">
        <f t="shared" si="81"/>
        <v>-285569.14</v>
      </c>
      <c r="Q411" s="25" t="e">
        <f>#REF!-N411</f>
        <v>#REF!</v>
      </c>
      <c r="R411" s="25" t="e">
        <f>#REF!-O411</f>
        <v>#REF!</v>
      </c>
      <c r="S411" s="17" t="str">
        <f t="shared" si="63"/>
        <v>00 0 00 00000000</v>
      </c>
    </row>
    <row r="412" spans="1:19" s="29" customFormat="1" ht="15.75">
      <c r="A412" s="28"/>
      <c r="B412" s="117" t="s">
        <v>10</v>
      </c>
      <c r="C412" s="118" t="s">
        <v>332</v>
      </c>
      <c r="D412" s="119" t="s">
        <v>11</v>
      </c>
      <c r="E412" s="119" t="s">
        <v>7</v>
      </c>
      <c r="F412" s="119" t="s">
        <v>8</v>
      </c>
      <c r="G412" s="119" t="s">
        <v>9</v>
      </c>
      <c r="H412" s="120">
        <f>H413+H430+H435</f>
        <v>0</v>
      </c>
      <c r="I412" s="119">
        <v>0</v>
      </c>
      <c r="J412" s="119" t="str">
        <f t="shared" si="80"/>
        <v>0000000000</v>
      </c>
      <c r="K412" s="132"/>
      <c r="L412" s="17"/>
      <c r="M412" s="18">
        <v>110854.14</v>
      </c>
      <c r="N412" s="18">
        <v>153659.52000000002</v>
      </c>
      <c r="O412" s="18">
        <v>176536.61</v>
      </c>
      <c r="P412" s="18">
        <f t="shared" si="81"/>
        <v>-110854.14</v>
      </c>
      <c r="Q412" s="18" t="e">
        <f>#REF!-N412</f>
        <v>#REF!</v>
      </c>
      <c r="R412" s="18" t="e">
        <f>#REF!-O412</f>
        <v>#REF!</v>
      </c>
      <c r="S412" s="17" t="str">
        <f t="shared" si="63"/>
        <v>00 0 00 00000000</v>
      </c>
    </row>
    <row r="413" spans="1:19" s="29" customFormat="1" ht="47.25">
      <c r="A413" s="28"/>
      <c r="B413" s="121" t="s">
        <v>333</v>
      </c>
      <c r="C413" s="122" t="s">
        <v>332</v>
      </c>
      <c r="D413" s="123" t="s">
        <v>11</v>
      </c>
      <c r="E413" s="123" t="s">
        <v>334</v>
      </c>
      <c r="F413" s="123" t="s">
        <v>8</v>
      </c>
      <c r="G413" s="123" t="s">
        <v>9</v>
      </c>
      <c r="H413" s="124">
        <f t="shared" ref="H413:H414" si="82">H414</f>
        <v>0</v>
      </c>
      <c r="I413" s="123">
        <v>0</v>
      </c>
      <c r="J413" s="123" t="str">
        <f t="shared" si="80"/>
        <v>0000000000</v>
      </c>
      <c r="K413" s="132"/>
      <c r="L413" s="17"/>
      <c r="M413" s="19">
        <v>45844.87</v>
      </c>
      <c r="N413" s="19">
        <v>44344.87</v>
      </c>
      <c r="O413" s="19">
        <v>44344.87</v>
      </c>
      <c r="P413" s="19">
        <f t="shared" si="81"/>
        <v>-45844.87</v>
      </c>
      <c r="Q413" s="19" t="e">
        <f>#REF!-N413</f>
        <v>#REF!</v>
      </c>
      <c r="R413" s="19" t="e">
        <f>#REF!-O413</f>
        <v>#REF!</v>
      </c>
      <c r="S413" s="17" t="str">
        <f t="shared" si="63"/>
        <v>00 0 00 00000000</v>
      </c>
    </row>
    <row r="414" spans="1:19" s="29" customFormat="1" ht="31.5">
      <c r="A414" s="28"/>
      <c r="B414" s="143" t="s">
        <v>335</v>
      </c>
      <c r="C414" s="109" t="s">
        <v>332</v>
      </c>
      <c r="D414" s="108" t="s">
        <v>11</v>
      </c>
      <c r="E414" s="108" t="s">
        <v>334</v>
      </c>
      <c r="F414" s="108" t="s">
        <v>336</v>
      </c>
      <c r="G414" s="108" t="s">
        <v>9</v>
      </c>
      <c r="H414" s="126">
        <f t="shared" si="82"/>
        <v>0</v>
      </c>
      <c r="I414" s="108">
        <v>7300000000</v>
      </c>
      <c r="J414" s="108" t="str">
        <f t="shared" si="80"/>
        <v>7300000000</v>
      </c>
      <c r="K414" s="132"/>
      <c r="L414" s="17"/>
      <c r="M414" s="20">
        <v>45844.87</v>
      </c>
      <c r="N414" s="20">
        <v>44344.87</v>
      </c>
      <c r="O414" s="20">
        <v>44344.87</v>
      </c>
      <c r="P414" s="20">
        <f t="shared" si="81"/>
        <v>-45844.87</v>
      </c>
      <c r="Q414" s="20" t="e">
        <f>#REF!-N414</f>
        <v>#REF!</v>
      </c>
      <c r="R414" s="20" t="e">
        <f>#REF!-O414</f>
        <v>#REF!</v>
      </c>
      <c r="S414" s="17" t="str">
        <f t="shared" si="63"/>
        <v>73 0 00 00000000</v>
      </c>
    </row>
    <row r="415" spans="1:19" s="29" customFormat="1" ht="47.25">
      <c r="A415" s="28"/>
      <c r="B415" s="143" t="s">
        <v>337</v>
      </c>
      <c r="C415" s="109" t="s">
        <v>332</v>
      </c>
      <c r="D415" s="108" t="s">
        <v>11</v>
      </c>
      <c r="E415" s="108" t="s">
        <v>334</v>
      </c>
      <c r="F415" s="108" t="s">
        <v>338</v>
      </c>
      <c r="G415" s="108" t="s">
        <v>9</v>
      </c>
      <c r="H415" s="126">
        <f>H416+H426</f>
        <v>0</v>
      </c>
      <c r="I415" s="108">
        <v>7310000000</v>
      </c>
      <c r="J415" s="108" t="str">
        <f t="shared" si="80"/>
        <v>7310000000</v>
      </c>
      <c r="K415" s="132"/>
      <c r="L415" s="17"/>
      <c r="M415" s="20">
        <v>45844.87</v>
      </c>
      <c r="N415" s="20">
        <v>44344.87</v>
      </c>
      <c r="O415" s="20">
        <v>44344.87</v>
      </c>
      <c r="P415" s="20">
        <f t="shared" si="81"/>
        <v>-45844.87</v>
      </c>
      <c r="Q415" s="20" t="e">
        <f>#REF!-N415</f>
        <v>#REF!</v>
      </c>
      <c r="R415" s="20" t="e">
        <f>#REF!-O415</f>
        <v>#REF!</v>
      </c>
      <c r="S415" s="17" t="str">
        <f t="shared" ref="S415:S500" si="83">CONCATENATE(F415,G415)</f>
        <v>73 1 00 00000000</v>
      </c>
    </row>
    <row r="416" spans="1:19" s="29" customFormat="1" ht="31.5">
      <c r="A416" s="28"/>
      <c r="B416" s="144" t="s">
        <v>18</v>
      </c>
      <c r="C416" s="109" t="s">
        <v>332</v>
      </c>
      <c r="D416" s="108" t="s">
        <v>11</v>
      </c>
      <c r="E416" s="108" t="s">
        <v>334</v>
      </c>
      <c r="F416" s="108" t="s">
        <v>339</v>
      </c>
      <c r="G416" s="108" t="s">
        <v>9</v>
      </c>
      <c r="H416" s="126">
        <f>H417+H420+H422</f>
        <v>0</v>
      </c>
      <c r="I416" s="108">
        <v>7310010010</v>
      </c>
      <c r="J416" s="108" t="str">
        <f t="shared" si="80"/>
        <v>7310010010</v>
      </c>
      <c r="K416" s="132"/>
      <c r="L416" s="17"/>
      <c r="M416" s="20">
        <v>6243.8</v>
      </c>
      <c r="N416" s="20">
        <v>4743.8</v>
      </c>
      <c r="O416" s="20">
        <v>4743.8</v>
      </c>
      <c r="P416" s="20">
        <f t="shared" si="81"/>
        <v>-6243.8</v>
      </c>
      <c r="Q416" s="20" t="e">
        <f>#REF!-N416</f>
        <v>#REF!</v>
      </c>
      <c r="R416" s="20" t="e">
        <f>#REF!-O416</f>
        <v>#REF!</v>
      </c>
      <c r="S416" s="17" t="str">
        <f t="shared" si="83"/>
        <v>73 1 00 10010000</v>
      </c>
    </row>
    <row r="417" spans="1:19" s="29" customFormat="1" ht="31.5">
      <c r="A417" s="28"/>
      <c r="B417" s="127" t="s">
        <v>20</v>
      </c>
      <c r="C417" s="109" t="s">
        <v>332</v>
      </c>
      <c r="D417" s="108" t="s">
        <v>11</v>
      </c>
      <c r="E417" s="108" t="s">
        <v>334</v>
      </c>
      <c r="F417" s="108" t="s">
        <v>339</v>
      </c>
      <c r="G417" s="108" t="s">
        <v>21</v>
      </c>
      <c r="H417" s="126">
        <f>SUM(H418:H419)</f>
        <v>0</v>
      </c>
      <c r="I417" s="108">
        <v>7310010010</v>
      </c>
      <c r="J417" s="108" t="str">
        <f t="shared" si="80"/>
        <v>7310010010</v>
      </c>
      <c r="K417" s="132"/>
      <c r="L417" s="17"/>
      <c r="M417" s="20">
        <v>1291.3399999999999</v>
      </c>
      <c r="N417" s="20">
        <v>1291.3399999999999</v>
      </c>
      <c r="O417" s="20">
        <v>1291.3399999999999</v>
      </c>
      <c r="P417" s="20">
        <f t="shared" si="81"/>
        <v>-1291.3399999999999</v>
      </c>
      <c r="Q417" s="20" t="e">
        <f>#REF!-N417</f>
        <v>#REF!</v>
      </c>
      <c r="R417" s="20" t="e">
        <f>#REF!-O417</f>
        <v>#REF!</v>
      </c>
      <c r="S417" s="17" t="str">
        <f t="shared" si="83"/>
        <v>73 1 00 10010120</v>
      </c>
    </row>
    <row r="418" spans="1:19" s="31" customFormat="1" ht="47.25">
      <c r="A418" s="30"/>
      <c r="B418" s="127" t="s">
        <v>22</v>
      </c>
      <c r="C418" s="109" t="s">
        <v>332</v>
      </c>
      <c r="D418" s="108" t="s">
        <v>11</v>
      </c>
      <c r="E418" s="108" t="s">
        <v>334</v>
      </c>
      <c r="F418" s="108" t="s">
        <v>339</v>
      </c>
      <c r="G418" s="108" t="s">
        <v>23</v>
      </c>
      <c r="H418" s="126"/>
      <c r="I418" s="108">
        <v>7310010010</v>
      </c>
      <c r="J418" s="108" t="str">
        <f t="shared" si="80"/>
        <v>7310010010</v>
      </c>
      <c r="K418" s="304" t="str">
        <f t="shared" ref="K418:K419" si="84">C418&amp;D418&amp;E418&amp;J418&amp;G418</f>
        <v>60401067310010010122</v>
      </c>
      <c r="L418" s="297"/>
      <c r="M418" s="22"/>
      <c r="N418" s="22"/>
      <c r="O418" s="22"/>
      <c r="P418" s="22"/>
      <c r="Q418" s="22"/>
      <c r="R418" s="22"/>
      <c r="S418" s="24"/>
    </row>
    <row r="419" spans="1:19" s="31" customFormat="1" ht="63">
      <c r="A419" s="30"/>
      <c r="B419" s="127" t="s">
        <v>26</v>
      </c>
      <c r="C419" s="109" t="s">
        <v>332</v>
      </c>
      <c r="D419" s="108" t="s">
        <v>11</v>
      </c>
      <c r="E419" s="108" t="s">
        <v>334</v>
      </c>
      <c r="F419" s="108" t="s">
        <v>339</v>
      </c>
      <c r="G419" s="108" t="s">
        <v>27</v>
      </c>
      <c r="H419" s="126"/>
      <c r="I419" s="108">
        <v>7310010010</v>
      </c>
      <c r="J419" s="108" t="str">
        <f t="shared" si="80"/>
        <v>7310010010</v>
      </c>
      <c r="K419" s="304" t="str">
        <f t="shared" si="84"/>
        <v>60401067310010010129</v>
      </c>
      <c r="L419" s="297"/>
      <c r="M419" s="22"/>
      <c r="N419" s="22"/>
      <c r="O419" s="22"/>
      <c r="P419" s="22"/>
      <c r="Q419" s="22"/>
      <c r="R419" s="22"/>
      <c r="S419" s="24"/>
    </row>
    <row r="420" spans="1:19" s="29" customFormat="1" ht="31.5">
      <c r="A420" s="28"/>
      <c r="B420" s="125" t="s">
        <v>28</v>
      </c>
      <c r="C420" s="109" t="s">
        <v>332</v>
      </c>
      <c r="D420" s="108" t="s">
        <v>11</v>
      </c>
      <c r="E420" s="108" t="s">
        <v>334</v>
      </c>
      <c r="F420" s="108" t="s">
        <v>339</v>
      </c>
      <c r="G420" s="108" t="s">
        <v>29</v>
      </c>
      <c r="H420" s="126">
        <f>H421</f>
        <v>0</v>
      </c>
      <c r="I420" s="108">
        <v>7310010010</v>
      </c>
      <c r="J420" s="108" t="str">
        <f t="shared" si="80"/>
        <v>7310010010</v>
      </c>
      <c r="K420" s="132"/>
      <c r="L420" s="17"/>
      <c r="M420" s="20">
        <v>4891.99</v>
      </c>
      <c r="N420" s="20">
        <v>3391.99</v>
      </c>
      <c r="O420" s="20">
        <v>3391.99</v>
      </c>
      <c r="P420" s="20">
        <f>H420-M420</f>
        <v>-4891.99</v>
      </c>
      <c r="Q420" s="20" t="e">
        <f>#REF!-N420</f>
        <v>#REF!</v>
      </c>
      <c r="R420" s="20" t="e">
        <f>#REF!-O420</f>
        <v>#REF!</v>
      </c>
      <c r="S420" s="17" t="str">
        <f t="shared" si="83"/>
        <v>73 1 00 10010240</v>
      </c>
    </row>
    <row r="421" spans="1:19" s="29" customFormat="1" ht="15.75">
      <c r="A421" s="28"/>
      <c r="B421" s="125" t="s">
        <v>30</v>
      </c>
      <c r="C421" s="109" t="s">
        <v>332</v>
      </c>
      <c r="D421" s="108" t="s">
        <v>11</v>
      </c>
      <c r="E421" s="108" t="s">
        <v>334</v>
      </c>
      <c r="F421" s="108" t="s">
        <v>339</v>
      </c>
      <c r="G421" s="108" t="s">
        <v>31</v>
      </c>
      <c r="H421" s="126"/>
      <c r="I421" s="108">
        <v>7310010010</v>
      </c>
      <c r="J421" s="108" t="str">
        <f t="shared" si="80"/>
        <v>7310010010</v>
      </c>
      <c r="K421" s="304" t="str">
        <f>C421&amp;D421&amp;E421&amp;J421&amp;G421</f>
        <v>60401067310010010244</v>
      </c>
      <c r="L421" s="296"/>
      <c r="M421" s="20"/>
      <c r="N421" s="20"/>
      <c r="O421" s="20"/>
      <c r="P421" s="20"/>
      <c r="Q421" s="20"/>
      <c r="R421" s="20"/>
      <c r="S421" s="17"/>
    </row>
    <row r="422" spans="1:19" s="29" customFormat="1" ht="15.75">
      <c r="A422" s="28"/>
      <c r="B422" s="125" t="s">
        <v>32</v>
      </c>
      <c r="C422" s="109" t="s">
        <v>332</v>
      </c>
      <c r="D422" s="108" t="s">
        <v>11</v>
      </c>
      <c r="E422" s="108" t="s">
        <v>334</v>
      </c>
      <c r="F422" s="108" t="s">
        <v>339</v>
      </c>
      <c r="G422" s="108" t="s">
        <v>33</v>
      </c>
      <c r="H422" s="126">
        <f>SUM(H423:H425)</f>
        <v>0</v>
      </c>
      <c r="I422" s="108">
        <v>7310010010</v>
      </c>
      <c r="J422" s="108" t="str">
        <f t="shared" si="80"/>
        <v>7310010010</v>
      </c>
      <c r="K422" s="132"/>
      <c r="L422" s="17"/>
      <c r="M422" s="20">
        <v>60.47</v>
      </c>
      <c r="N422" s="20">
        <v>60.47</v>
      </c>
      <c r="O422" s="20">
        <v>60.47</v>
      </c>
      <c r="P422" s="20">
        <f>H422-M422</f>
        <v>-60.47</v>
      </c>
      <c r="Q422" s="20" t="e">
        <f>#REF!-N422</f>
        <v>#REF!</v>
      </c>
      <c r="R422" s="20" t="e">
        <f>#REF!-O422</f>
        <v>#REF!</v>
      </c>
      <c r="S422" s="17" t="str">
        <f t="shared" si="83"/>
        <v>73 1 00 10010850</v>
      </c>
    </row>
    <row r="423" spans="1:19" s="31" customFormat="1" ht="31.5">
      <c r="A423" s="30"/>
      <c r="B423" s="127" t="s">
        <v>34</v>
      </c>
      <c r="C423" s="109" t="s">
        <v>332</v>
      </c>
      <c r="D423" s="108" t="s">
        <v>11</v>
      </c>
      <c r="E423" s="108" t="s">
        <v>334</v>
      </c>
      <c r="F423" s="108" t="s">
        <v>339</v>
      </c>
      <c r="G423" s="108" t="s">
        <v>35</v>
      </c>
      <c r="H423" s="126"/>
      <c r="I423" s="108">
        <v>7310010010</v>
      </c>
      <c r="J423" s="108" t="str">
        <f t="shared" si="80"/>
        <v>7310010010</v>
      </c>
      <c r="K423" s="304" t="str">
        <f t="shared" ref="K423:K425" si="85">C423&amp;D423&amp;E423&amp;J423&amp;G423</f>
        <v>60401067310010010851</v>
      </c>
      <c r="L423" s="297"/>
      <c r="M423" s="22"/>
      <c r="N423" s="22"/>
      <c r="O423" s="22"/>
      <c r="P423" s="22"/>
      <c r="Q423" s="22"/>
      <c r="R423" s="22"/>
      <c r="S423" s="24"/>
    </row>
    <row r="424" spans="1:19" s="31" customFormat="1" ht="15.75">
      <c r="A424" s="30"/>
      <c r="B424" s="127" t="s">
        <v>36</v>
      </c>
      <c r="C424" s="109" t="s">
        <v>332</v>
      </c>
      <c r="D424" s="108" t="s">
        <v>11</v>
      </c>
      <c r="E424" s="108" t="s">
        <v>334</v>
      </c>
      <c r="F424" s="108" t="s">
        <v>339</v>
      </c>
      <c r="G424" s="108" t="s">
        <v>37</v>
      </c>
      <c r="H424" s="126"/>
      <c r="I424" s="108">
        <v>7310010010</v>
      </c>
      <c r="J424" s="108" t="str">
        <f t="shared" si="80"/>
        <v>7310010010</v>
      </c>
      <c r="K424" s="304" t="str">
        <f t="shared" si="85"/>
        <v>60401067310010010852</v>
      </c>
      <c r="L424" s="297"/>
      <c r="M424" s="22"/>
      <c r="N424" s="22"/>
      <c r="O424" s="22"/>
      <c r="P424" s="22"/>
      <c r="Q424" s="22"/>
      <c r="R424" s="22"/>
      <c r="S424" s="24"/>
    </row>
    <row r="425" spans="1:19" s="31" customFormat="1" ht="15.75">
      <c r="A425" s="30"/>
      <c r="B425" s="127" t="s">
        <v>77</v>
      </c>
      <c r="C425" s="109" t="s">
        <v>332</v>
      </c>
      <c r="D425" s="108" t="s">
        <v>11</v>
      </c>
      <c r="E425" s="108" t="s">
        <v>334</v>
      </c>
      <c r="F425" s="108" t="s">
        <v>339</v>
      </c>
      <c r="G425" s="108" t="s">
        <v>78</v>
      </c>
      <c r="H425" s="126"/>
      <c r="I425" s="108">
        <v>7310010010</v>
      </c>
      <c r="J425" s="108" t="str">
        <f t="shared" si="80"/>
        <v>7310010010</v>
      </c>
      <c r="K425" s="304" t="str">
        <f t="shared" si="85"/>
        <v>60401067310010010853</v>
      </c>
      <c r="L425" s="297"/>
      <c r="M425" s="22"/>
      <c r="N425" s="22"/>
      <c r="O425" s="22"/>
      <c r="P425" s="22"/>
      <c r="Q425" s="22"/>
      <c r="R425" s="22"/>
      <c r="S425" s="24"/>
    </row>
    <row r="426" spans="1:19" s="29" customFormat="1" ht="31.5">
      <c r="A426" s="28"/>
      <c r="B426" s="144" t="s">
        <v>38</v>
      </c>
      <c r="C426" s="109" t="s">
        <v>332</v>
      </c>
      <c r="D426" s="108" t="s">
        <v>11</v>
      </c>
      <c r="E426" s="108" t="s">
        <v>334</v>
      </c>
      <c r="F426" s="108" t="s">
        <v>340</v>
      </c>
      <c r="G426" s="108" t="s">
        <v>9</v>
      </c>
      <c r="H426" s="126">
        <f>H427</f>
        <v>0</v>
      </c>
      <c r="I426" s="108">
        <v>7310010020</v>
      </c>
      <c r="J426" s="108" t="str">
        <f t="shared" si="80"/>
        <v>7310010020</v>
      </c>
      <c r="K426" s="132"/>
      <c r="L426" s="17"/>
      <c r="M426" s="20">
        <v>39601.07</v>
      </c>
      <c r="N426" s="20">
        <v>39601.07</v>
      </c>
      <c r="O426" s="20">
        <v>39601.07</v>
      </c>
      <c r="P426" s="20">
        <f>H426-M426</f>
        <v>-39601.07</v>
      </c>
      <c r="Q426" s="20" t="e">
        <f>#REF!-N426</f>
        <v>#REF!</v>
      </c>
      <c r="R426" s="20" t="e">
        <f>#REF!-O426</f>
        <v>#REF!</v>
      </c>
      <c r="S426" s="17" t="str">
        <f t="shared" si="83"/>
        <v>73 1 00 10020000</v>
      </c>
    </row>
    <row r="427" spans="1:19" s="29" customFormat="1" ht="31.5">
      <c r="A427" s="28"/>
      <c r="B427" s="127" t="s">
        <v>20</v>
      </c>
      <c r="C427" s="109" t="s">
        <v>332</v>
      </c>
      <c r="D427" s="108" t="s">
        <v>11</v>
      </c>
      <c r="E427" s="108" t="s">
        <v>334</v>
      </c>
      <c r="F427" s="108" t="s">
        <v>340</v>
      </c>
      <c r="G427" s="108" t="s">
        <v>21</v>
      </c>
      <c r="H427" s="126">
        <f>SUM(H428:H429)</f>
        <v>0</v>
      </c>
      <c r="I427" s="108">
        <v>7310010020</v>
      </c>
      <c r="J427" s="108" t="str">
        <f t="shared" si="80"/>
        <v>7310010020</v>
      </c>
      <c r="K427" s="132"/>
      <c r="L427" s="17"/>
      <c r="M427" s="20">
        <v>39601.07</v>
      </c>
      <c r="N427" s="20">
        <v>39601.07</v>
      </c>
      <c r="O427" s="20">
        <v>39601.07</v>
      </c>
      <c r="P427" s="20">
        <f>H427-M427</f>
        <v>-39601.07</v>
      </c>
      <c r="Q427" s="20" t="e">
        <f>#REF!-N427</f>
        <v>#REF!</v>
      </c>
      <c r="R427" s="20" t="e">
        <f>#REF!-O427</f>
        <v>#REF!</v>
      </c>
      <c r="S427" s="17" t="str">
        <f t="shared" si="83"/>
        <v>73 1 00 10020120</v>
      </c>
    </row>
    <row r="428" spans="1:19" s="31" customFormat="1" ht="31.5">
      <c r="A428" s="30"/>
      <c r="B428" s="127" t="s">
        <v>40</v>
      </c>
      <c r="C428" s="109" t="s">
        <v>332</v>
      </c>
      <c r="D428" s="108" t="s">
        <v>11</v>
      </c>
      <c r="E428" s="108" t="s">
        <v>334</v>
      </c>
      <c r="F428" s="108" t="s">
        <v>340</v>
      </c>
      <c r="G428" s="108" t="s">
        <v>41</v>
      </c>
      <c r="H428" s="126"/>
      <c r="I428" s="108">
        <v>7310010020</v>
      </c>
      <c r="J428" s="108" t="str">
        <f t="shared" si="80"/>
        <v>7310010020</v>
      </c>
      <c r="K428" s="304" t="str">
        <f t="shared" ref="K428:K429" si="86">C428&amp;D428&amp;E428&amp;J428&amp;G428</f>
        <v>60401067310010020121</v>
      </c>
      <c r="L428" s="297"/>
      <c r="M428" s="22"/>
      <c r="N428" s="22"/>
      <c r="O428" s="22"/>
      <c r="P428" s="22"/>
      <c r="Q428" s="22"/>
      <c r="R428" s="22"/>
      <c r="S428" s="24"/>
    </row>
    <row r="429" spans="1:19" s="31" customFormat="1" ht="63">
      <c r="A429" s="30"/>
      <c r="B429" s="127" t="s">
        <v>26</v>
      </c>
      <c r="C429" s="109" t="s">
        <v>332</v>
      </c>
      <c r="D429" s="108" t="s">
        <v>11</v>
      </c>
      <c r="E429" s="108" t="s">
        <v>334</v>
      </c>
      <c r="F429" s="108" t="s">
        <v>340</v>
      </c>
      <c r="G429" s="108" t="s">
        <v>27</v>
      </c>
      <c r="H429" s="126"/>
      <c r="I429" s="108">
        <v>7310010020</v>
      </c>
      <c r="J429" s="108" t="str">
        <f t="shared" si="80"/>
        <v>7310010020</v>
      </c>
      <c r="K429" s="304" t="str">
        <f t="shared" si="86"/>
        <v>60401067310010020129</v>
      </c>
      <c r="L429" s="297"/>
      <c r="M429" s="22"/>
      <c r="N429" s="22"/>
      <c r="O429" s="22"/>
      <c r="P429" s="22"/>
      <c r="Q429" s="22"/>
      <c r="R429" s="22"/>
      <c r="S429" s="24"/>
    </row>
    <row r="430" spans="1:19" s="29" customFormat="1" ht="15.75">
      <c r="A430" s="28"/>
      <c r="B430" s="121" t="s">
        <v>341</v>
      </c>
      <c r="C430" s="122" t="s">
        <v>332</v>
      </c>
      <c r="D430" s="123" t="s">
        <v>11</v>
      </c>
      <c r="E430" s="123" t="s">
        <v>342</v>
      </c>
      <c r="F430" s="123" t="s">
        <v>8</v>
      </c>
      <c r="G430" s="123" t="s">
        <v>343</v>
      </c>
      <c r="H430" s="124">
        <f>H431</f>
        <v>0</v>
      </c>
      <c r="I430" s="123">
        <v>0</v>
      </c>
      <c r="J430" s="123" t="str">
        <f t="shared" si="80"/>
        <v>0000000000</v>
      </c>
      <c r="K430" s="132"/>
      <c r="L430" s="17"/>
      <c r="M430" s="19">
        <v>12775.54</v>
      </c>
      <c r="N430" s="19">
        <v>12775.54</v>
      </c>
      <c r="O430" s="19">
        <v>12775.54</v>
      </c>
      <c r="P430" s="19">
        <f t="shared" ref="P430:P440" si="87">H430-M430</f>
        <v>-12775.54</v>
      </c>
      <c r="Q430" s="19" t="e">
        <f>#REF!-N430</f>
        <v>#REF!</v>
      </c>
      <c r="R430" s="19" t="e">
        <f>#REF!-O430</f>
        <v>#REF!</v>
      </c>
      <c r="S430" s="17" t="str">
        <f t="shared" si="83"/>
        <v xml:space="preserve">00 0 00 00000000 </v>
      </c>
    </row>
    <row r="431" spans="1:19" s="29" customFormat="1" ht="63">
      <c r="A431" s="28"/>
      <c r="B431" s="125" t="s">
        <v>87</v>
      </c>
      <c r="C431" s="109" t="s">
        <v>332</v>
      </c>
      <c r="D431" s="108" t="s">
        <v>11</v>
      </c>
      <c r="E431" s="108" t="s">
        <v>342</v>
      </c>
      <c r="F431" s="108" t="s">
        <v>88</v>
      </c>
      <c r="G431" s="108" t="s">
        <v>9</v>
      </c>
      <c r="H431" s="126">
        <f>H432</f>
        <v>0</v>
      </c>
      <c r="I431" s="108">
        <v>9800000000</v>
      </c>
      <c r="J431" s="108" t="str">
        <f t="shared" si="80"/>
        <v>9800000000</v>
      </c>
      <c r="K431" s="132"/>
      <c r="L431" s="17"/>
      <c r="M431" s="20">
        <v>12775.54</v>
      </c>
      <c r="N431" s="20">
        <v>12775.54</v>
      </c>
      <c r="O431" s="20">
        <v>12775.54</v>
      </c>
      <c r="P431" s="20">
        <f t="shared" si="87"/>
        <v>-12775.54</v>
      </c>
      <c r="Q431" s="20" t="e">
        <f>#REF!-N431</f>
        <v>#REF!</v>
      </c>
      <c r="R431" s="20" t="e">
        <f>#REF!-O431</f>
        <v>#REF!</v>
      </c>
      <c r="S431" s="17" t="str">
        <f t="shared" si="83"/>
        <v>98 0 00 00000000</v>
      </c>
    </row>
    <row r="432" spans="1:19" s="29" customFormat="1" ht="15.75">
      <c r="A432" s="28"/>
      <c r="B432" s="125" t="s">
        <v>89</v>
      </c>
      <c r="C432" s="109" t="s">
        <v>332</v>
      </c>
      <c r="D432" s="108" t="s">
        <v>11</v>
      </c>
      <c r="E432" s="108" t="s">
        <v>342</v>
      </c>
      <c r="F432" s="108" t="s">
        <v>90</v>
      </c>
      <c r="G432" s="108" t="s">
        <v>9</v>
      </c>
      <c r="H432" s="126">
        <f>H433</f>
        <v>0</v>
      </c>
      <c r="I432" s="108">
        <v>9810000000</v>
      </c>
      <c r="J432" s="108" t="str">
        <f t="shared" si="80"/>
        <v>9810000000</v>
      </c>
      <c r="K432" s="132"/>
      <c r="L432" s="17"/>
      <c r="M432" s="20">
        <v>12775.54</v>
      </c>
      <c r="N432" s="20">
        <v>12775.54</v>
      </c>
      <c r="O432" s="20">
        <v>12775.54</v>
      </c>
      <c r="P432" s="20">
        <f t="shared" si="87"/>
        <v>-12775.54</v>
      </c>
      <c r="Q432" s="20" t="e">
        <f>#REF!-N432</f>
        <v>#REF!</v>
      </c>
      <c r="R432" s="20" t="e">
        <f>#REF!-O432</f>
        <v>#REF!</v>
      </c>
      <c r="S432" s="17" t="str">
        <f t="shared" si="83"/>
        <v>98 1 00 00000000</v>
      </c>
    </row>
    <row r="433" spans="1:19" s="29" customFormat="1" ht="15.75">
      <c r="A433" s="28"/>
      <c r="B433" s="125" t="s">
        <v>344</v>
      </c>
      <c r="C433" s="109" t="s">
        <v>332</v>
      </c>
      <c r="D433" s="108" t="s">
        <v>11</v>
      </c>
      <c r="E433" s="108" t="s">
        <v>342</v>
      </c>
      <c r="F433" s="108" t="s">
        <v>345</v>
      </c>
      <c r="G433" s="108" t="s">
        <v>9</v>
      </c>
      <c r="H433" s="126">
        <f>H434</f>
        <v>0</v>
      </c>
      <c r="I433" s="108">
        <v>9810020020</v>
      </c>
      <c r="J433" s="108" t="str">
        <f t="shared" si="80"/>
        <v>9810020020</v>
      </c>
      <c r="K433" s="132"/>
      <c r="L433" s="17"/>
      <c r="M433" s="20">
        <v>12775.54</v>
      </c>
      <c r="N433" s="20">
        <v>12775.54</v>
      </c>
      <c r="O433" s="20">
        <v>12775.54</v>
      </c>
      <c r="P433" s="20">
        <f t="shared" si="87"/>
        <v>-12775.54</v>
      </c>
      <c r="Q433" s="20" t="e">
        <f>#REF!-N433</f>
        <v>#REF!</v>
      </c>
      <c r="R433" s="20" t="e">
        <f>#REF!-O433</f>
        <v>#REF!</v>
      </c>
      <c r="S433" s="17" t="str">
        <f t="shared" si="83"/>
        <v>98 1 00 20020000</v>
      </c>
    </row>
    <row r="434" spans="1:19" s="29" customFormat="1" ht="15.75">
      <c r="A434" s="28"/>
      <c r="B434" s="125" t="s">
        <v>346</v>
      </c>
      <c r="C434" s="109" t="s">
        <v>332</v>
      </c>
      <c r="D434" s="108" t="s">
        <v>11</v>
      </c>
      <c r="E434" s="108" t="s">
        <v>342</v>
      </c>
      <c r="F434" s="108" t="s">
        <v>345</v>
      </c>
      <c r="G434" s="108" t="s">
        <v>347</v>
      </c>
      <c r="H434" s="126"/>
      <c r="I434" s="108">
        <v>9810020020</v>
      </c>
      <c r="J434" s="108" t="str">
        <f t="shared" si="80"/>
        <v>9810020020</v>
      </c>
      <c r="K434" s="304" t="str">
        <f>C434&amp;D434&amp;E434&amp;J434&amp;G434</f>
        <v>60401119810020020870</v>
      </c>
      <c r="L434" s="17"/>
      <c r="M434" s="20">
        <v>12775.54</v>
      </c>
      <c r="N434" s="20">
        <v>12775.54</v>
      </c>
      <c r="O434" s="20">
        <v>12775.54</v>
      </c>
      <c r="P434" s="20">
        <f t="shared" si="87"/>
        <v>-12775.54</v>
      </c>
      <c r="Q434" s="20" t="e">
        <f>#REF!-N434</f>
        <v>#REF!</v>
      </c>
      <c r="R434" s="20" t="e">
        <f>#REF!-O434</f>
        <v>#REF!</v>
      </c>
      <c r="S434" s="17" t="str">
        <f t="shared" si="83"/>
        <v>98 1 00 20020870</v>
      </c>
    </row>
    <row r="435" spans="1:19" s="29" customFormat="1" ht="15.75">
      <c r="A435" s="28"/>
      <c r="B435" s="121" t="s">
        <v>50</v>
      </c>
      <c r="C435" s="122" t="s">
        <v>332</v>
      </c>
      <c r="D435" s="123" t="s">
        <v>11</v>
      </c>
      <c r="E435" s="123" t="s">
        <v>51</v>
      </c>
      <c r="F435" s="123" t="s">
        <v>8</v>
      </c>
      <c r="G435" s="123" t="s">
        <v>9</v>
      </c>
      <c r="H435" s="124">
        <f>H442+H436</f>
        <v>0</v>
      </c>
      <c r="I435" s="123">
        <v>0</v>
      </c>
      <c r="J435" s="123" t="str">
        <f t="shared" si="80"/>
        <v>0000000000</v>
      </c>
      <c r="K435" s="132"/>
      <c r="L435" s="17"/>
      <c r="M435" s="19">
        <v>52233.729999999996</v>
      </c>
      <c r="N435" s="19">
        <v>96539.11</v>
      </c>
      <c r="O435" s="19">
        <v>119416.2</v>
      </c>
      <c r="P435" s="19">
        <f t="shared" si="87"/>
        <v>-52233.729999999996</v>
      </c>
      <c r="Q435" s="19" t="e">
        <f>#REF!-N435</f>
        <v>#REF!</v>
      </c>
      <c r="R435" s="19" t="e">
        <f>#REF!-O435</f>
        <v>#REF!</v>
      </c>
      <c r="S435" s="17" t="str">
        <f t="shared" si="83"/>
        <v>00 0 00 00000000</v>
      </c>
    </row>
    <row r="436" spans="1:19" s="29" customFormat="1" ht="47.25">
      <c r="A436" s="28"/>
      <c r="B436" s="127" t="s">
        <v>348</v>
      </c>
      <c r="C436" s="109" t="s">
        <v>332</v>
      </c>
      <c r="D436" s="108" t="s">
        <v>11</v>
      </c>
      <c r="E436" s="108" t="s">
        <v>51</v>
      </c>
      <c r="F436" s="108" t="s">
        <v>349</v>
      </c>
      <c r="G436" s="108" t="s">
        <v>9</v>
      </c>
      <c r="H436" s="126">
        <f t="shared" ref="H436:H439" si="88">H437</f>
        <v>0</v>
      </c>
      <c r="I436" s="108">
        <v>1000000000</v>
      </c>
      <c r="J436" s="108" t="str">
        <f t="shared" si="80"/>
        <v>1000000000</v>
      </c>
      <c r="K436" s="132"/>
      <c r="L436" s="17"/>
      <c r="M436" s="20">
        <v>3544.42</v>
      </c>
      <c r="N436" s="20">
        <v>9744.42</v>
      </c>
      <c r="O436" s="20">
        <v>9744.42</v>
      </c>
      <c r="P436" s="20">
        <f t="shared" si="87"/>
        <v>-3544.42</v>
      </c>
      <c r="Q436" s="20" t="e">
        <f>#REF!-N436</f>
        <v>#REF!</v>
      </c>
      <c r="R436" s="20" t="e">
        <f>#REF!-O436</f>
        <v>#REF!</v>
      </c>
      <c r="S436" s="17" t="str">
        <f t="shared" si="83"/>
        <v>10 0 00 00000000</v>
      </c>
    </row>
    <row r="437" spans="1:19" s="29" customFormat="1" ht="47.25">
      <c r="A437" s="28"/>
      <c r="B437" s="127" t="s">
        <v>350</v>
      </c>
      <c r="C437" s="109" t="s">
        <v>332</v>
      </c>
      <c r="D437" s="108" t="s">
        <v>11</v>
      </c>
      <c r="E437" s="108" t="s">
        <v>51</v>
      </c>
      <c r="F437" s="108" t="s">
        <v>351</v>
      </c>
      <c r="G437" s="108" t="s">
        <v>9</v>
      </c>
      <c r="H437" s="126">
        <f t="shared" si="88"/>
        <v>0</v>
      </c>
      <c r="I437" s="108" t="s">
        <v>1193</v>
      </c>
      <c r="J437" s="108" t="str">
        <f t="shared" si="80"/>
        <v>10Б0000000</v>
      </c>
      <c r="K437" s="132"/>
      <c r="L437" s="17"/>
      <c r="M437" s="20">
        <v>3544.42</v>
      </c>
      <c r="N437" s="20">
        <v>9744.42</v>
      </c>
      <c r="O437" s="20">
        <v>9744.42</v>
      </c>
      <c r="P437" s="20">
        <f t="shared" si="87"/>
        <v>-3544.42</v>
      </c>
      <c r="Q437" s="20" t="e">
        <f>#REF!-N437</f>
        <v>#REF!</v>
      </c>
      <c r="R437" s="20" t="e">
        <f>#REF!-O437</f>
        <v>#REF!</v>
      </c>
      <c r="S437" s="17" t="str">
        <f t="shared" si="83"/>
        <v>10 Б 00 00000000</v>
      </c>
    </row>
    <row r="438" spans="1:19" s="29" customFormat="1" ht="78.75">
      <c r="A438" s="28"/>
      <c r="B438" s="127" t="s">
        <v>352</v>
      </c>
      <c r="C438" s="109" t="s">
        <v>332</v>
      </c>
      <c r="D438" s="108" t="s">
        <v>11</v>
      </c>
      <c r="E438" s="108" t="s">
        <v>51</v>
      </c>
      <c r="F438" s="108" t="s">
        <v>353</v>
      </c>
      <c r="G438" s="108" t="s">
        <v>9</v>
      </c>
      <c r="H438" s="126">
        <f t="shared" si="88"/>
        <v>0</v>
      </c>
      <c r="I438" s="108" t="s">
        <v>1194</v>
      </c>
      <c r="J438" s="108" t="str">
        <f t="shared" si="80"/>
        <v>10Б0100000</v>
      </c>
      <c r="K438" s="132"/>
      <c r="L438" s="17"/>
      <c r="M438" s="20">
        <v>3544.42</v>
      </c>
      <c r="N438" s="20">
        <v>9744.42</v>
      </c>
      <c r="O438" s="20">
        <v>9744.42</v>
      </c>
      <c r="P438" s="20">
        <f t="shared" si="87"/>
        <v>-3544.42</v>
      </c>
      <c r="Q438" s="20" t="e">
        <f>#REF!-N438</f>
        <v>#REF!</v>
      </c>
      <c r="R438" s="20" t="e">
        <f>#REF!-O438</f>
        <v>#REF!</v>
      </c>
      <c r="S438" s="17" t="str">
        <f t="shared" si="83"/>
        <v>10 Б 01 00000000</v>
      </c>
    </row>
    <row r="439" spans="1:19" s="29" customFormat="1" ht="31.5">
      <c r="A439" s="28"/>
      <c r="B439" s="125" t="s">
        <v>187</v>
      </c>
      <c r="C439" s="109" t="s">
        <v>332</v>
      </c>
      <c r="D439" s="108" t="s">
        <v>11</v>
      </c>
      <c r="E439" s="108" t="s">
        <v>51</v>
      </c>
      <c r="F439" s="108" t="s">
        <v>354</v>
      </c>
      <c r="G439" s="108" t="s">
        <v>9</v>
      </c>
      <c r="H439" s="126">
        <f t="shared" si="88"/>
        <v>0</v>
      </c>
      <c r="I439" s="108" t="s">
        <v>1195</v>
      </c>
      <c r="J439" s="108" t="str">
        <f t="shared" si="80"/>
        <v>10Б0120050</v>
      </c>
      <c r="K439" s="132"/>
      <c r="L439" s="17"/>
      <c r="M439" s="20">
        <v>3544.42</v>
      </c>
      <c r="N439" s="20">
        <v>9744.42</v>
      </c>
      <c r="O439" s="20">
        <v>9744.42</v>
      </c>
      <c r="P439" s="20">
        <f t="shared" si="87"/>
        <v>-3544.42</v>
      </c>
      <c r="Q439" s="20" t="e">
        <f>#REF!-N439</f>
        <v>#REF!</v>
      </c>
      <c r="R439" s="20" t="e">
        <f>#REF!-O439</f>
        <v>#REF!</v>
      </c>
      <c r="S439" s="17" t="str">
        <f t="shared" si="83"/>
        <v>10 Б 01 20050000</v>
      </c>
    </row>
    <row r="440" spans="1:19" s="29" customFormat="1" ht="15.75">
      <c r="A440" s="28"/>
      <c r="B440" s="125" t="s">
        <v>189</v>
      </c>
      <c r="C440" s="109" t="s">
        <v>332</v>
      </c>
      <c r="D440" s="108" t="s">
        <v>11</v>
      </c>
      <c r="E440" s="108" t="s">
        <v>51</v>
      </c>
      <c r="F440" s="108" t="s">
        <v>354</v>
      </c>
      <c r="G440" s="108" t="s">
        <v>190</v>
      </c>
      <c r="H440" s="126">
        <f>H441</f>
        <v>0</v>
      </c>
      <c r="I440" s="108" t="s">
        <v>1195</v>
      </c>
      <c r="J440" s="108" t="str">
        <f t="shared" si="80"/>
        <v>10Б0120050</v>
      </c>
      <c r="K440" s="132"/>
      <c r="L440" s="17"/>
      <c r="M440" s="20">
        <v>3544.42</v>
      </c>
      <c r="N440" s="20">
        <v>9744.42</v>
      </c>
      <c r="O440" s="20">
        <v>9744.42</v>
      </c>
      <c r="P440" s="20">
        <f t="shared" si="87"/>
        <v>-3544.42</v>
      </c>
      <c r="Q440" s="20" t="e">
        <f>#REF!-N440</f>
        <v>#REF!</v>
      </c>
      <c r="R440" s="20" t="e">
        <f>#REF!-O440</f>
        <v>#REF!</v>
      </c>
      <c r="S440" s="17" t="str">
        <f t="shared" si="83"/>
        <v>10 Б 01 20050830</v>
      </c>
    </row>
    <row r="441" spans="1:19" s="29" customFormat="1" ht="47.25">
      <c r="A441" s="28"/>
      <c r="B441" s="125" t="s">
        <v>191</v>
      </c>
      <c r="C441" s="109" t="s">
        <v>332</v>
      </c>
      <c r="D441" s="108" t="s">
        <v>11</v>
      </c>
      <c r="E441" s="108" t="s">
        <v>51</v>
      </c>
      <c r="F441" s="108" t="s">
        <v>354</v>
      </c>
      <c r="G441" s="108" t="s">
        <v>192</v>
      </c>
      <c r="H441" s="126"/>
      <c r="I441" s="108" t="s">
        <v>1195</v>
      </c>
      <c r="J441" s="108" t="str">
        <f t="shared" si="80"/>
        <v>10Б0120050</v>
      </c>
      <c r="K441" s="304" t="str">
        <f>C441&amp;D441&amp;E441&amp;J441&amp;G441</f>
        <v>604011310Б0120050831</v>
      </c>
      <c r="L441" s="296"/>
      <c r="M441" s="20"/>
      <c r="N441" s="20"/>
      <c r="O441" s="20"/>
      <c r="P441" s="20"/>
      <c r="Q441" s="20"/>
      <c r="R441" s="20"/>
      <c r="S441" s="17" t="str">
        <f t="shared" si="83"/>
        <v>10 Б 01 20050831</v>
      </c>
    </row>
    <row r="442" spans="1:19" s="29" customFormat="1" ht="63">
      <c r="A442" s="28"/>
      <c r="B442" s="125" t="s">
        <v>87</v>
      </c>
      <c r="C442" s="109" t="s">
        <v>332</v>
      </c>
      <c r="D442" s="108" t="s">
        <v>11</v>
      </c>
      <c r="E442" s="108" t="s">
        <v>51</v>
      </c>
      <c r="F442" s="108" t="s">
        <v>88</v>
      </c>
      <c r="G442" s="108" t="s">
        <v>9</v>
      </c>
      <c r="H442" s="126">
        <f>H443</f>
        <v>0</v>
      </c>
      <c r="I442" s="108">
        <v>9800000000</v>
      </c>
      <c r="J442" s="108" t="str">
        <f t="shared" si="80"/>
        <v>9800000000</v>
      </c>
      <c r="K442" s="132"/>
      <c r="L442" s="17"/>
      <c r="M442" s="20">
        <v>48689.31</v>
      </c>
      <c r="N442" s="20">
        <v>86794.69</v>
      </c>
      <c r="O442" s="20">
        <v>109671.78</v>
      </c>
      <c r="P442" s="20">
        <f t="shared" ref="P442:P463" si="89">H442-M442</f>
        <v>-48689.31</v>
      </c>
      <c r="Q442" s="20" t="e">
        <f>#REF!-N442</f>
        <v>#REF!</v>
      </c>
      <c r="R442" s="20" t="e">
        <f>#REF!-O442</f>
        <v>#REF!</v>
      </c>
      <c r="S442" s="17" t="str">
        <f t="shared" si="83"/>
        <v>98 0 00 00000000</v>
      </c>
    </row>
    <row r="443" spans="1:19" s="29" customFormat="1" ht="15.75">
      <c r="A443" s="28"/>
      <c r="B443" s="125" t="s">
        <v>89</v>
      </c>
      <c r="C443" s="109" t="s">
        <v>332</v>
      </c>
      <c r="D443" s="108" t="s">
        <v>11</v>
      </c>
      <c r="E443" s="108" t="s">
        <v>51</v>
      </c>
      <c r="F443" s="108" t="s">
        <v>90</v>
      </c>
      <c r="G443" s="108" t="s">
        <v>9</v>
      </c>
      <c r="H443" s="126">
        <f>H444+H446</f>
        <v>0</v>
      </c>
      <c r="I443" s="108">
        <v>9810000000</v>
      </c>
      <c r="J443" s="108" t="str">
        <f t="shared" si="80"/>
        <v>9810000000</v>
      </c>
      <c r="K443" s="132"/>
      <c r="L443" s="17"/>
      <c r="M443" s="20">
        <v>48689.31</v>
      </c>
      <c r="N443" s="20">
        <v>86794.69</v>
      </c>
      <c r="O443" s="20">
        <v>109671.78</v>
      </c>
      <c r="P443" s="20">
        <f t="shared" si="89"/>
        <v>-48689.31</v>
      </c>
      <c r="Q443" s="20" t="e">
        <f>#REF!-N443</f>
        <v>#REF!</v>
      </c>
      <c r="R443" s="20" t="e">
        <f>#REF!-O443</f>
        <v>#REF!</v>
      </c>
      <c r="S443" s="17" t="str">
        <f t="shared" si="83"/>
        <v>98 1 00 00000000</v>
      </c>
    </row>
    <row r="444" spans="1:19" s="29" customFormat="1" ht="47.25">
      <c r="A444" s="28"/>
      <c r="B444" s="125" t="s">
        <v>355</v>
      </c>
      <c r="C444" s="109" t="s">
        <v>332</v>
      </c>
      <c r="D444" s="108" t="s">
        <v>11</v>
      </c>
      <c r="E444" s="108" t="s">
        <v>51</v>
      </c>
      <c r="F444" s="108" t="s">
        <v>356</v>
      </c>
      <c r="G444" s="108" t="s">
        <v>9</v>
      </c>
      <c r="H444" s="126">
        <f>H445</f>
        <v>0</v>
      </c>
      <c r="I444" s="108">
        <v>9810010050</v>
      </c>
      <c r="J444" s="108" t="str">
        <f t="shared" si="80"/>
        <v>9810010050</v>
      </c>
      <c r="K444" s="132"/>
      <c r="L444" s="17"/>
      <c r="M444" s="20">
        <v>2000</v>
      </c>
      <c r="N444" s="20">
        <v>2000</v>
      </c>
      <c r="O444" s="20">
        <v>2000</v>
      </c>
      <c r="P444" s="20">
        <f t="shared" si="89"/>
        <v>-2000</v>
      </c>
      <c r="Q444" s="20" t="e">
        <f>#REF!-N444</f>
        <v>#REF!</v>
      </c>
      <c r="R444" s="20" t="e">
        <f>#REF!-O444</f>
        <v>#REF!</v>
      </c>
      <c r="S444" s="17" t="str">
        <f t="shared" si="83"/>
        <v>98 1 00 10050000</v>
      </c>
    </row>
    <row r="445" spans="1:19" s="29" customFormat="1" ht="15.75">
      <c r="A445" s="28"/>
      <c r="B445" s="129" t="s">
        <v>357</v>
      </c>
      <c r="C445" s="109" t="s">
        <v>332</v>
      </c>
      <c r="D445" s="108" t="s">
        <v>11</v>
      </c>
      <c r="E445" s="108" t="s">
        <v>51</v>
      </c>
      <c r="F445" s="108" t="s">
        <v>356</v>
      </c>
      <c r="G445" s="108" t="s">
        <v>358</v>
      </c>
      <c r="H445" s="126"/>
      <c r="I445" s="108">
        <v>9810010050</v>
      </c>
      <c r="J445" s="108" t="str">
        <f t="shared" si="80"/>
        <v>9810010050</v>
      </c>
      <c r="K445" s="304" t="str">
        <f>C445&amp;D445&amp;E445&amp;J445&amp;G445</f>
        <v>60401139810010050880</v>
      </c>
      <c r="L445" s="17"/>
      <c r="M445" s="20">
        <v>2000</v>
      </c>
      <c r="N445" s="20">
        <v>2000</v>
      </c>
      <c r="O445" s="20">
        <v>2000</v>
      </c>
      <c r="P445" s="20">
        <f t="shared" si="89"/>
        <v>-2000</v>
      </c>
      <c r="Q445" s="20" t="e">
        <f>#REF!-N445</f>
        <v>#REF!</v>
      </c>
      <c r="R445" s="20" t="e">
        <f>#REF!-O445</f>
        <v>#REF!</v>
      </c>
      <c r="S445" s="17" t="str">
        <f t="shared" si="83"/>
        <v>98 1 00 10050880</v>
      </c>
    </row>
    <row r="446" spans="1:19" s="29" customFormat="1" ht="63">
      <c r="A446" s="28"/>
      <c r="B446" s="135" t="s">
        <v>359</v>
      </c>
      <c r="C446" s="109" t="s">
        <v>332</v>
      </c>
      <c r="D446" s="108" t="s">
        <v>11</v>
      </c>
      <c r="E446" s="108" t="s">
        <v>51</v>
      </c>
      <c r="F446" s="108" t="s">
        <v>360</v>
      </c>
      <c r="G446" s="108" t="s">
        <v>9</v>
      </c>
      <c r="H446" s="126">
        <f>H447</f>
        <v>0</v>
      </c>
      <c r="I446" s="108">
        <v>9810021440</v>
      </c>
      <c r="J446" s="108" t="str">
        <f t="shared" si="80"/>
        <v>9810021440</v>
      </c>
      <c r="K446" s="132"/>
      <c r="L446" s="17"/>
      <c r="M446" s="20">
        <v>33189.31</v>
      </c>
      <c r="N446" s="20">
        <v>68381</v>
      </c>
      <c r="O446" s="20">
        <v>74187.88</v>
      </c>
      <c r="P446" s="20">
        <f t="shared" si="89"/>
        <v>-33189.31</v>
      </c>
      <c r="Q446" s="20" t="e">
        <f>#REF!-N446</f>
        <v>#REF!</v>
      </c>
      <c r="R446" s="20" t="e">
        <f>#REF!-O446</f>
        <v>#REF!</v>
      </c>
      <c r="S446" s="17" t="str">
        <f t="shared" si="83"/>
        <v>98 1 00 21440000</v>
      </c>
    </row>
    <row r="447" spans="1:19" s="29" customFormat="1" ht="15.75">
      <c r="A447" s="28"/>
      <c r="B447" s="129" t="s">
        <v>357</v>
      </c>
      <c r="C447" s="109" t="s">
        <v>332</v>
      </c>
      <c r="D447" s="108" t="s">
        <v>11</v>
      </c>
      <c r="E447" s="108" t="s">
        <v>51</v>
      </c>
      <c r="F447" s="108" t="s">
        <v>360</v>
      </c>
      <c r="G447" s="108" t="s">
        <v>358</v>
      </c>
      <c r="H447" s="126"/>
      <c r="I447" s="108">
        <v>9810021440</v>
      </c>
      <c r="J447" s="108" t="str">
        <f t="shared" si="80"/>
        <v>9810021440</v>
      </c>
      <c r="K447" s="304" t="str">
        <f>C447&amp;D447&amp;E447&amp;J447&amp;G447</f>
        <v>60401139810021440880</v>
      </c>
      <c r="L447" s="17"/>
      <c r="M447" s="20">
        <v>33189.31</v>
      </c>
      <c r="N447" s="20">
        <v>68381</v>
      </c>
      <c r="O447" s="20">
        <v>74187.88</v>
      </c>
      <c r="P447" s="20">
        <f t="shared" si="89"/>
        <v>-33189.31</v>
      </c>
      <c r="Q447" s="20" t="e">
        <f>#REF!-N447</f>
        <v>#REF!</v>
      </c>
      <c r="R447" s="20" t="e">
        <f>#REF!-O447</f>
        <v>#REF!</v>
      </c>
      <c r="S447" s="17" t="str">
        <f t="shared" si="83"/>
        <v>98 1 00 21440880</v>
      </c>
    </row>
    <row r="448" spans="1:19" s="29" customFormat="1" ht="31.5">
      <c r="A448" s="28"/>
      <c r="B448" s="117" t="s">
        <v>363</v>
      </c>
      <c r="C448" s="118" t="s">
        <v>332</v>
      </c>
      <c r="D448" s="119" t="s">
        <v>51</v>
      </c>
      <c r="E448" s="119" t="s">
        <v>7</v>
      </c>
      <c r="F448" s="119" t="s">
        <v>8</v>
      </c>
      <c r="G448" s="119" t="s">
        <v>9</v>
      </c>
      <c r="H448" s="120">
        <f t="shared" ref="H448:H453" si="90">H449</f>
        <v>0</v>
      </c>
      <c r="I448" s="119">
        <v>0</v>
      </c>
      <c r="J448" s="119" t="str">
        <f t="shared" si="80"/>
        <v>0000000000</v>
      </c>
      <c r="K448" s="132"/>
      <c r="L448" s="17"/>
      <c r="M448" s="18">
        <v>174715</v>
      </c>
      <c r="N448" s="18">
        <v>223370</v>
      </c>
      <c r="O448" s="18">
        <v>261938</v>
      </c>
      <c r="P448" s="18">
        <f t="shared" si="89"/>
        <v>-174715</v>
      </c>
      <c r="Q448" s="18" t="e">
        <f>#REF!-N448</f>
        <v>#REF!</v>
      </c>
      <c r="R448" s="18" t="e">
        <f>#REF!-O448</f>
        <v>#REF!</v>
      </c>
      <c r="S448" s="17" t="str">
        <f t="shared" si="83"/>
        <v>00 0 00 00000000</v>
      </c>
    </row>
    <row r="449" spans="1:19" s="29" customFormat="1" ht="31.5">
      <c r="A449" s="28"/>
      <c r="B449" s="121" t="s">
        <v>364</v>
      </c>
      <c r="C449" s="122" t="s">
        <v>332</v>
      </c>
      <c r="D449" s="123" t="s">
        <v>51</v>
      </c>
      <c r="E449" s="123" t="s">
        <v>11</v>
      </c>
      <c r="F449" s="123" t="s">
        <v>8</v>
      </c>
      <c r="G449" s="123" t="s">
        <v>9</v>
      </c>
      <c r="H449" s="124">
        <f t="shared" si="90"/>
        <v>0</v>
      </c>
      <c r="I449" s="123">
        <v>0</v>
      </c>
      <c r="J449" s="123" t="str">
        <f t="shared" si="80"/>
        <v>0000000000</v>
      </c>
      <c r="K449" s="132"/>
      <c r="L449" s="17"/>
      <c r="M449" s="19">
        <v>174715</v>
      </c>
      <c r="N449" s="19">
        <v>223370</v>
      </c>
      <c r="O449" s="19">
        <v>261938</v>
      </c>
      <c r="P449" s="19">
        <f t="shared" si="89"/>
        <v>-174715</v>
      </c>
      <c r="Q449" s="19" t="e">
        <f>#REF!-N449</f>
        <v>#REF!</v>
      </c>
      <c r="R449" s="19" t="e">
        <f>#REF!-O449</f>
        <v>#REF!</v>
      </c>
      <c r="S449" s="17" t="str">
        <f t="shared" si="83"/>
        <v>00 0 00 00000000</v>
      </c>
    </row>
    <row r="450" spans="1:19" s="29" customFormat="1" ht="47.25">
      <c r="A450" s="28"/>
      <c r="B450" s="127" t="s">
        <v>348</v>
      </c>
      <c r="C450" s="109" t="s">
        <v>332</v>
      </c>
      <c r="D450" s="108" t="s">
        <v>51</v>
      </c>
      <c r="E450" s="108" t="s">
        <v>11</v>
      </c>
      <c r="F450" s="108" t="s">
        <v>349</v>
      </c>
      <c r="G450" s="108" t="s">
        <v>9</v>
      </c>
      <c r="H450" s="126">
        <f t="shared" si="90"/>
        <v>0</v>
      </c>
      <c r="I450" s="108">
        <v>1000000000</v>
      </c>
      <c r="J450" s="108" t="str">
        <f t="shared" si="80"/>
        <v>1000000000</v>
      </c>
      <c r="K450" s="132"/>
      <c r="L450" s="17"/>
      <c r="M450" s="20">
        <v>174715</v>
      </c>
      <c r="N450" s="20">
        <v>223370</v>
      </c>
      <c r="O450" s="20">
        <v>261938</v>
      </c>
      <c r="P450" s="20">
        <f t="shared" si="89"/>
        <v>-174715</v>
      </c>
      <c r="Q450" s="20" t="e">
        <f>#REF!-N450</f>
        <v>#REF!</v>
      </c>
      <c r="R450" s="20" t="e">
        <f>#REF!-O450</f>
        <v>#REF!</v>
      </c>
      <c r="S450" s="17" t="str">
        <f t="shared" si="83"/>
        <v>10 0 00 00000000</v>
      </c>
    </row>
    <row r="451" spans="1:19" s="29" customFormat="1" ht="47.25">
      <c r="A451" s="28"/>
      <c r="B451" s="127" t="s">
        <v>350</v>
      </c>
      <c r="C451" s="109" t="s">
        <v>332</v>
      </c>
      <c r="D451" s="108" t="s">
        <v>51</v>
      </c>
      <c r="E451" s="108" t="s">
        <v>11</v>
      </c>
      <c r="F451" s="108" t="s">
        <v>351</v>
      </c>
      <c r="G451" s="108" t="s">
        <v>9</v>
      </c>
      <c r="H451" s="126">
        <f t="shared" si="90"/>
        <v>0</v>
      </c>
      <c r="I451" s="108" t="s">
        <v>1193</v>
      </c>
      <c r="J451" s="108" t="str">
        <f t="shared" si="80"/>
        <v>10Б0000000</v>
      </c>
      <c r="K451" s="132"/>
      <c r="L451" s="17"/>
      <c r="M451" s="20">
        <v>174715</v>
      </c>
      <c r="N451" s="20">
        <v>223370</v>
      </c>
      <c r="O451" s="20">
        <v>261938</v>
      </c>
      <c r="P451" s="20">
        <f t="shared" si="89"/>
        <v>-174715</v>
      </c>
      <c r="Q451" s="20" t="e">
        <f>#REF!-N451</f>
        <v>#REF!</v>
      </c>
      <c r="R451" s="20" t="e">
        <f>#REF!-O451</f>
        <v>#REF!</v>
      </c>
      <c r="S451" s="17" t="str">
        <f t="shared" si="83"/>
        <v>10 Б 00 00000000</v>
      </c>
    </row>
    <row r="452" spans="1:19" s="29" customFormat="1" ht="63">
      <c r="A452" s="28"/>
      <c r="B452" s="127" t="s">
        <v>365</v>
      </c>
      <c r="C452" s="109" t="s">
        <v>332</v>
      </c>
      <c r="D452" s="108" t="s">
        <v>51</v>
      </c>
      <c r="E452" s="108" t="s">
        <v>11</v>
      </c>
      <c r="F452" s="108" t="s">
        <v>366</v>
      </c>
      <c r="G452" s="108" t="s">
        <v>9</v>
      </c>
      <c r="H452" s="126">
        <f t="shared" si="90"/>
        <v>0</v>
      </c>
      <c r="I452" s="108" t="s">
        <v>1196</v>
      </c>
      <c r="J452" s="108" t="str">
        <f t="shared" si="80"/>
        <v>10Б0200000</v>
      </c>
      <c r="K452" s="132"/>
      <c r="L452" s="17"/>
      <c r="M452" s="20">
        <v>174715</v>
      </c>
      <c r="N452" s="20">
        <v>223370</v>
      </c>
      <c r="O452" s="20">
        <v>261938</v>
      </c>
      <c r="P452" s="20">
        <f t="shared" si="89"/>
        <v>-174715</v>
      </c>
      <c r="Q452" s="20" t="e">
        <f>#REF!-N452</f>
        <v>#REF!</v>
      </c>
      <c r="R452" s="20" t="e">
        <f>#REF!-O452</f>
        <v>#REF!</v>
      </c>
      <c r="S452" s="17" t="str">
        <f t="shared" si="83"/>
        <v>10 Б 02 00000000</v>
      </c>
    </row>
    <row r="453" spans="1:19" s="29" customFormat="1" ht="31.5">
      <c r="A453" s="28"/>
      <c r="B453" s="127" t="s">
        <v>367</v>
      </c>
      <c r="C453" s="109" t="s">
        <v>332</v>
      </c>
      <c r="D453" s="108" t="s">
        <v>51</v>
      </c>
      <c r="E453" s="108" t="s">
        <v>11</v>
      </c>
      <c r="F453" s="108" t="s">
        <v>368</v>
      </c>
      <c r="G453" s="108" t="s">
        <v>9</v>
      </c>
      <c r="H453" s="126">
        <f t="shared" si="90"/>
        <v>0</v>
      </c>
      <c r="I453" s="108" t="s">
        <v>1197</v>
      </c>
      <c r="J453" s="108" t="str">
        <f t="shared" si="80"/>
        <v>10Б0220010</v>
      </c>
      <c r="K453" s="132"/>
      <c r="L453" s="17"/>
      <c r="M453" s="20">
        <v>174715</v>
      </c>
      <c r="N453" s="20">
        <v>223370</v>
      </c>
      <c r="O453" s="20">
        <v>261938</v>
      </c>
      <c r="P453" s="20">
        <f t="shared" si="89"/>
        <v>-174715</v>
      </c>
      <c r="Q453" s="20" t="e">
        <f>#REF!-N453</f>
        <v>#REF!</v>
      </c>
      <c r="R453" s="20" t="e">
        <f>#REF!-O453</f>
        <v>#REF!</v>
      </c>
      <c r="S453" s="17" t="str">
        <f t="shared" si="83"/>
        <v>10 Б 02 20010000</v>
      </c>
    </row>
    <row r="454" spans="1:19" s="29" customFormat="1" ht="15.75">
      <c r="A454" s="28"/>
      <c r="B454" s="127" t="s">
        <v>369</v>
      </c>
      <c r="C454" s="109" t="s">
        <v>332</v>
      </c>
      <c r="D454" s="108" t="s">
        <v>51</v>
      </c>
      <c r="E454" s="108" t="s">
        <v>11</v>
      </c>
      <c r="F454" s="108" t="s">
        <v>368</v>
      </c>
      <c r="G454" s="108" t="s">
        <v>370</v>
      </c>
      <c r="H454" s="126"/>
      <c r="I454" s="108" t="s">
        <v>1197</v>
      </c>
      <c r="J454" s="108" t="str">
        <f t="shared" si="80"/>
        <v>10Б0220010</v>
      </c>
      <c r="K454" s="304" t="str">
        <f>C454&amp;D454&amp;E454&amp;J454&amp;G454</f>
        <v>604130110Б0220010730</v>
      </c>
      <c r="L454" s="17"/>
      <c r="M454" s="20">
        <v>174715</v>
      </c>
      <c r="N454" s="20">
        <v>223370</v>
      </c>
      <c r="O454" s="20">
        <v>261938</v>
      </c>
      <c r="P454" s="20">
        <f t="shared" si="89"/>
        <v>-174715</v>
      </c>
      <c r="Q454" s="20" t="e">
        <f>#REF!-N454</f>
        <v>#REF!</v>
      </c>
      <c r="R454" s="20" t="e">
        <f>#REF!-O454</f>
        <v>#REF!</v>
      </c>
      <c r="S454" s="17" t="str">
        <f t="shared" si="83"/>
        <v>10 Б 02 20010730</v>
      </c>
    </row>
    <row r="455" spans="1:19" s="29" customFormat="1" ht="15.75">
      <c r="A455" s="28"/>
      <c r="B455" s="127"/>
      <c r="C455" s="109"/>
      <c r="D455" s="108"/>
      <c r="E455" s="108"/>
      <c r="F455" s="108"/>
      <c r="G455" s="108"/>
      <c r="H455" s="126"/>
      <c r="I455" s="108"/>
      <c r="J455" s="108" t="str">
        <f t="shared" si="80"/>
        <v>0000000000</v>
      </c>
      <c r="K455" s="296"/>
      <c r="L455" s="296"/>
      <c r="M455" s="20"/>
      <c r="N455" s="20"/>
      <c r="O455" s="20"/>
      <c r="P455" s="20">
        <f t="shared" si="89"/>
        <v>0</v>
      </c>
      <c r="Q455" s="20" t="e">
        <f>#REF!-N455</f>
        <v>#REF!</v>
      </c>
      <c r="R455" s="20" t="e">
        <f>#REF!-O455</f>
        <v>#REF!</v>
      </c>
      <c r="S455" s="17" t="str">
        <f t="shared" si="83"/>
        <v/>
      </c>
    </row>
    <row r="456" spans="1:19" s="16" customFormat="1" ht="31.5">
      <c r="A456" s="14"/>
      <c r="B456" s="67" t="s">
        <v>371</v>
      </c>
      <c r="C456" s="116" t="s">
        <v>372</v>
      </c>
      <c r="D456" s="69" t="s">
        <v>7</v>
      </c>
      <c r="E456" s="69" t="s">
        <v>7</v>
      </c>
      <c r="F456" s="69" t="s">
        <v>8</v>
      </c>
      <c r="G456" s="69" t="s">
        <v>9</v>
      </c>
      <c r="H456" s="70">
        <f>H457+H489+H481</f>
        <v>0</v>
      </c>
      <c r="I456" s="69">
        <v>0</v>
      </c>
      <c r="J456" s="69" t="str">
        <f t="shared" si="80"/>
        <v>0000000000</v>
      </c>
      <c r="K456" s="132"/>
      <c r="L456" s="17"/>
      <c r="M456" s="25">
        <v>32190.38</v>
      </c>
      <c r="N456" s="25">
        <v>32190.38</v>
      </c>
      <c r="O456" s="25">
        <v>32190.38</v>
      </c>
      <c r="P456" s="25">
        <f t="shared" si="89"/>
        <v>-32190.38</v>
      </c>
      <c r="Q456" s="25" t="e">
        <f>#REF!-N456</f>
        <v>#REF!</v>
      </c>
      <c r="R456" s="25" t="e">
        <f>#REF!-O456</f>
        <v>#REF!</v>
      </c>
      <c r="S456" s="17" t="str">
        <f t="shared" si="83"/>
        <v>00 0 00 00000000</v>
      </c>
    </row>
    <row r="457" spans="1:19" s="34" customFormat="1" ht="15.75">
      <c r="A457" s="33"/>
      <c r="B457" s="117" t="s">
        <v>10</v>
      </c>
      <c r="C457" s="118" t="s">
        <v>372</v>
      </c>
      <c r="D457" s="119" t="s">
        <v>11</v>
      </c>
      <c r="E457" s="119" t="s">
        <v>7</v>
      </c>
      <c r="F457" s="119" t="s">
        <v>8</v>
      </c>
      <c r="G457" s="119" t="s">
        <v>9</v>
      </c>
      <c r="H457" s="120">
        <f t="shared" ref="H457:H465" si="91">H458</f>
        <v>0</v>
      </c>
      <c r="I457" s="119">
        <v>0</v>
      </c>
      <c r="J457" s="119" t="str">
        <f t="shared" si="80"/>
        <v>0000000000</v>
      </c>
      <c r="K457" s="132"/>
      <c r="L457" s="17"/>
      <c r="M457" s="18">
        <v>28843.86</v>
      </c>
      <c r="N457" s="18">
        <v>28843.86</v>
      </c>
      <c r="O457" s="18">
        <v>28843.86</v>
      </c>
      <c r="P457" s="18">
        <f t="shared" si="89"/>
        <v>-28843.86</v>
      </c>
      <c r="Q457" s="18" t="e">
        <f>#REF!-N457</f>
        <v>#REF!</v>
      </c>
      <c r="R457" s="18" t="e">
        <f>#REF!-O457</f>
        <v>#REF!</v>
      </c>
      <c r="S457" s="17" t="str">
        <f t="shared" si="83"/>
        <v>00 0 00 00000000</v>
      </c>
    </row>
    <row r="458" spans="1:19" s="23" customFormat="1" ht="15.75">
      <c r="A458" s="21"/>
      <c r="B458" s="121" t="s">
        <v>50</v>
      </c>
      <c r="C458" s="122" t="s">
        <v>372</v>
      </c>
      <c r="D458" s="123" t="s">
        <v>11</v>
      </c>
      <c r="E458" s="123" t="s">
        <v>51</v>
      </c>
      <c r="F458" s="123" t="s">
        <v>8</v>
      </c>
      <c r="G458" s="123" t="s">
        <v>9</v>
      </c>
      <c r="H458" s="124">
        <f>H465+H459</f>
        <v>0</v>
      </c>
      <c r="I458" s="123">
        <v>0</v>
      </c>
      <c r="J458" s="123" t="str">
        <f t="shared" si="80"/>
        <v>0000000000</v>
      </c>
      <c r="K458" s="132"/>
      <c r="L458" s="17"/>
      <c r="M458" s="19">
        <v>28843.86</v>
      </c>
      <c r="N458" s="19">
        <v>28843.86</v>
      </c>
      <c r="O458" s="19">
        <v>28843.86</v>
      </c>
      <c r="P458" s="19">
        <f t="shared" si="89"/>
        <v>-28843.86</v>
      </c>
      <c r="Q458" s="19" t="e">
        <f>#REF!-N458</f>
        <v>#REF!</v>
      </c>
      <c r="R458" s="19" t="e">
        <f>#REF!-O458</f>
        <v>#REF!</v>
      </c>
      <c r="S458" s="17" t="str">
        <f t="shared" si="83"/>
        <v>00 0 00 00000000</v>
      </c>
    </row>
    <row r="459" spans="1:19" s="16" customFormat="1" ht="47.25">
      <c r="A459" s="14"/>
      <c r="B459" s="125" t="s">
        <v>146</v>
      </c>
      <c r="C459" s="109" t="s">
        <v>372</v>
      </c>
      <c r="D459" s="108" t="s">
        <v>11</v>
      </c>
      <c r="E459" s="108" t="s">
        <v>51</v>
      </c>
      <c r="F459" s="108" t="s">
        <v>147</v>
      </c>
      <c r="G459" s="108" t="s">
        <v>9</v>
      </c>
      <c r="H459" s="126">
        <f t="shared" ref="H459:H462" si="92">H460</f>
        <v>0</v>
      </c>
      <c r="I459" s="108">
        <v>1500000000</v>
      </c>
      <c r="J459" s="108" t="str">
        <f t="shared" si="80"/>
        <v>1500000000</v>
      </c>
      <c r="K459" s="132"/>
      <c r="L459" s="17"/>
      <c r="M459" s="20">
        <v>7.6499999999999995</v>
      </c>
      <c r="N459" s="20">
        <v>7.6499999999999995</v>
      </c>
      <c r="O459" s="20">
        <v>7.6499999999999995</v>
      </c>
      <c r="P459" s="20">
        <f t="shared" si="89"/>
        <v>-7.6499999999999995</v>
      </c>
      <c r="Q459" s="20" t="e">
        <f>#REF!-N459</f>
        <v>#REF!</v>
      </c>
      <c r="R459" s="20" t="e">
        <f>#REF!-O459</f>
        <v>#REF!</v>
      </c>
      <c r="S459" s="17" t="str">
        <f t="shared" si="83"/>
        <v>15 0 00 00000000</v>
      </c>
    </row>
    <row r="460" spans="1:19" s="16" customFormat="1" ht="31.5">
      <c r="A460" s="14"/>
      <c r="B460" s="125" t="s">
        <v>373</v>
      </c>
      <c r="C460" s="109" t="s">
        <v>372</v>
      </c>
      <c r="D460" s="108" t="s">
        <v>11</v>
      </c>
      <c r="E460" s="108" t="s">
        <v>51</v>
      </c>
      <c r="F460" s="108" t="s">
        <v>169</v>
      </c>
      <c r="G460" s="108" t="s">
        <v>9</v>
      </c>
      <c r="H460" s="126">
        <f t="shared" si="92"/>
        <v>0</v>
      </c>
      <c r="I460" s="108">
        <v>1530000000</v>
      </c>
      <c r="J460" s="108" t="str">
        <f t="shared" si="80"/>
        <v>1530000000</v>
      </c>
      <c r="K460" s="132"/>
      <c r="L460" s="17"/>
      <c r="M460" s="20">
        <v>7.6499999999999995</v>
      </c>
      <c r="N460" s="20">
        <v>7.6499999999999995</v>
      </c>
      <c r="O460" s="20">
        <v>7.6499999999999995</v>
      </c>
      <c r="P460" s="20">
        <f t="shared" si="89"/>
        <v>-7.6499999999999995</v>
      </c>
      <c r="Q460" s="20" t="e">
        <f>#REF!-N460</f>
        <v>#REF!</v>
      </c>
      <c r="R460" s="20" t="e">
        <f>#REF!-O460</f>
        <v>#REF!</v>
      </c>
      <c r="S460" s="17" t="str">
        <f t="shared" si="83"/>
        <v>15 3 00 00000000</v>
      </c>
    </row>
    <row r="461" spans="1:19" s="16" customFormat="1" ht="31.5">
      <c r="A461" s="14"/>
      <c r="B461" s="125" t="s">
        <v>374</v>
      </c>
      <c r="C461" s="109" t="s">
        <v>372</v>
      </c>
      <c r="D461" s="108" t="s">
        <v>11</v>
      </c>
      <c r="E461" s="108" t="s">
        <v>51</v>
      </c>
      <c r="F461" s="108" t="s">
        <v>375</v>
      </c>
      <c r="G461" s="108" t="s">
        <v>9</v>
      </c>
      <c r="H461" s="126">
        <f t="shared" si="92"/>
        <v>0</v>
      </c>
      <c r="I461" s="108">
        <v>1530100000</v>
      </c>
      <c r="J461" s="108" t="str">
        <f t="shared" si="80"/>
        <v>1530100000</v>
      </c>
      <c r="K461" s="132"/>
      <c r="L461" s="17"/>
      <c r="M461" s="20">
        <v>7.6499999999999995</v>
      </c>
      <c r="N461" s="20">
        <v>7.6499999999999995</v>
      </c>
      <c r="O461" s="20">
        <v>7.6499999999999995</v>
      </c>
      <c r="P461" s="20">
        <f t="shared" si="89"/>
        <v>-7.6499999999999995</v>
      </c>
      <c r="Q461" s="20" t="e">
        <f>#REF!-N461</f>
        <v>#REF!</v>
      </c>
      <c r="R461" s="20" t="e">
        <f>#REF!-O461</f>
        <v>#REF!</v>
      </c>
      <c r="S461" s="17" t="str">
        <f t="shared" si="83"/>
        <v>15 3 01 00000000</v>
      </c>
    </row>
    <row r="462" spans="1:19" s="16" customFormat="1" ht="31.5">
      <c r="A462" s="14"/>
      <c r="B462" s="125" t="s">
        <v>376</v>
      </c>
      <c r="C462" s="109" t="s">
        <v>372</v>
      </c>
      <c r="D462" s="108" t="s">
        <v>11</v>
      </c>
      <c r="E462" s="108" t="s">
        <v>51</v>
      </c>
      <c r="F462" s="108" t="s">
        <v>377</v>
      </c>
      <c r="G462" s="108" t="s">
        <v>9</v>
      </c>
      <c r="H462" s="126">
        <f t="shared" si="92"/>
        <v>0</v>
      </c>
      <c r="I462" s="108">
        <v>1530120660</v>
      </c>
      <c r="J462" s="108" t="str">
        <f t="shared" si="80"/>
        <v>1530120660</v>
      </c>
      <c r="K462" s="132"/>
      <c r="L462" s="17"/>
      <c r="M462" s="20">
        <v>7.6499999999999995</v>
      </c>
      <c r="N462" s="20">
        <v>7.6499999999999995</v>
      </c>
      <c r="O462" s="20">
        <v>7.6499999999999995</v>
      </c>
      <c r="P462" s="20">
        <f t="shared" si="89"/>
        <v>-7.6499999999999995</v>
      </c>
      <c r="Q462" s="20" t="e">
        <f>#REF!-N462</f>
        <v>#REF!</v>
      </c>
      <c r="R462" s="20" t="e">
        <f>#REF!-O462</f>
        <v>#REF!</v>
      </c>
      <c r="S462" s="17" t="str">
        <f t="shared" si="83"/>
        <v>15 3 01 20660000</v>
      </c>
    </row>
    <row r="463" spans="1:19" s="16" customFormat="1" ht="31.5">
      <c r="A463" s="14"/>
      <c r="B463" s="125" t="s">
        <v>28</v>
      </c>
      <c r="C463" s="109" t="s">
        <v>372</v>
      </c>
      <c r="D463" s="108" t="s">
        <v>11</v>
      </c>
      <c r="E463" s="108" t="s">
        <v>51</v>
      </c>
      <c r="F463" s="108" t="s">
        <v>377</v>
      </c>
      <c r="G463" s="108" t="s">
        <v>29</v>
      </c>
      <c r="H463" s="126">
        <f>H464</f>
        <v>0</v>
      </c>
      <c r="I463" s="108">
        <v>1530120660</v>
      </c>
      <c r="J463" s="108" t="str">
        <f t="shared" si="80"/>
        <v>1530120660</v>
      </c>
      <c r="K463" s="132"/>
      <c r="L463" s="17"/>
      <c r="M463" s="20">
        <v>7.6499999999999995</v>
      </c>
      <c r="N463" s="20">
        <v>7.6499999999999995</v>
      </c>
      <c r="O463" s="20">
        <v>7.6499999999999995</v>
      </c>
      <c r="P463" s="20">
        <f t="shared" si="89"/>
        <v>-7.6499999999999995</v>
      </c>
      <c r="Q463" s="20" t="e">
        <f>#REF!-N463</f>
        <v>#REF!</v>
      </c>
      <c r="R463" s="20" t="e">
        <f>#REF!-O463</f>
        <v>#REF!</v>
      </c>
      <c r="S463" s="17" t="str">
        <f t="shared" si="83"/>
        <v>15 3 01 20660240</v>
      </c>
    </row>
    <row r="464" spans="1:19" s="16" customFormat="1" ht="15.75">
      <c r="A464" s="14"/>
      <c r="B464" s="125" t="s">
        <v>30</v>
      </c>
      <c r="C464" s="109" t="s">
        <v>372</v>
      </c>
      <c r="D464" s="108" t="s">
        <v>11</v>
      </c>
      <c r="E464" s="108" t="s">
        <v>51</v>
      </c>
      <c r="F464" s="108" t="s">
        <v>377</v>
      </c>
      <c r="G464" s="108" t="s">
        <v>31</v>
      </c>
      <c r="H464" s="126"/>
      <c r="I464" s="108">
        <v>1530120660</v>
      </c>
      <c r="J464" s="108" t="str">
        <f t="shared" si="80"/>
        <v>1530120660</v>
      </c>
      <c r="K464" s="304" t="str">
        <f>C464&amp;D464&amp;E464&amp;J464&amp;G464</f>
        <v>60501131530120660244</v>
      </c>
      <c r="L464" s="17"/>
      <c r="M464" s="20"/>
      <c r="N464" s="20"/>
      <c r="O464" s="20"/>
      <c r="P464" s="20"/>
      <c r="Q464" s="20"/>
      <c r="R464" s="20"/>
      <c r="S464" s="17" t="str">
        <f t="shared" si="83"/>
        <v>15 3 01 20660244</v>
      </c>
    </row>
    <row r="465" spans="1:19" s="16" customFormat="1" ht="31.5">
      <c r="A465" s="14"/>
      <c r="B465" s="125" t="s">
        <v>378</v>
      </c>
      <c r="C465" s="109" t="s">
        <v>372</v>
      </c>
      <c r="D465" s="108" t="s">
        <v>11</v>
      </c>
      <c r="E465" s="108" t="s">
        <v>51</v>
      </c>
      <c r="F465" s="108" t="s">
        <v>379</v>
      </c>
      <c r="G465" s="108" t="s">
        <v>9</v>
      </c>
      <c r="H465" s="126">
        <f t="shared" si="91"/>
        <v>0</v>
      </c>
      <c r="I465" s="108">
        <v>7400000000</v>
      </c>
      <c r="J465" s="108" t="str">
        <f t="shared" si="80"/>
        <v>7400000000</v>
      </c>
      <c r="K465" s="132"/>
      <c r="L465" s="17"/>
      <c r="M465" s="20">
        <v>28836.21</v>
      </c>
      <c r="N465" s="20">
        <v>28836.21</v>
      </c>
      <c r="O465" s="20">
        <v>28836.21</v>
      </c>
      <c r="P465" s="20">
        <f>H465-M465</f>
        <v>-28836.21</v>
      </c>
      <c r="Q465" s="20" t="e">
        <f>#REF!-N465</f>
        <v>#REF!</v>
      </c>
      <c r="R465" s="20" t="e">
        <f>#REF!-O465</f>
        <v>#REF!</v>
      </c>
      <c r="S465" s="17" t="str">
        <f t="shared" si="83"/>
        <v>74 0 00 00000000</v>
      </c>
    </row>
    <row r="466" spans="1:19" s="16" customFormat="1" ht="47.25">
      <c r="A466" s="14"/>
      <c r="B466" s="125" t="s">
        <v>380</v>
      </c>
      <c r="C466" s="109" t="s">
        <v>372</v>
      </c>
      <c r="D466" s="108" t="s">
        <v>11</v>
      </c>
      <c r="E466" s="108" t="s">
        <v>51</v>
      </c>
      <c r="F466" s="108" t="s">
        <v>381</v>
      </c>
      <c r="G466" s="108" t="s">
        <v>9</v>
      </c>
      <c r="H466" s="126">
        <f>H467+H477</f>
        <v>0</v>
      </c>
      <c r="I466" s="108">
        <v>7410000000</v>
      </c>
      <c r="J466" s="108" t="str">
        <f t="shared" si="80"/>
        <v>7410000000</v>
      </c>
      <c r="K466" s="132"/>
      <c r="L466" s="17"/>
      <c r="M466" s="20">
        <v>28836.21</v>
      </c>
      <c r="N466" s="20">
        <v>28836.21</v>
      </c>
      <c r="O466" s="20">
        <v>28836.21</v>
      </c>
      <c r="P466" s="20">
        <f>H466-M466</f>
        <v>-28836.21</v>
      </c>
      <c r="Q466" s="20" t="e">
        <f>#REF!-N466</f>
        <v>#REF!</v>
      </c>
      <c r="R466" s="20" t="e">
        <f>#REF!-O466</f>
        <v>#REF!</v>
      </c>
      <c r="S466" s="17" t="str">
        <f t="shared" si="83"/>
        <v>74 1 00 00000000</v>
      </c>
    </row>
    <row r="467" spans="1:19" s="16" customFormat="1" ht="31.5">
      <c r="A467" s="14"/>
      <c r="B467" s="125" t="s">
        <v>18</v>
      </c>
      <c r="C467" s="109" t="s">
        <v>372</v>
      </c>
      <c r="D467" s="108" t="s">
        <v>11</v>
      </c>
      <c r="E467" s="108" t="s">
        <v>51</v>
      </c>
      <c r="F467" s="108" t="s">
        <v>382</v>
      </c>
      <c r="G467" s="108" t="s">
        <v>9</v>
      </c>
      <c r="H467" s="126">
        <f>H468+H471+H473</f>
        <v>0</v>
      </c>
      <c r="I467" s="108">
        <v>7410010010</v>
      </c>
      <c r="J467" s="108" t="str">
        <f t="shared" si="80"/>
        <v>7410010010</v>
      </c>
      <c r="K467" s="132"/>
      <c r="L467" s="17"/>
      <c r="M467" s="20">
        <v>3616.1699999999996</v>
      </c>
      <c r="N467" s="20">
        <v>3616.1699999999996</v>
      </c>
      <c r="O467" s="20">
        <v>3616.1699999999996</v>
      </c>
      <c r="P467" s="20">
        <f>H467-M467</f>
        <v>-3616.1699999999996</v>
      </c>
      <c r="Q467" s="20" t="e">
        <f>#REF!-N467</f>
        <v>#REF!</v>
      </c>
      <c r="R467" s="20" t="e">
        <f>#REF!-O467</f>
        <v>#REF!</v>
      </c>
      <c r="S467" s="17" t="str">
        <f t="shared" si="83"/>
        <v>74 1 00 10010000</v>
      </c>
    </row>
    <row r="468" spans="1:19" s="16" customFormat="1" ht="31.5">
      <c r="A468" s="14"/>
      <c r="B468" s="127" t="s">
        <v>20</v>
      </c>
      <c r="C468" s="109" t="s">
        <v>372</v>
      </c>
      <c r="D468" s="108" t="s">
        <v>11</v>
      </c>
      <c r="E468" s="108" t="s">
        <v>51</v>
      </c>
      <c r="F468" s="108" t="s">
        <v>382</v>
      </c>
      <c r="G468" s="108" t="s">
        <v>21</v>
      </c>
      <c r="H468" s="126">
        <f>SUM(H469:H470)</f>
        <v>0</v>
      </c>
      <c r="I468" s="108">
        <v>7410010010</v>
      </c>
      <c r="J468" s="108" t="str">
        <f t="shared" si="80"/>
        <v>7410010010</v>
      </c>
      <c r="K468" s="132"/>
      <c r="L468" s="17"/>
      <c r="M468" s="20">
        <v>757.89</v>
      </c>
      <c r="N468" s="20">
        <v>757.89</v>
      </c>
      <c r="O468" s="20">
        <v>757.89</v>
      </c>
      <c r="P468" s="20">
        <f>H468-M468</f>
        <v>-757.89</v>
      </c>
      <c r="Q468" s="20" t="e">
        <f>#REF!-N468</f>
        <v>#REF!</v>
      </c>
      <c r="R468" s="20" t="e">
        <f>#REF!-O468</f>
        <v>#REF!</v>
      </c>
      <c r="S468" s="17" t="str">
        <f t="shared" si="83"/>
        <v>74 1 00 10010120</v>
      </c>
    </row>
    <row r="469" spans="1:19" s="23" customFormat="1" ht="47.25">
      <c r="A469" s="21"/>
      <c r="B469" s="127" t="s">
        <v>22</v>
      </c>
      <c r="C469" s="109" t="s">
        <v>372</v>
      </c>
      <c r="D469" s="108" t="s">
        <v>11</v>
      </c>
      <c r="E469" s="108" t="s">
        <v>51</v>
      </c>
      <c r="F469" s="108" t="s">
        <v>382</v>
      </c>
      <c r="G469" s="108" t="s">
        <v>23</v>
      </c>
      <c r="H469" s="126"/>
      <c r="I469" s="108">
        <v>7410010010</v>
      </c>
      <c r="J469" s="108" t="str">
        <f t="shared" si="80"/>
        <v>7410010010</v>
      </c>
      <c r="K469" s="304" t="str">
        <f t="shared" ref="K469:K470" si="93">C469&amp;D469&amp;E469&amp;J469&amp;G469</f>
        <v>60501137410010010122</v>
      </c>
      <c r="L469" s="24"/>
      <c r="M469" s="22"/>
      <c r="N469" s="22"/>
      <c r="O469" s="22"/>
      <c r="P469" s="22"/>
      <c r="Q469" s="22"/>
      <c r="R469" s="22"/>
      <c r="S469" s="24"/>
    </row>
    <row r="470" spans="1:19" s="23" customFormat="1" ht="63">
      <c r="A470" s="21"/>
      <c r="B470" s="127" t="s">
        <v>26</v>
      </c>
      <c r="C470" s="109" t="s">
        <v>372</v>
      </c>
      <c r="D470" s="108" t="s">
        <v>11</v>
      </c>
      <c r="E470" s="108" t="s">
        <v>51</v>
      </c>
      <c r="F470" s="108" t="s">
        <v>382</v>
      </c>
      <c r="G470" s="108" t="s">
        <v>27</v>
      </c>
      <c r="H470" s="126"/>
      <c r="I470" s="108">
        <v>7410010010</v>
      </c>
      <c r="J470" s="108" t="str">
        <f t="shared" si="80"/>
        <v>7410010010</v>
      </c>
      <c r="K470" s="304" t="str">
        <f t="shared" si="93"/>
        <v>60501137410010010129</v>
      </c>
      <c r="L470" s="24"/>
      <c r="M470" s="22"/>
      <c r="N470" s="22"/>
      <c r="O470" s="22"/>
      <c r="P470" s="22"/>
      <c r="Q470" s="22"/>
      <c r="R470" s="22"/>
      <c r="S470" s="24"/>
    </row>
    <row r="471" spans="1:19" s="16" customFormat="1" ht="31.5">
      <c r="A471" s="14"/>
      <c r="B471" s="125" t="s">
        <v>28</v>
      </c>
      <c r="C471" s="109" t="s">
        <v>372</v>
      </c>
      <c r="D471" s="108" t="s">
        <v>11</v>
      </c>
      <c r="E471" s="108" t="s">
        <v>51</v>
      </c>
      <c r="F471" s="108" t="s">
        <v>382</v>
      </c>
      <c r="G471" s="108" t="s">
        <v>29</v>
      </c>
      <c r="H471" s="126">
        <f>H472</f>
        <v>0</v>
      </c>
      <c r="I471" s="108">
        <v>7410010010</v>
      </c>
      <c r="J471" s="108" t="str">
        <f t="shared" ref="J471:J535" si="94">TEXT(I471,"0000000000")</f>
        <v>7410010010</v>
      </c>
      <c r="K471" s="132"/>
      <c r="L471" s="17"/>
      <c r="M471" s="20">
        <v>2842.3199999999997</v>
      </c>
      <c r="N471" s="20">
        <v>2842.3199999999997</v>
      </c>
      <c r="O471" s="20">
        <v>2842.3199999999997</v>
      </c>
      <c r="P471" s="20">
        <f>H471-M471</f>
        <v>-2842.3199999999997</v>
      </c>
      <c r="Q471" s="20" t="e">
        <f>#REF!-N471</f>
        <v>#REF!</v>
      </c>
      <c r="R471" s="20" t="e">
        <f>#REF!-O471</f>
        <v>#REF!</v>
      </c>
      <c r="S471" s="17" t="str">
        <f t="shared" si="83"/>
        <v>74 1 00 10010240</v>
      </c>
    </row>
    <row r="472" spans="1:19" s="16" customFormat="1" ht="15.75">
      <c r="A472" s="14"/>
      <c r="B472" s="125" t="s">
        <v>30</v>
      </c>
      <c r="C472" s="109" t="s">
        <v>372</v>
      </c>
      <c r="D472" s="108" t="s">
        <v>11</v>
      </c>
      <c r="E472" s="108" t="s">
        <v>51</v>
      </c>
      <c r="F472" s="108" t="s">
        <v>382</v>
      </c>
      <c r="G472" s="108" t="s">
        <v>31</v>
      </c>
      <c r="H472" s="126"/>
      <c r="I472" s="108">
        <v>7410010010</v>
      </c>
      <c r="J472" s="108" t="str">
        <f t="shared" si="94"/>
        <v>7410010010</v>
      </c>
      <c r="K472" s="304" t="str">
        <f>C472&amp;D472&amp;E472&amp;J472&amp;G472</f>
        <v>60501137410010010244</v>
      </c>
      <c r="L472" s="17"/>
      <c r="M472" s="20"/>
      <c r="N472" s="20"/>
      <c r="O472" s="20"/>
      <c r="P472" s="20"/>
      <c r="Q472" s="20"/>
      <c r="R472" s="20"/>
      <c r="S472" s="17"/>
    </row>
    <row r="473" spans="1:19" s="16" customFormat="1" ht="15.75">
      <c r="A473" s="14"/>
      <c r="B473" s="125" t="s">
        <v>32</v>
      </c>
      <c r="C473" s="109" t="s">
        <v>372</v>
      </c>
      <c r="D473" s="108" t="s">
        <v>11</v>
      </c>
      <c r="E473" s="108" t="s">
        <v>51</v>
      </c>
      <c r="F473" s="108" t="s">
        <v>382</v>
      </c>
      <c r="G473" s="108" t="s">
        <v>33</v>
      </c>
      <c r="H473" s="126">
        <f>SUM(H474:H476)</f>
        <v>0</v>
      </c>
      <c r="I473" s="108">
        <v>7410010010</v>
      </c>
      <c r="J473" s="108" t="str">
        <f t="shared" si="94"/>
        <v>7410010010</v>
      </c>
      <c r="K473" s="132"/>
      <c r="L473" s="17"/>
      <c r="M473" s="20">
        <v>15.96</v>
      </c>
      <c r="N473" s="20">
        <v>15.96</v>
      </c>
      <c r="O473" s="20">
        <v>15.96</v>
      </c>
      <c r="P473" s="20">
        <f>H473-M473</f>
        <v>-15.96</v>
      </c>
      <c r="Q473" s="20" t="e">
        <f>#REF!-N473</f>
        <v>#REF!</v>
      </c>
      <c r="R473" s="20" t="e">
        <f>#REF!-O473</f>
        <v>#REF!</v>
      </c>
      <c r="S473" s="17" t="str">
        <f t="shared" si="83"/>
        <v>74 1 00 10010850</v>
      </c>
    </row>
    <row r="474" spans="1:19" s="23" customFormat="1" ht="31.5">
      <c r="A474" s="21"/>
      <c r="B474" s="127" t="s">
        <v>34</v>
      </c>
      <c r="C474" s="109" t="s">
        <v>372</v>
      </c>
      <c r="D474" s="108" t="s">
        <v>11</v>
      </c>
      <c r="E474" s="108" t="s">
        <v>51</v>
      </c>
      <c r="F474" s="108" t="s">
        <v>382</v>
      </c>
      <c r="G474" s="108" t="s">
        <v>35</v>
      </c>
      <c r="H474" s="126"/>
      <c r="I474" s="108">
        <v>7410010010</v>
      </c>
      <c r="J474" s="108" t="str">
        <f t="shared" si="94"/>
        <v>7410010010</v>
      </c>
      <c r="K474" s="304" t="str">
        <f t="shared" ref="K474:K476" si="95">C474&amp;D474&amp;E474&amp;J474&amp;G474</f>
        <v>60501137410010010851</v>
      </c>
      <c r="L474" s="24"/>
      <c r="M474" s="22"/>
      <c r="N474" s="22"/>
      <c r="O474" s="22"/>
      <c r="P474" s="22"/>
      <c r="Q474" s="22"/>
      <c r="R474" s="22"/>
      <c r="S474" s="24"/>
    </row>
    <row r="475" spans="1:19" s="23" customFormat="1" ht="15.75">
      <c r="A475" s="21"/>
      <c r="B475" s="127" t="s">
        <v>36</v>
      </c>
      <c r="C475" s="109" t="s">
        <v>372</v>
      </c>
      <c r="D475" s="108" t="s">
        <v>11</v>
      </c>
      <c r="E475" s="108" t="s">
        <v>51</v>
      </c>
      <c r="F475" s="108" t="s">
        <v>382</v>
      </c>
      <c r="G475" s="108" t="s">
        <v>37</v>
      </c>
      <c r="H475" s="126"/>
      <c r="I475" s="108">
        <v>7410010010</v>
      </c>
      <c r="J475" s="108" t="str">
        <f t="shared" si="94"/>
        <v>7410010010</v>
      </c>
      <c r="K475" s="304" t="str">
        <f t="shared" si="95"/>
        <v>60501137410010010852</v>
      </c>
      <c r="L475" s="24"/>
      <c r="M475" s="22"/>
      <c r="N475" s="22"/>
      <c r="O475" s="22"/>
      <c r="P475" s="22"/>
      <c r="Q475" s="22"/>
      <c r="R475" s="22"/>
      <c r="S475" s="24"/>
    </row>
    <row r="476" spans="1:19" s="23" customFormat="1" ht="15.75">
      <c r="A476" s="21"/>
      <c r="B476" s="127" t="s">
        <v>77</v>
      </c>
      <c r="C476" s="109" t="s">
        <v>372</v>
      </c>
      <c r="D476" s="108" t="s">
        <v>11</v>
      </c>
      <c r="E476" s="108" t="s">
        <v>51</v>
      </c>
      <c r="F476" s="108" t="s">
        <v>382</v>
      </c>
      <c r="G476" s="108" t="s">
        <v>78</v>
      </c>
      <c r="H476" s="126"/>
      <c r="I476" s="108">
        <v>7410010010</v>
      </c>
      <c r="J476" s="108" t="str">
        <f t="shared" si="94"/>
        <v>7410010010</v>
      </c>
      <c r="K476" s="304" t="str">
        <f t="shared" si="95"/>
        <v>60501137410010010853</v>
      </c>
      <c r="L476" s="24"/>
      <c r="M476" s="22"/>
      <c r="N476" s="22"/>
      <c r="O476" s="22"/>
      <c r="P476" s="22"/>
      <c r="Q476" s="22"/>
      <c r="R476" s="22"/>
      <c r="S476" s="24"/>
    </row>
    <row r="477" spans="1:19" s="16" customFormat="1" ht="31.5">
      <c r="A477" s="14"/>
      <c r="B477" s="125" t="s">
        <v>38</v>
      </c>
      <c r="C477" s="109" t="s">
        <v>372</v>
      </c>
      <c r="D477" s="108" t="s">
        <v>11</v>
      </c>
      <c r="E477" s="108" t="s">
        <v>51</v>
      </c>
      <c r="F477" s="108" t="s">
        <v>383</v>
      </c>
      <c r="G477" s="108" t="s">
        <v>9</v>
      </c>
      <c r="H477" s="126">
        <f>H478</f>
        <v>0</v>
      </c>
      <c r="I477" s="108">
        <v>7410010020</v>
      </c>
      <c r="J477" s="108" t="str">
        <f t="shared" si="94"/>
        <v>7410010020</v>
      </c>
      <c r="K477" s="132"/>
      <c r="L477" s="17"/>
      <c r="M477" s="20">
        <v>25220.04</v>
      </c>
      <c r="N477" s="20">
        <v>25220.04</v>
      </c>
      <c r="O477" s="20">
        <v>25220.04</v>
      </c>
      <c r="P477" s="20">
        <f>H477-M477</f>
        <v>-25220.04</v>
      </c>
      <c r="Q477" s="20" t="e">
        <f>#REF!-N477</f>
        <v>#REF!</v>
      </c>
      <c r="R477" s="20" t="e">
        <f>#REF!-O477</f>
        <v>#REF!</v>
      </c>
      <c r="S477" s="17" t="str">
        <f t="shared" si="83"/>
        <v>74 1 00 10020000</v>
      </c>
    </row>
    <row r="478" spans="1:19" s="16" customFormat="1" ht="31.5">
      <c r="A478" s="14"/>
      <c r="B478" s="127" t="s">
        <v>20</v>
      </c>
      <c r="C478" s="109" t="s">
        <v>372</v>
      </c>
      <c r="D478" s="108" t="s">
        <v>11</v>
      </c>
      <c r="E478" s="108" t="s">
        <v>51</v>
      </c>
      <c r="F478" s="108" t="s">
        <v>383</v>
      </c>
      <c r="G478" s="108" t="s">
        <v>21</v>
      </c>
      <c r="H478" s="126">
        <f>SUM(H479:H480)</f>
        <v>0</v>
      </c>
      <c r="I478" s="108">
        <v>7410010020</v>
      </c>
      <c r="J478" s="108" t="str">
        <f t="shared" si="94"/>
        <v>7410010020</v>
      </c>
      <c r="K478" s="132"/>
      <c r="L478" s="17"/>
      <c r="M478" s="20">
        <v>25220.04</v>
      </c>
      <c r="N478" s="20">
        <v>25220.04</v>
      </c>
      <c r="O478" s="20">
        <v>25220.04</v>
      </c>
      <c r="P478" s="20">
        <f>H478-M478</f>
        <v>-25220.04</v>
      </c>
      <c r="Q478" s="20" t="e">
        <f>#REF!-N478</f>
        <v>#REF!</v>
      </c>
      <c r="R478" s="20" t="e">
        <f>#REF!-O478</f>
        <v>#REF!</v>
      </c>
      <c r="S478" s="17" t="str">
        <f t="shared" si="83"/>
        <v>74 1 00 10020120</v>
      </c>
    </row>
    <row r="479" spans="1:19" s="23" customFormat="1" ht="31.5">
      <c r="A479" s="21"/>
      <c r="B479" s="127" t="s">
        <v>40</v>
      </c>
      <c r="C479" s="109" t="s">
        <v>372</v>
      </c>
      <c r="D479" s="108" t="s">
        <v>11</v>
      </c>
      <c r="E479" s="108" t="s">
        <v>51</v>
      </c>
      <c r="F479" s="108" t="s">
        <v>383</v>
      </c>
      <c r="G479" s="108" t="s">
        <v>41</v>
      </c>
      <c r="H479" s="126"/>
      <c r="I479" s="108">
        <v>7410010020</v>
      </c>
      <c r="J479" s="108" t="str">
        <f t="shared" si="94"/>
        <v>7410010020</v>
      </c>
      <c r="K479" s="304" t="str">
        <f t="shared" ref="K479:K480" si="96">C479&amp;D479&amp;E479&amp;J479&amp;G479</f>
        <v>60501137410010020121</v>
      </c>
      <c r="L479" s="24"/>
      <c r="M479" s="22"/>
      <c r="N479" s="22"/>
      <c r="O479" s="22"/>
      <c r="P479" s="22"/>
      <c r="Q479" s="22"/>
      <c r="R479" s="22"/>
      <c r="S479" s="24"/>
    </row>
    <row r="480" spans="1:19" s="23" customFormat="1" ht="63">
      <c r="A480" s="21"/>
      <c r="B480" s="127" t="s">
        <v>26</v>
      </c>
      <c r="C480" s="109" t="s">
        <v>372</v>
      </c>
      <c r="D480" s="108" t="s">
        <v>11</v>
      </c>
      <c r="E480" s="108" t="s">
        <v>51</v>
      </c>
      <c r="F480" s="108" t="s">
        <v>383</v>
      </c>
      <c r="G480" s="108" t="s">
        <v>27</v>
      </c>
      <c r="H480" s="126"/>
      <c r="I480" s="108">
        <v>7410010020</v>
      </c>
      <c r="J480" s="108" t="str">
        <f t="shared" si="94"/>
        <v>7410010020</v>
      </c>
      <c r="K480" s="304" t="str">
        <f t="shared" si="96"/>
        <v>60501137410010020129</v>
      </c>
      <c r="L480" s="24"/>
      <c r="M480" s="22"/>
      <c r="N480" s="22"/>
      <c r="O480" s="22"/>
      <c r="P480" s="22"/>
      <c r="Q480" s="22"/>
      <c r="R480" s="22"/>
      <c r="S480" s="24"/>
    </row>
    <row r="481" spans="1:19" s="16" customFormat="1" ht="15.75">
      <c r="A481" s="14"/>
      <c r="B481" s="117" t="s">
        <v>237</v>
      </c>
      <c r="C481" s="118" t="s">
        <v>372</v>
      </c>
      <c r="D481" s="119" t="s">
        <v>238</v>
      </c>
      <c r="E481" s="119" t="s">
        <v>7</v>
      </c>
      <c r="F481" s="119" t="s">
        <v>8</v>
      </c>
      <c r="G481" s="119" t="s">
        <v>9</v>
      </c>
      <c r="H481" s="120">
        <f t="shared" ref="H481:H485" si="97">H482</f>
        <v>0</v>
      </c>
      <c r="I481" s="119">
        <v>0</v>
      </c>
      <c r="J481" s="119" t="str">
        <f t="shared" si="94"/>
        <v>0000000000</v>
      </c>
      <c r="K481" s="132"/>
      <c r="L481" s="17"/>
      <c r="M481" s="18">
        <v>1096.2</v>
      </c>
      <c r="N481" s="18">
        <v>1096.2</v>
      </c>
      <c r="O481" s="18">
        <v>1096.2</v>
      </c>
      <c r="P481" s="18">
        <f t="shared" ref="P481:P487" si="98">H481-M481</f>
        <v>-1096.2</v>
      </c>
      <c r="Q481" s="18" t="e">
        <f>#REF!-N481</f>
        <v>#REF!</v>
      </c>
      <c r="R481" s="18" t="e">
        <f>#REF!-O481</f>
        <v>#REF!</v>
      </c>
      <c r="S481" s="17" t="str">
        <f t="shared" si="83"/>
        <v>00 0 00 00000000</v>
      </c>
    </row>
    <row r="482" spans="1:19" s="16" customFormat="1" ht="15.75">
      <c r="A482" s="14"/>
      <c r="B482" s="121" t="s">
        <v>239</v>
      </c>
      <c r="C482" s="122" t="s">
        <v>372</v>
      </c>
      <c r="D482" s="123" t="s">
        <v>238</v>
      </c>
      <c r="E482" s="123" t="s">
        <v>11</v>
      </c>
      <c r="F482" s="123" t="s">
        <v>8</v>
      </c>
      <c r="G482" s="123" t="s">
        <v>9</v>
      </c>
      <c r="H482" s="124">
        <f t="shared" si="97"/>
        <v>0</v>
      </c>
      <c r="I482" s="123">
        <v>0</v>
      </c>
      <c r="J482" s="123" t="str">
        <f t="shared" si="94"/>
        <v>0000000000</v>
      </c>
      <c r="K482" s="132"/>
      <c r="L482" s="17"/>
      <c r="M482" s="19">
        <v>1096.2</v>
      </c>
      <c r="N482" s="19">
        <v>1096.2</v>
      </c>
      <c r="O482" s="19">
        <v>1096.2</v>
      </c>
      <c r="P482" s="19">
        <f t="shared" si="98"/>
        <v>-1096.2</v>
      </c>
      <c r="Q482" s="19" t="e">
        <f>#REF!-N482</f>
        <v>#REF!</v>
      </c>
      <c r="R482" s="19" t="e">
        <f>#REF!-O482</f>
        <v>#REF!</v>
      </c>
      <c r="S482" s="17" t="str">
        <f t="shared" si="83"/>
        <v>00 0 00 00000000</v>
      </c>
    </row>
    <row r="483" spans="1:19" s="16" customFormat="1" ht="31.5">
      <c r="A483" s="14"/>
      <c r="B483" s="125" t="s">
        <v>240</v>
      </c>
      <c r="C483" s="130" t="s">
        <v>372</v>
      </c>
      <c r="D483" s="131" t="s">
        <v>238</v>
      </c>
      <c r="E483" s="131" t="s">
        <v>11</v>
      </c>
      <c r="F483" s="131" t="s">
        <v>241</v>
      </c>
      <c r="G483" s="131" t="s">
        <v>9</v>
      </c>
      <c r="H483" s="105">
        <f t="shared" si="97"/>
        <v>0</v>
      </c>
      <c r="I483" s="131">
        <v>700000000</v>
      </c>
      <c r="J483" s="131" t="str">
        <f t="shared" si="94"/>
        <v>0700000000</v>
      </c>
      <c r="K483" s="132"/>
      <c r="L483" s="17"/>
      <c r="M483" s="26">
        <v>1096.2</v>
      </c>
      <c r="N483" s="26">
        <v>1096.2</v>
      </c>
      <c r="O483" s="26">
        <v>1096.2</v>
      </c>
      <c r="P483" s="26">
        <f t="shared" si="98"/>
        <v>-1096.2</v>
      </c>
      <c r="Q483" s="26" t="e">
        <f>#REF!-N483</f>
        <v>#REF!</v>
      </c>
      <c r="R483" s="26" t="e">
        <f>#REF!-O483</f>
        <v>#REF!</v>
      </c>
      <c r="S483" s="17" t="str">
        <f t="shared" si="83"/>
        <v>07 0 00 00000000</v>
      </c>
    </row>
    <row r="484" spans="1:19" s="16" customFormat="1" ht="78.75">
      <c r="A484" s="14"/>
      <c r="B484" s="125" t="s">
        <v>384</v>
      </c>
      <c r="C484" s="130" t="s">
        <v>372</v>
      </c>
      <c r="D484" s="131" t="s">
        <v>238</v>
      </c>
      <c r="E484" s="131" t="s">
        <v>11</v>
      </c>
      <c r="F484" s="131" t="s">
        <v>243</v>
      </c>
      <c r="G484" s="131" t="s">
        <v>9</v>
      </c>
      <c r="H484" s="105">
        <f t="shared" si="97"/>
        <v>0</v>
      </c>
      <c r="I484" s="131">
        <v>710000000</v>
      </c>
      <c r="J484" s="131" t="str">
        <f t="shared" si="94"/>
        <v>0710000000</v>
      </c>
      <c r="K484" s="132"/>
      <c r="L484" s="17"/>
      <c r="M484" s="26">
        <v>1096.2</v>
      </c>
      <c r="N484" s="26">
        <v>1096.2</v>
      </c>
      <c r="O484" s="26">
        <v>1096.2</v>
      </c>
      <c r="P484" s="26">
        <f t="shared" si="98"/>
        <v>-1096.2</v>
      </c>
      <c r="Q484" s="26" t="e">
        <f>#REF!-N484</f>
        <v>#REF!</v>
      </c>
      <c r="R484" s="26" t="e">
        <f>#REF!-O484</f>
        <v>#REF!</v>
      </c>
      <c r="S484" s="17" t="str">
        <f t="shared" si="83"/>
        <v>07 1 00 00000000</v>
      </c>
    </row>
    <row r="485" spans="1:19" s="16" customFormat="1" ht="110.25">
      <c r="A485" s="14"/>
      <c r="B485" s="125" t="s">
        <v>244</v>
      </c>
      <c r="C485" s="130" t="s">
        <v>372</v>
      </c>
      <c r="D485" s="131" t="s">
        <v>238</v>
      </c>
      <c r="E485" s="131" t="s">
        <v>11</v>
      </c>
      <c r="F485" s="131" t="s">
        <v>245</v>
      </c>
      <c r="G485" s="131" t="s">
        <v>9</v>
      </c>
      <c r="H485" s="105">
        <f t="shared" si="97"/>
        <v>0</v>
      </c>
      <c r="I485" s="131">
        <v>710100000</v>
      </c>
      <c r="J485" s="131" t="str">
        <f t="shared" si="94"/>
        <v>0710100000</v>
      </c>
      <c r="K485" s="132"/>
      <c r="L485" s="17"/>
      <c r="M485" s="26">
        <v>1096.2</v>
      </c>
      <c r="N485" s="26">
        <v>1096.2</v>
      </c>
      <c r="O485" s="26">
        <v>1096.2</v>
      </c>
      <c r="P485" s="26">
        <f t="shared" si="98"/>
        <v>-1096.2</v>
      </c>
      <c r="Q485" s="26" t="e">
        <f>#REF!-N485</f>
        <v>#REF!</v>
      </c>
      <c r="R485" s="26" t="e">
        <f>#REF!-O485</f>
        <v>#REF!</v>
      </c>
      <c r="S485" s="17" t="str">
        <f t="shared" si="83"/>
        <v>07 1 01 00000000</v>
      </c>
    </row>
    <row r="486" spans="1:19" s="16" customFormat="1" ht="31.5">
      <c r="A486" s="14"/>
      <c r="B486" s="125" t="s">
        <v>246</v>
      </c>
      <c r="C486" s="130" t="s">
        <v>372</v>
      </c>
      <c r="D486" s="131" t="s">
        <v>238</v>
      </c>
      <c r="E486" s="131" t="s">
        <v>11</v>
      </c>
      <c r="F486" s="131" t="s">
        <v>247</v>
      </c>
      <c r="G486" s="131" t="s">
        <v>9</v>
      </c>
      <c r="H486" s="105">
        <f>H487</f>
        <v>0</v>
      </c>
      <c r="I486" s="131">
        <v>710120060</v>
      </c>
      <c r="J486" s="131" t="str">
        <f t="shared" si="94"/>
        <v>0710120060</v>
      </c>
      <c r="K486" s="132"/>
      <c r="L486" s="17"/>
      <c r="M486" s="26">
        <v>1096.2</v>
      </c>
      <c r="N486" s="26">
        <v>1096.2</v>
      </c>
      <c r="O486" s="26">
        <v>1096.2</v>
      </c>
      <c r="P486" s="26">
        <f t="shared" si="98"/>
        <v>-1096.2</v>
      </c>
      <c r="Q486" s="26" t="e">
        <f>#REF!-N486</f>
        <v>#REF!</v>
      </c>
      <c r="R486" s="26" t="e">
        <f>#REF!-O486</f>
        <v>#REF!</v>
      </c>
      <c r="S486" s="17" t="str">
        <f t="shared" si="83"/>
        <v>07 1 01 20060000</v>
      </c>
    </row>
    <row r="487" spans="1:19" s="16" customFormat="1" ht="31.5">
      <c r="A487" s="14"/>
      <c r="B487" s="125" t="s">
        <v>28</v>
      </c>
      <c r="C487" s="130" t="s">
        <v>372</v>
      </c>
      <c r="D487" s="131" t="s">
        <v>238</v>
      </c>
      <c r="E487" s="131" t="s">
        <v>11</v>
      </c>
      <c r="F487" s="131" t="s">
        <v>247</v>
      </c>
      <c r="G487" s="131" t="s">
        <v>29</v>
      </c>
      <c r="H487" s="126">
        <f>H488</f>
        <v>0</v>
      </c>
      <c r="I487" s="131">
        <v>710120060</v>
      </c>
      <c r="J487" s="131" t="str">
        <f t="shared" si="94"/>
        <v>0710120060</v>
      </c>
      <c r="K487" s="132"/>
      <c r="L487" s="17"/>
      <c r="M487" s="20">
        <v>1096.2</v>
      </c>
      <c r="N487" s="20">
        <v>1096.2</v>
      </c>
      <c r="O487" s="20">
        <v>1096.2</v>
      </c>
      <c r="P487" s="20">
        <f t="shared" si="98"/>
        <v>-1096.2</v>
      </c>
      <c r="Q487" s="20" t="e">
        <f>#REF!-N487</f>
        <v>#REF!</v>
      </c>
      <c r="R487" s="20" t="e">
        <f>#REF!-O487</f>
        <v>#REF!</v>
      </c>
      <c r="S487" s="17" t="str">
        <f t="shared" si="83"/>
        <v>07 1 01 20060240</v>
      </c>
    </row>
    <row r="488" spans="1:19" s="16" customFormat="1" ht="15.75">
      <c r="A488" s="14"/>
      <c r="B488" s="125" t="s">
        <v>30</v>
      </c>
      <c r="C488" s="130" t="s">
        <v>372</v>
      </c>
      <c r="D488" s="131" t="s">
        <v>238</v>
      </c>
      <c r="E488" s="131" t="s">
        <v>11</v>
      </c>
      <c r="F488" s="131" t="s">
        <v>247</v>
      </c>
      <c r="G488" s="131" t="s">
        <v>31</v>
      </c>
      <c r="H488" s="126"/>
      <c r="I488" s="131">
        <v>710120060</v>
      </c>
      <c r="J488" s="131" t="str">
        <f t="shared" si="94"/>
        <v>0710120060</v>
      </c>
      <c r="K488" s="304" t="str">
        <f>C488&amp;D488&amp;E488&amp;J488&amp;G488</f>
        <v>60508010710120060244</v>
      </c>
      <c r="L488" s="17"/>
      <c r="M488" s="20"/>
      <c r="N488" s="20"/>
      <c r="O488" s="20"/>
      <c r="P488" s="20"/>
      <c r="Q488" s="20"/>
      <c r="R488" s="20"/>
      <c r="S488" s="17" t="str">
        <f t="shared" si="83"/>
        <v>07 1 01 20060244</v>
      </c>
    </row>
    <row r="489" spans="1:19" s="34" customFormat="1" ht="15.75">
      <c r="A489" s="33"/>
      <c r="B489" s="117" t="s">
        <v>316</v>
      </c>
      <c r="C489" s="118" t="s">
        <v>372</v>
      </c>
      <c r="D489" s="119" t="s">
        <v>317</v>
      </c>
      <c r="E489" s="119" t="s">
        <v>7</v>
      </c>
      <c r="F489" s="119" t="s">
        <v>8</v>
      </c>
      <c r="G489" s="119" t="s">
        <v>9</v>
      </c>
      <c r="H489" s="120">
        <f t="shared" ref="H489:H494" si="99">H490</f>
        <v>0</v>
      </c>
      <c r="I489" s="119">
        <v>0</v>
      </c>
      <c r="J489" s="119" t="str">
        <f t="shared" si="94"/>
        <v>0000000000</v>
      </c>
      <c r="K489" s="132"/>
      <c r="L489" s="17"/>
      <c r="M489" s="18">
        <v>2250.3200000000002</v>
      </c>
      <c r="N489" s="18">
        <v>2250.3200000000002</v>
      </c>
      <c r="O489" s="18">
        <v>2250.3200000000002</v>
      </c>
      <c r="P489" s="18">
        <f t="shared" ref="P489:P495" si="100">H489-M489</f>
        <v>-2250.3200000000002</v>
      </c>
      <c r="Q489" s="18" t="e">
        <f>#REF!-N489</f>
        <v>#REF!</v>
      </c>
      <c r="R489" s="18" t="e">
        <f>#REF!-O489</f>
        <v>#REF!</v>
      </c>
      <c r="S489" s="17" t="str">
        <f t="shared" si="83"/>
        <v>00 0 00 00000000</v>
      </c>
    </row>
    <row r="490" spans="1:19" s="23" customFormat="1" ht="15.75">
      <c r="A490" s="21"/>
      <c r="B490" s="121" t="s">
        <v>318</v>
      </c>
      <c r="C490" s="122" t="s">
        <v>372</v>
      </c>
      <c r="D490" s="123" t="s">
        <v>317</v>
      </c>
      <c r="E490" s="123" t="s">
        <v>13</v>
      </c>
      <c r="F490" s="123" t="s">
        <v>8</v>
      </c>
      <c r="G490" s="123" t="s">
        <v>9</v>
      </c>
      <c r="H490" s="124">
        <f t="shared" si="99"/>
        <v>0</v>
      </c>
      <c r="I490" s="123">
        <v>0</v>
      </c>
      <c r="J490" s="123" t="str">
        <f t="shared" si="94"/>
        <v>0000000000</v>
      </c>
      <c r="K490" s="132"/>
      <c r="L490" s="17"/>
      <c r="M490" s="19">
        <v>2250.3200000000002</v>
      </c>
      <c r="N490" s="19">
        <v>2250.3200000000002</v>
      </c>
      <c r="O490" s="19">
        <v>2250.3200000000002</v>
      </c>
      <c r="P490" s="19">
        <f t="shared" si="100"/>
        <v>-2250.3200000000002</v>
      </c>
      <c r="Q490" s="19" t="e">
        <f>#REF!-N490</f>
        <v>#REF!</v>
      </c>
      <c r="R490" s="19" t="e">
        <f>#REF!-O490</f>
        <v>#REF!</v>
      </c>
      <c r="S490" s="17" t="str">
        <f t="shared" si="83"/>
        <v>00 0 00 00000000</v>
      </c>
    </row>
    <row r="491" spans="1:19" s="16" customFormat="1" ht="31.5">
      <c r="A491" s="14"/>
      <c r="B491" s="135" t="s">
        <v>385</v>
      </c>
      <c r="C491" s="109" t="s">
        <v>372</v>
      </c>
      <c r="D491" s="108" t="s">
        <v>317</v>
      </c>
      <c r="E491" s="108" t="s">
        <v>13</v>
      </c>
      <c r="F491" s="108" t="s">
        <v>386</v>
      </c>
      <c r="G491" s="108" t="s">
        <v>9</v>
      </c>
      <c r="H491" s="126">
        <f t="shared" si="99"/>
        <v>0</v>
      </c>
      <c r="I491" s="108">
        <v>300000000</v>
      </c>
      <c r="J491" s="108" t="str">
        <f t="shared" si="94"/>
        <v>0300000000</v>
      </c>
      <c r="K491" s="132"/>
      <c r="L491" s="17"/>
      <c r="M491" s="20">
        <v>2250.3200000000002</v>
      </c>
      <c r="N491" s="20">
        <v>2250.3200000000002</v>
      </c>
      <c r="O491" s="20">
        <v>2250.3200000000002</v>
      </c>
      <c r="P491" s="20">
        <f t="shared" si="100"/>
        <v>-2250.3200000000002</v>
      </c>
      <c r="Q491" s="20" t="e">
        <f>#REF!-N491</f>
        <v>#REF!</v>
      </c>
      <c r="R491" s="20" t="e">
        <f>#REF!-O491</f>
        <v>#REF!</v>
      </c>
      <c r="S491" s="17" t="str">
        <f t="shared" si="83"/>
        <v>03 0 00 00000000</v>
      </c>
    </row>
    <row r="492" spans="1:19" s="16" customFormat="1" ht="63">
      <c r="A492" s="14"/>
      <c r="B492" s="135" t="s">
        <v>387</v>
      </c>
      <c r="C492" s="109" t="s">
        <v>372</v>
      </c>
      <c r="D492" s="108" t="s">
        <v>317</v>
      </c>
      <c r="E492" s="108" t="s">
        <v>13</v>
      </c>
      <c r="F492" s="108" t="s">
        <v>388</v>
      </c>
      <c r="G492" s="108" t="s">
        <v>9</v>
      </c>
      <c r="H492" s="126">
        <f t="shared" si="99"/>
        <v>0</v>
      </c>
      <c r="I492" s="108">
        <v>320000000</v>
      </c>
      <c r="J492" s="108" t="str">
        <f t="shared" si="94"/>
        <v>0320000000</v>
      </c>
      <c r="K492" s="132"/>
      <c r="L492" s="17"/>
      <c r="M492" s="20">
        <v>2250.3200000000002</v>
      </c>
      <c r="N492" s="20">
        <v>2250.3200000000002</v>
      </c>
      <c r="O492" s="20">
        <v>2250.3200000000002</v>
      </c>
      <c r="P492" s="20">
        <f t="shared" si="100"/>
        <v>-2250.3200000000002</v>
      </c>
      <c r="Q492" s="20" t="e">
        <f>#REF!-N492</f>
        <v>#REF!</v>
      </c>
      <c r="R492" s="20" t="e">
        <f>#REF!-O492</f>
        <v>#REF!</v>
      </c>
      <c r="S492" s="17" t="str">
        <f t="shared" si="83"/>
        <v>03 2 00 00000000</v>
      </c>
    </row>
    <row r="493" spans="1:19" s="16" customFormat="1" ht="47.25">
      <c r="A493" s="14"/>
      <c r="B493" s="125" t="s">
        <v>389</v>
      </c>
      <c r="C493" s="109" t="s">
        <v>372</v>
      </c>
      <c r="D493" s="108" t="s">
        <v>317</v>
      </c>
      <c r="E493" s="108" t="s">
        <v>13</v>
      </c>
      <c r="F493" s="108" t="s">
        <v>390</v>
      </c>
      <c r="G493" s="108" t="s">
        <v>9</v>
      </c>
      <c r="H493" s="126">
        <f t="shared" si="99"/>
        <v>0</v>
      </c>
      <c r="I493" s="108">
        <v>320200000</v>
      </c>
      <c r="J493" s="108" t="str">
        <f t="shared" si="94"/>
        <v>0320200000</v>
      </c>
      <c r="K493" s="132"/>
      <c r="L493" s="17"/>
      <c r="M493" s="20">
        <v>2250.3200000000002</v>
      </c>
      <c r="N493" s="20">
        <v>2250.3200000000002</v>
      </c>
      <c r="O493" s="20">
        <v>2250.3200000000002</v>
      </c>
      <c r="P493" s="20">
        <f t="shared" si="100"/>
        <v>-2250.3200000000002</v>
      </c>
      <c r="Q493" s="20" t="e">
        <f>#REF!-N493</f>
        <v>#REF!</v>
      </c>
      <c r="R493" s="20" t="e">
        <f>#REF!-O493</f>
        <v>#REF!</v>
      </c>
      <c r="S493" s="17" t="str">
        <f t="shared" si="83"/>
        <v>03 2 02 00000000</v>
      </c>
    </row>
    <row r="494" spans="1:19" s="16" customFormat="1" ht="31.5">
      <c r="A494" s="14"/>
      <c r="B494" s="125" t="s">
        <v>391</v>
      </c>
      <c r="C494" s="109" t="s">
        <v>372</v>
      </c>
      <c r="D494" s="108" t="s">
        <v>317</v>
      </c>
      <c r="E494" s="108" t="s">
        <v>13</v>
      </c>
      <c r="F494" s="108" t="s">
        <v>392</v>
      </c>
      <c r="G494" s="108" t="s">
        <v>9</v>
      </c>
      <c r="H494" s="126">
        <f t="shared" si="99"/>
        <v>0</v>
      </c>
      <c r="I494" s="108">
        <v>320280240</v>
      </c>
      <c r="J494" s="108" t="str">
        <f t="shared" si="94"/>
        <v>0320280240</v>
      </c>
      <c r="K494" s="132"/>
      <c r="L494" s="17"/>
      <c r="M494" s="20">
        <v>2250.3200000000002</v>
      </c>
      <c r="N494" s="20">
        <v>2250.3200000000002</v>
      </c>
      <c r="O494" s="20">
        <v>2250.3200000000002</v>
      </c>
      <c r="P494" s="20">
        <f t="shared" si="100"/>
        <v>-2250.3200000000002</v>
      </c>
      <c r="Q494" s="20" t="e">
        <f>#REF!-N494</f>
        <v>#REF!</v>
      </c>
      <c r="R494" s="20" t="e">
        <f>#REF!-O494</f>
        <v>#REF!</v>
      </c>
      <c r="S494" s="17" t="str">
        <f t="shared" si="83"/>
        <v>03 2 02 80240000</v>
      </c>
    </row>
    <row r="495" spans="1:19" s="16" customFormat="1" ht="63">
      <c r="A495" s="14"/>
      <c r="B495" s="129" t="s">
        <v>203</v>
      </c>
      <c r="C495" s="109" t="s">
        <v>372</v>
      </c>
      <c r="D495" s="108" t="s">
        <v>317</v>
      </c>
      <c r="E495" s="108" t="s">
        <v>13</v>
      </c>
      <c r="F495" s="108" t="s">
        <v>392</v>
      </c>
      <c r="G495" s="108" t="s">
        <v>204</v>
      </c>
      <c r="H495" s="126">
        <f>H496</f>
        <v>0</v>
      </c>
      <c r="I495" s="108">
        <v>320280240</v>
      </c>
      <c r="J495" s="108" t="str">
        <f t="shared" si="94"/>
        <v>0320280240</v>
      </c>
      <c r="K495" s="132"/>
      <c r="L495" s="17"/>
      <c r="M495" s="20">
        <v>2250.3200000000002</v>
      </c>
      <c r="N495" s="20">
        <v>2250.3200000000002</v>
      </c>
      <c r="O495" s="20">
        <v>2250.3200000000002</v>
      </c>
      <c r="P495" s="20">
        <f t="shared" si="100"/>
        <v>-2250.3200000000002</v>
      </c>
      <c r="Q495" s="20" t="e">
        <f>#REF!-N495</f>
        <v>#REF!</v>
      </c>
      <c r="R495" s="20" t="e">
        <f>#REF!-O495</f>
        <v>#REF!</v>
      </c>
      <c r="S495" s="17" t="str">
        <f t="shared" si="83"/>
        <v>03 2 02 80240810</v>
      </c>
    </row>
    <row r="496" spans="1:19" s="16" customFormat="1" ht="63">
      <c r="A496" s="14"/>
      <c r="B496" s="125" t="s">
        <v>205</v>
      </c>
      <c r="C496" s="109" t="s">
        <v>372</v>
      </c>
      <c r="D496" s="108" t="s">
        <v>317</v>
      </c>
      <c r="E496" s="108" t="s">
        <v>13</v>
      </c>
      <c r="F496" s="108" t="s">
        <v>392</v>
      </c>
      <c r="G496" s="108" t="s">
        <v>206</v>
      </c>
      <c r="H496" s="126"/>
      <c r="I496" s="108">
        <v>320280240</v>
      </c>
      <c r="J496" s="108" t="str">
        <f t="shared" si="94"/>
        <v>0320280240</v>
      </c>
      <c r="K496" s="304" t="str">
        <f>C496&amp;D496&amp;E496&amp;J496&amp;G496</f>
        <v>60510030320280240811</v>
      </c>
      <c r="L496" s="17"/>
      <c r="M496" s="20"/>
      <c r="N496" s="20"/>
      <c r="O496" s="20"/>
      <c r="P496" s="20"/>
      <c r="Q496" s="20"/>
      <c r="R496" s="20"/>
      <c r="S496" s="17" t="str">
        <f t="shared" si="83"/>
        <v>03 2 02 80240811</v>
      </c>
    </row>
    <row r="497" spans="1:19" s="16" customFormat="1" ht="15.75">
      <c r="A497" s="14"/>
      <c r="B497" s="129"/>
      <c r="C497" s="109"/>
      <c r="D497" s="108"/>
      <c r="E497" s="108"/>
      <c r="F497" s="108"/>
      <c r="G497" s="108"/>
      <c r="H497" s="126"/>
      <c r="I497" s="108"/>
      <c r="J497" s="108" t="str">
        <f t="shared" si="94"/>
        <v>0000000000</v>
      </c>
      <c r="K497" s="17"/>
      <c r="L497" s="17"/>
      <c r="M497" s="20"/>
      <c r="N497" s="20"/>
      <c r="O497" s="20"/>
      <c r="P497" s="20">
        <f t="shared" ref="P497:P505" si="101">H497-M497</f>
        <v>0</v>
      </c>
      <c r="Q497" s="20" t="e">
        <f>#REF!-N497</f>
        <v>#REF!</v>
      </c>
      <c r="R497" s="20" t="e">
        <f>#REF!-O497</f>
        <v>#REF!</v>
      </c>
      <c r="S497" s="17" t="str">
        <f t="shared" si="83"/>
        <v/>
      </c>
    </row>
    <row r="498" spans="1:19" s="17" customFormat="1" ht="31.5">
      <c r="A498" s="14"/>
      <c r="B498" s="67" t="s">
        <v>393</v>
      </c>
      <c r="C498" s="116" t="s">
        <v>394</v>
      </c>
      <c r="D498" s="69" t="s">
        <v>7</v>
      </c>
      <c r="E498" s="69" t="s">
        <v>7</v>
      </c>
      <c r="F498" s="69" t="s">
        <v>8</v>
      </c>
      <c r="G498" s="69" t="s">
        <v>9</v>
      </c>
      <c r="H498" s="70">
        <f>H499+H729</f>
        <v>0</v>
      </c>
      <c r="I498" s="69">
        <v>0</v>
      </c>
      <c r="J498" s="69" t="str">
        <f t="shared" si="94"/>
        <v>0000000000</v>
      </c>
      <c r="K498" s="132"/>
      <c r="M498" s="25">
        <v>3591355.8200000003</v>
      </c>
      <c r="N498" s="25">
        <v>3544735.11</v>
      </c>
      <c r="O498" s="25">
        <v>3539794.3999999994</v>
      </c>
      <c r="P498" s="25">
        <f t="shared" si="101"/>
        <v>-3591355.8200000003</v>
      </c>
      <c r="Q498" s="25" t="e">
        <f>#REF!-N498</f>
        <v>#REF!</v>
      </c>
      <c r="R498" s="25" t="e">
        <f>#REF!-O498</f>
        <v>#REF!</v>
      </c>
      <c r="S498" s="17" t="str">
        <f t="shared" si="83"/>
        <v>00 0 00 00000000</v>
      </c>
    </row>
    <row r="499" spans="1:19" s="17" customFormat="1" ht="15.75">
      <c r="A499" s="14"/>
      <c r="B499" s="117" t="s">
        <v>228</v>
      </c>
      <c r="C499" s="118" t="s">
        <v>394</v>
      </c>
      <c r="D499" s="119" t="s">
        <v>229</v>
      </c>
      <c r="E499" s="119" t="s">
        <v>7</v>
      </c>
      <c r="F499" s="119" t="s">
        <v>8</v>
      </c>
      <c r="G499" s="119" t="s">
        <v>9</v>
      </c>
      <c r="H499" s="120">
        <f>H500+H542+H660+H678+H623</f>
        <v>0</v>
      </c>
      <c r="I499" s="119">
        <v>0</v>
      </c>
      <c r="J499" s="119" t="str">
        <f t="shared" si="94"/>
        <v>0000000000</v>
      </c>
      <c r="K499" s="132"/>
      <c r="M499" s="18">
        <v>3460800.93</v>
      </c>
      <c r="N499" s="18">
        <v>3414180.2199999997</v>
      </c>
      <c r="O499" s="18">
        <v>3409239.5099999993</v>
      </c>
      <c r="P499" s="18">
        <f t="shared" si="101"/>
        <v>-3460800.93</v>
      </c>
      <c r="Q499" s="18" t="e">
        <f>#REF!-N499</f>
        <v>#REF!</v>
      </c>
      <c r="R499" s="18" t="e">
        <f>#REF!-O499</f>
        <v>#REF!</v>
      </c>
      <c r="S499" s="17" t="str">
        <f t="shared" si="83"/>
        <v>00 0 00 00000000</v>
      </c>
    </row>
    <row r="500" spans="1:19" s="17" customFormat="1" ht="15.75">
      <c r="A500" s="14"/>
      <c r="B500" s="121" t="s">
        <v>395</v>
      </c>
      <c r="C500" s="122" t="s">
        <v>394</v>
      </c>
      <c r="D500" s="123" t="s">
        <v>229</v>
      </c>
      <c r="E500" s="123" t="s">
        <v>11</v>
      </c>
      <c r="F500" s="123" t="s">
        <v>8</v>
      </c>
      <c r="G500" s="123" t="s">
        <v>9</v>
      </c>
      <c r="H500" s="124">
        <f>H501+H528+H536+H522</f>
        <v>0</v>
      </c>
      <c r="I500" s="123">
        <v>0</v>
      </c>
      <c r="J500" s="123" t="str">
        <f t="shared" si="94"/>
        <v>0000000000</v>
      </c>
      <c r="K500" s="132"/>
      <c r="M500" s="19">
        <v>1467483.43</v>
      </c>
      <c r="N500" s="19">
        <v>1477974.55</v>
      </c>
      <c r="O500" s="19">
        <v>1470182.6999999997</v>
      </c>
      <c r="P500" s="19">
        <f t="shared" si="101"/>
        <v>-1467483.43</v>
      </c>
      <c r="Q500" s="19" t="e">
        <f>#REF!-N500</f>
        <v>#REF!</v>
      </c>
      <c r="R500" s="19" t="e">
        <f>#REF!-O500</f>
        <v>#REF!</v>
      </c>
      <c r="S500" s="17" t="str">
        <f t="shared" si="83"/>
        <v>00 0 00 00000000</v>
      </c>
    </row>
    <row r="501" spans="1:19" s="17" customFormat="1" ht="31.5">
      <c r="A501" s="14"/>
      <c r="B501" s="132" t="s">
        <v>396</v>
      </c>
      <c r="C501" s="109" t="s">
        <v>394</v>
      </c>
      <c r="D501" s="108" t="s">
        <v>229</v>
      </c>
      <c r="E501" s="108" t="s">
        <v>11</v>
      </c>
      <c r="F501" s="108" t="s">
        <v>397</v>
      </c>
      <c r="G501" s="108" t="s">
        <v>9</v>
      </c>
      <c r="H501" s="126">
        <f>H502</f>
        <v>0</v>
      </c>
      <c r="I501" s="108">
        <v>100000000</v>
      </c>
      <c r="J501" s="108" t="str">
        <f t="shared" si="94"/>
        <v>0100000000</v>
      </c>
      <c r="K501" s="132"/>
      <c r="M501" s="20">
        <v>1457551.92</v>
      </c>
      <c r="N501" s="20">
        <v>1451343.04</v>
      </c>
      <c r="O501" s="20">
        <v>1463801.1899999997</v>
      </c>
      <c r="P501" s="20">
        <f t="shared" si="101"/>
        <v>-1457551.92</v>
      </c>
      <c r="Q501" s="20" t="e">
        <f>#REF!-N501</f>
        <v>#REF!</v>
      </c>
      <c r="R501" s="20" t="e">
        <f>#REF!-O501</f>
        <v>#REF!</v>
      </c>
      <c r="S501" s="17" t="str">
        <f t="shared" ref="S501:S612" si="102">CONCATENATE(F501,G501)</f>
        <v>01 0 00 00000000</v>
      </c>
    </row>
    <row r="502" spans="1:19" s="17" customFormat="1" ht="31.5">
      <c r="A502" s="14"/>
      <c r="B502" s="132" t="s">
        <v>398</v>
      </c>
      <c r="C502" s="109" t="s">
        <v>394</v>
      </c>
      <c r="D502" s="108" t="s">
        <v>229</v>
      </c>
      <c r="E502" s="108" t="s">
        <v>11</v>
      </c>
      <c r="F502" s="108" t="s">
        <v>399</v>
      </c>
      <c r="G502" s="108" t="s">
        <v>9</v>
      </c>
      <c r="H502" s="126">
        <f>H503+H518</f>
        <v>0</v>
      </c>
      <c r="I502" s="108">
        <v>110000000</v>
      </c>
      <c r="J502" s="108" t="str">
        <f t="shared" si="94"/>
        <v>0110000000</v>
      </c>
      <c r="K502" s="132"/>
      <c r="M502" s="20">
        <v>1457551.92</v>
      </c>
      <c r="N502" s="20">
        <v>1451343.04</v>
      </c>
      <c r="O502" s="20">
        <v>1463801.1899999997</v>
      </c>
      <c r="P502" s="20">
        <f t="shared" si="101"/>
        <v>-1457551.92</v>
      </c>
      <c r="Q502" s="20" t="e">
        <f>#REF!-N502</f>
        <v>#REF!</v>
      </c>
      <c r="R502" s="20" t="e">
        <f>#REF!-O502</f>
        <v>#REF!</v>
      </c>
      <c r="S502" s="17" t="str">
        <f t="shared" si="102"/>
        <v>01 1 00 00000000</v>
      </c>
    </row>
    <row r="503" spans="1:19" s="17" customFormat="1" ht="47.25">
      <c r="A503" s="14"/>
      <c r="B503" s="132" t="s">
        <v>400</v>
      </c>
      <c r="C503" s="109" t="s">
        <v>394</v>
      </c>
      <c r="D503" s="108" t="s">
        <v>229</v>
      </c>
      <c r="E503" s="108" t="s">
        <v>11</v>
      </c>
      <c r="F503" s="108" t="s">
        <v>401</v>
      </c>
      <c r="G503" s="108" t="s">
        <v>9</v>
      </c>
      <c r="H503" s="126">
        <f>H504+H511</f>
        <v>0</v>
      </c>
      <c r="I503" s="108">
        <v>110100000</v>
      </c>
      <c r="J503" s="108" t="str">
        <f t="shared" si="94"/>
        <v>0110100000</v>
      </c>
      <c r="K503" s="132"/>
      <c r="M503" s="20">
        <v>1425828.23</v>
      </c>
      <c r="N503" s="20">
        <v>1437812.3800000001</v>
      </c>
      <c r="O503" s="20">
        <v>1450270.5299999998</v>
      </c>
      <c r="P503" s="20">
        <f t="shared" si="101"/>
        <v>-1425828.23</v>
      </c>
      <c r="Q503" s="20" t="e">
        <f>#REF!-N503</f>
        <v>#REF!</v>
      </c>
      <c r="R503" s="20" t="e">
        <f>#REF!-O503</f>
        <v>#REF!</v>
      </c>
      <c r="S503" s="17" t="str">
        <f t="shared" si="102"/>
        <v>01 1 01 00000000</v>
      </c>
    </row>
    <row r="504" spans="1:19" s="17" customFormat="1" ht="31.5">
      <c r="A504" s="14"/>
      <c r="B504" s="132" t="s">
        <v>136</v>
      </c>
      <c r="C504" s="109" t="s">
        <v>394</v>
      </c>
      <c r="D504" s="108" t="s">
        <v>229</v>
      </c>
      <c r="E504" s="108" t="s">
        <v>11</v>
      </c>
      <c r="F504" s="108" t="s">
        <v>402</v>
      </c>
      <c r="G504" s="108" t="s">
        <v>9</v>
      </c>
      <c r="H504" s="126">
        <f>H505+H508</f>
        <v>0</v>
      </c>
      <c r="I504" s="108">
        <v>110111010</v>
      </c>
      <c r="J504" s="108" t="str">
        <f t="shared" si="94"/>
        <v>0110111010</v>
      </c>
      <c r="K504" s="132"/>
      <c r="M504" s="20">
        <v>690348.79</v>
      </c>
      <c r="N504" s="20">
        <v>690348.79</v>
      </c>
      <c r="O504" s="20">
        <v>690348.79</v>
      </c>
      <c r="P504" s="20">
        <f t="shared" si="101"/>
        <v>-690348.79</v>
      </c>
      <c r="Q504" s="20" t="e">
        <f>#REF!-N504</f>
        <v>#REF!</v>
      </c>
      <c r="R504" s="20" t="e">
        <f>#REF!-O504</f>
        <v>#REF!</v>
      </c>
      <c r="S504" s="17" t="str">
        <f t="shared" si="102"/>
        <v>01 1 01 11010000</v>
      </c>
    </row>
    <row r="505" spans="1:19" s="17" customFormat="1" ht="15.75">
      <c r="A505" s="14"/>
      <c r="B505" s="132" t="s">
        <v>403</v>
      </c>
      <c r="C505" s="109" t="s">
        <v>394</v>
      </c>
      <c r="D505" s="108" t="s">
        <v>229</v>
      </c>
      <c r="E505" s="108" t="s">
        <v>11</v>
      </c>
      <c r="F505" s="108" t="s">
        <v>402</v>
      </c>
      <c r="G505" s="108" t="s">
        <v>404</v>
      </c>
      <c r="H505" s="126">
        <f>SUM(H506:H507)</f>
        <v>0</v>
      </c>
      <c r="I505" s="108">
        <v>110111010</v>
      </c>
      <c r="J505" s="108" t="str">
        <f t="shared" si="94"/>
        <v>0110111010</v>
      </c>
      <c r="K505" s="132"/>
      <c r="M505" s="20">
        <v>660072.98</v>
      </c>
      <c r="N505" s="20">
        <v>660072.98</v>
      </c>
      <c r="O505" s="20">
        <v>660072.98</v>
      </c>
      <c r="P505" s="20">
        <f t="shared" si="101"/>
        <v>-660072.98</v>
      </c>
      <c r="Q505" s="20" t="e">
        <f>#REF!-N505</f>
        <v>#REF!</v>
      </c>
      <c r="R505" s="20" t="e">
        <f>#REF!-O505</f>
        <v>#REF!</v>
      </c>
      <c r="S505" s="17" t="str">
        <f t="shared" si="102"/>
        <v>01 1 01 11010610</v>
      </c>
    </row>
    <row r="506" spans="1:19" s="24" customFormat="1" ht="63">
      <c r="A506" s="21"/>
      <c r="B506" s="127" t="s">
        <v>405</v>
      </c>
      <c r="C506" s="109" t="s">
        <v>394</v>
      </c>
      <c r="D506" s="108" t="s">
        <v>229</v>
      </c>
      <c r="E506" s="108" t="s">
        <v>11</v>
      </c>
      <c r="F506" s="108" t="s">
        <v>402</v>
      </c>
      <c r="G506" s="108" t="s">
        <v>406</v>
      </c>
      <c r="H506" s="126"/>
      <c r="I506" s="108">
        <v>110111010</v>
      </c>
      <c r="J506" s="108" t="str">
        <f t="shared" si="94"/>
        <v>0110111010</v>
      </c>
      <c r="K506" s="304" t="str">
        <f t="shared" ref="K506:K507" si="103">C506&amp;D506&amp;E506&amp;J506&amp;G506</f>
        <v>60607010110111010611</v>
      </c>
      <c r="M506" s="22"/>
      <c r="N506" s="22"/>
      <c r="O506" s="22"/>
      <c r="P506" s="22"/>
      <c r="Q506" s="22"/>
      <c r="R506" s="22"/>
    </row>
    <row r="507" spans="1:19" s="24" customFormat="1" ht="15.75">
      <c r="A507" s="21"/>
      <c r="B507" s="127" t="s">
        <v>407</v>
      </c>
      <c r="C507" s="109" t="s">
        <v>394</v>
      </c>
      <c r="D507" s="108" t="s">
        <v>229</v>
      </c>
      <c r="E507" s="108" t="s">
        <v>11</v>
      </c>
      <c r="F507" s="108" t="s">
        <v>402</v>
      </c>
      <c r="G507" s="108" t="s">
        <v>408</v>
      </c>
      <c r="H507" s="126"/>
      <c r="I507" s="108">
        <v>110111010</v>
      </c>
      <c r="J507" s="108" t="str">
        <f t="shared" si="94"/>
        <v>0110111010</v>
      </c>
      <c r="K507" s="304" t="str">
        <f t="shared" si="103"/>
        <v>60607010110111010612</v>
      </c>
      <c r="M507" s="22"/>
      <c r="N507" s="22"/>
      <c r="O507" s="22"/>
      <c r="P507" s="22"/>
      <c r="Q507" s="22"/>
      <c r="R507" s="22"/>
    </row>
    <row r="508" spans="1:19" s="17" customFormat="1" ht="15.75">
      <c r="A508" s="14"/>
      <c r="B508" s="132" t="s">
        <v>409</v>
      </c>
      <c r="C508" s="109" t="s">
        <v>394</v>
      </c>
      <c r="D508" s="108" t="s">
        <v>229</v>
      </c>
      <c r="E508" s="108" t="s">
        <v>11</v>
      </c>
      <c r="F508" s="108" t="s">
        <v>402</v>
      </c>
      <c r="G508" s="108" t="s">
        <v>410</v>
      </c>
      <c r="H508" s="126">
        <f>H509+H510</f>
        <v>0</v>
      </c>
      <c r="I508" s="108">
        <v>110111010</v>
      </c>
      <c r="J508" s="108" t="str">
        <f t="shared" si="94"/>
        <v>0110111010</v>
      </c>
      <c r="K508" s="132"/>
      <c r="M508" s="20">
        <v>30275.81</v>
      </c>
      <c r="N508" s="20">
        <v>30275.81</v>
      </c>
      <c r="O508" s="20">
        <v>30275.81</v>
      </c>
      <c r="P508" s="20">
        <f>H508-M508</f>
        <v>-30275.81</v>
      </c>
      <c r="Q508" s="20" t="e">
        <f>#REF!-N508</f>
        <v>#REF!</v>
      </c>
      <c r="R508" s="20" t="e">
        <f>#REF!-O508</f>
        <v>#REF!</v>
      </c>
      <c r="S508" s="17" t="str">
        <f t="shared" si="102"/>
        <v>01 1 01 11010620</v>
      </c>
    </row>
    <row r="509" spans="1:19" s="24" customFormat="1" ht="63">
      <c r="A509" s="21"/>
      <c r="B509" s="127" t="s">
        <v>411</v>
      </c>
      <c r="C509" s="109" t="s">
        <v>394</v>
      </c>
      <c r="D509" s="108" t="s">
        <v>229</v>
      </c>
      <c r="E509" s="108" t="s">
        <v>11</v>
      </c>
      <c r="F509" s="108" t="s">
        <v>402</v>
      </c>
      <c r="G509" s="108" t="s">
        <v>412</v>
      </c>
      <c r="H509" s="126"/>
      <c r="I509" s="108">
        <v>110111010</v>
      </c>
      <c r="J509" s="108" t="str">
        <f t="shared" si="94"/>
        <v>0110111010</v>
      </c>
      <c r="K509" s="304" t="str">
        <f>C509&amp;D509&amp;E509&amp;J509&amp;G509</f>
        <v>60607010110111010621</v>
      </c>
      <c r="M509" s="22"/>
      <c r="N509" s="22"/>
      <c r="O509" s="22"/>
      <c r="P509" s="22"/>
      <c r="Q509" s="22"/>
      <c r="R509" s="22"/>
    </row>
    <row r="510" spans="1:19" s="24" customFormat="1" ht="15.75">
      <c r="A510" s="21"/>
      <c r="B510" s="127" t="s">
        <v>428</v>
      </c>
      <c r="C510" s="109" t="s">
        <v>394</v>
      </c>
      <c r="D510" s="108" t="s">
        <v>229</v>
      </c>
      <c r="E510" s="108" t="s">
        <v>11</v>
      </c>
      <c r="F510" s="108" t="s">
        <v>402</v>
      </c>
      <c r="G510" s="108" t="s">
        <v>429</v>
      </c>
      <c r="H510" s="126"/>
      <c r="I510" s="108">
        <v>110111010</v>
      </c>
      <c r="J510" s="108" t="str">
        <f t="shared" si="94"/>
        <v>0110111010</v>
      </c>
      <c r="K510" s="304" t="str">
        <f>C510&amp;D510&amp;E510&amp;J510&amp;G510</f>
        <v>60607010110111010622</v>
      </c>
      <c r="M510" s="22"/>
      <c r="N510" s="22"/>
      <c r="O510" s="22"/>
      <c r="P510" s="22"/>
      <c r="Q510" s="22"/>
      <c r="R510" s="22"/>
    </row>
    <row r="511" spans="1:19" s="17" customFormat="1" ht="110.25">
      <c r="A511" s="14" t="s">
        <v>80</v>
      </c>
      <c r="B511" s="125" t="s">
        <v>413</v>
      </c>
      <c r="C511" s="109" t="s">
        <v>394</v>
      </c>
      <c r="D511" s="108" t="s">
        <v>229</v>
      </c>
      <c r="E511" s="108" t="s">
        <v>11</v>
      </c>
      <c r="F511" s="108" t="s">
        <v>414</v>
      </c>
      <c r="G511" s="108" t="s">
        <v>9</v>
      </c>
      <c r="H511" s="126">
        <f>H512+H514+H516</f>
        <v>0</v>
      </c>
      <c r="I511" s="108">
        <v>110177170</v>
      </c>
      <c r="J511" s="108" t="str">
        <f t="shared" si="94"/>
        <v>0110177170</v>
      </c>
      <c r="K511" s="132"/>
      <c r="M511" s="20">
        <v>735479.44</v>
      </c>
      <c r="N511" s="20">
        <v>747463.59000000008</v>
      </c>
      <c r="O511" s="20">
        <v>759921.73999999987</v>
      </c>
      <c r="P511" s="20">
        <f>H511-M511</f>
        <v>-735479.44</v>
      </c>
      <c r="Q511" s="20" t="e">
        <f>#REF!-N511</f>
        <v>#REF!</v>
      </c>
      <c r="R511" s="20" t="e">
        <f>#REF!-O511</f>
        <v>#REF!</v>
      </c>
      <c r="S511" s="17" t="str">
        <f t="shared" si="102"/>
        <v>01 1 01 77170000</v>
      </c>
    </row>
    <row r="512" spans="1:19" s="17" customFormat="1" ht="15.75">
      <c r="A512" s="14"/>
      <c r="B512" s="132" t="s">
        <v>403</v>
      </c>
      <c r="C512" s="109" t="s">
        <v>394</v>
      </c>
      <c r="D512" s="108" t="s">
        <v>229</v>
      </c>
      <c r="E512" s="108" t="s">
        <v>11</v>
      </c>
      <c r="F512" s="108" t="s">
        <v>414</v>
      </c>
      <c r="G512" s="108" t="s">
        <v>404</v>
      </c>
      <c r="H512" s="126">
        <f>H513</f>
        <v>0</v>
      </c>
      <c r="I512" s="108">
        <v>110177170</v>
      </c>
      <c r="J512" s="108" t="str">
        <f t="shared" si="94"/>
        <v>0110177170</v>
      </c>
      <c r="K512" s="132"/>
      <c r="M512" s="20">
        <v>697969.32</v>
      </c>
      <c r="N512" s="20">
        <v>709342.29</v>
      </c>
      <c r="O512" s="20">
        <v>721037.94</v>
      </c>
      <c r="P512" s="20">
        <f>H512-M512</f>
        <v>-697969.32</v>
      </c>
      <c r="Q512" s="20" t="e">
        <f>#REF!-N512</f>
        <v>#REF!</v>
      </c>
      <c r="R512" s="20" t="e">
        <f>#REF!-O512</f>
        <v>#REF!</v>
      </c>
      <c r="S512" s="17" t="str">
        <f t="shared" si="102"/>
        <v>01 1 01 77170610</v>
      </c>
    </row>
    <row r="513" spans="1:19" s="24" customFormat="1" ht="63">
      <c r="A513" s="21"/>
      <c r="B513" s="127" t="s">
        <v>405</v>
      </c>
      <c r="C513" s="109" t="s">
        <v>394</v>
      </c>
      <c r="D513" s="108" t="s">
        <v>229</v>
      </c>
      <c r="E513" s="108" t="s">
        <v>11</v>
      </c>
      <c r="F513" s="108" t="s">
        <v>414</v>
      </c>
      <c r="G513" s="108" t="s">
        <v>406</v>
      </c>
      <c r="H513" s="126"/>
      <c r="I513" s="108">
        <v>110177170</v>
      </c>
      <c r="J513" s="108" t="str">
        <f t="shared" si="94"/>
        <v>0110177170</v>
      </c>
      <c r="K513" s="304" t="str">
        <f>C513&amp;D513&amp;E513&amp;J513&amp;G513</f>
        <v>60607010110177170611</v>
      </c>
      <c r="M513" s="22"/>
      <c r="N513" s="22"/>
      <c r="O513" s="22"/>
      <c r="P513" s="22"/>
      <c r="Q513" s="22"/>
      <c r="R513" s="22"/>
    </row>
    <row r="514" spans="1:19" s="17" customFormat="1" ht="15.75">
      <c r="A514" s="14"/>
      <c r="B514" s="132" t="s">
        <v>409</v>
      </c>
      <c r="C514" s="109" t="s">
        <v>394</v>
      </c>
      <c r="D514" s="108" t="s">
        <v>229</v>
      </c>
      <c r="E514" s="108" t="s">
        <v>11</v>
      </c>
      <c r="F514" s="108" t="s">
        <v>414</v>
      </c>
      <c r="G514" s="108" t="s">
        <v>410</v>
      </c>
      <c r="H514" s="126">
        <f>H515</f>
        <v>0</v>
      </c>
      <c r="I514" s="108">
        <v>110177170</v>
      </c>
      <c r="J514" s="108" t="str">
        <f t="shared" si="94"/>
        <v>0110177170</v>
      </c>
      <c r="K514" s="132"/>
      <c r="M514" s="20">
        <v>32582.5</v>
      </c>
      <c r="N514" s="20">
        <v>33113.4</v>
      </c>
      <c r="O514" s="20">
        <v>33775.699999999997</v>
      </c>
      <c r="P514" s="20">
        <f>H514-M514</f>
        <v>-32582.5</v>
      </c>
      <c r="Q514" s="20" t="e">
        <f>#REF!-N514</f>
        <v>#REF!</v>
      </c>
      <c r="R514" s="20" t="e">
        <f>#REF!-O514</f>
        <v>#REF!</v>
      </c>
      <c r="S514" s="17" t="str">
        <f t="shared" si="102"/>
        <v>01 1 01 77170620</v>
      </c>
    </row>
    <row r="515" spans="1:19" s="24" customFormat="1" ht="63">
      <c r="A515" s="21"/>
      <c r="B515" s="127" t="s">
        <v>411</v>
      </c>
      <c r="C515" s="109" t="s">
        <v>394</v>
      </c>
      <c r="D515" s="108" t="s">
        <v>229</v>
      </c>
      <c r="E515" s="108" t="s">
        <v>11</v>
      </c>
      <c r="F515" s="108" t="s">
        <v>414</v>
      </c>
      <c r="G515" s="108" t="s">
        <v>412</v>
      </c>
      <c r="H515" s="126"/>
      <c r="I515" s="108">
        <v>110177170</v>
      </c>
      <c r="J515" s="108" t="str">
        <f t="shared" si="94"/>
        <v>0110177170</v>
      </c>
      <c r="K515" s="304" t="str">
        <f>C515&amp;D515&amp;E515&amp;J515&amp;G515</f>
        <v>60607010110177170621</v>
      </c>
      <c r="M515" s="22"/>
      <c r="N515" s="22"/>
      <c r="O515" s="22"/>
      <c r="P515" s="22"/>
      <c r="Q515" s="22"/>
      <c r="R515" s="22"/>
    </row>
    <row r="516" spans="1:19" s="17" customFormat="1" ht="47.25">
      <c r="A516" s="14"/>
      <c r="B516" s="125" t="s">
        <v>182</v>
      </c>
      <c r="C516" s="109" t="s">
        <v>394</v>
      </c>
      <c r="D516" s="108" t="s">
        <v>229</v>
      </c>
      <c r="E516" s="108" t="s">
        <v>11</v>
      </c>
      <c r="F516" s="108" t="s">
        <v>414</v>
      </c>
      <c r="G516" s="108" t="s">
        <v>183</v>
      </c>
      <c r="H516" s="126">
        <f>H517</f>
        <v>0</v>
      </c>
      <c r="I516" s="108">
        <v>110177170</v>
      </c>
      <c r="J516" s="108" t="str">
        <f t="shared" si="94"/>
        <v>0110177170</v>
      </c>
      <c r="K516" s="132"/>
      <c r="M516" s="20">
        <v>4927.62</v>
      </c>
      <c r="N516" s="20">
        <v>5007.8999999999996</v>
      </c>
      <c r="O516" s="20">
        <v>5108.1000000000004</v>
      </c>
      <c r="P516" s="20">
        <f>H516-M516</f>
        <v>-4927.62</v>
      </c>
      <c r="Q516" s="20" t="e">
        <f>#REF!-N516</f>
        <v>#REF!</v>
      </c>
      <c r="R516" s="20" t="e">
        <f>#REF!-O516</f>
        <v>#REF!</v>
      </c>
      <c r="S516" s="17" t="str">
        <f t="shared" si="102"/>
        <v>01 1 01 77170630</v>
      </c>
    </row>
    <row r="517" spans="1:19" s="24" customFormat="1" ht="94.5">
      <c r="A517" s="21"/>
      <c r="B517" s="127" t="s">
        <v>1038</v>
      </c>
      <c r="C517" s="109" t="s">
        <v>394</v>
      </c>
      <c r="D517" s="108" t="s">
        <v>229</v>
      </c>
      <c r="E517" s="108" t="s">
        <v>11</v>
      </c>
      <c r="F517" s="108" t="s">
        <v>414</v>
      </c>
      <c r="G517" s="108" t="s">
        <v>416</v>
      </c>
      <c r="H517" s="126"/>
      <c r="I517" s="108">
        <v>110177170</v>
      </c>
      <c r="J517" s="108" t="str">
        <f t="shared" si="94"/>
        <v>0110177170</v>
      </c>
      <c r="K517" s="304" t="str">
        <f>C517&amp;D517&amp;E517&amp;J517&amp;G517</f>
        <v>60607010110177170632</v>
      </c>
      <c r="M517" s="22"/>
      <c r="N517" s="22"/>
      <c r="O517" s="22"/>
      <c r="P517" s="22"/>
      <c r="Q517" s="22"/>
      <c r="R517" s="22"/>
    </row>
    <row r="518" spans="1:19" s="17" customFormat="1" ht="78.75">
      <c r="A518" s="14"/>
      <c r="B518" s="125" t="s">
        <v>417</v>
      </c>
      <c r="C518" s="109" t="s">
        <v>394</v>
      </c>
      <c r="D518" s="108" t="s">
        <v>229</v>
      </c>
      <c r="E518" s="108" t="s">
        <v>11</v>
      </c>
      <c r="F518" s="108" t="s">
        <v>418</v>
      </c>
      <c r="G518" s="108" t="s">
        <v>9</v>
      </c>
      <c r="H518" s="126">
        <f>H519</f>
        <v>0</v>
      </c>
      <c r="I518" s="108">
        <v>110600000</v>
      </c>
      <c r="J518" s="108" t="str">
        <f t="shared" si="94"/>
        <v>0110600000</v>
      </c>
      <c r="K518" s="132"/>
      <c r="M518" s="20">
        <v>31723.69</v>
      </c>
      <c r="N518" s="20">
        <v>13530.66</v>
      </c>
      <c r="O518" s="20">
        <v>13530.66</v>
      </c>
      <c r="P518" s="20">
        <f>H518-M518</f>
        <v>-31723.69</v>
      </c>
      <c r="Q518" s="20" t="e">
        <f>#REF!-N518</f>
        <v>#REF!</v>
      </c>
      <c r="R518" s="20" t="e">
        <f>#REF!-O518</f>
        <v>#REF!</v>
      </c>
      <c r="S518" s="17" t="str">
        <f t="shared" si="102"/>
        <v>01 1 06 00000000</v>
      </c>
    </row>
    <row r="519" spans="1:19" s="17" customFormat="1" ht="31.5">
      <c r="A519" s="14"/>
      <c r="B519" s="132" t="s">
        <v>136</v>
      </c>
      <c r="C519" s="109" t="s">
        <v>394</v>
      </c>
      <c r="D519" s="108" t="s">
        <v>229</v>
      </c>
      <c r="E519" s="108" t="s">
        <v>11</v>
      </c>
      <c r="F519" s="108" t="s">
        <v>419</v>
      </c>
      <c r="G519" s="108" t="s">
        <v>9</v>
      </c>
      <c r="H519" s="126">
        <f>H520</f>
        <v>0</v>
      </c>
      <c r="I519" s="108">
        <v>110611010</v>
      </c>
      <c r="J519" s="108" t="str">
        <f t="shared" si="94"/>
        <v>0110611010</v>
      </c>
      <c r="K519" s="132"/>
      <c r="M519" s="20">
        <v>31723.69</v>
      </c>
      <c r="N519" s="20">
        <v>13530.66</v>
      </c>
      <c r="O519" s="20">
        <v>13530.66</v>
      </c>
      <c r="P519" s="20">
        <f>H519-M519</f>
        <v>-31723.69</v>
      </c>
      <c r="Q519" s="20" t="e">
        <f>#REF!-N519</f>
        <v>#REF!</v>
      </c>
      <c r="R519" s="20" t="e">
        <f>#REF!-O519</f>
        <v>#REF!</v>
      </c>
      <c r="S519" s="17" t="str">
        <f t="shared" si="102"/>
        <v>01 1 06 11010000</v>
      </c>
    </row>
    <row r="520" spans="1:19" s="17" customFormat="1" ht="15.75">
      <c r="A520" s="14"/>
      <c r="B520" s="132" t="s">
        <v>403</v>
      </c>
      <c r="C520" s="109" t="s">
        <v>394</v>
      </c>
      <c r="D520" s="108" t="s">
        <v>229</v>
      </c>
      <c r="E520" s="108" t="s">
        <v>11</v>
      </c>
      <c r="F520" s="108" t="s">
        <v>419</v>
      </c>
      <c r="G520" s="108" t="s">
        <v>404</v>
      </c>
      <c r="H520" s="126">
        <f>H521</f>
        <v>0</v>
      </c>
      <c r="I520" s="108">
        <v>110611010</v>
      </c>
      <c r="J520" s="108" t="str">
        <f t="shared" si="94"/>
        <v>0110611010</v>
      </c>
      <c r="K520" s="132"/>
      <c r="M520" s="20">
        <v>31723.69</v>
      </c>
      <c r="N520" s="20">
        <v>13530.66</v>
      </c>
      <c r="O520" s="20">
        <v>13530.66</v>
      </c>
      <c r="P520" s="20">
        <f>H520-M520</f>
        <v>-31723.69</v>
      </c>
      <c r="Q520" s="20" t="e">
        <f>#REF!-N520</f>
        <v>#REF!</v>
      </c>
      <c r="R520" s="20" t="e">
        <f>#REF!-O520</f>
        <v>#REF!</v>
      </c>
      <c r="S520" s="17" t="str">
        <f t="shared" si="102"/>
        <v>01 1 06 11010610</v>
      </c>
    </row>
    <row r="521" spans="1:19" s="24" customFormat="1" ht="15.75">
      <c r="A521" s="21"/>
      <c r="B521" s="127" t="s">
        <v>407</v>
      </c>
      <c r="C521" s="109" t="s">
        <v>394</v>
      </c>
      <c r="D521" s="108" t="s">
        <v>229</v>
      </c>
      <c r="E521" s="108" t="s">
        <v>11</v>
      </c>
      <c r="F521" s="108" t="s">
        <v>419</v>
      </c>
      <c r="G521" s="108" t="s">
        <v>408</v>
      </c>
      <c r="H521" s="126"/>
      <c r="I521" s="108">
        <v>110611010</v>
      </c>
      <c r="J521" s="108" t="str">
        <f t="shared" si="94"/>
        <v>0110611010</v>
      </c>
      <c r="K521" s="304" t="str">
        <f>C521&amp;D521&amp;E521&amp;J521&amp;G521</f>
        <v>60607010110611010612</v>
      </c>
      <c r="M521" s="22"/>
      <c r="N521" s="22"/>
      <c r="O521" s="22"/>
      <c r="P521" s="22"/>
      <c r="Q521" s="22"/>
      <c r="R521" s="22"/>
    </row>
    <row r="522" spans="1:19" s="17" customFormat="1" ht="47.25">
      <c r="A522" s="14"/>
      <c r="B522" s="132" t="s">
        <v>146</v>
      </c>
      <c r="C522" s="109" t="s">
        <v>394</v>
      </c>
      <c r="D522" s="108" t="s">
        <v>229</v>
      </c>
      <c r="E522" s="108" t="s">
        <v>11</v>
      </c>
      <c r="F522" s="108" t="s">
        <v>147</v>
      </c>
      <c r="G522" s="108" t="s">
        <v>9</v>
      </c>
      <c r="H522" s="126">
        <f>H523</f>
        <v>0</v>
      </c>
      <c r="I522" s="108">
        <v>1500000000</v>
      </c>
      <c r="J522" s="108" t="str">
        <f t="shared" si="94"/>
        <v>1500000000</v>
      </c>
      <c r="K522" s="132"/>
      <c r="M522" s="20">
        <v>3550</v>
      </c>
      <c r="N522" s="20">
        <v>20250</v>
      </c>
      <c r="O522" s="20">
        <v>0</v>
      </c>
      <c r="P522" s="20">
        <f>H522-M522</f>
        <v>-3550</v>
      </c>
      <c r="Q522" s="20" t="e">
        <f>#REF!-N522</f>
        <v>#REF!</v>
      </c>
      <c r="R522" s="20" t="e">
        <f>#REF!-O522</f>
        <v>#REF!</v>
      </c>
      <c r="S522" s="17" t="str">
        <f t="shared" si="102"/>
        <v>15 0 00 00000000</v>
      </c>
    </row>
    <row r="523" spans="1:19" s="17" customFormat="1" ht="47.25">
      <c r="A523" s="14"/>
      <c r="B523" s="125" t="s">
        <v>1065</v>
      </c>
      <c r="C523" s="109" t="s">
        <v>394</v>
      </c>
      <c r="D523" s="108" t="s">
        <v>229</v>
      </c>
      <c r="E523" s="108" t="s">
        <v>11</v>
      </c>
      <c r="F523" s="108" t="s">
        <v>149</v>
      </c>
      <c r="G523" s="108" t="s">
        <v>9</v>
      </c>
      <c r="H523" s="126">
        <f>H524</f>
        <v>0</v>
      </c>
      <c r="I523" s="108">
        <v>1510000000</v>
      </c>
      <c r="J523" s="108" t="str">
        <f t="shared" si="94"/>
        <v>1510000000</v>
      </c>
      <c r="K523" s="132"/>
      <c r="M523" s="20">
        <v>3550</v>
      </c>
      <c r="N523" s="20">
        <v>20250</v>
      </c>
      <c r="O523" s="20">
        <v>0</v>
      </c>
      <c r="P523" s="20">
        <f>H523-M523</f>
        <v>-3550</v>
      </c>
      <c r="Q523" s="20" t="e">
        <f>#REF!-N523</f>
        <v>#REF!</v>
      </c>
      <c r="R523" s="20" t="e">
        <f>#REF!-O523</f>
        <v>#REF!</v>
      </c>
      <c r="S523" s="17" t="str">
        <f t="shared" si="102"/>
        <v>15 1 00 00000000</v>
      </c>
    </row>
    <row r="524" spans="1:19" s="17" customFormat="1" ht="63">
      <c r="A524" s="14"/>
      <c r="B524" s="132" t="s">
        <v>1068</v>
      </c>
      <c r="C524" s="109" t="s">
        <v>394</v>
      </c>
      <c r="D524" s="108" t="s">
        <v>229</v>
      </c>
      <c r="E524" s="108" t="s">
        <v>11</v>
      </c>
      <c r="F524" s="108" t="s">
        <v>1069</v>
      </c>
      <c r="G524" s="108" t="s">
        <v>9</v>
      </c>
      <c r="H524" s="126">
        <f>H525</f>
        <v>0</v>
      </c>
      <c r="I524" s="108">
        <v>1510400000</v>
      </c>
      <c r="J524" s="108" t="str">
        <f t="shared" si="94"/>
        <v>1510400000</v>
      </c>
      <c r="K524" s="132"/>
      <c r="M524" s="20">
        <v>3550</v>
      </c>
      <c r="N524" s="20">
        <v>20250</v>
      </c>
      <c r="O524" s="20">
        <v>0</v>
      </c>
      <c r="P524" s="20">
        <f>H524-M524</f>
        <v>-3550</v>
      </c>
      <c r="Q524" s="20" t="e">
        <f>#REF!-N524</f>
        <v>#REF!</v>
      </c>
      <c r="R524" s="20" t="e">
        <f>#REF!-O524</f>
        <v>#REF!</v>
      </c>
      <c r="S524" s="17" t="str">
        <f t="shared" si="102"/>
        <v>15 1 04 00000000</v>
      </c>
    </row>
    <row r="525" spans="1:19" s="17" customFormat="1" ht="47.25">
      <c r="A525" s="14"/>
      <c r="B525" s="132" t="s">
        <v>152</v>
      </c>
      <c r="C525" s="109" t="s">
        <v>394</v>
      </c>
      <c r="D525" s="108" t="s">
        <v>229</v>
      </c>
      <c r="E525" s="108" t="s">
        <v>11</v>
      </c>
      <c r="F525" s="108" t="s">
        <v>1070</v>
      </c>
      <c r="G525" s="108" t="s">
        <v>9</v>
      </c>
      <c r="H525" s="126">
        <f>H526</f>
        <v>0</v>
      </c>
      <c r="I525" s="108">
        <v>1510420350</v>
      </c>
      <c r="J525" s="108" t="str">
        <f t="shared" si="94"/>
        <v>1510420350</v>
      </c>
      <c r="K525" s="132"/>
      <c r="M525" s="20">
        <v>3550</v>
      </c>
      <c r="N525" s="20">
        <v>20250</v>
      </c>
      <c r="O525" s="20">
        <v>0</v>
      </c>
      <c r="P525" s="20">
        <f>H525-M525</f>
        <v>-3550</v>
      </c>
      <c r="Q525" s="20" t="e">
        <f>#REF!-N525</f>
        <v>#REF!</v>
      </c>
      <c r="R525" s="20" t="e">
        <f>#REF!-O525</f>
        <v>#REF!</v>
      </c>
      <c r="S525" s="17" t="str">
        <f t="shared" si="102"/>
        <v>15 1 04 20350000</v>
      </c>
    </row>
    <row r="526" spans="1:19" s="17" customFormat="1" ht="15.75">
      <c r="A526" s="14"/>
      <c r="B526" s="132" t="s">
        <v>403</v>
      </c>
      <c r="C526" s="109" t="s">
        <v>394</v>
      </c>
      <c r="D526" s="108" t="s">
        <v>229</v>
      </c>
      <c r="E526" s="108" t="s">
        <v>11</v>
      </c>
      <c r="F526" s="108" t="s">
        <v>1070</v>
      </c>
      <c r="G526" s="108" t="s">
        <v>404</v>
      </c>
      <c r="H526" s="126">
        <f>H527</f>
        <v>0</v>
      </c>
      <c r="I526" s="108">
        <v>1510420350</v>
      </c>
      <c r="J526" s="108" t="str">
        <f t="shared" si="94"/>
        <v>1510420350</v>
      </c>
      <c r="K526" s="132"/>
      <c r="M526" s="20">
        <v>3550</v>
      </c>
      <c r="N526" s="20">
        <v>20250</v>
      </c>
      <c r="O526" s="20">
        <v>0</v>
      </c>
      <c r="P526" s="20">
        <f>H526-M526</f>
        <v>-3550</v>
      </c>
      <c r="Q526" s="20" t="e">
        <f>#REF!-N526</f>
        <v>#REF!</v>
      </c>
      <c r="R526" s="20" t="e">
        <f>#REF!-O526</f>
        <v>#REF!</v>
      </c>
      <c r="S526" s="17" t="str">
        <f t="shared" si="102"/>
        <v>15 1 04 20350610</v>
      </c>
    </row>
    <row r="527" spans="1:19" s="24" customFormat="1" ht="15.75">
      <c r="A527" s="21"/>
      <c r="B527" s="127" t="s">
        <v>407</v>
      </c>
      <c r="C527" s="109" t="s">
        <v>394</v>
      </c>
      <c r="D527" s="108" t="s">
        <v>229</v>
      </c>
      <c r="E527" s="108" t="s">
        <v>11</v>
      </c>
      <c r="F527" s="108" t="s">
        <v>1070</v>
      </c>
      <c r="G527" s="108" t="s">
        <v>408</v>
      </c>
      <c r="H527" s="126"/>
      <c r="I527" s="108">
        <v>1510420350</v>
      </c>
      <c r="J527" s="108" t="str">
        <f t="shared" si="94"/>
        <v>1510420350</v>
      </c>
      <c r="K527" s="304" t="str">
        <f>C527&amp;D527&amp;E527&amp;J527&amp;G527</f>
        <v>60607011510420350612</v>
      </c>
      <c r="M527" s="22"/>
      <c r="N527" s="22"/>
      <c r="O527" s="22"/>
      <c r="P527" s="22"/>
      <c r="Q527" s="22"/>
      <c r="R527" s="22"/>
    </row>
    <row r="528" spans="1:19" s="17" customFormat="1" ht="94.5">
      <c r="A528" s="14"/>
      <c r="B528" s="125" t="s">
        <v>420</v>
      </c>
      <c r="C528" s="109" t="s">
        <v>394</v>
      </c>
      <c r="D528" s="108" t="s">
        <v>229</v>
      </c>
      <c r="E528" s="108" t="s">
        <v>11</v>
      </c>
      <c r="F528" s="108" t="s">
        <v>421</v>
      </c>
      <c r="G528" s="108" t="s">
        <v>9</v>
      </c>
      <c r="H528" s="126">
        <f t="shared" ref="H528:H530" si="104">H529</f>
        <v>0</v>
      </c>
      <c r="I528" s="108">
        <v>1600000000</v>
      </c>
      <c r="J528" s="108" t="str">
        <f t="shared" si="94"/>
        <v>1600000000</v>
      </c>
      <c r="K528" s="132"/>
      <c r="M528" s="20">
        <v>3842.64</v>
      </c>
      <c r="N528" s="20">
        <v>3842.64</v>
      </c>
      <c r="O528" s="20">
        <v>3842.64</v>
      </c>
      <c r="P528" s="20">
        <f>H528-M528</f>
        <v>-3842.64</v>
      </c>
      <c r="Q528" s="20" t="e">
        <f>#REF!-N528</f>
        <v>#REF!</v>
      </c>
      <c r="R528" s="20" t="e">
        <f>#REF!-O528</f>
        <v>#REF!</v>
      </c>
      <c r="S528" s="17" t="str">
        <f t="shared" si="102"/>
        <v>16 0 00 00000000</v>
      </c>
    </row>
    <row r="529" spans="1:19" s="17" customFormat="1" ht="31.5">
      <c r="A529" s="14"/>
      <c r="B529" s="125" t="s">
        <v>422</v>
      </c>
      <c r="C529" s="109" t="s">
        <v>394</v>
      </c>
      <c r="D529" s="108" t="s">
        <v>229</v>
      </c>
      <c r="E529" s="108" t="s">
        <v>11</v>
      </c>
      <c r="F529" s="108" t="s">
        <v>423</v>
      </c>
      <c r="G529" s="108" t="s">
        <v>9</v>
      </c>
      <c r="H529" s="126">
        <f t="shared" si="104"/>
        <v>0</v>
      </c>
      <c r="I529" s="108">
        <v>1620000000</v>
      </c>
      <c r="J529" s="108" t="str">
        <f t="shared" si="94"/>
        <v>1620000000</v>
      </c>
      <c r="K529" s="132"/>
      <c r="M529" s="20">
        <v>3842.64</v>
      </c>
      <c r="N529" s="20">
        <v>3842.64</v>
      </c>
      <c r="O529" s="20">
        <v>3842.64</v>
      </c>
      <c r="P529" s="20">
        <f>H529-M529</f>
        <v>-3842.64</v>
      </c>
      <c r="Q529" s="20" t="e">
        <f>#REF!-N529</f>
        <v>#REF!</v>
      </c>
      <c r="R529" s="20" t="e">
        <f>#REF!-O529</f>
        <v>#REF!</v>
      </c>
      <c r="S529" s="17" t="str">
        <f t="shared" si="102"/>
        <v>16 2 00 00000000</v>
      </c>
    </row>
    <row r="530" spans="1:19" s="17" customFormat="1" ht="47.25">
      <c r="A530" s="14"/>
      <c r="B530" s="125" t="s">
        <v>424</v>
      </c>
      <c r="C530" s="109" t="s">
        <v>394</v>
      </c>
      <c r="D530" s="108" t="s">
        <v>229</v>
      </c>
      <c r="E530" s="108" t="s">
        <v>11</v>
      </c>
      <c r="F530" s="108" t="s">
        <v>425</v>
      </c>
      <c r="G530" s="108" t="s">
        <v>9</v>
      </c>
      <c r="H530" s="126">
        <f t="shared" si="104"/>
        <v>0</v>
      </c>
      <c r="I530" s="108">
        <v>1620200000</v>
      </c>
      <c r="J530" s="108" t="str">
        <f t="shared" si="94"/>
        <v>1620200000</v>
      </c>
      <c r="K530" s="132"/>
      <c r="M530" s="20">
        <v>3842.64</v>
      </c>
      <c r="N530" s="20">
        <v>3842.64</v>
      </c>
      <c r="O530" s="20">
        <v>3842.64</v>
      </c>
      <c r="P530" s="20">
        <f>H530-M530</f>
        <v>-3842.64</v>
      </c>
      <c r="Q530" s="20" t="e">
        <f>#REF!-N530</f>
        <v>#REF!</v>
      </c>
      <c r="R530" s="20" t="e">
        <f>#REF!-O530</f>
        <v>#REF!</v>
      </c>
      <c r="S530" s="17" t="str">
        <f t="shared" si="102"/>
        <v>16 2 02 00000000</v>
      </c>
    </row>
    <row r="531" spans="1:19" s="17" customFormat="1" ht="47.25">
      <c r="A531" s="14"/>
      <c r="B531" s="125" t="s">
        <v>426</v>
      </c>
      <c r="C531" s="109" t="s">
        <v>394</v>
      </c>
      <c r="D531" s="108" t="s">
        <v>229</v>
      </c>
      <c r="E531" s="108" t="s">
        <v>11</v>
      </c>
      <c r="F531" s="108" t="s">
        <v>427</v>
      </c>
      <c r="G531" s="108" t="s">
        <v>9</v>
      </c>
      <c r="H531" s="126">
        <f>H532+H534</f>
        <v>0</v>
      </c>
      <c r="I531" s="108">
        <v>1620220550</v>
      </c>
      <c r="J531" s="108" t="str">
        <f t="shared" si="94"/>
        <v>1620220550</v>
      </c>
      <c r="K531" s="132"/>
      <c r="M531" s="20">
        <v>3842.64</v>
      </c>
      <c r="N531" s="20">
        <v>3842.64</v>
      </c>
      <c r="O531" s="20">
        <v>3842.64</v>
      </c>
      <c r="P531" s="20">
        <f>H531-M531</f>
        <v>-3842.64</v>
      </c>
      <c r="Q531" s="20" t="e">
        <f>#REF!-N531</f>
        <v>#REF!</v>
      </c>
      <c r="R531" s="20" t="e">
        <f>#REF!-O531</f>
        <v>#REF!</v>
      </c>
      <c r="S531" s="17" t="str">
        <f t="shared" si="102"/>
        <v>16 2 02 20550000</v>
      </c>
    </row>
    <row r="532" spans="1:19" s="17" customFormat="1" ht="15.75">
      <c r="A532" s="14"/>
      <c r="B532" s="132" t="s">
        <v>403</v>
      </c>
      <c r="C532" s="109" t="s">
        <v>394</v>
      </c>
      <c r="D532" s="108" t="s">
        <v>229</v>
      </c>
      <c r="E532" s="108" t="s">
        <v>11</v>
      </c>
      <c r="F532" s="108" t="s">
        <v>427</v>
      </c>
      <c r="G532" s="108" t="s">
        <v>404</v>
      </c>
      <c r="H532" s="126">
        <f>H533</f>
        <v>0</v>
      </c>
      <c r="I532" s="108">
        <v>1620220550</v>
      </c>
      <c r="J532" s="108" t="str">
        <f t="shared" si="94"/>
        <v>1620220550</v>
      </c>
      <c r="K532" s="132"/>
      <c r="M532" s="20">
        <v>3744.14</v>
      </c>
      <c r="N532" s="20">
        <v>3744.14</v>
      </c>
      <c r="O532" s="20">
        <v>3744.14</v>
      </c>
      <c r="P532" s="20">
        <f>H532-M532</f>
        <v>-3744.14</v>
      </c>
      <c r="Q532" s="20" t="e">
        <f>#REF!-N532</f>
        <v>#REF!</v>
      </c>
      <c r="R532" s="20" t="e">
        <f>#REF!-O532</f>
        <v>#REF!</v>
      </c>
      <c r="S532" s="17" t="str">
        <f t="shared" si="102"/>
        <v>16 2 02 20550610</v>
      </c>
    </row>
    <row r="533" spans="1:19" s="24" customFormat="1" ht="15.75">
      <c r="A533" s="21"/>
      <c r="B533" s="127" t="s">
        <v>407</v>
      </c>
      <c r="C533" s="109" t="s">
        <v>394</v>
      </c>
      <c r="D533" s="108" t="s">
        <v>229</v>
      </c>
      <c r="E533" s="108" t="s">
        <v>11</v>
      </c>
      <c r="F533" s="108" t="s">
        <v>427</v>
      </c>
      <c r="G533" s="108" t="s">
        <v>408</v>
      </c>
      <c r="H533" s="126"/>
      <c r="I533" s="108">
        <v>1620220550</v>
      </c>
      <c r="J533" s="108" t="str">
        <f t="shared" si="94"/>
        <v>1620220550</v>
      </c>
      <c r="K533" s="304" t="str">
        <f>C533&amp;D533&amp;E533&amp;J533&amp;G533</f>
        <v>60607011620220550612</v>
      </c>
      <c r="M533" s="22"/>
      <c r="N533" s="22"/>
      <c r="O533" s="22"/>
      <c r="P533" s="22"/>
      <c r="Q533" s="22"/>
      <c r="R533" s="22"/>
    </row>
    <row r="534" spans="1:19" s="17" customFormat="1" ht="15.75">
      <c r="A534" s="14"/>
      <c r="B534" s="132" t="s">
        <v>409</v>
      </c>
      <c r="C534" s="109" t="s">
        <v>394</v>
      </c>
      <c r="D534" s="108" t="s">
        <v>229</v>
      </c>
      <c r="E534" s="108" t="s">
        <v>11</v>
      </c>
      <c r="F534" s="108" t="s">
        <v>427</v>
      </c>
      <c r="G534" s="108" t="s">
        <v>410</v>
      </c>
      <c r="H534" s="126">
        <f>H535</f>
        <v>0</v>
      </c>
      <c r="I534" s="108">
        <v>1620220550</v>
      </c>
      <c r="J534" s="108" t="str">
        <f t="shared" si="94"/>
        <v>1620220550</v>
      </c>
      <c r="K534" s="132"/>
      <c r="M534" s="20">
        <v>98.5</v>
      </c>
      <c r="N534" s="20">
        <v>98.5</v>
      </c>
      <c r="O534" s="20">
        <v>98.5</v>
      </c>
      <c r="P534" s="20">
        <f>H534-M534</f>
        <v>-98.5</v>
      </c>
      <c r="Q534" s="20" t="e">
        <f>#REF!-N534</f>
        <v>#REF!</v>
      </c>
      <c r="R534" s="20" t="e">
        <f>#REF!-O534</f>
        <v>#REF!</v>
      </c>
      <c r="S534" s="17" t="str">
        <f t="shared" si="102"/>
        <v>16 2 02 20550620</v>
      </c>
    </row>
    <row r="535" spans="1:19" s="24" customFormat="1" ht="15.75">
      <c r="A535" s="21"/>
      <c r="B535" s="127" t="s">
        <v>428</v>
      </c>
      <c r="C535" s="109" t="s">
        <v>394</v>
      </c>
      <c r="D535" s="108" t="s">
        <v>229</v>
      </c>
      <c r="E535" s="108" t="s">
        <v>11</v>
      </c>
      <c r="F535" s="108" t="s">
        <v>427</v>
      </c>
      <c r="G535" s="108" t="s">
        <v>429</v>
      </c>
      <c r="H535" s="126"/>
      <c r="I535" s="108">
        <v>1620220550</v>
      </c>
      <c r="J535" s="108" t="str">
        <f t="shared" si="94"/>
        <v>1620220550</v>
      </c>
      <c r="K535" s="304" t="str">
        <f>C535&amp;D535&amp;E535&amp;J535&amp;G535</f>
        <v>60607011620220550622</v>
      </c>
      <c r="M535" s="22"/>
      <c r="N535" s="22"/>
      <c r="O535" s="22"/>
      <c r="P535" s="22"/>
      <c r="Q535" s="22"/>
      <c r="R535" s="22"/>
    </row>
    <row r="536" spans="1:19" s="17" customFormat="1" ht="47.25">
      <c r="A536" s="14"/>
      <c r="B536" s="125" t="s">
        <v>430</v>
      </c>
      <c r="C536" s="109" t="s">
        <v>394</v>
      </c>
      <c r="D536" s="108" t="s">
        <v>229</v>
      </c>
      <c r="E536" s="108" t="s">
        <v>11</v>
      </c>
      <c r="F536" s="108" t="s">
        <v>431</v>
      </c>
      <c r="G536" s="108" t="s">
        <v>9</v>
      </c>
      <c r="H536" s="126">
        <f t="shared" ref="H536:H537" si="105">H537</f>
        <v>0</v>
      </c>
      <c r="I536" s="108">
        <v>1700000000</v>
      </c>
      <c r="J536" s="108" t="str">
        <f t="shared" ref="J536:J604" si="106">TEXT(I536,"0000000000")</f>
        <v>1700000000</v>
      </c>
      <c r="K536" s="132"/>
      <c r="M536" s="20">
        <v>2538.87</v>
      </c>
      <c r="N536" s="20">
        <v>2538.87</v>
      </c>
      <c r="O536" s="20">
        <v>2538.87</v>
      </c>
      <c r="P536" s="20">
        <f>H536-M536</f>
        <v>-2538.87</v>
      </c>
      <c r="Q536" s="20" t="e">
        <f>#REF!-N536</f>
        <v>#REF!</v>
      </c>
      <c r="R536" s="20" t="e">
        <f>#REF!-O536</f>
        <v>#REF!</v>
      </c>
      <c r="S536" s="17" t="str">
        <f t="shared" si="102"/>
        <v>17 0 00 00000000</v>
      </c>
    </row>
    <row r="537" spans="1:19" s="17" customFormat="1" ht="47.25">
      <c r="A537" s="14"/>
      <c r="B537" s="129" t="s">
        <v>432</v>
      </c>
      <c r="C537" s="109" t="s">
        <v>394</v>
      </c>
      <c r="D537" s="108" t="s">
        <v>229</v>
      </c>
      <c r="E537" s="108" t="s">
        <v>11</v>
      </c>
      <c r="F537" s="108" t="s">
        <v>433</v>
      </c>
      <c r="G537" s="108" t="s">
        <v>9</v>
      </c>
      <c r="H537" s="126">
        <f t="shared" si="105"/>
        <v>0</v>
      </c>
      <c r="I537" s="108" t="s">
        <v>1198</v>
      </c>
      <c r="J537" s="108" t="str">
        <f t="shared" si="106"/>
        <v>17Б0000000</v>
      </c>
      <c r="K537" s="132"/>
      <c r="M537" s="20">
        <v>2538.87</v>
      </c>
      <c r="N537" s="20">
        <v>2538.87</v>
      </c>
      <c r="O537" s="20">
        <v>2538.87</v>
      </c>
      <c r="P537" s="20">
        <f>H537-M537</f>
        <v>-2538.87</v>
      </c>
      <c r="Q537" s="20" t="e">
        <f>#REF!-N537</f>
        <v>#REF!</v>
      </c>
      <c r="R537" s="20" t="e">
        <f>#REF!-O537</f>
        <v>#REF!</v>
      </c>
      <c r="S537" s="17" t="str">
        <f t="shared" si="102"/>
        <v>17 Б 00 00000000</v>
      </c>
    </row>
    <row r="538" spans="1:19" s="17" customFormat="1" ht="31.5">
      <c r="A538" s="14"/>
      <c r="B538" s="125" t="s">
        <v>434</v>
      </c>
      <c r="C538" s="109" t="s">
        <v>394</v>
      </c>
      <c r="D538" s="108" t="s">
        <v>229</v>
      </c>
      <c r="E538" s="108" t="s">
        <v>11</v>
      </c>
      <c r="F538" s="108" t="s">
        <v>435</v>
      </c>
      <c r="G538" s="108" t="s">
        <v>9</v>
      </c>
      <c r="H538" s="126">
        <f>H540</f>
        <v>0</v>
      </c>
      <c r="I538" s="108" t="s">
        <v>1199</v>
      </c>
      <c r="J538" s="108" t="str">
        <f t="shared" si="106"/>
        <v>17Б0100000</v>
      </c>
      <c r="K538" s="132"/>
      <c r="M538" s="20">
        <v>2538.87</v>
      </c>
      <c r="N538" s="20">
        <v>2538.87</v>
      </c>
      <c r="O538" s="20">
        <v>2538.87</v>
      </c>
      <c r="P538" s="20">
        <f>H538-M538</f>
        <v>-2538.87</v>
      </c>
      <c r="Q538" s="20" t="e">
        <f>#REF!-N538</f>
        <v>#REF!</v>
      </c>
      <c r="R538" s="20" t="e">
        <f>#REF!-O538</f>
        <v>#REF!</v>
      </c>
      <c r="S538" s="17" t="str">
        <f t="shared" si="102"/>
        <v>17 Б 01 00000000</v>
      </c>
    </row>
    <row r="539" spans="1:19" s="17" customFormat="1" ht="47.25">
      <c r="A539" s="14"/>
      <c r="B539" s="132" t="s">
        <v>436</v>
      </c>
      <c r="C539" s="109" t="s">
        <v>394</v>
      </c>
      <c r="D539" s="108" t="s">
        <v>229</v>
      </c>
      <c r="E539" s="108" t="s">
        <v>11</v>
      </c>
      <c r="F539" s="108" t="s">
        <v>437</v>
      </c>
      <c r="G539" s="108" t="s">
        <v>9</v>
      </c>
      <c r="H539" s="126">
        <f>H540</f>
        <v>0</v>
      </c>
      <c r="I539" s="108" t="s">
        <v>1200</v>
      </c>
      <c r="J539" s="108" t="str">
        <f t="shared" si="106"/>
        <v>17Б0120490</v>
      </c>
      <c r="K539" s="132"/>
      <c r="M539" s="20">
        <v>2538.87</v>
      </c>
      <c r="N539" s="20">
        <v>2538.87</v>
      </c>
      <c r="O539" s="20">
        <v>2538.87</v>
      </c>
      <c r="P539" s="20">
        <f>H539-M539</f>
        <v>-2538.87</v>
      </c>
      <c r="Q539" s="20" t="e">
        <f>#REF!-N539</f>
        <v>#REF!</v>
      </c>
      <c r="R539" s="20" t="e">
        <f>#REF!-O539</f>
        <v>#REF!</v>
      </c>
      <c r="S539" s="17" t="str">
        <f t="shared" si="102"/>
        <v>17 Б 01 20490000</v>
      </c>
    </row>
    <row r="540" spans="1:19" s="17" customFormat="1" ht="15.75">
      <c r="A540" s="14"/>
      <c r="B540" s="132" t="s">
        <v>403</v>
      </c>
      <c r="C540" s="109" t="s">
        <v>394</v>
      </c>
      <c r="D540" s="108" t="s">
        <v>229</v>
      </c>
      <c r="E540" s="108" t="s">
        <v>11</v>
      </c>
      <c r="F540" s="108" t="s">
        <v>437</v>
      </c>
      <c r="G540" s="108" t="s">
        <v>404</v>
      </c>
      <c r="H540" s="126">
        <f>H541</f>
        <v>0</v>
      </c>
      <c r="I540" s="108" t="s">
        <v>1200</v>
      </c>
      <c r="J540" s="108" t="str">
        <f t="shared" si="106"/>
        <v>17Б0120490</v>
      </c>
      <c r="K540" s="132"/>
      <c r="M540" s="20">
        <v>2538.87</v>
      </c>
      <c r="N540" s="20">
        <v>2538.87</v>
      </c>
      <c r="O540" s="20">
        <v>2538.87</v>
      </c>
      <c r="P540" s="20">
        <f>H540-M540</f>
        <v>-2538.87</v>
      </c>
      <c r="Q540" s="20" t="e">
        <f>#REF!-N540</f>
        <v>#REF!</v>
      </c>
      <c r="R540" s="20" t="e">
        <f>#REF!-O540</f>
        <v>#REF!</v>
      </c>
      <c r="S540" s="17" t="str">
        <f t="shared" si="102"/>
        <v>17 Б 01 20490610</v>
      </c>
    </row>
    <row r="541" spans="1:19" s="24" customFormat="1" ht="15.75">
      <c r="A541" s="21"/>
      <c r="B541" s="127" t="s">
        <v>407</v>
      </c>
      <c r="C541" s="109" t="s">
        <v>394</v>
      </c>
      <c r="D541" s="108" t="s">
        <v>229</v>
      </c>
      <c r="E541" s="108" t="s">
        <v>11</v>
      </c>
      <c r="F541" s="108" t="s">
        <v>437</v>
      </c>
      <c r="G541" s="108" t="s">
        <v>408</v>
      </c>
      <c r="H541" s="126"/>
      <c r="I541" s="108" t="s">
        <v>1200</v>
      </c>
      <c r="J541" s="108" t="str">
        <f t="shared" si="106"/>
        <v>17Б0120490</v>
      </c>
      <c r="K541" s="304" t="str">
        <f>C541&amp;D541&amp;E541&amp;J541&amp;G541</f>
        <v>606070117Б0120490612</v>
      </c>
      <c r="M541" s="22"/>
      <c r="N541" s="22"/>
      <c r="O541" s="22"/>
      <c r="P541" s="22"/>
      <c r="Q541" s="22"/>
      <c r="R541" s="22"/>
    </row>
    <row r="542" spans="1:19" s="17" customFormat="1" ht="15.75">
      <c r="A542" s="14"/>
      <c r="B542" s="121" t="s">
        <v>438</v>
      </c>
      <c r="C542" s="122" t="s">
        <v>394</v>
      </c>
      <c r="D542" s="123" t="s">
        <v>229</v>
      </c>
      <c r="E542" s="123" t="s">
        <v>62</v>
      </c>
      <c r="F542" s="123" t="s">
        <v>8</v>
      </c>
      <c r="G542" s="123" t="s">
        <v>9</v>
      </c>
      <c r="H542" s="124">
        <f>H543+H585+H603+H617+H611</f>
        <v>0</v>
      </c>
      <c r="I542" s="123">
        <v>0</v>
      </c>
      <c r="J542" s="123" t="str">
        <f t="shared" si="106"/>
        <v>0000000000</v>
      </c>
      <c r="K542" s="132"/>
      <c r="M542" s="19">
        <v>1725231.0400000003</v>
      </c>
      <c r="N542" s="19">
        <v>1670357.1300000001</v>
      </c>
      <c r="O542" s="19">
        <v>1673208.27</v>
      </c>
      <c r="P542" s="19">
        <f t="shared" ref="P542:P550" si="107">H542-M542</f>
        <v>-1725231.0400000003</v>
      </c>
      <c r="Q542" s="19" t="e">
        <f>#REF!-N542</f>
        <v>#REF!</v>
      </c>
      <c r="R542" s="19" t="e">
        <f>#REF!-O542</f>
        <v>#REF!</v>
      </c>
      <c r="S542" s="17" t="str">
        <f t="shared" si="102"/>
        <v>00 0 00 00000000</v>
      </c>
    </row>
    <row r="543" spans="1:19" s="17" customFormat="1" ht="31.5">
      <c r="A543" s="14"/>
      <c r="B543" s="132" t="s">
        <v>396</v>
      </c>
      <c r="C543" s="109" t="s">
        <v>394</v>
      </c>
      <c r="D543" s="108" t="s">
        <v>229</v>
      </c>
      <c r="E543" s="108" t="s">
        <v>62</v>
      </c>
      <c r="F543" s="108" t="s">
        <v>397</v>
      </c>
      <c r="G543" s="108" t="s">
        <v>9</v>
      </c>
      <c r="H543" s="126">
        <f>H544+H580</f>
        <v>0</v>
      </c>
      <c r="I543" s="108">
        <v>100000000</v>
      </c>
      <c r="J543" s="108" t="str">
        <f t="shared" si="106"/>
        <v>0100000000</v>
      </c>
      <c r="K543" s="132"/>
      <c r="M543" s="20">
        <v>1706232.36</v>
      </c>
      <c r="N543" s="20">
        <v>1662278.45</v>
      </c>
      <c r="O543" s="20">
        <v>1665909.5899999999</v>
      </c>
      <c r="P543" s="20">
        <f t="shared" si="107"/>
        <v>-1706232.36</v>
      </c>
      <c r="Q543" s="20" t="e">
        <f>#REF!-N543</f>
        <v>#REF!</v>
      </c>
      <c r="R543" s="20" t="e">
        <f>#REF!-O543</f>
        <v>#REF!</v>
      </c>
      <c r="S543" s="17" t="str">
        <f t="shared" si="102"/>
        <v>01 0 00 00000000</v>
      </c>
    </row>
    <row r="544" spans="1:19" s="17" customFormat="1" ht="31.5">
      <c r="A544" s="14"/>
      <c r="B544" s="132" t="s">
        <v>398</v>
      </c>
      <c r="C544" s="109" t="s">
        <v>394</v>
      </c>
      <c r="D544" s="108" t="s">
        <v>229</v>
      </c>
      <c r="E544" s="108" t="s">
        <v>62</v>
      </c>
      <c r="F544" s="108" t="s">
        <v>399</v>
      </c>
      <c r="G544" s="108" t="s">
        <v>9</v>
      </c>
      <c r="H544" s="126">
        <f>H545+H568</f>
        <v>0</v>
      </c>
      <c r="I544" s="108">
        <v>110000000</v>
      </c>
      <c r="J544" s="108" t="str">
        <f t="shared" si="106"/>
        <v>0110000000</v>
      </c>
      <c r="K544" s="132"/>
      <c r="M544" s="20">
        <v>1702512.36</v>
      </c>
      <c r="N544" s="20">
        <v>1655458.8299999998</v>
      </c>
      <c r="O544" s="20">
        <v>1665909.5899999999</v>
      </c>
      <c r="P544" s="20">
        <f t="shared" si="107"/>
        <v>-1702512.36</v>
      </c>
      <c r="Q544" s="20" t="e">
        <f>#REF!-N544</f>
        <v>#REF!</v>
      </c>
      <c r="R544" s="20" t="e">
        <f>#REF!-O544</f>
        <v>#REF!</v>
      </c>
      <c r="S544" s="17" t="str">
        <f t="shared" si="102"/>
        <v>01 1 00 00000000</v>
      </c>
    </row>
    <row r="545" spans="1:19" s="17" customFormat="1" ht="63">
      <c r="A545" s="14"/>
      <c r="B545" s="132" t="s">
        <v>439</v>
      </c>
      <c r="C545" s="109" t="s">
        <v>394</v>
      </c>
      <c r="D545" s="108" t="s">
        <v>229</v>
      </c>
      <c r="E545" s="108" t="s">
        <v>62</v>
      </c>
      <c r="F545" s="108" t="s">
        <v>440</v>
      </c>
      <c r="G545" s="108" t="s">
        <v>9</v>
      </c>
      <c r="H545" s="126">
        <f>H546+H558</f>
        <v>0</v>
      </c>
      <c r="I545" s="108">
        <v>110200000</v>
      </c>
      <c r="J545" s="108" t="str">
        <f t="shared" si="106"/>
        <v>0110200000</v>
      </c>
      <c r="K545" s="132"/>
      <c r="M545" s="20">
        <v>1643131.26</v>
      </c>
      <c r="N545" s="20">
        <v>1651458.8299999998</v>
      </c>
      <c r="O545" s="20">
        <v>1661909.5899999999</v>
      </c>
      <c r="P545" s="20">
        <f t="shared" si="107"/>
        <v>-1643131.26</v>
      </c>
      <c r="Q545" s="20" t="e">
        <f>#REF!-N545</f>
        <v>#REF!</v>
      </c>
      <c r="R545" s="20" t="e">
        <f>#REF!-O545</f>
        <v>#REF!</v>
      </c>
      <c r="S545" s="17" t="str">
        <f t="shared" si="102"/>
        <v>01 1 02 00000000</v>
      </c>
    </row>
    <row r="546" spans="1:19" s="17" customFormat="1" ht="31.5">
      <c r="A546" s="14"/>
      <c r="B546" s="132" t="s">
        <v>136</v>
      </c>
      <c r="C546" s="109" t="s">
        <v>394</v>
      </c>
      <c r="D546" s="108" t="s">
        <v>229</v>
      </c>
      <c r="E546" s="108" t="s">
        <v>62</v>
      </c>
      <c r="F546" s="108" t="s">
        <v>441</v>
      </c>
      <c r="G546" s="108" t="s">
        <v>9</v>
      </c>
      <c r="H546" s="126">
        <f>H550+H553+H556+H547</f>
        <v>0</v>
      </c>
      <c r="I546" s="108">
        <v>110211010</v>
      </c>
      <c r="J546" s="108" t="str">
        <f t="shared" si="106"/>
        <v>0110211010</v>
      </c>
      <c r="K546" s="132"/>
      <c r="M546" s="20">
        <v>571162.1399999999</v>
      </c>
      <c r="N546" s="20">
        <v>569815.42999999993</v>
      </c>
      <c r="O546" s="20">
        <v>569815.42999999993</v>
      </c>
      <c r="P546" s="20">
        <f t="shared" si="107"/>
        <v>-571162.1399999999</v>
      </c>
      <c r="Q546" s="20" t="e">
        <f>#REF!-N546</f>
        <v>#REF!</v>
      </c>
      <c r="R546" s="20" t="e">
        <f>#REF!-O546</f>
        <v>#REF!</v>
      </c>
      <c r="S546" s="17" t="str">
        <f t="shared" si="102"/>
        <v>01 1 02 11010000</v>
      </c>
    </row>
    <row r="547" spans="1:19" s="17" customFormat="1" ht="15.75">
      <c r="A547" s="14"/>
      <c r="B547" s="309" t="s">
        <v>138</v>
      </c>
      <c r="C547" s="109" t="s">
        <v>394</v>
      </c>
      <c r="D547" s="108" t="s">
        <v>229</v>
      </c>
      <c r="E547" s="108" t="s">
        <v>62</v>
      </c>
      <c r="F547" s="108" t="s">
        <v>441</v>
      </c>
      <c r="G547" s="108" t="s">
        <v>139</v>
      </c>
      <c r="H547" s="126">
        <f>H548+H549</f>
        <v>0</v>
      </c>
      <c r="I547" s="108">
        <v>110211010</v>
      </c>
      <c r="J547" s="108" t="str">
        <f t="shared" si="106"/>
        <v>0110211010</v>
      </c>
      <c r="K547" s="132"/>
      <c r="M547" s="20"/>
      <c r="N547" s="20"/>
      <c r="O547" s="20"/>
      <c r="P547" s="20"/>
      <c r="Q547" s="20"/>
      <c r="R547" s="20"/>
    </row>
    <row r="548" spans="1:19" s="17" customFormat="1" ht="15.75">
      <c r="A548" s="14"/>
      <c r="B548" s="127" t="s">
        <v>140</v>
      </c>
      <c r="C548" s="109" t="s">
        <v>394</v>
      </c>
      <c r="D548" s="108" t="s">
        <v>229</v>
      </c>
      <c r="E548" s="108" t="s">
        <v>62</v>
      </c>
      <c r="F548" s="108" t="s">
        <v>441</v>
      </c>
      <c r="G548" s="108" t="s">
        <v>141</v>
      </c>
      <c r="H548" s="126"/>
      <c r="I548" s="108">
        <v>110211010</v>
      </c>
      <c r="J548" s="108" t="str">
        <f t="shared" si="106"/>
        <v>0110211010</v>
      </c>
      <c r="K548" s="304" t="str">
        <f t="shared" ref="K548:K549" si="108">C548&amp;D548&amp;E548&amp;J548&amp;G548</f>
        <v>60607020110211010111</v>
      </c>
      <c r="M548" s="20"/>
      <c r="N548" s="20"/>
      <c r="O548" s="20"/>
      <c r="P548" s="20"/>
      <c r="Q548" s="20"/>
      <c r="R548" s="20"/>
    </row>
    <row r="549" spans="1:19" s="17" customFormat="1" ht="47.25">
      <c r="A549" s="14"/>
      <c r="B549" s="127" t="s">
        <v>487</v>
      </c>
      <c r="C549" s="109" t="s">
        <v>394</v>
      </c>
      <c r="D549" s="108" t="s">
        <v>229</v>
      </c>
      <c r="E549" s="108" t="s">
        <v>62</v>
      </c>
      <c r="F549" s="108" t="s">
        <v>441</v>
      </c>
      <c r="G549" s="108" t="s">
        <v>145</v>
      </c>
      <c r="H549" s="126"/>
      <c r="I549" s="108">
        <v>110211010</v>
      </c>
      <c r="J549" s="108" t="str">
        <f t="shared" si="106"/>
        <v>0110211010</v>
      </c>
      <c r="K549" s="304" t="str">
        <f t="shared" si="108"/>
        <v>60607020110211010119</v>
      </c>
      <c r="M549" s="20"/>
      <c r="N549" s="20"/>
      <c r="O549" s="20"/>
      <c r="P549" s="20"/>
      <c r="Q549" s="20"/>
      <c r="R549" s="20"/>
    </row>
    <row r="550" spans="1:19" s="17" customFormat="1" ht="15.75">
      <c r="A550" s="14"/>
      <c r="B550" s="132" t="s">
        <v>403</v>
      </c>
      <c r="C550" s="109" t="s">
        <v>394</v>
      </c>
      <c r="D550" s="108" t="s">
        <v>229</v>
      </c>
      <c r="E550" s="108" t="s">
        <v>62</v>
      </c>
      <c r="F550" s="108" t="s">
        <v>441</v>
      </c>
      <c r="G550" s="108" t="s">
        <v>404</v>
      </c>
      <c r="H550" s="126">
        <f>SUM(H551:H552)</f>
        <v>0</v>
      </c>
      <c r="I550" s="108">
        <v>110211010</v>
      </c>
      <c r="J550" s="108" t="str">
        <f t="shared" si="106"/>
        <v>0110211010</v>
      </c>
      <c r="K550" s="132"/>
      <c r="M550" s="20">
        <v>527917.66999999993</v>
      </c>
      <c r="N550" s="20">
        <v>526570.96</v>
      </c>
      <c r="O550" s="20">
        <v>526570.96</v>
      </c>
      <c r="P550" s="20">
        <f t="shared" si="107"/>
        <v>-527917.66999999993</v>
      </c>
      <c r="Q550" s="20" t="e">
        <f>#REF!-N550</f>
        <v>#REF!</v>
      </c>
      <c r="R550" s="20" t="e">
        <f>#REF!-O550</f>
        <v>#REF!</v>
      </c>
      <c r="S550" s="17" t="str">
        <f t="shared" si="102"/>
        <v>01 1 02 11010610</v>
      </c>
    </row>
    <row r="551" spans="1:19" s="24" customFormat="1" ht="63">
      <c r="A551" s="21"/>
      <c r="B551" s="127" t="s">
        <v>405</v>
      </c>
      <c r="C551" s="109" t="s">
        <v>394</v>
      </c>
      <c r="D551" s="108" t="s">
        <v>229</v>
      </c>
      <c r="E551" s="108" t="s">
        <v>62</v>
      </c>
      <c r="F551" s="108" t="s">
        <v>441</v>
      </c>
      <c r="G551" s="108" t="s">
        <v>406</v>
      </c>
      <c r="H551" s="126"/>
      <c r="I551" s="108">
        <v>110211010</v>
      </c>
      <c r="J551" s="108" t="str">
        <f t="shared" si="106"/>
        <v>0110211010</v>
      </c>
      <c r="K551" s="304" t="str">
        <f t="shared" ref="K551:K552" si="109">C551&amp;D551&amp;E551&amp;J551&amp;G551</f>
        <v>60607020110211010611</v>
      </c>
      <c r="M551" s="22"/>
      <c r="N551" s="22"/>
      <c r="O551" s="22"/>
      <c r="P551" s="22"/>
      <c r="Q551" s="22"/>
      <c r="R551" s="22"/>
    </row>
    <row r="552" spans="1:19" s="24" customFormat="1" ht="15.75">
      <c r="A552" s="21"/>
      <c r="B552" s="127" t="s">
        <v>407</v>
      </c>
      <c r="C552" s="109" t="s">
        <v>394</v>
      </c>
      <c r="D552" s="108" t="s">
        <v>229</v>
      </c>
      <c r="E552" s="108" t="s">
        <v>62</v>
      </c>
      <c r="F552" s="108" t="s">
        <v>441</v>
      </c>
      <c r="G552" s="108" t="s">
        <v>408</v>
      </c>
      <c r="H552" s="126"/>
      <c r="I552" s="108">
        <v>110211010</v>
      </c>
      <c r="J552" s="108" t="str">
        <f t="shared" si="106"/>
        <v>0110211010</v>
      </c>
      <c r="K552" s="304" t="str">
        <f t="shared" si="109"/>
        <v>60607020110211010612</v>
      </c>
      <c r="M552" s="22"/>
      <c r="N552" s="22"/>
      <c r="O552" s="22"/>
      <c r="P552" s="22"/>
      <c r="Q552" s="22"/>
      <c r="R552" s="22"/>
    </row>
    <row r="553" spans="1:19" s="17" customFormat="1" ht="15.75">
      <c r="A553" s="14"/>
      <c r="B553" s="132" t="s">
        <v>409</v>
      </c>
      <c r="C553" s="109" t="s">
        <v>394</v>
      </c>
      <c r="D553" s="108" t="s">
        <v>229</v>
      </c>
      <c r="E553" s="108" t="s">
        <v>62</v>
      </c>
      <c r="F553" s="108" t="s">
        <v>441</v>
      </c>
      <c r="G553" s="108" t="s">
        <v>410</v>
      </c>
      <c r="H553" s="126">
        <f>SUM(H554:H555)</f>
        <v>0</v>
      </c>
      <c r="I553" s="108">
        <v>110211010</v>
      </c>
      <c r="J553" s="108" t="str">
        <f t="shared" si="106"/>
        <v>0110211010</v>
      </c>
      <c r="K553" s="132"/>
      <c r="M553" s="20">
        <v>40167.490000000005</v>
      </c>
      <c r="N553" s="20">
        <v>40167.490000000005</v>
      </c>
      <c r="O553" s="20">
        <v>40167.490000000005</v>
      </c>
      <c r="P553" s="20">
        <f>H553-M553</f>
        <v>-40167.490000000005</v>
      </c>
      <c r="Q553" s="20" t="e">
        <f>#REF!-N553</f>
        <v>#REF!</v>
      </c>
      <c r="R553" s="20" t="e">
        <f>#REF!-O553</f>
        <v>#REF!</v>
      </c>
      <c r="S553" s="17" t="str">
        <f t="shared" si="102"/>
        <v>01 1 02 11010620</v>
      </c>
    </row>
    <row r="554" spans="1:19" s="24" customFormat="1" ht="63">
      <c r="A554" s="21"/>
      <c r="B554" s="127" t="s">
        <v>411</v>
      </c>
      <c r="C554" s="109" t="s">
        <v>394</v>
      </c>
      <c r="D554" s="108" t="s">
        <v>229</v>
      </c>
      <c r="E554" s="108" t="s">
        <v>62</v>
      </c>
      <c r="F554" s="108" t="s">
        <v>441</v>
      </c>
      <c r="G554" s="108" t="s">
        <v>412</v>
      </c>
      <c r="H554" s="126"/>
      <c r="I554" s="108">
        <v>110211010</v>
      </c>
      <c r="J554" s="108" t="str">
        <f t="shared" si="106"/>
        <v>0110211010</v>
      </c>
      <c r="K554" s="304" t="str">
        <f t="shared" ref="K554:K555" si="110">C554&amp;D554&amp;E554&amp;J554&amp;G554</f>
        <v>60607020110211010621</v>
      </c>
      <c r="M554" s="22"/>
      <c r="N554" s="22"/>
      <c r="O554" s="22"/>
      <c r="P554" s="22"/>
      <c r="Q554" s="22"/>
      <c r="R554" s="22"/>
    </row>
    <row r="555" spans="1:19" s="24" customFormat="1" ht="15.75">
      <c r="A555" s="21"/>
      <c r="B555" s="127" t="s">
        <v>428</v>
      </c>
      <c r="C555" s="109" t="s">
        <v>394</v>
      </c>
      <c r="D555" s="108" t="s">
        <v>229</v>
      </c>
      <c r="E555" s="108" t="s">
        <v>62</v>
      </c>
      <c r="F555" s="108" t="s">
        <v>441</v>
      </c>
      <c r="G555" s="108" t="s">
        <v>429</v>
      </c>
      <c r="H555" s="126"/>
      <c r="I555" s="108">
        <v>110211010</v>
      </c>
      <c r="J555" s="108" t="str">
        <f t="shared" si="106"/>
        <v>0110211010</v>
      </c>
      <c r="K555" s="304" t="str">
        <f t="shared" si="110"/>
        <v>60607020110211010622</v>
      </c>
      <c r="M555" s="22"/>
      <c r="N555" s="22"/>
      <c r="O555" s="22"/>
      <c r="P555" s="22"/>
      <c r="Q555" s="22"/>
      <c r="R555" s="22"/>
    </row>
    <row r="556" spans="1:19" s="17" customFormat="1" ht="47.25">
      <c r="A556" s="14"/>
      <c r="B556" s="125" t="s">
        <v>182</v>
      </c>
      <c r="C556" s="109" t="s">
        <v>394</v>
      </c>
      <c r="D556" s="108" t="s">
        <v>229</v>
      </c>
      <c r="E556" s="108" t="s">
        <v>62</v>
      </c>
      <c r="F556" s="108" t="s">
        <v>441</v>
      </c>
      <c r="G556" s="108" t="s">
        <v>183</v>
      </c>
      <c r="H556" s="126">
        <f>H557</f>
        <v>0</v>
      </c>
      <c r="I556" s="108">
        <v>110211010</v>
      </c>
      <c r="J556" s="108" t="str">
        <f t="shared" si="106"/>
        <v>0110211010</v>
      </c>
      <c r="K556" s="132"/>
      <c r="M556" s="20">
        <v>3076.98</v>
      </c>
      <c r="N556" s="20">
        <v>3076.98</v>
      </c>
      <c r="O556" s="20">
        <v>3076.98</v>
      </c>
      <c r="P556" s="20">
        <f>H556-M556</f>
        <v>-3076.98</v>
      </c>
      <c r="Q556" s="20" t="e">
        <f>#REF!-N556</f>
        <v>#REF!</v>
      </c>
      <c r="R556" s="20" t="e">
        <f>#REF!-O556</f>
        <v>#REF!</v>
      </c>
      <c r="S556" s="17" t="str">
        <f t="shared" si="102"/>
        <v>01 1 02 11010630</v>
      </c>
    </row>
    <row r="557" spans="1:19" s="24" customFormat="1" ht="94.5">
      <c r="A557" s="21"/>
      <c r="B557" s="127" t="s">
        <v>1038</v>
      </c>
      <c r="C557" s="109" t="s">
        <v>394</v>
      </c>
      <c r="D557" s="108" t="s">
        <v>229</v>
      </c>
      <c r="E557" s="108" t="s">
        <v>62</v>
      </c>
      <c r="F557" s="108" t="s">
        <v>441</v>
      </c>
      <c r="G557" s="108" t="s">
        <v>416</v>
      </c>
      <c r="H557" s="126"/>
      <c r="I557" s="108">
        <v>110211010</v>
      </c>
      <c r="J557" s="108" t="str">
        <f t="shared" si="106"/>
        <v>0110211010</v>
      </c>
      <c r="K557" s="304" t="str">
        <f>C557&amp;D557&amp;E557&amp;J557&amp;G557</f>
        <v>60607020110211010632</v>
      </c>
      <c r="M557" s="22"/>
      <c r="N557" s="22"/>
      <c r="O557" s="22"/>
      <c r="P557" s="22"/>
      <c r="Q557" s="22"/>
      <c r="R557" s="22"/>
    </row>
    <row r="558" spans="1:19" s="17" customFormat="1" ht="173.25">
      <c r="A558" s="14" t="s">
        <v>80</v>
      </c>
      <c r="B558" s="127" t="s">
        <v>442</v>
      </c>
      <c r="C558" s="109" t="s">
        <v>394</v>
      </c>
      <c r="D558" s="108" t="s">
        <v>229</v>
      </c>
      <c r="E558" s="108" t="s">
        <v>62</v>
      </c>
      <c r="F558" s="108" t="s">
        <v>443</v>
      </c>
      <c r="G558" s="108" t="s">
        <v>9</v>
      </c>
      <c r="H558" s="126">
        <f>H562+H564+H566+H559</f>
        <v>0</v>
      </c>
      <c r="I558" s="108">
        <v>110277160</v>
      </c>
      <c r="J558" s="108" t="str">
        <f t="shared" si="106"/>
        <v>0110277160</v>
      </c>
      <c r="K558" s="132"/>
      <c r="M558" s="20">
        <v>1071969.1200000001</v>
      </c>
      <c r="N558" s="20">
        <v>1081643.3999999999</v>
      </c>
      <c r="O558" s="20">
        <v>1092094.1599999999</v>
      </c>
      <c r="P558" s="20">
        <f>H558-M558</f>
        <v>-1071969.1200000001</v>
      </c>
      <c r="Q558" s="20" t="e">
        <f>#REF!-N558</f>
        <v>#REF!</v>
      </c>
      <c r="R558" s="20" t="e">
        <f>#REF!-O558</f>
        <v>#REF!</v>
      </c>
      <c r="S558" s="17" t="str">
        <f t="shared" si="102"/>
        <v>01 1 02 77160000</v>
      </c>
    </row>
    <row r="559" spans="1:19" s="17" customFormat="1" ht="15.75">
      <c r="A559" s="14"/>
      <c r="B559" s="309" t="s">
        <v>138</v>
      </c>
      <c r="C559" s="109" t="s">
        <v>394</v>
      </c>
      <c r="D559" s="108" t="s">
        <v>229</v>
      </c>
      <c r="E559" s="108" t="s">
        <v>62</v>
      </c>
      <c r="F559" s="108" t="s">
        <v>443</v>
      </c>
      <c r="G559" s="108" t="s">
        <v>139</v>
      </c>
      <c r="H559" s="126">
        <f>SUM(H560:H561)</f>
        <v>0</v>
      </c>
      <c r="I559" s="108">
        <v>110277160</v>
      </c>
      <c r="J559" s="108" t="str">
        <f t="shared" si="106"/>
        <v>0110277160</v>
      </c>
      <c r="K559" s="132"/>
      <c r="M559" s="20"/>
      <c r="N559" s="20"/>
      <c r="O559" s="20"/>
      <c r="P559" s="20"/>
      <c r="Q559" s="20"/>
      <c r="R559" s="20"/>
    </row>
    <row r="560" spans="1:19" s="17" customFormat="1" ht="15.75">
      <c r="A560" s="14"/>
      <c r="B560" s="127" t="s">
        <v>140</v>
      </c>
      <c r="C560" s="109" t="s">
        <v>394</v>
      </c>
      <c r="D560" s="108" t="s">
        <v>229</v>
      </c>
      <c r="E560" s="108" t="s">
        <v>62</v>
      </c>
      <c r="F560" s="108" t="s">
        <v>443</v>
      </c>
      <c r="G560" s="108" t="s">
        <v>141</v>
      </c>
      <c r="H560" s="126"/>
      <c r="I560" s="108">
        <v>110277160</v>
      </c>
      <c r="J560" s="108" t="str">
        <f t="shared" si="106"/>
        <v>0110277160</v>
      </c>
      <c r="K560" s="304" t="str">
        <f t="shared" ref="K560:K561" si="111">C560&amp;D560&amp;E560&amp;J560&amp;G560</f>
        <v>60607020110277160111</v>
      </c>
      <c r="M560" s="20"/>
      <c r="N560" s="20"/>
      <c r="O560" s="20"/>
      <c r="P560" s="20"/>
      <c r="Q560" s="20"/>
      <c r="R560" s="20"/>
    </row>
    <row r="561" spans="1:19" s="17" customFormat="1" ht="47.25">
      <c r="A561" s="14"/>
      <c r="B561" s="127" t="s">
        <v>487</v>
      </c>
      <c r="C561" s="109" t="s">
        <v>394</v>
      </c>
      <c r="D561" s="108" t="s">
        <v>229</v>
      </c>
      <c r="E561" s="108" t="s">
        <v>62</v>
      </c>
      <c r="F561" s="108" t="s">
        <v>443</v>
      </c>
      <c r="G561" s="108" t="s">
        <v>145</v>
      </c>
      <c r="H561" s="126"/>
      <c r="I561" s="108">
        <v>110277160</v>
      </c>
      <c r="J561" s="108" t="str">
        <f t="shared" si="106"/>
        <v>0110277160</v>
      </c>
      <c r="K561" s="304" t="str">
        <f t="shared" si="111"/>
        <v>60607020110277160119</v>
      </c>
      <c r="M561" s="20"/>
      <c r="N561" s="20"/>
      <c r="O561" s="20"/>
      <c r="P561" s="20"/>
      <c r="Q561" s="20"/>
      <c r="R561" s="20"/>
    </row>
    <row r="562" spans="1:19" s="17" customFormat="1" ht="15.75">
      <c r="A562" s="14"/>
      <c r="B562" s="132" t="s">
        <v>403</v>
      </c>
      <c r="C562" s="109" t="s">
        <v>394</v>
      </c>
      <c r="D562" s="108" t="s">
        <v>229</v>
      </c>
      <c r="E562" s="108" t="s">
        <v>62</v>
      </c>
      <c r="F562" s="108" t="s">
        <v>443</v>
      </c>
      <c r="G562" s="108" t="s">
        <v>404</v>
      </c>
      <c r="H562" s="126">
        <f>H563</f>
        <v>0</v>
      </c>
      <c r="I562" s="108">
        <v>110277160</v>
      </c>
      <c r="J562" s="108" t="str">
        <f t="shared" si="106"/>
        <v>0110277160</v>
      </c>
      <c r="K562" s="132"/>
      <c r="M562" s="20">
        <v>953042.9</v>
      </c>
      <c r="N562" s="20">
        <v>961646.5</v>
      </c>
      <c r="O562" s="20">
        <v>971150.7</v>
      </c>
      <c r="P562" s="20">
        <f>H562-M562</f>
        <v>-953042.9</v>
      </c>
      <c r="Q562" s="20" t="e">
        <f>#REF!-N562</f>
        <v>#REF!</v>
      </c>
      <c r="R562" s="20" t="e">
        <f>#REF!-O562</f>
        <v>#REF!</v>
      </c>
      <c r="S562" s="17" t="str">
        <f t="shared" si="102"/>
        <v>01 1 02 77160610</v>
      </c>
    </row>
    <row r="563" spans="1:19" s="24" customFormat="1" ht="63">
      <c r="A563" s="21"/>
      <c r="B563" s="127" t="s">
        <v>405</v>
      </c>
      <c r="C563" s="109" t="s">
        <v>394</v>
      </c>
      <c r="D563" s="108" t="s">
        <v>229</v>
      </c>
      <c r="E563" s="108" t="s">
        <v>62</v>
      </c>
      <c r="F563" s="108" t="s">
        <v>443</v>
      </c>
      <c r="G563" s="108" t="s">
        <v>406</v>
      </c>
      <c r="H563" s="126"/>
      <c r="I563" s="108">
        <v>110277160</v>
      </c>
      <c r="J563" s="108" t="str">
        <f t="shared" si="106"/>
        <v>0110277160</v>
      </c>
      <c r="K563" s="304" t="str">
        <f>C563&amp;D563&amp;E563&amp;J563&amp;G563</f>
        <v>60607020110277160611</v>
      </c>
      <c r="M563" s="22"/>
      <c r="N563" s="22"/>
      <c r="O563" s="22"/>
      <c r="P563" s="22"/>
      <c r="Q563" s="22"/>
      <c r="R563" s="22"/>
    </row>
    <row r="564" spans="1:19" s="17" customFormat="1" ht="15.75">
      <c r="A564" s="14"/>
      <c r="B564" s="132" t="s">
        <v>409</v>
      </c>
      <c r="C564" s="109" t="s">
        <v>394</v>
      </c>
      <c r="D564" s="108" t="s">
        <v>229</v>
      </c>
      <c r="E564" s="108" t="s">
        <v>62</v>
      </c>
      <c r="F564" s="108" t="s">
        <v>443</v>
      </c>
      <c r="G564" s="108" t="s">
        <v>410</v>
      </c>
      <c r="H564" s="126">
        <f>H565</f>
        <v>0</v>
      </c>
      <c r="I564" s="108">
        <v>110277160</v>
      </c>
      <c r="J564" s="108" t="str">
        <f t="shared" si="106"/>
        <v>0110277160</v>
      </c>
      <c r="K564" s="132"/>
      <c r="M564" s="20">
        <v>114194.38</v>
      </c>
      <c r="N564" s="20">
        <v>115222.5</v>
      </c>
      <c r="O564" s="20">
        <v>116121.72</v>
      </c>
      <c r="P564" s="20">
        <f>H564-M564</f>
        <v>-114194.38</v>
      </c>
      <c r="Q564" s="20" t="e">
        <f>#REF!-N564</f>
        <v>#REF!</v>
      </c>
      <c r="R564" s="20" t="e">
        <f>#REF!-O564</f>
        <v>#REF!</v>
      </c>
      <c r="S564" s="17" t="str">
        <f t="shared" si="102"/>
        <v>01 1 02 77160620</v>
      </c>
    </row>
    <row r="565" spans="1:19" s="24" customFormat="1" ht="63">
      <c r="A565" s="21"/>
      <c r="B565" s="127" t="s">
        <v>411</v>
      </c>
      <c r="C565" s="109" t="s">
        <v>394</v>
      </c>
      <c r="D565" s="108" t="s">
        <v>229</v>
      </c>
      <c r="E565" s="108" t="s">
        <v>62</v>
      </c>
      <c r="F565" s="108" t="s">
        <v>443</v>
      </c>
      <c r="G565" s="108" t="s">
        <v>412</v>
      </c>
      <c r="H565" s="126"/>
      <c r="I565" s="108">
        <v>110277160</v>
      </c>
      <c r="J565" s="108" t="str">
        <f t="shared" si="106"/>
        <v>0110277160</v>
      </c>
      <c r="K565" s="304" t="str">
        <f>C565&amp;D565&amp;E565&amp;J565&amp;G565</f>
        <v>60607020110277160621</v>
      </c>
      <c r="M565" s="22"/>
      <c r="N565" s="22"/>
      <c r="O565" s="22"/>
      <c r="P565" s="22"/>
      <c r="Q565" s="22"/>
      <c r="R565" s="22"/>
    </row>
    <row r="566" spans="1:19" s="17" customFormat="1" ht="47.25">
      <c r="A566" s="14"/>
      <c r="B566" s="125" t="s">
        <v>182</v>
      </c>
      <c r="C566" s="109" t="s">
        <v>394</v>
      </c>
      <c r="D566" s="108" t="s">
        <v>229</v>
      </c>
      <c r="E566" s="108" t="s">
        <v>62</v>
      </c>
      <c r="F566" s="108" t="s">
        <v>443</v>
      </c>
      <c r="G566" s="108" t="s">
        <v>183</v>
      </c>
      <c r="H566" s="126">
        <f>H567</f>
        <v>0</v>
      </c>
      <c r="I566" s="108">
        <v>110277160</v>
      </c>
      <c r="J566" s="108" t="str">
        <f t="shared" si="106"/>
        <v>0110277160</v>
      </c>
      <c r="K566" s="132"/>
      <c r="M566" s="20">
        <v>4731.84</v>
      </c>
      <c r="N566" s="20">
        <v>4774.3999999999996</v>
      </c>
      <c r="O566" s="20">
        <v>4821.74</v>
      </c>
      <c r="P566" s="20">
        <f>H566-M566</f>
        <v>-4731.84</v>
      </c>
      <c r="Q566" s="20" t="e">
        <f>#REF!-N566</f>
        <v>#REF!</v>
      </c>
      <c r="R566" s="20" t="e">
        <f>#REF!-O566</f>
        <v>#REF!</v>
      </c>
      <c r="S566" s="17" t="str">
        <f t="shared" si="102"/>
        <v>01 1 02 77160630</v>
      </c>
    </row>
    <row r="567" spans="1:19" s="24" customFormat="1" ht="94.5">
      <c r="A567" s="21"/>
      <c r="B567" s="127" t="s">
        <v>1038</v>
      </c>
      <c r="C567" s="109" t="s">
        <v>394</v>
      </c>
      <c r="D567" s="108" t="s">
        <v>229</v>
      </c>
      <c r="E567" s="108" t="s">
        <v>62</v>
      </c>
      <c r="F567" s="108" t="s">
        <v>443</v>
      </c>
      <c r="G567" s="108" t="s">
        <v>416</v>
      </c>
      <c r="H567" s="126"/>
      <c r="I567" s="108">
        <v>110277160</v>
      </c>
      <c r="J567" s="108" t="str">
        <f t="shared" si="106"/>
        <v>0110277160</v>
      </c>
      <c r="K567" s="304" t="str">
        <f>C567&amp;D567&amp;E567&amp;J567&amp;G567</f>
        <v>60607020110277160632</v>
      </c>
      <c r="M567" s="22"/>
      <c r="N567" s="22"/>
      <c r="O567" s="22"/>
      <c r="P567" s="22"/>
      <c r="Q567" s="22"/>
      <c r="R567" s="22"/>
    </row>
    <row r="568" spans="1:19" s="17" customFormat="1" ht="78.75">
      <c r="A568" s="14"/>
      <c r="B568" s="125" t="s">
        <v>417</v>
      </c>
      <c r="C568" s="109" t="s">
        <v>394</v>
      </c>
      <c r="D568" s="108" t="s">
        <v>229</v>
      </c>
      <c r="E568" s="108" t="s">
        <v>62</v>
      </c>
      <c r="F568" s="108" t="s">
        <v>418</v>
      </c>
      <c r="G568" s="108" t="s">
        <v>9</v>
      </c>
      <c r="H568" s="126">
        <f>H569+H577+H574</f>
        <v>0</v>
      </c>
      <c r="I568" s="108">
        <v>110600000</v>
      </c>
      <c r="J568" s="108" t="str">
        <f t="shared" si="106"/>
        <v>0110600000</v>
      </c>
      <c r="K568" s="132"/>
      <c r="M568" s="20">
        <v>59381.100000000006</v>
      </c>
      <c r="N568" s="20">
        <v>4000</v>
      </c>
      <c r="O568" s="20">
        <v>4000</v>
      </c>
      <c r="P568" s="20">
        <f>H568-M568</f>
        <v>-59381.100000000006</v>
      </c>
      <c r="Q568" s="20" t="e">
        <f>#REF!-N568</f>
        <v>#REF!</v>
      </c>
      <c r="R568" s="20" t="e">
        <f>#REF!-O568</f>
        <v>#REF!</v>
      </c>
      <c r="S568" s="17" t="str">
        <f t="shared" si="102"/>
        <v>01 1 06 00000000</v>
      </c>
    </row>
    <row r="569" spans="1:19" s="17" customFormat="1" ht="31.5">
      <c r="A569" s="14"/>
      <c r="B569" s="132" t="s">
        <v>136</v>
      </c>
      <c r="C569" s="109" t="s">
        <v>394</v>
      </c>
      <c r="D569" s="108" t="s">
        <v>229</v>
      </c>
      <c r="E569" s="108" t="s">
        <v>62</v>
      </c>
      <c r="F569" s="108" t="s">
        <v>419</v>
      </c>
      <c r="G569" s="108" t="s">
        <v>9</v>
      </c>
      <c r="H569" s="126">
        <f>H570+H572</f>
        <v>0</v>
      </c>
      <c r="I569" s="108">
        <v>110611010</v>
      </c>
      <c r="J569" s="108" t="str">
        <f t="shared" si="106"/>
        <v>0110611010</v>
      </c>
      <c r="K569" s="132"/>
      <c r="M569" s="20">
        <v>59381.100000000006</v>
      </c>
      <c r="N569" s="20">
        <v>4000</v>
      </c>
      <c r="O569" s="20">
        <v>4000</v>
      </c>
      <c r="P569" s="20">
        <f>H569-M569</f>
        <v>-59381.100000000006</v>
      </c>
      <c r="Q569" s="20" t="e">
        <f>#REF!-N569</f>
        <v>#REF!</v>
      </c>
      <c r="R569" s="20" t="e">
        <f>#REF!-O569</f>
        <v>#REF!</v>
      </c>
      <c r="S569" s="17" t="str">
        <f t="shared" si="102"/>
        <v>01 1 06 11010000</v>
      </c>
    </row>
    <row r="570" spans="1:19" s="17" customFormat="1" ht="15.75">
      <c r="A570" s="14"/>
      <c r="B570" s="132" t="s">
        <v>403</v>
      </c>
      <c r="C570" s="109" t="s">
        <v>394</v>
      </c>
      <c r="D570" s="108" t="s">
        <v>229</v>
      </c>
      <c r="E570" s="108" t="s">
        <v>62</v>
      </c>
      <c r="F570" s="108" t="s">
        <v>419</v>
      </c>
      <c r="G570" s="108" t="s">
        <v>404</v>
      </c>
      <c r="H570" s="126">
        <f>H571</f>
        <v>0</v>
      </c>
      <c r="I570" s="108">
        <v>110611010</v>
      </c>
      <c r="J570" s="108" t="str">
        <f t="shared" si="106"/>
        <v>0110611010</v>
      </c>
      <c r="K570" s="132"/>
      <c r="M570" s="20">
        <v>53539.33</v>
      </c>
      <c r="N570" s="20">
        <v>4000</v>
      </c>
      <c r="O570" s="20">
        <v>4000</v>
      </c>
      <c r="P570" s="20">
        <f>H570-M570</f>
        <v>-53539.33</v>
      </c>
      <c r="Q570" s="20" t="e">
        <f>#REF!-N570</f>
        <v>#REF!</v>
      </c>
      <c r="R570" s="20" t="e">
        <f>#REF!-O570</f>
        <v>#REF!</v>
      </c>
      <c r="S570" s="17" t="str">
        <f t="shared" si="102"/>
        <v>01 1 06 11010610</v>
      </c>
    </row>
    <row r="571" spans="1:19" s="24" customFormat="1" ht="15.75">
      <c r="A571" s="21"/>
      <c r="B571" s="127" t="s">
        <v>407</v>
      </c>
      <c r="C571" s="109" t="s">
        <v>394</v>
      </c>
      <c r="D571" s="108" t="s">
        <v>229</v>
      </c>
      <c r="E571" s="108" t="s">
        <v>62</v>
      </c>
      <c r="F571" s="108" t="s">
        <v>419</v>
      </c>
      <c r="G571" s="108" t="s">
        <v>408</v>
      </c>
      <c r="H571" s="126"/>
      <c r="I571" s="108">
        <v>110611010</v>
      </c>
      <c r="J571" s="108" t="str">
        <f t="shared" si="106"/>
        <v>0110611010</v>
      </c>
      <c r="K571" s="304" t="str">
        <f>C571&amp;D571&amp;E571&amp;J571&amp;G571</f>
        <v>60607020110611010612</v>
      </c>
      <c r="M571" s="22"/>
      <c r="N571" s="22"/>
      <c r="O571" s="22"/>
      <c r="P571" s="22"/>
      <c r="Q571" s="22"/>
      <c r="R571" s="22"/>
    </row>
    <row r="572" spans="1:19" s="17" customFormat="1" ht="15.75">
      <c r="A572" s="14"/>
      <c r="B572" s="132" t="s">
        <v>409</v>
      </c>
      <c r="C572" s="109" t="s">
        <v>394</v>
      </c>
      <c r="D572" s="108" t="s">
        <v>229</v>
      </c>
      <c r="E572" s="108" t="s">
        <v>62</v>
      </c>
      <c r="F572" s="108" t="s">
        <v>419</v>
      </c>
      <c r="G572" s="108" t="s">
        <v>410</v>
      </c>
      <c r="H572" s="126">
        <f>H573</f>
        <v>0</v>
      </c>
      <c r="I572" s="108">
        <v>110611010</v>
      </c>
      <c r="J572" s="108" t="str">
        <f t="shared" si="106"/>
        <v>0110611010</v>
      </c>
      <c r="K572" s="132"/>
      <c r="M572" s="20">
        <v>5841.77</v>
      </c>
      <c r="N572" s="20">
        <v>0</v>
      </c>
      <c r="O572" s="20">
        <v>0</v>
      </c>
      <c r="P572" s="20">
        <f>H572-M572</f>
        <v>-5841.77</v>
      </c>
      <c r="Q572" s="20" t="e">
        <f>#REF!-N572</f>
        <v>#REF!</v>
      </c>
      <c r="R572" s="20" t="e">
        <f>#REF!-O572</f>
        <v>#REF!</v>
      </c>
      <c r="S572" s="17" t="str">
        <f t="shared" si="102"/>
        <v>01 1 06 11010620</v>
      </c>
    </row>
    <row r="573" spans="1:19" s="24" customFormat="1" ht="15.75">
      <c r="A573" s="21"/>
      <c r="B573" s="127" t="s">
        <v>428</v>
      </c>
      <c r="C573" s="109" t="s">
        <v>394</v>
      </c>
      <c r="D573" s="108" t="s">
        <v>229</v>
      </c>
      <c r="E573" s="108" t="s">
        <v>62</v>
      </c>
      <c r="F573" s="108" t="s">
        <v>419</v>
      </c>
      <c r="G573" s="108" t="s">
        <v>429</v>
      </c>
      <c r="H573" s="126"/>
      <c r="I573" s="108">
        <v>110611010</v>
      </c>
      <c r="J573" s="108" t="str">
        <f t="shared" si="106"/>
        <v>0110611010</v>
      </c>
      <c r="K573" s="304" t="str">
        <f>C573&amp;D573&amp;E573&amp;J573&amp;G573</f>
        <v>60607020110611010622</v>
      </c>
      <c r="M573" s="22"/>
      <c r="N573" s="22"/>
      <c r="O573" s="22"/>
      <c r="P573" s="22"/>
      <c r="Q573" s="22"/>
      <c r="R573" s="22"/>
    </row>
    <row r="574" spans="1:19" s="24" customFormat="1" ht="47.25">
      <c r="A574" s="21"/>
      <c r="B574" s="125" t="s">
        <v>1201</v>
      </c>
      <c r="C574" s="109" t="s">
        <v>394</v>
      </c>
      <c r="D574" s="108" t="s">
        <v>229</v>
      </c>
      <c r="E574" s="108" t="s">
        <v>62</v>
      </c>
      <c r="F574" s="108" t="s">
        <v>1202</v>
      </c>
      <c r="G574" s="108" t="s">
        <v>9</v>
      </c>
      <c r="H574" s="105">
        <f t="shared" ref="H574:H575" si="112">H575</f>
        <v>0</v>
      </c>
      <c r="I574" s="108"/>
      <c r="J574" s="108"/>
      <c r="K574" s="304"/>
      <c r="M574" s="22"/>
      <c r="N574" s="22"/>
      <c r="O574" s="22"/>
      <c r="P574" s="22"/>
      <c r="Q574" s="22"/>
      <c r="R574" s="22"/>
    </row>
    <row r="575" spans="1:19" s="24" customFormat="1" ht="15.75">
      <c r="A575" s="21"/>
      <c r="B575" s="132" t="s">
        <v>403</v>
      </c>
      <c r="C575" s="109" t="s">
        <v>394</v>
      </c>
      <c r="D575" s="108" t="s">
        <v>229</v>
      </c>
      <c r="E575" s="108" t="s">
        <v>62</v>
      </c>
      <c r="F575" s="108" t="s">
        <v>1202</v>
      </c>
      <c r="G575" s="108" t="s">
        <v>404</v>
      </c>
      <c r="H575" s="105">
        <f t="shared" si="112"/>
        <v>0</v>
      </c>
      <c r="I575" s="108"/>
      <c r="J575" s="108"/>
      <c r="K575" s="304"/>
      <c r="M575" s="22"/>
      <c r="N575" s="22"/>
      <c r="O575" s="22"/>
      <c r="P575" s="22"/>
      <c r="Q575" s="22"/>
      <c r="R575" s="22"/>
    </row>
    <row r="576" spans="1:19" s="24" customFormat="1" ht="15.75">
      <c r="A576" s="21"/>
      <c r="B576" s="127" t="s">
        <v>407</v>
      </c>
      <c r="C576" s="109" t="s">
        <v>394</v>
      </c>
      <c r="D576" s="108" t="s">
        <v>229</v>
      </c>
      <c r="E576" s="108" t="s">
        <v>62</v>
      </c>
      <c r="F576" s="108" t="s">
        <v>1202</v>
      </c>
      <c r="G576" s="108" t="s">
        <v>408</v>
      </c>
      <c r="H576" s="105"/>
      <c r="I576" s="108"/>
      <c r="J576" s="108"/>
      <c r="K576" s="304"/>
      <c r="M576" s="22"/>
      <c r="N576" s="22"/>
      <c r="O576" s="22"/>
      <c r="P576" s="22"/>
      <c r="Q576" s="22"/>
      <c r="R576" s="22"/>
    </row>
    <row r="577" spans="1:19" s="24" customFormat="1" ht="47.25">
      <c r="A577" s="21"/>
      <c r="B577" s="132" t="s">
        <v>1118</v>
      </c>
      <c r="C577" s="109" t="s">
        <v>394</v>
      </c>
      <c r="D577" s="108" t="s">
        <v>229</v>
      </c>
      <c r="E577" s="108" t="s">
        <v>62</v>
      </c>
      <c r="F577" s="108" t="s">
        <v>1119</v>
      </c>
      <c r="G577" s="108" t="s">
        <v>9</v>
      </c>
      <c r="H577" s="126">
        <f>H578</f>
        <v>0</v>
      </c>
      <c r="I577" s="108" t="s">
        <v>1203</v>
      </c>
      <c r="J577" s="108" t="str">
        <f t="shared" si="106"/>
        <v>01106S7300</v>
      </c>
      <c r="M577" s="22"/>
      <c r="N577" s="22"/>
      <c r="O577" s="22"/>
      <c r="P577" s="22"/>
      <c r="Q577" s="22"/>
      <c r="R577" s="22"/>
    </row>
    <row r="578" spans="1:19" s="24" customFormat="1" ht="15.75">
      <c r="A578" s="21"/>
      <c r="B578" s="132" t="s">
        <v>403</v>
      </c>
      <c r="C578" s="109" t="s">
        <v>394</v>
      </c>
      <c r="D578" s="108" t="s">
        <v>229</v>
      </c>
      <c r="E578" s="108" t="s">
        <v>62</v>
      </c>
      <c r="F578" s="108" t="s">
        <v>1119</v>
      </c>
      <c r="G578" s="108" t="s">
        <v>404</v>
      </c>
      <c r="H578" s="126">
        <f>H579</f>
        <v>0</v>
      </c>
      <c r="I578" s="108" t="s">
        <v>1203</v>
      </c>
      <c r="J578" s="108" t="str">
        <f t="shared" si="106"/>
        <v>01106S7300</v>
      </c>
      <c r="M578" s="22"/>
      <c r="N578" s="22"/>
      <c r="O578" s="22"/>
      <c r="P578" s="22"/>
      <c r="Q578" s="22"/>
      <c r="R578" s="22"/>
    </row>
    <row r="579" spans="1:19" s="24" customFormat="1" ht="15.75">
      <c r="A579" s="21"/>
      <c r="B579" s="127" t="s">
        <v>407</v>
      </c>
      <c r="C579" s="109" t="s">
        <v>394</v>
      </c>
      <c r="D579" s="108" t="s">
        <v>229</v>
      </c>
      <c r="E579" s="108" t="s">
        <v>62</v>
      </c>
      <c r="F579" s="108" t="s">
        <v>1119</v>
      </c>
      <c r="G579" s="108" t="s">
        <v>408</v>
      </c>
      <c r="H579" s="126"/>
      <c r="I579" s="108" t="s">
        <v>1203</v>
      </c>
      <c r="J579" s="108" t="str">
        <f t="shared" si="106"/>
        <v>01106S7300</v>
      </c>
      <c r="K579" s="304" t="str">
        <f>C579&amp;D579&amp;E579&amp;J579&amp;G579</f>
        <v>606070201106S7300612</v>
      </c>
      <c r="M579" s="22"/>
      <c r="N579" s="22"/>
      <c r="O579" s="22"/>
      <c r="P579" s="22"/>
      <c r="Q579" s="22"/>
      <c r="R579" s="22"/>
    </row>
    <row r="580" spans="1:19" s="17" customFormat="1" ht="47.25">
      <c r="A580" s="14"/>
      <c r="B580" s="132" t="s">
        <v>444</v>
      </c>
      <c r="C580" s="109" t="s">
        <v>394</v>
      </c>
      <c r="D580" s="108" t="s">
        <v>229</v>
      </c>
      <c r="E580" s="108" t="s">
        <v>62</v>
      </c>
      <c r="F580" s="108" t="s">
        <v>445</v>
      </c>
      <c r="G580" s="108" t="s">
        <v>9</v>
      </c>
      <c r="H580" s="126">
        <f>H581</f>
        <v>0</v>
      </c>
      <c r="I580" s="108">
        <v>120000000</v>
      </c>
      <c r="J580" s="108" t="str">
        <f t="shared" si="106"/>
        <v>0120000000</v>
      </c>
      <c r="K580" s="132"/>
      <c r="M580" s="20">
        <v>3720</v>
      </c>
      <c r="N580" s="20">
        <v>6819.62</v>
      </c>
      <c r="O580" s="20">
        <v>0</v>
      </c>
      <c r="P580" s="20">
        <f>H580-M580</f>
        <v>-3720</v>
      </c>
      <c r="Q580" s="20" t="e">
        <f>#REF!-N580</f>
        <v>#REF!</v>
      </c>
      <c r="R580" s="20" t="e">
        <f>#REF!-O580</f>
        <v>#REF!</v>
      </c>
      <c r="S580" s="17" t="str">
        <f t="shared" si="102"/>
        <v>01 2 00 00000000</v>
      </c>
    </row>
    <row r="581" spans="1:19" s="17" customFormat="1" ht="63">
      <c r="A581" s="14"/>
      <c r="B581" s="132" t="s">
        <v>446</v>
      </c>
      <c r="C581" s="109" t="s">
        <v>394</v>
      </c>
      <c r="D581" s="108" t="s">
        <v>229</v>
      </c>
      <c r="E581" s="108" t="s">
        <v>62</v>
      </c>
      <c r="F581" s="108" t="s">
        <v>447</v>
      </c>
      <c r="G581" s="108" t="s">
        <v>9</v>
      </c>
      <c r="H581" s="126">
        <f>H582</f>
        <v>0</v>
      </c>
      <c r="I581" s="108">
        <v>120100000</v>
      </c>
      <c r="J581" s="108" t="str">
        <f t="shared" si="106"/>
        <v>0120100000</v>
      </c>
      <c r="K581" s="132"/>
      <c r="M581" s="20">
        <v>3720</v>
      </c>
      <c r="N581" s="20">
        <v>6819.62</v>
      </c>
      <c r="O581" s="20">
        <v>0</v>
      </c>
      <c r="P581" s="20">
        <f>H581-M581</f>
        <v>-3720</v>
      </c>
      <c r="Q581" s="20" t="e">
        <f>#REF!-N581</f>
        <v>#REF!</v>
      </c>
      <c r="R581" s="20" t="e">
        <f>#REF!-O581</f>
        <v>#REF!</v>
      </c>
      <c r="S581" s="17" t="str">
        <f t="shared" si="102"/>
        <v>01 2 01 00000000</v>
      </c>
    </row>
    <row r="582" spans="1:19" s="17" customFormat="1" ht="47.25">
      <c r="A582" s="14"/>
      <c r="B582" s="132" t="s">
        <v>448</v>
      </c>
      <c r="C582" s="109" t="s">
        <v>394</v>
      </c>
      <c r="D582" s="108" t="s">
        <v>229</v>
      </c>
      <c r="E582" s="108" t="s">
        <v>62</v>
      </c>
      <c r="F582" s="108" t="s">
        <v>449</v>
      </c>
      <c r="G582" s="108" t="s">
        <v>9</v>
      </c>
      <c r="H582" s="126">
        <f>H583</f>
        <v>0</v>
      </c>
      <c r="I582" s="108">
        <v>120140010</v>
      </c>
      <c r="J582" s="108" t="str">
        <f t="shared" si="106"/>
        <v>0120140010</v>
      </c>
      <c r="K582" s="132"/>
      <c r="M582" s="20">
        <v>3720</v>
      </c>
      <c r="N582" s="20">
        <v>6819.62</v>
      </c>
      <c r="O582" s="20">
        <v>0</v>
      </c>
      <c r="P582" s="20">
        <f>H582-M582</f>
        <v>-3720</v>
      </c>
      <c r="Q582" s="20" t="e">
        <f>#REF!-N582</f>
        <v>#REF!</v>
      </c>
      <c r="R582" s="20" t="e">
        <f>#REF!-O582</f>
        <v>#REF!</v>
      </c>
      <c r="S582" s="17" t="str">
        <f t="shared" si="102"/>
        <v>01 2 01 40010000</v>
      </c>
    </row>
    <row r="583" spans="1:19" s="17" customFormat="1" ht="110.25">
      <c r="A583" s="14"/>
      <c r="B583" s="132" t="s">
        <v>1163</v>
      </c>
      <c r="C583" s="109" t="s">
        <v>394</v>
      </c>
      <c r="D583" s="108" t="s">
        <v>229</v>
      </c>
      <c r="E583" s="108" t="s">
        <v>62</v>
      </c>
      <c r="F583" s="108" t="s">
        <v>449</v>
      </c>
      <c r="G583" s="108" t="s">
        <v>451</v>
      </c>
      <c r="H583" s="126">
        <f>H584</f>
        <v>0</v>
      </c>
      <c r="I583" s="108">
        <v>120140010</v>
      </c>
      <c r="J583" s="108" t="str">
        <f t="shared" si="106"/>
        <v>0120140010</v>
      </c>
      <c r="K583" s="132"/>
      <c r="M583" s="20">
        <v>3720</v>
      </c>
      <c r="N583" s="20">
        <v>6819.62</v>
      </c>
      <c r="O583" s="20">
        <v>0</v>
      </c>
      <c r="P583" s="20">
        <f>H583-M583</f>
        <v>-3720</v>
      </c>
      <c r="Q583" s="20" t="e">
        <f>#REF!-N583</f>
        <v>#REF!</v>
      </c>
      <c r="R583" s="20" t="e">
        <f>#REF!-O583</f>
        <v>#REF!</v>
      </c>
      <c r="S583" s="17" t="str">
        <f t="shared" si="102"/>
        <v>01 2 01 40010460</v>
      </c>
    </row>
    <row r="584" spans="1:19" s="24" customFormat="1" ht="63">
      <c r="A584" s="21"/>
      <c r="B584" s="127" t="s">
        <v>452</v>
      </c>
      <c r="C584" s="109" t="s">
        <v>394</v>
      </c>
      <c r="D584" s="108" t="s">
        <v>229</v>
      </c>
      <c r="E584" s="108" t="s">
        <v>62</v>
      </c>
      <c r="F584" s="108" t="s">
        <v>449</v>
      </c>
      <c r="G584" s="108" t="s">
        <v>453</v>
      </c>
      <c r="H584" s="126"/>
      <c r="I584" s="108">
        <v>120140010</v>
      </c>
      <c r="J584" s="108" t="str">
        <f t="shared" si="106"/>
        <v>0120140010</v>
      </c>
      <c r="K584" s="304" t="str">
        <f>C584&amp;D584&amp;E584&amp;J584&amp;G584</f>
        <v>60607020120140010465</v>
      </c>
      <c r="M584" s="22"/>
      <c r="N584" s="22"/>
      <c r="O584" s="22"/>
      <c r="P584" s="22"/>
      <c r="Q584" s="22"/>
      <c r="R584" s="22"/>
      <c r="S584" s="24" t="str">
        <f t="shared" si="102"/>
        <v>01 2 01 40010465</v>
      </c>
    </row>
    <row r="585" spans="1:19" s="17" customFormat="1" ht="47.25">
      <c r="A585" s="14"/>
      <c r="B585" s="127" t="s">
        <v>146</v>
      </c>
      <c r="C585" s="109" t="s">
        <v>394</v>
      </c>
      <c r="D585" s="108" t="s">
        <v>229</v>
      </c>
      <c r="E585" s="108" t="s">
        <v>62</v>
      </c>
      <c r="F585" s="108" t="s">
        <v>147</v>
      </c>
      <c r="G585" s="108" t="s">
        <v>9</v>
      </c>
      <c r="H585" s="126">
        <f>H591+H596+H586</f>
        <v>0</v>
      </c>
      <c r="I585" s="108">
        <v>1500000000</v>
      </c>
      <c r="J585" s="108" t="str">
        <f t="shared" si="106"/>
        <v>1500000000</v>
      </c>
      <c r="K585" s="132"/>
      <c r="M585" s="20">
        <v>13591.95</v>
      </c>
      <c r="N585" s="20">
        <v>2671.95</v>
      </c>
      <c r="O585" s="20">
        <v>1891.95</v>
      </c>
      <c r="P585" s="20">
        <f>H585-M585</f>
        <v>-13591.95</v>
      </c>
      <c r="Q585" s="20" t="e">
        <f>#REF!-N585</f>
        <v>#REF!</v>
      </c>
      <c r="R585" s="20" t="e">
        <f>#REF!-O585</f>
        <v>#REF!</v>
      </c>
      <c r="S585" s="17" t="str">
        <f t="shared" si="102"/>
        <v>15 0 00 00000000</v>
      </c>
    </row>
    <row r="586" spans="1:19" s="17" customFormat="1" ht="47.25">
      <c r="A586" s="14"/>
      <c r="B586" s="125" t="s">
        <v>1065</v>
      </c>
      <c r="C586" s="109" t="s">
        <v>394</v>
      </c>
      <c r="D586" s="108" t="s">
        <v>229</v>
      </c>
      <c r="E586" s="108" t="s">
        <v>62</v>
      </c>
      <c r="F586" s="108" t="s">
        <v>149</v>
      </c>
      <c r="G586" s="108" t="s">
        <v>9</v>
      </c>
      <c r="H586" s="126">
        <f>H587</f>
        <v>0</v>
      </c>
      <c r="I586" s="108">
        <v>1510000000</v>
      </c>
      <c r="J586" s="108" t="str">
        <f t="shared" si="106"/>
        <v>1510000000</v>
      </c>
      <c r="K586" s="132"/>
      <c r="M586" s="20">
        <v>11700</v>
      </c>
      <c r="N586" s="20">
        <v>780</v>
      </c>
      <c r="O586" s="20">
        <v>0</v>
      </c>
      <c r="P586" s="20">
        <f>H586-M586</f>
        <v>-11700</v>
      </c>
      <c r="Q586" s="20" t="e">
        <f>#REF!-N586</f>
        <v>#REF!</v>
      </c>
      <c r="R586" s="20" t="e">
        <f>#REF!-O586</f>
        <v>#REF!</v>
      </c>
      <c r="S586" s="17" t="str">
        <f t="shared" si="102"/>
        <v>15 1 00 00000000</v>
      </c>
    </row>
    <row r="587" spans="1:19" s="17" customFormat="1" ht="63">
      <c r="A587" s="14"/>
      <c r="B587" s="132" t="s">
        <v>1068</v>
      </c>
      <c r="C587" s="109" t="s">
        <v>394</v>
      </c>
      <c r="D587" s="108" t="s">
        <v>229</v>
      </c>
      <c r="E587" s="108" t="s">
        <v>62</v>
      </c>
      <c r="F587" s="108" t="s">
        <v>1069</v>
      </c>
      <c r="G587" s="108" t="s">
        <v>9</v>
      </c>
      <c r="H587" s="126">
        <f>H588</f>
        <v>0</v>
      </c>
      <c r="I587" s="108">
        <v>1510400000</v>
      </c>
      <c r="J587" s="108" t="str">
        <f t="shared" si="106"/>
        <v>1510400000</v>
      </c>
      <c r="K587" s="132"/>
      <c r="M587" s="20">
        <v>11700</v>
      </c>
      <c r="N587" s="20">
        <v>780</v>
      </c>
      <c r="O587" s="20">
        <v>0</v>
      </c>
      <c r="P587" s="20">
        <f>H587-M587</f>
        <v>-11700</v>
      </c>
      <c r="Q587" s="20" t="e">
        <f>#REF!-N587</f>
        <v>#REF!</v>
      </c>
      <c r="R587" s="20" t="e">
        <f>#REF!-O587</f>
        <v>#REF!</v>
      </c>
      <c r="S587" s="17" t="str">
        <f t="shared" si="102"/>
        <v>15 1 04 00000000</v>
      </c>
    </row>
    <row r="588" spans="1:19" s="17" customFormat="1" ht="47.25">
      <c r="A588" s="14"/>
      <c r="B588" s="132" t="s">
        <v>152</v>
      </c>
      <c r="C588" s="109" t="s">
        <v>394</v>
      </c>
      <c r="D588" s="108" t="s">
        <v>229</v>
      </c>
      <c r="E588" s="108" t="s">
        <v>62</v>
      </c>
      <c r="F588" s="108" t="s">
        <v>1070</v>
      </c>
      <c r="G588" s="108" t="s">
        <v>9</v>
      </c>
      <c r="H588" s="126">
        <f>H589</f>
        <v>0</v>
      </c>
      <c r="I588" s="108">
        <v>1510420350</v>
      </c>
      <c r="J588" s="108" t="str">
        <f t="shared" si="106"/>
        <v>1510420350</v>
      </c>
      <c r="K588" s="132"/>
      <c r="M588" s="20">
        <v>11700</v>
      </c>
      <c r="N588" s="20">
        <v>780</v>
      </c>
      <c r="O588" s="20">
        <v>0</v>
      </c>
      <c r="P588" s="20">
        <f>H588-M588</f>
        <v>-11700</v>
      </c>
      <c r="Q588" s="20" t="e">
        <f>#REF!-N588</f>
        <v>#REF!</v>
      </c>
      <c r="R588" s="20" t="e">
        <f>#REF!-O588</f>
        <v>#REF!</v>
      </c>
      <c r="S588" s="17" t="str">
        <f t="shared" si="102"/>
        <v>15 1 04 20350000</v>
      </c>
    </row>
    <row r="589" spans="1:19" s="17" customFormat="1" ht="15.75">
      <c r="A589" s="14"/>
      <c r="B589" s="132" t="s">
        <v>403</v>
      </c>
      <c r="C589" s="109" t="s">
        <v>394</v>
      </c>
      <c r="D589" s="108" t="s">
        <v>229</v>
      </c>
      <c r="E589" s="108" t="s">
        <v>62</v>
      </c>
      <c r="F589" s="108" t="s">
        <v>1070</v>
      </c>
      <c r="G589" s="108" t="s">
        <v>404</v>
      </c>
      <c r="H589" s="126">
        <f>H590</f>
        <v>0</v>
      </c>
      <c r="I589" s="108">
        <v>1510420350</v>
      </c>
      <c r="J589" s="108" t="str">
        <f t="shared" si="106"/>
        <v>1510420350</v>
      </c>
      <c r="K589" s="132"/>
      <c r="M589" s="20">
        <v>11700</v>
      </c>
      <c r="N589" s="20">
        <v>780</v>
      </c>
      <c r="O589" s="20">
        <v>0</v>
      </c>
      <c r="P589" s="20">
        <f>H589-M589</f>
        <v>-11700</v>
      </c>
      <c r="Q589" s="20" t="e">
        <f>#REF!-N589</f>
        <v>#REF!</v>
      </c>
      <c r="R589" s="20" t="e">
        <f>#REF!-O589</f>
        <v>#REF!</v>
      </c>
      <c r="S589" s="17" t="str">
        <f t="shared" si="102"/>
        <v>15 1 04 20350610</v>
      </c>
    </row>
    <row r="590" spans="1:19" s="24" customFormat="1" ht="15.75">
      <c r="A590" s="21"/>
      <c r="B590" s="125" t="s">
        <v>407</v>
      </c>
      <c r="C590" s="109" t="s">
        <v>394</v>
      </c>
      <c r="D590" s="108" t="s">
        <v>229</v>
      </c>
      <c r="E590" s="108" t="s">
        <v>62</v>
      </c>
      <c r="F590" s="108" t="s">
        <v>1070</v>
      </c>
      <c r="G590" s="108" t="s">
        <v>408</v>
      </c>
      <c r="H590" s="126"/>
      <c r="I590" s="108">
        <v>1510420350</v>
      </c>
      <c r="J590" s="108" t="str">
        <f t="shared" si="106"/>
        <v>1510420350</v>
      </c>
      <c r="K590" s="304" t="str">
        <f>C590&amp;D590&amp;E590&amp;J590&amp;G590</f>
        <v>60607021510420350612</v>
      </c>
      <c r="M590" s="22"/>
      <c r="N590" s="22"/>
      <c r="O590" s="22"/>
      <c r="P590" s="22"/>
      <c r="Q590" s="22"/>
      <c r="R590" s="22"/>
    </row>
    <row r="591" spans="1:19" s="17" customFormat="1" ht="15.75">
      <c r="A591" s="14"/>
      <c r="B591" s="127" t="s">
        <v>154</v>
      </c>
      <c r="C591" s="109" t="s">
        <v>394</v>
      </c>
      <c r="D591" s="108" t="s">
        <v>229</v>
      </c>
      <c r="E591" s="108" t="s">
        <v>62</v>
      </c>
      <c r="F591" s="108" t="s">
        <v>155</v>
      </c>
      <c r="G591" s="108" t="s">
        <v>9</v>
      </c>
      <c r="H591" s="126">
        <f t="shared" ref="H591:H593" si="113">H592</f>
        <v>0</v>
      </c>
      <c r="I591" s="108">
        <v>1520000000</v>
      </c>
      <c r="J591" s="108" t="str">
        <f t="shared" si="106"/>
        <v>1520000000</v>
      </c>
      <c r="K591" s="132"/>
      <c r="M591" s="20">
        <v>217.15</v>
      </c>
      <c r="N591" s="20">
        <v>217.15</v>
      </c>
      <c r="O591" s="20">
        <v>217.15</v>
      </c>
      <c r="P591" s="20">
        <f>H591-M591</f>
        <v>-217.15</v>
      </c>
      <c r="Q591" s="20" t="e">
        <f>#REF!-N591</f>
        <v>#REF!</v>
      </c>
      <c r="R591" s="20" t="e">
        <f>#REF!-O591</f>
        <v>#REF!</v>
      </c>
      <c r="S591" s="17" t="str">
        <f t="shared" si="102"/>
        <v>15 2 00 00000000</v>
      </c>
    </row>
    <row r="592" spans="1:19" s="17" customFormat="1" ht="47.25">
      <c r="A592" s="14"/>
      <c r="B592" s="127" t="s">
        <v>160</v>
      </c>
      <c r="C592" s="109" t="s">
        <v>394</v>
      </c>
      <c r="D592" s="108" t="s">
        <v>229</v>
      </c>
      <c r="E592" s="108" t="s">
        <v>62</v>
      </c>
      <c r="F592" s="108" t="s">
        <v>161</v>
      </c>
      <c r="G592" s="108" t="s">
        <v>9</v>
      </c>
      <c r="H592" s="126">
        <f t="shared" si="113"/>
        <v>0</v>
      </c>
      <c r="I592" s="108">
        <v>1520200000</v>
      </c>
      <c r="J592" s="108" t="str">
        <f t="shared" si="106"/>
        <v>1520200000</v>
      </c>
      <c r="K592" s="132"/>
      <c r="M592" s="20">
        <v>217.15</v>
      </c>
      <c r="N592" s="20">
        <v>217.15</v>
      </c>
      <c r="O592" s="20">
        <v>217.15</v>
      </c>
      <c r="P592" s="20">
        <f>H592-M592</f>
        <v>-217.15</v>
      </c>
      <c r="Q592" s="20" t="e">
        <f>#REF!-N592</f>
        <v>#REF!</v>
      </c>
      <c r="R592" s="20" t="e">
        <f>#REF!-O592</f>
        <v>#REF!</v>
      </c>
      <c r="S592" s="17" t="str">
        <f t="shared" si="102"/>
        <v>15 2 02 00000000</v>
      </c>
    </row>
    <row r="593" spans="1:19" s="17" customFormat="1" ht="78.75">
      <c r="A593" s="14"/>
      <c r="B593" s="129" t="s">
        <v>158</v>
      </c>
      <c r="C593" s="109" t="s">
        <v>394</v>
      </c>
      <c r="D593" s="108" t="s">
        <v>229</v>
      </c>
      <c r="E593" s="108" t="s">
        <v>62</v>
      </c>
      <c r="F593" s="108" t="s">
        <v>162</v>
      </c>
      <c r="G593" s="108" t="s">
        <v>9</v>
      </c>
      <c r="H593" s="126">
        <f t="shared" si="113"/>
        <v>0</v>
      </c>
      <c r="I593" s="108">
        <v>1520220370</v>
      </c>
      <c r="J593" s="108" t="str">
        <f t="shared" si="106"/>
        <v>1520220370</v>
      </c>
      <c r="K593" s="132"/>
      <c r="M593" s="20">
        <v>217.15</v>
      </c>
      <c r="N593" s="20">
        <v>217.15</v>
      </c>
      <c r="O593" s="20">
        <v>217.15</v>
      </c>
      <c r="P593" s="20">
        <f>H593-M593</f>
        <v>-217.15</v>
      </c>
      <c r="Q593" s="20" t="e">
        <f>#REF!-N593</f>
        <v>#REF!</v>
      </c>
      <c r="R593" s="20" t="e">
        <f>#REF!-O593</f>
        <v>#REF!</v>
      </c>
      <c r="S593" s="17" t="str">
        <f t="shared" si="102"/>
        <v>15 2 02 20370000</v>
      </c>
    </row>
    <row r="594" spans="1:19" s="17" customFormat="1" ht="15.75">
      <c r="A594" s="14"/>
      <c r="B594" s="132" t="s">
        <v>403</v>
      </c>
      <c r="C594" s="109" t="s">
        <v>394</v>
      </c>
      <c r="D594" s="108" t="s">
        <v>229</v>
      </c>
      <c r="E594" s="108" t="s">
        <v>62</v>
      </c>
      <c r="F594" s="108" t="s">
        <v>162</v>
      </c>
      <c r="G594" s="108" t="s">
        <v>404</v>
      </c>
      <c r="H594" s="126">
        <f>H595</f>
        <v>0</v>
      </c>
      <c r="I594" s="108">
        <v>1520220370</v>
      </c>
      <c r="J594" s="108" t="str">
        <f t="shared" si="106"/>
        <v>1520220370</v>
      </c>
      <c r="K594" s="132"/>
      <c r="M594" s="20">
        <v>217.15</v>
      </c>
      <c r="N594" s="20">
        <v>217.15</v>
      </c>
      <c r="O594" s="20">
        <v>217.15</v>
      </c>
      <c r="P594" s="20">
        <f>H594-M594</f>
        <v>-217.15</v>
      </c>
      <c r="Q594" s="20" t="e">
        <f>#REF!-N594</f>
        <v>#REF!</v>
      </c>
      <c r="R594" s="20" t="e">
        <f>#REF!-O594</f>
        <v>#REF!</v>
      </c>
      <c r="S594" s="17" t="str">
        <f t="shared" si="102"/>
        <v>15 2 02 20370610</v>
      </c>
    </row>
    <row r="595" spans="1:19" s="24" customFormat="1" ht="15.75">
      <c r="A595" s="21"/>
      <c r="B595" s="127" t="s">
        <v>407</v>
      </c>
      <c r="C595" s="109" t="s">
        <v>394</v>
      </c>
      <c r="D595" s="108" t="s">
        <v>229</v>
      </c>
      <c r="E595" s="108" t="s">
        <v>62</v>
      </c>
      <c r="F595" s="108" t="s">
        <v>162</v>
      </c>
      <c r="G595" s="108" t="s">
        <v>408</v>
      </c>
      <c r="H595" s="126"/>
      <c r="I595" s="108">
        <v>1520220370</v>
      </c>
      <c r="J595" s="108" t="str">
        <f t="shared" si="106"/>
        <v>1520220370</v>
      </c>
      <c r="K595" s="304" t="str">
        <f>C595&amp;D595&amp;E595&amp;J595&amp;G595</f>
        <v>60607021520220370612</v>
      </c>
      <c r="M595" s="22"/>
      <c r="N595" s="22"/>
      <c r="O595" s="22"/>
      <c r="P595" s="22"/>
      <c r="Q595" s="22"/>
      <c r="R595" s="22"/>
    </row>
    <row r="596" spans="1:19" s="17" customFormat="1" ht="31.5">
      <c r="A596" s="14"/>
      <c r="B596" s="125" t="s">
        <v>168</v>
      </c>
      <c r="C596" s="109" t="s">
        <v>394</v>
      </c>
      <c r="D596" s="108" t="s">
        <v>229</v>
      </c>
      <c r="E596" s="108" t="s">
        <v>62</v>
      </c>
      <c r="F596" s="108" t="s">
        <v>169</v>
      </c>
      <c r="G596" s="108" t="s">
        <v>9</v>
      </c>
      <c r="H596" s="126">
        <f t="shared" ref="H596:H597" si="114">H597</f>
        <v>0</v>
      </c>
      <c r="I596" s="108">
        <v>1530000000</v>
      </c>
      <c r="J596" s="108" t="str">
        <f t="shared" si="106"/>
        <v>1530000000</v>
      </c>
      <c r="K596" s="132"/>
      <c r="M596" s="20">
        <v>1674.8</v>
      </c>
      <c r="N596" s="20">
        <v>1674.8</v>
      </c>
      <c r="O596" s="20">
        <v>1674.8</v>
      </c>
      <c r="P596" s="20">
        <f>H596-M596</f>
        <v>-1674.8</v>
      </c>
      <c r="Q596" s="20" t="e">
        <f>#REF!-N596</f>
        <v>#REF!</v>
      </c>
      <c r="R596" s="20" t="e">
        <f>#REF!-O596</f>
        <v>#REF!</v>
      </c>
      <c r="S596" s="17" t="str">
        <f t="shared" si="102"/>
        <v>15 3 00 00000000</v>
      </c>
    </row>
    <row r="597" spans="1:19" s="17" customFormat="1" ht="31.5">
      <c r="A597" s="14"/>
      <c r="B597" s="125" t="s">
        <v>374</v>
      </c>
      <c r="C597" s="109" t="s">
        <v>394</v>
      </c>
      <c r="D597" s="108" t="s">
        <v>229</v>
      </c>
      <c r="E597" s="108" t="s">
        <v>62</v>
      </c>
      <c r="F597" s="108" t="s">
        <v>375</v>
      </c>
      <c r="G597" s="108" t="s">
        <v>9</v>
      </c>
      <c r="H597" s="126">
        <f t="shared" si="114"/>
        <v>0</v>
      </c>
      <c r="I597" s="108">
        <v>1530100000</v>
      </c>
      <c r="J597" s="108" t="str">
        <f t="shared" si="106"/>
        <v>1530100000</v>
      </c>
      <c r="K597" s="132"/>
      <c r="M597" s="20">
        <v>1674.8</v>
      </c>
      <c r="N597" s="20">
        <v>1674.8</v>
      </c>
      <c r="O597" s="20">
        <v>1674.8</v>
      </c>
      <c r="P597" s="20">
        <f>H597-M597</f>
        <v>-1674.8</v>
      </c>
      <c r="Q597" s="20" t="e">
        <f>#REF!-N597</f>
        <v>#REF!</v>
      </c>
      <c r="R597" s="20" t="e">
        <f>#REF!-O597</f>
        <v>#REF!</v>
      </c>
      <c r="S597" s="17" t="str">
        <f t="shared" si="102"/>
        <v>15 3 01 00000000</v>
      </c>
    </row>
    <row r="598" spans="1:19" s="17" customFormat="1" ht="31.5">
      <c r="A598" s="14"/>
      <c r="B598" s="125" t="s">
        <v>376</v>
      </c>
      <c r="C598" s="109" t="s">
        <v>394</v>
      </c>
      <c r="D598" s="108" t="s">
        <v>229</v>
      </c>
      <c r="E598" s="108" t="s">
        <v>62</v>
      </c>
      <c r="F598" s="108" t="s">
        <v>377</v>
      </c>
      <c r="G598" s="108" t="s">
        <v>9</v>
      </c>
      <c r="H598" s="126">
        <f>H599+H601</f>
        <v>0</v>
      </c>
      <c r="I598" s="108">
        <v>1530120660</v>
      </c>
      <c r="J598" s="108" t="str">
        <f t="shared" si="106"/>
        <v>1530120660</v>
      </c>
      <c r="K598" s="132"/>
      <c r="M598" s="20">
        <v>1674.8</v>
      </c>
      <c r="N598" s="20">
        <v>1674.8</v>
      </c>
      <c r="O598" s="20">
        <v>1674.8</v>
      </c>
      <c r="P598" s="20">
        <f>H598-M598</f>
        <v>-1674.8</v>
      </c>
      <c r="Q598" s="20" t="e">
        <f>#REF!-N598</f>
        <v>#REF!</v>
      </c>
      <c r="R598" s="20" t="e">
        <f>#REF!-O598</f>
        <v>#REF!</v>
      </c>
      <c r="S598" s="17" t="str">
        <f t="shared" si="102"/>
        <v>15 3 01 20660000</v>
      </c>
    </row>
    <row r="599" spans="1:19" s="17" customFormat="1" ht="15.75">
      <c r="A599" s="14"/>
      <c r="B599" s="132" t="s">
        <v>403</v>
      </c>
      <c r="C599" s="109" t="s">
        <v>394</v>
      </c>
      <c r="D599" s="108" t="s">
        <v>229</v>
      </c>
      <c r="E599" s="108" t="s">
        <v>62</v>
      </c>
      <c r="F599" s="108" t="s">
        <v>377</v>
      </c>
      <c r="G599" s="108" t="s">
        <v>404</v>
      </c>
      <c r="H599" s="126">
        <f>H600</f>
        <v>0</v>
      </c>
      <c r="I599" s="108">
        <v>1530120660</v>
      </c>
      <c r="J599" s="108" t="str">
        <f t="shared" si="106"/>
        <v>1530120660</v>
      </c>
      <c r="K599" s="132"/>
      <c r="M599" s="20">
        <v>1674.8</v>
      </c>
      <c r="N599" s="20">
        <v>1674.8</v>
      </c>
      <c r="O599" s="20">
        <v>1674.8</v>
      </c>
      <c r="P599" s="20">
        <f>H599-M599</f>
        <v>-1674.8</v>
      </c>
      <c r="Q599" s="20" t="e">
        <f>#REF!-N599</f>
        <v>#REF!</v>
      </c>
      <c r="R599" s="20" t="e">
        <f>#REF!-O599</f>
        <v>#REF!</v>
      </c>
      <c r="S599" s="17" t="str">
        <f t="shared" si="102"/>
        <v>15 3 01 20660610</v>
      </c>
    </row>
    <row r="600" spans="1:19" s="24" customFormat="1" ht="15.75">
      <c r="A600" s="21"/>
      <c r="B600" s="127" t="s">
        <v>407</v>
      </c>
      <c r="C600" s="109" t="s">
        <v>394</v>
      </c>
      <c r="D600" s="108" t="s">
        <v>229</v>
      </c>
      <c r="E600" s="108" t="s">
        <v>62</v>
      </c>
      <c r="F600" s="108" t="s">
        <v>377</v>
      </c>
      <c r="G600" s="108" t="s">
        <v>408</v>
      </c>
      <c r="H600" s="126"/>
      <c r="I600" s="108">
        <v>1530120660</v>
      </c>
      <c r="J600" s="108" t="str">
        <f t="shared" si="106"/>
        <v>1530120660</v>
      </c>
      <c r="K600" s="304" t="str">
        <f>C600&amp;D600&amp;E600&amp;J600&amp;G600</f>
        <v>60607021530120660612</v>
      </c>
      <c r="M600" s="22"/>
      <c r="N600" s="22"/>
      <c r="O600" s="22"/>
      <c r="P600" s="22"/>
      <c r="Q600" s="22"/>
      <c r="R600" s="22"/>
    </row>
    <row r="601" spans="1:19" s="24" customFormat="1" ht="15.75">
      <c r="A601" s="21"/>
      <c r="B601" s="132" t="s">
        <v>409</v>
      </c>
      <c r="C601" s="109" t="s">
        <v>394</v>
      </c>
      <c r="D601" s="108" t="s">
        <v>229</v>
      </c>
      <c r="E601" s="108" t="s">
        <v>62</v>
      </c>
      <c r="F601" s="108" t="s">
        <v>377</v>
      </c>
      <c r="G601" s="108" t="s">
        <v>410</v>
      </c>
      <c r="H601" s="126">
        <f>H602</f>
        <v>0</v>
      </c>
      <c r="I601" s="108">
        <v>1530120661</v>
      </c>
      <c r="J601" s="108" t="str">
        <f t="shared" si="106"/>
        <v>1530120661</v>
      </c>
      <c r="K601" s="304" t="str">
        <f>C601&amp;D601&amp;E601&amp;J601&amp;G601</f>
        <v>60607021530120661620</v>
      </c>
      <c r="M601" s="22"/>
      <c r="N601" s="22"/>
      <c r="O601" s="22"/>
      <c r="P601" s="22"/>
      <c r="Q601" s="22"/>
      <c r="R601" s="22"/>
    </row>
    <row r="602" spans="1:19" s="24" customFormat="1" ht="15.75">
      <c r="A602" s="21"/>
      <c r="B602" s="127" t="s">
        <v>428</v>
      </c>
      <c r="C602" s="109" t="s">
        <v>394</v>
      </c>
      <c r="D602" s="108" t="s">
        <v>229</v>
      </c>
      <c r="E602" s="108" t="s">
        <v>62</v>
      </c>
      <c r="F602" s="108" t="s">
        <v>377</v>
      </c>
      <c r="G602" s="108" t="s">
        <v>429</v>
      </c>
      <c r="H602" s="126"/>
      <c r="I602" s="108">
        <v>1530120660</v>
      </c>
      <c r="J602" s="108" t="str">
        <f t="shared" si="106"/>
        <v>1530120660</v>
      </c>
      <c r="K602" s="304" t="str">
        <f>C602&amp;D602&amp;E602&amp;J602&amp;G602</f>
        <v>60607021530120660622</v>
      </c>
      <c r="M602" s="22"/>
      <c r="N602" s="22"/>
      <c r="O602" s="22"/>
      <c r="P602" s="22"/>
      <c r="Q602" s="22"/>
      <c r="R602" s="22"/>
    </row>
    <row r="603" spans="1:19" s="17" customFormat="1" ht="94.5">
      <c r="A603" s="14"/>
      <c r="B603" s="125" t="s">
        <v>420</v>
      </c>
      <c r="C603" s="109" t="s">
        <v>394</v>
      </c>
      <c r="D603" s="108" t="s">
        <v>229</v>
      </c>
      <c r="E603" s="108" t="s">
        <v>62</v>
      </c>
      <c r="F603" s="108" t="s">
        <v>421</v>
      </c>
      <c r="G603" s="108" t="s">
        <v>9</v>
      </c>
      <c r="H603" s="126">
        <f t="shared" ref="H603:H605" si="115">H604</f>
        <v>0</v>
      </c>
      <c r="I603" s="108">
        <v>1600000000</v>
      </c>
      <c r="J603" s="108" t="str">
        <f t="shared" si="106"/>
        <v>1600000000</v>
      </c>
      <c r="K603" s="132"/>
      <c r="M603" s="20">
        <v>2776.06</v>
      </c>
      <c r="N603" s="20">
        <v>2776.06</v>
      </c>
      <c r="O603" s="20">
        <v>2776.06</v>
      </c>
      <c r="P603" s="20">
        <f>H603-M603</f>
        <v>-2776.06</v>
      </c>
      <c r="Q603" s="20" t="e">
        <f>#REF!-N603</f>
        <v>#REF!</v>
      </c>
      <c r="R603" s="20" t="e">
        <f>#REF!-O603</f>
        <v>#REF!</v>
      </c>
      <c r="S603" s="17" t="str">
        <f t="shared" si="102"/>
        <v>16 0 00 00000000</v>
      </c>
    </row>
    <row r="604" spans="1:19" s="17" customFormat="1" ht="31.5">
      <c r="A604" s="14"/>
      <c r="B604" s="125" t="s">
        <v>422</v>
      </c>
      <c r="C604" s="109" t="s">
        <v>394</v>
      </c>
      <c r="D604" s="108" t="s">
        <v>229</v>
      </c>
      <c r="E604" s="108" t="s">
        <v>62</v>
      </c>
      <c r="F604" s="108" t="s">
        <v>423</v>
      </c>
      <c r="G604" s="108" t="s">
        <v>9</v>
      </c>
      <c r="H604" s="126">
        <f t="shared" si="115"/>
        <v>0</v>
      </c>
      <c r="I604" s="108">
        <v>1620000000</v>
      </c>
      <c r="J604" s="108" t="str">
        <f t="shared" si="106"/>
        <v>1620000000</v>
      </c>
      <c r="K604" s="132"/>
      <c r="M604" s="20">
        <v>2776.06</v>
      </c>
      <c r="N604" s="20">
        <v>2776.06</v>
      </c>
      <c r="O604" s="20">
        <v>2776.06</v>
      </c>
      <c r="P604" s="20">
        <f>H604-M604</f>
        <v>-2776.06</v>
      </c>
      <c r="Q604" s="20" t="e">
        <f>#REF!-N604</f>
        <v>#REF!</v>
      </c>
      <c r="R604" s="20" t="e">
        <f>#REF!-O604</f>
        <v>#REF!</v>
      </c>
      <c r="S604" s="17" t="str">
        <f t="shared" si="102"/>
        <v>16 2 00 00000000</v>
      </c>
    </row>
    <row r="605" spans="1:19" s="17" customFormat="1" ht="47.25">
      <c r="A605" s="14"/>
      <c r="B605" s="125" t="s">
        <v>424</v>
      </c>
      <c r="C605" s="109" t="s">
        <v>394</v>
      </c>
      <c r="D605" s="108" t="s">
        <v>229</v>
      </c>
      <c r="E605" s="108" t="s">
        <v>62</v>
      </c>
      <c r="F605" s="108" t="s">
        <v>425</v>
      </c>
      <c r="G605" s="108" t="s">
        <v>9</v>
      </c>
      <c r="H605" s="126">
        <f t="shared" si="115"/>
        <v>0</v>
      </c>
      <c r="I605" s="108">
        <v>1620200000</v>
      </c>
      <c r="J605" s="108" t="str">
        <f t="shared" ref="J605:J668" si="116">TEXT(I605,"0000000000")</f>
        <v>1620200000</v>
      </c>
      <c r="K605" s="132"/>
      <c r="M605" s="20">
        <v>2776.06</v>
      </c>
      <c r="N605" s="20">
        <v>2776.06</v>
      </c>
      <c r="O605" s="20">
        <v>2776.06</v>
      </c>
      <c r="P605" s="20">
        <f>H605-M605</f>
        <v>-2776.06</v>
      </c>
      <c r="Q605" s="20" t="e">
        <f>#REF!-N605</f>
        <v>#REF!</v>
      </c>
      <c r="R605" s="20" t="e">
        <f>#REF!-O605</f>
        <v>#REF!</v>
      </c>
      <c r="S605" s="17" t="str">
        <f t="shared" si="102"/>
        <v>16 2 02 00000000</v>
      </c>
    </row>
    <row r="606" spans="1:19" s="17" customFormat="1" ht="47.25">
      <c r="A606" s="14"/>
      <c r="B606" s="125" t="s">
        <v>426</v>
      </c>
      <c r="C606" s="109" t="s">
        <v>394</v>
      </c>
      <c r="D606" s="108" t="s">
        <v>229</v>
      </c>
      <c r="E606" s="108" t="s">
        <v>62</v>
      </c>
      <c r="F606" s="108" t="s">
        <v>427</v>
      </c>
      <c r="G606" s="108" t="s">
        <v>9</v>
      </c>
      <c r="H606" s="126">
        <f>H607+H609</f>
        <v>0</v>
      </c>
      <c r="I606" s="108">
        <v>1620220550</v>
      </c>
      <c r="J606" s="108" t="str">
        <f t="shared" si="116"/>
        <v>1620220550</v>
      </c>
      <c r="K606" s="132"/>
      <c r="M606" s="20">
        <v>2776.06</v>
      </c>
      <c r="N606" s="20">
        <v>2776.06</v>
      </c>
      <c r="O606" s="20">
        <v>2776.06</v>
      </c>
      <c r="P606" s="20">
        <f>H606-M606</f>
        <v>-2776.06</v>
      </c>
      <c r="Q606" s="20" t="e">
        <f>#REF!-N606</f>
        <v>#REF!</v>
      </c>
      <c r="R606" s="20" t="e">
        <f>#REF!-O606</f>
        <v>#REF!</v>
      </c>
      <c r="S606" s="17" t="str">
        <f t="shared" si="102"/>
        <v>16 2 02 20550000</v>
      </c>
    </row>
    <row r="607" spans="1:19" s="17" customFormat="1" ht="15.75">
      <c r="A607" s="14"/>
      <c r="B607" s="132" t="s">
        <v>403</v>
      </c>
      <c r="C607" s="109" t="s">
        <v>394</v>
      </c>
      <c r="D607" s="108" t="s">
        <v>229</v>
      </c>
      <c r="E607" s="108" t="s">
        <v>62</v>
      </c>
      <c r="F607" s="108" t="s">
        <v>427</v>
      </c>
      <c r="G607" s="108" t="s">
        <v>404</v>
      </c>
      <c r="H607" s="126">
        <f>H608</f>
        <v>0</v>
      </c>
      <c r="I607" s="108">
        <v>1620220550</v>
      </c>
      <c r="J607" s="108" t="str">
        <f t="shared" si="116"/>
        <v>1620220550</v>
      </c>
      <c r="K607" s="132"/>
      <c r="M607" s="20">
        <v>2627.36</v>
      </c>
      <c r="N607" s="20">
        <v>2627.36</v>
      </c>
      <c r="O607" s="20">
        <v>2627.36</v>
      </c>
      <c r="P607" s="20">
        <f>H607-M607</f>
        <v>-2627.36</v>
      </c>
      <c r="Q607" s="20" t="e">
        <f>#REF!-N607</f>
        <v>#REF!</v>
      </c>
      <c r="R607" s="20" t="e">
        <f>#REF!-O607</f>
        <v>#REF!</v>
      </c>
      <c r="S607" s="17" t="str">
        <f t="shared" si="102"/>
        <v>16 2 02 20550610</v>
      </c>
    </row>
    <row r="608" spans="1:19" s="24" customFormat="1" ht="15.75">
      <c r="A608" s="21"/>
      <c r="B608" s="127" t="s">
        <v>407</v>
      </c>
      <c r="C608" s="109" t="s">
        <v>394</v>
      </c>
      <c r="D608" s="108" t="s">
        <v>229</v>
      </c>
      <c r="E608" s="108" t="s">
        <v>62</v>
      </c>
      <c r="F608" s="108" t="s">
        <v>427</v>
      </c>
      <c r="G608" s="108" t="s">
        <v>408</v>
      </c>
      <c r="H608" s="126"/>
      <c r="I608" s="108">
        <v>1620220550</v>
      </c>
      <c r="J608" s="108" t="str">
        <f t="shared" si="116"/>
        <v>1620220550</v>
      </c>
      <c r="K608" s="304" t="str">
        <f>C608&amp;D608&amp;E608&amp;J608&amp;G608</f>
        <v>60607021620220550612</v>
      </c>
      <c r="M608" s="22"/>
      <c r="N608" s="22"/>
      <c r="O608" s="22"/>
      <c r="P608" s="22"/>
      <c r="Q608" s="22"/>
      <c r="R608" s="22"/>
    </row>
    <row r="609" spans="1:19" s="17" customFormat="1" ht="15.75">
      <c r="A609" s="14"/>
      <c r="B609" s="132" t="s">
        <v>409</v>
      </c>
      <c r="C609" s="109" t="s">
        <v>394</v>
      </c>
      <c r="D609" s="108" t="s">
        <v>229</v>
      </c>
      <c r="E609" s="108" t="s">
        <v>62</v>
      </c>
      <c r="F609" s="108" t="s">
        <v>427</v>
      </c>
      <c r="G609" s="108" t="s">
        <v>410</v>
      </c>
      <c r="H609" s="126">
        <f>H610</f>
        <v>0</v>
      </c>
      <c r="I609" s="108">
        <v>1620220550</v>
      </c>
      <c r="J609" s="108" t="str">
        <f t="shared" si="116"/>
        <v>1620220550</v>
      </c>
      <c r="K609" s="132"/>
      <c r="M609" s="20">
        <v>148.69999999999999</v>
      </c>
      <c r="N609" s="20">
        <v>148.69999999999999</v>
      </c>
      <c r="O609" s="20">
        <v>148.69999999999999</v>
      </c>
      <c r="P609" s="20">
        <f>H609-M609</f>
        <v>-148.69999999999999</v>
      </c>
      <c r="Q609" s="20" t="e">
        <f>#REF!-N609</f>
        <v>#REF!</v>
      </c>
      <c r="R609" s="20" t="e">
        <f>#REF!-O609</f>
        <v>#REF!</v>
      </c>
      <c r="S609" s="17" t="str">
        <f t="shared" si="102"/>
        <v>16 2 02 20550620</v>
      </c>
    </row>
    <row r="610" spans="1:19" s="24" customFormat="1" ht="15.75">
      <c r="A610" s="21"/>
      <c r="B610" s="127" t="s">
        <v>428</v>
      </c>
      <c r="C610" s="109" t="s">
        <v>394</v>
      </c>
      <c r="D610" s="108" t="s">
        <v>229</v>
      </c>
      <c r="E610" s="108" t="s">
        <v>62</v>
      </c>
      <c r="F610" s="108" t="s">
        <v>427</v>
      </c>
      <c r="G610" s="108" t="s">
        <v>429</v>
      </c>
      <c r="H610" s="126"/>
      <c r="I610" s="108">
        <v>1620220550</v>
      </c>
      <c r="J610" s="108" t="str">
        <f t="shared" si="116"/>
        <v>1620220550</v>
      </c>
      <c r="K610" s="304" t="str">
        <f>C610&amp;D610&amp;E610&amp;J610&amp;G610</f>
        <v>60607021620220550622</v>
      </c>
      <c r="M610" s="22"/>
      <c r="N610" s="22"/>
      <c r="O610" s="22"/>
      <c r="P610" s="22"/>
      <c r="Q610" s="22"/>
      <c r="R610" s="22"/>
    </row>
    <row r="611" spans="1:19" s="17" customFormat="1" ht="47.25">
      <c r="A611" s="14"/>
      <c r="B611" s="125" t="s">
        <v>430</v>
      </c>
      <c r="C611" s="109" t="s">
        <v>394</v>
      </c>
      <c r="D611" s="108" t="s">
        <v>229</v>
      </c>
      <c r="E611" s="108" t="s">
        <v>62</v>
      </c>
      <c r="F611" s="108" t="s">
        <v>431</v>
      </c>
      <c r="G611" s="108" t="s">
        <v>9</v>
      </c>
      <c r="H611" s="126">
        <f t="shared" ref="H611:H612" si="117">H612</f>
        <v>0</v>
      </c>
      <c r="I611" s="108">
        <v>1700000000</v>
      </c>
      <c r="J611" s="108" t="str">
        <f t="shared" si="116"/>
        <v>1700000000</v>
      </c>
      <c r="K611" s="132"/>
      <c r="M611" s="20">
        <v>2538.87</v>
      </c>
      <c r="N611" s="20">
        <v>2538.87</v>
      </c>
      <c r="O611" s="20">
        <v>2538.87</v>
      </c>
      <c r="P611" s="20">
        <f>H611-M611</f>
        <v>-2538.87</v>
      </c>
      <c r="Q611" s="20" t="e">
        <f>#REF!-N611</f>
        <v>#REF!</v>
      </c>
      <c r="R611" s="20" t="e">
        <f>#REF!-O611</f>
        <v>#REF!</v>
      </c>
      <c r="S611" s="17" t="str">
        <f t="shared" si="102"/>
        <v>17 0 00 00000000</v>
      </c>
    </row>
    <row r="612" spans="1:19" s="17" customFormat="1" ht="47.25">
      <c r="A612" s="14"/>
      <c r="B612" s="129" t="s">
        <v>432</v>
      </c>
      <c r="C612" s="109" t="s">
        <v>394</v>
      </c>
      <c r="D612" s="108" t="s">
        <v>229</v>
      </c>
      <c r="E612" s="108" t="s">
        <v>62</v>
      </c>
      <c r="F612" s="108" t="s">
        <v>433</v>
      </c>
      <c r="G612" s="108" t="s">
        <v>9</v>
      </c>
      <c r="H612" s="126">
        <f t="shared" si="117"/>
        <v>0</v>
      </c>
      <c r="I612" s="108" t="s">
        <v>1198</v>
      </c>
      <c r="J612" s="108" t="str">
        <f t="shared" si="116"/>
        <v>17Б0000000</v>
      </c>
      <c r="K612" s="132"/>
      <c r="M612" s="20">
        <v>2538.87</v>
      </c>
      <c r="N612" s="20">
        <v>2538.87</v>
      </c>
      <c r="O612" s="20">
        <v>2538.87</v>
      </c>
      <c r="P612" s="20">
        <f>H612-M612</f>
        <v>-2538.87</v>
      </c>
      <c r="Q612" s="20" t="e">
        <f>#REF!-N612</f>
        <v>#REF!</v>
      </c>
      <c r="R612" s="20" t="e">
        <f>#REF!-O612</f>
        <v>#REF!</v>
      </c>
      <c r="S612" s="17" t="str">
        <f t="shared" si="102"/>
        <v>17 Б 00 00000000</v>
      </c>
    </row>
    <row r="613" spans="1:19" s="17" customFormat="1" ht="31.5">
      <c r="A613" s="14"/>
      <c r="B613" s="125" t="s">
        <v>434</v>
      </c>
      <c r="C613" s="109" t="s">
        <v>394</v>
      </c>
      <c r="D613" s="108" t="s">
        <v>229</v>
      </c>
      <c r="E613" s="108" t="s">
        <v>62</v>
      </c>
      <c r="F613" s="108" t="s">
        <v>435</v>
      </c>
      <c r="G613" s="108" t="s">
        <v>9</v>
      </c>
      <c r="H613" s="126">
        <f>H615</f>
        <v>0</v>
      </c>
      <c r="I613" s="108" t="s">
        <v>1199</v>
      </c>
      <c r="J613" s="108" t="str">
        <f t="shared" si="116"/>
        <v>17Б0100000</v>
      </c>
      <c r="K613" s="132"/>
      <c r="M613" s="20">
        <v>2538.87</v>
      </c>
      <c r="N613" s="20">
        <v>2538.87</v>
      </c>
      <c r="O613" s="20">
        <v>2538.87</v>
      </c>
      <c r="P613" s="20">
        <f>H613-M613</f>
        <v>-2538.87</v>
      </c>
      <c r="Q613" s="20" t="e">
        <f>#REF!-N613</f>
        <v>#REF!</v>
      </c>
      <c r="R613" s="20" t="e">
        <f>#REF!-O613</f>
        <v>#REF!</v>
      </c>
      <c r="S613" s="17" t="str">
        <f t="shared" ref="S613:S700" si="118">CONCATENATE(F613,G613)</f>
        <v>17 Б 01 00000000</v>
      </c>
    </row>
    <row r="614" spans="1:19" s="17" customFormat="1" ht="47.25">
      <c r="A614" s="14"/>
      <c r="B614" s="132" t="s">
        <v>436</v>
      </c>
      <c r="C614" s="109" t="s">
        <v>394</v>
      </c>
      <c r="D614" s="108" t="s">
        <v>229</v>
      </c>
      <c r="E614" s="108" t="s">
        <v>62</v>
      </c>
      <c r="F614" s="108" t="s">
        <v>437</v>
      </c>
      <c r="G614" s="108" t="s">
        <v>9</v>
      </c>
      <c r="H614" s="126">
        <f>H615</f>
        <v>0</v>
      </c>
      <c r="I614" s="108" t="s">
        <v>1200</v>
      </c>
      <c r="J614" s="108" t="str">
        <f t="shared" si="116"/>
        <v>17Б0120490</v>
      </c>
      <c r="K614" s="132"/>
      <c r="M614" s="20">
        <v>2538.87</v>
      </c>
      <c r="N614" s="20">
        <v>2538.87</v>
      </c>
      <c r="O614" s="20">
        <v>2538.87</v>
      </c>
      <c r="P614" s="20">
        <f>H614-M614</f>
        <v>-2538.87</v>
      </c>
      <c r="Q614" s="20" t="e">
        <f>#REF!-N614</f>
        <v>#REF!</v>
      </c>
      <c r="R614" s="20" t="e">
        <f>#REF!-O614</f>
        <v>#REF!</v>
      </c>
      <c r="S614" s="17" t="str">
        <f t="shared" si="118"/>
        <v>17 Б 01 20490000</v>
      </c>
    </row>
    <row r="615" spans="1:19" s="17" customFormat="1" ht="15.75">
      <c r="A615" s="14"/>
      <c r="B615" s="132" t="s">
        <v>403</v>
      </c>
      <c r="C615" s="109" t="s">
        <v>394</v>
      </c>
      <c r="D615" s="108" t="s">
        <v>229</v>
      </c>
      <c r="E615" s="108" t="s">
        <v>62</v>
      </c>
      <c r="F615" s="108" t="s">
        <v>437</v>
      </c>
      <c r="G615" s="108" t="s">
        <v>404</v>
      </c>
      <c r="H615" s="126">
        <f>H616</f>
        <v>0</v>
      </c>
      <c r="I615" s="108" t="s">
        <v>1200</v>
      </c>
      <c r="J615" s="108" t="str">
        <f t="shared" si="116"/>
        <v>17Б0120490</v>
      </c>
      <c r="K615" s="132"/>
      <c r="M615" s="20">
        <v>2538.87</v>
      </c>
      <c r="N615" s="20">
        <v>2538.87</v>
      </c>
      <c r="O615" s="20">
        <v>2538.87</v>
      </c>
      <c r="P615" s="20">
        <f>H615-M615</f>
        <v>-2538.87</v>
      </c>
      <c r="Q615" s="20" t="e">
        <f>#REF!-N615</f>
        <v>#REF!</v>
      </c>
      <c r="R615" s="20" t="e">
        <f>#REF!-O615</f>
        <v>#REF!</v>
      </c>
      <c r="S615" s="17" t="str">
        <f t="shared" si="118"/>
        <v>17 Б 01 20490610</v>
      </c>
    </row>
    <row r="616" spans="1:19" s="24" customFormat="1" ht="15.75">
      <c r="A616" s="21"/>
      <c r="B616" s="127" t="s">
        <v>407</v>
      </c>
      <c r="C616" s="109" t="s">
        <v>394</v>
      </c>
      <c r="D616" s="108" t="s">
        <v>229</v>
      </c>
      <c r="E616" s="108" t="s">
        <v>62</v>
      </c>
      <c r="F616" s="108" t="s">
        <v>437</v>
      </c>
      <c r="G616" s="108" t="s">
        <v>408</v>
      </c>
      <c r="H616" s="126"/>
      <c r="I616" s="108" t="s">
        <v>1200</v>
      </c>
      <c r="J616" s="108" t="str">
        <f t="shared" si="116"/>
        <v>17Б0120490</v>
      </c>
      <c r="K616" s="304" t="str">
        <f>C616&amp;D616&amp;E616&amp;J616&amp;G616</f>
        <v>606070217Б0120490612</v>
      </c>
      <c r="M616" s="22"/>
      <c r="N616" s="22"/>
      <c r="O616" s="22"/>
      <c r="P616" s="22"/>
      <c r="Q616" s="22"/>
      <c r="R616" s="22"/>
    </row>
    <row r="617" spans="1:19" s="17" customFormat="1" ht="31.5">
      <c r="A617" s="14"/>
      <c r="B617" s="132" t="s">
        <v>174</v>
      </c>
      <c r="C617" s="109" t="s">
        <v>394</v>
      </c>
      <c r="D617" s="108" t="s">
        <v>229</v>
      </c>
      <c r="E617" s="108" t="s">
        <v>62</v>
      </c>
      <c r="F617" s="108" t="s">
        <v>175</v>
      </c>
      <c r="G617" s="108" t="s">
        <v>9</v>
      </c>
      <c r="H617" s="126">
        <f t="shared" ref="H617:H620" si="119">H618</f>
        <v>0</v>
      </c>
      <c r="I617" s="108">
        <v>1800000000</v>
      </c>
      <c r="J617" s="108" t="str">
        <f t="shared" si="116"/>
        <v>1800000000</v>
      </c>
      <c r="K617" s="132"/>
      <c r="M617" s="20">
        <v>91.8</v>
      </c>
      <c r="N617" s="20">
        <v>91.8</v>
      </c>
      <c r="O617" s="20">
        <v>91.8</v>
      </c>
      <c r="P617" s="20">
        <f>H617-M617</f>
        <v>-91.8</v>
      </c>
      <c r="Q617" s="20" t="e">
        <f>#REF!-N617</f>
        <v>#REF!</v>
      </c>
      <c r="R617" s="20" t="e">
        <f>#REF!-O617</f>
        <v>#REF!</v>
      </c>
      <c r="S617" s="17" t="str">
        <f t="shared" si="118"/>
        <v>18 0 00 00000000</v>
      </c>
    </row>
    <row r="618" spans="1:19" s="17" customFormat="1" ht="31.5">
      <c r="A618" s="14"/>
      <c r="B618" s="132" t="s">
        <v>176</v>
      </c>
      <c r="C618" s="109" t="s">
        <v>394</v>
      </c>
      <c r="D618" s="108" t="s">
        <v>229</v>
      </c>
      <c r="E618" s="108" t="s">
        <v>62</v>
      </c>
      <c r="F618" s="108" t="s">
        <v>177</v>
      </c>
      <c r="G618" s="108" t="s">
        <v>9</v>
      </c>
      <c r="H618" s="126">
        <f t="shared" si="119"/>
        <v>0</v>
      </c>
      <c r="I618" s="108" t="s">
        <v>1167</v>
      </c>
      <c r="J618" s="108" t="str">
        <f t="shared" si="116"/>
        <v>18Б0000000</v>
      </c>
      <c r="K618" s="132"/>
      <c r="M618" s="20">
        <v>91.8</v>
      </c>
      <c r="N618" s="20">
        <v>91.8</v>
      </c>
      <c r="O618" s="20">
        <v>91.8</v>
      </c>
      <c r="P618" s="20">
        <f>H618-M618</f>
        <v>-91.8</v>
      </c>
      <c r="Q618" s="20" t="e">
        <f>#REF!-N618</f>
        <v>#REF!</v>
      </c>
      <c r="R618" s="20" t="e">
        <f>#REF!-O618</f>
        <v>#REF!</v>
      </c>
      <c r="S618" s="17" t="str">
        <f t="shared" si="118"/>
        <v>18 Б 00 00000000</v>
      </c>
    </row>
    <row r="619" spans="1:19" s="17" customFormat="1" ht="78.75">
      <c r="A619" s="14"/>
      <c r="B619" s="125" t="s">
        <v>454</v>
      </c>
      <c r="C619" s="109" t="s">
        <v>394</v>
      </c>
      <c r="D619" s="108" t="s">
        <v>229</v>
      </c>
      <c r="E619" s="108" t="s">
        <v>62</v>
      </c>
      <c r="F619" s="108" t="s">
        <v>455</v>
      </c>
      <c r="G619" s="108" t="s">
        <v>9</v>
      </c>
      <c r="H619" s="126">
        <f t="shared" si="119"/>
        <v>0</v>
      </c>
      <c r="I619" s="108" t="s">
        <v>1204</v>
      </c>
      <c r="J619" s="108" t="str">
        <f t="shared" si="116"/>
        <v>18Б0200000</v>
      </c>
      <c r="K619" s="132"/>
      <c r="M619" s="20">
        <v>91.8</v>
      </c>
      <c r="N619" s="20">
        <v>91.8</v>
      </c>
      <c r="O619" s="20">
        <v>91.8</v>
      </c>
      <c r="P619" s="20">
        <f>H619-M619</f>
        <v>-91.8</v>
      </c>
      <c r="Q619" s="20" t="e">
        <f>#REF!-N619</f>
        <v>#REF!</v>
      </c>
      <c r="R619" s="20" t="e">
        <f>#REF!-O619</f>
        <v>#REF!</v>
      </c>
      <c r="S619" s="17" t="str">
        <f t="shared" si="118"/>
        <v>18 Б 02 00000000</v>
      </c>
    </row>
    <row r="620" spans="1:19" s="17" customFormat="1" ht="47.25">
      <c r="A620" s="14"/>
      <c r="B620" s="125" t="s">
        <v>456</v>
      </c>
      <c r="C620" s="109" t="s">
        <v>394</v>
      </c>
      <c r="D620" s="108" t="s">
        <v>229</v>
      </c>
      <c r="E620" s="108" t="s">
        <v>62</v>
      </c>
      <c r="F620" s="108" t="s">
        <v>457</v>
      </c>
      <c r="G620" s="108" t="s">
        <v>9</v>
      </c>
      <c r="H620" s="126">
        <f t="shared" si="119"/>
        <v>0</v>
      </c>
      <c r="I620" s="108" t="s">
        <v>1205</v>
      </c>
      <c r="J620" s="108" t="str">
        <f t="shared" si="116"/>
        <v>18Б0220360</v>
      </c>
      <c r="K620" s="132"/>
      <c r="M620" s="20">
        <v>91.8</v>
      </c>
      <c r="N620" s="20">
        <v>91.8</v>
      </c>
      <c r="O620" s="20">
        <v>91.8</v>
      </c>
      <c r="P620" s="20">
        <f>H620-M620</f>
        <v>-91.8</v>
      </c>
      <c r="Q620" s="20" t="e">
        <f>#REF!-N620</f>
        <v>#REF!</v>
      </c>
      <c r="R620" s="20" t="e">
        <f>#REF!-O620</f>
        <v>#REF!</v>
      </c>
      <c r="S620" s="17" t="str">
        <f t="shared" si="118"/>
        <v>18 Б 02 20360000</v>
      </c>
    </row>
    <row r="621" spans="1:19" s="17" customFormat="1" ht="15.75">
      <c r="A621" s="14"/>
      <c r="B621" s="132" t="s">
        <v>403</v>
      </c>
      <c r="C621" s="109" t="s">
        <v>394</v>
      </c>
      <c r="D621" s="108" t="s">
        <v>229</v>
      </c>
      <c r="E621" s="108" t="s">
        <v>62</v>
      </c>
      <c r="F621" s="108" t="s">
        <v>457</v>
      </c>
      <c r="G621" s="108" t="s">
        <v>404</v>
      </c>
      <c r="H621" s="126">
        <f>H622</f>
        <v>0</v>
      </c>
      <c r="I621" s="108" t="s">
        <v>1205</v>
      </c>
      <c r="J621" s="108" t="str">
        <f t="shared" si="116"/>
        <v>18Б0220360</v>
      </c>
      <c r="K621" s="132"/>
      <c r="M621" s="20">
        <v>91.8</v>
      </c>
      <c r="N621" s="20">
        <v>91.8</v>
      </c>
      <c r="O621" s="20">
        <v>91.8</v>
      </c>
      <c r="P621" s="20">
        <f>H621-M621</f>
        <v>-91.8</v>
      </c>
      <c r="Q621" s="20" t="e">
        <f>#REF!-N621</f>
        <v>#REF!</v>
      </c>
      <c r="R621" s="20" t="e">
        <f>#REF!-O621</f>
        <v>#REF!</v>
      </c>
      <c r="S621" s="17" t="str">
        <f t="shared" si="118"/>
        <v>18 Б 02 20360610</v>
      </c>
    </row>
    <row r="622" spans="1:19" s="24" customFormat="1" ht="15.75">
      <c r="A622" s="21"/>
      <c r="B622" s="127" t="s">
        <v>407</v>
      </c>
      <c r="C622" s="109" t="s">
        <v>394</v>
      </c>
      <c r="D622" s="108" t="s">
        <v>229</v>
      </c>
      <c r="E622" s="108" t="s">
        <v>62</v>
      </c>
      <c r="F622" s="108" t="s">
        <v>457</v>
      </c>
      <c r="G622" s="108" t="s">
        <v>408</v>
      </c>
      <c r="H622" s="126"/>
      <c r="I622" s="108" t="s">
        <v>1205</v>
      </c>
      <c r="J622" s="108" t="str">
        <f t="shared" si="116"/>
        <v>18Б0220360</v>
      </c>
      <c r="K622" s="304" t="str">
        <f>C622&amp;D622&amp;E622&amp;J622&amp;G622</f>
        <v>606070218Б0220360612</v>
      </c>
      <c r="M622" s="22"/>
      <c r="N622" s="22"/>
      <c r="O622" s="22"/>
      <c r="P622" s="22"/>
      <c r="Q622" s="22"/>
      <c r="R622" s="22"/>
    </row>
    <row r="623" spans="1:19" s="17" customFormat="1" ht="15.75">
      <c r="A623" s="14"/>
      <c r="B623" s="121" t="s">
        <v>458</v>
      </c>
      <c r="C623" s="122" t="s">
        <v>394</v>
      </c>
      <c r="D623" s="123" t="s">
        <v>229</v>
      </c>
      <c r="E623" s="123" t="s">
        <v>13</v>
      </c>
      <c r="F623" s="123" t="s">
        <v>8</v>
      </c>
      <c r="G623" s="123" t="s">
        <v>9</v>
      </c>
      <c r="H623" s="124">
        <f>H624+H652+H636</f>
        <v>0</v>
      </c>
      <c r="I623" s="123">
        <v>0</v>
      </c>
      <c r="J623" s="123" t="str">
        <f t="shared" si="116"/>
        <v>0000000000</v>
      </c>
      <c r="K623" s="132"/>
      <c r="M623" s="19">
        <v>198508.06</v>
      </c>
      <c r="N623" s="19">
        <v>196366.84</v>
      </c>
      <c r="O623" s="19">
        <v>196366.84</v>
      </c>
      <c r="P623" s="19">
        <f t="shared" ref="P623:P628" si="120">H623-M623</f>
        <v>-198508.06</v>
      </c>
      <c r="Q623" s="19" t="e">
        <f>#REF!-N623</f>
        <v>#REF!</v>
      </c>
      <c r="R623" s="19" t="e">
        <f>#REF!-O623</f>
        <v>#REF!</v>
      </c>
      <c r="S623" s="17" t="str">
        <f t="shared" si="118"/>
        <v>00 0 00 00000000</v>
      </c>
    </row>
    <row r="624" spans="1:19" s="17" customFormat="1" ht="31.5">
      <c r="A624" s="14"/>
      <c r="B624" s="132" t="s">
        <v>396</v>
      </c>
      <c r="C624" s="109" t="s">
        <v>394</v>
      </c>
      <c r="D624" s="108" t="s">
        <v>229</v>
      </c>
      <c r="E624" s="108" t="s">
        <v>13</v>
      </c>
      <c r="F624" s="108" t="s">
        <v>397</v>
      </c>
      <c r="G624" s="108" t="s">
        <v>9</v>
      </c>
      <c r="H624" s="126">
        <f>H625</f>
        <v>0</v>
      </c>
      <c r="I624" s="108">
        <v>100000000</v>
      </c>
      <c r="J624" s="108" t="str">
        <f t="shared" si="116"/>
        <v>0100000000</v>
      </c>
      <c r="K624" s="132"/>
      <c r="M624" s="20">
        <v>197128.16</v>
      </c>
      <c r="N624" s="20">
        <v>195886.94</v>
      </c>
      <c r="O624" s="20">
        <v>195886.94</v>
      </c>
      <c r="P624" s="20">
        <f t="shared" si="120"/>
        <v>-197128.16</v>
      </c>
      <c r="Q624" s="20" t="e">
        <f>#REF!-N624</f>
        <v>#REF!</v>
      </c>
      <c r="R624" s="20" t="e">
        <f>#REF!-O624</f>
        <v>#REF!</v>
      </c>
      <c r="S624" s="17" t="str">
        <f t="shared" si="118"/>
        <v>01 0 00 00000000</v>
      </c>
    </row>
    <row r="625" spans="1:19" s="17" customFormat="1" ht="31.5">
      <c r="A625" s="14"/>
      <c r="B625" s="132" t="s">
        <v>398</v>
      </c>
      <c r="C625" s="109" t="s">
        <v>394</v>
      </c>
      <c r="D625" s="108" t="s">
        <v>229</v>
      </c>
      <c r="E625" s="108" t="s">
        <v>13</v>
      </c>
      <c r="F625" s="108" t="s">
        <v>399</v>
      </c>
      <c r="G625" s="108" t="s">
        <v>9</v>
      </c>
      <c r="H625" s="126">
        <f>H626+H632</f>
        <v>0</v>
      </c>
      <c r="I625" s="108">
        <v>110000000</v>
      </c>
      <c r="J625" s="108" t="str">
        <f t="shared" si="116"/>
        <v>0110000000</v>
      </c>
      <c r="K625" s="132"/>
      <c r="M625" s="20">
        <v>197128.16</v>
      </c>
      <c r="N625" s="20">
        <v>195886.94</v>
      </c>
      <c r="O625" s="20">
        <v>195886.94</v>
      </c>
      <c r="P625" s="20">
        <f t="shared" si="120"/>
        <v>-197128.16</v>
      </c>
      <c r="Q625" s="20" t="e">
        <f>#REF!-N625</f>
        <v>#REF!</v>
      </c>
      <c r="R625" s="20" t="e">
        <f>#REF!-O625</f>
        <v>#REF!</v>
      </c>
      <c r="S625" s="17" t="str">
        <f t="shared" si="118"/>
        <v>01 1 00 00000000</v>
      </c>
    </row>
    <row r="626" spans="1:19" s="17" customFormat="1" ht="47.25">
      <c r="A626" s="14"/>
      <c r="B626" s="129" t="s">
        <v>459</v>
      </c>
      <c r="C626" s="130" t="s">
        <v>394</v>
      </c>
      <c r="D626" s="131" t="s">
        <v>229</v>
      </c>
      <c r="E626" s="131" t="s">
        <v>13</v>
      </c>
      <c r="F626" s="131" t="s">
        <v>460</v>
      </c>
      <c r="G626" s="131" t="s">
        <v>9</v>
      </c>
      <c r="H626" s="105">
        <f>H627</f>
        <v>0</v>
      </c>
      <c r="I626" s="131">
        <v>110300000</v>
      </c>
      <c r="J626" s="131" t="str">
        <f t="shared" si="116"/>
        <v>0110300000</v>
      </c>
      <c r="K626" s="132"/>
      <c r="M626" s="26">
        <v>196878.16</v>
      </c>
      <c r="N626" s="26">
        <v>195886.94</v>
      </c>
      <c r="O626" s="26">
        <v>195886.94</v>
      </c>
      <c r="P626" s="26">
        <f t="shared" si="120"/>
        <v>-196878.16</v>
      </c>
      <c r="Q626" s="26" t="e">
        <f>#REF!-N626</f>
        <v>#REF!</v>
      </c>
      <c r="R626" s="26" t="e">
        <f>#REF!-O626</f>
        <v>#REF!</v>
      </c>
      <c r="S626" s="17" t="str">
        <f t="shared" si="118"/>
        <v>01 1 03 00000000</v>
      </c>
    </row>
    <row r="627" spans="1:19" s="17" customFormat="1" ht="31.5">
      <c r="A627" s="14"/>
      <c r="B627" s="140" t="s">
        <v>136</v>
      </c>
      <c r="C627" s="130" t="s">
        <v>394</v>
      </c>
      <c r="D627" s="131" t="s">
        <v>229</v>
      </c>
      <c r="E627" s="131" t="s">
        <v>13</v>
      </c>
      <c r="F627" s="131" t="s">
        <v>461</v>
      </c>
      <c r="G627" s="131" t="s">
        <v>9</v>
      </c>
      <c r="H627" s="105">
        <f>H628+H630</f>
        <v>0</v>
      </c>
      <c r="I627" s="131">
        <v>110311010</v>
      </c>
      <c r="J627" s="131" t="str">
        <f t="shared" si="116"/>
        <v>0110311010</v>
      </c>
      <c r="K627" s="132"/>
      <c r="M627" s="26">
        <v>196878.16</v>
      </c>
      <c r="N627" s="26">
        <v>195886.94</v>
      </c>
      <c r="O627" s="26">
        <v>195886.94</v>
      </c>
      <c r="P627" s="26">
        <f t="shared" si="120"/>
        <v>-196878.16</v>
      </c>
      <c r="Q627" s="26" t="e">
        <f>#REF!-N627</f>
        <v>#REF!</v>
      </c>
      <c r="R627" s="26" t="e">
        <f>#REF!-O627</f>
        <v>#REF!</v>
      </c>
      <c r="S627" s="17" t="str">
        <f t="shared" si="118"/>
        <v>01 1 03 11010000</v>
      </c>
    </row>
    <row r="628" spans="1:19" s="17" customFormat="1" ht="15.75">
      <c r="A628" s="14"/>
      <c r="B628" s="140" t="s">
        <v>403</v>
      </c>
      <c r="C628" s="130" t="s">
        <v>394</v>
      </c>
      <c r="D628" s="131" t="s">
        <v>229</v>
      </c>
      <c r="E628" s="131" t="s">
        <v>13</v>
      </c>
      <c r="F628" s="131" t="s">
        <v>461</v>
      </c>
      <c r="G628" s="131" t="s">
        <v>404</v>
      </c>
      <c r="H628" s="126">
        <f>H629</f>
        <v>0</v>
      </c>
      <c r="I628" s="131">
        <v>110311010</v>
      </c>
      <c r="J628" s="131" t="str">
        <f t="shared" si="116"/>
        <v>0110311010</v>
      </c>
      <c r="K628" s="132"/>
      <c r="M628" s="20">
        <v>177710.54</v>
      </c>
      <c r="N628" s="20">
        <v>176969.32</v>
      </c>
      <c r="O628" s="20">
        <v>176969.32</v>
      </c>
      <c r="P628" s="20">
        <f t="shared" si="120"/>
        <v>-177710.54</v>
      </c>
      <c r="Q628" s="20" t="e">
        <f>#REF!-N628</f>
        <v>#REF!</v>
      </c>
      <c r="R628" s="20" t="e">
        <f>#REF!-O628</f>
        <v>#REF!</v>
      </c>
      <c r="S628" s="17" t="str">
        <f t="shared" si="118"/>
        <v>01 1 03 11010610</v>
      </c>
    </row>
    <row r="629" spans="1:19" s="24" customFormat="1" ht="63">
      <c r="A629" s="21"/>
      <c r="B629" s="127" t="s">
        <v>405</v>
      </c>
      <c r="C629" s="130" t="s">
        <v>394</v>
      </c>
      <c r="D629" s="131" t="s">
        <v>229</v>
      </c>
      <c r="E629" s="131" t="s">
        <v>13</v>
      </c>
      <c r="F629" s="131" t="s">
        <v>461</v>
      </c>
      <c r="G629" s="108" t="s">
        <v>406</v>
      </c>
      <c r="H629" s="126"/>
      <c r="I629" s="131">
        <v>110311010</v>
      </c>
      <c r="J629" s="131" t="str">
        <f t="shared" si="116"/>
        <v>0110311010</v>
      </c>
      <c r="K629" s="304" t="str">
        <f>C629&amp;D629&amp;E629&amp;J629&amp;G629</f>
        <v>60607030110311010611</v>
      </c>
      <c r="M629" s="22"/>
      <c r="N629" s="22"/>
      <c r="O629" s="22"/>
      <c r="P629" s="22"/>
      <c r="Q629" s="22"/>
      <c r="R629" s="22"/>
    </row>
    <row r="630" spans="1:19" s="17" customFormat="1" ht="15.75">
      <c r="A630" s="14"/>
      <c r="B630" s="140" t="s">
        <v>409</v>
      </c>
      <c r="C630" s="130" t="s">
        <v>394</v>
      </c>
      <c r="D630" s="131" t="s">
        <v>229</v>
      </c>
      <c r="E630" s="131" t="s">
        <v>13</v>
      </c>
      <c r="F630" s="131" t="s">
        <v>461</v>
      </c>
      <c r="G630" s="131" t="s">
        <v>410</v>
      </c>
      <c r="H630" s="126">
        <f>H631</f>
        <v>0</v>
      </c>
      <c r="I630" s="131">
        <v>110311010</v>
      </c>
      <c r="J630" s="131" t="str">
        <f t="shared" si="116"/>
        <v>0110311010</v>
      </c>
      <c r="K630" s="132"/>
      <c r="M630" s="20">
        <v>19167.62</v>
      </c>
      <c r="N630" s="20">
        <v>18917.62</v>
      </c>
      <c r="O630" s="20">
        <v>18917.62</v>
      </c>
      <c r="P630" s="20">
        <f>H630-M630</f>
        <v>-19167.62</v>
      </c>
      <c r="Q630" s="20" t="e">
        <f>#REF!-N630</f>
        <v>#REF!</v>
      </c>
      <c r="R630" s="20" t="e">
        <f>#REF!-O630</f>
        <v>#REF!</v>
      </c>
      <c r="S630" s="17" t="str">
        <f t="shared" si="118"/>
        <v>01 1 03 11010620</v>
      </c>
    </row>
    <row r="631" spans="1:19" s="24" customFormat="1" ht="63">
      <c r="A631" s="21"/>
      <c r="B631" s="127" t="s">
        <v>411</v>
      </c>
      <c r="C631" s="130" t="s">
        <v>394</v>
      </c>
      <c r="D631" s="131" t="s">
        <v>229</v>
      </c>
      <c r="E631" s="131" t="s">
        <v>13</v>
      </c>
      <c r="F631" s="131" t="s">
        <v>461</v>
      </c>
      <c r="G631" s="108" t="s">
        <v>412</v>
      </c>
      <c r="H631" s="126"/>
      <c r="I631" s="131">
        <v>110311010</v>
      </c>
      <c r="J631" s="131" t="str">
        <f t="shared" si="116"/>
        <v>0110311010</v>
      </c>
      <c r="K631" s="304" t="str">
        <f>C631&amp;D631&amp;E631&amp;J631&amp;G631</f>
        <v>60607030110311010621</v>
      </c>
      <c r="M631" s="22"/>
      <c r="N631" s="22"/>
      <c r="O631" s="22"/>
      <c r="P631" s="22"/>
      <c r="Q631" s="22"/>
      <c r="R631" s="22"/>
    </row>
    <row r="632" spans="1:19" s="17" customFormat="1" ht="78.75">
      <c r="A632" s="14"/>
      <c r="B632" s="125" t="s">
        <v>417</v>
      </c>
      <c r="C632" s="109" t="s">
        <v>394</v>
      </c>
      <c r="D632" s="108" t="s">
        <v>229</v>
      </c>
      <c r="E632" s="131" t="s">
        <v>13</v>
      </c>
      <c r="F632" s="108" t="s">
        <v>418</v>
      </c>
      <c r="G632" s="108" t="s">
        <v>9</v>
      </c>
      <c r="H632" s="126">
        <f>H633</f>
        <v>0</v>
      </c>
      <c r="I632" s="108">
        <v>110600000</v>
      </c>
      <c r="J632" s="108" t="str">
        <f t="shared" si="116"/>
        <v>0110600000</v>
      </c>
      <c r="K632" s="132"/>
      <c r="M632" s="20">
        <v>250</v>
      </c>
      <c r="N632" s="20">
        <v>0</v>
      </c>
      <c r="O632" s="20">
        <v>0</v>
      </c>
      <c r="P632" s="20">
        <f>H632-M632</f>
        <v>-250</v>
      </c>
      <c r="Q632" s="20" t="e">
        <f>#REF!-N632</f>
        <v>#REF!</v>
      </c>
      <c r="R632" s="20" t="e">
        <f>#REF!-O632</f>
        <v>#REF!</v>
      </c>
      <c r="S632" s="17" t="str">
        <f t="shared" si="118"/>
        <v>01 1 06 00000000</v>
      </c>
    </row>
    <row r="633" spans="1:19" s="17" customFormat="1" ht="47.25">
      <c r="A633" s="14"/>
      <c r="B633" s="132" t="s">
        <v>462</v>
      </c>
      <c r="C633" s="109" t="s">
        <v>394</v>
      </c>
      <c r="D633" s="108" t="s">
        <v>229</v>
      </c>
      <c r="E633" s="131" t="s">
        <v>13</v>
      </c>
      <c r="F633" s="108" t="s">
        <v>463</v>
      </c>
      <c r="G633" s="108" t="s">
        <v>9</v>
      </c>
      <c r="H633" s="126">
        <f>H634</f>
        <v>0</v>
      </c>
      <c r="I633" s="108" t="s">
        <v>1206</v>
      </c>
      <c r="J633" s="108" t="str">
        <f t="shared" si="116"/>
        <v>01106S6690</v>
      </c>
      <c r="K633" s="132"/>
      <c r="M633" s="20">
        <v>250</v>
      </c>
      <c r="N633" s="20">
        <v>0</v>
      </c>
      <c r="O633" s="20">
        <v>0</v>
      </c>
      <c r="P633" s="20">
        <f>H633-M633</f>
        <v>-250</v>
      </c>
      <c r="Q633" s="20" t="e">
        <f>#REF!-N633</f>
        <v>#REF!</v>
      </c>
      <c r="R633" s="20" t="e">
        <f>#REF!-O633</f>
        <v>#REF!</v>
      </c>
      <c r="S633" s="17" t="str">
        <f t="shared" si="118"/>
        <v>01 1 06 S6690000</v>
      </c>
    </row>
    <row r="634" spans="1:19" s="17" customFormat="1" ht="15.75">
      <c r="A634" s="14"/>
      <c r="B634" s="132" t="s">
        <v>403</v>
      </c>
      <c r="C634" s="109" t="s">
        <v>394</v>
      </c>
      <c r="D634" s="108" t="s">
        <v>229</v>
      </c>
      <c r="E634" s="131" t="s">
        <v>13</v>
      </c>
      <c r="F634" s="108" t="s">
        <v>463</v>
      </c>
      <c r="G634" s="108" t="s">
        <v>404</v>
      </c>
      <c r="H634" s="126">
        <f>H635</f>
        <v>0</v>
      </c>
      <c r="I634" s="108" t="s">
        <v>1206</v>
      </c>
      <c r="J634" s="108" t="str">
        <f t="shared" si="116"/>
        <v>01106S6690</v>
      </c>
      <c r="K634" s="132"/>
      <c r="M634" s="20">
        <v>250</v>
      </c>
      <c r="N634" s="20">
        <v>0</v>
      </c>
      <c r="O634" s="20">
        <v>0</v>
      </c>
      <c r="P634" s="20">
        <f>H634-M634</f>
        <v>-250</v>
      </c>
      <c r="Q634" s="20" t="e">
        <f>#REF!-N634</f>
        <v>#REF!</v>
      </c>
      <c r="R634" s="20" t="e">
        <f>#REF!-O634</f>
        <v>#REF!</v>
      </c>
      <c r="S634" s="17" t="str">
        <f t="shared" si="118"/>
        <v>01 1 06 S6690610</v>
      </c>
    </row>
    <row r="635" spans="1:19" s="24" customFormat="1" ht="15.75">
      <c r="A635" s="21"/>
      <c r="B635" s="127" t="s">
        <v>407</v>
      </c>
      <c r="C635" s="109" t="s">
        <v>394</v>
      </c>
      <c r="D635" s="108" t="s">
        <v>229</v>
      </c>
      <c r="E635" s="131" t="s">
        <v>13</v>
      </c>
      <c r="F635" s="108" t="s">
        <v>463</v>
      </c>
      <c r="G635" s="108" t="s">
        <v>408</v>
      </c>
      <c r="H635" s="126"/>
      <c r="I635" s="108" t="s">
        <v>1206</v>
      </c>
      <c r="J635" s="108" t="str">
        <f t="shared" si="116"/>
        <v>01106S6690</v>
      </c>
      <c r="K635" s="304" t="str">
        <f>C635&amp;D635&amp;E635&amp;J635&amp;G635</f>
        <v>606070301106S6690612</v>
      </c>
      <c r="M635" s="22"/>
      <c r="N635" s="22"/>
      <c r="O635" s="22"/>
      <c r="P635" s="22"/>
      <c r="Q635" s="22"/>
      <c r="R635" s="22"/>
    </row>
    <row r="636" spans="1:19" s="17" customFormat="1" ht="47.25">
      <c r="A636" s="14"/>
      <c r="B636" s="127" t="s">
        <v>146</v>
      </c>
      <c r="C636" s="109" t="s">
        <v>394</v>
      </c>
      <c r="D636" s="108" t="s">
        <v>229</v>
      </c>
      <c r="E636" s="131" t="s">
        <v>13</v>
      </c>
      <c r="F636" s="108" t="s">
        <v>147</v>
      </c>
      <c r="G636" s="108" t="s">
        <v>9</v>
      </c>
      <c r="H636" s="126">
        <f>H647+H642+H637</f>
        <v>0</v>
      </c>
      <c r="I636" s="108">
        <v>1500000000</v>
      </c>
      <c r="J636" s="108" t="str">
        <f t="shared" si="116"/>
        <v>1500000000</v>
      </c>
      <c r="K636" s="132"/>
      <c r="M636" s="20">
        <v>1020</v>
      </c>
      <c r="N636" s="20">
        <v>120</v>
      </c>
      <c r="O636" s="20">
        <v>120</v>
      </c>
      <c r="P636" s="20">
        <f>H636-M636</f>
        <v>-1020</v>
      </c>
      <c r="Q636" s="20" t="e">
        <f>#REF!-N636</f>
        <v>#REF!</v>
      </c>
      <c r="R636" s="20" t="e">
        <f>#REF!-O636</f>
        <v>#REF!</v>
      </c>
      <c r="S636" s="17" t="str">
        <f t="shared" si="118"/>
        <v>15 0 00 00000000</v>
      </c>
    </row>
    <row r="637" spans="1:19" s="17" customFormat="1" ht="47.25">
      <c r="A637" s="14"/>
      <c r="B637" s="125" t="s">
        <v>1065</v>
      </c>
      <c r="C637" s="109" t="s">
        <v>394</v>
      </c>
      <c r="D637" s="108" t="s">
        <v>229</v>
      </c>
      <c r="E637" s="131" t="s">
        <v>13</v>
      </c>
      <c r="F637" s="108" t="s">
        <v>149</v>
      </c>
      <c r="G637" s="108" t="s">
        <v>9</v>
      </c>
      <c r="H637" s="126">
        <f>H638</f>
        <v>0</v>
      </c>
      <c r="I637" s="108">
        <v>1510000000</v>
      </c>
      <c r="J637" s="108" t="str">
        <f t="shared" si="116"/>
        <v>1510000000</v>
      </c>
      <c r="K637" s="132"/>
      <c r="M637" s="20">
        <v>900</v>
      </c>
      <c r="N637" s="20">
        <v>0</v>
      </c>
      <c r="O637" s="20">
        <v>0</v>
      </c>
      <c r="P637" s="20">
        <f>H637-M637</f>
        <v>-900</v>
      </c>
      <c r="Q637" s="20" t="e">
        <f>#REF!-N637</f>
        <v>#REF!</v>
      </c>
      <c r="R637" s="20" t="e">
        <f>#REF!-O637</f>
        <v>#REF!</v>
      </c>
      <c r="S637" s="17" t="str">
        <f t="shared" si="118"/>
        <v>15 1 00 00000000</v>
      </c>
    </row>
    <row r="638" spans="1:19" s="17" customFormat="1" ht="63">
      <c r="A638" s="14"/>
      <c r="B638" s="132" t="s">
        <v>1068</v>
      </c>
      <c r="C638" s="109" t="s">
        <v>394</v>
      </c>
      <c r="D638" s="108" t="s">
        <v>229</v>
      </c>
      <c r="E638" s="131" t="s">
        <v>13</v>
      </c>
      <c r="F638" s="108" t="s">
        <v>1069</v>
      </c>
      <c r="G638" s="108" t="s">
        <v>9</v>
      </c>
      <c r="H638" s="126">
        <f>H639</f>
        <v>0</v>
      </c>
      <c r="I638" s="108">
        <v>1510400000</v>
      </c>
      <c r="J638" s="108" t="str">
        <f t="shared" si="116"/>
        <v>1510400000</v>
      </c>
      <c r="K638" s="132"/>
      <c r="M638" s="20">
        <v>900</v>
      </c>
      <c r="N638" s="20">
        <v>0</v>
      </c>
      <c r="O638" s="20">
        <v>0</v>
      </c>
      <c r="P638" s="20">
        <f>H638-M638</f>
        <v>-900</v>
      </c>
      <c r="Q638" s="20" t="e">
        <f>#REF!-N638</f>
        <v>#REF!</v>
      </c>
      <c r="R638" s="20" t="e">
        <f>#REF!-O638</f>
        <v>#REF!</v>
      </c>
      <c r="S638" s="17" t="str">
        <f t="shared" si="118"/>
        <v>15 1 04 00000000</v>
      </c>
    </row>
    <row r="639" spans="1:19" s="17" customFormat="1" ht="47.25">
      <c r="A639" s="14"/>
      <c r="B639" s="132" t="s">
        <v>152</v>
      </c>
      <c r="C639" s="109" t="s">
        <v>394</v>
      </c>
      <c r="D639" s="108" t="s">
        <v>229</v>
      </c>
      <c r="E639" s="131" t="s">
        <v>13</v>
      </c>
      <c r="F639" s="108" t="s">
        <v>1070</v>
      </c>
      <c r="G639" s="108" t="s">
        <v>9</v>
      </c>
      <c r="H639" s="126">
        <f>H640</f>
        <v>0</v>
      </c>
      <c r="I639" s="108">
        <v>1510420350</v>
      </c>
      <c r="J639" s="108" t="str">
        <f t="shared" si="116"/>
        <v>1510420350</v>
      </c>
      <c r="K639" s="132"/>
      <c r="M639" s="20">
        <v>900</v>
      </c>
      <c r="N639" s="20">
        <v>0</v>
      </c>
      <c r="O639" s="20">
        <v>0</v>
      </c>
      <c r="P639" s="20">
        <f>H639-M639</f>
        <v>-900</v>
      </c>
      <c r="Q639" s="20" t="e">
        <f>#REF!-N639</f>
        <v>#REF!</v>
      </c>
      <c r="R639" s="20" t="e">
        <f>#REF!-O639</f>
        <v>#REF!</v>
      </c>
      <c r="S639" s="17" t="str">
        <f t="shared" si="118"/>
        <v>15 1 04 20350000</v>
      </c>
    </row>
    <row r="640" spans="1:19" s="17" customFormat="1" ht="15.75">
      <c r="A640" s="14"/>
      <c r="B640" s="132" t="s">
        <v>403</v>
      </c>
      <c r="C640" s="109" t="s">
        <v>394</v>
      </c>
      <c r="D640" s="108" t="s">
        <v>229</v>
      </c>
      <c r="E640" s="131" t="s">
        <v>13</v>
      </c>
      <c r="F640" s="108" t="s">
        <v>1070</v>
      </c>
      <c r="G640" s="108" t="s">
        <v>404</v>
      </c>
      <c r="H640" s="126">
        <f>H641</f>
        <v>0</v>
      </c>
      <c r="I640" s="108">
        <v>1510420350</v>
      </c>
      <c r="J640" s="108" t="str">
        <f t="shared" si="116"/>
        <v>1510420350</v>
      </c>
      <c r="K640" s="132"/>
      <c r="M640" s="20">
        <v>900</v>
      </c>
      <c r="N640" s="20">
        <v>0</v>
      </c>
      <c r="O640" s="20">
        <v>0</v>
      </c>
      <c r="P640" s="20">
        <f>H640-M640</f>
        <v>-900</v>
      </c>
      <c r="Q640" s="20" t="e">
        <f>#REF!-N640</f>
        <v>#REF!</v>
      </c>
      <c r="R640" s="20" t="e">
        <f>#REF!-O640</f>
        <v>#REF!</v>
      </c>
      <c r="S640" s="17" t="str">
        <f t="shared" si="118"/>
        <v>15 1 04 20350610</v>
      </c>
    </row>
    <row r="641" spans="1:19" s="24" customFormat="1" ht="15.75">
      <c r="A641" s="21"/>
      <c r="B641" s="125" t="s">
        <v>407</v>
      </c>
      <c r="C641" s="109" t="s">
        <v>394</v>
      </c>
      <c r="D641" s="108" t="s">
        <v>229</v>
      </c>
      <c r="E641" s="131" t="s">
        <v>13</v>
      </c>
      <c r="F641" s="108" t="s">
        <v>1070</v>
      </c>
      <c r="G641" s="108" t="s">
        <v>408</v>
      </c>
      <c r="H641" s="126"/>
      <c r="I641" s="108">
        <v>1510420350</v>
      </c>
      <c r="J641" s="108" t="str">
        <f t="shared" si="116"/>
        <v>1510420350</v>
      </c>
      <c r="K641" s="304" t="str">
        <f>C641&amp;D641&amp;E641&amp;J641&amp;G641</f>
        <v>60607031510420350612</v>
      </c>
      <c r="M641" s="22"/>
      <c r="N641" s="22"/>
      <c r="O641" s="22"/>
      <c r="P641" s="22"/>
      <c r="Q641" s="22"/>
      <c r="R641" s="22"/>
    </row>
    <row r="642" spans="1:19" s="17" customFormat="1" ht="15.75">
      <c r="A642" s="14"/>
      <c r="B642" s="127" t="s">
        <v>154</v>
      </c>
      <c r="C642" s="109" t="s">
        <v>394</v>
      </c>
      <c r="D642" s="108" t="s">
        <v>229</v>
      </c>
      <c r="E642" s="131" t="s">
        <v>13</v>
      </c>
      <c r="F642" s="108" t="s">
        <v>155</v>
      </c>
      <c r="G642" s="108" t="s">
        <v>9</v>
      </c>
      <c r="H642" s="126">
        <f>H643</f>
        <v>0</v>
      </c>
      <c r="I642" s="108">
        <v>1520000000</v>
      </c>
      <c r="J642" s="108" t="str">
        <f t="shared" si="116"/>
        <v>1520000000</v>
      </c>
      <c r="K642" s="132"/>
      <c r="M642" s="20">
        <v>20</v>
      </c>
      <c r="N642" s="20">
        <v>20</v>
      </c>
      <c r="O642" s="20">
        <v>20</v>
      </c>
      <c r="P642" s="20">
        <f>H642-M642</f>
        <v>-20</v>
      </c>
      <c r="Q642" s="20" t="e">
        <f>#REF!-N642</f>
        <v>#REF!</v>
      </c>
      <c r="R642" s="20" t="e">
        <f>#REF!-O642</f>
        <v>#REF!</v>
      </c>
      <c r="S642" s="17" t="str">
        <f t="shared" si="118"/>
        <v>15 2 00 00000000</v>
      </c>
    </row>
    <row r="643" spans="1:19" s="17" customFormat="1" ht="47.25">
      <c r="A643" s="14"/>
      <c r="B643" s="127" t="s">
        <v>160</v>
      </c>
      <c r="C643" s="109" t="s">
        <v>394</v>
      </c>
      <c r="D643" s="108" t="s">
        <v>229</v>
      </c>
      <c r="E643" s="131" t="s">
        <v>13</v>
      </c>
      <c r="F643" s="108" t="s">
        <v>161</v>
      </c>
      <c r="G643" s="108" t="s">
        <v>9</v>
      </c>
      <c r="H643" s="126">
        <f>H644</f>
        <v>0</v>
      </c>
      <c r="I643" s="108">
        <v>1520200000</v>
      </c>
      <c r="J643" s="108" t="str">
        <f t="shared" si="116"/>
        <v>1520200000</v>
      </c>
      <c r="K643" s="132"/>
      <c r="M643" s="20">
        <v>20</v>
      </c>
      <c r="N643" s="20">
        <v>20</v>
      </c>
      <c r="O643" s="20">
        <v>20</v>
      </c>
      <c r="P643" s="20">
        <f>H643-M643</f>
        <v>-20</v>
      </c>
      <c r="Q643" s="20" t="e">
        <f>#REF!-N643</f>
        <v>#REF!</v>
      </c>
      <c r="R643" s="20" t="e">
        <f>#REF!-O643</f>
        <v>#REF!</v>
      </c>
      <c r="S643" s="17" t="str">
        <f t="shared" si="118"/>
        <v>15 2 02 00000000</v>
      </c>
    </row>
    <row r="644" spans="1:19" s="17" customFormat="1" ht="78.75">
      <c r="A644" s="14"/>
      <c r="B644" s="129" t="s">
        <v>158</v>
      </c>
      <c r="C644" s="109" t="s">
        <v>394</v>
      </c>
      <c r="D644" s="108" t="s">
        <v>229</v>
      </c>
      <c r="E644" s="131" t="s">
        <v>13</v>
      </c>
      <c r="F644" s="108" t="s">
        <v>162</v>
      </c>
      <c r="G644" s="108" t="s">
        <v>9</v>
      </c>
      <c r="H644" s="126">
        <f>H645</f>
        <v>0</v>
      </c>
      <c r="I644" s="108">
        <v>1520220370</v>
      </c>
      <c r="J644" s="108" t="str">
        <f t="shared" si="116"/>
        <v>1520220370</v>
      </c>
      <c r="K644" s="132"/>
      <c r="M644" s="20">
        <v>20</v>
      </c>
      <c r="N644" s="20">
        <v>20</v>
      </c>
      <c r="O644" s="20">
        <v>20</v>
      </c>
      <c r="P644" s="20">
        <f>H644-M644</f>
        <v>-20</v>
      </c>
      <c r="Q644" s="20" t="e">
        <f>#REF!-N644</f>
        <v>#REF!</v>
      </c>
      <c r="R644" s="20" t="e">
        <f>#REF!-O644</f>
        <v>#REF!</v>
      </c>
      <c r="S644" s="17" t="str">
        <f t="shared" si="118"/>
        <v>15 2 02 20370000</v>
      </c>
    </row>
    <row r="645" spans="1:19" s="17" customFormat="1" ht="15.75">
      <c r="A645" s="14"/>
      <c r="B645" s="132" t="s">
        <v>403</v>
      </c>
      <c r="C645" s="109" t="s">
        <v>394</v>
      </c>
      <c r="D645" s="108" t="s">
        <v>229</v>
      </c>
      <c r="E645" s="131" t="s">
        <v>13</v>
      </c>
      <c r="F645" s="108" t="s">
        <v>162</v>
      </c>
      <c r="G645" s="108" t="s">
        <v>404</v>
      </c>
      <c r="H645" s="126">
        <f>H646</f>
        <v>0</v>
      </c>
      <c r="I645" s="108">
        <v>1520220370</v>
      </c>
      <c r="J645" s="108" t="str">
        <f t="shared" si="116"/>
        <v>1520220370</v>
      </c>
      <c r="K645" s="132"/>
      <c r="M645" s="20">
        <v>20</v>
      </c>
      <c r="N645" s="20">
        <v>20</v>
      </c>
      <c r="O645" s="20">
        <v>20</v>
      </c>
      <c r="P645" s="20">
        <f>H645-M645</f>
        <v>-20</v>
      </c>
      <c r="Q645" s="20" t="e">
        <f>#REF!-N645</f>
        <v>#REF!</v>
      </c>
      <c r="R645" s="20" t="e">
        <f>#REF!-O645</f>
        <v>#REF!</v>
      </c>
      <c r="S645" s="17" t="str">
        <f t="shared" si="118"/>
        <v>15 2 02 20370610</v>
      </c>
    </row>
    <row r="646" spans="1:19" s="24" customFormat="1" ht="15.75">
      <c r="A646" s="21"/>
      <c r="B646" s="127" t="s">
        <v>407</v>
      </c>
      <c r="C646" s="109" t="s">
        <v>394</v>
      </c>
      <c r="D646" s="108" t="s">
        <v>229</v>
      </c>
      <c r="E646" s="131" t="s">
        <v>13</v>
      </c>
      <c r="F646" s="108" t="s">
        <v>162</v>
      </c>
      <c r="G646" s="108" t="s">
        <v>408</v>
      </c>
      <c r="H646" s="126"/>
      <c r="I646" s="108">
        <v>1520220370</v>
      </c>
      <c r="J646" s="108" t="str">
        <f t="shared" si="116"/>
        <v>1520220370</v>
      </c>
      <c r="K646" s="304" t="str">
        <f>C646&amp;D646&amp;E646&amp;J646&amp;G646</f>
        <v>60607031520220370612</v>
      </c>
      <c r="M646" s="22"/>
      <c r="N646" s="22"/>
      <c r="O646" s="22"/>
      <c r="P646" s="22"/>
      <c r="Q646" s="22"/>
      <c r="R646" s="22"/>
    </row>
    <row r="647" spans="1:19" s="17" customFormat="1" ht="31.5">
      <c r="A647" s="14"/>
      <c r="B647" s="125" t="s">
        <v>168</v>
      </c>
      <c r="C647" s="109" t="s">
        <v>394</v>
      </c>
      <c r="D647" s="108" t="s">
        <v>229</v>
      </c>
      <c r="E647" s="131" t="s">
        <v>13</v>
      </c>
      <c r="F647" s="108" t="s">
        <v>169</v>
      </c>
      <c r="G647" s="108" t="s">
        <v>9</v>
      </c>
      <c r="H647" s="126">
        <f>H648</f>
        <v>0</v>
      </c>
      <c r="I647" s="108">
        <v>1530000000</v>
      </c>
      <c r="J647" s="108" t="str">
        <f t="shared" si="116"/>
        <v>1530000000</v>
      </c>
      <c r="K647" s="132"/>
      <c r="M647" s="20">
        <v>100</v>
      </c>
      <c r="N647" s="20">
        <v>100</v>
      </c>
      <c r="O647" s="20">
        <v>100</v>
      </c>
      <c r="P647" s="20">
        <f>H647-M647</f>
        <v>-100</v>
      </c>
      <c r="Q647" s="20" t="e">
        <f>#REF!-N647</f>
        <v>#REF!</v>
      </c>
      <c r="R647" s="20" t="e">
        <f>#REF!-O647</f>
        <v>#REF!</v>
      </c>
      <c r="S647" s="17" t="str">
        <f t="shared" si="118"/>
        <v>15 3 00 00000000</v>
      </c>
    </row>
    <row r="648" spans="1:19" s="17" customFormat="1" ht="31.5">
      <c r="A648" s="14"/>
      <c r="B648" s="125" t="s">
        <v>374</v>
      </c>
      <c r="C648" s="109" t="s">
        <v>394</v>
      </c>
      <c r="D648" s="108" t="s">
        <v>229</v>
      </c>
      <c r="E648" s="131" t="s">
        <v>13</v>
      </c>
      <c r="F648" s="108" t="s">
        <v>375</v>
      </c>
      <c r="G648" s="108" t="s">
        <v>9</v>
      </c>
      <c r="H648" s="126">
        <f>H649</f>
        <v>0</v>
      </c>
      <c r="I648" s="108">
        <v>1530100000</v>
      </c>
      <c r="J648" s="108" t="str">
        <f t="shared" si="116"/>
        <v>1530100000</v>
      </c>
      <c r="K648" s="132"/>
      <c r="M648" s="20">
        <v>100</v>
      </c>
      <c r="N648" s="20">
        <v>100</v>
      </c>
      <c r="O648" s="20">
        <v>100</v>
      </c>
      <c r="P648" s="20">
        <f>H648-M648</f>
        <v>-100</v>
      </c>
      <c r="Q648" s="20" t="e">
        <f>#REF!-N648</f>
        <v>#REF!</v>
      </c>
      <c r="R648" s="20" t="e">
        <f>#REF!-O648</f>
        <v>#REF!</v>
      </c>
      <c r="S648" s="17" t="str">
        <f t="shared" si="118"/>
        <v>15 3 01 00000000</v>
      </c>
    </row>
    <row r="649" spans="1:19" s="17" customFormat="1" ht="31.5">
      <c r="A649" s="14"/>
      <c r="B649" s="125" t="s">
        <v>376</v>
      </c>
      <c r="C649" s="109" t="s">
        <v>394</v>
      </c>
      <c r="D649" s="108" t="s">
        <v>229</v>
      </c>
      <c r="E649" s="131" t="s">
        <v>13</v>
      </c>
      <c r="F649" s="108" t="s">
        <v>377</v>
      </c>
      <c r="G649" s="108" t="s">
        <v>9</v>
      </c>
      <c r="H649" s="126">
        <f>H650</f>
        <v>0</v>
      </c>
      <c r="I649" s="108">
        <v>1530120660</v>
      </c>
      <c r="J649" s="108" t="str">
        <f t="shared" si="116"/>
        <v>1530120660</v>
      </c>
      <c r="K649" s="132"/>
      <c r="M649" s="20">
        <v>100</v>
      </c>
      <c r="N649" s="20">
        <v>100</v>
      </c>
      <c r="O649" s="20">
        <v>100</v>
      </c>
      <c r="P649" s="20">
        <f>H649-M649</f>
        <v>-100</v>
      </c>
      <c r="Q649" s="20" t="e">
        <f>#REF!-N649</f>
        <v>#REF!</v>
      </c>
      <c r="R649" s="20" t="e">
        <f>#REF!-O649</f>
        <v>#REF!</v>
      </c>
      <c r="S649" s="17" t="str">
        <f t="shared" si="118"/>
        <v>15 3 01 20660000</v>
      </c>
    </row>
    <row r="650" spans="1:19" s="17" customFormat="1" ht="15.75">
      <c r="A650" s="14"/>
      <c r="B650" s="132" t="s">
        <v>403</v>
      </c>
      <c r="C650" s="109" t="s">
        <v>394</v>
      </c>
      <c r="D650" s="108" t="s">
        <v>229</v>
      </c>
      <c r="E650" s="131" t="s">
        <v>13</v>
      </c>
      <c r="F650" s="108" t="s">
        <v>377</v>
      </c>
      <c r="G650" s="108" t="s">
        <v>404</v>
      </c>
      <c r="H650" s="126">
        <f>H651</f>
        <v>0</v>
      </c>
      <c r="I650" s="108">
        <v>1530120660</v>
      </c>
      <c r="J650" s="108" t="str">
        <f t="shared" si="116"/>
        <v>1530120660</v>
      </c>
      <c r="K650" s="132"/>
      <c r="M650" s="20">
        <v>100</v>
      </c>
      <c r="N650" s="20">
        <v>100</v>
      </c>
      <c r="O650" s="20">
        <v>100</v>
      </c>
      <c r="P650" s="20">
        <f>H650-M650</f>
        <v>-100</v>
      </c>
      <c r="Q650" s="20" t="e">
        <f>#REF!-N650</f>
        <v>#REF!</v>
      </c>
      <c r="R650" s="20" t="e">
        <f>#REF!-O650</f>
        <v>#REF!</v>
      </c>
      <c r="S650" s="17" t="str">
        <f t="shared" si="118"/>
        <v>15 3 01 20660610</v>
      </c>
    </row>
    <row r="651" spans="1:19" s="24" customFormat="1" ht="15.75">
      <c r="A651" s="21"/>
      <c r="B651" s="127" t="s">
        <v>407</v>
      </c>
      <c r="C651" s="109" t="s">
        <v>394</v>
      </c>
      <c r="D651" s="108" t="s">
        <v>229</v>
      </c>
      <c r="E651" s="131" t="s">
        <v>13</v>
      </c>
      <c r="F651" s="108" t="s">
        <v>377</v>
      </c>
      <c r="G651" s="108" t="s">
        <v>408</v>
      </c>
      <c r="H651" s="126"/>
      <c r="I651" s="108">
        <v>1530120660</v>
      </c>
      <c r="J651" s="108" t="str">
        <f t="shared" si="116"/>
        <v>1530120660</v>
      </c>
      <c r="K651" s="304" t="str">
        <f>C651&amp;D651&amp;E651&amp;J651&amp;G651</f>
        <v>60607031530120660612</v>
      </c>
      <c r="M651" s="22"/>
      <c r="N651" s="22"/>
      <c r="O651" s="22"/>
      <c r="P651" s="22"/>
      <c r="Q651" s="22"/>
      <c r="R651" s="22"/>
    </row>
    <row r="652" spans="1:19" s="17" customFormat="1" ht="94.5">
      <c r="A652" s="14"/>
      <c r="B652" s="125" t="s">
        <v>420</v>
      </c>
      <c r="C652" s="109" t="s">
        <v>394</v>
      </c>
      <c r="D652" s="131" t="s">
        <v>229</v>
      </c>
      <c r="E652" s="131" t="s">
        <v>13</v>
      </c>
      <c r="F652" s="108" t="s">
        <v>421</v>
      </c>
      <c r="G652" s="108" t="s">
        <v>9</v>
      </c>
      <c r="H652" s="126">
        <f t="shared" ref="H652:H654" si="121">H653</f>
        <v>0</v>
      </c>
      <c r="I652" s="108">
        <v>1600000000</v>
      </c>
      <c r="J652" s="108" t="str">
        <f t="shared" si="116"/>
        <v>1600000000</v>
      </c>
      <c r="K652" s="132"/>
      <c r="M652" s="20">
        <v>359.90000000000003</v>
      </c>
      <c r="N652" s="20">
        <v>359.90000000000003</v>
      </c>
      <c r="O652" s="20">
        <v>359.90000000000003</v>
      </c>
      <c r="P652" s="20">
        <f>H652-M652</f>
        <v>-359.90000000000003</v>
      </c>
      <c r="Q652" s="20" t="e">
        <f>#REF!-N652</f>
        <v>#REF!</v>
      </c>
      <c r="R652" s="20" t="e">
        <f>#REF!-O652</f>
        <v>#REF!</v>
      </c>
      <c r="S652" s="17" t="str">
        <f t="shared" si="118"/>
        <v>16 0 00 00000000</v>
      </c>
    </row>
    <row r="653" spans="1:19" s="17" customFormat="1" ht="31.5">
      <c r="A653" s="14"/>
      <c r="B653" s="125" t="s">
        <v>422</v>
      </c>
      <c r="C653" s="109" t="s">
        <v>394</v>
      </c>
      <c r="D653" s="131" t="s">
        <v>229</v>
      </c>
      <c r="E653" s="131" t="s">
        <v>13</v>
      </c>
      <c r="F653" s="108" t="s">
        <v>423</v>
      </c>
      <c r="G653" s="108" t="s">
        <v>9</v>
      </c>
      <c r="H653" s="126">
        <f t="shared" si="121"/>
        <v>0</v>
      </c>
      <c r="I653" s="108">
        <v>1620000000</v>
      </c>
      <c r="J653" s="108" t="str">
        <f t="shared" si="116"/>
        <v>1620000000</v>
      </c>
      <c r="K653" s="132"/>
      <c r="M653" s="20">
        <v>359.90000000000003</v>
      </c>
      <c r="N653" s="20">
        <v>359.90000000000003</v>
      </c>
      <c r="O653" s="20">
        <v>359.90000000000003</v>
      </c>
      <c r="P653" s="20">
        <f>H653-M653</f>
        <v>-359.90000000000003</v>
      </c>
      <c r="Q653" s="20" t="e">
        <f>#REF!-N653</f>
        <v>#REF!</v>
      </c>
      <c r="R653" s="20" t="e">
        <f>#REF!-O653</f>
        <v>#REF!</v>
      </c>
      <c r="S653" s="17" t="str">
        <f t="shared" si="118"/>
        <v>16 2 00 00000000</v>
      </c>
    </row>
    <row r="654" spans="1:19" s="17" customFormat="1" ht="47.25">
      <c r="A654" s="14"/>
      <c r="B654" s="125" t="s">
        <v>424</v>
      </c>
      <c r="C654" s="109" t="s">
        <v>394</v>
      </c>
      <c r="D654" s="131" t="s">
        <v>229</v>
      </c>
      <c r="E654" s="131" t="s">
        <v>13</v>
      </c>
      <c r="F654" s="108" t="s">
        <v>425</v>
      </c>
      <c r="G654" s="108" t="s">
        <v>9</v>
      </c>
      <c r="H654" s="126">
        <f t="shared" si="121"/>
        <v>0</v>
      </c>
      <c r="I654" s="108">
        <v>1620200000</v>
      </c>
      <c r="J654" s="108" t="str">
        <f t="shared" si="116"/>
        <v>1620200000</v>
      </c>
      <c r="K654" s="132"/>
      <c r="M654" s="20">
        <v>359.90000000000003</v>
      </c>
      <c r="N654" s="20">
        <v>359.90000000000003</v>
      </c>
      <c r="O654" s="20">
        <v>359.90000000000003</v>
      </c>
      <c r="P654" s="20">
        <f>H654-M654</f>
        <v>-359.90000000000003</v>
      </c>
      <c r="Q654" s="20" t="e">
        <f>#REF!-N654</f>
        <v>#REF!</v>
      </c>
      <c r="R654" s="20" t="e">
        <f>#REF!-O654</f>
        <v>#REF!</v>
      </c>
      <c r="S654" s="17" t="str">
        <f t="shared" si="118"/>
        <v>16 2 02 00000000</v>
      </c>
    </row>
    <row r="655" spans="1:19" s="17" customFormat="1" ht="47.25">
      <c r="A655" s="14"/>
      <c r="B655" s="125" t="s">
        <v>426</v>
      </c>
      <c r="C655" s="109" t="s">
        <v>394</v>
      </c>
      <c r="D655" s="131" t="s">
        <v>229</v>
      </c>
      <c r="E655" s="131" t="s">
        <v>13</v>
      </c>
      <c r="F655" s="108" t="s">
        <v>427</v>
      </c>
      <c r="G655" s="108" t="s">
        <v>9</v>
      </c>
      <c r="H655" s="126">
        <f>H656+H658</f>
        <v>0</v>
      </c>
      <c r="I655" s="108">
        <v>1620220550</v>
      </c>
      <c r="J655" s="108" t="str">
        <f t="shared" si="116"/>
        <v>1620220550</v>
      </c>
      <c r="K655" s="132"/>
      <c r="M655" s="20">
        <v>359.90000000000003</v>
      </c>
      <c r="N655" s="20">
        <v>359.90000000000003</v>
      </c>
      <c r="O655" s="20">
        <v>359.90000000000003</v>
      </c>
      <c r="P655" s="20">
        <f>H655-M655</f>
        <v>-359.90000000000003</v>
      </c>
      <c r="Q655" s="20" t="e">
        <f>#REF!-N655</f>
        <v>#REF!</v>
      </c>
      <c r="R655" s="20" t="e">
        <f>#REF!-O655</f>
        <v>#REF!</v>
      </c>
      <c r="S655" s="17" t="str">
        <f t="shared" si="118"/>
        <v>16 2 02 20550000</v>
      </c>
    </row>
    <row r="656" spans="1:19" s="17" customFormat="1" ht="15.75">
      <c r="A656" s="14"/>
      <c r="B656" s="140" t="s">
        <v>403</v>
      </c>
      <c r="C656" s="109" t="s">
        <v>394</v>
      </c>
      <c r="D656" s="131" t="s">
        <v>229</v>
      </c>
      <c r="E656" s="131" t="s">
        <v>13</v>
      </c>
      <c r="F656" s="108" t="s">
        <v>427</v>
      </c>
      <c r="G656" s="108" t="s">
        <v>404</v>
      </c>
      <c r="H656" s="126">
        <f>H657</f>
        <v>0</v>
      </c>
      <c r="I656" s="108">
        <v>1620220550</v>
      </c>
      <c r="J656" s="108" t="str">
        <f t="shared" si="116"/>
        <v>1620220550</v>
      </c>
      <c r="K656" s="132"/>
      <c r="M656" s="20">
        <v>301.3</v>
      </c>
      <c r="N656" s="20">
        <v>301.3</v>
      </c>
      <c r="O656" s="20">
        <v>301.3</v>
      </c>
      <c r="P656" s="20">
        <f>H656-M656</f>
        <v>-301.3</v>
      </c>
      <c r="Q656" s="20" t="e">
        <f>#REF!-N656</f>
        <v>#REF!</v>
      </c>
      <c r="R656" s="20" t="e">
        <f>#REF!-O656</f>
        <v>#REF!</v>
      </c>
      <c r="S656" s="17" t="str">
        <f t="shared" si="118"/>
        <v>16 2 02 20550610</v>
      </c>
    </row>
    <row r="657" spans="1:19" s="24" customFormat="1" ht="15.75">
      <c r="A657" s="21"/>
      <c r="B657" s="127" t="s">
        <v>407</v>
      </c>
      <c r="C657" s="109" t="s">
        <v>394</v>
      </c>
      <c r="D657" s="131" t="s">
        <v>229</v>
      </c>
      <c r="E657" s="131" t="s">
        <v>13</v>
      </c>
      <c r="F657" s="108" t="s">
        <v>427</v>
      </c>
      <c r="G657" s="108" t="s">
        <v>408</v>
      </c>
      <c r="H657" s="126"/>
      <c r="I657" s="108">
        <v>1620220550</v>
      </c>
      <c r="J657" s="108" t="str">
        <f t="shared" si="116"/>
        <v>1620220550</v>
      </c>
      <c r="K657" s="304" t="str">
        <f>C657&amp;D657&amp;E657&amp;J657&amp;G657</f>
        <v>60607031620220550612</v>
      </c>
      <c r="M657" s="22"/>
      <c r="N657" s="22"/>
      <c r="O657" s="22"/>
      <c r="P657" s="22"/>
      <c r="Q657" s="22"/>
      <c r="R657" s="22"/>
    </row>
    <row r="658" spans="1:19" s="17" customFormat="1" ht="15.75">
      <c r="A658" s="14"/>
      <c r="B658" s="132" t="s">
        <v>409</v>
      </c>
      <c r="C658" s="109" t="s">
        <v>394</v>
      </c>
      <c r="D658" s="131" t="s">
        <v>229</v>
      </c>
      <c r="E658" s="131" t="s">
        <v>13</v>
      </c>
      <c r="F658" s="108" t="s">
        <v>427</v>
      </c>
      <c r="G658" s="108" t="s">
        <v>410</v>
      </c>
      <c r="H658" s="126">
        <f>H659</f>
        <v>0</v>
      </c>
      <c r="I658" s="108">
        <v>1620220550</v>
      </c>
      <c r="J658" s="108" t="str">
        <f t="shared" si="116"/>
        <v>1620220550</v>
      </c>
      <c r="K658" s="132"/>
      <c r="M658" s="20">
        <v>58.6</v>
      </c>
      <c r="N658" s="20">
        <v>58.6</v>
      </c>
      <c r="O658" s="20">
        <v>58.6</v>
      </c>
      <c r="P658" s="20">
        <f>H658-M658</f>
        <v>-58.6</v>
      </c>
      <c r="Q658" s="20" t="e">
        <f>#REF!-N658</f>
        <v>#REF!</v>
      </c>
      <c r="R658" s="20" t="e">
        <f>#REF!-O658</f>
        <v>#REF!</v>
      </c>
      <c r="S658" s="17" t="str">
        <f t="shared" si="118"/>
        <v>16 2 02 20550620</v>
      </c>
    </row>
    <row r="659" spans="1:19" s="24" customFormat="1" ht="15.75">
      <c r="A659" s="21"/>
      <c r="B659" s="127" t="s">
        <v>428</v>
      </c>
      <c r="C659" s="109" t="s">
        <v>394</v>
      </c>
      <c r="D659" s="131" t="s">
        <v>229</v>
      </c>
      <c r="E659" s="131" t="s">
        <v>13</v>
      </c>
      <c r="F659" s="108" t="s">
        <v>427</v>
      </c>
      <c r="G659" s="108" t="s">
        <v>429</v>
      </c>
      <c r="H659" s="126"/>
      <c r="I659" s="108">
        <v>1620220550</v>
      </c>
      <c r="J659" s="108" t="str">
        <f t="shared" si="116"/>
        <v>1620220550</v>
      </c>
      <c r="K659" s="304" t="str">
        <f>C659&amp;D659&amp;E659&amp;J659&amp;G659</f>
        <v>60607031620220550622</v>
      </c>
      <c r="M659" s="22"/>
      <c r="N659" s="22"/>
      <c r="O659" s="22"/>
      <c r="P659" s="22"/>
      <c r="Q659" s="22"/>
      <c r="R659" s="22"/>
    </row>
    <row r="660" spans="1:19" s="17" customFormat="1" ht="15.75">
      <c r="A660" s="14"/>
      <c r="B660" s="121" t="s">
        <v>464</v>
      </c>
      <c r="C660" s="122" t="s">
        <v>394</v>
      </c>
      <c r="D660" s="123" t="s">
        <v>229</v>
      </c>
      <c r="E660" s="123" t="s">
        <v>229</v>
      </c>
      <c r="F660" s="123" t="s">
        <v>8</v>
      </c>
      <c r="G660" s="123" t="s">
        <v>9</v>
      </c>
      <c r="H660" s="124">
        <f>H661+H672</f>
        <v>0</v>
      </c>
      <c r="I660" s="123">
        <v>0</v>
      </c>
      <c r="J660" s="123" t="str">
        <f t="shared" si="116"/>
        <v>0000000000</v>
      </c>
      <c r="K660" s="132"/>
      <c r="M660" s="19">
        <v>24978.05</v>
      </c>
      <c r="N660" s="19">
        <v>24978.05</v>
      </c>
      <c r="O660" s="19">
        <v>24978.05</v>
      </c>
      <c r="P660" s="19">
        <f t="shared" ref="P660:P665" si="122">H660-M660</f>
        <v>-24978.05</v>
      </c>
      <c r="Q660" s="19" t="e">
        <f>#REF!-N660</f>
        <v>#REF!</v>
      </c>
      <c r="R660" s="19" t="e">
        <f>#REF!-O660</f>
        <v>#REF!</v>
      </c>
      <c r="S660" s="17" t="str">
        <f t="shared" si="118"/>
        <v>00 0 00 00000000</v>
      </c>
    </row>
    <row r="661" spans="1:19" s="17" customFormat="1" ht="31.5">
      <c r="A661" s="14"/>
      <c r="B661" s="132" t="s">
        <v>396</v>
      </c>
      <c r="C661" s="109" t="s">
        <v>394</v>
      </c>
      <c r="D661" s="108" t="s">
        <v>229</v>
      </c>
      <c r="E661" s="108" t="s">
        <v>229</v>
      </c>
      <c r="F661" s="108" t="s">
        <v>397</v>
      </c>
      <c r="G661" s="108" t="s">
        <v>9</v>
      </c>
      <c r="H661" s="126">
        <f t="shared" ref="H661:H662" si="123">H662</f>
        <v>0</v>
      </c>
      <c r="I661" s="108">
        <v>100000000</v>
      </c>
      <c r="J661" s="108" t="str">
        <f t="shared" si="116"/>
        <v>0100000000</v>
      </c>
      <c r="K661" s="132"/>
      <c r="M661" s="20">
        <v>24932.85</v>
      </c>
      <c r="N661" s="20">
        <v>24932.85</v>
      </c>
      <c r="O661" s="20">
        <v>24932.85</v>
      </c>
      <c r="P661" s="20">
        <f t="shared" si="122"/>
        <v>-24932.85</v>
      </c>
      <c r="Q661" s="20" t="e">
        <f>#REF!-N661</f>
        <v>#REF!</v>
      </c>
      <c r="R661" s="20" t="e">
        <f>#REF!-O661</f>
        <v>#REF!</v>
      </c>
      <c r="S661" s="17" t="str">
        <f t="shared" si="118"/>
        <v>01 0 00 00000000</v>
      </c>
    </row>
    <row r="662" spans="1:19" s="17" customFormat="1" ht="31.5">
      <c r="A662" s="14"/>
      <c r="B662" s="132" t="s">
        <v>398</v>
      </c>
      <c r="C662" s="109" t="s">
        <v>394</v>
      </c>
      <c r="D662" s="108" t="s">
        <v>229</v>
      </c>
      <c r="E662" s="108" t="s">
        <v>229</v>
      </c>
      <c r="F662" s="108" t="s">
        <v>399</v>
      </c>
      <c r="G662" s="108" t="s">
        <v>9</v>
      </c>
      <c r="H662" s="126">
        <f t="shared" si="123"/>
        <v>0</v>
      </c>
      <c r="I662" s="108">
        <v>110000000</v>
      </c>
      <c r="J662" s="108" t="str">
        <f t="shared" si="116"/>
        <v>0110000000</v>
      </c>
      <c r="K662" s="132"/>
      <c r="M662" s="20">
        <v>24932.85</v>
      </c>
      <c r="N662" s="20">
        <v>24932.85</v>
      </c>
      <c r="O662" s="20">
        <v>24932.85</v>
      </c>
      <c r="P662" s="20">
        <f t="shared" si="122"/>
        <v>-24932.85</v>
      </c>
      <c r="Q662" s="20" t="e">
        <f>#REF!-N662</f>
        <v>#REF!</v>
      </c>
      <c r="R662" s="20" t="e">
        <f>#REF!-O662</f>
        <v>#REF!</v>
      </c>
      <c r="S662" s="17" t="str">
        <f t="shared" si="118"/>
        <v>01 1 00 00000000</v>
      </c>
    </row>
    <row r="663" spans="1:19" s="17" customFormat="1" ht="31.5">
      <c r="A663" s="14"/>
      <c r="B663" s="132" t="s">
        <v>465</v>
      </c>
      <c r="C663" s="109" t="s">
        <v>394</v>
      </c>
      <c r="D663" s="108" t="s">
        <v>229</v>
      </c>
      <c r="E663" s="108" t="s">
        <v>229</v>
      </c>
      <c r="F663" s="108" t="s">
        <v>466</v>
      </c>
      <c r="G663" s="108" t="s">
        <v>9</v>
      </c>
      <c r="H663" s="126">
        <f>H664+H667</f>
        <v>0</v>
      </c>
      <c r="I663" s="108">
        <v>110400000</v>
      </c>
      <c r="J663" s="108" t="str">
        <f t="shared" si="116"/>
        <v>0110400000</v>
      </c>
      <c r="K663" s="132"/>
      <c r="M663" s="20">
        <v>24932.85</v>
      </c>
      <c r="N663" s="20">
        <v>24932.85</v>
      </c>
      <c r="O663" s="20">
        <v>24932.85</v>
      </c>
      <c r="P663" s="20">
        <f t="shared" si="122"/>
        <v>-24932.85</v>
      </c>
      <c r="Q663" s="20" t="e">
        <f>#REF!-N663</f>
        <v>#REF!</v>
      </c>
      <c r="R663" s="20" t="e">
        <f>#REF!-O663</f>
        <v>#REF!</v>
      </c>
      <c r="S663" s="17" t="str">
        <f t="shared" si="118"/>
        <v>01 1 04 00000000</v>
      </c>
    </row>
    <row r="664" spans="1:19" s="17" customFormat="1" ht="31.5">
      <c r="A664" s="14"/>
      <c r="B664" s="132" t="s">
        <v>136</v>
      </c>
      <c r="C664" s="109" t="s">
        <v>394</v>
      </c>
      <c r="D664" s="108" t="s">
        <v>229</v>
      </c>
      <c r="E664" s="108" t="s">
        <v>229</v>
      </c>
      <c r="F664" s="108" t="s">
        <v>467</v>
      </c>
      <c r="G664" s="108" t="s">
        <v>9</v>
      </c>
      <c r="H664" s="126">
        <f>H665</f>
        <v>0</v>
      </c>
      <c r="I664" s="108">
        <v>110411010</v>
      </c>
      <c r="J664" s="108" t="str">
        <f t="shared" si="116"/>
        <v>0110411010</v>
      </c>
      <c r="K664" s="132"/>
      <c r="M664" s="20">
        <v>7065.48</v>
      </c>
      <c r="N664" s="20">
        <v>7065.48</v>
      </c>
      <c r="O664" s="20">
        <v>7065.48</v>
      </c>
      <c r="P664" s="20">
        <f t="shared" si="122"/>
        <v>-7065.48</v>
      </c>
      <c r="Q664" s="20" t="e">
        <f>#REF!-N664</f>
        <v>#REF!</v>
      </c>
      <c r="R664" s="20" t="e">
        <f>#REF!-O664</f>
        <v>#REF!</v>
      </c>
      <c r="S664" s="17" t="str">
        <f t="shared" si="118"/>
        <v>01 1 04 11010000</v>
      </c>
    </row>
    <row r="665" spans="1:19" s="17" customFormat="1" ht="15.75">
      <c r="A665" s="14"/>
      <c r="B665" s="132" t="s">
        <v>409</v>
      </c>
      <c r="C665" s="109" t="s">
        <v>394</v>
      </c>
      <c r="D665" s="108" t="s">
        <v>229</v>
      </c>
      <c r="E665" s="108" t="s">
        <v>229</v>
      </c>
      <c r="F665" s="108" t="s">
        <v>467</v>
      </c>
      <c r="G665" s="108" t="s">
        <v>410</v>
      </c>
      <c r="H665" s="126">
        <f>H666</f>
        <v>0</v>
      </c>
      <c r="I665" s="108">
        <v>110411010</v>
      </c>
      <c r="J665" s="108" t="str">
        <f t="shared" si="116"/>
        <v>0110411010</v>
      </c>
      <c r="K665" s="132"/>
      <c r="M665" s="20">
        <v>7065.48</v>
      </c>
      <c r="N665" s="20">
        <v>7065.48</v>
      </c>
      <c r="O665" s="20">
        <v>7065.48</v>
      </c>
      <c r="P665" s="20">
        <f t="shared" si="122"/>
        <v>-7065.48</v>
      </c>
      <c r="Q665" s="20" t="e">
        <f>#REF!-N665</f>
        <v>#REF!</v>
      </c>
      <c r="R665" s="20" t="e">
        <f>#REF!-O665</f>
        <v>#REF!</v>
      </c>
      <c r="S665" s="17" t="str">
        <f t="shared" si="118"/>
        <v>01 1 04 11010620</v>
      </c>
    </row>
    <row r="666" spans="1:19" s="24" customFormat="1" ht="63">
      <c r="A666" s="21"/>
      <c r="B666" s="127" t="s">
        <v>411</v>
      </c>
      <c r="C666" s="109" t="s">
        <v>394</v>
      </c>
      <c r="D666" s="108" t="s">
        <v>229</v>
      </c>
      <c r="E666" s="108" t="s">
        <v>229</v>
      </c>
      <c r="F666" s="108" t="s">
        <v>467</v>
      </c>
      <c r="G666" s="108" t="s">
        <v>412</v>
      </c>
      <c r="H666" s="126"/>
      <c r="I666" s="108">
        <v>110411010</v>
      </c>
      <c r="J666" s="108" t="str">
        <f t="shared" si="116"/>
        <v>0110411010</v>
      </c>
      <c r="K666" s="304" t="str">
        <f>C666&amp;D666&amp;E666&amp;J666&amp;G666</f>
        <v>60607070110411010621</v>
      </c>
      <c r="M666" s="22"/>
      <c r="N666" s="22"/>
      <c r="O666" s="22"/>
      <c r="P666" s="22"/>
      <c r="Q666" s="22"/>
      <c r="R666" s="22"/>
    </row>
    <row r="667" spans="1:19" s="17" customFormat="1" ht="31.5">
      <c r="A667" s="14"/>
      <c r="B667" s="125" t="s">
        <v>468</v>
      </c>
      <c r="C667" s="109" t="s">
        <v>394</v>
      </c>
      <c r="D667" s="108" t="s">
        <v>229</v>
      </c>
      <c r="E667" s="108" t="s">
        <v>229</v>
      </c>
      <c r="F667" s="108" t="s">
        <v>469</v>
      </c>
      <c r="G667" s="108" t="s">
        <v>9</v>
      </c>
      <c r="H667" s="126">
        <f>H668+H670</f>
        <v>0</v>
      </c>
      <c r="I667" s="108">
        <v>110420330</v>
      </c>
      <c r="J667" s="108" t="str">
        <f t="shared" si="116"/>
        <v>0110420330</v>
      </c>
      <c r="K667" s="132"/>
      <c r="M667" s="20">
        <v>17867.37</v>
      </c>
      <c r="N667" s="20">
        <v>17867.37</v>
      </c>
      <c r="O667" s="20">
        <v>17867.37</v>
      </c>
      <c r="P667" s="20">
        <f>H667-M667</f>
        <v>-17867.37</v>
      </c>
      <c r="Q667" s="20" t="e">
        <f>#REF!-N667</f>
        <v>#REF!</v>
      </c>
      <c r="R667" s="20" t="e">
        <f>#REF!-O667</f>
        <v>#REF!</v>
      </c>
      <c r="S667" s="17" t="str">
        <f t="shared" si="118"/>
        <v>01 1 04 20330000</v>
      </c>
    </row>
    <row r="668" spans="1:19" s="17" customFormat="1" ht="15.75">
      <c r="A668" s="14"/>
      <c r="B668" s="132" t="s">
        <v>403</v>
      </c>
      <c r="C668" s="109" t="s">
        <v>394</v>
      </c>
      <c r="D668" s="108" t="s">
        <v>229</v>
      </c>
      <c r="E668" s="108" t="s">
        <v>229</v>
      </c>
      <c r="F668" s="108" t="s">
        <v>469</v>
      </c>
      <c r="G668" s="108" t="s">
        <v>404</v>
      </c>
      <c r="H668" s="126">
        <f>H669</f>
        <v>0</v>
      </c>
      <c r="I668" s="108">
        <v>110420330</v>
      </c>
      <c r="J668" s="108" t="str">
        <f t="shared" si="116"/>
        <v>0110420330</v>
      </c>
      <c r="K668" s="132"/>
      <c r="M668" s="20">
        <v>17867.37</v>
      </c>
      <c r="N668" s="20">
        <v>17867.37</v>
      </c>
      <c r="O668" s="20">
        <v>17867.37</v>
      </c>
      <c r="P668" s="20">
        <f>H668-M668</f>
        <v>-17867.37</v>
      </c>
      <c r="Q668" s="20" t="e">
        <f>#REF!-N668</f>
        <v>#REF!</v>
      </c>
      <c r="R668" s="20" t="e">
        <f>#REF!-O668</f>
        <v>#REF!</v>
      </c>
      <c r="S668" s="17" t="str">
        <f t="shared" si="118"/>
        <v>01 1 04 20330610</v>
      </c>
    </row>
    <row r="669" spans="1:19" s="24" customFormat="1" ht="15.75">
      <c r="A669" s="21"/>
      <c r="B669" s="127" t="s">
        <v>407</v>
      </c>
      <c r="C669" s="109" t="s">
        <v>394</v>
      </c>
      <c r="D669" s="108" t="s">
        <v>229</v>
      </c>
      <c r="E669" s="108" t="s">
        <v>229</v>
      </c>
      <c r="F669" s="108" t="s">
        <v>469</v>
      </c>
      <c r="G669" s="108" t="s">
        <v>408</v>
      </c>
      <c r="H669" s="126"/>
      <c r="I669" s="108">
        <v>110420330</v>
      </c>
      <c r="J669" s="108" t="str">
        <f t="shared" ref="J669:J734" si="124">TEXT(I669,"0000000000")</f>
        <v>0110420330</v>
      </c>
      <c r="K669" s="304" t="str">
        <f>C669&amp;D669&amp;E669&amp;J669&amp;G669</f>
        <v>60607070110420330612</v>
      </c>
      <c r="M669" s="22"/>
      <c r="N669" s="22"/>
      <c r="O669" s="22"/>
      <c r="P669" s="22"/>
      <c r="Q669" s="22"/>
      <c r="R669" s="22"/>
    </row>
    <row r="670" spans="1:19" s="24" customFormat="1" ht="15.75">
      <c r="A670" s="21"/>
      <c r="B670" s="132" t="s">
        <v>409</v>
      </c>
      <c r="C670" s="109" t="s">
        <v>394</v>
      </c>
      <c r="D670" s="108" t="s">
        <v>229</v>
      </c>
      <c r="E670" s="108" t="s">
        <v>229</v>
      </c>
      <c r="F670" s="108" t="s">
        <v>469</v>
      </c>
      <c r="G670" s="108" t="s">
        <v>410</v>
      </c>
      <c r="H670" s="126">
        <f>H671</f>
        <v>0</v>
      </c>
      <c r="I670" s="108">
        <v>110420330</v>
      </c>
      <c r="J670" s="108" t="str">
        <f t="shared" si="124"/>
        <v>0110420330</v>
      </c>
      <c r="K670" s="304" t="str">
        <f t="shared" ref="K670:K671" si="125">C670&amp;D670&amp;E670&amp;J670&amp;G670</f>
        <v>60607070110420330620</v>
      </c>
      <c r="M670" s="22"/>
      <c r="N670" s="22"/>
      <c r="O670" s="22"/>
      <c r="P670" s="22"/>
      <c r="Q670" s="22"/>
      <c r="R670" s="22"/>
    </row>
    <row r="671" spans="1:19" s="24" customFormat="1" ht="15.75">
      <c r="A671" s="21"/>
      <c r="B671" s="127" t="s">
        <v>428</v>
      </c>
      <c r="C671" s="109" t="s">
        <v>394</v>
      </c>
      <c r="D671" s="108" t="s">
        <v>229</v>
      </c>
      <c r="E671" s="108" t="s">
        <v>229</v>
      </c>
      <c r="F671" s="108" t="s">
        <v>469</v>
      </c>
      <c r="G671" s="108" t="s">
        <v>429</v>
      </c>
      <c r="H671" s="126"/>
      <c r="I671" s="108">
        <v>110420330</v>
      </c>
      <c r="J671" s="108" t="str">
        <f t="shared" si="124"/>
        <v>0110420330</v>
      </c>
      <c r="K671" s="304" t="str">
        <f t="shared" si="125"/>
        <v>60607070110420330622</v>
      </c>
      <c r="M671" s="22"/>
      <c r="N671" s="22"/>
      <c r="O671" s="22"/>
      <c r="P671" s="22"/>
      <c r="Q671" s="22"/>
      <c r="R671" s="22"/>
    </row>
    <row r="672" spans="1:19" s="17" customFormat="1" ht="94.5">
      <c r="A672" s="14"/>
      <c r="B672" s="125" t="s">
        <v>420</v>
      </c>
      <c r="C672" s="109" t="s">
        <v>394</v>
      </c>
      <c r="D672" s="108" t="s">
        <v>229</v>
      </c>
      <c r="E672" s="108" t="s">
        <v>229</v>
      </c>
      <c r="F672" s="108" t="s">
        <v>421</v>
      </c>
      <c r="G672" s="108" t="s">
        <v>9</v>
      </c>
      <c r="H672" s="126">
        <f t="shared" ref="H672:H675" si="126">H673</f>
        <v>0</v>
      </c>
      <c r="I672" s="108">
        <v>1600000000</v>
      </c>
      <c r="J672" s="108" t="str">
        <f t="shared" si="124"/>
        <v>1600000000</v>
      </c>
      <c r="K672" s="132"/>
      <c r="M672" s="20">
        <v>45.2</v>
      </c>
      <c r="N672" s="20">
        <v>45.2</v>
      </c>
      <c r="O672" s="20">
        <v>45.2</v>
      </c>
      <c r="P672" s="20">
        <f>H672-M672</f>
        <v>-45.2</v>
      </c>
      <c r="Q672" s="20" t="e">
        <f>#REF!-N672</f>
        <v>#REF!</v>
      </c>
      <c r="R672" s="20" t="e">
        <f>#REF!-O672</f>
        <v>#REF!</v>
      </c>
      <c r="S672" s="17" t="str">
        <f t="shared" si="118"/>
        <v>16 0 00 00000000</v>
      </c>
    </row>
    <row r="673" spans="1:19" s="17" customFormat="1" ht="31.5">
      <c r="A673" s="14"/>
      <c r="B673" s="125" t="s">
        <v>422</v>
      </c>
      <c r="C673" s="109" t="s">
        <v>394</v>
      </c>
      <c r="D673" s="108" t="s">
        <v>229</v>
      </c>
      <c r="E673" s="108" t="s">
        <v>229</v>
      </c>
      <c r="F673" s="108" t="s">
        <v>423</v>
      </c>
      <c r="G673" s="108" t="s">
        <v>9</v>
      </c>
      <c r="H673" s="126">
        <f t="shared" si="126"/>
        <v>0</v>
      </c>
      <c r="I673" s="108">
        <v>1620000000</v>
      </c>
      <c r="J673" s="108" t="str">
        <f t="shared" si="124"/>
        <v>1620000000</v>
      </c>
      <c r="K673" s="132"/>
      <c r="M673" s="20">
        <v>45.2</v>
      </c>
      <c r="N673" s="20">
        <v>45.2</v>
      </c>
      <c r="O673" s="20">
        <v>45.2</v>
      </c>
      <c r="P673" s="20">
        <f>H673-M673</f>
        <v>-45.2</v>
      </c>
      <c r="Q673" s="20" t="e">
        <f>#REF!-N673</f>
        <v>#REF!</v>
      </c>
      <c r="R673" s="20" t="e">
        <f>#REF!-O673</f>
        <v>#REF!</v>
      </c>
      <c r="S673" s="17" t="str">
        <f t="shared" si="118"/>
        <v>16 2 00 00000000</v>
      </c>
    </row>
    <row r="674" spans="1:19" s="17" customFormat="1" ht="47.25">
      <c r="A674" s="14"/>
      <c r="B674" s="125" t="s">
        <v>424</v>
      </c>
      <c r="C674" s="109" t="s">
        <v>394</v>
      </c>
      <c r="D674" s="108" t="s">
        <v>229</v>
      </c>
      <c r="E674" s="108" t="s">
        <v>229</v>
      </c>
      <c r="F674" s="108" t="s">
        <v>425</v>
      </c>
      <c r="G674" s="108" t="s">
        <v>9</v>
      </c>
      <c r="H674" s="126">
        <f t="shared" si="126"/>
        <v>0</v>
      </c>
      <c r="I674" s="108">
        <v>1620200000</v>
      </c>
      <c r="J674" s="108" t="str">
        <f t="shared" si="124"/>
        <v>1620200000</v>
      </c>
      <c r="K674" s="132"/>
      <c r="M674" s="20">
        <v>45.2</v>
      </c>
      <c r="N674" s="20">
        <v>45.2</v>
      </c>
      <c r="O674" s="20">
        <v>45.2</v>
      </c>
      <c r="P674" s="20">
        <f>H674-M674</f>
        <v>-45.2</v>
      </c>
      <c r="Q674" s="20" t="e">
        <f>#REF!-N674</f>
        <v>#REF!</v>
      </c>
      <c r="R674" s="20" t="e">
        <f>#REF!-O674</f>
        <v>#REF!</v>
      </c>
      <c r="S674" s="17" t="str">
        <f t="shared" si="118"/>
        <v>16 2 02 00000000</v>
      </c>
    </row>
    <row r="675" spans="1:19" s="17" customFormat="1" ht="47.25">
      <c r="A675" s="14"/>
      <c r="B675" s="125" t="s">
        <v>426</v>
      </c>
      <c r="C675" s="109" t="s">
        <v>394</v>
      </c>
      <c r="D675" s="108" t="s">
        <v>229</v>
      </c>
      <c r="E675" s="108" t="s">
        <v>229</v>
      </c>
      <c r="F675" s="108" t="s">
        <v>427</v>
      </c>
      <c r="G675" s="108" t="s">
        <v>9</v>
      </c>
      <c r="H675" s="126">
        <f t="shared" si="126"/>
        <v>0</v>
      </c>
      <c r="I675" s="108">
        <v>1620220550</v>
      </c>
      <c r="J675" s="108" t="str">
        <f t="shared" si="124"/>
        <v>1620220550</v>
      </c>
      <c r="K675" s="132"/>
      <c r="M675" s="20">
        <v>45.2</v>
      </c>
      <c r="N675" s="20">
        <v>45.2</v>
      </c>
      <c r="O675" s="20">
        <v>45.2</v>
      </c>
      <c r="P675" s="20">
        <f>H675-M675</f>
        <v>-45.2</v>
      </c>
      <c r="Q675" s="20" t="e">
        <f>#REF!-N675</f>
        <v>#REF!</v>
      </c>
      <c r="R675" s="20" t="e">
        <f>#REF!-O675</f>
        <v>#REF!</v>
      </c>
      <c r="S675" s="17" t="str">
        <f t="shared" si="118"/>
        <v>16 2 02 20550000</v>
      </c>
    </row>
    <row r="676" spans="1:19" s="17" customFormat="1" ht="15.75">
      <c r="A676" s="14"/>
      <c r="B676" s="132" t="s">
        <v>409</v>
      </c>
      <c r="C676" s="109" t="s">
        <v>394</v>
      </c>
      <c r="D676" s="108" t="s">
        <v>229</v>
      </c>
      <c r="E676" s="108" t="s">
        <v>229</v>
      </c>
      <c r="F676" s="108" t="s">
        <v>427</v>
      </c>
      <c r="G676" s="108" t="s">
        <v>410</v>
      </c>
      <c r="H676" s="126">
        <f>H677</f>
        <v>0</v>
      </c>
      <c r="I676" s="108">
        <v>1620220550</v>
      </c>
      <c r="J676" s="108" t="str">
        <f t="shared" si="124"/>
        <v>1620220550</v>
      </c>
      <c r="K676" s="132"/>
      <c r="M676" s="20">
        <v>45.2</v>
      </c>
      <c r="N676" s="20">
        <v>45.2</v>
      </c>
      <c r="O676" s="20">
        <v>45.2</v>
      </c>
      <c r="P676" s="20">
        <f>H676-M676</f>
        <v>-45.2</v>
      </c>
      <c r="Q676" s="20" t="e">
        <f>#REF!-N676</f>
        <v>#REF!</v>
      </c>
      <c r="R676" s="20" t="e">
        <f>#REF!-O676</f>
        <v>#REF!</v>
      </c>
      <c r="S676" s="17" t="str">
        <f t="shared" si="118"/>
        <v>16 2 02 20550620</v>
      </c>
    </row>
    <row r="677" spans="1:19" s="24" customFormat="1" ht="15.75">
      <c r="A677" s="21"/>
      <c r="B677" s="127" t="s">
        <v>428</v>
      </c>
      <c r="C677" s="109" t="s">
        <v>394</v>
      </c>
      <c r="D677" s="108" t="s">
        <v>229</v>
      </c>
      <c r="E677" s="108" t="s">
        <v>229</v>
      </c>
      <c r="F677" s="108" t="s">
        <v>427</v>
      </c>
      <c r="G677" s="108" t="s">
        <v>429</v>
      </c>
      <c r="H677" s="126"/>
      <c r="I677" s="108">
        <v>1620220550</v>
      </c>
      <c r="J677" s="108" t="str">
        <f t="shared" si="124"/>
        <v>1620220550</v>
      </c>
      <c r="K677" s="304" t="str">
        <f>C677&amp;D677&amp;E677&amp;J677&amp;G677</f>
        <v>60607071620220550622</v>
      </c>
      <c r="M677" s="22"/>
      <c r="N677" s="22"/>
      <c r="O677" s="22"/>
      <c r="P677" s="22"/>
      <c r="Q677" s="22"/>
      <c r="R677" s="22"/>
    </row>
    <row r="678" spans="1:19" s="17" customFormat="1" ht="15.75">
      <c r="A678" s="14"/>
      <c r="B678" s="121" t="s">
        <v>470</v>
      </c>
      <c r="C678" s="122" t="s">
        <v>394</v>
      </c>
      <c r="D678" s="123" t="s">
        <v>229</v>
      </c>
      <c r="E678" s="123" t="s">
        <v>471</v>
      </c>
      <c r="F678" s="123" t="s">
        <v>8</v>
      </c>
      <c r="G678" s="123" t="s">
        <v>9</v>
      </c>
      <c r="H678" s="124">
        <f>H679+H693+H699</f>
        <v>0</v>
      </c>
      <c r="I678" s="123">
        <v>0</v>
      </c>
      <c r="J678" s="123" t="str">
        <f t="shared" si="124"/>
        <v>0000000000</v>
      </c>
      <c r="K678" s="132"/>
      <c r="M678" s="19">
        <v>44600.35</v>
      </c>
      <c r="N678" s="19">
        <v>44503.65</v>
      </c>
      <c r="O678" s="19">
        <v>44503.65</v>
      </c>
      <c r="P678" s="19">
        <f t="shared" ref="P678:P683" si="127">H678-M678</f>
        <v>-44600.35</v>
      </c>
      <c r="Q678" s="19" t="e">
        <f>#REF!-N678</f>
        <v>#REF!</v>
      </c>
      <c r="R678" s="19" t="e">
        <f>#REF!-O678</f>
        <v>#REF!</v>
      </c>
      <c r="S678" s="17" t="str">
        <f t="shared" si="118"/>
        <v>00 0 00 00000000</v>
      </c>
    </row>
    <row r="679" spans="1:19" s="17" customFormat="1" ht="31.5">
      <c r="A679" s="14"/>
      <c r="B679" s="132" t="s">
        <v>396</v>
      </c>
      <c r="C679" s="109" t="s">
        <v>394</v>
      </c>
      <c r="D679" s="108" t="s">
        <v>229</v>
      </c>
      <c r="E679" s="108" t="s">
        <v>471</v>
      </c>
      <c r="F679" s="108" t="s">
        <v>397</v>
      </c>
      <c r="G679" s="108" t="s">
        <v>9</v>
      </c>
      <c r="H679" s="126">
        <f>H680</f>
        <v>0</v>
      </c>
      <c r="I679" s="108">
        <v>100000000</v>
      </c>
      <c r="J679" s="108" t="str">
        <f t="shared" si="124"/>
        <v>0100000000</v>
      </c>
      <c r="K679" s="132"/>
      <c r="M679" s="20">
        <v>12029.32</v>
      </c>
      <c r="N679" s="20">
        <v>12029.32</v>
      </c>
      <c r="O679" s="20">
        <v>12029.32</v>
      </c>
      <c r="P679" s="20">
        <f t="shared" si="127"/>
        <v>-12029.32</v>
      </c>
      <c r="Q679" s="20" t="e">
        <f>#REF!-N679</f>
        <v>#REF!</v>
      </c>
      <c r="R679" s="20" t="e">
        <f>#REF!-O679</f>
        <v>#REF!</v>
      </c>
      <c r="S679" s="17" t="str">
        <f t="shared" si="118"/>
        <v>01 0 00 00000000</v>
      </c>
    </row>
    <row r="680" spans="1:19" s="17" customFormat="1" ht="31.5">
      <c r="A680" s="14"/>
      <c r="B680" s="132" t="s">
        <v>398</v>
      </c>
      <c r="C680" s="109" t="s">
        <v>394</v>
      </c>
      <c r="D680" s="108" t="s">
        <v>229</v>
      </c>
      <c r="E680" s="108" t="s">
        <v>471</v>
      </c>
      <c r="F680" s="108" t="s">
        <v>399</v>
      </c>
      <c r="G680" s="108" t="s">
        <v>9</v>
      </c>
      <c r="H680" s="126">
        <f>H681+H689</f>
        <v>0</v>
      </c>
      <c r="I680" s="108">
        <v>110000000</v>
      </c>
      <c r="J680" s="108" t="str">
        <f t="shared" si="124"/>
        <v>0110000000</v>
      </c>
      <c r="K680" s="132"/>
      <c r="M680" s="20">
        <v>12029.32</v>
      </c>
      <c r="N680" s="20">
        <v>12029.32</v>
      </c>
      <c r="O680" s="20">
        <v>12029.32</v>
      </c>
      <c r="P680" s="20">
        <f t="shared" si="127"/>
        <v>-12029.32</v>
      </c>
      <c r="Q680" s="20" t="e">
        <f>#REF!-N680</f>
        <v>#REF!</v>
      </c>
      <c r="R680" s="20" t="e">
        <f>#REF!-O680</f>
        <v>#REF!</v>
      </c>
      <c r="S680" s="17" t="str">
        <f t="shared" si="118"/>
        <v>01 1 00 00000000</v>
      </c>
    </row>
    <row r="681" spans="1:19" s="17" customFormat="1" ht="63">
      <c r="A681" s="14"/>
      <c r="B681" s="132" t="s">
        <v>472</v>
      </c>
      <c r="C681" s="109" t="s">
        <v>394</v>
      </c>
      <c r="D681" s="108" t="s">
        <v>229</v>
      </c>
      <c r="E681" s="108" t="s">
        <v>471</v>
      </c>
      <c r="F681" s="108" t="s">
        <v>473</v>
      </c>
      <c r="G681" s="108" t="s">
        <v>9</v>
      </c>
      <c r="H681" s="126">
        <f>H682</f>
        <v>0</v>
      </c>
      <c r="I681" s="108">
        <v>110500000</v>
      </c>
      <c r="J681" s="108" t="str">
        <f t="shared" si="124"/>
        <v>0110500000</v>
      </c>
      <c r="K681" s="132"/>
      <c r="M681" s="20">
        <v>5078.79</v>
      </c>
      <c r="N681" s="20">
        <v>5078.79</v>
      </c>
      <c r="O681" s="20">
        <v>5078.79</v>
      </c>
      <c r="P681" s="20">
        <f t="shared" si="127"/>
        <v>-5078.79</v>
      </c>
      <c r="Q681" s="20" t="e">
        <f>#REF!-N681</f>
        <v>#REF!</v>
      </c>
      <c r="R681" s="20" t="e">
        <f>#REF!-O681</f>
        <v>#REF!</v>
      </c>
      <c r="S681" s="17" t="str">
        <f t="shared" si="118"/>
        <v>01 1 05 00000000</v>
      </c>
    </row>
    <row r="682" spans="1:19" s="17" customFormat="1" ht="31.5">
      <c r="A682" s="14"/>
      <c r="B682" s="132" t="s">
        <v>474</v>
      </c>
      <c r="C682" s="109" t="s">
        <v>394</v>
      </c>
      <c r="D682" s="108" t="s">
        <v>229</v>
      </c>
      <c r="E682" s="108" t="s">
        <v>471</v>
      </c>
      <c r="F682" s="108" t="s">
        <v>475</v>
      </c>
      <c r="G682" s="108" t="s">
        <v>9</v>
      </c>
      <c r="H682" s="126">
        <f>H683+H685+H687</f>
        <v>0</v>
      </c>
      <c r="I682" s="108">
        <v>110520240</v>
      </c>
      <c r="J682" s="108" t="str">
        <f t="shared" si="124"/>
        <v>0110520240</v>
      </c>
      <c r="K682" s="132"/>
      <c r="M682" s="20">
        <v>5078.79</v>
      </c>
      <c r="N682" s="20">
        <v>5078.79</v>
      </c>
      <c r="O682" s="20">
        <v>5078.79</v>
      </c>
      <c r="P682" s="20">
        <f t="shared" si="127"/>
        <v>-5078.79</v>
      </c>
      <c r="Q682" s="20" t="e">
        <f>#REF!-N682</f>
        <v>#REF!</v>
      </c>
      <c r="R682" s="20" t="e">
        <f>#REF!-O682</f>
        <v>#REF!</v>
      </c>
      <c r="S682" s="17" t="str">
        <f t="shared" si="118"/>
        <v>01 1 05 20240000</v>
      </c>
    </row>
    <row r="683" spans="1:19" s="17" customFormat="1" ht="31.5">
      <c r="A683" s="14"/>
      <c r="B683" s="125" t="s">
        <v>28</v>
      </c>
      <c r="C683" s="109" t="s">
        <v>394</v>
      </c>
      <c r="D683" s="108" t="s">
        <v>229</v>
      </c>
      <c r="E683" s="108" t="s">
        <v>471</v>
      </c>
      <c r="F683" s="108" t="s">
        <v>475</v>
      </c>
      <c r="G683" s="108" t="s">
        <v>29</v>
      </c>
      <c r="H683" s="126">
        <f>H684</f>
        <v>0</v>
      </c>
      <c r="I683" s="108">
        <v>110520240</v>
      </c>
      <c r="J683" s="108" t="str">
        <f t="shared" si="124"/>
        <v>0110520240</v>
      </c>
      <c r="K683" s="132"/>
      <c r="M683" s="20">
        <v>200</v>
      </c>
      <c r="N683" s="20">
        <v>200</v>
      </c>
      <c r="O683" s="20">
        <v>200</v>
      </c>
      <c r="P683" s="20">
        <f t="shared" si="127"/>
        <v>-200</v>
      </c>
      <c r="Q683" s="20" t="e">
        <f>#REF!-N683</f>
        <v>#REF!</v>
      </c>
      <c r="R683" s="20" t="e">
        <f>#REF!-O683</f>
        <v>#REF!</v>
      </c>
      <c r="S683" s="17" t="str">
        <f t="shared" si="118"/>
        <v>01 1 05 20240240</v>
      </c>
    </row>
    <row r="684" spans="1:19" s="17" customFormat="1" ht="15.75">
      <c r="A684" s="14"/>
      <c r="B684" s="125" t="s">
        <v>30</v>
      </c>
      <c r="C684" s="109" t="s">
        <v>394</v>
      </c>
      <c r="D684" s="108" t="s">
        <v>229</v>
      </c>
      <c r="E684" s="108" t="s">
        <v>471</v>
      </c>
      <c r="F684" s="108" t="s">
        <v>475</v>
      </c>
      <c r="G684" s="108" t="s">
        <v>31</v>
      </c>
      <c r="H684" s="126"/>
      <c r="I684" s="108">
        <v>110520240</v>
      </c>
      <c r="J684" s="108" t="str">
        <f t="shared" si="124"/>
        <v>0110520240</v>
      </c>
      <c r="K684" s="304" t="str">
        <f>C684&amp;D684&amp;E684&amp;J684&amp;G684</f>
        <v>60607090110520240244</v>
      </c>
      <c r="M684" s="20"/>
      <c r="N684" s="20"/>
      <c r="O684" s="20"/>
      <c r="P684" s="20"/>
      <c r="Q684" s="20"/>
      <c r="R684" s="20"/>
      <c r="S684" s="17" t="str">
        <f t="shared" si="118"/>
        <v>01 1 05 20240244</v>
      </c>
    </row>
    <row r="685" spans="1:19" s="17" customFormat="1" ht="15.75">
      <c r="A685" s="14"/>
      <c r="B685" s="132" t="s">
        <v>403</v>
      </c>
      <c r="C685" s="109" t="s">
        <v>394</v>
      </c>
      <c r="D685" s="108" t="s">
        <v>229</v>
      </c>
      <c r="E685" s="108" t="s">
        <v>471</v>
      </c>
      <c r="F685" s="108" t="s">
        <v>475</v>
      </c>
      <c r="G685" s="108" t="s">
        <v>404</v>
      </c>
      <c r="H685" s="126">
        <f>H686</f>
        <v>0</v>
      </c>
      <c r="I685" s="108">
        <v>110520240</v>
      </c>
      <c r="J685" s="108" t="str">
        <f t="shared" si="124"/>
        <v>0110520240</v>
      </c>
      <c r="K685" s="132"/>
      <c r="M685" s="20">
        <v>4533.5</v>
      </c>
      <c r="N685" s="20">
        <v>4533.5</v>
      </c>
      <c r="O685" s="20">
        <v>4533.5</v>
      </c>
      <c r="P685" s="20">
        <f>H685-M685</f>
        <v>-4533.5</v>
      </c>
      <c r="Q685" s="20" t="e">
        <f>#REF!-N685</f>
        <v>#REF!</v>
      </c>
      <c r="R685" s="20" t="e">
        <f>#REF!-O685</f>
        <v>#REF!</v>
      </c>
      <c r="S685" s="17" t="str">
        <f t="shared" si="118"/>
        <v>01 1 05 20240610</v>
      </c>
    </row>
    <row r="686" spans="1:19" s="24" customFormat="1" ht="15.75">
      <c r="A686" s="21"/>
      <c r="B686" s="127" t="s">
        <v>407</v>
      </c>
      <c r="C686" s="109" t="s">
        <v>394</v>
      </c>
      <c r="D686" s="108" t="s">
        <v>229</v>
      </c>
      <c r="E686" s="108" t="s">
        <v>471</v>
      </c>
      <c r="F686" s="108" t="s">
        <v>475</v>
      </c>
      <c r="G686" s="108" t="s">
        <v>408</v>
      </c>
      <c r="H686" s="126"/>
      <c r="I686" s="108">
        <v>110520240</v>
      </c>
      <c r="J686" s="108" t="str">
        <f t="shared" si="124"/>
        <v>0110520240</v>
      </c>
      <c r="K686" s="304" t="str">
        <f>C686&amp;D686&amp;E686&amp;J686&amp;G686</f>
        <v>60607090110520240612</v>
      </c>
      <c r="M686" s="22"/>
      <c r="N686" s="22"/>
      <c r="O686" s="22"/>
      <c r="P686" s="22"/>
      <c r="Q686" s="22"/>
      <c r="R686" s="22"/>
    </row>
    <row r="687" spans="1:19" s="17" customFormat="1" ht="15.75">
      <c r="A687" s="14"/>
      <c r="B687" s="132" t="s">
        <v>409</v>
      </c>
      <c r="C687" s="109" t="s">
        <v>394</v>
      </c>
      <c r="D687" s="108" t="s">
        <v>229</v>
      </c>
      <c r="E687" s="108" t="s">
        <v>471</v>
      </c>
      <c r="F687" s="108" t="s">
        <v>475</v>
      </c>
      <c r="G687" s="108" t="s">
        <v>410</v>
      </c>
      <c r="H687" s="126">
        <f>H688</f>
        <v>0</v>
      </c>
      <c r="I687" s="108">
        <v>110520240</v>
      </c>
      <c r="J687" s="108" t="str">
        <f t="shared" si="124"/>
        <v>0110520240</v>
      </c>
      <c r="K687" s="132"/>
      <c r="M687" s="20">
        <v>345.29</v>
      </c>
      <c r="N687" s="20">
        <v>345.29</v>
      </c>
      <c r="O687" s="20">
        <v>345.29</v>
      </c>
      <c r="P687" s="20">
        <f>H687-M687</f>
        <v>-345.29</v>
      </c>
      <c r="Q687" s="20" t="e">
        <f>#REF!-N687</f>
        <v>#REF!</v>
      </c>
      <c r="R687" s="20" t="e">
        <f>#REF!-O687</f>
        <v>#REF!</v>
      </c>
      <c r="S687" s="17" t="str">
        <f t="shared" si="118"/>
        <v>01 1 05 20240620</v>
      </c>
    </row>
    <row r="688" spans="1:19" s="24" customFormat="1" ht="15.75">
      <c r="A688" s="21"/>
      <c r="B688" s="127" t="s">
        <v>428</v>
      </c>
      <c r="C688" s="109" t="s">
        <v>394</v>
      </c>
      <c r="D688" s="108" t="s">
        <v>229</v>
      </c>
      <c r="E688" s="108" t="s">
        <v>471</v>
      </c>
      <c r="F688" s="108" t="s">
        <v>475</v>
      </c>
      <c r="G688" s="108" t="s">
        <v>429</v>
      </c>
      <c r="H688" s="126"/>
      <c r="I688" s="108">
        <v>110520240</v>
      </c>
      <c r="J688" s="108" t="str">
        <f t="shared" si="124"/>
        <v>0110520240</v>
      </c>
      <c r="K688" s="304" t="str">
        <f>C688&amp;D688&amp;E688&amp;J688&amp;G688</f>
        <v>60607090110520240622</v>
      </c>
      <c r="M688" s="22"/>
      <c r="N688" s="22"/>
      <c r="O688" s="22"/>
      <c r="P688" s="22"/>
      <c r="Q688" s="22"/>
      <c r="R688" s="22"/>
    </row>
    <row r="689" spans="1:19" s="17" customFormat="1" ht="31.5">
      <c r="A689" s="14"/>
      <c r="B689" s="129" t="s">
        <v>476</v>
      </c>
      <c r="C689" s="130" t="s">
        <v>394</v>
      </c>
      <c r="D689" s="131" t="s">
        <v>229</v>
      </c>
      <c r="E689" s="131" t="s">
        <v>471</v>
      </c>
      <c r="F689" s="131" t="s">
        <v>477</v>
      </c>
      <c r="G689" s="131" t="s">
        <v>9</v>
      </c>
      <c r="H689" s="105">
        <f>H690</f>
        <v>0</v>
      </c>
      <c r="I689" s="131">
        <v>110800000</v>
      </c>
      <c r="J689" s="131" t="str">
        <f t="shared" si="124"/>
        <v>0110800000</v>
      </c>
      <c r="K689" s="132"/>
      <c r="M689" s="26">
        <v>6950.5300000000007</v>
      </c>
      <c r="N689" s="26">
        <v>6950.5300000000007</v>
      </c>
      <c r="O689" s="26">
        <v>6950.5300000000007</v>
      </c>
      <c r="P689" s="26">
        <f>H689-M689</f>
        <v>-6950.5300000000007</v>
      </c>
      <c r="Q689" s="26" t="e">
        <f>#REF!-N689</f>
        <v>#REF!</v>
      </c>
      <c r="R689" s="26" t="e">
        <f>#REF!-O689</f>
        <v>#REF!</v>
      </c>
      <c r="S689" s="17" t="str">
        <f t="shared" si="118"/>
        <v>01 1 08 00000000</v>
      </c>
    </row>
    <row r="690" spans="1:19" s="17" customFormat="1" ht="31.5">
      <c r="A690" s="14"/>
      <c r="B690" s="140" t="s">
        <v>136</v>
      </c>
      <c r="C690" s="130" t="s">
        <v>394</v>
      </c>
      <c r="D690" s="131" t="s">
        <v>229</v>
      </c>
      <c r="E690" s="131" t="s">
        <v>471</v>
      </c>
      <c r="F690" s="131" t="s">
        <v>478</v>
      </c>
      <c r="G690" s="131" t="s">
        <v>9</v>
      </c>
      <c r="H690" s="105">
        <f>SUM(H691:H691)</f>
        <v>0</v>
      </c>
      <c r="I690" s="131">
        <v>110811010</v>
      </c>
      <c r="J690" s="131" t="str">
        <f t="shared" si="124"/>
        <v>0110811010</v>
      </c>
      <c r="K690" s="132"/>
      <c r="M690" s="26">
        <v>6950.5300000000007</v>
      </c>
      <c r="N690" s="26">
        <v>6950.5300000000007</v>
      </c>
      <c r="O690" s="26">
        <v>6950.5300000000007</v>
      </c>
      <c r="P690" s="26">
        <f>H690-M690</f>
        <v>-6950.5300000000007</v>
      </c>
      <c r="Q690" s="26" t="e">
        <f>#REF!-N690</f>
        <v>#REF!</v>
      </c>
      <c r="R690" s="26" t="e">
        <f>#REF!-O690</f>
        <v>#REF!</v>
      </c>
      <c r="S690" s="17" t="str">
        <f t="shared" si="118"/>
        <v>01 1 08 11010000</v>
      </c>
    </row>
    <row r="691" spans="1:19" s="17" customFormat="1" ht="15.75">
      <c r="A691" s="14"/>
      <c r="B691" s="140" t="s">
        <v>403</v>
      </c>
      <c r="C691" s="130" t="s">
        <v>394</v>
      </c>
      <c r="D691" s="131" t="s">
        <v>229</v>
      </c>
      <c r="E691" s="131" t="s">
        <v>471</v>
      </c>
      <c r="F691" s="131" t="s">
        <v>478</v>
      </c>
      <c r="G691" s="131" t="s">
        <v>404</v>
      </c>
      <c r="H691" s="126">
        <f>H692</f>
        <v>0</v>
      </c>
      <c r="I691" s="131">
        <v>110811010</v>
      </c>
      <c r="J691" s="131" t="str">
        <f t="shared" si="124"/>
        <v>0110811010</v>
      </c>
      <c r="K691" s="132"/>
      <c r="M691" s="20">
        <v>6950.5300000000007</v>
      </c>
      <c r="N691" s="20">
        <v>6950.5300000000007</v>
      </c>
      <c r="O691" s="20">
        <v>6950.5300000000007</v>
      </c>
      <c r="P691" s="20">
        <f>H691-M691</f>
        <v>-6950.5300000000007</v>
      </c>
      <c r="Q691" s="20" t="e">
        <f>#REF!-N691</f>
        <v>#REF!</v>
      </c>
      <c r="R691" s="20" t="e">
        <f>#REF!-O691</f>
        <v>#REF!</v>
      </c>
      <c r="S691" s="17" t="str">
        <f t="shared" si="118"/>
        <v>01 1 08 11010610</v>
      </c>
    </row>
    <row r="692" spans="1:19" s="24" customFormat="1" ht="63">
      <c r="A692" s="21"/>
      <c r="B692" s="127" t="s">
        <v>405</v>
      </c>
      <c r="C692" s="130" t="s">
        <v>394</v>
      </c>
      <c r="D692" s="131" t="s">
        <v>229</v>
      </c>
      <c r="E692" s="131" t="s">
        <v>471</v>
      </c>
      <c r="F692" s="131" t="s">
        <v>478</v>
      </c>
      <c r="G692" s="108" t="s">
        <v>406</v>
      </c>
      <c r="H692" s="126"/>
      <c r="I692" s="131">
        <v>110811010</v>
      </c>
      <c r="J692" s="131" t="str">
        <f t="shared" si="124"/>
        <v>0110811010</v>
      </c>
      <c r="K692" s="304" t="str">
        <f>C692&amp;D692&amp;E692&amp;J692&amp;G692</f>
        <v>60607090110811010611</v>
      </c>
      <c r="M692" s="22"/>
      <c r="N692" s="22"/>
      <c r="O692" s="22"/>
      <c r="P692" s="22"/>
      <c r="Q692" s="22"/>
      <c r="R692" s="22"/>
    </row>
    <row r="693" spans="1:19" s="17" customFormat="1" ht="94.5">
      <c r="A693" s="14"/>
      <c r="B693" s="125" t="s">
        <v>420</v>
      </c>
      <c r="C693" s="109" t="s">
        <v>394</v>
      </c>
      <c r="D693" s="108" t="s">
        <v>229</v>
      </c>
      <c r="E693" s="108" t="s">
        <v>471</v>
      </c>
      <c r="F693" s="108" t="s">
        <v>421</v>
      </c>
      <c r="G693" s="108" t="s">
        <v>9</v>
      </c>
      <c r="H693" s="126">
        <f t="shared" ref="H693:H696" si="128">H694</f>
        <v>0</v>
      </c>
      <c r="I693" s="108">
        <v>1600000000</v>
      </c>
      <c r="J693" s="108" t="str">
        <f t="shared" si="124"/>
        <v>1600000000</v>
      </c>
      <c r="K693" s="132"/>
      <c r="M693" s="20">
        <v>58.6</v>
      </c>
      <c r="N693" s="20">
        <v>58.6</v>
      </c>
      <c r="O693" s="20">
        <v>58.6</v>
      </c>
      <c r="P693" s="20">
        <f>H693-M693</f>
        <v>-58.6</v>
      </c>
      <c r="Q693" s="20" t="e">
        <f>#REF!-N693</f>
        <v>#REF!</v>
      </c>
      <c r="R693" s="20" t="e">
        <f>#REF!-O693</f>
        <v>#REF!</v>
      </c>
      <c r="S693" s="17" t="str">
        <f t="shared" si="118"/>
        <v>16 0 00 00000000</v>
      </c>
    </row>
    <row r="694" spans="1:19" s="17" customFormat="1" ht="31.5">
      <c r="A694" s="14"/>
      <c r="B694" s="125" t="s">
        <v>422</v>
      </c>
      <c r="C694" s="109" t="s">
        <v>394</v>
      </c>
      <c r="D694" s="108" t="s">
        <v>229</v>
      </c>
      <c r="E694" s="108" t="s">
        <v>471</v>
      </c>
      <c r="F694" s="108" t="s">
        <v>423</v>
      </c>
      <c r="G694" s="108" t="s">
        <v>9</v>
      </c>
      <c r="H694" s="126">
        <f t="shared" si="128"/>
        <v>0</v>
      </c>
      <c r="I694" s="108">
        <v>1620000000</v>
      </c>
      <c r="J694" s="108" t="str">
        <f t="shared" si="124"/>
        <v>1620000000</v>
      </c>
      <c r="K694" s="132"/>
      <c r="M694" s="20">
        <v>58.6</v>
      </c>
      <c r="N694" s="20">
        <v>58.6</v>
      </c>
      <c r="O694" s="20">
        <v>58.6</v>
      </c>
      <c r="P694" s="20">
        <f>H694-M694</f>
        <v>-58.6</v>
      </c>
      <c r="Q694" s="20" t="e">
        <f>#REF!-N694</f>
        <v>#REF!</v>
      </c>
      <c r="R694" s="20" t="e">
        <f>#REF!-O694</f>
        <v>#REF!</v>
      </c>
      <c r="S694" s="17" t="str">
        <f t="shared" si="118"/>
        <v>16 2 00 00000000</v>
      </c>
    </row>
    <row r="695" spans="1:19" s="17" customFormat="1" ht="47.25">
      <c r="A695" s="14"/>
      <c r="B695" s="125" t="s">
        <v>424</v>
      </c>
      <c r="C695" s="109" t="s">
        <v>394</v>
      </c>
      <c r="D695" s="108" t="s">
        <v>229</v>
      </c>
      <c r="E695" s="108" t="s">
        <v>471</v>
      </c>
      <c r="F695" s="108" t="s">
        <v>425</v>
      </c>
      <c r="G695" s="108" t="s">
        <v>9</v>
      </c>
      <c r="H695" s="126">
        <f t="shared" si="128"/>
        <v>0</v>
      </c>
      <c r="I695" s="108">
        <v>1620200000</v>
      </c>
      <c r="J695" s="108" t="str">
        <f t="shared" si="124"/>
        <v>1620200000</v>
      </c>
      <c r="K695" s="132"/>
      <c r="M695" s="20">
        <v>58.6</v>
      </c>
      <c r="N695" s="20">
        <v>58.6</v>
      </c>
      <c r="O695" s="20">
        <v>58.6</v>
      </c>
      <c r="P695" s="20">
        <f>H695-M695</f>
        <v>-58.6</v>
      </c>
      <c r="Q695" s="20" t="e">
        <f>#REF!-N695</f>
        <v>#REF!</v>
      </c>
      <c r="R695" s="20" t="e">
        <f>#REF!-O695</f>
        <v>#REF!</v>
      </c>
      <c r="S695" s="17" t="str">
        <f t="shared" si="118"/>
        <v>16 2 02 00000000</v>
      </c>
    </row>
    <row r="696" spans="1:19" s="17" customFormat="1" ht="47.25">
      <c r="A696" s="14"/>
      <c r="B696" s="125" t="s">
        <v>426</v>
      </c>
      <c r="C696" s="109" t="s">
        <v>394</v>
      </c>
      <c r="D696" s="108" t="s">
        <v>229</v>
      </c>
      <c r="E696" s="108" t="s">
        <v>471</v>
      </c>
      <c r="F696" s="108" t="s">
        <v>427</v>
      </c>
      <c r="G696" s="108" t="s">
        <v>9</v>
      </c>
      <c r="H696" s="126">
        <f t="shared" si="128"/>
        <v>0</v>
      </c>
      <c r="I696" s="108">
        <v>1620220550</v>
      </c>
      <c r="J696" s="108" t="str">
        <f t="shared" si="124"/>
        <v>1620220550</v>
      </c>
      <c r="K696" s="132"/>
      <c r="M696" s="20">
        <v>58.6</v>
      </c>
      <c r="N696" s="20">
        <v>58.6</v>
      </c>
      <c r="O696" s="20">
        <v>58.6</v>
      </c>
      <c r="P696" s="20">
        <f>H696-M696</f>
        <v>-58.6</v>
      </c>
      <c r="Q696" s="20" t="e">
        <f>#REF!-N696</f>
        <v>#REF!</v>
      </c>
      <c r="R696" s="20" t="e">
        <f>#REF!-O696</f>
        <v>#REF!</v>
      </c>
      <c r="S696" s="17" t="str">
        <f t="shared" si="118"/>
        <v>16 2 02 20550000</v>
      </c>
    </row>
    <row r="697" spans="1:19" s="17" customFormat="1" ht="15.75">
      <c r="A697" s="14"/>
      <c r="B697" s="132" t="s">
        <v>403</v>
      </c>
      <c r="C697" s="109" t="s">
        <v>394</v>
      </c>
      <c r="D697" s="108" t="s">
        <v>229</v>
      </c>
      <c r="E697" s="108" t="s">
        <v>471</v>
      </c>
      <c r="F697" s="108" t="s">
        <v>427</v>
      </c>
      <c r="G697" s="108" t="s">
        <v>404</v>
      </c>
      <c r="H697" s="126">
        <f>H698</f>
        <v>0</v>
      </c>
      <c r="I697" s="108">
        <v>1620220550</v>
      </c>
      <c r="J697" s="108" t="str">
        <f t="shared" si="124"/>
        <v>1620220550</v>
      </c>
      <c r="K697" s="132"/>
      <c r="M697" s="20">
        <v>58.6</v>
      </c>
      <c r="N697" s="20">
        <v>58.6</v>
      </c>
      <c r="O697" s="20">
        <v>58.6</v>
      </c>
      <c r="P697" s="20">
        <f>H697-M697</f>
        <v>-58.6</v>
      </c>
      <c r="Q697" s="20" t="e">
        <f>#REF!-N697</f>
        <v>#REF!</v>
      </c>
      <c r="R697" s="20" t="e">
        <f>#REF!-O697</f>
        <v>#REF!</v>
      </c>
      <c r="S697" s="17" t="str">
        <f t="shared" si="118"/>
        <v>16 2 02 20550610</v>
      </c>
    </row>
    <row r="698" spans="1:19" s="24" customFormat="1" ht="15.75">
      <c r="A698" s="21"/>
      <c r="B698" s="127" t="s">
        <v>407</v>
      </c>
      <c r="C698" s="109" t="s">
        <v>394</v>
      </c>
      <c r="D698" s="108" t="s">
        <v>229</v>
      </c>
      <c r="E698" s="108" t="s">
        <v>471</v>
      </c>
      <c r="F698" s="108" t="s">
        <v>427</v>
      </c>
      <c r="G698" s="108" t="s">
        <v>408</v>
      </c>
      <c r="H698" s="126"/>
      <c r="I698" s="108">
        <v>1620220550</v>
      </c>
      <c r="J698" s="108" t="str">
        <f t="shared" si="124"/>
        <v>1620220550</v>
      </c>
      <c r="K698" s="304" t="str">
        <f>C698&amp;D698&amp;E698&amp;J698&amp;G698</f>
        <v>60607091620220550612</v>
      </c>
      <c r="M698" s="22"/>
      <c r="N698" s="22"/>
      <c r="O698" s="22"/>
      <c r="P698" s="22"/>
      <c r="Q698" s="22"/>
      <c r="R698" s="22"/>
    </row>
    <row r="699" spans="1:19" s="17" customFormat="1" ht="31.5">
      <c r="A699" s="14"/>
      <c r="B699" s="125" t="s">
        <v>479</v>
      </c>
      <c r="C699" s="109" t="s">
        <v>394</v>
      </c>
      <c r="D699" s="108" t="s">
        <v>229</v>
      </c>
      <c r="E699" s="108" t="s">
        <v>471</v>
      </c>
      <c r="F699" s="108" t="s">
        <v>480</v>
      </c>
      <c r="G699" s="108" t="s">
        <v>9</v>
      </c>
      <c r="H699" s="126">
        <f>H700</f>
        <v>0</v>
      </c>
      <c r="I699" s="108">
        <v>7500000000</v>
      </c>
      <c r="J699" s="108" t="str">
        <f t="shared" si="124"/>
        <v>7500000000</v>
      </c>
      <c r="K699" s="132"/>
      <c r="M699" s="20">
        <v>32512.43</v>
      </c>
      <c r="N699" s="20">
        <v>32415.73</v>
      </c>
      <c r="O699" s="20">
        <v>32415.73</v>
      </c>
      <c r="P699" s="20">
        <f>H699-M699</f>
        <v>-32512.43</v>
      </c>
      <c r="Q699" s="20" t="e">
        <f>#REF!-N699</f>
        <v>#REF!</v>
      </c>
      <c r="R699" s="20" t="e">
        <f>#REF!-O699</f>
        <v>#REF!</v>
      </c>
      <c r="S699" s="17" t="str">
        <f t="shared" si="118"/>
        <v>75 0 00 00000000</v>
      </c>
    </row>
    <row r="700" spans="1:19" s="17" customFormat="1" ht="47.25">
      <c r="A700" s="14"/>
      <c r="B700" s="125" t="s">
        <v>481</v>
      </c>
      <c r="C700" s="109" t="s">
        <v>394</v>
      </c>
      <c r="D700" s="108" t="s">
        <v>229</v>
      </c>
      <c r="E700" s="108" t="s">
        <v>471</v>
      </c>
      <c r="F700" s="108" t="s">
        <v>482</v>
      </c>
      <c r="G700" s="108" t="s">
        <v>9</v>
      </c>
      <c r="H700" s="126">
        <f>H701+H711+H721+H715</f>
        <v>0</v>
      </c>
      <c r="I700" s="108">
        <v>7510000000</v>
      </c>
      <c r="J700" s="108" t="str">
        <f t="shared" si="124"/>
        <v>7510000000</v>
      </c>
      <c r="K700" s="132"/>
      <c r="M700" s="20">
        <v>32512.43</v>
      </c>
      <c r="N700" s="20">
        <v>32415.73</v>
      </c>
      <c r="O700" s="20">
        <v>32415.73</v>
      </c>
      <c r="P700" s="20">
        <f>H700-M700</f>
        <v>-32512.43</v>
      </c>
      <c r="Q700" s="20" t="e">
        <f>#REF!-N700</f>
        <v>#REF!</v>
      </c>
      <c r="R700" s="20" t="e">
        <f>#REF!-O700</f>
        <v>#REF!</v>
      </c>
      <c r="S700" s="17" t="str">
        <f t="shared" si="118"/>
        <v>75 1 00 00000000</v>
      </c>
    </row>
    <row r="701" spans="1:19" s="17" customFormat="1" ht="31.5">
      <c r="A701" s="14"/>
      <c r="B701" s="125" t="s">
        <v>18</v>
      </c>
      <c r="C701" s="109" t="s">
        <v>394</v>
      </c>
      <c r="D701" s="108" t="s">
        <v>229</v>
      </c>
      <c r="E701" s="108" t="s">
        <v>471</v>
      </c>
      <c r="F701" s="108" t="s">
        <v>483</v>
      </c>
      <c r="G701" s="108" t="s">
        <v>9</v>
      </c>
      <c r="H701" s="126">
        <f>H702+H705+H707</f>
        <v>0</v>
      </c>
      <c r="I701" s="108">
        <v>7510010010</v>
      </c>
      <c r="J701" s="108" t="str">
        <f t="shared" si="124"/>
        <v>7510010010</v>
      </c>
      <c r="K701" s="132"/>
      <c r="M701" s="20">
        <v>2420.89</v>
      </c>
      <c r="N701" s="20">
        <v>2420.89</v>
      </c>
      <c r="O701" s="20">
        <v>2420.89</v>
      </c>
      <c r="P701" s="20">
        <f>H701-M701</f>
        <v>-2420.89</v>
      </c>
      <c r="Q701" s="20" t="e">
        <f>#REF!-N701</f>
        <v>#REF!</v>
      </c>
      <c r="R701" s="20" t="e">
        <f>#REF!-O701</f>
        <v>#REF!</v>
      </c>
      <c r="S701" s="17" t="str">
        <f t="shared" ref="S701:S800" si="129">CONCATENATE(F701,G701)</f>
        <v>75 1 00 10010000</v>
      </c>
    </row>
    <row r="702" spans="1:19" s="17" customFormat="1" ht="31.5">
      <c r="A702" s="14"/>
      <c r="B702" s="125" t="s">
        <v>484</v>
      </c>
      <c r="C702" s="109" t="s">
        <v>394</v>
      </c>
      <c r="D702" s="108" t="s">
        <v>229</v>
      </c>
      <c r="E702" s="108" t="s">
        <v>471</v>
      </c>
      <c r="F702" s="108" t="s">
        <v>483</v>
      </c>
      <c r="G702" s="108" t="s">
        <v>21</v>
      </c>
      <c r="H702" s="126">
        <f>SUM(H703:H704)</f>
        <v>0</v>
      </c>
      <c r="I702" s="108">
        <v>7510010010</v>
      </c>
      <c r="J702" s="108" t="str">
        <f t="shared" si="124"/>
        <v>7510010010</v>
      </c>
      <c r="K702" s="132"/>
      <c r="M702" s="20">
        <v>677.24</v>
      </c>
      <c r="N702" s="20">
        <v>677.24</v>
      </c>
      <c r="O702" s="20">
        <v>677.24</v>
      </c>
      <c r="P702" s="20">
        <f>H702-M702</f>
        <v>-677.24</v>
      </c>
      <c r="Q702" s="20" t="e">
        <f>#REF!-N702</f>
        <v>#REF!</v>
      </c>
      <c r="R702" s="20" t="e">
        <f>#REF!-O702</f>
        <v>#REF!</v>
      </c>
      <c r="S702" s="17" t="str">
        <f t="shared" si="129"/>
        <v>75 1 00 10010120</v>
      </c>
    </row>
    <row r="703" spans="1:19" s="24" customFormat="1" ht="47.25">
      <c r="A703" s="21"/>
      <c r="B703" s="127" t="s">
        <v>22</v>
      </c>
      <c r="C703" s="109" t="s">
        <v>394</v>
      </c>
      <c r="D703" s="108" t="s">
        <v>229</v>
      </c>
      <c r="E703" s="108" t="s">
        <v>471</v>
      </c>
      <c r="F703" s="108" t="s">
        <v>483</v>
      </c>
      <c r="G703" s="108" t="s">
        <v>23</v>
      </c>
      <c r="H703" s="126"/>
      <c r="I703" s="108">
        <v>7510010010</v>
      </c>
      <c r="J703" s="108" t="str">
        <f t="shared" si="124"/>
        <v>7510010010</v>
      </c>
      <c r="K703" s="304" t="str">
        <f t="shared" ref="K703:K704" si="130">C703&amp;D703&amp;E703&amp;J703&amp;G703</f>
        <v>60607097510010010122</v>
      </c>
      <c r="M703" s="22"/>
      <c r="N703" s="22"/>
      <c r="O703" s="22"/>
      <c r="P703" s="22"/>
      <c r="Q703" s="22"/>
      <c r="R703" s="22"/>
    </row>
    <row r="704" spans="1:19" s="24" customFormat="1" ht="63">
      <c r="A704" s="21"/>
      <c r="B704" s="127" t="s">
        <v>26</v>
      </c>
      <c r="C704" s="109" t="s">
        <v>394</v>
      </c>
      <c r="D704" s="108" t="s">
        <v>229</v>
      </c>
      <c r="E704" s="108" t="s">
        <v>471</v>
      </c>
      <c r="F704" s="108" t="s">
        <v>483</v>
      </c>
      <c r="G704" s="108" t="s">
        <v>27</v>
      </c>
      <c r="H704" s="126"/>
      <c r="I704" s="108">
        <v>7510010010</v>
      </c>
      <c r="J704" s="108" t="str">
        <f t="shared" si="124"/>
        <v>7510010010</v>
      </c>
      <c r="K704" s="304" t="str">
        <f t="shared" si="130"/>
        <v>60607097510010010129</v>
      </c>
      <c r="M704" s="22"/>
      <c r="N704" s="22"/>
      <c r="O704" s="22"/>
      <c r="P704" s="22"/>
      <c r="Q704" s="22"/>
      <c r="R704" s="22"/>
    </row>
    <row r="705" spans="1:19" s="17" customFormat="1" ht="31.5">
      <c r="A705" s="14"/>
      <c r="B705" s="125" t="s">
        <v>28</v>
      </c>
      <c r="C705" s="109" t="s">
        <v>394</v>
      </c>
      <c r="D705" s="108" t="s">
        <v>229</v>
      </c>
      <c r="E705" s="108" t="s">
        <v>471</v>
      </c>
      <c r="F705" s="108" t="s">
        <v>483</v>
      </c>
      <c r="G705" s="108" t="s">
        <v>29</v>
      </c>
      <c r="H705" s="126">
        <f>H706</f>
        <v>0</v>
      </c>
      <c r="I705" s="108">
        <v>7510010010</v>
      </c>
      <c r="J705" s="108" t="str">
        <f t="shared" si="124"/>
        <v>7510010010</v>
      </c>
      <c r="K705" s="132"/>
      <c r="M705" s="20">
        <v>1690.51</v>
      </c>
      <c r="N705" s="20">
        <v>1690.51</v>
      </c>
      <c r="O705" s="20">
        <v>1690.51</v>
      </c>
      <c r="P705" s="20">
        <f>H705-M705</f>
        <v>-1690.51</v>
      </c>
      <c r="Q705" s="20" t="e">
        <f>#REF!-N705</f>
        <v>#REF!</v>
      </c>
      <c r="R705" s="20" t="e">
        <f>#REF!-O705</f>
        <v>#REF!</v>
      </c>
      <c r="S705" s="17" t="str">
        <f t="shared" si="129"/>
        <v>75 1 00 10010240</v>
      </c>
    </row>
    <row r="706" spans="1:19" s="17" customFormat="1" ht="15.75">
      <c r="A706" s="14"/>
      <c r="B706" s="125" t="s">
        <v>30</v>
      </c>
      <c r="C706" s="109" t="s">
        <v>394</v>
      </c>
      <c r="D706" s="108" t="s">
        <v>229</v>
      </c>
      <c r="E706" s="108" t="s">
        <v>471</v>
      </c>
      <c r="F706" s="108" t="s">
        <v>483</v>
      </c>
      <c r="G706" s="108" t="s">
        <v>31</v>
      </c>
      <c r="H706" s="126"/>
      <c r="I706" s="108">
        <v>7510010010</v>
      </c>
      <c r="J706" s="108" t="str">
        <f t="shared" si="124"/>
        <v>7510010010</v>
      </c>
      <c r="K706" s="304" t="str">
        <f>C706&amp;D706&amp;E706&amp;J706&amp;G706</f>
        <v>60607097510010010244</v>
      </c>
      <c r="M706" s="20"/>
      <c r="N706" s="20"/>
      <c r="O706" s="20"/>
      <c r="P706" s="20"/>
      <c r="Q706" s="20"/>
      <c r="R706" s="20"/>
    </row>
    <row r="707" spans="1:19" s="17" customFormat="1" ht="15.75">
      <c r="A707" s="14"/>
      <c r="B707" s="125" t="s">
        <v>32</v>
      </c>
      <c r="C707" s="109" t="s">
        <v>394</v>
      </c>
      <c r="D707" s="108" t="s">
        <v>229</v>
      </c>
      <c r="E707" s="108" t="s">
        <v>471</v>
      </c>
      <c r="F707" s="108" t="s">
        <v>483</v>
      </c>
      <c r="G707" s="108" t="s">
        <v>33</v>
      </c>
      <c r="H707" s="126">
        <f>SUM(H708:H710)</f>
        <v>0</v>
      </c>
      <c r="I707" s="108">
        <v>7510010010</v>
      </c>
      <c r="J707" s="108" t="str">
        <f t="shared" si="124"/>
        <v>7510010010</v>
      </c>
      <c r="K707" s="132"/>
      <c r="M707" s="20">
        <v>53.14</v>
      </c>
      <c r="N707" s="20">
        <v>53.14</v>
      </c>
      <c r="O707" s="20">
        <v>53.14</v>
      </c>
      <c r="P707" s="20">
        <f>H707-M707</f>
        <v>-53.14</v>
      </c>
      <c r="Q707" s="20" t="e">
        <f>#REF!-N707</f>
        <v>#REF!</v>
      </c>
      <c r="R707" s="20" t="e">
        <f>#REF!-O707</f>
        <v>#REF!</v>
      </c>
      <c r="S707" s="17" t="str">
        <f t="shared" si="129"/>
        <v>75 1 00 10010850</v>
      </c>
    </row>
    <row r="708" spans="1:19" s="24" customFormat="1" ht="31.5">
      <c r="A708" s="21"/>
      <c r="B708" s="127" t="s">
        <v>34</v>
      </c>
      <c r="C708" s="109" t="s">
        <v>394</v>
      </c>
      <c r="D708" s="108" t="s">
        <v>229</v>
      </c>
      <c r="E708" s="108" t="s">
        <v>471</v>
      </c>
      <c r="F708" s="108" t="s">
        <v>483</v>
      </c>
      <c r="G708" s="108" t="s">
        <v>35</v>
      </c>
      <c r="H708" s="126"/>
      <c r="I708" s="108">
        <v>7510010010</v>
      </c>
      <c r="J708" s="108" t="str">
        <f t="shared" si="124"/>
        <v>7510010010</v>
      </c>
      <c r="K708" s="304" t="str">
        <f t="shared" ref="K708:K710" si="131">C708&amp;D708&amp;E708&amp;J708&amp;G708</f>
        <v>60607097510010010851</v>
      </c>
      <c r="M708" s="22"/>
      <c r="N708" s="22"/>
      <c r="O708" s="22"/>
      <c r="P708" s="22"/>
      <c r="Q708" s="22"/>
      <c r="R708" s="22"/>
    </row>
    <row r="709" spans="1:19" s="24" customFormat="1" ht="15.75">
      <c r="A709" s="21"/>
      <c r="B709" s="127" t="s">
        <v>36</v>
      </c>
      <c r="C709" s="109" t="s">
        <v>394</v>
      </c>
      <c r="D709" s="108" t="s">
        <v>229</v>
      </c>
      <c r="E709" s="108" t="s">
        <v>471</v>
      </c>
      <c r="F709" s="108" t="s">
        <v>483</v>
      </c>
      <c r="G709" s="108" t="s">
        <v>37</v>
      </c>
      <c r="H709" s="126"/>
      <c r="I709" s="108">
        <v>7510010010</v>
      </c>
      <c r="J709" s="108" t="str">
        <f t="shared" si="124"/>
        <v>7510010010</v>
      </c>
      <c r="K709" s="304" t="str">
        <f t="shared" si="131"/>
        <v>60607097510010010852</v>
      </c>
      <c r="M709" s="22"/>
      <c r="N709" s="22"/>
      <c r="O709" s="22"/>
      <c r="P709" s="22"/>
      <c r="Q709" s="22"/>
      <c r="R709" s="22"/>
    </row>
    <row r="710" spans="1:19" s="24" customFormat="1" ht="15.75">
      <c r="A710" s="21"/>
      <c r="B710" s="127" t="s">
        <v>77</v>
      </c>
      <c r="C710" s="109" t="s">
        <v>394</v>
      </c>
      <c r="D710" s="108" t="s">
        <v>229</v>
      </c>
      <c r="E710" s="108" t="s">
        <v>471</v>
      </c>
      <c r="F710" s="108" t="s">
        <v>483</v>
      </c>
      <c r="G710" s="108" t="s">
        <v>78</v>
      </c>
      <c r="H710" s="126"/>
      <c r="I710" s="108">
        <v>7510010010</v>
      </c>
      <c r="J710" s="108" t="str">
        <f t="shared" si="124"/>
        <v>7510010010</v>
      </c>
      <c r="K710" s="304" t="str">
        <f t="shared" si="131"/>
        <v>60607097510010010853</v>
      </c>
      <c r="M710" s="22"/>
      <c r="N710" s="22"/>
      <c r="O710" s="22"/>
      <c r="P710" s="22"/>
      <c r="Q710" s="22"/>
      <c r="R710" s="22"/>
    </row>
    <row r="711" spans="1:19" s="17" customFormat="1" ht="31.5">
      <c r="A711" s="14"/>
      <c r="B711" s="125" t="s">
        <v>38</v>
      </c>
      <c r="C711" s="109" t="s">
        <v>394</v>
      </c>
      <c r="D711" s="108" t="s">
        <v>229</v>
      </c>
      <c r="E711" s="108" t="s">
        <v>471</v>
      </c>
      <c r="F711" s="108" t="s">
        <v>485</v>
      </c>
      <c r="G711" s="108" t="s">
        <v>9</v>
      </c>
      <c r="H711" s="126">
        <f>H712</f>
        <v>0</v>
      </c>
      <c r="I711" s="108">
        <v>7510010020</v>
      </c>
      <c r="J711" s="108" t="str">
        <f t="shared" si="124"/>
        <v>7510010020</v>
      </c>
      <c r="K711" s="132"/>
      <c r="M711" s="20">
        <v>21313.48</v>
      </c>
      <c r="N711" s="20">
        <v>21313.48</v>
      </c>
      <c r="O711" s="20">
        <v>21313.48</v>
      </c>
      <c r="P711" s="20">
        <f>H711-M711</f>
        <v>-21313.48</v>
      </c>
      <c r="Q711" s="20" t="e">
        <f>#REF!-N711</f>
        <v>#REF!</v>
      </c>
      <c r="R711" s="20" t="e">
        <f>#REF!-O711</f>
        <v>#REF!</v>
      </c>
      <c r="S711" s="17" t="str">
        <f t="shared" si="129"/>
        <v>75 1 00 10020000</v>
      </c>
    </row>
    <row r="712" spans="1:19" s="17" customFormat="1" ht="31.5">
      <c r="A712" s="14"/>
      <c r="B712" s="125" t="s">
        <v>484</v>
      </c>
      <c r="C712" s="109" t="s">
        <v>394</v>
      </c>
      <c r="D712" s="108" t="s">
        <v>229</v>
      </c>
      <c r="E712" s="108" t="s">
        <v>471</v>
      </c>
      <c r="F712" s="108" t="s">
        <v>485</v>
      </c>
      <c r="G712" s="108" t="s">
        <v>21</v>
      </c>
      <c r="H712" s="126">
        <f>SUM(H713:H714)</f>
        <v>0</v>
      </c>
      <c r="I712" s="108">
        <v>7510010020</v>
      </c>
      <c r="J712" s="108" t="str">
        <f t="shared" si="124"/>
        <v>7510010020</v>
      </c>
      <c r="K712" s="132"/>
      <c r="M712" s="20">
        <v>21313.48</v>
      </c>
      <c r="N712" s="20">
        <v>21313.48</v>
      </c>
      <c r="O712" s="20">
        <v>21313.48</v>
      </c>
      <c r="P712" s="20">
        <f>H712-M712</f>
        <v>-21313.48</v>
      </c>
      <c r="Q712" s="20" t="e">
        <f>#REF!-N712</f>
        <v>#REF!</v>
      </c>
      <c r="R712" s="20" t="e">
        <f>#REF!-O712</f>
        <v>#REF!</v>
      </c>
      <c r="S712" s="17" t="str">
        <f t="shared" si="129"/>
        <v>75 1 00 10020120</v>
      </c>
    </row>
    <row r="713" spans="1:19" s="24" customFormat="1" ht="31.5">
      <c r="A713" s="21"/>
      <c r="B713" s="127" t="s">
        <v>40</v>
      </c>
      <c r="C713" s="109" t="s">
        <v>394</v>
      </c>
      <c r="D713" s="108" t="s">
        <v>229</v>
      </c>
      <c r="E713" s="108" t="s">
        <v>471</v>
      </c>
      <c r="F713" s="108" t="s">
        <v>485</v>
      </c>
      <c r="G713" s="108" t="s">
        <v>41</v>
      </c>
      <c r="H713" s="126"/>
      <c r="I713" s="108">
        <v>7510010020</v>
      </c>
      <c r="J713" s="108" t="str">
        <f t="shared" si="124"/>
        <v>7510010020</v>
      </c>
      <c r="K713" s="304" t="str">
        <f t="shared" ref="K713:K714" si="132">C713&amp;D713&amp;E713&amp;J713&amp;G713</f>
        <v>60607097510010020121</v>
      </c>
      <c r="M713" s="22"/>
      <c r="N713" s="22"/>
      <c r="O713" s="22"/>
      <c r="P713" s="22"/>
      <c r="Q713" s="22"/>
      <c r="R713" s="22"/>
    </row>
    <row r="714" spans="1:19" s="24" customFormat="1" ht="63">
      <c r="A714" s="21"/>
      <c r="B714" s="127" t="s">
        <v>26</v>
      </c>
      <c r="C714" s="109" t="s">
        <v>394</v>
      </c>
      <c r="D714" s="108" t="s">
        <v>229</v>
      </c>
      <c r="E714" s="108" t="s">
        <v>471</v>
      </c>
      <c r="F714" s="108" t="s">
        <v>485</v>
      </c>
      <c r="G714" s="108" t="s">
        <v>27</v>
      </c>
      <c r="H714" s="126"/>
      <c r="I714" s="108">
        <v>7510010020</v>
      </c>
      <c r="J714" s="108" t="str">
        <f t="shared" si="124"/>
        <v>7510010020</v>
      </c>
      <c r="K714" s="304" t="str">
        <f t="shared" si="132"/>
        <v>60607097510010020129</v>
      </c>
      <c r="M714" s="22"/>
      <c r="N714" s="22"/>
      <c r="O714" s="22"/>
      <c r="P714" s="22"/>
      <c r="Q714" s="22"/>
      <c r="R714" s="22"/>
    </row>
    <row r="715" spans="1:19" s="17" customFormat="1" ht="31.5">
      <c r="A715" s="14"/>
      <c r="B715" s="307" t="s">
        <v>136</v>
      </c>
      <c r="C715" s="109" t="s">
        <v>394</v>
      </c>
      <c r="D715" s="108" t="s">
        <v>229</v>
      </c>
      <c r="E715" s="108" t="s">
        <v>471</v>
      </c>
      <c r="F715" s="108" t="s">
        <v>486</v>
      </c>
      <c r="G715" s="108" t="s">
        <v>9</v>
      </c>
      <c r="H715" s="126">
        <f>H716+H719</f>
        <v>0</v>
      </c>
      <c r="I715" s="108">
        <v>7510011010</v>
      </c>
      <c r="J715" s="108" t="str">
        <f t="shared" si="124"/>
        <v>7510011010</v>
      </c>
      <c r="K715" s="132"/>
      <c r="M715" s="20">
        <v>6806.64</v>
      </c>
      <c r="N715" s="20">
        <v>6709.94</v>
      </c>
      <c r="O715" s="20">
        <v>6709.94</v>
      </c>
      <c r="P715" s="20">
        <f>H715-M715</f>
        <v>-6806.64</v>
      </c>
      <c r="Q715" s="20" t="e">
        <f>#REF!-N715</f>
        <v>#REF!</v>
      </c>
      <c r="R715" s="20" t="e">
        <f>#REF!-O715</f>
        <v>#REF!</v>
      </c>
      <c r="S715" s="17" t="str">
        <f t="shared" si="129"/>
        <v>75 1 00 11010000</v>
      </c>
    </row>
    <row r="716" spans="1:19" s="17" customFormat="1" ht="15.75">
      <c r="A716" s="14"/>
      <c r="B716" s="306" t="s">
        <v>138</v>
      </c>
      <c r="C716" s="109" t="s">
        <v>394</v>
      </c>
      <c r="D716" s="108" t="s">
        <v>229</v>
      </c>
      <c r="E716" s="108" t="s">
        <v>471</v>
      </c>
      <c r="F716" s="108" t="s">
        <v>486</v>
      </c>
      <c r="G716" s="108" t="s">
        <v>139</v>
      </c>
      <c r="H716" s="126">
        <f>SUM(H717:H718)</f>
        <v>0</v>
      </c>
      <c r="I716" s="108">
        <v>7510011010</v>
      </c>
      <c r="J716" s="108" t="str">
        <f t="shared" si="124"/>
        <v>7510011010</v>
      </c>
      <c r="K716" s="132"/>
      <c r="M716" s="20">
        <v>5943.04</v>
      </c>
      <c r="N716" s="20">
        <v>6483.32</v>
      </c>
      <c r="O716" s="20">
        <v>6483.32</v>
      </c>
      <c r="P716" s="20">
        <f>H716-M716</f>
        <v>-5943.04</v>
      </c>
      <c r="Q716" s="20" t="e">
        <f>#REF!-N716</f>
        <v>#REF!</v>
      </c>
      <c r="R716" s="20" t="e">
        <f>#REF!-O716</f>
        <v>#REF!</v>
      </c>
      <c r="S716" s="17" t="str">
        <f t="shared" si="129"/>
        <v>75 1 00 11010110</v>
      </c>
    </row>
    <row r="717" spans="1:19" s="24" customFormat="1" ht="15.75">
      <c r="A717" s="21"/>
      <c r="B717" s="127" t="s">
        <v>140</v>
      </c>
      <c r="C717" s="109" t="s">
        <v>394</v>
      </c>
      <c r="D717" s="108" t="s">
        <v>229</v>
      </c>
      <c r="E717" s="108" t="s">
        <v>471</v>
      </c>
      <c r="F717" s="108" t="s">
        <v>486</v>
      </c>
      <c r="G717" s="108" t="s">
        <v>141</v>
      </c>
      <c r="H717" s="126"/>
      <c r="I717" s="108">
        <v>7510011010</v>
      </c>
      <c r="J717" s="108" t="str">
        <f t="shared" si="124"/>
        <v>7510011010</v>
      </c>
      <c r="K717" s="304" t="str">
        <f t="shared" ref="K717:K718" si="133">C717&amp;D717&amp;E717&amp;J717&amp;G717</f>
        <v>60607097510011010111</v>
      </c>
      <c r="M717" s="22"/>
      <c r="N717" s="22"/>
      <c r="O717" s="22"/>
      <c r="P717" s="22"/>
      <c r="Q717" s="22"/>
      <c r="R717" s="22"/>
    </row>
    <row r="718" spans="1:19" s="24" customFormat="1" ht="47.25">
      <c r="A718" s="21"/>
      <c r="B718" s="127" t="s">
        <v>487</v>
      </c>
      <c r="C718" s="109" t="s">
        <v>394</v>
      </c>
      <c r="D718" s="108" t="s">
        <v>229</v>
      </c>
      <c r="E718" s="108" t="s">
        <v>471</v>
      </c>
      <c r="F718" s="108" t="s">
        <v>486</v>
      </c>
      <c r="G718" s="108" t="s">
        <v>145</v>
      </c>
      <c r="H718" s="126"/>
      <c r="I718" s="108">
        <v>7510011010</v>
      </c>
      <c r="J718" s="108" t="str">
        <f t="shared" si="124"/>
        <v>7510011010</v>
      </c>
      <c r="K718" s="304" t="str">
        <f t="shared" si="133"/>
        <v>60607097510011010119</v>
      </c>
      <c r="M718" s="22"/>
      <c r="N718" s="22"/>
      <c r="O718" s="22"/>
      <c r="P718" s="22"/>
      <c r="Q718" s="22"/>
      <c r="R718" s="22"/>
    </row>
    <row r="719" spans="1:19" s="17" customFormat="1" ht="31.5">
      <c r="A719" s="14"/>
      <c r="B719" s="125" t="s">
        <v>28</v>
      </c>
      <c r="C719" s="109" t="s">
        <v>394</v>
      </c>
      <c r="D719" s="108" t="s">
        <v>229</v>
      </c>
      <c r="E719" s="108" t="s">
        <v>471</v>
      </c>
      <c r="F719" s="108" t="s">
        <v>486</v>
      </c>
      <c r="G719" s="108" t="s">
        <v>29</v>
      </c>
      <c r="H719" s="126">
        <f>H720</f>
        <v>0</v>
      </c>
      <c r="I719" s="108">
        <v>7510011010</v>
      </c>
      <c r="J719" s="108" t="str">
        <f t="shared" si="124"/>
        <v>7510011010</v>
      </c>
      <c r="K719" s="132"/>
      <c r="M719" s="20">
        <v>863.6</v>
      </c>
      <c r="N719" s="20">
        <v>226.62</v>
      </c>
      <c r="O719" s="20">
        <v>226.62</v>
      </c>
      <c r="P719" s="20">
        <f>H719-M719</f>
        <v>-863.6</v>
      </c>
      <c r="Q719" s="20" t="e">
        <f>#REF!-N719</f>
        <v>#REF!</v>
      </c>
      <c r="R719" s="20" t="e">
        <f>#REF!-O719</f>
        <v>#REF!</v>
      </c>
      <c r="S719" s="17" t="str">
        <f t="shared" si="129"/>
        <v>75 1 00 11010240</v>
      </c>
    </row>
    <row r="720" spans="1:19" s="17" customFormat="1" ht="15.75">
      <c r="A720" s="14"/>
      <c r="B720" s="125" t="s">
        <v>30</v>
      </c>
      <c r="C720" s="109" t="s">
        <v>394</v>
      </c>
      <c r="D720" s="108" t="s">
        <v>229</v>
      </c>
      <c r="E720" s="108" t="s">
        <v>471</v>
      </c>
      <c r="F720" s="108" t="s">
        <v>486</v>
      </c>
      <c r="G720" s="108" t="s">
        <v>31</v>
      </c>
      <c r="H720" s="126"/>
      <c r="I720" s="108">
        <v>7510011010</v>
      </c>
      <c r="J720" s="108" t="str">
        <f t="shared" si="124"/>
        <v>7510011010</v>
      </c>
      <c r="K720" s="304" t="str">
        <f>C720&amp;D720&amp;E720&amp;J720&amp;G720</f>
        <v>60607097510011010244</v>
      </c>
      <c r="M720" s="20"/>
      <c r="N720" s="20"/>
      <c r="O720" s="20"/>
      <c r="P720" s="20"/>
      <c r="Q720" s="20"/>
      <c r="R720" s="20"/>
    </row>
    <row r="721" spans="1:19" s="17" customFormat="1" ht="63">
      <c r="A721" s="14" t="s">
        <v>80</v>
      </c>
      <c r="B721" s="125" t="s">
        <v>488</v>
      </c>
      <c r="C721" s="109" t="s">
        <v>394</v>
      </c>
      <c r="D721" s="108" t="s">
        <v>229</v>
      </c>
      <c r="E721" s="108" t="s">
        <v>471</v>
      </c>
      <c r="F721" s="108" t="s">
        <v>489</v>
      </c>
      <c r="G721" s="108" t="s">
        <v>9</v>
      </c>
      <c r="H721" s="126">
        <f>H722+H726</f>
        <v>0</v>
      </c>
      <c r="I721" s="108">
        <v>7510076200</v>
      </c>
      <c r="J721" s="108" t="str">
        <f t="shared" si="124"/>
        <v>7510076200</v>
      </c>
      <c r="K721" s="132"/>
      <c r="M721" s="20">
        <v>1971.42</v>
      </c>
      <c r="N721" s="20">
        <v>1971.42</v>
      </c>
      <c r="O721" s="20">
        <v>1971.42</v>
      </c>
      <c r="P721" s="20">
        <f>H721-M721</f>
        <v>-1971.42</v>
      </c>
      <c r="Q721" s="20" t="e">
        <f>#REF!-N721</f>
        <v>#REF!</v>
      </c>
      <c r="R721" s="20" t="e">
        <f>#REF!-O721</f>
        <v>#REF!</v>
      </c>
      <c r="S721" s="17" t="str">
        <f t="shared" si="129"/>
        <v>75 1 00 76200000</v>
      </c>
    </row>
    <row r="722" spans="1:19" s="17" customFormat="1" ht="31.5">
      <c r="A722" s="14"/>
      <c r="B722" s="125" t="s">
        <v>484</v>
      </c>
      <c r="C722" s="109" t="s">
        <v>394</v>
      </c>
      <c r="D722" s="108" t="s">
        <v>229</v>
      </c>
      <c r="E722" s="108" t="s">
        <v>471</v>
      </c>
      <c r="F722" s="108" t="s">
        <v>489</v>
      </c>
      <c r="G722" s="108" t="s">
        <v>21</v>
      </c>
      <c r="H722" s="126">
        <f>SUM(H723:H725)</f>
        <v>0</v>
      </c>
      <c r="I722" s="108">
        <v>7510076200</v>
      </c>
      <c r="J722" s="108" t="str">
        <f t="shared" si="124"/>
        <v>7510076200</v>
      </c>
      <c r="K722" s="132"/>
      <c r="M722" s="20">
        <v>1951.93</v>
      </c>
      <c r="N722" s="20">
        <v>1951.93</v>
      </c>
      <c r="O722" s="20">
        <v>1951.93</v>
      </c>
      <c r="P722" s="20">
        <f>H722-M722</f>
        <v>-1951.93</v>
      </c>
      <c r="Q722" s="20" t="e">
        <f>#REF!-N722</f>
        <v>#REF!</v>
      </c>
      <c r="R722" s="20" t="e">
        <f>#REF!-O722</f>
        <v>#REF!</v>
      </c>
      <c r="S722" s="17" t="str">
        <f t="shared" si="129"/>
        <v>75 1 00 76200120</v>
      </c>
    </row>
    <row r="723" spans="1:19" s="17" customFormat="1" ht="31.5">
      <c r="A723" s="14"/>
      <c r="B723" s="127" t="s">
        <v>40</v>
      </c>
      <c r="C723" s="109" t="s">
        <v>394</v>
      </c>
      <c r="D723" s="108" t="s">
        <v>229</v>
      </c>
      <c r="E723" s="108" t="s">
        <v>471</v>
      </c>
      <c r="F723" s="108" t="s">
        <v>489</v>
      </c>
      <c r="G723" s="108" t="s">
        <v>41</v>
      </c>
      <c r="H723" s="126"/>
      <c r="I723" s="108">
        <v>7510076200</v>
      </c>
      <c r="J723" s="108" t="str">
        <f t="shared" si="124"/>
        <v>7510076200</v>
      </c>
      <c r="K723" s="304" t="str">
        <f t="shared" ref="K723:K725" si="134">C723&amp;D723&amp;E723&amp;J723&amp;G723</f>
        <v>60607097510076200121</v>
      </c>
      <c r="M723" s="20"/>
      <c r="N723" s="20"/>
      <c r="O723" s="20"/>
      <c r="P723" s="20"/>
      <c r="Q723" s="20"/>
      <c r="R723" s="20"/>
    </row>
    <row r="724" spans="1:19" s="24" customFormat="1" ht="47.25">
      <c r="A724" s="21"/>
      <c r="B724" s="127" t="s">
        <v>22</v>
      </c>
      <c r="C724" s="109" t="s">
        <v>394</v>
      </c>
      <c r="D724" s="108" t="s">
        <v>229</v>
      </c>
      <c r="E724" s="108" t="s">
        <v>471</v>
      </c>
      <c r="F724" s="108" t="s">
        <v>489</v>
      </c>
      <c r="G724" s="108" t="s">
        <v>23</v>
      </c>
      <c r="H724" s="126"/>
      <c r="I724" s="108">
        <v>7510076200</v>
      </c>
      <c r="J724" s="108" t="str">
        <f t="shared" si="124"/>
        <v>7510076200</v>
      </c>
      <c r="K724" s="304" t="str">
        <f t="shared" si="134"/>
        <v>60607097510076200122</v>
      </c>
      <c r="M724" s="22"/>
      <c r="N724" s="22"/>
      <c r="O724" s="22"/>
      <c r="P724" s="22"/>
      <c r="Q724" s="22"/>
      <c r="R724" s="22"/>
    </row>
    <row r="725" spans="1:19" s="24" customFormat="1" ht="63">
      <c r="A725" s="21"/>
      <c r="B725" s="127" t="s">
        <v>26</v>
      </c>
      <c r="C725" s="109" t="s">
        <v>394</v>
      </c>
      <c r="D725" s="108" t="s">
        <v>229</v>
      </c>
      <c r="E725" s="108" t="s">
        <v>471</v>
      </c>
      <c r="F725" s="108" t="s">
        <v>489</v>
      </c>
      <c r="G725" s="108" t="s">
        <v>27</v>
      </c>
      <c r="H725" s="126"/>
      <c r="I725" s="108">
        <v>7510076200</v>
      </c>
      <c r="J725" s="108" t="str">
        <f t="shared" si="124"/>
        <v>7510076200</v>
      </c>
      <c r="K725" s="304" t="str">
        <f t="shared" si="134"/>
        <v>60607097510076200129</v>
      </c>
      <c r="M725" s="22"/>
      <c r="N725" s="22"/>
      <c r="O725" s="22"/>
      <c r="P725" s="22"/>
      <c r="Q725" s="22"/>
      <c r="R725" s="22"/>
    </row>
    <row r="726" spans="1:19" s="17" customFormat="1" ht="31.5">
      <c r="A726" s="14"/>
      <c r="B726" s="125" t="s">
        <v>28</v>
      </c>
      <c r="C726" s="109" t="s">
        <v>394</v>
      </c>
      <c r="D726" s="108" t="s">
        <v>229</v>
      </c>
      <c r="E726" s="108" t="s">
        <v>471</v>
      </c>
      <c r="F726" s="108" t="s">
        <v>489</v>
      </c>
      <c r="G726" s="108" t="s">
        <v>29</v>
      </c>
      <c r="H726" s="126">
        <f>H727</f>
        <v>0</v>
      </c>
      <c r="I726" s="108">
        <v>7510076200</v>
      </c>
      <c r="J726" s="108" t="str">
        <f t="shared" si="124"/>
        <v>7510076200</v>
      </c>
      <c r="K726" s="132"/>
      <c r="M726" s="20">
        <v>19.489999999999998</v>
      </c>
      <c r="N726" s="20">
        <v>19.489999999999998</v>
      </c>
      <c r="O726" s="20">
        <v>19.489999999999998</v>
      </c>
      <c r="P726" s="20">
        <f>H726-M726</f>
        <v>-19.489999999999998</v>
      </c>
      <c r="Q726" s="20" t="e">
        <f>#REF!-N726</f>
        <v>#REF!</v>
      </c>
      <c r="R726" s="20" t="e">
        <f>#REF!-O726</f>
        <v>#REF!</v>
      </c>
      <c r="S726" s="17" t="str">
        <f t="shared" si="129"/>
        <v>75 1 00 76200240</v>
      </c>
    </row>
    <row r="727" spans="1:19" s="17" customFormat="1" ht="15.75">
      <c r="A727" s="14"/>
      <c r="B727" s="125" t="s">
        <v>30</v>
      </c>
      <c r="C727" s="109" t="s">
        <v>394</v>
      </c>
      <c r="D727" s="108" t="s">
        <v>229</v>
      </c>
      <c r="E727" s="108" t="s">
        <v>471</v>
      </c>
      <c r="F727" s="108" t="s">
        <v>489</v>
      </c>
      <c r="G727" s="108" t="s">
        <v>31</v>
      </c>
      <c r="H727" s="126"/>
      <c r="I727" s="108">
        <v>7510076200</v>
      </c>
      <c r="J727" s="108" t="str">
        <f t="shared" si="124"/>
        <v>7510076200</v>
      </c>
      <c r="K727" s="304" t="str">
        <f>C727&amp;D727&amp;E727&amp;J727&amp;G727</f>
        <v>60607097510076200244</v>
      </c>
      <c r="M727" s="20"/>
      <c r="N727" s="20"/>
      <c r="O727" s="20"/>
      <c r="P727" s="20"/>
      <c r="Q727" s="20"/>
      <c r="R727" s="20"/>
    </row>
    <row r="728" spans="1:19" s="17" customFormat="1" ht="15.75">
      <c r="A728" s="14"/>
      <c r="B728" s="117" t="s">
        <v>316</v>
      </c>
      <c r="C728" s="118" t="s">
        <v>394</v>
      </c>
      <c r="D728" s="119" t="s">
        <v>317</v>
      </c>
      <c r="E728" s="119" t="s">
        <v>7</v>
      </c>
      <c r="F728" s="119" t="s">
        <v>8</v>
      </c>
      <c r="G728" s="119" t="s">
        <v>9</v>
      </c>
      <c r="H728" s="120">
        <f t="shared" ref="H728:H730" si="135">H729</f>
        <v>0</v>
      </c>
      <c r="I728" s="119">
        <v>0</v>
      </c>
      <c r="J728" s="119" t="str">
        <f t="shared" si="124"/>
        <v>0000000000</v>
      </c>
      <c r="K728" s="132"/>
      <c r="M728" s="18">
        <v>130554.89</v>
      </c>
      <c r="N728" s="18">
        <v>130554.89</v>
      </c>
      <c r="O728" s="18">
        <v>130554.89</v>
      </c>
      <c r="P728" s="18">
        <f t="shared" ref="P728:P734" si="136">H728-M728</f>
        <v>-130554.89</v>
      </c>
      <c r="Q728" s="18" t="e">
        <f>#REF!-N728</f>
        <v>#REF!</v>
      </c>
      <c r="R728" s="18" t="e">
        <f>#REF!-O728</f>
        <v>#REF!</v>
      </c>
      <c r="S728" s="17" t="str">
        <f t="shared" si="129"/>
        <v>00 0 00 00000000</v>
      </c>
    </row>
    <row r="729" spans="1:19" s="17" customFormat="1" ht="15.75">
      <c r="A729" s="14"/>
      <c r="B729" s="121" t="s">
        <v>490</v>
      </c>
      <c r="C729" s="122" t="s">
        <v>394</v>
      </c>
      <c r="D729" s="123" t="s">
        <v>317</v>
      </c>
      <c r="E729" s="123" t="s">
        <v>73</v>
      </c>
      <c r="F729" s="123" t="s">
        <v>8</v>
      </c>
      <c r="G729" s="123" t="s">
        <v>9</v>
      </c>
      <c r="H729" s="124">
        <f t="shared" si="135"/>
        <v>0</v>
      </c>
      <c r="I729" s="123">
        <v>0</v>
      </c>
      <c r="J729" s="123" t="str">
        <f t="shared" si="124"/>
        <v>0000000000</v>
      </c>
      <c r="K729" s="132"/>
      <c r="M729" s="19">
        <v>130554.89</v>
      </c>
      <c r="N729" s="19">
        <v>130554.89</v>
      </c>
      <c r="O729" s="19">
        <v>130554.89</v>
      </c>
      <c r="P729" s="19">
        <f t="shared" si="136"/>
        <v>-130554.89</v>
      </c>
      <c r="Q729" s="19" t="e">
        <f>#REF!-N729</f>
        <v>#REF!</v>
      </c>
      <c r="R729" s="19" t="e">
        <f>#REF!-O729</f>
        <v>#REF!</v>
      </c>
      <c r="S729" s="17" t="str">
        <f t="shared" si="129"/>
        <v>00 0 00 00000000</v>
      </c>
    </row>
    <row r="730" spans="1:19" s="17" customFormat="1" ht="31.5">
      <c r="A730" s="14"/>
      <c r="B730" s="132" t="s">
        <v>396</v>
      </c>
      <c r="C730" s="109" t="s">
        <v>394</v>
      </c>
      <c r="D730" s="108" t="s">
        <v>317</v>
      </c>
      <c r="E730" s="108" t="s">
        <v>73</v>
      </c>
      <c r="F730" s="108" t="s">
        <v>397</v>
      </c>
      <c r="G730" s="108" t="s">
        <v>9</v>
      </c>
      <c r="H730" s="126">
        <f t="shared" si="135"/>
        <v>0</v>
      </c>
      <c r="I730" s="108">
        <v>100000000</v>
      </c>
      <c r="J730" s="108" t="str">
        <f t="shared" si="124"/>
        <v>0100000000</v>
      </c>
      <c r="K730" s="132"/>
      <c r="M730" s="20">
        <v>130554.89</v>
      </c>
      <c r="N730" s="20">
        <v>130554.89</v>
      </c>
      <c r="O730" s="20">
        <v>130554.89</v>
      </c>
      <c r="P730" s="20">
        <f t="shared" si="136"/>
        <v>-130554.89</v>
      </c>
      <c r="Q730" s="20" t="e">
        <f>#REF!-N730</f>
        <v>#REF!</v>
      </c>
      <c r="R730" s="20" t="e">
        <f>#REF!-O730</f>
        <v>#REF!</v>
      </c>
      <c r="S730" s="17" t="str">
        <f t="shared" si="129"/>
        <v>01 0 00 00000000</v>
      </c>
    </row>
    <row r="731" spans="1:19" s="17" customFormat="1" ht="31.5">
      <c r="A731" s="14"/>
      <c r="B731" s="132" t="s">
        <v>398</v>
      </c>
      <c r="C731" s="109" t="s">
        <v>394</v>
      </c>
      <c r="D731" s="108" t="s">
        <v>317</v>
      </c>
      <c r="E731" s="108" t="s">
        <v>73</v>
      </c>
      <c r="F731" s="108" t="s">
        <v>399</v>
      </c>
      <c r="G731" s="108" t="s">
        <v>9</v>
      </c>
      <c r="H731" s="126">
        <f>H732+H738</f>
        <v>0</v>
      </c>
      <c r="I731" s="108">
        <v>110000000</v>
      </c>
      <c r="J731" s="108" t="str">
        <f t="shared" si="124"/>
        <v>0110000000</v>
      </c>
      <c r="K731" s="132"/>
      <c r="M731" s="20">
        <v>130554.89</v>
      </c>
      <c r="N731" s="20">
        <v>130554.89</v>
      </c>
      <c r="O731" s="20">
        <v>130554.89</v>
      </c>
      <c r="P731" s="20">
        <f t="shared" si="136"/>
        <v>-130554.89</v>
      </c>
      <c r="Q731" s="20" t="e">
        <f>#REF!-N731</f>
        <v>#REF!</v>
      </c>
      <c r="R731" s="20" t="e">
        <f>#REF!-O731</f>
        <v>#REF!</v>
      </c>
      <c r="S731" s="17" t="str">
        <f t="shared" si="129"/>
        <v>01 1 00 00000000</v>
      </c>
    </row>
    <row r="732" spans="1:19" s="17" customFormat="1" ht="47.25">
      <c r="A732" s="14"/>
      <c r="B732" s="132" t="s">
        <v>400</v>
      </c>
      <c r="C732" s="109" t="s">
        <v>394</v>
      </c>
      <c r="D732" s="108" t="s">
        <v>317</v>
      </c>
      <c r="E732" s="108" t="s">
        <v>73</v>
      </c>
      <c r="F732" s="108" t="s">
        <v>401</v>
      </c>
      <c r="G732" s="108" t="s">
        <v>9</v>
      </c>
      <c r="H732" s="126">
        <f>H733</f>
        <v>0</v>
      </c>
      <c r="I732" s="108">
        <v>110100000</v>
      </c>
      <c r="J732" s="108" t="str">
        <f t="shared" si="124"/>
        <v>0110100000</v>
      </c>
      <c r="K732" s="132"/>
      <c r="M732" s="20">
        <v>83933.4</v>
      </c>
      <c r="N732" s="20">
        <v>83933.4</v>
      </c>
      <c r="O732" s="20">
        <v>83933.4</v>
      </c>
      <c r="P732" s="20">
        <f t="shared" si="136"/>
        <v>-83933.4</v>
      </c>
      <c r="Q732" s="20" t="e">
        <f>#REF!-N732</f>
        <v>#REF!</v>
      </c>
      <c r="R732" s="20" t="e">
        <f>#REF!-O732</f>
        <v>#REF!</v>
      </c>
      <c r="S732" s="17" t="str">
        <f t="shared" si="129"/>
        <v>01 1 01 00000000</v>
      </c>
    </row>
    <row r="733" spans="1:19" s="17" customFormat="1" ht="78.75">
      <c r="A733" s="14" t="s">
        <v>80</v>
      </c>
      <c r="B733" s="132" t="s">
        <v>491</v>
      </c>
      <c r="C733" s="109" t="s">
        <v>394</v>
      </c>
      <c r="D733" s="108" t="s">
        <v>317</v>
      </c>
      <c r="E733" s="108" t="s">
        <v>73</v>
      </c>
      <c r="F733" s="108" t="s">
        <v>492</v>
      </c>
      <c r="G733" s="108" t="s">
        <v>9</v>
      </c>
      <c r="H733" s="126">
        <f>H734+H736</f>
        <v>0</v>
      </c>
      <c r="I733" s="108">
        <v>110176140</v>
      </c>
      <c r="J733" s="108" t="str">
        <f t="shared" si="124"/>
        <v>0110176140</v>
      </c>
      <c r="K733" s="132"/>
      <c r="M733" s="20">
        <v>83933.4</v>
      </c>
      <c r="N733" s="20">
        <v>83933.4</v>
      </c>
      <c r="O733" s="20">
        <v>83933.4</v>
      </c>
      <c r="P733" s="20">
        <f t="shared" si="136"/>
        <v>-83933.4</v>
      </c>
      <c r="Q733" s="20" t="e">
        <f>#REF!-N733</f>
        <v>#REF!</v>
      </c>
      <c r="R733" s="20" t="e">
        <f>#REF!-O733</f>
        <v>#REF!</v>
      </c>
      <c r="S733" s="17" t="str">
        <f t="shared" si="129"/>
        <v>01 1 01 76140000</v>
      </c>
    </row>
    <row r="734" spans="1:19" s="17" customFormat="1" ht="31.5">
      <c r="A734" s="14"/>
      <c r="B734" s="125" t="s">
        <v>28</v>
      </c>
      <c r="C734" s="109" t="s">
        <v>394</v>
      </c>
      <c r="D734" s="108" t="s">
        <v>317</v>
      </c>
      <c r="E734" s="108" t="s">
        <v>73</v>
      </c>
      <c r="F734" s="108" t="s">
        <v>492</v>
      </c>
      <c r="G734" s="108" t="s">
        <v>29</v>
      </c>
      <c r="H734" s="126">
        <f>H735</f>
        <v>0</v>
      </c>
      <c r="I734" s="108">
        <v>110176140</v>
      </c>
      <c r="J734" s="108" t="str">
        <f t="shared" si="124"/>
        <v>0110176140</v>
      </c>
      <c r="K734" s="132"/>
      <c r="M734" s="20">
        <v>1259</v>
      </c>
      <c r="N734" s="20">
        <v>1259</v>
      </c>
      <c r="O734" s="20">
        <v>1259</v>
      </c>
      <c r="P734" s="20">
        <f t="shared" si="136"/>
        <v>-1259</v>
      </c>
      <c r="Q734" s="20" t="e">
        <f>#REF!-N734</f>
        <v>#REF!</v>
      </c>
      <c r="R734" s="20" t="e">
        <f>#REF!-O734</f>
        <v>#REF!</v>
      </c>
      <c r="S734" s="17" t="str">
        <f t="shared" si="129"/>
        <v>01 1 01 76140240</v>
      </c>
    </row>
    <row r="735" spans="1:19" s="17" customFormat="1" ht="15.75">
      <c r="A735" s="14"/>
      <c r="B735" s="125" t="s">
        <v>30</v>
      </c>
      <c r="C735" s="109" t="s">
        <v>394</v>
      </c>
      <c r="D735" s="108" t="s">
        <v>317</v>
      </c>
      <c r="E735" s="108" t="s">
        <v>73</v>
      </c>
      <c r="F735" s="108" t="s">
        <v>492</v>
      </c>
      <c r="G735" s="108" t="s">
        <v>31</v>
      </c>
      <c r="H735" s="126"/>
      <c r="I735" s="108">
        <v>110176140</v>
      </c>
      <c r="J735" s="108" t="str">
        <f t="shared" ref="J735:J798" si="137">TEXT(I735,"0000000000")</f>
        <v>0110176140</v>
      </c>
      <c r="K735" s="304" t="str">
        <f>C735&amp;D735&amp;E735&amp;J735&amp;G735</f>
        <v>60610040110176140244</v>
      </c>
      <c r="M735" s="20"/>
      <c r="N735" s="20"/>
      <c r="O735" s="20"/>
      <c r="P735" s="20"/>
      <c r="Q735" s="20"/>
      <c r="R735" s="20"/>
      <c r="S735" s="17" t="str">
        <f t="shared" si="129"/>
        <v>01 1 01 76140244</v>
      </c>
    </row>
    <row r="736" spans="1:19" s="17" customFormat="1" ht="31.5">
      <c r="A736" s="14"/>
      <c r="B736" s="132" t="s">
        <v>493</v>
      </c>
      <c r="C736" s="109" t="s">
        <v>394</v>
      </c>
      <c r="D736" s="108" t="s">
        <v>317</v>
      </c>
      <c r="E736" s="108" t="s">
        <v>73</v>
      </c>
      <c r="F736" s="108" t="s">
        <v>492</v>
      </c>
      <c r="G736" s="108" t="s">
        <v>494</v>
      </c>
      <c r="H736" s="126">
        <f>H737</f>
        <v>0</v>
      </c>
      <c r="I736" s="108">
        <v>110176140</v>
      </c>
      <c r="J736" s="108" t="str">
        <f t="shared" si="137"/>
        <v>0110176140</v>
      </c>
      <c r="K736" s="132"/>
      <c r="M736" s="20">
        <v>82674.399999999994</v>
      </c>
      <c r="N736" s="20">
        <v>82674.399999999994</v>
      </c>
      <c r="O736" s="20">
        <v>82674.399999999994</v>
      </c>
      <c r="P736" s="20">
        <f>H736-M736</f>
        <v>-82674.399999999994</v>
      </c>
      <c r="Q736" s="20" t="e">
        <f>#REF!-N736</f>
        <v>#REF!</v>
      </c>
      <c r="R736" s="20" t="e">
        <f>#REF!-O736</f>
        <v>#REF!</v>
      </c>
      <c r="S736" s="17" t="str">
        <f t="shared" si="129"/>
        <v>01 1 01 76140310</v>
      </c>
    </row>
    <row r="737" spans="1:19" s="17" customFormat="1" ht="31.5">
      <c r="A737" s="14"/>
      <c r="B737" s="127" t="s">
        <v>495</v>
      </c>
      <c r="C737" s="109" t="s">
        <v>394</v>
      </c>
      <c r="D737" s="108" t="s">
        <v>317</v>
      </c>
      <c r="E737" s="108" t="s">
        <v>73</v>
      </c>
      <c r="F737" s="108" t="s">
        <v>492</v>
      </c>
      <c r="G737" s="108" t="s">
        <v>496</v>
      </c>
      <c r="H737" s="126"/>
      <c r="I737" s="108">
        <v>110176140</v>
      </c>
      <c r="J737" s="108" t="str">
        <f t="shared" si="137"/>
        <v>0110176140</v>
      </c>
      <c r="K737" s="304" t="str">
        <f>C737&amp;D737&amp;E737&amp;J737&amp;G737</f>
        <v>60610040110176140313</v>
      </c>
      <c r="M737" s="20"/>
      <c r="N737" s="20"/>
      <c r="O737" s="20"/>
      <c r="P737" s="20"/>
      <c r="Q737" s="20"/>
      <c r="R737" s="20"/>
    </row>
    <row r="738" spans="1:19" s="17" customFormat="1" ht="47.25">
      <c r="A738" s="14" t="s">
        <v>80</v>
      </c>
      <c r="B738" s="132" t="s">
        <v>497</v>
      </c>
      <c r="C738" s="109" t="s">
        <v>394</v>
      </c>
      <c r="D738" s="108" t="s">
        <v>317</v>
      </c>
      <c r="E738" s="108" t="s">
        <v>73</v>
      </c>
      <c r="F738" s="108" t="s">
        <v>498</v>
      </c>
      <c r="G738" s="108" t="s">
        <v>9</v>
      </c>
      <c r="H738" s="126">
        <f>H739+H742+H745+H748</f>
        <v>0</v>
      </c>
      <c r="I738" s="108">
        <v>110700000</v>
      </c>
      <c r="J738" s="108" t="str">
        <f t="shared" si="137"/>
        <v>0110700000</v>
      </c>
      <c r="K738" s="132"/>
      <c r="M738" s="20">
        <v>46621.490000000005</v>
      </c>
      <c r="N738" s="20">
        <v>46621.490000000005</v>
      </c>
      <c r="O738" s="20">
        <v>46621.490000000005</v>
      </c>
      <c r="P738" s="20">
        <f>H738-M738</f>
        <v>-46621.490000000005</v>
      </c>
      <c r="Q738" s="20" t="e">
        <f>#REF!-N738</f>
        <v>#REF!</v>
      </c>
      <c r="R738" s="20" t="e">
        <f>#REF!-O738</f>
        <v>#REF!</v>
      </c>
      <c r="S738" s="17" t="str">
        <f t="shared" si="129"/>
        <v>01 1 07 00000000</v>
      </c>
    </row>
    <row r="739" spans="1:19" s="17" customFormat="1" ht="31.5">
      <c r="A739" s="14"/>
      <c r="B739" s="132" t="s">
        <v>499</v>
      </c>
      <c r="C739" s="109" t="s">
        <v>394</v>
      </c>
      <c r="D739" s="108" t="s">
        <v>317</v>
      </c>
      <c r="E739" s="108" t="s">
        <v>73</v>
      </c>
      <c r="F739" s="108" t="s">
        <v>500</v>
      </c>
      <c r="G739" s="108" t="s">
        <v>9</v>
      </c>
      <c r="H739" s="126">
        <f>H740</f>
        <v>0</v>
      </c>
      <c r="I739" s="108">
        <v>110778110</v>
      </c>
      <c r="J739" s="108" t="str">
        <f t="shared" si="137"/>
        <v>0110778110</v>
      </c>
      <c r="K739" s="132"/>
      <c r="M739" s="20">
        <v>28714.45</v>
      </c>
      <c r="N739" s="20">
        <v>28714.45</v>
      </c>
      <c r="O739" s="20">
        <v>28714.45</v>
      </c>
      <c r="P739" s="20">
        <f>H739-M739</f>
        <v>-28714.45</v>
      </c>
      <c r="Q739" s="20" t="e">
        <f>#REF!-N739</f>
        <v>#REF!</v>
      </c>
      <c r="R739" s="20" t="e">
        <f>#REF!-O739</f>
        <v>#REF!</v>
      </c>
      <c r="S739" s="17" t="str">
        <f t="shared" si="129"/>
        <v>01 1 07 78110000</v>
      </c>
    </row>
    <row r="740" spans="1:19" s="17" customFormat="1" ht="31.5">
      <c r="A740" s="14"/>
      <c r="B740" s="132" t="s">
        <v>327</v>
      </c>
      <c r="C740" s="109" t="s">
        <v>394</v>
      </c>
      <c r="D740" s="108" t="s">
        <v>317</v>
      </c>
      <c r="E740" s="108" t="s">
        <v>73</v>
      </c>
      <c r="F740" s="108" t="s">
        <v>500</v>
      </c>
      <c r="G740" s="108" t="s">
        <v>328</v>
      </c>
      <c r="H740" s="126">
        <f>H741</f>
        <v>0</v>
      </c>
      <c r="I740" s="108">
        <v>110778110</v>
      </c>
      <c r="J740" s="108" t="str">
        <f t="shared" si="137"/>
        <v>0110778110</v>
      </c>
      <c r="K740" s="132"/>
      <c r="M740" s="20">
        <v>28714.45</v>
      </c>
      <c r="N740" s="20">
        <v>28714.45</v>
      </c>
      <c r="O740" s="20">
        <v>28714.45</v>
      </c>
      <c r="P740" s="20">
        <f>H740-M740</f>
        <v>-28714.45</v>
      </c>
      <c r="Q740" s="20" t="e">
        <f>#REF!-N740</f>
        <v>#REF!</v>
      </c>
      <c r="R740" s="20" t="e">
        <f>#REF!-O740</f>
        <v>#REF!</v>
      </c>
      <c r="S740" s="17" t="str">
        <f t="shared" si="129"/>
        <v>01 1 07 78110320</v>
      </c>
    </row>
    <row r="741" spans="1:19" s="17" customFormat="1" ht="31.5">
      <c r="A741" s="14"/>
      <c r="B741" s="125" t="s">
        <v>501</v>
      </c>
      <c r="C741" s="109" t="s">
        <v>394</v>
      </c>
      <c r="D741" s="108" t="s">
        <v>317</v>
      </c>
      <c r="E741" s="108" t="s">
        <v>73</v>
      </c>
      <c r="F741" s="108" t="s">
        <v>500</v>
      </c>
      <c r="G741" s="108" t="s">
        <v>502</v>
      </c>
      <c r="H741" s="126"/>
      <c r="I741" s="108">
        <v>110778110</v>
      </c>
      <c r="J741" s="108" t="str">
        <f t="shared" si="137"/>
        <v>0110778110</v>
      </c>
      <c r="K741" s="304" t="str">
        <f>C741&amp;D741&amp;E741&amp;J741&amp;G741</f>
        <v>60610040110778110323</v>
      </c>
      <c r="M741" s="20"/>
      <c r="N741" s="20"/>
      <c r="O741" s="20"/>
      <c r="P741" s="20"/>
      <c r="Q741" s="20"/>
      <c r="R741" s="20"/>
    </row>
    <row r="742" spans="1:19" s="17" customFormat="1" ht="78.75">
      <c r="A742" s="14"/>
      <c r="B742" s="125" t="s">
        <v>503</v>
      </c>
      <c r="C742" s="109" t="s">
        <v>394</v>
      </c>
      <c r="D742" s="108" t="s">
        <v>317</v>
      </c>
      <c r="E742" s="108" t="s">
        <v>73</v>
      </c>
      <c r="F742" s="108" t="s">
        <v>504</v>
      </c>
      <c r="G742" s="108" t="s">
        <v>9</v>
      </c>
      <c r="H742" s="126">
        <f>H743</f>
        <v>0</v>
      </c>
      <c r="I742" s="108">
        <v>110778120</v>
      </c>
      <c r="J742" s="108" t="str">
        <f t="shared" si="137"/>
        <v>0110778120</v>
      </c>
      <c r="K742" s="132"/>
      <c r="M742" s="20">
        <v>1642.42</v>
      </c>
      <c r="N742" s="20">
        <v>1642.42</v>
      </c>
      <c r="O742" s="20">
        <v>1642.42</v>
      </c>
      <c r="P742" s="20">
        <f>H742-M742</f>
        <v>-1642.42</v>
      </c>
      <c r="Q742" s="20" t="e">
        <f>#REF!-N742</f>
        <v>#REF!</v>
      </c>
      <c r="R742" s="20" t="e">
        <f>#REF!-O742</f>
        <v>#REF!</v>
      </c>
      <c r="S742" s="17" t="str">
        <f t="shared" si="129"/>
        <v>01 1 07 78120000</v>
      </c>
    </row>
    <row r="743" spans="1:19" s="17" customFormat="1" ht="31.5">
      <c r="A743" s="14"/>
      <c r="B743" s="132" t="s">
        <v>327</v>
      </c>
      <c r="C743" s="109" t="s">
        <v>394</v>
      </c>
      <c r="D743" s="108" t="s">
        <v>317</v>
      </c>
      <c r="E743" s="108" t="s">
        <v>73</v>
      </c>
      <c r="F743" s="108" t="s">
        <v>504</v>
      </c>
      <c r="G743" s="108" t="s">
        <v>328</v>
      </c>
      <c r="H743" s="126">
        <f>H744</f>
        <v>0</v>
      </c>
      <c r="I743" s="108">
        <v>110778120</v>
      </c>
      <c r="J743" s="108" t="str">
        <f t="shared" si="137"/>
        <v>0110778120</v>
      </c>
      <c r="K743" s="132"/>
      <c r="M743" s="20">
        <v>1642.42</v>
      </c>
      <c r="N743" s="20">
        <v>1642.42</v>
      </c>
      <c r="O743" s="20">
        <v>1642.42</v>
      </c>
      <c r="P743" s="20">
        <f>H743-M743</f>
        <v>-1642.42</v>
      </c>
      <c r="Q743" s="20" t="e">
        <f>#REF!-N743</f>
        <v>#REF!</v>
      </c>
      <c r="R743" s="20" t="e">
        <f>#REF!-O743</f>
        <v>#REF!</v>
      </c>
      <c r="S743" s="17" t="str">
        <f t="shared" si="129"/>
        <v>01 1 07 78120320</v>
      </c>
    </row>
    <row r="744" spans="1:19" s="17" customFormat="1" ht="31.5">
      <c r="A744" s="14"/>
      <c r="B744" s="125" t="s">
        <v>501</v>
      </c>
      <c r="C744" s="109" t="s">
        <v>394</v>
      </c>
      <c r="D744" s="108" t="s">
        <v>317</v>
      </c>
      <c r="E744" s="108" t="s">
        <v>73</v>
      </c>
      <c r="F744" s="108" t="s">
        <v>504</v>
      </c>
      <c r="G744" s="108" t="s">
        <v>502</v>
      </c>
      <c r="H744" s="126"/>
      <c r="I744" s="108">
        <v>110778120</v>
      </c>
      <c r="J744" s="108" t="str">
        <f t="shared" si="137"/>
        <v>0110778120</v>
      </c>
      <c r="K744" s="304" t="str">
        <f>C744&amp;D744&amp;E744&amp;J744&amp;G744</f>
        <v>60610040110778120323</v>
      </c>
      <c r="M744" s="20"/>
      <c r="N744" s="20"/>
      <c r="O744" s="20"/>
      <c r="P744" s="20"/>
      <c r="Q744" s="20"/>
      <c r="R744" s="20"/>
    </row>
    <row r="745" spans="1:19" s="17" customFormat="1" ht="63">
      <c r="A745" s="14"/>
      <c r="B745" s="125" t="s">
        <v>505</v>
      </c>
      <c r="C745" s="109" t="s">
        <v>394</v>
      </c>
      <c r="D745" s="108" t="s">
        <v>317</v>
      </c>
      <c r="E745" s="108" t="s">
        <v>73</v>
      </c>
      <c r="F745" s="108" t="s">
        <v>506</v>
      </c>
      <c r="G745" s="108" t="s">
        <v>9</v>
      </c>
      <c r="H745" s="126">
        <f>H746</f>
        <v>0</v>
      </c>
      <c r="I745" s="108">
        <v>110778130</v>
      </c>
      <c r="J745" s="108" t="str">
        <f t="shared" si="137"/>
        <v>0110778130</v>
      </c>
      <c r="K745" s="132"/>
      <c r="M745" s="20">
        <v>12987.12</v>
      </c>
      <c r="N745" s="20">
        <v>12987.12</v>
      </c>
      <c r="O745" s="20">
        <v>12987.12</v>
      </c>
      <c r="P745" s="20">
        <f>H745-M745</f>
        <v>-12987.12</v>
      </c>
      <c r="Q745" s="20" t="e">
        <f>#REF!-N745</f>
        <v>#REF!</v>
      </c>
      <c r="R745" s="20" t="e">
        <f>#REF!-O745</f>
        <v>#REF!</v>
      </c>
      <c r="S745" s="17" t="str">
        <f t="shared" si="129"/>
        <v>01 1 07 78130000</v>
      </c>
    </row>
    <row r="746" spans="1:19" s="17" customFormat="1" ht="31.5">
      <c r="A746" s="14"/>
      <c r="B746" s="132" t="s">
        <v>327</v>
      </c>
      <c r="C746" s="109" t="s">
        <v>394</v>
      </c>
      <c r="D746" s="108" t="s">
        <v>317</v>
      </c>
      <c r="E746" s="108" t="s">
        <v>73</v>
      </c>
      <c r="F746" s="108" t="s">
        <v>506</v>
      </c>
      <c r="G746" s="108" t="s">
        <v>328</v>
      </c>
      <c r="H746" s="126">
        <f>H747</f>
        <v>0</v>
      </c>
      <c r="I746" s="108">
        <v>110778130</v>
      </c>
      <c r="J746" s="108" t="str">
        <f t="shared" si="137"/>
        <v>0110778130</v>
      </c>
      <c r="K746" s="132"/>
      <c r="M746" s="20">
        <v>12987.12</v>
      </c>
      <c r="N746" s="20">
        <v>12987.12</v>
      </c>
      <c r="O746" s="20">
        <v>12987.12</v>
      </c>
      <c r="P746" s="20">
        <f>H746-M746</f>
        <v>-12987.12</v>
      </c>
      <c r="Q746" s="20" t="e">
        <f>#REF!-N746</f>
        <v>#REF!</v>
      </c>
      <c r="R746" s="20" t="e">
        <f>#REF!-O746</f>
        <v>#REF!</v>
      </c>
      <c r="S746" s="17" t="str">
        <f t="shared" si="129"/>
        <v>01 1 07 78130320</v>
      </c>
    </row>
    <row r="747" spans="1:19" s="17" customFormat="1" ht="31.5">
      <c r="A747" s="14"/>
      <c r="B747" s="125" t="s">
        <v>501</v>
      </c>
      <c r="C747" s="109" t="s">
        <v>394</v>
      </c>
      <c r="D747" s="108" t="s">
        <v>317</v>
      </c>
      <c r="E747" s="108" t="s">
        <v>73</v>
      </c>
      <c r="F747" s="108" t="s">
        <v>506</v>
      </c>
      <c r="G747" s="108" t="s">
        <v>502</v>
      </c>
      <c r="H747" s="126"/>
      <c r="I747" s="108">
        <v>110778130</v>
      </c>
      <c r="J747" s="108" t="str">
        <f t="shared" si="137"/>
        <v>0110778130</v>
      </c>
      <c r="K747" s="304" t="str">
        <f>C747&amp;D747&amp;E747&amp;J747&amp;G747</f>
        <v>60610040110778130323</v>
      </c>
      <c r="M747" s="20"/>
      <c r="N747" s="20"/>
      <c r="O747" s="20"/>
      <c r="P747" s="20"/>
      <c r="Q747" s="20"/>
      <c r="R747" s="20"/>
    </row>
    <row r="748" spans="1:19" s="17" customFormat="1" ht="31.5">
      <c r="A748" s="14"/>
      <c r="B748" s="125" t="s">
        <v>507</v>
      </c>
      <c r="C748" s="109" t="s">
        <v>394</v>
      </c>
      <c r="D748" s="108" t="s">
        <v>317</v>
      </c>
      <c r="E748" s="108" t="s">
        <v>73</v>
      </c>
      <c r="F748" s="108" t="s">
        <v>508</v>
      </c>
      <c r="G748" s="108" t="s">
        <v>9</v>
      </c>
      <c r="H748" s="126">
        <f>H749</f>
        <v>0</v>
      </c>
      <c r="I748" s="108">
        <v>110778140</v>
      </c>
      <c r="J748" s="108" t="str">
        <f t="shared" si="137"/>
        <v>0110778140</v>
      </c>
      <c r="K748" s="132"/>
      <c r="M748" s="20">
        <v>3277.5</v>
      </c>
      <c r="N748" s="20">
        <v>3277.5</v>
      </c>
      <c r="O748" s="20">
        <v>3277.5</v>
      </c>
      <c r="P748" s="20">
        <f>H748-M748</f>
        <v>-3277.5</v>
      </c>
      <c r="Q748" s="20" t="e">
        <f>#REF!-N748</f>
        <v>#REF!</v>
      </c>
      <c r="R748" s="20" t="e">
        <f>#REF!-O748</f>
        <v>#REF!</v>
      </c>
      <c r="S748" s="17" t="str">
        <f t="shared" si="129"/>
        <v>01 1 07 78140000</v>
      </c>
    </row>
    <row r="749" spans="1:19" s="17" customFormat="1" ht="31.5">
      <c r="A749" s="14"/>
      <c r="B749" s="132" t="s">
        <v>327</v>
      </c>
      <c r="C749" s="109" t="s">
        <v>394</v>
      </c>
      <c r="D749" s="108" t="s">
        <v>317</v>
      </c>
      <c r="E749" s="108" t="s">
        <v>73</v>
      </c>
      <c r="F749" s="108" t="s">
        <v>508</v>
      </c>
      <c r="G749" s="108" t="s">
        <v>328</v>
      </c>
      <c r="H749" s="126">
        <f>H750</f>
        <v>0</v>
      </c>
      <c r="I749" s="108">
        <v>110778140</v>
      </c>
      <c r="J749" s="108" t="str">
        <f t="shared" si="137"/>
        <v>0110778140</v>
      </c>
      <c r="K749" s="132"/>
      <c r="M749" s="20">
        <v>3277.5</v>
      </c>
      <c r="N749" s="20">
        <v>3277.5</v>
      </c>
      <c r="O749" s="20">
        <v>3277.5</v>
      </c>
      <c r="P749" s="20">
        <f>H749-M749</f>
        <v>-3277.5</v>
      </c>
      <c r="Q749" s="20" t="e">
        <f>#REF!-N749</f>
        <v>#REF!</v>
      </c>
      <c r="R749" s="20" t="e">
        <f>#REF!-O749</f>
        <v>#REF!</v>
      </c>
      <c r="S749" s="17" t="str">
        <f t="shared" si="129"/>
        <v>01 1 07 78140320</v>
      </c>
    </row>
    <row r="750" spans="1:19" s="24" customFormat="1" ht="31.5">
      <c r="A750" s="21"/>
      <c r="B750" s="125" t="s">
        <v>501</v>
      </c>
      <c r="C750" s="109" t="s">
        <v>394</v>
      </c>
      <c r="D750" s="108" t="s">
        <v>317</v>
      </c>
      <c r="E750" s="108" t="s">
        <v>73</v>
      </c>
      <c r="F750" s="108" t="s">
        <v>508</v>
      </c>
      <c r="G750" s="108" t="s">
        <v>502</v>
      </c>
      <c r="H750" s="126"/>
      <c r="I750" s="108">
        <v>110778140</v>
      </c>
      <c r="J750" s="108" t="str">
        <f t="shared" si="137"/>
        <v>0110778140</v>
      </c>
      <c r="K750" s="304" t="str">
        <f>C750&amp;D750&amp;E750&amp;J750&amp;G750</f>
        <v>60610040110778140323</v>
      </c>
      <c r="M750" s="22"/>
      <c r="N750" s="22"/>
      <c r="O750" s="22"/>
      <c r="P750" s="22"/>
      <c r="Q750" s="22"/>
      <c r="R750" s="22"/>
    </row>
    <row r="751" spans="1:19" s="17" customFormat="1" ht="15.75">
      <c r="A751" s="14"/>
      <c r="B751" s="132"/>
      <c r="C751" s="109"/>
      <c r="D751" s="108"/>
      <c r="E751" s="108"/>
      <c r="F751" s="108"/>
      <c r="G751" s="108"/>
      <c r="H751" s="126"/>
      <c r="I751" s="108"/>
      <c r="J751" s="108" t="str">
        <f t="shared" si="137"/>
        <v>0000000000</v>
      </c>
      <c r="M751" s="20"/>
      <c r="N751" s="20"/>
      <c r="O751" s="20"/>
      <c r="P751" s="20">
        <f t="shared" ref="P751:P758" si="138">H751-M751</f>
        <v>0</v>
      </c>
      <c r="Q751" s="20" t="e">
        <f>#REF!-N751</f>
        <v>#REF!</v>
      </c>
      <c r="R751" s="20" t="e">
        <f>#REF!-O751</f>
        <v>#REF!</v>
      </c>
      <c r="S751" s="17" t="str">
        <f t="shared" si="129"/>
        <v/>
      </c>
    </row>
    <row r="752" spans="1:19" s="16" customFormat="1" ht="31.5">
      <c r="A752" s="14"/>
      <c r="B752" s="67" t="s">
        <v>509</v>
      </c>
      <c r="C752" s="116" t="s">
        <v>510</v>
      </c>
      <c r="D752" s="69" t="s">
        <v>7</v>
      </c>
      <c r="E752" s="69" t="s">
        <v>7</v>
      </c>
      <c r="F752" s="69" t="s">
        <v>8</v>
      </c>
      <c r="G752" s="69" t="s">
        <v>9</v>
      </c>
      <c r="H752" s="70">
        <f>H753+H765+H863</f>
        <v>0</v>
      </c>
      <c r="I752" s="69">
        <v>0</v>
      </c>
      <c r="J752" s="69" t="str">
        <f t="shared" si="137"/>
        <v>0000000000</v>
      </c>
      <c r="K752" s="132"/>
      <c r="L752" s="17"/>
      <c r="M752" s="25">
        <v>347859.82999999996</v>
      </c>
      <c r="N752" s="25">
        <v>338559.18</v>
      </c>
      <c r="O752" s="25">
        <v>338559.18</v>
      </c>
      <c r="P752" s="25">
        <f t="shared" si="138"/>
        <v>-347859.82999999996</v>
      </c>
      <c r="Q752" s="25" t="e">
        <f>#REF!-N752</f>
        <v>#REF!</v>
      </c>
      <c r="R752" s="25" t="e">
        <f>#REF!-O752</f>
        <v>#REF!</v>
      </c>
      <c r="S752" s="17" t="str">
        <f t="shared" si="129"/>
        <v>00 0 00 00000000</v>
      </c>
    </row>
    <row r="753" spans="1:19" s="16" customFormat="1" ht="15.75">
      <c r="A753" s="14"/>
      <c r="B753" s="117" t="s">
        <v>10</v>
      </c>
      <c r="C753" s="118" t="s">
        <v>510</v>
      </c>
      <c r="D753" s="119" t="s">
        <v>11</v>
      </c>
      <c r="E753" s="119" t="s">
        <v>7</v>
      </c>
      <c r="F753" s="119" t="s">
        <v>8</v>
      </c>
      <c r="G753" s="119" t="s">
        <v>9</v>
      </c>
      <c r="H753" s="120">
        <f t="shared" ref="H753:H756" si="139">H754</f>
        <v>0</v>
      </c>
      <c r="I753" s="119">
        <v>0</v>
      </c>
      <c r="J753" s="119" t="str">
        <f t="shared" si="137"/>
        <v>0000000000</v>
      </c>
      <c r="K753" s="132"/>
      <c r="L753" s="17"/>
      <c r="M753" s="18">
        <v>1386.7</v>
      </c>
      <c r="N753" s="18">
        <v>1386.7</v>
      </c>
      <c r="O753" s="18">
        <v>1386.7</v>
      </c>
      <c r="P753" s="18">
        <f t="shared" si="138"/>
        <v>-1386.7</v>
      </c>
      <c r="Q753" s="18" t="e">
        <f>#REF!-N753</f>
        <v>#REF!</v>
      </c>
      <c r="R753" s="18" t="e">
        <f>#REF!-O753</f>
        <v>#REF!</v>
      </c>
      <c r="S753" s="17" t="str">
        <f t="shared" si="129"/>
        <v>00 0 00 00000000</v>
      </c>
    </row>
    <row r="754" spans="1:19" s="16" customFormat="1" ht="15.75">
      <c r="A754" s="14"/>
      <c r="B754" s="121" t="s">
        <v>50</v>
      </c>
      <c r="C754" s="122" t="s">
        <v>510</v>
      </c>
      <c r="D754" s="123" t="s">
        <v>11</v>
      </c>
      <c r="E754" s="123" t="s">
        <v>51</v>
      </c>
      <c r="F754" s="123" t="s">
        <v>8</v>
      </c>
      <c r="G754" s="123" t="s">
        <v>9</v>
      </c>
      <c r="H754" s="124">
        <f t="shared" si="139"/>
        <v>0</v>
      </c>
      <c r="I754" s="123">
        <v>0</v>
      </c>
      <c r="J754" s="123" t="str">
        <f t="shared" si="137"/>
        <v>0000000000</v>
      </c>
      <c r="K754" s="132"/>
      <c r="L754" s="17"/>
      <c r="M754" s="19">
        <v>1386.7</v>
      </c>
      <c r="N754" s="19">
        <v>1386.7</v>
      </c>
      <c r="O754" s="19">
        <v>1386.7</v>
      </c>
      <c r="P754" s="19">
        <f t="shared" si="138"/>
        <v>-1386.7</v>
      </c>
      <c r="Q754" s="19" t="e">
        <f>#REF!-N754</f>
        <v>#REF!</v>
      </c>
      <c r="R754" s="19" t="e">
        <f>#REF!-O754</f>
        <v>#REF!</v>
      </c>
      <c r="S754" s="17" t="str">
        <f t="shared" si="129"/>
        <v>00 0 00 00000000</v>
      </c>
    </row>
    <row r="755" spans="1:19" s="16" customFormat="1" ht="63">
      <c r="A755" s="14"/>
      <c r="B755" s="125" t="s">
        <v>87</v>
      </c>
      <c r="C755" s="109" t="s">
        <v>510</v>
      </c>
      <c r="D755" s="108" t="s">
        <v>11</v>
      </c>
      <c r="E755" s="108" t="s">
        <v>51</v>
      </c>
      <c r="F755" s="108" t="s">
        <v>88</v>
      </c>
      <c r="G755" s="108" t="s">
        <v>9</v>
      </c>
      <c r="H755" s="126">
        <f t="shared" si="139"/>
        <v>0</v>
      </c>
      <c r="I755" s="108">
        <v>9800000000</v>
      </c>
      <c r="J755" s="108" t="str">
        <f t="shared" si="137"/>
        <v>9800000000</v>
      </c>
      <c r="K755" s="132"/>
      <c r="L755" s="17"/>
      <c r="M755" s="20">
        <v>1386.7</v>
      </c>
      <c r="N755" s="20">
        <v>1386.7</v>
      </c>
      <c r="O755" s="20">
        <v>1386.7</v>
      </c>
      <c r="P755" s="20">
        <f t="shared" si="138"/>
        <v>-1386.7</v>
      </c>
      <c r="Q755" s="20" t="e">
        <f>#REF!-N755</f>
        <v>#REF!</v>
      </c>
      <c r="R755" s="20" t="e">
        <f>#REF!-O755</f>
        <v>#REF!</v>
      </c>
      <c r="S755" s="17" t="str">
        <f t="shared" si="129"/>
        <v>98 0 00 00000000</v>
      </c>
    </row>
    <row r="756" spans="1:19" s="16" customFormat="1" ht="15.75">
      <c r="A756" s="14"/>
      <c r="B756" s="125" t="s">
        <v>89</v>
      </c>
      <c r="C756" s="109" t="s">
        <v>510</v>
      </c>
      <c r="D756" s="108" t="s">
        <v>11</v>
      </c>
      <c r="E756" s="108" t="s">
        <v>51</v>
      </c>
      <c r="F756" s="108" t="s">
        <v>90</v>
      </c>
      <c r="G756" s="108" t="s">
        <v>9</v>
      </c>
      <c r="H756" s="126">
        <f t="shared" si="139"/>
        <v>0</v>
      </c>
      <c r="I756" s="108">
        <v>9810000000</v>
      </c>
      <c r="J756" s="108" t="str">
        <f t="shared" si="137"/>
        <v>9810000000</v>
      </c>
      <c r="K756" s="132"/>
      <c r="L756" s="17"/>
      <c r="M756" s="20">
        <v>1386.7</v>
      </c>
      <c r="N756" s="20">
        <v>1386.7</v>
      </c>
      <c r="O756" s="20">
        <v>1386.7</v>
      </c>
      <c r="P756" s="20">
        <f t="shared" si="138"/>
        <v>-1386.7</v>
      </c>
      <c r="Q756" s="20" t="e">
        <f>#REF!-N756</f>
        <v>#REF!</v>
      </c>
      <c r="R756" s="20" t="e">
        <f>#REF!-O756</f>
        <v>#REF!</v>
      </c>
      <c r="S756" s="17" t="str">
        <f t="shared" si="129"/>
        <v>98 1 00 00000000</v>
      </c>
    </row>
    <row r="757" spans="1:19" s="16" customFormat="1" ht="31.5">
      <c r="A757" s="14"/>
      <c r="B757" s="125" t="s">
        <v>511</v>
      </c>
      <c r="C757" s="109" t="s">
        <v>510</v>
      </c>
      <c r="D757" s="108" t="s">
        <v>11</v>
      </c>
      <c r="E757" s="108" t="s">
        <v>51</v>
      </c>
      <c r="F757" s="108" t="s">
        <v>512</v>
      </c>
      <c r="G757" s="108" t="s">
        <v>9</v>
      </c>
      <c r="H757" s="126">
        <f>H758+H760+H761+H763</f>
        <v>0</v>
      </c>
      <c r="I757" s="108">
        <v>9810020110</v>
      </c>
      <c r="J757" s="108" t="str">
        <f t="shared" si="137"/>
        <v>9810020110</v>
      </c>
      <c r="K757" s="132"/>
      <c r="L757" s="17"/>
      <c r="M757" s="20">
        <v>1386.7</v>
      </c>
      <c r="N757" s="20">
        <v>1386.7</v>
      </c>
      <c r="O757" s="20">
        <v>1386.7</v>
      </c>
      <c r="P757" s="20">
        <f t="shared" si="138"/>
        <v>-1386.7</v>
      </c>
      <c r="Q757" s="20" t="e">
        <f>#REF!-N757</f>
        <v>#REF!</v>
      </c>
      <c r="R757" s="20" t="e">
        <f>#REF!-O757</f>
        <v>#REF!</v>
      </c>
      <c r="S757" s="17" t="str">
        <f t="shared" si="129"/>
        <v>98 1 00 20110000</v>
      </c>
    </row>
    <row r="758" spans="1:19" s="16" customFormat="1" ht="31.5">
      <c r="A758" s="14"/>
      <c r="B758" s="125" t="s">
        <v>28</v>
      </c>
      <c r="C758" s="109" t="s">
        <v>510</v>
      </c>
      <c r="D758" s="108" t="s">
        <v>11</v>
      </c>
      <c r="E758" s="108" t="s">
        <v>51</v>
      </c>
      <c r="F758" s="108" t="s">
        <v>512</v>
      </c>
      <c r="G758" s="108" t="s">
        <v>29</v>
      </c>
      <c r="H758" s="126">
        <f>H759</f>
        <v>0</v>
      </c>
      <c r="I758" s="108">
        <v>9810020110</v>
      </c>
      <c r="J758" s="108" t="str">
        <f t="shared" si="137"/>
        <v>9810020110</v>
      </c>
      <c r="K758" s="132"/>
      <c r="L758" s="17"/>
      <c r="M758" s="20">
        <v>1058.3</v>
      </c>
      <c r="N758" s="20">
        <v>1058.3</v>
      </c>
      <c r="O758" s="20">
        <v>1058.3</v>
      </c>
      <c r="P758" s="20">
        <f t="shared" si="138"/>
        <v>-1058.3</v>
      </c>
      <c r="Q758" s="20" t="e">
        <f>#REF!-N758</f>
        <v>#REF!</v>
      </c>
      <c r="R758" s="20" t="e">
        <f>#REF!-O758</f>
        <v>#REF!</v>
      </c>
      <c r="S758" s="17" t="str">
        <f t="shared" si="129"/>
        <v>98 1 00 20110240</v>
      </c>
    </row>
    <row r="759" spans="1:19" s="16" customFormat="1" ht="15.75">
      <c r="A759" s="14"/>
      <c r="B759" s="125" t="s">
        <v>30</v>
      </c>
      <c r="C759" s="109" t="s">
        <v>510</v>
      </c>
      <c r="D759" s="108" t="s">
        <v>11</v>
      </c>
      <c r="E759" s="108" t="s">
        <v>51</v>
      </c>
      <c r="F759" s="108" t="s">
        <v>512</v>
      </c>
      <c r="G759" s="108" t="s">
        <v>31</v>
      </c>
      <c r="H759" s="126"/>
      <c r="I759" s="108">
        <v>9810020110</v>
      </c>
      <c r="J759" s="108" t="str">
        <f t="shared" si="137"/>
        <v>9810020110</v>
      </c>
      <c r="K759" s="304" t="str">
        <f t="shared" ref="K759:K760" si="140">C759&amp;D759&amp;E759&amp;J759&amp;G759</f>
        <v>60701139810020110244</v>
      </c>
      <c r="L759" s="17"/>
      <c r="M759" s="20"/>
      <c r="N759" s="20"/>
      <c r="O759" s="20"/>
      <c r="P759" s="20"/>
      <c r="Q759" s="20"/>
      <c r="R759" s="20"/>
      <c r="S759" s="17" t="str">
        <f t="shared" si="129"/>
        <v>98 1 00 20110244</v>
      </c>
    </row>
    <row r="760" spans="1:19" s="16" customFormat="1" ht="15.75">
      <c r="A760" s="14"/>
      <c r="B760" s="125" t="s">
        <v>513</v>
      </c>
      <c r="C760" s="109" t="s">
        <v>510</v>
      </c>
      <c r="D760" s="108" t="s">
        <v>11</v>
      </c>
      <c r="E760" s="108" t="s">
        <v>51</v>
      </c>
      <c r="F760" s="108" t="s">
        <v>512</v>
      </c>
      <c r="G760" s="108" t="s">
        <v>514</v>
      </c>
      <c r="H760" s="126"/>
      <c r="I760" s="108">
        <v>9810020110</v>
      </c>
      <c r="J760" s="108" t="str">
        <f t="shared" si="137"/>
        <v>9810020110</v>
      </c>
      <c r="K760" s="304" t="str">
        <f t="shared" si="140"/>
        <v>60701139810020110360</v>
      </c>
      <c r="L760" s="17"/>
      <c r="M760" s="20">
        <v>26.4</v>
      </c>
      <c r="N760" s="20">
        <v>26.4</v>
      </c>
      <c r="O760" s="20">
        <v>26.4</v>
      </c>
      <c r="P760" s="20">
        <f>H760-M760</f>
        <v>-26.4</v>
      </c>
      <c r="Q760" s="20" t="e">
        <f>#REF!-N760</f>
        <v>#REF!</v>
      </c>
      <c r="R760" s="20" t="e">
        <f>#REF!-O760</f>
        <v>#REF!</v>
      </c>
      <c r="S760" s="17" t="str">
        <f t="shared" si="129"/>
        <v>98 1 00 20110360</v>
      </c>
    </row>
    <row r="761" spans="1:19" s="16" customFormat="1" ht="15.75">
      <c r="A761" s="14"/>
      <c r="B761" s="125" t="s">
        <v>32</v>
      </c>
      <c r="C761" s="109" t="s">
        <v>510</v>
      </c>
      <c r="D761" s="108" t="s">
        <v>11</v>
      </c>
      <c r="E761" s="108" t="s">
        <v>51</v>
      </c>
      <c r="F761" s="108" t="s">
        <v>512</v>
      </c>
      <c r="G761" s="108" t="s">
        <v>33</v>
      </c>
      <c r="H761" s="126">
        <f>H762</f>
        <v>0</v>
      </c>
      <c r="I761" s="108">
        <v>9810020110</v>
      </c>
      <c r="J761" s="108" t="str">
        <f t="shared" si="137"/>
        <v>9810020110</v>
      </c>
      <c r="K761" s="132"/>
      <c r="L761" s="17"/>
      <c r="M761" s="20">
        <v>42</v>
      </c>
      <c r="N761" s="20">
        <v>42</v>
      </c>
      <c r="O761" s="20">
        <v>42</v>
      </c>
      <c r="P761" s="20">
        <f>H761-M761</f>
        <v>-42</v>
      </c>
      <c r="Q761" s="20" t="e">
        <f>#REF!-N761</f>
        <v>#REF!</v>
      </c>
      <c r="R761" s="20" t="e">
        <f>#REF!-O761</f>
        <v>#REF!</v>
      </c>
      <c r="S761" s="17" t="str">
        <f t="shared" si="129"/>
        <v>98 1 00 20110850</v>
      </c>
    </row>
    <row r="762" spans="1:19" s="23" customFormat="1" ht="15.75">
      <c r="A762" s="21"/>
      <c r="B762" s="127" t="s">
        <v>77</v>
      </c>
      <c r="C762" s="109" t="s">
        <v>510</v>
      </c>
      <c r="D762" s="108" t="s">
        <v>11</v>
      </c>
      <c r="E762" s="108" t="s">
        <v>51</v>
      </c>
      <c r="F762" s="108" t="s">
        <v>512</v>
      </c>
      <c r="G762" s="108" t="s">
        <v>78</v>
      </c>
      <c r="H762" s="126"/>
      <c r="I762" s="108">
        <v>9810020110</v>
      </c>
      <c r="J762" s="108" t="str">
        <f t="shared" si="137"/>
        <v>9810020110</v>
      </c>
      <c r="K762" s="304" t="str">
        <f>C762&amp;D762&amp;E762&amp;J762&amp;G762</f>
        <v>60701139810020110853</v>
      </c>
      <c r="L762" s="24"/>
      <c r="M762" s="22"/>
      <c r="N762" s="22"/>
      <c r="O762" s="22"/>
      <c r="P762" s="22"/>
      <c r="Q762" s="22"/>
      <c r="R762" s="22"/>
      <c r="S762" s="24"/>
    </row>
    <row r="763" spans="1:19" s="16" customFormat="1" ht="31.5">
      <c r="A763" s="14"/>
      <c r="B763" s="125" t="s">
        <v>515</v>
      </c>
      <c r="C763" s="109" t="s">
        <v>510</v>
      </c>
      <c r="D763" s="108" t="s">
        <v>11</v>
      </c>
      <c r="E763" s="108" t="s">
        <v>51</v>
      </c>
      <c r="F763" s="108" t="s">
        <v>512</v>
      </c>
      <c r="G763" s="108" t="s">
        <v>516</v>
      </c>
      <c r="H763" s="126">
        <f>H764</f>
        <v>0</v>
      </c>
      <c r="I763" s="108">
        <v>9810020110</v>
      </c>
      <c r="J763" s="108" t="str">
        <f t="shared" si="137"/>
        <v>9810020110</v>
      </c>
      <c r="K763" s="132"/>
      <c r="L763" s="17"/>
      <c r="M763" s="20">
        <v>260</v>
      </c>
      <c r="N763" s="20">
        <v>260</v>
      </c>
      <c r="O763" s="20">
        <v>260</v>
      </c>
      <c r="P763" s="20">
        <f>H763-M763</f>
        <v>-260</v>
      </c>
      <c r="Q763" s="20" t="e">
        <f>#REF!-N763</f>
        <v>#REF!</v>
      </c>
      <c r="R763" s="20" t="e">
        <f>#REF!-O763</f>
        <v>#REF!</v>
      </c>
      <c r="S763" s="17" t="str">
        <f t="shared" si="129"/>
        <v>98 1 00 20110860</v>
      </c>
    </row>
    <row r="764" spans="1:19" s="16" customFormat="1" ht="15.75">
      <c r="A764" s="14"/>
      <c r="B764" s="127" t="s">
        <v>517</v>
      </c>
      <c r="C764" s="109" t="s">
        <v>510</v>
      </c>
      <c r="D764" s="108" t="s">
        <v>11</v>
      </c>
      <c r="E764" s="108" t="s">
        <v>51</v>
      </c>
      <c r="F764" s="108" t="s">
        <v>512</v>
      </c>
      <c r="G764" s="108" t="s">
        <v>518</v>
      </c>
      <c r="H764" s="126"/>
      <c r="I764" s="108">
        <v>9810020110</v>
      </c>
      <c r="J764" s="108" t="str">
        <f t="shared" si="137"/>
        <v>9810020110</v>
      </c>
      <c r="K764" s="304" t="str">
        <f>C764&amp;D764&amp;E764&amp;J764&amp;G764</f>
        <v>60701139810020110862</v>
      </c>
      <c r="L764" s="17"/>
      <c r="M764" s="20"/>
      <c r="N764" s="20"/>
      <c r="O764" s="20"/>
      <c r="P764" s="20"/>
      <c r="Q764" s="20"/>
      <c r="R764" s="20"/>
      <c r="S764" s="17"/>
    </row>
    <row r="765" spans="1:19" s="16" customFormat="1" ht="15.75">
      <c r="A765" s="14"/>
      <c r="B765" s="117" t="s">
        <v>228</v>
      </c>
      <c r="C765" s="118" t="s">
        <v>510</v>
      </c>
      <c r="D765" s="119" t="s">
        <v>229</v>
      </c>
      <c r="E765" s="119" t="s">
        <v>7</v>
      </c>
      <c r="F765" s="119" t="s">
        <v>8</v>
      </c>
      <c r="G765" s="119" t="s">
        <v>9</v>
      </c>
      <c r="H765" s="120">
        <f>H766+H817</f>
        <v>0</v>
      </c>
      <c r="I765" s="119">
        <v>0</v>
      </c>
      <c r="J765" s="119" t="str">
        <f t="shared" si="137"/>
        <v>0000000000</v>
      </c>
      <c r="K765" s="132"/>
      <c r="L765" s="17"/>
      <c r="M765" s="18">
        <v>151254.91</v>
      </c>
      <c r="N765" s="18">
        <v>141348.04999999999</v>
      </c>
      <c r="O765" s="18">
        <v>140686.62</v>
      </c>
      <c r="P765" s="18">
        <f t="shared" ref="P765:P771" si="141">H765-M765</f>
        <v>-151254.91</v>
      </c>
      <c r="Q765" s="18" t="e">
        <f>#REF!-N765</f>
        <v>#REF!</v>
      </c>
      <c r="R765" s="18" t="e">
        <f>#REF!-O765</f>
        <v>#REF!</v>
      </c>
      <c r="S765" s="17" t="str">
        <f t="shared" si="129"/>
        <v>00 0 00 00000000</v>
      </c>
    </row>
    <row r="766" spans="1:19" s="16" customFormat="1" ht="15.75">
      <c r="A766" s="14"/>
      <c r="B766" s="121" t="s">
        <v>458</v>
      </c>
      <c r="C766" s="122" t="s">
        <v>510</v>
      </c>
      <c r="D766" s="123" t="s">
        <v>229</v>
      </c>
      <c r="E766" s="123" t="s">
        <v>13</v>
      </c>
      <c r="F766" s="123" t="s">
        <v>8</v>
      </c>
      <c r="G766" s="123" t="s">
        <v>9</v>
      </c>
      <c r="H766" s="124">
        <f>H767+H796+H804+H810</f>
        <v>0</v>
      </c>
      <c r="I766" s="123">
        <v>0</v>
      </c>
      <c r="J766" s="123" t="str">
        <f t="shared" si="137"/>
        <v>0000000000</v>
      </c>
      <c r="K766" s="132"/>
      <c r="L766" s="17"/>
      <c r="M766" s="19">
        <v>141211.71</v>
      </c>
      <c r="N766" s="19">
        <v>131694.84999999998</v>
      </c>
      <c r="O766" s="19">
        <v>131033.42</v>
      </c>
      <c r="P766" s="19">
        <f t="shared" si="141"/>
        <v>-141211.71</v>
      </c>
      <c r="Q766" s="19" t="e">
        <f>#REF!-N766</f>
        <v>#REF!</v>
      </c>
      <c r="R766" s="19" t="e">
        <f>#REF!-O766</f>
        <v>#REF!</v>
      </c>
      <c r="S766" s="17" t="str">
        <f t="shared" si="129"/>
        <v>00 0 00 00000000</v>
      </c>
    </row>
    <row r="767" spans="1:19" s="16" customFormat="1" ht="31.5">
      <c r="A767" s="14"/>
      <c r="B767" s="125" t="s">
        <v>240</v>
      </c>
      <c r="C767" s="109" t="s">
        <v>510</v>
      </c>
      <c r="D767" s="108" t="s">
        <v>229</v>
      </c>
      <c r="E767" s="108" t="s">
        <v>13</v>
      </c>
      <c r="F767" s="108" t="s">
        <v>241</v>
      </c>
      <c r="G767" s="108" t="s">
        <v>9</v>
      </c>
      <c r="H767" s="126">
        <f>H768+H775</f>
        <v>0</v>
      </c>
      <c r="I767" s="108">
        <v>700000000</v>
      </c>
      <c r="J767" s="108" t="str">
        <f t="shared" si="137"/>
        <v>0700000000</v>
      </c>
      <c r="K767" s="132"/>
      <c r="L767" s="17"/>
      <c r="M767" s="20">
        <v>140126.66</v>
      </c>
      <c r="N767" s="20">
        <v>130609.79999999999</v>
      </c>
      <c r="O767" s="20">
        <v>129948.37</v>
      </c>
      <c r="P767" s="20">
        <f t="shared" si="141"/>
        <v>-140126.66</v>
      </c>
      <c r="Q767" s="20" t="e">
        <f>#REF!-N767</f>
        <v>#REF!</v>
      </c>
      <c r="R767" s="20" t="e">
        <f>#REF!-O767</f>
        <v>#REF!</v>
      </c>
      <c r="S767" s="17" t="str">
        <f t="shared" si="129"/>
        <v>07 0 00 00000000</v>
      </c>
    </row>
    <row r="768" spans="1:19" s="16" customFormat="1" ht="78.75">
      <c r="A768" s="14"/>
      <c r="B768" s="125" t="s">
        <v>242</v>
      </c>
      <c r="C768" s="109" t="s">
        <v>510</v>
      </c>
      <c r="D768" s="108" t="s">
        <v>229</v>
      </c>
      <c r="E768" s="108" t="s">
        <v>13</v>
      </c>
      <c r="F768" s="108" t="s">
        <v>243</v>
      </c>
      <c r="G768" s="108" t="s">
        <v>9</v>
      </c>
      <c r="H768" s="126">
        <f t="shared" ref="H768:H769" si="142">H769</f>
        <v>0</v>
      </c>
      <c r="I768" s="108">
        <v>710000000</v>
      </c>
      <c r="J768" s="108" t="str">
        <f t="shared" si="137"/>
        <v>0710000000</v>
      </c>
      <c r="K768" s="132"/>
      <c r="L768" s="17"/>
      <c r="M768" s="20">
        <v>361.5</v>
      </c>
      <c r="N768" s="20">
        <v>361.5</v>
      </c>
      <c r="O768" s="20">
        <v>361.5</v>
      </c>
      <c r="P768" s="20">
        <f t="shared" si="141"/>
        <v>-361.5</v>
      </c>
      <c r="Q768" s="20" t="e">
        <f>#REF!-N768</f>
        <v>#REF!</v>
      </c>
      <c r="R768" s="20" t="e">
        <f>#REF!-O768</f>
        <v>#REF!</v>
      </c>
      <c r="S768" s="17" t="str">
        <f t="shared" si="129"/>
        <v>07 1 00 00000000</v>
      </c>
    </row>
    <row r="769" spans="1:19" s="16" customFormat="1" ht="110.25">
      <c r="A769" s="14"/>
      <c r="B769" s="125" t="s">
        <v>244</v>
      </c>
      <c r="C769" s="109" t="s">
        <v>510</v>
      </c>
      <c r="D769" s="108" t="s">
        <v>229</v>
      </c>
      <c r="E769" s="108" t="s">
        <v>13</v>
      </c>
      <c r="F769" s="108" t="s">
        <v>245</v>
      </c>
      <c r="G769" s="108" t="s">
        <v>9</v>
      </c>
      <c r="H769" s="126">
        <f t="shared" si="142"/>
        <v>0</v>
      </c>
      <c r="I769" s="108">
        <v>710100000</v>
      </c>
      <c r="J769" s="108" t="str">
        <f t="shared" si="137"/>
        <v>0710100000</v>
      </c>
      <c r="K769" s="132"/>
      <c r="L769" s="17"/>
      <c r="M769" s="20">
        <v>361.5</v>
      </c>
      <c r="N769" s="20">
        <v>361.5</v>
      </c>
      <c r="O769" s="20">
        <v>361.5</v>
      </c>
      <c r="P769" s="20">
        <f t="shared" si="141"/>
        <v>-361.5</v>
      </c>
      <c r="Q769" s="20" t="e">
        <f>#REF!-N769</f>
        <v>#REF!</v>
      </c>
      <c r="R769" s="20" t="e">
        <f>#REF!-O769</f>
        <v>#REF!</v>
      </c>
      <c r="S769" s="17" t="str">
        <f t="shared" si="129"/>
        <v>07 1 01 00000000</v>
      </c>
    </row>
    <row r="770" spans="1:19" s="16" customFormat="1" ht="31.5">
      <c r="A770" s="14"/>
      <c r="B770" s="125" t="s">
        <v>246</v>
      </c>
      <c r="C770" s="109" t="s">
        <v>510</v>
      </c>
      <c r="D770" s="108" t="s">
        <v>229</v>
      </c>
      <c r="E770" s="108" t="s">
        <v>13</v>
      </c>
      <c r="F770" s="108" t="s">
        <v>247</v>
      </c>
      <c r="G770" s="108" t="s">
        <v>9</v>
      </c>
      <c r="H770" s="126">
        <f>H771+H773</f>
        <v>0</v>
      </c>
      <c r="I770" s="108">
        <v>710120060</v>
      </c>
      <c r="J770" s="108" t="str">
        <f t="shared" si="137"/>
        <v>0710120060</v>
      </c>
      <c r="K770" s="132"/>
      <c r="L770" s="17"/>
      <c r="M770" s="20">
        <v>361.5</v>
      </c>
      <c r="N770" s="20">
        <v>361.5</v>
      </c>
      <c r="O770" s="20">
        <v>361.5</v>
      </c>
      <c r="P770" s="20">
        <f t="shared" si="141"/>
        <v>-361.5</v>
      </c>
      <c r="Q770" s="20" t="e">
        <f>#REF!-N770</f>
        <v>#REF!</v>
      </c>
      <c r="R770" s="20" t="e">
        <f>#REF!-O770</f>
        <v>#REF!</v>
      </c>
      <c r="S770" s="17" t="str">
        <f t="shared" si="129"/>
        <v>07 1 01 20060000</v>
      </c>
    </row>
    <row r="771" spans="1:19" s="16" customFormat="1" ht="15.75">
      <c r="A771" s="14"/>
      <c r="B771" s="132" t="s">
        <v>403</v>
      </c>
      <c r="C771" s="109" t="s">
        <v>510</v>
      </c>
      <c r="D771" s="108" t="s">
        <v>229</v>
      </c>
      <c r="E771" s="108" t="s">
        <v>13</v>
      </c>
      <c r="F771" s="108" t="s">
        <v>247</v>
      </c>
      <c r="G771" s="108" t="s">
        <v>404</v>
      </c>
      <c r="H771" s="126">
        <f>H772</f>
        <v>0</v>
      </c>
      <c r="I771" s="108">
        <v>710120060</v>
      </c>
      <c r="J771" s="108" t="str">
        <f t="shared" si="137"/>
        <v>0710120060</v>
      </c>
      <c r="K771" s="132"/>
      <c r="L771" s="17"/>
      <c r="M771" s="20">
        <v>296.5</v>
      </c>
      <c r="N771" s="20">
        <v>296.5</v>
      </c>
      <c r="O771" s="20">
        <v>296.5</v>
      </c>
      <c r="P771" s="20">
        <f t="shared" si="141"/>
        <v>-296.5</v>
      </c>
      <c r="Q771" s="20" t="e">
        <f>#REF!-N771</f>
        <v>#REF!</v>
      </c>
      <c r="R771" s="20" t="e">
        <f>#REF!-O771</f>
        <v>#REF!</v>
      </c>
      <c r="S771" s="17" t="str">
        <f t="shared" si="129"/>
        <v>07 1 01 20060610</v>
      </c>
    </row>
    <row r="772" spans="1:19" s="23" customFormat="1" ht="63">
      <c r="A772" s="21"/>
      <c r="B772" s="127" t="s">
        <v>405</v>
      </c>
      <c r="C772" s="109" t="s">
        <v>510</v>
      </c>
      <c r="D772" s="108" t="s">
        <v>229</v>
      </c>
      <c r="E772" s="108" t="s">
        <v>13</v>
      </c>
      <c r="F772" s="108" t="s">
        <v>247</v>
      </c>
      <c r="G772" s="108" t="s">
        <v>406</v>
      </c>
      <c r="H772" s="126"/>
      <c r="I772" s="108">
        <v>710120060</v>
      </c>
      <c r="J772" s="108" t="str">
        <f t="shared" si="137"/>
        <v>0710120060</v>
      </c>
      <c r="K772" s="304" t="str">
        <f>C772&amp;D772&amp;E772&amp;J772&amp;G772</f>
        <v>60707030710120060611</v>
      </c>
      <c r="L772" s="24"/>
      <c r="M772" s="22"/>
      <c r="N772" s="22"/>
      <c r="O772" s="22"/>
      <c r="P772" s="22"/>
      <c r="Q772" s="22"/>
      <c r="R772" s="22"/>
      <c r="S772" s="24"/>
    </row>
    <row r="773" spans="1:19" s="16" customFormat="1" ht="15.75">
      <c r="A773" s="14"/>
      <c r="B773" s="140" t="s">
        <v>409</v>
      </c>
      <c r="C773" s="109" t="s">
        <v>510</v>
      </c>
      <c r="D773" s="108" t="s">
        <v>229</v>
      </c>
      <c r="E773" s="108" t="s">
        <v>13</v>
      </c>
      <c r="F773" s="108" t="s">
        <v>247</v>
      </c>
      <c r="G773" s="108" t="s">
        <v>410</v>
      </c>
      <c r="H773" s="126">
        <f>H774</f>
        <v>0</v>
      </c>
      <c r="I773" s="108">
        <v>710120060</v>
      </c>
      <c r="J773" s="108" t="str">
        <f t="shared" si="137"/>
        <v>0710120060</v>
      </c>
      <c r="K773" s="132"/>
      <c r="L773" s="17"/>
      <c r="M773" s="20">
        <v>65</v>
      </c>
      <c r="N773" s="20">
        <v>65</v>
      </c>
      <c r="O773" s="20">
        <v>65</v>
      </c>
      <c r="P773" s="20">
        <f>H773-M773</f>
        <v>-65</v>
      </c>
      <c r="Q773" s="20" t="e">
        <f>#REF!-N773</f>
        <v>#REF!</v>
      </c>
      <c r="R773" s="20" t="e">
        <f>#REF!-O773</f>
        <v>#REF!</v>
      </c>
      <c r="S773" s="17" t="str">
        <f t="shared" si="129"/>
        <v>07 1 01 20060620</v>
      </c>
    </row>
    <row r="774" spans="1:19" s="23" customFormat="1" ht="63">
      <c r="A774" s="21"/>
      <c r="B774" s="127" t="s">
        <v>411</v>
      </c>
      <c r="C774" s="109" t="s">
        <v>510</v>
      </c>
      <c r="D774" s="108" t="s">
        <v>229</v>
      </c>
      <c r="E774" s="108" t="s">
        <v>13</v>
      </c>
      <c r="F774" s="108" t="s">
        <v>247</v>
      </c>
      <c r="G774" s="108" t="s">
        <v>412</v>
      </c>
      <c r="H774" s="126"/>
      <c r="I774" s="108">
        <v>710120060</v>
      </c>
      <c r="J774" s="108" t="str">
        <f t="shared" si="137"/>
        <v>0710120060</v>
      </c>
      <c r="K774" s="304" t="str">
        <f>C774&amp;D774&amp;E774&amp;J774&amp;G774</f>
        <v>60707030710120060621</v>
      </c>
      <c r="L774" s="24"/>
      <c r="M774" s="22"/>
      <c r="N774" s="22"/>
      <c r="O774" s="22"/>
      <c r="P774" s="22"/>
      <c r="Q774" s="22"/>
      <c r="R774" s="22"/>
      <c r="S774" s="24"/>
    </row>
    <row r="775" spans="1:19" s="16" customFormat="1" ht="15.75">
      <c r="A775" s="14"/>
      <c r="B775" s="125" t="s">
        <v>519</v>
      </c>
      <c r="C775" s="109" t="s">
        <v>510</v>
      </c>
      <c r="D775" s="108" t="s">
        <v>229</v>
      </c>
      <c r="E775" s="108" t="s">
        <v>13</v>
      </c>
      <c r="F775" s="108" t="s">
        <v>520</v>
      </c>
      <c r="G775" s="108" t="s">
        <v>9</v>
      </c>
      <c r="H775" s="126">
        <f>H776+H782+H786+H792</f>
        <v>0</v>
      </c>
      <c r="I775" s="108">
        <v>720000000</v>
      </c>
      <c r="J775" s="108" t="str">
        <f t="shared" si="137"/>
        <v>0720000000</v>
      </c>
      <c r="K775" s="132"/>
      <c r="L775" s="17"/>
      <c r="M775" s="20">
        <v>139765.16</v>
      </c>
      <c r="N775" s="20">
        <v>130248.29999999999</v>
      </c>
      <c r="O775" s="20">
        <v>129586.87</v>
      </c>
      <c r="P775" s="20">
        <f>H775-M775</f>
        <v>-139765.16</v>
      </c>
      <c r="Q775" s="20" t="e">
        <f>#REF!-N775</f>
        <v>#REF!</v>
      </c>
      <c r="R775" s="20" t="e">
        <f>#REF!-O775</f>
        <v>#REF!</v>
      </c>
      <c r="S775" s="17" t="str">
        <f t="shared" si="129"/>
        <v>07 2 00 00000000</v>
      </c>
    </row>
    <row r="776" spans="1:19" s="16" customFormat="1" ht="63">
      <c r="A776" s="14"/>
      <c r="B776" s="125" t="s">
        <v>521</v>
      </c>
      <c r="C776" s="109" t="s">
        <v>510</v>
      </c>
      <c r="D776" s="108" t="s">
        <v>229</v>
      </c>
      <c r="E776" s="108" t="s">
        <v>13</v>
      </c>
      <c r="F776" s="108" t="s">
        <v>522</v>
      </c>
      <c r="G776" s="108" t="s">
        <v>9</v>
      </c>
      <c r="H776" s="126">
        <f>H777</f>
        <v>0</v>
      </c>
      <c r="I776" s="108">
        <v>720100000</v>
      </c>
      <c r="J776" s="108" t="str">
        <f t="shared" si="137"/>
        <v>0720100000</v>
      </c>
      <c r="K776" s="132"/>
      <c r="L776" s="17"/>
      <c r="M776" s="20">
        <v>137429.12</v>
      </c>
      <c r="N776" s="20">
        <v>129218.47</v>
      </c>
      <c r="O776" s="20">
        <v>129218.47</v>
      </c>
      <c r="P776" s="20">
        <f>H776-M776</f>
        <v>-137429.12</v>
      </c>
      <c r="Q776" s="20" t="e">
        <f>#REF!-N776</f>
        <v>#REF!</v>
      </c>
      <c r="R776" s="20" t="e">
        <f>#REF!-O776</f>
        <v>#REF!</v>
      </c>
      <c r="S776" s="17" t="str">
        <f t="shared" si="129"/>
        <v>07 2 01 00000000</v>
      </c>
    </row>
    <row r="777" spans="1:19" s="16" customFormat="1" ht="31.5">
      <c r="A777" s="14"/>
      <c r="B777" s="125" t="s">
        <v>136</v>
      </c>
      <c r="C777" s="109" t="s">
        <v>510</v>
      </c>
      <c r="D777" s="108" t="s">
        <v>229</v>
      </c>
      <c r="E777" s="108" t="s">
        <v>13</v>
      </c>
      <c r="F777" s="108" t="s">
        <v>523</v>
      </c>
      <c r="G777" s="108" t="s">
        <v>9</v>
      </c>
      <c r="H777" s="126">
        <f>H778+H780</f>
        <v>0</v>
      </c>
      <c r="I777" s="108">
        <v>720111010</v>
      </c>
      <c r="J777" s="108" t="str">
        <f t="shared" si="137"/>
        <v>0720111010</v>
      </c>
      <c r="K777" s="132"/>
      <c r="L777" s="17"/>
      <c r="M777" s="20">
        <v>137429.12</v>
      </c>
      <c r="N777" s="20">
        <v>129218.47</v>
      </c>
      <c r="O777" s="20">
        <v>129218.47</v>
      </c>
      <c r="P777" s="20">
        <f>H777-M777</f>
        <v>-137429.12</v>
      </c>
      <c r="Q777" s="20" t="e">
        <f>#REF!-N777</f>
        <v>#REF!</v>
      </c>
      <c r="R777" s="20" t="e">
        <f>#REF!-O777</f>
        <v>#REF!</v>
      </c>
      <c r="S777" s="17" t="str">
        <f t="shared" si="129"/>
        <v>07 2 01 11010000</v>
      </c>
    </row>
    <row r="778" spans="1:19" s="16" customFormat="1" ht="15.75">
      <c r="A778" s="14"/>
      <c r="B778" s="125" t="s">
        <v>403</v>
      </c>
      <c r="C778" s="109" t="s">
        <v>510</v>
      </c>
      <c r="D778" s="108" t="s">
        <v>229</v>
      </c>
      <c r="E778" s="108" t="s">
        <v>13</v>
      </c>
      <c r="F778" s="108" t="s">
        <v>523</v>
      </c>
      <c r="G778" s="108" t="s">
        <v>404</v>
      </c>
      <c r="H778" s="126">
        <f>H779</f>
        <v>0</v>
      </c>
      <c r="I778" s="108">
        <v>720111010</v>
      </c>
      <c r="J778" s="108" t="str">
        <f t="shared" si="137"/>
        <v>0720111010</v>
      </c>
      <c r="K778" s="132"/>
      <c r="L778" s="17"/>
      <c r="M778" s="20">
        <v>121624.62</v>
      </c>
      <c r="N778" s="20">
        <v>114674.89</v>
      </c>
      <c r="O778" s="20">
        <v>114674.89</v>
      </c>
      <c r="P778" s="20">
        <f>H778-M778</f>
        <v>-121624.62</v>
      </c>
      <c r="Q778" s="20" t="e">
        <f>#REF!-N778</f>
        <v>#REF!</v>
      </c>
      <c r="R778" s="20" t="e">
        <f>#REF!-O778</f>
        <v>#REF!</v>
      </c>
      <c r="S778" s="17" t="str">
        <f t="shared" si="129"/>
        <v>07 2 01 11010610</v>
      </c>
    </row>
    <row r="779" spans="1:19" s="23" customFormat="1" ht="63">
      <c r="A779" s="21"/>
      <c r="B779" s="127" t="s">
        <v>405</v>
      </c>
      <c r="C779" s="109" t="s">
        <v>510</v>
      </c>
      <c r="D779" s="108" t="s">
        <v>229</v>
      </c>
      <c r="E779" s="108" t="s">
        <v>13</v>
      </c>
      <c r="F779" s="108" t="s">
        <v>523</v>
      </c>
      <c r="G779" s="108" t="s">
        <v>406</v>
      </c>
      <c r="H779" s="126"/>
      <c r="I779" s="108">
        <v>720111010</v>
      </c>
      <c r="J779" s="108" t="str">
        <f t="shared" si="137"/>
        <v>0720111010</v>
      </c>
      <c r="K779" s="304" t="str">
        <f>C779&amp;D779&amp;E779&amp;J779&amp;G779</f>
        <v>60707030720111010611</v>
      </c>
      <c r="L779" s="24"/>
      <c r="M779" s="22"/>
      <c r="N779" s="22"/>
      <c r="O779" s="22"/>
      <c r="P779" s="22"/>
      <c r="Q779" s="22"/>
      <c r="R779" s="22"/>
      <c r="S779" s="24"/>
    </row>
    <row r="780" spans="1:19" s="17" customFormat="1" ht="15.75">
      <c r="A780" s="14"/>
      <c r="B780" s="125" t="s">
        <v>409</v>
      </c>
      <c r="C780" s="109" t="s">
        <v>510</v>
      </c>
      <c r="D780" s="108" t="s">
        <v>229</v>
      </c>
      <c r="E780" s="108" t="s">
        <v>13</v>
      </c>
      <c r="F780" s="108" t="s">
        <v>523</v>
      </c>
      <c r="G780" s="108" t="s">
        <v>410</v>
      </c>
      <c r="H780" s="126">
        <f>H781</f>
        <v>0</v>
      </c>
      <c r="I780" s="108">
        <v>720111010</v>
      </c>
      <c r="J780" s="108" t="str">
        <f t="shared" si="137"/>
        <v>0720111010</v>
      </c>
      <c r="K780" s="132"/>
      <c r="M780" s="20">
        <v>15804.5</v>
      </c>
      <c r="N780" s="20">
        <v>14543.58</v>
      </c>
      <c r="O780" s="20">
        <v>14543.58</v>
      </c>
      <c r="P780" s="20">
        <f>H780-M780</f>
        <v>-15804.5</v>
      </c>
      <c r="Q780" s="20" t="e">
        <f>#REF!-N780</f>
        <v>#REF!</v>
      </c>
      <c r="R780" s="20" t="e">
        <f>#REF!-O780</f>
        <v>#REF!</v>
      </c>
      <c r="S780" s="17" t="str">
        <f t="shared" si="129"/>
        <v>07 2 01 11010620</v>
      </c>
    </row>
    <row r="781" spans="1:19" s="24" customFormat="1" ht="63">
      <c r="A781" s="21"/>
      <c r="B781" s="127" t="s">
        <v>411</v>
      </c>
      <c r="C781" s="109" t="s">
        <v>510</v>
      </c>
      <c r="D781" s="108" t="s">
        <v>229</v>
      </c>
      <c r="E781" s="108" t="s">
        <v>13</v>
      </c>
      <c r="F781" s="108" t="s">
        <v>523</v>
      </c>
      <c r="G781" s="108" t="s">
        <v>412</v>
      </c>
      <c r="H781" s="126"/>
      <c r="I781" s="108">
        <v>720111010</v>
      </c>
      <c r="J781" s="108" t="str">
        <f t="shared" si="137"/>
        <v>0720111010</v>
      </c>
      <c r="K781" s="304" t="str">
        <f>C781&amp;D781&amp;E781&amp;J781&amp;G781</f>
        <v>60707030720111010621</v>
      </c>
      <c r="M781" s="22"/>
      <c r="N781" s="22"/>
      <c r="O781" s="22"/>
      <c r="P781" s="22"/>
      <c r="Q781" s="22"/>
      <c r="R781" s="22"/>
    </row>
    <row r="782" spans="1:19" s="16" customFormat="1" ht="126">
      <c r="A782" s="14"/>
      <c r="B782" s="132" t="s">
        <v>528</v>
      </c>
      <c r="C782" s="109" t="s">
        <v>510</v>
      </c>
      <c r="D782" s="108" t="s">
        <v>229</v>
      </c>
      <c r="E782" s="108" t="s">
        <v>13</v>
      </c>
      <c r="F782" s="108" t="s">
        <v>529</v>
      </c>
      <c r="G782" s="108" t="s">
        <v>9</v>
      </c>
      <c r="H782" s="126">
        <f t="shared" ref="H782:H783" si="143">H783</f>
        <v>0</v>
      </c>
      <c r="I782" s="108">
        <v>720800000</v>
      </c>
      <c r="J782" s="108" t="str">
        <f t="shared" si="137"/>
        <v>0720800000</v>
      </c>
      <c r="K782" s="132"/>
      <c r="L782" s="17"/>
      <c r="M782" s="20">
        <v>955.2</v>
      </c>
      <c r="N782" s="20">
        <v>150</v>
      </c>
      <c r="O782" s="20">
        <v>150</v>
      </c>
      <c r="P782" s="20">
        <f>H782-M782</f>
        <v>-955.2</v>
      </c>
      <c r="Q782" s="20" t="e">
        <f>#REF!-N782</f>
        <v>#REF!</v>
      </c>
      <c r="R782" s="20" t="e">
        <f>#REF!-O782</f>
        <v>#REF!</v>
      </c>
      <c r="S782" s="17" t="str">
        <f t="shared" si="129"/>
        <v>07 2 08 00000000</v>
      </c>
    </row>
    <row r="783" spans="1:19" s="16" customFormat="1" ht="126">
      <c r="A783" s="14"/>
      <c r="B783" s="125" t="s">
        <v>530</v>
      </c>
      <c r="C783" s="109" t="s">
        <v>510</v>
      </c>
      <c r="D783" s="108" t="s">
        <v>229</v>
      </c>
      <c r="E783" s="108" t="s">
        <v>13</v>
      </c>
      <c r="F783" s="108" t="s">
        <v>531</v>
      </c>
      <c r="G783" s="108" t="s">
        <v>9</v>
      </c>
      <c r="H783" s="126">
        <f t="shared" si="143"/>
        <v>0</v>
      </c>
      <c r="I783" s="108">
        <v>720821230</v>
      </c>
      <c r="J783" s="108" t="str">
        <f t="shared" si="137"/>
        <v>0720821230</v>
      </c>
      <c r="K783" s="132"/>
      <c r="L783" s="17"/>
      <c r="M783" s="20">
        <v>955.2</v>
      </c>
      <c r="N783" s="20">
        <v>150</v>
      </c>
      <c r="O783" s="20">
        <v>150</v>
      </c>
      <c r="P783" s="20">
        <f>H783-M783</f>
        <v>-955.2</v>
      </c>
      <c r="Q783" s="20" t="e">
        <f>#REF!-N783</f>
        <v>#REF!</v>
      </c>
      <c r="R783" s="20" t="e">
        <f>#REF!-O783</f>
        <v>#REF!</v>
      </c>
      <c r="S783" s="17" t="str">
        <f t="shared" si="129"/>
        <v>07 2 08 21230000</v>
      </c>
    </row>
    <row r="784" spans="1:19" s="16" customFormat="1" ht="15.75">
      <c r="A784" s="14"/>
      <c r="B784" s="132" t="s">
        <v>403</v>
      </c>
      <c r="C784" s="109" t="s">
        <v>510</v>
      </c>
      <c r="D784" s="108" t="s">
        <v>229</v>
      </c>
      <c r="E784" s="108" t="s">
        <v>13</v>
      </c>
      <c r="F784" s="108" t="s">
        <v>531</v>
      </c>
      <c r="G784" s="108" t="s">
        <v>404</v>
      </c>
      <c r="H784" s="126">
        <f>H785</f>
        <v>0</v>
      </c>
      <c r="I784" s="108">
        <v>720821230</v>
      </c>
      <c r="J784" s="108" t="str">
        <f t="shared" si="137"/>
        <v>0720821230</v>
      </c>
      <c r="K784" s="132"/>
      <c r="L784" s="17"/>
      <c r="M784" s="20">
        <v>955.2</v>
      </c>
      <c r="N784" s="20">
        <v>150</v>
      </c>
      <c r="O784" s="20">
        <v>150</v>
      </c>
      <c r="P784" s="20">
        <f>H784-M784</f>
        <v>-955.2</v>
      </c>
      <c r="Q784" s="20" t="e">
        <f>#REF!-N784</f>
        <v>#REF!</v>
      </c>
      <c r="R784" s="20" t="e">
        <f>#REF!-O784</f>
        <v>#REF!</v>
      </c>
      <c r="S784" s="17" t="str">
        <f t="shared" si="129"/>
        <v>07 2 08 21230610</v>
      </c>
    </row>
    <row r="785" spans="1:19" s="23" customFormat="1" ht="15.75">
      <c r="A785" s="21"/>
      <c r="B785" s="127" t="s">
        <v>407</v>
      </c>
      <c r="C785" s="109" t="s">
        <v>510</v>
      </c>
      <c r="D785" s="108" t="s">
        <v>229</v>
      </c>
      <c r="E785" s="108" t="s">
        <v>13</v>
      </c>
      <c r="F785" s="108" t="s">
        <v>531</v>
      </c>
      <c r="G785" s="108" t="s">
        <v>408</v>
      </c>
      <c r="H785" s="126"/>
      <c r="I785" s="108">
        <v>720821230</v>
      </c>
      <c r="J785" s="108" t="str">
        <f t="shared" si="137"/>
        <v>0720821230</v>
      </c>
      <c r="K785" s="304" t="str">
        <f>C785&amp;D785&amp;E785&amp;J785&amp;G785</f>
        <v>60707030720821230612</v>
      </c>
      <c r="L785" s="24"/>
      <c r="M785" s="22"/>
      <c r="N785" s="22"/>
      <c r="O785" s="22"/>
      <c r="P785" s="22"/>
      <c r="Q785" s="22"/>
      <c r="R785" s="22"/>
      <c r="S785" s="24"/>
    </row>
    <row r="786" spans="1:19" s="16" customFormat="1" ht="47.25">
      <c r="A786" s="14"/>
      <c r="B786" s="132" t="s">
        <v>532</v>
      </c>
      <c r="C786" s="109" t="s">
        <v>510</v>
      </c>
      <c r="D786" s="108" t="s">
        <v>229</v>
      </c>
      <c r="E786" s="108" t="s">
        <v>13</v>
      </c>
      <c r="F786" s="108" t="s">
        <v>533</v>
      </c>
      <c r="G786" s="108" t="s">
        <v>9</v>
      </c>
      <c r="H786" s="126">
        <f>H787</f>
        <v>0</v>
      </c>
      <c r="I786" s="108">
        <v>720900000</v>
      </c>
      <c r="J786" s="108" t="str">
        <f t="shared" si="137"/>
        <v>0720900000</v>
      </c>
      <c r="K786" s="132"/>
      <c r="L786" s="17"/>
      <c r="M786" s="20">
        <v>218.4</v>
      </c>
      <c r="N786" s="20">
        <v>218.4</v>
      </c>
      <c r="O786" s="20">
        <v>218.4</v>
      </c>
      <c r="P786" s="20">
        <f>H786-M786</f>
        <v>-218.4</v>
      </c>
      <c r="Q786" s="20" t="e">
        <f>#REF!-N786</f>
        <v>#REF!</v>
      </c>
      <c r="R786" s="20" t="e">
        <f>#REF!-O786</f>
        <v>#REF!</v>
      </c>
      <c r="S786" s="17" t="str">
        <f t="shared" si="129"/>
        <v>07 2 09 00000000</v>
      </c>
    </row>
    <row r="787" spans="1:19" s="16" customFormat="1" ht="47.25">
      <c r="A787" s="14"/>
      <c r="B787" s="132" t="s">
        <v>534</v>
      </c>
      <c r="C787" s="109" t="s">
        <v>510</v>
      </c>
      <c r="D787" s="108" t="s">
        <v>229</v>
      </c>
      <c r="E787" s="108" t="s">
        <v>13</v>
      </c>
      <c r="F787" s="108" t="s">
        <v>535</v>
      </c>
      <c r="G787" s="108" t="s">
        <v>9</v>
      </c>
      <c r="H787" s="126">
        <f>H788+H790</f>
        <v>0</v>
      </c>
      <c r="I787" s="108">
        <v>720921280</v>
      </c>
      <c r="J787" s="108" t="str">
        <f t="shared" si="137"/>
        <v>0720921280</v>
      </c>
      <c r="K787" s="132"/>
      <c r="L787" s="17"/>
      <c r="M787" s="20">
        <v>218.4</v>
      </c>
      <c r="N787" s="20">
        <v>218.4</v>
      </c>
      <c r="O787" s="20">
        <v>218.4</v>
      </c>
      <c r="P787" s="20">
        <f>H787-M787</f>
        <v>-218.4</v>
      </c>
      <c r="Q787" s="20" t="e">
        <f>#REF!-N787</f>
        <v>#REF!</v>
      </c>
      <c r="R787" s="20" t="e">
        <f>#REF!-O787</f>
        <v>#REF!</v>
      </c>
      <c r="S787" s="17" t="str">
        <f t="shared" si="129"/>
        <v>07 2 09 21280000</v>
      </c>
    </row>
    <row r="788" spans="1:19" s="16" customFormat="1" ht="15.75">
      <c r="A788" s="14"/>
      <c r="B788" s="132" t="s">
        <v>403</v>
      </c>
      <c r="C788" s="109" t="s">
        <v>510</v>
      </c>
      <c r="D788" s="108" t="s">
        <v>229</v>
      </c>
      <c r="E788" s="108" t="s">
        <v>13</v>
      </c>
      <c r="F788" s="108" t="s">
        <v>535</v>
      </c>
      <c r="G788" s="108" t="s">
        <v>404</v>
      </c>
      <c r="H788" s="126">
        <f>H789</f>
        <v>0</v>
      </c>
      <c r="I788" s="108">
        <v>720921280</v>
      </c>
      <c r="J788" s="108" t="str">
        <f t="shared" si="137"/>
        <v>0720921280</v>
      </c>
      <c r="K788" s="132"/>
      <c r="L788" s="17"/>
      <c r="M788" s="20">
        <v>163.80000000000001</v>
      </c>
      <c r="N788" s="20">
        <v>163.80000000000001</v>
      </c>
      <c r="O788" s="20">
        <v>163.80000000000001</v>
      </c>
      <c r="P788" s="20">
        <f>H788-M788</f>
        <v>-163.80000000000001</v>
      </c>
      <c r="Q788" s="20" t="e">
        <f>#REF!-N788</f>
        <v>#REF!</v>
      </c>
      <c r="R788" s="20" t="e">
        <f>#REF!-O788</f>
        <v>#REF!</v>
      </c>
      <c r="S788" s="17" t="str">
        <f t="shared" si="129"/>
        <v>07 2 09 21280610</v>
      </c>
    </row>
    <row r="789" spans="1:19" s="23" customFormat="1" ht="15.75">
      <c r="A789" s="21"/>
      <c r="B789" s="127" t="s">
        <v>407</v>
      </c>
      <c r="C789" s="109" t="s">
        <v>510</v>
      </c>
      <c r="D789" s="108" t="s">
        <v>229</v>
      </c>
      <c r="E789" s="108" t="s">
        <v>13</v>
      </c>
      <c r="F789" s="108" t="s">
        <v>535</v>
      </c>
      <c r="G789" s="108" t="s">
        <v>408</v>
      </c>
      <c r="H789" s="126"/>
      <c r="I789" s="108">
        <v>720921280</v>
      </c>
      <c r="J789" s="108" t="str">
        <f t="shared" si="137"/>
        <v>0720921280</v>
      </c>
      <c r="K789" s="304" t="str">
        <f>C789&amp;D789&amp;E789&amp;J789&amp;G789</f>
        <v>60707030720921280612</v>
      </c>
      <c r="L789" s="24"/>
      <c r="M789" s="22"/>
      <c r="N789" s="22"/>
      <c r="O789" s="22"/>
      <c r="P789" s="22"/>
      <c r="Q789" s="22"/>
      <c r="R789" s="22"/>
      <c r="S789" s="24"/>
    </row>
    <row r="790" spans="1:19" s="16" customFormat="1" ht="15.75">
      <c r="A790" s="14"/>
      <c r="B790" s="132" t="s">
        <v>409</v>
      </c>
      <c r="C790" s="109" t="s">
        <v>510</v>
      </c>
      <c r="D790" s="108" t="s">
        <v>229</v>
      </c>
      <c r="E790" s="108" t="s">
        <v>13</v>
      </c>
      <c r="F790" s="108" t="s">
        <v>535</v>
      </c>
      <c r="G790" s="108" t="s">
        <v>410</v>
      </c>
      <c r="H790" s="126">
        <f>H791</f>
        <v>0</v>
      </c>
      <c r="I790" s="108">
        <v>720921280</v>
      </c>
      <c r="J790" s="108" t="str">
        <f t="shared" si="137"/>
        <v>0720921280</v>
      </c>
      <c r="K790" s="132"/>
      <c r="L790" s="17"/>
      <c r="M790" s="20">
        <v>54.6</v>
      </c>
      <c r="N790" s="20">
        <v>54.6</v>
      </c>
      <c r="O790" s="20">
        <v>54.6</v>
      </c>
      <c r="P790" s="20">
        <f>H790-M790</f>
        <v>-54.6</v>
      </c>
      <c r="Q790" s="20" t="e">
        <f>#REF!-N790</f>
        <v>#REF!</v>
      </c>
      <c r="R790" s="20" t="e">
        <f>#REF!-O790</f>
        <v>#REF!</v>
      </c>
      <c r="S790" s="17" t="str">
        <f t="shared" si="129"/>
        <v>07 2 09 21280620</v>
      </c>
    </row>
    <row r="791" spans="1:19" s="23" customFormat="1" ht="15.75">
      <c r="A791" s="21"/>
      <c r="B791" s="127" t="s">
        <v>428</v>
      </c>
      <c r="C791" s="109" t="s">
        <v>510</v>
      </c>
      <c r="D791" s="108" t="s">
        <v>229</v>
      </c>
      <c r="E791" s="108" t="s">
        <v>13</v>
      </c>
      <c r="F791" s="108" t="s">
        <v>535</v>
      </c>
      <c r="G791" s="108" t="s">
        <v>429</v>
      </c>
      <c r="H791" s="126"/>
      <c r="I791" s="108">
        <v>720921280</v>
      </c>
      <c r="J791" s="108" t="str">
        <f t="shared" si="137"/>
        <v>0720921280</v>
      </c>
      <c r="K791" s="304" t="str">
        <f>C791&amp;D791&amp;E791&amp;J791&amp;G791</f>
        <v>60707030720921280622</v>
      </c>
      <c r="L791" s="24"/>
      <c r="M791" s="22"/>
      <c r="N791" s="22"/>
      <c r="O791" s="22"/>
      <c r="P791" s="22"/>
      <c r="Q791" s="22"/>
      <c r="R791" s="22"/>
      <c r="S791" s="24"/>
    </row>
    <row r="792" spans="1:19" s="16" customFormat="1" ht="78.75">
      <c r="A792" s="14"/>
      <c r="B792" s="132" t="s">
        <v>536</v>
      </c>
      <c r="C792" s="109" t="s">
        <v>510</v>
      </c>
      <c r="D792" s="108" t="s">
        <v>229</v>
      </c>
      <c r="E792" s="108" t="s">
        <v>13</v>
      </c>
      <c r="F792" s="108" t="s">
        <v>537</v>
      </c>
      <c r="G792" s="108" t="s">
        <v>9</v>
      </c>
      <c r="H792" s="126">
        <f>H793</f>
        <v>0</v>
      </c>
      <c r="I792" s="108">
        <v>721200000</v>
      </c>
      <c r="J792" s="108" t="str">
        <f t="shared" si="137"/>
        <v>0721200000</v>
      </c>
      <c r="K792" s="132"/>
      <c r="L792" s="17"/>
      <c r="M792" s="20">
        <v>1162.44</v>
      </c>
      <c r="N792" s="20">
        <v>0</v>
      </c>
      <c r="O792" s="20">
        <v>0</v>
      </c>
      <c r="P792" s="20">
        <f>H792-M792</f>
        <v>-1162.44</v>
      </c>
      <c r="Q792" s="20" t="e">
        <f>#REF!-N792</f>
        <v>#REF!</v>
      </c>
      <c r="R792" s="20" t="e">
        <f>#REF!-O792</f>
        <v>#REF!</v>
      </c>
      <c r="S792" s="17" t="str">
        <f t="shared" si="129"/>
        <v>07 2 12 00000000</v>
      </c>
    </row>
    <row r="793" spans="1:19" s="16" customFormat="1" ht="47.25">
      <c r="A793" s="14"/>
      <c r="B793" s="307" t="s">
        <v>538</v>
      </c>
      <c r="C793" s="109" t="s">
        <v>510</v>
      </c>
      <c r="D793" s="108" t="s">
        <v>229</v>
      </c>
      <c r="E793" s="108" t="s">
        <v>13</v>
      </c>
      <c r="F793" s="108" t="s">
        <v>539</v>
      </c>
      <c r="G793" s="108" t="s">
        <v>9</v>
      </c>
      <c r="H793" s="126">
        <f>H794</f>
        <v>0</v>
      </c>
      <c r="I793" s="108">
        <v>721221430</v>
      </c>
      <c r="J793" s="108" t="str">
        <f t="shared" si="137"/>
        <v>0721221430</v>
      </c>
      <c r="K793" s="132"/>
      <c r="L793" s="17"/>
      <c r="M793" s="20">
        <v>1162.44</v>
      </c>
      <c r="N793" s="20">
        <v>0</v>
      </c>
      <c r="O793" s="20">
        <v>0</v>
      </c>
      <c r="P793" s="20">
        <f>H793-M793</f>
        <v>-1162.44</v>
      </c>
      <c r="Q793" s="20" t="e">
        <f>#REF!-N793</f>
        <v>#REF!</v>
      </c>
      <c r="R793" s="20" t="e">
        <f>#REF!-O793</f>
        <v>#REF!</v>
      </c>
      <c r="S793" s="17" t="str">
        <f t="shared" si="129"/>
        <v>07 2 12 21430000</v>
      </c>
    </row>
    <row r="794" spans="1:19" s="16" customFormat="1" ht="15.75">
      <c r="A794" s="14"/>
      <c r="B794" s="132" t="s">
        <v>409</v>
      </c>
      <c r="C794" s="109" t="s">
        <v>510</v>
      </c>
      <c r="D794" s="108" t="s">
        <v>229</v>
      </c>
      <c r="E794" s="108" t="s">
        <v>13</v>
      </c>
      <c r="F794" s="108" t="s">
        <v>539</v>
      </c>
      <c r="G794" s="108" t="s">
        <v>410</v>
      </c>
      <c r="H794" s="126">
        <f>H795</f>
        <v>0</v>
      </c>
      <c r="I794" s="108">
        <v>721221430</v>
      </c>
      <c r="J794" s="108" t="str">
        <f t="shared" si="137"/>
        <v>0721221430</v>
      </c>
      <c r="K794" s="132"/>
      <c r="L794" s="17"/>
      <c r="M794" s="20">
        <v>1162.44</v>
      </c>
      <c r="N794" s="20">
        <v>0</v>
      </c>
      <c r="O794" s="20">
        <v>0</v>
      </c>
      <c r="P794" s="20">
        <f>H794-M794</f>
        <v>-1162.44</v>
      </c>
      <c r="Q794" s="20" t="e">
        <f>#REF!-N794</f>
        <v>#REF!</v>
      </c>
      <c r="R794" s="20" t="e">
        <f>#REF!-O794</f>
        <v>#REF!</v>
      </c>
      <c r="S794" s="17" t="str">
        <f t="shared" si="129"/>
        <v>07 2 12 21430620</v>
      </c>
    </row>
    <row r="795" spans="1:19" s="23" customFormat="1" ht="15.75">
      <c r="A795" s="21"/>
      <c r="B795" s="127" t="s">
        <v>428</v>
      </c>
      <c r="C795" s="109" t="s">
        <v>510</v>
      </c>
      <c r="D795" s="108" t="s">
        <v>229</v>
      </c>
      <c r="E795" s="108" t="s">
        <v>13</v>
      </c>
      <c r="F795" s="108" t="s">
        <v>539</v>
      </c>
      <c r="G795" s="108" t="s">
        <v>429</v>
      </c>
      <c r="H795" s="126"/>
      <c r="I795" s="108">
        <v>721221430</v>
      </c>
      <c r="J795" s="108" t="str">
        <f t="shared" si="137"/>
        <v>0721221430</v>
      </c>
      <c r="K795" s="304" t="str">
        <f>C795&amp;D795&amp;E795&amp;J795&amp;G795</f>
        <v>60707030721221430622</v>
      </c>
      <c r="L795" s="24"/>
      <c r="M795" s="22"/>
      <c r="N795" s="22"/>
      <c r="O795" s="22"/>
      <c r="P795" s="22"/>
      <c r="Q795" s="22"/>
      <c r="R795" s="22"/>
      <c r="S795" s="24"/>
    </row>
    <row r="796" spans="1:19" s="16" customFormat="1" ht="94.5">
      <c r="A796" s="14"/>
      <c r="B796" s="125" t="s">
        <v>420</v>
      </c>
      <c r="C796" s="109" t="s">
        <v>510</v>
      </c>
      <c r="D796" s="108" t="s">
        <v>229</v>
      </c>
      <c r="E796" s="108" t="s">
        <v>13</v>
      </c>
      <c r="F796" s="108" t="s">
        <v>421</v>
      </c>
      <c r="G796" s="108" t="s">
        <v>9</v>
      </c>
      <c r="H796" s="126">
        <f t="shared" ref="H796:H798" si="144">H797</f>
        <v>0</v>
      </c>
      <c r="I796" s="108">
        <v>1600000000</v>
      </c>
      <c r="J796" s="108" t="str">
        <f t="shared" si="137"/>
        <v>1600000000</v>
      </c>
      <c r="K796" s="132"/>
      <c r="L796" s="17"/>
      <c r="M796" s="20">
        <v>392.8</v>
      </c>
      <c r="N796" s="20">
        <v>392.8</v>
      </c>
      <c r="O796" s="20">
        <v>392.8</v>
      </c>
      <c r="P796" s="20">
        <f>H796-M796</f>
        <v>-392.8</v>
      </c>
      <c r="Q796" s="20" t="e">
        <f>#REF!-N796</f>
        <v>#REF!</v>
      </c>
      <c r="R796" s="20" t="e">
        <f>#REF!-O796</f>
        <v>#REF!</v>
      </c>
      <c r="S796" s="17" t="str">
        <f t="shared" si="129"/>
        <v>16 0 00 00000000</v>
      </c>
    </row>
    <row r="797" spans="1:19" s="16" customFormat="1" ht="31.5">
      <c r="A797" s="14"/>
      <c r="B797" s="125" t="s">
        <v>422</v>
      </c>
      <c r="C797" s="109" t="s">
        <v>510</v>
      </c>
      <c r="D797" s="108" t="s">
        <v>229</v>
      </c>
      <c r="E797" s="108" t="s">
        <v>13</v>
      </c>
      <c r="F797" s="108" t="s">
        <v>423</v>
      </c>
      <c r="G797" s="108" t="s">
        <v>9</v>
      </c>
      <c r="H797" s="126">
        <f t="shared" si="144"/>
        <v>0</v>
      </c>
      <c r="I797" s="108">
        <v>1620000000</v>
      </c>
      <c r="J797" s="108" t="str">
        <f t="shared" si="137"/>
        <v>1620000000</v>
      </c>
      <c r="K797" s="132"/>
      <c r="L797" s="17"/>
      <c r="M797" s="20">
        <v>392.8</v>
      </c>
      <c r="N797" s="20">
        <v>392.8</v>
      </c>
      <c r="O797" s="20">
        <v>392.8</v>
      </c>
      <c r="P797" s="20">
        <f>H797-M797</f>
        <v>-392.8</v>
      </c>
      <c r="Q797" s="20" t="e">
        <f>#REF!-N797</f>
        <v>#REF!</v>
      </c>
      <c r="R797" s="20" t="e">
        <f>#REF!-O797</f>
        <v>#REF!</v>
      </c>
      <c r="S797" s="17" t="str">
        <f t="shared" si="129"/>
        <v>16 2 00 00000000</v>
      </c>
    </row>
    <row r="798" spans="1:19" s="16" customFormat="1" ht="47.25">
      <c r="A798" s="14"/>
      <c r="B798" s="125" t="s">
        <v>424</v>
      </c>
      <c r="C798" s="109" t="s">
        <v>510</v>
      </c>
      <c r="D798" s="108" t="s">
        <v>229</v>
      </c>
      <c r="E798" s="108" t="s">
        <v>13</v>
      </c>
      <c r="F798" s="108" t="s">
        <v>425</v>
      </c>
      <c r="G798" s="108" t="s">
        <v>9</v>
      </c>
      <c r="H798" s="126">
        <f t="shared" si="144"/>
        <v>0</v>
      </c>
      <c r="I798" s="108">
        <v>1620200000</v>
      </c>
      <c r="J798" s="108" t="str">
        <f t="shared" si="137"/>
        <v>1620200000</v>
      </c>
      <c r="K798" s="132"/>
      <c r="L798" s="17"/>
      <c r="M798" s="20">
        <v>392.8</v>
      </c>
      <c r="N798" s="20">
        <v>392.8</v>
      </c>
      <c r="O798" s="20">
        <v>392.8</v>
      </c>
      <c r="P798" s="20">
        <f>H798-M798</f>
        <v>-392.8</v>
      </c>
      <c r="Q798" s="20" t="e">
        <f>#REF!-N798</f>
        <v>#REF!</v>
      </c>
      <c r="R798" s="20" t="e">
        <f>#REF!-O798</f>
        <v>#REF!</v>
      </c>
      <c r="S798" s="17" t="str">
        <f t="shared" si="129"/>
        <v>16 2 02 00000000</v>
      </c>
    </row>
    <row r="799" spans="1:19" s="16" customFormat="1" ht="47.25">
      <c r="A799" s="14"/>
      <c r="B799" s="125" t="s">
        <v>426</v>
      </c>
      <c r="C799" s="109" t="s">
        <v>510</v>
      </c>
      <c r="D799" s="108" t="s">
        <v>229</v>
      </c>
      <c r="E799" s="108" t="s">
        <v>13</v>
      </c>
      <c r="F799" s="108" t="s">
        <v>427</v>
      </c>
      <c r="G799" s="108" t="s">
        <v>9</v>
      </c>
      <c r="H799" s="126">
        <f>H800+H802</f>
        <v>0</v>
      </c>
      <c r="I799" s="108">
        <v>1620220550</v>
      </c>
      <c r="J799" s="108" t="str">
        <f t="shared" ref="J799:J862" si="145">TEXT(I799,"0000000000")</f>
        <v>1620220550</v>
      </c>
      <c r="K799" s="132"/>
      <c r="L799" s="17"/>
      <c r="M799" s="20">
        <v>392.8</v>
      </c>
      <c r="N799" s="20">
        <v>392.8</v>
      </c>
      <c r="O799" s="20">
        <v>392.8</v>
      </c>
      <c r="P799" s="20">
        <f>H799-M799</f>
        <v>-392.8</v>
      </c>
      <c r="Q799" s="20" t="e">
        <f>#REF!-N799</f>
        <v>#REF!</v>
      </c>
      <c r="R799" s="20" t="e">
        <f>#REF!-O799</f>
        <v>#REF!</v>
      </c>
      <c r="S799" s="17" t="str">
        <f t="shared" si="129"/>
        <v>16 2 02 20550000</v>
      </c>
    </row>
    <row r="800" spans="1:19" s="16" customFormat="1" ht="15.75">
      <c r="A800" s="14"/>
      <c r="B800" s="132" t="s">
        <v>403</v>
      </c>
      <c r="C800" s="109" t="s">
        <v>510</v>
      </c>
      <c r="D800" s="108" t="s">
        <v>229</v>
      </c>
      <c r="E800" s="108" t="s">
        <v>13</v>
      </c>
      <c r="F800" s="108" t="s">
        <v>427</v>
      </c>
      <c r="G800" s="108" t="s">
        <v>404</v>
      </c>
      <c r="H800" s="126">
        <f>H801</f>
        <v>0</v>
      </c>
      <c r="I800" s="108">
        <v>1620220550</v>
      </c>
      <c r="J800" s="108" t="str">
        <f t="shared" si="145"/>
        <v>1620220550</v>
      </c>
      <c r="K800" s="132"/>
      <c r="L800" s="17"/>
      <c r="M800" s="20">
        <v>344.8</v>
      </c>
      <c r="N800" s="20">
        <v>344.8</v>
      </c>
      <c r="O800" s="20">
        <v>344.8</v>
      </c>
      <c r="P800" s="20">
        <f>H800-M800</f>
        <v>-344.8</v>
      </c>
      <c r="Q800" s="20" t="e">
        <f>#REF!-N800</f>
        <v>#REF!</v>
      </c>
      <c r="R800" s="20" t="e">
        <f>#REF!-O800</f>
        <v>#REF!</v>
      </c>
      <c r="S800" s="17" t="str">
        <f t="shared" si="129"/>
        <v>16 2 02 20550610</v>
      </c>
    </row>
    <row r="801" spans="1:19" s="16" customFormat="1" ht="15.75">
      <c r="A801" s="14"/>
      <c r="B801" s="127" t="s">
        <v>407</v>
      </c>
      <c r="C801" s="109" t="s">
        <v>510</v>
      </c>
      <c r="D801" s="108" t="s">
        <v>229</v>
      </c>
      <c r="E801" s="108" t="s">
        <v>13</v>
      </c>
      <c r="F801" s="108" t="s">
        <v>427</v>
      </c>
      <c r="G801" s="108" t="s">
        <v>408</v>
      </c>
      <c r="H801" s="126"/>
      <c r="I801" s="108">
        <v>1620220550</v>
      </c>
      <c r="J801" s="108" t="str">
        <f t="shared" si="145"/>
        <v>1620220550</v>
      </c>
      <c r="K801" s="304" t="str">
        <f>C801&amp;D801&amp;E801&amp;J801&amp;G801</f>
        <v>60707031620220550612</v>
      </c>
      <c r="L801" s="17"/>
      <c r="M801" s="20"/>
      <c r="N801" s="20"/>
      <c r="O801" s="20"/>
      <c r="P801" s="20"/>
      <c r="Q801" s="20"/>
      <c r="R801" s="20"/>
      <c r="S801" s="17"/>
    </row>
    <row r="802" spans="1:19" s="17" customFormat="1" ht="15.75">
      <c r="A802" s="14"/>
      <c r="B802" s="132" t="s">
        <v>409</v>
      </c>
      <c r="C802" s="109" t="s">
        <v>510</v>
      </c>
      <c r="D802" s="108" t="s">
        <v>229</v>
      </c>
      <c r="E802" s="108" t="s">
        <v>13</v>
      </c>
      <c r="F802" s="108" t="s">
        <v>427</v>
      </c>
      <c r="G802" s="108" t="s">
        <v>410</v>
      </c>
      <c r="H802" s="126">
        <f>H803</f>
        <v>0</v>
      </c>
      <c r="I802" s="108">
        <v>1620220550</v>
      </c>
      <c r="J802" s="108" t="str">
        <f t="shared" si="145"/>
        <v>1620220550</v>
      </c>
      <c r="K802" s="132"/>
      <c r="M802" s="20">
        <v>48</v>
      </c>
      <c r="N802" s="20">
        <v>48</v>
      </c>
      <c r="O802" s="20">
        <v>48</v>
      </c>
      <c r="P802" s="20">
        <f>H802-M802</f>
        <v>-48</v>
      </c>
      <c r="Q802" s="20" t="e">
        <f>#REF!-N802</f>
        <v>#REF!</v>
      </c>
      <c r="R802" s="20" t="e">
        <f>#REF!-O802</f>
        <v>#REF!</v>
      </c>
      <c r="S802" s="17" t="str">
        <f t="shared" ref="S802:S900" si="146">CONCATENATE(F802,G802)</f>
        <v>16 2 02 20550620</v>
      </c>
    </row>
    <row r="803" spans="1:19" s="24" customFormat="1" ht="15.75">
      <c r="A803" s="21"/>
      <c r="B803" s="127" t="s">
        <v>428</v>
      </c>
      <c r="C803" s="109" t="s">
        <v>510</v>
      </c>
      <c r="D803" s="108" t="s">
        <v>229</v>
      </c>
      <c r="E803" s="108" t="s">
        <v>13</v>
      </c>
      <c r="F803" s="108" t="s">
        <v>427</v>
      </c>
      <c r="G803" s="108" t="s">
        <v>429</v>
      </c>
      <c r="H803" s="126"/>
      <c r="I803" s="108">
        <v>1620220550</v>
      </c>
      <c r="J803" s="108" t="str">
        <f t="shared" si="145"/>
        <v>1620220550</v>
      </c>
      <c r="K803" s="304" t="str">
        <f>C803&amp;D803&amp;E803&amp;J803&amp;G803</f>
        <v>60707031620220550622</v>
      </c>
      <c r="M803" s="22"/>
      <c r="N803" s="22"/>
      <c r="O803" s="22"/>
      <c r="P803" s="22"/>
      <c r="Q803" s="22"/>
      <c r="R803" s="22"/>
    </row>
    <row r="804" spans="1:19" s="17" customFormat="1" ht="47.25">
      <c r="A804" s="14"/>
      <c r="B804" s="125" t="s">
        <v>430</v>
      </c>
      <c r="C804" s="109" t="s">
        <v>510</v>
      </c>
      <c r="D804" s="108" t="s">
        <v>229</v>
      </c>
      <c r="E804" s="108" t="s">
        <v>13</v>
      </c>
      <c r="F804" s="108" t="s">
        <v>431</v>
      </c>
      <c r="G804" s="108" t="s">
        <v>9</v>
      </c>
      <c r="H804" s="126">
        <f t="shared" ref="H804:H807" si="147">H805</f>
        <v>0</v>
      </c>
      <c r="I804" s="108">
        <v>1700000000</v>
      </c>
      <c r="J804" s="108" t="str">
        <f t="shared" si="145"/>
        <v>1700000000</v>
      </c>
      <c r="K804" s="132"/>
      <c r="M804" s="20">
        <v>692.25</v>
      </c>
      <c r="N804" s="20">
        <v>692.25</v>
      </c>
      <c r="O804" s="20">
        <v>692.25</v>
      </c>
      <c r="P804" s="20">
        <f>H804-M804</f>
        <v>-692.25</v>
      </c>
      <c r="Q804" s="20" t="e">
        <f>#REF!-N804</f>
        <v>#REF!</v>
      </c>
      <c r="R804" s="20" t="e">
        <f>#REF!-O804</f>
        <v>#REF!</v>
      </c>
      <c r="S804" s="17" t="str">
        <f t="shared" si="146"/>
        <v>17 0 00 00000000</v>
      </c>
    </row>
    <row r="805" spans="1:19" s="17" customFormat="1" ht="47.25">
      <c r="A805" s="14"/>
      <c r="B805" s="129" t="s">
        <v>432</v>
      </c>
      <c r="C805" s="109" t="s">
        <v>510</v>
      </c>
      <c r="D805" s="108" t="s">
        <v>229</v>
      </c>
      <c r="E805" s="108" t="s">
        <v>13</v>
      </c>
      <c r="F805" s="108" t="s">
        <v>433</v>
      </c>
      <c r="G805" s="108" t="s">
        <v>9</v>
      </c>
      <c r="H805" s="126">
        <f t="shared" si="147"/>
        <v>0</v>
      </c>
      <c r="I805" s="108" t="s">
        <v>1198</v>
      </c>
      <c r="J805" s="108" t="str">
        <f t="shared" si="145"/>
        <v>17Б0000000</v>
      </c>
      <c r="K805" s="132"/>
      <c r="M805" s="20">
        <v>692.25</v>
      </c>
      <c r="N805" s="20">
        <v>692.25</v>
      </c>
      <c r="O805" s="20">
        <v>692.25</v>
      </c>
      <c r="P805" s="20">
        <f>H805-M805</f>
        <v>-692.25</v>
      </c>
      <c r="Q805" s="20" t="e">
        <f>#REF!-N805</f>
        <v>#REF!</v>
      </c>
      <c r="R805" s="20" t="e">
        <f>#REF!-O805</f>
        <v>#REF!</v>
      </c>
      <c r="S805" s="17" t="str">
        <f t="shared" si="146"/>
        <v>17 Б 00 00000000</v>
      </c>
    </row>
    <row r="806" spans="1:19" s="17" customFormat="1" ht="31.5">
      <c r="A806" s="14"/>
      <c r="B806" s="125" t="s">
        <v>434</v>
      </c>
      <c r="C806" s="109" t="s">
        <v>510</v>
      </c>
      <c r="D806" s="108" t="s">
        <v>229</v>
      </c>
      <c r="E806" s="108" t="s">
        <v>13</v>
      </c>
      <c r="F806" s="108" t="s">
        <v>435</v>
      </c>
      <c r="G806" s="108" t="s">
        <v>9</v>
      </c>
      <c r="H806" s="126">
        <f t="shared" si="147"/>
        <v>0</v>
      </c>
      <c r="I806" s="108" t="s">
        <v>1199</v>
      </c>
      <c r="J806" s="108" t="str">
        <f t="shared" si="145"/>
        <v>17Б0100000</v>
      </c>
      <c r="K806" s="132"/>
      <c r="M806" s="20">
        <v>692.25</v>
      </c>
      <c r="N806" s="20">
        <v>692.25</v>
      </c>
      <c r="O806" s="20">
        <v>692.25</v>
      </c>
      <c r="P806" s="20">
        <f>H806-M806</f>
        <v>-692.25</v>
      </c>
      <c r="Q806" s="20" t="e">
        <f>#REF!-N806</f>
        <v>#REF!</v>
      </c>
      <c r="R806" s="20" t="e">
        <f>#REF!-O806</f>
        <v>#REF!</v>
      </c>
      <c r="S806" s="17" t="str">
        <f t="shared" si="146"/>
        <v>17 Б 01 00000000</v>
      </c>
    </row>
    <row r="807" spans="1:19" s="17" customFormat="1" ht="47.25">
      <c r="A807" s="14"/>
      <c r="B807" s="132" t="s">
        <v>436</v>
      </c>
      <c r="C807" s="109" t="s">
        <v>510</v>
      </c>
      <c r="D807" s="108" t="s">
        <v>229</v>
      </c>
      <c r="E807" s="108" t="s">
        <v>13</v>
      </c>
      <c r="F807" s="108" t="s">
        <v>437</v>
      </c>
      <c r="G807" s="108" t="s">
        <v>9</v>
      </c>
      <c r="H807" s="126">
        <f t="shared" si="147"/>
        <v>0</v>
      </c>
      <c r="I807" s="108" t="s">
        <v>1200</v>
      </c>
      <c r="J807" s="108" t="str">
        <f t="shared" si="145"/>
        <v>17Б0120490</v>
      </c>
      <c r="K807" s="132"/>
      <c r="M807" s="20">
        <v>692.25</v>
      </c>
      <c r="N807" s="20">
        <v>692.25</v>
      </c>
      <c r="O807" s="20">
        <v>692.25</v>
      </c>
      <c r="P807" s="20">
        <f>H807-M807</f>
        <v>-692.25</v>
      </c>
      <c r="Q807" s="20" t="e">
        <f>#REF!-N807</f>
        <v>#REF!</v>
      </c>
      <c r="R807" s="20" t="e">
        <f>#REF!-O807</f>
        <v>#REF!</v>
      </c>
      <c r="S807" s="17" t="str">
        <f t="shared" si="146"/>
        <v>17 Б 01 20490000</v>
      </c>
    </row>
    <row r="808" spans="1:19" s="17" customFormat="1" ht="15.75">
      <c r="A808" s="14"/>
      <c r="B808" s="132" t="s">
        <v>403</v>
      </c>
      <c r="C808" s="109" t="s">
        <v>510</v>
      </c>
      <c r="D808" s="108" t="s">
        <v>229</v>
      </c>
      <c r="E808" s="108" t="s">
        <v>13</v>
      </c>
      <c r="F808" s="108" t="s">
        <v>437</v>
      </c>
      <c r="G808" s="108" t="s">
        <v>404</v>
      </c>
      <c r="H808" s="126">
        <f>H809</f>
        <v>0</v>
      </c>
      <c r="I808" s="108" t="s">
        <v>1200</v>
      </c>
      <c r="J808" s="108" t="str">
        <f t="shared" si="145"/>
        <v>17Б0120490</v>
      </c>
      <c r="K808" s="132"/>
      <c r="M808" s="20">
        <v>692.25</v>
      </c>
      <c r="N808" s="20">
        <v>692.25</v>
      </c>
      <c r="O808" s="20">
        <v>692.25</v>
      </c>
      <c r="P808" s="20">
        <f>H808-M808</f>
        <v>-692.25</v>
      </c>
      <c r="Q808" s="20" t="e">
        <f>#REF!-N808</f>
        <v>#REF!</v>
      </c>
      <c r="R808" s="20" t="e">
        <f>#REF!-O808</f>
        <v>#REF!</v>
      </c>
      <c r="S808" s="17" t="str">
        <f t="shared" si="146"/>
        <v>17 Б 01 20490610</v>
      </c>
    </row>
    <row r="809" spans="1:19" s="24" customFormat="1" ht="15.75">
      <c r="A809" s="21"/>
      <c r="B809" s="127" t="s">
        <v>407</v>
      </c>
      <c r="C809" s="109" t="s">
        <v>510</v>
      </c>
      <c r="D809" s="108" t="s">
        <v>229</v>
      </c>
      <c r="E809" s="108" t="s">
        <v>13</v>
      </c>
      <c r="F809" s="108" t="s">
        <v>437</v>
      </c>
      <c r="G809" s="108" t="s">
        <v>408</v>
      </c>
      <c r="H809" s="126"/>
      <c r="I809" s="108" t="s">
        <v>1200</v>
      </c>
      <c r="J809" s="108" t="str">
        <f t="shared" si="145"/>
        <v>17Б0120490</v>
      </c>
      <c r="K809" s="304" t="str">
        <f>C809&amp;D809&amp;E809&amp;J809&amp;G809</f>
        <v>607070317Б0120490612</v>
      </c>
      <c r="M809" s="22"/>
      <c r="N809" s="22"/>
      <c r="O809" s="22"/>
      <c r="P809" s="22"/>
      <c r="Q809" s="22"/>
      <c r="R809" s="22"/>
    </row>
    <row r="810" spans="1:19" s="17" customFormat="1" ht="63">
      <c r="A810" s="14"/>
      <c r="B810" s="125" t="s">
        <v>87</v>
      </c>
      <c r="C810" s="109" t="s">
        <v>510</v>
      </c>
      <c r="D810" s="108" t="s">
        <v>229</v>
      </c>
      <c r="E810" s="108" t="s">
        <v>13</v>
      </c>
      <c r="F810" s="108" t="s">
        <v>88</v>
      </c>
      <c r="G810" s="108" t="s">
        <v>9</v>
      </c>
      <c r="H810" s="126">
        <f>H811</f>
        <v>0</v>
      </c>
      <c r="I810" s="108">
        <v>9800000000</v>
      </c>
      <c r="J810" s="108" t="str">
        <f t="shared" si="145"/>
        <v>9800000000</v>
      </c>
      <c r="K810" s="132"/>
      <c r="M810" s="20"/>
      <c r="N810" s="20"/>
      <c r="O810" s="20"/>
      <c r="P810" s="20">
        <f>H810-M810</f>
        <v>0</v>
      </c>
      <c r="Q810" s="20" t="e">
        <f>#REF!-N810</f>
        <v>#REF!</v>
      </c>
      <c r="R810" s="20" t="e">
        <f>#REF!-O810</f>
        <v>#REF!</v>
      </c>
      <c r="S810" s="17" t="str">
        <f t="shared" si="146"/>
        <v>98 0 00 00000000</v>
      </c>
    </row>
    <row r="811" spans="1:19" s="17" customFormat="1" ht="15.75">
      <c r="A811" s="14"/>
      <c r="B811" s="125" t="s">
        <v>89</v>
      </c>
      <c r="C811" s="109" t="s">
        <v>510</v>
      </c>
      <c r="D811" s="108" t="s">
        <v>229</v>
      </c>
      <c r="E811" s="108" t="s">
        <v>13</v>
      </c>
      <c r="F811" s="108" t="s">
        <v>90</v>
      </c>
      <c r="G811" s="108" t="s">
        <v>9</v>
      </c>
      <c r="H811" s="126">
        <f>H812</f>
        <v>0</v>
      </c>
      <c r="I811" s="108">
        <v>9810000000</v>
      </c>
      <c r="J811" s="108" t="str">
        <f t="shared" si="145"/>
        <v>9810000000</v>
      </c>
      <c r="K811" s="132"/>
      <c r="M811" s="20"/>
      <c r="N811" s="20"/>
      <c r="O811" s="20"/>
      <c r="P811" s="20">
        <f>H811-M811</f>
        <v>0</v>
      </c>
      <c r="Q811" s="20" t="e">
        <f>#REF!-N811</f>
        <v>#REF!</v>
      </c>
      <c r="R811" s="20" t="e">
        <f>#REF!-O811</f>
        <v>#REF!</v>
      </c>
      <c r="S811" s="17" t="str">
        <f t="shared" si="146"/>
        <v>98 1 00 00000000</v>
      </c>
    </row>
    <row r="812" spans="1:19" s="17" customFormat="1" ht="157.5">
      <c r="A812" s="14"/>
      <c r="B812" s="125" t="s">
        <v>540</v>
      </c>
      <c r="C812" s="109" t="s">
        <v>510</v>
      </c>
      <c r="D812" s="108" t="s">
        <v>229</v>
      </c>
      <c r="E812" s="108" t="s">
        <v>13</v>
      </c>
      <c r="F812" s="108" t="s">
        <v>541</v>
      </c>
      <c r="G812" s="108" t="s">
        <v>9</v>
      </c>
      <c r="H812" s="126">
        <f>H813+H815</f>
        <v>0</v>
      </c>
      <c r="I812" s="108">
        <v>9810021530</v>
      </c>
      <c r="J812" s="108" t="str">
        <f t="shared" si="145"/>
        <v>9810021530</v>
      </c>
      <c r="K812" s="132"/>
      <c r="M812" s="20"/>
      <c r="N812" s="20"/>
      <c r="O812" s="20"/>
      <c r="P812" s="20">
        <f>H812-M812</f>
        <v>0</v>
      </c>
      <c r="Q812" s="20" t="e">
        <f>#REF!-N812</f>
        <v>#REF!</v>
      </c>
      <c r="R812" s="20" t="e">
        <f>#REF!-O812</f>
        <v>#REF!</v>
      </c>
      <c r="S812" s="17" t="str">
        <f t="shared" si="146"/>
        <v>98 1 00 21530000</v>
      </c>
    </row>
    <row r="813" spans="1:19" s="17" customFormat="1" ht="15.75">
      <c r="A813" s="14"/>
      <c r="B813" s="132" t="s">
        <v>403</v>
      </c>
      <c r="C813" s="109" t="s">
        <v>510</v>
      </c>
      <c r="D813" s="108" t="s">
        <v>229</v>
      </c>
      <c r="E813" s="108" t="s">
        <v>13</v>
      </c>
      <c r="F813" s="108" t="s">
        <v>541</v>
      </c>
      <c r="G813" s="108" t="s">
        <v>404</v>
      </c>
      <c r="H813" s="126">
        <f>H814</f>
        <v>0</v>
      </c>
      <c r="I813" s="108">
        <v>9810021530</v>
      </c>
      <c r="J813" s="108" t="str">
        <f t="shared" si="145"/>
        <v>9810021530</v>
      </c>
      <c r="K813" s="132"/>
      <c r="M813" s="20"/>
      <c r="N813" s="20"/>
      <c r="O813" s="20"/>
      <c r="P813" s="20">
        <f>H813-M813</f>
        <v>0</v>
      </c>
      <c r="Q813" s="20" t="e">
        <f>#REF!-N813</f>
        <v>#REF!</v>
      </c>
      <c r="R813" s="20" t="e">
        <f>#REF!-O813</f>
        <v>#REF!</v>
      </c>
      <c r="S813" s="17" t="str">
        <f t="shared" si="146"/>
        <v>98 1 00 21530610</v>
      </c>
    </row>
    <row r="814" spans="1:19" s="24" customFormat="1" ht="15.75">
      <c r="A814" s="21"/>
      <c r="B814" s="127" t="s">
        <v>407</v>
      </c>
      <c r="C814" s="109" t="s">
        <v>510</v>
      </c>
      <c r="D814" s="108" t="s">
        <v>229</v>
      </c>
      <c r="E814" s="108" t="s">
        <v>13</v>
      </c>
      <c r="F814" s="108" t="s">
        <v>541</v>
      </c>
      <c r="G814" s="108" t="s">
        <v>408</v>
      </c>
      <c r="H814" s="126"/>
      <c r="I814" s="108">
        <v>9810021530</v>
      </c>
      <c r="J814" s="108" t="str">
        <f t="shared" si="145"/>
        <v>9810021530</v>
      </c>
      <c r="K814" s="304" t="str">
        <f>C814&amp;D814&amp;E814&amp;J814&amp;G814</f>
        <v>60707039810021530612</v>
      </c>
      <c r="M814" s="22"/>
      <c r="N814" s="22"/>
      <c r="O814" s="22"/>
      <c r="P814" s="22"/>
      <c r="Q814" s="22"/>
      <c r="R814" s="22"/>
    </row>
    <row r="815" spans="1:19" s="17" customFormat="1" ht="15.75">
      <c r="A815" s="14"/>
      <c r="B815" s="132" t="s">
        <v>409</v>
      </c>
      <c r="C815" s="109" t="s">
        <v>510</v>
      </c>
      <c r="D815" s="108" t="s">
        <v>229</v>
      </c>
      <c r="E815" s="108" t="s">
        <v>13</v>
      </c>
      <c r="F815" s="108" t="s">
        <v>541</v>
      </c>
      <c r="G815" s="108" t="s">
        <v>410</v>
      </c>
      <c r="H815" s="126">
        <f>H816</f>
        <v>0</v>
      </c>
      <c r="I815" s="108">
        <v>9810021530</v>
      </c>
      <c r="J815" s="108" t="str">
        <f t="shared" si="145"/>
        <v>9810021530</v>
      </c>
      <c r="K815" s="132"/>
      <c r="M815" s="20"/>
      <c r="N815" s="20"/>
      <c r="O815" s="20"/>
      <c r="P815" s="20">
        <f>H815-M815</f>
        <v>0</v>
      </c>
      <c r="Q815" s="20" t="e">
        <f>#REF!-N815</f>
        <v>#REF!</v>
      </c>
      <c r="R815" s="20" t="e">
        <f>#REF!-O815</f>
        <v>#REF!</v>
      </c>
      <c r="S815" s="17" t="str">
        <f t="shared" si="146"/>
        <v>98 1 00 21530620</v>
      </c>
    </row>
    <row r="816" spans="1:19" s="24" customFormat="1" ht="15.75">
      <c r="A816" s="21"/>
      <c r="B816" s="127" t="s">
        <v>428</v>
      </c>
      <c r="C816" s="109" t="s">
        <v>510</v>
      </c>
      <c r="D816" s="108" t="s">
        <v>229</v>
      </c>
      <c r="E816" s="108" t="s">
        <v>13</v>
      </c>
      <c r="F816" s="108" t="s">
        <v>541</v>
      </c>
      <c r="G816" s="108" t="s">
        <v>429</v>
      </c>
      <c r="H816" s="126"/>
      <c r="I816" s="108">
        <v>9810021530</v>
      </c>
      <c r="J816" s="108" t="str">
        <f t="shared" si="145"/>
        <v>9810021530</v>
      </c>
      <c r="K816" s="304" t="str">
        <f>C816&amp;D816&amp;E816&amp;J816&amp;G816</f>
        <v>60707039810021530622</v>
      </c>
      <c r="M816" s="22"/>
      <c r="N816" s="22"/>
      <c r="O816" s="22"/>
      <c r="P816" s="22"/>
      <c r="Q816" s="22"/>
      <c r="R816" s="22"/>
    </row>
    <row r="817" spans="1:19" s="17" customFormat="1" ht="15.75">
      <c r="A817" s="14"/>
      <c r="B817" s="121" t="s">
        <v>464</v>
      </c>
      <c r="C817" s="122" t="s">
        <v>510</v>
      </c>
      <c r="D817" s="123" t="s">
        <v>229</v>
      </c>
      <c r="E817" s="123" t="s">
        <v>229</v>
      </c>
      <c r="F817" s="123" t="s">
        <v>8</v>
      </c>
      <c r="G817" s="123" t="s">
        <v>9</v>
      </c>
      <c r="H817" s="124">
        <f>H824+H818+H857</f>
        <v>0</v>
      </c>
      <c r="I817" s="123">
        <v>0</v>
      </c>
      <c r="J817" s="123" t="str">
        <f t="shared" si="145"/>
        <v>0000000000</v>
      </c>
      <c r="K817" s="132"/>
      <c r="M817" s="19">
        <v>10043.200000000001</v>
      </c>
      <c r="N817" s="19">
        <v>9653.2000000000007</v>
      </c>
      <c r="O817" s="19">
        <v>9653.2000000000007</v>
      </c>
      <c r="P817" s="19">
        <f t="shared" ref="P817:P822" si="148">H817-M817</f>
        <v>-10043.200000000001</v>
      </c>
      <c r="Q817" s="19" t="e">
        <f>#REF!-N817</f>
        <v>#REF!</v>
      </c>
      <c r="R817" s="19" t="e">
        <f>#REF!-O817</f>
        <v>#REF!</v>
      </c>
      <c r="S817" s="17" t="str">
        <f t="shared" si="146"/>
        <v>00 0 00 00000000</v>
      </c>
    </row>
    <row r="818" spans="1:19" s="17" customFormat="1" ht="63">
      <c r="A818" s="14"/>
      <c r="B818" s="127" t="s">
        <v>293</v>
      </c>
      <c r="C818" s="109" t="s">
        <v>510</v>
      </c>
      <c r="D818" s="108" t="s">
        <v>229</v>
      </c>
      <c r="E818" s="108" t="s">
        <v>229</v>
      </c>
      <c r="F818" s="108" t="s">
        <v>294</v>
      </c>
      <c r="G818" s="108" t="s">
        <v>9</v>
      </c>
      <c r="H818" s="126">
        <f t="shared" ref="H818:H821" si="149">H819</f>
        <v>0</v>
      </c>
      <c r="I818" s="108">
        <v>400000000</v>
      </c>
      <c r="J818" s="108" t="str">
        <f t="shared" si="145"/>
        <v>0400000000</v>
      </c>
      <c r="K818" s="132"/>
      <c r="M818" s="20">
        <v>187.5</v>
      </c>
      <c r="N818" s="20">
        <v>187.5</v>
      </c>
      <c r="O818" s="20">
        <v>187.5</v>
      </c>
      <c r="P818" s="20">
        <f t="shared" si="148"/>
        <v>-187.5</v>
      </c>
      <c r="Q818" s="20" t="e">
        <f>#REF!-N818</f>
        <v>#REF!</v>
      </c>
      <c r="R818" s="20" t="e">
        <f>#REF!-O818</f>
        <v>#REF!</v>
      </c>
      <c r="S818" s="17" t="str">
        <f t="shared" si="146"/>
        <v>04 0 00 00000000</v>
      </c>
    </row>
    <row r="819" spans="1:19" s="17" customFormat="1" ht="31.5">
      <c r="A819" s="14"/>
      <c r="B819" s="125" t="s">
        <v>307</v>
      </c>
      <c r="C819" s="109" t="s">
        <v>510</v>
      </c>
      <c r="D819" s="108" t="s">
        <v>229</v>
      </c>
      <c r="E819" s="108" t="s">
        <v>229</v>
      </c>
      <c r="F819" s="108" t="s">
        <v>308</v>
      </c>
      <c r="G819" s="108" t="s">
        <v>9</v>
      </c>
      <c r="H819" s="126">
        <f t="shared" si="149"/>
        <v>0</v>
      </c>
      <c r="I819" s="108">
        <v>430000000</v>
      </c>
      <c r="J819" s="108" t="str">
        <f t="shared" si="145"/>
        <v>0430000000</v>
      </c>
      <c r="K819" s="132"/>
      <c r="M819" s="20">
        <v>187.5</v>
      </c>
      <c r="N819" s="20">
        <v>187.5</v>
      </c>
      <c r="O819" s="20">
        <v>187.5</v>
      </c>
      <c r="P819" s="20">
        <f t="shared" si="148"/>
        <v>-187.5</v>
      </c>
      <c r="Q819" s="20" t="e">
        <f>#REF!-N819</f>
        <v>#REF!</v>
      </c>
      <c r="R819" s="20" t="e">
        <f>#REF!-O819</f>
        <v>#REF!</v>
      </c>
      <c r="S819" s="17" t="str">
        <f t="shared" si="146"/>
        <v>04 3 00 00000000</v>
      </c>
    </row>
    <row r="820" spans="1:19" s="17" customFormat="1" ht="31.5">
      <c r="A820" s="14"/>
      <c r="B820" s="307" t="s">
        <v>309</v>
      </c>
      <c r="C820" s="109" t="s">
        <v>510</v>
      </c>
      <c r="D820" s="108" t="s">
        <v>229</v>
      </c>
      <c r="E820" s="108" t="s">
        <v>229</v>
      </c>
      <c r="F820" s="108" t="s">
        <v>310</v>
      </c>
      <c r="G820" s="108" t="s">
        <v>9</v>
      </c>
      <c r="H820" s="126">
        <f t="shared" si="149"/>
        <v>0</v>
      </c>
      <c r="I820" s="108">
        <v>430400000</v>
      </c>
      <c r="J820" s="108" t="str">
        <f t="shared" si="145"/>
        <v>0430400000</v>
      </c>
      <c r="K820" s="132"/>
      <c r="M820" s="20">
        <v>187.5</v>
      </c>
      <c r="N820" s="20">
        <v>187.5</v>
      </c>
      <c r="O820" s="20">
        <v>187.5</v>
      </c>
      <c r="P820" s="20">
        <f t="shared" si="148"/>
        <v>-187.5</v>
      </c>
      <c r="Q820" s="20" t="e">
        <f>#REF!-N820</f>
        <v>#REF!</v>
      </c>
      <c r="R820" s="20" t="e">
        <f>#REF!-O820</f>
        <v>#REF!</v>
      </c>
      <c r="S820" s="17" t="str">
        <f t="shared" si="146"/>
        <v>04 3 04 00000000</v>
      </c>
    </row>
    <row r="821" spans="1:19" s="17" customFormat="1" ht="31.5">
      <c r="A821" s="14"/>
      <c r="B821" s="127" t="s">
        <v>542</v>
      </c>
      <c r="C821" s="109" t="s">
        <v>510</v>
      </c>
      <c r="D821" s="108" t="s">
        <v>229</v>
      </c>
      <c r="E821" s="108" t="s">
        <v>229</v>
      </c>
      <c r="F821" s="108" t="s">
        <v>543</v>
      </c>
      <c r="G821" s="108" t="s">
        <v>9</v>
      </c>
      <c r="H821" s="126">
        <f t="shared" si="149"/>
        <v>0</v>
      </c>
      <c r="I821" s="108">
        <v>430420300</v>
      </c>
      <c r="J821" s="108" t="str">
        <f t="shared" si="145"/>
        <v>0430420300</v>
      </c>
      <c r="K821" s="132"/>
      <c r="M821" s="20">
        <v>187.5</v>
      </c>
      <c r="N821" s="20">
        <v>187.5</v>
      </c>
      <c r="O821" s="20">
        <v>187.5</v>
      </c>
      <c r="P821" s="20">
        <f t="shared" si="148"/>
        <v>-187.5</v>
      </c>
      <c r="Q821" s="20" t="e">
        <f>#REF!-N821</f>
        <v>#REF!</v>
      </c>
      <c r="R821" s="20" t="e">
        <f>#REF!-O821</f>
        <v>#REF!</v>
      </c>
      <c r="S821" s="17" t="str">
        <f t="shared" si="146"/>
        <v>04 3 04 20300000</v>
      </c>
    </row>
    <row r="822" spans="1:19" s="17" customFormat="1" ht="31.5">
      <c r="A822" s="14"/>
      <c r="B822" s="125" t="s">
        <v>28</v>
      </c>
      <c r="C822" s="109" t="s">
        <v>510</v>
      </c>
      <c r="D822" s="108" t="s">
        <v>229</v>
      </c>
      <c r="E822" s="108" t="s">
        <v>229</v>
      </c>
      <c r="F822" s="108" t="s">
        <v>543</v>
      </c>
      <c r="G822" s="108" t="s">
        <v>29</v>
      </c>
      <c r="H822" s="126">
        <f>H823</f>
        <v>0</v>
      </c>
      <c r="I822" s="108">
        <v>430420300</v>
      </c>
      <c r="J822" s="108" t="str">
        <f t="shared" si="145"/>
        <v>0430420300</v>
      </c>
      <c r="K822" s="132"/>
      <c r="M822" s="20">
        <v>187.5</v>
      </c>
      <c r="N822" s="20">
        <v>187.5</v>
      </c>
      <c r="O822" s="20">
        <v>187.5</v>
      </c>
      <c r="P822" s="20">
        <f t="shared" si="148"/>
        <v>-187.5</v>
      </c>
      <c r="Q822" s="20" t="e">
        <f>#REF!-N822</f>
        <v>#REF!</v>
      </c>
      <c r="R822" s="20" t="e">
        <f>#REF!-O822</f>
        <v>#REF!</v>
      </c>
      <c r="S822" s="17" t="str">
        <f t="shared" si="146"/>
        <v>04 3 04 20300240</v>
      </c>
    </row>
    <row r="823" spans="1:19" s="17" customFormat="1" ht="15.75">
      <c r="A823" s="14"/>
      <c r="B823" s="125" t="s">
        <v>30</v>
      </c>
      <c r="C823" s="109" t="s">
        <v>510</v>
      </c>
      <c r="D823" s="108" t="s">
        <v>229</v>
      </c>
      <c r="E823" s="108" t="s">
        <v>229</v>
      </c>
      <c r="F823" s="108" t="s">
        <v>543</v>
      </c>
      <c r="G823" s="108" t="s">
        <v>31</v>
      </c>
      <c r="H823" s="126"/>
      <c r="I823" s="108">
        <v>430420300</v>
      </c>
      <c r="J823" s="108" t="str">
        <f t="shared" si="145"/>
        <v>0430420300</v>
      </c>
      <c r="K823" s="304" t="str">
        <f>C823&amp;D823&amp;E823&amp;J823&amp;G823</f>
        <v>60707070430420300244</v>
      </c>
      <c r="M823" s="20"/>
      <c r="N823" s="20"/>
      <c r="O823" s="20"/>
      <c r="P823" s="20"/>
      <c r="Q823" s="20"/>
      <c r="R823" s="20"/>
      <c r="S823" s="17" t="str">
        <f t="shared" si="146"/>
        <v>04 3 04 20300244</v>
      </c>
    </row>
    <row r="824" spans="1:19" s="17" customFormat="1" ht="31.5">
      <c r="A824" s="14"/>
      <c r="B824" s="145" t="s">
        <v>544</v>
      </c>
      <c r="C824" s="109" t="s">
        <v>510</v>
      </c>
      <c r="D824" s="108" t="s">
        <v>229</v>
      </c>
      <c r="E824" s="108" t="s">
        <v>229</v>
      </c>
      <c r="F824" s="108" t="s">
        <v>545</v>
      </c>
      <c r="G824" s="108" t="s">
        <v>9</v>
      </c>
      <c r="H824" s="126">
        <f>H825</f>
        <v>0</v>
      </c>
      <c r="I824" s="108">
        <v>900000000</v>
      </c>
      <c r="J824" s="108" t="str">
        <f t="shared" si="145"/>
        <v>0900000000</v>
      </c>
      <c r="K824" s="132"/>
      <c r="M824" s="20">
        <v>9465.7000000000007</v>
      </c>
      <c r="N824" s="20">
        <v>9465.7000000000007</v>
      </c>
      <c r="O824" s="20">
        <v>9465.7000000000007</v>
      </c>
      <c r="P824" s="20">
        <f>H824-M824</f>
        <v>-9465.7000000000007</v>
      </c>
      <c r="Q824" s="20" t="e">
        <f>#REF!-N824</f>
        <v>#REF!</v>
      </c>
      <c r="R824" s="20" t="e">
        <f>#REF!-O824</f>
        <v>#REF!</v>
      </c>
      <c r="S824" s="17" t="str">
        <f t="shared" si="146"/>
        <v>09 0 00 00000000</v>
      </c>
    </row>
    <row r="825" spans="1:19" s="17" customFormat="1" ht="31.5">
      <c r="A825" s="14"/>
      <c r="B825" s="145" t="s">
        <v>546</v>
      </c>
      <c r="C825" s="109" t="s">
        <v>510</v>
      </c>
      <c r="D825" s="108" t="s">
        <v>229</v>
      </c>
      <c r="E825" s="108" t="s">
        <v>229</v>
      </c>
      <c r="F825" s="108" t="s">
        <v>547</v>
      </c>
      <c r="G825" s="108" t="s">
        <v>9</v>
      </c>
      <c r="H825" s="126">
        <f>H826+H830+H841+H845+H849+H853</f>
        <v>0</v>
      </c>
      <c r="I825" s="108" t="s">
        <v>1207</v>
      </c>
      <c r="J825" s="108" t="str">
        <f t="shared" si="145"/>
        <v>09Б0000000</v>
      </c>
      <c r="K825" s="132"/>
      <c r="M825" s="20">
        <v>9465.7000000000007</v>
      </c>
      <c r="N825" s="20">
        <v>9465.7000000000007</v>
      </c>
      <c r="O825" s="20">
        <v>9465.7000000000007</v>
      </c>
      <c r="P825" s="20">
        <f>H825-M825</f>
        <v>-9465.7000000000007</v>
      </c>
      <c r="Q825" s="20" t="e">
        <f>#REF!-N825</f>
        <v>#REF!</v>
      </c>
      <c r="R825" s="20" t="e">
        <f>#REF!-O825</f>
        <v>#REF!</v>
      </c>
      <c r="S825" s="17" t="str">
        <f t="shared" si="146"/>
        <v>09 Б 00 00000000</v>
      </c>
    </row>
    <row r="826" spans="1:19" s="17" customFormat="1" ht="47.25">
      <c r="A826" s="14"/>
      <c r="B826" s="127" t="s">
        <v>548</v>
      </c>
      <c r="C826" s="109" t="s">
        <v>510</v>
      </c>
      <c r="D826" s="108" t="s">
        <v>229</v>
      </c>
      <c r="E826" s="108" t="s">
        <v>229</v>
      </c>
      <c r="F826" s="108" t="s">
        <v>549</v>
      </c>
      <c r="G826" s="108" t="s">
        <v>9</v>
      </c>
      <c r="H826" s="126">
        <f t="shared" ref="H826:H827" si="150">H827</f>
        <v>0</v>
      </c>
      <c r="I826" s="108" t="s">
        <v>1208</v>
      </c>
      <c r="J826" s="108" t="str">
        <f t="shared" si="145"/>
        <v>09Б0100000</v>
      </c>
      <c r="K826" s="132"/>
      <c r="M826" s="20">
        <v>779</v>
      </c>
      <c r="N826" s="20">
        <v>779</v>
      </c>
      <c r="O826" s="20">
        <v>779</v>
      </c>
      <c r="P826" s="20">
        <f>H826-M826</f>
        <v>-779</v>
      </c>
      <c r="Q826" s="20" t="e">
        <f>#REF!-N826</f>
        <v>#REF!</v>
      </c>
      <c r="R826" s="20" t="e">
        <f>#REF!-O826</f>
        <v>#REF!</v>
      </c>
      <c r="S826" s="17" t="str">
        <f t="shared" si="146"/>
        <v>09 Б 01 00000000</v>
      </c>
    </row>
    <row r="827" spans="1:19" s="17" customFormat="1" ht="63">
      <c r="A827" s="14"/>
      <c r="B827" s="125" t="s">
        <v>550</v>
      </c>
      <c r="C827" s="109" t="s">
        <v>510</v>
      </c>
      <c r="D827" s="108" t="s">
        <v>229</v>
      </c>
      <c r="E827" s="108" t="s">
        <v>229</v>
      </c>
      <c r="F827" s="108" t="s">
        <v>551</v>
      </c>
      <c r="G827" s="108" t="s">
        <v>9</v>
      </c>
      <c r="H827" s="126">
        <f t="shared" si="150"/>
        <v>0</v>
      </c>
      <c r="I827" s="108" t="s">
        <v>1209</v>
      </c>
      <c r="J827" s="108" t="str">
        <f t="shared" si="145"/>
        <v>09Б0120460</v>
      </c>
      <c r="K827" s="132"/>
      <c r="M827" s="20">
        <v>779</v>
      </c>
      <c r="N827" s="20">
        <v>779</v>
      </c>
      <c r="O827" s="20">
        <v>779</v>
      </c>
      <c r="P827" s="20">
        <f>H827-M827</f>
        <v>-779</v>
      </c>
      <c r="Q827" s="20" t="e">
        <f>#REF!-N827</f>
        <v>#REF!</v>
      </c>
      <c r="R827" s="20" t="e">
        <f>#REF!-O827</f>
        <v>#REF!</v>
      </c>
      <c r="S827" s="17" t="str">
        <f t="shared" si="146"/>
        <v>09 Б 01 20460000</v>
      </c>
    </row>
    <row r="828" spans="1:19" s="17" customFormat="1" ht="15.75">
      <c r="A828" s="14"/>
      <c r="B828" s="132" t="s">
        <v>403</v>
      </c>
      <c r="C828" s="109" t="s">
        <v>510</v>
      </c>
      <c r="D828" s="108" t="s">
        <v>229</v>
      </c>
      <c r="E828" s="108" t="s">
        <v>229</v>
      </c>
      <c r="F828" s="108" t="s">
        <v>551</v>
      </c>
      <c r="G828" s="108" t="s">
        <v>404</v>
      </c>
      <c r="H828" s="126">
        <f>H829</f>
        <v>0</v>
      </c>
      <c r="I828" s="108" t="s">
        <v>1209</v>
      </c>
      <c r="J828" s="108" t="str">
        <f t="shared" si="145"/>
        <v>09Б0120460</v>
      </c>
      <c r="K828" s="132"/>
      <c r="M828" s="20">
        <v>779</v>
      </c>
      <c r="N828" s="20">
        <v>779</v>
      </c>
      <c r="O828" s="20">
        <v>779</v>
      </c>
      <c r="P828" s="20">
        <f>H828-M828</f>
        <v>-779</v>
      </c>
      <c r="Q828" s="20" t="e">
        <f>#REF!-N828</f>
        <v>#REF!</v>
      </c>
      <c r="R828" s="20" t="e">
        <f>#REF!-O828</f>
        <v>#REF!</v>
      </c>
      <c r="S828" s="17" t="str">
        <f t="shared" si="146"/>
        <v>09 Б 01 20460610</v>
      </c>
    </row>
    <row r="829" spans="1:19" s="24" customFormat="1" ht="63">
      <c r="A829" s="21"/>
      <c r="B829" s="127" t="s">
        <v>405</v>
      </c>
      <c r="C829" s="109" t="s">
        <v>510</v>
      </c>
      <c r="D829" s="108" t="s">
        <v>229</v>
      </c>
      <c r="E829" s="108" t="s">
        <v>229</v>
      </c>
      <c r="F829" s="108" t="s">
        <v>551</v>
      </c>
      <c r="G829" s="108" t="s">
        <v>406</v>
      </c>
      <c r="H829" s="126"/>
      <c r="I829" s="108" t="s">
        <v>1209</v>
      </c>
      <c r="J829" s="108" t="str">
        <f t="shared" si="145"/>
        <v>09Б0120460</v>
      </c>
      <c r="K829" s="304" t="str">
        <f>C829&amp;D829&amp;E829&amp;J829&amp;G829</f>
        <v>607070709Б0120460611</v>
      </c>
      <c r="M829" s="22"/>
      <c r="N829" s="22"/>
      <c r="O829" s="22"/>
      <c r="P829" s="22"/>
      <c r="Q829" s="22"/>
      <c r="R829" s="22"/>
    </row>
    <row r="830" spans="1:19" s="17" customFormat="1" ht="47.25">
      <c r="A830" s="14"/>
      <c r="B830" s="127" t="s">
        <v>552</v>
      </c>
      <c r="C830" s="109" t="s">
        <v>510</v>
      </c>
      <c r="D830" s="108" t="s">
        <v>229</v>
      </c>
      <c r="E830" s="108" t="s">
        <v>229</v>
      </c>
      <c r="F830" s="108" t="s">
        <v>553</v>
      </c>
      <c r="G830" s="108" t="s">
        <v>9</v>
      </c>
      <c r="H830" s="126">
        <f>H831+H838</f>
        <v>0</v>
      </c>
      <c r="I830" s="108" t="s">
        <v>1210</v>
      </c>
      <c r="J830" s="108" t="str">
        <f t="shared" si="145"/>
        <v>09Б0200000</v>
      </c>
      <c r="K830" s="132"/>
      <c r="M830" s="20">
        <v>4764.5</v>
      </c>
      <c r="N830" s="20">
        <v>4764.5</v>
      </c>
      <c r="O830" s="20">
        <v>4764.5</v>
      </c>
      <c r="P830" s="20">
        <f>H830-M830</f>
        <v>-4764.5</v>
      </c>
      <c r="Q830" s="20" t="e">
        <f>#REF!-N830</f>
        <v>#REF!</v>
      </c>
      <c r="R830" s="20" t="e">
        <f>#REF!-O830</f>
        <v>#REF!</v>
      </c>
      <c r="S830" s="17" t="str">
        <f t="shared" si="146"/>
        <v>09 Б 02 00000000</v>
      </c>
    </row>
    <row r="831" spans="1:19" s="17" customFormat="1" ht="63">
      <c r="A831" s="14"/>
      <c r="B831" s="125" t="s">
        <v>550</v>
      </c>
      <c r="C831" s="109" t="s">
        <v>510</v>
      </c>
      <c r="D831" s="108" t="s">
        <v>229</v>
      </c>
      <c r="E831" s="108" t="s">
        <v>229</v>
      </c>
      <c r="F831" s="108" t="s">
        <v>554</v>
      </c>
      <c r="G831" s="108" t="s">
        <v>9</v>
      </c>
      <c r="H831" s="126">
        <f>H832+H836+H835+H834</f>
        <v>0</v>
      </c>
      <c r="I831" s="108" t="s">
        <v>1211</v>
      </c>
      <c r="J831" s="108" t="str">
        <f t="shared" si="145"/>
        <v>09Б0220460</v>
      </c>
      <c r="K831" s="132"/>
      <c r="M831" s="20">
        <v>4764.5</v>
      </c>
      <c r="N831" s="20">
        <v>4764.5</v>
      </c>
      <c r="O831" s="20">
        <v>4764.5</v>
      </c>
      <c r="P831" s="20">
        <f>H831-M831</f>
        <v>-4764.5</v>
      </c>
      <c r="Q831" s="20" t="e">
        <f>#REF!-N831</f>
        <v>#REF!</v>
      </c>
      <c r="R831" s="20" t="e">
        <f>#REF!-O831</f>
        <v>#REF!</v>
      </c>
      <c r="S831" s="17" t="str">
        <f t="shared" si="146"/>
        <v>09 Б 02 20460000</v>
      </c>
    </row>
    <row r="832" spans="1:19" s="17" customFormat="1" ht="31.5">
      <c r="A832" s="14"/>
      <c r="B832" s="125" t="s">
        <v>28</v>
      </c>
      <c r="C832" s="109" t="s">
        <v>510</v>
      </c>
      <c r="D832" s="108" t="s">
        <v>229</v>
      </c>
      <c r="E832" s="108" t="s">
        <v>229</v>
      </c>
      <c r="F832" s="108" t="s">
        <v>554</v>
      </c>
      <c r="G832" s="108" t="s">
        <v>29</v>
      </c>
      <c r="H832" s="126">
        <f>H833</f>
        <v>0</v>
      </c>
      <c r="I832" s="108" t="s">
        <v>1211</v>
      </c>
      <c r="J832" s="108" t="str">
        <f t="shared" si="145"/>
        <v>09Б0220460</v>
      </c>
      <c r="K832" s="132"/>
      <c r="M832" s="20">
        <v>549.5</v>
      </c>
      <c r="N832" s="20">
        <v>549.5</v>
      </c>
      <c r="O832" s="20">
        <v>549.5</v>
      </c>
      <c r="P832" s="20">
        <f>H832-M832</f>
        <v>-549.5</v>
      </c>
      <c r="Q832" s="20" t="e">
        <f>#REF!-N832</f>
        <v>#REF!</v>
      </c>
      <c r="R832" s="20" t="e">
        <f>#REF!-O832</f>
        <v>#REF!</v>
      </c>
      <c r="S832" s="17" t="str">
        <f t="shared" si="146"/>
        <v>09 Б 02 20460240</v>
      </c>
    </row>
    <row r="833" spans="1:19" s="17" customFormat="1" ht="15.75">
      <c r="A833" s="14"/>
      <c r="B833" s="125" t="s">
        <v>30</v>
      </c>
      <c r="C833" s="109" t="s">
        <v>510</v>
      </c>
      <c r="D833" s="108" t="s">
        <v>229</v>
      </c>
      <c r="E833" s="108" t="s">
        <v>229</v>
      </c>
      <c r="F833" s="108" t="s">
        <v>554</v>
      </c>
      <c r="G833" s="108" t="s">
        <v>31</v>
      </c>
      <c r="H833" s="126"/>
      <c r="I833" s="108" t="s">
        <v>1211</v>
      </c>
      <c r="J833" s="108" t="str">
        <f t="shared" si="145"/>
        <v>09Б0220460</v>
      </c>
      <c r="K833" s="304" t="str">
        <f t="shared" ref="K833:K835" si="151">C833&amp;D833&amp;E833&amp;J833&amp;G833</f>
        <v>607070709Б0220460244</v>
      </c>
      <c r="M833" s="20"/>
      <c r="N833" s="20"/>
      <c r="O833" s="20"/>
      <c r="P833" s="20"/>
      <c r="Q833" s="20"/>
      <c r="R833" s="20"/>
      <c r="S833" s="17" t="str">
        <f t="shared" si="146"/>
        <v>09 Б 02 20460244</v>
      </c>
    </row>
    <row r="834" spans="1:19" s="17" customFormat="1" ht="15.75">
      <c r="A834" s="14"/>
      <c r="B834" s="125" t="s">
        <v>555</v>
      </c>
      <c r="C834" s="109" t="s">
        <v>510</v>
      </c>
      <c r="D834" s="108" t="s">
        <v>229</v>
      </c>
      <c r="E834" s="108" t="s">
        <v>229</v>
      </c>
      <c r="F834" s="108" t="s">
        <v>554</v>
      </c>
      <c r="G834" s="108" t="s">
        <v>556</v>
      </c>
      <c r="H834" s="126"/>
      <c r="I834" s="108" t="s">
        <v>1211</v>
      </c>
      <c r="J834" s="108" t="str">
        <f t="shared" si="145"/>
        <v>09Б0220460</v>
      </c>
      <c r="K834" s="304" t="str">
        <f t="shared" si="151"/>
        <v>607070709Б0220460340</v>
      </c>
      <c r="M834" s="20">
        <v>2835</v>
      </c>
      <c r="N834" s="20">
        <v>2835</v>
      </c>
      <c r="O834" s="20">
        <v>2835</v>
      </c>
      <c r="P834" s="20">
        <f>H834-M834</f>
        <v>-2835</v>
      </c>
      <c r="Q834" s="20" t="e">
        <f>#REF!-N834</f>
        <v>#REF!</v>
      </c>
      <c r="R834" s="20" t="e">
        <f>#REF!-O834</f>
        <v>#REF!</v>
      </c>
      <c r="S834" s="17" t="str">
        <f t="shared" si="146"/>
        <v>09 Б 02 20460340</v>
      </c>
    </row>
    <row r="835" spans="1:19" s="17" customFormat="1" ht="15.75">
      <c r="A835" s="14"/>
      <c r="B835" s="125" t="s">
        <v>163</v>
      </c>
      <c r="C835" s="109" t="s">
        <v>510</v>
      </c>
      <c r="D835" s="108" t="s">
        <v>229</v>
      </c>
      <c r="E835" s="108" t="s">
        <v>229</v>
      </c>
      <c r="F835" s="108" t="s">
        <v>554</v>
      </c>
      <c r="G835" s="108" t="s">
        <v>164</v>
      </c>
      <c r="H835" s="126"/>
      <c r="I835" s="108" t="s">
        <v>1211</v>
      </c>
      <c r="J835" s="108" t="str">
        <f t="shared" si="145"/>
        <v>09Б0220460</v>
      </c>
      <c r="K835" s="304" t="str">
        <f t="shared" si="151"/>
        <v>607070709Б0220460350</v>
      </c>
      <c r="M835" s="20">
        <v>250</v>
      </c>
      <c r="N835" s="20">
        <v>250</v>
      </c>
      <c r="O835" s="20">
        <v>250</v>
      </c>
      <c r="P835" s="20">
        <f>H835-M835</f>
        <v>-250</v>
      </c>
      <c r="Q835" s="20" t="e">
        <f>#REF!-N835</f>
        <v>#REF!</v>
      </c>
      <c r="R835" s="20" t="e">
        <f>#REF!-O835</f>
        <v>#REF!</v>
      </c>
      <c r="S835" s="17" t="str">
        <f t="shared" si="146"/>
        <v>09 Б 02 20460350</v>
      </c>
    </row>
    <row r="836" spans="1:19" s="17" customFormat="1" ht="15.75">
      <c r="A836" s="14"/>
      <c r="B836" s="132" t="s">
        <v>403</v>
      </c>
      <c r="C836" s="109" t="s">
        <v>510</v>
      </c>
      <c r="D836" s="108" t="s">
        <v>229</v>
      </c>
      <c r="E836" s="108" t="s">
        <v>229</v>
      </c>
      <c r="F836" s="108" t="s">
        <v>554</v>
      </c>
      <c r="G836" s="108" t="s">
        <v>404</v>
      </c>
      <c r="H836" s="126">
        <f>H837</f>
        <v>0</v>
      </c>
      <c r="I836" s="108" t="s">
        <v>1211</v>
      </c>
      <c r="J836" s="108" t="str">
        <f t="shared" si="145"/>
        <v>09Б0220460</v>
      </c>
      <c r="K836" s="132"/>
      <c r="M836" s="20">
        <v>1130</v>
      </c>
      <c r="N836" s="20">
        <v>1130</v>
      </c>
      <c r="O836" s="20">
        <v>1130</v>
      </c>
      <c r="P836" s="20">
        <f>H836-M836</f>
        <v>-1130</v>
      </c>
      <c r="Q836" s="20" t="e">
        <f>#REF!-N836</f>
        <v>#REF!</v>
      </c>
      <c r="R836" s="20" t="e">
        <f>#REF!-O836</f>
        <v>#REF!</v>
      </c>
      <c r="S836" s="17" t="str">
        <f t="shared" si="146"/>
        <v>09 Б 02 20460610</v>
      </c>
    </row>
    <row r="837" spans="1:19" s="24" customFormat="1" ht="63">
      <c r="A837" s="21"/>
      <c r="B837" s="127" t="s">
        <v>405</v>
      </c>
      <c r="C837" s="109" t="s">
        <v>510</v>
      </c>
      <c r="D837" s="108" t="s">
        <v>229</v>
      </c>
      <c r="E837" s="108" t="s">
        <v>229</v>
      </c>
      <c r="F837" s="108" t="s">
        <v>554</v>
      </c>
      <c r="G837" s="108" t="s">
        <v>406</v>
      </c>
      <c r="H837" s="126"/>
      <c r="I837" s="108" t="s">
        <v>1211</v>
      </c>
      <c r="J837" s="108" t="str">
        <f t="shared" si="145"/>
        <v>09Б0220460</v>
      </c>
      <c r="K837" s="304" t="str">
        <f>C837&amp;D837&amp;E837&amp;J837&amp;G837</f>
        <v>607070709Б0220460611</v>
      </c>
      <c r="M837" s="22"/>
      <c r="N837" s="22"/>
      <c r="O837" s="22"/>
      <c r="P837" s="22"/>
      <c r="Q837" s="22"/>
      <c r="R837" s="22"/>
    </row>
    <row r="838" spans="1:19" s="24" customFormat="1" ht="47.25">
      <c r="A838" s="21"/>
      <c r="B838" s="132" t="s">
        <v>1041</v>
      </c>
      <c r="C838" s="109" t="s">
        <v>510</v>
      </c>
      <c r="D838" s="108" t="s">
        <v>229</v>
      </c>
      <c r="E838" s="108" t="s">
        <v>229</v>
      </c>
      <c r="F838" s="108" t="s">
        <v>1042</v>
      </c>
      <c r="G838" s="108" t="s">
        <v>9</v>
      </c>
      <c r="H838" s="126">
        <f>H839</f>
        <v>0</v>
      </c>
      <c r="I838" s="108" t="s">
        <v>1212</v>
      </c>
      <c r="J838" s="108" t="str">
        <f t="shared" si="145"/>
        <v>09Б0277430</v>
      </c>
      <c r="K838" s="132"/>
      <c r="L838" s="17"/>
      <c r="M838" s="22"/>
      <c r="N838" s="22"/>
      <c r="O838" s="22"/>
      <c r="P838" s="22"/>
      <c r="Q838" s="22"/>
      <c r="R838" s="22"/>
    </row>
    <row r="839" spans="1:19" s="24" customFormat="1" ht="15.75">
      <c r="A839" s="21"/>
      <c r="B839" s="306" t="s">
        <v>409</v>
      </c>
      <c r="C839" s="109" t="s">
        <v>510</v>
      </c>
      <c r="D839" s="108" t="s">
        <v>229</v>
      </c>
      <c r="E839" s="108" t="s">
        <v>229</v>
      </c>
      <c r="F839" s="108" t="s">
        <v>1042</v>
      </c>
      <c r="G839" s="108" t="s">
        <v>410</v>
      </c>
      <c r="H839" s="126">
        <f>H840</f>
        <v>0</v>
      </c>
      <c r="I839" s="108" t="s">
        <v>1212</v>
      </c>
      <c r="J839" s="108" t="str">
        <f t="shared" si="145"/>
        <v>09Б0277430</v>
      </c>
      <c r="K839" s="132"/>
      <c r="L839" s="17"/>
      <c r="M839" s="22"/>
      <c r="N839" s="22"/>
      <c r="O839" s="22"/>
      <c r="P839" s="22"/>
      <c r="Q839" s="22"/>
      <c r="R839" s="22"/>
    </row>
    <row r="840" spans="1:19" s="24" customFormat="1" ht="15.75">
      <c r="A840" s="21"/>
      <c r="B840" s="127" t="s">
        <v>428</v>
      </c>
      <c r="C840" s="109" t="s">
        <v>510</v>
      </c>
      <c r="D840" s="108" t="s">
        <v>229</v>
      </c>
      <c r="E840" s="108" t="s">
        <v>229</v>
      </c>
      <c r="F840" s="108" t="s">
        <v>1042</v>
      </c>
      <c r="G840" s="108" t="s">
        <v>429</v>
      </c>
      <c r="H840" s="126"/>
      <c r="I840" s="108" t="s">
        <v>1212</v>
      </c>
      <c r="J840" s="108" t="str">
        <f t="shared" si="145"/>
        <v>09Б0277430</v>
      </c>
      <c r="K840" s="304" t="str">
        <f>C840&amp;D840&amp;E840&amp;J840&amp;G840</f>
        <v>607070709Б0277430622</v>
      </c>
      <c r="M840" s="22"/>
      <c r="N840" s="22"/>
      <c r="O840" s="22"/>
      <c r="P840" s="22"/>
      <c r="Q840" s="22"/>
      <c r="R840" s="22"/>
    </row>
    <row r="841" spans="1:19" s="17" customFormat="1" ht="31.5">
      <c r="A841" s="14"/>
      <c r="B841" s="127" t="s">
        <v>557</v>
      </c>
      <c r="C841" s="109" t="s">
        <v>510</v>
      </c>
      <c r="D841" s="108" t="s">
        <v>229</v>
      </c>
      <c r="E841" s="108" t="s">
        <v>229</v>
      </c>
      <c r="F841" s="108" t="s">
        <v>558</v>
      </c>
      <c r="G841" s="108" t="s">
        <v>9</v>
      </c>
      <c r="H841" s="126">
        <f t="shared" ref="H841:H842" si="152">H842</f>
        <v>0</v>
      </c>
      <c r="I841" s="108" t="s">
        <v>1213</v>
      </c>
      <c r="J841" s="108" t="str">
        <f t="shared" si="145"/>
        <v>09Б0300000</v>
      </c>
      <c r="K841" s="132"/>
      <c r="M841" s="20">
        <v>180</v>
      </c>
      <c r="N841" s="20">
        <v>180</v>
      </c>
      <c r="O841" s="20">
        <v>180</v>
      </c>
      <c r="P841" s="20">
        <f>H841-M841</f>
        <v>-180</v>
      </c>
      <c r="Q841" s="20" t="e">
        <f>#REF!-N841</f>
        <v>#REF!</v>
      </c>
      <c r="R841" s="20" t="e">
        <f>#REF!-O841</f>
        <v>#REF!</v>
      </c>
      <c r="S841" s="17" t="str">
        <f t="shared" si="146"/>
        <v>09 Б 03 00000000</v>
      </c>
    </row>
    <row r="842" spans="1:19" s="17" customFormat="1" ht="63">
      <c r="A842" s="14"/>
      <c r="B842" s="125" t="s">
        <v>550</v>
      </c>
      <c r="C842" s="109" t="s">
        <v>510</v>
      </c>
      <c r="D842" s="108" t="s">
        <v>229</v>
      </c>
      <c r="E842" s="108" t="s">
        <v>229</v>
      </c>
      <c r="F842" s="108" t="s">
        <v>559</v>
      </c>
      <c r="G842" s="108" t="s">
        <v>9</v>
      </c>
      <c r="H842" s="126">
        <f t="shared" si="152"/>
        <v>0</v>
      </c>
      <c r="I842" s="108" t="s">
        <v>1214</v>
      </c>
      <c r="J842" s="108" t="str">
        <f t="shared" si="145"/>
        <v>09Б0320460</v>
      </c>
      <c r="K842" s="132"/>
      <c r="M842" s="20">
        <v>180</v>
      </c>
      <c r="N842" s="20">
        <v>180</v>
      </c>
      <c r="O842" s="20">
        <v>180</v>
      </c>
      <c r="P842" s="20">
        <f>H842-M842</f>
        <v>-180</v>
      </c>
      <c r="Q842" s="20" t="e">
        <f>#REF!-N842</f>
        <v>#REF!</v>
      </c>
      <c r="R842" s="20" t="e">
        <f>#REF!-O842</f>
        <v>#REF!</v>
      </c>
      <c r="S842" s="17" t="str">
        <f t="shared" si="146"/>
        <v>09 Б 03 20460000</v>
      </c>
    </row>
    <row r="843" spans="1:19" s="17" customFormat="1" ht="15.75">
      <c r="A843" s="14"/>
      <c r="B843" s="132" t="s">
        <v>403</v>
      </c>
      <c r="C843" s="109" t="s">
        <v>510</v>
      </c>
      <c r="D843" s="108" t="s">
        <v>229</v>
      </c>
      <c r="E843" s="108" t="s">
        <v>229</v>
      </c>
      <c r="F843" s="108" t="s">
        <v>559</v>
      </c>
      <c r="G843" s="108" t="s">
        <v>404</v>
      </c>
      <c r="H843" s="126">
        <f>H844</f>
        <v>0</v>
      </c>
      <c r="I843" s="108" t="s">
        <v>1214</v>
      </c>
      <c r="J843" s="108" t="str">
        <f t="shared" si="145"/>
        <v>09Б0320460</v>
      </c>
      <c r="K843" s="132"/>
      <c r="M843" s="20">
        <v>180</v>
      </c>
      <c r="N843" s="20">
        <v>180</v>
      </c>
      <c r="O843" s="20">
        <v>180</v>
      </c>
      <c r="P843" s="20">
        <f>H843-M843</f>
        <v>-180</v>
      </c>
      <c r="Q843" s="20" t="e">
        <f>#REF!-N843</f>
        <v>#REF!</v>
      </c>
      <c r="R843" s="20" t="e">
        <f>#REF!-O843</f>
        <v>#REF!</v>
      </c>
      <c r="S843" s="17" t="str">
        <f t="shared" si="146"/>
        <v>09 Б 03 20460610</v>
      </c>
    </row>
    <row r="844" spans="1:19" s="24" customFormat="1" ht="63">
      <c r="A844" s="21"/>
      <c r="B844" s="127" t="s">
        <v>405</v>
      </c>
      <c r="C844" s="109" t="s">
        <v>510</v>
      </c>
      <c r="D844" s="108" t="s">
        <v>229</v>
      </c>
      <c r="E844" s="108" t="s">
        <v>229</v>
      </c>
      <c r="F844" s="108" t="s">
        <v>559</v>
      </c>
      <c r="G844" s="108" t="s">
        <v>406</v>
      </c>
      <c r="H844" s="126"/>
      <c r="I844" s="108" t="s">
        <v>1214</v>
      </c>
      <c r="J844" s="108" t="str">
        <f t="shared" si="145"/>
        <v>09Б0320460</v>
      </c>
      <c r="K844" s="304" t="str">
        <f>C844&amp;D844&amp;E844&amp;J844&amp;G844</f>
        <v>607070709Б0320460611</v>
      </c>
      <c r="M844" s="22"/>
      <c r="N844" s="22"/>
      <c r="O844" s="22"/>
      <c r="P844" s="22"/>
      <c r="Q844" s="22"/>
      <c r="R844" s="22"/>
    </row>
    <row r="845" spans="1:19" s="17" customFormat="1" ht="47.25">
      <c r="A845" s="14"/>
      <c r="B845" s="127" t="s">
        <v>560</v>
      </c>
      <c r="C845" s="109" t="s">
        <v>510</v>
      </c>
      <c r="D845" s="108" t="s">
        <v>229</v>
      </c>
      <c r="E845" s="108" t="s">
        <v>229</v>
      </c>
      <c r="F845" s="108" t="s">
        <v>561</v>
      </c>
      <c r="G845" s="108" t="s">
        <v>9</v>
      </c>
      <c r="H845" s="126">
        <f t="shared" ref="H845:H846" si="153">H846</f>
        <v>0</v>
      </c>
      <c r="I845" s="108" t="s">
        <v>1215</v>
      </c>
      <c r="J845" s="108" t="str">
        <f t="shared" si="145"/>
        <v>09Б0400000</v>
      </c>
      <c r="K845" s="132"/>
      <c r="M845" s="20">
        <v>310</v>
      </c>
      <c r="N845" s="20">
        <v>310</v>
      </c>
      <c r="O845" s="20">
        <v>310</v>
      </c>
      <c r="P845" s="20">
        <f>H845-M845</f>
        <v>-310</v>
      </c>
      <c r="Q845" s="20" t="e">
        <f>#REF!-N845</f>
        <v>#REF!</v>
      </c>
      <c r="R845" s="20" t="e">
        <f>#REF!-O845</f>
        <v>#REF!</v>
      </c>
      <c r="S845" s="17" t="str">
        <f t="shared" si="146"/>
        <v>09 Б 04 00000000</v>
      </c>
    </row>
    <row r="846" spans="1:19" s="17" customFormat="1" ht="63">
      <c r="A846" s="14"/>
      <c r="B846" s="125" t="s">
        <v>550</v>
      </c>
      <c r="C846" s="109" t="s">
        <v>510</v>
      </c>
      <c r="D846" s="108" t="s">
        <v>229</v>
      </c>
      <c r="E846" s="108" t="s">
        <v>229</v>
      </c>
      <c r="F846" s="108" t="s">
        <v>562</v>
      </c>
      <c r="G846" s="108" t="s">
        <v>9</v>
      </c>
      <c r="H846" s="126">
        <f t="shared" si="153"/>
        <v>0</v>
      </c>
      <c r="I846" s="108" t="s">
        <v>1216</v>
      </c>
      <c r="J846" s="108" t="str">
        <f t="shared" si="145"/>
        <v>09Б0420460</v>
      </c>
      <c r="K846" s="132"/>
      <c r="M846" s="20">
        <v>310</v>
      </c>
      <c r="N846" s="20">
        <v>310</v>
      </c>
      <c r="O846" s="20">
        <v>310</v>
      </c>
      <c r="P846" s="20">
        <f>H846-M846</f>
        <v>-310</v>
      </c>
      <c r="Q846" s="20" t="e">
        <f>#REF!-N846</f>
        <v>#REF!</v>
      </c>
      <c r="R846" s="20" t="e">
        <f>#REF!-O846</f>
        <v>#REF!</v>
      </c>
      <c r="S846" s="17" t="str">
        <f t="shared" si="146"/>
        <v>09 Б 04 20460000</v>
      </c>
    </row>
    <row r="847" spans="1:19" s="17" customFormat="1" ht="15.75">
      <c r="A847" s="14"/>
      <c r="B847" s="132" t="s">
        <v>403</v>
      </c>
      <c r="C847" s="109" t="s">
        <v>510</v>
      </c>
      <c r="D847" s="108" t="s">
        <v>229</v>
      </c>
      <c r="E847" s="108" t="s">
        <v>229</v>
      </c>
      <c r="F847" s="108" t="s">
        <v>562</v>
      </c>
      <c r="G847" s="108" t="s">
        <v>404</v>
      </c>
      <c r="H847" s="126">
        <f>H848</f>
        <v>0</v>
      </c>
      <c r="I847" s="108" t="s">
        <v>1216</v>
      </c>
      <c r="J847" s="108" t="str">
        <f t="shared" si="145"/>
        <v>09Б0420460</v>
      </c>
      <c r="K847" s="132"/>
      <c r="M847" s="20">
        <v>310</v>
      </c>
      <c r="N847" s="20">
        <v>310</v>
      </c>
      <c r="O847" s="20">
        <v>310</v>
      </c>
      <c r="P847" s="20">
        <f>H847-M847</f>
        <v>-310</v>
      </c>
      <c r="Q847" s="20" t="e">
        <f>#REF!-N847</f>
        <v>#REF!</v>
      </c>
      <c r="R847" s="20" t="e">
        <f>#REF!-O847</f>
        <v>#REF!</v>
      </c>
      <c r="S847" s="17" t="str">
        <f t="shared" si="146"/>
        <v>09 Б 04 20460610</v>
      </c>
    </row>
    <row r="848" spans="1:19" s="24" customFormat="1" ht="63">
      <c r="A848" s="21"/>
      <c r="B848" s="127" t="s">
        <v>405</v>
      </c>
      <c r="C848" s="109" t="s">
        <v>510</v>
      </c>
      <c r="D848" s="108" t="s">
        <v>229</v>
      </c>
      <c r="E848" s="108" t="s">
        <v>229</v>
      </c>
      <c r="F848" s="108" t="s">
        <v>562</v>
      </c>
      <c r="G848" s="108" t="s">
        <v>406</v>
      </c>
      <c r="H848" s="126"/>
      <c r="I848" s="108" t="s">
        <v>1216</v>
      </c>
      <c r="J848" s="108" t="str">
        <f t="shared" si="145"/>
        <v>09Б0420460</v>
      </c>
      <c r="K848" s="304" t="str">
        <f>C848&amp;D848&amp;E848&amp;J848&amp;G848</f>
        <v>607070709Б0420460611</v>
      </c>
      <c r="M848" s="22"/>
      <c r="N848" s="22"/>
      <c r="O848" s="22"/>
      <c r="P848" s="22"/>
      <c r="Q848" s="22"/>
      <c r="R848" s="22"/>
    </row>
    <row r="849" spans="1:19" s="17" customFormat="1" ht="47.25">
      <c r="A849" s="14"/>
      <c r="B849" s="127" t="s">
        <v>563</v>
      </c>
      <c r="C849" s="109" t="s">
        <v>510</v>
      </c>
      <c r="D849" s="108" t="s">
        <v>229</v>
      </c>
      <c r="E849" s="108" t="s">
        <v>229</v>
      </c>
      <c r="F849" s="108" t="s">
        <v>564</v>
      </c>
      <c r="G849" s="108" t="s">
        <v>9</v>
      </c>
      <c r="H849" s="126">
        <f t="shared" ref="H849:H850" si="154">H850</f>
        <v>0</v>
      </c>
      <c r="I849" s="108" t="s">
        <v>1217</v>
      </c>
      <c r="J849" s="108" t="str">
        <f t="shared" si="145"/>
        <v>09Б0500000</v>
      </c>
      <c r="K849" s="132"/>
      <c r="M849" s="20">
        <v>25.54</v>
      </c>
      <c r="N849" s="20">
        <v>25.54</v>
      </c>
      <c r="O849" s="20">
        <v>25.54</v>
      </c>
      <c r="P849" s="20">
        <f>H849-M849</f>
        <v>-25.54</v>
      </c>
      <c r="Q849" s="20" t="e">
        <f>#REF!-N849</f>
        <v>#REF!</v>
      </c>
      <c r="R849" s="20" t="e">
        <f>#REF!-O849</f>
        <v>#REF!</v>
      </c>
      <c r="S849" s="17" t="str">
        <f t="shared" si="146"/>
        <v>09 Б 05 00000000</v>
      </c>
    </row>
    <row r="850" spans="1:19" s="17" customFormat="1" ht="63">
      <c r="A850" s="14"/>
      <c r="B850" s="125" t="s">
        <v>550</v>
      </c>
      <c r="C850" s="109" t="s">
        <v>510</v>
      </c>
      <c r="D850" s="108" t="s">
        <v>229</v>
      </c>
      <c r="E850" s="108" t="s">
        <v>229</v>
      </c>
      <c r="F850" s="108" t="s">
        <v>565</v>
      </c>
      <c r="G850" s="108" t="s">
        <v>9</v>
      </c>
      <c r="H850" s="126">
        <f t="shared" si="154"/>
        <v>0</v>
      </c>
      <c r="I850" s="108" t="s">
        <v>1218</v>
      </c>
      <c r="J850" s="108" t="str">
        <f t="shared" si="145"/>
        <v>09Б0520460</v>
      </c>
      <c r="K850" s="132"/>
      <c r="M850" s="20">
        <v>25.54</v>
      </c>
      <c r="N850" s="20">
        <v>25.54</v>
      </c>
      <c r="O850" s="20">
        <v>25.54</v>
      </c>
      <c r="P850" s="20">
        <f>H850-M850</f>
        <v>-25.54</v>
      </c>
      <c r="Q850" s="20" t="e">
        <f>#REF!-N850</f>
        <v>#REF!</v>
      </c>
      <c r="R850" s="20" t="e">
        <f>#REF!-O850</f>
        <v>#REF!</v>
      </c>
      <c r="S850" s="17" t="str">
        <f t="shared" si="146"/>
        <v>09 Б 05 20460000</v>
      </c>
    </row>
    <row r="851" spans="1:19" s="17" customFormat="1" ht="15.75">
      <c r="A851" s="14"/>
      <c r="B851" s="132" t="s">
        <v>403</v>
      </c>
      <c r="C851" s="109" t="s">
        <v>510</v>
      </c>
      <c r="D851" s="108" t="s">
        <v>229</v>
      </c>
      <c r="E851" s="108" t="s">
        <v>229</v>
      </c>
      <c r="F851" s="108" t="s">
        <v>565</v>
      </c>
      <c r="G851" s="108" t="s">
        <v>404</v>
      </c>
      <c r="H851" s="126">
        <f>H852</f>
        <v>0</v>
      </c>
      <c r="I851" s="108" t="s">
        <v>1218</v>
      </c>
      <c r="J851" s="108" t="str">
        <f t="shared" si="145"/>
        <v>09Б0520460</v>
      </c>
      <c r="K851" s="132"/>
      <c r="M851" s="20">
        <v>25.54</v>
      </c>
      <c r="N851" s="20">
        <v>25.54</v>
      </c>
      <c r="O851" s="20">
        <v>25.54</v>
      </c>
      <c r="P851" s="20">
        <f>H851-M851</f>
        <v>-25.54</v>
      </c>
      <c r="Q851" s="20" t="e">
        <f>#REF!-N851</f>
        <v>#REF!</v>
      </c>
      <c r="R851" s="20" t="e">
        <f>#REF!-O851</f>
        <v>#REF!</v>
      </c>
      <c r="S851" s="17" t="str">
        <f t="shared" si="146"/>
        <v>09 Б 05 20460610</v>
      </c>
    </row>
    <row r="852" spans="1:19" s="24" customFormat="1" ht="63">
      <c r="A852" s="21"/>
      <c r="B852" s="127" t="s">
        <v>405</v>
      </c>
      <c r="C852" s="109" t="s">
        <v>510</v>
      </c>
      <c r="D852" s="108" t="s">
        <v>229</v>
      </c>
      <c r="E852" s="108" t="s">
        <v>229</v>
      </c>
      <c r="F852" s="108" t="s">
        <v>565</v>
      </c>
      <c r="G852" s="108" t="s">
        <v>406</v>
      </c>
      <c r="H852" s="126"/>
      <c r="I852" s="108" t="s">
        <v>1218</v>
      </c>
      <c r="J852" s="108" t="str">
        <f t="shared" si="145"/>
        <v>09Б0520460</v>
      </c>
      <c r="K852" s="304" t="str">
        <f>C852&amp;D852&amp;E852&amp;J852&amp;G852</f>
        <v>607070709Б0520460611</v>
      </c>
      <c r="M852" s="22"/>
      <c r="N852" s="22"/>
      <c r="O852" s="22"/>
      <c r="P852" s="22"/>
      <c r="Q852" s="22"/>
      <c r="R852" s="22"/>
    </row>
    <row r="853" spans="1:19" s="17" customFormat="1" ht="47.25">
      <c r="A853" s="14"/>
      <c r="B853" s="127" t="s">
        <v>566</v>
      </c>
      <c r="C853" s="109" t="s">
        <v>510</v>
      </c>
      <c r="D853" s="108" t="s">
        <v>229</v>
      </c>
      <c r="E853" s="108" t="s">
        <v>229</v>
      </c>
      <c r="F853" s="108" t="s">
        <v>567</v>
      </c>
      <c r="G853" s="108" t="s">
        <v>9</v>
      </c>
      <c r="H853" s="126">
        <f t="shared" ref="H853:H854" si="155">H854</f>
        <v>0</v>
      </c>
      <c r="I853" s="108" t="s">
        <v>1219</v>
      </c>
      <c r="J853" s="108" t="str">
        <f t="shared" si="145"/>
        <v>09Б0600000</v>
      </c>
      <c r="K853" s="132"/>
      <c r="M853" s="20">
        <v>3406.66</v>
      </c>
      <c r="N853" s="20">
        <v>3406.66</v>
      </c>
      <c r="O853" s="20">
        <v>3406.66</v>
      </c>
      <c r="P853" s="20">
        <f>H853-M853</f>
        <v>-3406.66</v>
      </c>
      <c r="Q853" s="20" t="e">
        <f>#REF!-N853</f>
        <v>#REF!</v>
      </c>
      <c r="R853" s="20" t="e">
        <f>#REF!-O853</f>
        <v>#REF!</v>
      </c>
      <c r="S853" s="17" t="str">
        <f t="shared" si="146"/>
        <v>09 Б 06 00000000</v>
      </c>
    </row>
    <row r="854" spans="1:19" s="17" customFormat="1" ht="31.5">
      <c r="A854" s="14"/>
      <c r="B854" s="127" t="s">
        <v>136</v>
      </c>
      <c r="C854" s="109" t="s">
        <v>510</v>
      </c>
      <c r="D854" s="108" t="s">
        <v>229</v>
      </c>
      <c r="E854" s="108" t="s">
        <v>229</v>
      </c>
      <c r="F854" s="108" t="s">
        <v>568</v>
      </c>
      <c r="G854" s="108" t="s">
        <v>9</v>
      </c>
      <c r="H854" s="126">
        <f t="shared" si="155"/>
        <v>0</v>
      </c>
      <c r="I854" s="108" t="s">
        <v>1220</v>
      </c>
      <c r="J854" s="108" t="str">
        <f t="shared" si="145"/>
        <v>09Б0611010</v>
      </c>
      <c r="K854" s="132"/>
      <c r="M854" s="20">
        <v>3406.66</v>
      </c>
      <c r="N854" s="20">
        <v>3406.66</v>
      </c>
      <c r="O854" s="20">
        <v>3406.66</v>
      </c>
      <c r="P854" s="20">
        <f>H854-M854</f>
        <v>-3406.66</v>
      </c>
      <c r="Q854" s="20" t="e">
        <f>#REF!-N854</f>
        <v>#REF!</v>
      </c>
      <c r="R854" s="20" t="e">
        <f>#REF!-O854</f>
        <v>#REF!</v>
      </c>
      <c r="S854" s="17" t="str">
        <f t="shared" si="146"/>
        <v>09 Б 06 11010000</v>
      </c>
    </row>
    <row r="855" spans="1:19" s="17" customFormat="1" ht="15.75">
      <c r="A855" s="14"/>
      <c r="B855" s="132" t="s">
        <v>403</v>
      </c>
      <c r="C855" s="109" t="s">
        <v>510</v>
      </c>
      <c r="D855" s="108" t="s">
        <v>229</v>
      </c>
      <c r="E855" s="108" t="s">
        <v>229</v>
      </c>
      <c r="F855" s="108" t="s">
        <v>568</v>
      </c>
      <c r="G855" s="108" t="s">
        <v>404</v>
      </c>
      <c r="H855" s="126">
        <f>H856</f>
        <v>0</v>
      </c>
      <c r="I855" s="108" t="s">
        <v>1220</v>
      </c>
      <c r="J855" s="108" t="str">
        <f t="shared" si="145"/>
        <v>09Б0611010</v>
      </c>
      <c r="K855" s="132"/>
      <c r="M855" s="20">
        <v>3406.66</v>
      </c>
      <c r="N855" s="20">
        <v>3406.66</v>
      </c>
      <c r="O855" s="20">
        <v>3406.66</v>
      </c>
      <c r="P855" s="20">
        <f>H855-M855</f>
        <v>-3406.66</v>
      </c>
      <c r="Q855" s="20" t="e">
        <f>#REF!-N855</f>
        <v>#REF!</v>
      </c>
      <c r="R855" s="20" t="e">
        <f>#REF!-O855</f>
        <v>#REF!</v>
      </c>
      <c r="S855" s="17" t="str">
        <f t="shared" si="146"/>
        <v>09 Б 06 11010610</v>
      </c>
    </row>
    <row r="856" spans="1:19" s="24" customFormat="1" ht="63">
      <c r="A856" s="21"/>
      <c r="B856" s="127" t="s">
        <v>405</v>
      </c>
      <c r="C856" s="109" t="s">
        <v>510</v>
      </c>
      <c r="D856" s="108" t="s">
        <v>229</v>
      </c>
      <c r="E856" s="108" t="s">
        <v>229</v>
      </c>
      <c r="F856" s="108" t="s">
        <v>568</v>
      </c>
      <c r="G856" s="108" t="s">
        <v>406</v>
      </c>
      <c r="H856" s="126"/>
      <c r="I856" s="108" t="s">
        <v>1220</v>
      </c>
      <c r="J856" s="108" t="str">
        <f t="shared" si="145"/>
        <v>09Б0611010</v>
      </c>
      <c r="K856" s="304" t="str">
        <f>C856&amp;D856&amp;E856&amp;J856&amp;G856</f>
        <v>607070709Б0611010611</v>
      </c>
      <c r="M856" s="22"/>
      <c r="N856" s="22"/>
      <c r="O856" s="22"/>
      <c r="P856" s="22"/>
      <c r="Q856" s="22"/>
      <c r="R856" s="22"/>
    </row>
    <row r="857" spans="1:19" s="16" customFormat="1" ht="47.25">
      <c r="A857" s="14"/>
      <c r="B857" s="127" t="s">
        <v>146</v>
      </c>
      <c r="C857" s="109" t="s">
        <v>510</v>
      </c>
      <c r="D857" s="108" t="s">
        <v>229</v>
      </c>
      <c r="E857" s="108" t="s">
        <v>229</v>
      </c>
      <c r="F857" s="130" t="s">
        <v>147</v>
      </c>
      <c r="G857" s="130" t="s">
        <v>9</v>
      </c>
      <c r="H857" s="134">
        <f>H858</f>
        <v>0</v>
      </c>
      <c r="I857" s="130">
        <v>1500000000</v>
      </c>
      <c r="J857" s="130" t="str">
        <f t="shared" si="145"/>
        <v>1500000000</v>
      </c>
      <c r="K857" s="132"/>
      <c r="L857" s="17"/>
      <c r="M857" s="27">
        <v>390</v>
      </c>
      <c r="N857" s="27">
        <v>0</v>
      </c>
      <c r="O857" s="27">
        <v>0</v>
      </c>
      <c r="P857" s="27">
        <f>H857-M857</f>
        <v>-390</v>
      </c>
      <c r="Q857" s="27" t="e">
        <f>#REF!-N857</f>
        <v>#REF!</v>
      </c>
      <c r="R857" s="27" t="e">
        <f>#REF!-O857</f>
        <v>#REF!</v>
      </c>
      <c r="S857" s="17" t="str">
        <f t="shared" ref="S857:S861" si="156">CONCATENATE(F857,G857)</f>
        <v>15 0 00 00000000</v>
      </c>
    </row>
    <row r="858" spans="1:19" s="16" customFormat="1" ht="47.25">
      <c r="A858" s="14"/>
      <c r="B858" s="125" t="s">
        <v>1065</v>
      </c>
      <c r="C858" s="109" t="s">
        <v>510</v>
      </c>
      <c r="D858" s="108" t="s">
        <v>229</v>
      </c>
      <c r="E858" s="108" t="s">
        <v>229</v>
      </c>
      <c r="F858" s="130" t="s">
        <v>149</v>
      </c>
      <c r="G858" s="130" t="s">
        <v>9</v>
      </c>
      <c r="H858" s="134">
        <f>H859</f>
        <v>0</v>
      </c>
      <c r="I858" s="130">
        <v>1510000000</v>
      </c>
      <c r="J858" s="130" t="str">
        <f t="shared" si="145"/>
        <v>1510000000</v>
      </c>
      <c r="K858" s="132"/>
      <c r="L858" s="17"/>
      <c r="M858" s="27">
        <v>390</v>
      </c>
      <c r="N858" s="27">
        <v>0</v>
      </c>
      <c r="O858" s="27">
        <v>0</v>
      </c>
      <c r="P858" s="27">
        <f>H858-M858</f>
        <v>-390</v>
      </c>
      <c r="Q858" s="27" t="e">
        <f>#REF!-N858</f>
        <v>#REF!</v>
      </c>
      <c r="R858" s="27" t="e">
        <f>#REF!-O858</f>
        <v>#REF!</v>
      </c>
      <c r="S858" s="17" t="str">
        <f t="shared" si="156"/>
        <v>15 1 00 00000000</v>
      </c>
    </row>
    <row r="859" spans="1:19" s="16" customFormat="1" ht="63">
      <c r="A859" s="14"/>
      <c r="B859" s="129" t="s">
        <v>1071</v>
      </c>
      <c r="C859" s="109" t="s">
        <v>510</v>
      </c>
      <c r="D859" s="108" t="s">
        <v>229</v>
      </c>
      <c r="E859" s="108" t="s">
        <v>229</v>
      </c>
      <c r="F859" s="109" t="s">
        <v>274</v>
      </c>
      <c r="G859" s="130" t="s">
        <v>9</v>
      </c>
      <c r="H859" s="134">
        <f>H860</f>
        <v>0</v>
      </c>
      <c r="I859" s="109">
        <v>1510200000</v>
      </c>
      <c r="J859" s="109" t="str">
        <f t="shared" si="145"/>
        <v>1510200000</v>
      </c>
      <c r="K859" s="132"/>
      <c r="L859" s="17"/>
      <c r="M859" s="27">
        <v>390</v>
      </c>
      <c r="N859" s="27">
        <v>0</v>
      </c>
      <c r="O859" s="27">
        <v>0</v>
      </c>
      <c r="P859" s="27">
        <f>H859-M859</f>
        <v>-390</v>
      </c>
      <c r="Q859" s="27" t="e">
        <f>#REF!-N859</f>
        <v>#REF!</v>
      </c>
      <c r="R859" s="27" t="e">
        <f>#REF!-O859</f>
        <v>#REF!</v>
      </c>
      <c r="S859" s="17" t="str">
        <f t="shared" si="156"/>
        <v>15 1 02 00000000</v>
      </c>
    </row>
    <row r="860" spans="1:19" s="16" customFormat="1" ht="47.25">
      <c r="A860" s="14"/>
      <c r="B860" s="129" t="s">
        <v>152</v>
      </c>
      <c r="C860" s="109" t="s">
        <v>510</v>
      </c>
      <c r="D860" s="108" t="s">
        <v>229</v>
      </c>
      <c r="E860" s="108" t="s">
        <v>229</v>
      </c>
      <c r="F860" s="109" t="s">
        <v>275</v>
      </c>
      <c r="G860" s="130" t="s">
        <v>9</v>
      </c>
      <c r="H860" s="134">
        <f>SUM(H861:H861)</f>
        <v>0</v>
      </c>
      <c r="I860" s="109">
        <v>1510220350</v>
      </c>
      <c r="J860" s="109" t="str">
        <f t="shared" si="145"/>
        <v>1510220350</v>
      </c>
      <c r="K860" s="132"/>
      <c r="L860" s="17"/>
      <c r="M860" s="27">
        <v>390</v>
      </c>
      <c r="N860" s="27">
        <v>0</v>
      </c>
      <c r="O860" s="27">
        <v>0</v>
      </c>
      <c r="P860" s="27">
        <f>H860-M860</f>
        <v>-390</v>
      </c>
      <c r="Q860" s="27" t="e">
        <f>#REF!-N860</f>
        <v>#REF!</v>
      </c>
      <c r="R860" s="27" t="e">
        <f>#REF!-O860</f>
        <v>#REF!</v>
      </c>
      <c r="S860" s="17" t="str">
        <f t="shared" si="156"/>
        <v>15 1 02 20350000</v>
      </c>
    </row>
    <row r="861" spans="1:19" s="16" customFormat="1" ht="15.75">
      <c r="A861" s="14"/>
      <c r="B861" s="132" t="s">
        <v>403</v>
      </c>
      <c r="C861" s="109" t="s">
        <v>510</v>
      </c>
      <c r="D861" s="108" t="s">
        <v>229</v>
      </c>
      <c r="E861" s="108" t="s">
        <v>229</v>
      </c>
      <c r="F861" s="109" t="s">
        <v>275</v>
      </c>
      <c r="G861" s="130" t="s">
        <v>404</v>
      </c>
      <c r="H861" s="126">
        <f>H862</f>
        <v>0</v>
      </c>
      <c r="I861" s="109">
        <v>1510220350</v>
      </c>
      <c r="J861" s="109" t="str">
        <f t="shared" si="145"/>
        <v>1510220350</v>
      </c>
      <c r="K861" s="132"/>
      <c r="L861" s="17"/>
      <c r="M861" s="20">
        <v>390</v>
      </c>
      <c r="N861" s="20">
        <v>0</v>
      </c>
      <c r="O861" s="20">
        <v>0</v>
      </c>
      <c r="P861" s="20">
        <f>H861-M861</f>
        <v>-390</v>
      </c>
      <c r="Q861" s="20" t="e">
        <f>#REF!-N861</f>
        <v>#REF!</v>
      </c>
      <c r="R861" s="20" t="e">
        <f>#REF!-O861</f>
        <v>#REF!</v>
      </c>
      <c r="S861" s="17" t="str">
        <f t="shared" si="156"/>
        <v>15 1 02 20350610</v>
      </c>
    </row>
    <row r="862" spans="1:19" s="23" customFormat="1" ht="15.75">
      <c r="A862" s="21"/>
      <c r="B862" s="127" t="s">
        <v>407</v>
      </c>
      <c r="C862" s="109" t="s">
        <v>510</v>
      </c>
      <c r="D862" s="108" t="s">
        <v>229</v>
      </c>
      <c r="E862" s="108" t="s">
        <v>229</v>
      </c>
      <c r="F862" s="109" t="s">
        <v>275</v>
      </c>
      <c r="G862" s="109" t="s">
        <v>408</v>
      </c>
      <c r="H862" s="126"/>
      <c r="I862" s="109">
        <v>1510220350</v>
      </c>
      <c r="J862" s="109" t="str">
        <f t="shared" si="145"/>
        <v>1510220350</v>
      </c>
      <c r="K862" s="304" t="str">
        <f>C862&amp;D862&amp;E862&amp;J862&amp;G862</f>
        <v>60707071510220350612</v>
      </c>
      <c r="L862" s="24"/>
      <c r="M862" s="22"/>
      <c r="N862" s="22"/>
      <c r="O862" s="22"/>
      <c r="P862" s="22"/>
      <c r="Q862" s="22"/>
      <c r="R862" s="22"/>
      <c r="S862" s="24"/>
    </row>
    <row r="863" spans="1:19" s="16" customFormat="1" ht="15.75">
      <c r="A863" s="14"/>
      <c r="B863" s="117" t="s">
        <v>569</v>
      </c>
      <c r="C863" s="118" t="s">
        <v>510</v>
      </c>
      <c r="D863" s="119" t="s">
        <v>238</v>
      </c>
      <c r="E863" s="119" t="s">
        <v>7</v>
      </c>
      <c r="F863" s="119" t="s">
        <v>8</v>
      </c>
      <c r="G863" s="119" t="s">
        <v>9</v>
      </c>
      <c r="H863" s="120">
        <f>H864+H948</f>
        <v>0</v>
      </c>
      <c r="I863" s="119">
        <v>0</v>
      </c>
      <c r="J863" s="119" t="str">
        <f t="shared" ref="J863:J926" si="157">TEXT(I863,"0000000000")</f>
        <v>0000000000</v>
      </c>
      <c r="K863" s="132"/>
      <c r="L863" s="17"/>
      <c r="M863" s="18">
        <v>195218.21999999997</v>
      </c>
      <c r="N863" s="18">
        <v>195824.43</v>
      </c>
      <c r="O863" s="18">
        <v>196485.86</v>
      </c>
      <c r="P863" s="18">
        <f t="shared" ref="P863:P869" si="158">H863-M863</f>
        <v>-195218.21999999997</v>
      </c>
      <c r="Q863" s="18" t="e">
        <f>#REF!-N863</f>
        <v>#REF!</v>
      </c>
      <c r="R863" s="18" t="e">
        <f>#REF!-O863</f>
        <v>#REF!</v>
      </c>
      <c r="S863" s="17" t="str">
        <f t="shared" si="146"/>
        <v>00 0 00 00000000</v>
      </c>
    </row>
    <row r="864" spans="1:19" s="16" customFormat="1" ht="15.75">
      <c r="A864" s="14"/>
      <c r="B864" s="121" t="s">
        <v>239</v>
      </c>
      <c r="C864" s="122" t="s">
        <v>510</v>
      </c>
      <c r="D864" s="123" t="s">
        <v>238</v>
      </c>
      <c r="E864" s="123" t="s">
        <v>11</v>
      </c>
      <c r="F864" s="123" t="s">
        <v>8</v>
      </c>
      <c r="G864" s="123" t="s">
        <v>9</v>
      </c>
      <c r="H864" s="124">
        <f>H865+H931+H925+H937+H943</f>
        <v>0</v>
      </c>
      <c r="I864" s="123">
        <v>0</v>
      </c>
      <c r="J864" s="123" t="str">
        <f t="shared" si="157"/>
        <v>0000000000</v>
      </c>
      <c r="K864" s="132"/>
      <c r="L864" s="17"/>
      <c r="M864" s="19">
        <v>181607.75999999998</v>
      </c>
      <c r="N864" s="19">
        <v>182213.97</v>
      </c>
      <c r="O864" s="19">
        <v>182875.4</v>
      </c>
      <c r="P864" s="19">
        <f t="shared" si="158"/>
        <v>-181607.75999999998</v>
      </c>
      <c r="Q864" s="19" t="e">
        <f>#REF!-N864</f>
        <v>#REF!</v>
      </c>
      <c r="R864" s="19" t="e">
        <f>#REF!-O864</f>
        <v>#REF!</v>
      </c>
      <c r="S864" s="17" t="str">
        <f t="shared" si="146"/>
        <v>00 0 00 00000000</v>
      </c>
    </row>
    <row r="865" spans="1:19" s="16" customFormat="1" ht="31.5">
      <c r="A865" s="14"/>
      <c r="B865" s="125" t="s">
        <v>240</v>
      </c>
      <c r="C865" s="109" t="s">
        <v>510</v>
      </c>
      <c r="D865" s="108" t="s">
        <v>238</v>
      </c>
      <c r="E865" s="108" t="s">
        <v>11</v>
      </c>
      <c r="F865" s="108" t="s">
        <v>241</v>
      </c>
      <c r="G865" s="108" t="s">
        <v>9</v>
      </c>
      <c r="H865" s="126">
        <f>H866+H873</f>
        <v>0</v>
      </c>
      <c r="I865" s="108">
        <v>700000000</v>
      </c>
      <c r="J865" s="108" t="str">
        <f t="shared" si="157"/>
        <v>0700000000</v>
      </c>
      <c r="K865" s="132"/>
      <c r="L865" s="17"/>
      <c r="M865" s="20">
        <v>180779.58</v>
      </c>
      <c r="N865" s="20">
        <v>181385.79</v>
      </c>
      <c r="O865" s="20">
        <v>182047.22</v>
      </c>
      <c r="P865" s="20">
        <f t="shared" si="158"/>
        <v>-180779.58</v>
      </c>
      <c r="Q865" s="20" t="e">
        <f>#REF!-N865</f>
        <v>#REF!</v>
      </c>
      <c r="R865" s="20" t="e">
        <f>#REF!-O865</f>
        <v>#REF!</v>
      </c>
      <c r="S865" s="17" t="str">
        <f t="shared" si="146"/>
        <v>07 0 00 00000000</v>
      </c>
    </row>
    <row r="866" spans="1:19" s="16" customFormat="1" ht="78.75">
      <c r="A866" s="14"/>
      <c r="B866" s="125" t="s">
        <v>242</v>
      </c>
      <c r="C866" s="109" t="s">
        <v>510</v>
      </c>
      <c r="D866" s="108" t="s">
        <v>238</v>
      </c>
      <c r="E866" s="108" t="s">
        <v>11</v>
      </c>
      <c r="F866" s="108" t="s">
        <v>243</v>
      </c>
      <c r="G866" s="108" t="s">
        <v>9</v>
      </c>
      <c r="H866" s="126">
        <f t="shared" ref="H866:H867" si="159">H867</f>
        <v>0</v>
      </c>
      <c r="I866" s="108">
        <v>710000000</v>
      </c>
      <c r="J866" s="108" t="str">
        <f t="shared" si="157"/>
        <v>0710000000</v>
      </c>
      <c r="K866" s="132"/>
      <c r="L866" s="17"/>
      <c r="M866" s="20">
        <v>5644</v>
      </c>
      <c r="N866" s="20">
        <v>5644</v>
      </c>
      <c r="O866" s="20">
        <v>5644</v>
      </c>
      <c r="P866" s="20">
        <f t="shared" si="158"/>
        <v>-5644</v>
      </c>
      <c r="Q866" s="20" t="e">
        <f>#REF!-N866</f>
        <v>#REF!</v>
      </c>
      <c r="R866" s="20" t="e">
        <f>#REF!-O866</f>
        <v>#REF!</v>
      </c>
      <c r="S866" s="17" t="str">
        <f t="shared" si="146"/>
        <v>07 1 00 00000000</v>
      </c>
    </row>
    <row r="867" spans="1:19" s="16" customFormat="1" ht="110.25">
      <c r="A867" s="14"/>
      <c r="B867" s="125" t="s">
        <v>244</v>
      </c>
      <c r="C867" s="109" t="s">
        <v>510</v>
      </c>
      <c r="D867" s="108" t="s">
        <v>238</v>
      </c>
      <c r="E867" s="108" t="s">
        <v>11</v>
      </c>
      <c r="F867" s="108" t="s">
        <v>245</v>
      </c>
      <c r="G867" s="108" t="s">
        <v>9</v>
      </c>
      <c r="H867" s="126">
        <f t="shared" si="159"/>
        <v>0</v>
      </c>
      <c r="I867" s="108">
        <v>710100000</v>
      </c>
      <c r="J867" s="108" t="str">
        <f t="shared" si="157"/>
        <v>0710100000</v>
      </c>
      <c r="K867" s="132"/>
      <c r="L867" s="17"/>
      <c r="M867" s="20">
        <v>5644</v>
      </c>
      <c r="N867" s="20">
        <v>5644</v>
      </c>
      <c r="O867" s="20">
        <v>5644</v>
      </c>
      <c r="P867" s="20">
        <f t="shared" si="158"/>
        <v>-5644</v>
      </c>
      <c r="Q867" s="20" t="e">
        <f>#REF!-N867</f>
        <v>#REF!</v>
      </c>
      <c r="R867" s="20" t="e">
        <f>#REF!-O867</f>
        <v>#REF!</v>
      </c>
      <c r="S867" s="17" t="str">
        <f t="shared" si="146"/>
        <v>07 1 01 00000000</v>
      </c>
    </row>
    <row r="868" spans="1:19" s="16" customFormat="1" ht="31.5">
      <c r="A868" s="14"/>
      <c r="B868" s="125" t="s">
        <v>246</v>
      </c>
      <c r="C868" s="109" t="s">
        <v>510</v>
      </c>
      <c r="D868" s="108" t="s">
        <v>238</v>
      </c>
      <c r="E868" s="108" t="s">
        <v>11</v>
      </c>
      <c r="F868" s="108" t="s">
        <v>247</v>
      </c>
      <c r="G868" s="108" t="s">
        <v>9</v>
      </c>
      <c r="H868" s="126">
        <f>H869+H871</f>
        <v>0</v>
      </c>
      <c r="I868" s="108">
        <v>710120060</v>
      </c>
      <c r="J868" s="108" t="str">
        <f t="shared" si="157"/>
        <v>0710120060</v>
      </c>
      <c r="K868" s="132"/>
      <c r="L868" s="17"/>
      <c r="M868" s="20">
        <v>5644</v>
      </c>
      <c r="N868" s="20">
        <v>5644</v>
      </c>
      <c r="O868" s="20">
        <v>5644</v>
      </c>
      <c r="P868" s="20">
        <f t="shared" si="158"/>
        <v>-5644</v>
      </c>
      <c r="Q868" s="20" t="e">
        <f>#REF!-N868</f>
        <v>#REF!</v>
      </c>
      <c r="R868" s="20" t="e">
        <f>#REF!-O868</f>
        <v>#REF!</v>
      </c>
      <c r="S868" s="17" t="str">
        <f t="shared" si="146"/>
        <v>07 1 01 20060000</v>
      </c>
    </row>
    <row r="869" spans="1:19" s="16" customFormat="1" ht="15.75">
      <c r="A869" s="14"/>
      <c r="B869" s="132" t="s">
        <v>403</v>
      </c>
      <c r="C869" s="109" t="s">
        <v>510</v>
      </c>
      <c r="D869" s="108" t="s">
        <v>238</v>
      </c>
      <c r="E869" s="108" t="s">
        <v>11</v>
      </c>
      <c r="F869" s="108" t="s">
        <v>247</v>
      </c>
      <c r="G869" s="108" t="s">
        <v>404</v>
      </c>
      <c r="H869" s="126">
        <f>H870</f>
        <v>0</v>
      </c>
      <c r="I869" s="108">
        <v>710120060</v>
      </c>
      <c r="J869" s="108" t="str">
        <f t="shared" si="157"/>
        <v>0710120060</v>
      </c>
      <c r="K869" s="132"/>
      <c r="L869" s="17"/>
      <c r="M869" s="20">
        <v>3172.5</v>
      </c>
      <c r="N869" s="20">
        <v>3172.5</v>
      </c>
      <c r="O869" s="20">
        <v>3172.5</v>
      </c>
      <c r="P869" s="20">
        <f t="shared" si="158"/>
        <v>-3172.5</v>
      </c>
      <c r="Q869" s="20" t="e">
        <f>#REF!-N869</f>
        <v>#REF!</v>
      </c>
      <c r="R869" s="20" t="e">
        <f>#REF!-O869</f>
        <v>#REF!</v>
      </c>
      <c r="S869" s="17" t="str">
        <f t="shared" si="146"/>
        <v>07 1 01 20060610</v>
      </c>
    </row>
    <row r="870" spans="1:19" s="23" customFormat="1" ht="63">
      <c r="A870" s="21"/>
      <c r="B870" s="127" t="s">
        <v>405</v>
      </c>
      <c r="C870" s="109" t="s">
        <v>510</v>
      </c>
      <c r="D870" s="108" t="s">
        <v>238</v>
      </c>
      <c r="E870" s="108" t="s">
        <v>11</v>
      </c>
      <c r="F870" s="108" t="s">
        <v>247</v>
      </c>
      <c r="G870" s="108" t="s">
        <v>406</v>
      </c>
      <c r="H870" s="126"/>
      <c r="I870" s="108">
        <v>710120060</v>
      </c>
      <c r="J870" s="108" t="str">
        <f t="shared" si="157"/>
        <v>0710120060</v>
      </c>
      <c r="K870" s="304" t="str">
        <f>C870&amp;D870&amp;E870&amp;J870&amp;G870</f>
        <v>60708010710120060611</v>
      </c>
      <c r="L870" s="24"/>
      <c r="M870" s="22"/>
      <c r="N870" s="22"/>
      <c r="O870" s="22"/>
      <c r="P870" s="22"/>
      <c r="Q870" s="22"/>
      <c r="R870" s="22"/>
      <c r="S870" s="24"/>
    </row>
    <row r="871" spans="1:19" s="16" customFormat="1" ht="15.75">
      <c r="A871" s="14"/>
      <c r="B871" s="132" t="s">
        <v>409</v>
      </c>
      <c r="C871" s="109" t="s">
        <v>510</v>
      </c>
      <c r="D871" s="108" t="s">
        <v>238</v>
      </c>
      <c r="E871" s="108" t="s">
        <v>11</v>
      </c>
      <c r="F871" s="108" t="s">
        <v>247</v>
      </c>
      <c r="G871" s="108" t="s">
        <v>410</v>
      </c>
      <c r="H871" s="126">
        <f>H872</f>
        <v>0</v>
      </c>
      <c r="I871" s="108">
        <v>710120060</v>
      </c>
      <c r="J871" s="108" t="str">
        <f t="shared" si="157"/>
        <v>0710120060</v>
      </c>
      <c r="K871" s="132"/>
      <c r="L871" s="17"/>
      <c r="M871" s="20">
        <v>2471.5</v>
      </c>
      <c r="N871" s="20">
        <v>2471.5</v>
      </c>
      <c r="O871" s="20">
        <v>2471.5</v>
      </c>
      <c r="P871" s="20">
        <f>H871-M871</f>
        <v>-2471.5</v>
      </c>
      <c r="Q871" s="20" t="e">
        <f>#REF!-N871</f>
        <v>#REF!</v>
      </c>
      <c r="R871" s="20" t="e">
        <f>#REF!-O871</f>
        <v>#REF!</v>
      </c>
      <c r="S871" s="17" t="str">
        <f t="shared" si="146"/>
        <v>07 1 01 20060620</v>
      </c>
    </row>
    <row r="872" spans="1:19" s="23" customFormat="1" ht="63">
      <c r="A872" s="21"/>
      <c r="B872" s="127" t="s">
        <v>411</v>
      </c>
      <c r="C872" s="109" t="s">
        <v>510</v>
      </c>
      <c r="D872" s="108" t="s">
        <v>238</v>
      </c>
      <c r="E872" s="108" t="s">
        <v>11</v>
      </c>
      <c r="F872" s="108" t="s">
        <v>247</v>
      </c>
      <c r="G872" s="108" t="s">
        <v>412</v>
      </c>
      <c r="H872" s="126"/>
      <c r="I872" s="108">
        <v>710120060</v>
      </c>
      <c r="J872" s="108" t="str">
        <f t="shared" si="157"/>
        <v>0710120060</v>
      </c>
      <c r="K872" s="304" t="str">
        <f>C872&amp;D872&amp;E872&amp;J872&amp;G872</f>
        <v>60708010710120060621</v>
      </c>
      <c r="L872" s="24"/>
      <c r="M872" s="22"/>
      <c r="N872" s="22"/>
      <c r="O872" s="22"/>
      <c r="P872" s="22"/>
      <c r="Q872" s="22"/>
      <c r="R872" s="22"/>
      <c r="S872" s="24"/>
    </row>
    <row r="873" spans="1:19" s="16" customFormat="1" ht="15.75">
      <c r="A873" s="14"/>
      <c r="B873" s="125" t="s">
        <v>519</v>
      </c>
      <c r="C873" s="109" t="s">
        <v>510</v>
      </c>
      <c r="D873" s="108" t="s">
        <v>238</v>
      </c>
      <c r="E873" s="108" t="s">
        <v>11</v>
      </c>
      <c r="F873" s="108" t="s">
        <v>520</v>
      </c>
      <c r="G873" s="108" t="s">
        <v>9</v>
      </c>
      <c r="H873" s="126">
        <f>H874+H881+H885+H892+H915+H898+H919+H902</f>
        <v>0</v>
      </c>
      <c r="I873" s="108">
        <v>720000000</v>
      </c>
      <c r="J873" s="108" t="str">
        <f t="shared" si="157"/>
        <v>0720000000</v>
      </c>
      <c r="K873" s="132"/>
      <c r="L873" s="17"/>
      <c r="M873" s="20">
        <v>175135.58</v>
      </c>
      <c r="N873" s="20">
        <v>175741.79</v>
      </c>
      <c r="O873" s="20">
        <v>176403.22</v>
      </c>
      <c r="P873" s="20">
        <f>H873-M873</f>
        <v>-175135.58</v>
      </c>
      <c r="Q873" s="20" t="e">
        <f>#REF!-N873</f>
        <v>#REF!</v>
      </c>
      <c r="R873" s="20" t="e">
        <f>#REF!-O873</f>
        <v>#REF!</v>
      </c>
      <c r="S873" s="17" t="str">
        <f t="shared" si="146"/>
        <v>07 2 00 00000000</v>
      </c>
    </row>
    <row r="874" spans="1:19" s="16" customFormat="1" ht="47.25">
      <c r="A874" s="14"/>
      <c r="B874" s="125" t="s">
        <v>570</v>
      </c>
      <c r="C874" s="109" t="s">
        <v>510</v>
      </c>
      <c r="D874" s="108" t="s">
        <v>238</v>
      </c>
      <c r="E874" s="108" t="s">
        <v>11</v>
      </c>
      <c r="F874" s="108" t="s">
        <v>571</v>
      </c>
      <c r="G874" s="108" t="s">
        <v>9</v>
      </c>
      <c r="H874" s="126">
        <f>H875</f>
        <v>0</v>
      </c>
      <c r="I874" s="108">
        <v>720200000</v>
      </c>
      <c r="J874" s="108" t="str">
        <f t="shared" si="157"/>
        <v>0720200000</v>
      </c>
      <c r="K874" s="132"/>
      <c r="L874" s="17"/>
      <c r="M874" s="20">
        <v>61284.66</v>
      </c>
      <c r="N874" s="20">
        <v>61284.66</v>
      </c>
      <c r="O874" s="20">
        <v>61284.66</v>
      </c>
      <c r="P874" s="20">
        <f>H874-M874</f>
        <v>-61284.66</v>
      </c>
      <c r="Q874" s="20" t="e">
        <f>#REF!-N874</f>
        <v>#REF!</v>
      </c>
      <c r="R874" s="20" t="e">
        <f>#REF!-O874</f>
        <v>#REF!</v>
      </c>
      <c r="S874" s="17" t="str">
        <f t="shared" si="146"/>
        <v>07 2 02 00000000</v>
      </c>
    </row>
    <row r="875" spans="1:19" s="16" customFormat="1" ht="31.5">
      <c r="A875" s="14"/>
      <c r="B875" s="125" t="s">
        <v>136</v>
      </c>
      <c r="C875" s="109" t="s">
        <v>510</v>
      </c>
      <c r="D875" s="108" t="s">
        <v>238</v>
      </c>
      <c r="E875" s="108" t="s">
        <v>11</v>
      </c>
      <c r="F875" s="108" t="s">
        <v>572</v>
      </c>
      <c r="G875" s="108" t="s">
        <v>9</v>
      </c>
      <c r="H875" s="126">
        <f>H876+H878</f>
        <v>0</v>
      </c>
      <c r="I875" s="108">
        <v>720211010</v>
      </c>
      <c r="J875" s="108" t="str">
        <f t="shared" si="157"/>
        <v>0720211010</v>
      </c>
      <c r="K875" s="132"/>
      <c r="L875" s="17"/>
      <c r="M875" s="20">
        <v>61284.66</v>
      </c>
      <c r="N875" s="20">
        <v>61284.66</v>
      </c>
      <c r="O875" s="20">
        <v>61284.66</v>
      </c>
      <c r="P875" s="20">
        <f>H875-M875</f>
        <v>-61284.66</v>
      </c>
      <c r="Q875" s="20" t="e">
        <f>#REF!-N875</f>
        <v>#REF!</v>
      </c>
      <c r="R875" s="20" t="e">
        <f>#REF!-O875</f>
        <v>#REF!</v>
      </c>
      <c r="S875" s="17" t="str">
        <f t="shared" si="146"/>
        <v>07 2 02 11010000</v>
      </c>
    </row>
    <row r="876" spans="1:19" s="16" customFormat="1" ht="15.75">
      <c r="A876" s="14"/>
      <c r="B876" s="132" t="s">
        <v>403</v>
      </c>
      <c r="C876" s="109" t="s">
        <v>510</v>
      </c>
      <c r="D876" s="108" t="s">
        <v>238</v>
      </c>
      <c r="E876" s="108" t="s">
        <v>11</v>
      </c>
      <c r="F876" s="108" t="s">
        <v>572</v>
      </c>
      <c r="G876" s="108" t="s">
        <v>404</v>
      </c>
      <c r="H876" s="126">
        <f>H877</f>
        <v>0</v>
      </c>
      <c r="I876" s="108">
        <v>720211010</v>
      </c>
      <c r="J876" s="108" t="str">
        <f t="shared" si="157"/>
        <v>0720211010</v>
      </c>
      <c r="K876" s="132"/>
      <c r="L876" s="17"/>
      <c r="M876" s="20">
        <v>40143.19</v>
      </c>
      <c r="N876" s="20">
        <v>40143.19</v>
      </c>
      <c r="O876" s="20">
        <v>40143.19</v>
      </c>
      <c r="P876" s="20">
        <f>H876-M876</f>
        <v>-40143.19</v>
      </c>
      <c r="Q876" s="20" t="e">
        <f>#REF!-N876</f>
        <v>#REF!</v>
      </c>
      <c r="R876" s="20" t="e">
        <f>#REF!-O876</f>
        <v>#REF!</v>
      </c>
      <c r="S876" s="17" t="str">
        <f t="shared" si="146"/>
        <v>07 2 02 11010610</v>
      </c>
    </row>
    <row r="877" spans="1:19" s="23" customFormat="1" ht="63">
      <c r="A877" s="21"/>
      <c r="B877" s="127" t="s">
        <v>405</v>
      </c>
      <c r="C877" s="109" t="s">
        <v>510</v>
      </c>
      <c r="D877" s="108" t="s">
        <v>238</v>
      </c>
      <c r="E877" s="108" t="s">
        <v>11</v>
      </c>
      <c r="F877" s="108" t="s">
        <v>572</v>
      </c>
      <c r="G877" s="108" t="s">
        <v>406</v>
      </c>
      <c r="H877" s="126"/>
      <c r="I877" s="108">
        <v>720211010</v>
      </c>
      <c r="J877" s="108" t="str">
        <f t="shared" si="157"/>
        <v>0720211010</v>
      </c>
      <c r="K877" s="304" t="str">
        <f>C877&amp;D877&amp;E877&amp;J877&amp;G877</f>
        <v>60708010720211010611</v>
      </c>
      <c r="L877" s="24"/>
      <c r="M877" s="22"/>
      <c r="N877" s="22"/>
      <c r="O877" s="22"/>
      <c r="P877" s="22"/>
      <c r="Q877" s="22"/>
      <c r="R877" s="22"/>
      <c r="S877" s="24"/>
    </row>
    <row r="878" spans="1:19" s="16" customFormat="1" ht="15.75">
      <c r="A878" s="14"/>
      <c r="B878" s="132" t="s">
        <v>409</v>
      </c>
      <c r="C878" s="109" t="s">
        <v>510</v>
      </c>
      <c r="D878" s="108" t="s">
        <v>238</v>
      </c>
      <c r="E878" s="108" t="s">
        <v>11</v>
      </c>
      <c r="F878" s="108" t="s">
        <v>572</v>
      </c>
      <c r="G878" s="108" t="s">
        <v>410</v>
      </c>
      <c r="H878" s="126">
        <f>H879+H880</f>
        <v>0</v>
      </c>
      <c r="I878" s="108">
        <v>720211010</v>
      </c>
      <c r="J878" s="108" t="str">
        <f t="shared" si="157"/>
        <v>0720211010</v>
      </c>
      <c r="K878" s="132"/>
      <c r="L878" s="17"/>
      <c r="M878" s="20">
        <v>21141.47</v>
      </c>
      <c r="N878" s="20">
        <v>21141.47</v>
      </c>
      <c r="O878" s="20">
        <v>21141.47</v>
      </c>
      <c r="P878" s="20">
        <f>H878-M878</f>
        <v>-21141.47</v>
      </c>
      <c r="Q878" s="20" t="e">
        <f>#REF!-N878</f>
        <v>#REF!</v>
      </c>
      <c r="R878" s="20" t="e">
        <f>#REF!-O878</f>
        <v>#REF!</v>
      </c>
      <c r="S878" s="17" t="str">
        <f t="shared" si="146"/>
        <v>07 2 02 11010620</v>
      </c>
    </row>
    <row r="879" spans="1:19" s="23" customFormat="1" ht="63">
      <c r="A879" s="21"/>
      <c r="B879" s="127" t="s">
        <v>411</v>
      </c>
      <c r="C879" s="109" t="s">
        <v>510</v>
      </c>
      <c r="D879" s="108" t="s">
        <v>238</v>
      </c>
      <c r="E879" s="108" t="s">
        <v>11</v>
      </c>
      <c r="F879" s="108" t="s">
        <v>572</v>
      </c>
      <c r="G879" s="108" t="s">
        <v>412</v>
      </c>
      <c r="H879" s="126"/>
      <c r="I879" s="108">
        <v>720211010</v>
      </c>
      <c r="J879" s="108" t="str">
        <f t="shared" si="157"/>
        <v>0720211010</v>
      </c>
      <c r="K879" s="304" t="str">
        <f t="shared" ref="K879:K880" si="160">C879&amp;D879&amp;E879&amp;J879&amp;G879</f>
        <v>60708010720211010621</v>
      </c>
      <c r="L879" s="24"/>
      <c r="M879" s="22"/>
      <c r="N879" s="22"/>
      <c r="O879" s="22"/>
      <c r="P879" s="22"/>
      <c r="Q879" s="22"/>
      <c r="R879" s="22"/>
      <c r="S879" s="24"/>
    </row>
    <row r="880" spans="1:19" s="23" customFormat="1" ht="15.75">
      <c r="A880" s="21"/>
      <c r="B880" s="127" t="s">
        <v>428</v>
      </c>
      <c r="C880" s="109" t="s">
        <v>510</v>
      </c>
      <c r="D880" s="108" t="s">
        <v>238</v>
      </c>
      <c r="E880" s="108" t="s">
        <v>11</v>
      </c>
      <c r="F880" s="108" t="s">
        <v>572</v>
      </c>
      <c r="G880" s="108" t="s">
        <v>429</v>
      </c>
      <c r="H880" s="126"/>
      <c r="I880" s="108">
        <v>720211010</v>
      </c>
      <c r="J880" s="108" t="str">
        <f t="shared" si="157"/>
        <v>0720211010</v>
      </c>
      <c r="K880" s="304" t="str">
        <f t="shared" si="160"/>
        <v>60708010720211010622</v>
      </c>
      <c r="L880" s="24"/>
      <c r="M880" s="22"/>
      <c r="N880" s="22"/>
      <c r="O880" s="22"/>
      <c r="P880" s="22"/>
      <c r="Q880" s="22"/>
      <c r="R880" s="22"/>
      <c r="S880" s="24"/>
    </row>
    <row r="881" spans="1:19" s="16" customFormat="1" ht="47.25">
      <c r="A881" s="14"/>
      <c r="B881" s="125" t="s">
        <v>573</v>
      </c>
      <c r="C881" s="109" t="s">
        <v>510</v>
      </c>
      <c r="D881" s="108" t="s">
        <v>238</v>
      </c>
      <c r="E881" s="108" t="s">
        <v>11</v>
      </c>
      <c r="F881" s="108" t="s">
        <v>574</v>
      </c>
      <c r="G881" s="108" t="s">
        <v>9</v>
      </c>
      <c r="H881" s="126">
        <f>H882</f>
        <v>0</v>
      </c>
      <c r="I881" s="108">
        <v>720300000</v>
      </c>
      <c r="J881" s="108" t="str">
        <f t="shared" si="157"/>
        <v>0720300000</v>
      </c>
      <c r="K881" s="132"/>
      <c r="L881" s="17"/>
      <c r="M881" s="20">
        <v>3557.02</v>
      </c>
      <c r="N881" s="20">
        <v>3557.02</v>
      </c>
      <c r="O881" s="20">
        <v>3557.02</v>
      </c>
      <c r="P881" s="20">
        <f>H881-M881</f>
        <v>-3557.02</v>
      </c>
      <c r="Q881" s="20" t="e">
        <f>#REF!-N881</f>
        <v>#REF!</v>
      </c>
      <c r="R881" s="20" t="e">
        <f>#REF!-O881</f>
        <v>#REF!</v>
      </c>
      <c r="S881" s="17" t="str">
        <f t="shared" si="146"/>
        <v>07 2 03 00000000</v>
      </c>
    </row>
    <row r="882" spans="1:19" s="16" customFormat="1" ht="31.5">
      <c r="A882" s="14"/>
      <c r="B882" s="125" t="s">
        <v>136</v>
      </c>
      <c r="C882" s="109" t="s">
        <v>510</v>
      </c>
      <c r="D882" s="108" t="s">
        <v>238</v>
      </c>
      <c r="E882" s="108" t="s">
        <v>11</v>
      </c>
      <c r="F882" s="108" t="s">
        <v>575</v>
      </c>
      <c r="G882" s="108" t="s">
        <v>9</v>
      </c>
      <c r="H882" s="126">
        <f t="shared" ref="H882" si="161">H883</f>
        <v>0</v>
      </c>
      <c r="I882" s="108">
        <v>720311010</v>
      </c>
      <c r="J882" s="108" t="str">
        <f t="shared" si="157"/>
        <v>0720311010</v>
      </c>
      <c r="K882" s="132"/>
      <c r="L882" s="17"/>
      <c r="M882" s="20">
        <v>3557.02</v>
      </c>
      <c r="N882" s="20">
        <v>3557.02</v>
      </c>
      <c r="O882" s="20">
        <v>3557.02</v>
      </c>
      <c r="P882" s="20">
        <f>H882-M882</f>
        <v>-3557.02</v>
      </c>
      <c r="Q882" s="20" t="e">
        <f>#REF!-N882</f>
        <v>#REF!</v>
      </c>
      <c r="R882" s="20" t="e">
        <f>#REF!-O882</f>
        <v>#REF!</v>
      </c>
      <c r="S882" s="17" t="str">
        <f t="shared" si="146"/>
        <v>07 2 03 11010000</v>
      </c>
    </row>
    <row r="883" spans="1:19" s="16" customFormat="1" ht="15.75">
      <c r="A883" s="14"/>
      <c r="B883" s="132" t="s">
        <v>403</v>
      </c>
      <c r="C883" s="109" t="s">
        <v>510</v>
      </c>
      <c r="D883" s="108" t="s">
        <v>238</v>
      </c>
      <c r="E883" s="108" t="s">
        <v>11</v>
      </c>
      <c r="F883" s="108" t="s">
        <v>575</v>
      </c>
      <c r="G883" s="108" t="s">
        <v>404</v>
      </c>
      <c r="H883" s="126">
        <f>H884</f>
        <v>0</v>
      </c>
      <c r="I883" s="108">
        <v>720311010</v>
      </c>
      <c r="J883" s="108" t="str">
        <f t="shared" si="157"/>
        <v>0720311010</v>
      </c>
      <c r="K883" s="132"/>
      <c r="L883" s="17"/>
      <c r="M883" s="20">
        <v>3557.02</v>
      </c>
      <c r="N883" s="20">
        <v>3557.02</v>
      </c>
      <c r="O883" s="20">
        <v>3557.02</v>
      </c>
      <c r="P883" s="20">
        <f>H883-M883</f>
        <v>-3557.02</v>
      </c>
      <c r="Q883" s="20" t="e">
        <f>#REF!-N883</f>
        <v>#REF!</v>
      </c>
      <c r="R883" s="20" t="e">
        <f>#REF!-O883</f>
        <v>#REF!</v>
      </c>
      <c r="S883" s="17" t="str">
        <f t="shared" si="146"/>
        <v>07 2 03 11010610</v>
      </c>
    </row>
    <row r="884" spans="1:19" s="23" customFormat="1" ht="63">
      <c r="A884" s="21"/>
      <c r="B884" s="127" t="s">
        <v>405</v>
      </c>
      <c r="C884" s="109" t="s">
        <v>510</v>
      </c>
      <c r="D884" s="108" t="s">
        <v>238</v>
      </c>
      <c r="E884" s="108" t="s">
        <v>11</v>
      </c>
      <c r="F884" s="108" t="s">
        <v>575</v>
      </c>
      <c r="G884" s="108" t="s">
        <v>406</v>
      </c>
      <c r="H884" s="126"/>
      <c r="I884" s="108">
        <v>720311010</v>
      </c>
      <c r="J884" s="108" t="str">
        <f t="shared" si="157"/>
        <v>0720311010</v>
      </c>
      <c r="K884" s="304" t="str">
        <f>C884&amp;D884&amp;E884&amp;J884&amp;G884</f>
        <v>60708010720311010611</v>
      </c>
      <c r="L884" s="24"/>
      <c r="M884" s="22"/>
      <c r="N884" s="22"/>
      <c r="O884" s="22"/>
      <c r="P884" s="22"/>
      <c r="Q884" s="22"/>
      <c r="R884" s="22"/>
      <c r="S884" s="24"/>
    </row>
    <row r="885" spans="1:19" s="16" customFormat="1" ht="47.25">
      <c r="A885" s="14"/>
      <c r="B885" s="125" t="s">
        <v>576</v>
      </c>
      <c r="C885" s="109" t="s">
        <v>510</v>
      </c>
      <c r="D885" s="108" t="s">
        <v>238</v>
      </c>
      <c r="E885" s="108" t="s">
        <v>11</v>
      </c>
      <c r="F885" s="108" t="s">
        <v>577</v>
      </c>
      <c r="G885" s="108" t="s">
        <v>9</v>
      </c>
      <c r="H885" s="126">
        <f>H886+H889</f>
        <v>0</v>
      </c>
      <c r="I885" s="108">
        <v>720400000</v>
      </c>
      <c r="J885" s="108" t="str">
        <f t="shared" si="157"/>
        <v>0720400000</v>
      </c>
      <c r="K885" s="132"/>
      <c r="L885" s="17"/>
      <c r="M885" s="20">
        <v>50161.369999999995</v>
      </c>
      <c r="N885" s="20">
        <v>50816.57</v>
      </c>
      <c r="O885" s="20">
        <v>50816.57</v>
      </c>
      <c r="P885" s="20">
        <f>H885-M885</f>
        <v>-50161.369999999995</v>
      </c>
      <c r="Q885" s="20" t="e">
        <f>#REF!-N885</f>
        <v>#REF!</v>
      </c>
      <c r="R885" s="20" t="e">
        <f>#REF!-O885</f>
        <v>#REF!</v>
      </c>
      <c r="S885" s="17" t="str">
        <f t="shared" si="146"/>
        <v>07 2 04 00000000</v>
      </c>
    </row>
    <row r="886" spans="1:19" s="16" customFormat="1" ht="31.5">
      <c r="A886" s="14"/>
      <c r="B886" s="125" t="s">
        <v>136</v>
      </c>
      <c r="C886" s="109" t="s">
        <v>510</v>
      </c>
      <c r="D886" s="108" t="s">
        <v>238</v>
      </c>
      <c r="E886" s="108" t="s">
        <v>11</v>
      </c>
      <c r="F886" s="108" t="s">
        <v>578</v>
      </c>
      <c r="G886" s="108" t="s">
        <v>9</v>
      </c>
      <c r="H886" s="126">
        <f>H887</f>
        <v>0</v>
      </c>
      <c r="I886" s="108">
        <v>720411010</v>
      </c>
      <c r="J886" s="108" t="str">
        <f t="shared" si="157"/>
        <v>0720411010</v>
      </c>
      <c r="K886" s="132"/>
      <c r="L886" s="17"/>
      <c r="M886" s="20">
        <v>49039.27</v>
      </c>
      <c r="N886" s="20">
        <v>49039.27</v>
      </c>
      <c r="O886" s="20">
        <v>49039.27</v>
      </c>
      <c r="P886" s="20">
        <f>H886-M886</f>
        <v>-49039.27</v>
      </c>
      <c r="Q886" s="20" t="e">
        <f>#REF!-N886</f>
        <v>#REF!</v>
      </c>
      <c r="R886" s="20" t="e">
        <f>#REF!-O886</f>
        <v>#REF!</v>
      </c>
      <c r="S886" s="17" t="str">
        <f t="shared" si="146"/>
        <v>07 2 04 11010000</v>
      </c>
    </row>
    <row r="887" spans="1:19" s="16" customFormat="1" ht="15.75">
      <c r="A887" s="14"/>
      <c r="B887" s="132" t="s">
        <v>403</v>
      </c>
      <c r="C887" s="109" t="s">
        <v>510</v>
      </c>
      <c r="D887" s="108" t="s">
        <v>238</v>
      </c>
      <c r="E887" s="108" t="s">
        <v>11</v>
      </c>
      <c r="F887" s="108" t="s">
        <v>578</v>
      </c>
      <c r="G887" s="108" t="s">
        <v>404</v>
      </c>
      <c r="H887" s="126">
        <f>H888</f>
        <v>0</v>
      </c>
      <c r="I887" s="108">
        <v>720411010</v>
      </c>
      <c r="J887" s="108" t="str">
        <f t="shared" si="157"/>
        <v>0720411010</v>
      </c>
      <c r="K887" s="132"/>
      <c r="L887" s="17"/>
      <c r="M887" s="20">
        <v>49039.27</v>
      </c>
      <c r="N887" s="20">
        <v>49039.27</v>
      </c>
      <c r="O887" s="20">
        <v>49039.27</v>
      </c>
      <c r="P887" s="20">
        <f>H887-M887</f>
        <v>-49039.27</v>
      </c>
      <c r="Q887" s="20" t="e">
        <f>#REF!-N887</f>
        <v>#REF!</v>
      </c>
      <c r="R887" s="20" t="e">
        <f>#REF!-O887</f>
        <v>#REF!</v>
      </c>
      <c r="S887" s="17" t="str">
        <f t="shared" si="146"/>
        <v>07 2 04 11010610</v>
      </c>
    </row>
    <row r="888" spans="1:19" s="23" customFormat="1" ht="63">
      <c r="A888" s="21"/>
      <c r="B888" s="127" t="s">
        <v>405</v>
      </c>
      <c r="C888" s="109" t="s">
        <v>510</v>
      </c>
      <c r="D888" s="108" t="s">
        <v>238</v>
      </c>
      <c r="E888" s="108" t="s">
        <v>11</v>
      </c>
      <c r="F888" s="108" t="s">
        <v>578</v>
      </c>
      <c r="G888" s="108" t="s">
        <v>406</v>
      </c>
      <c r="H888" s="126"/>
      <c r="I888" s="108">
        <v>720411010</v>
      </c>
      <c r="J888" s="108" t="str">
        <f t="shared" si="157"/>
        <v>0720411010</v>
      </c>
      <c r="K888" s="304" t="str">
        <f>C888&amp;D888&amp;E888&amp;J888&amp;G888</f>
        <v>60708010720411010611</v>
      </c>
      <c r="L888" s="24"/>
      <c r="M888" s="22"/>
      <c r="N888" s="22"/>
      <c r="O888" s="22"/>
      <c r="P888" s="22"/>
      <c r="Q888" s="22"/>
      <c r="R888" s="22"/>
      <c r="S888" s="24"/>
    </row>
    <row r="889" spans="1:19" s="16" customFormat="1" ht="47.25">
      <c r="A889" s="14"/>
      <c r="B889" s="132" t="s">
        <v>579</v>
      </c>
      <c r="C889" s="109" t="s">
        <v>510</v>
      </c>
      <c r="D889" s="108" t="s">
        <v>238</v>
      </c>
      <c r="E889" s="108" t="s">
        <v>11</v>
      </c>
      <c r="F889" s="108" t="s">
        <v>580</v>
      </c>
      <c r="G889" s="108" t="s">
        <v>9</v>
      </c>
      <c r="H889" s="126">
        <f>H890</f>
        <v>0</v>
      </c>
      <c r="I889" s="108" t="s">
        <v>1221</v>
      </c>
      <c r="J889" s="108" t="str">
        <f t="shared" si="157"/>
        <v>07204L5194</v>
      </c>
      <c r="K889" s="132"/>
      <c r="L889" s="17"/>
      <c r="M889" s="20">
        <v>1122.0999999999999</v>
      </c>
      <c r="N889" s="20">
        <v>1777.3</v>
      </c>
      <c r="O889" s="20">
        <v>1777.3</v>
      </c>
      <c r="P889" s="20">
        <f>H889-M889</f>
        <v>-1122.0999999999999</v>
      </c>
      <c r="Q889" s="20" t="e">
        <f>#REF!-N889</f>
        <v>#REF!</v>
      </c>
      <c r="R889" s="20" t="e">
        <f>#REF!-O889</f>
        <v>#REF!</v>
      </c>
      <c r="S889" s="17" t="str">
        <f t="shared" si="146"/>
        <v>07 2 04 L5194000</v>
      </c>
    </row>
    <row r="890" spans="1:19" s="16" customFormat="1" ht="15.75">
      <c r="A890" s="14"/>
      <c r="B890" s="132" t="s">
        <v>403</v>
      </c>
      <c r="C890" s="109" t="s">
        <v>510</v>
      </c>
      <c r="D890" s="108" t="s">
        <v>238</v>
      </c>
      <c r="E890" s="108" t="s">
        <v>11</v>
      </c>
      <c r="F890" s="108" t="s">
        <v>580</v>
      </c>
      <c r="G890" s="108" t="s">
        <v>404</v>
      </c>
      <c r="H890" s="126">
        <f>H891</f>
        <v>0</v>
      </c>
      <c r="I890" s="108" t="s">
        <v>1221</v>
      </c>
      <c r="J890" s="108" t="str">
        <f t="shared" si="157"/>
        <v>07204L5194</v>
      </c>
      <c r="K890" s="132"/>
      <c r="L890" s="17"/>
      <c r="M890" s="20">
        <v>1122.0999999999999</v>
      </c>
      <c r="N890" s="20">
        <v>1777.3</v>
      </c>
      <c r="O890" s="20">
        <v>1777.3</v>
      </c>
      <c r="P890" s="20">
        <f>H890-M890</f>
        <v>-1122.0999999999999</v>
      </c>
      <c r="Q890" s="20" t="e">
        <f>#REF!-N890</f>
        <v>#REF!</v>
      </c>
      <c r="R890" s="20" t="e">
        <f>#REF!-O890</f>
        <v>#REF!</v>
      </c>
      <c r="S890" s="17" t="str">
        <f t="shared" si="146"/>
        <v>07 2 04 L5194610</v>
      </c>
    </row>
    <row r="891" spans="1:19" s="16" customFormat="1" ht="63">
      <c r="A891" s="14"/>
      <c r="B891" s="127" t="s">
        <v>405</v>
      </c>
      <c r="C891" s="109" t="s">
        <v>510</v>
      </c>
      <c r="D891" s="108" t="s">
        <v>238</v>
      </c>
      <c r="E891" s="108" t="s">
        <v>11</v>
      </c>
      <c r="F891" s="108" t="s">
        <v>580</v>
      </c>
      <c r="G891" s="108" t="s">
        <v>406</v>
      </c>
      <c r="H891" s="126"/>
      <c r="I891" s="108" t="s">
        <v>1221</v>
      </c>
      <c r="J891" s="108" t="str">
        <f t="shared" si="157"/>
        <v>07204L5194</v>
      </c>
      <c r="K891" s="304" t="str">
        <f>C891&amp;D891&amp;E891&amp;J891&amp;G891</f>
        <v>607080107204L5194611</v>
      </c>
      <c r="L891" s="17"/>
      <c r="M891" s="20"/>
      <c r="N891" s="20"/>
      <c r="O891" s="20"/>
      <c r="P891" s="20"/>
      <c r="Q891" s="20"/>
      <c r="R891" s="20"/>
      <c r="S891" s="17"/>
    </row>
    <row r="892" spans="1:19" s="16" customFormat="1" ht="47.25">
      <c r="A892" s="14"/>
      <c r="B892" s="125" t="s">
        <v>581</v>
      </c>
      <c r="C892" s="109" t="s">
        <v>510</v>
      </c>
      <c r="D892" s="108" t="s">
        <v>238</v>
      </c>
      <c r="E892" s="108" t="s">
        <v>11</v>
      </c>
      <c r="F892" s="108" t="s">
        <v>582</v>
      </c>
      <c r="G892" s="108" t="s">
        <v>9</v>
      </c>
      <c r="H892" s="126">
        <f>H893</f>
        <v>0</v>
      </c>
      <c r="I892" s="108">
        <v>720500000</v>
      </c>
      <c r="J892" s="108" t="str">
        <f t="shared" si="157"/>
        <v>0720500000</v>
      </c>
      <c r="K892" s="132"/>
      <c r="L892" s="17"/>
      <c r="M892" s="20">
        <v>57181.409999999996</v>
      </c>
      <c r="N892" s="20">
        <v>57181.409999999996</v>
      </c>
      <c r="O892" s="20">
        <v>57181.409999999996</v>
      </c>
      <c r="P892" s="20">
        <f>H892-M892</f>
        <v>-57181.409999999996</v>
      </c>
      <c r="Q892" s="20" t="e">
        <f>#REF!-N892</f>
        <v>#REF!</v>
      </c>
      <c r="R892" s="20" t="e">
        <f>#REF!-O892</f>
        <v>#REF!</v>
      </c>
      <c r="S892" s="17" t="str">
        <f t="shared" si="146"/>
        <v>07 2 05 00000000</v>
      </c>
    </row>
    <row r="893" spans="1:19" s="16" customFormat="1" ht="31.5">
      <c r="A893" s="14"/>
      <c r="B893" s="125" t="s">
        <v>136</v>
      </c>
      <c r="C893" s="109" t="s">
        <v>510</v>
      </c>
      <c r="D893" s="108" t="s">
        <v>238</v>
      </c>
      <c r="E893" s="108" t="s">
        <v>11</v>
      </c>
      <c r="F893" s="108" t="s">
        <v>583</v>
      </c>
      <c r="G893" s="108" t="s">
        <v>9</v>
      </c>
      <c r="H893" s="126">
        <f>H894+H896</f>
        <v>0</v>
      </c>
      <c r="I893" s="108">
        <v>720511010</v>
      </c>
      <c r="J893" s="108" t="str">
        <f t="shared" si="157"/>
        <v>0720511010</v>
      </c>
      <c r="K893" s="132"/>
      <c r="L893" s="17"/>
      <c r="M893" s="20">
        <v>57181.409999999996</v>
      </c>
      <c r="N893" s="20">
        <v>57181.409999999996</v>
      </c>
      <c r="O893" s="20">
        <v>57181.409999999996</v>
      </c>
      <c r="P893" s="20">
        <f>H893-M893</f>
        <v>-57181.409999999996</v>
      </c>
      <c r="Q893" s="20" t="e">
        <f>#REF!-N893</f>
        <v>#REF!</v>
      </c>
      <c r="R893" s="20" t="e">
        <f>#REF!-O893</f>
        <v>#REF!</v>
      </c>
      <c r="S893" s="17" t="str">
        <f t="shared" si="146"/>
        <v>07 2 05 11010000</v>
      </c>
    </row>
    <row r="894" spans="1:19" s="16" customFormat="1" ht="15.75">
      <c r="A894" s="14"/>
      <c r="B894" s="132" t="s">
        <v>403</v>
      </c>
      <c r="C894" s="109" t="s">
        <v>510</v>
      </c>
      <c r="D894" s="108" t="s">
        <v>238</v>
      </c>
      <c r="E894" s="108" t="s">
        <v>11</v>
      </c>
      <c r="F894" s="108" t="s">
        <v>583</v>
      </c>
      <c r="G894" s="108" t="s">
        <v>404</v>
      </c>
      <c r="H894" s="126">
        <f>H895</f>
        <v>0</v>
      </c>
      <c r="I894" s="108">
        <v>720511010</v>
      </c>
      <c r="J894" s="108" t="str">
        <f t="shared" si="157"/>
        <v>0720511010</v>
      </c>
      <c r="K894" s="132"/>
      <c r="L894" s="17"/>
      <c r="M894" s="20">
        <v>46565.7</v>
      </c>
      <c r="N894" s="20">
        <v>46565.7</v>
      </c>
      <c r="O894" s="20">
        <v>46565.7</v>
      </c>
      <c r="P894" s="20">
        <f>H894-M894</f>
        <v>-46565.7</v>
      </c>
      <c r="Q894" s="20" t="e">
        <f>#REF!-N894</f>
        <v>#REF!</v>
      </c>
      <c r="R894" s="20" t="e">
        <f>#REF!-O894</f>
        <v>#REF!</v>
      </c>
      <c r="S894" s="17" t="str">
        <f t="shared" si="146"/>
        <v>07 2 05 11010610</v>
      </c>
    </row>
    <row r="895" spans="1:19" s="23" customFormat="1" ht="63">
      <c r="A895" s="21"/>
      <c r="B895" s="127" t="s">
        <v>405</v>
      </c>
      <c r="C895" s="109" t="s">
        <v>510</v>
      </c>
      <c r="D895" s="108" t="s">
        <v>238</v>
      </c>
      <c r="E895" s="108" t="s">
        <v>11</v>
      </c>
      <c r="F895" s="108" t="s">
        <v>583</v>
      </c>
      <c r="G895" s="108" t="s">
        <v>406</v>
      </c>
      <c r="H895" s="126"/>
      <c r="I895" s="108">
        <v>720511010</v>
      </c>
      <c r="J895" s="108" t="str">
        <f t="shared" si="157"/>
        <v>0720511010</v>
      </c>
      <c r="K895" s="304" t="str">
        <f>C895&amp;D895&amp;E895&amp;J895&amp;G895</f>
        <v>60708010720511010611</v>
      </c>
      <c r="L895" s="24"/>
      <c r="M895" s="22"/>
      <c r="N895" s="22"/>
      <c r="O895" s="22"/>
      <c r="P895" s="22"/>
      <c r="Q895" s="22"/>
      <c r="R895" s="22"/>
      <c r="S895" s="24"/>
    </row>
    <row r="896" spans="1:19" s="16" customFormat="1" ht="15.75">
      <c r="A896" s="14"/>
      <c r="B896" s="132" t="s">
        <v>409</v>
      </c>
      <c r="C896" s="109" t="s">
        <v>510</v>
      </c>
      <c r="D896" s="108" t="s">
        <v>238</v>
      </c>
      <c r="E896" s="108" t="s">
        <v>11</v>
      </c>
      <c r="F896" s="108" t="s">
        <v>583</v>
      </c>
      <c r="G896" s="108" t="s">
        <v>410</v>
      </c>
      <c r="H896" s="126">
        <f>H897</f>
        <v>0</v>
      </c>
      <c r="I896" s="108">
        <v>720511010</v>
      </c>
      <c r="J896" s="108" t="str">
        <f t="shared" si="157"/>
        <v>0720511010</v>
      </c>
      <c r="K896" s="132"/>
      <c r="L896" s="17"/>
      <c r="M896" s="20">
        <v>10615.71</v>
      </c>
      <c r="N896" s="20">
        <v>10615.71</v>
      </c>
      <c r="O896" s="20">
        <v>10615.71</v>
      </c>
      <c r="P896" s="20">
        <f>H896-M896</f>
        <v>-10615.71</v>
      </c>
      <c r="Q896" s="20" t="e">
        <f>#REF!-N896</f>
        <v>#REF!</v>
      </c>
      <c r="R896" s="20" t="e">
        <f>#REF!-O896</f>
        <v>#REF!</v>
      </c>
      <c r="S896" s="17" t="str">
        <f t="shared" si="146"/>
        <v>07 2 05 11010620</v>
      </c>
    </row>
    <row r="897" spans="1:19" s="23" customFormat="1" ht="63">
      <c r="A897" s="21"/>
      <c r="B897" s="127" t="s">
        <v>411</v>
      </c>
      <c r="C897" s="109" t="s">
        <v>510</v>
      </c>
      <c r="D897" s="108" t="s">
        <v>238</v>
      </c>
      <c r="E897" s="108" t="s">
        <v>11</v>
      </c>
      <c r="F897" s="108" t="s">
        <v>583</v>
      </c>
      <c r="G897" s="108" t="s">
        <v>412</v>
      </c>
      <c r="H897" s="126"/>
      <c r="I897" s="108">
        <v>720511010</v>
      </c>
      <c r="J897" s="108" t="str">
        <f t="shared" si="157"/>
        <v>0720511010</v>
      </c>
      <c r="K897" s="304" t="str">
        <f>C897&amp;D897&amp;E897&amp;J897&amp;G897</f>
        <v>60708010720511010621</v>
      </c>
      <c r="L897" s="24"/>
      <c r="M897" s="22"/>
      <c r="N897" s="22"/>
      <c r="O897" s="22"/>
      <c r="P897" s="22"/>
      <c r="Q897" s="22"/>
      <c r="R897" s="22"/>
      <c r="S897" s="24"/>
    </row>
    <row r="898" spans="1:19" s="16" customFormat="1" ht="63">
      <c r="A898" s="14"/>
      <c r="B898" s="125" t="s">
        <v>524</v>
      </c>
      <c r="C898" s="109" t="s">
        <v>510</v>
      </c>
      <c r="D898" s="108" t="s">
        <v>238</v>
      </c>
      <c r="E898" s="108" t="s">
        <v>11</v>
      </c>
      <c r="F898" s="108" t="s">
        <v>525</v>
      </c>
      <c r="G898" s="108" t="s">
        <v>9</v>
      </c>
      <c r="H898" s="126">
        <f t="shared" ref="H898:H899" si="162">H899</f>
        <v>0</v>
      </c>
      <c r="I898" s="108">
        <v>720600000</v>
      </c>
      <c r="J898" s="108" t="str">
        <f t="shared" si="157"/>
        <v>0720600000</v>
      </c>
      <c r="K898" s="132"/>
      <c r="L898" s="17"/>
      <c r="M898" s="20">
        <v>1034.08</v>
      </c>
      <c r="N898" s="20">
        <v>1934.53</v>
      </c>
      <c r="O898" s="20">
        <v>2595.96</v>
      </c>
      <c r="P898" s="20">
        <f>H898-M898</f>
        <v>-1034.08</v>
      </c>
      <c r="Q898" s="20" t="e">
        <f>#REF!-N898</f>
        <v>#REF!</v>
      </c>
      <c r="R898" s="20" t="e">
        <f>#REF!-O898</f>
        <v>#REF!</v>
      </c>
      <c r="S898" s="17" t="str">
        <f t="shared" si="146"/>
        <v>07 2 06 00000000</v>
      </c>
    </row>
    <row r="899" spans="1:19" s="16" customFormat="1" ht="47.25">
      <c r="A899" s="14"/>
      <c r="B899" s="125" t="s">
        <v>526</v>
      </c>
      <c r="C899" s="109" t="s">
        <v>510</v>
      </c>
      <c r="D899" s="108" t="s">
        <v>238</v>
      </c>
      <c r="E899" s="108" t="s">
        <v>11</v>
      </c>
      <c r="F899" s="108" t="s">
        <v>527</v>
      </c>
      <c r="G899" s="108" t="s">
        <v>9</v>
      </c>
      <c r="H899" s="126">
        <f t="shared" si="162"/>
        <v>0</v>
      </c>
      <c r="I899" s="108">
        <v>720620400</v>
      </c>
      <c r="J899" s="108" t="str">
        <f t="shared" si="157"/>
        <v>0720620400</v>
      </c>
      <c r="K899" s="132"/>
      <c r="L899" s="17"/>
      <c r="M899" s="20">
        <v>1034.08</v>
      </c>
      <c r="N899" s="20">
        <v>1934.53</v>
      </c>
      <c r="O899" s="20">
        <v>2595.96</v>
      </c>
      <c r="P899" s="20">
        <f>H899-M899</f>
        <v>-1034.08</v>
      </c>
      <c r="Q899" s="20" t="e">
        <f>#REF!-N899</f>
        <v>#REF!</v>
      </c>
      <c r="R899" s="20" t="e">
        <f>#REF!-O899</f>
        <v>#REF!</v>
      </c>
      <c r="S899" s="17" t="str">
        <f t="shared" si="146"/>
        <v>07 2 06 20400000</v>
      </c>
    </row>
    <row r="900" spans="1:19" s="16" customFormat="1" ht="15.75">
      <c r="A900" s="14"/>
      <c r="B900" s="132" t="s">
        <v>403</v>
      </c>
      <c r="C900" s="109" t="s">
        <v>510</v>
      </c>
      <c r="D900" s="108" t="s">
        <v>238</v>
      </c>
      <c r="E900" s="108" t="s">
        <v>11</v>
      </c>
      <c r="F900" s="108" t="s">
        <v>527</v>
      </c>
      <c r="G900" s="108" t="s">
        <v>404</v>
      </c>
      <c r="H900" s="126">
        <f>H901</f>
        <v>0</v>
      </c>
      <c r="I900" s="108">
        <v>720620400</v>
      </c>
      <c r="J900" s="108" t="str">
        <f t="shared" si="157"/>
        <v>0720620400</v>
      </c>
      <c r="K900" s="132"/>
      <c r="L900" s="17"/>
      <c r="M900" s="20">
        <v>1034.08</v>
      </c>
      <c r="N900" s="20">
        <v>1934.53</v>
      </c>
      <c r="O900" s="20">
        <v>2595.96</v>
      </c>
      <c r="P900" s="20">
        <f>H900-M900</f>
        <v>-1034.08</v>
      </c>
      <c r="Q900" s="20" t="e">
        <f>#REF!-N900</f>
        <v>#REF!</v>
      </c>
      <c r="R900" s="20" t="e">
        <f>#REF!-O900</f>
        <v>#REF!</v>
      </c>
      <c r="S900" s="17" t="str">
        <f t="shared" si="146"/>
        <v>07 2 06 20400610</v>
      </c>
    </row>
    <row r="901" spans="1:19" s="23" customFormat="1" ht="15.75">
      <c r="A901" s="21"/>
      <c r="B901" s="127" t="s">
        <v>407</v>
      </c>
      <c r="C901" s="109" t="s">
        <v>510</v>
      </c>
      <c r="D901" s="108" t="s">
        <v>238</v>
      </c>
      <c r="E901" s="108" t="s">
        <v>11</v>
      </c>
      <c r="F901" s="108" t="s">
        <v>527</v>
      </c>
      <c r="G901" s="108" t="s">
        <v>408</v>
      </c>
      <c r="H901" s="126"/>
      <c r="I901" s="108">
        <v>720620400</v>
      </c>
      <c r="J901" s="108" t="str">
        <f t="shared" si="157"/>
        <v>0720620400</v>
      </c>
      <c r="K901" s="304" t="str">
        <f>C901&amp;D901&amp;E901&amp;J901&amp;G901</f>
        <v>60708010720620400612</v>
      </c>
      <c r="L901" s="24"/>
      <c r="M901" s="22"/>
      <c r="N901" s="22"/>
      <c r="O901" s="22"/>
      <c r="P901" s="22"/>
      <c r="Q901" s="22"/>
      <c r="R901" s="22"/>
      <c r="S901" s="24"/>
    </row>
    <row r="902" spans="1:19" s="23" customFormat="1" ht="78.75">
      <c r="A902" s="21"/>
      <c r="B902" s="125" t="s">
        <v>1052</v>
      </c>
      <c r="C902" s="109" t="s">
        <v>510</v>
      </c>
      <c r="D902" s="108" t="s">
        <v>238</v>
      </c>
      <c r="E902" s="108" t="s">
        <v>11</v>
      </c>
      <c r="F902" s="108" t="s">
        <v>1053</v>
      </c>
      <c r="G902" s="108" t="s">
        <v>9</v>
      </c>
      <c r="H902" s="126">
        <f>H903+H909</f>
        <v>0</v>
      </c>
      <c r="I902" s="108">
        <v>720700000</v>
      </c>
      <c r="J902" s="108" t="str">
        <f t="shared" si="157"/>
        <v>0720700000</v>
      </c>
      <c r="K902" s="132"/>
      <c r="L902" s="17"/>
      <c r="M902" s="22"/>
      <c r="N902" s="22"/>
      <c r="O902" s="22"/>
      <c r="P902" s="22"/>
      <c r="Q902" s="22"/>
      <c r="R902" s="22"/>
      <c r="S902" s="24"/>
    </row>
    <row r="903" spans="1:19" s="23" customFormat="1" ht="47.25">
      <c r="A903" s="21"/>
      <c r="B903" s="125" t="s">
        <v>1043</v>
      </c>
      <c r="C903" s="109" t="s">
        <v>510</v>
      </c>
      <c r="D903" s="108" t="s">
        <v>238</v>
      </c>
      <c r="E903" s="108" t="s">
        <v>11</v>
      </c>
      <c r="F903" s="108" t="s">
        <v>1044</v>
      </c>
      <c r="G903" s="108" t="s">
        <v>9</v>
      </c>
      <c r="H903" s="126">
        <f>H907</f>
        <v>0</v>
      </c>
      <c r="I903" s="108" t="s">
        <v>1222</v>
      </c>
      <c r="J903" s="108" t="str">
        <f t="shared" si="157"/>
        <v>07207G6420</v>
      </c>
      <c r="K903" s="132"/>
      <c r="L903" s="17"/>
      <c r="M903" s="22"/>
      <c r="N903" s="22"/>
      <c r="O903" s="22"/>
      <c r="P903" s="22"/>
      <c r="Q903" s="22"/>
      <c r="R903" s="22"/>
      <c r="S903" s="24"/>
    </row>
    <row r="904" spans="1:19" s="23" customFormat="1" ht="15.75">
      <c r="A904" s="21"/>
      <c r="B904" s="132" t="s">
        <v>1045</v>
      </c>
      <c r="C904" s="109"/>
      <c r="D904" s="108"/>
      <c r="E904" s="108"/>
      <c r="F904" s="108"/>
      <c r="G904" s="108"/>
      <c r="H904" s="126"/>
      <c r="I904" s="108"/>
      <c r="J904" s="108" t="str">
        <f t="shared" si="157"/>
        <v>0000000000</v>
      </c>
      <c r="K904" s="24"/>
      <c r="L904" s="24"/>
      <c r="M904" s="22"/>
      <c r="N904" s="22"/>
      <c r="O904" s="22"/>
      <c r="P904" s="22"/>
      <c r="Q904" s="22"/>
      <c r="R904" s="22"/>
      <c r="S904" s="24"/>
    </row>
    <row r="905" spans="1:19" s="23" customFormat="1" ht="15.75">
      <c r="A905" s="21"/>
      <c r="B905" s="125" t="s">
        <v>1046</v>
      </c>
      <c r="C905" s="109" t="s">
        <v>510</v>
      </c>
      <c r="D905" s="108" t="s">
        <v>238</v>
      </c>
      <c r="E905" s="108" t="s">
        <v>11</v>
      </c>
      <c r="F905" s="108" t="s">
        <v>1044</v>
      </c>
      <c r="G905" s="108" t="s">
        <v>9</v>
      </c>
      <c r="H905" s="126">
        <v>301000</v>
      </c>
      <c r="I905" s="108" t="s">
        <v>1222</v>
      </c>
      <c r="J905" s="108" t="str">
        <f t="shared" si="157"/>
        <v>07207G6420</v>
      </c>
      <c r="K905" s="132"/>
      <c r="L905" s="17"/>
      <c r="M905" s="22"/>
      <c r="N905" s="22"/>
      <c r="O905" s="22"/>
      <c r="P905" s="22"/>
      <c r="Q905" s="22"/>
      <c r="R905" s="22"/>
      <c r="S905" s="24"/>
    </row>
    <row r="906" spans="1:19" s="23" customFormat="1" ht="15.75">
      <c r="A906" s="21"/>
      <c r="B906" s="125" t="s">
        <v>1047</v>
      </c>
      <c r="C906" s="109" t="s">
        <v>510</v>
      </c>
      <c r="D906" s="108" t="s">
        <v>238</v>
      </c>
      <c r="E906" s="108" t="s">
        <v>11</v>
      </c>
      <c r="F906" s="108" t="s">
        <v>1044</v>
      </c>
      <c r="G906" s="108" t="s">
        <v>9</v>
      </c>
      <c r="H906" s="126">
        <v>1220000</v>
      </c>
      <c r="I906" s="108" t="s">
        <v>1222</v>
      </c>
      <c r="J906" s="108" t="str">
        <f t="shared" si="157"/>
        <v>07207G6420</v>
      </c>
      <c r="K906" s="132"/>
      <c r="L906" s="17"/>
      <c r="M906" s="22"/>
      <c r="N906" s="22"/>
      <c r="O906" s="22"/>
      <c r="P906" s="22"/>
      <c r="Q906" s="22"/>
      <c r="R906" s="22"/>
      <c r="S906" s="24"/>
    </row>
    <row r="907" spans="1:19" s="23" customFormat="1" ht="15.75">
      <c r="A907" s="21"/>
      <c r="B907" s="132" t="s">
        <v>409</v>
      </c>
      <c r="C907" s="109" t="s">
        <v>510</v>
      </c>
      <c r="D907" s="108" t="s">
        <v>238</v>
      </c>
      <c r="E907" s="108" t="s">
        <v>11</v>
      </c>
      <c r="F907" s="108" t="s">
        <v>1044</v>
      </c>
      <c r="G907" s="108" t="s">
        <v>410</v>
      </c>
      <c r="H907" s="126">
        <f>H908</f>
        <v>0</v>
      </c>
      <c r="I907" s="108" t="s">
        <v>1222</v>
      </c>
      <c r="J907" s="108" t="str">
        <f t="shared" si="157"/>
        <v>07207G6420</v>
      </c>
      <c r="K907" s="132"/>
      <c r="L907" s="17"/>
      <c r="M907" s="22"/>
      <c r="N907" s="22"/>
      <c r="O907" s="22"/>
      <c r="P907" s="22"/>
      <c r="Q907" s="22"/>
      <c r="R907" s="22"/>
      <c r="S907" s="24"/>
    </row>
    <row r="908" spans="1:19" s="23" customFormat="1" ht="15.75">
      <c r="A908" s="21"/>
      <c r="B908" s="127" t="s">
        <v>428</v>
      </c>
      <c r="C908" s="109" t="s">
        <v>510</v>
      </c>
      <c r="D908" s="108" t="s">
        <v>238</v>
      </c>
      <c r="E908" s="108" t="s">
        <v>11</v>
      </c>
      <c r="F908" s="108" t="s">
        <v>1044</v>
      </c>
      <c r="G908" s="108" t="s">
        <v>429</v>
      </c>
      <c r="H908" s="126"/>
      <c r="I908" s="108" t="s">
        <v>1222</v>
      </c>
      <c r="J908" s="108" t="str">
        <f t="shared" si="157"/>
        <v>07207G6420</v>
      </c>
      <c r="K908" s="304" t="str">
        <f>C908&amp;D908&amp;E908&amp;J908&amp;G908</f>
        <v>607080107207G6420622</v>
      </c>
      <c r="L908" s="24"/>
      <c r="M908" s="22"/>
      <c r="N908" s="22"/>
      <c r="O908" s="22"/>
      <c r="P908" s="22"/>
      <c r="Q908" s="22"/>
      <c r="R908" s="22"/>
      <c r="S908" s="24"/>
    </row>
    <row r="909" spans="1:19" s="23" customFormat="1" ht="47.25">
      <c r="A909" s="21"/>
      <c r="B909" s="127" t="s">
        <v>1048</v>
      </c>
      <c r="C909" s="109" t="s">
        <v>510</v>
      </c>
      <c r="D909" s="108" t="s">
        <v>238</v>
      </c>
      <c r="E909" s="108" t="s">
        <v>11</v>
      </c>
      <c r="F909" s="108" t="s">
        <v>1049</v>
      </c>
      <c r="G909" s="108" t="s">
        <v>9</v>
      </c>
      <c r="H909" s="126">
        <f>H913</f>
        <v>0</v>
      </c>
      <c r="I909" s="108" t="s">
        <v>1223</v>
      </c>
      <c r="J909" s="108" t="str">
        <f t="shared" si="157"/>
        <v>07207S6420</v>
      </c>
      <c r="K909" s="132"/>
      <c r="L909" s="17"/>
      <c r="M909" s="22"/>
      <c r="N909" s="22"/>
      <c r="O909" s="22"/>
      <c r="P909" s="22"/>
      <c r="Q909" s="22"/>
      <c r="R909" s="22"/>
      <c r="S909" s="24"/>
    </row>
    <row r="910" spans="1:19" s="23" customFormat="1" ht="15.75">
      <c r="A910" s="21"/>
      <c r="B910" s="132" t="s">
        <v>1045</v>
      </c>
      <c r="C910" s="109"/>
      <c r="D910" s="108"/>
      <c r="E910" s="108"/>
      <c r="F910" s="108"/>
      <c r="G910" s="108"/>
      <c r="H910" s="126"/>
      <c r="I910" s="108"/>
      <c r="J910" s="108" t="str">
        <f t="shared" si="157"/>
        <v>0000000000</v>
      </c>
      <c r="K910" s="24"/>
      <c r="L910" s="24"/>
      <c r="M910" s="22"/>
      <c r="N910" s="22"/>
      <c r="O910" s="22"/>
      <c r="P910" s="22"/>
      <c r="Q910" s="22"/>
      <c r="R910" s="22"/>
      <c r="S910" s="24"/>
    </row>
    <row r="911" spans="1:19" s="23" customFormat="1" ht="15.75">
      <c r="A911" s="21"/>
      <c r="B911" s="125" t="s">
        <v>1050</v>
      </c>
      <c r="C911" s="109" t="s">
        <v>510</v>
      </c>
      <c r="D911" s="108" t="s">
        <v>238</v>
      </c>
      <c r="E911" s="108" t="s">
        <v>11</v>
      </c>
      <c r="F911" s="108" t="s">
        <v>1049</v>
      </c>
      <c r="G911" s="108" t="s">
        <v>9</v>
      </c>
      <c r="H911" s="126">
        <v>2700020</v>
      </c>
      <c r="I911" s="108" t="s">
        <v>1223</v>
      </c>
      <c r="J911" s="108" t="str">
        <f t="shared" si="157"/>
        <v>07207S6420</v>
      </c>
      <c r="K911" s="132"/>
      <c r="L911" s="17"/>
      <c r="M911" s="22"/>
      <c r="N911" s="22"/>
      <c r="O911" s="22"/>
      <c r="P911" s="22"/>
      <c r="Q911" s="22"/>
      <c r="R911" s="22"/>
      <c r="S911" s="24"/>
    </row>
    <row r="912" spans="1:19" s="23" customFormat="1" ht="15.75">
      <c r="A912" s="21"/>
      <c r="B912" s="125" t="s">
        <v>1051</v>
      </c>
      <c r="C912" s="109" t="s">
        <v>510</v>
      </c>
      <c r="D912" s="108" t="s">
        <v>238</v>
      </c>
      <c r="E912" s="108" t="s">
        <v>11</v>
      </c>
      <c r="F912" s="108" t="s">
        <v>1049</v>
      </c>
      <c r="G912" s="108" t="s">
        <v>9</v>
      </c>
      <c r="H912" s="126">
        <v>5999000</v>
      </c>
      <c r="I912" s="108" t="s">
        <v>1223</v>
      </c>
      <c r="J912" s="108" t="str">
        <f t="shared" si="157"/>
        <v>07207S6420</v>
      </c>
      <c r="K912" s="132"/>
      <c r="L912" s="17"/>
      <c r="M912" s="22"/>
      <c r="N912" s="22"/>
      <c r="O912" s="22"/>
      <c r="P912" s="22"/>
      <c r="Q912" s="22"/>
      <c r="R912" s="22"/>
      <c r="S912" s="24"/>
    </row>
    <row r="913" spans="1:19" s="23" customFormat="1" ht="15.75">
      <c r="A913" s="21"/>
      <c r="B913" s="132" t="s">
        <v>409</v>
      </c>
      <c r="C913" s="109" t="s">
        <v>510</v>
      </c>
      <c r="D913" s="108" t="s">
        <v>238</v>
      </c>
      <c r="E913" s="108" t="s">
        <v>11</v>
      </c>
      <c r="F913" s="108" t="s">
        <v>1049</v>
      </c>
      <c r="G913" s="108" t="s">
        <v>410</v>
      </c>
      <c r="H913" s="126">
        <f>H914</f>
        <v>0</v>
      </c>
      <c r="I913" s="108" t="s">
        <v>1223</v>
      </c>
      <c r="J913" s="108" t="str">
        <f t="shared" si="157"/>
        <v>07207S6420</v>
      </c>
      <c r="K913" s="132"/>
      <c r="L913" s="17"/>
      <c r="M913" s="22"/>
      <c r="N913" s="22"/>
      <c r="O913" s="22"/>
      <c r="P913" s="22"/>
      <c r="Q913" s="22"/>
      <c r="R913" s="22"/>
      <c r="S913" s="24"/>
    </row>
    <row r="914" spans="1:19" s="23" customFormat="1" ht="15.75">
      <c r="A914" s="21"/>
      <c r="B914" s="127" t="s">
        <v>428</v>
      </c>
      <c r="C914" s="109" t="s">
        <v>510</v>
      </c>
      <c r="D914" s="108" t="s">
        <v>238</v>
      </c>
      <c r="E914" s="108" t="s">
        <v>11</v>
      </c>
      <c r="F914" s="108" t="s">
        <v>1049</v>
      </c>
      <c r="G914" s="108" t="s">
        <v>429</v>
      </c>
      <c r="H914" s="126"/>
      <c r="I914" s="108" t="s">
        <v>1223</v>
      </c>
      <c r="J914" s="108" t="str">
        <f t="shared" si="157"/>
        <v>07207S6420</v>
      </c>
      <c r="K914" s="304" t="str">
        <f>C914&amp;D914&amp;E914&amp;J914&amp;G914</f>
        <v>607080107207S6420622</v>
      </c>
      <c r="L914" s="24"/>
      <c r="M914" s="22"/>
      <c r="N914" s="22"/>
      <c r="O914" s="22"/>
      <c r="P914" s="22"/>
      <c r="Q914" s="22"/>
      <c r="R914" s="22"/>
      <c r="S914" s="24"/>
    </row>
    <row r="915" spans="1:19" s="16" customFormat="1" ht="47.25">
      <c r="A915" s="14"/>
      <c r="B915" s="132" t="s">
        <v>532</v>
      </c>
      <c r="C915" s="109" t="s">
        <v>510</v>
      </c>
      <c r="D915" s="108" t="s">
        <v>238</v>
      </c>
      <c r="E915" s="108" t="s">
        <v>11</v>
      </c>
      <c r="F915" s="108" t="s">
        <v>533</v>
      </c>
      <c r="G915" s="108" t="s">
        <v>9</v>
      </c>
      <c r="H915" s="126">
        <f t="shared" ref="H915:H916" si="163">H916</f>
        <v>0</v>
      </c>
      <c r="I915" s="108">
        <v>720900000</v>
      </c>
      <c r="J915" s="108" t="str">
        <f t="shared" si="157"/>
        <v>0720900000</v>
      </c>
      <c r="K915" s="132"/>
      <c r="L915" s="17"/>
      <c r="M915" s="20">
        <v>817.6</v>
      </c>
      <c r="N915" s="20">
        <v>817.6</v>
      </c>
      <c r="O915" s="20">
        <v>817.6</v>
      </c>
      <c r="P915" s="20">
        <f>H915-M915</f>
        <v>-817.6</v>
      </c>
      <c r="Q915" s="20" t="e">
        <f>#REF!-N915</f>
        <v>#REF!</v>
      </c>
      <c r="R915" s="20" t="e">
        <f>#REF!-O915</f>
        <v>#REF!</v>
      </c>
      <c r="S915" s="17" t="str">
        <f t="shared" ref="S915:S1003" si="164">CONCATENATE(F915,G915)</f>
        <v>07 2 09 00000000</v>
      </c>
    </row>
    <row r="916" spans="1:19" s="16" customFormat="1" ht="47.25">
      <c r="A916" s="14"/>
      <c r="B916" s="132" t="s">
        <v>534</v>
      </c>
      <c r="C916" s="109" t="s">
        <v>510</v>
      </c>
      <c r="D916" s="108" t="s">
        <v>238</v>
      </c>
      <c r="E916" s="108" t="s">
        <v>11</v>
      </c>
      <c r="F916" s="108" t="s">
        <v>535</v>
      </c>
      <c r="G916" s="108" t="s">
        <v>9</v>
      </c>
      <c r="H916" s="126">
        <f t="shared" si="163"/>
        <v>0</v>
      </c>
      <c r="I916" s="108">
        <v>720921280</v>
      </c>
      <c r="J916" s="108" t="str">
        <f t="shared" si="157"/>
        <v>0720921280</v>
      </c>
      <c r="K916" s="132"/>
      <c r="L916" s="17"/>
      <c r="M916" s="20">
        <v>817.6</v>
      </c>
      <c r="N916" s="20">
        <v>817.6</v>
      </c>
      <c r="O916" s="20">
        <v>817.6</v>
      </c>
      <c r="P916" s="20">
        <f>H916-M916</f>
        <v>-817.6</v>
      </c>
      <c r="Q916" s="20" t="e">
        <f>#REF!-N916</f>
        <v>#REF!</v>
      </c>
      <c r="R916" s="20" t="e">
        <f>#REF!-O916</f>
        <v>#REF!</v>
      </c>
      <c r="S916" s="17" t="str">
        <f t="shared" si="164"/>
        <v>07 2 09 21280000</v>
      </c>
    </row>
    <row r="917" spans="1:19" s="16" customFormat="1" ht="15.75">
      <c r="A917" s="14"/>
      <c r="B917" s="132" t="s">
        <v>403</v>
      </c>
      <c r="C917" s="109" t="s">
        <v>510</v>
      </c>
      <c r="D917" s="108" t="s">
        <v>238</v>
      </c>
      <c r="E917" s="108" t="s">
        <v>11</v>
      </c>
      <c r="F917" s="108" t="s">
        <v>535</v>
      </c>
      <c r="G917" s="108" t="s">
        <v>404</v>
      </c>
      <c r="H917" s="126">
        <f>H918</f>
        <v>0</v>
      </c>
      <c r="I917" s="108">
        <v>720921280</v>
      </c>
      <c r="J917" s="108" t="str">
        <f t="shared" si="157"/>
        <v>0720921280</v>
      </c>
      <c r="K917" s="132"/>
      <c r="L917" s="17"/>
      <c r="M917" s="20">
        <v>817.6</v>
      </c>
      <c r="N917" s="20">
        <v>817.6</v>
      </c>
      <c r="O917" s="20">
        <v>817.6</v>
      </c>
      <c r="P917" s="20">
        <f>H917-M917</f>
        <v>-817.6</v>
      </c>
      <c r="Q917" s="20" t="e">
        <f>#REF!-N917</f>
        <v>#REF!</v>
      </c>
      <c r="R917" s="20" t="e">
        <f>#REF!-O917</f>
        <v>#REF!</v>
      </c>
      <c r="S917" s="17" t="str">
        <f t="shared" si="164"/>
        <v>07 2 09 21280610</v>
      </c>
    </row>
    <row r="918" spans="1:19" s="23" customFormat="1" ht="15.75">
      <c r="A918" s="21"/>
      <c r="B918" s="127" t="s">
        <v>407</v>
      </c>
      <c r="C918" s="109" t="s">
        <v>510</v>
      </c>
      <c r="D918" s="108" t="s">
        <v>238</v>
      </c>
      <c r="E918" s="108" t="s">
        <v>11</v>
      </c>
      <c r="F918" s="108" t="s">
        <v>535</v>
      </c>
      <c r="G918" s="108" t="s">
        <v>408</v>
      </c>
      <c r="H918" s="126"/>
      <c r="I918" s="108">
        <v>720921280</v>
      </c>
      <c r="J918" s="108" t="str">
        <f t="shared" si="157"/>
        <v>0720921280</v>
      </c>
      <c r="K918" s="304" t="str">
        <f>C918&amp;D918&amp;E918&amp;J918&amp;G918</f>
        <v>60708010720921280612</v>
      </c>
      <c r="L918" s="24"/>
      <c r="M918" s="22"/>
      <c r="N918" s="22"/>
      <c r="O918" s="22"/>
      <c r="P918" s="22"/>
      <c r="Q918" s="22"/>
      <c r="R918" s="22"/>
      <c r="S918" s="24"/>
    </row>
    <row r="919" spans="1:19" s="16" customFormat="1" ht="78.75">
      <c r="A919" s="14"/>
      <c r="B919" s="132" t="s">
        <v>536</v>
      </c>
      <c r="C919" s="109" t="s">
        <v>510</v>
      </c>
      <c r="D919" s="108" t="s">
        <v>238</v>
      </c>
      <c r="E919" s="108" t="s">
        <v>11</v>
      </c>
      <c r="F919" s="108" t="s">
        <v>537</v>
      </c>
      <c r="G919" s="108" t="s">
        <v>9</v>
      </c>
      <c r="H919" s="126">
        <f>H920</f>
        <v>0</v>
      </c>
      <c r="I919" s="108">
        <v>721200000</v>
      </c>
      <c r="J919" s="108" t="str">
        <f t="shared" si="157"/>
        <v>0721200000</v>
      </c>
      <c r="K919" s="132"/>
      <c r="L919" s="17"/>
      <c r="M919" s="20">
        <v>1099.44</v>
      </c>
      <c r="N919" s="20">
        <v>0</v>
      </c>
      <c r="O919" s="20">
        <v>0</v>
      </c>
      <c r="P919" s="20">
        <f>H919-M919</f>
        <v>-1099.44</v>
      </c>
      <c r="Q919" s="20" t="e">
        <f>#REF!-N919</f>
        <v>#REF!</v>
      </c>
      <c r="R919" s="20" t="e">
        <f>#REF!-O919</f>
        <v>#REF!</v>
      </c>
      <c r="S919" s="17" t="str">
        <f t="shared" si="164"/>
        <v>07 2 12 00000000</v>
      </c>
    </row>
    <row r="920" spans="1:19" s="16" customFormat="1" ht="47.25">
      <c r="A920" s="14"/>
      <c r="B920" s="307" t="s">
        <v>538</v>
      </c>
      <c r="C920" s="109" t="s">
        <v>510</v>
      </c>
      <c r="D920" s="108" t="s">
        <v>238</v>
      </c>
      <c r="E920" s="108" t="s">
        <v>11</v>
      </c>
      <c r="F920" s="108" t="s">
        <v>539</v>
      </c>
      <c r="G920" s="108" t="s">
        <v>9</v>
      </c>
      <c r="H920" s="126">
        <f>H921+H923</f>
        <v>0</v>
      </c>
      <c r="I920" s="108">
        <v>721221430</v>
      </c>
      <c r="J920" s="108" t="str">
        <f t="shared" si="157"/>
        <v>0721221430</v>
      </c>
      <c r="K920" s="132"/>
      <c r="L920" s="17"/>
      <c r="M920" s="20">
        <v>1099.44</v>
      </c>
      <c r="N920" s="20">
        <v>0</v>
      </c>
      <c r="O920" s="20">
        <v>0</v>
      </c>
      <c r="P920" s="20">
        <f>H920-M920</f>
        <v>-1099.44</v>
      </c>
      <c r="Q920" s="20" t="e">
        <f>#REF!-N920</f>
        <v>#REF!</v>
      </c>
      <c r="R920" s="20" t="e">
        <f>#REF!-O920</f>
        <v>#REF!</v>
      </c>
      <c r="S920" s="17" t="str">
        <f t="shared" si="164"/>
        <v>07 2 12 21430000</v>
      </c>
    </row>
    <row r="921" spans="1:19" s="16" customFormat="1" ht="15.75">
      <c r="A921" s="14"/>
      <c r="B921" s="132" t="s">
        <v>403</v>
      </c>
      <c r="C921" s="109" t="s">
        <v>510</v>
      </c>
      <c r="D921" s="108" t="s">
        <v>238</v>
      </c>
      <c r="E921" s="108" t="s">
        <v>11</v>
      </c>
      <c r="F921" s="108" t="s">
        <v>539</v>
      </c>
      <c r="G921" s="108" t="s">
        <v>404</v>
      </c>
      <c r="H921" s="126">
        <f>H922</f>
        <v>0</v>
      </c>
      <c r="I921" s="108">
        <v>721221430</v>
      </c>
      <c r="J921" s="108" t="str">
        <f t="shared" si="157"/>
        <v>0721221430</v>
      </c>
      <c r="K921" s="132"/>
      <c r="L921" s="17"/>
      <c r="M921" s="20">
        <v>1099.44</v>
      </c>
      <c r="N921" s="20">
        <v>0</v>
      </c>
      <c r="O921" s="20">
        <v>0</v>
      </c>
      <c r="P921" s="20">
        <f>H921-M921</f>
        <v>-1099.44</v>
      </c>
      <c r="Q921" s="20" t="e">
        <f>#REF!-N921</f>
        <v>#REF!</v>
      </c>
      <c r="R921" s="20" t="e">
        <f>#REF!-O921</f>
        <v>#REF!</v>
      </c>
      <c r="S921" s="17" t="str">
        <f t="shared" si="164"/>
        <v>07 2 12 21430610</v>
      </c>
    </row>
    <row r="922" spans="1:19" s="23" customFormat="1" ht="15.75">
      <c r="A922" s="21"/>
      <c r="B922" s="127" t="s">
        <v>407</v>
      </c>
      <c r="C922" s="109" t="s">
        <v>510</v>
      </c>
      <c r="D922" s="108" t="s">
        <v>238</v>
      </c>
      <c r="E922" s="108" t="s">
        <v>11</v>
      </c>
      <c r="F922" s="108" t="s">
        <v>539</v>
      </c>
      <c r="G922" s="108" t="s">
        <v>408</v>
      </c>
      <c r="H922" s="126"/>
      <c r="I922" s="108">
        <v>721221430</v>
      </c>
      <c r="J922" s="108" t="str">
        <f t="shared" si="157"/>
        <v>0721221430</v>
      </c>
      <c r="K922" s="304" t="str">
        <f>C922&amp;D922&amp;E922&amp;J922&amp;G922</f>
        <v>60708010721221430612</v>
      </c>
      <c r="L922" s="24"/>
      <c r="M922" s="22"/>
      <c r="N922" s="22"/>
      <c r="O922" s="22"/>
      <c r="P922" s="22"/>
      <c r="Q922" s="22"/>
      <c r="R922" s="22"/>
      <c r="S922" s="24"/>
    </row>
    <row r="923" spans="1:19" s="23" customFormat="1" ht="15.75">
      <c r="A923" s="21"/>
      <c r="B923" s="132" t="s">
        <v>409</v>
      </c>
      <c r="C923" s="109" t="s">
        <v>510</v>
      </c>
      <c r="D923" s="108" t="s">
        <v>238</v>
      </c>
      <c r="E923" s="108" t="s">
        <v>11</v>
      </c>
      <c r="F923" s="108" t="s">
        <v>539</v>
      </c>
      <c r="G923" s="108" t="s">
        <v>410</v>
      </c>
      <c r="H923" s="126">
        <f>H924</f>
        <v>0</v>
      </c>
      <c r="I923" s="108">
        <v>721221430</v>
      </c>
      <c r="J923" s="108" t="str">
        <f t="shared" si="157"/>
        <v>0721221430</v>
      </c>
      <c r="K923" s="132"/>
      <c r="L923" s="17"/>
      <c r="M923" s="22"/>
      <c r="N923" s="22"/>
      <c r="O923" s="22"/>
      <c r="P923" s="22"/>
      <c r="Q923" s="22"/>
      <c r="R923" s="22"/>
      <c r="S923" s="24"/>
    </row>
    <row r="924" spans="1:19" s="23" customFormat="1" ht="15.75">
      <c r="A924" s="21"/>
      <c r="B924" s="127" t="s">
        <v>428</v>
      </c>
      <c r="C924" s="109" t="s">
        <v>510</v>
      </c>
      <c r="D924" s="108" t="s">
        <v>238</v>
      </c>
      <c r="E924" s="108" t="s">
        <v>11</v>
      </c>
      <c r="F924" s="108" t="s">
        <v>539</v>
      </c>
      <c r="G924" s="108" t="s">
        <v>429</v>
      </c>
      <c r="H924" s="126"/>
      <c r="I924" s="108">
        <v>721221430</v>
      </c>
      <c r="J924" s="108" t="str">
        <f t="shared" si="157"/>
        <v>0721221430</v>
      </c>
      <c r="K924" s="304" t="str">
        <f>C924&amp;D924&amp;E924&amp;J924&amp;G924</f>
        <v>60708010721221430622</v>
      </c>
      <c r="L924" s="24"/>
      <c r="M924" s="22"/>
      <c r="N924" s="22"/>
      <c r="O924" s="22"/>
      <c r="P924" s="22"/>
      <c r="Q924" s="22"/>
      <c r="R924" s="22"/>
      <c r="S924" s="24"/>
    </row>
    <row r="925" spans="1:19" s="16" customFormat="1" ht="47.25">
      <c r="A925" s="14"/>
      <c r="B925" s="127" t="s">
        <v>146</v>
      </c>
      <c r="C925" s="109" t="s">
        <v>510</v>
      </c>
      <c r="D925" s="108" t="s">
        <v>238</v>
      </c>
      <c r="E925" s="108" t="s">
        <v>11</v>
      </c>
      <c r="F925" s="130" t="s">
        <v>147</v>
      </c>
      <c r="G925" s="130" t="s">
        <v>9</v>
      </c>
      <c r="H925" s="134">
        <f>H926</f>
        <v>0</v>
      </c>
      <c r="I925" s="130">
        <v>1500000000</v>
      </c>
      <c r="J925" s="130" t="str">
        <f t="shared" si="157"/>
        <v>1500000000</v>
      </c>
      <c r="K925" s="132"/>
      <c r="L925" s="17"/>
      <c r="M925" s="27">
        <v>76.5</v>
      </c>
      <c r="N925" s="27">
        <v>76.5</v>
      </c>
      <c r="O925" s="27">
        <v>76.5</v>
      </c>
      <c r="P925" s="27">
        <f>H925-M925</f>
        <v>-76.5</v>
      </c>
      <c r="Q925" s="27" t="e">
        <f>#REF!-N925</f>
        <v>#REF!</v>
      </c>
      <c r="R925" s="27" t="e">
        <f>#REF!-O925</f>
        <v>#REF!</v>
      </c>
      <c r="S925" s="17" t="str">
        <f t="shared" si="164"/>
        <v>15 0 00 00000000</v>
      </c>
    </row>
    <row r="926" spans="1:19" s="16" customFormat="1" ht="47.25">
      <c r="A926" s="14"/>
      <c r="B926" s="125" t="s">
        <v>1065</v>
      </c>
      <c r="C926" s="109" t="s">
        <v>510</v>
      </c>
      <c r="D926" s="108" t="s">
        <v>238</v>
      </c>
      <c r="E926" s="108" t="s">
        <v>11</v>
      </c>
      <c r="F926" s="130" t="s">
        <v>149</v>
      </c>
      <c r="G926" s="130" t="s">
        <v>9</v>
      </c>
      <c r="H926" s="134">
        <f>H927</f>
        <v>0</v>
      </c>
      <c r="I926" s="130">
        <v>1510000000</v>
      </c>
      <c r="J926" s="130" t="str">
        <f t="shared" si="157"/>
        <v>1510000000</v>
      </c>
      <c r="K926" s="132"/>
      <c r="L926" s="17"/>
      <c r="M926" s="27">
        <v>76.5</v>
      </c>
      <c r="N926" s="27">
        <v>76.5</v>
      </c>
      <c r="O926" s="27">
        <v>76.5</v>
      </c>
      <c r="P926" s="27">
        <f>H926-M926</f>
        <v>-76.5</v>
      </c>
      <c r="Q926" s="27" t="e">
        <f>#REF!-N926</f>
        <v>#REF!</v>
      </c>
      <c r="R926" s="27" t="e">
        <f>#REF!-O926</f>
        <v>#REF!</v>
      </c>
      <c r="S926" s="17" t="str">
        <f t="shared" si="164"/>
        <v>15 1 00 00000000</v>
      </c>
    </row>
    <row r="927" spans="1:19" s="16" customFormat="1" ht="47.25">
      <c r="A927" s="14"/>
      <c r="B927" s="125" t="s">
        <v>1072</v>
      </c>
      <c r="C927" s="109" t="s">
        <v>510</v>
      </c>
      <c r="D927" s="108" t="s">
        <v>238</v>
      </c>
      <c r="E927" s="108" t="s">
        <v>11</v>
      </c>
      <c r="F927" s="109" t="s">
        <v>1073</v>
      </c>
      <c r="G927" s="130" t="s">
        <v>9</v>
      </c>
      <c r="H927" s="134">
        <f>H928</f>
        <v>0</v>
      </c>
      <c r="I927" s="109">
        <v>1510300000</v>
      </c>
      <c r="J927" s="109" t="str">
        <f t="shared" ref="J927:J996" si="165">TEXT(I927,"0000000000")</f>
        <v>1510300000</v>
      </c>
      <c r="K927" s="132"/>
      <c r="L927" s="17"/>
      <c r="M927" s="27">
        <v>76.5</v>
      </c>
      <c r="N927" s="27">
        <v>76.5</v>
      </c>
      <c r="O927" s="27">
        <v>76.5</v>
      </c>
      <c r="P927" s="27">
        <f>H927-M927</f>
        <v>-76.5</v>
      </c>
      <c r="Q927" s="27" t="e">
        <f>#REF!-N927</f>
        <v>#REF!</v>
      </c>
      <c r="R927" s="27" t="e">
        <f>#REF!-O927</f>
        <v>#REF!</v>
      </c>
      <c r="S927" s="17" t="str">
        <f t="shared" si="164"/>
        <v>15 1 03 00000000</v>
      </c>
    </row>
    <row r="928" spans="1:19" s="16" customFormat="1" ht="47.25">
      <c r="A928" s="14"/>
      <c r="B928" s="129" t="s">
        <v>152</v>
      </c>
      <c r="C928" s="109" t="s">
        <v>510</v>
      </c>
      <c r="D928" s="108" t="s">
        <v>238</v>
      </c>
      <c r="E928" s="108" t="s">
        <v>11</v>
      </c>
      <c r="F928" s="109" t="s">
        <v>1074</v>
      </c>
      <c r="G928" s="130" t="s">
        <v>9</v>
      </c>
      <c r="H928" s="134">
        <f>SUM(H929:H929)</f>
        <v>0</v>
      </c>
      <c r="I928" s="109">
        <v>1510320350</v>
      </c>
      <c r="J928" s="109" t="str">
        <f t="shared" si="165"/>
        <v>1510320350</v>
      </c>
      <c r="K928" s="132"/>
      <c r="L928" s="17"/>
      <c r="M928" s="27">
        <v>76.5</v>
      </c>
      <c r="N928" s="27">
        <v>76.5</v>
      </c>
      <c r="O928" s="27">
        <v>76.5</v>
      </c>
      <c r="P928" s="27">
        <f>H928-M928</f>
        <v>-76.5</v>
      </c>
      <c r="Q928" s="27" t="e">
        <f>#REF!-N928</f>
        <v>#REF!</v>
      </c>
      <c r="R928" s="27" t="e">
        <f>#REF!-O928</f>
        <v>#REF!</v>
      </c>
      <c r="S928" s="17" t="str">
        <f t="shared" si="164"/>
        <v>15 1 03 20350000</v>
      </c>
    </row>
    <row r="929" spans="1:19" s="16" customFormat="1" ht="15.75">
      <c r="A929" s="14"/>
      <c r="B929" s="132" t="s">
        <v>403</v>
      </c>
      <c r="C929" s="109" t="s">
        <v>510</v>
      </c>
      <c r="D929" s="108" t="s">
        <v>238</v>
      </c>
      <c r="E929" s="108" t="s">
        <v>11</v>
      </c>
      <c r="F929" s="109" t="s">
        <v>1074</v>
      </c>
      <c r="G929" s="130" t="s">
        <v>404</v>
      </c>
      <c r="H929" s="126">
        <f>H930</f>
        <v>0</v>
      </c>
      <c r="I929" s="109">
        <v>1510320350</v>
      </c>
      <c r="J929" s="109" t="str">
        <f t="shared" si="165"/>
        <v>1510320350</v>
      </c>
      <c r="K929" s="132"/>
      <c r="L929" s="17"/>
      <c r="M929" s="20">
        <v>76.5</v>
      </c>
      <c r="N929" s="20">
        <v>76.5</v>
      </c>
      <c r="O929" s="20">
        <v>76.5</v>
      </c>
      <c r="P929" s="20">
        <f>H929-M929</f>
        <v>-76.5</v>
      </c>
      <c r="Q929" s="20" t="e">
        <f>#REF!-N929</f>
        <v>#REF!</v>
      </c>
      <c r="R929" s="20" t="e">
        <f>#REF!-O929</f>
        <v>#REF!</v>
      </c>
      <c r="S929" s="17" t="str">
        <f t="shared" si="164"/>
        <v>15 1 03 20350610</v>
      </c>
    </row>
    <row r="930" spans="1:19" s="23" customFormat="1" ht="15.75">
      <c r="A930" s="21"/>
      <c r="B930" s="127" t="s">
        <v>407</v>
      </c>
      <c r="C930" s="109" t="s">
        <v>510</v>
      </c>
      <c r="D930" s="108" t="s">
        <v>238</v>
      </c>
      <c r="E930" s="108" t="s">
        <v>11</v>
      </c>
      <c r="F930" s="109" t="s">
        <v>1074</v>
      </c>
      <c r="G930" s="109" t="s">
        <v>408</v>
      </c>
      <c r="H930" s="126"/>
      <c r="I930" s="109">
        <v>1510320350</v>
      </c>
      <c r="J930" s="109" t="str">
        <f t="shared" si="165"/>
        <v>1510320350</v>
      </c>
      <c r="K930" s="304" t="str">
        <f>C930&amp;D930&amp;E930&amp;J930&amp;G930</f>
        <v>60708011510320350612</v>
      </c>
      <c r="L930" s="24"/>
      <c r="M930" s="22"/>
      <c r="N930" s="22"/>
      <c r="O930" s="22"/>
      <c r="P930" s="22"/>
      <c r="Q930" s="22"/>
      <c r="R930" s="22"/>
      <c r="S930" s="24"/>
    </row>
    <row r="931" spans="1:19" s="16" customFormat="1" ht="94.5">
      <c r="A931" s="14"/>
      <c r="B931" s="125" t="s">
        <v>420</v>
      </c>
      <c r="C931" s="109" t="s">
        <v>510</v>
      </c>
      <c r="D931" s="108" t="s">
        <v>238</v>
      </c>
      <c r="E931" s="108" t="s">
        <v>11</v>
      </c>
      <c r="F931" s="108" t="s">
        <v>421</v>
      </c>
      <c r="G931" s="108" t="s">
        <v>9</v>
      </c>
      <c r="H931" s="126">
        <f t="shared" ref="H931:H934" si="166">H932</f>
        <v>0</v>
      </c>
      <c r="I931" s="108">
        <v>1600000000</v>
      </c>
      <c r="J931" s="108" t="str">
        <f t="shared" si="165"/>
        <v>1600000000</v>
      </c>
      <c r="K931" s="132"/>
      <c r="L931" s="17"/>
      <c r="M931" s="20">
        <v>547.85</v>
      </c>
      <c r="N931" s="20">
        <v>547.85</v>
      </c>
      <c r="O931" s="20">
        <v>547.85</v>
      </c>
      <c r="P931" s="20">
        <f>H931-M931</f>
        <v>-547.85</v>
      </c>
      <c r="Q931" s="20" t="e">
        <f>#REF!-N931</f>
        <v>#REF!</v>
      </c>
      <c r="R931" s="20" t="e">
        <f>#REF!-O931</f>
        <v>#REF!</v>
      </c>
      <c r="S931" s="17" t="str">
        <f t="shared" si="164"/>
        <v>16 0 00 00000000</v>
      </c>
    </row>
    <row r="932" spans="1:19" s="16" customFormat="1" ht="31.5">
      <c r="A932" s="14"/>
      <c r="B932" s="125" t="s">
        <v>422</v>
      </c>
      <c r="C932" s="109" t="s">
        <v>510</v>
      </c>
      <c r="D932" s="108" t="s">
        <v>238</v>
      </c>
      <c r="E932" s="108" t="s">
        <v>11</v>
      </c>
      <c r="F932" s="108" t="s">
        <v>423</v>
      </c>
      <c r="G932" s="108" t="s">
        <v>9</v>
      </c>
      <c r="H932" s="126">
        <f t="shared" si="166"/>
        <v>0</v>
      </c>
      <c r="I932" s="108">
        <v>1620000000</v>
      </c>
      <c r="J932" s="108" t="str">
        <f t="shared" si="165"/>
        <v>1620000000</v>
      </c>
      <c r="K932" s="132"/>
      <c r="L932" s="17"/>
      <c r="M932" s="20">
        <v>547.85</v>
      </c>
      <c r="N932" s="20">
        <v>547.85</v>
      </c>
      <c r="O932" s="20">
        <v>547.85</v>
      </c>
      <c r="P932" s="20">
        <f>H932-M932</f>
        <v>-547.85</v>
      </c>
      <c r="Q932" s="20" t="e">
        <f>#REF!-N932</f>
        <v>#REF!</v>
      </c>
      <c r="R932" s="20" t="e">
        <f>#REF!-O932</f>
        <v>#REF!</v>
      </c>
      <c r="S932" s="17" t="str">
        <f t="shared" si="164"/>
        <v>16 2 00 00000000</v>
      </c>
    </row>
    <row r="933" spans="1:19" s="16" customFormat="1" ht="47.25">
      <c r="A933" s="14"/>
      <c r="B933" s="125" t="s">
        <v>424</v>
      </c>
      <c r="C933" s="109" t="s">
        <v>510</v>
      </c>
      <c r="D933" s="108" t="s">
        <v>238</v>
      </c>
      <c r="E933" s="108" t="s">
        <v>11</v>
      </c>
      <c r="F933" s="108" t="s">
        <v>425</v>
      </c>
      <c r="G933" s="108" t="s">
        <v>9</v>
      </c>
      <c r="H933" s="126">
        <f t="shared" si="166"/>
        <v>0</v>
      </c>
      <c r="I933" s="108">
        <v>1620200000</v>
      </c>
      <c r="J933" s="108" t="str">
        <f t="shared" si="165"/>
        <v>1620200000</v>
      </c>
      <c r="K933" s="132"/>
      <c r="L933" s="17"/>
      <c r="M933" s="20">
        <v>547.85</v>
      </c>
      <c r="N933" s="20">
        <v>547.85</v>
      </c>
      <c r="O933" s="20">
        <v>547.85</v>
      </c>
      <c r="P933" s="20">
        <f>H933-M933</f>
        <v>-547.85</v>
      </c>
      <c r="Q933" s="20" t="e">
        <f>#REF!-N933</f>
        <v>#REF!</v>
      </c>
      <c r="R933" s="20" t="e">
        <f>#REF!-O933</f>
        <v>#REF!</v>
      </c>
      <c r="S933" s="17" t="str">
        <f t="shared" si="164"/>
        <v>16 2 02 00000000</v>
      </c>
    </row>
    <row r="934" spans="1:19" s="16" customFormat="1" ht="47.25">
      <c r="A934" s="14"/>
      <c r="B934" s="125" t="s">
        <v>426</v>
      </c>
      <c r="C934" s="109" t="s">
        <v>510</v>
      </c>
      <c r="D934" s="108" t="s">
        <v>238</v>
      </c>
      <c r="E934" s="108" t="s">
        <v>11</v>
      </c>
      <c r="F934" s="108" t="s">
        <v>427</v>
      </c>
      <c r="G934" s="108" t="s">
        <v>9</v>
      </c>
      <c r="H934" s="126">
        <f t="shared" si="166"/>
        <v>0</v>
      </c>
      <c r="I934" s="108">
        <v>1620220550</v>
      </c>
      <c r="J934" s="108" t="str">
        <f t="shared" si="165"/>
        <v>1620220550</v>
      </c>
      <c r="K934" s="132"/>
      <c r="L934" s="17"/>
      <c r="M934" s="20">
        <v>547.85</v>
      </c>
      <c r="N934" s="20">
        <v>547.85</v>
      </c>
      <c r="O934" s="20">
        <v>547.85</v>
      </c>
      <c r="P934" s="20">
        <f>H934-M934</f>
        <v>-547.85</v>
      </c>
      <c r="Q934" s="20" t="e">
        <f>#REF!-N934</f>
        <v>#REF!</v>
      </c>
      <c r="R934" s="20" t="e">
        <f>#REF!-O934</f>
        <v>#REF!</v>
      </c>
      <c r="S934" s="17" t="str">
        <f t="shared" si="164"/>
        <v>16 2 02 20550000</v>
      </c>
    </row>
    <row r="935" spans="1:19" s="16" customFormat="1" ht="15.75">
      <c r="A935" s="14"/>
      <c r="B935" s="132" t="s">
        <v>403</v>
      </c>
      <c r="C935" s="109" t="s">
        <v>510</v>
      </c>
      <c r="D935" s="108" t="s">
        <v>238</v>
      </c>
      <c r="E935" s="108" t="s">
        <v>11</v>
      </c>
      <c r="F935" s="108" t="s">
        <v>427</v>
      </c>
      <c r="G935" s="108" t="s">
        <v>404</v>
      </c>
      <c r="H935" s="126">
        <f>H936</f>
        <v>0</v>
      </c>
      <c r="I935" s="108">
        <v>1620220550</v>
      </c>
      <c r="J935" s="108" t="str">
        <f t="shared" si="165"/>
        <v>1620220550</v>
      </c>
      <c r="K935" s="132"/>
      <c r="L935" s="17"/>
      <c r="M935" s="20">
        <v>547.85</v>
      </c>
      <c r="N935" s="20">
        <v>547.85</v>
      </c>
      <c r="O935" s="20">
        <v>547.85</v>
      </c>
      <c r="P935" s="20">
        <f>H935-M935</f>
        <v>-547.85</v>
      </c>
      <c r="Q935" s="20" t="e">
        <f>#REF!-N935</f>
        <v>#REF!</v>
      </c>
      <c r="R935" s="20" t="e">
        <f>#REF!-O935</f>
        <v>#REF!</v>
      </c>
      <c r="S935" s="17" t="str">
        <f t="shared" si="164"/>
        <v>16 2 02 20550610</v>
      </c>
    </row>
    <row r="936" spans="1:19" s="23" customFormat="1" ht="15.75">
      <c r="A936" s="21"/>
      <c r="B936" s="127" t="s">
        <v>407</v>
      </c>
      <c r="C936" s="109" t="s">
        <v>510</v>
      </c>
      <c r="D936" s="108" t="s">
        <v>238</v>
      </c>
      <c r="E936" s="108" t="s">
        <v>11</v>
      </c>
      <c r="F936" s="108" t="s">
        <v>427</v>
      </c>
      <c r="G936" s="108" t="s">
        <v>408</v>
      </c>
      <c r="H936" s="126"/>
      <c r="I936" s="108">
        <v>1620220550</v>
      </c>
      <c r="J936" s="108" t="str">
        <f t="shared" si="165"/>
        <v>1620220550</v>
      </c>
      <c r="K936" s="304" t="str">
        <f>C936&amp;D936&amp;E936&amp;J936&amp;G936</f>
        <v>60708011620220550612</v>
      </c>
      <c r="L936" s="24"/>
      <c r="M936" s="22"/>
      <c r="N936" s="22"/>
      <c r="O936" s="22"/>
      <c r="P936" s="22"/>
      <c r="Q936" s="22"/>
      <c r="R936" s="22"/>
      <c r="S936" s="24"/>
    </row>
    <row r="937" spans="1:19" s="16" customFormat="1" ht="47.25">
      <c r="A937" s="14"/>
      <c r="B937" s="125" t="s">
        <v>430</v>
      </c>
      <c r="C937" s="109" t="s">
        <v>510</v>
      </c>
      <c r="D937" s="108" t="s">
        <v>238</v>
      </c>
      <c r="E937" s="108" t="s">
        <v>11</v>
      </c>
      <c r="F937" s="108" t="s">
        <v>431</v>
      </c>
      <c r="G937" s="108" t="s">
        <v>9</v>
      </c>
      <c r="H937" s="126">
        <f>H938</f>
        <v>0</v>
      </c>
      <c r="I937" s="108">
        <v>1700000000</v>
      </c>
      <c r="J937" s="108" t="str">
        <f t="shared" si="165"/>
        <v>1700000000</v>
      </c>
      <c r="K937" s="132"/>
      <c r="L937" s="17"/>
      <c r="M937" s="20">
        <v>203.83</v>
      </c>
      <c r="N937" s="20">
        <v>203.83</v>
      </c>
      <c r="O937" s="20">
        <v>203.83</v>
      </c>
      <c r="P937" s="20">
        <f>H937-M937</f>
        <v>-203.83</v>
      </c>
      <c r="Q937" s="20" t="e">
        <f>#REF!-N937</f>
        <v>#REF!</v>
      </c>
      <c r="R937" s="20" t="e">
        <f>#REF!-O937</f>
        <v>#REF!</v>
      </c>
      <c r="S937" s="17" t="str">
        <f t="shared" si="164"/>
        <v>17 0 00 00000000</v>
      </c>
    </row>
    <row r="938" spans="1:19" s="16" customFormat="1" ht="47.25">
      <c r="A938" s="14"/>
      <c r="B938" s="125" t="s">
        <v>432</v>
      </c>
      <c r="C938" s="109" t="s">
        <v>510</v>
      </c>
      <c r="D938" s="108" t="s">
        <v>238</v>
      </c>
      <c r="E938" s="108" t="s">
        <v>11</v>
      </c>
      <c r="F938" s="108" t="s">
        <v>433</v>
      </c>
      <c r="G938" s="108" t="s">
        <v>9</v>
      </c>
      <c r="H938" s="126">
        <f>H939</f>
        <v>0</v>
      </c>
      <c r="I938" s="108" t="s">
        <v>1198</v>
      </c>
      <c r="J938" s="108" t="str">
        <f t="shared" si="165"/>
        <v>17Б0000000</v>
      </c>
      <c r="K938" s="132"/>
      <c r="L938" s="17"/>
      <c r="M938" s="20">
        <v>203.83</v>
      </c>
      <c r="N938" s="20">
        <v>203.83</v>
      </c>
      <c r="O938" s="20">
        <v>203.83</v>
      </c>
      <c r="P938" s="20">
        <f>H938-M938</f>
        <v>-203.83</v>
      </c>
      <c r="Q938" s="20" t="e">
        <f>#REF!-N938</f>
        <v>#REF!</v>
      </c>
      <c r="R938" s="20" t="e">
        <f>#REF!-O938</f>
        <v>#REF!</v>
      </c>
      <c r="S938" s="17" t="str">
        <f t="shared" si="164"/>
        <v>17 Б 00 00000000</v>
      </c>
    </row>
    <row r="939" spans="1:19" s="16" customFormat="1" ht="31.5">
      <c r="A939" s="14"/>
      <c r="B939" s="125" t="s">
        <v>434</v>
      </c>
      <c r="C939" s="109" t="s">
        <v>510</v>
      </c>
      <c r="D939" s="108" t="s">
        <v>238</v>
      </c>
      <c r="E939" s="108" t="s">
        <v>11</v>
      </c>
      <c r="F939" s="108" t="s">
        <v>435</v>
      </c>
      <c r="G939" s="108" t="s">
        <v>9</v>
      </c>
      <c r="H939" s="126">
        <f>H940</f>
        <v>0</v>
      </c>
      <c r="I939" s="108" t="s">
        <v>1199</v>
      </c>
      <c r="J939" s="108" t="str">
        <f t="shared" si="165"/>
        <v>17Б0100000</v>
      </c>
      <c r="K939" s="132"/>
      <c r="L939" s="17"/>
      <c r="M939" s="20">
        <v>203.83</v>
      </c>
      <c r="N939" s="20">
        <v>203.83</v>
      </c>
      <c r="O939" s="20">
        <v>203.83</v>
      </c>
      <c r="P939" s="20">
        <f>H939-M939</f>
        <v>-203.83</v>
      </c>
      <c r="Q939" s="20" t="e">
        <f>#REF!-N939</f>
        <v>#REF!</v>
      </c>
      <c r="R939" s="20" t="e">
        <f>#REF!-O939</f>
        <v>#REF!</v>
      </c>
      <c r="S939" s="17" t="str">
        <f t="shared" si="164"/>
        <v>17 Б 01 00000000</v>
      </c>
    </row>
    <row r="940" spans="1:19" s="16" customFormat="1" ht="47.25">
      <c r="A940" s="14"/>
      <c r="B940" s="132" t="s">
        <v>436</v>
      </c>
      <c r="C940" s="109" t="s">
        <v>510</v>
      </c>
      <c r="D940" s="108" t="s">
        <v>238</v>
      </c>
      <c r="E940" s="108" t="s">
        <v>11</v>
      </c>
      <c r="F940" s="108" t="s">
        <v>437</v>
      </c>
      <c r="G940" s="108" t="s">
        <v>9</v>
      </c>
      <c r="H940" s="126">
        <f>H941</f>
        <v>0</v>
      </c>
      <c r="I940" s="108" t="s">
        <v>1200</v>
      </c>
      <c r="J940" s="108" t="str">
        <f t="shared" si="165"/>
        <v>17Б0120490</v>
      </c>
      <c r="K940" s="132"/>
      <c r="L940" s="17"/>
      <c r="M940" s="20">
        <v>203.83</v>
      </c>
      <c r="N940" s="20">
        <v>203.83</v>
      </c>
      <c r="O940" s="20">
        <v>203.83</v>
      </c>
      <c r="P940" s="20">
        <f>H940-M940</f>
        <v>-203.83</v>
      </c>
      <c r="Q940" s="20" t="e">
        <f>#REF!-N940</f>
        <v>#REF!</v>
      </c>
      <c r="R940" s="20" t="e">
        <f>#REF!-O940</f>
        <v>#REF!</v>
      </c>
      <c r="S940" s="17" t="str">
        <f t="shared" si="164"/>
        <v>17 Б 01 20490000</v>
      </c>
    </row>
    <row r="941" spans="1:19" s="16" customFormat="1" ht="15.75">
      <c r="A941" s="14"/>
      <c r="B941" s="125" t="s">
        <v>403</v>
      </c>
      <c r="C941" s="109" t="s">
        <v>510</v>
      </c>
      <c r="D941" s="108" t="s">
        <v>238</v>
      </c>
      <c r="E941" s="108" t="s">
        <v>11</v>
      </c>
      <c r="F941" s="108" t="s">
        <v>437</v>
      </c>
      <c r="G941" s="108" t="s">
        <v>404</v>
      </c>
      <c r="H941" s="126">
        <f>H942</f>
        <v>0</v>
      </c>
      <c r="I941" s="108" t="s">
        <v>1200</v>
      </c>
      <c r="J941" s="108" t="str">
        <f t="shared" si="165"/>
        <v>17Б0120490</v>
      </c>
      <c r="K941" s="132"/>
      <c r="L941" s="17"/>
      <c r="M941" s="20">
        <v>203.83</v>
      </c>
      <c r="N941" s="20">
        <v>203.83</v>
      </c>
      <c r="O941" s="20">
        <v>203.83</v>
      </c>
      <c r="P941" s="20">
        <f>H941-M941</f>
        <v>-203.83</v>
      </c>
      <c r="Q941" s="20" t="e">
        <f>#REF!-N941</f>
        <v>#REF!</v>
      </c>
      <c r="R941" s="20" t="e">
        <f>#REF!-O941</f>
        <v>#REF!</v>
      </c>
      <c r="S941" s="17" t="str">
        <f t="shared" si="164"/>
        <v>17 Б 01 20490610</v>
      </c>
    </row>
    <row r="942" spans="1:19" s="23" customFormat="1" ht="15.75">
      <c r="A942" s="21"/>
      <c r="B942" s="127" t="s">
        <v>407</v>
      </c>
      <c r="C942" s="109" t="s">
        <v>510</v>
      </c>
      <c r="D942" s="108" t="s">
        <v>238</v>
      </c>
      <c r="E942" s="108" t="s">
        <v>11</v>
      </c>
      <c r="F942" s="108" t="s">
        <v>437</v>
      </c>
      <c r="G942" s="108" t="s">
        <v>408</v>
      </c>
      <c r="H942" s="126"/>
      <c r="I942" s="108" t="s">
        <v>1200</v>
      </c>
      <c r="J942" s="108" t="str">
        <f t="shared" si="165"/>
        <v>17Б0120490</v>
      </c>
      <c r="K942" s="304" t="str">
        <f>C942&amp;D942&amp;E942&amp;J942&amp;G942</f>
        <v>607080117Б0120490612</v>
      </c>
      <c r="L942" s="24"/>
      <c r="M942" s="22"/>
      <c r="N942" s="22"/>
      <c r="O942" s="22"/>
      <c r="P942" s="22"/>
      <c r="Q942" s="22"/>
      <c r="R942" s="22"/>
      <c r="S942" s="24"/>
    </row>
    <row r="943" spans="1:19" s="23" customFormat="1" ht="63">
      <c r="A943" s="21"/>
      <c r="B943" s="125" t="s">
        <v>87</v>
      </c>
      <c r="C943" s="109" t="s">
        <v>510</v>
      </c>
      <c r="D943" s="108" t="s">
        <v>238</v>
      </c>
      <c r="E943" s="108" t="s">
        <v>11</v>
      </c>
      <c r="F943" s="108" t="s">
        <v>88</v>
      </c>
      <c r="G943" s="108" t="s">
        <v>9</v>
      </c>
      <c r="H943" s="126">
        <f>H944</f>
        <v>0</v>
      </c>
      <c r="I943" s="108">
        <v>9800000000</v>
      </c>
      <c r="J943" s="108" t="str">
        <f t="shared" si="165"/>
        <v>9800000000</v>
      </c>
      <c r="K943" s="132"/>
      <c r="L943" s="17"/>
      <c r="M943" s="22"/>
      <c r="N943" s="22"/>
      <c r="O943" s="22"/>
      <c r="P943" s="22"/>
      <c r="Q943" s="22"/>
      <c r="R943" s="22"/>
      <c r="S943" s="24"/>
    </row>
    <row r="944" spans="1:19" s="23" customFormat="1" ht="15.75">
      <c r="A944" s="21"/>
      <c r="B944" s="125" t="s">
        <v>89</v>
      </c>
      <c r="C944" s="109" t="s">
        <v>510</v>
      </c>
      <c r="D944" s="108" t="s">
        <v>238</v>
      </c>
      <c r="E944" s="108" t="s">
        <v>11</v>
      </c>
      <c r="F944" s="108" t="s">
        <v>90</v>
      </c>
      <c r="G944" s="108" t="s">
        <v>9</v>
      </c>
      <c r="H944" s="126">
        <f>H945</f>
        <v>0</v>
      </c>
      <c r="I944" s="108">
        <v>9810000000</v>
      </c>
      <c r="J944" s="108" t="str">
        <f t="shared" si="165"/>
        <v>9810000000</v>
      </c>
      <c r="K944" s="132"/>
      <c r="L944" s="17"/>
      <c r="M944" s="22"/>
      <c r="N944" s="22"/>
      <c r="O944" s="22"/>
      <c r="P944" s="22"/>
      <c r="Q944" s="22"/>
      <c r="R944" s="22"/>
      <c r="S944" s="24"/>
    </row>
    <row r="945" spans="1:19" s="23" customFormat="1" ht="63">
      <c r="A945" s="21"/>
      <c r="B945" s="125" t="s">
        <v>1054</v>
      </c>
      <c r="C945" s="109" t="s">
        <v>510</v>
      </c>
      <c r="D945" s="108" t="s">
        <v>238</v>
      </c>
      <c r="E945" s="108" t="s">
        <v>11</v>
      </c>
      <c r="F945" s="108" t="s">
        <v>1055</v>
      </c>
      <c r="G945" s="108" t="s">
        <v>9</v>
      </c>
      <c r="H945" s="126">
        <f>H946</f>
        <v>0</v>
      </c>
      <c r="I945" s="108">
        <v>9810021570</v>
      </c>
      <c r="J945" s="108" t="str">
        <f t="shared" si="165"/>
        <v>9810021570</v>
      </c>
      <c r="K945" s="132"/>
      <c r="L945" s="17"/>
      <c r="M945" s="22"/>
      <c r="N945" s="22"/>
      <c r="O945" s="22"/>
      <c r="P945" s="22"/>
      <c r="Q945" s="22"/>
      <c r="R945" s="22"/>
      <c r="S945" s="24"/>
    </row>
    <row r="946" spans="1:19" s="23" customFormat="1" ht="15.75">
      <c r="A946" s="21"/>
      <c r="B946" s="125" t="s">
        <v>403</v>
      </c>
      <c r="C946" s="109" t="s">
        <v>510</v>
      </c>
      <c r="D946" s="108" t="s">
        <v>238</v>
      </c>
      <c r="E946" s="108" t="s">
        <v>11</v>
      </c>
      <c r="F946" s="108" t="s">
        <v>1055</v>
      </c>
      <c r="G946" s="108" t="s">
        <v>404</v>
      </c>
      <c r="H946" s="126">
        <f>H947</f>
        <v>0</v>
      </c>
      <c r="I946" s="108">
        <v>9810021570</v>
      </c>
      <c r="J946" s="108" t="str">
        <f t="shared" si="165"/>
        <v>9810021570</v>
      </c>
      <c r="K946" s="132"/>
      <c r="L946" s="17"/>
      <c r="M946" s="22"/>
      <c r="N946" s="22"/>
      <c r="O946" s="22"/>
      <c r="P946" s="22"/>
      <c r="Q946" s="22"/>
      <c r="R946" s="22"/>
      <c r="S946" s="24"/>
    </row>
    <row r="947" spans="1:19" s="23" customFormat="1" ht="15.75">
      <c r="A947" s="21"/>
      <c r="B947" s="127" t="s">
        <v>407</v>
      </c>
      <c r="C947" s="109" t="s">
        <v>510</v>
      </c>
      <c r="D947" s="108" t="s">
        <v>238</v>
      </c>
      <c r="E947" s="108" t="s">
        <v>11</v>
      </c>
      <c r="F947" s="108" t="s">
        <v>1055</v>
      </c>
      <c r="G947" s="108" t="s">
        <v>408</v>
      </c>
      <c r="H947" s="126"/>
      <c r="I947" s="108">
        <v>9810021570</v>
      </c>
      <c r="J947" s="108" t="str">
        <f t="shared" si="165"/>
        <v>9810021570</v>
      </c>
      <c r="K947" s="304" t="str">
        <f>C947&amp;D947&amp;E947&amp;J947&amp;G947</f>
        <v>60708019810021570612</v>
      </c>
      <c r="L947" s="24"/>
      <c r="M947" s="22"/>
      <c r="N947" s="22"/>
      <c r="O947" s="22"/>
      <c r="P947" s="22"/>
      <c r="Q947" s="22"/>
      <c r="R947" s="22"/>
      <c r="S947" s="24"/>
    </row>
    <row r="948" spans="1:19" s="16" customFormat="1" ht="15.75">
      <c r="A948" s="14"/>
      <c r="B948" s="121" t="s">
        <v>584</v>
      </c>
      <c r="C948" s="122" t="s">
        <v>510</v>
      </c>
      <c r="D948" s="123" t="s">
        <v>238</v>
      </c>
      <c r="E948" s="123" t="s">
        <v>73</v>
      </c>
      <c r="F948" s="123" t="s">
        <v>8</v>
      </c>
      <c r="G948" s="123" t="s">
        <v>9</v>
      </c>
      <c r="H948" s="124">
        <f>H949</f>
        <v>0</v>
      </c>
      <c r="I948" s="123">
        <v>0</v>
      </c>
      <c r="J948" s="123" t="str">
        <f t="shared" si="165"/>
        <v>0000000000</v>
      </c>
      <c r="K948" s="132"/>
      <c r="L948" s="17"/>
      <c r="M948" s="19">
        <v>13610.46</v>
      </c>
      <c r="N948" s="19">
        <v>13610.46</v>
      </c>
      <c r="O948" s="19">
        <v>13610.46</v>
      </c>
      <c r="P948" s="19">
        <f>H948-M948</f>
        <v>-13610.46</v>
      </c>
      <c r="Q948" s="19" t="e">
        <f>#REF!-N948</f>
        <v>#REF!</v>
      </c>
      <c r="R948" s="19" t="e">
        <f>#REF!-O948</f>
        <v>#REF!</v>
      </c>
      <c r="S948" s="17" t="str">
        <f t="shared" si="164"/>
        <v>00 0 00 00000000</v>
      </c>
    </row>
    <row r="949" spans="1:19" s="16" customFormat="1" ht="47.25">
      <c r="A949" s="14"/>
      <c r="B949" s="125" t="s">
        <v>585</v>
      </c>
      <c r="C949" s="109" t="s">
        <v>510</v>
      </c>
      <c r="D949" s="108" t="s">
        <v>238</v>
      </c>
      <c r="E949" s="108" t="s">
        <v>73</v>
      </c>
      <c r="F949" s="108" t="s">
        <v>586</v>
      </c>
      <c r="G949" s="108" t="s">
        <v>9</v>
      </c>
      <c r="H949" s="126">
        <f>H950+H965</f>
        <v>0</v>
      </c>
      <c r="I949" s="108">
        <v>7600000000</v>
      </c>
      <c r="J949" s="108" t="str">
        <f t="shared" si="165"/>
        <v>7600000000</v>
      </c>
      <c r="K949" s="132"/>
      <c r="L949" s="17"/>
      <c r="M949" s="20">
        <v>13610.46</v>
      </c>
      <c r="N949" s="20">
        <v>13610.46</v>
      </c>
      <c r="O949" s="20">
        <v>13610.46</v>
      </c>
      <c r="P949" s="20">
        <f>H949-M949</f>
        <v>-13610.46</v>
      </c>
      <c r="Q949" s="20" t="e">
        <f>#REF!-N949</f>
        <v>#REF!</v>
      </c>
      <c r="R949" s="20" t="e">
        <f>#REF!-O949</f>
        <v>#REF!</v>
      </c>
      <c r="S949" s="17" t="str">
        <f t="shared" si="164"/>
        <v>76 0 00 00000000</v>
      </c>
    </row>
    <row r="950" spans="1:19" s="16" customFormat="1" ht="47.25">
      <c r="A950" s="14"/>
      <c r="B950" s="125" t="s">
        <v>587</v>
      </c>
      <c r="C950" s="109" t="s">
        <v>510</v>
      </c>
      <c r="D950" s="108" t="s">
        <v>238</v>
      </c>
      <c r="E950" s="108" t="s">
        <v>73</v>
      </c>
      <c r="F950" s="108" t="s">
        <v>588</v>
      </c>
      <c r="G950" s="108" t="s">
        <v>9</v>
      </c>
      <c r="H950" s="126">
        <f>H951+H961</f>
        <v>0</v>
      </c>
      <c r="I950" s="108">
        <v>7610000000</v>
      </c>
      <c r="J950" s="108" t="str">
        <f t="shared" si="165"/>
        <v>7610000000</v>
      </c>
      <c r="K950" s="132"/>
      <c r="L950" s="17"/>
      <c r="M950" s="20">
        <v>13450.46</v>
      </c>
      <c r="N950" s="20">
        <v>13450.46</v>
      </c>
      <c r="O950" s="20">
        <v>13450.46</v>
      </c>
      <c r="P950" s="20">
        <f>H950-M950</f>
        <v>-13450.46</v>
      </c>
      <c r="Q950" s="20" t="e">
        <f>#REF!-N950</f>
        <v>#REF!</v>
      </c>
      <c r="R950" s="20" t="e">
        <f>#REF!-O950</f>
        <v>#REF!</v>
      </c>
      <c r="S950" s="17" t="str">
        <f t="shared" si="164"/>
        <v>76 1 00 00000000</v>
      </c>
    </row>
    <row r="951" spans="1:19" s="16" customFormat="1" ht="31.5">
      <c r="A951" s="14"/>
      <c r="B951" s="125" t="s">
        <v>18</v>
      </c>
      <c r="C951" s="109" t="s">
        <v>510</v>
      </c>
      <c r="D951" s="108" t="s">
        <v>238</v>
      </c>
      <c r="E951" s="108" t="s">
        <v>73</v>
      </c>
      <c r="F951" s="108" t="s">
        <v>589</v>
      </c>
      <c r="G951" s="108" t="s">
        <v>9</v>
      </c>
      <c r="H951" s="126">
        <f>H952+H955+H957</f>
        <v>0</v>
      </c>
      <c r="I951" s="108">
        <v>7610010010</v>
      </c>
      <c r="J951" s="108" t="str">
        <f t="shared" si="165"/>
        <v>7610010010</v>
      </c>
      <c r="K951" s="132"/>
      <c r="L951" s="17"/>
      <c r="M951" s="20">
        <v>1480.34</v>
      </c>
      <c r="N951" s="20">
        <v>1480.34</v>
      </c>
      <c r="O951" s="20">
        <v>1480.34</v>
      </c>
      <c r="P951" s="20">
        <f>H951-M951</f>
        <v>-1480.34</v>
      </c>
      <c r="Q951" s="20" t="e">
        <f>#REF!-N951</f>
        <v>#REF!</v>
      </c>
      <c r="R951" s="20" t="e">
        <f>#REF!-O951</f>
        <v>#REF!</v>
      </c>
      <c r="S951" s="17" t="str">
        <f t="shared" si="164"/>
        <v>76 1 00 10010000</v>
      </c>
    </row>
    <row r="952" spans="1:19" s="16" customFormat="1" ht="31.5">
      <c r="A952" s="14"/>
      <c r="B952" s="127" t="s">
        <v>20</v>
      </c>
      <c r="C952" s="109" t="s">
        <v>510</v>
      </c>
      <c r="D952" s="108" t="s">
        <v>238</v>
      </c>
      <c r="E952" s="108" t="s">
        <v>73</v>
      </c>
      <c r="F952" s="108" t="s">
        <v>589</v>
      </c>
      <c r="G952" s="108" t="s">
        <v>21</v>
      </c>
      <c r="H952" s="126">
        <f>SUM(H953:H954)</f>
        <v>0</v>
      </c>
      <c r="I952" s="108">
        <v>7610010010</v>
      </c>
      <c r="J952" s="108" t="str">
        <f t="shared" si="165"/>
        <v>7610010010</v>
      </c>
      <c r="K952" s="132"/>
      <c r="L952" s="17"/>
      <c r="M952" s="20">
        <v>357.33</v>
      </c>
      <c r="N952" s="20">
        <v>357.33</v>
      </c>
      <c r="O952" s="20">
        <v>357.33</v>
      </c>
      <c r="P952" s="20">
        <f>H952-M952</f>
        <v>-357.33</v>
      </c>
      <c r="Q952" s="20" t="e">
        <f>#REF!-N952</f>
        <v>#REF!</v>
      </c>
      <c r="R952" s="20" t="e">
        <f>#REF!-O952</f>
        <v>#REF!</v>
      </c>
      <c r="S952" s="17" t="str">
        <f t="shared" si="164"/>
        <v>76 1 00 10010120</v>
      </c>
    </row>
    <row r="953" spans="1:19" s="23" customFormat="1" ht="47.25">
      <c r="A953" s="21"/>
      <c r="B953" s="127" t="s">
        <v>22</v>
      </c>
      <c r="C953" s="109" t="s">
        <v>510</v>
      </c>
      <c r="D953" s="108" t="s">
        <v>238</v>
      </c>
      <c r="E953" s="108" t="s">
        <v>73</v>
      </c>
      <c r="F953" s="108" t="s">
        <v>589</v>
      </c>
      <c r="G953" s="108" t="s">
        <v>23</v>
      </c>
      <c r="H953" s="126"/>
      <c r="I953" s="108">
        <v>7610010010</v>
      </c>
      <c r="J953" s="108" t="str">
        <f t="shared" si="165"/>
        <v>7610010010</v>
      </c>
      <c r="K953" s="304" t="str">
        <f t="shared" ref="K953:K954" si="167">C953&amp;D953&amp;E953&amp;J953&amp;G953</f>
        <v>60708047610010010122</v>
      </c>
      <c r="L953" s="24"/>
      <c r="M953" s="22"/>
      <c r="N953" s="22"/>
      <c r="O953" s="22"/>
      <c r="P953" s="22"/>
      <c r="Q953" s="22"/>
      <c r="R953" s="22"/>
      <c r="S953" s="24"/>
    </row>
    <row r="954" spans="1:19" s="23" customFormat="1" ht="63">
      <c r="A954" s="21"/>
      <c r="B954" s="127" t="s">
        <v>26</v>
      </c>
      <c r="C954" s="109" t="s">
        <v>510</v>
      </c>
      <c r="D954" s="108" t="s">
        <v>238</v>
      </c>
      <c r="E954" s="108" t="s">
        <v>73</v>
      </c>
      <c r="F954" s="108" t="s">
        <v>589</v>
      </c>
      <c r="G954" s="108" t="s">
        <v>27</v>
      </c>
      <c r="H954" s="126"/>
      <c r="I954" s="108">
        <v>7610010010</v>
      </c>
      <c r="J954" s="108" t="str">
        <f t="shared" si="165"/>
        <v>7610010010</v>
      </c>
      <c r="K954" s="304" t="str">
        <f t="shared" si="167"/>
        <v>60708047610010010129</v>
      </c>
      <c r="L954" s="24"/>
      <c r="M954" s="22"/>
      <c r="N954" s="22"/>
      <c r="O954" s="22"/>
      <c r="P954" s="22"/>
      <c r="Q954" s="22"/>
      <c r="R954" s="22"/>
      <c r="S954" s="24"/>
    </row>
    <row r="955" spans="1:19" s="16" customFormat="1" ht="31.5">
      <c r="A955" s="14"/>
      <c r="B955" s="125" t="s">
        <v>28</v>
      </c>
      <c r="C955" s="109" t="s">
        <v>510</v>
      </c>
      <c r="D955" s="108" t="s">
        <v>238</v>
      </c>
      <c r="E955" s="108" t="s">
        <v>73</v>
      </c>
      <c r="F955" s="108" t="s">
        <v>589</v>
      </c>
      <c r="G955" s="108" t="s">
        <v>29</v>
      </c>
      <c r="H955" s="126">
        <f>H956</f>
        <v>0</v>
      </c>
      <c r="I955" s="108">
        <v>7610010010</v>
      </c>
      <c r="J955" s="108" t="str">
        <f t="shared" si="165"/>
        <v>7610010010</v>
      </c>
      <c r="K955" s="132"/>
      <c r="L955" s="17"/>
      <c r="M955" s="20">
        <v>941.81</v>
      </c>
      <c r="N955" s="20">
        <v>941.81</v>
      </c>
      <c r="O955" s="20">
        <v>941.81</v>
      </c>
      <c r="P955" s="20">
        <f>H955-M955</f>
        <v>-941.81</v>
      </c>
      <c r="Q955" s="20" t="e">
        <f>#REF!-N955</f>
        <v>#REF!</v>
      </c>
      <c r="R955" s="20" t="e">
        <f>#REF!-O955</f>
        <v>#REF!</v>
      </c>
      <c r="S955" s="17" t="str">
        <f t="shared" si="164"/>
        <v>76 1 00 10010240</v>
      </c>
    </row>
    <row r="956" spans="1:19" s="16" customFormat="1" ht="15.75">
      <c r="A956" s="14"/>
      <c r="B956" s="125" t="s">
        <v>30</v>
      </c>
      <c r="C956" s="109" t="s">
        <v>510</v>
      </c>
      <c r="D956" s="108" t="s">
        <v>238</v>
      </c>
      <c r="E956" s="108" t="s">
        <v>73</v>
      </c>
      <c r="F956" s="108" t="s">
        <v>589</v>
      </c>
      <c r="G956" s="108" t="s">
        <v>31</v>
      </c>
      <c r="H956" s="126"/>
      <c r="I956" s="108">
        <v>7610010010</v>
      </c>
      <c r="J956" s="108" t="str">
        <f t="shared" si="165"/>
        <v>7610010010</v>
      </c>
      <c r="K956" s="304" t="str">
        <f>C956&amp;D956&amp;E956&amp;J956&amp;G956</f>
        <v>60708047610010010244</v>
      </c>
      <c r="L956" s="17"/>
      <c r="M956" s="20"/>
      <c r="N956" s="20"/>
      <c r="O956" s="20"/>
      <c r="P956" s="20"/>
      <c r="Q956" s="20"/>
      <c r="R956" s="20"/>
      <c r="S956" s="17"/>
    </row>
    <row r="957" spans="1:19" s="16" customFormat="1" ht="15.75">
      <c r="A957" s="14"/>
      <c r="B957" s="125" t="s">
        <v>32</v>
      </c>
      <c r="C957" s="109" t="s">
        <v>510</v>
      </c>
      <c r="D957" s="108" t="s">
        <v>238</v>
      </c>
      <c r="E957" s="108" t="s">
        <v>73</v>
      </c>
      <c r="F957" s="108" t="s">
        <v>589</v>
      </c>
      <c r="G957" s="108" t="s">
        <v>33</v>
      </c>
      <c r="H957" s="126">
        <f>SUM(H958:H960)</f>
        <v>0</v>
      </c>
      <c r="I957" s="108">
        <v>7610010010</v>
      </c>
      <c r="J957" s="108" t="str">
        <f t="shared" si="165"/>
        <v>7610010010</v>
      </c>
      <c r="K957" s="132"/>
      <c r="L957" s="17"/>
      <c r="M957" s="20">
        <v>181.2</v>
      </c>
      <c r="N957" s="20">
        <v>181.2</v>
      </c>
      <c r="O957" s="20">
        <v>181.2</v>
      </c>
      <c r="P957" s="20">
        <f>H957-M957</f>
        <v>-181.2</v>
      </c>
      <c r="Q957" s="20" t="e">
        <f>#REF!-N957</f>
        <v>#REF!</v>
      </c>
      <c r="R957" s="20" t="e">
        <f>#REF!-O957</f>
        <v>#REF!</v>
      </c>
      <c r="S957" s="17" t="str">
        <f t="shared" si="164"/>
        <v>76 1 00 10010850</v>
      </c>
    </row>
    <row r="958" spans="1:19" s="23" customFormat="1" ht="31.5">
      <c r="A958" s="21"/>
      <c r="B958" s="127" t="s">
        <v>34</v>
      </c>
      <c r="C958" s="109" t="s">
        <v>510</v>
      </c>
      <c r="D958" s="108" t="s">
        <v>238</v>
      </c>
      <c r="E958" s="108" t="s">
        <v>73</v>
      </c>
      <c r="F958" s="108" t="s">
        <v>589</v>
      </c>
      <c r="G958" s="108" t="s">
        <v>35</v>
      </c>
      <c r="H958" s="126"/>
      <c r="I958" s="108">
        <v>7610010010</v>
      </c>
      <c r="J958" s="108" t="str">
        <f t="shared" si="165"/>
        <v>7610010010</v>
      </c>
      <c r="K958" s="304" t="str">
        <f t="shared" ref="K958:K960" si="168">C958&amp;D958&amp;E958&amp;J958&amp;G958</f>
        <v>60708047610010010851</v>
      </c>
      <c r="L958" s="24"/>
      <c r="M958" s="22"/>
      <c r="N958" s="22"/>
      <c r="O958" s="22"/>
      <c r="P958" s="22"/>
      <c r="Q958" s="22"/>
      <c r="R958" s="22"/>
      <c r="S958" s="24"/>
    </row>
    <row r="959" spans="1:19" s="23" customFormat="1" ht="15.75">
      <c r="A959" s="21"/>
      <c r="B959" s="127" t="s">
        <v>36</v>
      </c>
      <c r="C959" s="109" t="s">
        <v>510</v>
      </c>
      <c r="D959" s="108" t="s">
        <v>238</v>
      </c>
      <c r="E959" s="108" t="s">
        <v>73</v>
      </c>
      <c r="F959" s="108" t="s">
        <v>589</v>
      </c>
      <c r="G959" s="108" t="s">
        <v>37</v>
      </c>
      <c r="H959" s="126"/>
      <c r="I959" s="108">
        <v>7610010010</v>
      </c>
      <c r="J959" s="108" t="str">
        <f t="shared" si="165"/>
        <v>7610010010</v>
      </c>
      <c r="K959" s="304" t="str">
        <f t="shared" si="168"/>
        <v>60708047610010010852</v>
      </c>
      <c r="L959" s="24"/>
      <c r="M959" s="22"/>
      <c r="N959" s="22"/>
      <c r="O959" s="22"/>
      <c r="P959" s="22"/>
      <c r="Q959" s="22"/>
      <c r="R959" s="22"/>
      <c r="S959" s="24"/>
    </row>
    <row r="960" spans="1:19" s="23" customFormat="1" ht="15.75">
      <c r="A960" s="21"/>
      <c r="B960" s="127" t="s">
        <v>77</v>
      </c>
      <c r="C960" s="109" t="s">
        <v>510</v>
      </c>
      <c r="D960" s="108" t="s">
        <v>238</v>
      </c>
      <c r="E960" s="108" t="s">
        <v>73</v>
      </c>
      <c r="F960" s="108" t="s">
        <v>589</v>
      </c>
      <c r="G960" s="108" t="s">
        <v>78</v>
      </c>
      <c r="H960" s="126"/>
      <c r="I960" s="108">
        <v>7610010010</v>
      </c>
      <c r="J960" s="108" t="str">
        <f t="shared" si="165"/>
        <v>7610010010</v>
      </c>
      <c r="K960" s="304" t="str">
        <f t="shared" si="168"/>
        <v>60708047610010010853</v>
      </c>
      <c r="L960" s="24"/>
      <c r="M960" s="22"/>
      <c r="N960" s="22"/>
      <c r="O960" s="22"/>
      <c r="P960" s="22"/>
      <c r="Q960" s="22"/>
      <c r="R960" s="22"/>
      <c r="S960" s="24"/>
    </row>
    <row r="961" spans="1:19" s="16" customFormat="1" ht="31.5">
      <c r="A961" s="14"/>
      <c r="B961" s="125" t="s">
        <v>38</v>
      </c>
      <c r="C961" s="109" t="s">
        <v>510</v>
      </c>
      <c r="D961" s="108" t="s">
        <v>238</v>
      </c>
      <c r="E961" s="108" t="s">
        <v>73</v>
      </c>
      <c r="F961" s="108" t="s">
        <v>590</v>
      </c>
      <c r="G961" s="108" t="s">
        <v>9</v>
      </c>
      <c r="H961" s="126">
        <f>H962</f>
        <v>0</v>
      </c>
      <c r="I961" s="108">
        <v>7610010020</v>
      </c>
      <c r="J961" s="108" t="str">
        <f t="shared" si="165"/>
        <v>7610010020</v>
      </c>
      <c r="K961" s="132"/>
      <c r="L961" s="17"/>
      <c r="M961" s="20">
        <v>11970.119999999999</v>
      </c>
      <c r="N961" s="20">
        <v>11970.119999999999</v>
      </c>
      <c r="O961" s="20">
        <v>11970.119999999999</v>
      </c>
      <c r="P961" s="20">
        <f>H961-M961</f>
        <v>-11970.119999999999</v>
      </c>
      <c r="Q961" s="20" t="e">
        <f>#REF!-N961</f>
        <v>#REF!</v>
      </c>
      <c r="R961" s="20" t="e">
        <f>#REF!-O961</f>
        <v>#REF!</v>
      </c>
      <c r="S961" s="17" t="str">
        <f t="shared" si="164"/>
        <v>76 1 00 10020000</v>
      </c>
    </row>
    <row r="962" spans="1:19" s="16" customFormat="1" ht="31.5">
      <c r="A962" s="14"/>
      <c r="B962" s="127" t="s">
        <v>20</v>
      </c>
      <c r="C962" s="109" t="s">
        <v>510</v>
      </c>
      <c r="D962" s="108" t="s">
        <v>238</v>
      </c>
      <c r="E962" s="108" t="s">
        <v>73</v>
      </c>
      <c r="F962" s="108" t="s">
        <v>590</v>
      </c>
      <c r="G962" s="108" t="s">
        <v>21</v>
      </c>
      <c r="H962" s="126">
        <f>SUM(H963:H964)</f>
        <v>0</v>
      </c>
      <c r="I962" s="108">
        <v>7610010020</v>
      </c>
      <c r="J962" s="108" t="str">
        <f t="shared" si="165"/>
        <v>7610010020</v>
      </c>
      <c r="K962" s="132"/>
      <c r="L962" s="17"/>
      <c r="M962" s="20">
        <v>11970.119999999999</v>
      </c>
      <c r="N962" s="20">
        <v>11970.119999999999</v>
      </c>
      <c r="O962" s="20">
        <v>11970.119999999999</v>
      </c>
      <c r="P962" s="20">
        <f>H962-M962</f>
        <v>-11970.119999999999</v>
      </c>
      <c r="Q962" s="20" t="e">
        <f>#REF!-N962</f>
        <v>#REF!</v>
      </c>
      <c r="R962" s="20" t="e">
        <f>#REF!-O962</f>
        <v>#REF!</v>
      </c>
      <c r="S962" s="17" t="str">
        <f t="shared" si="164"/>
        <v>76 1 00 10020120</v>
      </c>
    </row>
    <row r="963" spans="1:19" s="23" customFormat="1" ht="31.5">
      <c r="A963" s="21"/>
      <c r="B963" s="127" t="s">
        <v>40</v>
      </c>
      <c r="C963" s="109" t="s">
        <v>510</v>
      </c>
      <c r="D963" s="108" t="s">
        <v>238</v>
      </c>
      <c r="E963" s="108" t="s">
        <v>73</v>
      </c>
      <c r="F963" s="108" t="s">
        <v>590</v>
      </c>
      <c r="G963" s="108" t="s">
        <v>41</v>
      </c>
      <c r="H963" s="126"/>
      <c r="I963" s="108">
        <v>7610010020</v>
      </c>
      <c r="J963" s="108" t="str">
        <f t="shared" si="165"/>
        <v>7610010020</v>
      </c>
      <c r="K963" s="304" t="str">
        <f t="shared" ref="K963:K964" si="169">C963&amp;D963&amp;E963&amp;J963&amp;G963</f>
        <v>60708047610010020121</v>
      </c>
      <c r="L963" s="24"/>
      <c r="M963" s="22"/>
      <c r="N963" s="22"/>
      <c r="O963" s="22"/>
      <c r="P963" s="22"/>
      <c r="Q963" s="22"/>
      <c r="R963" s="22"/>
      <c r="S963" s="24"/>
    </row>
    <row r="964" spans="1:19" s="23" customFormat="1" ht="63">
      <c r="A964" s="21"/>
      <c r="B964" s="127" t="s">
        <v>26</v>
      </c>
      <c r="C964" s="109" t="s">
        <v>510</v>
      </c>
      <c r="D964" s="108" t="s">
        <v>238</v>
      </c>
      <c r="E964" s="108" t="s">
        <v>73</v>
      </c>
      <c r="F964" s="108" t="s">
        <v>590</v>
      </c>
      <c r="G964" s="108" t="s">
        <v>27</v>
      </c>
      <c r="H964" s="126"/>
      <c r="I964" s="108">
        <v>7610010020</v>
      </c>
      <c r="J964" s="108" t="str">
        <f t="shared" si="165"/>
        <v>7610010020</v>
      </c>
      <c r="K964" s="304" t="str">
        <f t="shared" si="169"/>
        <v>60708047610010020129</v>
      </c>
      <c r="L964" s="24"/>
      <c r="M964" s="22"/>
      <c r="N964" s="22"/>
      <c r="O964" s="22"/>
      <c r="P964" s="22"/>
      <c r="Q964" s="22"/>
      <c r="R964" s="22"/>
      <c r="S964" s="24"/>
    </row>
    <row r="965" spans="1:19" s="16" customFormat="1" ht="15.75">
      <c r="A965" s="14"/>
      <c r="B965" s="127" t="s">
        <v>52</v>
      </c>
      <c r="C965" s="109" t="s">
        <v>510</v>
      </c>
      <c r="D965" s="108" t="s">
        <v>238</v>
      </c>
      <c r="E965" s="108" t="s">
        <v>73</v>
      </c>
      <c r="F965" s="108" t="s">
        <v>591</v>
      </c>
      <c r="G965" s="108" t="s">
        <v>9</v>
      </c>
      <c r="H965" s="126">
        <f t="shared" ref="H965:H966" si="170">H966</f>
        <v>0</v>
      </c>
      <c r="I965" s="108">
        <v>7620000000</v>
      </c>
      <c r="J965" s="108" t="str">
        <f t="shared" si="165"/>
        <v>7620000000</v>
      </c>
      <c r="K965" s="132"/>
      <c r="L965" s="17"/>
      <c r="M965" s="20">
        <v>160</v>
      </c>
      <c r="N965" s="20">
        <v>160</v>
      </c>
      <c r="O965" s="20">
        <v>160</v>
      </c>
      <c r="P965" s="20">
        <f>H965-M965</f>
        <v>-160</v>
      </c>
      <c r="Q965" s="20" t="e">
        <f>#REF!-N965</f>
        <v>#REF!</v>
      </c>
      <c r="R965" s="20" t="e">
        <f>#REF!-O965</f>
        <v>#REF!</v>
      </c>
      <c r="S965" s="17" t="str">
        <f t="shared" si="164"/>
        <v>76 2 00 00000000</v>
      </c>
    </row>
    <row r="966" spans="1:19" s="16" customFormat="1" ht="47.25">
      <c r="A966" s="14"/>
      <c r="B966" s="125" t="s">
        <v>592</v>
      </c>
      <c r="C966" s="109" t="s">
        <v>510</v>
      </c>
      <c r="D966" s="108" t="s">
        <v>238</v>
      </c>
      <c r="E966" s="108" t="s">
        <v>73</v>
      </c>
      <c r="F966" s="108" t="s">
        <v>593</v>
      </c>
      <c r="G966" s="108" t="s">
        <v>9</v>
      </c>
      <c r="H966" s="126">
        <f t="shared" si="170"/>
        <v>0</v>
      </c>
      <c r="I966" s="108">
        <v>7620020250</v>
      </c>
      <c r="J966" s="108" t="str">
        <f t="shared" si="165"/>
        <v>7620020250</v>
      </c>
      <c r="K966" s="132"/>
      <c r="L966" s="17"/>
      <c r="M966" s="20">
        <v>160</v>
      </c>
      <c r="N966" s="20">
        <v>160</v>
      </c>
      <c r="O966" s="20">
        <v>160</v>
      </c>
      <c r="P966" s="20">
        <f>H966-M966</f>
        <v>-160</v>
      </c>
      <c r="Q966" s="20" t="e">
        <f>#REF!-N966</f>
        <v>#REF!</v>
      </c>
      <c r="R966" s="20" t="e">
        <f>#REF!-O966</f>
        <v>#REF!</v>
      </c>
      <c r="S966" s="17" t="str">
        <f t="shared" si="164"/>
        <v>76 2 00 20250000</v>
      </c>
    </row>
    <row r="967" spans="1:19" s="16" customFormat="1" ht="31.5">
      <c r="A967" s="14"/>
      <c r="B967" s="125" t="s">
        <v>28</v>
      </c>
      <c r="C967" s="109" t="s">
        <v>510</v>
      </c>
      <c r="D967" s="108" t="s">
        <v>238</v>
      </c>
      <c r="E967" s="108" t="s">
        <v>73</v>
      </c>
      <c r="F967" s="108" t="s">
        <v>593</v>
      </c>
      <c r="G967" s="108" t="s">
        <v>29</v>
      </c>
      <c r="H967" s="126">
        <f>H968</f>
        <v>0</v>
      </c>
      <c r="I967" s="108">
        <v>7620020250</v>
      </c>
      <c r="J967" s="108" t="str">
        <f t="shared" si="165"/>
        <v>7620020250</v>
      </c>
      <c r="K967" s="132"/>
      <c r="L967" s="17"/>
      <c r="M967" s="20">
        <v>160</v>
      </c>
      <c r="N967" s="20">
        <v>160</v>
      </c>
      <c r="O967" s="20">
        <v>160</v>
      </c>
      <c r="P967" s="20">
        <f>H967-M967</f>
        <v>-160</v>
      </c>
      <c r="Q967" s="20" t="e">
        <f>#REF!-N967</f>
        <v>#REF!</v>
      </c>
      <c r="R967" s="20" t="e">
        <f>#REF!-O967</f>
        <v>#REF!</v>
      </c>
      <c r="S967" s="17" t="str">
        <f t="shared" si="164"/>
        <v>76 2 00 20250240</v>
      </c>
    </row>
    <row r="968" spans="1:19" s="16" customFormat="1" ht="15.75">
      <c r="A968" s="14"/>
      <c r="B968" s="125" t="s">
        <v>30</v>
      </c>
      <c r="C968" s="109" t="s">
        <v>510</v>
      </c>
      <c r="D968" s="108" t="s">
        <v>238</v>
      </c>
      <c r="E968" s="108" t="s">
        <v>73</v>
      </c>
      <c r="F968" s="108" t="s">
        <v>593</v>
      </c>
      <c r="G968" s="108" t="s">
        <v>31</v>
      </c>
      <c r="H968" s="126"/>
      <c r="I968" s="108">
        <v>7620020250</v>
      </c>
      <c r="J968" s="108" t="str">
        <f t="shared" si="165"/>
        <v>7620020250</v>
      </c>
      <c r="K968" s="304" t="str">
        <f>C968&amp;D968&amp;E968&amp;J968&amp;G968</f>
        <v>60708047620020250244</v>
      </c>
      <c r="L968" s="17"/>
      <c r="M968" s="20"/>
      <c r="N968" s="20"/>
      <c r="O968" s="20"/>
      <c r="P968" s="20"/>
      <c r="Q968" s="20"/>
      <c r="R968" s="20"/>
      <c r="S968" s="17"/>
    </row>
    <row r="969" spans="1:19" s="16" customFormat="1" ht="15.75">
      <c r="A969" s="14"/>
      <c r="B969" s="125"/>
      <c r="C969" s="109"/>
      <c r="D969" s="108"/>
      <c r="E969" s="108"/>
      <c r="F969" s="108"/>
      <c r="G969" s="108"/>
      <c r="H969" s="126"/>
      <c r="I969" s="108"/>
      <c r="J969" s="108" t="str">
        <f t="shared" si="165"/>
        <v>0000000000</v>
      </c>
      <c r="K969" s="17"/>
      <c r="L969" s="17"/>
      <c r="M969" s="20"/>
      <c r="N969" s="20"/>
      <c r="O969" s="20"/>
      <c r="P969" s="20">
        <f t="shared" ref="P969:P977" si="171">H969-M969</f>
        <v>0</v>
      </c>
      <c r="Q969" s="20" t="e">
        <f>#REF!-N969</f>
        <v>#REF!</v>
      </c>
      <c r="R969" s="20" t="e">
        <f>#REF!-O969</f>
        <v>#REF!</v>
      </c>
      <c r="S969" s="17" t="str">
        <f t="shared" si="164"/>
        <v/>
      </c>
    </row>
    <row r="970" spans="1:19" s="13" customFormat="1" ht="31.5">
      <c r="A970" s="1"/>
      <c r="B970" s="67" t="s">
        <v>594</v>
      </c>
      <c r="C970" s="116" t="s">
        <v>595</v>
      </c>
      <c r="D970" s="69" t="s">
        <v>7</v>
      </c>
      <c r="E970" s="69" t="s">
        <v>7</v>
      </c>
      <c r="F970" s="69" t="s">
        <v>8</v>
      </c>
      <c r="G970" s="69" t="s">
        <v>9</v>
      </c>
      <c r="H970" s="146">
        <f>H993+H971+H985</f>
        <v>0</v>
      </c>
      <c r="I970" s="69">
        <v>0</v>
      </c>
      <c r="J970" s="69" t="str">
        <f t="shared" si="165"/>
        <v>0000000000</v>
      </c>
      <c r="K970" s="132"/>
      <c r="L970" s="17"/>
      <c r="M970" s="35">
        <v>1878909.89</v>
      </c>
      <c r="N970" s="35">
        <v>1942584.3200000001</v>
      </c>
      <c r="O970" s="35">
        <v>1992223.5200000003</v>
      </c>
      <c r="P970" s="35">
        <f t="shared" si="171"/>
        <v>-1878909.89</v>
      </c>
      <c r="Q970" s="35" t="e">
        <f>#REF!-N970</f>
        <v>#REF!</v>
      </c>
      <c r="R970" s="35" t="e">
        <f>#REF!-O970</f>
        <v>#REF!</v>
      </c>
      <c r="S970" s="17" t="str">
        <f t="shared" si="164"/>
        <v>00 0 00 00000000</v>
      </c>
    </row>
    <row r="971" spans="1:19" s="29" customFormat="1" ht="15.75">
      <c r="A971" s="28"/>
      <c r="B971" s="117" t="s">
        <v>10</v>
      </c>
      <c r="C971" s="118" t="s">
        <v>595</v>
      </c>
      <c r="D971" s="119" t="s">
        <v>11</v>
      </c>
      <c r="E971" s="119" t="s">
        <v>7</v>
      </c>
      <c r="F971" s="119" t="s">
        <v>8</v>
      </c>
      <c r="G971" s="119" t="s">
        <v>9</v>
      </c>
      <c r="H971" s="120">
        <f t="shared" ref="H971:H976" si="172">H972</f>
        <v>0</v>
      </c>
      <c r="I971" s="119">
        <v>0</v>
      </c>
      <c r="J971" s="119" t="str">
        <f t="shared" si="165"/>
        <v>0000000000</v>
      </c>
      <c r="K971" s="132"/>
      <c r="L971" s="17"/>
      <c r="M971" s="18">
        <v>6.98</v>
      </c>
      <c r="N971" s="18">
        <v>6.98</v>
      </c>
      <c r="O971" s="18">
        <v>6.98</v>
      </c>
      <c r="P971" s="18">
        <f t="shared" si="171"/>
        <v>-6.98</v>
      </c>
      <c r="Q971" s="18" t="e">
        <f>#REF!-N971</f>
        <v>#REF!</v>
      </c>
      <c r="R971" s="18" t="e">
        <f>#REF!-O971</f>
        <v>#REF!</v>
      </c>
      <c r="S971" s="17" t="str">
        <f t="shared" si="164"/>
        <v>00 0 00 00000000</v>
      </c>
    </row>
    <row r="972" spans="1:19" s="29" customFormat="1" ht="15.75">
      <c r="A972" s="28"/>
      <c r="B972" s="121" t="s">
        <v>50</v>
      </c>
      <c r="C972" s="122" t="s">
        <v>595</v>
      </c>
      <c r="D972" s="123" t="s">
        <v>11</v>
      </c>
      <c r="E972" s="123" t="s">
        <v>51</v>
      </c>
      <c r="F972" s="123" t="s">
        <v>8</v>
      </c>
      <c r="G972" s="123" t="s">
        <v>9</v>
      </c>
      <c r="H972" s="124">
        <f>H973+H979</f>
        <v>0</v>
      </c>
      <c r="I972" s="123">
        <v>0</v>
      </c>
      <c r="J972" s="123" t="str">
        <f t="shared" si="165"/>
        <v>0000000000</v>
      </c>
      <c r="K972" s="132"/>
      <c r="L972" s="17"/>
      <c r="M972" s="19">
        <v>6.98</v>
      </c>
      <c r="N972" s="19">
        <v>6.98</v>
      </c>
      <c r="O972" s="19">
        <v>6.98</v>
      </c>
      <c r="P972" s="19">
        <f t="shared" si="171"/>
        <v>-6.98</v>
      </c>
      <c r="Q972" s="19" t="e">
        <f>#REF!-N972</f>
        <v>#REF!</v>
      </c>
      <c r="R972" s="19" t="e">
        <f>#REF!-O972</f>
        <v>#REF!</v>
      </c>
      <c r="S972" s="17" t="str">
        <f t="shared" si="164"/>
        <v>00 0 00 00000000</v>
      </c>
    </row>
    <row r="973" spans="1:19" s="29" customFormat="1" ht="63">
      <c r="A973" s="28"/>
      <c r="B973" s="132" t="s">
        <v>257</v>
      </c>
      <c r="C973" s="109" t="s">
        <v>595</v>
      </c>
      <c r="D973" s="108" t="s">
        <v>11</v>
      </c>
      <c r="E973" s="108" t="s">
        <v>51</v>
      </c>
      <c r="F973" s="108" t="s">
        <v>258</v>
      </c>
      <c r="G973" s="108" t="s">
        <v>9</v>
      </c>
      <c r="H973" s="126">
        <f t="shared" si="172"/>
        <v>0</v>
      </c>
      <c r="I973" s="108">
        <v>1100000000</v>
      </c>
      <c r="J973" s="108" t="str">
        <f t="shared" si="165"/>
        <v>1100000000</v>
      </c>
      <c r="K973" s="132"/>
      <c r="L973" s="17"/>
      <c r="M973" s="20">
        <v>6.98</v>
      </c>
      <c r="N973" s="20">
        <v>6.98</v>
      </c>
      <c r="O973" s="20">
        <v>6.98</v>
      </c>
      <c r="P973" s="20">
        <f t="shared" si="171"/>
        <v>-6.98</v>
      </c>
      <c r="Q973" s="20" t="e">
        <f>#REF!-N973</f>
        <v>#REF!</v>
      </c>
      <c r="R973" s="20" t="e">
        <f>#REF!-O973</f>
        <v>#REF!</v>
      </c>
      <c r="S973" s="17" t="str">
        <f t="shared" si="164"/>
        <v>11 0 00 00000000</v>
      </c>
    </row>
    <row r="974" spans="1:19" s="29" customFormat="1" ht="63">
      <c r="A974" s="28"/>
      <c r="B974" s="132" t="s">
        <v>259</v>
      </c>
      <c r="C974" s="109" t="s">
        <v>595</v>
      </c>
      <c r="D974" s="108" t="s">
        <v>11</v>
      </c>
      <c r="E974" s="108" t="s">
        <v>51</v>
      </c>
      <c r="F974" s="108" t="s">
        <v>260</v>
      </c>
      <c r="G974" s="108" t="s">
        <v>9</v>
      </c>
      <c r="H974" s="126">
        <f t="shared" si="172"/>
        <v>0</v>
      </c>
      <c r="I974" s="108" t="s">
        <v>1171</v>
      </c>
      <c r="J974" s="108" t="str">
        <f t="shared" si="165"/>
        <v>11Б0000000</v>
      </c>
      <c r="K974" s="132"/>
      <c r="L974" s="17"/>
      <c r="M974" s="20">
        <v>6.98</v>
      </c>
      <c r="N974" s="20">
        <v>6.98</v>
      </c>
      <c r="O974" s="20">
        <v>6.98</v>
      </c>
      <c r="P974" s="20">
        <f t="shared" si="171"/>
        <v>-6.98</v>
      </c>
      <c r="Q974" s="20" t="e">
        <f>#REF!-N974</f>
        <v>#REF!</v>
      </c>
      <c r="R974" s="20" t="e">
        <f>#REF!-O974</f>
        <v>#REF!</v>
      </c>
      <c r="S974" s="17" t="str">
        <f t="shared" si="164"/>
        <v>11 Б 00 00000000</v>
      </c>
    </row>
    <row r="975" spans="1:19" s="29" customFormat="1" ht="47.25">
      <c r="A975" s="28"/>
      <c r="B975" s="125" t="s">
        <v>261</v>
      </c>
      <c r="C975" s="109" t="s">
        <v>595</v>
      </c>
      <c r="D975" s="108" t="s">
        <v>11</v>
      </c>
      <c r="E975" s="108" t="s">
        <v>51</v>
      </c>
      <c r="F975" s="108" t="s">
        <v>262</v>
      </c>
      <c r="G975" s="108" t="s">
        <v>9</v>
      </c>
      <c r="H975" s="126">
        <f t="shared" si="172"/>
        <v>0</v>
      </c>
      <c r="I975" s="108" t="s">
        <v>1172</v>
      </c>
      <c r="J975" s="108" t="str">
        <f t="shared" si="165"/>
        <v>11Б0100000</v>
      </c>
      <c r="K975" s="132"/>
      <c r="L975" s="17"/>
      <c r="M975" s="20">
        <v>6.98</v>
      </c>
      <c r="N975" s="20">
        <v>6.98</v>
      </c>
      <c r="O975" s="20">
        <v>6.98</v>
      </c>
      <c r="P975" s="20">
        <f t="shared" si="171"/>
        <v>-6.98</v>
      </c>
      <c r="Q975" s="20" t="e">
        <f>#REF!-N975</f>
        <v>#REF!</v>
      </c>
      <c r="R975" s="20" t="e">
        <f>#REF!-O975</f>
        <v>#REF!</v>
      </c>
      <c r="S975" s="17" t="str">
        <f t="shared" si="164"/>
        <v>11 Б 01 00000000</v>
      </c>
    </row>
    <row r="976" spans="1:19" s="13" customFormat="1" ht="31.5">
      <c r="A976" s="1"/>
      <c r="B976" s="125" t="s">
        <v>267</v>
      </c>
      <c r="C976" s="109" t="s">
        <v>595</v>
      </c>
      <c r="D976" s="108" t="s">
        <v>11</v>
      </c>
      <c r="E976" s="108" t="s">
        <v>51</v>
      </c>
      <c r="F976" s="108" t="s">
        <v>268</v>
      </c>
      <c r="G976" s="108" t="s">
        <v>9</v>
      </c>
      <c r="H976" s="126">
        <f t="shared" si="172"/>
        <v>0</v>
      </c>
      <c r="I976" s="108" t="s">
        <v>1175</v>
      </c>
      <c r="J976" s="108" t="str">
        <f t="shared" si="165"/>
        <v>11Б0121120</v>
      </c>
      <c r="K976" s="132"/>
      <c r="L976" s="17"/>
      <c r="M976" s="20">
        <v>6.98</v>
      </c>
      <c r="N976" s="20">
        <v>6.98</v>
      </c>
      <c r="O976" s="20">
        <v>6.98</v>
      </c>
      <c r="P976" s="20">
        <f t="shared" si="171"/>
        <v>-6.98</v>
      </c>
      <c r="Q976" s="20" t="e">
        <f>#REF!-N976</f>
        <v>#REF!</v>
      </c>
      <c r="R976" s="20" t="e">
        <f>#REF!-O976</f>
        <v>#REF!</v>
      </c>
      <c r="S976" s="17" t="str">
        <f t="shared" si="164"/>
        <v>11 Б 01 21120000</v>
      </c>
    </row>
    <row r="977" spans="1:19" s="13" customFormat="1" ht="31.5">
      <c r="A977" s="1"/>
      <c r="B977" s="125" t="s">
        <v>28</v>
      </c>
      <c r="C977" s="109" t="s">
        <v>595</v>
      </c>
      <c r="D977" s="108" t="s">
        <v>11</v>
      </c>
      <c r="E977" s="108" t="s">
        <v>51</v>
      </c>
      <c r="F977" s="108" t="s">
        <v>268</v>
      </c>
      <c r="G977" s="108" t="s">
        <v>29</v>
      </c>
      <c r="H977" s="126">
        <f>H978</f>
        <v>0</v>
      </c>
      <c r="I977" s="108" t="s">
        <v>1175</v>
      </c>
      <c r="J977" s="108" t="str">
        <f t="shared" si="165"/>
        <v>11Б0121120</v>
      </c>
      <c r="K977" s="132"/>
      <c r="L977" s="17"/>
      <c r="M977" s="20">
        <v>6.98</v>
      </c>
      <c r="N977" s="20">
        <v>6.98</v>
      </c>
      <c r="O977" s="20">
        <v>6.98</v>
      </c>
      <c r="P977" s="20">
        <f t="shared" si="171"/>
        <v>-6.98</v>
      </c>
      <c r="Q977" s="20" t="e">
        <f>#REF!-N977</f>
        <v>#REF!</v>
      </c>
      <c r="R977" s="20" t="e">
        <f>#REF!-O977</f>
        <v>#REF!</v>
      </c>
      <c r="S977" s="17" t="str">
        <f t="shared" si="164"/>
        <v>11 Б 01 21120240</v>
      </c>
    </row>
    <row r="978" spans="1:19" s="13" customFormat="1" ht="15.75">
      <c r="A978" s="1"/>
      <c r="B978" s="125" t="s">
        <v>30</v>
      </c>
      <c r="C978" s="109" t="s">
        <v>595</v>
      </c>
      <c r="D978" s="108" t="s">
        <v>11</v>
      </c>
      <c r="E978" s="108" t="s">
        <v>51</v>
      </c>
      <c r="F978" s="108" t="s">
        <v>268</v>
      </c>
      <c r="G978" s="108" t="s">
        <v>31</v>
      </c>
      <c r="H978" s="126"/>
      <c r="I978" s="108" t="s">
        <v>1175</v>
      </c>
      <c r="J978" s="108" t="str">
        <f t="shared" si="165"/>
        <v>11Б0121120</v>
      </c>
      <c r="K978" s="304" t="str">
        <f>C978&amp;D978&amp;E978&amp;J978&amp;G978</f>
        <v>609011311Б0121120244</v>
      </c>
      <c r="L978" s="1"/>
      <c r="M978" s="20"/>
      <c r="N978" s="20"/>
      <c r="O978" s="20"/>
      <c r="P978" s="20"/>
      <c r="Q978" s="20"/>
      <c r="R978" s="20"/>
      <c r="S978" s="17" t="str">
        <f t="shared" si="164"/>
        <v>11 Б 01 21120244</v>
      </c>
    </row>
    <row r="979" spans="1:19" s="13" customFormat="1" ht="47.25">
      <c r="A979" s="1"/>
      <c r="B979" s="147" t="s">
        <v>689</v>
      </c>
      <c r="C979" s="109" t="s">
        <v>595</v>
      </c>
      <c r="D979" s="108" t="s">
        <v>11</v>
      </c>
      <c r="E979" s="108" t="s">
        <v>51</v>
      </c>
      <c r="F979" s="109" t="s">
        <v>690</v>
      </c>
      <c r="G979" s="108" t="s">
        <v>9</v>
      </c>
      <c r="H979" s="126">
        <f>H980</f>
        <v>0</v>
      </c>
      <c r="I979" s="109">
        <v>7700000000</v>
      </c>
      <c r="J979" s="108" t="str">
        <f t="shared" si="165"/>
        <v>7700000000</v>
      </c>
      <c r="K979" s="304" t="str">
        <f t="shared" ref="K979:K984" si="173">C979&amp;D979&amp;E979&amp;J979&amp;G979</f>
        <v>60901137700000000000</v>
      </c>
      <c r="L979" s="1"/>
      <c r="M979" s="20"/>
      <c r="N979" s="20"/>
      <c r="O979" s="20"/>
      <c r="P979" s="20"/>
      <c r="Q979" s="20"/>
      <c r="R979" s="20"/>
      <c r="S979" s="17"/>
    </row>
    <row r="980" spans="1:19" s="13" customFormat="1" ht="47.25">
      <c r="A980" s="1"/>
      <c r="B980" s="147" t="s">
        <v>691</v>
      </c>
      <c r="C980" s="109" t="s">
        <v>595</v>
      </c>
      <c r="D980" s="108" t="s">
        <v>11</v>
      </c>
      <c r="E980" s="108" t="s">
        <v>51</v>
      </c>
      <c r="F980" s="109" t="s">
        <v>692</v>
      </c>
      <c r="G980" s="108" t="s">
        <v>9</v>
      </c>
      <c r="H980" s="126">
        <f>H981</f>
        <v>0</v>
      </c>
      <c r="I980" s="109">
        <v>7710000000</v>
      </c>
      <c r="J980" s="108" t="str">
        <f t="shared" si="165"/>
        <v>7710000000</v>
      </c>
      <c r="K980" s="304" t="str">
        <f t="shared" si="173"/>
        <v>60901137710000000000</v>
      </c>
      <c r="L980" s="1"/>
      <c r="M980" s="20"/>
      <c r="N980" s="20"/>
      <c r="O980" s="20"/>
      <c r="P980" s="20"/>
      <c r="Q980" s="20"/>
      <c r="R980" s="20"/>
      <c r="S980" s="17"/>
    </row>
    <row r="981" spans="1:19" s="13" customFormat="1" ht="47.25">
      <c r="A981" s="1"/>
      <c r="B981" s="125" t="s">
        <v>355</v>
      </c>
      <c r="C981" s="109" t="s">
        <v>595</v>
      </c>
      <c r="D981" s="131" t="s">
        <v>11</v>
      </c>
      <c r="E981" s="131" t="s">
        <v>51</v>
      </c>
      <c r="F981" s="131" t="s">
        <v>1224</v>
      </c>
      <c r="G981" s="131" t="s">
        <v>9</v>
      </c>
      <c r="H981" s="126">
        <f t="shared" ref="H981" si="174">H982</f>
        <v>0</v>
      </c>
      <c r="I981" s="131">
        <v>7710010050</v>
      </c>
      <c r="J981" s="108" t="str">
        <f t="shared" si="165"/>
        <v>7710010050</v>
      </c>
      <c r="K981" s="304" t="str">
        <f t="shared" si="173"/>
        <v>60901137710010050000</v>
      </c>
      <c r="L981" s="1"/>
      <c r="M981" s="20"/>
      <c r="N981" s="20"/>
      <c r="O981" s="20"/>
      <c r="P981" s="20"/>
      <c r="Q981" s="20"/>
      <c r="R981" s="20"/>
      <c r="S981" s="17"/>
    </row>
    <row r="982" spans="1:19" s="13" customFormat="1" ht="31.5">
      <c r="A982" s="1"/>
      <c r="B982" s="127" t="s">
        <v>20</v>
      </c>
      <c r="C982" s="109" t="s">
        <v>595</v>
      </c>
      <c r="D982" s="131" t="s">
        <v>11</v>
      </c>
      <c r="E982" s="131" t="s">
        <v>51</v>
      </c>
      <c r="F982" s="131" t="s">
        <v>1224</v>
      </c>
      <c r="G982" s="305" t="s">
        <v>21</v>
      </c>
      <c r="H982" s="126">
        <f>SUM(H983:H984)</f>
        <v>0</v>
      </c>
      <c r="I982" s="131">
        <v>7710010050</v>
      </c>
      <c r="J982" s="108" t="str">
        <f t="shared" si="165"/>
        <v>7710010050</v>
      </c>
      <c r="K982" s="304" t="str">
        <f t="shared" si="173"/>
        <v>60901137710010050120</v>
      </c>
      <c r="L982" s="1"/>
      <c r="M982" s="20"/>
      <c r="N982" s="20"/>
      <c r="O982" s="20"/>
      <c r="P982" s="20"/>
      <c r="Q982" s="20"/>
      <c r="R982" s="20"/>
      <c r="S982" s="17"/>
    </row>
    <row r="983" spans="1:19" s="13" customFormat="1" ht="47.25">
      <c r="A983" s="1"/>
      <c r="B983" s="127" t="s">
        <v>22</v>
      </c>
      <c r="C983" s="109" t="s">
        <v>595</v>
      </c>
      <c r="D983" s="131" t="s">
        <v>11</v>
      </c>
      <c r="E983" s="131" t="s">
        <v>51</v>
      </c>
      <c r="F983" s="131" t="s">
        <v>1224</v>
      </c>
      <c r="G983" s="305" t="s">
        <v>23</v>
      </c>
      <c r="H983" s="126"/>
      <c r="I983" s="131">
        <v>7710010050</v>
      </c>
      <c r="J983" s="108" t="str">
        <f t="shared" si="165"/>
        <v>7710010050</v>
      </c>
      <c r="K983" s="304" t="str">
        <f t="shared" si="173"/>
        <v>60901137710010050122</v>
      </c>
      <c r="L983" s="1"/>
      <c r="M983" s="20"/>
      <c r="N983" s="20"/>
      <c r="O983" s="20"/>
      <c r="P983" s="20"/>
      <c r="Q983" s="20"/>
      <c r="R983" s="20"/>
      <c r="S983" s="17"/>
    </row>
    <row r="984" spans="1:19" s="13" customFormat="1" ht="63">
      <c r="A984" s="1"/>
      <c r="B984" s="127" t="s">
        <v>26</v>
      </c>
      <c r="C984" s="109" t="s">
        <v>595</v>
      </c>
      <c r="D984" s="131" t="s">
        <v>11</v>
      </c>
      <c r="E984" s="131" t="s">
        <v>51</v>
      </c>
      <c r="F984" s="131" t="s">
        <v>1224</v>
      </c>
      <c r="G984" s="305" t="s">
        <v>27</v>
      </c>
      <c r="H984" s="126"/>
      <c r="I984" s="131">
        <v>7710010050</v>
      </c>
      <c r="J984" s="108" t="str">
        <f t="shared" si="165"/>
        <v>7710010050</v>
      </c>
      <c r="K984" s="304" t="str">
        <f t="shared" si="173"/>
        <v>60901137710010050129</v>
      </c>
      <c r="L984" s="1"/>
      <c r="M984" s="20"/>
      <c r="N984" s="20"/>
      <c r="O984" s="20"/>
      <c r="P984" s="20"/>
      <c r="Q984" s="20"/>
      <c r="R984" s="20"/>
      <c r="S984" s="17"/>
    </row>
    <row r="985" spans="1:19" s="13" customFormat="1" ht="15.75">
      <c r="A985" s="1"/>
      <c r="B985" s="117" t="s">
        <v>569</v>
      </c>
      <c r="C985" s="118" t="s">
        <v>595</v>
      </c>
      <c r="D985" s="119" t="s">
        <v>238</v>
      </c>
      <c r="E985" s="119" t="s">
        <v>7</v>
      </c>
      <c r="F985" s="119" t="s">
        <v>8</v>
      </c>
      <c r="G985" s="119" t="s">
        <v>9</v>
      </c>
      <c r="H985" s="120">
        <f>H986</f>
        <v>0</v>
      </c>
      <c r="I985" s="119">
        <v>0</v>
      </c>
      <c r="J985" s="119" t="str">
        <f t="shared" si="165"/>
        <v>0000000000</v>
      </c>
      <c r="K985" s="132"/>
      <c r="L985" s="17"/>
      <c r="M985" s="18">
        <v>2704.98</v>
      </c>
      <c r="N985" s="18">
        <v>2704.98</v>
      </c>
      <c r="O985" s="18">
        <v>2704.98</v>
      </c>
      <c r="P985" s="18">
        <f t="shared" ref="P985:P991" si="175">H985-M985</f>
        <v>-2704.98</v>
      </c>
      <c r="Q985" s="18" t="e">
        <f>#REF!-N985</f>
        <v>#REF!</v>
      </c>
      <c r="R985" s="18" t="e">
        <f>#REF!-O985</f>
        <v>#REF!</v>
      </c>
      <c r="S985" s="17" t="str">
        <f t="shared" si="164"/>
        <v>00 0 00 00000000</v>
      </c>
    </row>
    <row r="986" spans="1:19" s="13" customFormat="1" ht="15.75">
      <c r="A986" s="1"/>
      <c r="B986" s="121" t="s">
        <v>239</v>
      </c>
      <c r="C986" s="122" t="s">
        <v>595</v>
      </c>
      <c r="D986" s="123" t="s">
        <v>238</v>
      </c>
      <c r="E986" s="123" t="s">
        <v>11</v>
      </c>
      <c r="F986" s="123" t="s">
        <v>8</v>
      </c>
      <c r="G986" s="123" t="s">
        <v>9</v>
      </c>
      <c r="H986" s="124">
        <f>H987</f>
        <v>0</v>
      </c>
      <c r="I986" s="123">
        <v>0</v>
      </c>
      <c r="J986" s="123" t="str">
        <f t="shared" si="165"/>
        <v>0000000000</v>
      </c>
      <c r="K986" s="132"/>
      <c r="L986" s="17"/>
      <c r="M986" s="19">
        <v>2704.98</v>
      </c>
      <c r="N986" s="19">
        <v>2704.98</v>
      </c>
      <c r="O986" s="19">
        <v>2704.98</v>
      </c>
      <c r="P986" s="19">
        <f t="shared" si="175"/>
        <v>-2704.98</v>
      </c>
      <c r="Q986" s="19" t="e">
        <f>#REF!-N986</f>
        <v>#REF!</v>
      </c>
      <c r="R986" s="19" t="e">
        <f>#REF!-O986</f>
        <v>#REF!</v>
      </c>
      <c r="S986" s="17" t="str">
        <f t="shared" si="164"/>
        <v>00 0 00 00000000</v>
      </c>
    </row>
    <row r="987" spans="1:19" s="13" customFormat="1" ht="31.5">
      <c r="A987" s="1"/>
      <c r="B987" s="125" t="s">
        <v>240</v>
      </c>
      <c r="C987" s="109" t="s">
        <v>595</v>
      </c>
      <c r="D987" s="108" t="s">
        <v>238</v>
      </c>
      <c r="E987" s="108" t="s">
        <v>11</v>
      </c>
      <c r="F987" s="131" t="s">
        <v>241</v>
      </c>
      <c r="G987" s="108" t="s">
        <v>9</v>
      </c>
      <c r="H987" s="126">
        <f>H988</f>
        <v>0</v>
      </c>
      <c r="I987" s="131">
        <v>700000000</v>
      </c>
      <c r="J987" s="131" t="str">
        <f t="shared" si="165"/>
        <v>0700000000</v>
      </c>
      <c r="K987" s="132"/>
      <c r="L987" s="17"/>
      <c r="M987" s="20">
        <v>2704.98</v>
      </c>
      <c r="N987" s="20">
        <v>2704.98</v>
      </c>
      <c r="O987" s="20">
        <v>2704.98</v>
      </c>
      <c r="P987" s="20">
        <f t="shared" si="175"/>
        <v>-2704.98</v>
      </c>
      <c r="Q987" s="20" t="e">
        <f>#REF!-N987</f>
        <v>#REF!</v>
      </c>
      <c r="R987" s="20" t="e">
        <f>#REF!-O987</f>
        <v>#REF!</v>
      </c>
      <c r="S987" s="17" t="str">
        <f t="shared" si="164"/>
        <v>07 0 00 00000000</v>
      </c>
    </row>
    <row r="988" spans="1:19" s="13" customFormat="1" ht="78.75">
      <c r="A988" s="1"/>
      <c r="B988" s="125" t="s">
        <v>384</v>
      </c>
      <c r="C988" s="109" t="s">
        <v>595</v>
      </c>
      <c r="D988" s="108" t="s">
        <v>238</v>
      </c>
      <c r="E988" s="108" t="s">
        <v>11</v>
      </c>
      <c r="F988" s="131" t="s">
        <v>243</v>
      </c>
      <c r="G988" s="108" t="s">
        <v>9</v>
      </c>
      <c r="H988" s="126">
        <f t="shared" ref="H988:H990" si="176">H989</f>
        <v>0</v>
      </c>
      <c r="I988" s="131">
        <v>710000000</v>
      </c>
      <c r="J988" s="131" t="str">
        <f t="shared" si="165"/>
        <v>0710000000</v>
      </c>
      <c r="K988" s="132"/>
      <c r="L988" s="17"/>
      <c r="M988" s="20">
        <v>2704.98</v>
      </c>
      <c r="N988" s="20">
        <v>2704.98</v>
      </c>
      <c r="O988" s="20">
        <v>2704.98</v>
      </c>
      <c r="P988" s="20">
        <f t="shared" si="175"/>
        <v>-2704.98</v>
      </c>
      <c r="Q988" s="20" t="e">
        <f>#REF!-N988</f>
        <v>#REF!</v>
      </c>
      <c r="R988" s="20" t="e">
        <f>#REF!-O988</f>
        <v>#REF!</v>
      </c>
      <c r="S988" s="17" t="str">
        <f t="shared" si="164"/>
        <v>07 1 00 00000000</v>
      </c>
    </row>
    <row r="989" spans="1:19" s="13" customFormat="1" ht="110.25">
      <c r="A989" s="1"/>
      <c r="B989" s="125" t="s">
        <v>244</v>
      </c>
      <c r="C989" s="109" t="s">
        <v>595</v>
      </c>
      <c r="D989" s="108" t="s">
        <v>238</v>
      </c>
      <c r="E989" s="108" t="s">
        <v>11</v>
      </c>
      <c r="F989" s="131" t="s">
        <v>245</v>
      </c>
      <c r="G989" s="108" t="s">
        <v>9</v>
      </c>
      <c r="H989" s="126">
        <f t="shared" si="176"/>
        <v>0</v>
      </c>
      <c r="I989" s="131">
        <v>710100000</v>
      </c>
      <c r="J989" s="131" t="str">
        <f t="shared" si="165"/>
        <v>0710100000</v>
      </c>
      <c r="K989" s="132"/>
      <c r="L989" s="17"/>
      <c r="M989" s="20">
        <v>2704.98</v>
      </c>
      <c r="N989" s="20">
        <v>2704.98</v>
      </c>
      <c r="O989" s="20">
        <v>2704.98</v>
      </c>
      <c r="P989" s="20">
        <f t="shared" si="175"/>
        <v>-2704.98</v>
      </c>
      <c r="Q989" s="20" t="e">
        <f>#REF!-N989</f>
        <v>#REF!</v>
      </c>
      <c r="R989" s="20" t="e">
        <f>#REF!-O989</f>
        <v>#REF!</v>
      </c>
      <c r="S989" s="17" t="str">
        <f t="shared" si="164"/>
        <v>07 1 01 00000000</v>
      </c>
    </row>
    <row r="990" spans="1:19" s="13" customFormat="1" ht="31.5">
      <c r="A990" s="1"/>
      <c r="B990" s="125" t="s">
        <v>246</v>
      </c>
      <c r="C990" s="109" t="s">
        <v>595</v>
      </c>
      <c r="D990" s="108" t="s">
        <v>238</v>
      </c>
      <c r="E990" s="108" t="s">
        <v>11</v>
      </c>
      <c r="F990" s="131" t="s">
        <v>247</v>
      </c>
      <c r="G990" s="108" t="s">
        <v>9</v>
      </c>
      <c r="H990" s="126">
        <f t="shared" si="176"/>
        <v>0</v>
      </c>
      <c r="I990" s="131">
        <v>710120060</v>
      </c>
      <c r="J990" s="131" t="str">
        <f t="shared" si="165"/>
        <v>0710120060</v>
      </c>
      <c r="K990" s="132"/>
      <c r="L990" s="17"/>
      <c r="M990" s="20">
        <v>2704.98</v>
      </c>
      <c r="N990" s="20">
        <v>2704.98</v>
      </c>
      <c r="O990" s="20">
        <v>2704.98</v>
      </c>
      <c r="P990" s="20">
        <f t="shared" si="175"/>
        <v>-2704.98</v>
      </c>
      <c r="Q990" s="20" t="e">
        <f>#REF!-N990</f>
        <v>#REF!</v>
      </c>
      <c r="R990" s="20" t="e">
        <f>#REF!-O990</f>
        <v>#REF!</v>
      </c>
      <c r="S990" s="17" t="str">
        <f t="shared" si="164"/>
        <v>07 1 01 20060000</v>
      </c>
    </row>
    <row r="991" spans="1:19" s="13" customFormat="1" ht="31.5">
      <c r="A991" s="1"/>
      <c r="B991" s="127" t="s">
        <v>28</v>
      </c>
      <c r="C991" s="109" t="s">
        <v>595</v>
      </c>
      <c r="D991" s="108" t="s">
        <v>238</v>
      </c>
      <c r="E991" s="108" t="s">
        <v>11</v>
      </c>
      <c r="F991" s="131" t="s">
        <v>247</v>
      </c>
      <c r="G991" s="108" t="s">
        <v>29</v>
      </c>
      <c r="H991" s="126">
        <f>H992</f>
        <v>0</v>
      </c>
      <c r="I991" s="131">
        <v>710120060</v>
      </c>
      <c r="J991" s="131" t="str">
        <f t="shared" si="165"/>
        <v>0710120060</v>
      </c>
      <c r="K991" s="132"/>
      <c r="L991" s="17"/>
      <c r="M991" s="20">
        <v>2704.98</v>
      </c>
      <c r="N991" s="20">
        <v>2704.98</v>
      </c>
      <c r="O991" s="20">
        <v>2704.98</v>
      </c>
      <c r="P991" s="20">
        <f t="shared" si="175"/>
        <v>-2704.98</v>
      </c>
      <c r="Q991" s="20" t="e">
        <f>#REF!-N991</f>
        <v>#REF!</v>
      </c>
      <c r="R991" s="20" t="e">
        <f>#REF!-O991</f>
        <v>#REF!</v>
      </c>
      <c r="S991" s="17" t="str">
        <f t="shared" si="164"/>
        <v>07 1 01 20060240</v>
      </c>
    </row>
    <row r="992" spans="1:19" s="13" customFormat="1" ht="15.75">
      <c r="A992" s="1"/>
      <c r="B992" s="125" t="s">
        <v>30</v>
      </c>
      <c r="C992" s="109" t="s">
        <v>595</v>
      </c>
      <c r="D992" s="108" t="s">
        <v>238</v>
      </c>
      <c r="E992" s="108" t="s">
        <v>11</v>
      </c>
      <c r="F992" s="131" t="s">
        <v>247</v>
      </c>
      <c r="G992" s="108" t="s">
        <v>31</v>
      </c>
      <c r="H992" s="126"/>
      <c r="I992" s="131">
        <v>710120060</v>
      </c>
      <c r="J992" s="131" t="str">
        <f t="shared" si="165"/>
        <v>0710120060</v>
      </c>
      <c r="K992" s="304" t="str">
        <f>C992&amp;D992&amp;E992&amp;J992&amp;G992</f>
        <v>60908010710120060244</v>
      </c>
      <c r="L992" s="1"/>
      <c r="M992" s="20"/>
      <c r="N992" s="20"/>
      <c r="O992" s="20"/>
      <c r="P992" s="20"/>
      <c r="Q992" s="20"/>
      <c r="R992" s="20"/>
      <c r="S992" s="17" t="str">
        <f t="shared" si="164"/>
        <v>07 1 01 20060244</v>
      </c>
    </row>
    <row r="993" spans="1:19" s="17" customFormat="1" ht="15.75">
      <c r="A993" s="14"/>
      <c r="B993" s="117" t="s">
        <v>316</v>
      </c>
      <c r="C993" s="118" t="s">
        <v>595</v>
      </c>
      <c r="D993" s="119" t="s">
        <v>317</v>
      </c>
      <c r="E993" s="119" t="s">
        <v>7</v>
      </c>
      <c r="F993" s="119" t="s">
        <v>8</v>
      </c>
      <c r="G993" s="119" t="s">
        <v>9</v>
      </c>
      <c r="H993" s="120">
        <f>H994+H1135+H1145</f>
        <v>0</v>
      </c>
      <c r="I993" s="119">
        <v>0</v>
      </c>
      <c r="J993" s="119" t="str">
        <f t="shared" si="165"/>
        <v>0000000000</v>
      </c>
      <c r="K993" s="132"/>
      <c r="M993" s="18">
        <v>1876197.93</v>
      </c>
      <c r="N993" s="18">
        <v>1939872.36</v>
      </c>
      <c r="O993" s="18">
        <v>1989511.5600000003</v>
      </c>
      <c r="P993" s="18">
        <f t="shared" ref="P993:P999" si="177">H993-M993</f>
        <v>-1876197.93</v>
      </c>
      <c r="Q993" s="18" t="e">
        <f>#REF!-N993</f>
        <v>#REF!</v>
      </c>
      <c r="R993" s="18" t="e">
        <f>#REF!-O993</f>
        <v>#REF!</v>
      </c>
      <c r="S993" s="17" t="str">
        <f t="shared" si="164"/>
        <v>00 0 00 00000000</v>
      </c>
    </row>
    <row r="994" spans="1:19" s="17" customFormat="1" ht="15.75">
      <c r="A994" s="14"/>
      <c r="B994" s="121" t="s">
        <v>318</v>
      </c>
      <c r="C994" s="122" t="s">
        <v>595</v>
      </c>
      <c r="D994" s="123" t="s">
        <v>317</v>
      </c>
      <c r="E994" s="123" t="s">
        <v>13</v>
      </c>
      <c r="F994" s="123" t="s">
        <v>8</v>
      </c>
      <c r="G994" s="123" t="s">
        <v>9</v>
      </c>
      <c r="H994" s="124">
        <f>H995</f>
        <v>0</v>
      </c>
      <c r="I994" s="123">
        <v>0</v>
      </c>
      <c r="J994" s="123" t="str">
        <f t="shared" si="165"/>
        <v>0000000000</v>
      </c>
      <c r="K994" s="132"/>
      <c r="M994" s="19">
        <v>1547791.57</v>
      </c>
      <c r="N994" s="19">
        <v>1611474.33</v>
      </c>
      <c r="O994" s="19">
        <v>1661075.4700000004</v>
      </c>
      <c r="P994" s="19">
        <f t="shared" si="177"/>
        <v>-1547791.57</v>
      </c>
      <c r="Q994" s="19" t="e">
        <f>#REF!-N994</f>
        <v>#REF!</v>
      </c>
      <c r="R994" s="19" t="e">
        <f>#REF!-O994</f>
        <v>#REF!</v>
      </c>
      <c r="S994" s="17" t="str">
        <f t="shared" si="164"/>
        <v>00 0 00 00000000</v>
      </c>
    </row>
    <row r="995" spans="1:19" s="17" customFormat="1" ht="31.5">
      <c r="A995" s="14"/>
      <c r="B995" s="135" t="s">
        <v>385</v>
      </c>
      <c r="C995" s="109" t="s">
        <v>595</v>
      </c>
      <c r="D995" s="108" t="s">
        <v>317</v>
      </c>
      <c r="E995" s="108" t="s">
        <v>13</v>
      </c>
      <c r="F995" s="108" t="s">
        <v>386</v>
      </c>
      <c r="G995" s="108" t="s">
        <v>9</v>
      </c>
      <c r="H995" s="126">
        <f>H996+H1080+H1130</f>
        <v>0</v>
      </c>
      <c r="I995" s="108">
        <v>300000000</v>
      </c>
      <c r="J995" s="108" t="str">
        <f t="shared" si="165"/>
        <v>0300000000</v>
      </c>
      <c r="K995" s="132"/>
      <c r="M995" s="36">
        <v>1547791.57</v>
      </c>
      <c r="N995" s="36">
        <v>1611474.33</v>
      </c>
      <c r="O995" s="36">
        <v>1661075.4700000004</v>
      </c>
      <c r="P995" s="36">
        <f t="shared" si="177"/>
        <v>-1547791.57</v>
      </c>
      <c r="Q995" s="36" t="e">
        <f>#REF!-N995</f>
        <v>#REF!</v>
      </c>
      <c r="R995" s="36" t="e">
        <f>#REF!-O995</f>
        <v>#REF!</v>
      </c>
      <c r="S995" s="17" t="str">
        <f t="shared" si="164"/>
        <v>03 0 00 00000000</v>
      </c>
    </row>
    <row r="996" spans="1:19" s="17" customFormat="1" ht="47.25">
      <c r="A996" s="14"/>
      <c r="B996" s="147" t="s">
        <v>596</v>
      </c>
      <c r="C996" s="109" t="s">
        <v>595</v>
      </c>
      <c r="D996" s="108" t="s">
        <v>317</v>
      </c>
      <c r="E996" s="108" t="s">
        <v>13</v>
      </c>
      <c r="F996" s="108" t="s">
        <v>597</v>
      </c>
      <c r="G996" s="108" t="s">
        <v>9</v>
      </c>
      <c r="H996" s="126">
        <f>H997+H1059</f>
        <v>0</v>
      </c>
      <c r="I996" s="108">
        <v>310000000</v>
      </c>
      <c r="J996" s="108" t="str">
        <f t="shared" si="165"/>
        <v>0310000000</v>
      </c>
      <c r="K996" s="132"/>
      <c r="M996" s="36">
        <v>1524462.33</v>
      </c>
      <c r="N996" s="36">
        <v>1588079.09</v>
      </c>
      <c r="O996" s="36">
        <v>1607633.8800000004</v>
      </c>
      <c r="P996" s="36">
        <f t="shared" si="177"/>
        <v>-1524462.33</v>
      </c>
      <c r="Q996" s="36" t="e">
        <f>#REF!-N996</f>
        <v>#REF!</v>
      </c>
      <c r="R996" s="36" t="e">
        <f>#REF!-O996</f>
        <v>#REF!</v>
      </c>
      <c r="S996" s="17" t="str">
        <f t="shared" si="164"/>
        <v>03 1 00 00000 000</v>
      </c>
    </row>
    <row r="997" spans="1:19" s="17" customFormat="1" ht="47.25">
      <c r="A997" s="14" t="s">
        <v>598</v>
      </c>
      <c r="B997" s="148" t="s">
        <v>599</v>
      </c>
      <c r="C997" s="109" t="s">
        <v>595</v>
      </c>
      <c r="D997" s="108" t="s">
        <v>317</v>
      </c>
      <c r="E997" s="108" t="s">
        <v>13</v>
      </c>
      <c r="F997" s="108" t="s">
        <v>600</v>
      </c>
      <c r="G997" s="108" t="s">
        <v>9</v>
      </c>
      <c r="H997" s="126">
        <f>H998+H1003+H1008+H1013+H1024+H1029+H1034+H1039+H1044+H1049+H1019+H1054+H1016</f>
        <v>0</v>
      </c>
      <c r="I997" s="108">
        <v>310100000</v>
      </c>
      <c r="J997" s="108" t="str">
        <f t="shared" ref="J997:J1063" si="178">TEXT(I997,"0000000000")</f>
        <v>0310100000</v>
      </c>
      <c r="K997" s="132"/>
      <c r="M997" s="37">
        <v>1289482.9700000002</v>
      </c>
      <c r="N997" s="37">
        <v>1342429.75</v>
      </c>
      <c r="O997" s="37">
        <v>1346620.0200000003</v>
      </c>
      <c r="P997" s="37">
        <f t="shared" si="177"/>
        <v>-1289482.9700000002</v>
      </c>
      <c r="Q997" s="37" t="e">
        <f>#REF!-N997</f>
        <v>#REF!</v>
      </c>
      <c r="R997" s="37" t="e">
        <f>#REF!-O997</f>
        <v>#REF!</v>
      </c>
      <c r="S997" s="17" t="str">
        <f t="shared" si="164"/>
        <v>03 1 01 00000 000</v>
      </c>
    </row>
    <row r="998" spans="1:19" s="17" customFormat="1" ht="31.5">
      <c r="A998" s="14"/>
      <c r="B998" s="135" t="s">
        <v>601</v>
      </c>
      <c r="C998" s="109" t="s">
        <v>595</v>
      </c>
      <c r="D998" s="108" t="s">
        <v>317</v>
      </c>
      <c r="E998" s="108" t="s">
        <v>13</v>
      </c>
      <c r="F998" s="108" t="s">
        <v>602</v>
      </c>
      <c r="G998" s="108" t="s">
        <v>9</v>
      </c>
      <c r="H998" s="126">
        <f>H999+H1001</f>
        <v>0</v>
      </c>
      <c r="I998" s="108">
        <v>310152200</v>
      </c>
      <c r="J998" s="108" t="str">
        <f t="shared" si="178"/>
        <v>0310152200</v>
      </c>
      <c r="K998" s="132"/>
      <c r="M998" s="37">
        <v>15217.199999999999</v>
      </c>
      <c r="N998" s="37">
        <v>15825.1</v>
      </c>
      <c r="O998" s="37">
        <v>16463.5</v>
      </c>
      <c r="P998" s="37">
        <f t="shared" si="177"/>
        <v>-15217.199999999999</v>
      </c>
      <c r="Q998" s="37" t="e">
        <f>#REF!-N998</f>
        <v>#REF!</v>
      </c>
      <c r="R998" s="37" t="e">
        <f>#REF!-O998</f>
        <v>#REF!</v>
      </c>
      <c r="S998" s="17" t="str">
        <f t="shared" si="164"/>
        <v>03 1 01 52200000</v>
      </c>
    </row>
    <row r="999" spans="1:19" s="17" customFormat="1" ht="31.5">
      <c r="A999" s="14"/>
      <c r="B999" s="125" t="s">
        <v>28</v>
      </c>
      <c r="C999" s="109" t="s">
        <v>595</v>
      </c>
      <c r="D999" s="108" t="s">
        <v>317</v>
      </c>
      <c r="E999" s="108" t="s">
        <v>13</v>
      </c>
      <c r="F999" s="108" t="s">
        <v>602</v>
      </c>
      <c r="G999" s="108" t="s">
        <v>29</v>
      </c>
      <c r="H999" s="126">
        <f>H1000</f>
        <v>0</v>
      </c>
      <c r="I999" s="108">
        <v>310152200</v>
      </c>
      <c r="J999" s="108" t="str">
        <f t="shared" si="178"/>
        <v>0310152200</v>
      </c>
      <c r="K999" s="132"/>
      <c r="M999" s="37">
        <v>224.88</v>
      </c>
      <c r="N999" s="37">
        <v>233.87</v>
      </c>
      <c r="O999" s="37">
        <v>243.3</v>
      </c>
      <c r="P999" s="37">
        <f t="shared" si="177"/>
        <v>-224.88</v>
      </c>
      <c r="Q999" s="37" t="e">
        <f>#REF!-N999</f>
        <v>#REF!</v>
      </c>
      <c r="R999" s="37" t="e">
        <f>#REF!-O999</f>
        <v>#REF!</v>
      </c>
      <c r="S999" s="17" t="str">
        <f t="shared" si="164"/>
        <v>03 1 01 52200240</v>
      </c>
    </row>
    <row r="1000" spans="1:19" s="17" customFormat="1" ht="15.75">
      <c r="A1000" s="14"/>
      <c r="B1000" s="125" t="s">
        <v>30</v>
      </c>
      <c r="C1000" s="109" t="s">
        <v>595</v>
      </c>
      <c r="D1000" s="108" t="s">
        <v>317</v>
      </c>
      <c r="E1000" s="108" t="s">
        <v>13</v>
      </c>
      <c r="F1000" s="108" t="s">
        <v>602</v>
      </c>
      <c r="G1000" s="108" t="s">
        <v>31</v>
      </c>
      <c r="H1000" s="126"/>
      <c r="I1000" s="108">
        <v>310152200</v>
      </c>
      <c r="J1000" s="108" t="str">
        <f t="shared" si="178"/>
        <v>0310152200</v>
      </c>
      <c r="K1000" s="304" t="str">
        <f>C1000&amp;D1000&amp;E1000&amp;J1000&amp;G1000</f>
        <v>60910030310152200244</v>
      </c>
      <c r="M1000" s="37"/>
      <c r="N1000" s="37"/>
      <c r="O1000" s="37"/>
      <c r="P1000" s="37"/>
      <c r="Q1000" s="37"/>
      <c r="R1000" s="37"/>
      <c r="S1000" s="17" t="str">
        <f t="shared" si="164"/>
        <v>03 1 01 52200244</v>
      </c>
    </row>
    <row r="1001" spans="1:19" s="17" customFormat="1" ht="31.5">
      <c r="A1001" s="14"/>
      <c r="B1001" s="132" t="s">
        <v>493</v>
      </c>
      <c r="C1001" s="109" t="s">
        <v>595</v>
      </c>
      <c r="D1001" s="108" t="s">
        <v>317</v>
      </c>
      <c r="E1001" s="108" t="s">
        <v>13</v>
      </c>
      <c r="F1001" s="108" t="s">
        <v>602</v>
      </c>
      <c r="G1001" s="108" t="s">
        <v>494</v>
      </c>
      <c r="H1001" s="126">
        <f>H1002</f>
        <v>0</v>
      </c>
      <c r="I1001" s="108">
        <v>310152200</v>
      </c>
      <c r="J1001" s="108" t="str">
        <f t="shared" si="178"/>
        <v>0310152200</v>
      </c>
      <c r="K1001" s="132"/>
      <c r="M1001" s="37">
        <v>14992.32</v>
      </c>
      <c r="N1001" s="37">
        <v>15591.23</v>
      </c>
      <c r="O1001" s="37">
        <v>16220.2</v>
      </c>
      <c r="P1001" s="37">
        <f>H1001-M1001</f>
        <v>-14992.32</v>
      </c>
      <c r="Q1001" s="37" t="e">
        <f>#REF!-N1001</f>
        <v>#REF!</v>
      </c>
      <c r="R1001" s="37" t="e">
        <f>#REF!-O1001</f>
        <v>#REF!</v>
      </c>
      <c r="S1001" s="17" t="str">
        <f t="shared" si="164"/>
        <v>03 1 01 52200310</v>
      </c>
    </row>
    <row r="1002" spans="1:19" s="24" customFormat="1" ht="31.5">
      <c r="A1002" s="21"/>
      <c r="B1002" s="127" t="s">
        <v>495</v>
      </c>
      <c r="C1002" s="109" t="s">
        <v>595</v>
      </c>
      <c r="D1002" s="108" t="s">
        <v>317</v>
      </c>
      <c r="E1002" s="108" t="s">
        <v>13</v>
      </c>
      <c r="F1002" s="108" t="s">
        <v>602</v>
      </c>
      <c r="G1002" s="108" t="s">
        <v>496</v>
      </c>
      <c r="H1002" s="126"/>
      <c r="I1002" s="108">
        <v>310152200</v>
      </c>
      <c r="J1002" s="108" t="str">
        <f t="shared" si="178"/>
        <v>0310152200</v>
      </c>
      <c r="K1002" s="304" t="str">
        <f>C1002&amp;D1002&amp;E1002&amp;J1002&amp;G1002</f>
        <v>60910030310152200313</v>
      </c>
      <c r="M1002" s="38"/>
      <c r="N1002" s="38"/>
      <c r="O1002" s="38"/>
      <c r="P1002" s="38"/>
      <c r="Q1002" s="38"/>
      <c r="R1002" s="38"/>
      <c r="S1002" s="24" t="str">
        <f t="shared" si="164"/>
        <v>03 1 01 52200313</v>
      </c>
    </row>
    <row r="1003" spans="1:19" s="17" customFormat="1" ht="47.25">
      <c r="A1003" s="14"/>
      <c r="B1003" s="135" t="s">
        <v>603</v>
      </c>
      <c r="C1003" s="109" t="s">
        <v>595</v>
      </c>
      <c r="D1003" s="108" t="s">
        <v>317</v>
      </c>
      <c r="E1003" s="108" t="s">
        <v>13</v>
      </c>
      <c r="F1003" s="108" t="s">
        <v>604</v>
      </c>
      <c r="G1003" s="108" t="s">
        <v>9</v>
      </c>
      <c r="H1003" s="126">
        <f>H1004+H1006</f>
        <v>0</v>
      </c>
      <c r="I1003" s="108">
        <v>310152500</v>
      </c>
      <c r="J1003" s="108" t="str">
        <f t="shared" si="178"/>
        <v>0310152500</v>
      </c>
      <c r="K1003" s="132"/>
      <c r="M1003" s="37">
        <v>335846.3</v>
      </c>
      <c r="N1003" s="37">
        <v>342847.89999999997</v>
      </c>
      <c r="O1003" s="37">
        <v>342746.10000000003</v>
      </c>
      <c r="P1003" s="37">
        <f>H1003-M1003</f>
        <v>-335846.3</v>
      </c>
      <c r="Q1003" s="37" t="e">
        <f>#REF!-N1003</f>
        <v>#REF!</v>
      </c>
      <c r="R1003" s="37" t="e">
        <f>#REF!-O1003</f>
        <v>#REF!</v>
      </c>
      <c r="S1003" s="17" t="str">
        <f t="shared" si="164"/>
        <v>03 1 01 52500000</v>
      </c>
    </row>
    <row r="1004" spans="1:19" s="17" customFormat="1" ht="31.5">
      <c r="A1004" s="14"/>
      <c r="B1004" s="125" t="s">
        <v>28</v>
      </c>
      <c r="C1004" s="109" t="s">
        <v>595</v>
      </c>
      <c r="D1004" s="108" t="s">
        <v>317</v>
      </c>
      <c r="E1004" s="108" t="s">
        <v>13</v>
      </c>
      <c r="F1004" s="108" t="s">
        <v>604</v>
      </c>
      <c r="G1004" s="108" t="s">
        <v>29</v>
      </c>
      <c r="H1004" s="126">
        <f>H1005</f>
        <v>0</v>
      </c>
      <c r="I1004" s="108">
        <v>310152500</v>
      </c>
      <c r="J1004" s="108" t="str">
        <f t="shared" si="178"/>
        <v>0310152500</v>
      </c>
      <c r="K1004" s="132"/>
      <c r="M1004" s="37">
        <v>2454.87</v>
      </c>
      <c r="N1004" s="37">
        <v>2558.35</v>
      </c>
      <c r="O1004" s="37">
        <v>2556.84</v>
      </c>
      <c r="P1004" s="37">
        <f>H1004-M1004</f>
        <v>-2454.87</v>
      </c>
      <c r="Q1004" s="37" t="e">
        <f>#REF!-N1004</f>
        <v>#REF!</v>
      </c>
      <c r="R1004" s="37" t="e">
        <f>#REF!-O1004</f>
        <v>#REF!</v>
      </c>
      <c r="S1004" s="17" t="str">
        <f t="shared" ref="S1004:S1097" si="179">CONCATENATE(F1004,G1004)</f>
        <v>03 1 01 52500240</v>
      </c>
    </row>
    <row r="1005" spans="1:19" s="17" customFormat="1" ht="15.75">
      <c r="A1005" s="14"/>
      <c r="B1005" s="125" t="s">
        <v>30</v>
      </c>
      <c r="C1005" s="109" t="s">
        <v>595</v>
      </c>
      <c r="D1005" s="108" t="s">
        <v>317</v>
      </c>
      <c r="E1005" s="108" t="s">
        <v>13</v>
      </c>
      <c r="F1005" s="108" t="s">
        <v>604</v>
      </c>
      <c r="G1005" s="108" t="s">
        <v>31</v>
      </c>
      <c r="H1005" s="126"/>
      <c r="I1005" s="108">
        <v>310152500</v>
      </c>
      <c r="J1005" s="108" t="str">
        <f t="shared" si="178"/>
        <v>0310152500</v>
      </c>
      <c r="K1005" s="304" t="str">
        <f>C1005&amp;D1005&amp;E1005&amp;J1005&amp;G1005</f>
        <v>60910030310152500244</v>
      </c>
      <c r="M1005" s="37"/>
      <c r="N1005" s="37"/>
      <c r="O1005" s="37"/>
      <c r="P1005" s="37"/>
      <c r="Q1005" s="37"/>
      <c r="R1005" s="37"/>
      <c r="S1005" s="17" t="str">
        <f t="shared" si="179"/>
        <v>03 1 01 52500244</v>
      </c>
    </row>
    <row r="1006" spans="1:19" s="17" customFormat="1" ht="31.5">
      <c r="A1006" s="14"/>
      <c r="B1006" s="132" t="s">
        <v>493</v>
      </c>
      <c r="C1006" s="109" t="s">
        <v>595</v>
      </c>
      <c r="D1006" s="108" t="s">
        <v>317</v>
      </c>
      <c r="E1006" s="108" t="s">
        <v>13</v>
      </c>
      <c r="F1006" s="108" t="s">
        <v>604</v>
      </c>
      <c r="G1006" s="108" t="s">
        <v>494</v>
      </c>
      <c r="H1006" s="126">
        <f>H1007</f>
        <v>0</v>
      </c>
      <c r="I1006" s="108">
        <v>310152500</v>
      </c>
      <c r="J1006" s="108" t="str">
        <f t="shared" si="178"/>
        <v>0310152500</v>
      </c>
      <c r="K1006" s="132"/>
      <c r="M1006" s="37">
        <v>333391.43</v>
      </c>
      <c r="N1006" s="37">
        <v>340289.55</v>
      </c>
      <c r="O1006" s="37">
        <v>340189.26</v>
      </c>
      <c r="P1006" s="37">
        <f>H1006-M1006</f>
        <v>-333391.43</v>
      </c>
      <c r="Q1006" s="37" t="e">
        <f>#REF!-N1006</f>
        <v>#REF!</v>
      </c>
      <c r="R1006" s="37" t="e">
        <f>#REF!-O1006</f>
        <v>#REF!</v>
      </c>
      <c r="S1006" s="17" t="str">
        <f t="shared" si="179"/>
        <v>03 1 01 52500310</v>
      </c>
    </row>
    <row r="1007" spans="1:19" s="17" customFormat="1" ht="31.5">
      <c r="A1007" s="14"/>
      <c r="B1007" s="127" t="s">
        <v>495</v>
      </c>
      <c r="C1007" s="109" t="s">
        <v>595</v>
      </c>
      <c r="D1007" s="108" t="s">
        <v>317</v>
      </c>
      <c r="E1007" s="108" t="s">
        <v>13</v>
      </c>
      <c r="F1007" s="108" t="s">
        <v>604</v>
      </c>
      <c r="G1007" s="108" t="s">
        <v>496</v>
      </c>
      <c r="H1007" s="126"/>
      <c r="I1007" s="108">
        <v>310152500</v>
      </c>
      <c r="J1007" s="108" t="str">
        <f t="shared" si="178"/>
        <v>0310152500</v>
      </c>
      <c r="K1007" s="304" t="str">
        <f>C1007&amp;D1007&amp;E1007&amp;J1007&amp;G1007</f>
        <v>60910030310152500313</v>
      </c>
      <c r="M1007" s="37"/>
      <c r="N1007" s="37"/>
      <c r="O1007" s="37"/>
      <c r="P1007" s="37"/>
      <c r="Q1007" s="37"/>
      <c r="R1007" s="37"/>
      <c r="S1007" s="17" t="str">
        <f t="shared" si="179"/>
        <v>03 1 01 52500313</v>
      </c>
    </row>
    <row r="1008" spans="1:19" s="17" customFormat="1" ht="173.25">
      <c r="A1008" s="14"/>
      <c r="B1008" s="306" t="s">
        <v>605</v>
      </c>
      <c r="C1008" s="109" t="s">
        <v>595</v>
      </c>
      <c r="D1008" s="108" t="s">
        <v>317</v>
      </c>
      <c r="E1008" s="108" t="s">
        <v>13</v>
      </c>
      <c r="F1008" s="108" t="s">
        <v>606</v>
      </c>
      <c r="G1008" s="108" t="s">
        <v>9</v>
      </c>
      <c r="H1008" s="126">
        <f>H1009+H1011</f>
        <v>0</v>
      </c>
      <c r="I1008" s="108">
        <v>310152800</v>
      </c>
      <c r="J1008" s="108" t="str">
        <f t="shared" si="178"/>
        <v>0310152800</v>
      </c>
      <c r="K1008" s="132"/>
      <c r="M1008" s="37">
        <v>107.80000000000001</v>
      </c>
      <c r="N1008" s="37">
        <v>74.900000000000006</v>
      </c>
      <c r="O1008" s="37">
        <v>74.900000000000006</v>
      </c>
      <c r="P1008" s="37">
        <f>H1008-M1008</f>
        <v>-107.80000000000001</v>
      </c>
      <c r="Q1008" s="37" t="e">
        <f>#REF!-N1008</f>
        <v>#REF!</v>
      </c>
      <c r="R1008" s="37" t="e">
        <f>#REF!-O1008</f>
        <v>#REF!</v>
      </c>
      <c r="S1008" s="17" t="str">
        <f t="shared" si="179"/>
        <v>03 1 01 52800000</v>
      </c>
    </row>
    <row r="1009" spans="1:19" s="17" customFormat="1" ht="31.5">
      <c r="A1009" s="14"/>
      <c r="B1009" s="125" t="s">
        <v>28</v>
      </c>
      <c r="C1009" s="109" t="s">
        <v>595</v>
      </c>
      <c r="D1009" s="108" t="s">
        <v>317</v>
      </c>
      <c r="E1009" s="108" t="s">
        <v>13</v>
      </c>
      <c r="F1009" s="108" t="s">
        <v>606</v>
      </c>
      <c r="G1009" s="108" t="s">
        <v>29</v>
      </c>
      <c r="H1009" s="126">
        <f>H1010</f>
        <v>0</v>
      </c>
      <c r="I1009" s="108">
        <v>310152800</v>
      </c>
      <c r="J1009" s="108" t="str">
        <f t="shared" si="178"/>
        <v>0310152800</v>
      </c>
      <c r="K1009" s="132"/>
      <c r="M1009" s="37">
        <v>1.43</v>
      </c>
      <c r="N1009" s="37">
        <v>1</v>
      </c>
      <c r="O1009" s="37">
        <v>1</v>
      </c>
      <c r="P1009" s="37">
        <f>H1009-M1009</f>
        <v>-1.43</v>
      </c>
      <c r="Q1009" s="37" t="e">
        <f>#REF!-N1009</f>
        <v>#REF!</v>
      </c>
      <c r="R1009" s="37" t="e">
        <f>#REF!-O1009</f>
        <v>#REF!</v>
      </c>
      <c r="S1009" s="17" t="str">
        <f t="shared" si="179"/>
        <v>03 1 01 52800240</v>
      </c>
    </row>
    <row r="1010" spans="1:19" s="17" customFormat="1" ht="15.75">
      <c r="A1010" s="14"/>
      <c r="B1010" s="125" t="s">
        <v>30</v>
      </c>
      <c r="C1010" s="109" t="s">
        <v>595</v>
      </c>
      <c r="D1010" s="108" t="s">
        <v>317</v>
      </c>
      <c r="E1010" s="108" t="s">
        <v>13</v>
      </c>
      <c r="F1010" s="108" t="s">
        <v>606</v>
      </c>
      <c r="G1010" s="108" t="s">
        <v>31</v>
      </c>
      <c r="H1010" s="126"/>
      <c r="I1010" s="108">
        <v>310152800</v>
      </c>
      <c r="J1010" s="108" t="str">
        <f t="shared" si="178"/>
        <v>0310152800</v>
      </c>
      <c r="K1010" s="304" t="str">
        <f>C1010&amp;D1010&amp;E1010&amp;J1010&amp;G1010</f>
        <v>60910030310152800244</v>
      </c>
      <c r="M1010" s="37"/>
      <c r="N1010" s="37"/>
      <c r="O1010" s="37"/>
      <c r="P1010" s="37"/>
      <c r="Q1010" s="37"/>
      <c r="R1010" s="37"/>
      <c r="S1010" s="17" t="str">
        <f t="shared" si="179"/>
        <v>03 1 01 52800244</v>
      </c>
    </row>
    <row r="1011" spans="1:19" s="17" customFormat="1" ht="31.5">
      <c r="A1011" s="14"/>
      <c r="B1011" s="132" t="s">
        <v>493</v>
      </c>
      <c r="C1011" s="109" t="s">
        <v>595</v>
      </c>
      <c r="D1011" s="108" t="s">
        <v>317</v>
      </c>
      <c r="E1011" s="108" t="s">
        <v>13</v>
      </c>
      <c r="F1011" s="108" t="s">
        <v>606</v>
      </c>
      <c r="G1011" s="108" t="s">
        <v>494</v>
      </c>
      <c r="H1011" s="126">
        <f>H1012</f>
        <v>0</v>
      </c>
      <c r="I1011" s="108">
        <v>310152800</v>
      </c>
      <c r="J1011" s="108" t="str">
        <f t="shared" si="178"/>
        <v>0310152800</v>
      </c>
      <c r="K1011" s="132"/>
      <c r="M1011" s="37">
        <v>106.37</v>
      </c>
      <c r="N1011" s="37">
        <v>73.900000000000006</v>
      </c>
      <c r="O1011" s="37">
        <v>73.900000000000006</v>
      </c>
      <c r="P1011" s="37">
        <f>H1011-M1011</f>
        <v>-106.37</v>
      </c>
      <c r="Q1011" s="37" t="e">
        <f>#REF!-N1011</f>
        <v>#REF!</v>
      </c>
      <c r="R1011" s="37" t="e">
        <f>#REF!-O1011</f>
        <v>#REF!</v>
      </c>
      <c r="S1011" s="17" t="str">
        <f t="shared" si="179"/>
        <v>03 1 01 52800310</v>
      </c>
    </row>
    <row r="1012" spans="1:19" s="17" customFormat="1" ht="31.5">
      <c r="A1012" s="14"/>
      <c r="B1012" s="127" t="s">
        <v>495</v>
      </c>
      <c r="C1012" s="109" t="s">
        <v>595</v>
      </c>
      <c r="D1012" s="108" t="s">
        <v>317</v>
      </c>
      <c r="E1012" s="108" t="s">
        <v>13</v>
      </c>
      <c r="F1012" s="108" t="s">
        <v>606</v>
      </c>
      <c r="G1012" s="108" t="s">
        <v>496</v>
      </c>
      <c r="H1012" s="126"/>
      <c r="I1012" s="108">
        <v>310152800</v>
      </c>
      <c r="J1012" s="108" t="str">
        <f t="shared" si="178"/>
        <v>0310152800</v>
      </c>
      <c r="K1012" s="304" t="str">
        <f>C1012&amp;D1012&amp;E1012&amp;J1012&amp;G1012</f>
        <v>60910030310152800313</v>
      </c>
      <c r="M1012" s="37"/>
      <c r="N1012" s="37"/>
      <c r="O1012" s="37"/>
      <c r="P1012" s="37"/>
      <c r="Q1012" s="37"/>
      <c r="R1012" s="37"/>
    </row>
    <row r="1013" spans="1:19" s="17" customFormat="1" ht="47.25">
      <c r="A1013" s="14"/>
      <c r="B1013" s="149" t="s">
        <v>607</v>
      </c>
      <c r="C1013" s="109" t="s">
        <v>595</v>
      </c>
      <c r="D1013" s="108" t="s">
        <v>317</v>
      </c>
      <c r="E1013" s="108" t="s">
        <v>13</v>
      </c>
      <c r="F1013" s="108" t="s">
        <v>608</v>
      </c>
      <c r="G1013" s="108" t="s">
        <v>9</v>
      </c>
      <c r="H1013" s="126">
        <f>H1014</f>
        <v>0</v>
      </c>
      <c r="I1013" s="108">
        <v>310176240</v>
      </c>
      <c r="J1013" s="108" t="str">
        <f t="shared" si="178"/>
        <v>0310176240</v>
      </c>
      <c r="K1013" s="132"/>
      <c r="M1013" s="37">
        <v>7961.36</v>
      </c>
      <c r="N1013" s="37">
        <v>7961.36</v>
      </c>
      <c r="O1013" s="37">
        <v>7961.36</v>
      </c>
      <c r="P1013" s="37">
        <f>H1013-M1013</f>
        <v>-7961.36</v>
      </c>
      <c r="Q1013" s="37" t="e">
        <f>#REF!-N1013</f>
        <v>#REF!</v>
      </c>
      <c r="R1013" s="37" t="e">
        <f>#REF!-O1013</f>
        <v>#REF!</v>
      </c>
      <c r="S1013" s="17" t="str">
        <f t="shared" si="179"/>
        <v>03 1 01 76240000</v>
      </c>
    </row>
    <row r="1014" spans="1:19" s="17" customFormat="1" ht="31.5">
      <c r="A1014" s="14"/>
      <c r="B1014" s="132" t="s">
        <v>493</v>
      </c>
      <c r="C1014" s="109" t="s">
        <v>595</v>
      </c>
      <c r="D1014" s="108" t="s">
        <v>317</v>
      </c>
      <c r="E1014" s="108" t="s">
        <v>13</v>
      </c>
      <c r="F1014" s="108" t="s">
        <v>608</v>
      </c>
      <c r="G1014" s="108" t="s">
        <v>494</v>
      </c>
      <c r="H1014" s="126">
        <f>H1015</f>
        <v>0</v>
      </c>
      <c r="I1014" s="108">
        <v>310176240</v>
      </c>
      <c r="J1014" s="108" t="str">
        <f t="shared" si="178"/>
        <v>0310176240</v>
      </c>
      <c r="K1014" s="132"/>
      <c r="M1014" s="37">
        <v>7961.36</v>
      </c>
      <c r="N1014" s="37">
        <v>7961.36</v>
      </c>
      <c r="O1014" s="37">
        <v>7961.36</v>
      </c>
      <c r="P1014" s="37">
        <f>H1014-M1014</f>
        <v>-7961.36</v>
      </c>
      <c r="Q1014" s="37" t="e">
        <f>#REF!-N1014</f>
        <v>#REF!</v>
      </c>
      <c r="R1014" s="37" t="e">
        <f>#REF!-O1014</f>
        <v>#REF!</v>
      </c>
      <c r="S1014" s="17" t="str">
        <f t="shared" si="179"/>
        <v>03 1 01 76240310</v>
      </c>
    </row>
    <row r="1015" spans="1:19" s="17" customFormat="1" ht="31.5">
      <c r="A1015" s="14"/>
      <c r="B1015" s="127" t="s">
        <v>495</v>
      </c>
      <c r="C1015" s="109" t="s">
        <v>595</v>
      </c>
      <c r="D1015" s="108" t="s">
        <v>317</v>
      </c>
      <c r="E1015" s="108" t="s">
        <v>13</v>
      </c>
      <c r="F1015" s="108" t="s">
        <v>608</v>
      </c>
      <c r="G1015" s="108" t="s">
        <v>496</v>
      </c>
      <c r="H1015" s="126"/>
      <c r="I1015" s="108">
        <v>310176240</v>
      </c>
      <c r="J1015" s="108" t="str">
        <f t="shared" si="178"/>
        <v>0310176240</v>
      </c>
      <c r="K1015" s="304" t="str">
        <f>C1015&amp;D1015&amp;E1015&amp;J1015&amp;G1015</f>
        <v>60910030310176240313</v>
      </c>
      <c r="M1015" s="37"/>
      <c r="N1015" s="37"/>
      <c r="O1015" s="37"/>
      <c r="P1015" s="37"/>
      <c r="Q1015" s="37"/>
      <c r="R1015" s="37"/>
      <c r="S1015" s="17" t="str">
        <f t="shared" si="179"/>
        <v>03 1 01 76240313</v>
      </c>
    </row>
    <row r="1016" spans="1:19" s="17" customFormat="1" ht="15.75">
      <c r="A1016" s="14"/>
      <c r="B1016" s="148" t="s">
        <v>1225</v>
      </c>
      <c r="C1016" s="109" t="s">
        <v>595</v>
      </c>
      <c r="D1016" s="108" t="s">
        <v>317</v>
      </c>
      <c r="E1016" s="108" t="s">
        <v>13</v>
      </c>
      <c r="F1016" s="108" t="s">
        <v>1226</v>
      </c>
      <c r="G1016" s="108" t="s">
        <v>9</v>
      </c>
      <c r="H1016" s="126">
        <f t="shared" ref="H1016:H1017" si="180">H1017</f>
        <v>0</v>
      </c>
      <c r="I1016" s="108">
        <v>310176250</v>
      </c>
      <c r="J1016" s="108" t="str">
        <f t="shared" si="178"/>
        <v>0310176250</v>
      </c>
      <c r="K1016" s="304" t="str">
        <f t="shared" ref="K1016:K1018" si="181">C1016&amp;D1016&amp;E1016&amp;J1016&amp;G1016</f>
        <v>60910030310176250000</v>
      </c>
      <c r="M1016" s="37"/>
      <c r="N1016" s="37"/>
      <c r="O1016" s="37"/>
      <c r="P1016" s="37"/>
      <c r="Q1016" s="37"/>
      <c r="R1016" s="37"/>
    </row>
    <row r="1017" spans="1:19" s="17" customFormat="1" ht="31.5">
      <c r="A1017" s="14"/>
      <c r="B1017" s="148" t="s">
        <v>493</v>
      </c>
      <c r="C1017" s="109" t="s">
        <v>595</v>
      </c>
      <c r="D1017" s="108" t="s">
        <v>317</v>
      </c>
      <c r="E1017" s="108" t="s">
        <v>13</v>
      </c>
      <c r="F1017" s="108" t="s">
        <v>1226</v>
      </c>
      <c r="G1017" s="108" t="s">
        <v>494</v>
      </c>
      <c r="H1017" s="126">
        <f t="shared" si="180"/>
        <v>0</v>
      </c>
      <c r="I1017" s="108">
        <v>310176250</v>
      </c>
      <c r="J1017" s="108" t="str">
        <f t="shared" si="178"/>
        <v>0310176250</v>
      </c>
      <c r="K1017" s="304" t="str">
        <f t="shared" si="181"/>
        <v>60910030310176250310</v>
      </c>
      <c r="M1017" s="37"/>
      <c r="N1017" s="37"/>
      <c r="O1017" s="37"/>
      <c r="P1017" s="37"/>
      <c r="Q1017" s="37"/>
      <c r="R1017" s="37"/>
    </row>
    <row r="1018" spans="1:19" s="17" customFormat="1" ht="31.5">
      <c r="A1018" s="14"/>
      <c r="B1018" s="148" t="s">
        <v>495</v>
      </c>
      <c r="C1018" s="109" t="s">
        <v>595</v>
      </c>
      <c r="D1018" s="108" t="s">
        <v>317</v>
      </c>
      <c r="E1018" s="108" t="s">
        <v>13</v>
      </c>
      <c r="F1018" s="108" t="s">
        <v>1226</v>
      </c>
      <c r="G1018" s="108" t="s">
        <v>496</v>
      </c>
      <c r="H1018" s="126"/>
      <c r="I1018" s="108">
        <v>310176250</v>
      </c>
      <c r="J1018" s="108" t="str">
        <f t="shared" si="178"/>
        <v>0310176250</v>
      </c>
      <c r="K1018" s="304" t="str">
        <f t="shared" si="181"/>
        <v>60910030310176250313</v>
      </c>
      <c r="M1018" s="37"/>
      <c r="N1018" s="37"/>
      <c r="O1018" s="37"/>
      <c r="P1018" s="37"/>
      <c r="Q1018" s="37"/>
      <c r="R1018" s="37"/>
    </row>
    <row r="1019" spans="1:19" s="17" customFormat="1" ht="63">
      <c r="A1019" s="14"/>
      <c r="B1019" s="132" t="s">
        <v>609</v>
      </c>
      <c r="C1019" s="109" t="s">
        <v>595</v>
      </c>
      <c r="D1019" s="108" t="s">
        <v>317</v>
      </c>
      <c r="E1019" s="108" t="s">
        <v>13</v>
      </c>
      <c r="F1019" s="108" t="s">
        <v>1164</v>
      </c>
      <c r="G1019" s="108" t="s">
        <v>9</v>
      </c>
      <c r="H1019" s="126">
        <f>H1020+H1022</f>
        <v>0</v>
      </c>
      <c r="I1019" s="108">
        <v>310177220</v>
      </c>
      <c r="J1019" s="108" t="str">
        <f t="shared" si="178"/>
        <v>0310177220</v>
      </c>
      <c r="K1019" s="132"/>
      <c r="M1019" s="20">
        <v>4551.87</v>
      </c>
      <c r="N1019" s="20">
        <v>4551.87</v>
      </c>
      <c r="O1019" s="20">
        <v>4551.87</v>
      </c>
      <c r="P1019" s="20">
        <f>H1019-M1019</f>
        <v>-4551.87</v>
      </c>
      <c r="Q1019" s="20" t="e">
        <f>#REF!-N1019</f>
        <v>#REF!</v>
      </c>
      <c r="R1019" s="20" t="e">
        <f>#REF!-O1019</f>
        <v>#REF!</v>
      </c>
      <c r="S1019" s="17" t="str">
        <f t="shared" si="179"/>
        <v>03 1 01 77220000</v>
      </c>
    </row>
    <row r="1020" spans="1:19" s="17" customFormat="1" ht="31.5">
      <c r="A1020" s="14"/>
      <c r="B1020" s="132" t="s">
        <v>28</v>
      </c>
      <c r="C1020" s="109" t="s">
        <v>595</v>
      </c>
      <c r="D1020" s="108" t="s">
        <v>317</v>
      </c>
      <c r="E1020" s="108" t="s">
        <v>13</v>
      </c>
      <c r="F1020" s="108" t="s">
        <v>1164</v>
      </c>
      <c r="G1020" s="108" t="s">
        <v>29</v>
      </c>
      <c r="H1020" s="126">
        <f>H1021</f>
        <v>0</v>
      </c>
      <c r="I1020" s="108">
        <v>310177220</v>
      </c>
      <c r="J1020" s="108" t="str">
        <f t="shared" si="178"/>
        <v>0310177220</v>
      </c>
      <c r="K1020" s="132"/>
      <c r="M1020" s="20">
        <v>50</v>
      </c>
      <c r="N1020" s="20">
        <v>50</v>
      </c>
      <c r="O1020" s="20">
        <v>50</v>
      </c>
      <c r="P1020" s="20">
        <f>H1020-M1020</f>
        <v>-50</v>
      </c>
      <c r="Q1020" s="20" t="e">
        <f>#REF!-N1020</f>
        <v>#REF!</v>
      </c>
      <c r="R1020" s="20" t="e">
        <f>#REF!-O1020</f>
        <v>#REF!</v>
      </c>
      <c r="S1020" s="17" t="str">
        <f t="shared" si="179"/>
        <v>03 1 01 77220240</v>
      </c>
    </row>
    <row r="1021" spans="1:19" s="17" customFormat="1" ht="15.75">
      <c r="A1021" s="14"/>
      <c r="B1021" s="125" t="s">
        <v>30</v>
      </c>
      <c r="C1021" s="109" t="s">
        <v>595</v>
      </c>
      <c r="D1021" s="108" t="s">
        <v>317</v>
      </c>
      <c r="E1021" s="108" t="s">
        <v>13</v>
      </c>
      <c r="F1021" s="108" t="s">
        <v>1164</v>
      </c>
      <c r="G1021" s="108" t="s">
        <v>31</v>
      </c>
      <c r="H1021" s="126"/>
      <c r="I1021" s="108">
        <v>310177220</v>
      </c>
      <c r="J1021" s="108" t="str">
        <f t="shared" si="178"/>
        <v>0310177220</v>
      </c>
      <c r="K1021" s="304" t="str">
        <f>C1021&amp;D1021&amp;E1021&amp;J1021&amp;G1021</f>
        <v>60910030310177220244</v>
      </c>
      <c r="M1021" s="20"/>
      <c r="N1021" s="20"/>
      <c r="O1021" s="20"/>
      <c r="P1021" s="20"/>
      <c r="Q1021" s="20"/>
      <c r="R1021" s="20"/>
      <c r="S1021" s="17" t="str">
        <f>CONCATENATE(F1021,G1021)</f>
        <v>03 1 01 77220244</v>
      </c>
    </row>
    <row r="1022" spans="1:19" s="17" customFormat="1" ht="31.5">
      <c r="A1022" s="14"/>
      <c r="B1022" s="132" t="s">
        <v>493</v>
      </c>
      <c r="C1022" s="109" t="s">
        <v>595</v>
      </c>
      <c r="D1022" s="108" t="s">
        <v>317</v>
      </c>
      <c r="E1022" s="108" t="s">
        <v>13</v>
      </c>
      <c r="F1022" s="108" t="s">
        <v>1164</v>
      </c>
      <c r="G1022" s="108" t="s">
        <v>494</v>
      </c>
      <c r="H1022" s="126">
        <f>H1023</f>
        <v>0</v>
      </c>
      <c r="I1022" s="108">
        <v>310177220</v>
      </c>
      <c r="J1022" s="108" t="str">
        <f t="shared" si="178"/>
        <v>0310177220</v>
      </c>
      <c r="K1022" s="132"/>
      <c r="M1022" s="20">
        <v>4501.87</v>
      </c>
      <c r="N1022" s="20">
        <v>4501.87</v>
      </c>
      <c r="O1022" s="20">
        <v>4501.87</v>
      </c>
      <c r="P1022" s="20">
        <f>H1022-M1022</f>
        <v>-4501.87</v>
      </c>
      <c r="Q1022" s="20" t="e">
        <f>#REF!-N1022</f>
        <v>#REF!</v>
      </c>
      <c r="R1022" s="20" t="e">
        <f>#REF!-O1022</f>
        <v>#REF!</v>
      </c>
      <c r="S1022" s="17" t="str">
        <f>CONCATENATE(F1022,G1022)</f>
        <v>03 1 01 77220310</v>
      </c>
    </row>
    <row r="1023" spans="1:19" s="17" customFormat="1" ht="31.5">
      <c r="A1023" s="14"/>
      <c r="B1023" s="127" t="s">
        <v>495</v>
      </c>
      <c r="C1023" s="109" t="s">
        <v>595</v>
      </c>
      <c r="D1023" s="108" t="s">
        <v>317</v>
      </c>
      <c r="E1023" s="108" t="s">
        <v>13</v>
      </c>
      <c r="F1023" s="108" t="s">
        <v>1164</v>
      </c>
      <c r="G1023" s="108" t="s">
        <v>496</v>
      </c>
      <c r="H1023" s="126"/>
      <c r="I1023" s="108">
        <v>310177220</v>
      </c>
      <c r="J1023" s="108" t="str">
        <f t="shared" si="178"/>
        <v>0310177220</v>
      </c>
      <c r="K1023" s="304" t="str">
        <f>C1023&amp;D1023&amp;E1023&amp;J1023&amp;G1023</f>
        <v>60910030310177220313</v>
      </c>
      <c r="M1023" s="20"/>
      <c r="N1023" s="20"/>
      <c r="O1023" s="20"/>
      <c r="P1023" s="20"/>
      <c r="Q1023" s="20"/>
      <c r="R1023" s="20"/>
      <c r="S1023" s="17" t="str">
        <f t="shared" si="179"/>
        <v>03 1 01 77220313</v>
      </c>
    </row>
    <row r="1024" spans="1:19" s="17" customFormat="1" ht="110.25">
      <c r="A1024" s="14"/>
      <c r="B1024" s="149" t="s">
        <v>611</v>
      </c>
      <c r="C1024" s="109" t="s">
        <v>595</v>
      </c>
      <c r="D1024" s="108" t="s">
        <v>317</v>
      </c>
      <c r="E1024" s="108" t="s">
        <v>13</v>
      </c>
      <c r="F1024" s="108" t="s">
        <v>612</v>
      </c>
      <c r="G1024" s="108" t="s">
        <v>9</v>
      </c>
      <c r="H1024" s="126">
        <f>H1025+H1027</f>
        <v>0</v>
      </c>
      <c r="I1024" s="108">
        <v>310178210</v>
      </c>
      <c r="J1024" s="108" t="str">
        <f t="shared" si="178"/>
        <v>0310178210</v>
      </c>
      <c r="K1024" s="132"/>
      <c r="M1024" s="37">
        <v>362001.94</v>
      </c>
      <c r="N1024" s="37">
        <v>363794.9</v>
      </c>
      <c r="O1024" s="37">
        <v>365617.96</v>
      </c>
      <c r="P1024" s="37">
        <f>H1024-M1024</f>
        <v>-362001.94</v>
      </c>
      <c r="Q1024" s="37" t="e">
        <f>#REF!-N1024</f>
        <v>#REF!</v>
      </c>
      <c r="R1024" s="37" t="e">
        <f>#REF!-O1024</f>
        <v>#REF!</v>
      </c>
      <c r="S1024" s="17" t="str">
        <f t="shared" si="179"/>
        <v>03 1 01 78210000</v>
      </c>
    </row>
    <row r="1025" spans="1:19" s="17" customFormat="1" ht="31.5">
      <c r="A1025" s="14"/>
      <c r="B1025" s="125" t="s">
        <v>28</v>
      </c>
      <c r="C1025" s="109" t="s">
        <v>595</v>
      </c>
      <c r="D1025" s="108" t="s">
        <v>317</v>
      </c>
      <c r="E1025" s="108" t="s">
        <v>13</v>
      </c>
      <c r="F1025" s="108" t="s">
        <v>612</v>
      </c>
      <c r="G1025" s="108" t="s">
        <v>29</v>
      </c>
      <c r="H1025" s="126">
        <f>H1026</f>
        <v>0</v>
      </c>
      <c r="I1025" s="108">
        <v>310178210</v>
      </c>
      <c r="J1025" s="108" t="str">
        <f t="shared" si="178"/>
        <v>0310178210</v>
      </c>
      <c r="K1025" s="132"/>
      <c r="M1025" s="37">
        <v>5280</v>
      </c>
      <c r="N1025" s="37">
        <v>5280</v>
      </c>
      <c r="O1025" s="37">
        <v>5280</v>
      </c>
      <c r="P1025" s="37">
        <f>H1025-M1025</f>
        <v>-5280</v>
      </c>
      <c r="Q1025" s="37" t="e">
        <f>#REF!-N1025</f>
        <v>#REF!</v>
      </c>
      <c r="R1025" s="37" t="e">
        <f>#REF!-O1025</f>
        <v>#REF!</v>
      </c>
      <c r="S1025" s="17" t="str">
        <f t="shared" si="179"/>
        <v>03 1 01 78210240</v>
      </c>
    </row>
    <row r="1026" spans="1:19" s="17" customFormat="1" ht="15.75">
      <c r="A1026" s="14"/>
      <c r="B1026" s="125" t="s">
        <v>30</v>
      </c>
      <c r="C1026" s="109" t="s">
        <v>595</v>
      </c>
      <c r="D1026" s="108" t="s">
        <v>317</v>
      </c>
      <c r="E1026" s="108" t="s">
        <v>13</v>
      </c>
      <c r="F1026" s="108" t="s">
        <v>612</v>
      </c>
      <c r="G1026" s="108" t="s">
        <v>31</v>
      </c>
      <c r="H1026" s="126"/>
      <c r="I1026" s="108">
        <v>310178210</v>
      </c>
      <c r="J1026" s="108" t="str">
        <f t="shared" si="178"/>
        <v>0310178210</v>
      </c>
      <c r="K1026" s="304" t="str">
        <f>C1026&amp;D1026&amp;E1026&amp;J1026&amp;G1026</f>
        <v>60910030310178210244</v>
      </c>
      <c r="M1026" s="37"/>
      <c r="N1026" s="37"/>
      <c r="O1026" s="37"/>
      <c r="P1026" s="37"/>
      <c r="Q1026" s="37"/>
      <c r="R1026" s="37"/>
      <c r="S1026" s="17" t="str">
        <f t="shared" si="179"/>
        <v>03 1 01 78210244</v>
      </c>
    </row>
    <row r="1027" spans="1:19" s="17" customFormat="1" ht="31.5">
      <c r="A1027" s="14"/>
      <c r="B1027" s="132" t="s">
        <v>493</v>
      </c>
      <c r="C1027" s="109" t="s">
        <v>595</v>
      </c>
      <c r="D1027" s="108" t="s">
        <v>317</v>
      </c>
      <c r="E1027" s="108" t="s">
        <v>13</v>
      </c>
      <c r="F1027" s="108" t="s">
        <v>612</v>
      </c>
      <c r="G1027" s="108" t="s">
        <v>494</v>
      </c>
      <c r="H1027" s="126">
        <f>H1028</f>
        <v>0</v>
      </c>
      <c r="I1027" s="108">
        <v>310178210</v>
      </c>
      <c r="J1027" s="108" t="str">
        <f t="shared" si="178"/>
        <v>0310178210</v>
      </c>
      <c r="K1027" s="132"/>
      <c r="M1027" s="37">
        <v>356721.94</v>
      </c>
      <c r="N1027" s="37">
        <v>358514.9</v>
      </c>
      <c r="O1027" s="37">
        <v>360337.96</v>
      </c>
      <c r="P1027" s="37">
        <f>H1027-M1027</f>
        <v>-356721.94</v>
      </c>
      <c r="Q1027" s="37" t="e">
        <f>#REF!-N1027</f>
        <v>#REF!</v>
      </c>
      <c r="R1027" s="37" t="e">
        <f>#REF!-O1027</f>
        <v>#REF!</v>
      </c>
      <c r="S1027" s="17" t="str">
        <f t="shared" si="179"/>
        <v>03 1 01 78210310</v>
      </c>
    </row>
    <row r="1028" spans="1:19" s="17" customFormat="1" ht="31.5">
      <c r="A1028" s="14"/>
      <c r="B1028" s="127" t="s">
        <v>495</v>
      </c>
      <c r="C1028" s="109" t="s">
        <v>595</v>
      </c>
      <c r="D1028" s="108" t="s">
        <v>317</v>
      </c>
      <c r="E1028" s="108" t="s">
        <v>13</v>
      </c>
      <c r="F1028" s="108" t="s">
        <v>612</v>
      </c>
      <c r="G1028" s="108" t="s">
        <v>496</v>
      </c>
      <c r="H1028" s="126"/>
      <c r="I1028" s="108">
        <v>310178210</v>
      </c>
      <c r="J1028" s="108" t="str">
        <f t="shared" si="178"/>
        <v>0310178210</v>
      </c>
      <c r="K1028" s="304" t="str">
        <f>C1028&amp;D1028&amp;E1028&amp;J1028&amp;G1028</f>
        <v>60910030310178210313</v>
      </c>
      <c r="M1028" s="37"/>
      <c r="N1028" s="37"/>
      <c r="O1028" s="37"/>
      <c r="P1028" s="37"/>
      <c r="Q1028" s="37"/>
      <c r="R1028" s="37"/>
      <c r="S1028" s="17" t="str">
        <f t="shared" si="179"/>
        <v>03 1 01 78210313</v>
      </c>
    </row>
    <row r="1029" spans="1:19" s="17" customFormat="1" ht="47.25">
      <c r="A1029" s="14"/>
      <c r="B1029" s="132" t="s">
        <v>613</v>
      </c>
      <c r="C1029" s="109" t="s">
        <v>595</v>
      </c>
      <c r="D1029" s="108" t="s">
        <v>317</v>
      </c>
      <c r="E1029" s="108" t="s">
        <v>13</v>
      </c>
      <c r="F1029" s="108" t="s">
        <v>614</v>
      </c>
      <c r="G1029" s="108" t="s">
        <v>9</v>
      </c>
      <c r="H1029" s="126">
        <f>H1030+H1032</f>
        <v>0</v>
      </c>
      <c r="I1029" s="108">
        <v>310178220</v>
      </c>
      <c r="J1029" s="108" t="str">
        <f t="shared" si="178"/>
        <v>0310178220</v>
      </c>
      <c r="K1029" s="132"/>
      <c r="M1029" s="37">
        <v>264670.36</v>
      </c>
      <c r="N1029" s="37">
        <v>264670.36</v>
      </c>
      <c r="O1029" s="37">
        <v>264670.36</v>
      </c>
      <c r="P1029" s="37">
        <f>H1029-M1029</f>
        <v>-264670.36</v>
      </c>
      <c r="Q1029" s="37" t="e">
        <f>#REF!-N1029</f>
        <v>#REF!</v>
      </c>
      <c r="R1029" s="37" t="e">
        <f>#REF!-O1029</f>
        <v>#REF!</v>
      </c>
      <c r="S1029" s="17" t="str">
        <f t="shared" si="179"/>
        <v>03 1 01 78220000</v>
      </c>
    </row>
    <row r="1030" spans="1:19" s="17" customFormat="1" ht="31.5">
      <c r="A1030" s="14"/>
      <c r="B1030" s="132" t="s">
        <v>28</v>
      </c>
      <c r="C1030" s="109" t="s">
        <v>595</v>
      </c>
      <c r="D1030" s="108" t="s">
        <v>317</v>
      </c>
      <c r="E1030" s="108" t="s">
        <v>13</v>
      </c>
      <c r="F1030" s="108" t="s">
        <v>614</v>
      </c>
      <c r="G1030" s="108" t="s">
        <v>29</v>
      </c>
      <c r="H1030" s="126">
        <f>H1031</f>
        <v>0</v>
      </c>
      <c r="I1030" s="108">
        <v>310178220</v>
      </c>
      <c r="J1030" s="108" t="str">
        <f t="shared" si="178"/>
        <v>0310178220</v>
      </c>
      <c r="K1030" s="132"/>
      <c r="M1030" s="37">
        <v>3840</v>
      </c>
      <c r="N1030" s="37">
        <v>3840</v>
      </c>
      <c r="O1030" s="37">
        <v>3840</v>
      </c>
      <c r="P1030" s="37">
        <f>H1030-M1030</f>
        <v>-3840</v>
      </c>
      <c r="Q1030" s="37" t="e">
        <f>#REF!-N1030</f>
        <v>#REF!</v>
      </c>
      <c r="R1030" s="37" t="e">
        <f>#REF!-O1030</f>
        <v>#REF!</v>
      </c>
      <c r="S1030" s="17" t="str">
        <f t="shared" si="179"/>
        <v>03 1 01 78220240</v>
      </c>
    </row>
    <row r="1031" spans="1:19" s="17" customFormat="1" ht="15.75">
      <c r="A1031" s="14"/>
      <c r="B1031" s="125" t="s">
        <v>30</v>
      </c>
      <c r="C1031" s="109" t="s">
        <v>595</v>
      </c>
      <c r="D1031" s="108" t="s">
        <v>317</v>
      </c>
      <c r="E1031" s="108" t="s">
        <v>13</v>
      </c>
      <c r="F1031" s="108" t="s">
        <v>614</v>
      </c>
      <c r="G1031" s="108" t="s">
        <v>31</v>
      </c>
      <c r="H1031" s="126"/>
      <c r="I1031" s="108">
        <v>310178220</v>
      </c>
      <c r="J1031" s="108" t="str">
        <f t="shared" si="178"/>
        <v>0310178220</v>
      </c>
      <c r="K1031" s="304" t="str">
        <f>C1031&amp;D1031&amp;E1031&amp;J1031&amp;G1031</f>
        <v>60910030310178220244</v>
      </c>
      <c r="M1031" s="37"/>
      <c r="N1031" s="37"/>
      <c r="O1031" s="37"/>
      <c r="P1031" s="37"/>
      <c r="Q1031" s="37"/>
      <c r="R1031" s="37"/>
      <c r="S1031" s="17" t="str">
        <f t="shared" si="179"/>
        <v>03 1 01 78220244</v>
      </c>
    </row>
    <row r="1032" spans="1:19" s="17" customFormat="1" ht="31.5">
      <c r="A1032" s="14"/>
      <c r="B1032" s="132" t="s">
        <v>493</v>
      </c>
      <c r="C1032" s="109" t="s">
        <v>595</v>
      </c>
      <c r="D1032" s="108" t="s">
        <v>317</v>
      </c>
      <c r="E1032" s="108" t="s">
        <v>13</v>
      </c>
      <c r="F1032" s="108" t="s">
        <v>614</v>
      </c>
      <c r="G1032" s="108" t="s">
        <v>494</v>
      </c>
      <c r="H1032" s="126">
        <f>H1033</f>
        <v>0</v>
      </c>
      <c r="I1032" s="108">
        <v>310178220</v>
      </c>
      <c r="J1032" s="108" t="str">
        <f t="shared" si="178"/>
        <v>0310178220</v>
      </c>
      <c r="K1032" s="132"/>
      <c r="M1032" s="37">
        <v>260830.36</v>
      </c>
      <c r="N1032" s="37">
        <v>260830.36</v>
      </c>
      <c r="O1032" s="37">
        <v>260830.36</v>
      </c>
      <c r="P1032" s="37">
        <f>H1032-M1032</f>
        <v>-260830.36</v>
      </c>
      <c r="Q1032" s="37" t="e">
        <f>#REF!-N1032</f>
        <v>#REF!</v>
      </c>
      <c r="R1032" s="37" t="e">
        <f>#REF!-O1032</f>
        <v>#REF!</v>
      </c>
      <c r="S1032" s="17" t="str">
        <f t="shared" si="179"/>
        <v>03 1 01 78220310</v>
      </c>
    </row>
    <row r="1033" spans="1:19" s="17" customFormat="1" ht="31.5">
      <c r="A1033" s="14"/>
      <c r="B1033" s="127" t="s">
        <v>495</v>
      </c>
      <c r="C1033" s="109" t="s">
        <v>595</v>
      </c>
      <c r="D1033" s="108" t="s">
        <v>317</v>
      </c>
      <c r="E1033" s="108" t="s">
        <v>13</v>
      </c>
      <c r="F1033" s="108" t="s">
        <v>614</v>
      </c>
      <c r="G1033" s="108" t="s">
        <v>496</v>
      </c>
      <c r="H1033" s="126"/>
      <c r="I1033" s="108">
        <v>310178220</v>
      </c>
      <c r="J1033" s="108" t="str">
        <f t="shared" si="178"/>
        <v>0310178220</v>
      </c>
      <c r="K1033" s="304" t="str">
        <f>C1033&amp;D1033&amp;E1033&amp;J1033&amp;G1033</f>
        <v>60910030310178220313</v>
      </c>
      <c r="M1033" s="37"/>
      <c r="N1033" s="37"/>
      <c r="O1033" s="37"/>
      <c r="P1033" s="37"/>
      <c r="Q1033" s="37"/>
      <c r="R1033" s="37"/>
      <c r="S1033" s="17" t="str">
        <f t="shared" si="179"/>
        <v>03 1 01 78220313</v>
      </c>
    </row>
    <row r="1034" spans="1:19" s="17" customFormat="1" ht="47.25">
      <c r="A1034" s="14"/>
      <c r="B1034" s="149" t="s">
        <v>615</v>
      </c>
      <c r="C1034" s="109" t="s">
        <v>595</v>
      </c>
      <c r="D1034" s="108" t="s">
        <v>317</v>
      </c>
      <c r="E1034" s="108" t="s">
        <v>13</v>
      </c>
      <c r="F1034" s="108" t="s">
        <v>616</v>
      </c>
      <c r="G1034" s="108" t="s">
        <v>9</v>
      </c>
      <c r="H1034" s="126">
        <f>H1035+H1037</f>
        <v>0</v>
      </c>
      <c r="I1034" s="108">
        <v>310178230</v>
      </c>
      <c r="J1034" s="108" t="str">
        <f t="shared" si="178"/>
        <v>0310178230</v>
      </c>
      <c r="K1034" s="132"/>
      <c r="M1034" s="37">
        <v>6066.83</v>
      </c>
      <c r="N1034" s="37">
        <v>5877.65</v>
      </c>
      <c r="O1034" s="37">
        <v>5705.66</v>
      </c>
      <c r="P1034" s="37">
        <f>H1034-M1034</f>
        <v>-6066.83</v>
      </c>
      <c r="Q1034" s="37" t="e">
        <f>#REF!-N1034</f>
        <v>#REF!</v>
      </c>
      <c r="R1034" s="37" t="e">
        <f>#REF!-O1034</f>
        <v>#REF!</v>
      </c>
      <c r="S1034" s="17" t="str">
        <f t="shared" si="179"/>
        <v>03 1 01 78230000</v>
      </c>
    </row>
    <row r="1035" spans="1:19" s="17" customFormat="1" ht="31.5">
      <c r="A1035" s="14"/>
      <c r="B1035" s="125" t="s">
        <v>28</v>
      </c>
      <c r="C1035" s="109" t="s">
        <v>595</v>
      </c>
      <c r="D1035" s="108" t="s">
        <v>317</v>
      </c>
      <c r="E1035" s="108" t="s">
        <v>13</v>
      </c>
      <c r="F1035" s="108" t="s">
        <v>616</v>
      </c>
      <c r="G1035" s="108" t="s">
        <v>29</v>
      </c>
      <c r="H1035" s="126">
        <f>H1036</f>
        <v>0</v>
      </c>
      <c r="I1035" s="108">
        <v>310178230</v>
      </c>
      <c r="J1035" s="108" t="str">
        <f t="shared" si="178"/>
        <v>0310178230</v>
      </c>
      <c r="K1035" s="132"/>
      <c r="M1035" s="37">
        <v>94.8</v>
      </c>
      <c r="N1035" s="37">
        <v>86</v>
      </c>
      <c r="O1035" s="37">
        <v>84.8</v>
      </c>
      <c r="P1035" s="37">
        <f>H1035-M1035</f>
        <v>-94.8</v>
      </c>
      <c r="Q1035" s="37" t="e">
        <f>#REF!-N1035</f>
        <v>#REF!</v>
      </c>
      <c r="R1035" s="37" t="e">
        <f>#REF!-O1035</f>
        <v>#REF!</v>
      </c>
      <c r="S1035" s="17" t="str">
        <f t="shared" si="179"/>
        <v>03 1 01 78230240</v>
      </c>
    </row>
    <row r="1036" spans="1:19" s="17" customFormat="1" ht="15.75">
      <c r="A1036" s="14"/>
      <c r="B1036" s="125" t="s">
        <v>30</v>
      </c>
      <c r="C1036" s="109" t="s">
        <v>595</v>
      </c>
      <c r="D1036" s="108" t="s">
        <v>317</v>
      </c>
      <c r="E1036" s="108" t="s">
        <v>13</v>
      </c>
      <c r="F1036" s="108" t="s">
        <v>616</v>
      </c>
      <c r="G1036" s="108" t="s">
        <v>31</v>
      </c>
      <c r="H1036" s="126"/>
      <c r="I1036" s="108">
        <v>310178230</v>
      </c>
      <c r="J1036" s="108" t="str">
        <f t="shared" si="178"/>
        <v>0310178230</v>
      </c>
      <c r="K1036" s="304" t="str">
        <f>C1036&amp;D1036&amp;E1036&amp;J1036&amp;G1036</f>
        <v>60910030310178230244</v>
      </c>
      <c r="M1036" s="37"/>
      <c r="N1036" s="37"/>
      <c r="O1036" s="37"/>
      <c r="P1036" s="37"/>
      <c r="Q1036" s="37"/>
      <c r="R1036" s="37"/>
      <c r="S1036" s="17" t="str">
        <f t="shared" si="179"/>
        <v>03 1 01 78230244</v>
      </c>
    </row>
    <row r="1037" spans="1:19" s="17" customFormat="1" ht="31.5">
      <c r="A1037" s="14"/>
      <c r="B1037" s="132" t="s">
        <v>493</v>
      </c>
      <c r="C1037" s="109" t="s">
        <v>595</v>
      </c>
      <c r="D1037" s="108" t="s">
        <v>317</v>
      </c>
      <c r="E1037" s="108" t="s">
        <v>13</v>
      </c>
      <c r="F1037" s="108" t="s">
        <v>616</v>
      </c>
      <c r="G1037" s="108" t="s">
        <v>494</v>
      </c>
      <c r="H1037" s="126">
        <f>H1038</f>
        <v>0</v>
      </c>
      <c r="I1037" s="108">
        <v>310178230</v>
      </c>
      <c r="J1037" s="108" t="str">
        <f t="shared" si="178"/>
        <v>0310178230</v>
      </c>
      <c r="K1037" s="132"/>
      <c r="M1037" s="37">
        <v>5972.03</v>
      </c>
      <c r="N1037" s="37">
        <v>5791.65</v>
      </c>
      <c r="O1037" s="37">
        <v>5620.86</v>
      </c>
      <c r="P1037" s="37">
        <f>H1037-M1037</f>
        <v>-5972.03</v>
      </c>
      <c r="Q1037" s="37" t="e">
        <f>#REF!-N1037</f>
        <v>#REF!</v>
      </c>
      <c r="R1037" s="37" t="e">
        <f>#REF!-O1037</f>
        <v>#REF!</v>
      </c>
      <c r="S1037" s="17" t="str">
        <f t="shared" si="179"/>
        <v>03 1 01 78230310</v>
      </c>
    </row>
    <row r="1038" spans="1:19" s="17" customFormat="1" ht="31.5">
      <c r="A1038" s="14"/>
      <c r="B1038" s="127" t="s">
        <v>495</v>
      </c>
      <c r="C1038" s="109" t="s">
        <v>595</v>
      </c>
      <c r="D1038" s="108" t="s">
        <v>317</v>
      </c>
      <c r="E1038" s="108" t="s">
        <v>13</v>
      </c>
      <c r="F1038" s="108" t="s">
        <v>616</v>
      </c>
      <c r="G1038" s="108" t="s">
        <v>496</v>
      </c>
      <c r="H1038" s="126"/>
      <c r="I1038" s="108">
        <v>310178230</v>
      </c>
      <c r="J1038" s="108" t="str">
        <f t="shared" si="178"/>
        <v>0310178230</v>
      </c>
      <c r="K1038" s="304" t="str">
        <f>C1038&amp;D1038&amp;E1038&amp;J1038&amp;G1038</f>
        <v>60910030310178230313</v>
      </c>
      <c r="M1038" s="37"/>
      <c r="N1038" s="37"/>
      <c r="O1038" s="37"/>
      <c r="P1038" s="37"/>
      <c r="Q1038" s="37"/>
      <c r="R1038" s="37"/>
      <c r="S1038" s="17" t="str">
        <f t="shared" si="179"/>
        <v>03 1 01 78230313</v>
      </c>
    </row>
    <row r="1039" spans="1:19" s="17" customFormat="1" ht="47.25">
      <c r="A1039" s="14"/>
      <c r="B1039" s="149" t="s">
        <v>617</v>
      </c>
      <c r="C1039" s="109" t="s">
        <v>595</v>
      </c>
      <c r="D1039" s="108" t="s">
        <v>317</v>
      </c>
      <c r="E1039" s="108" t="s">
        <v>13</v>
      </c>
      <c r="F1039" s="108" t="s">
        <v>618</v>
      </c>
      <c r="G1039" s="108" t="s">
        <v>9</v>
      </c>
      <c r="H1039" s="126">
        <f>H1040+H1042</f>
        <v>0</v>
      </c>
      <c r="I1039" s="108">
        <v>310178240</v>
      </c>
      <c r="J1039" s="108" t="str">
        <f t="shared" si="178"/>
        <v>0310178240</v>
      </c>
      <c r="K1039" s="132"/>
      <c r="M1039" s="37">
        <v>178.05</v>
      </c>
      <c r="N1039" s="37">
        <v>178.05</v>
      </c>
      <c r="O1039" s="37">
        <v>178.05</v>
      </c>
      <c r="P1039" s="37">
        <f>H1039-M1039</f>
        <v>-178.05</v>
      </c>
      <c r="Q1039" s="37" t="e">
        <f>#REF!-N1039</f>
        <v>#REF!</v>
      </c>
      <c r="R1039" s="37" t="e">
        <f>#REF!-O1039</f>
        <v>#REF!</v>
      </c>
      <c r="S1039" s="17" t="str">
        <f t="shared" si="179"/>
        <v>03 1 01 78240000</v>
      </c>
    </row>
    <row r="1040" spans="1:19" s="17" customFormat="1" ht="31.5">
      <c r="A1040" s="14"/>
      <c r="B1040" s="125" t="s">
        <v>28</v>
      </c>
      <c r="C1040" s="109" t="s">
        <v>595</v>
      </c>
      <c r="D1040" s="108" t="s">
        <v>317</v>
      </c>
      <c r="E1040" s="108" t="s">
        <v>13</v>
      </c>
      <c r="F1040" s="108" t="s">
        <v>618</v>
      </c>
      <c r="G1040" s="108" t="s">
        <v>29</v>
      </c>
      <c r="H1040" s="126">
        <f>H1041</f>
        <v>0</v>
      </c>
      <c r="I1040" s="108">
        <v>310178240</v>
      </c>
      <c r="J1040" s="108" t="str">
        <f t="shared" si="178"/>
        <v>0310178240</v>
      </c>
      <c r="K1040" s="132"/>
      <c r="M1040" s="37">
        <v>0.84</v>
      </c>
      <c r="N1040" s="37">
        <v>0.84</v>
      </c>
      <c r="O1040" s="37">
        <v>0.84</v>
      </c>
      <c r="P1040" s="37">
        <f>H1040-M1040</f>
        <v>-0.84</v>
      </c>
      <c r="Q1040" s="37" t="e">
        <f>#REF!-N1040</f>
        <v>#REF!</v>
      </c>
      <c r="R1040" s="37" t="e">
        <f>#REF!-O1040</f>
        <v>#REF!</v>
      </c>
      <c r="S1040" s="17" t="str">
        <f t="shared" si="179"/>
        <v>03 1 01 78240240</v>
      </c>
    </row>
    <row r="1041" spans="1:19" s="17" customFormat="1" ht="15.75">
      <c r="A1041" s="14"/>
      <c r="B1041" s="125" t="s">
        <v>30</v>
      </c>
      <c r="C1041" s="109" t="s">
        <v>595</v>
      </c>
      <c r="D1041" s="108" t="s">
        <v>317</v>
      </c>
      <c r="E1041" s="108" t="s">
        <v>13</v>
      </c>
      <c r="F1041" s="108" t="s">
        <v>618</v>
      </c>
      <c r="G1041" s="108" t="s">
        <v>31</v>
      </c>
      <c r="H1041" s="126"/>
      <c r="I1041" s="108">
        <v>310178240</v>
      </c>
      <c r="J1041" s="108" t="str">
        <f t="shared" si="178"/>
        <v>0310178240</v>
      </c>
      <c r="K1041" s="304" t="str">
        <f>C1041&amp;D1041&amp;E1041&amp;J1041&amp;G1041</f>
        <v>60910030310178240244</v>
      </c>
      <c r="M1041" s="37"/>
      <c r="N1041" s="37"/>
      <c r="O1041" s="37"/>
      <c r="P1041" s="37"/>
      <c r="Q1041" s="37"/>
      <c r="R1041" s="37"/>
      <c r="S1041" s="17" t="str">
        <f t="shared" si="179"/>
        <v>03 1 01 78240244</v>
      </c>
    </row>
    <row r="1042" spans="1:19" s="17" customFormat="1" ht="31.5">
      <c r="A1042" s="14"/>
      <c r="B1042" s="132" t="s">
        <v>493</v>
      </c>
      <c r="C1042" s="109" t="s">
        <v>595</v>
      </c>
      <c r="D1042" s="108" t="s">
        <v>317</v>
      </c>
      <c r="E1042" s="108" t="s">
        <v>13</v>
      </c>
      <c r="F1042" s="108" t="s">
        <v>618</v>
      </c>
      <c r="G1042" s="108" t="s">
        <v>494</v>
      </c>
      <c r="H1042" s="126">
        <f>H1043</f>
        <v>0</v>
      </c>
      <c r="I1042" s="108">
        <v>310178240</v>
      </c>
      <c r="J1042" s="108" t="str">
        <f t="shared" si="178"/>
        <v>0310178240</v>
      </c>
      <c r="K1042" s="132"/>
      <c r="M1042" s="37">
        <v>177.21</v>
      </c>
      <c r="N1042" s="37">
        <v>177.21</v>
      </c>
      <c r="O1042" s="37">
        <v>177.21</v>
      </c>
      <c r="P1042" s="37">
        <f>H1042-M1042</f>
        <v>-177.21</v>
      </c>
      <c r="Q1042" s="37" t="e">
        <f>#REF!-N1042</f>
        <v>#REF!</v>
      </c>
      <c r="R1042" s="37" t="e">
        <f>#REF!-O1042</f>
        <v>#REF!</v>
      </c>
      <c r="S1042" s="17" t="str">
        <f t="shared" si="179"/>
        <v>03 1 01 78240310</v>
      </c>
    </row>
    <row r="1043" spans="1:19" s="17" customFormat="1" ht="31.5">
      <c r="A1043" s="14"/>
      <c r="B1043" s="127" t="s">
        <v>495</v>
      </c>
      <c r="C1043" s="109" t="s">
        <v>595</v>
      </c>
      <c r="D1043" s="108" t="s">
        <v>317</v>
      </c>
      <c r="E1043" s="108" t="s">
        <v>13</v>
      </c>
      <c r="F1043" s="108" t="s">
        <v>618</v>
      </c>
      <c r="G1043" s="108" t="s">
        <v>496</v>
      </c>
      <c r="H1043" s="126"/>
      <c r="I1043" s="108">
        <v>310178240</v>
      </c>
      <c r="J1043" s="108" t="str">
        <f t="shared" si="178"/>
        <v>0310178240</v>
      </c>
      <c r="K1043" s="304" t="str">
        <f>C1043&amp;D1043&amp;E1043&amp;J1043&amp;G1043</f>
        <v>60910030310178240313</v>
      </c>
      <c r="M1043" s="37"/>
      <c r="N1043" s="37"/>
      <c r="O1043" s="37"/>
      <c r="P1043" s="37"/>
      <c r="Q1043" s="37"/>
      <c r="R1043" s="37"/>
      <c r="S1043" s="17" t="str">
        <f t="shared" si="179"/>
        <v>03 1 01 78240313</v>
      </c>
    </row>
    <row r="1044" spans="1:19" s="17" customFormat="1" ht="31.5">
      <c r="A1044" s="14"/>
      <c r="B1044" s="149" t="s">
        <v>619</v>
      </c>
      <c r="C1044" s="109" t="s">
        <v>595</v>
      </c>
      <c r="D1044" s="108" t="s">
        <v>317</v>
      </c>
      <c r="E1044" s="108" t="s">
        <v>13</v>
      </c>
      <c r="F1044" s="108" t="s">
        <v>620</v>
      </c>
      <c r="G1044" s="108" t="s">
        <v>9</v>
      </c>
      <c r="H1044" s="126">
        <f>H1045+H1047</f>
        <v>0</v>
      </c>
      <c r="I1044" s="108">
        <v>310178250</v>
      </c>
      <c r="J1044" s="108" t="str">
        <f t="shared" si="178"/>
        <v>0310178250</v>
      </c>
      <c r="K1044" s="132"/>
      <c r="M1044" s="37">
        <v>614.26</v>
      </c>
      <c r="N1044" s="37">
        <v>614.26</v>
      </c>
      <c r="O1044" s="37">
        <v>614.26</v>
      </c>
      <c r="P1044" s="37">
        <f>H1044-M1044</f>
        <v>-614.26</v>
      </c>
      <c r="Q1044" s="37" t="e">
        <f>#REF!-N1044</f>
        <v>#REF!</v>
      </c>
      <c r="R1044" s="37" t="e">
        <f>#REF!-O1044</f>
        <v>#REF!</v>
      </c>
      <c r="S1044" s="17" t="str">
        <f t="shared" si="179"/>
        <v>03 1 01 78250000</v>
      </c>
    </row>
    <row r="1045" spans="1:19" s="17" customFormat="1" ht="31.5">
      <c r="A1045" s="14"/>
      <c r="B1045" s="125" t="s">
        <v>28</v>
      </c>
      <c r="C1045" s="109" t="s">
        <v>595</v>
      </c>
      <c r="D1045" s="108" t="s">
        <v>317</v>
      </c>
      <c r="E1045" s="108" t="s">
        <v>13</v>
      </c>
      <c r="F1045" s="108" t="s">
        <v>620</v>
      </c>
      <c r="G1045" s="108" t="s">
        <v>29</v>
      </c>
      <c r="H1045" s="126">
        <f>H1046</f>
        <v>0</v>
      </c>
      <c r="I1045" s="108">
        <v>310178250</v>
      </c>
      <c r="J1045" s="108" t="str">
        <f t="shared" si="178"/>
        <v>0310178250</v>
      </c>
      <c r="K1045" s="132"/>
      <c r="M1045" s="37">
        <v>8.4</v>
      </c>
      <c r="N1045" s="37">
        <v>8.4</v>
      </c>
      <c r="O1045" s="37">
        <v>8.4</v>
      </c>
      <c r="P1045" s="37">
        <f>H1045-M1045</f>
        <v>-8.4</v>
      </c>
      <c r="Q1045" s="37" t="e">
        <f>#REF!-N1045</f>
        <v>#REF!</v>
      </c>
      <c r="R1045" s="37" t="e">
        <f>#REF!-O1045</f>
        <v>#REF!</v>
      </c>
      <c r="S1045" s="17" t="str">
        <f t="shared" si="179"/>
        <v>03 1 01 78250240</v>
      </c>
    </row>
    <row r="1046" spans="1:19" s="17" customFormat="1" ht="15.75">
      <c r="A1046" s="14"/>
      <c r="B1046" s="125" t="s">
        <v>30</v>
      </c>
      <c r="C1046" s="109" t="s">
        <v>595</v>
      </c>
      <c r="D1046" s="108" t="s">
        <v>317</v>
      </c>
      <c r="E1046" s="108" t="s">
        <v>13</v>
      </c>
      <c r="F1046" s="108" t="s">
        <v>620</v>
      </c>
      <c r="G1046" s="108" t="s">
        <v>31</v>
      </c>
      <c r="H1046" s="126"/>
      <c r="I1046" s="108">
        <v>310178250</v>
      </c>
      <c r="J1046" s="108" t="str">
        <f t="shared" si="178"/>
        <v>0310178250</v>
      </c>
      <c r="K1046" s="304" t="str">
        <f>C1046&amp;D1046&amp;E1046&amp;J1046&amp;G1046</f>
        <v>60910030310178250244</v>
      </c>
      <c r="M1046" s="37"/>
      <c r="N1046" s="37"/>
      <c r="O1046" s="37"/>
      <c r="P1046" s="37"/>
      <c r="Q1046" s="37"/>
      <c r="R1046" s="37"/>
      <c r="S1046" s="17" t="str">
        <f t="shared" si="179"/>
        <v>03 1 01 78250244</v>
      </c>
    </row>
    <row r="1047" spans="1:19" s="17" customFormat="1" ht="31.5">
      <c r="A1047" s="14"/>
      <c r="B1047" s="132" t="s">
        <v>493</v>
      </c>
      <c r="C1047" s="109" t="s">
        <v>595</v>
      </c>
      <c r="D1047" s="108" t="s">
        <v>317</v>
      </c>
      <c r="E1047" s="108" t="s">
        <v>13</v>
      </c>
      <c r="F1047" s="108" t="s">
        <v>620</v>
      </c>
      <c r="G1047" s="108" t="s">
        <v>494</v>
      </c>
      <c r="H1047" s="126">
        <f>H1048</f>
        <v>0</v>
      </c>
      <c r="I1047" s="108">
        <v>310178250</v>
      </c>
      <c r="J1047" s="108" t="str">
        <f t="shared" si="178"/>
        <v>0310178250</v>
      </c>
      <c r="K1047" s="132"/>
      <c r="M1047" s="37">
        <v>605.86</v>
      </c>
      <c r="N1047" s="37">
        <v>605.86</v>
      </c>
      <c r="O1047" s="37">
        <v>605.86</v>
      </c>
      <c r="P1047" s="37">
        <f>H1047-M1047</f>
        <v>-605.86</v>
      </c>
      <c r="Q1047" s="37" t="e">
        <f>#REF!-N1047</f>
        <v>#REF!</v>
      </c>
      <c r="R1047" s="37" t="e">
        <f>#REF!-O1047</f>
        <v>#REF!</v>
      </c>
      <c r="S1047" s="17" t="str">
        <f t="shared" si="179"/>
        <v>03 1 01 78250310</v>
      </c>
    </row>
    <row r="1048" spans="1:19" s="17" customFormat="1" ht="31.5">
      <c r="A1048" s="14"/>
      <c r="B1048" s="127" t="s">
        <v>495</v>
      </c>
      <c r="C1048" s="109" t="s">
        <v>595</v>
      </c>
      <c r="D1048" s="108" t="s">
        <v>317</v>
      </c>
      <c r="E1048" s="108" t="s">
        <v>13</v>
      </c>
      <c r="F1048" s="108" t="s">
        <v>620</v>
      </c>
      <c r="G1048" s="108" t="s">
        <v>496</v>
      </c>
      <c r="H1048" s="126"/>
      <c r="I1048" s="108">
        <v>310178250</v>
      </c>
      <c r="J1048" s="108" t="str">
        <f t="shared" si="178"/>
        <v>0310178250</v>
      </c>
      <c r="K1048" s="304" t="str">
        <f>C1048&amp;D1048&amp;E1048&amp;J1048&amp;G1048</f>
        <v>60910030310178250313</v>
      </c>
      <c r="M1048" s="37"/>
      <c r="N1048" s="37"/>
      <c r="O1048" s="37"/>
      <c r="P1048" s="37"/>
      <c r="Q1048" s="37"/>
      <c r="R1048" s="37"/>
      <c r="S1048" s="17" t="str">
        <f t="shared" si="179"/>
        <v>03 1 01 78250313</v>
      </c>
    </row>
    <row r="1049" spans="1:19" s="17" customFormat="1" ht="31.5">
      <c r="A1049" s="14"/>
      <c r="B1049" s="149" t="s">
        <v>621</v>
      </c>
      <c r="C1049" s="109" t="s">
        <v>595</v>
      </c>
      <c r="D1049" s="108" t="s">
        <v>317</v>
      </c>
      <c r="E1049" s="108" t="s">
        <v>13</v>
      </c>
      <c r="F1049" s="108" t="s">
        <v>622</v>
      </c>
      <c r="G1049" s="108" t="s">
        <v>9</v>
      </c>
      <c r="H1049" s="126">
        <f>H1050+H1052</f>
        <v>0</v>
      </c>
      <c r="I1049" s="108">
        <v>310178260</v>
      </c>
      <c r="J1049" s="108" t="str">
        <f t="shared" si="178"/>
        <v>0310178260</v>
      </c>
      <c r="K1049" s="132"/>
      <c r="M1049" s="37">
        <v>292267</v>
      </c>
      <c r="N1049" s="37">
        <v>336033.4</v>
      </c>
      <c r="O1049" s="37">
        <v>338036</v>
      </c>
      <c r="P1049" s="37">
        <f>H1049-M1049</f>
        <v>-292267</v>
      </c>
      <c r="Q1049" s="37" t="e">
        <f>#REF!-N1049</f>
        <v>#REF!</v>
      </c>
      <c r="R1049" s="37" t="e">
        <f>#REF!-O1049</f>
        <v>#REF!</v>
      </c>
      <c r="S1049" s="17" t="str">
        <f t="shared" si="179"/>
        <v>03 1 01 78260000</v>
      </c>
    </row>
    <row r="1050" spans="1:19" s="17" customFormat="1" ht="31.5">
      <c r="A1050" s="14"/>
      <c r="B1050" s="125" t="s">
        <v>28</v>
      </c>
      <c r="C1050" s="109" t="s">
        <v>595</v>
      </c>
      <c r="D1050" s="108" t="s">
        <v>317</v>
      </c>
      <c r="E1050" s="108" t="s">
        <v>13</v>
      </c>
      <c r="F1050" s="108" t="s">
        <v>622</v>
      </c>
      <c r="G1050" s="108" t="s">
        <v>29</v>
      </c>
      <c r="H1050" s="126">
        <f>H1051</f>
        <v>0</v>
      </c>
      <c r="I1050" s="108">
        <v>310178260</v>
      </c>
      <c r="J1050" s="108" t="str">
        <f t="shared" si="178"/>
        <v>0310178260</v>
      </c>
      <c r="K1050" s="132"/>
      <c r="M1050" s="37">
        <v>4032.4</v>
      </c>
      <c r="N1050" s="37">
        <v>4532.3999999999996</v>
      </c>
      <c r="O1050" s="37">
        <v>4632.3999999999996</v>
      </c>
      <c r="P1050" s="37">
        <f>H1050-M1050</f>
        <v>-4032.4</v>
      </c>
      <c r="Q1050" s="37" t="e">
        <f>#REF!-N1050</f>
        <v>#REF!</v>
      </c>
      <c r="R1050" s="37" t="e">
        <f>#REF!-O1050</f>
        <v>#REF!</v>
      </c>
      <c r="S1050" s="17" t="str">
        <f t="shared" si="179"/>
        <v>03 1 01 78260240</v>
      </c>
    </row>
    <row r="1051" spans="1:19" s="17" customFormat="1" ht="15.75">
      <c r="A1051" s="14"/>
      <c r="B1051" s="125" t="s">
        <v>30</v>
      </c>
      <c r="C1051" s="109" t="s">
        <v>595</v>
      </c>
      <c r="D1051" s="108" t="s">
        <v>317</v>
      </c>
      <c r="E1051" s="108" t="s">
        <v>13</v>
      </c>
      <c r="F1051" s="108" t="s">
        <v>622</v>
      </c>
      <c r="G1051" s="108" t="s">
        <v>31</v>
      </c>
      <c r="H1051" s="126"/>
      <c r="I1051" s="108">
        <v>310178260</v>
      </c>
      <c r="J1051" s="108" t="str">
        <f t="shared" si="178"/>
        <v>0310178260</v>
      </c>
      <c r="K1051" s="304" t="str">
        <f>C1051&amp;D1051&amp;E1051&amp;J1051&amp;G1051</f>
        <v>60910030310178260244</v>
      </c>
      <c r="M1051" s="37"/>
      <c r="N1051" s="37"/>
      <c r="O1051" s="37"/>
      <c r="P1051" s="37"/>
      <c r="Q1051" s="37"/>
      <c r="R1051" s="37"/>
      <c r="S1051" s="17" t="str">
        <f t="shared" si="179"/>
        <v>03 1 01 78260244</v>
      </c>
    </row>
    <row r="1052" spans="1:19" s="17" customFormat="1" ht="31.5">
      <c r="A1052" s="14"/>
      <c r="B1052" s="132" t="s">
        <v>493</v>
      </c>
      <c r="C1052" s="109" t="s">
        <v>595</v>
      </c>
      <c r="D1052" s="108" t="s">
        <v>317</v>
      </c>
      <c r="E1052" s="108" t="s">
        <v>13</v>
      </c>
      <c r="F1052" s="108" t="s">
        <v>622</v>
      </c>
      <c r="G1052" s="108" t="s">
        <v>494</v>
      </c>
      <c r="H1052" s="126">
        <f>H1053</f>
        <v>0</v>
      </c>
      <c r="I1052" s="108">
        <v>310178260</v>
      </c>
      <c r="J1052" s="108" t="str">
        <f t="shared" si="178"/>
        <v>0310178260</v>
      </c>
      <c r="K1052" s="132"/>
      <c r="M1052" s="37">
        <v>288234.59999999998</v>
      </c>
      <c r="N1052" s="37">
        <v>331501</v>
      </c>
      <c r="O1052" s="37">
        <v>333403.59999999998</v>
      </c>
      <c r="P1052" s="37">
        <f>H1052-M1052</f>
        <v>-288234.59999999998</v>
      </c>
      <c r="Q1052" s="37" t="e">
        <f>#REF!-N1052</f>
        <v>#REF!</v>
      </c>
      <c r="R1052" s="37" t="e">
        <f>#REF!-O1052</f>
        <v>#REF!</v>
      </c>
      <c r="S1052" s="17" t="str">
        <f t="shared" si="179"/>
        <v>03 1 01 78260310</v>
      </c>
    </row>
    <row r="1053" spans="1:19" s="17" customFormat="1" ht="31.5">
      <c r="A1053" s="14"/>
      <c r="B1053" s="127" t="s">
        <v>495</v>
      </c>
      <c r="C1053" s="109" t="s">
        <v>595</v>
      </c>
      <c r="D1053" s="108" t="s">
        <v>317</v>
      </c>
      <c r="E1053" s="108" t="s">
        <v>13</v>
      </c>
      <c r="F1053" s="108" t="s">
        <v>622</v>
      </c>
      <c r="G1053" s="108" t="s">
        <v>496</v>
      </c>
      <c r="H1053" s="126"/>
      <c r="I1053" s="108">
        <v>310178260</v>
      </c>
      <c r="J1053" s="108" t="str">
        <f t="shared" si="178"/>
        <v>0310178260</v>
      </c>
      <c r="K1053" s="304" t="str">
        <f>C1053&amp;D1053&amp;E1053&amp;J1053&amp;G1053</f>
        <v>60910030310178260313</v>
      </c>
      <c r="M1053" s="37"/>
      <c r="N1053" s="37"/>
      <c r="O1053" s="37"/>
      <c r="P1053" s="37"/>
      <c r="Q1053" s="37"/>
      <c r="R1053" s="37"/>
      <c r="S1053" s="17" t="str">
        <f t="shared" si="179"/>
        <v>03 1 01 78260313</v>
      </c>
    </row>
    <row r="1054" spans="1:19" s="17" customFormat="1" ht="47.25">
      <c r="A1054" s="14"/>
      <c r="B1054" s="132" t="s">
        <v>1122</v>
      </c>
      <c r="C1054" s="109" t="s">
        <v>595</v>
      </c>
      <c r="D1054" s="108" t="s">
        <v>317</v>
      </c>
      <c r="E1054" s="108" t="s">
        <v>13</v>
      </c>
      <c r="F1054" s="108" t="s">
        <v>1123</v>
      </c>
      <c r="G1054" s="108" t="s">
        <v>9</v>
      </c>
      <c r="H1054" s="126">
        <f>H1055+H1057</f>
        <v>0</v>
      </c>
      <c r="I1054" s="108" t="s">
        <v>1227</v>
      </c>
      <c r="J1054" s="108" t="str">
        <f t="shared" si="178"/>
        <v>03101R4620</v>
      </c>
      <c r="M1054" s="37"/>
      <c r="N1054" s="37"/>
      <c r="O1054" s="37"/>
      <c r="P1054" s="37"/>
      <c r="Q1054" s="37"/>
      <c r="R1054" s="37"/>
    </row>
    <row r="1055" spans="1:19" s="17" customFormat="1" ht="31.5">
      <c r="A1055" s="14"/>
      <c r="B1055" s="125" t="s">
        <v>28</v>
      </c>
      <c r="C1055" s="109" t="s">
        <v>595</v>
      </c>
      <c r="D1055" s="108" t="s">
        <v>317</v>
      </c>
      <c r="E1055" s="108" t="s">
        <v>13</v>
      </c>
      <c r="F1055" s="108" t="s">
        <v>1123</v>
      </c>
      <c r="G1055" s="108" t="s">
        <v>29</v>
      </c>
      <c r="H1055" s="126">
        <f>H1056</f>
        <v>0</v>
      </c>
      <c r="I1055" s="108" t="s">
        <v>1227</v>
      </c>
      <c r="J1055" s="108" t="str">
        <f t="shared" si="178"/>
        <v>03101R4620</v>
      </c>
      <c r="M1055" s="37"/>
      <c r="N1055" s="37"/>
      <c r="O1055" s="37"/>
      <c r="P1055" s="37"/>
      <c r="Q1055" s="37"/>
      <c r="R1055" s="37"/>
    </row>
    <row r="1056" spans="1:19" s="17" customFormat="1" ht="15.75">
      <c r="A1056" s="14"/>
      <c r="B1056" s="125" t="s">
        <v>30</v>
      </c>
      <c r="C1056" s="109" t="s">
        <v>595</v>
      </c>
      <c r="D1056" s="108" t="s">
        <v>317</v>
      </c>
      <c r="E1056" s="108" t="s">
        <v>13</v>
      </c>
      <c r="F1056" s="108" t="s">
        <v>1123</v>
      </c>
      <c r="G1056" s="108" t="s">
        <v>31</v>
      </c>
      <c r="H1056" s="126"/>
      <c r="I1056" s="108" t="s">
        <v>1227</v>
      </c>
      <c r="J1056" s="108" t="str">
        <f t="shared" si="178"/>
        <v>03101R4620</v>
      </c>
      <c r="K1056" s="304" t="str">
        <f>C1056&amp;D1056&amp;E1056&amp;J1056&amp;G1056</f>
        <v>609100303101R4620244</v>
      </c>
      <c r="M1056" s="37"/>
      <c r="N1056" s="37"/>
      <c r="O1056" s="37"/>
      <c r="P1056" s="37"/>
      <c r="Q1056" s="37"/>
      <c r="R1056" s="37"/>
    </row>
    <row r="1057" spans="1:19" s="17" customFormat="1" ht="31.5">
      <c r="A1057" s="14"/>
      <c r="B1057" s="132" t="s">
        <v>493</v>
      </c>
      <c r="C1057" s="109" t="s">
        <v>595</v>
      </c>
      <c r="D1057" s="108" t="s">
        <v>317</v>
      </c>
      <c r="E1057" s="108" t="s">
        <v>13</v>
      </c>
      <c r="F1057" s="108" t="s">
        <v>1123</v>
      </c>
      <c r="G1057" s="108" t="s">
        <v>494</v>
      </c>
      <c r="H1057" s="126">
        <f>H1058</f>
        <v>0</v>
      </c>
      <c r="I1057" s="108" t="s">
        <v>1227</v>
      </c>
      <c r="J1057" s="108" t="str">
        <f t="shared" si="178"/>
        <v>03101R4620</v>
      </c>
      <c r="M1057" s="37"/>
      <c r="N1057" s="37"/>
      <c r="O1057" s="37"/>
      <c r="P1057" s="37"/>
      <c r="Q1057" s="37"/>
      <c r="R1057" s="37"/>
    </row>
    <row r="1058" spans="1:19" s="17" customFormat="1" ht="31.5">
      <c r="A1058" s="14"/>
      <c r="B1058" s="127" t="s">
        <v>495</v>
      </c>
      <c r="C1058" s="109" t="s">
        <v>595</v>
      </c>
      <c r="D1058" s="108" t="s">
        <v>317</v>
      </c>
      <c r="E1058" s="108" t="s">
        <v>13</v>
      </c>
      <c r="F1058" s="108" t="s">
        <v>1123</v>
      </c>
      <c r="G1058" s="108" t="s">
        <v>496</v>
      </c>
      <c r="H1058" s="126"/>
      <c r="I1058" s="108" t="s">
        <v>1227</v>
      </c>
      <c r="J1058" s="108" t="str">
        <f t="shared" si="178"/>
        <v>03101R4620</v>
      </c>
      <c r="K1058" s="304" t="str">
        <f>C1058&amp;D1058&amp;E1058&amp;J1058&amp;G1058</f>
        <v>609100303101R4620313</v>
      </c>
      <c r="M1058" s="37"/>
      <c r="N1058" s="37"/>
      <c r="O1058" s="37"/>
      <c r="P1058" s="37"/>
      <c r="Q1058" s="37"/>
      <c r="R1058" s="37"/>
    </row>
    <row r="1059" spans="1:19" s="17" customFormat="1" ht="31.5">
      <c r="A1059" s="14" t="s">
        <v>598</v>
      </c>
      <c r="B1059" s="148" t="s">
        <v>623</v>
      </c>
      <c r="C1059" s="109" t="s">
        <v>595</v>
      </c>
      <c r="D1059" s="108" t="s">
        <v>317</v>
      </c>
      <c r="E1059" s="108" t="s">
        <v>13</v>
      </c>
      <c r="F1059" s="108" t="s">
        <v>624</v>
      </c>
      <c r="G1059" s="108" t="s">
        <v>9</v>
      </c>
      <c r="H1059" s="126">
        <f>H1060+H1075+H1065+H1070</f>
        <v>0</v>
      </c>
      <c r="I1059" s="108">
        <v>310200000</v>
      </c>
      <c r="J1059" s="108" t="str">
        <f t="shared" si="178"/>
        <v>0310200000</v>
      </c>
      <c r="K1059" s="132"/>
      <c r="M1059" s="36">
        <v>234979.36</v>
      </c>
      <c r="N1059" s="36">
        <v>245649.34000000003</v>
      </c>
      <c r="O1059" s="36">
        <v>261013.86</v>
      </c>
      <c r="P1059" s="36">
        <f>H1059-M1059</f>
        <v>-234979.36</v>
      </c>
      <c r="Q1059" s="36" t="e">
        <f>#REF!-N1059</f>
        <v>#REF!</v>
      </c>
      <c r="R1059" s="36" t="e">
        <f>#REF!-O1059</f>
        <v>#REF!</v>
      </c>
      <c r="S1059" s="17" t="str">
        <f t="shared" si="179"/>
        <v>03 1 02 00000000</v>
      </c>
    </row>
    <row r="1060" spans="1:19" s="17" customFormat="1" ht="94.5">
      <c r="A1060" s="14"/>
      <c r="B1060" s="149" t="s">
        <v>625</v>
      </c>
      <c r="C1060" s="109" t="s">
        <v>595</v>
      </c>
      <c r="D1060" s="108" t="s">
        <v>317</v>
      </c>
      <c r="E1060" s="108" t="s">
        <v>13</v>
      </c>
      <c r="F1060" s="108" t="s">
        <v>626</v>
      </c>
      <c r="G1060" s="108" t="s">
        <v>9</v>
      </c>
      <c r="H1060" s="126">
        <f>H1063+H1061</f>
        <v>0</v>
      </c>
      <c r="I1060" s="108">
        <v>310253800</v>
      </c>
      <c r="J1060" s="108" t="str">
        <f t="shared" si="178"/>
        <v>0310253800</v>
      </c>
      <c r="K1060" s="132"/>
      <c r="M1060" s="37">
        <v>188631.6</v>
      </c>
      <c r="N1060" s="37">
        <v>194738.30000000002</v>
      </c>
      <c r="O1060" s="37">
        <v>202950.5</v>
      </c>
      <c r="P1060" s="37">
        <f>H1060-M1060</f>
        <v>-188631.6</v>
      </c>
      <c r="Q1060" s="37" t="e">
        <f>#REF!-N1060</f>
        <v>#REF!</v>
      </c>
      <c r="R1060" s="37" t="e">
        <f>#REF!-O1060</f>
        <v>#REF!</v>
      </c>
      <c r="S1060" s="17" t="str">
        <f t="shared" si="179"/>
        <v>03 1 02 53800000</v>
      </c>
    </row>
    <row r="1061" spans="1:19" s="17" customFormat="1" ht="31.5">
      <c r="A1061" s="14"/>
      <c r="B1061" s="125" t="s">
        <v>28</v>
      </c>
      <c r="C1061" s="109" t="s">
        <v>595</v>
      </c>
      <c r="D1061" s="108" t="s">
        <v>317</v>
      </c>
      <c r="E1061" s="108" t="s">
        <v>13</v>
      </c>
      <c r="F1061" s="108" t="s">
        <v>626</v>
      </c>
      <c r="G1061" s="108" t="s">
        <v>29</v>
      </c>
      <c r="H1061" s="126">
        <f>H1062</f>
        <v>0</v>
      </c>
      <c r="I1061" s="108">
        <v>310253800</v>
      </c>
      <c r="J1061" s="108" t="str">
        <f t="shared" si="178"/>
        <v>0310253800</v>
      </c>
      <c r="K1061" s="132"/>
      <c r="M1061" s="37">
        <v>2787.66</v>
      </c>
      <c r="N1061" s="37">
        <v>2877.91</v>
      </c>
      <c r="O1061" s="37">
        <v>2999.27</v>
      </c>
      <c r="P1061" s="37">
        <f>H1061-M1061</f>
        <v>-2787.66</v>
      </c>
      <c r="Q1061" s="37" t="e">
        <f>#REF!-N1061</f>
        <v>#REF!</v>
      </c>
      <c r="R1061" s="37" t="e">
        <f>#REF!-O1061</f>
        <v>#REF!</v>
      </c>
      <c r="S1061" s="17" t="str">
        <f t="shared" si="179"/>
        <v>03 1 02 53800240</v>
      </c>
    </row>
    <row r="1062" spans="1:19" s="17" customFormat="1" ht="15.75">
      <c r="A1062" s="14"/>
      <c r="B1062" s="125" t="s">
        <v>30</v>
      </c>
      <c r="C1062" s="109" t="s">
        <v>595</v>
      </c>
      <c r="D1062" s="108" t="s">
        <v>317</v>
      </c>
      <c r="E1062" s="108" t="s">
        <v>13</v>
      </c>
      <c r="F1062" s="108" t="s">
        <v>626</v>
      </c>
      <c r="G1062" s="108" t="s">
        <v>31</v>
      </c>
      <c r="H1062" s="126"/>
      <c r="I1062" s="108">
        <v>310253800</v>
      </c>
      <c r="J1062" s="108" t="str">
        <f t="shared" si="178"/>
        <v>0310253800</v>
      </c>
      <c r="K1062" s="304" t="str">
        <f>C1062&amp;D1062&amp;E1062&amp;J1062&amp;G1062</f>
        <v>60910030310253800244</v>
      </c>
      <c r="M1062" s="37"/>
      <c r="N1062" s="37"/>
      <c r="O1062" s="37"/>
      <c r="P1062" s="37"/>
      <c r="Q1062" s="37"/>
      <c r="R1062" s="37"/>
      <c r="S1062" s="17" t="str">
        <f t="shared" si="179"/>
        <v>03 1 02 53800244</v>
      </c>
    </row>
    <row r="1063" spans="1:19" s="17" customFormat="1" ht="31.5">
      <c r="A1063" s="14"/>
      <c r="B1063" s="132" t="s">
        <v>493</v>
      </c>
      <c r="C1063" s="109" t="s">
        <v>595</v>
      </c>
      <c r="D1063" s="108" t="s">
        <v>317</v>
      </c>
      <c r="E1063" s="108" t="s">
        <v>13</v>
      </c>
      <c r="F1063" s="108" t="s">
        <v>626</v>
      </c>
      <c r="G1063" s="108" t="s">
        <v>494</v>
      </c>
      <c r="H1063" s="126">
        <f>H1064</f>
        <v>0</v>
      </c>
      <c r="I1063" s="108">
        <v>310253800</v>
      </c>
      <c r="J1063" s="108" t="str">
        <f t="shared" si="178"/>
        <v>0310253800</v>
      </c>
      <c r="K1063" s="132"/>
      <c r="M1063" s="37">
        <v>185843.94</v>
      </c>
      <c r="N1063" s="37">
        <v>191860.39</v>
      </c>
      <c r="O1063" s="37">
        <v>199951.23</v>
      </c>
      <c r="P1063" s="37">
        <f>H1063-M1063</f>
        <v>-185843.94</v>
      </c>
      <c r="Q1063" s="37" t="e">
        <f>#REF!-N1063</f>
        <v>#REF!</v>
      </c>
      <c r="R1063" s="37" t="e">
        <f>#REF!-O1063</f>
        <v>#REF!</v>
      </c>
      <c r="S1063" s="17" t="str">
        <f t="shared" si="179"/>
        <v>03 1 02 53800310</v>
      </c>
    </row>
    <row r="1064" spans="1:19" s="17" customFormat="1" ht="31.5">
      <c r="A1064" s="14"/>
      <c r="B1064" s="127" t="s">
        <v>495</v>
      </c>
      <c r="C1064" s="109" t="s">
        <v>595</v>
      </c>
      <c r="D1064" s="108" t="s">
        <v>317</v>
      </c>
      <c r="E1064" s="108" t="s">
        <v>13</v>
      </c>
      <c r="F1064" s="108" t="s">
        <v>626</v>
      </c>
      <c r="G1064" s="108" t="s">
        <v>496</v>
      </c>
      <c r="H1064" s="126"/>
      <c r="I1064" s="108">
        <v>310253800</v>
      </c>
      <c r="J1064" s="108" t="str">
        <f t="shared" ref="J1064:J1127" si="182">TEXT(I1064,"0000000000")</f>
        <v>0310253800</v>
      </c>
      <c r="K1064" s="304" t="str">
        <f>C1064&amp;D1064&amp;E1064&amp;J1064&amp;G1064</f>
        <v>60910030310253800313</v>
      </c>
      <c r="M1064" s="37"/>
      <c r="N1064" s="37"/>
      <c r="O1064" s="37"/>
      <c r="P1064" s="37"/>
      <c r="Q1064" s="37"/>
      <c r="R1064" s="37"/>
      <c r="S1064" s="17" t="str">
        <f t="shared" si="179"/>
        <v>03 1 02 53800313</v>
      </c>
    </row>
    <row r="1065" spans="1:19" s="17" customFormat="1" ht="31.5">
      <c r="A1065" s="14"/>
      <c r="B1065" s="149" t="s">
        <v>627</v>
      </c>
      <c r="C1065" s="109" t="s">
        <v>595</v>
      </c>
      <c r="D1065" s="108" t="s">
        <v>317</v>
      </c>
      <c r="E1065" s="108" t="s">
        <v>13</v>
      </c>
      <c r="F1065" s="108" t="s">
        <v>628</v>
      </c>
      <c r="G1065" s="108" t="s">
        <v>9</v>
      </c>
      <c r="H1065" s="126">
        <f>H1066+H1068</f>
        <v>0</v>
      </c>
      <c r="I1065" s="108">
        <v>310276260</v>
      </c>
      <c r="J1065" s="108" t="str">
        <f t="shared" si="182"/>
        <v>0310276260</v>
      </c>
      <c r="K1065" s="132"/>
      <c r="M1065" s="37">
        <v>284.65000000000003</v>
      </c>
      <c r="N1065" s="37">
        <v>284.65000000000003</v>
      </c>
      <c r="O1065" s="37">
        <v>284.65000000000003</v>
      </c>
      <c r="P1065" s="37">
        <f>H1065-M1065</f>
        <v>-284.65000000000003</v>
      </c>
      <c r="Q1065" s="37" t="e">
        <f>#REF!-N1065</f>
        <v>#REF!</v>
      </c>
      <c r="R1065" s="37" t="e">
        <f>#REF!-O1065</f>
        <v>#REF!</v>
      </c>
      <c r="S1065" s="17" t="str">
        <f t="shared" si="179"/>
        <v>03 1 02 76260000</v>
      </c>
    </row>
    <row r="1066" spans="1:19" s="17" customFormat="1" ht="31.5">
      <c r="A1066" s="14"/>
      <c r="B1066" s="125" t="s">
        <v>28</v>
      </c>
      <c r="C1066" s="109" t="s">
        <v>595</v>
      </c>
      <c r="D1066" s="108" t="s">
        <v>317</v>
      </c>
      <c r="E1066" s="108" t="s">
        <v>13</v>
      </c>
      <c r="F1066" s="108" t="s">
        <v>628</v>
      </c>
      <c r="G1066" s="108" t="s">
        <v>29</v>
      </c>
      <c r="H1066" s="126">
        <f>H1067</f>
        <v>0</v>
      </c>
      <c r="I1066" s="108">
        <v>310276260</v>
      </c>
      <c r="J1066" s="108" t="str">
        <f t="shared" si="182"/>
        <v>0310276260</v>
      </c>
      <c r="K1066" s="132"/>
      <c r="M1066" s="37">
        <v>3.79</v>
      </c>
      <c r="N1066" s="37">
        <v>3.79</v>
      </c>
      <c r="O1066" s="37">
        <v>3.79</v>
      </c>
      <c r="P1066" s="37">
        <f>H1066-M1066</f>
        <v>-3.79</v>
      </c>
      <c r="Q1066" s="37" t="e">
        <f>#REF!-N1066</f>
        <v>#REF!</v>
      </c>
      <c r="R1066" s="37" t="e">
        <f>#REF!-O1066</f>
        <v>#REF!</v>
      </c>
      <c r="S1066" s="17" t="str">
        <f t="shared" si="179"/>
        <v>03 1 02 76260240</v>
      </c>
    </row>
    <row r="1067" spans="1:19" s="17" customFormat="1" ht="15.75">
      <c r="A1067" s="14"/>
      <c r="B1067" s="125" t="s">
        <v>30</v>
      </c>
      <c r="C1067" s="109" t="s">
        <v>595</v>
      </c>
      <c r="D1067" s="108" t="s">
        <v>317</v>
      </c>
      <c r="E1067" s="108" t="s">
        <v>13</v>
      </c>
      <c r="F1067" s="108" t="s">
        <v>628</v>
      </c>
      <c r="G1067" s="108" t="s">
        <v>31</v>
      </c>
      <c r="H1067" s="126"/>
      <c r="I1067" s="108">
        <v>310276260</v>
      </c>
      <c r="J1067" s="108" t="str">
        <f t="shared" si="182"/>
        <v>0310276260</v>
      </c>
      <c r="K1067" s="304" t="str">
        <f>C1067&amp;D1067&amp;E1067&amp;J1067&amp;G1067</f>
        <v>60910030310276260244</v>
      </c>
      <c r="M1067" s="37"/>
      <c r="N1067" s="37"/>
      <c r="O1067" s="37"/>
      <c r="P1067" s="37"/>
      <c r="Q1067" s="37"/>
      <c r="R1067" s="37"/>
      <c r="S1067" s="17" t="str">
        <f t="shared" si="179"/>
        <v>03 1 02 76260244</v>
      </c>
    </row>
    <row r="1068" spans="1:19" s="17" customFormat="1" ht="31.5">
      <c r="A1068" s="14"/>
      <c r="B1068" s="132" t="s">
        <v>493</v>
      </c>
      <c r="C1068" s="109" t="s">
        <v>595</v>
      </c>
      <c r="D1068" s="108" t="s">
        <v>317</v>
      </c>
      <c r="E1068" s="108" t="s">
        <v>13</v>
      </c>
      <c r="F1068" s="108" t="s">
        <v>628</v>
      </c>
      <c r="G1068" s="108" t="s">
        <v>494</v>
      </c>
      <c r="H1068" s="126">
        <f>H1069</f>
        <v>0</v>
      </c>
      <c r="I1068" s="108">
        <v>310276260</v>
      </c>
      <c r="J1068" s="108" t="str">
        <f t="shared" si="182"/>
        <v>0310276260</v>
      </c>
      <c r="K1068" s="132"/>
      <c r="M1068" s="37">
        <v>280.86</v>
      </c>
      <c r="N1068" s="37">
        <v>280.86</v>
      </c>
      <c r="O1068" s="37">
        <v>280.86</v>
      </c>
      <c r="P1068" s="37">
        <f>H1068-M1068</f>
        <v>-280.86</v>
      </c>
      <c r="Q1068" s="37" t="e">
        <f>#REF!-N1068</f>
        <v>#REF!</v>
      </c>
      <c r="R1068" s="37" t="e">
        <f>#REF!-O1068</f>
        <v>#REF!</v>
      </c>
      <c r="S1068" s="17" t="str">
        <f t="shared" si="179"/>
        <v>03 1 02 76260310</v>
      </c>
    </row>
    <row r="1069" spans="1:19" s="17" customFormat="1" ht="31.5">
      <c r="A1069" s="14"/>
      <c r="B1069" s="127" t="s">
        <v>495</v>
      </c>
      <c r="C1069" s="109" t="s">
        <v>595</v>
      </c>
      <c r="D1069" s="108" t="s">
        <v>317</v>
      </c>
      <c r="E1069" s="108" t="s">
        <v>13</v>
      </c>
      <c r="F1069" s="108" t="s">
        <v>628</v>
      </c>
      <c r="G1069" s="108" t="s">
        <v>496</v>
      </c>
      <c r="H1069" s="126"/>
      <c r="I1069" s="108">
        <v>310276260</v>
      </c>
      <c r="J1069" s="108" t="str">
        <f t="shared" si="182"/>
        <v>0310276260</v>
      </c>
      <c r="K1069" s="304" t="str">
        <f>C1069&amp;D1069&amp;E1069&amp;J1069&amp;G1069</f>
        <v>60910030310276260313</v>
      </c>
      <c r="M1069" s="37"/>
      <c r="N1069" s="37"/>
      <c r="O1069" s="37"/>
      <c r="P1069" s="37"/>
      <c r="Q1069" s="37"/>
      <c r="R1069" s="37"/>
      <c r="S1069" s="17" t="str">
        <f t="shared" si="179"/>
        <v>03 1 02 76260313</v>
      </c>
    </row>
    <row r="1070" spans="1:19" s="17" customFormat="1" ht="94.5">
      <c r="A1070" s="14"/>
      <c r="B1070" s="150" t="s">
        <v>629</v>
      </c>
      <c r="C1070" s="130" t="s">
        <v>595</v>
      </c>
      <c r="D1070" s="131" t="s">
        <v>317</v>
      </c>
      <c r="E1070" s="131" t="s">
        <v>13</v>
      </c>
      <c r="F1070" s="131" t="s">
        <v>630</v>
      </c>
      <c r="G1070" s="131" t="s">
        <v>9</v>
      </c>
      <c r="H1070" s="126">
        <f>H1073+H1071</f>
        <v>0</v>
      </c>
      <c r="I1070" s="131">
        <v>310277190</v>
      </c>
      <c r="J1070" s="131" t="str">
        <f t="shared" si="182"/>
        <v>0310277190</v>
      </c>
      <c r="K1070" s="132"/>
      <c r="M1070" s="36">
        <v>2933.28</v>
      </c>
      <c r="N1070" s="36">
        <v>2933.28</v>
      </c>
      <c r="O1070" s="36">
        <v>2933.28</v>
      </c>
      <c r="P1070" s="36">
        <f>H1070-M1070</f>
        <v>-2933.28</v>
      </c>
      <c r="Q1070" s="36" t="e">
        <f>#REF!-N1070</f>
        <v>#REF!</v>
      </c>
      <c r="R1070" s="36" t="e">
        <f>#REF!-O1070</f>
        <v>#REF!</v>
      </c>
      <c r="S1070" s="17" t="str">
        <f t="shared" si="179"/>
        <v>03 1 02 77190000</v>
      </c>
    </row>
    <row r="1071" spans="1:19" s="17" customFormat="1" ht="31.5">
      <c r="A1071" s="14"/>
      <c r="B1071" s="125" t="s">
        <v>28</v>
      </c>
      <c r="C1071" s="130" t="s">
        <v>595</v>
      </c>
      <c r="D1071" s="131" t="s">
        <v>317</v>
      </c>
      <c r="E1071" s="131" t="s">
        <v>13</v>
      </c>
      <c r="F1071" s="131" t="s">
        <v>630</v>
      </c>
      <c r="G1071" s="131" t="s">
        <v>29</v>
      </c>
      <c r="H1071" s="126">
        <f>H1072</f>
        <v>0</v>
      </c>
      <c r="I1071" s="131">
        <v>310277190</v>
      </c>
      <c r="J1071" s="131" t="str">
        <f t="shared" si="182"/>
        <v>0310277190</v>
      </c>
      <c r="K1071" s="132"/>
      <c r="M1071" s="37">
        <v>39.07</v>
      </c>
      <c r="N1071" s="37">
        <v>39.07</v>
      </c>
      <c r="O1071" s="37">
        <v>39.07</v>
      </c>
      <c r="P1071" s="37">
        <f>H1071-M1071</f>
        <v>-39.07</v>
      </c>
      <c r="Q1071" s="37" t="e">
        <f>#REF!-N1071</f>
        <v>#REF!</v>
      </c>
      <c r="R1071" s="37" t="e">
        <f>#REF!-O1071</f>
        <v>#REF!</v>
      </c>
      <c r="S1071" s="17" t="str">
        <f t="shared" si="179"/>
        <v>03 1 02 77190240</v>
      </c>
    </row>
    <row r="1072" spans="1:19" s="17" customFormat="1" ht="15.75">
      <c r="A1072" s="14"/>
      <c r="B1072" s="125" t="s">
        <v>30</v>
      </c>
      <c r="C1072" s="130" t="s">
        <v>595</v>
      </c>
      <c r="D1072" s="131" t="s">
        <v>317</v>
      </c>
      <c r="E1072" s="131" t="s">
        <v>13</v>
      </c>
      <c r="F1072" s="131" t="s">
        <v>630</v>
      </c>
      <c r="G1072" s="131" t="s">
        <v>31</v>
      </c>
      <c r="H1072" s="126"/>
      <c r="I1072" s="131">
        <v>310277190</v>
      </c>
      <c r="J1072" s="131" t="str">
        <f t="shared" si="182"/>
        <v>0310277190</v>
      </c>
      <c r="K1072" s="304" t="str">
        <f>C1072&amp;D1072&amp;E1072&amp;J1072&amp;G1072</f>
        <v>60910030310277190244</v>
      </c>
      <c r="M1072" s="37"/>
      <c r="N1072" s="37"/>
      <c r="O1072" s="37"/>
      <c r="P1072" s="37"/>
      <c r="Q1072" s="37"/>
      <c r="R1072" s="37"/>
      <c r="S1072" s="17" t="str">
        <f t="shared" si="179"/>
        <v>03 1 02 77190244</v>
      </c>
    </row>
    <row r="1073" spans="1:19" s="17" customFormat="1" ht="31.5">
      <c r="A1073" s="14"/>
      <c r="B1073" s="140" t="s">
        <v>493</v>
      </c>
      <c r="C1073" s="130" t="s">
        <v>595</v>
      </c>
      <c r="D1073" s="131" t="s">
        <v>317</v>
      </c>
      <c r="E1073" s="131" t="s">
        <v>13</v>
      </c>
      <c r="F1073" s="131" t="s">
        <v>630</v>
      </c>
      <c r="G1073" s="131" t="s">
        <v>494</v>
      </c>
      <c r="H1073" s="126">
        <f>H1074</f>
        <v>0</v>
      </c>
      <c r="I1073" s="131">
        <v>310277190</v>
      </c>
      <c r="J1073" s="131" t="str">
        <f t="shared" si="182"/>
        <v>0310277190</v>
      </c>
      <c r="K1073" s="132"/>
      <c r="M1073" s="37">
        <v>2894.21</v>
      </c>
      <c r="N1073" s="37">
        <v>2894.21</v>
      </c>
      <c r="O1073" s="37">
        <v>2894.21</v>
      </c>
      <c r="P1073" s="37">
        <f>H1073-M1073</f>
        <v>-2894.21</v>
      </c>
      <c r="Q1073" s="37" t="e">
        <f>#REF!-N1073</f>
        <v>#REF!</v>
      </c>
      <c r="R1073" s="37" t="e">
        <f>#REF!-O1073</f>
        <v>#REF!</v>
      </c>
      <c r="S1073" s="17" t="str">
        <f t="shared" si="179"/>
        <v>03 1 02 77190310</v>
      </c>
    </row>
    <row r="1074" spans="1:19" s="17" customFormat="1" ht="31.5">
      <c r="A1074" s="14"/>
      <c r="B1074" s="127" t="s">
        <v>495</v>
      </c>
      <c r="C1074" s="130" t="s">
        <v>595</v>
      </c>
      <c r="D1074" s="131" t="s">
        <v>317</v>
      </c>
      <c r="E1074" s="131" t="s">
        <v>13</v>
      </c>
      <c r="F1074" s="131" t="s">
        <v>630</v>
      </c>
      <c r="G1074" s="131" t="s">
        <v>496</v>
      </c>
      <c r="H1074" s="126"/>
      <c r="I1074" s="131">
        <v>310277190</v>
      </c>
      <c r="J1074" s="131" t="str">
        <f t="shared" si="182"/>
        <v>0310277190</v>
      </c>
      <c r="K1074" s="304" t="str">
        <f>C1074&amp;D1074&amp;E1074&amp;J1074&amp;G1074</f>
        <v>60910030310277190313</v>
      </c>
      <c r="M1074" s="37"/>
      <c r="N1074" s="37"/>
      <c r="O1074" s="37"/>
      <c r="P1074" s="37"/>
      <c r="Q1074" s="37"/>
      <c r="R1074" s="37"/>
      <c r="S1074" s="17" t="str">
        <f t="shared" si="179"/>
        <v>03 1 02 77190313</v>
      </c>
    </row>
    <row r="1075" spans="1:19" s="17" customFormat="1" ht="47.25">
      <c r="A1075" s="14"/>
      <c r="B1075" s="150" t="s">
        <v>631</v>
      </c>
      <c r="C1075" s="109" t="s">
        <v>595</v>
      </c>
      <c r="D1075" s="108" t="s">
        <v>317</v>
      </c>
      <c r="E1075" s="108" t="s">
        <v>13</v>
      </c>
      <c r="F1075" s="108" t="s">
        <v>632</v>
      </c>
      <c r="G1075" s="108" t="s">
        <v>9</v>
      </c>
      <c r="H1075" s="126">
        <f>H1076+H1078</f>
        <v>0</v>
      </c>
      <c r="I1075" s="108">
        <v>310278280</v>
      </c>
      <c r="J1075" s="108" t="str">
        <f t="shared" si="182"/>
        <v>0310278280</v>
      </c>
      <c r="K1075" s="132"/>
      <c r="M1075" s="37">
        <v>43129.83</v>
      </c>
      <c r="N1075" s="37">
        <v>47693.11</v>
      </c>
      <c r="O1075" s="37">
        <v>54845.43</v>
      </c>
      <c r="P1075" s="37">
        <f>H1075-M1075</f>
        <v>-43129.83</v>
      </c>
      <c r="Q1075" s="37" t="e">
        <f>#REF!-N1075</f>
        <v>#REF!</v>
      </c>
      <c r="R1075" s="37" t="e">
        <f>#REF!-O1075</f>
        <v>#REF!</v>
      </c>
      <c r="S1075" s="17" t="str">
        <f t="shared" si="179"/>
        <v>03 1 02 78280000</v>
      </c>
    </row>
    <row r="1076" spans="1:19" s="17" customFormat="1" ht="31.5">
      <c r="A1076" s="14"/>
      <c r="B1076" s="125" t="s">
        <v>28</v>
      </c>
      <c r="C1076" s="109" t="s">
        <v>595</v>
      </c>
      <c r="D1076" s="108" t="s">
        <v>317</v>
      </c>
      <c r="E1076" s="108" t="s">
        <v>13</v>
      </c>
      <c r="F1076" s="108" t="s">
        <v>632</v>
      </c>
      <c r="G1076" s="108" t="s">
        <v>29</v>
      </c>
      <c r="H1076" s="126">
        <f>H1077</f>
        <v>0</v>
      </c>
      <c r="I1076" s="108">
        <v>310278280</v>
      </c>
      <c r="J1076" s="108" t="str">
        <f t="shared" si="182"/>
        <v>0310278280</v>
      </c>
      <c r="K1076" s="132"/>
      <c r="M1076" s="37">
        <v>516.66999999999996</v>
      </c>
      <c r="N1076" s="37">
        <v>582.41</v>
      </c>
      <c r="O1076" s="37">
        <v>662.53</v>
      </c>
      <c r="P1076" s="37">
        <f>H1076-M1076</f>
        <v>-516.66999999999996</v>
      </c>
      <c r="Q1076" s="37" t="e">
        <f>#REF!-N1076</f>
        <v>#REF!</v>
      </c>
      <c r="R1076" s="37" t="e">
        <f>#REF!-O1076</f>
        <v>#REF!</v>
      </c>
      <c r="S1076" s="17" t="str">
        <f t="shared" si="179"/>
        <v>03 1 02 78280240</v>
      </c>
    </row>
    <row r="1077" spans="1:19" s="17" customFormat="1" ht="15.75">
      <c r="A1077" s="14"/>
      <c r="B1077" s="125" t="s">
        <v>30</v>
      </c>
      <c r="C1077" s="109" t="s">
        <v>595</v>
      </c>
      <c r="D1077" s="108" t="s">
        <v>317</v>
      </c>
      <c r="E1077" s="108" t="s">
        <v>13</v>
      </c>
      <c r="F1077" s="108" t="s">
        <v>632</v>
      </c>
      <c r="G1077" s="108" t="s">
        <v>31</v>
      </c>
      <c r="H1077" s="126"/>
      <c r="I1077" s="108">
        <v>310278280</v>
      </c>
      <c r="J1077" s="108" t="str">
        <f t="shared" si="182"/>
        <v>0310278280</v>
      </c>
      <c r="K1077" s="304" t="str">
        <f>C1077&amp;D1077&amp;E1077&amp;J1077&amp;G1077</f>
        <v>60910030310278280244</v>
      </c>
      <c r="M1077" s="37"/>
      <c r="N1077" s="37"/>
      <c r="O1077" s="37"/>
      <c r="P1077" s="37"/>
      <c r="Q1077" s="37"/>
      <c r="R1077" s="37"/>
      <c r="S1077" s="17" t="str">
        <f t="shared" si="179"/>
        <v>03 1 02 78280244</v>
      </c>
    </row>
    <row r="1078" spans="1:19" s="17" customFormat="1" ht="31.5">
      <c r="A1078" s="14"/>
      <c r="B1078" s="132" t="s">
        <v>493</v>
      </c>
      <c r="C1078" s="109" t="s">
        <v>595</v>
      </c>
      <c r="D1078" s="108" t="s">
        <v>317</v>
      </c>
      <c r="E1078" s="108" t="s">
        <v>13</v>
      </c>
      <c r="F1078" s="108" t="s">
        <v>632</v>
      </c>
      <c r="G1078" s="108" t="s">
        <v>494</v>
      </c>
      <c r="H1078" s="126">
        <f>H1079</f>
        <v>0</v>
      </c>
      <c r="I1078" s="108">
        <v>310278280</v>
      </c>
      <c r="J1078" s="108" t="str">
        <f t="shared" si="182"/>
        <v>0310278280</v>
      </c>
      <c r="K1078" s="132"/>
      <c r="M1078" s="37">
        <v>42613.16</v>
      </c>
      <c r="N1078" s="37">
        <v>47110.7</v>
      </c>
      <c r="O1078" s="37">
        <v>54182.9</v>
      </c>
      <c r="P1078" s="37">
        <f>H1078-M1078</f>
        <v>-42613.16</v>
      </c>
      <c r="Q1078" s="37" t="e">
        <f>#REF!-N1078</f>
        <v>#REF!</v>
      </c>
      <c r="R1078" s="37" t="e">
        <f>#REF!-O1078</f>
        <v>#REF!</v>
      </c>
      <c r="S1078" s="17" t="str">
        <f t="shared" si="179"/>
        <v>03 1 02 78280310</v>
      </c>
    </row>
    <row r="1079" spans="1:19" s="17" customFormat="1" ht="31.5">
      <c r="A1079" s="14"/>
      <c r="B1079" s="127" t="s">
        <v>495</v>
      </c>
      <c r="C1079" s="109" t="s">
        <v>595</v>
      </c>
      <c r="D1079" s="108" t="s">
        <v>317</v>
      </c>
      <c r="E1079" s="108" t="s">
        <v>13</v>
      </c>
      <c r="F1079" s="108" t="s">
        <v>632</v>
      </c>
      <c r="G1079" s="108" t="s">
        <v>496</v>
      </c>
      <c r="H1079" s="126"/>
      <c r="I1079" s="108">
        <v>310278280</v>
      </c>
      <c r="J1079" s="108" t="str">
        <f t="shared" si="182"/>
        <v>0310278280</v>
      </c>
      <c r="K1079" s="304" t="str">
        <f>C1079&amp;D1079&amp;E1079&amp;J1079&amp;G1079</f>
        <v>60910030310278280313</v>
      </c>
      <c r="M1079" s="37"/>
      <c r="N1079" s="37"/>
      <c r="O1079" s="37"/>
      <c r="P1079" s="37"/>
      <c r="Q1079" s="37"/>
      <c r="R1079" s="37"/>
      <c r="S1079" s="17" t="str">
        <f t="shared" si="179"/>
        <v>03 1 02 78280313</v>
      </c>
    </row>
    <row r="1080" spans="1:19" s="17" customFormat="1" ht="63">
      <c r="A1080" s="14"/>
      <c r="B1080" s="132" t="s">
        <v>387</v>
      </c>
      <c r="C1080" s="109" t="s">
        <v>595</v>
      </c>
      <c r="D1080" s="108" t="s">
        <v>317</v>
      </c>
      <c r="E1080" s="108" t="s">
        <v>13</v>
      </c>
      <c r="F1080" s="108" t="s">
        <v>388</v>
      </c>
      <c r="G1080" s="108" t="s">
        <v>9</v>
      </c>
      <c r="H1080" s="126">
        <f>H1081+H1118+H1122+H1126</f>
        <v>0</v>
      </c>
      <c r="I1080" s="108">
        <v>320000000</v>
      </c>
      <c r="J1080" s="108" t="str">
        <f t="shared" si="182"/>
        <v>0320000000</v>
      </c>
      <c r="K1080" s="132"/>
      <c r="M1080" s="37">
        <v>20720.739999999998</v>
      </c>
      <c r="N1080" s="37">
        <v>20786.739999999998</v>
      </c>
      <c r="O1080" s="37">
        <v>50833.09</v>
      </c>
      <c r="P1080" s="37">
        <f>H1080-M1080</f>
        <v>-20720.739999999998</v>
      </c>
      <c r="Q1080" s="37" t="e">
        <f>#REF!-N1080</f>
        <v>#REF!</v>
      </c>
      <c r="R1080" s="37" t="e">
        <f>#REF!-O1080</f>
        <v>#REF!</v>
      </c>
      <c r="S1080" s="17" t="str">
        <f t="shared" si="179"/>
        <v>03 2 00 00000000</v>
      </c>
    </row>
    <row r="1081" spans="1:19" s="17" customFormat="1" ht="47.25">
      <c r="A1081" s="14"/>
      <c r="B1081" s="148" t="s">
        <v>633</v>
      </c>
      <c r="C1081" s="109" t="s">
        <v>595</v>
      </c>
      <c r="D1081" s="108" t="s">
        <v>317</v>
      </c>
      <c r="E1081" s="108" t="s">
        <v>13</v>
      </c>
      <c r="F1081" s="108" t="s">
        <v>634</v>
      </c>
      <c r="G1081" s="108" t="s">
        <v>9</v>
      </c>
      <c r="H1081" s="126">
        <f>H1082+H1085+H1091+H1094+H1097+H1100+H1106+H1109+H1112+H1115+H1088+H1103</f>
        <v>0</v>
      </c>
      <c r="I1081" s="108">
        <v>320100000</v>
      </c>
      <c r="J1081" s="108" t="str">
        <f t="shared" si="182"/>
        <v>0320100000</v>
      </c>
      <c r="K1081" s="132"/>
      <c r="M1081" s="37">
        <v>20539.739999999998</v>
      </c>
      <c r="N1081" s="37">
        <v>20605.739999999998</v>
      </c>
      <c r="O1081" s="37">
        <v>50652.09</v>
      </c>
      <c r="P1081" s="37">
        <f>H1081-M1081</f>
        <v>-20539.739999999998</v>
      </c>
      <c r="Q1081" s="37" t="e">
        <f>#REF!-N1081</f>
        <v>#REF!</v>
      </c>
      <c r="R1081" s="37" t="e">
        <f>#REF!-O1081</f>
        <v>#REF!</v>
      </c>
      <c r="S1081" s="17" t="str">
        <f t="shared" si="179"/>
        <v>03 2 01 00000000</v>
      </c>
    </row>
    <row r="1082" spans="1:19" s="17" customFormat="1" ht="63">
      <c r="A1082" s="14"/>
      <c r="B1082" s="149" t="s">
        <v>635</v>
      </c>
      <c r="C1082" s="109" t="s">
        <v>595</v>
      </c>
      <c r="D1082" s="108" t="s">
        <v>317</v>
      </c>
      <c r="E1082" s="108" t="s">
        <v>13</v>
      </c>
      <c r="F1082" s="108" t="s">
        <v>636</v>
      </c>
      <c r="G1082" s="108" t="s">
        <v>9</v>
      </c>
      <c r="H1082" s="126">
        <f>H1083</f>
        <v>0</v>
      </c>
      <c r="I1082" s="108">
        <v>320180030</v>
      </c>
      <c r="J1082" s="108" t="str">
        <f t="shared" si="182"/>
        <v>0320180030</v>
      </c>
      <c r="K1082" s="132"/>
      <c r="M1082" s="37">
        <v>6350</v>
      </c>
      <c r="N1082" s="37">
        <v>6350</v>
      </c>
      <c r="O1082" s="37">
        <v>6350</v>
      </c>
      <c r="P1082" s="37">
        <f>H1082-M1082</f>
        <v>-6350</v>
      </c>
      <c r="Q1082" s="37" t="e">
        <f>#REF!-N1082</f>
        <v>#REF!</v>
      </c>
      <c r="R1082" s="37" t="e">
        <f>#REF!-O1082</f>
        <v>#REF!</v>
      </c>
      <c r="S1082" s="17" t="str">
        <f t="shared" si="179"/>
        <v>03 2 01 80030000</v>
      </c>
    </row>
    <row r="1083" spans="1:19" s="17" customFormat="1" ht="31.5">
      <c r="A1083" s="14"/>
      <c r="B1083" s="132" t="s">
        <v>493</v>
      </c>
      <c r="C1083" s="109" t="s">
        <v>595</v>
      </c>
      <c r="D1083" s="108" t="s">
        <v>317</v>
      </c>
      <c r="E1083" s="108" t="s">
        <v>13</v>
      </c>
      <c r="F1083" s="108" t="s">
        <v>636</v>
      </c>
      <c r="G1083" s="108" t="s">
        <v>494</v>
      </c>
      <c r="H1083" s="126">
        <f>H1084</f>
        <v>0</v>
      </c>
      <c r="I1083" s="108">
        <v>320180030</v>
      </c>
      <c r="J1083" s="108" t="str">
        <f t="shared" si="182"/>
        <v>0320180030</v>
      </c>
      <c r="K1083" s="132"/>
      <c r="M1083" s="37">
        <v>6350</v>
      </c>
      <c r="N1083" s="37">
        <v>6350</v>
      </c>
      <c r="O1083" s="37">
        <v>6350</v>
      </c>
      <c r="P1083" s="37">
        <f>H1083-M1083</f>
        <v>-6350</v>
      </c>
      <c r="Q1083" s="37" t="e">
        <f>#REF!-N1083</f>
        <v>#REF!</v>
      </c>
      <c r="R1083" s="37" t="e">
        <f>#REF!-O1083</f>
        <v>#REF!</v>
      </c>
      <c r="S1083" s="17" t="str">
        <f t="shared" si="179"/>
        <v>03 2 01 80030310</v>
      </c>
    </row>
    <row r="1084" spans="1:19" s="17" customFormat="1" ht="31.5">
      <c r="A1084" s="14"/>
      <c r="B1084" s="127" t="s">
        <v>495</v>
      </c>
      <c r="C1084" s="109" t="s">
        <v>595</v>
      </c>
      <c r="D1084" s="108" t="s">
        <v>317</v>
      </c>
      <c r="E1084" s="108" t="s">
        <v>13</v>
      </c>
      <c r="F1084" s="108" t="s">
        <v>636</v>
      </c>
      <c r="G1084" s="108" t="s">
        <v>496</v>
      </c>
      <c r="H1084" s="126"/>
      <c r="I1084" s="108">
        <v>320180030</v>
      </c>
      <c r="J1084" s="108" t="str">
        <f t="shared" si="182"/>
        <v>0320180030</v>
      </c>
      <c r="K1084" s="304" t="str">
        <f>C1084&amp;D1084&amp;E1084&amp;J1084&amp;G1084</f>
        <v>60910030320180030313</v>
      </c>
      <c r="M1084" s="37"/>
      <c r="N1084" s="37"/>
      <c r="O1084" s="37"/>
      <c r="P1084" s="37"/>
      <c r="Q1084" s="37"/>
      <c r="R1084" s="37"/>
    </row>
    <row r="1085" spans="1:19" s="17" customFormat="1" ht="63">
      <c r="A1085" s="14"/>
      <c r="B1085" s="149" t="s">
        <v>637</v>
      </c>
      <c r="C1085" s="109" t="s">
        <v>595</v>
      </c>
      <c r="D1085" s="108" t="s">
        <v>317</v>
      </c>
      <c r="E1085" s="108" t="s">
        <v>13</v>
      </c>
      <c r="F1085" s="108" t="s">
        <v>638</v>
      </c>
      <c r="G1085" s="108" t="s">
        <v>9</v>
      </c>
      <c r="H1085" s="126">
        <f>H1086</f>
        <v>0</v>
      </c>
      <c r="I1085" s="108">
        <v>320180070</v>
      </c>
      <c r="J1085" s="108" t="str">
        <f t="shared" si="182"/>
        <v>0320180070</v>
      </c>
      <c r="K1085" s="132"/>
      <c r="M1085" s="37">
        <v>694.28</v>
      </c>
      <c r="N1085" s="37">
        <v>694.28</v>
      </c>
      <c r="O1085" s="37">
        <v>694.28</v>
      </c>
      <c r="P1085" s="37">
        <f>H1085-M1085</f>
        <v>-694.28</v>
      </c>
      <c r="Q1085" s="37" t="e">
        <f>#REF!-N1085</f>
        <v>#REF!</v>
      </c>
      <c r="R1085" s="37" t="e">
        <f>#REF!-O1085</f>
        <v>#REF!</v>
      </c>
      <c r="S1085" s="17" t="str">
        <f t="shared" si="179"/>
        <v>03 2 01 80070000</v>
      </c>
    </row>
    <row r="1086" spans="1:19" s="17" customFormat="1" ht="31.5">
      <c r="A1086" s="14"/>
      <c r="B1086" s="132" t="s">
        <v>493</v>
      </c>
      <c r="C1086" s="109" t="s">
        <v>595</v>
      </c>
      <c r="D1086" s="108" t="s">
        <v>317</v>
      </c>
      <c r="E1086" s="108" t="s">
        <v>13</v>
      </c>
      <c r="F1086" s="108" t="s">
        <v>638</v>
      </c>
      <c r="G1086" s="108" t="s">
        <v>494</v>
      </c>
      <c r="H1086" s="126">
        <f>H1087</f>
        <v>0</v>
      </c>
      <c r="I1086" s="108">
        <v>320180070</v>
      </c>
      <c r="J1086" s="108" t="str">
        <f t="shared" si="182"/>
        <v>0320180070</v>
      </c>
      <c r="K1086" s="132"/>
      <c r="M1086" s="37">
        <v>694.28</v>
      </c>
      <c r="N1086" s="37">
        <v>694.28</v>
      </c>
      <c r="O1086" s="37">
        <v>694.28</v>
      </c>
      <c r="P1086" s="37">
        <f>H1086-M1086</f>
        <v>-694.28</v>
      </c>
      <c r="Q1086" s="37" t="e">
        <f>#REF!-N1086</f>
        <v>#REF!</v>
      </c>
      <c r="R1086" s="37" t="e">
        <f>#REF!-O1086</f>
        <v>#REF!</v>
      </c>
      <c r="S1086" s="17" t="str">
        <f t="shared" si="179"/>
        <v>03 2 01 80070310</v>
      </c>
    </row>
    <row r="1087" spans="1:19" s="17" customFormat="1" ht="31.5">
      <c r="A1087" s="14"/>
      <c r="B1087" s="127" t="s">
        <v>495</v>
      </c>
      <c r="C1087" s="109" t="s">
        <v>595</v>
      </c>
      <c r="D1087" s="108" t="s">
        <v>317</v>
      </c>
      <c r="E1087" s="108" t="s">
        <v>13</v>
      </c>
      <c r="F1087" s="108" t="s">
        <v>638</v>
      </c>
      <c r="G1087" s="108" t="s">
        <v>496</v>
      </c>
      <c r="H1087" s="126"/>
      <c r="I1087" s="108">
        <v>320180070</v>
      </c>
      <c r="J1087" s="108" t="str">
        <f t="shared" si="182"/>
        <v>0320180070</v>
      </c>
      <c r="K1087" s="304" t="str">
        <f>C1087&amp;D1087&amp;E1087&amp;J1087&amp;G1087</f>
        <v>60910030320180070313</v>
      </c>
      <c r="M1087" s="37"/>
      <c r="N1087" s="37"/>
      <c r="O1087" s="37"/>
      <c r="P1087" s="37"/>
      <c r="Q1087" s="37"/>
      <c r="R1087" s="37"/>
      <c r="S1087" s="17" t="str">
        <f t="shared" si="179"/>
        <v>03 2 01 80070313</v>
      </c>
    </row>
    <row r="1088" spans="1:19" s="17" customFormat="1" ht="31.5">
      <c r="A1088" s="14"/>
      <c r="B1088" s="149" t="s">
        <v>639</v>
      </c>
      <c r="C1088" s="109" t="s">
        <v>595</v>
      </c>
      <c r="D1088" s="108" t="s">
        <v>317</v>
      </c>
      <c r="E1088" s="108" t="s">
        <v>13</v>
      </c>
      <c r="F1088" s="108" t="s">
        <v>640</v>
      </c>
      <c r="G1088" s="108" t="s">
        <v>9</v>
      </c>
      <c r="H1088" s="126">
        <f>H1089</f>
        <v>0</v>
      </c>
      <c r="I1088" s="108">
        <v>320180080</v>
      </c>
      <c r="J1088" s="108" t="str">
        <f t="shared" si="182"/>
        <v>0320180080</v>
      </c>
      <c r="K1088" s="132"/>
      <c r="M1088" s="37">
        <v>1664</v>
      </c>
      <c r="N1088" s="37">
        <v>1730</v>
      </c>
      <c r="O1088" s="37">
        <v>1944.35</v>
      </c>
      <c r="P1088" s="37">
        <f>H1088-M1088</f>
        <v>-1664</v>
      </c>
      <c r="Q1088" s="37" t="e">
        <f>#REF!-N1088</f>
        <v>#REF!</v>
      </c>
      <c r="R1088" s="37" t="e">
        <f>#REF!-O1088</f>
        <v>#REF!</v>
      </c>
      <c r="S1088" s="17" t="str">
        <f t="shared" si="179"/>
        <v>03 2 01 80080000</v>
      </c>
    </row>
    <row r="1089" spans="1:19" s="17" customFormat="1" ht="31.5">
      <c r="A1089" s="14"/>
      <c r="B1089" s="132" t="s">
        <v>493</v>
      </c>
      <c r="C1089" s="109" t="s">
        <v>595</v>
      </c>
      <c r="D1089" s="108" t="s">
        <v>317</v>
      </c>
      <c r="E1089" s="108" t="s">
        <v>13</v>
      </c>
      <c r="F1089" s="108" t="s">
        <v>640</v>
      </c>
      <c r="G1089" s="108" t="s">
        <v>494</v>
      </c>
      <c r="H1089" s="126">
        <f>H1090</f>
        <v>0</v>
      </c>
      <c r="I1089" s="108">
        <v>320180080</v>
      </c>
      <c r="J1089" s="108" t="str">
        <f t="shared" si="182"/>
        <v>0320180080</v>
      </c>
      <c r="K1089" s="132"/>
      <c r="M1089" s="37">
        <v>1664</v>
      </c>
      <c r="N1089" s="37">
        <v>1730</v>
      </c>
      <c r="O1089" s="37">
        <v>1944.35</v>
      </c>
      <c r="P1089" s="37">
        <f>H1089-M1089</f>
        <v>-1664</v>
      </c>
      <c r="Q1089" s="37" t="e">
        <f>#REF!-N1089</f>
        <v>#REF!</v>
      </c>
      <c r="R1089" s="37" t="e">
        <f>#REF!-O1089</f>
        <v>#REF!</v>
      </c>
      <c r="S1089" s="17" t="str">
        <f t="shared" si="179"/>
        <v>03 2 01 80080310</v>
      </c>
    </row>
    <row r="1090" spans="1:19" s="17" customFormat="1" ht="31.5">
      <c r="A1090" s="14"/>
      <c r="B1090" s="127" t="s">
        <v>495</v>
      </c>
      <c r="C1090" s="109" t="s">
        <v>595</v>
      </c>
      <c r="D1090" s="108" t="s">
        <v>317</v>
      </c>
      <c r="E1090" s="108" t="s">
        <v>13</v>
      </c>
      <c r="F1090" s="108" t="s">
        <v>640</v>
      </c>
      <c r="G1090" s="108" t="s">
        <v>496</v>
      </c>
      <c r="H1090" s="126"/>
      <c r="I1090" s="108">
        <v>320180080</v>
      </c>
      <c r="J1090" s="108" t="str">
        <f t="shared" si="182"/>
        <v>0320180080</v>
      </c>
      <c r="K1090" s="304" t="str">
        <f>C1090&amp;D1090&amp;E1090&amp;J1090&amp;G1090</f>
        <v>60910030320180080313</v>
      </c>
      <c r="M1090" s="37"/>
      <c r="N1090" s="37"/>
      <c r="O1090" s="37"/>
      <c r="P1090" s="37"/>
      <c r="Q1090" s="37"/>
      <c r="R1090" s="37"/>
    </row>
    <row r="1091" spans="1:19" s="17" customFormat="1" ht="31.5">
      <c r="A1091" s="14"/>
      <c r="B1091" s="149" t="s">
        <v>641</v>
      </c>
      <c r="C1091" s="109" t="s">
        <v>595</v>
      </c>
      <c r="D1091" s="108" t="s">
        <v>317</v>
      </c>
      <c r="E1091" s="108" t="s">
        <v>13</v>
      </c>
      <c r="F1091" s="108" t="s">
        <v>642</v>
      </c>
      <c r="G1091" s="108" t="s">
        <v>9</v>
      </c>
      <c r="H1091" s="126">
        <f>H1092</f>
        <v>0</v>
      </c>
      <c r="I1091" s="108">
        <v>320180100</v>
      </c>
      <c r="J1091" s="108" t="str">
        <f t="shared" si="182"/>
        <v>0320180100</v>
      </c>
      <c r="K1091" s="132"/>
      <c r="M1091" s="37">
        <v>5718</v>
      </c>
      <c r="N1091" s="37">
        <v>5718</v>
      </c>
      <c r="O1091" s="37">
        <v>5718</v>
      </c>
      <c r="P1091" s="37">
        <f>H1091-M1091</f>
        <v>-5718</v>
      </c>
      <c r="Q1091" s="37" t="e">
        <f>#REF!-N1091</f>
        <v>#REF!</v>
      </c>
      <c r="R1091" s="37" t="e">
        <f>#REF!-O1091</f>
        <v>#REF!</v>
      </c>
      <c r="S1091" s="17" t="str">
        <f t="shared" si="179"/>
        <v>03 2 01 80100000</v>
      </c>
    </row>
    <row r="1092" spans="1:19" s="17" customFormat="1" ht="31.5">
      <c r="A1092" s="14"/>
      <c r="B1092" s="132" t="s">
        <v>493</v>
      </c>
      <c r="C1092" s="109" t="s">
        <v>595</v>
      </c>
      <c r="D1092" s="108" t="s">
        <v>317</v>
      </c>
      <c r="E1092" s="108" t="s">
        <v>13</v>
      </c>
      <c r="F1092" s="108" t="s">
        <v>642</v>
      </c>
      <c r="G1092" s="108" t="s">
        <v>494</v>
      </c>
      <c r="H1092" s="126">
        <f>H1093</f>
        <v>0</v>
      </c>
      <c r="I1092" s="108">
        <v>320180100</v>
      </c>
      <c r="J1092" s="108" t="str">
        <f t="shared" si="182"/>
        <v>0320180100</v>
      </c>
      <c r="K1092" s="132"/>
      <c r="M1092" s="37">
        <v>5718</v>
      </c>
      <c r="N1092" s="37">
        <v>5718</v>
      </c>
      <c r="O1092" s="37">
        <v>5718</v>
      </c>
      <c r="P1092" s="37">
        <f>H1092-M1092</f>
        <v>-5718</v>
      </c>
      <c r="Q1092" s="37" t="e">
        <f>#REF!-N1092</f>
        <v>#REF!</v>
      </c>
      <c r="R1092" s="37" t="e">
        <f>#REF!-O1092</f>
        <v>#REF!</v>
      </c>
      <c r="S1092" s="17" t="str">
        <f t="shared" si="179"/>
        <v>03 2 01 80100310</v>
      </c>
    </row>
    <row r="1093" spans="1:19" s="17" customFormat="1" ht="31.5">
      <c r="A1093" s="14"/>
      <c r="B1093" s="127" t="s">
        <v>495</v>
      </c>
      <c r="C1093" s="109" t="s">
        <v>595</v>
      </c>
      <c r="D1093" s="108" t="s">
        <v>317</v>
      </c>
      <c r="E1093" s="108" t="s">
        <v>13</v>
      </c>
      <c r="F1093" s="108" t="s">
        <v>642</v>
      </c>
      <c r="G1093" s="108" t="s">
        <v>496</v>
      </c>
      <c r="H1093" s="126"/>
      <c r="I1093" s="108">
        <v>320180100</v>
      </c>
      <c r="J1093" s="108" t="str">
        <f t="shared" si="182"/>
        <v>0320180100</v>
      </c>
      <c r="K1093" s="304" t="str">
        <f>C1093&amp;D1093&amp;E1093&amp;J1093&amp;G1093</f>
        <v>60910030320180100313</v>
      </c>
      <c r="M1093" s="37"/>
      <c r="N1093" s="37"/>
      <c r="O1093" s="37"/>
      <c r="P1093" s="37"/>
      <c r="Q1093" s="37"/>
      <c r="R1093" s="37"/>
      <c r="S1093" s="17" t="str">
        <f t="shared" si="179"/>
        <v>03 2 01 80100313</v>
      </c>
    </row>
    <row r="1094" spans="1:19" s="17" customFormat="1" ht="47.25">
      <c r="A1094" s="14"/>
      <c r="B1094" s="149" t="s">
        <v>643</v>
      </c>
      <c r="C1094" s="109" t="s">
        <v>595</v>
      </c>
      <c r="D1094" s="108" t="s">
        <v>317</v>
      </c>
      <c r="E1094" s="108" t="s">
        <v>13</v>
      </c>
      <c r="F1094" s="108" t="s">
        <v>644</v>
      </c>
      <c r="G1094" s="108" t="s">
        <v>9</v>
      </c>
      <c r="H1094" s="126">
        <f>H1095</f>
        <v>0</v>
      </c>
      <c r="I1094" s="108">
        <v>320180110</v>
      </c>
      <c r="J1094" s="108" t="str">
        <f t="shared" si="182"/>
        <v>0320180110</v>
      </c>
      <c r="K1094" s="132"/>
      <c r="M1094" s="37">
        <v>1080</v>
      </c>
      <c r="N1094" s="37">
        <v>1080</v>
      </c>
      <c r="O1094" s="37">
        <v>1080</v>
      </c>
      <c r="P1094" s="37">
        <f>H1094-M1094</f>
        <v>-1080</v>
      </c>
      <c r="Q1094" s="37" t="e">
        <f>#REF!-N1094</f>
        <v>#REF!</v>
      </c>
      <c r="R1094" s="37" t="e">
        <f>#REF!-O1094</f>
        <v>#REF!</v>
      </c>
      <c r="S1094" s="17" t="str">
        <f t="shared" si="179"/>
        <v>03 2 01 80110000</v>
      </c>
    </row>
    <row r="1095" spans="1:19" s="17" customFormat="1" ht="31.5">
      <c r="A1095" s="14"/>
      <c r="B1095" s="132" t="s">
        <v>493</v>
      </c>
      <c r="C1095" s="109" t="s">
        <v>595</v>
      </c>
      <c r="D1095" s="108" t="s">
        <v>317</v>
      </c>
      <c r="E1095" s="108" t="s">
        <v>13</v>
      </c>
      <c r="F1095" s="108" t="s">
        <v>644</v>
      </c>
      <c r="G1095" s="108" t="s">
        <v>494</v>
      </c>
      <c r="H1095" s="126">
        <f>H1096</f>
        <v>0</v>
      </c>
      <c r="I1095" s="108">
        <v>320180110</v>
      </c>
      <c r="J1095" s="108" t="str">
        <f t="shared" si="182"/>
        <v>0320180110</v>
      </c>
      <c r="K1095" s="132"/>
      <c r="M1095" s="37">
        <v>1080</v>
      </c>
      <c r="N1095" s="37">
        <v>1080</v>
      </c>
      <c r="O1095" s="37">
        <v>1080</v>
      </c>
      <c r="P1095" s="37">
        <f>H1095-M1095</f>
        <v>-1080</v>
      </c>
      <c r="Q1095" s="37" t="e">
        <f>#REF!-N1095</f>
        <v>#REF!</v>
      </c>
      <c r="R1095" s="37" t="e">
        <f>#REF!-O1095</f>
        <v>#REF!</v>
      </c>
      <c r="S1095" s="17" t="str">
        <f t="shared" si="179"/>
        <v>03 2 01 80110310</v>
      </c>
    </row>
    <row r="1096" spans="1:19" s="17" customFormat="1" ht="31.5">
      <c r="A1096" s="14"/>
      <c r="B1096" s="127" t="s">
        <v>495</v>
      </c>
      <c r="C1096" s="109" t="s">
        <v>595</v>
      </c>
      <c r="D1096" s="108" t="s">
        <v>317</v>
      </c>
      <c r="E1096" s="108" t="s">
        <v>13</v>
      </c>
      <c r="F1096" s="108" t="s">
        <v>644</v>
      </c>
      <c r="G1096" s="108" t="s">
        <v>496</v>
      </c>
      <c r="H1096" s="126"/>
      <c r="I1096" s="108">
        <v>320180110</v>
      </c>
      <c r="J1096" s="108" t="str">
        <f t="shared" si="182"/>
        <v>0320180110</v>
      </c>
      <c r="K1096" s="304" t="str">
        <f>C1096&amp;D1096&amp;E1096&amp;J1096&amp;G1096</f>
        <v>60910030320180110313</v>
      </c>
      <c r="M1096" s="37"/>
      <c r="N1096" s="37"/>
      <c r="O1096" s="37"/>
      <c r="P1096" s="37"/>
      <c r="Q1096" s="37"/>
      <c r="R1096" s="37"/>
      <c r="S1096" s="17" t="str">
        <f t="shared" si="179"/>
        <v>03 2 01 80110313</v>
      </c>
    </row>
    <row r="1097" spans="1:19" s="17" customFormat="1" ht="157.5">
      <c r="A1097" s="14"/>
      <c r="B1097" s="149" t="s">
        <v>645</v>
      </c>
      <c r="C1097" s="109" t="s">
        <v>595</v>
      </c>
      <c r="D1097" s="108" t="s">
        <v>317</v>
      </c>
      <c r="E1097" s="108" t="s">
        <v>13</v>
      </c>
      <c r="F1097" s="108" t="s">
        <v>646</v>
      </c>
      <c r="G1097" s="108" t="s">
        <v>9</v>
      </c>
      <c r="H1097" s="126">
        <f>H1098</f>
        <v>0</v>
      </c>
      <c r="I1097" s="108">
        <v>320180120</v>
      </c>
      <c r="J1097" s="108" t="str">
        <f t="shared" si="182"/>
        <v>0320180120</v>
      </c>
      <c r="K1097" s="132"/>
      <c r="M1097" s="37">
        <v>1025.46</v>
      </c>
      <c r="N1097" s="37">
        <v>1025.46</v>
      </c>
      <c r="O1097" s="37">
        <v>1025.46</v>
      </c>
      <c r="P1097" s="37">
        <f>H1097-M1097</f>
        <v>-1025.46</v>
      </c>
      <c r="Q1097" s="37" t="e">
        <f>#REF!-N1097</f>
        <v>#REF!</v>
      </c>
      <c r="R1097" s="37" t="e">
        <f>#REF!-O1097</f>
        <v>#REF!</v>
      </c>
      <c r="S1097" s="17" t="str">
        <f t="shared" si="179"/>
        <v>03 2 01 80120000</v>
      </c>
    </row>
    <row r="1098" spans="1:19" s="17" customFormat="1" ht="31.5">
      <c r="A1098" s="14"/>
      <c r="B1098" s="132" t="s">
        <v>493</v>
      </c>
      <c r="C1098" s="109" t="s">
        <v>595</v>
      </c>
      <c r="D1098" s="108" t="s">
        <v>317</v>
      </c>
      <c r="E1098" s="108" t="s">
        <v>13</v>
      </c>
      <c r="F1098" s="108" t="s">
        <v>646</v>
      </c>
      <c r="G1098" s="108" t="s">
        <v>494</v>
      </c>
      <c r="H1098" s="126">
        <f>H1099</f>
        <v>0</v>
      </c>
      <c r="I1098" s="108">
        <v>320180120</v>
      </c>
      <c r="J1098" s="108" t="str">
        <f t="shared" si="182"/>
        <v>0320180120</v>
      </c>
      <c r="K1098" s="132"/>
      <c r="M1098" s="37">
        <v>1025.46</v>
      </c>
      <c r="N1098" s="37">
        <v>1025.46</v>
      </c>
      <c r="O1098" s="37">
        <v>1025.46</v>
      </c>
      <c r="P1098" s="37">
        <f>H1098-M1098</f>
        <v>-1025.46</v>
      </c>
      <c r="Q1098" s="37" t="e">
        <f>#REF!-N1098</f>
        <v>#REF!</v>
      </c>
      <c r="R1098" s="37" t="e">
        <f>#REF!-O1098</f>
        <v>#REF!</v>
      </c>
      <c r="S1098" s="17" t="str">
        <f t="shared" ref="S1098:S1191" si="183">CONCATENATE(F1098,G1098)</f>
        <v>03 2 01 80120310</v>
      </c>
    </row>
    <row r="1099" spans="1:19" s="17" customFormat="1" ht="31.5">
      <c r="A1099" s="14"/>
      <c r="B1099" s="127" t="s">
        <v>495</v>
      </c>
      <c r="C1099" s="109" t="s">
        <v>595</v>
      </c>
      <c r="D1099" s="108" t="s">
        <v>317</v>
      </c>
      <c r="E1099" s="108" t="s">
        <v>13</v>
      </c>
      <c r="F1099" s="108" t="s">
        <v>646</v>
      </c>
      <c r="G1099" s="108" t="s">
        <v>496</v>
      </c>
      <c r="H1099" s="126"/>
      <c r="I1099" s="108">
        <v>320180120</v>
      </c>
      <c r="J1099" s="108" t="str">
        <f t="shared" si="182"/>
        <v>0320180120</v>
      </c>
      <c r="K1099" s="304" t="str">
        <f>C1099&amp;D1099&amp;E1099&amp;J1099&amp;G1099</f>
        <v>60910030320180120313</v>
      </c>
      <c r="M1099" s="37"/>
      <c r="N1099" s="37"/>
      <c r="O1099" s="37"/>
      <c r="P1099" s="37"/>
      <c r="Q1099" s="37"/>
      <c r="R1099" s="37"/>
      <c r="S1099" s="17" t="str">
        <f t="shared" si="183"/>
        <v>03 2 01 80120313</v>
      </c>
    </row>
    <row r="1100" spans="1:19" s="17" customFormat="1" ht="47.25">
      <c r="A1100" s="14"/>
      <c r="B1100" s="149" t="s">
        <v>647</v>
      </c>
      <c r="C1100" s="109" t="s">
        <v>595</v>
      </c>
      <c r="D1100" s="108" t="s">
        <v>317</v>
      </c>
      <c r="E1100" s="108" t="s">
        <v>13</v>
      </c>
      <c r="F1100" s="108" t="s">
        <v>648</v>
      </c>
      <c r="G1100" s="108" t="s">
        <v>9</v>
      </c>
      <c r="H1100" s="126">
        <f>H1101</f>
        <v>0</v>
      </c>
      <c r="I1100" s="108">
        <v>320180140</v>
      </c>
      <c r="J1100" s="108" t="str">
        <f t="shared" si="182"/>
        <v>0320180140</v>
      </c>
      <c r="K1100" s="132"/>
      <c r="M1100" s="37">
        <v>714</v>
      </c>
      <c r="N1100" s="37">
        <v>714</v>
      </c>
      <c r="O1100" s="37">
        <v>714</v>
      </c>
      <c r="P1100" s="37">
        <f>H1100-M1100</f>
        <v>-714</v>
      </c>
      <c r="Q1100" s="37" t="e">
        <f>#REF!-N1100</f>
        <v>#REF!</v>
      </c>
      <c r="R1100" s="37" t="e">
        <f>#REF!-O1100</f>
        <v>#REF!</v>
      </c>
      <c r="S1100" s="17" t="str">
        <f t="shared" si="183"/>
        <v>03 2 01 80140000</v>
      </c>
    </row>
    <row r="1101" spans="1:19" s="17" customFormat="1" ht="31.5">
      <c r="A1101" s="14"/>
      <c r="B1101" s="132" t="s">
        <v>493</v>
      </c>
      <c r="C1101" s="109" t="s">
        <v>595</v>
      </c>
      <c r="D1101" s="108" t="s">
        <v>317</v>
      </c>
      <c r="E1101" s="108" t="s">
        <v>13</v>
      </c>
      <c r="F1101" s="108" t="s">
        <v>648</v>
      </c>
      <c r="G1101" s="108" t="s">
        <v>494</v>
      </c>
      <c r="H1101" s="126">
        <f>H1102</f>
        <v>0</v>
      </c>
      <c r="I1101" s="108">
        <v>320180140</v>
      </c>
      <c r="J1101" s="108" t="str">
        <f t="shared" si="182"/>
        <v>0320180140</v>
      </c>
      <c r="K1101" s="132"/>
      <c r="M1101" s="37">
        <v>714</v>
      </c>
      <c r="N1101" s="37">
        <v>714</v>
      </c>
      <c r="O1101" s="37">
        <v>714</v>
      </c>
      <c r="P1101" s="37">
        <f>H1101-M1101</f>
        <v>-714</v>
      </c>
      <c r="Q1101" s="37" t="e">
        <f>#REF!-N1101</f>
        <v>#REF!</v>
      </c>
      <c r="R1101" s="37" t="e">
        <f>#REF!-O1101</f>
        <v>#REF!</v>
      </c>
      <c r="S1101" s="17" t="str">
        <f t="shared" si="183"/>
        <v>03 2 01 80140310</v>
      </c>
    </row>
    <row r="1102" spans="1:19" s="17" customFormat="1" ht="31.5">
      <c r="A1102" s="14"/>
      <c r="B1102" s="127" t="s">
        <v>495</v>
      </c>
      <c r="C1102" s="109" t="s">
        <v>595</v>
      </c>
      <c r="D1102" s="108" t="s">
        <v>317</v>
      </c>
      <c r="E1102" s="108" t="s">
        <v>13</v>
      </c>
      <c r="F1102" s="108" t="s">
        <v>648</v>
      </c>
      <c r="G1102" s="108" t="s">
        <v>496</v>
      </c>
      <c r="H1102" s="126"/>
      <c r="I1102" s="108">
        <v>320180140</v>
      </c>
      <c r="J1102" s="108" t="str">
        <f t="shared" si="182"/>
        <v>0320180140</v>
      </c>
      <c r="K1102" s="304" t="str">
        <f>C1102&amp;D1102&amp;E1102&amp;J1102&amp;G1102</f>
        <v>60910030320180140313</v>
      </c>
      <c r="M1102" s="37"/>
      <c r="N1102" s="37"/>
      <c r="O1102" s="37"/>
      <c r="P1102" s="37"/>
      <c r="Q1102" s="37"/>
      <c r="R1102" s="37"/>
    </row>
    <row r="1103" spans="1:19" s="17" customFormat="1" ht="78.75">
      <c r="A1103" s="14"/>
      <c r="B1103" s="149" t="s">
        <v>649</v>
      </c>
      <c r="C1103" s="109" t="s">
        <v>595</v>
      </c>
      <c r="D1103" s="108" t="s">
        <v>317</v>
      </c>
      <c r="E1103" s="108" t="s">
        <v>13</v>
      </c>
      <c r="F1103" s="108" t="s">
        <v>650</v>
      </c>
      <c r="G1103" s="108" t="s">
        <v>9</v>
      </c>
      <c r="H1103" s="126">
        <f>H1104</f>
        <v>0</v>
      </c>
      <c r="I1103" s="108">
        <v>320180150</v>
      </c>
      <c r="J1103" s="108" t="str">
        <f t="shared" si="182"/>
        <v>0320180150</v>
      </c>
      <c r="K1103" s="132"/>
      <c r="M1103" s="37">
        <v>300</v>
      </c>
      <c r="N1103" s="37">
        <v>300</v>
      </c>
      <c r="O1103" s="37">
        <v>300</v>
      </c>
      <c r="P1103" s="37">
        <f>H1103-M1103</f>
        <v>-300</v>
      </c>
      <c r="Q1103" s="37" t="e">
        <f>#REF!-N1103</f>
        <v>#REF!</v>
      </c>
      <c r="R1103" s="37" t="e">
        <f>#REF!-O1103</f>
        <v>#REF!</v>
      </c>
      <c r="S1103" s="17" t="str">
        <f t="shared" si="183"/>
        <v>03 2 01 80150000</v>
      </c>
    </row>
    <row r="1104" spans="1:19" s="17" customFormat="1" ht="31.5">
      <c r="A1104" s="14"/>
      <c r="B1104" s="132" t="s">
        <v>493</v>
      </c>
      <c r="C1104" s="109" t="s">
        <v>595</v>
      </c>
      <c r="D1104" s="108" t="s">
        <v>317</v>
      </c>
      <c r="E1104" s="108" t="s">
        <v>13</v>
      </c>
      <c r="F1104" s="108" t="s">
        <v>650</v>
      </c>
      <c r="G1104" s="108" t="s">
        <v>494</v>
      </c>
      <c r="H1104" s="126">
        <f>H1105</f>
        <v>0</v>
      </c>
      <c r="I1104" s="108">
        <v>320180150</v>
      </c>
      <c r="J1104" s="108" t="str">
        <f t="shared" si="182"/>
        <v>0320180150</v>
      </c>
      <c r="K1104" s="132"/>
      <c r="M1104" s="37">
        <v>300</v>
      </c>
      <c r="N1104" s="37">
        <v>300</v>
      </c>
      <c r="O1104" s="37">
        <v>300</v>
      </c>
      <c r="P1104" s="37">
        <f>H1104-M1104</f>
        <v>-300</v>
      </c>
      <c r="Q1104" s="37" t="e">
        <f>#REF!-N1104</f>
        <v>#REF!</v>
      </c>
      <c r="R1104" s="37" t="e">
        <f>#REF!-O1104</f>
        <v>#REF!</v>
      </c>
      <c r="S1104" s="17" t="str">
        <f t="shared" si="183"/>
        <v>03 2 01 80150310</v>
      </c>
    </row>
    <row r="1105" spans="1:19" s="17" customFormat="1" ht="31.5">
      <c r="A1105" s="14"/>
      <c r="B1105" s="127" t="s">
        <v>495</v>
      </c>
      <c r="C1105" s="109" t="s">
        <v>595</v>
      </c>
      <c r="D1105" s="108" t="s">
        <v>317</v>
      </c>
      <c r="E1105" s="108" t="s">
        <v>13</v>
      </c>
      <c r="F1105" s="108" t="s">
        <v>650</v>
      </c>
      <c r="G1105" s="108" t="s">
        <v>496</v>
      </c>
      <c r="H1105" s="126"/>
      <c r="I1105" s="108">
        <v>320180150</v>
      </c>
      <c r="J1105" s="108" t="str">
        <f t="shared" si="182"/>
        <v>0320180150</v>
      </c>
      <c r="K1105" s="304" t="str">
        <f>C1105&amp;D1105&amp;E1105&amp;J1105&amp;G1105</f>
        <v>60910030320180150313</v>
      </c>
      <c r="M1105" s="37"/>
      <c r="N1105" s="37"/>
      <c r="O1105" s="37"/>
      <c r="P1105" s="37"/>
      <c r="Q1105" s="37"/>
      <c r="R1105" s="37"/>
    </row>
    <row r="1106" spans="1:19" s="17" customFormat="1" ht="31.5">
      <c r="A1106" s="14"/>
      <c r="B1106" s="149" t="s">
        <v>651</v>
      </c>
      <c r="C1106" s="109" t="s">
        <v>595</v>
      </c>
      <c r="D1106" s="108" t="s">
        <v>317</v>
      </c>
      <c r="E1106" s="108" t="s">
        <v>13</v>
      </c>
      <c r="F1106" s="108" t="s">
        <v>652</v>
      </c>
      <c r="G1106" s="108" t="s">
        <v>9</v>
      </c>
      <c r="H1106" s="126">
        <f>H1107</f>
        <v>0</v>
      </c>
      <c r="I1106" s="108">
        <v>320180160</v>
      </c>
      <c r="J1106" s="108" t="str">
        <f t="shared" si="182"/>
        <v>0320180160</v>
      </c>
      <c r="K1106" s="132"/>
      <c r="M1106" s="37">
        <v>1020</v>
      </c>
      <c r="N1106" s="37">
        <v>1020</v>
      </c>
      <c r="O1106" s="37">
        <v>1020</v>
      </c>
      <c r="P1106" s="37">
        <f>H1106-M1106</f>
        <v>-1020</v>
      </c>
      <c r="Q1106" s="37" t="e">
        <f>#REF!-N1106</f>
        <v>#REF!</v>
      </c>
      <c r="R1106" s="37" t="e">
        <f>#REF!-O1106</f>
        <v>#REF!</v>
      </c>
      <c r="S1106" s="17" t="str">
        <f t="shared" si="183"/>
        <v>03 2 01 80160000</v>
      </c>
    </row>
    <row r="1107" spans="1:19" s="17" customFormat="1" ht="31.5">
      <c r="A1107" s="14"/>
      <c r="B1107" s="132" t="s">
        <v>493</v>
      </c>
      <c r="C1107" s="109" t="s">
        <v>595</v>
      </c>
      <c r="D1107" s="108" t="s">
        <v>317</v>
      </c>
      <c r="E1107" s="108" t="s">
        <v>13</v>
      </c>
      <c r="F1107" s="108" t="s">
        <v>652</v>
      </c>
      <c r="G1107" s="108" t="s">
        <v>494</v>
      </c>
      <c r="H1107" s="126">
        <f>H1108</f>
        <v>0</v>
      </c>
      <c r="I1107" s="108">
        <v>320180160</v>
      </c>
      <c r="J1107" s="108" t="str">
        <f t="shared" si="182"/>
        <v>0320180160</v>
      </c>
      <c r="K1107" s="132"/>
      <c r="M1107" s="37">
        <v>1020</v>
      </c>
      <c r="N1107" s="37">
        <v>1020</v>
      </c>
      <c r="O1107" s="37">
        <v>1020</v>
      </c>
      <c r="P1107" s="37">
        <f>H1107-M1107</f>
        <v>-1020</v>
      </c>
      <c r="Q1107" s="37" t="e">
        <f>#REF!-N1107</f>
        <v>#REF!</v>
      </c>
      <c r="R1107" s="37" t="e">
        <f>#REF!-O1107</f>
        <v>#REF!</v>
      </c>
      <c r="S1107" s="17" t="str">
        <f t="shared" si="183"/>
        <v>03 2 01 80160310</v>
      </c>
    </row>
    <row r="1108" spans="1:19" s="17" customFormat="1" ht="31.5">
      <c r="A1108" s="14"/>
      <c r="B1108" s="127" t="s">
        <v>495</v>
      </c>
      <c r="C1108" s="109" t="s">
        <v>595</v>
      </c>
      <c r="D1108" s="108" t="s">
        <v>317</v>
      </c>
      <c r="E1108" s="108" t="s">
        <v>13</v>
      </c>
      <c r="F1108" s="108" t="s">
        <v>652</v>
      </c>
      <c r="G1108" s="108" t="s">
        <v>496</v>
      </c>
      <c r="H1108" s="126"/>
      <c r="I1108" s="108">
        <v>320180160</v>
      </c>
      <c r="J1108" s="108" t="str">
        <f t="shared" si="182"/>
        <v>0320180160</v>
      </c>
      <c r="K1108" s="304" t="str">
        <f>C1108&amp;D1108&amp;E1108&amp;J1108&amp;G1108</f>
        <v>60910030320180160313</v>
      </c>
      <c r="M1108" s="37"/>
      <c r="N1108" s="37"/>
      <c r="O1108" s="37"/>
      <c r="P1108" s="37"/>
      <c r="Q1108" s="37"/>
      <c r="R1108" s="37"/>
    </row>
    <row r="1109" spans="1:19" s="4" customFormat="1" ht="31.5">
      <c r="A1109" s="1"/>
      <c r="B1109" s="149" t="s">
        <v>653</v>
      </c>
      <c r="C1109" s="109" t="s">
        <v>595</v>
      </c>
      <c r="D1109" s="108" t="s">
        <v>317</v>
      </c>
      <c r="E1109" s="108" t="s">
        <v>13</v>
      </c>
      <c r="F1109" s="108" t="s">
        <v>654</v>
      </c>
      <c r="G1109" s="108" t="s">
        <v>9</v>
      </c>
      <c r="H1109" s="126">
        <f>H1110</f>
        <v>0</v>
      </c>
      <c r="I1109" s="108">
        <v>320180180</v>
      </c>
      <c r="J1109" s="108" t="str">
        <f t="shared" si="182"/>
        <v>0320180180</v>
      </c>
      <c r="K1109" s="132"/>
      <c r="L1109" s="17"/>
      <c r="M1109" s="37">
        <v>1854</v>
      </c>
      <c r="N1109" s="37">
        <v>1854</v>
      </c>
      <c r="O1109" s="37">
        <v>1854</v>
      </c>
      <c r="P1109" s="37">
        <f>H1109-M1109</f>
        <v>-1854</v>
      </c>
      <c r="Q1109" s="37" t="e">
        <f>#REF!-N1109</f>
        <v>#REF!</v>
      </c>
      <c r="R1109" s="37" t="e">
        <f>#REF!-O1109</f>
        <v>#REF!</v>
      </c>
      <c r="S1109" s="17" t="str">
        <f t="shared" si="183"/>
        <v>03 2 01 80180000</v>
      </c>
    </row>
    <row r="1110" spans="1:19" s="4" customFormat="1" ht="31.5">
      <c r="A1110" s="1"/>
      <c r="B1110" s="132" t="s">
        <v>493</v>
      </c>
      <c r="C1110" s="109" t="s">
        <v>595</v>
      </c>
      <c r="D1110" s="108" t="s">
        <v>317</v>
      </c>
      <c r="E1110" s="108" t="s">
        <v>13</v>
      </c>
      <c r="F1110" s="108" t="s">
        <v>654</v>
      </c>
      <c r="G1110" s="108" t="s">
        <v>494</v>
      </c>
      <c r="H1110" s="126">
        <f>H1111</f>
        <v>0</v>
      </c>
      <c r="I1110" s="108">
        <v>320180180</v>
      </c>
      <c r="J1110" s="108" t="str">
        <f t="shared" si="182"/>
        <v>0320180180</v>
      </c>
      <c r="K1110" s="132"/>
      <c r="L1110" s="17"/>
      <c r="M1110" s="37">
        <v>1854</v>
      </c>
      <c r="N1110" s="37">
        <v>1854</v>
      </c>
      <c r="O1110" s="37">
        <v>1854</v>
      </c>
      <c r="P1110" s="37">
        <f>H1110-M1110</f>
        <v>-1854</v>
      </c>
      <c r="Q1110" s="37" t="e">
        <f>#REF!-N1110</f>
        <v>#REF!</v>
      </c>
      <c r="R1110" s="37" t="e">
        <f>#REF!-O1110</f>
        <v>#REF!</v>
      </c>
      <c r="S1110" s="17" t="str">
        <f t="shared" si="183"/>
        <v>03 2 01 80180310</v>
      </c>
    </row>
    <row r="1111" spans="1:19" s="4" customFormat="1" ht="31.5">
      <c r="A1111" s="1"/>
      <c r="B1111" s="127" t="s">
        <v>495</v>
      </c>
      <c r="C1111" s="109" t="s">
        <v>595</v>
      </c>
      <c r="D1111" s="108" t="s">
        <v>317</v>
      </c>
      <c r="E1111" s="108" t="s">
        <v>13</v>
      </c>
      <c r="F1111" s="108" t="s">
        <v>654</v>
      </c>
      <c r="G1111" s="108" t="s">
        <v>496</v>
      </c>
      <c r="H1111" s="126"/>
      <c r="I1111" s="108">
        <v>320180180</v>
      </c>
      <c r="J1111" s="108" t="str">
        <f t="shared" si="182"/>
        <v>0320180180</v>
      </c>
      <c r="K1111" s="304" t="str">
        <f>C1111&amp;D1111&amp;E1111&amp;J1111&amp;G1111</f>
        <v>60910030320180180313</v>
      </c>
      <c r="M1111" s="37"/>
      <c r="N1111" s="37"/>
      <c r="O1111" s="37"/>
      <c r="P1111" s="37"/>
      <c r="Q1111" s="37"/>
      <c r="R1111" s="37"/>
      <c r="S1111" s="17"/>
    </row>
    <row r="1112" spans="1:19" s="4" customFormat="1" ht="31.5">
      <c r="A1112" s="1"/>
      <c r="B1112" s="149" t="s">
        <v>655</v>
      </c>
      <c r="C1112" s="109" t="s">
        <v>595</v>
      </c>
      <c r="D1112" s="108" t="s">
        <v>317</v>
      </c>
      <c r="E1112" s="108" t="s">
        <v>13</v>
      </c>
      <c r="F1112" s="108" t="s">
        <v>656</v>
      </c>
      <c r="G1112" s="108" t="s">
        <v>9</v>
      </c>
      <c r="H1112" s="126">
        <f>H1113</f>
        <v>0</v>
      </c>
      <c r="I1112" s="108">
        <v>320180190</v>
      </c>
      <c r="J1112" s="108" t="str">
        <f t="shared" si="182"/>
        <v>0320180190</v>
      </c>
      <c r="K1112" s="132"/>
      <c r="L1112" s="17"/>
      <c r="M1112" s="37">
        <v>20</v>
      </c>
      <c r="N1112" s="37">
        <v>20</v>
      </c>
      <c r="O1112" s="37">
        <v>20</v>
      </c>
      <c r="P1112" s="37">
        <f>H1112-M1112</f>
        <v>-20</v>
      </c>
      <c r="Q1112" s="37" t="e">
        <f>#REF!-N1112</f>
        <v>#REF!</v>
      </c>
      <c r="R1112" s="37" t="e">
        <f>#REF!-O1112</f>
        <v>#REF!</v>
      </c>
      <c r="S1112" s="17" t="str">
        <f t="shared" si="183"/>
        <v>03 2 01 80190000</v>
      </c>
    </row>
    <row r="1113" spans="1:19" s="4" customFormat="1" ht="31.5">
      <c r="A1113" s="1"/>
      <c r="B1113" s="132" t="s">
        <v>493</v>
      </c>
      <c r="C1113" s="109" t="s">
        <v>595</v>
      </c>
      <c r="D1113" s="108" t="s">
        <v>317</v>
      </c>
      <c r="E1113" s="108" t="s">
        <v>13</v>
      </c>
      <c r="F1113" s="108" t="s">
        <v>656</v>
      </c>
      <c r="G1113" s="108" t="s">
        <v>494</v>
      </c>
      <c r="H1113" s="126">
        <f>H1114</f>
        <v>0</v>
      </c>
      <c r="I1113" s="108">
        <v>320180190</v>
      </c>
      <c r="J1113" s="108" t="str">
        <f t="shared" si="182"/>
        <v>0320180190</v>
      </c>
      <c r="K1113" s="132"/>
      <c r="L1113" s="17"/>
      <c r="M1113" s="37">
        <v>20</v>
      </c>
      <c r="N1113" s="37">
        <v>20</v>
      </c>
      <c r="O1113" s="37">
        <v>20</v>
      </c>
      <c r="P1113" s="37">
        <f>H1113-M1113</f>
        <v>-20</v>
      </c>
      <c r="Q1113" s="37" t="e">
        <f>#REF!-N1113</f>
        <v>#REF!</v>
      </c>
      <c r="R1113" s="37" t="e">
        <f>#REF!-O1113</f>
        <v>#REF!</v>
      </c>
      <c r="S1113" s="17" t="str">
        <f t="shared" si="183"/>
        <v>03 2 01 80190310</v>
      </c>
    </row>
    <row r="1114" spans="1:19" s="4" customFormat="1" ht="31.5">
      <c r="A1114" s="1"/>
      <c r="B1114" s="127" t="s">
        <v>495</v>
      </c>
      <c r="C1114" s="109" t="s">
        <v>595</v>
      </c>
      <c r="D1114" s="108" t="s">
        <v>317</v>
      </c>
      <c r="E1114" s="108" t="s">
        <v>13</v>
      </c>
      <c r="F1114" s="108" t="s">
        <v>656</v>
      </c>
      <c r="G1114" s="108" t="s">
        <v>496</v>
      </c>
      <c r="H1114" s="126"/>
      <c r="I1114" s="108">
        <v>320180190</v>
      </c>
      <c r="J1114" s="108" t="str">
        <f t="shared" si="182"/>
        <v>0320180190</v>
      </c>
      <c r="K1114" s="304" t="str">
        <f>C1114&amp;D1114&amp;E1114&amp;J1114&amp;G1114</f>
        <v>60910030320180190313</v>
      </c>
      <c r="M1114" s="37"/>
      <c r="N1114" s="37"/>
      <c r="O1114" s="37"/>
      <c r="P1114" s="37"/>
      <c r="Q1114" s="37"/>
      <c r="R1114" s="37"/>
      <c r="S1114" s="17"/>
    </row>
    <row r="1115" spans="1:19" s="4" customFormat="1" ht="78.75">
      <c r="A1115" s="1"/>
      <c r="B1115" s="149" t="s">
        <v>657</v>
      </c>
      <c r="C1115" s="109" t="s">
        <v>595</v>
      </c>
      <c r="D1115" s="108" t="s">
        <v>317</v>
      </c>
      <c r="E1115" s="108" t="s">
        <v>13</v>
      </c>
      <c r="F1115" s="108" t="s">
        <v>658</v>
      </c>
      <c r="G1115" s="108" t="s">
        <v>9</v>
      </c>
      <c r="H1115" s="126">
        <f>H1116</f>
        <v>0</v>
      </c>
      <c r="I1115" s="108">
        <v>320180210</v>
      </c>
      <c r="J1115" s="108" t="str">
        <f t="shared" si="182"/>
        <v>0320180210</v>
      </c>
      <c r="K1115" s="132"/>
      <c r="L1115" s="17"/>
      <c r="M1115" s="39">
        <v>100</v>
      </c>
      <c r="N1115" s="39">
        <v>100</v>
      </c>
      <c r="O1115" s="39">
        <v>100</v>
      </c>
      <c r="P1115" s="39">
        <f>H1115-M1115</f>
        <v>-100</v>
      </c>
      <c r="Q1115" s="39" t="e">
        <f>#REF!-N1115</f>
        <v>#REF!</v>
      </c>
      <c r="R1115" s="39" t="e">
        <f>#REF!-O1115</f>
        <v>#REF!</v>
      </c>
      <c r="S1115" s="17" t="str">
        <f t="shared" si="183"/>
        <v>03 2 01 80210000</v>
      </c>
    </row>
    <row r="1116" spans="1:19" s="4" customFormat="1" ht="31.5">
      <c r="A1116" s="1"/>
      <c r="B1116" s="132" t="s">
        <v>493</v>
      </c>
      <c r="C1116" s="109" t="s">
        <v>595</v>
      </c>
      <c r="D1116" s="108" t="s">
        <v>317</v>
      </c>
      <c r="E1116" s="108" t="s">
        <v>13</v>
      </c>
      <c r="F1116" s="108" t="s">
        <v>658</v>
      </c>
      <c r="G1116" s="108" t="s">
        <v>494</v>
      </c>
      <c r="H1116" s="126">
        <f>H1117</f>
        <v>0</v>
      </c>
      <c r="I1116" s="108">
        <v>320180210</v>
      </c>
      <c r="J1116" s="108" t="str">
        <f t="shared" si="182"/>
        <v>0320180210</v>
      </c>
      <c r="K1116" s="132"/>
      <c r="L1116" s="17"/>
      <c r="M1116" s="37">
        <v>100</v>
      </c>
      <c r="N1116" s="37">
        <v>100</v>
      </c>
      <c r="O1116" s="37">
        <v>100</v>
      </c>
      <c r="P1116" s="37">
        <f>H1116-M1116</f>
        <v>-100</v>
      </c>
      <c r="Q1116" s="37" t="e">
        <f>#REF!-N1116</f>
        <v>#REF!</v>
      </c>
      <c r="R1116" s="37" t="e">
        <f>#REF!-O1116</f>
        <v>#REF!</v>
      </c>
      <c r="S1116" s="17" t="str">
        <f t="shared" si="183"/>
        <v>03 2 01 80210310</v>
      </c>
    </row>
    <row r="1117" spans="1:19" s="4" customFormat="1" ht="31.5">
      <c r="A1117" s="1"/>
      <c r="B1117" s="127" t="s">
        <v>495</v>
      </c>
      <c r="C1117" s="109" t="s">
        <v>595</v>
      </c>
      <c r="D1117" s="108" t="s">
        <v>317</v>
      </c>
      <c r="E1117" s="108" t="s">
        <v>13</v>
      </c>
      <c r="F1117" s="108" t="s">
        <v>658</v>
      </c>
      <c r="G1117" s="108" t="s">
        <v>496</v>
      </c>
      <c r="H1117" s="126"/>
      <c r="I1117" s="108">
        <v>320180210</v>
      </c>
      <c r="J1117" s="108" t="str">
        <f t="shared" si="182"/>
        <v>0320180210</v>
      </c>
      <c r="K1117" s="304" t="str">
        <f>C1117&amp;D1117&amp;E1117&amp;J1117&amp;G1117</f>
        <v>60910030320180210313</v>
      </c>
      <c r="M1117" s="37"/>
      <c r="N1117" s="37"/>
      <c r="O1117" s="37"/>
      <c r="P1117" s="37"/>
      <c r="Q1117" s="37"/>
      <c r="R1117" s="37"/>
      <c r="S1117" s="17"/>
    </row>
    <row r="1118" spans="1:19" s="4" customFormat="1" ht="31.5">
      <c r="A1118" s="1"/>
      <c r="B1118" s="149" t="s">
        <v>659</v>
      </c>
      <c r="C1118" s="109" t="s">
        <v>595</v>
      </c>
      <c r="D1118" s="108" t="s">
        <v>317</v>
      </c>
      <c r="E1118" s="108" t="s">
        <v>13</v>
      </c>
      <c r="F1118" s="108" t="s">
        <v>660</v>
      </c>
      <c r="G1118" s="108" t="s">
        <v>9</v>
      </c>
      <c r="H1118" s="126">
        <f>H1119</f>
        <v>0</v>
      </c>
      <c r="I1118" s="108">
        <v>320500000</v>
      </c>
      <c r="J1118" s="108" t="str">
        <f t="shared" si="182"/>
        <v>0320500000</v>
      </c>
      <c r="K1118" s="132"/>
      <c r="L1118" s="17"/>
      <c r="M1118" s="39">
        <v>81</v>
      </c>
      <c r="N1118" s="39">
        <v>81</v>
      </c>
      <c r="O1118" s="39">
        <v>81</v>
      </c>
      <c r="P1118" s="39">
        <f>H1118-M1118</f>
        <v>-81</v>
      </c>
      <c r="Q1118" s="39" t="e">
        <f>#REF!-N1118</f>
        <v>#REF!</v>
      </c>
      <c r="R1118" s="39" t="e">
        <f>#REF!-O1118</f>
        <v>#REF!</v>
      </c>
      <c r="S1118" s="17" t="str">
        <f t="shared" si="183"/>
        <v>03 2 05 00000000</v>
      </c>
    </row>
    <row r="1119" spans="1:19" s="4" customFormat="1" ht="31.5">
      <c r="A1119" s="1"/>
      <c r="B1119" s="135" t="s">
        <v>661</v>
      </c>
      <c r="C1119" s="109" t="s">
        <v>595</v>
      </c>
      <c r="D1119" s="108" t="s">
        <v>317</v>
      </c>
      <c r="E1119" s="108" t="s">
        <v>13</v>
      </c>
      <c r="F1119" s="108" t="s">
        <v>662</v>
      </c>
      <c r="G1119" s="108" t="s">
        <v>9</v>
      </c>
      <c r="H1119" s="126">
        <f>SUM(H1120:H1120)</f>
        <v>0</v>
      </c>
      <c r="I1119" s="108">
        <v>320520500</v>
      </c>
      <c r="J1119" s="108" t="str">
        <f t="shared" si="182"/>
        <v>0320520500</v>
      </c>
      <c r="K1119" s="132"/>
      <c r="L1119" s="17"/>
      <c r="M1119" s="39">
        <v>81</v>
      </c>
      <c r="N1119" s="39">
        <v>81</v>
      </c>
      <c r="O1119" s="39">
        <v>81</v>
      </c>
      <c r="P1119" s="39">
        <f>H1119-M1119</f>
        <v>-81</v>
      </c>
      <c r="Q1119" s="39" t="e">
        <f>#REF!-N1119</f>
        <v>#REF!</v>
      </c>
      <c r="R1119" s="39" t="e">
        <f>#REF!-O1119</f>
        <v>#REF!</v>
      </c>
      <c r="S1119" s="17" t="str">
        <f t="shared" si="183"/>
        <v>03 2 05 20500000</v>
      </c>
    </row>
    <row r="1120" spans="1:19" s="4" customFormat="1" ht="31.5">
      <c r="A1120" s="1"/>
      <c r="B1120" s="132" t="s">
        <v>327</v>
      </c>
      <c r="C1120" s="109" t="s">
        <v>595</v>
      </c>
      <c r="D1120" s="108" t="s">
        <v>317</v>
      </c>
      <c r="E1120" s="108" t="s">
        <v>13</v>
      </c>
      <c r="F1120" s="108" t="s">
        <v>662</v>
      </c>
      <c r="G1120" s="108" t="s">
        <v>328</v>
      </c>
      <c r="H1120" s="126">
        <f>H1121</f>
        <v>0</v>
      </c>
      <c r="I1120" s="108">
        <v>320520500</v>
      </c>
      <c r="J1120" s="108" t="str">
        <f t="shared" si="182"/>
        <v>0320520500</v>
      </c>
      <c r="K1120" s="132"/>
      <c r="L1120" s="17"/>
      <c r="M1120" s="37">
        <v>81</v>
      </c>
      <c r="N1120" s="37">
        <v>81</v>
      </c>
      <c r="O1120" s="37">
        <v>81</v>
      </c>
      <c r="P1120" s="37">
        <f>H1120-M1120</f>
        <v>-81</v>
      </c>
      <c r="Q1120" s="37" t="e">
        <f>#REF!-N1120</f>
        <v>#REF!</v>
      </c>
      <c r="R1120" s="37" t="e">
        <f>#REF!-O1120</f>
        <v>#REF!</v>
      </c>
      <c r="S1120" s="17" t="str">
        <f t="shared" si="183"/>
        <v>03 2 05 20500320</v>
      </c>
    </row>
    <row r="1121" spans="1:19" s="41" customFormat="1" ht="31.5">
      <c r="A1121" s="40"/>
      <c r="B1121" s="127" t="s">
        <v>501</v>
      </c>
      <c r="C1121" s="109" t="s">
        <v>595</v>
      </c>
      <c r="D1121" s="108" t="s">
        <v>317</v>
      </c>
      <c r="E1121" s="108" t="s">
        <v>13</v>
      </c>
      <c r="F1121" s="108" t="s">
        <v>662</v>
      </c>
      <c r="G1121" s="108" t="s">
        <v>502</v>
      </c>
      <c r="H1121" s="126"/>
      <c r="I1121" s="108">
        <v>320520500</v>
      </c>
      <c r="J1121" s="108" t="str">
        <f t="shared" si="182"/>
        <v>0320520500</v>
      </c>
      <c r="K1121" s="304" t="str">
        <f>C1121&amp;D1121&amp;E1121&amp;J1121&amp;G1121</f>
        <v>60910030320520500323</v>
      </c>
      <c r="M1121" s="38"/>
      <c r="N1121" s="38"/>
      <c r="O1121" s="38"/>
      <c r="P1121" s="38"/>
      <c r="Q1121" s="38"/>
      <c r="R1121" s="38"/>
      <c r="S1121" s="24"/>
    </row>
    <row r="1122" spans="1:19" s="4" customFormat="1" ht="31.5">
      <c r="A1122" s="1"/>
      <c r="B1122" s="149" t="s">
        <v>663</v>
      </c>
      <c r="C1122" s="109" t="s">
        <v>595</v>
      </c>
      <c r="D1122" s="108" t="s">
        <v>317</v>
      </c>
      <c r="E1122" s="108" t="s">
        <v>13</v>
      </c>
      <c r="F1122" s="108" t="s">
        <v>664</v>
      </c>
      <c r="G1122" s="108" t="s">
        <v>9</v>
      </c>
      <c r="H1122" s="126">
        <f>H1123</f>
        <v>0</v>
      </c>
      <c r="I1122" s="108">
        <v>320600000</v>
      </c>
      <c r="J1122" s="108" t="str">
        <f t="shared" si="182"/>
        <v>0320600000</v>
      </c>
      <c r="K1122" s="132"/>
      <c r="L1122" s="17"/>
      <c r="M1122" s="39">
        <v>25</v>
      </c>
      <c r="N1122" s="39">
        <v>25</v>
      </c>
      <c r="O1122" s="39">
        <v>25</v>
      </c>
      <c r="P1122" s="39">
        <f>H1122-M1122</f>
        <v>-25</v>
      </c>
      <c r="Q1122" s="39" t="e">
        <f>#REF!-N1122</f>
        <v>#REF!</v>
      </c>
      <c r="R1122" s="39" t="e">
        <f>#REF!-O1122</f>
        <v>#REF!</v>
      </c>
      <c r="S1122" s="17" t="str">
        <f t="shared" si="183"/>
        <v>03 2 06 00000000</v>
      </c>
    </row>
    <row r="1123" spans="1:19" s="4" customFormat="1" ht="63">
      <c r="A1123" s="1"/>
      <c r="B1123" s="135" t="s">
        <v>665</v>
      </c>
      <c r="C1123" s="109" t="s">
        <v>595</v>
      </c>
      <c r="D1123" s="108" t="s">
        <v>317</v>
      </c>
      <c r="E1123" s="108" t="s">
        <v>13</v>
      </c>
      <c r="F1123" s="108" t="s">
        <v>666</v>
      </c>
      <c r="G1123" s="108" t="s">
        <v>9</v>
      </c>
      <c r="H1123" s="126">
        <f>H1124</f>
        <v>0</v>
      </c>
      <c r="I1123" s="108">
        <v>320620520</v>
      </c>
      <c r="J1123" s="108" t="str">
        <f t="shared" si="182"/>
        <v>0320620520</v>
      </c>
      <c r="K1123" s="132"/>
      <c r="L1123" s="17"/>
      <c r="M1123" s="39">
        <v>25</v>
      </c>
      <c r="N1123" s="39">
        <v>25</v>
      </c>
      <c r="O1123" s="39">
        <v>25</v>
      </c>
      <c r="P1123" s="39">
        <f>H1123-M1123</f>
        <v>-25</v>
      </c>
      <c r="Q1123" s="39" t="e">
        <f>#REF!-N1123</f>
        <v>#REF!</v>
      </c>
      <c r="R1123" s="39" t="e">
        <f>#REF!-O1123</f>
        <v>#REF!</v>
      </c>
      <c r="S1123" s="17" t="str">
        <f t="shared" si="183"/>
        <v>03 2 06 20520000</v>
      </c>
    </row>
    <row r="1124" spans="1:19" s="4" customFormat="1" ht="31.5">
      <c r="A1124" s="1"/>
      <c r="B1124" s="125" t="s">
        <v>28</v>
      </c>
      <c r="C1124" s="109" t="s">
        <v>595</v>
      </c>
      <c r="D1124" s="108" t="s">
        <v>317</v>
      </c>
      <c r="E1124" s="108" t="s">
        <v>13</v>
      </c>
      <c r="F1124" s="108" t="s">
        <v>666</v>
      </c>
      <c r="G1124" s="108" t="s">
        <v>29</v>
      </c>
      <c r="H1124" s="126">
        <f>H1125</f>
        <v>0</v>
      </c>
      <c r="I1124" s="108">
        <v>320620520</v>
      </c>
      <c r="J1124" s="108" t="str">
        <f t="shared" si="182"/>
        <v>0320620520</v>
      </c>
      <c r="K1124" s="132"/>
      <c r="L1124" s="17"/>
      <c r="M1124" s="37">
        <v>25</v>
      </c>
      <c r="N1124" s="37">
        <v>25</v>
      </c>
      <c r="O1124" s="37">
        <v>25</v>
      </c>
      <c r="P1124" s="37">
        <f>H1124-M1124</f>
        <v>-25</v>
      </c>
      <c r="Q1124" s="37" t="e">
        <f>#REF!-N1124</f>
        <v>#REF!</v>
      </c>
      <c r="R1124" s="37" t="e">
        <f>#REF!-O1124</f>
        <v>#REF!</v>
      </c>
      <c r="S1124" s="17" t="str">
        <f t="shared" si="183"/>
        <v>03 2 06 20520240</v>
      </c>
    </row>
    <row r="1125" spans="1:19" s="4" customFormat="1" ht="15.75">
      <c r="A1125" s="1"/>
      <c r="B1125" s="125" t="s">
        <v>30</v>
      </c>
      <c r="C1125" s="109" t="s">
        <v>595</v>
      </c>
      <c r="D1125" s="108" t="s">
        <v>317</v>
      </c>
      <c r="E1125" s="108" t="s">
        <v>13</v>
      </c>
      <c r="F1125" s="108" t="s">
        <v>666</v>
      </c>
      <c r="G1125" s="108" t="s">
        <v>31</v>
      </c>
      <c r="H1125" s="126"/>
      <c r="I1125" s="108">
        <v>320620520</v>
      </c>
      <c r="J1125" s="108" t="str">
        <f t="shared" si="182"/>
        <v>0320620520</v>
      </c>
      <c r="K1125" s="304" t="str">
        <f>C1125&amp;D1125&amp;E1125&amp;J1125&amp;G1125</f>
        <v>60910030320620520244</v>
      </c>
      <c r="M1125" s="37"/>
      <c r="N1125" s="37"/>
      <c r="O1125" s="37"/>
      <c r="P1125" s="37"/>
      <c r="Q1125" s="37"/>
      <c r="R1125" s="37"/>
      <c r="S1125" s="17"/>
    </row>
    <row r="1126" spans="1:19" s="4" customFormat="1" ht="31.5">
      <c r="A1126" s="1"/>
      <c r="B1126" s="125" t="s">
        <v>667</v>
      </c>
      <c r="C1126" s="109" t="s">
        <v>595</v>
      </c>
      <c r="D1126" s="108" t="s">
        <v>317</v>
      </c>
      <c r="E1126" s="108" t="s">
        <v>13</v>
      </c>
      <c r="F1126" s="108" t="s">
        <v>668</v>
      </c>
      <c r="G1126" s="108" t="s">
        <v>9</v>
      </c>
      <c r="H1126" s="126">
        <f>H1127</f>
        <v>0</v>
      </c>
      <c r="I1126" s="108">
        <v>320800000</v>
      </c>
      <c r="J1126" s="108" t="str">
        <f t="shared" si="182"/>
        <v>0320800000</v>
      </c>
      <c r="K1126" s="132"/>
      <c r="L1126" s="17"/>
      <c r="M1126" s="37">
        <v>75</v>
      </c>
      <c r="N1126" s="37">
        <v>75</v>
      </c>
      <c r="O1126" s="37">
        <v>75</v>
      </c>
      <c r="P1126" s="37">
        <f>H1126-M1126</f>
        <v>-75</v>
      </c>
      <c r="Q1126" s="37" t="e">
        <f>#REF!-N1126</f>
        <v>#REF!</v>
      </c>
      <c r="R1126" s="37" t="e">
        <f>#REF!-O1126</f>
        <v>#REF!</v>
      </c>
      <c r="S1126" s="17" t="str">
        <f t="shared" si="183"/>
        <v>03 2 08 00000000</v>
      </c>
    </row>
    <row r="1127" spans="1:19" s="4" customFormat="1" ht="31.5">
      <c r="A1127" s="1"/>
      <c r="B1127" s="135" t="s">
        <v>669</v>
      </c>
      <c r="C1127" s="109" t="s">
        <v>595</v>
      </c>
      <c r="D1127" s="108" t="s">
        <v>317</v>
      </c>
      <c r="E1127" s="108" t="s">
        <v>13</v>
      </c>
      <c r="F1127" s="108" t="s">
        <v>670</v>
      </c>
      <c r="G1127" s="108" t="s">
        <v>9</v>
      </c>
      <c r="H1127" s="126">
        <f t="shared" ref="H1127" si="184">H1128</f>
        <v>0</v>
      </c>
      <c r="I1127" s="108">
        <v>320820510</v>
      </c>
      <c r="J1127" s="108" t="str">
        <f t="shared" si="182"/>
        <v>0320820510</v>
      </c>
      <c r="K1127" s="132"/>
      <c r="L1127" s="17"/>
      <c r="M1127" s="39">
        <v>75</v>
      </c>
      <c r="N1127" s="39">
        <v>75</v>
      </c>
      <c r="O1127" s="39">
        <v>75</v>
      </c>
      <c r="P1127" s="39">
        <f>H1127-M1127</f>
        <v>-75</v>
      </c>
      <c r="Q1127" s="39" t="e">
        <f>#REF!-N1127</f>
        <v>#REF!</v>
      </c>
      <c r="R1127" s="39" t="e">
        <f>#REF!-O1127</f>
        <v>#REF!</v>
      </c>
      <c r="S1127" s="17" t="str">
        <f t="shared" si="183"/>
        <v>03 2 08 20510000</v>
      </c>
    </row>
    <row r="1128" spans="1:19" s="4" customFormat="1" ht="31.5">
      <c r="A1128" s="1"/>
      <c r="B1128" s="125" t="s">
        <v>28</v>
      </c>
      <c r="C1128" s="109" t="s">
        <v>595</v>
      </c>
      <c r="D1128" s="108" t="s">
        <v>317</v>
      </c>
      <c r="E1128" s="108" t="s">
        <v>13</v>
      </c>
      <c r="F1128" s="108" t="s">
        <v>670</v>
      </c>
      <c r="G1128" s="108" t="s">
        <v>29</v>
      </c>
      <c r="H1128" s="126">
        <f>H1129</f>
        <v>0</v>
      </c>
      <c r="I1128" s="108">
        <v>320820510</v>
      </c>
      <c r="J1128" s="108" t="str">
        <f t="shared" ref="J1128:J1191" si="185">TEXT(I1128,"0000000000")</f>
        <v>0320820510</v>
      </c>
      <c r="K1128" s="132"/>
      <c r="L1128" s="17"/>
      <c r="M1128" s="37">
        <v>75</v>
      </c>
      <c r="N1128" s="37">
        <v>75</v>
      </c>
      <c r="O1128" s="37">
        <v>75</v>
      </c>
      <c r="P1128" s="37">
        <f>H1128-M1128</f>
        <v>-75</v>
      </c>
      <c r="Q1128" s="37" t="e">
        <f>#REF!-N1128</f>
        <v>#REF!</v>
      </c>
      <c r="R1128" s="37" t="e">
        <f>#REF!-O1128</f>
        <v>#REF!</v>
      </c>
      <c r="S1128" s="17" t="str">
        <f t="shared" si="183"/>
        <v>03 2 08 20510240</v>
      </c>
    </row>
    <row r="1129" spans="1:19" s="4" customFormat="1" ht="15.75">
      <c r="A1129" s="1"/>
      <c r="B1129" s="125" t="s">
        <v>30</v>
      </c>
      <c r="C1129" s="109" t="s">
        <v>595</v>
      </c>
      <c r="D1129" s="108" t="s">
        <v>317</v>
      </c>
      <c r="E1129" s="108" t="s">
        <v>13</v>
      </c>
      <c r="F1129" s="108" t="s">
        <v>670</v>
      </c>
      <c r="G1129" s="108" t="s">
        <v>31</v>
      </c>
      <c r="H1129" s="126"/>
      <c r="I1129" s="108">
        <v>320820510</v>
      </c>
      <c r="J1129" s="108" t="str">
        <f t="shared" si="185"/>
        <v>0320820510</v>
      </c>
      <c r="K1129" s="304" t="str">
        <f>C1129&amp;D1129&amp;E1129&amp;J1129&amp;G1129</f>
        <v>60910030320820510244</v>
      </c>
      <c r="M1129" s="37"/>
      <c r="N1129" s="37"/>
      <c r="O1129" s="37"/>
      <c r="P1129" s="37"/>
      <c r="Q1129" s="37"/>
      <c r="R1129" s="37"/>
      <c r="S1129" s="17"/>
    </row>
    <row r="1130" spans="1:19" s="4" customFormat="1" ht="15.75">
      <c r="A1130" s="1"/>
      <c r="B1130" s="135" t="s">
        <v>671</v>
      </c>
      <c r="C1130" s="109" t="s">
        <v>595</v>
      </c>
      <c r="D1130" s="108" t="s">
        <v>317</v>
      </c>
      <c r="E1130" s="108" t="s">
        <v>13</v>
      </c>
      <c r="F1130" s="108" t="s">
        <v>672</v>
      </c>
      <c r="G1130" s="108" t="s">
        <v>9</v>
      </c>
      <c r="H1130" s="126">
        <f t="shared" ref="H1130:H1132" si="186">H1131</f>
        <v>0</v>
      </c>
      <c r="I1130" s="108">
        <v>330000000</v>
      </c>
      <c r="J1130" s="108" t="str">
        <f t="shared" si="185"/>
        <v>0330000000</v>
      </c>
      <c r="K1130" s="132"/>
      <c r="L1130" s="17"/>
      <c r="M1130" s="39">
        <v>2608.5</v>
      </c>
      <c r="N1130" s="39">
        <v>2608.5</v>
      </c>
      <c r="O1130" s="39">
        <v>2608.5</v>
      </c>
      <c r="P1130" s="39">
        <f>H1130-M1130</f>
        <v>-2608.5</v>
      </c>
      <c r="Q1130" s="39" t="e">
        <f>#REF!-N1130</f>
        <v>#REF!</v>
      </c>
      <c r="R1130" s="39" t="e">
        <f>#REF!-O1130</f>
        <v>#REF!</v>
      </c>
      <c r="S1130" s="17" t="str">
        <f t="shared" si="183"/>
        <v>03 3 00 00000000</v>
      </c>
    </row>
    <row r="1131" spans="1:19" s="4" customFormat="1" ht="47.25">
      <c r="A1131" s="1"/>
      <c r="B1131" s="147" t="s">
        <v>673</v>
      </c>
      <c r="C1131" s="109" t="s">
        <v>595</v>
      </c>
      <c r="D1131" s="108" t="s">
        <v>317</v>
      </c>
      <c r="E1131" s="108" t="s">
        <v>13</v>
      </c>
      <c r="F1131" s="108" t="s">
        <v>674</v>
      </c>
      <c r="G1131" s="108" t="s">
        <v>9</v>
      </c>
      <c r="H1131" s="126">
        <f t="shared" si="186"/>
        <v>0</v>
      </c>
      <c r="I1131" s="108">
        <v>330100000</v>
      </c>
      <c r="J1131" s="108" t="str">
        <f t="shared" si="185"/>
        <v>0330100000</v>
      </c>
      <c r="K1131" s="132"/>
      <c r="L1131" s="17"/>
      <c r="M1131" s="39">
        <v>2608.5</v>
      </c>
      <c r="N1131" s="39">
        <v>2608.5</v>
      </c>
      <c r="O1131" s="39">
        <v>2608.5</v>
      </c>
      <c r="P1131" s="39">
        <f>H1131-M1131</f>
        <v>-2608.5</v>
      </c>
      <c r="Q1131" s="39" t="e">
        <f>#REF!-N1131</f>
        <v>#REF!</v>
      </c>
      <c r="R1131" s="39" t="e">
        <f>#REF!-O1131</f>
        <v>#REF!</v>
      </c>
      <c r="S1131" s="17" t="str">
        <f t="shared" si="183"/>
        <v>03 3 01 00000000</v>
      </c>
    </row>
    <row r="1132" spans="1:19" s="4" customFormat="1" ht="47.25">
      <c r="A1132" s="1"/>
      <c r="B1132" s="135" t="s">
        <v>675</v>
      </c>
      <c r="C1132" s="109" t="s">
        <v>595</v>
      </c>
      <c r="D1132" s="108" t="s">
        <v>317</v>
      </c>
      <c r="E1132" s="108" t="s">
        <v>13</v>
      </c>
      <c r="F1132" s="108" t="s">
        <v>676</v>
      </c>
      <c r="G1132" s="108" t="s">
        <v>9</v>
      </c>
      <c r="H1132" s="126">
        <f t="shared" si="186"/>
        <v>0</v>
      </c>
      <c r="I1132" s="108">
        <v>330120530</v>
      </c>
      <c r="J1132" s="108" t="str">
        <f t="shared" si="185"/>
        <v>0330120530</v>
      </c>
      <c r="K1132" s="132"/>
      <c r="L1132" s="17"/>
      <c r="M1132" s="39">
        <v>2608.5</v>
      </c>
      <c r="N1132" s="39">
        <v>2608.5</v>
      </c>
      <c r="O1132" s="39">
        <v>2608.5</v>
      </c>
      <c r="P1132" s="39">
        <f>H1132-M1132</f>
        <v>-2608.5</v>
      </c>
      <c r="Q1132" s="39" t="e">
        <f>#REF!-N1132</f>
        <v>#REF!</v>
      </c>
      <c r="R1132" s="39" t="e">
        <f>#REF!-O1132</f>
        <v>#REF!</v>
      </c>
      <c r="S1132" s="17" t="str">
        <f t="shared" si="183"/>
        <v>03 3 01 20530000</v>
      </c>
    </row>
    <row r="1133" spans="1:19" s="4" customFormat="1" ht="31.5">
      <c r="A1133" s="1"/>
      <c r="B1133" s="132" t="s">
        <v>327</v>
      </c>
      <c r="C1133" s="109" t="s">
        <v>595</v>
      </c>
      <c r="D1133" s="108" t="s">
        <v>317</v>
      </c>
      <c r="E1133" s="108" t="s">
        <v>13</v>
      </c>
      <c r="F1133" s="108" t="s">
        <v>676</v>
      </c>
      <c r="G1133" s="108" t="s">
        <v>328</v>
      </c>
      <c r="H1133" s="126">
        <f>H1134</f>
        <v>0</v>
      </c>
      <c r="I1133" s="108">
        <v>330120530</v>
      </c>
      <c r="J1133" s="108" t="str">
        <f t="shared" si="185"/>
        <v>0330120530</v>
      </c>
      <c r="K1133" s="132"/>
      <c r="L1133" s="17"/>
      <c r="M1133" s="37">
        <v>2608.5</v>
      </c>
      <c r="N1133" s="37">
        <v>2608.5</v>
      </c>
      <c r="O1133" s="37">
        <v>2608.5</v>
      </c>
      <c r="P1133" s="37">
        <f>H1133-M1133</f>
        <v>-2608.5</v>
      </c>
      <c r="Q1133" s="37" t="e">
        <f>#REF!-N1133</f>
        <v>#REF!</v>
      </c>
      <c r="R1133" s="37" t="e">
        <f>#REF!-O1133</f>
        <v>#REF!</v>
      </c>
      <c r="S1133" s="17" t="str">
        <f t="shared" si="183"/>
        <v>03 3 01 20530320</v>
      </c>
    </row>
    <row r="1134" spans="1:19" s="4" customFormat="1" ht="31.5">
      <c r="A1134" s="1"/>
      <c r="B1134" s="125" t="s">
        <v>501</v>
      </c>
      <c r="C1134" s="109" t="s">
        <v>595</v>
      </c>
      <c r="D1134" s="108" t="s">
        <v>317</v>
      </c>
      <c r="E1134" s="108" t="s">
        <v>13</v>
      </c>
      <c r="F1134" s="108" t="s">
        <v>676</v>
      </c>
      <c r="G1134" s="108" t="s">
        <v>502</v>
      </c>
      <c r="H1134" s="126"/>
      <c r="I1134" s="108">
        <v>330120530</v>
      </c>
      <c r="J1134" s="108" t="str">
        <f t="shared" si="185"/>
        <v>0330120530</v>
      </c>
      <c r="K1134" s="304" t="str">
        <f>C1134&amp;D1134&amp;E1134&amp;J1134&amp;G1134</f>
        <v>60910030330120530323</v>
      </c>
      <c r="M1134" s="37"/>
      <c r="N1134" s="37"/>
      <c r="O1134" s="37"/>
      <c r="P1134" s="37"/>
      <c r="Q1134" s="37"/>
      <c r="R1134" s="37"/>
      <c r="S1134" s="17"/>
    </row>
    <row r="1135" spans="1:19" s="43" customFormat="1" ht="15.75">
      <c r="A1135" s="42"/>
      <c r="B1135" s="121" t="s">
        <v>490</v>
      </c>
      <c r="C1135" s="122" t="s">
        <v>595</v>
      </c>
      <c r="D1135" s="123" t="s">
        <v>317</v>
      </c>
      <c r="E1135" s="123" t="s">
        <v>73</v>
      </c>
      <c r="F1135" s="123" t="s">
        <v>8</v>
      </c>
      <c r="G1135" s="123" t="s">
        <v>9</v>
      </c>
      <c r="H1135" s="124">
        <f t="shared" ref="H1135:H1137" si="187">H1136</f>
        <v>0</v>
      </c>
      <c r="I1135" s="123">
        <v>0</v>
      </c>
      <c r="J1135" s="123" t="str">
        <f t="shared" si="185"/>
        <v>0000000000</v>
      </c>
      <c r="K1135" s="132"/>
      <c r="L1135" s="17"/>
      <c r="M1135" s="19">
        <v>260400.43</v>
      </c>
      <c r="N1135" s="19">
        <v>260400.43</v>
      </c>
      <c r="O1135" s="19">
        <v>260400.43</v>
      </c>
      <c r="P1135" s="19">
        <f t="shared" ref="P1135:P1140" si="188">H1135-M1135</f>
        <v>-260400.43</v>
      </c>
      <c r="Q1135" s="19" t="e">
        <f>#REF!-N1135</f>
        <v>#REF!</v>
      </c>
      <c r="R1135" s="19" t="e">
        <f>#REF!-O1135</f>
        <v>#REF!</v>
      </c>
      <c r="S1135" s="17" t="str">
        <f t="shared" si="183"/>
        <v>00 0 00 00000000</v>
      </c>
    </row>
    <row r="1136" spans="1:19" s="43" customFormat="1" ht="31.5">
      <c r="A1136" s="42"/>
      <c r="B1136" s="135" t="s">
        <v>385</v>
      </c>
      <c r="C1136" s="109" t="s">
        <v>595</v>
      </c>
      <c r="D1136" s="108" t="s">
        <v>317</v>
      </c>
      <c r="E1136" s="108" t="s">
        <v>73</v>
      </c>
      <c r="F1136" s="108" t="s">
        <v>386</v>
      </c>
      <c r="G1136" s="108" t="s">
        <v>9</v>
      </c>
      <c r="H1136" s="151">
        <f t="shared" si="187"/>
        <v>0</v>
      </c>
      <c r="I1136" s="108">
        <v>300000000</v>
      </c>
      <c r="J1136" s="108" t="str">
        <f t="shared" si="185"/>
        <v>0300000000</v>
      </c>
      <c r="K1136" s="132"/>
      <c r="L1136" s="17"/>
      <c r="M1136" s="39">
        <v>260400.43</v>
      </c>
      <c r="N1136" s="39">
        <v>260400.43</v>
      </c>
      <c r="O1136" s="39">
        <v>260400.43</v>
      </c>
      <c r="P1136" s="39">
        <f t="shared" si="188"/>
        <v>-260400.43</v>
      </c>
      <c r="Q1136" s="39" t="e">
        <f>#REF!-N1136</f>
        <v>#REF!</v>
      </c>
      <c r="R1136" s="39" t="e">
        <f>#REF!-O1136</f>
        <v>#REF!</v>
      </c>
      <c r="S1136" s="17" t="str">
        <f t="shared" si="183"/>
        <v>03 0 00 00000000</v>
      </c>
    </row>
    <row r="1137" spans="1:19" s="43" customFormat="1" ht="47.25">
      <c r="A1137" s="42"/>
      <c r="B1137" s="147" t="s">
        <v>596</v>
      </c>
      <c r="C1137" s="109" t="s">
        <v>595</v>
      </c>
      <c r="D1137" s="108" t="s">
        <v>317</v>
      </c>
      <c r="E1137" s="108" t="s">
        <v>73</v>
      </c>
      <c r="F1137" s="108" t="s">
        <v>597</v>
      </c>
      <c r="G1137" s="108" t="s">
        <v>9</v>
      </c>
      <c r="H1137" s="151">
        <f t="shared" si="187"/>
        <v>0</v>
      </c>
      <c r="I1137" s="108">
        <v>310000000</v>
      </c>
      <c r="J1137" s="108" t="str">
        <f t="shared" si="185"/>
        <v>0310000000</v>
      </c>
      <c r="K1137" s="132"/>
      <c r="L1137" s="17"/>
      <c r="M1137" s="39">
        <v>260400.43</v>
      </c>
      <c r="N1137" s="39">
        <v>260400.43</v>
      </c>
      <c r="O1137" s="39">
        <v>260400.43</v>
      </c>
      <c r="P1137" s="39">
        <f t="shared" si="188"/>
        <v>-260400.43</v>
      </c>
      <c r="Q1137" s="39" t="e">
        <f>#REF!-N1137</f>
        <v>#REF!</v>
      </c>
      <c r="R1137" s="39" t="e">
        <f>#REF!-O1137</f>
        <v>#REF!</v>
      </c>
      <c r="S1137" s="17" t="str">
        <f t="shared" si="183"/>
        <v>03 1 00 00000 000</v>
      </c>
    </row>
    <row r="1138" spans="1:19" s="17" customFormat="1" ht="31.5">
      <c r="A1138" s="14"/>
      <c r="B1138" s="148" t="s">
        <v>623</v>
      </c>
      <c r="C1138" s="109" t="s">
        <v>595</v>
      </c>
      <c r="D1138" s="108" t="s">
        <v>317</v>
      </c>
      <c r="E1138" s="108" t="s">
        <v>73</v>
      </c>
      <c r="F1138" s="108" t="s">
        <v>624</v>
      </c>
      <c r="G1138" s="108" t="s">
        <v>9</v>
      </c>
      <c r="H1138" s="152">
        <f>H1142+H1139</f>
        <v>0</v>
      </c>
      <c r="I1138" s="108">
        <v>310200000</v>
      </c>
      <c r="J1138" s="108" t="str">
        <f t="shared" si="185"/>
        <v>0310200000</v>
      </c>
      <c r="K1138" s="132"/>
      <c r="M1138" s="37">
        <v>260400.43</v>
      </c>
      <c r="N1138" s="37">
        <v>260400.43</v>
      </c>
      <c r="O1138" s="37">
        <v>260400.43</v>
      </c>
      <c r="P1138" s="37">
        <f t="shared" si="188"/>
        <v>-260400.43</v>
      </c>
      <c r="Q1138" s="37" t="e">
        <f>#REF!-N1138</f>
        <v>#REF!</v>
      </c>
      <c r="R1138" s="37" t="e">
        <f>#REF!-O1138</f>
        <v>#REF!</v>
      </c>
      <c r="S1138" s="17" t="str">
        <f t="shared" si="183"/>
        <v>03 1 02 00000000</v>
      </c>
    </row>
    <row r="1139" spans="1:19" s="17" customFormat="1" ht="15.75">
      <c r="A1139" s="14"/>
      <c r="B1139" s="149" t="s">
        <v>677</v>
      </c>
      <c r="C1139" s="109" t="s">
        <v>595</v>
      </c>
      <c r="D1139" s="108" t="s">
        <v>317</v>
      </c>
      <c r="E1139" s="108" t="s">
        <v>73</v>
      </c>
      <c r="F1139" s="108" t="s">
        <v>678</v>
      </c>
      <c r="G1139" s="108" t="s">
        <v>9</v>
      </c>
      <c r="H1139" s="152">
        <f>H1140</f>
        <v>0</v>
      </c>
      <c r="I1139" s="108">
        <v>310276270</v>
      </c>
      <c r="J1139" s="108" t="str">
        <f t="shared" si="185"/>
        <v>0310276270</v>
      </c>
      <c r="K1139" s="132"/>
      <c r="M1139" s="37">
        <v>122664.88</v>
      </c>
      <c r="N1139" s="37">
        <v>122664.88</v>
      </c>
      <c r="O1139" s="37">
        <v>122664.88</v>
      </c>
      <c r="P1139" s="37">
        <f t="shared" si="188"/>
        <v>-122664.88</v>
      </c>
      <c r="Q1139" s="37" t="e">
        <f>#REF!-N1139</f>
        <v>#REF!</v>
      </c>
      <c r="R1139" s="37" t="e">
        <f>#REF!-O1139</f>
        <v>#REF!</v>
      </c>
      <c r="S1139" s="17" t="str">
        <f t="shared" si="183"/>
        <v>03 1 02 76270000</v>
      </c>
    </row>
    <row r="1140" spans="1:19" s="17" customFormat="1" ht="31.5">
      <c r="A1140" s="14"/>
      <c r="B1140" s="132" t="s">
        <v>493</v>
      </c>
      <c r="C1140" s="109" t="s">
        <v>595</v>
      </c>
      <c r="D1140" s="108" t="s">
        <v>317</v>
      </c>
      <c r="E1140" s="108" t="s">
        <v>73</v>
      </c>
      <c r="F1140" s="108" t="s">
        <v>678</v>
      </c>
      <c r="G1140" s="108" t="s">
        <v>494</v>
      </c>
      <c r="H1140" s="126">
        <f>H1141</f>
        <v>0</v>
      </c>
      <c r="I1140" s="108">
        <v>310276270</v>
      </c>
      <c r="J1140" s="108" t="str">
        <f t="shared" si="185"/>
        <v>0310276270</v>
      </c>
      <c r="K1140" s="132"/>
      <c r="M1140" s="37">
        <v>122664.88</v>
      </c>
      <c r="N1140" s="37">
        <v>122664.88</v>
      </c>
      <c r="O1140" s="37">
        <v>122664.88</v>
      </c>
      <c r="P1140" s="37">
        <f t="shared" si="188"/>
        <v>-122664.88</v>
      </c>
      <c r="Q1140" s="37" t="e">
        <f>#REF!-N1140</f>
        <v>#REF!</v>
      </c>
      <c r="R1140" s="37" t="e">
        <f>#REF!-O1140</f>
        <v>#REF!</v>
      </c>
      <c r="S1140" s="17" t="str">
        <f t="shared" si="183"/>
        <v>03 1 02 76270310</v>
      </c>
    </row>
    <row r="1141" spans="1:19" s="17" customFormat="1" ht="31.5">
      <c r="A1141" s="14"/>
      <c r="B1141" s="127" t="s">
        <v>495</v>
      </c>
      <c r="C1141" s="109" t="s">
        <v>595</v>
      </c>
      <c r="D1141" s="108" t="s">
        <v>317</v>
      </c>
      <c r="E1141" s="108" t="s">
        <v>73</v>
      </c>
      <c r="F1141" s="108" t="s">
        <v>678</v>
      </c>
      <c r="G1141" s="108" t="s">
        <v>496</v>
      </c>
      <c r="H1141" s="126"/>
      <c r="I1141" s="108">
        <v>310276270</v>
      </c>
      <c r="J1141" s="108" t="str">
        <f t="shared" si="185"/>
        <v>0310276270</v>
      </c>
      <c r="K1141" s="304" t="str">
        <f>C1141&amp;D1141&amp;E1141&amp;J1141&amp;G1141</f>
        <v>60910040310276270313</v>
      </c>
      <c r="M1141" s="37"/>
      <c r="N1141" s="37"/>
      <c r="O1141" s="37"/>
      <c r="P1141" s="37"/>
      <c r="Q1141" s="37"/>
      <c r="R1141" s="37"/>
    </row>
    <row r="1142" spans="1:19" s="17" customFormat="1" ht="78.75">
      <c r="A1142" s="14" t="s">
        <v>80</v>
      </c>
      <c r="B1142" s="149" t="s">
        <v>679</v>
      </c>
      <c r="C1142" s="109" t="s">
        <v>595</v>
      </c>
      <c r="D1142" s="108" t="s">
        <v>317</v>
      </c>
      <c r="E1142" s="108" t="s">
        <v>73</v>
      </c>
      <c r="F1142" s="108" t="s">
        <v>680</v>
      </c>
      <c r="G1142" s="108" t="s">
        <v>9</v>
      </c>
      <c r="H1142" s="152">
        <f>H1143</f>
        <v>0</v>
      </c>
      <c r="I1142" s="108" t="s">
        <v>1228</v>
      </c>
      <c r="J1142" s="108" t="str">
        <f t="shared" si="185"/>
        <v>03102R0840</v>
      </c>
      <c r="K1142" s="132"/>
      <c r="M1142" s="37">
        <v>137735.54999999999</v>
      </c>
      <c r="N1142" s="37">
        <v>137735.54999999999</v>
      </c>
      <c r="O1142" s="37">
        <v>137735.54999999999</v>
      </c>
      <c r="P1142" s="37">
        <f>H1142-M1142</f>
        <v>-137735.54999999999</v>
      </c>
      <c r="Q1142" s="37" t="e">
        <f>#REF!-N1142</f>
        <v>#REF!</v>
      </c>
      <c r="R1142" s="37" t="e">
        <f>#REF!-O1142</f>
        <v>#REF!</v>
      </c>
      <c r="S1142" s="17" t="str">
        <f>CONCATENATE(F1142,G1142)</f>
        <v>03 1 02 R0840000</v>
      </c>
    </row>
    <row r="1143" spans="1:19" s="17" customFormat="1" ht="31.5">
      <c r="A1143" s="14"/>
      <c r="B1143" s="132" t="s">
        <v>493</v>
      </c>
      <c r="C1143" s="109" t="s">
        <v>595</v>
      </c>
      <c r="D1143" s="108" t="s">
        <v>317</v>
      </c>
      <c r="E1143" s="108" t="s">
        <v>73</v>
      </c>
      <c r="F1143" s="108" t="s">
        <v>680</v>
      </c>
      <c r="G1143" s="108" t="s">
        <v>494</v>
      </c>
      <c r="H1143" s="126">
        <f>H1144</f>
        <v>0</v>
      </c>
      <c r="I1143" s="108" t="s">
        <v>1228</v>
      </c>
      <c r="J1143" s="108" t="str">
        <f t="shared" si="185"/>
        <v>03102R0840</v>
      </c>
      <c r="K1143" s="132"/>
      <c r="M1143" s="37">
        <v>137735.54999999999</v>
      </c>
      <c r="N1143" s="37">
        <v>137735.54999999999</v>
      </c>
      <c r="O1143" s="37">
        <v>137735.54999999999</v>
      </c>
      <c r="P1143" s="37">
        <f>H1143-M1143</f>
        <v>-137735.54999999999</v>
      </c>
      <c r="Q1143" s="37" t="e">
        <f>#REF!-N1143</f>
        <v>#REF!</v>
      </c>
      <c r="R1143" s="37" t="e">
        <f>#REF!-O1143</f>
        <v>#REF!</v>
      </c>
      <c r="S1143" s="17" t="str">
        <f>CONCATENATE(F1143,G1143)</f>
        <v>03 1 02 R0840310</v>
      </c>
    </row>
    <row r="1144" spans="1:19" s="17" customFormat="1" ht="31.5">
      <c r="A1144" s="14"/>
      <c r="B1144" s="127" t="s">
        <v>495</v>
      </c>
      <c r="C1144" s="109" t="s">
        <v>595</v>
      </c>
      <c r="D1144" s="108" t="s">
        <v>317</v>
      </c>
      <c r="E1144" s="108" t="s">
        <v>73</v>
      </c>
      <c r="F1144" s="108" t="s">
        <v>680</v>
      </c>
      <c r="G1144" s="108" t="s">
        <v>496</v>
      </c>
      <c r="H1144" s="126"/>
      <c r="I1144" s="108" t="s">
        <v>1228</v>
      </c>
      <c r="J1144" s="108" t="str">
        <f t="shared" si="185"/>
        <v>03102R0840</v>
      </c>
      <c r="K1144" s="304" t="str">
        <f>C1144&amp;D1144&amp;E1144&amp;J1144&amp;G1144</f>
        <v>609100403102R0840313</v>
      </c>
      <c r="M1144" s="37"/>
      <c r="N1144" s="37"/>
      <c r="O1144" s="37"/>
      <c r="P1144" s="37"/>
      <c r="Q1144" s="37"/>
      <c r="R1144" s="37"/>
    </row>
    <row r="1145" spans="1:19" s="45" customFormat="1" ht="15.75">
      <c r="A1145" s="44"/>
      <c r="B1145" s="121" t="s">
        <v>681</v>
      </c>
      <c r="C1145" s="122" t="s">
        <v>595</v>
      </c>
      <c r="D1145" s="123" t="s">
        <v>317</v>
      </c>
      <c r="E1145" s="123" t="s">
        <v>334</v>
      </c>
      <c r="F1145" s="123" t="s">
        <v>8</v>
      </c>
      <c r="G1145" s="123" t="s">
        <v>9</v>
      </c>
      <c r="H1145" s="124">
        <f>H1146+H1169</f>
        <v>0</v>
      </c>
      <c r="I1145" s="123">
        <v>0</v>
      </c>
      <c r="J1145" s="123" t="str">
        <f t="shared" si="185"/>
        <v>0000000000</v>
      </c>
      <c r="K1145" s="132"/>
      <c r="L1145" s="17"/>
      <c r="M1145" s="19">
        <v>68005.930000000008</v>
      </c>
      <c r="N1145" s="19">
        <v>67997.600000000006</v>
      </c>
      <c r="O1145" s="19">
        <v>68035.66</v>
      </c>
      <c r="P1145" s="19">
        <f t="shared" ref="P1145:P1150" si="189">H1145-M1145</f>
        <v>-68005.930000000008</v>
      </c>
      <c r="Q1145" s="19" t="e">
        <f>#REF!-N1145</f>
        <v>#REF!</v>
      </c>
      <c r="R1145" s="19" t="e">
        <f>#REF!-O1145</f>
        <v>#REF!</v>
      </c>
      <c r="S1145" s="17" t="str">
        <f t="shared" si="183"/>
        <v>00 0 00 00000000</v>
      </c>
    </row>
    <row r="1146" spans="1:19" s="17" customFormat="1" ht="31.5">
      <c r="A1146" s="14"/>
      <c r="B1146" s="135" t="s">
        <v>385</v>
      </c>
      <c r="C1146" s="109" t="s">
        <v>595</v>
      </c>
      <c r="D1146" s="108" t="s">
        <v>317</v>
      </c>
      <c r="E1146" s="108" t="s">
        <v>334</v>
      </c>
      <c r="F1146" s="108" t="s">
        <v>386</v>
      </c>
      <c r="G1146" s="108" t="s">
        <v>9</v>
      </c>
      <c r="H1146" s="152">
        <f>H1153+H1158+H1147</f>
        <v>0</v>
      </c>
      <c r="I1146" s="108">
        <v>300000000</v>
      </c>
      <c r="J1146" s="108" t="str">
        <f t="shared" si="185"/>
        <v>0300000000</v>
      </c>
      <c r="K1146" s="132"/>
      <c r="M1146" s="37">
        <v>5561.92</v>
      </c>
      <c r="N1146" s="37">
        <v>5561.92</v>
      </c>
      <c r="O1146" s="37">
        <v>5561.92</v>
      </c>
      <c r="P1146" s="37">
        <f t="shared" si="189"/>
        <v>-5561.92</v>
      </c>
      <c r="Q1146" s="37" t="e">
        <f>#REF!-N1146</f>
        <v>#REF!</v>
      </c>
      <c r="R1146" s="37" t="e">
        <f>#REF!-O1146</f>
        <v>#REF!</v>
      </c>
      <c r="S1146" s="17" t="str">
        <f t="shared" si="183"/>
        <v>03 0 00 00000000</v>
      </c>
    </row>
    <row r="1147" spans="1:19" s="4" customFormat="1" ht="47.25">
      <c r="A1147" s="1" t="s">
        <v>682</v>
      </c>
      <c r="B1147" s="147" t="s">
        <v>596</v>
      </c>
      <c r="C1147" s="109" t="s">
        <v>595</v>
      </c>
      <c r="D1147" s="108" t="s">
        <v>317</v>
      </c>
      <c r="E1147" s="108" t="s">
        <v>334</v>
      </c>
      <c r="F1147" s="108" t="s">
        <v>597</v>
      </c>
      <c r="G1147" s="108" t="s">
        <v>9</v>
      </c>
      <c r="H1147" s="152">
        <f>H1148</f>
        <v>0</v>
      </c>
      <c r="I1147" s="108">
        <v>310000000</v>
      </c>
      <c r="J1147" s="108" t="str">
        <f t="shared" si="185"/>
        <v>0310000000</v>
      </c>
      <c r="K1147" s="132"/>
      <c r="L1147" s="17"/>
      <c r="M1147" s="37">
        <v>2546</v>
      </c>
      <c r="N1147" s="37">
        <v>2546</v>
      </c>
      <c r="O1147" s="37">
        <v>2546</v>
      </c>
      <c r="P1147" s="37">
        <f t="shared" si="189"/>
        <v>-2546</v>
      </c>
      <c r="Q1147" s="37" t="e">
        <f>#REF!-N1147</f>
        <v>#REF!</v>
      </c>
      <c r="R1147" s="37" t="e">
        <f>#REF!-O1147</f>
        <v>#REF!</v>
      </c>
      <c r="S1147" s="17" t="str">
        <f>CONCATENATE(F1147,G1147)</f>
        <v>03 1 00 00000 000</v>
      </c>
    </row>
    <row r="1148" spans="1:19" s="4" customFormat="1" ht="47.25">
      <c r="A1148" s="1"/>
      <c r="B1148" s="148" t="s">
        <v>599</v>
      </c>
      <c r="C1148" s="109" t="s">
        <v>595</v>
      </c>
      <c r="D1148" s="108" t="s">
        <v>317</v>
      </c>
      <c r="E1148" s="108" t="s">
        <v>334</v>
      </c>
      <c r="F1148" s="108" t="s">
        <v>600</v>
      </c>
      <c r="G1148" s="108" t="s">
        <v>9</v>
      </c>
      <c r="H1148" s="152">
        <f>H1149</f>
        <v>0</v>
      </c>
      <c r="I1148" s="108">
        <v>310100000</v>
      </c>
      <c r="J1148" s="108" t="str">
        <f t="shared" si="185"/>
        <v>0310100000</v>
      </c>
      <c r="K1148" s="132"/>
      <c r="L1148" s="17"/>
      <c r="M1148" s="37">
        <v>2546</v>
      </c>
      <c r="N1148" s="37">
        <v>2546</v>
      </c>
      <c r="O1148" s="37">
        <v>2546</v>
      </c>
      <c r="P1148" s="37">
        <f t="shared" si="189"/>
        <v>-2546</v>
      </c>
      <c r="Q1148" s="37" t="e">
        <f>#REF!-N1148</f>
        <v>#REF!</v>
      </c>
      <c r="R1148" s="37" t="e">
        <f>#REF!-O1148</f>
        <v>#REF!</v>
      </c>
      <c r="S1148" s="17" t="str">
        <f>CONCATENATE(F1148,G1148)</f>
        <v>03 1 01 00000 000</v>
      </c>
    </row>
    <row r="1149" spans="1:19" s="4" customFormat="1" ht="47.25">
      <c r="A1149" s="1"/>
      <c r="B1149" s="135" t="s">
        <v>603</v>
      </c>
      <c r="C1149" s="109" t="s">
        <v>595</v>
      </c>
      <c r="D1149" s="108" t="s">
        <v>317</v>
      </c>
      <c r="E1149" s="108" t="s">
        <v>334</v>
      </c>
      <c r="F1149" s="108" t="s">
        <v>604</v>
      </c>
      <c r="G1149" s="108" t="s">
        <v>9</v>
      </c>
      <c r="H1149" s="152">
        <f>H1150</f>
        <v>0</v>
      </c>
      <c r="I1149" s="108">
        <v>310152500</v>
      </c>
      <c r="J1149" s="108" t="str">
        <f t="shared" si="185"/>
        <v>0310152500</v>
      </c>
      <c r="K1149" s="132"/>
      <c r="L1149" s="17"/>
      <c r="M1149" s="37">
        <v>2546</v>
      </c>
      <c r="N1149" s="37">
        <v>2546</v>
      </c>
      <c r="O1149" s="37">
        <v>2546</v>
      </c>
      <c r="P1149" s="37">
        <f t="shared" si="189"/>
        <v>-2546</v>
      </c>
      <c r="Q1149" s="37" t="e">
        <f>#REF!-N1149</f>
        <v>#REF!</v>
      </c>
      <c r="R1149" s="37" t="e">
        <f>#REF!-O1149</f>
        <v>#REF!</v>
      </c>
      <c r="S1149" s="17" t="str">
        <f>CONCATENATE(F1149,G1149)</f>
        <v>03 1 01 52500000</v>
      </c>
    </row>
    <row r="1150" spans="1:19" s="4" customFormat="1" ht="31.5">
      <c r="A1150" s="1"/>
      <c r="B1150" s="125" t="s">
        <v>20</v>
      </c>
      <c r="C1150" s="109" t="s">
        <v>595</v>
      </c>
      <c r="D1150" s="108" t="s">
        <v>317</v>
      </c>
      <c r="E1150" s="108" t="s">
        <v>334</v>
      </c>
      <c r="F1150" s="108" t="s">
        <v>604</v>
      </c>
      <c r="G1150" s="108" t="s">
        <v>21</v>
      </c>
      <c r="H1150" s="126">
        <f>SUM(H1151:H1152)</f>
        <v>0</v>
      </c>
      <c r="I1150" s="108">
        <v>310152500</v>
      </c>
      <c r="J1150" s="108" t="str">
        <f t="shared" si="185"/>
        <v>0310152500</v>
      </c>
      <c r="K1150" s="132"/>
      <c r="L1150" s="17"/>
      <c r="M1150" s="37">
        <v>2546</v>
      </c>
      <c r="N1150" s="37">
        <v>2546</v>
      </c>
      <c r="O1150" s="37">
        <v>2546</v>
      </c>
      <c r="P1150" s="37">
        <f t="shared" si="189"/>
        <v>-2546</v>
      </c>
      <c r="Q1150" s="37" t="e">
        <f>#REF!-N1150</f>
        <v>#REF!</v>
      </c>
      <c r="R1150" s="37" t="e">
        <f>#REF!-O1150</f>
        <v>#REF!</v>
      </c>
      <c r="S1150" s="17" t="str">
        <f>CONCATENATE(F1150,G1150)</f>
        <v>03 1 01 52500120</v>
      </c>
    </row>
    <row r="1151" spans="1:19" s="41" customFormat="1" ht="31.5">
      <c r="A1151" s="40"/>
      <c r="B1151" s="127" t="s">
        <v>40</v>
      </c>
      <c r="C1151" s="109" t="s">
        <v>595</v>
      </c>
      <c r="D1151" s="108" t="s">
        <v>317</v>
      </c>
      <c r="E1151" s="108" t="s">
        <v>334</v>
      </c>
      <c r="F1151" s="108" t="s">
        <v>604</v>
      </c>
      <c r="G1151" s="108" t="s">
        <v>41</v>
      </c>
      <c r="H1151" s="126"/>
      <c r="I1151" s="108">
        <v>310152500</v>
      </c>
      <c r="J1151" s="108" t="str">
        <f t="shared" si="185"/>
        <v>0310152500</v>
      </c>
      <c r="K1151" s="304" t="str">
        <f t="shared" ref="K1151:K1152" si="190">C1151&amp;D1151&amp;E1151&amp;J1151&amp;G1151</f>
        <v>60910060310152500121</v>
      </c>
      <c r="M1151" s="38"/>
      <c r="N1151" s="38"/>
      <c r="O1151" s="38"/>
      <c r="P1151" s="38"/>
      <c r="Q1151" s="38"/>
      <c r="R1151" s="38"/>
      <c r="S1151" s="24"/>
    </row>
    <row r="1152" spans="1:19" s="41" customFormat="1" ht="63">
      <c r="A1152" s="40"/>
      <c r="B1152" s="127" t="s">
        <v>26</v>
      </c>
      <c r="C1152" s="109" t="s">
        <v>595</v>
      </c>
      <c r="D1152" s="108" t="s">
        <v>317</v>
      </c>
      <c r="E1152" s="108" t="s">
        <v>334</v>
      </c>
      <c r="F1152" s="108" t="s">
        <v>604</v>
      </c>
      <c r="G1152" s="108" t="s">
        <v>27</v>
      </c>
      <c r="H1152" s="126"/>
      <c r="I1152" s="108">
        <v>310152500</v>
      </c>
      <c r="J1152" s="108" t="str">
        <f t="shared" si="185"/>
        <v>0310152500</v>
      </c>
      <c r="K1152" s="304" t="str">
        <f t="shared" si="190"/>
        <v>60910060310152500129</v>
      </c>
      <c r="M1152" s="38"/>
      <c r="N1152" s="38"/>
      <c r="O1152" s="38"/>
      <c r="P1152" s="38"/>
      <c r="Q1152" s="38"/>
      <c r="R1152" s="38"/>
      <c r="S1152" s="24"/>
    </row>
    <row r="1153" spans="1:19" s="4" customFormat="1" ht="63">
      <c r="A1153" s="1"/>
      <c r="B1153" s="135" t="s">
        <v>387</v>
      </c>
      <c r="C1153" s="109" t="s">
        <v>595</v>
      </c>
      <c r="D1153" s="108" t="s">
        <v>317</v>
      </c>
      <c r="E1153" s="108" t="s">
        <v>334</v>
      </c>
      <c r="F1153" s="108" t="s">
        <v>388</v>
      </c>
      <c r="G1153" s="108" t="s">
        <v>9</v>
      </c>
      <c r="H1153" s="151">
        <f t="shared" ref="H1153:H1155" si="191">H1154</f>
        <v>0</v>
      </c>
      <c r="I1153" s="108">
        <v>320000000</v>
      </c>
      <c r="J1153" s="108" t="str">
        <f t="shared" si="185"/>
        <v>0320000000</v>
      </c>
      <c r="K1153" s="132"/>
      <c r="L1153" s="17"/>
      <c r="M1153" s="39">
        <v>1160.51</v>
      </c>
      <c r="N1153" s="39">
        <v>1160.51</v>
      </c>
      <c r="O1153" s="39">
        <v>1160.51</v>
      </c>
      <c r="P1153" s="39">
        <f>H1153-M1153</f>
        <v>-1160.51</v>
      </c>
      <c r="Q1153" s="39" t="e">
        <f>#REF!-N1153</f>
        <v>#REF!</v>
      </c>
      <c r="R1153" s="39" t="e">
        <f>#REF!-O1153</f>
        <v>#REF!</v>
      </c>
      <c r="S1153" s="17" t="str">
        <f t="shared" si="183"/>
        <v>03 2 00 00000000</v>
      </c>
    </row>
    <row r="1154" spans="1:19" s="4" customFormat="1" ht="31.5">
      <c r="A1154" s="1"/>
      <c r="B1154" s="135" t="s">
        <v>683</v>
      </c>
      <c r="C1154" s="109" t="s">
        <v>595</v>
      </c>
      <c r="D1154" s="108" t="s">
        <v>317</v>
      </c>
      <c r="E1154" s="108" t="s">
        <v>334</v>
      </c>
      <c r="F1154" s="108" t="s">
        <v>684</v>
      </c>
      <c r="G1154" s="108" t="s">
        <v>9</v>
      </c>
      <c r="H1154" s="151">
        <f t="shared" si="191"/>
        <v>0</v>
      </c>
      <c r="I1154" s="108">
        <v>320700000</v>
      </c>
      <c r="J1154" s="108" t="str">
        <f t="shared" si="185"/>
        <v>0320700000</v>
      </c>
      <c r="K1154" s="132"/>
      <c r="L1154" s="17"/>
      <c r="M1154" s="39">
        <v>1160.51</v>
      </c>
      <c r="N1154" s="39">
        <v>1160.51</v>
      </c>
      <c r="O1154" s="39">
        <v>1160.51</v>
      </c>
      <c r="P1154" s="39">
        <f>H1154-M1154</f>
        <v>-1160.51</v>
      </c>
      <c r="Q1154" s="39" t="e">
        <f>#REF!-N1154</f>
        <v>#REF!</v>
      </c>
      <c r="R1154" s="39" t="e">
        <f>#REF!-O1154</f>
        <v>#REF!</v>
      </c>
      <c r="S1154" s="17" t="str">
        <f t="shared" si="183"/>
        <v>03 2 07 00000000</v>
      </c>
    </row>
    <row r="1155" spans="1:19" s="4" customFormat="1" ht="31.5">
      <c r="A1155" s="1"/>
      <c r="B1155" s="135" t="s">
        <v>685</v>
      </c>
      <c r="C1155" s="109" t="s">
        <v>595</v>
      </c>
      <c r="D1155" s="108" t="s">
        <v>317</v>
      </c>
      <c r="E1155" s="108" t="s">
        <v>334</v>
      </c>
      <c r="F1155" s="108" t="s">
        <v>686</v>
      </c>
      <c r="G1155" s="108" t="s">
        <v>9</v>
      </c>
      <c r="H1155" s="151">
        <f t="shared" si="191"/>
        <v>0</v>
      </c>
      <c r="I1155" s="108">
        <v>320760040</v>
      </c>
      <c r="J1155" s="108" t="str">
        <f t="shared" si="185"/>
        <v>0320760040</v>
      </c>
      <c r="K1155" s="132"/>
      <c r="L1155" s="17"/>
      <c r="M1155" s="39">
        <v>1160.51</v>
      </c>
      <c r="N1155" s="39">
        <v>1160.51</v>
      </c>
      <c r="O1155" s="39">
        <v>1160.51</v>
      </c>
      <c r="P1155" s="39">
        <f>H1155-M1155</f>
        <v>-1160.51</v>
      </c>
      <c r="Q1155" s="39" t="e">
        <f>#REF!-N1155</f>
        <v>#REF!</v>
      </c>
      <c r="R1155" s="39" t="e">
        <f>#REF!-O1155</f>
        <v>#REF!</v>
      </c>
      <c r="S1155" s="17" t="str">
        <f t="shared" si="183"/>
        <v>03 2 07 60040000</v>
      </c>
    </row>
    <row r="1156" spans="1:19" s="4" customFormat="1" ht="47.25">
      <c r="A1156" s="1"/>
      <c r="B1156" s="135" t="s">
        <v>182</v>
      </c>
      <c r="C1156" s="109" t="s">
        <v>595</v>
      </c>
      <c r="D1156" s="108" t="s">
        <v>317</v>
      </c>
      <c r="E1156" s="108" t="s">
        <v>334</v>
      </c>
      <c r="F1156" s="108" t="s">
        <v>686</v>
      </c>
      <c r="G1156" s="108" t="s">
        <v>183</v>
      </c>
      <c r="H1156" s="126">
        <f>H1157</f>
        <v>0</v>
      </c>
      <c r="I1156" s="108">
        <v>320760040</v>
      </c>
      <c r="J1156" s="108" t="str">
        <f t="shared" si="185"/>
        <v>0320760040</v>
      </c>
      <c r="K1156" s="132"/>
      <c r="L1156" s="17"/>
      <c r="M1156" s="37">
        <v>1160.51</v>
      </c>
      <c r="N1156" s="37">
        <v>1160.51</v>
      </c>
      <c r="O1156" s="37">
        <v>1160.51</v>
      </c>
      <c r="P1156" s="37">
        <f>H1156-M1156</f>
        <v>-1160.51</v>
      </c>
      <c r="Q1156" s="37" t="e">
        <f>#REF!-N1156</f>
        <v>#REF!</v>
      </c>
      <c r="R1156" s="37" t="e">
        <f>#REF!-O1156</f>
        <v>#REF!</v>
      </c>
      <c r="S1156" s="17" t="str">
        <f t="shared" si="183"/>
        <v>03 2 07 60040630</v>
      </c>
    </row>
    <row r="1157" spans="1:19" s="4" customFormat="1" ht="94.5">
      <c r="A1157" s="1"/>
      <c r="B1157" s="127" t="s">
        <v>1038</v>
      </c>
      <c r="C1157" s="109" t="s">
        <v>595</v>
      </c>
      <c r="D1157" s="108" t="s">
        <v>317</v>
      </c>
      <c r="E1157" s="108" t="s">
        <v>334</v>
      </c>
      <c r="F1157" s="108" t="s">
        <v>686</v>
      </c>
      <c r="G1157" s="108" t="s">
        <v>416</v>
      </c>
      <c r="H1157" s="126"/>
      <c r="I1157" s="108">
        <v>320760040</v>
      </c>
      <c r="J1157" s="108" t="str">
        <f t="shared" si="185"/>
        <v>0320760040</v>
      </c>
      <c r="K1157" s="304" t="str">
        <f>C1157&amp;D1157&amp;E1157&amp;J1157&amp;G1157</f>
        <v>60910060320760040632</v>
      </c>
      <c r="M1157" s="37"/>
      <c r="N1157" s="37"/>
      <c r="O1157" s="37"/>
      <c r="P1157" s="37"/>
      <c r="Q1157" s="37"/>
      <c r="R1157" s="37"/>
      <c r="S1157" s="17"/>
    </row>
    <row r="1158" spans="1:19" s="4" customFormat="1" ht="15.75">
      <c r="A1158" s="1"/>
      <c r="B1158" s="135" t="s">
        <v>671</v>
      </c>
      <c r="C1158" s="109" t="s">
        <v>595</v>
      </c>
      <c r="D1158" s="108" t="s">
        <v>317</v>
      </c>
      <c r="E1158" s="108" t="s">
        <v>334</v>
      </c>
      <c r="F1158" s="108" t="s">
        <v>672</v>
      </c>
      <c r="G1158" s="108" t="s">
        <v>9</v>
      </c>
      <c r="H1158" s="152">
        <f>H1159</f>
        <v>0</v>
      </c>
      <c r="I1158" s="108">
        <v>330000000</v>
      </c>
      <c r="J1158" s="108" t="str">
        <f t="shared" si="185"/>
        <v>0330000000</v>
      </c>
      <c r="K1158" s="132"/>
      <c r="L1158" s="17"/>
      <c r="M1158" s="37">
        <v>1855.4099999999999</v>
      </c>
      <c r="N1158" s="37">
        <v>1855.4099999999999</v>
      </c>
      <c r="O1158" s="37">
        <v>1855.4099999999999</v>
      </c>
      <c r="P1158" s="37">
        <f>H1158-M1158</f>
        <v>-1855.4099999999999</v>
      </c>
      <c r="Q1158" s="37" t="e">
        <f>#REF!-N1158</f>
        <v>#REF!</v>
      </c>
      <c r="R1158" s="37" t="e">
        <f>#REF!-O1158</f>
        <v>#REF!</v>
      </c>
      <c r="S1158" s="17" t="str">
        <f t="shared" si="183"/>
        <v>03 3 00 00000000</v>
      </c>
    </row>
    <row r="1159" spans="1:19" s="4" customFormat="1" ht="47.25">
      <c r="A1159" s="1"/>
      <c r="B1159" s="135" t="s">
        <v>673</v>
      </c>
      <c r="C1159" s="109" t="s">
        <v>595</v>
      </c>
      <c r="D1159" s="108" t="s">
        <v>317</v>
      </c>
      <c r="E1159" s="108" t="s">
        <v>334</v>
      </c>
      <c r="F1159" s="108" t="s">
        <v>674</v>
      </c>
      <c r="G1159" s="108" t="s">
        <v>9</v>
      </c>
      <c r="H1159" s="152">
        <f>H1160+H1166</f>
        <v>0</v>
      </c>
      <c r="I1159" s="108">
        <v>330100000</v>
      </c>
      <c r="J1159" s="108" t="str">
        <f t="shared" si="185"/>
        <v>0330100000</v>
      </c>
      <c r="K1159" s="132"/>
      <c r="L1159" s="17"/>
      <c r="M1159" s="37">
        <v>1855.4099999999999</v>
      </c>
      <c r="N1159" s="37">
        <v>1855.4099999999999</v>
      </c>
      <c r="O1159" s="37">
        <v>1855.4099999999999</v>
      </c>
      <c r="P1159" s="37">
        <f>H1159-M1159</f>
        <v>-1855.4099999999999</v>
      </c>
      <c r="Q1159" s="37" t="e">
        <f>#REF!-N1159</f>
        <v>#REF!</v>
      </c>
      <c r="R1159" s="37" t="e">
        <f>#REF!-O1159</f>
        <v>#REF!</v>
      </c>
      <c r="S1159" s="17" t="str">
        <f t="shared" si="183"/>
        <v>03 3 01 00000000</v>
      </c>
    </row>
    <row r="1160" spans="1:19" s="4" customFormat="1" ht="47.25">
      <c r="A1160" s="1"/>
      <c r="B1160" s="135" t="s">
        <v>675</v>
      </c>
      <c r="C1160" s="109" t="s">
        <v>595</v>
      </c>
      <c r="D1160" s="108" t="s">
        <v>317</v>
      </c>
      <c r="E1160" s="108" t="s">
        <v>334</v>
      </c>
      <c r="F1160" s="108" t="s">
        <v>676</v>
      </c>
      <c r="G1160" s="108" t="s">
        <v>9</v>
      </c>
      <c r="H1160" s="152">
        <f>H1161+H1163</f>
        <v>0</v>
      </c>
      <c r="I1160" s="108">
        <v>330120530</v>
      </c>
      <c r="J1160" s="108" t="str">
        <f t="shared" si="185"/>
        <v>0330120530</v>
      </c>
      <c r="K1160" s="132"/>
      <c r="L1160" s="17"/>
      <c r="M1160" s="37">
        <v>103.55</v>
      </c>
      <c r="N1160" s="37">
        <v>103.55</v>
      </c>
      <c r="O1160" s="37">
        <v>103.55</v>
      </c>
      <c r="P1160" s="37">
        <f>H1160-M1160</f>
        <v>-103.55</v>
      </c>
      <c r="Q1160" s="37" t="e">
        <f>#REF!-N1160</f>
        <v>#REF!</v>
      </c>
      <c r="R1160" s="37" t="e">
        <f>#REF!-O1160</f>
        <v>#REF!</v>
      </c>
      <c r="S1160" s="17" t="str">
        <f t="shared" si="183"/>
        <v>03 3 01 20530000</v>
      </c>
    </row>
    <row r="1161" spans="1:19" s="4" customFormat="1" ht="31.5">
      <c r="A1161" s="1"/>
      <c r="B1161" s="125" t="s">
        <v>28</v>
      </c>
      <c r="C1161" s="109" t="s">
        <v>595</v>
      </c>
      <c r="D1161" s="108" t="s">
        <v>317</v>
      </c>
      <c r="E1161" s="108" t="s">
        <v>334</v>
      </c>
      <c r="F1161" s="108" t="s">
        <v>676</v>
      </c>
      <c r="G1161" s="108" t="s">
        <v>29</v>
      </c>
      <c r="H1161" s="126">
        <f>H1162</f>
        <v>0</v>
      </c>
      <c r="I1161" s="108">
        <v>330120530</v>
      </c>
      <c r="J1161" s="108" t="str">
        <f t="shared" si="185"/>
        <v>0330120530</v>
      </c>
      <c r="K1161" s="132"/>
      <c r="L1161" s="17"/>
      <c r="M1161" s="37">
        <v>68.69</v>
      </c>
      <c r="N1161" s="37">
        <v>68.69</v>
      </c>
      <c r="O1161" s="37">
        <v>68.69</v>
      </c>
      <c r="P1161" s="37">
        <f>H1161-M1161</f>
        <v>-68.69</v>
      </c>
      <c r="Q1161" s="37" t="e">
        <f>#REF!-N1161</f>
        <v>#REF!</v>
      </c>
      <c r="R1161" s="37" t="e">
        <f>#REF!-O1161</f>
        <v>#REF!</v>
      </c>
      <c r="S1161" s="17" t="str">
        <f t="shared" si="183"/>
        <v>03 3 01 20530240</v>
      </c>
    </row>
    <row r="1162" spans="1:19" s="4" customFormat="1" ht="15.75">
      <c r="A1162" s="1"/>
      <c r="B1162" s="125" t="s">
        <v>30</v>
      </c>
      <c r="C1162" s="109" t="s">
        <v>595</v>
      </c>
      <c r="D1162" s="108" t="s">
        <v>317</v>
      </c>
      <c r="E1162" s="108" t="s">
        <v>334</v>
      </c>
      <c r="F1162" s="108" t="s">
        <v>676</v>
      </c>
      <c r="G1162" s="108" t="s">
        <v>31</v>
      </c>
      <c r="H1162" s="126"/>
      <c r="I1162" s="108">
        <v>330120530</v>
      </c>
      <c r="J1162" s="108" t="str">
        <f t="shared" si="185"/>
        <v>0330120530</v>
      </c>
      <c r="K1162" s="304" t="str">
        <f>C1162&amp;D1162&amp;E1162&amp;J1162&amp;G1162</f>
        <v>60910060330120530244</v>
      </c>
      <c r="M1162" s="37"/>
      <c r="N1162" s="37"/>
      <c r="O1162" s="37"/>
      <c r="P1162" s="37"/>
      <c r="Q1162" s="37"/>
      <c r="R1162" s="37"/>
      <c r="S1162" s="17"/>
    </row>
    <row r="1163" spans="1:19" s="4" customFormat="1" ht="15.75">
      <c r="A1163" s="1"/>
      <c r="B1163" s="125" t="s">
        <v>32</v>
      </c>
      <c r="C1163" s="109" t="s">
        <v>595</v>
      </c>
      <c r="D1163" s="108" t="s">
        <v>317</v>
      </c>
      <c r="E1163" s="108" t="s">
        <v>334</v>
      </c>
      <c r="F1163" s="108" t="s">
        <v>676</v>
      </c>
      <c r="G1163" s="108" t="s">
        <v>33</v>
      </c>
      <c r="H1163" s="126">
        <f>H1164+H1165</f>
        <v>0</v>
      </c>
      <c r="I1163" s="108">
        <v>330120530</v>
      </c>
      <c r="J1163" s="108" t="str">
        <f t="shared" si="185"/>
        <v>0330120530</v>
      </c>
      <c r="K1163" s="132"/>
      <c r="L1163" s="17"/>
      <c r="M1163" s="37">
        <v>34.86</v>
      </c>
      <c r="N1163" s="37">
        <v>34.86</v>
      </c>
      <c r="O1163" s="37">
        <v>34.86</v>
      </c>
      <c r="P1163" s="37">
        <f>H1163-M1163</f>
        <v>-34.86</v>
      </c>
      <c r="Q1163" s="37" t="e">
        <f>#REF!-N1163</f>
        <v>#REF!</v>
      </c>
      <c r="R1163" s="37" t="e">
        <f>#REF!-O1163</f>
        <v>#REF!</v>
      </c>
      <c r="S1163" s="17" t="str">
        <f t="shared" si="183"/>
        <v>03 3 01 20530850</v>
      </c>
    </row>
    <row r="1164" spans="1:19" s="4" customFormat="1" ht="31.5">
      <c r="A1164" s="1"/>
      <c r="B1164" s="127" t="s">
        <v>34</v>
      </c>
      <c r="C1164" s="109" t="s">
        <v>595</v>
      </c>
      <c r="D1164" s="108" t="s">
        <v>317</v>
      </c>
      <c r="E1164" s="108" t="s">
        <v>334</v>
      </c>
      <c r="F1164" s="108" t="s">
        <v>676</v>
      </c>
      <c r="G1164" s="108" t="s">
        <v>35</v>
      </c>
      <c r="H1164" s="126"/>
      <c r="I1164" s="108">
        <v>330120530</v>
      </c>
      <c r="J1164" s="108" t="str">
        <f t="shared" si="185"/>
        <v>0330120530</v>
      </c>
      <c r="K1164" s="304" t="str">
        <f t="shared" ref="K1164:K1165" si="192">C1164&amp;D1164&amp;E1164&amp;J1164&amp;G1164</f>
        <v>60910060330120530851</v>
      </c>
      <c r="M1164" s="37"/>
      <c r="N1164" s="37"/>
      <c r="O1164" s="37"/>
      <c r="P1164" s="37"/>
      <c r="Q1164" s="37"/>
      <c r="R1164" s="37"/>
      <c r="S1164" s="17"/>
    </row>
    <row r="1165" spans="1:19" s="4" customFormat="1" ht="15.75">
      <c r="A1165" s="1"/>
      <c r="B1165" s="127" t="s">
        <v>36</v>
      </c>
      <c r="C1165" s="109" t="s">
        <v>595</v>
      </c>
      <c r="D1165" s="108" t="s">
        <v>317</v>
      </c>
      <c r="E1165" s="108" t="s">
        <v>334</v>
      </c>
      <c r="F1165" s="108" t="s">
        <v>676</v>
      </c>
      <c r="G1165" s="108" t="s">
        <v>37</v>
      </c>
      <c r="H1165" s="126"/>
      <c r="I1165" s="108">
        <v>330120530</v>
      </c>
      <c r="J1165" s="108" t="str">
        <f t="shared" si="185"/>
        <v>0330120530</v>
      </c>
      <c r="K1165" s="304" t="str">
        <f t="shared" si="192"/>
        <v>60910060330120530852</v>
      </c>
      <c r="M1165" s="37"/>
      <c r="N1165" s="37"/>
      <c r="O1165" s="37"/>
      <c r="P1165" s="37"/>
      <c r="Q1165" s="37"/>
      <c r="R1165" s="37"/>
      <c r="S1165" s="17"/>
    </row>
    <row r="1166" spans="1:19" s="4" customFormat="1" ht="47.25">
      <c r="A1166" s="1"/>
      <c r="B1166" s="135" t="s">
        <v>687</v>
      </c>
      <c r="C1166" s="109" t="s">
        <v>595</v>
      </c>
      <c r="D1166" s="108" t="s">
        <v>317</v>
      </c>
      <c r="E1166" s="108" t="s">
        <v>334</v>
      </c>
      <c r="F1166" s="108" t="s">
        <v>688</v>
      </c>
      <c r="G1166" s="108" t="s">
        <v>9</v>
      </c>
      <c r="H1166" s="152">
        <f>H1167</f>
        <v>0</v>
      </c>
      <c r="I1166" s="108" t="s">
        <v>1229</v>
      </c>
      <c r="J1166" s="108" t="str">
        <f t="shared" si="185"/>
        <v>03301S0270</v>
      </c>
      <c r="K1166" s="132"/>
      <c r="L1166" s="17"/>
      <c r="M1166" s="37">
        <v>1751.86</v>
      </c>
      <c r="N1166" s="37">
        <v>1751.86</v>
      </c>
      <c r="O1166" s="37">
        <v>1751.86</v>
      </c>
      <c r="P1166" s="37">
        <f>H1166-M1166</f>
        <v>-1751.86</v>
      </c>
      <c r="Q1166" s="37" t="e">
        <f>#REF!-N1166</f>
        <v>#REF!</v>
      </c>
      <c r="R1166" s="37" t="e">
        <f>#REF!-O1166</f>
        <v>#REF!</v>
      </c>
      <c r="S1166" s="17" t="str">
        <f t="shared" si="183"/>
        <v>03 3 01 S0270000</v>
      </c>
    </row>
    <row r="1167" spans="1:19" s="4" customFormat="1" ht="31.5">
      <c r="A1167" s="1"/>
      <c r="B1167" s="135" t="s">
        <v>28</v>
      </c>
      <c r="C1167" s="109" t="s">
        <v>595</v>
      </c>
      <c r="D1167" s="108" t="s">
        <v>317</v>
      </c>
      <c r="E1167" s="108" t="s">
        <v>334</v>
      </c>
      <c r="F1167" s="108" t="s">
        <v>688</v>
      </c>
      <c r="G1167" s="108" t="s">
        <v>29</v>
      </c>
      <c r="H1167" s="126">
        <f>H1168</f>
        <v>0</v>
      </c>
      <c r="I1167" s="108" t="s">
        <v>1229</v>
      </c>
      <c r="J1167" s="108" t="str">
        <f t="shared" si="185"/>
        <v>03301S0270</v>
      </c>
      <c r="K1167" s="132"/>
      <c r="L1167" s="17"/>
      <c r="M1167" s="37">
        <v>1751.86</v>
      </c>
      <c r="N1167" s="37">
        <v>1751.86</v>
      </c>
      <c r="O1167" s="37">
        <v>1751.86</v>
      </c>
      <c r="P1167" s="37">
        <f>H1167-M1167</f>
        <v>-1751.86</v>
      </c>
      <c r="Q1167" s="37" t="e">
        <f>#REF!-N1167</f>
        <v>#REF!</v>
      </c>
      <c r="R1167" s="37" t="e">
        <f>#REF!-O1167</f>
        <v>#REF!</v>
      </c>
      <c r="S1167" s="17" t="str">
        <f t="shared" si="183"/>
        <v>03 3 01 S0270240</v>
      </c>
    </row>
    <row r="1168" spans="1:19" s="4" customFormat="1" ht="15.75">
      <c r="A1168" s="1"/>
      <c r="B1168" s="125" t="s">
        <v>30</v>
      </c>
      <c r="C1168" s="109" t="s">
        <v>595</v>
      </c>
      <c r="D1168" s="108" t="s">
        <v>317</v>
      </c>
      <c r="E1168" s="108" t="s">
        <v>334</v>
      </c>
      <c r="F1168" s="108" t="s">
        <v>688</v>
      </c>
      <c r="G1168" s="108" t="s">
        <v>31</v>
      </c>
      <c r="H1168" s="126"/>
      <c r="I1168" s="108" t="s">
        <v>1229</v>
      </c>
      <c r="J1168" s="108" t="str">
        <f t="shared" si="185"/>
        <v>03301S0270</v>
      </c>
      <c r="K1168" s="304" t="str">
        <f>C1168&amp;D1168&amp;E1168&amp;J1168&amp;G1168</f>
        <v>609100603301S0270244</v>
      </c>
      <c r="M1168" s="37"/>
      <c r="N1168" s="37"/>
      <c r="O1168" s="37"/>
      <c r="P1168" s="37"/>
      <c r="Q1168" s="37"/>
      <c r="R1168" s="37"/>
      <c r="S1168" s="17"/>
    </row>
    <row r="1169" spans="1:19" s="4" customFormat="1" ht="47.25">
      <c r="A1169" s="1"/>
      <c r="B1169" s="147" t="s">
        <v>689</v>
      </c>
      <c r="C1169" s="109" t="s">
        <v>595</v>
      </c>
      <c r="D1169" s="108" t="s">
        <v>317</v>
      </c>
      <c r="E1169" s="108" t="s">
        <v>334</v>
      </c>
      <c r="F1169" s="109" t="s">
        <v>690</v>
      </c>
      <c r="G1169" s="108" t="s">
        <v>9</v>
      </c>
      <c r="H1169" s="151">
        <f>H1170</f>
        <v>0</v>
      </c>
      <c r="I1169" s="109">
        <v>7700000000</v>
      </c>
      <c r="J1169" s="109" t="str">
        <f t="shared" si="185"/>
        <v>7700000000</v>
      </c>
      <c r="K1169" s="132"/>
      <c r="L1169" s="17"/>
      <c r="M1169" s="39">
        <v>62444.01</v>
      </c>
      <c r="N1169" s="39">
        <v>62435.68</v>
      </c>
      <c r="O1169" s="39">
        <v>62473.740000000005</v>
      </c>
      <c r="P1169" s="39">
        <f>H1169-M1169</f>
        <v>-62444.01</v>
      </c>
      <c r="Q1169" s="39" t="e">
        <f>#REF!-N1169</f>
        <v>#REF!</v>
      </c>
      <c r="R1169" s="39" t="e">
        <f>#REF!-O1169</f>
        <v>#REF!</v>
      </c>
      <c r="S1169" s="17" t="str">
        <f t="shared" si="183"/>
        <v>77 0 00 00000000</v>
      </c>
    </row>
    <row r="1170" spans="1:19" s="4" customFormat="1" ht="47.25">
      <c r="A1170" s="1"/>
      <c r="B1170" s="147" t="s">
        <v>691</v>
      </c>
      <c r="C1170" s="109" t="s">
        <v>595</v>
      </c>
      <c r="D1170" s="108" t="s">
        <v>317</v>
      </c>
      <c r="E1170" s="108" t="s">
        <v>334</v>
      </c>
      <c r="F1170" s="109" t="s">
        <v>692</v>
      </c>
      <c r="G1170" s="108" t="s">
        <v>9</v>
      </c>
      <c r="H1170" s="151">
        <f>H1171+H1179+H1183+H1190</f>
        <v>0</v>
      </c>
      <c r="I1170" s="109">
        <v>7710000000</v>
      </c>
      <c r="J1170" s="109" t="str">
        <f t="shared" si="185"/>
        <v>7710000000</v>
      </c>
      <c r="K1170" s="132"/>
      <c r="L1170" s="17"/>
      <c r="M1170" s="39">
        <v>62444.01</v>
      </c>
      <c r="N1170" s="39">
        <v>62435.68</v>
      </c>
      <c r="O1170" s="39">
        <v>62473.740000000005</v>
      </c>
      <c r="P1170" s="39">
        <f>H1170-M1170</f>
        <v>-62444.01</v>
      </c>
      <c r="Q1170" s="39" t="e">
        <f>#REF!-N1170</f>
        <v>#REF!</v>
      </c>
      <c r="R1170" s="39" t="e">
        <f>#REF!-O1170</f>
        <v>#REF!</v>
      </c>
      <c r="S1170" s="17" t="str">
        <f t="shared" si="183"/>
        <v>77 1 00 00000000</v>
      </c>
    </row>
    <row r="1171" spans="1:19" s="4" customFormat="1" ht="31.5">
      <c r="A1171" s="1"/>
      <c r="B1171" s="153" t="s">
        <v>18</v>
      </c>
      <c r="C1171" s="109" t="s">
        <v>595</v>
      </c>
      <c r="D1171" s="108" t="s">
        <v>317</v>
      </c>
      <c r="E1171" s="108" t="s">
        <v>334</v>
      </c>
      <c r="F1171" s="154" t="s">
        <v>693</v>
      </c>
      <c r="G1171" s="108" t="s">
        <v>9</v>
      </c>
      <c r="H1171" s="151">
        <f>H1172+H1175+H1177</f>
        <v>0</v>
      </c>
      <c r="I1171" s="154">
        <v>7710010010</v>
      </c>
      <c r="J1171" s="154" t="str">
        <f t="shared" si="185"/>
        <v>7710010010</v>
      </c>
      <c r="K1171" s="132"/>
      <c r="L1171" s="17"/>
      <c r="M1171" s="39">
        <v>1377.6100000000001</v>
      </c>
      <c r="N1171" s="39">
        <v>1138.6100000000001</v>
      </c>
      <c r="O1171" s="39">
        <v>1138.6100000000001</v>
      </c>
      <c r="P1171" s="39">
        <f>H1171-M1171</f>
        <v>-1377.6100000000001</v>
      </c>
      <c r="Q1171" s="39" t="e">
        <f>#REF!-N1171</f>
        <v>#REF!</v>
      </c>
      <c r="R1171" s="39" t="e">
        <f>#REF!-O1171</f>
        <v>#REF!</v>
      </c>
      <c r="S1171" s="17" t="str">
        <f t="shared" si="183"/>
        <v>77 1 00 10010000</v>
      </c>
    </row>
    <row r="1172" spans="1:19" s="4" customFormat="1" ht="31.5">
      <c r="A1172" s="1"/>
      <c r="B1172" s="127" t="s">
        <v>20</v>
      </c>
      <c r="C1172" s="109" t="s">
        <v>595</v>
      </c>
      <c r="D1172" s="108" t="s">
        <v>317</v>
      </c>
      <c r="E1172" s="108" t="s">
        <v>334</v>
      </c>
      <c r="F1172" s="154" t="s">
        <v>693</v>
      </c>
      <c r="G1172" s="108" t="s">
        <v>21</v>
      </c>
      <c r="H1172" s="126">
        <f>SUM(H1173:H1174)</f>
        <v>0</v>
      </c>
      <c r="I1172" s="154">
        <v>7710010010</v>
      </c>
      <c r="J1172" s="154" t="str">
        <f t="shared" si="185"/>
        <v>7710010010</v>
      </c>
      <c r="K1172" s="132"/>
      <c r="L1172" s="17"/>
      <c r="M1172" s="37">
        <v>144.04</v>
      </c>
      <c r="N1172" s="37">
        <v>144.04</v>
      </c>
      <c r="O1172" s="37">
        <v>144.04</v>
      </c>
      <c r="P1172" s="37">
        <f>H1172-M1172</f>
        <v>-144.04</v>
      </c>
      <c r="Q1172" s="37" t="e">
        <f>#REF!-N1172</f>
        <v>#REF!</v>
      </c>
      <c r="R1172" s="37" t="e">
        <f>#REF!-O1172</f>
        <v>#REF!</v>
      </c>
      <c r="S1172" s="17" t="str">
        <f t="shared" si="183"/>
        <v>77 1 00 10010120</v>
      </c>
    </row>
    <row r="1173" spans="1:19" s="41" customFormat="1" ht="47.25">
      <c r="A1173" s="40"/>
      <c r="B1173" s="127" t="s">
        <v>22</v>
      </c>
      <c r="C1173" s="109" t="s">
        <v>595</v>
      </c>
      <c r="D1173" s="108" t="s">
        <v>317</v>
      </c>
      <c r="E1173" s="108" t="s">
        <v>334</v>
      </c>
      <c r="F1173" s="154" t="s">
        <v>693</v>
      </c>
      <c r="G1173" s="108" t="s">
        <v>23</v>
      </c>
      <c r="H1173" s="126"/>
      <c r="I1173" s="154">
        <v>7710010010</v>
      </c>
      <c r="J1173" s="154" t="str">
        <f t="shared" si="185"/>
        <v>7710010010</v>
      </c>
      <c r="K1173" s="304" t="str">
        <f t="shared" ref="K1173:K1174" si="193">C1173&amp;D1173&amp;E1173&amp;J1173&amp;G1173</f>
        <v>60910067710010010122</v>
      </c>
      <c r="M1173" s="38"/>
      <c r="N1173" s="38"/>
      <c r="O1173" s="38"/>
      <c r="P1173" s="38"/>
      <c r="Q1173" s="38"/>
      <c r="R1173" s="38"/>
      <c r="S1173" s="24"/>
    </row>
    <row r="1174" spans="1:19" s="41" customFormat="1" ht="63">
      <c r="A1174" s="40"/>
      <c r="B1174" s="127" t="s">
        <v>26</v>
      </c>
      <c r="C1174" s="109" t="s">
        <v>595</v>
      </c>
      <c r="D1174" s="108" t="s">
        <v>317</v>
      </c>
      <c r="E1174" s="108" t="s">
        <v>334</v>
      </c>
      <c r="F1174" s="154" t="s">
        <v>693</v>
      </c>
      <c r="G1174" s="108" t="s">
        <v>27</v>
      </c>
      <c r="H1174" s="126"/>
      <c r="I1174" s="154">
        <v>7710010010</v>
      </c>
      <c r="J1174" s="154" t="str">
        <f t="shared" si="185"/>
        <v>7710010010</v>
      </c>
      <c r="K1174" s="304" t="str">
        <f t="shared" si="193"/>
        <v>60910067710010010129</v>
      </c>
      <c r="M1174" s="38"/>
      <c r="N1174" s="38"/>
      <c r="O1174" s="38"/>
      <c r="P1174" s="38"/>
      <c r="Q1174" s="38"/>
      <c r="R1174" s="38"/>
      <c r="S1174" s="24"/>
    </row>
    <row r="1175" spans="1:19" s="4" customFormat="1" ht="31.5">
      <c r="A1175" s="1"/>
      <c r="B1175" s="125" t="s">
        <v>28</v>
      </c>
      <c r="C1175" s="109" t="s">
        <v>595</v>
      </c>
      <c r="D1175" s="108" t="s">
        <v>317</v>
      </c>
      <c r="E1175" s="108" t="s">
        <v>334</v>
      </c>
      <c r="F1175" s="154" t="s">
        <v>693</v>
      </c>
      <c r="G1175" s="108" t="s">
        <v>29</v>
      </c>
      <c r="H1175" s="126">
        <f>H1176</f>
        <v>0</v>
      </c>
      <c r="I1175" s="154">
        <v>7710010010</v>
      </c>
      <c r="J1175" s="154" t="str">
        <f t="shared" si="185"/>
        <v>7710010010</v>
      </c>
      <c r="K1175" s="132"/>
      <c r="L1175" s="17"/>
      <c r="M1175" s="37">
        <v>1231.6300000000001</v>
      </c>
      <c r="N1175" s="37">
        <v>992.63</v>
      </c>
      <c r="O1175" s="37">
        <v>992.63</v>
      </c>
      <c r="P1175" s="37">
        <f>H1175-M1175</f>
        <v>-1231.6300000000001</v>
      </c>
      <c r="Q1175" s="37" t="e">
        <f>#REF!-N1175</f>
        <v>#REF!</v>
      </c>
      <c r="R1175" s="37" t="e">
        <f>#REF!-O1175</f>
        <v>#REF!</v>
      </c>
      <c r="S1175" s="17" t="str">
        <f t="shared" si="183"/>
        <v>77 1 00 10010240</v>
      </c>
    </row>
    <row r="1176" spans="1:19" s="4" customFormat="1" ht="15.75">
      <c r="A1176" s="1"/>
      <c r="B1176" s="125" t="s">
        <v>30</v>
      </c>
      <c r="C1176" s="109" t="s">
        <v>595</v>
      </c>
      <c r="D1176" s="108" t="s">
        <v>317</v>
      </c>
      <c r="E1176" s="108" t="s">
        <v>334</v>
      </c>
      <c r="F1176" s="154" t="s">
        <v>693</v>
      </c>
      <c r="G1176" s="108" t="s">
        <v>31</v>
      </c>
      <c r="H1176" s="126"/>
      <c r="I1176" s="154">
        <v>7710010010</v>
      </c>
      <c r="J1176" s="154" t="str">
        <f t="shared" si="185"/>
        <v>7710010010</v>
      </c>
      <c r="K1176" s="304" t="str">
        <f>C1176&amp;D1176&amp;E1176&amp;J1176&amp;G1176</f>
        <v>60910067710010010244</v>
      </c>
      <c r="M1176" s="37"/>
      <c r="N1176" s="37"/>
      <c r="O1176" s="37"/>
      <c r="P1176" s="37"/>
      <c r="Q1176" s="37"/>
      <c r="R1176" s="37"/>
      <c r="S1176" s="17"/>
    </row>
    <row r="1177" spans="1:19" s="4" customFormat="1" ht="15.75">
      <c r="A1177" s="1"/>
      <c r="B1177" s="125" t="s">
        <v>32</v>
      </c>
      <c r="C1177" s="109" t="s">
        <v>595</v>
      </c>
      <c r="D1177" s="108" t="s">
        <v>317</v>
      </c>
      <c r="E1177" s="108" t="s">
        <v>334</v>
      </c>
      <c r="F1177" s="154" t="s">
        <v>693</v>
      </c>
      <c r="G1177" s="108" t="s">
        <v>33</v>
      </c>
      <c r="H1177" s="126">
        <f>H1178</f>
        <v>0</v>
      </c>
      <c r="I1177" s="154">
        <v>7710010010</v>
      </c>
      <c r="J1177" s="154" t="str">
        <f t="shared" si="185"/>
        <v>7710010010</v>
      </c>
      <c r="K1177" s="132"/>
      <c r="L1177" s="17"/>
      <c r="M1177" s="37">
        <v>1.94</v>
      </c>
      <c r="N1177" s="37">
        <v>1.94</v>
      </c>
      <c r="O1177" s="37">
        <v>1.94</v>
      </c>
      <c r="P1177" s="37">
        <f>H1177-M1177</f>
        <v>-1.94</v>
      </c>
      <c r="Q1177" s="37" t="e">
        <f>#REF!-N1177</f>
        <v>#REF!</v>
      </c>
      <c r="R1177" s="37" t="e">
        <f>#REF!-O1177</f>
        <v>#REF!</v>
      </c>
      <c r="S1177" s="17" t="str">
        <f t="shared" si="183"/>
        <v>77 1 00 10010850</v>
      </c>
    </row>
    <row r="1178" spans="1:19" s="41" customFormat="1" ht="15.75">
      <c r="A1178" s="40"/>
      <c r="B1178" s="127" t="s">
        <v>36</v>
      </c>
      <c r="C1178" s="109" t="s">
        <v>595</v>
      </c>
      <c r="D1178" s="108" t="s">
        <v>317</v>
      </c>
      <c r="E1178" s="108" t="s">
        <v>334</v>
      </c>
      <c r="F1178" s="154" t="s">
        <v>693</v>
      </c>
      <c r="G1178" s="108" t="s">
        <v>37</v>
      </c>
      <c r="H1178" s="126"/>
      <c r="I1178" s="154">
        <v>7710010010</v>
      </c>
      <c r="J1178" s="154" t="str">
        <f t="shared" si="185"/>
        <v>7710010010</v>
      </c>
      <c r="K1178" s="304" t="str">
        <f>C1178&amp;D1178&amp;E1178&amp;J1178&amp;G1178</f>
        <v>60910067710010010852</v>
      </c>
      <c r="M1178" s="38"/>
      <c r="N1178" s="38"/>
      <c r="O1178" s="38"/>
      <c r="P1178" s="38"/>
      <c r="Q1178" s="38"/>
      <c r="R1178" s="38"/>
      <c r="S1178" s="24"/>
    </row>
    <row r="1179" spans="1:19" s="4" customFormat="1" ht="31.5">
      <c r="A1179" s="1"/>
      <c r="B1179" s="153" t="s">
        <v>38</v>
      </c>
      <c r="C1179" s="109" t="s">
        <v>595</v>
      </c>
      <c r="D1179" s="108" t="s">
        <v>317</v>
      </c>
      <c r="E1179" s="108" t="s">
        <v>334</v>
      </c>
      <c r="F1179" s="154" t="s">
        <v>694</v>
      </c>
      <c r="G1179" s="108" t="s">
        <v>9</v>
      </c>
      <c r="H1179" s="151">
        <f>H1180</f>
        <v>0</v>
      </c>
      <c r="I1179" s="154">
        <v>7710010020</v>
      </c>
      <c r="J1179" s="154" t="str">
        <f t="shared" si="185"/>
        <v>7710010020</v>
      </c>
      <c r="K1179" s="132"/>
      <c r="L1179" s="17"/>
      <c r="M1179" s="39">
        <v>6126.9500000000007</v>
      </c>
      <c r="N1179" s="39">
        <v>6126.9500000000007</v>
      </c>
      <c r="O1179" s="39">
        <v>6126.9500000000007</v>
      </c>
      <c r="P1179" s="39">
        <f>H1179-M1179</f>
        <v>-6126.9500000000007</v>
      </c>
      <c r="Q1179" s="39" t="e">
        <f>#REF!-N1179</f>
        <v>#REF!</v>
      </c>
      <c r="R1179" s="39" t="e">
        <f>#REF!-O1179</f>
        <v>#REF!</v>
      </c>
      <c r="S1179" s="17" t="str">
        <f t="shared" si="183"/>
        <v>77 1 00 10020000</v>
      </c>
    </row>
    <row r="1180" spans="1:19" s="4" customFormat="1" ht="31.5">
      <c r="A1180" s="1"/>
      <c r="B1180" s="127" t="s">
        <v>20</v>
      </c>
      <c r="C1180" s="109" t="s">
        <v>595</v>
      </c>
      <c r="D1180" s="108" t="s">
        <v>317</v>
      </c>
      <c r="E1180" s="108" t="s">
        <v>334</v>
      </c>
      <c r="F1180" s="154" t="s">
        <v>694</v>
      </c>
      <c r="G1180" s="108" t="s">
        <v>21</v>
      </c>
      <c r="H1180" s="126">
        <f>SUM(H1181:H1182)</f>
        <v>0</v>
      </c>
      <c r="I1180" s="154">
        <v>7710010020</v>
      </c>
      <c r="J1180" s="154" t="str">
        <f t="shared" si="185"/>
        <v>7710010020</v>
      </c>
      <c r="K1180" s="132"/>
      <c r="L1180" s="17"/>
      <c r="M1180" s="37">
        <v>6126.9500000000007</v>
      </c>
      <c r="N1180" s="37">
        <v>6126.9500000000007</v>
      </c>
      <c r="O1180" s="37">
        <v>6126.9500000000007</v>
      </c>
      <c r="P1180" s="37">
        <f>H1180-M1180</f>
        <v>-6126.9500000000007</v>
      </c>
      <c r="Q1180" s="37" t="e">
        <f>#REF!-N1180</f>
        <v>#REF!</v>
      </c>
      <c r="R1180" s="37" t="e">
        <f>#REF!-O1180</f>
        <v>#REF!</v>
      </c>
      <c r="S1180" s="17" t="str">
        <f t="shared" si="183"/>
        <v>77 1 00 10020120</v>
      </c>
    </row>
    <row r="1181" spans="1:19" s="41" customFormat="1" ht="31.5">
      <c r="A1181" s="40"/>
      <c r="B1181" s="127" t="s">
        <v>40</v>
      </c>
      <c r="C1181" s="109" t="s">
        <v>595</v>
      </c>
      <c r="D1181" s="108" t="s">
        <v>317</v>
      </c>
      <c r="E1181" s="108" t="s">
        <v>334</v>
      </c>
      <c r="F1181" s="154" t="s">
        <v>694</v>
      </c>
      <c r="G1181" s="108" t="s">
        <v>41</v>
      </c>
      <c r="H1181" s="126"/>
      <c r="I1181" s="154">
        <v>7710010020</v>
      </c>
      <c r="J1181" s="154" t="str">
        <f t="shared" si="185"/>
        <v>7710010020</v>
      </c>
      <c r="K1181" s="304" t="str">
        <f t="shared" ref="K1181:K1182" si="194">C1181&amp;D1181&amp;E1181&amp;J1181&amp;G1181</f>
        <v>60910067710010020121</v>
      </c>
      <c r="M1181" s="38"/>
      <c r="N1181" s="38"/>
      <c r="O1181" s="38"/>
      <c r="P1181" s="38"/>
      <c r="Q1181" s="38"/>
      <c r="R1181" s="38"/>
      <c r="S1181" s="24"/>
    </row>
    <row r="1182" spans="1:19" s="41" customFormat="1" ht="63">
      <c r="A1182" s="40"/>
      <c r="B1182" s="127" t="s">
        <v>26</v>
      </c>
      <c r="C1182" s="109" t="s">
        <v>595</v>
      </c>
      <c r="D1182" s="108" t="s">
        <v>317</v>
      </c>
      <c r="E1182" s="108" t="s">
        <v>334</v>
      </c>
      <c r="F1182" s="154" t="s">
        <v>694</v>
      </c>
      <c r="G1182" s="108" t="s">
        <v>27</v>
      </c>
      <c r="H1182" s="126"/>
      <c r="I1182" s="154">
        <v>7710010020</v>
      </c>
      <c r="J1182" s="154" t="str">
        <f t="shared" si="185"/>
        <v>7710010020</v>
      </c>
      <c r="K1182" s="304" t="str">
        <f t="shared" si="194"/>
        <v>60910067710010020129</v>
      </c>
      <c r="M1182" s="38"/>
      <c r="N1182" s="38"/>
      <c r="O1182" s="38"/>
      <c r="P1182" s="38"/>
      <c r="Q1182" s="38"/>
      <c r="R1182" s="38"/>
      <c r="S1182" s="24"/>
    </row>
    <row r="1183" spans="1:19" s="4" customFormat="1" ht="63">
      <c r="A1183" s="1" t="s">
        <v>80</v>
      </c>
      <c r="B1183" s="153" t="s">
        <v>695</v>
      </c>
      <c r="C1183" s="109" t="s">
        <v>595</v>
      </c>
      <c r="D1183" s="108" t="s">
        <v>317</v>
      </c>
      <c r="E1183" s="108" t="s">
        <v>334</v>
      </c>
      <c r="F1183" s="154" t="s">
        <v>696</v>
      </c>
      <c r="G1183" s="108" t="s">
        <v>9</v>
      </c>
      <c r="H1183" s="151">
        <f t="shared" ref="H1183" si="195">H1184+H1188</f>
        <v>0</v>
      </c>
      <c r="I1183" s="154">
        <v>7710076100</v>
      </c>
      <c r="J1183" s="154" t="str">
        <f t="shared" si="185"/>
        <v>7710076100</v>
      </c>
      <c r="K1183" s="132"/>
      <c r="L1183" s="17"/>
      <c r="M1183" s="39">
        <v>1396.91</v>
      </c>
      <c r="N1183" s="39">
        <v>1396.91</v>
      </c>
      <c r="O1183" s="39">
        <v>1396.91</v>
      </c>
      <c r="P1183" s="39">
        <f>H1183-M1183</f>
        <v>-1396.91</v>
      </c>
      <c r="Q1183" s="39" t="e">
        <f>#REF!-N1183</f>
        <v>#REF!</v>
      </c>
      <c r="R1183" s="39" t="e">
        <f>#REF!-O1183</f>
        <v>#REF!</v>
      </c>
      <c r="S1183" s="17" t="str">
        <f t="shared" si="183"/>
        <v>77 1 00 76100000</v>
      </c>
    </row>
    <row r="1184" spans="1:19" s="4" customFormat="1" ht="31.5">
      <c r="A1184" s="1"/>
      <c r="B1184" s="127" t="s">
        <v>20</v>
      </c>
      <c r="C1184" s="109" t="s">
        <v>595</v>
      </c>
      <c r="D1184" s="108" t="s">
        <v>317</v>
      </c>
      <c r="E1184" s="108" t="s">
        <v>334</v>
      </c>
      <c r="F1184" s="154" t="s">
        <v>696</v>
      </c>
      <c r="G1184" s="108" t="s">
        <v>21</v>
      </c>
      <c r="H1184" s="126">
        <f>SUM(H1185:H1187)</f>
        <v>0</v>
      </c>
      <c r="I1184" s="154">
        <v>7710076100</v>
      </c>
      <c r="J1184" s="154" t="str">
        <f t="shared" si="185"/>
        <v>7710076100</v>
      </c>
      <c r="K1184" s="132"/>
      <c r="L1184" s="17"/>
      <c r="M1184" s="37">
        <v>1193.94</v>
      </c>
      <c r="N1184" s="37">
        <v>1193.94</v>
      </c>
      <c r="O1184" s="37">
        <v>1193.94</v>
      </c>
      <c r="P1184" s="37">
        <f>H1184-M1184</f>
        <v>-1193.94</v>
      </c>
      <c r="Q1184" s="37" t="e">
        <f>#REF!-N1184</f>
        <v>#REF!</v>
      </c>
      <c r="R1184" s="37" t="e">
        <f>#REF!-O1184</f>
        <v>#REF!</v>
      </c>
      <c r="S1184" s="17" t="str">
        <f t="shared" si="183"/>
        <v>77 1 00 76100120</v>
      </c>
    </row>
    <row r="1185" spans="1:19" s="41" customFormat="1" ht="31.5">
      <c r="A1185" s="40"/>
      <c r="B1185" s="127" t="s">
        <v>40</v>
      </c>
      <c r="C1185" s="109" t="s">
        <v>595</v>
      </c>
      <c r="D1185" s="108" t="s">
        <v>317</v>
      </c>
      <c r="E1185" s="108" t="s">
        <v>334</v>
      </c>
      <c r="F1185" s="154" t="s">
        <v>696</v>
      </c>
      <c r="G1185" s="108" t="s">
        <v>41</v>
      </c>
      <c r="H1185" s="126"/>
      <c r="I1185" s="154">
        <v>7710076100</v>
      </c>
      <c r="J1185" s="154" t="str">
        <f t="shared" si="185"/>
        <v>7710076100</v>
      </c>
      <c r="K1185" s="304" t="str">
        <f t="shared" ref="K1185:K1187" si="196">C1185&amp;D1185&amp;E1185&amp;J1185&amp;G1185</f>
        <v>60910067710076100121</v>
      </c>
      <c r="M1185" s="38"/>
      <c r="N1185" s="38"/>
      <c r="O1185" s="38"/>
      <c r="P1185" s="38"/>
      <c r="Q1185" s="38"/>
      <c r="R1185" s="38"/>
      <c r="S1185" s="24"/>
    </row>
    <row r="1186" spans="1:19" s="41" customFormat="1" ht="47.25">
      <c r="A1186" s="40"/>
      <c r="B1186" s="127" t="s">
        <v>22</v>
      </c>
      <c r="C1186" s="109" t="s">
        <v>595</v>
      </c>
      <c r="D1186" s="108" t="s">
        <v>317</v>
      </c>
      <c r="E1186" s="108" t="s">
        <v>334</v>
      </c>
      <c r="F1186" s="154" t="s">
        <v>696</v>
      </c>
      <c r="G1186" s="108" t="s">
        <v>23</v>
      </c>
      <c r="H1186" s="126"/>
      <c r="I1186" s="154">
        <v>7710076100</v>
      </c>
      <c r="J1186" s="154" t="str">
        <f t="shared" si="185"/>
        <v>7710076100</v>
      </c>
      <c r="K1186" s="304" t="str">
        <f t="shared" si="196"/>
        <v>60910067710076100122</v>
      </c>
      <c r="M1186" s="38"/>
      <c r="N1186" s="38"/>
      <c r="O1186" s="38"/>
      <c r="P1186" s="38"/>
      <c r="Q1186" s="38"/>
      <c r="R1186" s="38"/>
      <c r="S1186" s="24"/>
    </row>
    <row r="1187" spans="1:19" s="41" customFormat="1" ht="63">
      <c r="A1187" s="40"/>
      <c r="B1187" s="127" t="s">
        <v>26</v>
      </c>
      <c r="C1187" s="109" t="s">
        <v>595</v>
      </c>
      <c r="D1187" s="108" t="s">
        <v>317</v>
      </c>
      <c r="E1187" s="108" t="s">
        <v>334</v>
      </c>
      <c r="F1187" s="154" t="s">
        <v>696</v>
      </c>
      <c r="G1187" s="108" t="s">
        <v>27</v>
      </c>
      <c r="H1187" s="126"/>
      <c r="I1187" s="154">
        <v>7710076100</v>
      </c>
      <c r="J1187" s="154" t="str">
        <f t="shared" si="185"/>
        <v>7710076100</v>
      </c>
      <c r="K1187" s="304" t="str">
        <f t="shared" si="196"/>
        <v>60910067710076100129</v>
      </c>
      <c r="M1187" s="38"/>
      <c r="N1187" s="38"/>
      <c r="O1187" s="38"/>
      <c r="P1187" s="38"/>
      <c r="Q1187" s="38"/>
      <c r="R1187" s="38"/>
      <c r="S1187" s="24"/>
    </row>
    <row r="1188" spans="1:19" s="4" customFormat="1" ht="31.5">
      <c r="A1188" s="1"/>
      <c r="B1188" s="125" t="s">
        <v>28</v>
      </c>
      <c r="C1188" s="109" t="s">
        <v>595</v>
      </c>
      <c r="D1188" s="108" t="s">
        <v>317</v>
      </c>
      <c r="E1188" s="108" t="s">
        <v>334</v>
      </c>
      <c r="F1188" s="154" t="s">
        <v>696</v>
      </c>
      <c r="G1188" s="108" t="s">
        <v>29</v>
      </c>
      <c r="H1188" s="126">
        <f>H1189</f>
        <v>0</v>
      </c>
      <c r="I1188" s="154">
        <v>7710076100</v>
      </c>
      <c r="J1188" s="154" t="str">
        <f t="shared" si="185"/>
        <v>7710076100</v>
      </c>
      <c r="K1188" s="132"/>
      <c r="L1188" s="17"/>
      <c r="M1188" s="37">
        <v>202.97</v>
      </c>
      <c r="N1188" s="37">
        <v>202.97</v>
      </c>
      <c r="O1188" s="37">
        <v>202.97</v>
      </c>
      <c r="P1188" s="37">
        <f>H1188-M1188</f>
        <v>-202.97</v>
      </c>
      <c r="Q1188" s="37" t="e">
        <f>#REF!-N1188</f>
        <v>#REF!</v>
      </c>
      <c r="R1188" s="37" t="e">
        <f>#REF!-O1188</f>
        <v>#REF!</v>
      </c>
      <c r="S1188" s="17" t="str">
        <f t="shared" si="183"/>
        <v>77 1 00 76100240</v>
      </c>
    </row>
    <row r="1189" spans="1:19" s="4" customFormat="1" ht="15.75">
      <c r="A1189" s="1"/>
      <c r="B1189" s="125" t="s">
        <v>30</v>
      </c>
      <c r="C1189" s="109" t="s">
        <v>595</v>
      </c>
      <c r="D1189" s="108" t="s">
        <v>317</v>
      </c>
      <c r="E1189" s="108" t="s">
        <v>334</v>
      </c>
      <c r="F1189" s="154" t="s">
        <v>696</v>
      </c>
      <c r="G1189" s="108" t="s">
        <v>31</v>
      </c>
      <c r="H1189" s="126"/>
      <c r="I1189" s="154">
        <v>7710076100</v>
      </c>
      <c r="J1189" s="154" t="str">
        <f t="shared" si="185"/>
        <v>7710076100</v>
      </c>
      <c r="K1189" s="304" t="str">
        <f>C1189&amp;D1189&amp;E1189&amp;J1189&amp;G1189</f>
        <v>60910067710076100244</v>
      </c>
      <c r="M1189" s="37"/>
      <c r="N1189" s="37"/>
      <c r="O1189" s="37"/>
      <c r="P1189" s="37"/>
      <c r="Q1189" s="37"/>
      <c r="R1189" s="37"/>
      <c r="S1189" s="17"/>
    </row>
    <row r="1190" spans="1:19" s="4" customFormat="1" ht="63">
      <c r="A1190" s="1" t="s">
        <v>80</v>
      </c>
      <c r="B1190" s="153" t="s">
        <v>697</v>
      </c>
      <c r="C1190" s="109" t="s">
        <v>595</v>
      </c>
      <c r="D1190" s="108" t="s">
        <v>317</v>
      </c>
      <c r="E1190" s="108" t="s">
        <v>334</v>
      </c>
      <c r="F1190" s="154" t="s">
        <v>698</v>
      </c>
      <c r="G1190" s="108" t="s">
        <v>9</v>
      </c>
      <c r="H1190" s="151">
        <f>H1191+H1195+H1197</f>
        <v>0</v>
      </c>
      <c r="I1190" s="154">
        <v>7710076210</v>
      </c>
      <c r="J1190" s="154" t="str">
        <f t="shared" si="185"/>
        <v>7710076210</v>
      </c>
      <c r="K1190" s="132"/>
      <c r="L1190" s="17"/>
      <c r="M1190" s="39">
        <v>53542.54</v>
      </c>
      <c r="N1190" s="39">
        <v>53773.21</v>
      </c>
      <c r="O1190" s="39">
        <v>53811.270000000004</v>
      </c>
      <c r="P1190" s="39">
        <f>H1190-M1190</f>
        <v>-53542.54</v>
      </c>
      <c r="Q1190" s="39" t="e">
        <f>#REF!-N1190</f>
        <v>#REF!</v>
      </c>
      <c r="R1190" s="39" t="e">
        <f>#REF!-O1190</f>
        <v>#REF!</v>
      </c>
      <c r="S1190" s="17" t="str">
        <f t="shared" si="183"/>
        <v>77 1 00 76210000</v>
      </c>
    </row>
    <row r="1191" spans="1:19" s="4" customFormat="1" ht="31.5">
      <c r="A1191" s="1"/>
      <c r="B1191" s="127" t="s">
        <v>20</v>
      </c>
      <c r="C1191" s="109" t="s">
        <v>595</v>
      </c>
      <c r="D1191" s="108" t="s">
        <v>317</v>
      </c>
      <c r="E1191" s="108" t="s">
        <v>334</v>
      </c>
      <c r="F1191" s="154" t="s">
        <v>698</v>
      </c>
      <c r="G1191" s="108" t="s">
        <v>21</v>
      </c>
      <c r="H1191" s="126">
        <f>SUM(H1192:H1194)</f>
        <v>0</v>
      </c>
      <c r="I1191" s="154">
        <v>7710076210</v>
      </c>
      <c r="J1191" s="154" t="str">
        <f t="shared" si="185"/>
        <v>7710076210</v>
      </c>
      <c r="K1191" s="132"/>
      <c r="L1191" s="17"/>
      <c r="M1191" s="37">
        <v>52040.04</v>
      </c>
      <c r="N1191" s="37">
        <v>52140.04</v>
      </c>
      <c r="O1191" s="37">
        <v>52140.04</v>
      </c>
      <c r="P1191" s="37">
        <f>H1191-M1191</f>
        <v>-52040.04</v>
      </c>
      <c r="Q1191" s="37" t="e">
        <f>#REF!-N1191</f>
        <v>#REF!</v>
      </c>
      <c r="R1191" s="37" t="e">
        <f>#REF!-O1191</f>
        <v>#REF!</v>
      </c>
      <c r="S1191" s="17" t="str">
        <f t="shared" si="183"/>
        <v>77 1 00 76210120</v>
      </c>
    </row>
    <row r="1192" spans="1:19" s="41" customFormat="1" ht="31.5">
      <c r="A1192" s="40"/>
      <c r="B1192" s="127" t="s">
        <v>40</v>
      </c>
      <c r="C1192" s="109" t="s">
        <v>595</v>
      </c>
      <c r="D1192" s="108" t="s">
        <v>317</v>
      </c>
      <c r="E1192" s="108" t="s">
        <v>334</v>
      </c>
      <c r="F1192" s="154" t="s">
        <v>698</v>
      </c>
      <c r="G1192" s="108" t="s">
        <v>41</v>
      </c>
      <c r="H1192" s="126"/>
      <c r="I1192" s="154">
        <v>7710076210</v>
      </c>
      <c r="J1192" s="154" t="str">
        <f t="shared" ref="J1192:J1255" si="197">TEXT(I1192,"0000000000")</f>
        <v>7710076210</v>
      </c>
      <c r="K1192" s="304" t="str">
        <f t="shared" ref="K1192:K1194" si="198">C1192&amp;D1192&amp;E1192&amp;J1192&amp;G1192</f>
        <v>60910067710076210121</v>
      </c>
      <c r="M1192" s="38"/>
      <c r="N1192" s="38"/>
      <c r="O1192" s="38"/>
      <c r="P1192" s="38"/>
      <c r="Q1192" s="38"/>
      <c r="R1192" s="38"/>
      <c r="S1192" s="24"/>
    </row>
    <row r="1193" spans="1:19" s="41" customFormat="1" ht="47.25">
      <c r="A1193" s="40"/>
      <c r="B1193" s="127" t="s">
        <v>22</v>
      </c>
      <c r="C1193" s="109" t="s">
        <v>595</v>
      </c>
      <c r="D1193" s="108" t="s">
        <v>317</v>
      </c>
      <c r="E1193" s="108" t="s">
        <v>334</v>
      </c>
      <c r="F1193" s="154" t="s">
        <v>698</v>
      </c>
      <c r="G1193" s="108" t="s">
        <v>23</v>
      </c>
      <c r="H1193" s="126"/>
      <c r="I1193" s="154">
        <v>7710076210</v>
      </c>
      <c r="J1193" s="154" t="str">
        <f t="shared" si="197"/>
        <v>7710076210</v>
      </c>
      <c r="K1193" s="304" t="str">
        <f t="shared" si="198"/>
        <v>60910067710076210122</v>
      </c>
      <c r="M1193" s="38"/>
      <c r="N1193" s="38"/>
      <c r="O1193" s="38"/>
      <c r="P1193" s="38"/>
      <c r="Q1193" s="38"/>
      <c r="R1193" s="38"/>
      <c r="S1193" s="24"/>
    </row>
    <row r="1194" spans="1:19" s="41" customFormat="1" ht="63">
      <c r="A1194" s="40"/>
      <c r="B1194" s="127" t="s">
        <v>26</v>
      </c>
      <c r="C1194" s="109" t="s">
        <v>595</v>
      </c>
      <c r="D1194" s="108" t="s">
        <v>317</v>
      </c>
      <c r="E1194" s="108" t="s">
        <v>334</v>
      </c>
      <c r="F1194" s="154" t="s">
        <v>698</v>
      </c>
      <c r="G1194" s="108" t="s">
        <v>27</v>
      </c>
      <c r="H1194" s="126"/>
      <c r="I1194" s="154">
        <v>7710076210</v>
      </c>
      <c r="J1194" s="154" t="str">
        <f t="shared" si="197"/>
        <v>7710076210</v>
      </c>
      <c r="K1194" s="304" t="str">
        <f t="shared" si="198"/>
        <v>60910067710076210129</v>
      </c>
      <c r="M1194" s="38"/>
      <c r="N1194" s="38"/>
      <c r="O1194" s="38"/>
      <c r="P1194" s="38"/>
      <c r="Q1194" s="38"/>
      <c r="R1194" s="38"/>
      <c r="S1194" s="24"/>
    </row>
    <row r="1195" spans="1:19" s="4" customFormat="1" ht="31.5">
      <c r="A1195" s="1"/>
      <c r="B1195" s="125" t="s">
        <v>28</v>
      </c>
      <c r="C1195" s="109" t="s">
        <v>595</v>
      </c>
      <c r="D1195" s="108" t="s">
        <v>317</v>
      </c>
      <c r="E1195" s="108" t="s">
        <v>334</v>
      </c>
      <c r="F1195" s="154" t="s">
        <v>698</v>
      </c>
      <c r="G1195" s="108" t="s">
        <v>29</v>
      </c>
      <c r="H1195" s="126">
        <f>H1196</f>
        <v>0</v>
      </c>
      <c r="I1195" s="154">
        <v>7710076210</v>
      </c>
      <c r="J1195" s="154" t="str">
        <f t="shared" si="197"/>
        <v>7710076210</v>
      </c>
      <c r="K1195" s="132"/>
      <c r="L1195" s="17"/>
      <c r="M1195" s="37">
        <v>1400</v>
      </c>
      <c r="N1195" s="37">
        <v>1530.67</v>
      </c>
      <c r="O1195" s="37">
        <v>1568.73</v>
      </c>
      <c r="P1195" s="37">
        <f>H1195-M1195</f>
        <v>-1400</v>
      </c>
      <c r="Q1195" s="37" t="e">
        <f>#REF!-N1195</f>
        <v>#REF!</v>
      </c>
      <c r="R1195" s="37" t="e">
        <f>#REF!-O1195</f>
        <v>#REF!</v>
      </c>
      <c r="S1195" s="17" t="str">
        <f t="shared" ref="S1195:S1269" si="199">CONCATENATE(F1195,G1195)</f>
        <v>77 1 00 76210240</v>
      </c>
    </row>
    <row r="1196" spans="1:19" s="4" customFormat="1" ht="15.75">
      <c r="A1196" s="1"/>
      <c r="B1196" s="125" t="s">
        <v>30</v>
      </c>
      <c r="C1196" s="109" t="s">
        <v>595</v>
      </c>
      <c r="D1196" s="108" t="s">
        <v>317</v>
      </c>
      <c r="E1196" s="108" t="s">
        <v>334</v>
      </c>
      <c r="F1196" s="154" t="s">
        <v>698</v>
      </c>
      <c r="G1196" s="108" t="s">
        <v>31</v>
      </c>
      <c r="H1196" s="126"/>
      <c r="I1196" s="154">
        <v>7710076210</v>
      </c>
      <c r="J1196" s="154" t="str">
        <f t="shared" si="197"/>
        <v>7710076210</v>
      </c>
      <c r="K1196" s="304" t="str">
        <f>C1196&amp;D1196&amp;E1196&amp;J1196&amp;G1196</f>
        <v>60910067710076210244</v>
      </c>
      <c r="M1196" s="37"/>
      <c r="N1196" s="37"/>
      <c r="O1196" s="37"/>
      <c r="P1196" s="37"/>
      <c r="Q1196" s="37"/>
      <c r="R1196" s="37"/>
      <c r="S1196" s="17"/>
    </row>
    <row r="1197" spans="1:19" s="4" customFormat="1" ht="15.75">
      <c r="A1197" s="1"/>
      <c r="B1197" s="125" t="s">
        <v>32</v>
      </c>
      <c r="C1197" s="109" t="s">
        <v>595</v>
      </c>
      <c r="D1197" s="108" t="s">
        <v>317</v>
      </c>
      <c r="E1197" s="108" t="s">
        <v>334</v>
      </c>
      <c r="F1197" s="154" t="s">
        <v>698</v>
      </c>
      <c r="G1197" s="108" t="s">
        <v>33</v>
      </c>
      <c r="H1197" s="126">
        <f>SUM(H1198:H1199)</f>
        <v>0</v>
      </c>
      <c r="I1197" s="154">
        <v>7710076210</v>
      </c>
      <c r="J1197" s="154" t="str">
        <f t="shared" si="197"/>
        <v>7710076210</v>
      </c>
      <c r="K1197" s="132"/>
      <c r="L1197" s="17"/>
      <c r="M1197" s="37">
        <v>102.5</v>
      </c>
      <c r="N1197" s="37">
        <v>102.5</v>
      </c>
      <c r="O1197" s="37">
        <v>102.5</v>
      </c>
      <c r="P1197" s="37">
        <f>H1197-M1197</f>
        <v>-102.5</v>
      </c>
      <c r="Q1197" s="37" t="e">
        <f>#REF!-N1197</f>
        <v>#REF!</v>
      </c>
      <c r="R1197" s="37" t="e">
        <f>#REF!-O1197</f>
        <v>#REF!</v>
      </c>
      <c r="S1197" s="17" t="str">
        <f t="shared" si="199"/>
        <v>77 1 00 76210850</v>
      </c>
    </row>
    <row r="1198" spans="1:19" s="41" customFormat="1" ht="31.5">
      <c r="A1198" s="40"/>
      <c r="B1198" s="127" t="s">
        <v>34</v>
      </c>
      <c r="C1198" s="109" t="s">
        <v>595</v>
      </c>
      <c r="D1198" s="108" t="s">
        <v>317</v>
      </c>
      <c r="E1198" s="108" t="s">
        <v>334</v>
      </c>
      <c r="F1198" s="154" t="s">
        <v>698</v>
      </c>
      <c r="G1198" s="108" t="s">
        <v>35</v>
      </c>
      <c r="H1198" s="126"/>
      <c r="I1198" s="154">
        <v>7710076210</v>
      </c>
      <c r="J1198" s="154" t="str">
        <f t="shared" si="197"/>
        <v>7710076210</v>
      </c>
      <c r="K1198" s="304" t="str">
        <f t="shared" ref="K1198:K1199" si="200">C1198&amp;D1198&amp;E1198&amp;J1198&amp;G1198</f>
        <v>60910067710076210851</v>
      </c>
      <c r="M1198" s="38"/>
      <c r="N1198" s="38"/>
      <c r="O1198" s="38"/>
      <c r="P1198" s="38"/>
      <c r="Q1198" s="38"/>
      <c r="R1198" s="38"/>
      <c r="S1198" s="24"/>
    </row>
    <row r="1199" spans="1:19" s="41" customFormat="1" ht="15.75">
      <c r="A1199" s="40"/>
      <c r="B1199" s="127" t="s">
        <v>36</v>
      </c>
      <c r="C1199" s="109" t="s">
        <v>595</v>
      </c>
      <c r="D1199" s="108" t="s">
        <v>317</v>
      </c>
      <c r="E1199" s="108" t="s">
        <v>334</v>
      </c>
      <c r="F1199" s="154" t="s">
        <v>698</v>
      </c>
      <c r="G1199" s="108" t="s">
        <v>37</v>
      </c>
      <c r="H1199" s="126"/>
      <c r="I1199" s="154">
        <v>7710076210</v>
      </c>
      <c r="J1199" s="154" t="str">
        <f t="shared" si="197"/>
        <v>7710076210</v>
      </c>
      <c r="K1199" s="304" t="str">
        <f t="shared" si="200"/>
        <v>60910067710076210852</v>
      </c>
      <c r="M1199" s="38"/>
      <c r="N1199" s="38"/>
      <c r="O1199" s="38"/>
      <c r="P1199" s="38"/>
      <c r="Q1199" s="38"/>
      <c r="R1199" s="38"/>
      <c r="S1199" s="24"/>
    </row>
    <row r="1200" spans="1:19" s="4" customFormat="1" ht="15.75">
      <c r="A1200" s="1"/>
      <c r="B1200" s="125"/>
      <c r="C1200" s="109"/>
      <c r="D1200" s="108"/>
      <c r="E1200" s="108"/>
      <c r="F1200" s="154"/>
      <c r="G1200" s="108"/>
      <c r="H1200" s="152"/>
      <c r="I1200" s="154"/>
      <c r="J1200" s="154" t="str">
        <f t="shared" si="197"/>
        <v>0000000000</v>
      </c>
      <c r="M1200" s="37"/>
      <c r="N1200" s="37"/>
      <c r="O1200" s="37"/>
      <c r="P1200" s="37">
        <f t="shared" ref="P1200:P1208" si="201">H1200-M1200</f>
        <v>0</v>
      </c>
      <c r="Q1200" s="37" t="e">
        <f>#REF!-N1200</f>
        <v>#REF!</v>
      </c>
      <c r="R1200" s="37" t="e">
        <f>#REF!-O1200</f>
        <v>#REF!</v>
      </c>
      <c r="S1200" s="17" t="str">
        <f t="shared" si="199"/>
        <v/>
      </c>
    </row>
    <row r="1201" spans="1:19" s="16" customFormat="1" ht="31.5">
      <c r="A1201" s="14"/>
      <c r="B1201" s="67" t="s">
        <v>699</v>
      </c>
      <c r="C1201" s="116" t="s">
        <v>406</v>
      </c>
      <c r="D1201" s="69" t="s">
        <v>7</v>
      </c>
      <c r="E1201" s="69" t="s">
        <v>7</v>
      </c>
      <c r="F1201" s="69" t="s">
        <v>8</v>
      </c>
      <c r="G1201" s="69" t="s">
        <v>9</v>
      </c>
      <c r="H1201" s="70">
        <f>H1202+H1216</f>
        <v>0</v>
      </c>
      <c r="I1201" s="69">
        <v>0</v>
      </c>
      <c r="J1201" s="69" t="str">
        <f t="shared" si="197"/>
        <v>0000000000</v>
      </c>
      <c r="K1201" s="132"/>
      <c r="L1201" s="17"/>
      <c r="M1201" s="25">
        <v>189408.93999999997</v>
      </c>
      <c r="N1201" s="25">
        <v>186094.75999999998</v>
      </c>
      <c r="O1201" s="25">
        <v>186094.75999999998</v>
      </c>
      <c r="P1201" s="25">
        <f t="shared" si="201"/>
        <v>-189408.93999999997</v>
      </c>
      <c r="Q1201" s="25" t="e">
        <f>#REF!-N1201</f>
        <v>#REF!</v>
      </c>
      <c r="R1201" s="25" t="e">
        <f>#REF!-O1201</f>
        <v>#REF!</v>
      </c>
      <c r="S1201" s="17" t="str">
        <f t="shared" si="199"/>
        <v>00 0 00 00000000</v>
      </c>
    </row>
    <row r="1202" spans="1:19" s="16" customFormat="1" ht="15.75">
      <c r="A1202" s="14"/>
      <c r="B1202" s="117" t="s">
        <v>228</v>
      </c>
      <c r="C1202" s="118" t="s">
        <v>406</v>
      </c>
      <c r="D1202" s="119" t="s">
        <v>229</v>
      </c>
      <c r="E1202" s="119" t="s">
        <v>7</v>
      </c>
      <c r="F1202" s="119" t="s">
        <v>8</v>
      </c>
      <c r="G1202" s="119" t="s">
        <v>9</v>
      </c>
      <c r="H1202" s="120">
        <f>H1203</f>
        <v>0</v>
      </c>
      <c r="I1202" s="119">
        <v>0</v>
      </c>
      <c r="J1202" s="119" t="str">
        <f t="shared" si="197"/>
        <v>0000000000</v>
      </c>
      <c r="K1202" s="132"/>
      <c r="L1202" s="17"/>
      <c r="M1202" s="18">
        <v>153120.24999999997</v>
      </c>
      <c r="N1202" s="18">
        <v>151306.06999999998</v>
      </c>
      <c r="O1202" s="18">
        <v>151306.06999999998</v>
      </c>
      <c r="P1202" s="18">
        <f t="shared" si="201"/>
        <v>-153120.24999999997</v>
      </c>
      <c r="Q1202" s="18" t="e">
        <f>#REF!-N1202</f>
        <v>#REF!</v>
      </c>
      <c r="R1202" s="18" t="e">
        <f>#REF!-O1202</f>
        <v>#REF!</v>
      </c>
      <c r="S1202" s="17" t="str">
        <f t="shared" si="199"/>
        <v>00 0 00 00000000</v>
      </c>
    </row>
    <row r="1203" spans="1:19" s="16" customFormat="1" ht="15.75">
      <c r="A1203" s="14"/>
      <c r="B1203" s="121" t="s">
        <v>458</v>
      </c>
      <c r="C1203" s="122" t="s">
        <v>406</v>
      </c>
      <c r="D1203" s="123" t="s">
        <v>229</v>
      </c>
      <c r="E1203" s="123" t="s">
        <v>13</v>
      </c>
      <c r="F1203" s="123" t="s">
        <v>8</v>
      </c>
      <c r="G1203" s="123" t="s">
        <v>9</v>
      </c>
      <c r="H1203" s="124">
        <f>H1204+H1210</f>
        <v>0</v>
      </c>
      <c r="I1203" s="123">
        <v>0</v>
      </c>
      <c r="J1203" s="123" t="str">
        <f t="shared" si="197"/>
        <v>0000000000</v>
      </c>
      <c r="K1203" s="132"/>
      <c r="L1203" s="17"/>
      <c r="M1203" s="19">
        <v>153120.24999999997</v>
      </c>
      <c r="N1203" s="19">
        <v>151306.06999999998</v>
      </c>
      <c r="O1203" s="19">
        <v>151306.06999999998</v>
      </c>
      <c r="P1203" s="19">
        <f t="shared" si="201"/>
        <v>-153120.24999999997</v>
      </c>
      <c r="Q1203" s="19" t="e">
        <f>#REF!-N1203</f>
        <v>#REF!</v>
      </c>
      <c r="R1203" s="19" t="e">
        <f>#REF!-O1203</f>
        <v>#REF!</v>
      </c>
      <c r="S1203" s="17" t="str">
        <f t="shared" si="199"/>
        <v>00 0 00 00000000</v>
      </c>
    </row>
    <row r="1204" spans="1:19" s="16" customFormat="1" ht="31.5">
      <c r="A1204" s="14"/>
      <c r="B1204" s="125" t="s">
        <v>700</v>
      </c>
      <c r="C1204" s="109" t="s">
        <v>406</v>
      </c>
      <c r="D1204" s="108" t="s">
        <v>229</v>
      </c>
      <c r="E1204" s="108" t="s">
        <v>13</v>
      </c>
      <c r="F1204" s="108" t="s">
        <v>701</v>
      </c>
      <c r="G1204" s="108" t="s">
        <v>9</v>
      </c>
      <c r="H1204" s="126">
        <f t="shared" ref="H1204:H1207" si="202">H1205</f>
        <v>0</v>
      </c>
      <c r="I1204" s="108">
        <v>800000000</v>
      </c>
      <c r="J1204" s="108" t="str">
        <f t="shared" si="197"/>
        <v>0800000000</v>
      </c>
      <c r="K1204" s="132"/>
      <c r="L1204" s="17"/>
      <c r="M1204" s="20">
        <v>152886.69999999998</v>
      </c>
      <c r="N1204" s="20">
        <v>151072.51999999999</v>
      </c>
      <c r="O1204" s="20">
        <v>151072.51999999999</v>
      </c>
      <c r="P1204" s="20">
        <f t="shared" si="201"/>
        <v>-152886.69999999998</v>
      </c>
      <c r="Q1204" s="20" t="e">
        <f>#REF!-N1204</f>
        <v>#REF!</v>
      </c>
      <c r="R1204" s="20" t="e">
        <f>#REF!-O1204</f>
        <v>#REF!</v>
      </c>
      <c r="S1204" s="17" t="str">
        <f t="shared" si="199"/>
        <v>08 0 00 00000000</v>
      </c>
    </row>
    <row r="1205" spans="1:19" s="16" customFormat="1" ht="47.25">
      <c r="A1205" s="14"/>
      <c r="B1205" s="125" t="s">
        <v>702</v>
      </c>
      <c r="C1205" s="109" t="s">
        <v>406</v>
      </c>
      <c r="D1205" s="108" t="s">
        <v>229</v>
      </c>
      <c r="E1205" s="108" t="s">
        <v>13</v>
      </c>
      <c r="F1205" s="108" t="s">
        <v>703</v>
      </c>
      <c r="G1205" s="108" t="s">
        <v>9</v>
      </c>
      <c r="H1205" s="126">
        <f t="shared" si="202"/>
        <v>0</v>
      </c>
      <c r="I1205" s="108">
        <v>810000000</v>
      </c>
      <c r="J1205" s="108" t="str">
        <f t="shared" si="197"/>
        <v>0810000000</v>
      </c>
      <c r="K1205" s="132"/>
      <c r="L1205" s="17"/>
      <c r="M1205" s="20">
        <v>152886.69999999998</v>
      </c>
      <c r="N1205" s="20">
        <v>151072.51999999999</v>
      </c>
      <c r="O1205" s="20">
        <v>151072.51999999999</v>
      </c>
      <c r="P1205" s="20">
        <f t="shared" si="201"/>
        <v>-152886.69999999998</v>
      </c>
      <c r="Q1205" s="20" t="e">
        <f>#REF!-N1205</f>
        <v>#REF!</v>
      </c>
      <c r="R1205" s="20" t="e">
        <f>#REF!-O1205</f>
        <v>#REF!</v>
      </c>
      <c r="S1205" s="17" t="str">
        <f t="shared" si="199"/>
        <v>08 1 00 00000000</v>
      </c>
    </row>
    <row r="1206" spans="1:19" s="16" customFormat="1" ht="63">
      <c r="A1206" s="14"/>
      <c r="B1206" s="125" t="s">
        <v>704</v>
      </c>
      <c r="C1206" s="109" t="s">
        <v>406</v>
      </c>
      <c r="D1206" s="108" t="s">
        <v>229</v>
      </c>
      <c r="E1206" s="108" t="s">
        <v>13</v>
      </c>
      <c r="F1206" s="108" t="s">
        <v>705</v>
      </c>
      <c r="G1206" s="108" t="s">
        <v>9</v>
      </c>
      <c r="H1206" s="126">
        <f>H1207</f>
        <v>0</v>
      </c>
      <c r="I1206" s="108">
        <v>810100000</v>
      </c>
      <c r="J1206" s="108" t="str">
        <f t="shared" si="197"/>
        <v>0810100000</v>
      </c>
      <c r="K1206" s="132"/>
      <c r="L1206" s="17"/>
      <c r="M1206" s="20">
        <v>152886.69999999998</v>
      </c>
      <c r="N1206" s="20">
        <v>151072.51999999999</v>
      </c>
      <c r="O1206" s="20">
        <v>151072.51999999999</v>
      </c>
      <c r="P1206" s="20">
        <f t="shared" si="201"/>
        <v>-152886.69999999998</v>
      </c>
      <c r="Q1206" s="20" t="e">
        <f>#REF!-N1206</f>
        <v>#REF!</v>
      </c>
      <c r="R1206" s="20" t="e">
        <f>#REF!-O1206</f>
        <v>#REF!</v>
      </c>
      <c r="S1206" s="17" t="str">
        <f t="shared" si="199"/>
        <v>08 1 01 00000000</v>
      </c>
    </row>
    <row r="1207" spans="1:19" s="16" customFormat="1" ht="31.5">
      <c r="A1207" s="14"/>
      <c r="B1207" s="127" t="s">
        <v>136</v>
      </c>
      <c r="C1207" s="109" t="s">
        <v>406</v>
      </c>
      <c r="D1207" s="108" t="s">
        <v>229</v>
      </c>
      <c r="E1207" s="108" t="s">
        <v>13</v>
      </c>
      <c r="F1207" s="108" t="s">
        <v>706</v>
      </c>
      <c r="G1207" s="108" t="s">
        <v>9</v>
      </c>
      <c r="H1207" s="126">
        <f t="shared" si="202"/>
        <v>0</v>
      </c>
      <c r="I1207" s="108">
        <v>810111010</v>
      </c>
      <c r="J1207" s="108" t="str">
        <f t="shared" si="197"/>
        <v>0810111010</v>
      </c>
      <c r="K1207" s="132"/>
      <c r="L1207" s="17"/>
      <c r="M1207" s="20">
        <v>152886.69999999998</v>
      </c>
      <c r="N1207" s="20">
        <v>151072.51999999999</v>
      </c>
      <c r="O1207" s="20">
        <v>151072.51999999999</v>
      </c>
      <c r="P1207" s="20">
        <f t="shared" si="201"/>
        <v>-152886.69999999998</v>
      </c>
      <c r="Q1207" s="20" t="e">
        <f>#REF!-N1207</f>
        <v>#REF!</v>
      </c>
      <c r="R1207" s="20" t="e">
        <f>#REF!-O1207</f>
        <v>#REF!</v>
      </c>
      <c r="S1207" s="17" t="str">
        <f t="shared" si="199"/>
        <v>08 1 01 11010000</v>
      </c>
    </row>
    <row r="1208" spans="1:19" s="16" customFormat="1" ht="15.75">
      <c r="A1208" s="14"/>
      <c r="B1208" s="132" t="s">
        <v>403</v>
      </c>
      <c r="C1208" s="109" t="s">
        <v>406</v>
      </c>
      <c r="D1208" s="108" t="s">
        <v>229</v>
      </c>
      <c r="E1208" s="108" t="s">
        <v>13</v>
      </c>
      <c r="F1208" s="108" t="s">
        <v>706</v>
      </c>
      <c r="G1208" s="108" t="s">
        <v>404</v>
      </c>
      <c r="H1208" s="126">
        <f>H1209</f>
        <v>0</v>
      </c>
      <c r="I1208" s="108">
        <v>810111010</v>
      </c>
      <c r="J1208" s="108" t="str">
        <f t="shared" si="197"/>
        <v>0810111010</v>
      </c>
      <c r="K1208" s="132"/>
      <c r="L1208" s="17"/>
      <c r="M1208" s="20">
        <v>152886.69999999998</v>
      </c>
      <c r="N1208" s="20">
        <v>151072.51999999999</v>
      </c>
      <c r="O1208" s="20">
        <v>151072.51999999999</v>
      </c>
      <c r="P1208" s="20">
        <f t="shared" si="201"/>
        <v>-152886.69999999998</v>
      </c>
      <c r="Q1208" s="20" t="e">
        <f>#REF!-N1208</f>
        <v>#REF!</v>
      </c>
      <c r="R1208" s="20" t="e">
        <f>#REF!-O1208</f>
        <v>#REF!</v>
      </c>
      <c r="S1208" s="17" t="str">
        <f t="shared" si="199"/>
        <v>08 1 01 11010610</v>
      </c>
    </row>
    <row r="1209" spans="1:19" s="23" customFormat="1" ht="63">
      <c r="A1209" s="21"/>
      <c r="B1209" s="127" t="s">
        <v>405</v>
      </c>
      <c r="C1209" s="109" t="s">
        <v>406</v>
      </c>
      <c r="D1209" s="108" t="s">
        <v>229</v>
      </c>
      <c r="E1209" s="108" t="s">
        <v>13</v>
      </c>
      <c r="F1209" s="108" t="s">
        <v>706</v>
      </c>
      <c r="G1209" s="108" t="s">
        <v>406</v>
      </c>
      <c r="H1209" s="126"/>
      <c r="I1209" s="108">
        <v>810111010</v>
      </c>
      <c r="J1209" s="108" t="str">
        <f t="shared" si="197"/>
        <v>0810111010</v>
      </c>
      <c r="K1209" s="304" t="str">
        <f>C1209&amp;D1209&amp;E1209&amp;J1209&amp;G1209</f>
        <v>61107030810111010611</v>
      </c>
      <c r="L1209" s="24"/>
      <c r="M1209" s="22"/>
      <c r="N1209" s="22"/>
      <c r="O1209" s="22"/>
      <c r="P1209" s="22"/>
      <c r="Q1209" s="22"/>
      <c r="R1209" s="22"/>
      <c r="S1209" s="24"/>
    </row>
    <row r="1210" spans="1:19" s="16" customFormat="1" ht="94.5">
      <c r="A1210" s="14"/>
      <c r="B1210" s="125" t="s">
        <v>420</v>
      </c>
      <c r="C1210" s="109" t="s">
        <v>406</v>
      </c>
      <c r="D1210" s="108" t="s">
        <v>229</v>
      </c>
      <c r="E1210" s="108" t="s">
        <v>13</v>
      </c>
      <c r="F1210" s="108" t="s">
        <v>421</v>
      </c>
      <c r="G1210" s="108" t="s">
        <v>9</v>
      </c>
      <c r="H1210" s="126">
        <f t="shared" ref="H1210:H1213" si="203">H1211</f>
        <v>0</v>
      </c>
      <c r="I1210" s="108">
        <v>1600000000</v>
      </c>
      <c r="J1210" s="108" t="str">
        <f t="shared" si="197"/>
        <v>1600000000</v>
      </c>
      <c r="K1210" s="132"/>
      <c r="L1210" s="17"/>
      <c r="M1210" s="20">
        <v>233.55</v>
      </c>
      <c r="N1210" s="20">
        <v>233.55</v>
      </c>
      <c r="O1210" s="20">
        <v>233.55</v>
      </c>
      <c r="P1210" s="20">
        <f>H1210-M1210</f>
        <v>-233.55</v>
      </c>
      <c r="Q1210" s="20" t="e">
        <f>#REF!-N1210</f>
        <v>#REF!</v>
      </c>
      <c r="R1210" s="20" t="e">
        <f>#REF!-O1210</f>
        <v>#REF!</v>
      </c>
      <c r="S1210" s="17" t="str">
        <f t="shared" si="199"/>
        <v>16 0 00 00000000</v>
      </c>
    </row>
    <row r="1211" spans="1:19" s="16" customFormat="1" ht="31.5">
      <c r="A1211" s="14"/>
      <c r="B1211" s="125" t="s">
        <v>422</v>
      </c>
      <c r="C1211" s="109" t="s">
        <v>406</v>
      </c>
      <c r="D1211" s="108" t="s">
        <v>229</v>
      </c>
      <c r="E1211" s="108" t="s">
        <v>13</v>
      </c>
      <c r="F1211" s="108" t="s">
        <v>423</v>
      </c>
      <c r="G1211" s="108" t="s">
        <v>9</v>
      </c>
      <c r="H1211" s="126">
        <f t="shared" si="203"/>
        <v>0</v>
      </c>
      <c r="I1211" s="108">
        <v>1620000000</v>
      </c>
      <c r="J1211" s="108" t="str">
        <f t="shared" si="197"/>
        <v>1620000000</v>
      </c>
      <c r="K1211" s="132"/>
      <c r="L1211" s="17"/>
      <c r="M1211" s="20">
        <v>233.55</v>
      </c>
      <c r="N1211" s="20">
        <v>233.55</v>
      </c>
      <c r="O1211" s="20">
        <v>233.55</v>
      </c>
      <c r="P1211" s="20">
        <f>H1211-M1211</f>
        <v>-233.55</v>
      </c>
      <c r="Q1211" s="20" t="e">
        <f>#REF!-N1211</f>
        <v>#REF!</v>
      </c>
      <c r="R1211" s="20" t="e">
        <f>#REF!-O1211</f>
        <v>#REF!</v>
      </c>
      <c r="S1211" s="17" t="str">
        <f t="shared" si="199"/>
        <v>16 2 00 00000000</v>
      </c>
    </row>
    <row r="1212" spans="1:19" s="16" customFormat="1" ht="47.25">
      <c r="A1212" s="14"/>
      <c r="B1212" s="125" t="s">
        <v>424</v>
      </c>
      <c r="C1212" s="109" t="s">
        <v>406</v>
      </c>
      <c r="D1212" s="108" t="s">
        <v>229</v>
      </c>
      <c r="E1212" s="108" t="s">
        <v>13</v>
      </c>
      <c r="F1212" s="108" t="s">
        <v>425</v>
      </c>
      <c r="G1212" s="108" t="s">
        <v>9</v>
      </c>
      <c r="H1212" s="126">
        <f t="shared" si="203"/>
        <v>0</v>
      </c>
      <c r="I1212" s="108">
        <v>1620200000</v>
      </c>
      <c r="J1212" s="108" t="str">
        <f t="shared" si="197"/>
        <v>1620200000</v>
      </c>
      <c r="K1212" s="132"/>
      <c r="L1212" s="17"/>
      <c r="M1212" s="20">
        <v>233.55</v>
      </c>
      <c r="N1212" s="20">
        <v>233.55</v>
      </c>
      <c r="O1212" s="20">
        <v>233.55</v>
      </c>
      <c r="P1212" s="20">
        <f>H1212-M1212</f>
        <v>-233.55</v>
      </c>
      <c r="Q1212" s="20" t="e">
        <f>#REF!-N1212</f>
        <v>#REF!</v>
      </c>
      <c r="R1212" s="20" t="e">
        <f>#REF!-O1212</f>
        <v>#REF!</v>
      </c>
      <c r="S1212" s="17" t="str">
        <f t="shared" si="199"/>
        <v>16 2 02 00000000</v>
      </c>
    </row>
    <row r="1213" spans="1:19" s="16" customFormat="1" ht="47.25">
      <c r="A1213" s="14"/>
      <c r="B1213" s="125" t="s">
        <v>426</v>
      </c>
      <c r="C1213" s="109" t="s">
        <v>406</v>
      </c>
      <c r="D1213" s="108" t="s">
        <v>229</v>
      </c>
      <c r="E1213" s="108" t="s">
        <v>13</v>
      </c>
      <c r="F1213" s="108" t="s">
        <v>427</v>
      </c>
      <c r="G1213" s="108" t="s">
        <v>9</v>
      </c>
      <c r="H1213" s="126">
        <f t="shared" si="203"/>
        <v>0</v>
      </c>
      <c r="I1213" s="108">
        <v>1620220550</v>
      </c>
      <c r="J1213" s="108" t="str">
        <f t="shared" si="197"/>
        <v>1620220550</v>
      </c>
      <c r="K1213" s="132"/>
      <c r="L1213" s="17"/>
      <c r="M1213" s="20">
        <v>233.55</v>
      </c>
      <c r="N1213" s="20">
        <v>233.55</v>
      </c>
      <c r="O1213" s="20">
        <v>233.55</v>
      </c>
      <c r="P1213" s="20">
        <f>H1213-M1213</f>
        <v>-233.55</v>
      </c>
      <c r="Q1213" s="20" t="e">
        <f>#REF!-N1213</f>
        <v>#REF!</v>
      </c>
      <c r="R1213" s="20" t="e">
        <f>#REF!-O1213</f>
        <v>#REF!</v>
      </c>
      <c r="S1213" s="17" t="str">
        <f t="shared" si="199"/>
        <v>16 2 02 20550000</v>
      </c>
    </row>
    <row r="1214" spans="1:19" s="16" customFormat="1" ht="15.75">
      <c r="A1214" s="14"/>
      <c r="B1214" s="132" t="s">
        <v>403</v>
      </c>
      <c r="C1214" s="109" t="s">
        <v>406</v>
      </c>
      <c r="D1214" s="108" t="s">
        <v>229</v>
      </c>
      <c r="E1214" s="108" t="s">
        <v>13</v>
      </c>
      <c r="F1214" s="108" t="s">
        <v>427</v>
      </c>
      <c r="G1214" s="108" t="s">
        <v>404</v>
      </c>
      <c r="H1214" s="126">
        <f>H1215</f>
        <v>0</v>
      </c>
      <c r="I1214" s="108">
        <v>1620220550</v>
      </c>
      <c r="J1214" s="108" t="str">
        <f t="shared" si="197"/>
        <v>1620220550</v>
      </c>
      <c r="K1214" s="132"/>
      <c r="L1214" s="17"/>
      <c r="M1214" s="20">
        <v>233.55</v>
      </c>
      <c r="N1214" s="20">
        <v>233.55</v>
      </c>
      <c r="O1214" s="20">
        <v>233.55</v>
      </c>
      <c r="P1214" s="20">
        <f>H1214-M1214</f>
        <v>-233.55</v>
      </c>
      <c r="Q1214" s="20" t="e">
        <f>#REF!-N1214</f>
        <v>#REF!</v>
      </c>
      <c r="R1214" s="20" t="e">
        <f>#REF!-O1214</f>
        <v>#REF!</v>
      </c>
      <c r="S1214" s="17" t="str">
        <f t="shared" si="199"/>
        <v>16 2 02 20550610</v>
      </c>
    </row>
    <row r="1215" spans="1:19" s="16" customFormat="1" ht="15.75">
      <c r="A1215" s="14"/>
      <c r="B1215" s="127" t="s">
        <v>407</v>
      </c>
      <c r="C1215" s="109" t="s">
        <v>406</v>
      </c>
      <c r="D1215" s="108" t="s">
        <v>229</v>
      </c>
      <c r="E1215" s="108" t="s">
        <v>13</v>
      </c>
      <c r="F1215" s="108" t="s">
        <v>427</v>
      </c>
      <c r="G1215" s="108" t="s">
        <v>408</v>
      </c>
      <c r="H1215" s="126"/>
      <c r="I1215" s="108">
        <v>1620220550</v>
      </c>
      <c r="J1215" s="108" t="str">
        <f t="shared" si="197"/>
        <v>1620220550</v>
      </c>
      <c r="K1215" s="304" t="str">
        <f>C1215&amp;D1215&amp;E1215&amp;J1215&amp;G1215</f>
        <v>61107031620220550612</v>
      </c>
      <c r="L1215" s="17"/>
      <c r="M1215" s="20"/>
      <c r="N1215" s="20"/>
      <c r="O1215" s="20"/>
      <c r="P1215" s="20"/>
      <c r="Q1215" s="20"/>
      <c r="R1215" s="20"/>
      <c r="S1215" s="17"/>
    </row>
    <row r="1216" spans="1:19" s="16" customFormat="1" ht="15.75">
      <c r="A1216" s="14"/>
      <c r="B1216" s="117" t="s">
        <v>707</v>
      </c>
      <c r="C1216" s="118" t="s">
        <v>406</v>
      </c>
      <c r="D1216" s="119" t="s">
        <v>342</v>
      </c>
      <c r="E1216" s="119" t="s">
        <v>7</v>
      </c>
      <c r="F1216" s="119" t="s">
        <v>8</v>
      </c>
      <c r="G1216" s="119" t="s">
        <v>9</v>
      </c>
      <c r="H1216" s="120">
        <f>H1217+H1224+H1246+H1256</f>
        <v>0</v>
      </c>
      <c r="I1216" s="119">
        <v>0</v>
      </c>
      <c r="J1216" s="119" t="str">
        <f t="shared" si="197"/>
        <v>0000000000</v>
      </c>
      <c r="K1216" s="132"/>
      <c r="L1216" s="17"/>
      <c r="M1216" s="18">
        <v>36288.69</v>
      </c>
      <c r="N1216" s="18">
        <v>34788.69</v>
      </c>
      <c r="O1216" s="18">
        <v>34788.69</v>
      </c>
      <c r="P1216" s="18">
        <f t="shared" ref="P1216:P1222" si="204">H1216-M1216</f>
        <v>-36288.69</v>
      </c>
      <c r="Q1216" s="18" t="e">
        <f>#REF!-N1216</f>
        <v>#REF!</v>
      </c>
      <c r="R1216" s="18" t="e">
        <f>#REF!-O1216</f>
        <v>#REF!</v>
      </c>
      <c r="S1216" s="17" t="str">
        <f t="shared" si="199"/>
        <v>00 0 00 00000000</v>
      </c>
    </row>
    <row r="1217" spans="1:19" s="16" customFormat="1" ht="15.75">
      <c r="A1217" s="14"/>
      <c r="B1217" s="121" t="s">
        <v>708</v>
      </c>
      <c r="C1217" s="122" t="s">
        <v>406</v>
      </c>
      <c r="D1217" s="123" t="s">
        <v>342</v>
      </c>
      <c r="E1217" s="123" t="s">
        <v>11</v>
      </c>
      <c r="F1217" s="123" t="s">
        <v>8</v>
      </c>
      <c r="G1217" s="123" t="s">
        <v>9</v>
      </c>
      <c r="H1217" s="124">
        <f t="shared" ref="H1217:H1221" si="205">H1218</f>
        <v>0</v>
      </c>
      <c r="I1217" s="123">
        <v>0</v>
      </c>
      <c r="J1217" s="123" t="str">
        <f t="shared" si="197"/>
        <v>0000000000</v>
      </c>
      <c r="K1217" s="132"/>
      <c r="L1217" s="17"/>
      <c r="M1217" s="19">
        <v>2903.54</v>
      </c>
      <c r="N1217" s="19">
        <v>2903.54</v>
      </c>
      <c r="O1217" s="19">
        <v>2903.54</v>
      </c>
      <c r="P1217" s="19">
        <f t="shared" si="204"/>
        <v>-2903.54</v>
      </c>
      <c r="Q1217" s="19" t="e">
        <f>#REF!-N1217</f>
        <v>#REF!</v>
      </c>
      <c r="R1217" s="19" t="e">
        <f>#REF!-O1217</f>
        <v>#REF!</v>
      </c>
      <c r="S1217" s="17" t="str">
        <f t="shared" si="199"/>
        <v>00 0 00 00000000</v>
      </c>
    </row>
    <row r="1218" spans="1:19" s="16" customFormat="1" ht="31.5">
      <c r="A1218" s="14"/>
      <c r="B1218" s="125" t="s">
        <v>700</v>
      </c>
      <c r="C1218" s="109" t="s">
        <v>406</v>
      </c>
      <c r="D1218" s="108" t="s">
        <v>342</v>
      </c>
      <c r="E1218" s="108" t="s">
        <v>11</v>
      </c>
      <c r="F1218" s="108" t="s">
        <v>701</v>
      </c>
      <c r="G1218" s="108" t="s">
        <v>9</v>
      </c>
      <c r="H1218" s="126">
        <f t="shared" si="205"/>
        <v>0</v>
      </c>
      <c r="I1218" s="108">
        <v>800000000</v>
      </c>
      <c r="J1218" s="108" t="str">
        <f t="shared" si="197"/>
        <v>0800000000</v>
      </c>
      <c r="K1218" s="132"/>
      <c r="L1218" s="17"/>
      <c r="M1218" s="20">
        <v>2903.54</v>
      </c>
      <c r="N1218" s="20">
        <v>2903.54</v>
      </c>
      <c r="O1218" s="20">
        <v>2903.54</v>
      </c>
      <c r="P1218" s="20">
        <f t="shared" si="204"/>
        <v>-2903.54</v>
      </c>
      <c r="Q1218" s="20" t="e">
        <f>#REF!-N1218</f>
        <v>#REF!</v>
      </c>
      <c r="R1218" s="20" t="e">
        <f>#REF!-O1218</f>
        <v>#REF!</v>
      </c>
      <c r="S1218" s="17" t="str">
        <f t="shared" si="199"/>
        <v>08 0 00 00000000</v>
      </c>
    </row>
    <row r="1219" spans="1:19" s="16" customFormat="1" ht="47.25">
      <c r="A1219" s="14"/>
      <c r="B1219" s="125" t="s">
        <v>702</v>
      </c>
      <c r="C1219" s="109" t="s">
        <v>406</v>
      </c>
      <c r="D1219" s="108" t="s">
        <v>342</v>
      </c>
      <c r="E1219" s="108" t="s">
        <v>11</v>
      </c>
      <c r="F1219" s="108" t="s">
        <v>703</v>
      </c>
      <c r="G1219" s="108" t="s">
        <v>9</v>
      </c>
      <c r="H1219" s="126">
        <f>H1220</f>
        <v>0</v>
      </c>
      <c r="I1219" s="108">
        <v>810000000</v>
      </c>
      <c r="J1219" s="108" t="str">
        <f t="shared" si="197"/>
        <v>0810000000</v>
      </c>
      <c r="K1219" s="132"/>
      <c r="L1219" s="17"/>
      <c r="M1219" s="20">
        <v>2903.54</v>
      </c>
      <c r="N1219" s="20">
        <v>2903.54</v>
      </c>
      <c r="O1219" s="20">
        <v>2903.54</v>
      </c>
      <c r="P1219" s="20">
        <f t="shared" si="204"/>
        <v>-2903.54</v>
      </c>
      <c r="Q1219" s="20" t="e">
        <f>#REF!-N1219</f>
        <v>#REF!</v>
      </c>
      <c r="R1219" s="20" t="e">
        <f>#REF!-O1219</f>
        <v>#REF!</v>
      </c>
      <c r="S1219" s="17" t="str">
        <f t="shared" si="199"/>
        <v>08 1 00 00000000</v>
      </c>
    </row>
    <row r="1220" spans="1:19" s="16" customFormat="1" ht="31.5">
      <c r="A1220" s="14"/>
      <c r="B1220" s="129" t="s">
        <v>709</v>
      </c>
      <c r="C1220" s="130" t="s">
        <v>406</v>
      </c>
      <c r="D1220" s="131" t="s">
        <v>342</v>
      </c>
      <c r="E1220" s="131" t="s">
        <v>11</v>
      </c>
      <c r="F1220" s="131" t="s">
        <v>710</v>
      </c>
      <c r="G1220" s="131" t="s">
        <v>9</v>
      </c>
      <c r="H1220" s="105">
        <f>H1221</f>
        <v>0</v>
      </c>
      <c r="I1220" s="131">
        <v>810200000</v>
      </c>
      <c r="J1220" s="131" t="str">
        <f t="shared" si="197"/>
        <v>0810200000</v>
      </c>
      <c r="K1220" s="132"/>
      <c r="L1220" s="17"/>
      <c r="M1220" s="26">
        <v>2903.54</v>
      </c>
      <c r="N1220" s="26">
        <v>2903.54</v>
      </c>
      <c r="O1220" s="26">
        <v>2903.54</v>
      </c>
      <c r="P1220" s="26">
        <f t="shared" si="204"/>
        <v>-2903.54</v>
      </c>
      <c r="Q1220" s="26" t="e">
        <f>#REF!-N1220</f>
        <v>#REF!</v>
      </c>
      <c r="R1220" s="26" t="e">
        <f>#REF!-O1220</f>
        <v>#REF!</v>
      </c>
      <c r="S1220" s="17" t="str">
        <f t="shared" si="199"/>
        <v>08 1 02 00000000</v>
      </c>
    </row>
    <row r="1221" spans="1:19" s="16" customFormat="1" ht="31.5">
      <c r="A1221" s="14"/>
      <c r="B1221" s="127" t="s">
        <v>136</v>
      </c>
      <c r="C1221" s="130" t="s">
        <v>406</v>
      </c>
      <c r="D1221" s="131" t="s">
        <v>342</v>
      </c>
      <c r="E1221" s="131" t="s">
        <v>11</v>
      </c>
      <c r="F1221" s="131" t="s">
        <v>711</v>
      </c>
      <c r="G1221" s="131" t="s">
        <v>9</v>
      </c>
      <c r="H1221" s="105">
        <f t="shared" si="205"/>
        <v>0</v>
      </c>
      <c r="I1221" s="131">
        <v>810211010</v>
      </c>
      <c r="J1221" s="131" t="str">
        <f t="shared" si="197"/>
        <v>0810211010</v>
      </c>
      <c r="K1221" s="132"/>
      <c r="L1221" s="17"/>
      <c r="M1221" s="26">
        <v>2903.54</v>
      </c>
      <c r="N1221" s="26">
        <v>2903.54</v>
      </c>
      <c r="O1221" s="26">
        <v>2903.54</v>
      </c>
      <c r="P1221" s="26">
        <f t="shared" si="204"/>
        <v>-2903.54</v>
      </c>
      <c r="Q1221" s="26" t="e">
        <f>#REF!-N1221</f>
        <v>#REF!</v>
      </c>
      <c r="R1221" s="26" t="e">
        <f>#REF!-O1221</f>
        <v>#REF!</v>
      </c>
      <c r="S1221" s="17" t="str">
        <f t="shared" si="199"/>
        <v>08 1 02 11010000</v>
      </c>
    </row>
    <row r="1222" spans="1:19" s="16" customFormat="1" ht="15.75">
      <c r="A1222" s="14"/>
      <c r="B1222" s="132" t="s">
        <v>403</v>
      </c>
      <c r="C1222" s="130" t="s">
        <v>406</v>
      </c>
      <c r="D1222" s="131" t="s">
        <v>342</v>
      </c>
      <c r="E1222" s="131" t="s">
        <v>11</v>
      </c>
      <c r="F1222" s="131" t="s">
        <v>711</v>
      </c>
      <c r="G1222" s="131" t="s">
        <v>404</v>
      </c>
      <c r="H1222" s="126">
        <f>H1223</f>
        <v>0</v>
      </c>
      <c r="I1222" s="131">
        <v>810211010</v>
      </c>
      <c r="J1222" s="131" t="str">
        <f t="shared" si="197"/>
        <v>0810211010</v>
      </c>
      <c r="K1222" s="132"/>
      <c r="L1222" s="17"/>
      <c r="M1222" s="20">
        <v>2903.54</v>
      </c>
      <c r="N1222" s="20">
        <v>2903.54</v>
      </c>
      <c r="O1222" s="20">
        <v>2903.54</v>
      </c>
      <c r="P1222" s="20">
        <f t="shared" si="204"/>
        <v>-2903.54</v>
      </c>
      <c r="Q1222" s="20" t="e">
        <f>#REF!-N1222</f>
        <v>#REF!</v>
      </c>
      <c r="R1222" s="20" t="e">
        <f>#REF!-O1222</f>
        <v>#REF!</v>
      </c>
      <c r="S1222" s="17" t="str">
        <f t="shared" si="199"/>
        <v>08 1 02 11010610</v>
      </c>
    </row>
    <row r="1223" spans="1:19" s="23" customFormat="1" ht="63">
      <c r="A1223" s="21"/>
      <c r="B1223" s="127" t="s">
        <v>405</v>
      </c>
      <c r="C1223" s="130" t="s">
        <v>406</v>
      </c>
      <c r="D1223" s="131" t="s">
        <v>342</v>
      </c>
      <c r="E1223" s="131" t="s">
        <v>11</v>
      </c>
      <c r="F1223" s="131" t="s">
        <v>711</v>
      </c>
      <c r="G1223" s="108" t="s">
        <v>406</v>
      </c>
      <c r="H1223" s="126"/>
      <c r="I1223" s="131">
        <v>810211010</v>
      </c>
      <c r="J1223" s="131" t="str">
        <f t="shared" si="197"/>
        <v>0810211010</v>
      </c>
      <c r="K1223" s="304" t="str">
        <f>C1223&amp;D1223&amp;E1223&amp;J1223&amp;G1223</f>
        <v>61111010810211010611</v>
      </c>
      <c r="L1223" s="24"/>
      <c r="M1223" s="22"/>
      <c r="N1223" s="22"/>
      <c r="O1223" s="22"/>
      <c r="P1223" s="22"/>
      <c r="Q1223" s="22"/>
      <c r="R1223" s="22"/>
      <c r="S1223" s="24"/>
    </row>
    <row r="1224" spans="1:19" s="16" customFormat="1" ht="15.75">
      <c r="A1224" s="14"/>
      <c r="B1224" s="121" t="s">
        <v>712</v>
      </c>
      <c r="C1224" s="122" t="s">
        <v>406</v>
      </c>
      <c r="D1224" s="123" t="s">
        <v>342</v>
      </c>
      <c r="E1224" s="123" t="s">
        <v>62</v>
      </c>
      <c r="F1224" s="123" t="s">
        <v>8</v>
      </c>
      <c r="G1224" s="123" t="s">
        <v>9</v>
      </c>
      <c r="H1224" s="124">
        <f>H1225</f>
        <v>0</v>
      </c>
      <c r="I1224" s="123">
        <v>0</v>
      </c>
      <c r="J1224" s="123" t="str">
        <f t="shared" si="197"/>
        <v>0000000000</v>
      </c>
      <c r="K1224" s="132"/>
      <c r="L1224" s="17"/>
      <c r="M1224" s="19">
        <v>14924</v>
      </c>
      <c r="N1224" s="19">
        <v>14924</v>
      </c>
      <c r="O1224" s="19">
        <v>14924</v>
      </c>
      <c r="P1224" s="19">
        <f t="shared" ref="P1224:P1229" si="206">H1224-M1224</f>
        <v>-14924</v>
      </c>
      <c r="Q1224" s="19" t="e">
        <f>#REF!-N1224</f>
        <v>#REF!</v>
      </c>
      <c r="R1224" s="19" t="e">
        <f>#REF!-O1224</f>
        <v>#REF!</v>
      </c>
      <c r="S1224" s="17" t="str">
        <f t="shared" si="199"/>
        <v>00 0 00 00000000</v>
      </c>
    </row>
    <row r="1225" spans="1:19" s="16" customFormat="1" ht="31.5">
      <c r="A1225" s="14"/>
      <c r="B1225" s="125" t="s">
        <v>700</v>
      </c>
      <c r="C1225" s="109" t="s">
        <v>406</v>
      </c>
      <c r="D1225" s="108" t="s">
        <v>342</v>
      </c>
      <c r="E1225" s="108" t="s">
        <v>62</v>
      </c>
      <c r="F1225" s="108" t="s">
        <v>701</v>
      </c>
      <c r="G1225" s="108" t="s">
        <v>9</v>
      </c>
      <c r="H1225" s="126">
        <f>H1226+H1231</f>
        <v>0</v>
      </c>
      <c r="I1225" s="108">
        <v>800000000</v>
      </c>
      <c r="J1225" s="108" t="str">
        <f t="shared" si="197"/>
        <v>0800000000</v>
      </c>
      <c r="K1225" s="132"/>
      <c r="L1225" s="17"/>
      <c r="M1225" s="20">
        <v>14924</v>
      </c>
      <c r="N1225" s="20">
        <v>14924</v>
      </c>
      <c r="O1225" s="20">
        <v>14924</v>
      </c>
      <c r="P1225" s="20">
        <f t="shared" si="206"/>
        <v>-14924</v>
      </c>
      <c r="Q1225" s="20" t="e">
        <f>#REF!-N1225</f>
        <v>#REF!</v>
      </c>
      <c r="R1225" s="20" t="e">
        <f>#REF!-O1225</f>
        <v>#REF!</v>
      </c>
      <c r="S1225" s="17" t="str">
        <f t="shared" si="199"/>
        <v>08 0 00 00000000</v>
      </c>
    </row>
    <row r="1226" spans="1:19" s="16" customFormat="1" ht="47.25">
      <c r="A1226" s="14"/>
      <c r="B1226" s="125" t="s">
        <v>702</v>
      </c>
      <c r="C1226" s="109" t="s">
        <v>406</v>
      </c>
      <c r="D1226" s="108" t="s">
        <v>342</v>
      </c>
      <c r="E1226" s="108" t="s">
        <v>62</v>
      </c>
      <c r="F1226" s="108" t="s">
        <v>703</v>
      </c>
      <c r="G1226" s="108" t="s">
        <v>9</v>
      </c>
      <c r="H1226" s="126">
        <f t="shared" ref="H1226" si="207">H1227</f>
        <v>0</v>
      </c>
      <c r="I1226" s="108">
        <v>810000000</v>
      </c>
      <c r="J1226" s="108" t="str">
        <f t="shared" si="197"/>
        <v>0810000000</v>
      </c>
      <c r="K1226" s="132"/>
      <c r="L1226" s="17"/>
      <c r="M1226" s="20">
        <v>9606.5</v>
      </c>
      <c r="N1226" s="20">
        <v>9606.5</v>
      </c>
      <c r="O1226" s="20">
        <v>9606.5</v>
      </c>
      <c r="P1226" s="20">
        <f t="shared" si="206"/>
        <v>-9606.5</v>
      </c>
      <c r="Q1226" s="20" t="e">
        <f>#REF!-N1226</f>
        <v>#REF!</v>
      </c>
      <c r="R1226" s="20" t="e">
        <f>#REF!-O1226</f>
        <v>#REF!</v>
      </c>
      <c r="S1226" s="17" t="str">
        <f t="shared" si="199"/>
        <v>08 1 00 00000000</v>
      </c>
    </row>
    <row r="1227" spans="1:19" s="16" customFormat="1" ht="94.5">
      <c r="A1227" s="14"/>
      <c r="B1227" s="125" t="s">
        <v>713</v>
      </c>
      <c r="C1227" s="109" t="s">
        <v>406</v>
      </c>
      <c r="D1227" s="108" t="s">
        <v>342</v>
      </c>
      <c r="E1227" s="108" t="s">
        <v>62</v>
      </c>
      <c r="F1227" s="108" t="s">
        <v>714</v>
      </c>
      <c r="G1227" s="108" t="s">
        <v>9</v>
      </c>
      <c r="H1227" s="126">
        <f>H1228</f>
        <v>0</v>
      </c>
      <c r="I1227" s="108">
        <v>810300000</v>
      </c>
      <c r="J1227" s="108" t="str">
        <f t="shared" si="197"/>
        <v>0810300000</v>
      </c>
      <c r="K1227" s="132"/>
      <c r="L1227" s="17"/>
      <c r="M1227" s="20">
        <v>9606.5</v>
      </c>
      <c r="N1227" s="20">
        <v>9606.5</v>
      </c>
      <c r="O1227" s="20">
        <v>9606.5</v>
      </c>
      <c r="P1227" s="20">
        <f t="shared" si="206"/>
        <v>-9606.5</v>
      </c>
      <c r="Q1227" s="20" t="e">
        <f>#REF!-N1227</f>
        <v>#REF!</v>
      </c>
      <c r="R1227" s="20" t="e">
        <f>#REF!-O1227</f>
        <v>#REF!</v>
      </c>
      <c r="S1227" s="17" t="str">
        <f t="shared" si="199"/>
        <v>08 1 03 00000000</v>
      </c>
    </row>
    <row r="1228" spans="1:19" s="16" customFormat="1" ht="31.5">
      <c r="A1228" s="14"/>
      <c r="B1228" s="127" t="s">
        <v>136</v>
      </c>
      <c r="C1228" s="130" t="s">
        <v>406</v>
      </c>
      <c r="D1228" s="108" t="s">
        <v>342</v>
      </c>
      <c r="E1228" s="108" t="s">
        <v>62</v>
      </c>
      <c r="F1228" s="131" t="s">
        <v>715</v>
      </c>
      <c r="G1228" s="131" t="s">
        <v>9</v>
      </c>
      <c r="H1228" s="105">
        <f t="shared" ref="H1228" si="208">H1229</f>
        <v>0</v>
      </c>
      <c r="I1228" s="131">
        <v>810311010</v>
      </c>
      <c r="J1228" s="131" t="str">
        <f t="shared" si="197"/>
        <v>0810311010</v>
      </c>
      <c r="K1228" s="132"/>
      <c r="L1228" s="17"/>
      <c r="M1228" s="26">
        <v>9606.5</v>
      </c>
      <c r="N1228" s="26">
        <v>9606.5</v>
      </c>
      <c r="O1228" s="26">
        <v>9606.5</v>
      </c>
      <c r="P1228" s="26">
        <f t="shared" si="206"/>
        <v>-9606.5</v>
      </c>
      <c r="Q1228" s="26" t="e">
        <f>#REF!-N1228</f>
        <v>#REF!</v>
      </c>
      <c r="R1228" s="26" t="e">
        <f>#REF!-O1228</f>
        <v>#REF!</v>
      </c>
      <c r="S1228" s="17" t="str">
        <f t="shared" si="199"/>
        <v>08 1 03 11010000</v>
      </c>
    </row>
    <row r="1229" spans="1:19" s="16" customFormat="1" ht="15.75">
      <c r="A1229" s="14"/>
      <c r="B1229" s="132" t="s">
        <v>403</v>
      </c>
      <c r="C1229" s="130" t="s">
        <v>406</v>
      </c>
      <c r="D1229" s="108" t="s">
        <v>342</v>
      </c>
      <c r="E1229" s="108" t="s">
        <v>62</v>
      </c>
      <c r="F1229" s="131" t="s">
        <v>715</v>
      </c>
      <c r="G1229" s="131" t="s">
        <v>404</v>
      </c>
      <c r="H1229" s="126">
        <f>H1230</f>
        <v>0</v>
      </c>
      <c r="I1229" s="131">
        <v>810311010</v>
      </c>
      <c r="J1229" s="131" t="str">
        <f t="shared" si="197"/>
        <v>0810311010</v>
      </c>
      <c r="K1229" s="132"/>
      <c r="L1229" s="17"/>
      <c r="M1229" s="20">
        <v>9606.5</v>
      </c>
      <c r="N1229" s="20">
        <v>9606.5</v>
      </c>
      <c r="O1229" s="20">
        <v>9606.5</v>
      </c>
      <c r="P1229" s="20">
        <f t="shared" si="206"/>
        <v>-9606.5</v>
      </c>
      <c r="Q1229" s="20" t="e">
        <f>#REF!-N1229</f>
        <v>#REF!</v>
      </c>
      <c r="R1229" s="20" t="e">
        <f>#REF!-O1229</f>
        <v>#REF!</v>
      </c>
      <c r="S1229" s="17" t="str">
        <f t="shared" si="199"/>
        <v>08 1 03 11010610</v>
      </c>
    </row>
    <row r="1230" spans="1:19" s="23" customFormat="1" ht="63">
      <c r="A1230" s="21"/>
      <c r="B1230" s="127" t="s">
        <v>405</v>
      </c>
      <c r="C1230" s="130" t="s">
        <v>406</v>
      </c>
      <c r="D1230" s="108" t="s">
        <v>342</v>
      </c>
      <c r="E1230" s="108" t="s">
        <v>62</v>
      </c>
      <c r="F1230" s="131" t="s">
        <v>715</v>
      </c>
      <c r="G1230" s="108" t="s">
        <v>406</v>
      </c>
      <c r="H1230" s="126"/>
      <c r="I1230" s="131">
        <v>810311010</v>
      </c>
      <c r="J1230" s="131" t="str">
        <f t="shared" si="197"/>
        <v>0810311010</v>
      </c>
      <c r="K1230" s="304" t="str">
        <f>C1230&amp;D1230&amp;E1230&amp;J1230&amp;G1230</f>
        <v>61111020810311010611</v>
      </c>
      <c r="L1230" s="24"/>
      <c r="M1230" s="22"/>
      <c r="N1230" s="22"/>
      <c r="O1230" s="22"/>
      <c r="P1230" s="22"/>
      <c r="Q1230" s="22"/>
      <c r="R1230" s="22"/>
      <c r="S1230" s="24"/>
    </row>
    <row r="1231" spans="1:19" s="16" customFormat="1" ht="47.25">
      <c r="A1231" s="14"/>
      <c r="B1231" s="125" t="s">
        <v>716</v>
      </c>
      <c r="C1231" s="109" t="s">
        <v>406</v>
      </c>
      <c r="D1231" s="108" t="s">
        <v>342</v>
      </c>
      <c r="E1231" s="108" t="s">
        <v>62</v>
      </c>
      <c r="F1231" s="108" t="s">
        <v>717</v>
      </c>
      <c r="G1231" s="108" t="s">
        <v>9</v>
      </c>
      <c r="H1231" s="126">
        <f>H1232+H1238+H1242</f>
        <v>0</v>
      </c>
      <c r="I1231" s="108">
        <v>820000000</v>
      </c>
      <c r="J1231" s="108" t="str">
        <f t="shared" si="197"/>
        <v>0820000000</v>
      </c>
      <c r="K1231" s="132"/>
      <c r="L1231" s="17"/>
      <c r="M1231" s="20">
        <v>5317.5</v>
      </c>
      <c r="N1231" s="20">
        <v>5317.5</v>
      </c>
      <c r="O1231" s="20">
        <v>5317.5</v>
      </c>
      <c r="P1231" s="20">
        <f>H1231-M1231</f>
        <v>-5317.5</v>
      </c>
      <c r="Q1231" s="20" t="e">
        <f>#REF!-N1231</f>
        <v>#REF!</v>
      </c>
      <c r="R1231" s="20" t="e">
        <f>#REF!-O1231</f>
        <v>#REF!</v>
      </c>
      <c r="S1231" s="17" t="str">
        <f t="shared" si="199"/>
        <v>08 2 00 00000000</v>
      </c>
    </row>
    <row r="1232" spans="1:19" s="16" customFormat="1" ht="47.25">
      <c r="A1232" s="14"/>
      <c r="B1232" s="125" t="s">
        <v>718</v>
      </c>
      <c r="C1232" s="109" t="s">
        <v>406</v>
      </c>
      <c r="D1232" s="108" t="s">
        <v>342</v>
      </c>
      <c r="E1232" s="108" t="s">
        <v>62</v>
      </c>
      <c r="F1232" s="108" t="s">
        <v>719</v>
      </c>
      <c r="G1232" s="108" t="s">
        <v>9</v>
      </c>
      <c r="H1232" s="126">
        <f>H1233</f>
        <v>0</v>
      </c>
      <c r="I1232" s="108">
        <v>820100000</v>
      </c>
      <c r="J1232" s="108" t="str">
        <f t="shared" si="197"/>
        <v>0820100000</v>
      </c>
      <c r="K1232" s="132"/>
      <c r="L1232" s="17"/>
      <c r="M1232" s="20">
        <v>5250</v>
      </c>
      <c r="N1232" s="20">
        <v>5250</v>
      </c>
      <c r="O1232" s="20">
        <v>5250</v>
      </c>
      <c r="P1232" s="20">
        <f>H1232-M1232</f>
        <v>-5250</v>
      </c>
      <c r="Q1232" s="20" t="e">
        <f>#REF!-N1232</f>
        <v>#REF!</v>
      </c>
      <c r="R1232" s="20" t="e">
        <f>#REF!-O1232</f>
        <v>#REF!</v>
      </c>
      <c r="S1232" s="17" t="str">
        <f t="shared" si="199"/>
        <v>08 2 01 00000000</v>
      </c>
    </row>
    <row r="1233" spans="1:19" s="16" customFormat="1" ht="31.5">
      <c r="A1233" s="14"/>
      <c r="B1233" s="125" t="s">
        <v>720</v>
      </c>
      <c r="C1233" s="109" t="s">
        <v>406</v>
      </c>
      <c r="D1233" s="108" t="s">
        <v>342</v>
      </c>
      <c r="E1233" s="108" t="s">
        <v>62</v>
      </c>
      <c r="F1233" s="108" t="s">
        <v>721</v>
      </c>
      <c r="G1233" s="108" t="s">
        <v>9</v>
      </c>
      <c r="H1233" s="126">
        <f>H1236+H1234</f>
        <v>0</v>
      </c>
      <c r="I1233" s="108">
        <v>820120420</v>
      </c>
      <c r="J1233" s="108" t="str">
        <f t="shared" si="197"/>
        <v>0820120420</v>
      </c>
      <c r="K1233" s="132"/>
      <c r="L1233" s="17"/>
      <c r="M1233" s="20">
        <v>5250</v>
      </c>
      <c r="N1233" s="20">
        <v>5250</v>
      </c>
      <c r="O1233" s="20">
        <v>5250</v>
      </c>
      <c r="P1233" s="20">
        <f>H1233-M1233</f>
        <v>-5250</v>
      </c>
      <c r="Q1233" s="20" t="e">
        <f>#REF!-N1233</f>
        <v>#REF!</v>
      </c>
      <c r="R1233" s="20" t="e">
        <f>#REF!-O1233</f>
        <v>#REF!</v>
      </c>
      <c r="S1233" s="17" t="str">
        <f t="shared" si="199"/>
        <v>08 2 01 20420000</v>
      </c>
    </row>
    <row r="1234" spans="1:19" s="16" customFormat="1" ht="15.75">
      <c r="A1234" s="14"/>
      <c r="B1234" s="125" t="s">
        <v>138</v>
      </c>
      <c r="C1234" s="109" t="s">
        <v>406</v>
      </c>
      <c r="D1234" s="108" t="s">
        <v>342</v>
      </c>
      <c r="E1234" s="108" t="s">
        <v>62</v>
      </c>
      <c r="F1234" s="108" t="s">
        <v>721</v>
      </c>
      <c r="G1234" s="108" t="s">
        <v>139</v>
      </c>
      <c r="H1234" s="126">
        <f>H1235</f>
        <v>0</v>
      </c>
      <c r="I1234" s="108">
        <v>820120420</v>
      </c>
      <c r="J1234" s="108" t="str">
        <f t="shared" si="197"/>
        <v>0820120420</v>
      </c>
      <c r="K1234" s="132"/>
      <c r="L1234" s="17"/>
      <c r="M1234" s="20">
        <v>3250</v>
      </c>
      <c r="N1234" s="20">
        <v>3250</v>
      </c>
      <c r="O1234" s="20">
        <v>3250</v>
      </c>
      <c r="P1234" s="20">
        <f>H1234-M1234</f>
        <v>-3250</v>
      </c>
      <c r="Q1234" s="20" t="e">
        <f>#REF!-N1234</f>
        <v>#REF!</v>
      </c>
      <c r="R1234" s="20" t="e">
        <f>#REF!-O1234</f>
        <v>#REF!</v>
      </c>
      <c r="S1234" s="17" t="str">
        <f t="shared" si="199"/>
        <v>08 2 01 20420110</v>
      </c>
    </row>
    <row r="1235" spans="1:19" s="23" customFormat="1" ht="63">
      <c r="A1235" s="21"/>
      <c r="B1235" s="127" t="s">
        <v>144</v>
      </c>
      <c r="C1235" s="109" t="s">
        <v>406</v>
      </c>
      <c r="D1235" s="108" t="s">
        <v>342</v>
      </c>
      <c r="E1235" s="108" t="s">
        <v>62</v>
      </c>
      <c r="F1235" s="108" t="s">
        <v>721</v>
      </c>
      <c r="G1235" s="108" t="s">
        <v>722</v>
      </c>
      <c r="H1235" s="126"/>
      <c r="I1235" s="108">
        <v>820120420</v>
      </c>
      <c r="J1235" s="108" t="str">
        <f t="shared" si="197"/>
        <v>0820120420</v>
      </c>
      <c r="K1235" s="304" t="str">
        <f>C1235&amp;D1235&amp;E1235&amp;J1235&amp;G1235</f>
        <v>61111020820120420113</v>
      </c>
      <c r="L1235" s="24"/>
      <c r="M1235" s="22"/>
      <c r="N1235" s="22"/>
      <c r="O1235" s="22"/>
      <c r="P1235" s="22"/>
      <c r="Q1235" s="22"/>
      <c r="R1235" s="22"/>
      <c r="S1235" s="24"/>
    </row>
    <row r="1236" spans="1:19" s="16" customFormat="1" ht="31.5">
      <c r="A1236" s="14"/>
      <c r="B1236" s="125" t="s">
        <v>28</v>
      </c>
      <c r="C1236" s="109" t="s">
        <v>406</v>
      </c>
      <c r="D1236" s="108" t="s">
        <v>342</v>
      </c>
      <c r="E1236" s="108" t="s">
        <v>62</v>
      </c>
      <c r="F1236" s="108" t="s">
        <v>721</v>
      </c>
      <c r="G1236" s="108" t="s">
        <v>29</v>
      </c>
      <c r="H1236" s="126">
        <f>H1237</f>
        <v>0</v>
      </c>
      <c r="I1236" s="108">
        <v>820120420</v>
      </c>
      <c r="J1236" s="108" t="str">
        <f t="shared" si="197"/>
        <v>0820120420</v>
      </c>
      <c r="K1236" s="132"/>
      <c r="L1236" s="17"/>
      <c r="M1236" s="20">
        <v>2000</v>
      </c>
      <c r="N1236" s="20">
        <v>2000</v>
      </c>
      <c r="O1236" s="20">
        <v>2000</v>
      </c>
      <c r="P1236" s="20">
        <f>H1236-M1236</f>
        <v>-2000</v>
      </c>
      <c r="Q1236" s="20" t="e">
        <f>#REF!-N1236</f>
        <v>#REF!</v>
      </c>
      <c r="R1236" s="20" t="e">
        <f>#REF!-O1236</f>
        <v>#REF!</v>
      </c>
      <c r="S1236" s="17" t="str">
        <f t="shared" si="199"/>
        <v>08 2 01 20420240</v>
      </c>
    </row>
    <row r="1237" spans="1:19" s="16" customFormat="1" ht="15.75">
      <c r="A1237" s="14"/>
      <c r="B1237" s="125" t="s">
        <v>30</v>
      </c>
      <c r="C1237" s="109" t="s">
        <v>406</v>
      </c>
      <c r="D1237" s="108" t="s">
        <v>342</v>
      </c>
      <c r="E1237" s="108" t="s">
        <v>62</v>
      </c>
      <c r="F1237" s="108" t="s">
        <v>721</v>
      </c>
      <c r="G1237" s="108" t="s">
        <v>31</v>
      </c>
      <c r="H1237" s="126"/>
      <c r="I1237" s="108">
        <v>820120420</v>
      </c>
      <c r="J1237" s="108" t="str">
        <f t="shared" si="197"/>
        <v>0820120420</v>
      </c>
      <c r="K1237" s="304" t="str">
        <f>C1237&amp;D1237&amp;E1237&amp;J1237&amp;G1237</f>
        <v>61111020820120420244</v>
      </c>
      <c r="L1237" s="17"/>
      <c r="M1237" s="20"/>
      <c r="N1237" s="20"/>
      <c r="O1237" s="20"/>
      <c r="P1237" s="20"/>
      <c r="Q1237" s="20"/>
      <c r="R1237" s="20"/>
      <c r="S1237" s="17"/>
    </row>
    <row r="1238" spans="1:19" s="16" customFormat="1" ht="47.25">
      <c r="A1238" s="14"/>
      <c r="B1238" s="140" t="s">
        <v>723</v>
      </c>
      <c r="C1238" s="109" t="s">
        <v>406</v>
      </c>
      <c r="D1238" s="108" t="s">
        <v>342</v>
      </c>
      <c r="E1238" s="108" t="s">
        <v>62</v>
      </c>
      <c r="F1238" s="108" t="s">
        <v>724</v>
      </c>
      <c r="G1238" s="108" t="s">
        <v>9</v>
      </c>
      <c r="H1238" s="126">
        <f>H1239</f>
        <v>0</v>
      </c>
      <c r="I1238" s="108">
        <v>820200000</v>
      </c>
      <c r="J1238" s="108" t="str">
        <f t="shared" si="197"/>
        <v>0820200000</v>
      </c>
      <c r="K1238" s="132"/>
      <c r="L1238" s="17"/>
      <c r="M1238" s="20">
        <v>11.25</v>
      </c>
      <c r="N1238" s="20">
        <v>11.25</v>
      </c>
      <c r="O1238" s="20">
        <v>11.25</v>
      </c>
      <c r="P1238" s="20">
        <f>H1238-M1238</f>
        <v>-11.25</v>
      </c>
      <c r="Q1238" s="20" t="e">
        <f>#REF!-N1238</f>
        <v>#REF!</v>
      </c>
      <c r="R1238" s="20" t="e">
        <f>#REF!-O1238</f>
        <v>#REF!</v>
      </c>
      <c r="S1238" s="17" t="str">
        <f t="shared" si="199"/>
        <v>08 2 02 00000000</v>
      </c>
    </row>
    <row r="1239" spans="1:19" s="16" customFormat="1" ht="15.75">
      <c r="A1239" s="14"/>
      <c r="B1239" s="127" t="s">
        <v>725</v>
      </c>
      <c r="C1239" s="109" t="s">
        <v>406</v>
      </c>
      <c r="D1239" s="108" t="s">
        <v>342</v>
      </c>
      <c r="E1239" s="108" t="s">
        <v>62</v>
      </c>
      <c r="F1239" s="108" t="s">
        <v>726</v>
      </c>
      <c r="G1239" s="108" t="s">
        <v>9</v>
      </c>
      <c r="H1239" s="126">
        <f>H1240</f>
        <v>0</v>
      </c>
      <c r="I1239" s="108">
        <v>820220440</v>
      </c>
      <c r="J1239" s="108" t="str">
        <f t="shared" si="197"/>
        <v>0820220440</v>
      </c>
      <c r="K1239" s="132"/>
      <c r="L1239" s="17"/>
      <c r="M1239" s="20">
        <v>11.25</v>
      </c>
      <c r="N1239" s="20">
        <v>11.25</v>
      </c>
      <c r="O1239" s="20">
        <v>11.25</v>
      </c>
      <c r="P1239" s="20">
        <f>H1239-M1239</f>
        <v>-11.25</v>
      </c>
      <c r="Q1239" s="20" t="e">
        <f>#REF!-N1239</f>
        <v>#REF!</v>
      </c>
      <c r="R1239" s="20" t="e">
        <f>#REF!-O1239</f>
        <v>#REF!</v>
      </c>
      <c r="S1239" s="17" t="str">
        <f t="shared" si="199"/>
        <v>08 2 02 20440000</v>
      </c>
    </row>
    <row r="1240" spans="1:19" s="16" customFormat="1" ht="31.5">
      <c r="A1240" s="14"/>
      <c r="B1240" s="125" t="s">
        <v>28</v>
      </c>
      <c r="C1240" s="109" t="s">
        <v>406</v>
      </c>
      <c r="D1240" s="108" t="s">
        <v>342</v>
      </c>
      <c r="E1240" s="108" t="s">
        <v>62</v>
      </c>
      <c r="F1240" s="108" t="s">
        <v>726</v>
      </c>
      <c r="G1240" s="108" t="s">
        <v>29</v>
      </c>
      <c r="H1240" s="126">
        <f>H1241</f>
        <v>0</v>
      </c>
      <c r="I1240" s="108">
        <v>820220440</v>
      </c>
      <c r="J1240" s="108" t="str">
        <f t="shared" si="197"/>
        <v>0820220440</v>
      </c>
      <c r="K1240" s="132"/>
      <c r="L1240" s="17"/>
      <c r="M1240" s="20">
        <v>11.25</v>
      </c>
      <c r="N1240" s="20">
        <v>11.25</v>
      </c>
      <c r="O1240" s="20">
        <v>11.25</v>
      </c>
      <c r="P1240" s="20">
        <f>H1240-M1240</f>
        <v>-11.25</v>
      </c>
      <c r="Q1240" s="20" t="e">
        <f>#REF!-N1240</f>
        <v>#REF!</v>
      </c>
      <c r="R1240" s="20" t="e">
        <f>#REF!-O1240</f>
        <v>#REF!</v>
      </c>
      <c r="S1240" s="17" t="str">
        <f t="shared" si="199"/>
        <v>08 2 02 20440240</v>
      </c>
    </row>
    <row r="1241" spans="1:19" s="16" customFormat="1" ht="15.75">
      <c r="A1241" s="14"/>
      <c r="B1241" s="125" t="s">
        <v>30</v>
      </c>
      <c r="C1241" s="109" t="s">
        <v>406</v>
      </c>
      <c r="D1241" s="108" t="s">
        <v>342</v>
      </c>
      <c r="E1241" s="108" t="s">
        <v>62</v>
      </c>
      <c r="F1241" s="108" t="s">
        <v>726</v>
      </c>
      <c r="G1241" s="108" t="s">
        <v>31</v>
      </c>
      <c r="H1241" s="126"/>
      <c r="I1241" s="108">
        <v>820220440</v>
      </c>
      <c r="J1241" s="108" t="str">
        <f t="shared" si="197"/>
        <v>0820220440</v>
      </c>
      <c r="K1241" s="304" t="str">
        <f>C1241&amp;D1241&amp;E1241&amp;J1241&amp;G1241</f>
        <v>61111020820220440244</v>
      </c>
      <c r="L1241" s="17"/>
      <c r="M1241" s="20"/>
      <c r="N1241" s="20"/>
      <c r="O1241" s="20"/>
      <c r="P1241" s="20"/>
      <c r="Q1241" s="20"/>
      <c r="R1241" s="20"/>
      <c r="S1241" s="17"/>
    </row>
    <row r="1242" spans="1:19" s="16" customFormat="1" ht="63">
      <c r="A1242" s="14"/>
      <c r="B1242" s="140" t="s">
        <v>727</v>
      </c>
      <c r="C1242" s="109" t="s">
        <v>406</v>
      </c>
      <c r="D1242" s="108" t="s">
        <v>342</v>
      </c>
      <c r="E1242" s="108" t="s">
        <v>62</v>
      </c>
      <c r="F1242" s="108" t="s">
        <v>728</v>
      </c>
      <c r="G1242" s="108" t="s">
        <v>9</v>
      </c>
      <c r="H1242" s="126">
        <f t="shared" ref="H1242" si="209">H1243</f>
        <v>0</v>
      </c>
      <c r="I1242" s="108">
        <v>820300000</v>
      </c>
      <c r="J1242" s="108" t="str">
        <f t="shared" si="197"/>
        <v>0820300000</v>
      </c>
      <c r="K1242" s="132"/>
      <c r="L1242" s="17"/>
      <c r="M1242" s="20">
        <v>56.25</v>
      </c>
      <c r="N1242" s="20">
        <v>56.25</v>
      </c>
      <c r="O1242" s="20">
        <v>56.25</v>
      </c>
      <c r="P1242" s="20">
        <f>H1242-M1242</f>
        <v>-56.25</v>
      </c>
      <c r="Q1242" s="20" t="e">
        <f>#REF!-N1242</f>
        <v>#REF!</v>
      </c>
      <c r="R1242" s="20" t="e">
        <f>#REF!-O1242</f>
        <v>#REF!</v>
      </c>
      <c r="S1242" s="17" t="str">
        <f t="shared" si="199"/>
        <v>08 2 03 00000000</v>
      </c>
    </row>
    <row r="1243" spans="1:19" s="16" customFormat="1" ht="31.5">
      <c r="A1243" s="14"/>
      <c r="B1243" s="127" t="s">
        <v>729</v>
      </c>
      <c r="C1243" s="109" t="s">
        <v>406</v>
      </c>
      <c r="D1243" s="108" t="s">
        <v>342</v>
      </c>
      <c r="E1243" s="108" t="s">
        <v>62</v>
      </c>
      <c r="F1243" s="108" t="s">
        <v>730</v>
      </c>
      <c r="G1243" s="108" t="s">
        <v>9</v>
      </c>
      <c r="H1243" s="126">
        <f>H1244</f>
        <v>0</v>
      </c>
      <c r="I1243" s="108">
        <v>820321060</v>
      </c>
      <c r="J1243" s="108" t="str">
        <f t="shared" si="197"/>
        <v>0820321060</v>
      </c>
      <c r="K1243" s="132"/>
      <c r="L1243" s="17"/>
      <c r="M1243" s="20">
        <v>56.25</v>
      </c>
      <c r="N1243" s="20">
        <v>56.25</v>
      </c>
      <c r="O1243" s="20">
        <v>56.25</v>
      </c>
      <c r="P1243" s="20">
        <f>H1243-M1243</f>
        <v>-56.25</v>
      </c>
      <c r="Q1243" s="20" t="e">
        <f>#REF!-N1243</f>
        <v>#REF!</v>
      </c>
      <c r="R1243" s="20" t="e">
        <f>#REF!-O1243</f>
        <v>#REF!</v>
      </c>
      <c r="S1243" s="17" t="str">
        <f t="shared" si="199"/>
        <v>08 2 03 21060000</v>
      </c>
    </row>
    <row r="1244" spans="1:19" s="16" customFormat="1" ht="31.5">
      <c r="A1244" s="14"/>
      <c r="B1244" s="125" t="s">
        <v>28</v>
      </c>
      <c r="C1244" s="109" t="s">
        <v>406</v>
      </c>
      <c r="D1244" s="108" t="s">
        <v>342</v>
      </c>
      <c r="E1244" s="108" t="s">
        <v>62</v>
      </c>
      <c r="F1244" s="108" t="s">
        <v>730</v>
      </c>
      <c r="G1244" s="108" t="s">
        <v>29</v>
      </c>
      <c r="H1244" s="126">
        <f>H1245</f>
        <v>0</v>
      </c>
      <c r="I1244" s="108">
        <v>820321060</v>
      </c>
      <c r="J1244" s="108" t="str">
        <f t="shared" si="197"/>
        <v>0820321060</v>
      </c>
      <c r="K1244" s="132"/>
      <c r="L1244" s="17"/>
      <c r="M1244" s="20">
        <v>56.25</v>
      </c>
      <c r="N1244" s="20">
        <v>56.25</v>
      </c>
      <c r="O1244" s="20">
        <v>56.25</v>
      </c>
      <c r="P1244" s="20">
        <f>H1244-M1244</f>
        <v>-56.25</v>
      </c>
      <c r="Q1244" s="20" t="e">
        <f>#REF!-N1244</f>
        <v>#REF!</v>
      </c>
      <c r="R1244" s="20" t="e">
        <f>#REF!-O1244</f>
        <v>#REF!</v>
      </c>
      <c r="S1244" s="17" t="str">
        <f t="shared" si="199"/>
        <v>08 2 03 21060240</v>
      </c>
    </row>
    <row r="1245" spans="1:19" s="16" customFormat="1" ht="15.75">
      <c r="A1245" s="14"/>
      <c r="B1245" s="125" t="s">
        <v>30</v>
      </c>
      <c r="C1245" s="109" t="s">
        <v>406</v>
      </c>
      <c r="D1245" s="108" t="s">
        <v>342</v>
      </c>
      <c r="E1245" s="108" t="s">
        <v>62</v>
      </c>
      <c r="F1245" s="108" t="s">
        <v>730</v>
      </c>
      <c r="G1245" s="108" t="s">
        <v>31</v>
      </c>
      <c r="H1245" s="126"/>
      <c r="I1245" s="108">
        <v>820321060</v>
      </c>
      <c r="J1245" s="108" t="str">
        <f t="shared" si="197"/>
        <v>0820321060</v>
      </c>
      <c r="K1245" s="304" t="str">
        <f>C1245&amp;D1245&amp;E1245&amp;J1245&amp;G1245</f>
        <v>61111020820321060244</v>
      </c>
      <c r="L1245" s="17"/>
      <c r="M1245" s="20"/>
      <c r="N1245" s="20"/>
      <c r="O1245" s="20"/>
      <c r="P1245" s="20"/>
      <c r="Q1245" s="20"/>
      <c r="R1245" s="20"/>
      <c r="S1245" s="17"/>
    </row>
    <row r="1246" spans="1:19" s="16" customFormat="1" ht="15.75">
      <c r="A1246" s="14"/>
      <c r="B1246" s="121" t="s">
        <v>731</v>
      </c>
      <c r="C1246" s="122" t="s">
        <v>406</v>
      </c>
      <c r="D1246" s="123" t="s">
        <v>342</v>
      </c>
      <c r="E1246" s="123" t="s">
        <v>13</v>
      </c>
      <c r="F1246" s="123" t="s">
        <v>8</v>
      </c>
      <c r="G1246" s="123" t="s">
        <v>9</v>
      </c>
      <c r="H1246" s="124">
        <f>H1247</f>
        <v>0</v>
      </c>
      <c r="I1246" s="123">
        <v>0</v>
      </c>
      <c r="J1246" s="123" t="str">
        <f t="shared" si="197"/>
        <v>0000000000</v>
      </c>
      <c r="K1246" s="132"/>
      <c r="L1246" s="17"/>
      <c r="M1246" s="19">
        <v>1500</v>
      </c>
      <c r="N1246" s="19">
        <v>0</v>
      </c>
      <c r="O1246" s="19">
        <v>0</v>
      </c>
      <c r="P1246" s="19">
        <f t="shared" ref="P1246:P1251" si="210">H1246-M1246</f>
        <v>-1500</v>
      </c>
      <c r="Q1246" s="19" t="e">
        <f>#REF!-N1246</f>
        <v>#REF!</v>
      </c>
      <c r="R1246" s="19" t="e">
        <f>#REF!-O1246</f>
        <v>#REF!</v>
      </c>
      <c r="S1246" s="17" t="str">
        <f t="shared" si="199"/>
        <v>00 0 00 00000000</v>
      </c>
    </row>
    <row r="1247" spans="1:19" s="16" customFormat="1" ht="31.5">
      <c r="A1247" s="14"/>
      <c r="B1247" s="125" t="s">
        <v>700</v>
      </c>
      <c r="C1247" s="109" t="s">
        <v>406</v>
      </c>
      <c r="D1247" s="108" t="s">
        <v>342</v>
      </c>
      <c r="E1247" s="108" t="s">
        <v>13</v>
      </c>
      <c r="F1247" s="108" t="s">
        <v>701</v>
      </c>
      <c r="G1247" s="108" t="s">
        <v>9</v>
      </c>
      <c r="H1247" s="126">
        <f t="shared" ref="H1247:H1250" si="211">H1248</f>
        <v>0</v>
      </c>
      <c r="I1247" s="108">
        <v>800000000</v>
      </c>
      <c r="J1247" s="108" t="str">
        <f t="shared" si="197"/>
        <v>0800000000</v>
      </c>
      <c r="K1247" s="132"/>
      <c r="L1247" s="17"/>
      <c r="M1247" s="20">
        <v>1500</v>
      </c>
      <c r="N1247" s="20">
        <v>0</v>
      </c>
      <c r="O1247" s="20">
        <v>0</v>
      </c>
      <c r="P1247" s="20">
        <f t="shared" si="210"/>
        <v>-1500</v>
      </c>
      <c r="Q1247" s="20" t="e">
        <f>#REF!-N1247</f>
        <v>#REF!</v>
      </c>
      <c r="R1247" s="20" t="e">
        <f>#REF!-O1247</f>
        <v>#REF!</v>
      </c>
      <c r="S1247" s="17" t="str">
        <f t="shared" si="199"/>
        <v>08 0 00 00000000</v>
      </c>
    </row>
    <row r="1248" spans="1:19" s="16" customFormat="1" ht="47.25">
      <c r="A1248" s="14"/>
      <c r="B1248" s="125" t="s">
        <v>716</v>
      </c>
      <c r="C1248" s="109" t="s">
        <v>406</v>
      </c>
      <c r="D1248" s="108" t="s">
        <v>342</v>
      </c>
      <c r="E1248" s="108" t="s">
        <v>13</v>
      </c>
      <c r="F1248" s="108" t="s">
        <v>717</v>
      </c>
      <c r="G1248" s="108" t="s">
        <v>9</v>
      </c>
      <c r="H1248" s="126">
        <f>H1249</f>
        <v>0</v>
      </c>
      <c r="I1248" s="108">
        <v>820000000</v>
      </c>
      <c r="J1248" s="108" t="str">
        <f t="shared" si="197"/>
        <v>0820000000</v>
      </c>
      <c r="K1248" s="132"/>
      <c r="L1248" s="17"/>
      <c r="M1248" s="20">
        <v>1500</v>
      </c>
      <c r="N1248" s="20">
        <v>0</v>
      </c>
      <c r="O1248" s="20">
        <v>0</v>
      </c>
      <c r="P1248" s="20">
        <f t="shared" si="210"/>
        <v>-1500</v>
      </c>
      <c r="Q1248" s="20" t="e">
        <f>#REF!-N1248</f>
        <v>#REF!</v>
      </c>
      <c r="R1248" s="20" t="e">
        <f>#REF!-O1248</f>
        <v>#REF!</v>
      </c>
      <c r="S1248" s="17" t="str">
        <f t="shared" si="199"/>
        <v>08 2 00 00000000</v>
      </c>
    </row>
    <row r="1249" spans="1:19" s="16" customFormat="1" ht="63">
      <c r="A1249" s="14"/>
      <c r="B1249" s="125" t="s">
        <v>732</v>
      </c>
      <c r="C1249" s="109" t="s">
        <v>406</v>
      </c>
      <c r="D1249" s="108" t="s">
        <v>342</v>
      </c>
      <c r="E1249" s="108" t="s">
        <v>13</v>
      </c>
      <c r="F1249" s="108" t="s">
        <v>733</v>
      </c>
      <c r="G1249" s="108" t="s">
        <v>9</v>
      </c>
      <c r="H1249" s="126">
        <f>H1250+H1253</f>
        <v>0</v>
      </c>
      <c r="I1249" s="108">
        <v>820400000</v>
      </c>
      <c r="J1249" s="108" t="str">
        <f t="shared" si="197"/>
        <v>0820400000</v>
      </c>
      <c r="K1249" s="132"/>
      <c r="L1249" s="17"/>
      <c r="M1249" s="20">
        <v>1500</v>
      </c>
      <c r="N1249" s="20">
        <v>0</v>
      </c>
      <c r="O1249" s="20">
        <v>0</v>
      </c>
      <c r="P1249" s="20">
        <f t="shared" si="210"/>
        <v>-1500</v>
      </c>
      <c r="Q1249" s="20" t="e">
        <f>#REF!-N1249</f>
        <v>#REF!</v>
      </c>
      <c r="R1249" s="20" t="e">
        <f>#REF!-O1249</f>
        <v>#REF!</v>
      </c>
      <c r="S1249" s="17" t="str">
        <f t="shared" si="199"/>
        <v>08 2 04 00000000</v>
      </c>
    </row>
    <row r="1250" spans="1:19" s="16" customFormat="1" ht="78.75">
      <c r="A1250" s="14"/>
      <c r="B1250" s="125" t="s">
        <v>734</v>
      </c>
      <c r="C1250" s="109" t="s">
        <v>406</v>
      </c>
      <c r="D1250" s="108" t="s">
        <v>342</v>
      </c>
      <c r="E1250" s="108" t="s">
        <v>13</v>
      </c>
      <c r="F1250" s="108" t="s">
        <v>735</v>
      </c>
      <c r="G1250" s="108" t="s">
        <v>9</v>
      </c>
      <c r="H1250" s="126">
        <f t="shared" si="211"/>
        <v>0</v>
      </c>
      <c r="I1250" s="108">
        <v>820460120</v>
      </c>
      <c r="J1250" s="108" t="str">
        <f t="shared" si="197"/>
        <v>0820460120</v>
      </c>
      <c r="K1250" s="132"/>
      <c r="L1250" s="17"/>
      <c r="M1250" s="20">
        <v>1500</v>
      </c>
      <c r="N1250" s="20">
        <v>0</v>
      </c>
      <c r="O1250" s="20">
        <v>0</v>
      </c>
      <c r="P1250" s="20">
        <f t="shared" si="210"/>
        <v>-1500</v>
      </c>
      <c r="Q1250" s="20" t="e">
        <f>#REF!-N1250</f>
        <v>#REF!</v>
      </c>
      <c r="R1250" s="20" t="e">
        <f>#REF!-O1250</f>
        <v>#REF!</v>
      </c>
      <c r="S1250" s="17" t="str">
        <f t="shared" si="199"/>
        <v>08 2 04 60120000</v>
      </c>
    </row>
    <row r="1251" spans="1:19" s="16" customFormat="1" ht="47.25">
      <c r="A1251" s="14"/>
      <c r="B1251" s="125" t="s">
        <v>182</v>
      </c>
      <c r="C1251" s="109" t="s">
        <v>406</v>
      </c>
      <c r="D1251" s="108" t="s">
        <v>342</v>
      </c>
      <c r="E1251" s="108" t="s">
        <v>13</v>
      </c>
      <c r="F1251" s="108" t="s">
        <v>735</v>
      </c>
      <c r="G1251" s="108" t="s">
        <v>183</v>
      </c>
      <c r="H1251" s="126">
        <f>H1252</f>
        <v>0</v>
      </c>
      <c r="I1251" s="108">
        <v>820460120</v>
      </c>
      <c r="J1251" s="108" t="str">
        <f t="shared" si="197"/>
        <v>0820460120</v>
      </c>
      <c r="K1251" s="132"/>
      <c r="L1251" s="17"/>
      <c r="M1251" s="20">
        <v>1500</v>
      </c>
      <c r="N1251" s="20">
        <v>0</v>
      </c>
      <c r="O1251" s="20">
        <v>0</v>
      </c>
      <c r="P1251" s="20">
        <f t="shared" si="210"/>
        <v>-1500</v>
      </c>
      <c r="Q1251" s="20" t="e">
        <f>#REF!-N1251</f>
        <v>#REF!</v>
      </c>
      <c r="R1251" s="20" t="e">
        <f>#REF!-O1251</f>
        <v>#REF!</v>
      </c>
      <c r="S1251" s="17" t="str">
        <f t="shared" si="199"/>
        <v>08 2 04 60120630</v>
      </c>
    </row>
    <row r="1252" spans="1:19" s="16" customFormat="1" ht="47.25">
      <c r="A1252" s="14"/>
      <c r="B1252" s="125" t="s">
        <v>736</v>
      </c>
      <c r="C1252" s="109" t="s">
        <v>406</v>
      </c>
      <c r="D1252" s="108" t="s">
        <v>342</v>
      </c>
      <c r="E1252" s="108" t="s">
        <v>13</v>
      </c>
      <c r="F1252" s="108" t="s">
        <v>735</v>
      </c>
      <c r="G1252" s="108" t="s">
        <v>214</v>
      </c>
      <c r="H1252" s="126"/>
      <c r="I1252" s="108">
        <v>820460120</v>
      </c>
      <c r="J1252" s="108" t="str">
        <f t="shared" si="197"/>
        <v>0820460120</v>
      </c>
      <c r="K1252" s="304" t="str">
        <f>C1252&amp;D1252&amp;E1252&amp;J1252&amp;G1252</f>
        <v>61111030820460120634</v>
      </c>
      <c r="L1252" s="17"/>
      <c r="M1252" s="20"/>
      <c r="N1252" s="20"/>
      <c r="O1252" s="20"/>
      <c r="P1252" s="20"/>
      <c r="Q1252" s="20"/>
      <c r="R1252" s="20"/>
      <c r="S1252" s="17"/>
    </row>
    <row r="1253" spans="1:19" s="16" customFormat="1" ht="63">
      <c r="A1253" s="14"/>
      <c r="B1253" s="125" t="s">
        <v>1138</v>
      </c>
      <c r="C1253" s="109" t="s">
        <v>406</v>
      </c>
      <c r="D1253" s="108" t="s">
        <v>342</v>
      </c>
      <c r="E1253" s="108" t="s">
        <v>13</v>
      </c>
      <c r="F1253" s="108" t="s">
        <v>1139</v>
      </c>
      <c r="G1253" s="108" t="s">
        <v>9</v>
      </c>
      <c r="H1253" s="126">
        <f t="shared" ref="H1253" si="212">H1254</f>
        <v>0</v>
      </c>
      <c r="I1253" s="108">
        <v>820460150</v>
      </c>
      <c r="J1253" s="108" t="str">
        <f t="shared" si="197"/>
        <v>0820460150</v>
      </c>
      <c r="K1253" s="17"/>
      <c r="L1253" s="17"/>
      <c r="M1253" s="20"/>
      <c r="N1253" s="20"/>
      <c r="O1253" s="20"/>
      <c r="P1253" s="20"/>
      <c r="Q1253" s="20"/>
      <c r="R1253" s="20"/>
      <c r="S1253" s="17"/>
    </row>
    <row r="1254" spans="1:19" s="16" customFormat="1" ht="47.25">
      <c r="A1254" s="14"/>
      <c r="B1254" s="125" t="s">
        <v>182</v>
      </c>
      <c r="C1254" s="109" t="s">
        <v>406</v>
      </c>
      <c r="D1254" s="108" t="s">
        <v>342</v>
      </c>
      <c r="E1254" s="108" t="s">
        <v>13</v>
      </c>
      <c r="F1254" s="108" t="s">
        <v>1139</v>
      </c>
      <c r="G1254" s="108" t="s">
        <v>183</v>
      </c>
      <c r="H1254" s="126">
        <f>H1255</f>
        <v>0</v>
      </c>
      <c r="I1254" s="108">
        <v>820460150</v>
      </c>
      <c r="J1254" s="108" t="str">
        <f t="shared" si="197"/>
        <v>0820460150</v>
      </c>
      <c r="K1254" s="17"/>
      <c r="L1254" s="17"/>
      <c r="M1254" s="20"/>
      <c r="N1254" s="20"/>
      <c r="O1254" s="20"/>
      <c r="P1254" s="20"/>
      <c r="Q1254" s="20"/>
      <c r="R1254" s="20"/>
      <c r="S1254" s="17"/>
    </row>
    <row r="1255" spans="1:19" s="16" customFormat="1" ht="94.5">
      <c r="A1255" s="14"/>
      <c r="B1255" s="127" t="s">
        <v>1165</v>
      </c>
      <c r="C1255" s="109" t="s">
        <v>406</v>
      </c>
      <c r="D1255" s="108" t="s">
        <v>342</v>
      </c>
      <c r="E1255" s="108" t="s">
        <v>13</v>
      </c>
      <c r="F1255" s="108" t="s">
        <v>1139</v>
      </c>
      <c r="G1255" s="108" t="s">
        <v>416</v>
      </c>
      <c r="H1255" s="126"/>
      <c r="I1255" s="108">
        <v>820460150</v>
      </c>
      <c r="J1255" s="108" t="str">
        <f t="shared" si="197"/>
        <v>0820460150</v>
      </c>
      <c r="K1255" s="304" t="str">
        <f>C1255&amp;D1255&amp;E1255&amp;J1255&amp;G1255</f>
        <v>61111030820460150632</v>
      </c>
      <c r="L1255" s="17"/>
      <c r="M1255" s="20"/>
      <c r="N1255" s="20"/>
      <c r="O1255" s="20"/>
      <c r="P1255" s="20"/>
      <c r="Q1255" s="20"/>
      <c r="R1255" s="20"/>
      <c r="S1255" s="17"/>
    </row>
    <row r="1256" spans="1:19" s="16" customFormat="1" ht="31.5">
      <c r="A1256" s="14"/>
      <c r="B1256" s="121" t="s">
        <v>737</v>
      </c>
      <c r="C1256" s="122" t="s">
        <v>406</v>
      </c>
      <c r="D1256" s="123" t="s">
        <v>342</v>
      </c>
      <c r="E1256" s="123" t="s">
        <v>86</v>
      </c>
      <c r="F1256" s="123" t="s">
        <v>8</v>
      </c>
      <c r="G1256" s="123" t="s">
        <v>9</v>
      </c>
      <c r="H1256" s="124">
        <f t="shared" ref="H1256" si="213">H1257</f>
        <v>0</v>
      </c>
      <c r="I1256" s="123">
        <v>0</v>
      </c>
      <c r="J1256" s="123" t="str">
        <f t="shared" ref="J1256:J1320" si="214">TEXT(I1256,"0000000000")</f>
        <v>0000000000</v>
      </c>
      <c r="K1256" s="132"/>
      <c r="L1256" s="17"/>
      <c r="M1256" s="19">
        <v>16961.150000000001</v>
      </c>
      <c r="N1256" s="19">
        <v>16961.150000000001</v>
      </c>
      <c r="O1256" s="19">
        <v>16961.150000000001</v>
      </c>
      <c r="P1256" s="19">
        <f>H1256-M1256</f>
        <v>-16961.150000000001</v>
      </c>
      <c r="Q1256" s="19" t="e">
        <f>#REF!-N1256</f>
        <v>#REF!</v>
      </c>
      <c r="R1256" s="19" t="e">
        <f>#REF!-O1256</f>
        <v>#REF!</v>
      </c>
      <c r="S1256" s="17" t="str">
        <f t="shared" si="199"/>
        <v>00 0 00 00000000</v>
      </c>
    </row>
    <row r="1257" spans="1:19" s="16" customFormat="1" ht="31.5">
      <c r="A1257" s="14"/>
      <c r="B1257" s="125" t="s">
        <v>738</v>
      </c>
      <c r="C1257" s="109" t="s">
        <v>406</v>
      </c>
      <c r="D1257" s="108" t="s">
        <v>342</v>
      </c>
      <c r="E1257" s="108" t="s">
        <v>86</v>
      </c>
      <c r="F1257" s="108" t="s">
        <v>739</v>
      </c>
      <c r="G1257" s="108" t="s">
        <v>9</v>
      </c>
      <c r="H1257" s="126">
        <f>H1258</f>
        <v>0</v>
      </c>
      <c r="I1257" s="108">
        <v>7800000000</v>
      </c>
      <c r="J1257" s="108" t="str">
        <f t="shared" si="214"/>
        <v>7800000000</v>
      </c>
      <c r="K1257" s="132"/>
      <c r="L1257" s="17"/>
      <c r="M1257" s="20">
        <v>16961.150000000001</v>
      </c>
      <c r="N1257" s="20">
        <v>16961.150000000001</v>
      </c>
      <c r="O1257" s="20">
        <v>16961.150000000001</v>
      </c>
      <c r="P1257" s="20">
        <f>H1257-M1257</f>
        <v>-16961.150000000001</v>
      </c>
      <c r="Q1257" s="20" t="e">
        <f>#REF!-N1257</f>
        <v>#REF!</v>
      </c>
      <c r="R1257" s="20" t="e">
        <f>#REF!-O1257</f>
        <v>#REF!</v>
      </c>
      <c r="S1257" s="17" t="str">
        <f t="shared" si="199"/>
        <v>78 0 00 00000000</v>
      </c>
    </row>
    <row r="1258" spans="1:19" s="16" customFormat="1" ht="47.25">
      <c r="A1258" s="14"/>
      <c r="B1258" s="125" t="s">
        <v>740</v>
      </c>
      <c r="C1258" s="109" t="s">
        <v>406</v>
      </c>
      <c r="D1258" s="108" t="s">
        <v>342</v>
      </c>
      <c r="E1258" s="108" t="s">
        <v>86</v>
      </c>
      <c r="F1258" s="108" t="s">
        <v>741</v>
      </c>
      <c r="G1258" s="108" t="s">
        <v>9</v>
      </c>
      <c r="H1258" s="126">
        <f>H1259+H1268+H1272</f>
        <v>0</v>
      </c>
      <c r="I1258" s="108">
        <v>7810000000</v>
      </c>
      <c r="J1258" s="108" t="str">
        <f t="shared" si="214"/>
        <v>7810000000</v>
      </c>
      <c r="K1258" s="132"/>
      <c r="L1258" s="17"/>
      <c r="M1258" s="20">
        <v>16961.150000000001</v>
      </c>
      <c r="N1258" s="20">
        <v>16961.150000000001</v>
      </c>
      <c r="O1258" s="20">
        <v>16961.150000000001</v>
      </c>
      <c r="P1258" s="20">
        <f>H1258-M1258</f>
        <v>-16961.150000000001</v>
      </c>
      <c r="Q1258" s="20" t="e">
        <f>#REF!-N1258</f>
        <v>#REF!</v>
      </c>
      <c r="R1258" s="20" t="e">
        <f>#REF!-O1258</f>
        <v>#REF!</v>
      </c>
      <c r="S1258" s="17" t="str">
        <f t="shared" si="199"/>
        <v>78 1 00 00000000</v>
      </c>
    </row>
    <row r="1259" spans="1:19" s="16" customFormat="1" ht="31.5">
      <c r="A1259" s="14"/>
      <c r="B1259" s="125" t="s">
        <v>18</v>
      </c>
      <c r="C1259" s="109" t="s">
        <v>406</v>
      </c>
      <c r="D1259" s="108" t="s">
        <v>342</v>
      </c>
      <c r="E1259" s="108" t="s">
        <v>86</v>
      </c>
      <c r="F1259" s="108" t="s">
        <v>742</v>
      </c>
      <c r="G1259" s="108" t="s">
        <v>9</v>
      </c>
      <c r="H1259" s="126">
        <f>H1260+H1263+H1265</f>
        <v>0</v>
      </c>
      <c r="I1259" s="108">
        <v>7810010010</v>
      </c>
      <c r="J1259" s="108" t="str">
        <f t="shared" si="214"/>
        <v>7810010010</v>
      </c>
      <c r="K1259" s="132"/>
      <c r="L1259" s="17"/>
      <c r="M1259" s="20">
        <v>778.21</v>
      </c>
      <c r="N1259" s="20">
        <v>778.21</v>
      </c>
      <c r="O1259" s="20">
        <v>778.21</v>
      </c>
      <c r="P1259" s="20">
        <f>H1259-M1259</f>
        <v>-778.21</v>
      </c>
      <c r="Q1259" s="20" t="e">
        <f>#REF!-N1259</f>
        <v>#REF!</v>
      </c>
      <c r="R1259" s="20" t="e">
        <f>#REF!-O1259</f>
        <v>#REF!</v>
      </c>
      <c r="S1259" s="17" t="str">
        <f t="shared" si="199"/>
        <v>78 1 00 10010000</v>
      </c>
    </row>
    <row r="1260" spans="1:19" s="16" customFormat="1" ht="31.5">
      <c r="A1260" s="14"/>
      <c r="B1260" s="127" t="s">
        <v>20</v>
      </c>
      <c r="C1260" s="109" t="s">
        <v>406</v>
      </c>
      <c r="D1260" s="108" t="s">
        <v>342</v>
      </c>
      <c r="E1260" s="108" t="s">
        <v>86</v>
      </c>
      <c r="F1260" s="108" t="s">
        <v>742</v>
      </c>
      <c r="G1260" s="108" t="s">
        <v>21</v>
      </c>
      <c r="H1260" s="126">
        <f>SUM(H1261:H1262)</f>
        <v>0</v>
      </c>
      <c r="I1260" s="108">
        <v>7810010010</v>
      </c>
      <c r="J1260" s="108" t="str">
        <f t="shared" si="214"/>
        <v>7810010010</v>
      </c>
      <c r="K1260" s="132"/>
      <c r="L1260" s="17"/>
      <c r="M1260" s="20">
        <v>202.21</v>
      </c>
      <c r="N1260" s="20">
        <v>202.21</v>
      </c>
      <c r="O1260" s="20">
        <v>202.21</v>
      </c>
      <c r="P1260" s="20">
        <f>H1260-M1260</f>
        <v>-202.21</v>
      </c>
      <c r="Q1260" s="20" t="e">
        <f>#REF!-N1260</f>
        <v>#REF!</v>
      </c>
      <c r="R1260" s="20" t="e">
        <f>#REF!-O1260</f>
        <v>#REF!</v>
      </c>
      <c r="S1260" s="17" t="str">
        <f t="shared" si="199"/>
        <v>78 1 00 10010120</v>
      </c>
    </row>
    <row r="1261" spans="1:19" s="23" customFormat="1" ht="47.25">
      <c r="A1261" s="21"/>
      <c r="B1261" s="127" t="s">
        <v>22</v>
      </c>
      <c r="C1261" s="109" t="s">
        <v>406</v>
      </c>
      <c r="D1261" s="108" t="s">
        <v>342</v>
      </c>
      <c r="E1261" s="108" t="s">
        <v>86</v>
      </c>
      <c r="F1261" s="108" t="s">
        <v>742</v>
      </c>
      <c r="G1261" s="108" t="s">
        <v>23</v>
      </c>
      <c r="H1261" s="126"/>
      <c r="I1261" s="108">
        <v>7810010010</v>
      </c>
      <c r="J1261" s="108" t="str">
        <f t="shared" si="214"/>
        <v>7810010010</v>
      </c>
      <c r="K1261" s="304" t="str">
        <f t="shared" ref="K1261:K1262" si="215">C1261&amp;D1261&amp;E1261&amp;J1261&amp;G1261</f>
        <v>61111057810010010122</v>
      </c>
      <c r="L1261" s="24"/>
      <c r="M1261" s="22"/>
      <c r="N1261" s="22"/>
      <c r="O1261" s="22"/>
      <c r="P1261" s="22"/>
      <c r="Q1261" s="22"/>
      <c r="R1261" s="22"/>
      <c r="S1261" s="24"/>
    </row>
    <row r="1262" spans="1:19" s="23" customFormat="1" ht="63">
      <c r="A1262" s="21"/>
      <c r="B1262" s="127" t="s">
        <v>26</v>
      </c>
      <c r="C1262" s="109" t="s">
        <v>406</v>
      </c>
      <c r="D1262" s="108" t="s">
        <v>342</v>
      </c>
      <c r="E1262" s="108" t="s">
        <v>86</v>
      </c>
      <c r="F1262" s="108" t="s">
        <v>742</v>
      </c>
      <c r="G1262" s="108" t="s">
        <v>27</v>
      </c>
      <c r="H1262" s="126"/>
      <c r="I1262" s="108">
        <v>7810010010</v>
      </c>
      <c r="J1262" s="108" t="str">
        <f t="shared" si="214"/>
        <v>7810010010</v>
      </c>
      <c r="K1262" s="304" t="str">
        <f t="shared" si="215"/>
        <v>61111057810010010129</v>
      </c>
      <c r="L1262" s="24"/>
      <c r="M1262" s="22"/>
      <c r="N1262" s="22"/>
      <c r="O1262" s="22"/>
      <c r="P1262" s="22"/>
      <c r="Q1262" s="22"/>
      <c r="R1262" s="22"/>
      <c r="S1262" s="24"/>
    </row>
    <row r="1263" spans="1:19" s="16" customFormat="1" ht="31.5">
      <c r="A1263" s="14"/>
      <c r="B1263" s="125" t="s">
        <v>28</v>
      </c>
      <c r="C1263" s="109" t="s">
        <v>406</v>
      </c>
      <c r="D1263" s="108" t="s">
        <v>342</v>
      </c>
      <c r="E1263" s="108" t="s">
        <v>86</v>
      </c>
      <c r="F1263" s="108" t="s">
        <v>742</v>
      </c>
      <c r="G1263" s="108" t="s">
        <v>29</v>
      </c>
      <c r="H1263" s="126">
        <f>H1264</f>
        <v>0</v>
      </c>
      <c r="I1263" s="108">
        <v>7810010010</v>
      </c>
      <c r="J1263" s="108" t="str">
        <f t="shared" si="214"/>
        <v>7810010010</v>
      </c>
      <c r="K1263" s="132"/>
      <c r="L1263" s="17"/>
      <c r="M1263" s="20">
        <v>568</v>
      </c>
      <c r="N1263" s="20">
        <v>568</v>
      </c>
      <c r="O1263" s="20">
        <v>568</v>
      </c>
      <c r="P1263" s="20">
        <f>H1263-M1263</f>
        <v>-568</v>
      </c>
      <c r="Q1263" s="20" t="e">
        <f>#REF!-N1263</f>
        <v>#REF!</v>
      </c>
      <c r="R1263" s="20" t="e">
        <f>#REF!-O1263</f>
        <v>#REF!</v>
      </c>
      <c r="S1263" s="17" t="str">
        <f t="shared" si="199"/>
        <v>78 1 00 10010240</v>
      </c>
    </row>
    <row r="1264" spans="1:19" s="16" customFormat="1" ht="15.75">
      <c r="A1264" s="14"/>
      <c r="B1264" s="125" t="s">
        <v>30</v>
      </c>
      <c r="C1264" s="109" t="s">
        <v>406</v>
      </c>
      <c r="D1264" s="108" t="s">
        <v>342</v>
      </c>
      <c r="E1264" s="108" t="s">
        <v>86</v>
      </c>
      <c r="F1264" s="108" t="s">
        <v>742</v>
      </c>
      <c r="G1264" s="108" t="s">
        <v>31</v>
      </c>
      <c r="H1264" s="126"/>
      <c r="I1264" s="108">
        <v>7810010010</v>
      </c>
      <c r="J1264" s="108" t="str">
        <f t="shared" si="214"/>
        <v>7810010010</v>
      </c>
      <c r="K1264" s="304" t="str">
        <f>C1264&amp;D1264&amp;E1264&amp;J1264&amp;G1264</f>
        <v>61111057810010010244</v>
      </c>
      <c r="L1264" s="17"/>
      <c r="M1264" s="20"/>
      <c r="N1264" s="20"/>
      <c r="O1264" s="20"/>
      <c r="P1264" s="20"/>
      <c r="Q1264" s="20"/>
      <c r="R1264" s="20"/>
      <c r="S1264" s="17"/>
    </row>
    <row r="1265" spans="1:19" s="16" customFormat="1" ht="15.75">
      <c r="A1265" s="14"/>
      <c r="B1265" s="125" t="s">
        <v>32</v>
      </c>
      <c r="C1265" s="109" t="s">
        <v>406</v>
      </c>
      <c r="D1265" s="108" t="s">
        <v>342</v>
      </c>
      <c r="E1265" s="108" t="s">
        <v>86</v>
      </c>
      <c r="F1265" s="108" t="s">
        <v>742</v>
      </c>
      <c r="G1265" s="108" t="s">
        <v>33</v>
      </c>
      <c r="H1265" s="126">
        <f>SUM(H1266:H1267)</f>
        <v>0</v>
      </c>
      <c r="I1265" s="108">
        <v>7810010010</v>
      </c>
      <c r="J1265" s="108" t="str">
        <f t="shared" si="214"/>
        <v>7810010010</v>
      </c>
      <c r="K1265" s="132"/>
      <c r="L1265" s="17"/>
      <c r="M1265" s="20">
        <v>8</v>
      </c>
      <c r="N1265" s="20">
        <v>8</v>
      </c>
      <c r="O1265" s="20">
        <v>8</v>
      </c>
      <c r="P1265" s="20">
        <f>H1265-M1265</f>
        <v>-8</v>
      </c>
      <c r="Q1265" s="20" t="e">
        <f>#REF!-N1265</f>
        <v>#REF!</v>
      </c>
      <c r="R1265" s="20" t="e">
        <f>#REF!-O1265</f>
        <v>#REF!</v>
      </c>
      <c r="S1265" s="17" t="str">
        <f t="shared" si="199"/>
        <v>78 1 00 10010850</v>
      </c>
    </row>
    <row r="1266" spans="1:19" s="23" customFormat="1" ht="31.5">
      <c r="A1266" s="21"/>
      <c r="B1266" s="127" t="s">
        <v>34</v>
      </c>
      <c r="C1266" s="109" t="s">
        <v>406</v>
      </c>
      <c r="D1266" s="108" t="s">
        <v>342</v>
      </c>
      <c r="E1266" s="108" t="s">
        <v>86</v>
      </c>
      <c r="F1266" s="108" t="s">
        <v>742</v>
      </c>
      <c r="G1266" s="108" t="s">
        <v>35</v>
      </c>
      <c r="H1266" s="126"/>
      <c r="I1266" s="108">
        <v>7810010010</v>
      </c>
      <c r="J1266" s="108" t="str">
        <f t="shared" si="214"/>
        <v>7810010010</v>
      </c>
      <c r="K1266" s="304" t="str">
        <f t="shared" ref="K1266:K1267" si="216">C1266&amp;D1266&amp;E1266&amp;J1266&amp;G1266</f>
        <v>61111057810010010851</v>
      </c>
      <c r="L1266" s="24"/>
      <c r="M1266" s="22"/>
      <c r="N1266" s="22"/>
      <c r="O1266" s="22"/>
      <c r="P1266" s="22"/>
      <c r="Q1266" s="22"/>
      <c r="R1266" s="22"/>
      <c r="S1266" s="24"/>
    </row>
    <row r="1267" spans="1:19" s="23" customFormat="1" ht="15.75">
      <c r="A1267" s="21"/>
      <c r="B1267" s="127" t="s">
        <v>36</v>
      </c>
      <c r="C1267" s="109" t="s">
        <v>406</v>
      </c>
      <c r="D1267" s="108" t="s">
        <v>342</v>
      </c>
      <c r="E1267" s="108" t="s">
        <v>86</v>
      </c>
      <c r="F1267" s="108" t="s">
        <v>742</v>
      </c>
      <c r="G1267" s="108" t="s">
        <v>37</v>
      </c>
      <c r="H1267" s="126"/>
      <c r="I1267" s="108">
        <v>7810010010</v>
      </c>
      <c r="J1267" s="108" t="str">
        <f t="shared" si="214"/>
        <v>7810010010</v>
      </c>
      <c r="K1267" s="304" t="str">
        <f t="shared" si="216"/>
        <v>61111057810010010852</v>
      </c>
      <c r="L1267" s="24"/>
      <c r="M1267" s="22"/>
      <c r="N1267" s="22"/>
      <c r="O1267" s="22"/>
      <c r="P1267" s="22"/>
      <c r="Q1267" s="22"/>
      <c r="R1267" s="22"/>
      <c r="S1267" s="24"/>
    </row>
    <row r="1268" spans="1:19" s="16" customFormat="1" ht="31.5">
      <c r="A1268" s="14"/>
      <c r="B1268" s="125" t="s">
        <v>38</v>
      </c>
      <c r="C1268" s="109" t="s">
        <v>406</v>
      </c>
      <c r="D1268" s="108" t="s">
        <v>342</v>
      </c>
      <c r="E1268" s="108" t="s">
        <v>86</v>
      </c>
      <c r="F1268" s="108" t="s">
        <v>743</v>
      </c>
      <c r="G1268" s="108" t="s">
        <v>9</v>
      </c>
      <c r="H1268" s="126">
        <f>H1269</f>
        <v>0</v>
      </c>
      <c r="I1268" s="108">
        <v>7810010020</v>
      </c>
      <c r="J1268" s="108" t="str">
        <f t="shared" si="214"/>
        <v>7810010020</v>
      </c>
      <c r="K1268" s="132"/>
      <c r="L1268" s="17"/>
      <c r="M1268" s="20">
        <v>7074.5400000000009</v>
      </c>
      <c r="N1268" s="20">
        <v>7074.5400000000009</v>
      </c>
      <c r="O1268" s="20">
        <v>7074.5400000000009</v>
      </c>
      <c r="P1268" s="20">
        <f>H1268-M1268</f>
        <v>-7074.5400000000009</v>
      </c>
      <c r="Q1268" s="20" t="e">
        <f>#REF!-N1268</f>
        <v>#REF!</v>
      </c>
      <c r="R1268" s="20" t="e">
        <f>#REF!-O1268</f>
        <v>#REF!</v>
      </c>
      <c r="S1268" s="17" t="str">
        <f t="shared" si="199"/>
        <v>78 1 00 10020000</v>
      </c>
    </row>
    <row r="1269" spans="1:19" s="16" customFormat="1" ht="31.5">
      <c r="A1269" s="14"/>
      <c r="B1269" s="127" t="s">
        <v>20</v>
      </c>
      <c r="C1269" s="109" t="s">
        <v>406</v>
      </c>
      <c r="D1269" s="108" t="s">
        <v>342</v>
      </c>
      <c r="E1269" s="108" t="s">
        <v>86</v>
      </c>
      <c r="F1269" s="108" t="s">
        <v>743</v>
      </c>
      <c r="G1269" s="108" t="s">
        <v>21</v>
      </c>
      <c r="H1269" s="126">
        <f>SUM(H1270:H1271)</f>
        <v>0</v>
      </c>
      <c r="I1269" s="108">
        <v>7810010020</v>
      </c>
      <c r="J1269" s="108" t="str">
        <f t="shared" si="214"/>
        <v>7810010020</v>
      </c>
      <c r="K1269" s="132"/>
      <c r="L1269" s="17"/>
      <c r="M1269" s="20">
        <v>7074.5400000000009</v>
      </c>
      <c r="N1269" s="20">
        <v>7074.5400000000009</v>
      </c>
      <c r="O1269" s="20">
        <v>7074.5400000000009</v>
      </c>
      <c r="P1269" s="20">
        <f>H1269-M1269</f>
        <v>-7074.5400000000009</v>
      </c>
      <c r="Q1269" s="20" t="e">
        <f>#REF!-N1269</f>
        <v>#REF!</v>
      </c>
      <c r="R1269" s="20" t="e">
        <f>#REF!-O1269</f>
        <v>#REF!</v>
      </c>
      <c r="S1269" s="17" t="str">
        <f t="shared" si="199"/>
        <v>78 1 00 10020120</v>
      </c>
    </row>
    <row r="1270" spans="1:19" s="23" customFormat="1" ht="31.5">
      <c r="A1270" s="21"/>
      <c r="B1270" s="127" t="s">
        <v>40</v>
      </c>
      <c r="C1270" s="109" t="s">
        <v>406</v>
      </c>
      <c r="D1270" s="108" t="s">
        <v>342</v>
      </c>
      <c r="E1270" s="108" t="s">
        <v>86</v>
      </c>
      <c r="F1270" s="108" t="s">
        <v>743</v>
      </c>
      <c r="G1270" s="108" t="s">
        <v>41</v>
      </c>
      <c r="H1270" s="126"/>
      <c r="I1270" s="108">
        <v>7810010020</v>
      </c>
      <c r="J1270" s="108" t="str">
        <f t="shared" si="214"/>
        <v>7810010020</v>
      </c>
      <c r="K1270" s="304" t="str">
        <f t="shared" ref="K1270:K1271" si="217">C1270&amp;D1270&amp;E1270&amp;J1270&amp;G1270</f>
        <v>61111057810010020121</v>
      </c>
      <c r="L1270" s="24"/>
      <c r="M1270" s="22"/>
      <c r="N1270" s="22"/>
      <c r="O1270" s="22"/>
      <c r="P1270" s="22"/>
      <c r="Q1270" s="22"/>
      <c r="R1270" s="22"/>
      <c r="S1270" s="24"/>
    </row>
    <row r="1271" spans="1:19" s="23" customFormat="1" ht="63">
      <c r="A1271" s="21"/>
      <c r="B1271" s="127" t="s">
        <v>26</v>
      </c>
      <c r="C1271" s="109" t="s">
        <v>406</v>
      </c>
      <c r="D1271" s="108" t="s">
        <v>342</v>
      </c>
      <c r="E1271" s="108" t="s">
        <v>86</v>
      </c>
      <c r="F1271" s="108" t="s">
        <v>743</v>
      </c>
      <c r="G1271" s="108" t="s">
        <v>27</v>
      </c>
      <c r="H1271" s="126"/>
      <c r="I1271" s="108">
        <v>7810010020</v>
      </c>
      <c r="J1271" s="108" t="str">
        <f t="shared" si="214"/>
        <v>7810010020</v>
      </c>
      <c r="K1271" s="304" t="str">
        <f t="shared" si="217"/>
        <v>61111057810010020129</v>
      </c>
      <c r="L1271" s="24"/>
      <c r="M1271" s="22"/>
      <c r="N1271" s="22"/>
      <c r="O1271" s="22"/>
      <c r="P1271" s="22"/>
      <c r="Q1271" s="22"/>
      <c r="R1271" s="22"/>
      <c r="S1271" s="24"/>
    </row>
    <row r="1272" spans="1:19" s="16" customFormat="1" ht="31.5">
      <c r="A1272" s="14"/>
      <c r="B1272" s="307" t="s">
        <v>136</v>
      </c>
      <c r="C1272" s="109" t="s">
        <v>406</v>
      </c>
      <c r="D1272" s="108" t="s">
        <v>342</v>
      </c>
      <c r="E1272" s="108" t="s">
        <v>86</v>
      </c>
      <c r="F1272" s="308" t="s">
        <v>744</v>
      </c>
      <c r="G1272" s="308" t="s">
        <v>9</v>
      </c>
      <c r="H1272" s="126">
        <f>H1273+H1276</f>
        <v>0</v>
      </c>
      <c r="I1272" s="308">
        <v>7810011010</v>
      </c>
      <c r="J1272" s="308" t="str">
        <f t="shared" si="214"/>
        <v>7810011010</v>
      </c>
      <c r="K1272" s="132"/>
      <c r="L1272" s="17"/>
      <c r="M1272" s="20">
        <v>9108.4</v>
      </c>
      <c r="N1272" s="20">
        <v>9108.4</v>
      </c>
      <c r="O1272" s="20">
        <v>9108.4</v>
      </c>
      <c r="P1272" s="20">
        <f>H1272-M1272</f>
        <v>-9108.4</v>
      </c>
      <c r="Q1272" s="20" t="e">
        <f>#REF!-N1272</f>
        <v>#REF!</v>
      </c>
      <c r="R1272" s="20" t="e">
        <f>#REF!-O1272</f>
        <v>#REF!</v>
      </c>
      <c r="S1272" s="17" t="str">
        <f t="shared" ref="S1272:S1382" si="218">CONCATENATE(F1272,G1272)</f>
        <v>78 1 00 11010000</v>
      </c>
    </row>
    <row r="1273" spans="1:19" s="16" customFormat="1" ht="15.75">
      <c r="A1273" s="14"/>
      <c r="B1273" s="306" t="s">
        <v>138</v>
      </c>
      <c r="C1273" s="109" t="s">
        <v>406</v>
      </c>
      <c r="D1273" s="108" t="s">
        <v>342</v>
      </c>
      <c r="E1273" s="108" t="s">
        <v>86</v>
      </c>
      <c r="F1273" s="308" t="s">
        <v>744</v>
      </c>
      <c r="G1273" s="308" t="s">
        <v>139</v>
      </c>
      <c r="H1273" s="126">
        <f>SUM(H1274:H1275)</f>
        <v>0</v>
      </c>
      <c r="I1273" s="308">
        <v>7810011010</v>
      </c>
      <c r="J1273" s="308" t="str">
        <f t="shared" si="214"/>
        <v>7810011010</v>
      </c>
      <c r="K1273" s="132"/>
      <c r="L1273" s="17"/>
      <c r="M1273" s="20">
        <v>7968.4</v>
      </c>
      <c r="N1273" s="20">
        <v>7968.4</v>
      </c>
      <c r="O1273" s="20">
        <v>7968.4</v>
      </c>
      <c r="P1273" s="20">
        <f>H1273-M1273</f>
        <v>-7968.4</v>
      </c>
      <c r="Q1273" s="20" t="e">
        <f>#REF!-N1273</f>
        <v>#REF!</v>
      </c>
      <c r="R1273" s="20" t="e">
        <f>#REF!-O1273</f>
        <v>#REF!</v>
      </c>
      <c r="S1273" s="17" t="str">
        <f t="shared" si="218"/>
        <v>78 1 00 11010110</v>
      </c>
    </row>
    <row r="1274" spans="1:19" s="23" customFormat="1" ht="15.75">
      <c r="A1274" s="21"/>
      <c r="B1274" s="127" t="s">
        <v>140</v>
      </c>
      <c r="C1274" s="109" t="s">
        <v>406</v>
      </c>
      <c r="D1274" s="108" t="s">
        <v>342</v>
      </c>
      <c r="E1274" s="108" t="s">
        <v>86</v>
      </c>
      <c r="F1274" s="308" t="s">
        <v>744</v>
      </c>
      <c r="G1274" s="308" t="s">
        <v>141</v>
      </c>
      <c r="H1274" s="126"/>
      <c r="I1274" s="308">
        <v>7810011010</v>
      </c>
      <c r="J1274" s="308" t="str">
        <f t="shared" si="214"/>
        <v>7810011010</v>
      </c>
      <c r="K1274" s="304" t="str">
        <f t="shared" ref="K1274:K1275" si="219">C1274&amp;D1274&amp;E1274&amp;J1274&amp;G1274</f>
        <v>61111057810011010111</v>
      </c>
      <c r="L1274" s="24"/>
      <c r="M1274" s="22"/>
      <c r="N1274" s="22"/>
      <c r="O1274" s="22"/>
      <c r="P1274" s="22"/>
      <c r="Q1274" s="22"/>
      <c r="R1274" s="22"/>
      <c r="S1274" s="24"/>
    </row>
    <row r="1275" spans="1:19" s="23" customFormat="1" ht="47.25">
      <c r="A1275" s="21"/>
      <c r="B1275" s="127" t="s">
        <v>487</v>
      </c>
      <c r="C1275" s="109" t="s">
        <v>406</v>
      </c>
      <c r="D1275" s="108" t="s">
        <v>342</v>
      </c>
      <c r="E1275" s="108" t="s">
        <v>86</v>
      </c>
      <c r="F1275" s="308" t="s">
        <v>744</v>
      </c>
      <c r="G1275" s="308" t="s">
        <v>145</v>
      </c>
      <c r="H1275" s="126"/>
      <c r="I1275" s="308">
        <v>7810011010</v>
      </c>
      <c r="J1275" s="308" t="str">
        <f t="shared" si="214"/>
        <v>7810011010</v>
      </c>
      <c r="K1275" s="304" t="str">
        <f t="shared" si="219"/>
        <v>61111057810011010119</v>
      </c>
      <c r="L1275" s="24"/>
      <c r="M1275" s="22"/>
      <c r="N1275" s="22"/>
      <c r="O1275" s="22"/>
      <c r="P1275" s="22"/>
      <c r="Q1275" s="22"/>
      <c r="R1275" s="22"/>
      <c r="S1275" s="24"/>
    </row>
    <row r="1276" spans="1:19" s="16" customFormat="1" ht="31.5">
      <c r="A1276" s="14"/>
      <c r="B1276" s="125" t="s">
        <v>28</v>
      </c>
      <c r="C1276" s="109" t="s">
        <v>406</v>
      </c>
      <c r="D1276" s="108" t="s">
        <v>342</v>
      </c>
      <c r="E1276" s="108" t="s">
        <v>86</v>
      </c>
      <c r="F1276" s="308" t="s">
        <v>744</v>
      </c>
      <c r="G1276" s="308" t="s">
        <v>29</v>
      </c>
      <c r="H1276" s="126">
        <f>H1277</f>
        <v>0</v>
      </c>
      <c r="I1276" s="308">
        <v>7810011010</v>
      </c>
      <c r="J1276" s="308" t="str">
        <f t="shared" si="214"/>
        <v>7810011010</v>
      </c>
      <c r="K1276" s="132"/>
      <c r="L1276" s="17"/>
      <c r="M1276" s="20">
        <v>1140</v>
      </c>
      <c r="N1276" s="20">
        <v>1140</v>
      </c>
      <c r="O1276" s="20">
        <v>1140</v>
      </c>
      <c r="P1276" s="20">
        <f>H1276-M1276</f>
        <v>-1140</v>
      </c>
      <c r="Q1276" s="20" t="e">
        <f>#REF!-N1276</f>
        <v>#REF!</v>
      </c>
      <c r="R1276" s="20" t="e">
        <f>#REF!-O1276</f>
        <v>#REF!</v>
      </c>
      <c r="S1276" s="17" t="str">
        <f t="shared" si="218"/>
        <v>78 1 00 11010240</v>
      </c>
    </row>
    <row r="1277" spans="1:19" s="16" customFormat="1" ht="15.75">
      <c r="A1277" s="14"/>
      <c r="B1277" s="125" t="s">
        <v>30</v>
      </c>
      <c r="C1277" s="109" t="s">
        <v>406</v>
      </c>
      <c r="D1277" s="108" t="s">
        <v>342</v>
      </c>
      <c r="E1277" s="108" t="s">
        <v>86</v>
      </c>
      <c r="F1277" s="308" t="s">
        <v>744</v>
      </c>
      <c r="G1277" s="308" t="s">
        <v>31</v>
      </c>
      <c r="H1277" s="126"/>
      <c r="I1277" s="308">
        <v>7810011010</v>
      </c>
      <c r="J1277" s="308" t="str">
        <f t="shared" si="214"/>
        <v>7810011010</v>
      </c>
      <c r="K1277" s="304" t="str">
        <f>C1277&amp;D1277&amp;E1277&amp;J1277&amp;G1277</f>
        <v>61111057810011010244</v>
      </c>
      <c r="L1277" s="17"/>
      <c r="M1277" s="20"/>
      <c r="N1277" s="20"/>
      <c r="O1277" s="20"/>
      <c r="P1277" s="20"/>
      <c r="Q1277" s="20"/>
      <c r="R1277" s="20"/>
      <c r="S1277" s="17"/>
    </row>
    <row r="1278" spans="1:19" s="16" customFormat="1" ht="15.75">
      <c r="A1278" s="14"/>
      <c r="B1278" s="127"/>
      <c r="C1278" s="109"/>
      <c r="D1278" s="108"/>
      <c r="E1278" s="108"/>
      <c r="F1278" s="108"/>
      <c r="G1278" s="108"/>
      <c r="H1278" s="126"/>
      <c r="I1278" s="108"/>
      <c r="J1278" s="108" t="str">
        <f t="shared" si="214"/>
        <v>0000000000</v>
      </c>
      <c r="K1278" s="17"/>
      <c r="L1278" s="17"/>
      <c r="M1278" s="20"/>
      <c r="N1278" s="20"/>
      <c r="O1278" s="20"/>
      <c r="P1278" s="20">
        <f t="shared" ref="P1278:P1285" si="220">H1278-M1278</f>
        <v>0</v>
      </c>
      <c r="Q1278" s="20" t="e">
        <f>#REF!-N1278</f>
        <v>#REF!</v>
      </c>
      <c r="R1278" s="20" t="e">
        <f>#REF!-O1278</f>
        <v>#REF!</v>
      </c>
      <c r="S1278" s="17" t="str">
        <f t="shared" si="218"/>
        <v/>
      </c>
    </row>
    <row r="1279" spans="1:19" s="16" customFormat="1" ht="31.5">
      <c r="A1279" s="14"/>
      <c r="B1279" s="67" t="s">
        <v>745</v>
      </c>
      <c r="C1279" s="116" t="s">
        <v>746</v>
      </c>
      <c r="D1279" s="69" t="s">
        <v>7</v>
      </c>
      <c r="E1279" s="69" t="s">
        <v>7</v>
      </c>
      <c r="F1279" s="69" t="s">
        <v>8</v>
      </c>
      <c r="G1279" s="69" t="s">
        <v>9</v>
      </c>
      <c r="H1279" s="70">
        <f>H1280+H1323+H1337+H1376</f>
        <v>0</v>
      </c>
      <c r="I1279" s="69">
        <v>0</v>
      </c>
      <c r="J1279" s="69" t="str">
        <f t="shared" si="214"/>
        <v>0000000000</v>
      </c>
      <c r="K1279" s="132"/>
      <c r="L1279" s="17"/>
      <c r="M1279" s="25">
        <v>136890.37999999998</v>
      </c>
      <c r="N1279" s="25">
        <v>136743.88999999998</v>
      </c>
      <c r="O1279" s="25">
        <v>144115.65</v>
      </c>
      <c r="P1279" s="25">
        <f t="shared" si="220"/>
        <v>-136890.37999999998</v>
      </c>
      <c r="Q1279" s="25" t="e">
        <f>#REF!-N1279</f>
        <v>#REF!</v>
      </c>
      <c r="R1279" s="25" t="e">
        <f>#REF!-O1279</f>
        <v>#REF!</v>
      </c>
      <c r="S1279" s="17" t="str">
        <f t="shared" si="218"/>
        <v>00 0 00 00000000</v>
      </c>
    </row>
    <row r="1280" spans="1:19" s="16" customFormat="1" ht="15.75">
      <c r="A1280" s="14"/>
      <c r="B1280" s="117" t="s">
        <v>10</v>
      </c>
      <c r="C1280" s="118" t="s">
        <v>746</v>
      </c>
      <c r="D1280" s="119" t="s">
        <v>11</v>
      </c>
      <c r="E1280" s="119" t="s">
        <v>7</v>
      </c>
      <c r="F1280" s="119" t="s">
        <v>8</v>
      </c>
      <c r="G1280" s="119" t="s">
        <v>9</v>
      </c>
      <c r="H1280" s="120">
        <f>H1281+H1308</f>
        <v>0</v>
      </c>
      <c r="I1280" s="119">
        <v>0</v>
      </c>
      <c r="J1280" s="119" t="str">
        <f t="shared" si="214"/>
        <v>0000000000</v>
      </c>
      <c r="K1280" s="132"/>
      <c r="L1280" s="17"/>
      <c r="M1280" s="18">
        <v>35074.359999999993</v>
      </c>
      <c r="N1280" s="18">
        <v>33719.359999999993</v>
      </c>
      <c r="O1280" s="18">
        <v>33719.359999999993</v>
      </c>
      <c r="P1280" s="18">
        <f t="shared" si="220"/>
        <v>-35074.359999999993</v>
      </c>
      <c r="Q1280" s="18" t="e">
        <f>#REF!-N1280</f>
        <v>#REF!</v>
      </c>
      <c r="R1280" s="18" t="e">
        <f>#REF!-O1280</f>
        <v>#REF!</v>
      </c>
      <c r="S1280" s="17" t="str">
        <f t="shared" si="218"/>
        <v>00 0 00 00000000</v>
      </c>
    </row>
    <row r="1281" spans="1:19" s="16" customFormat="1" ht="63">
      <c r="A1281" s="14"/>
      <c r="B1281" s="121" t="s">
        <v>72</v>
      </c>
      <c r="C1281" s="122" t="s">
        <v>746</v>
      </c>
      <c r="D1281" s="123" t="s">
        <v>11</v>
      </c>
      <c r="E1281" s="123" t="s">
        <v>73</v>
      </c>
      <c r="F1281" s="123" t="s">
        <v>8</v>
      </c>
      <c r="G1281" s="123" t="s">
        <v>9</v>
      </c>
      <c r="H1281" s="124">
        <f t="shared" ref="H1281:H1282" si="221">H1282</f>
        <v>0</v>
      </c>
      <c r="I1281" s="123">
        <v>0</v>
      </c>
      <c r="J1281" s="123" t="str">
        <f t="shared" si="214"/>
        <v>0000000000</v>
      </c>
      <c r="K1281" s="132"/>
      <c r="L1281" s="17"/>
      <c r="M1281" s="19">
        <v>33329.159999999996</v>
      </c>
      <c r="N1281" s="19">
        <v>33329.159999999996</v>
      </c>
      <c r="O1281" s="19">
        <v>33329.159999999996</v>
      </c>
      <c r="P1281" s="19">
        <f t="shared" si="220"/>
        <v>-33329.159999999996</v>
      </c>
      <c r="Q1281" s="19" t="e">
        <f>#REF!-N1281</f>
        <v>#REF!</v>
      </c>
      <c r="R1281" s="19" t="e">
        <f>#REF!-O1281</f>
        <v>#REF!</v>
      </c>
      <c r="S1281" s="17" t="str">
        <f t="shared" si="218"/>
        <v>00 0 00 00000000</v>
      </c>
    </row>
    <row r="1282" spans="1:19" s="16" customFormat="1" ht="31.5">
      <c r="A1282" s="14"/>
      <c r="B1282" s="140" t="s">
        <v>747</v>
      </c>
      <c r="C1282" s="130" t="s">
        <v>746</v>
      </c>
      <c r="D1282" s="131" t="s">
        <v>11</v>
      </c>
      <c r="E1282" s="131" t="s">
        <v>73</v>
      </c>
      <c r="F1282" s="131" t="s">
        <v>748</v>
      </c>
      <c r="G1282" s="131" t="s">
        <v>9</v>
      </c>
      <c r="H1282" s="105">
        <f t="shared" si="221"/>
        <v>0</v>
      </c>
      <c r="I1282" s="131">
        <v>8000000000</v>
      </c>
      <c r="J1282" s="131" t="str">
        <f t="shared" si="214"/>
        <v>8000000000</v>
      </c>
      <c r="K1282" s="132"/>
      <c r="L1282" s="17"/>
      <c r="M1282" s="26">
        <v>33329.159999999996</v>
      </c>
      <c r="N1282" s="26">
        <v>33329.159999999996</v>
      </c>
      <c r="O1282" s="26">
        <v>33329.159999999996</v>
      </c>
      <c r="P1282" s="26">
        <f t="shared" si="220"/>
        <v>-33329.159999999996</v>
      </c>
      <c r="Q1282" s="26" t="e">
        <f>#REF!-N1282</f>
        <v>#REF!</v>
      </c>
      <c r="R1282" s="26" t="e">
        <f>#REF!-O1282</f>
        <v>#REF!</v>
      </c>
      <c r="S1282" s="17" t="str">
        <f t="shared" si="218"/>
        <v>80 0 00 00000000</v>
      </c>
    </row>
    <row r="1283" spans="1:19" s="16" customFormat="1" ht="47.25">
      <c r="A1283" s="14"/>
      <c r="B1283" s="140" t="s">
        <v>749</v>
      </c>
      <c r="C1283" s="130" t="s">
        <v>746</v>
      </c>
      <c r="D1283" s="131" t="s">
        <v>11</v>
      </c>
      <c r="E1283" s="131" t="s">
        <v>73</v>
      </c>
      <c r="F1283" s="131" t="s">
        <v>750</v>
      </c>
      <c r="G1283" s="131" t="s">
        <v>9</v>
      </c>
      <c r="H1283" s="105">
        <f>H1284+H1294+H1298+H1305</f>
        <v>0</v>
      </c>
      <c r="I1283" s="131">
        <v>8010000000</v>
      </c>
      <c r="J1283" s="131" t="str">
        <f t="shared" si="214"/>
        <v>8010000000</v>
      </c>
      <c r="K1283" s="132"/>
      <c r="L1283" s="17"/>
      <c r="M1283" s="26">
        <v>33329.159999999996</v>
      </c>
      <c r="N1283" s="26">
        <v>33329.159999999996</v>
      </c>
      <c r="O1283" s="26">
        <v>33329.159999999996</v>
      </c>
      <c r="P1283" s="26">
        <f t="shared" si="220"/>
        <v>-33329.159999999996</v>
      </c>
      <c r="Q1283" s="26" t="e">
        <f>#REF!-N1283</f>
        <v>#REF!</v>
      </c>
      <c r="R1283" s="26" t="e">
        <f>#REF!-O1283</f>
        <v>#REF!</v>
      </c>
      <c r="S1283" s="17" t="str">
        <f t="shared" si="218"/>
        <v>80 1 00 00000000</v>
      </c>
    </row>
    <row r="1284" spans="1:19" s="16" customFormat="1" ht="31.5">
      <c r="A1284" s="14"/>
      <c r="B1284" s="125" t="s">
        <v>18</v>
      </c>
      <c r="C1284" s="130" t="s">
        <v>746</v>
      </c>
      <c r="D1284" s="131" t="s">
        <v>11</v>
      </c>
      <c r="E1284" s="131" t="s">
        <v>73</v>
      </c>
      <c r="F1284" s="131" t="s">
        <v>751</v>
      </c>
      <c r="G1284" s="131" t="s">
        <v>9</v>
      </c>
      <c r="H1284" s="105">
        <f>H1285+H1288+H1290</f>
        <v>0</v>
      </c>
      <c r="I1284" s="131">
        <v>8010010010</v>
      </c>
      <c r="J1284" s="131" t="str">
        <f t="shared" si="214"/>
        <v>8010010010</v>
      </c>
      <c r="K1284" s="132"/>
      <c r="L1284" s="17"/>
      <c r="M1284" s="26">
        <v>4038.21</v>
      </c>
      <c r="N1284" s="26">
        <v>4038.21</v>
      </c>
      <c r="O1284" s="26">
        <v>4038.21</v>
      </c>
      <c r="P1284" s="26">
        <f t="shared" si="220"/>
        <v>-4038.21</v>
      </c>
      <c r="Q1284" s="26" t="e">
        <f>#REF!-N1284</f>
        <v>#REF!</v>
      </c>
      <c r="R1284" s="26" t="e">
        <f>#REF!-O1284</f>
        <v>#REF!</v>
      </c>
      <c r="S1284" s="17" t="str">
        <f t="shared" si="218"/>
        <v>80 1 00 10010000</v>
      </c>
    </row>
    <row r="1285" spans="1:19" s="16" customFormat="1" ht="31.5">
      <c r="A1285" s="14"/>
      <c r="B1285" s="127" t="s">
        <v>20</v>
      </c>
      <c r="C1285" s="130" t="s">
        <v>746</v>
      </c>
      <c r="D1285" s="131" t="s">
        <v>11</v>
      </c>
      <c r="E1285" s="131" t="s">
        <v>73</v>
      </c>
      <c r="F1285" s="131" t="s">
        <v>751</v>
      </c>
      <c r="G1285" s="131" t="s">
        <v>21</v>
      </c>
      <c r="H1285" s="126">
        <f>SUM(H1286:H1287)</f>
        <v>0</v>
      </c>
      <c r="I1285" s="131">
        <v>8010010010</v>
      </c>
      <c r="J1285" s="131" t="str">
        <f t="shared" si="214"/>
        <v>8010010010</v>
      </c>
      <c r="K1285" s="132"/>
      <c r="L1285" s="17"/>
      <c r="M1285" s="26">
        <v>620.46</v>
      </c>
      <c r="N1285" s="26">
        <v>620.46</v>
      </c>
      <c r="O1285" s="26">
        <v>620.46</v>
      </c>
      <c r="P1285" s="26">
        <f t="shared" si="220"/>
        <v>-620.46</v>
      </c>
      <c r="Q1285" s="26" t="e">
        <f>#REF!-N1285</f>
        <v>#REF!</v>
      </c>
      <c r="R1285" s="26" t="e">
        <f>#REF!-O1285</f>
        <v>#REF!</v>
      </c>
      <c r="S1285" s="17" t="str">
        <f t="shared" si="218"/>
        <v>80 1 00 10010120</v>
      </c>
    </row>
    <row r="1286" spans="1:19" s="23" customFormat="1" ht="47.25">
      <c r="A1286" s="21"/>
      <c r="B1286" s="127" t="s">
        <v>22</v>
      </c>
      <c r="C1286" s="130" t="s">
        <v>746</v>
      </c>
      <c r="D1286" s="131" t="s">
        <v>11</v>
      </c>
      <c r="E1286" s="131" t="s">
        <v>73</v>
      </c>
      <c r="F1286" s="131" t="s">
        <v>751</v>
      </c>
      <c r="G1286" s="108" t="s">
        <v>23</v>
      </c>
      <c r="H1286" s="126"/>
      <c r="I1286" s="131">
        <v>8010010010</v>
      </c>
      <c r="J1286" s="131" t="str">
        <f t="shared" si="214"/>
        <v>8010010010</v>
      </c>
      <c r="K1286" s="304" t="str">
        <f t="shared" ref="K1286:K1287" si="222">C1286&amp;D1286&amp;E1286&amp;J1286&amp;G1286</f>
        <v>61701048010010010122</v>
      </c>
      <c r="L1286" s="24"/>
      <c r="M1286" s="22"/>
      <c r="N1286" s="22"/>
      <c r="O1286" s="22"/>
      <c r="P1286" s="22"/>
      <c r="Q1286" s="22"/>
      <c r="R1286" s="22"/>
      <c r="S1286" s="24"/>
    </row>
    <row r="1287" spans="1:19" s="23" customFormat="1" ht="63">
      <c r="A1287" s="21"/>
      <c r="B1287" s="127" t="s">
        <v>26</v>
      </c>
      <c r="C1287" s="130" t="s">
        <v>746</v>
      </c>
      <c r="D1287" s="131" t="s">
        <v>11</v>
      </c>
      <c r="E1287" s="131" t="s">
        <v>73</v>
      </c>
      <c r="F1287" s="131" t="s">
        <v>751</v>
      </c>
      <c r="G1287" s="108" t="s">
        <v>27</v>
      </c>
      <c r="H1287" s="126"/>
      <c r="I1287" s="131">
        <v>8010010010</v>
      </c>
      <c r="J1287" s="131" t="str">
        <f t="shared" si="214"/>
        <v>8010010010</v>
      </c>
      <c r="K1287" s="304" t="str">
        <f t="shared" si="222"/>
        <v>61701048010010010129</v>
      </c>
      <c r="L1287" s="24"/>
      <c r="M1287" s="22"/>
      <c r="N1287" s="22"/>
      <c r="O1287" s="22"/>
      <c r="P1287" s="22"/>
      <c r="Q1287" s="22"/>
      <c r="R1287" s="22"/>
      <c r="S1287" s="24"/>
    </row>
    <row r="1288" spans="1:19" s="16" customFormat="1" ht="31.5">
      <c r="A1288" s="14"/>
      <c r="B1288" s="125" t="s">
        <v>28</v>
      </c>
      <c r="C1288" s="130" t="s">
        <v>746</v>
      </c>
      <c r="D1288" s="131" t="s">
        <v>11</v>
      </c>
      <c r="E1288" s="131" t="s">
        <v>73</v>
      </c>
      <c r="F1288" s="131" t="s">
        <v>751</v>
      </c>
      <c r="G1288" s="131" t="s">
        <v>29</v>
      </c>
      <c r="H1288" s="126">
        <f>H1289</f>
        <v>0</v>
      </c>
      <c r="I1288" s="131">
        <v>8010010010</v>
      </c>
      <c r="J1288" s="131" t="str">
        <f t="shared" si="214"/>
        <v>8010010010</v>
      </c>
      <c r="K1288" s="132"/>
      <c r="L1288" s="17"/>
      <c r="M1288" s="26">
        <v>3320.75</v>
      </c>
      <c r="N1288" s="26">
        <v>3320.75</v>
      </c>
      <c r="O1288" s="26">
        <v>3320.75</v>
      </c>
      <c r="P1288" s="26">
        <f>H1288-M1288</f>
        <v>-3320.75</v>
      </c>
      <c r="Q1288" s="26" t="e">
        <f>#REF!-N1288</f>
        <v>#REF!</v>
      </c>
      <c r="R1288" s="26" t="e">
        <f>#REF!-O1288</f>
        <v>#REF!</v>
      </c>
      <c r="S1288" s="17" t="str">
        <f t="shared" si="218"/>
        <v>80 1 00 10010240</v>
      </c>
    </row>
    <row r="1289" spans="1:19" s="16" customFormat="1" ht="15.75">
      <c r="A1289" s="14"/>
      <c r="B1289" s="125" t="s">
        <v>30</v>
      </c>
      <c r="C1289" s="130" t="s">
        <v>746</v>
      </c>
      <c r="D1289" s="131" t="s">
        <v>11</v>
      </c>
      <c r="E1289" s="131" t="s">
        <v>73</v>
      </c>
      <c r="F1289" s="131" t="s">
        <v>751</v>
      </c>
      <c r="G1289" s="131" t="s">
        <v>31</v>
      </c>
      <c r="H1289" s="126"/>
      <c r="I1289" s="131">
        <v>8010010010</v>
      </c>
      <c r="J1289" s="131" t="str">
        <f t="shared" si="214"/>
        <v>8010010010</v>
      </c>
      <c r="K1289" s="304" t="str">
        <f>C1289&amp;D1289&amp;E1289&amp;J1289&amp;G1289</f>
        <v>61701048010010010244</v>
      </c>
      <c r="L1289" s="17"/>
      <c r="M1289" s="26"/>
      <c r="N1289" s="26"/>
      <c r="O1289" s="26"/>
      <c r="P1289" s="26"/>
      <c r="Q1289" s="26"/>
      <c r="R1289" s="26"/>
      <c r="S1289" s="17"/>
    </row>
    <row r="1290" spans="1:19" s="16" customFormat="1" ht="15.75">
      <c r="A1290" s="14"/>
      <c r="B1290" s="125" t="s">
        <v>32</v>
      </c>
      <c r="C1290" s="130" t="s">
        <v>746</v>
      </c>
      <c r="D1290" s="131" t="s">
        <v>11</v>
      </c>
      <c r="E1290" s="131" t="s">
        <v>73</v>
      </c>
      <c r="F1290" s="131" t="s">
        <v>751</v>
      </c>
      <c r="G1290" s="131" t="s">
        <v>33</v>
      </c>
      <c r="H1290" s="126">
        <f>SUM(H1291:H1293)</f>
        <v>0</v>
      </c>
      <c r="I1290" s="131">
        <v>8010010010</v>
      </c>
      <c r="J1290" s="131" t="str">
        <f t="shared" si="214"/>
        <v>8010010010</v>
      </c>
      <c r="K1290" s="132"/>
      <c r="L1290" s="17"/>
      <c r="M1290" s="26">
        <v>97</v>
      </c>
      <c r="N1290" s="26">
        <v>97</v>
      </c>
      <c r="O1290" s="26">
        <v>97</v>
      </c>
      <c r="P1290" s="26">
        <f>H1290-M1290</f>
        <v>-97</v>
      </c>
      <c r="Q1290" s="26" t="e">
        <f>#REF!-N1290</f>
        <v>#REF!</v>
      </c>
      <c r="R1290" s="26" t="e">
        <f>#REF!-O1290</f>
        <v>#REF!</v>
      </c>
      <c r="S1290" s="17" t="str">
        <f t="shared" si="218"/>
        <v>80 1 00 10010850</v>
      </c>
    </row>
    <row r="1291" spans="1:19" s="23" customFormat="1" ht="31.5">
      <c r="A1291" s="21"/>
      <c r="B1291" s="127" t="s">
        <v>34</v>
      </c>
      <c r="C1291" s="130" t="s">
        <v>746</v>
      </c>
      <c r="D1291" s="131" t="s">
        <v>11</v>
      </c>
      <c r="E1291" s="131" t="s">
        <v>73</v>
      </c>
      <c r="F1291" s="131" t="s">
        <v>751</v>
      </c>
      <c r="G1291" s="108" t="s">
        <v>35</v>
      </c>
      <c r="H1291" s="126"/>
      <c r="I1291" s="131">
        <v>8010010010</v>
      </c>
      <c r="J1291" s="131" t="str">
        <f t="shared" si="214"/>
        <v>8010010010</v>
      </c>
      <c r="K1291" s="304" t="str">
        <f t="shared" ref="K1291:K1293" si="223">C1291&amp;D1291&amp;E1291&amp;J1291&amp;G1291</f>
        <v>61701048010010010851</v>
      </c>
      <c r="L1291" s="24"/>
      <c r="M1291" s="22"/>
      <c r="N1291" s="22"/>
      <c r="O1291" s="22"/>
      <c r="P1291" s="22"/>
      <c r="Q1291" s="22"/>
      <c r="R1291" s="22"/>
      <c r="S1291" s="24"/>
    </row>
    <row r="1292" spans="1:19" s="23" customFormat="1" ht="15.75">
      <c r="A1292" s="21"/>
      <c r="B1292" s="127" t="s">
        <v>36</v>
      </c>
      <c r="C1292" s="130" t="s">
        <v>746</v>
      </c>
      <c r="D1292" s="131" t="s">
        <v>11</v>
      </c>
      <c r="E1292" s="131" t="s">
        <v>73</v>
      </c>
      <c r="F1292" s="131" t="s">
        <v>751</v>
      </c>
      <c r="G1292" s="108" t="s">
        <v>37</v>
      </c>
      <c r="H1292" s="126"/>
      <c r="I1292" s="131">
        <v>8010010010</v>
      </c>
      <c r="J1292" s="131" t="str">
        <f t="shared" si="214"/>
        <v>8010010010</v>
      </c>
      <c r="K1292" s="304" t="str">
        <f t="shared" si="223"/>
        <v>61701048010010010852</v>
      </c>
      <c r="L1292" s="24"/>
      <c r="M1292" s="22"/>
      <c r="N1292" s="22"/>
      <c r="O1292" s="22"/>
      <c r="P1292" s="22"/>
      <c r="Q1292" s="22"/>
      <c r="R1292" s="22"/>
      <c r="S1292" s="24"/>
    </row>
    <row r="1293" spans="1:19" s="23" customFormat="1" ht="15.75">
      <c r="A1293" s="21"/>
      <c r="B1293" s="127" t="s">
        <v>77</v>
      </c>
      <c r="C1293" s="130" t="s">
        <v>746</v>
      </c>
      <c r="D1293" s="131" t="s">
        <v>11</v>
      </c>
      <c r="E1293" s="131" t="s">
        <v>73</v>
      </c>
      <c r="F1293" s="131" t="s">
        <v>751</v>
      </c>
      <c r="G1293" s="108" t="s">
        <v>78</v>
      </c>
      <c r="H1293" s="126"/>
      <c r="I1293" s="131">
        <v>8010010010</v>
      </c>
      <c r="J1293" s="131" t="str">
        <f t="shared" si="214"/>
        <v>8010010010</v>
      </c>
      <c r="K1293" s="304" t="str">
        <f t="shared" si="223"/>
        <v>61701048010010010853</v>
      </c>
      <c r="L1293" s="24"/>
      <c r="M1293" s="22"/>
      <c r="N1293" s="22"/>
      <c r="O1293" s="22"/>
      <c r="P1293" s="22"/>
      <c r="Q1293" s="22"/>
      <c r="R1293" s="22"/>
      <c r="S1293" s="24"/>
    </row>
    <row r="1294" spans="1:19" s="16" customFormat="1" ht="31.5">
      <c r="A1294" s="14"/>
      <c r="B1294" s="125" t="s">
        <v>38</v>
      </c>
      <c r="C1294" s="130" t="s">
        <v>746</v>
      </c>
      <c r="D1294" s="131" t="s">
        <v>11</v>
      </c>
      <c r="E1294" s="131" t="s">
        <v>73</v>
      </c>
      <c r="F1294" s="131" t="s">
        <v>752</v>
      </c>
      <c r="G1294" s="131" t="s">
        <v>9</v>
      </c>
      <c r="H1294" s="126">
        <f>H1295</f>
        <v>0</v>
      </c>
      <c r="I1294" s="131">
        <v>8010010020</v>
      </c>
      <c r="J1294" s="131" t="str">
        <f t="shared" si="214"/>
        <v>8010010020</v>
      </c>
      <c r="K1294" s="132"/>
      <c r="L1294" s="17"/>
      <c r="M1294" s="20">
        <v>28172.3</v>
      </c>
      <c r="N1294" s="20">
        <v>28172.3</v>
      </c>
      <c r="O1294" s="20">
        <v>28172.3</v>
      </c>
      <c r="P1294" s="20">
        <f>H1294-M1294</f>
        <v>-28172.3</v>
      </c>
      <c r="Q1294" s="20" t="e">
        <f>#REF!-N1294</f>
        <v>#REF!</v>
      </c>
      <c r="R1294" s="20" t="e">
        <f>#REF!-O1294</f>
        <v>#REF!</v>
      </c>
      <c r="S1294" s="17" t="str">
        <f t="shared" si="218"/>
        <v>80 1 00 10020000</v>
      </c>
    </row>
    <row r="1295" spans="1:19" s="16" customFormat="1" ht="31.5">
      <c r="A1295" s="14"/>
      <c r="B1295" s="127" t="s">
        <v>20</v>
      </c>
      <c r="C1295" s="130" t="s">
        <v>746</v>
      </c>
      <c r="D1295" s="131" t="s">
        <v>11</v>
      </c>
      <c r="E1295" s="131" t="s">
        <v>73</v>
      </c>
      <c r="F1295" s="131" t="s">
        <v>752</v>
      </c>
      <c r="G1295" s="131" t="s">
        <v>21</v>
      </c>
      <c r="H1295" s="126">
        <f>SUM(H1296:H1297)</f>
        <v>0</v>
      </c>
      <c r="I1295" s="131">
        <v>8010010020</v>
      </c>
      <c r="J1295" s="131" t="str">
        <f t="shared" si="214"/>
        <v>8010010020</v>
      </c>
      <c r="K1295" s="132"/>
      <c r="L1295" s="17"/>
      <c r="M1295" s="20">
        <v>28172.3</v>
      </c>
      <c r="N1295" s="20">
        <v>28172.3</v>
      </c>
      <c r="O1295" s="20">
        <v>28172.3</v>
      </c>
      <c r="P1295" s="20">
        <f>H1295-M1295</f>
        <v>-28172.3</v>
      </c>
      <c r="Q1295" s="20" t="e">
        <f>#REF!-N1295</f>
        <v>#REF!</v>
      </c>
      <c r="R1295" s="20" t="e">
        <f>#REF!-O1295</f>
        <v>#REF!</v>
      </c>
      <c r="S1295" s="17" t="str">
        <f t="shared" si="218"/>
        <v>80 1 00 10020120</v>
      </c>
    </row>
    <row r="1296" spans="1:19" s="23" customFormat="1" ht="31.5">
      <c r="A1296" s="21"/>
      <c r="B1296" s="127" t="s">
        <v>40</v>
      </c>
      <c r="C1296" s="130" t="s">
        <v>746</v>
      </c>
      <c r="D1296" s="131" t="s">
        <v>11</v>
      </c>
      <c r="E1296" s="131" t="s">
        <v>73</v>
      </c>
      <c r="F1296" s="131" t="s">
        <v>752</v>
      </c>
      <c r="G1296" s="108" t="s">
        <v>41</v>
      </c>
      <c r="H1296" s="126"/>
      <c r="I1296" s="131">
        <v>8010010020</v>
      </c>
      <c r="J1296" s="131" t="str">
        <f t="shared" si="214"/>
        <v>8010010020</v>
      </c>
      <c r="K1296" s="304" t="str">
        <f t="shared" ref="K1296:K1297" si="224">C1296&amp;D1296&amp;E1296&amp;J1296&amp;G1296</f>
        <v>61701048010010020121</v>
      </c>
      <c r="L1296" s="24"/>
      <c r="M1296" s="22"/>
      <c r="N1296" s="22"/>
      <c r="O1296" s="22"/>
      <c r="P1296" s="22"/>
      <c r="Q1296" s="22"/>
      <c r="R1296" s="22"/>
      <c r="S1296" s="24"/>
    </row>
    <row r="1297" spans="1:19" s="23" customFormat="1" ht="63">
      <c r="A1297" s="21"/>
      <c r="B1297" s="127" t="s">
        <v>26</v>
      </c>
      <c r="C1297" s="130" t="s">
        <v>746</v>
      </c>
      <c r="D1297" s="131" t="s">
        <v>11</v>
      </c>
      <c r="E1297" s="131" t="s">
        <v>73</v>
      </c>
      <c r="F1297" s="131" t="s">
        <v>752</v>
      </c>
      <c r="G1297" s="108" t="s">
        <v>27</v>
      </c>
      <c r="H1297" s="126"/>
      <c r="I1297" s="131">
        <v>8010010020</v>
      </c>
      <c r="J1297" s="131" t="str">
        <f t="shared" si="214"/>
        <v>8010010020</v>
      </c>
      <c r="K1297" s="304" t="str">
        <f t="shared" si="224"/>
        <v>61701048010010020129</v>
      </c>
      <c r="L1297" s="24"/>
      <c r="M1297" s="22"/>
      <c r="N1297" s="22"/>
      <c r="O1297" s="22"/>
      <c r="P1297" s="22"/>
      <c r="Q1297" s="22"/>
      <c r="R1297" s="22"/>
      <c r="S1297" s="24"/>
    </row>
    <row r="1298" spans="1:19" s="16" customFormat="1" ht="63">
      <c r="A1298" s="14" t="s">
        <v>80</v>
      </c>
      <c r="B1298" s="150" t="s">
        <v>488</v>
      </c>
      <c r="C1298" s="130" t="s">
        <v>746</v>
      </c>
      <c r="D1298" s="131" t="s">
        <v>11</v>
      </c>
      <c r="E1298" s="131" t="s">
        <v>73</v>
      </c>
      <c r="F1298" s="131" t="s">
        <v>753</v>
      </c>
      <c r="G1298" s="131" t="s">
        <v>9</v>
      </c>
      <c r="H1298" s="126">
        <f>H1299+H1303</f>
        <v>0</v>
      </c>
      <c r="I1298" s="131">
        <v>8010076200</v>
      </c>
      <c r="J1298" s="131" t="str">
        <f t="shared" si="214"/>
        <v>8010076200</v>
      </c>
      <c r="K1298" s="132"/>
      <c r="L1298" s="17"/>
      <c r="M1298" s="20">
        <v>1047.75</v>
      </c>
      <c r="N1298" s="20">
        <v>1047.75</v>
      </c>
      <c r="O1298" s="20">
        <v>1047.75</v>
      </c>
      <c r="P1298" s="20">
        <f>H1298-M1298</f>
        <v>-1047.75</v>
      </c>
      <c r="Q1298" s="20" t="e">
        <f>#REF!-N1298</f>
        <v>#REF!</v>
      </c>
      <c r="R1298" s="20" t="e">
        <f>#REF!-O1298</f>
        <v>#REF!</v>
      </c>
      <c r="S1298" s="17" t="str">
        <f t="shared" si="218"/>
        <v>80 1 00 76200000</v>
      </c>
    </row>
    <row r="1299" spans="1:19" s="16" customFormat="1" ht="31.5">
      <c r="A1299" s="14"/>
      <c r="B1299" s="129" t="s">
        <v>20</v>
      </c>
      <c r="C1299" s="130" t="s">
        <v>746</v>
      </c>
      <c r="D1299" s="131" t="s">
        <v>11</v>
      </c>
      <c r="E1299" s="131" t="s">
        <v>73</v>
      </c>
      <c r="F1299" s="131" t="s">
        <v>753</v>
      </c>
      <c r="G1299" s="131" t="s">
        <v>21</v>
      </c>
      <c r="H1299" s="126">
        <f>SUM(H1300:H1302)</f>
        <v>0</v>
      </c>
      <c r="I1299" s="131">
        <v>8010076200</v>
      </c>
      <c r="J1299" s="131" t="str">
        <f t="shared" si="214"/>
        <v>8010076200</v>
      </c>
      <c r="K1299" s="132"/>
      <c r="L1299" s="17"/>
      <c r="M1299" s="26">
        <v>989.33</v>
      </c>
      <c r="N1299" s="26">
        <v>989.33</v>
      </c>
      <c r="O1299" s="26">
        <v>989.33</v>
      </c>
      <c r="P1299" s="26">
        <f>H1299-M1299</f>
        <v>-989.33</v>
      </c>
      <c r="Q1299" s="26" t="e">
        <f>#REF!-N1299</f>
        <v>#REF!</v>
      </c>
      <c r="R1299" s="26" t="e">
        <f>#REF!-O1299</f>
        <v>#REF!</v>
      </c>
      <c r="S1299" s="17" t="str">
        <f t="shared" si="218"/>
        <v>80 1 00 76200120</v>
      </c>
    </row>
    <row r="1300" spans="1:19" s="23" customFormat="1" ht="31.5">
      <c r="A1300" s="21"/>
      <c r="B1300" s="127" t="s">
        <v>40</v>
      </c>
      <c r="C1300" s="130" t="s">
        <v>746</v>
      </c>
      <c r="D1300" s="131" t="s">
        <v>11</v>
      </c>
      <c r="E1300" s="131" t="s">
        <v>73</v>
      </c>
      <c r="F1300" s="131" t="s">
        <v>753</v>
      </c>
      <c r="G1300" s="108" t="s">
        <v>41</v>
      </c>
      <c r="H1300" s="126"/>
      <c r="I1300" s="131">
        <v>8010076200</v>
      </c>
      <c r="J1300" s="131" t="str">
        <f t="shared" si="214"/>
        <v>8010076200</v>
      </c>
      <c r="K1300" s="304" t="str">
        <f t="shared" ref="K1300:K1302" si="225">C1300&amp;D1300&amp;E1300&amp;J1300&amp;G1300</f>
        <v>61701048010076200121</v>
      </c>
      <c r="L1300" s="24"/>
      <c r="M1300" s="22"/>
      <c r="N1300" s="22"/>
      <c r="O1300" s="22"/>
      <c r="P1300" s="22"/>
      <c r="Q1300" s="22"/>
      <c r="R1300" s="22"/>
      <c r="S1300" s="24"/>
    </row>
    <row r="1301" spans="1:19" s="23" customFormat="1" ht="47.25">
      <c r="A1301" s="21"/>
      <c r="B1301" s="127" t="s">
        <v>22</v>
      </c>
      <c r="C1301" s="130" t="s">
        <v>746</v>
      </c>
      <c r="D1301" s="131" t="s">
        <v>11</v>
      </c>
      <c r="E1301" s="131" t="s">
        <v>73</v>
      </c>
      <c r="F1301" s="131" t="s">
        <v>753</v>
      </c>
      <c r="G1301" s="108" t="s">
        <v>23</v>
      </c>
      <c r="H1301" s="126"/>
      <c r="I1301" s="131">
        <v>8010076200</v>
      </c>
      <c r="J1301" s="131" t="str">
        <f t="shared" si="214"/>
        <v>8010076200</v>
      </c>
      <c r="K1301" s="304" t="str">
        <f t="shared" si="225"/>
        <v>61701048010076200122</v>
      </c>
      <c r="L1301" s="24"/>
      <c r="M1301" s="22"/>
      <c r="N1301" s="22"/>
      <c r="O1301" s="22"/>
      <c r="P1301" s="22"/>
      <c r="Q1301" s="22"/>
      <c r="R1301" s="22"/>
      <c r="S1301" s="24"/>
    </row>
    <row r="1302" spans="1:19" s="23" customFormat="1" ht="63">
      <c r="A1302" s="21"/>
      <c r="B1302" s="127" t="s">
        <v>26</v>
      </c>
      <c r="C1302" s="130" t="s">
        <v>746</v>
      </c>
      <c r="D1302" s="131" t="s">
        <v>11</v>
      </c>
      <c r="E1302" s="131" t="s">
        <v>73</v>
      </c>
      <c r="F1302" s="131" t="s">
        <v>753</v>
      </c>
      <c r="G1302" s="108" t="s">
        <v>27</v>
      </c>
      <c r="H1302" s="126"/>
      <c r="I1302" s="131">
        <v>8010076200</v>
      </c>
      <c r="J1302" s="131" t="str">
        <f t="shared" si="214"/>
        <v>8010076200</v>
      </c>
      <c r="K1302" s="304" t="str">
        <f t="shared" si="225"/>
        <v>61701048010076200129</v>
      </c>
      <c r="L1302" s="24"/>
      <c r="M1302" s="22"/>
      <c r="N1302" s="22"/>
      <c r="O1302" s="22"/>
      <c r="P1302" s="22"/>
      <c r="Q1302" s="22"/>
      <c r="R1302" s="22"/>
      <c r="S1302" s="24"/>
    </row>
    <row r="1303" spans="1:19" s="16" customFormat="1" ht="31.5">
      <c r="A1303" s="14"/>
      <c r="B1303" s="125" t="s">
        <v>28</v>
      </c>
      <c r="C1303" s="130" t="s">
        <v>746</v>
      </c>
      <c r="D1303" s="131" t="s">
        <v>11</v>
      </c>
      <c r="E1303" s="131" t="s">
        <v>73</v>
      </c>
      <c r="F1303" s="131" t="s">
        <v>753</v>
      </c>
      <c r="G1303" s="131" t="s">
        <v>29</v>
      </c>
      <c r="H1303" s="126">
        <f>H1304</f>
        <v>0</v>
      </c>
      <c r="I1303" s="131">
        <v>8010076200</v>
      </c>
      <c r="J1303" s="131" t="str">
        <f t="shared" si="214"/>
        <v>8010076200</v>
      </c>
      <c r="K1303" s="132"/>
      <c r="L1303" s="17"/>
      <c r="M1303" s="26">
        <v>58.42</v>
      </c>
      <c r="N1303" s="26">
        <v>58.42</v>
      </c>
      <c r="O1303" s="26">
        <v>58.42</v>
      </c>
      <c r="P1303" s="26">
        <f>H1303-M1303</f>
        <v>-58.42</v>
      </c>
      <c r="Q1303" s="26" t="e">
        <f>#REF!-N1303</f>
        <v>#REF!</v>
      </c>
      <c r="R1303" s="26" t="e">
        <f>#REF!-O1303</f>
        <v>#REF!</v>
      </c>
      <c r="S1303" s="17" t="str">
        <f t="shared" si="218"/>
        <v>80 1 00 76200240</v>
      </c>
    </row>
    <row r="1304" spans="1:19" s="16" customFormat="1" ht="15.75">
      <c r="A1304" s="14"/>
      <c r="B1304" s="125" t="s">
        <v>30</v>
      </c>
      <c r="C1304" s="130" t="s">
        <v>746</v>
      </c>
      <c r="D1304" s="131" t="s">
        <v>11</v>
      </c>
      <c r="E1304" s="131" t="s">
        <v>73</v>
      </c>
      <c r="F1304" s="131" t="s">
        <v>753</v>
      </c>
      <c r="G1304" s="131" t="s">
        <v>31</v>
      </c>
      <c r="H1304" s="126"/>
      <c r="I1304" s="131">
        <v>8010076200</v>
      </c>
      <c r="J1304" s="131" t="str">
        <f t="shared" si="214"/>
        <v>8010076200</v>
      </c>
      <c r="K1304" s="304" t="str">
        <f>C1304&amp;D1304&amp;E1304&amp;J1304&amp;G1304</f>
        <v>61701048010076200244</v>
      </c>
      <c r="L1304" s="17"/>
      <c r="M1304" s="26"/>
      <c r="N1304" s="26"/>
      <c r="O1304" s="26"/>
      <c r="P1304" s="26"/>
      <c r="Q1304" s="26"/>
      <c r="R1304" s="26"/>
      <c r="S1304" s="17"/>
    </row>
    <row r="1305" spans="1:19" s="16" customFormat="1" ht="63">
      <c r="A1305" s="14" t="s">
        <v>80</v>
      </c>
      <c r="B1305" s="129" t="s">
        <v>754</v>
      </c>
      <c r="C1305" s="130" t="s">
        <v>746</v>
      </c>
      <c r="D1305" s="131" t="s">
        <v>11</v>
      </c>
      <c r="E1305" s="131" t="s">
        <v>73</v>
      </c>
      <c r="F1305" s="131" t="s">
        <v>755</v>
      </c>
      <c r="G1305" s="131" t="s">
        <v>9</v>
      </c>
      <c r="H1305" s="105">
        <f>H1306</f>
        <v>0</v>
      </c>
      <c r="I1305" s="131">
        <v>8010076360</v>
      </c>
      <c r="J1305" s="131" t="str">
        <f t="shared" si="214"/>
        <v>8010076360</v>
      </c>
      <c r="K1305" s="132"/>
      <c r="L1305" s="17"/>
      <c r="M1305" s="26">
        <v>70.900000000000006</v>
      </c>
      <c r="N1305" s="26">
        <v>70.900000000000006</v>
      </c>
      <c r="O1305" s="26">
        <v>70.900000000000006</v>
      </c>
      <c r="P1305" s="26">
        <f>H1305-M1305</f>
        <v>-70.900000000000006</v>
      </c>
      <c r="Q1305" s="26" t="e">
        <f>#REF!-N1305</f>
        <v>#REF!</v>
      </c>
      <c r="R1305" s="26" t="e">
        <f>#REF!-O1305</f>
        <v>#REF!</v>
      </c>
      <c r="S1305" s="17" t="str">
        <f t="shared" si="218"/>
        <v>80 1 00 76360000</v>
      </c>
    </row>
    <row r="1306" spans="1:19" s="16" customFormat="1" ht="31.5">
      <c r="A1306" s="14"/>
      <c r="B1306" s="125" t="s">
        <v>28</v>
      </c>
      <c r="C1306" s="130" t="s">
        <v>746</v>
      </c>
      <c r="D1306" s="131" t="s">
        <v>11</v>
      </c>
      <c r="E1306" s="131" t="s">
        <v>73</v>
      </c>
      <c r="F1306" s="131" t="s">
        <v>755</v>
      </c>
      <c r="G1306" s="131" t="s">
        <v>29</v>
      </c>
      <c r="H1306" s="126">
        <f>H1307</f>
        <v>0</v>
      </c>
      <c r="I1306" s="131">
        <v>8010076360</v>
      </c>
      <c r="J1306" s="131" t="str">
        <f t="shared" si="214"/>
        <v>8010076360</v>
      </c>
      <c r="K1306" s="132"/>
      <c r="L1306" s="17"/>
      <c r="M1306" s="26">
        <v>70.900000000000006</v>
      </c>
      <c r="N1306" s="26">
        <v>70.900000000000006</v>
      </c>
      <c r="O1306" s="26">
        <v>70.900000000000006</v>
      </c>
      <c r="P1306" s="26">
        <f>H1306-M1306</f>
        <v>-70.900000000000006</v>
      </c>
      <c r="Q1306" s="26" t="e">
        <f>#REF!-N1306</f>
        <v>#REF!</v>
      </c>
      <c r="R1306" s="26" t="e">
        <f>#REF!-O1306</f>
        <v>#REF!</v>
      </c>
      <c r="S1306" s="17" t="str">
        <f t="shared" si="218"/>
        <v>80 1 00 76360240</v>
      </c>
    </row>
    <row r="1307" spans="1:19" s="16" customFormat="1" ht="15.75">
      <c r="A1307" s="14"/>
      <c r="B1307" s="125" t="s">
        <v>30</v>
      </c>
      <c r="C1307" s="130" t="s">
        <v>746</v>
      </c>
      <c r="D1307" s="131" t="s">
        <v>11</v>
      </c>
      <c r="E1307" s="131" t="s">
        <v>73</v>
      </c>
      <c r="F1307" s="131" t="s">
        <v>755</v>
      </c>
      <c r="G1307" s="131" t="s">
        <v>31</v>
      </c>
      <c r="H1307" s="126"/>
      <c r="I1307" s="131">
        <v>8010076360</v>
      </c>
      <c r="J1307" s="131" t="str">
        <f t="shared" si="214"/>
        <v>8010076360</v>
      </c>
      <c r="K1307" s="304" t="str">
        <f>C1307&amp;D1307&amp;E1307&amp;J1307&amp;G1307</f>
        <v>61701048010076360244</v>
      </c>
      <c r="L1307" s="17"/>
      <c r="M1307" s="26"/>
      <c r="N1307" s="26"/>
      <c r="O1307" s="26"/>
      <c r="P1307" s="26"/>
      <c r="Q1307" s="26"/>
      <c r="R1307" s="26"/>
      <c r="S1307" s="17"/>
    </row>
    <row r="1308" spans="1:19" s="16" customFormat="1" ht="15.75">
      <c r="A1308" s="14"/>
      <c r="B1308" s="121" t="s">
        <v>50</v>
      </c>
      <c r="C1308" s="122" t="s">
        <v>746</v>
      </c>
      <c r="D1308" s="123" t="s">
        <v>11</v>
      </c>
      <c r="E1308" s="123" t="s">
        <v>51</v>
      </c>
      <c r="F1308" s="123" t="s">
        <v>8</v>
      </c>
      <c r="G1308" s="123" t="s">
        <v>9</v>
      </c>
      <c r="H1308" s="124">
        <f>H1309+H1318</f>
        <v>0</v>
      </c>
      <c r="I1308" s="123">
        <v>0</v>
      </c>
      <c r="J1308" s="123" t="str">
        <f t="shared" si="214"/>
        <v>0000000000</v>
      </c>
      <c r="K1308" s="132"/>
      <c r="L1308" s="17"/>
      <c r="M1308" s="19">
        <v>1745.2</v>
      </c>
      <c r="N1308" s="19">
        <v>390.2</v>
      </c>
      <c r="O1308" s="19">
        <v>390.2</v>
      </c>
      <c r="P1308" s="19">
        <f t="shared" ref="P1308:P1313" si="226">H1308-M1308</f>
        <v>-1745.2</v>
      </c>
      <c r="Q1308" s="19" t="e">
        <f>#REF!-N1308</f>
        <v>#REF!</v>
      </c>
      <c r="R1308" s="19" t="e">
        <f>#REF!-O1308</f>
        <v>#REF!</v>
      </c>
      <c r="S1308" s="17" t="str">
        <f t="shared" si="218"/>
        <v>00 0 00 00000000</v>
      </c>
    </row>
    <row r="1309" spans="1:19" s="16" customFormat="1" ht="63">
      <c r="A1309" s="14"/>
      <c r="B1309" s="132" t="s">
        <v>257</v>
      </c>
      <c r="C1309" s="130" t="s">
        <v>746</v>
      </c>
      <c r="D1309" s="131" t="s">
        <v>11</v>
      </c>
      <c r="E1309" s="131" t="s">
        <v>51</v>
      </c>
      <c r="F1309" s="131" t="s">
        <v>258</v>
      </c>
      <c r="G1309" s="131" t="s">
        <v>9</v>
      </c>
      <c r="H1309" s="105">
        <f t="shared" ref="H1309:H1312" si="227">H1310</f>
        <v>0</v>
      </c>
      <c r="I1309" s="131">
        <v>1100000000</v>
      </c>
      <c r="J1309" s="131" t="str">
        <f t="shared" si="214"/>
        <v>1100000000</v>
      </c>
      <c r="K1309" s="132"/>
      <c r="L1309" s="17"/>
      <c r="M1309" s="26">
        <v>390.2</v>
      </c>
      <c r="N1309" s="26">
        <v>390.2</v>
      </c>
      <c r="O1309" s="26">
        <v>390.2</v>
      </c>
      <c r="P1309" s="26">
        <f t="shared" si="226"/>
        <v>-390.2</v>
      </c>
      <c r="Q1309" s="26" t="e">
        <f>#REF!-N1309</f>
        <v>#REF!</v>
      </c>
      <c r="R1309" s="26" t="e">
        <f>#REF!-O1309</f>
        <v>#REF!</v>
      </c>
      <c r="S1309" s="17" t="str">
        <f t="shared" si="218"/>
        <v>11 0 00 00000000</v>
      </c>
    </row>
    <row r="1310" spans="1:19" s="16" customFormat="1" ht="63">
      <c r="A1310" s="14"/>
      <c r="B1310" s="132" t="s">
        <v>259</v>
      </c>
      <c r="C1310" s="109" t="s">
        <v>746</v>
      </c>
      <c r="D1310" s="131" t="s">
        <v>11</v>
      </c>
      <c r="E1310" s="131" t="s">
        <v>51</v>
      </c>
      <c r="F1310" s="131" t="s">
        <v>260</v>
      </c>
      <c r="G1310" s="131" t="s">
        <v>9</v>
      </c>
      <c r="H1310" s="105">
        <f t="shared" si="227"/>
        <v>0</v>
      </c>
      <c r="I1310" s="131" t="s">
        <v>1171</v>
      </c>
      <c r="J1310" s="131" t="str">
        <f t="shared" si="214"/>
        <v>11Б0000000</v>
      </c>
      <c r="K1310" s="132"/>
      <c r="L1310" s="17"/>
      <c r="M1310" s="26">
        <v>390.2</v>
      </c>
      <c r="N1310" s="26">
        <v>390.2</v>
      </c>
      <c r="O1310" s="26">
        <v>390.2</v>
      </c>
      <c r="P1310" s="26">
        <f t="shared" si="226"/>
        <v>-390.2</v>
      </c>
      <c r="Q1310" s="26" t="e">
        <f>#REF!-N1310</f>
        <v>#REF!</v>
      </c>
      <c r="R1310" s="26" t="e">
        <f>#REF!-O1310</f>
        <v>#REF!</v>
      </c>
      <c r="S1310" s="17" t="str">
        <f t="shared" si="218"/>
        <v>11 Б 00 00000000</v>
      </c>
    </row>
    <row r="1311" spans="1:19" s="16" customFormat="1" ht="47.25">
      <c r="A1311" s="14"/>
      <c r="B1311" s="125" t="s">
        <v>261</v>
      </c>
      <c r="C1311" s="109" t="s">
        <v>746</v>
      </c>
      <c r="D1311" s="131" t="s">
        <v>11</v>
      </c>
      <c r="E1311" s="131" t="s">
        <v>51</v>
      </c>
      <c r="F1311" s="131" t="s">
        <v>262</v>
      </c>
      <c r="G1311" s="131" t="s">
        <v>9</v>
      </c>
      <c r="H1311" s="105">
        <f>H1312+H1315</f>
        <v>0</v>
      </c>
      <c r="I1311" s="131" t="s">
        <v>1172</v>
      </c>
      <c r="J1311" s="131" t="str">
        <f t="shared" si="214"/>
        <v>11Б0100000</v>
      </c>
      <c r="K1311" s="132"/>
      <c r="L1311" s="17"/>
      <c r="M1311" s="26">
        <v>390.2</v>
      </c>
      <c r="N1311" s="26">
        <v>390.2</v>
      </c>
      <c r="O1311" s="26">
        <v>390.2</v>
      </c>
      <c r="P1311" s="26">
        <f t="shared" si="226"/>
        <v>-390.2</v>
      </c>
      <c r="Q1311" s="26" t="e">
        <f>#REF!-N1311</f>
        <v>#REF!</v>
      </c>
      <c r="R1311" s="26" t="e">
        <f>#REF!-O1311</f>
        <v>#REF!</v>
      </c>
      <c r="S1311" s="17" t="str">
        <f t="shared" si="218"/>
        <v>11 Б 01 00000000</v>
      </c>
    </row>
    <row r="1312" spans="1:19" s="16" customFormat="1" ht="31.5">
      <c r="A1312" s="14"/>
      <c r="B1312" s="125" t="s">
        <v>756</v>
      </c>
      <c r="C1312" s="109" t="s">
        <v>746</v>
      </c>
      <c r="D1312" s="131" t="s">
        <v>11</v>
      </c>
      <c r="E1312" s="131" t="s">
        <v>51</v>
      </c>
      <c r="F1312" s="131" t="s">
        <v>757</v>
      </c>
      <c r="G1312" s="131" t="s">
        <v>9</v>
      </c>
      <c r="H1312" s="105">
        <f t="shared" si="227"/>
        <v>0</v>
      </c>
      <c r="I1312" s="131" t="s">
        <v>1230</v>
      </c>
      <c r="J1312" s="131" t="str">
        <f t="shared" si="214"/>
        <v>11Б0120840</v>
      </c>
      <c r="K1312" s="132"/>
      <c r="L1312" s="17"/>
      <c r="M1312" s="26">
        <v>350</v>
      </c>
      <c r="N1312" s="26">
        <v>350</v>
      </c>
      <c r="O1312" s="26">
        <v>350</v>
      </c>
      <c r="P1312" s="26">
        <f t="shared" si="226"/>
        <v>-350</v>
      </c>
      <c r="Q1312" s="26" t="e">
        <f>#REF!-N1312</f>
        <v>#REF!</v>
      </c>
      <c r="R1312" s="26" t="e">
        <f>#REF!-O1312</f>
        <v>#REF!</v>
      </c>
      <c r="S1312" s="17" t="str">
        <f t="shared" si="218"/>
        <v>11 Б 01 20840000</v>
      </c>
    </row>
    <row r="1313" spans="1:19" s="16" customFormat="1" ht="31.5">
      <c r="A1313" s="14"/>
      <c r="B1313" s="125" t="s">
        <v>28</v>
      </c>
      <c r="C1313" s="109" t="s">
        <v>746</v>
      </c>
      <c r="D1313" s="131" t="s">
        <v>11</v>
      </c>
      <c r="E1313" s="131" t="s">
        <v>51</v>
      </c>
      <c r="F1313" s="131" t="s">
        <v>757</v>
      </c>
      <c r="G1313" s="131" t="s">
        <v>29</v>
      </c>
      <c r="H1313" s="126">
        <f>H1314</f>
        <v>0</v>
      </c>
      <c r="I1313" s="131" t="s">
        <v>1230</v>
      </c>
      <c r="J1313" s="131" t="str">
        <f t="shared" si="214"/>
        <v>11Б0120840</v>
      </c>
      <c r="K1313" s="132"/>
      <c r="L1313" s="17"/>
      <c r="M1313" s="26">
        <v>350</v>
      </c>
      <c r="N1313" s="26">
        <v>350</v>
      </c>
      <c r="O1313" s="26">
        <v>350</v>
      </c>
      <c r="P1313" s="26">
        <f t="shared" si="226"/>
        <v>-350</v>
      </c>
      <c r="Q1313" s="26" t="e">
        <f>#REF!-N1313</f>
        <v>#REF!</v>
      </c>
      <c r="R1313" s="26" t="e">
        <f>#REF!-O1313</f>
        <v>#REF!</v>
      </c>
      <c r="S1313" s="17" t="str">
        <f t="shared" si="218"/>
        <v>11 Б 01 20840240</v>
      </c>
    </row>
    <row r="1314" spans="1:19" s="16" customFormat="1" ht="15.75">
      <c r="A1314" s="14"/>
      <c r="B1314" s="125" t="s">
        <v>30</v>
      </c>
      <c r="C1314" s="109" t="s">
        <v>746</v>
      </c>
      <c r="D1314" s="131" t="s">
        <v>11</v>
      </c>
      <c r="E1314" s="131" t="s">
        <v>51</v>
      </c>
      <c r="F1314" s="131" t="s">
        <v>757</v>
      </c>
      <c r="G1314" s="131" t="s">
        <v>31</v>
      </c>
      <c r="H1314" s="126"/>
      <c r="I1314" s="131" t="s">
        <v>1230</v>
      </c>
      <c r="J1314" s="131" t="str">
        <f t="shared" si="214"/>
        <v>11Б0120840</v>
      </c>
      <c r="K1314" s="304" t="str">
        <f>C1314&amp;D1314&amp;E1314&amp;J1314&amp;G1314</f>
        <v>617011311Б0120840244</v>
      </c>
      <c r="L1314" s="17"/>
      <c r="M1314" s="26"/>
      <c r="N1314" s="26"/>
      <c r="O1314" s="26"/>
      <c r="P1314" s="26"/>
      <c r="Q1314" s="26"/>
      <c r="R1314" s="26"/>
      <c r="S1314" s="17"/>
    </row>
    <row r="1315" spans="1:19" s="16" customFormat="1" ht="31.5">
      <c r="A1315" s="14"/>
      <c r="B1315" s="125" t="s">
        <v>267</v>
      </c>
      <c r="C1315" s="109" t="s">
        <v>746</v>
      </c>
      <c r="D1315" s="108" t="s">
        <v>11</v>
      </c>
      <c r="E1315" s="108" t="s">
        <v>51</v>
      </c>
      <c r="F1315" s="14" t="s">
        <v>268</v>
      </c>
      <c r="G1315" s="108" t="s">
        <v>9</v>
      </c>
      <c r="H1315" s="126">
        <f>H1316</f>
        <v>0</v>
      </c>
      <c r="I1315" s="14" t="s">
        <v>1175</v>
      </c>
      <c r="J1315" s="14" t="str">
        <f t="shared" si="214"/>
        <v>11Б0121120</v>
      </c>
      <c r="K1315" s="132"/>
      <c r="L1315" s="17"/>
      <c r="M1315" s="20">
        <v>40.200000000000003</v>
      </c>
      <c r="N1315" s="20">
        <v>40.200000000000003</v>
      </c>
      <c r="O1315" s="20">
        <v>40.200000000000003</v>
      </c>
      <c r="P1315" s="20">
        <f>H1315-M1315</f>
        <v>-40.200000000000003</v>
      </c>
      <c r="Q1315" s="20" t="e">
        <f>#REF!-N1315</f>
        <v>#REF!</v>
      </c>
      <c r="R1315" s="20" t="e">
        <f>#REF!-O1315</f>
        <v>#REF!</v>
      </c>
      <c r="S1315" s="17" t="str">
        <f t="shared" si="218"/>
        <v>11 Б 01 21120000</v>
      </c>
    </row>
    <row r="1316" spans="1:19" s="16" customFormat="1" ht="31.5">
      <c r="A1316" s="14"/>
      <c r="B1316" s="125" t="s">
        <v>28</v>
      </c>
      <c r="C1316" s="109" t="s">
        <v>746</v>
      </c>
      <c r="D1316" s="108" t="s">
        <v>11</v>
      </c>
      <c r="E1316" s="108" t="s">
        <v>51</v>
      </c>
      <c r="F1316" s="14" t="s">
        <v>268</v>
      </c>
      <c r="G1316" s="108" t="s">
        <v>29</v>
      </c>
      <c r="H1316" s="126">
        <f>H1317</f>
        <v>0</v>
      </c>
      <c r="I1316" s="14" t="s">
        <v>1175</v>
      </c>
      <c r="J1316" s="14" t="str">
        <f t="shared" si="214"/>
        <v>11Б0121120</v>
      </c>
      <c r="K1316" s="132"/>
      <c r="L1316" s="17"/>
      <c r="M1316" s="20">
        <v>40.200000000000003</v>
      </c>
      <c r="N1316" s="20">
        <v>40.200000000000003</v>
      </c>
      <c r="O1316" s="20">
        <v>40.200000000000003</v>
      </c>
      <c r="P1316" s="20">
        <f>H1316-M1316</f>
        <v>-40.200000000000003</v>
      </c>
      <c r="Q1316" s="20" t="e">
        <f>#REF!-N1316</f>
        <v>#REF!</v>
      </c>
      <c r="R1316" s="20" t="e">
        <f>#REF!-O1316</f>
        <v>#REF!</v>
      </c>
      <c r="S1316" s="17" t="str">
        <f t="shared" si="218"/>
        <v>11 Б 01 21120240</v>
      </c>
    </row>
    <row r="1317" spans="1:19" s="16" customFormat="1" ht="15.75">
      <c r="A1317" s="14"/>
      <c r="B1317" s="125" t="s">
        <v>30</v>
      </c>
      <c r="C1317" s="109" t="s">
        <v>746</v>
      </c>
      <c r="D1317" s="108" t="s">
        <v>11</v>
      </c>
      <c r="E1317" s="108" t="s">
        <v>51</v>
      </c>
      <c r="F1317" s="14" t="s">
        <v>268</v>
      </c>
      <c r="G1317" s="108" t="s">
        <v>31</v>
      </c>
      <c r="H1317" s="126"/>
      <c r="I1317" s="14" t="s">
        <v>1175</v>
      </c>
      <c r="J1317" s="14" t="str">
        <f t="shared" si="214"/>
        <v>11Б0121120</v>
      </c>
      <c r="K1317" s="304" t="str">
        <f>C1317&amp;D1317&amp;E1317&amp;J1317&amp;G1317</f>
        <v>617011311Б0121120244</v>
      </c>
      <c r="L1317" s="17"/>
      <c r="M1317" s="20"/>
      <c r="N1317" s="20"/>
      <c r="O1317" s="20"/>
      <c r="P1317" s="20"/>
      <c r="Q1317" s="20"/>
      <c r="R1317" s="20"/>
      <c r="S1317" s="17"/>
    </row>
    <row r="1318" spans="1:19" s="16" customFormat="1" ht="63">
      <c r="A1318" s="14"/>
      <c r="B1318" s="127" t="s">
        <v>87</v>
      </c>
      <c r="C1318" s="109" t="s">
        <v>746</v>
      </c>
      <c r="D1318" s="108" t="s">
        <v>11</v>
      </c>
      <c r="E1318" s="108" t="s">
        <v>51</v>
      </c>
      <c r="F1318" s="14" t="s">
        <v>88</v>
      </c>
      <c r="G1318" s="108" t="s">
        <v>9</v>
      </c>
      <c r="H1318" s="126">
        <f>H1319</f>
        <v>0</v>
      </c>
      <c r="I1318" s="14">
        <v>9800000000</v>
      </c>
      <c r="J1318" s="14" t="str">
        <f t="shared" si="214"/>
        <v>9800000000</v>
      </c>
      <c r="K1318" s="132"/>
      <c r="L1318" s="17"/>
      <c r="M1318" s="20">
        <v>1355</v>
      </c>
      <c r="N1318" s="20">
        <v>0</v>
      </c>
      <c r="O1318" s="20">
        <v>0</v>
      </c>
      <c r="P1318" s="20">
        <f>H1318-M1318</f>
        <v>-1355</v>
      </c>
      <c r="Q1318" s="20" t="e">
        <f>#REF!-N1318</f>
        <v>#REF!</v>
      </c>
      <c r="R1318" s="20" t="e">
        <f>#REF!-O1318</f>
        <v>#REF!</v>
      </c>
      <c r="S1318" s="17" t="str">
        <f t="shared" si="218"/>
        <v>98 0 00 00000000</v>
      </c>
    </row>
    <row r="1319" spans="1:19" s="16" customFormat="1" ht="15.75">
      <c r="A1319" s="14"/>
      <c r="B1319" s="127" t="s">
        <v>89</v>
      </c>
      <c r="C1319" s="109" t="s">
        <v>746</v>
      </c>
      <c r="D1319" s="108" t="s">
        <v>11</v>
      </c>
      <c r="E1319" s="108" t="s">
        <v>51</v>
      </c>
      <c r="F1319" s="14" t="s">
        <v>90</v>
      </c>
      <c r="G1319" s="108" t="s">
        <v>9</v>
      </c>
      <c r="H1319" s="126">
        <f>H1320</f>
        <v>0</v>
      </c>
      <c r="I1319" s="14">
        <v>9810000000</v>
      </c>
      <c r="J1319" s="14" t="str">
        <f t="shared" si="214"/>
        <v>9810000000</v>
      </c>
      <c r="K1319" s="132"/>
      <c r="L1319" s="17"/>
      <c r="M1319" s="20">
        <v>1355</v>
      </c>
      <c r="N1319" s="20">
        <v>0</v>
      </c>
      <c r="O1319" s="20">
        <v>0</v>
      </c>
      <c r="P1319" s="20">
        <f>H1319-M1319</f>
        <v>-1355</v>
      </c>
      <c r="Q1319" s="20" t="e">
        <f>#REF!-N1319</f>
        <v>#REF!</v>
      </c>
      <c r="R1319" s="20" t="e">
        <f>#REF!-O1319</f>
        <v>#REF!</v>
      </c>
      <c r="S1319" s="17" t="str">
        <f t="shared" si="218"/>
        <v>98 1 00 00000000</v>
      </c>
    </row>
    <row r="1320" spans="1:19" s="16" customFormat="1" ht="78.75">
      <c r="A1320" s="14"/>
      <c r="B1320" s="127" t="s">
        <v>758</v>
      </c>
      <c r="C1320" s="109" t="s">
        <v>746</v>
      </c>
      <c r="D1320" s="108" t="s">
        <v>11</v>
      </c>
      <c r="E1320" s="108" t="s">
        <v>51</v>
      </c>
      <c r="F1320" s="14" t="s">
        <v>759</v>
      </c>
      <c r="G1320" s="108" t="s">
        <v>9</v>
      </c>
      <c r="H1320" s="126">
        <f>H1321</f>
        <v>0</v>
      </c>
      <c r="I1320" s="14">
        <v>9810021020</v>
      </c>
      <c r="J1320" s="14" t="str">
        <f t="shared" si="214"/>
        <v>9810021020</v>
      </c>
      <c r="K1320" s="132"/>
      <c r="L1320" s="17"/>
      <c r="M1320" s="20">
        <v>1355</v>
      </c>
      <c r="N1320" s="20">
        <v>0</v>
      </c>
      <c r="O1320" s="20">
        <v>0</v>
      </c>
      <c r="P1320" s="20">
        <f>H1320-M1320</f>
        <v>-1355</v>
      </c>
      <c r="Q1320" s="20" t="e">
        <f>#REF!-N1320</f>
        <v>#REF!</v>
      </c>
      <c r="R1320" s="20" t="e">
        <f>#REF!-O1320</f>
        <v>#REF!</v>
      </c>
      <c r="S1320" s="17" t="str">
        <f t="shared" si="218"/>
        <v>98 1 00 21020000</v>
      </c>
    </row>
    <row r="1321" spans="1:19" s="16" customFormat="1" ht="31.5">
      <c r="A1321" s="14"/>
      <c r="B1321" s="125" t="s">
        <v>28</v>
      </c>
      <c r="C1321" s="109" t="s">
        <v>746</v>
      </c>
      <c r="D1321" s="108" t="s">
        <v>11</v>
      </c>
      <c r="E1321" s="108" t="s">
        <v>51</v>
      </c>
      <c r="F1321" s="14" t="s">
        <v>759</v>
      </c>
      <c r="G1321" s="131" t="s">
        <v>29</v>
      </c>
      <c r="H1321" s="126">
        <f>H1322</f>
        <v>0</v>
      </c>
      <c r="I1321" s="14">
        <v>9810021020</v>
      </c>
      <c r="J1321" s="14" t="str">
        <f t="shared" ref="J1321:J1384" si="228">TEXT(I1321,"0000000000")</f>
        <v>9810021020</v>
      </c>
      <c r="K1321" s="132"/>
      <c r="L1321" s="17"/>
      <c r="M1321" s="20">
        <v>1355</v>
      </c>
      <c r="N1321" s="20">
        <v>0</v>
      </c>
      <c r="O1321" s="20">
        <v>0</v>
      </c>
      <c r="P1321" s="20">
        <f>H1321-M1321</f>
        <v>-1355</v>
      </c>
      <c r="Q1321" s="20" t="e">
        <f>#REF!-N1321</f>
        <v>#REF!</v>
      </c>
      <c r="R1321" s="20" t="e">
        <f>#REF!-O1321</f>
        <v>#REF!</v>
      </c>
      <c r="S1321" s="17" t="str">
        <f t="shared" si="218"/>
        <v>98 1 00 21020240</v>
      </c>
    </row>
    <row r="1322" spans="1:19" s="16" customFormat="1" ht="15.75">
      <c r="A1322" s="14"/>
      <c r="B1322" s="125" t="s">
        <v>30</v>
      </c>
      <c r="C1322" s="109" t="s">
        <v>746</v>
      </c>
      <c r="D1322" s="108" t="s">
        <v>11</v>
      </c>
      <c r="E1322" s="108" t="s">
        <v>51</v>
      </c>
      <c r="F1322" s="14" t="s">
        <v>759</v>
      </c>
      <c r="G1322" s="131" t="s">
        <v>31</v>
      </c>
      <c r="H1322" s="126"/>
      <c r="I1322" s="14">
        <v>9810021020</v>
      </c>
      <c r="J1322" s="14" t="str">
        <f t="shared" si="228"/>
        <v>9810021020</v>
      </c>
      <c r="K1322" s="304" t="str">
        <f>C1322&amp;D1322&amp;E1322&amp;J1322&amp;G1322</f>
        <v>61701139810021020244</v>
      </c>
      <c r="L1322" s="17"/>
      <c r="M1322" s="20"/>
      <c r="N1322" s="20"/>
      <c r="O1322" s="20"/>
      <c r="P1322" s="20"/>
      <c r="Q1322" s="20"/>
      <c r="R1322" s="20"/>
      <c r="S1322" s="17"/>
    </row>
    <row r="1323" spans="1:19" s="16" customFormat="1" ht="15.75">
      <c r="A1323" s="14"/>
      <c r="B1323" s="117" t="s">
        <v>195</v>
      </c>
      <c r="C1323" s="118" t="s">
        <v>746</v>
      </c>
      <c r="D1323" s="119" t="s">
        <v>73</v>
      </c>
      <c r="E1323" s="119" t="s">
        <v>7</v>
      </c>
      <c r="F1323" s="119" t="s">
        <v>8</v>
      </c>
      <c r="G1323" s="119" t="s">
        <v>9</v>
      </c>
      <c r="H1323" s="120">
        <f t="shared" ref="H1323:H1326" si="229">H1324</f>
        <v>0</v>
      </c>
      <c r="I1323" s="119">
        <v>0</v>
      </c>
      <c r="J1323" s="119" t="str">
        <f t="shared" si="228"/>
        <v>0000000000</v>
      </c>
      <c r="K1323" s="132"/>
      <c r="L1323" s="17"/>
      <c r="M1323" s="18">
        <v>74504.899999999994</v>
      </c>
      <c r="N1323" s="18">
        <v>81217.409999999989</v>
      </c>
      <c r="O1323" s="18">
        <v>88601.17</v>
      </c>
      <c r="P1323" s="18">
        <f t="shared" ref="P1323:P1329" si="230">H1323-M1323</f>
        <v>-74504.899999999994</v>
      </c>
      <c r="Q1323" s="18" t="e">
        <f>#REF!-N1323</f>
        <v>#REF!</v>
      </c>
      <c r="R1323" s="18" t="e">
        <f>#REF!-O1323</f>
        <v>#REF!</v>
      </c>
      <c r="S1323" s="17" t="str">
        <f t="shared" si="218"/>
        <v>00 0 00 00000000</v>
      </c>
    </row>
    <row r="1324" spans="1:19" s="16" customFormat="1" ht="15.75">
      <c r="A1324" s="14"/>
      <c r="B1324" s="121" t="s">
        <v>760</v>
      </c>
      <c r="C1324" s="122" t="s">
        <v>746</v>
      </c>
      <c r="D1324" s="123" t="s">
        <v>73</v>
      </c>
      <c r="E1324" s="123" t="s">
        <v>471</v>
      </c>
      <c r="F1324" s="123" t="s">
        <v>8</v>
      </c>
      <c r="G1324" s="123" t="s">
        <v>9</v>
      </c>
      <c r="H1324" s="124">
        <f t="shared" si="229"/>
        <v>0</v>
      </c>
      <c r="I1324" s="123">
        <v>0</v>
      </c>
      <c r="J1324" s="123" t="str">
        <f t="shared" si="228"/>
        <v>0000000000</v>
      </c>
      <c r="K1324" s="132"/>
      <c r="L1324" s="17"/>
      <c r="M1324" s="19">
        <v>74504.899999999994</v>
      </c>
      <c r="N1324" s="19">
        <v>81217.409999999989</v>
      </c>
      <c r="O1324" s="19">
        <v>88601.17</v>
      </c>
      <c r="P1324" s="19">
        <f t="shared" si="230"/>
        <v>-74504.899999999994</v>
      </c>
      <c r="Q1324" s="19" t="e">
        <f>#REF!-N1324</f>
        <v>#REF!</v>
      </c>
      <c r="R1324" s="19" t="e">
        <f>#REF!-O1324</f>
        <v>#REF!</v>
      </c>
      <c r="S1324" s="17" t="str">
        <f t="shared" si="218"/>
        <v>00 0 00 00000000</v>
      </c>
    </row>
    <row r="1325" spans="1:19" s="16" customFormat="1" ht="63">
      <c r="A1325" s="14"/>
      <c r="B1325" s="127" t="s">
        <v>293</v>
      </c>
      <c r="C1325" s="130" t="s">
        <v>746</v>
      </c>
      <c r="D1325" s="131" t="s">
        <v>73</v>
      </c>
      <c r="E1325" s="131" t="s">
        <v>471</v>
      </c>
      <c r="F1325" s="131" t="s">
        <v>294</v>
      </c>
      <c r="G1325" s="131" t="s">
        <v>9</v>
      </c>
      <c r="H1325" s="105">
        <f t="shared" si="229"/>
        <v>0</v>
      </c>
      <c r="I1325" s="131">
        <v>400000000</v>
      </c>
      <c r="J1325" s="131" t="str">
        <f t="shared" si="228"/>
        <v>0400000000</v>
      </c>
      <c r="K1325" s="132"/>
      <c r="L1325" s="17"/>
      <c r="M1325" s="26">
        <v>74504.899999999994</v>
      </c>
      <c r="N1325" s="26">
        <v>81217.409999999989</v>
      </c>
      <c r="O1325" s="26">
        <v>88601.17</v>
      </c>
      <c r="P1325" s="26">
        <f t="shared" si="230"/>
        <v>-74504.899999999994</v>
      </c>
      <c r="Q1325" s="26" t="e">
        <f>#REF!-N1325</f>
        <v>#REF!</v>
      </c>
      <c r="R1325" s="26" t="e">
        <f>#REF!-O1325</f>
        <v>#REF!</v>
      </c>
      <c r="S1325" s="17" t="str">
        <f t="shared" si="218"/>
        <v>04 0 00 00000000</v>
      </c>
    </row>
    <row r="1326" spans="1:19" s="16" customFormat="1" ht="63">
      <c r="A1326" s="14"/>
      <c r="B1326" s="140" t="s">
        <v>295</v>
      </c>
      <c r="C1326" s="130" t="s">
        <v>746</v>
      </c>
      <c r="D1326" s="131" t="s">
        <v>73</v>
      </c>
      <c r="E1326" s="131" t="s">
        <v>471</v>
      </c>
      <c r="F1326" s="131" t="s">
        <v>296</v>
      </c>
      <c r="G1326" s="131" t="s">
        <v>9</v>
      </c>
      <c r="H1326" s="105">
        <f t="shared" si="229"/>
        <v>0</v>
      </c>
      <c r="I1326" s="131">
        <v>420000000</v>
      </c>
      <c r="J1326" s="131" t="str">
        <f t="shared" si="228"/>
        <v>0420000000</v>
      </c>
      <c r="K1326" s="132"/>
      <c r="L1326" s="17"/>
      <c r="M1326" s="26">
        <v>74504.899999999994</v>
      </c>
      <c r="N1326" s="26">
        <v>81217.409999999989</v>
      </c>
      <c r="O1326" s="26">
        <v>88601.17</v>
      </c>
      <c r="P1326" s="26">
        <f t="shared" si="230"/>
        <v>-74504.899999999994</v>
      </c>
      <c r="Q1326" s="26" t="e">
        <f>#REF!-N1326</f>
        <v>#REF!</v>
      </c>
      <c r="R1326" s="26" t="e">
        <f>#REF!-O1326</f>
        <v>#REF!</v>
      </c>
      <c r="S1326" s="17" t="str">
        <f t="shared" si="218"/>
        <v>04 2 00 00000000</v>
      </c>
    </row>
    <row r="1327" spans="1:19" s="16" customFormat="1" ht="63">
      <c r="A1327" s="14"/>
      <c r="B1327" s="140" t="s">
        <v>297</v>
      </c>
      <c r="C1327" s="130" t="s">
        <v>746</v>
      </c>
      <c r="D1327" s="131" t="s">
        <v>73</v>
      </c>
      <c r="E1327" s="131" t="s">
        <v>471</v>
      </c>
      <c r="F1327" s="131" t="s">
        <v>298</v>
      </c>
      <c r="G1327" s="131" t="s">
        <v>9</v>
      </c>
      <c r="H1327" s="105">
        <f>H1331+H1328+H1334</f>
        <v>0</v>
      </c>
      <c r="I1327" s="131">
        <v>420200000</v>
      </c>
      <c r="J1327" s="131" t="str">
        <f t="shared" si="228"/>
        <v>0420200000</v>
      </c>
      <c r="K1327" s="132"/>
      <c r="L1327" s="17"/>
      <c r="M1327" s="26">
        <v>74504.899999999994</v>
      </c>
      <c r="N1327" s="26">
        <v>81217.409999999989</v>
      </c>
      <c r="O1327" s="26">
        <v>88601.17</v>
      </c>
      <c r="P1327" s="26">
        <f t="shared" si="230"/>
        <v>-74504.899999999994</v>
      </c>
      <c r="Q1327" s="26" t="e">
        <f>#REF!-N1327</f>
        <v>#REF!</v>
      </c>
      <c r="R1327" s="26" t="e">
        <f>#REF!-O1327</f>
        <v>#REF!</v>
      </c>
      <c r="S1327" s="17" t="str">
        <f t="shared" si="218"/>
        <v>04 2 02 00000000</v>
      </c>
    </row>
    <row r="1328" spans="1:19" s="47" customFormat="1" ht="47.25">
      <c r="A1328" s="46"/>
      <c r="B1328" s="125" t="s">
        <v>761</v>
      </c>
      <c r="C1328" s="109" t="s">
        <v>746</v>
      </c>
      <c r="D1328" s="108" t="s">
        <v>73</v>
      </c>
      <c r="E1328" s="108" t="s">
        <v>471</v>
      </c>
      <c r="F1328" s="108" t="s">
        <v>762</v>
      </c>
      <c r="G1328" s="108" t="s">
        <v>9</v>
      </c>
      <c r="H1328" s="126">
        <f>H1329</f>
        <v>0</v>
      </c>
      <c r="I1328" s="108">
        <v>420220820</v>
      </c>
      <c r="J1328" s="108" t="str">
        <f t="shared" si="228"/>
        <v>0420220820</v>
      </c>
      <c r="K1328" s="132"/>
      <c r="L1328" s="17"/>
      <c r="M1328" s="20">
        <v>10379.76</v>
      </c>
      <c r="N1328" s="20">
        <v>10379.76</v>
      </c>
      <c r="O1328" s="20">
        <v>10379.76</v>
      </c>
      <c r="P1328" s="20">
        <f t="shared" si="230"/>
        <v>-10379.76</v>
      </c>
      <c r="Q1328" s="20" t="e">
        <f>#REF!-N1328</f>
        <v>#REF!</v>
      </c>
      <c r="R1328" s="20" t="e">
        <f>#REF!-O1328</f>
        <v>#REF!</v>
      </c>
      <c r="S1328" s="17" t="str">
        <f t="shared" si="218"/>
        <v>04 2 02 20820000</v>
      </c>
    </row>
    <row r="1329" spans="1:19" s="47" customFormat="1" ht="31.5">
      <c r="A1329" s="46"/>
      <c r="B1329" s="125" t="s">
        <v>28</v>
      </c>
      <c r="C1329" s="109" t="s">
        <v>746</v>
      </c>
      <c r="D1329" s="108" t="s">
        <v>73</v>
      </c>
      <c r="E1329" s="108" t="s">
        <v>471</v>
      </c>
      <c r="F1329" s="108" t="s">
        <v>762</v>
      </c>
      <c r="G1329" s="108" t="s">
        <v>29</v>
      </c>
      <c r="H1329" s="126">
        <f>H1330</f>
        <v>0</v>
      </c>
      <c r="I1329" s="108">
        <v>420220820</v>
      </c>
      <c r="J1329" s="108" t="str">
        <f t="shared" si="228"/>
        <v>0420220820</v>
      </c>
      <c r="K1329" s="132"/>
      <c r="L1329" s="17"/>
      <c r="M1329" s="20">
        <v>10379.76</v>
      </c>
      <c r="N1329" s="20">
        <v>10379.76</v>
      </c>
      <c r="O1329" s="20">
        <v>10379.76</v>
      </c>
      <c r="P1329" s="20">
        <f t="shared" si="230"/>
        <v>-10379.76</v>
      </c>
      <c r="Q1329" s="20" t="e">
        <f>#REF!-N1329</f>
        <v>#REF!</v>
      </c>
      <c r="R1329" s="20" t="e">
        <f>#REF!-O1329</f>
        <v>#REF!</v>
      </c>
      <c r="S1329" s="17" t="str">
        <f t="shared" si="218"/>
        <v>04 2 02 20820240</v>
      </c>
    </row>
    <row r="1330" spans="1:19" s="47" customFormat="1" ht="15.75">
      <c r="A1330" s="46"/>
      <c r="B1330" s="125" t="s">
        <v>30</v>
      </c>
      <c r="C1330" s="109" t="s">
        <v>746</v>
      </c>
      <c r="D1330" s="108" t="s">
        <v>73</v>
      </c>
      <c r="E1330" s="108" t="s">
        <v>471</v>
      </c>
      <c r="F1330" s="108" t="s">
        <v>762</v>
      </c>
      <c r="G1330" s="108" t="s">
        <v>31</v>
      </c>
      <c r="H1330" s="126"/>
      <c r="I1330" s="108">
        <v>420220820</v>
      </c>
      <c r="J1330" s="108" t="str">
        <f t="shared" si="228"/>
        <v>0420220820</v>
      </c>
      <c r="K1330" s="304" t="str">
        <f>C1330&amp;D1330&amp;E1330&amp;J1330&amp;G1330</f>
        <v>61704090420220820244</v>
      </c>
      <c r="L1330" s="298"/>
      <c r="M1330" s="20"/>
      <c r="N1330" s="20"/>
      <c r="O1330" s="20"/>
      <c r="P1330" s="20"/>
      <c r="Q1330" s="20"/>
      <c r="R1330" s="20"/>
      <c r="S1330" s="17"/>
    </row>
    <row r="1331" spans="1:19" s="16" customFormat="1" ht="31.5">
      <c r="A1331" s="14"/>
      <c r="B1331" s="125" t="s">
        <v>763</v>
      </c>
      <c r="C1331" s="109" t="s">
        <v>746</v>
      </c>
      <c r="D1331" s="108" t="s">
        <v>73</v>
      </c>
      <c r="E1331" s="108" t="s">
        <v>471</v>
      </c>
      <c r="F1331" s="108" t="s">
        <v>764</v>
      </c>
      <c r="G1331" s="108" t="s">
        <v>9</v>
      </c>
      <c r="H1331" s="126">
        <f>H1332</f>
        <v>0</v>
      </c>
      <c r="I1331" s="108">
        <v>420221090</v>
      </c>
      <c r="J1331" s="108" t="str">
        <f t="shared" si="228"/>
        <v>0420221090</v>
      </c>
      <c r="K1331" s="132"/>
      <c r="L1331" s="17"/>
      <c r="M1331" s="20">
        <v>64125.14</v>
      </c>
      <c r="N1331" s="20">
        <v>70837.649999999994</v>
      </c>
      <c r="O1331" s="20">
        <v>78221.41</v>
      </c>
      <c r="P1331" s="20">
        <f>H1331-M1331</f>
        <v>-64125.14</v>
      </c>
      <c r="Q1331" s="20" t="e">
        <f>#REF!-N1331</f>
        <v>#REF!</v>
      </c>
      <c r="R1331" s="20" t="e">
        <f>#REF!-O1331</f>
        <v>#REF!</v>
      </c>
      <c r="S1331" s="17" t="str">
        <f t="shared" si="218"/>
        <v>04 2 02 21090000</v>
      </c>
    </row>
    <row r="1332" spans="1:19" s="16" customFormat="1" ht="31.5">
      <c r="A1332" s="14"/>
      <c r="B1332" s="125" t="s">
        <v>28</v>
      </c>
      <c r="C1332" s="109" t="s">
        <v>746</v>
      </c>
      <c r="D1332" s="108" t="s">
        <v>73</v>
      </c>
      <c r="E1332" s="108" t="s">
        <v>471</v>
      </c>
      <c r="F1332" s="108" t="s">
        <v>764</v>
      </c>
      <c r="G1332" s="108" t="s">
        <v>29</v>
      </c>
      <c r="H1332" s="126">
        <f>H1333</f>
        <v>0</v>
      </c>
      <c r="I1332" s="108">
        <v>420221090</v>
      </c>
      <c r="J1332" s="108" t="str">
        <f t="shared" si="228"/>
        <v>0420221090</v>
      </c>
      <c r="K1332" s="132"/>
      <c r="L1332" s="17"/>
      <c r="M1332" s="20">
        <v>64125.14</v>
      </c>
      <c r="N1332" s="20">
        <v>70837.649999999994</v>
      </c>
      <c r="O1332" s="20">
        <v>78221.41</v>
      </c>
      <c r="P1332" s="20">
        <f>H1332-M1332</f>
        <v>-64125.14</v>
      </c>
      <c r="Q1332" s="20" t="e">
        <f>#REF!-N1332</f>
        <v>#REF!</v>
      </c>
      <c r="R1332" s="20" t="e">
        <f>#REF!-O1332</f>
        <v>#REF!</v>
      </c>
      <c r="S1332" s="17" t="str">
        <f t="shared" si="218"/>
        <v>04 2 02 21090240</v>
      </c>
    </row>
    <row r="1333" spans="1:19" s="16" customFormat="1" ht="15.75">
      <c r="A1333" s="14"/>
      <c r="B1333" s="125" t="s">
        <v>30</v>
      </c>
      <c r="C1333" s="109" t="s">
        <v>746</v>
      </c>
      <c r="D1333" s="108" t="s">
        <v>73</v>
      </c>
      <c r="E1333" s="108" t="s">
        <v>471</v>
      </c>
      <c r="F1333" s="108" t="s">
        <v>764</v>
      </c>
      <c r="G1333" s="108" t="s">
        <v>31</v>
      </c>
      <c r="H1333" s="126"/>
      <c r="I1333" s="108">
        <v>420221090</v>
      </c>
      <c r="J1333" s="108" t="str">
        <f t="shared" si="228"/>
        <v>0420221090</v>
      </c>
      <c r="K1333" s="304" t="str">
        <f>C1333&amp;D1333&amp;E1333&amp;J1333&amp;G1333</f>
        <v>61704090420221090244</v>
      </c>
      <c r="L1333" s="17"/>
      <c r="M1333" s="20"/>
      <c r="N1333" s="20"/>
      <c r="O1333" s="20"/>
      <c r="P1333" s="20"/>
      <c r="Q1333" s="20"/>
      <c r="R1333" s="20"/>
      <c r="S1333" s="17"/>
    </row>
    <row r="1334" spans="1:19" s="16" customFormat="1" ht="94.5">
      <c r="A1334" s="14"/>
      <c r="B1334" s="125" t="s">
        <v>1075</v>
      </c>
      <c r="C1334" s="109" t="s">
        <v>746</v>
      </c>
      <c r="D1334" s="108" t="s">
        <v>73</v>
      </c>
      <c r="E1334" s="108" t="s">
        <v>471</v>
      </c>
      <c r="F1334" s="108" t="s">
        <v>1076</v>
      </c>
      <c r="G1334" s="108" t="s">
        <v>9</v>
      </c>
      <c r="H1334" s="126">
        <f>H1335</f>
        <v>0</v>
      </c>
      <c r="I1334" s="108">
        <v>420221410</v>
      </c>
      <c r="J1334" s="108" t="str">
        <f t="shared" si="228"/>
        <v>0420221410</v>
      </c>
      <c r="K1334" s="132"/>
      <c r="L1334" s="17"/>
      <c r="M1334" s="20"/>
      <c r="N1334" s="20"/>
      <c r="O1334" s="20"/>
      <c r="P1334" s="20"/>
      <c r="Q1334" s="20"/>
      <c r="R1334" s="20"/>
      <c r="S1334" s="17"/>
    </row>
    <row r="1335" spans="1:19" s="16" customFormat="1" ht="31.5">
      <c r="A1335" s="14"/>
      <c r="B1335" s="125" t="s">
        <v>28</v>
      </c>
      <c r="C1335" s="109" t="s">
        <v>746</v>
      </c>
      <c r="D1335" s="108" t="s">
        <v>73</v>
      </c>
      <c r="E1335" s="108" t="s">
        <v>471</v>
      </c>
      <c r="F1335" s="108" t="s">
        <v>1076</v>
      </c>
      <c r="G1335" s="108" t="s">
        <v>29</v>
      </c>
      <c r="H1335" s="126">
        <f>H1336</f>
        <v>0</v>
      </c>
      <c r="I1335" s="108">
        <v>420221410</v>
      </c>
      <c r="J1335" s="108" t="str">
        <f t="shared" si="228"/>
        <v>0420221410</v>
      </c>
      <c r="K1335" s="132"/>
      <c r="L1335" s="17"/>
      <c r="M1335" s="20"/>
      <c r="N1335" s="20"/>
      <c r="O1335" s="20"/>
      <c r="P1335" s="20"/>
      <c r="Q1335" s="20"/>
      <c r="R1335" s="20"/>
      <c r="S1335" s="17"/>
    </row>
    <row r="1336" spans="1:19" s="16" customFormat="1" ht="15.75">
      <c r="A1336" s="14"/>
      <c r="B1336" s="125" t="s">
        <v>30</v>
      </c>
      <c r="C1336" s="109" t="s">
        <v>746</v>
      </c>
      <c r="D1336" s="108" t="s">
        <v>73</v>
      </c>
      <c r="E1336" s="108" t="s">
        <v>471</v>
      </c>
      <c r="F1336" s="108" t="s">
        <v>1076</v>
      </c>
      <c r="G1336" s="108" t="s">
        <v>31</v>
      </c>
      <c r="H1336" s="126"/>
      <c r="I1336" s="108">
        <v>420221410</v>
      </c>
      <c r="J1336" s="108" t="str">
        <f t="shared" si="228"/>
        <v>0420221410</v>
      </c>
      <c r="K1336" s="304" t="str">
        <f>C1336&amp;D1336&amp;E1336&amp;J1336&amp;G1336</f>
        <v>61704090420221410244</v>
      </c>
      <c r="L1336" s="17"/>
      <c r="M1336" s="20"/>
      <c r="N1336" s="20"/>
      <c r="O1336" s="20"/>
      <c r="P1336" s="20"/>
      <c r="Q1336" s="20"/>
      <c r="R1336" s="20"/>
      <c r="S1336" s="17"/>
    </row>
    <row r="1337" spans="1:19" s="16" customFormat="1" ht="15.75">
      <c r="A1337" s="14"/>
      <c r="B1337" s="117" t="s">
        <v>305</v>
      </c>
      <c r="C1337" s="118" t="s">
        <v>746</v>
      </c>
      <c r="D1337" s="119" t="s">
        <v>86</v>
      </c>
      <c r="E1337" s="119" t="s">
        <v>7</v>
      </c>
      <c r="F1337" s="119" t="s">
        <v>8</v>
      </c>
      <c r="G1337" s="119" t="s">
        <v>9</v>
      </c>
      <c r="H1337" s="120">
        <f>H1338+H1346</f>
        <v>0</v>
      </c>
      <c r="I1337" s="119">
        <v>0</v>
      </c>
      <c r="J1337" s="119" t="str">
        <f t="shared" si="228"/>
        <v>0000000000</v>
      </c>
      <c r="K1337" s="132"/>
      <c r="L1337" s="17"/>
      <c r="M1337" s="18">
        <v>25720.12</v>
      </c>
      <c r="N1337" s="18">
        <v>20216.12</v>
      </c>
      <c r="O1337" s="18">
        <v>20204.12</v>
      </c>
      <c r="P1337" s="18">
        <f t="shared" ref="P1337:P1343" si="231">H1337-M1337</f>
        <v>-25720.12</v>
      </c>
      <c r="Q1337" s="18" t="e">
        <f>#REF!-N1337</f>
        <v>#REF!</v>
      </c>
      <c r="R1337" s="18" t="e">
        <f>#REF!-O1337</f>
        <v>#REF!</v>
      </c>
      <c r="S1337" s="17" t="str">
        <f t="shared" si="218"/>
        <v>00 0 00 00000000</v>
      </c>
    </row>
    <row r="1338" spans="1:19" s="16" customFormat="1" ht="15.75">
      <c r="A1338" s="14"/>
      <c r="B1338" s="121" t="s">
        <v>765</v>
      </c>
      <c r="C1338" s="122" t="s">
        <v>746</v>
      </c>
      <c r="D1338" s="123" t="s">
        <v>86</v>
      </c>
      <c r="E1338" s="123" t="s">
        <v>11</v>
      </c>
      <c r="F1338" s="123" t="s">
        <v>8</v>
      </c>
      <c r="G1338" s="123" t="s">
        <v>9</v>
      </c>
      <c r="H1338" s="124">
        <f>H1339</f>
        <v>0</v>
      </c>
      <c r="I1338" s="123">
        <v>0</v>
      </c>
      <c r="J1338" s="123" t="str">
        <f t="shared" si="228"/>
        <v>0000000000</v>
      </c>
      <c r="K1338" s="132"/>
      <c r="L1338" s="17"/>
      <c r="M1338" s="19">
        <v>1543</v>
      </c>
      <c r="N1338" s="19">
        <v>1539</v>
      </c>
      <c r="O1338" s="19">
        <v>1527</v>
      </c>
      <c r="P1338" s="19">
        <f t="shared" si="231"/>
        <v>-1543</v>
      </c>
      <c r="Q1338" s="19" t="e">
        <f>#REF!-N1338</f>
        <v>#REF!</v>
      </c>
      <c r="R1338" s="19" t="e">
        <f>#REF!-O1338</f>
        <v>#REF!</v>
      </c>
      <c r="S1338" s="17" t="str">
        <f t="shared" si="218"/>
        <v>00 0 00 00000000</v>
      </c>
    </row>
    <row r="1339" spans="1:19" s="16" customFormat="1" ht="63">
      <c r="A1339" s="14"/>
      <c r="B1339" s="127" t="s">
        <v>293</v>
      </c>
      <c r="C1339" s="130" t="s">
        <v>746</v>
      </c>
      <c r="D1339" s="131" t="s">
        <v>86</v>
      </c>
      <c r="E1339" s="131" t="s">
        <v>11</v>
      </c>
      <c r="F1339" s="131" t="s">
        <v>294</v>
      </c>
      <c r="G1339" s="131" t="s">
        <v>9</v>
      </c>
      <c r="H1339" s="105">
        <f t="shared" ref="H1339:H1342" si="232">H1340</f>
        <v>0</v>
      </c>
      <c r="I1339" s="131">
        <v>400000000</v>
      </c>
      <c r="J1339" s="131" t="str">
        <f t="shared" si="228"/>
        <v>0400000000</v>
      </c>
      <c r="K1339" s="132"/>
      <c r="L1339" s="17"/>
      <c r="M1339" s="26">
        <v>1543</v>
      </c>
      <c r="N1339" s="26">
        <v>1539</v>
      </c>
      <c r="O1339" s="26">
        <v>1527</v>
      </c>
      <c r="P1339" s="26">
        <f t="shared" si="231"/>
        <v>-1543</v>
      </c>
      <c r="Q1339" s="26" t="e">
        <f>#REF!-N1339</f>
        <v>#REF!</v>
      </c>
      <c r="R1339" s="26" t="e">
        <f>#REF!-O1339</f>
        <v>#REF!</v>
      </c>
      <c r="S1339" s="17" t="str">
        <f t="shared" si="218"/>
        <v>04 0 00 00000000</v>
      </c>
    </row>
    <row r="1340" spans="1:19" s="16" customFormat="1" ht="31.5">
      <c r="A1340" s="14"/>
      <c r="B1340" s="140" t="s">
        <v>766</v>
      </c>
      <c r="C1340" s="130" t="s">
        <v>746</v>
      </c>
      <c r="D1340" s="131" t="s">
        <v>86</v>
      </c>
      <c r="E1340" s="131" t="s">
        <v>11</v>
      </c>
      <c r="F1340" s="131" t="s">
        <v>767</v>
      </c>
      <c r="G1340" s="131" t="s">
        <v>9</v>
      </c>
      <c r="H1340" s="105">
        <f t="shared" si="232"/>
        <v>0</v>
      </c>
      <c r="I1340" s="131">
        <v>410000000</v>
      </c>
      <c r="J1340" s="131" t="str">
        <f t="shared" si="228"/>
        <v>0410000000</v>
      </c>
      <c r="K1340" s="132"/>
      <c r="L1340" s="17"/>
      <c r="M1340" s="26">
        <v>1543</v>
      </c>
      <c r="N1340" s="26">
        <v>1539</v>
      </c>
      <c r="O1340" s="26">
        <v>1527</v>
      </c>
      <c r="P1340" s="26">
        <f t="shared" si="231"/>
        <v>-1543</v>
      </c>
      <c r="Q1340" s="26" t="e">
        <f>#REF!-N1340</f>
        <v>#REF!</v>
      </c>
      <c r="R1340" s="26" t="e">
        <f>#REF!-O1340</f>
        <v>#REF!</v>
      </c>
      <c r="S1340" s="17" t="str">
        <f t="shared" si="218"/>
        <v>04 1 00 00000000</v>
      </c>
    </row>
    <row r="1341" spans="1:19" s="16" customFormat="1" ht="47.25">
      <c r="A1341" s="14"/>
      <c r="B1341" s="140" t="s">
        <v>768</v>
      </c>
      <c r="C1341" s="130" t="s">
        <v>746</v>
      </c>
      <c r="D1341" s="131" t="s">
        <v>86</v>
      </c>
      <c r="E1341" s="131" t="s">
        <v>11</v>
      </c>
      <c r="F1341" s="131" t="s">
        <v>769</v>
      </c>
      <c r="G1341" s="131" t="s">
        <v>9</v>
      </c>
      <c r="H1341" s="105">
        <f>H1342</f>
        <v>0</v>
      </c>
      <c r="I1341" s="131">
        <v>410100000</v>
      </c>
      <c r="J1341" s="131" t="str">
        <f t="shared" si="228"/>
        <v>0410100000</v>
      </c>
      <c r="K1341" s="132"/>
      <c r="L1341" s="17"/>
      <c r="M1341" s="26">
        <v>1543</v>
      </c>
      <c r="N1341" s="26">
        <v>1539</v>
      </c>
      <c r="O1341" s="26">
        <v>1527</v>
      </c>
      <c r="P1341" s="26">
        <f t="shared" si="231"/>
        <v>-1543</v>
      </c>
      <c r="Q1341" s="26" t="e">
        <f>#REF!-N1341</f>
        <v>#REF!</v>
      </c>
      <c r="R1341" s="26" t="e">
        <f>#REF!-O1341</f>
        <v>#REF!</v>
      </c>
      <c r="S1341" s="17" t="str">
        <f t="shared" si="218"/>
        <v>04 1 01 00000000</v>
      </c>
    </row>
    <row r="1342" spans="1:19" s="16" customFormat="1" ht="31.5">
      <c r="A1342" s="14"/>
      <c r="B1342" s="125" t="s">
        <v>770</v>
      </c>
      <c r="C1342" s="130" t="s">
        <v>746</v>
      </c>
      <c r="D1342" s="131" t="s">
        <v>86</v>
      </c>
      <c r="E1342" s="131" t="s">
        <v>11</v>
      </c>
      <c r="F1342" s="131" t="s">
        <v>771</v>
      </c>
      <c r="G1342" s="131" t="s">
        <v>9</v>
      </c>
      <c r="H1342" s="105">
        <f t="shared" si="232"/>
        <v>0</v>
      </c>
      <c r="I1342" s="131">
        <v>410120190</v>
      </c>
      <c r="J1342" s="131" t="str">
        <f t="shared" si="228"/>
        <v>0410120190</v>
      </c>
      <c r="K1342" s="132"/>
      <c r="L1342" s="17"/>
      <c r="M1342" s="26">
        <v>1543</v>
      </c>
      <c r="N1342" s="26">
        <v>1539</v>
      </c>
      <c r="O1342" s="26">
        <v>1527</v>
      </c>
      <c r="P1342" s="26">
        <f t="shared" si="231"/>
        <v>-1543</v>
      </c>
      <c r="Q1342" s="26" t="e">
        <f>#REF!-N1342</f>
        <v>#REF!</v>
      </c>
      <c r="R1342" s="26" t="e">
        <f>#REF!-O1342</f>
        <v>#REF!</v>
      </c>
      <c r="S1342" s="17" t="str">
        <f t="shared" si="218"/>
        <v>04 1 01 20190000</v>
      </c>
    </row>
    <row r="1343" spans="1:19" s="16" customFormat="1" ht="31.5">
      <c r="A1343" s="14"/>
      <c r="B1343" s="125" t="s">
        <v>28</v>
      </c>
      <c r="C1343" s="130" t="s">
        <v>746</v>
      </c>
      <c r="D1343" s="131" t="s">
        <v>86</v>
      </c>
      <c r="E1343" s="131" t="s">
        <v>11</v>
      </c>
      <c r="F1343" s="131" t="s">
        <v>771</v>
      </c>
      <c r="G1343" s="131" t="s">
        <v>29</v>
      </c>
      <c r="H1343" s="126">
        <f>SUM(H1344:H1345)</f>
        <v>0</v>
      </c>
      <c r="I1343" s="131">
        <v>410120190</v>
      </c>
      <c r="J1343" s="131" t="str">
        <f t="shared" si="228"/>
        <v>0410120190</v>
      </c>
      <c r="K1343" s="132"/>
      <c r="L1343" s="17"/>
      <c r="M1343" s="26">
        <v>1543</v>
      </c>
      <c r="N1343" s="26">
        <v>1539</v>
      </c>
      <c r="O1343" s="26">
        <v>1527</v>
      </c>
      <c r="P1343" s="26">
        <f t="shared" si="231"/>
        <v>-1543</v>
      </c>
      <c r="Q1343" s="26" t="e">
        <f>#REF!-N1343</f>
        <v>#REF!</v>
      </c>
      <c r="R1343" s="26" t="e">
        <f>#REF!-O1343</f>
        <v>#REF!</v>
      </c>
      <c r="S1343" s="17" t="str">
        <f t="shared" si="218"/>
        <v>04 1 01 20190240</v>
      </c>
    </row>
    <row r="1344" spans="1:19" s="16" customFormat="1" ht="47.25">
      <c r="A1344" s="14"/>
      <c r="B1344" s="127" t="s">
        <v>772</v>
      </c>
      <c r="C1344" s="109" t="s">
        <v>746</v>
      </c>
      <c r="D1344" s="108" t="s">
        <v>86</v>
      </c>
      <c r="E1344" s="108" t="s">
        <v>11</v>
      </c>
      <c r="F1344" s="108" t="s">
        <v>771</v>
      </c>
      <c r="G1344" s="108" t="s">
        <v>773</v>
      </c>
      <c r="H1344" s="126"/>
      <c r="I1344" s="108">
        <v>410120190</v>
      </c>
      <c r="J1344" s="108" t="str">
        <f t="shared" si="228"/>
        <v>0410120190</v>
      </c>
      <c r="K1344" s="304" t="str">
        <f t="shared" ref="K1344:K1345" si="233">C1344&amp;D1344&amp;E1344&amp;J1344&amp;G1344</f>
        <v>61705010410120190243</v>
      </c>
      <c r="L1344" s="17"/>
      <c r="M1344" s="26"/>
      <c r="N1344" s="26"/>
      <c r="O1344" s="26"/>
      <c r="P1344" s="26"/>
      <c r="Q1344" s="26"/>
      <c r="R1344" s="26"/>
      <c r="S1344" s="17"/>
    </row>
    <row r="1345" spans="1:19" s="16" customFormat="1" ht="15.75">
      <c r="A1345" s="14"/>
      <c r="B1345" s="125" t="s">
        <v>30</v>
      </c>
      <c r="C1345" s="109" t="s">
        <v>746</v>
      </c>
      <c r="D1345" s="108" t="s">
        <v>86</v>
      </c>
      <c r="E1345" s="108" t="s">
        <v>11</v>
      </c>
      <c r="F1345" s="108" t="s">
        <v>771</v>
      </c>
      <c r="G1345" s="108" t="s">
        <v>31</v>
      </c>
      <c r="H1345" s="126"/>
      <c r="I1345" s="108">
        <v>410120190</v>
      </c>
      <c r="J1345" s="108" t="str">
        <f t="shared" si="228"/>
        <v>0410120190</v>
      </c>
      <c r="K1345" s="304" t="str">
        <f t="shared" si="233"/>
        <v>61705010410120190244</v>
      </c>
      <c r="L1345" s="17"/>
      <c r="M1345" s="26"/>
      <c r="N1345" s="26"/>
      <c r="O1345" s="26"/>
      <c r="P1345" s="26"/>
      <c r="Q1345" s="26"/>
      <c r="R1345" s="26"/>
      <c r="S1345" s="17"/>
    </row>
    <row r="1346" spans="1:19" s="16" customFormat="1" ht="15.75">
      <c r="A1346" s="14"/>
      <c r="B1346" s="121" t="s">
        <v>306</v>
      </c>
      <c r="C1346" s="122" t="s">
        <v>746</v>
      </c>
      <c r="D1346" s="123" t="s">
        <v>86</v>
      </c>
      <c r="E1346" s="123" t="s">
        <v>13</v>
      </c>
      <c r="F1346" s="123" t="s">
        <v>8</v>
      </c>
      <c r="G1346" s="123" t="s">
        <v>9</v>
      </c>
      <c r="H1346" s="124">
        <f>H1347+H1371</f>
        <v>0</v>
      </c>
      <c r="I1346" s="123">
        <v>0</v>
      </c>
      <c r="J1346" s="123" t="str">
        <f t="shared" si="228"/>
        <v>0000000000</v>
      </c>
      <c r="K1346" s="132"/>
      <c r="L1346" s="17"/>
      <c r="M1346" s="19">
        <v>24177.119999999999</v>
      </c>
      <c r="N1346" s="19">
        <v>18677.12</v>
      </c>
      <c r="O1346" s="19">
        <v>18677.12</v>
      </c>
      <c r="P1346" s="19">
        <f t="shared" ref="P1346:P1351" si="234">H1346-M1346</f>
        <v>-24177.119999999999</v>
      </c>
      <c r="Q1346" s="19" t="e">
        <f>#REF!-N1346</f>
        <v>#REF!</v>
      </c>
      <c r="R1346" s="19" t="e">
        <f>#REF!-O1346</f>
        <v>#REF!</v>
      </c>
      <c r="S1346" s="17" t="str">
        <f t="shared" si="218"/>
        <v>00 0 00 00000000</v>
      </c>
    </row>
    <row r="1347" spans="1:19" s="16" customFormat="1" ht="63">
      <c r="A1347" s="14"/>
      <c r="B1347" s="127" t="s">
        <v>293</v>
      </c>
      <c r="C1347" s="130" t="s">
        <v>746</v>
      </c>
      <c r="D1347" s="131" t="s">
        <v>86</v>
      </c>
      <c r="E1347" s="131" t="s">
        <v>13</v>
      </c>
      <c r="F1347" s="131" t="s">
        <v>294</v>
      </c>
      <c r="G1347" s="131" t="s">
        <v>9</v>
      </c>
      <c r="H1347" s="105">
        <f t="shared" ref="H1347:H1348" si="235">H1348</f>
        <v>0</v>
      </c>
      <c r="I1347" s="131">
        <v>400000000</v>
      </c>
      <c r="J1347" s="131" t="str">
        <f t="shared" si="228"/>
        <v>0400000000</v>
      </c>
      <c r="K1347" s="132"/>
      <c r="L1347" s="17"/>
      <c r="M1347" s="26">
        <v>21677.119999999999</v>
      </c>
      <c r="N1347" s="26">
        <v>18677.12</v>
      </c>
      <c r="O1347" s="26">
        <v>18677.12</v>
      </c>
      <c r="P1347" s="26">
        <f t="shared" si="234"/>
        <v>-21677.119999999999</v>
      </c>
      <c r="Q1347" s="26" t="e">
        <f>#REF!-N1347</f>
        <v>#REF!</v>
      </c>
      <c r="R1347" s="26" t="e">
        <f>#REF!-O1347</f>
        <v>#REF!</v>
      </c>
      <c r="S1347" s="17" t="str">
        <f t="shared" si="218"/>
        <v>04 0 00 00000000</v>
      </c>
    </row>
    <row r="1348" spans="1:19" s="16" customFormat="1" ht="31.5">
      <c r="A1348" s="14"/>
      <c r="B1348" s="125" t="s">
        <v>307</v>
      </c>
      <c r="C1348" s="130" t="s">
        <v>746</v>
      </c>
      <c r="D1348" s="131" t="s">
        <v>86</v>
      </c>
      <c r="E1348" s="131" t="s">
        <v>13</v>
      </c>
      <c r="F1348" s="131" t="s">
        <v>308</v>
      </c>
      <c r="G1348" s="131" t="s">
        <v>9</v>
      </c>
      <c r="H1348" s="105">
        <f t="shared" si="235"/>
        <v>0</v>
      </c>
      <c r="I1348" s="131">
        <v>430000000</v>
      </c>
      <c r="J1348" s="131" t="str">
        <f t="shared" si="228"/>
        <v>0430000000</v>
      </c>
      <c r="K1348" s="132"/>
      <c r="L1348" s="17"/>
      <c r="M1348" s="26">
        <v>21677.119999999999</v>
      </c>
      <c r="N1348" s="26">
        <v>18677.12</v>
      </c>
      <c r="O1348" s="26">
        <v>18677.12</v>
      </c>
      <c r="P1348" s="26">
        <f t="shared" si="234"/>
        <v>-21677.119999999999</v>
      </c>
      <c r="Q1348" s="26" t="e">
        <f>#REF!-N1348</f>
        <v>#REF!</v>
      </c>
      <c r="R1348" s="26" t="e">
        <f>#REF!-O1348</f>
        <v>#REF!</v>
      </c>
      <c r="S1348" s="17" t="str">
        <f t="shared" si="218"/>
        <v>04 3 00 00000000</v>
      </c>
    </row>
    <row r="1349" spans="1:19" s="16" customFormat="1" ht="31.5">
      <c r="A1349" s="14"/>
      <c r="B1349" s="307" t="s">
        <v>309</v>
      </c>
      <c r="C1349" s="130" t="s">
        <v>746</v>
      </c>
      <c r="D1349" s="131" t="s">
        <v>86</v>
      </c>
      <c r="E1349" s="131" t="s">
        <v>13</v>
      </c>
      <c r="F1349" s="108" t="s">
        <v>310</v>
      </c>
      <c r="G1349" s="131" t="s">
        <v>9</v>
      </c>
      <c r="H1349" s="105">
        <f>H1350+H1353+H1356+H1359+H1365</f>
        <v>0</v>
      </c>
      <c r="I1349" s="108">
        <v>430400000</v>
      </c>
      <c r="J1349" s="108" t="str">
        <f t="shared" si="228"/>
        <v>0430400000</v>
      </c>
      <c r="K1349" s="132"/>
      <c r="L1349" s="17"/>
      <c r="M1349" s="26">
        <v>21677.119999999999</v>
      </c>
      <c r="N1349" s="26">
        <v>18677.12</v>
      </c>
      <c r="O1349" s="26">
        <v>18677.12</v>
      </c>
      <c r="P1349" s="26">
        <f t="shared" si="234"/>
        <v>-21677.119999999999</v>
      </c>
      <c r="Q1349" s="26" t="e">
        <f>#REF!-N1349</f>
        <v>#REF!</v>
      </c>
      <c r="R1349" s="26" t="e">
        <f>#REF!-O1349</f>
        <v>#REF!</v>
      </c>
      <c r="S1349" s="17" t="str">
        <f t="shared" si="218"/>
        <v>04 3 04 00000000</v>
      </c>
    </row>
    <row r="1350" spans="1:19" s="16" customFormat="1" ht="31.5">
      <c r="A1350" s="14"/>
      <c r="B1350" s="125" t="s">
        <v>542</v>
      </c>
      <c r="C1350" s="130" t="s">
        <v>746</v>
      </c>
      <c r="D1350" s="131" t="s">
        <v>86</v>
      </c>
      <c r="E1350" s="131" t="s">
        <v>13</v>
      </c>
      <c r="F1350" s="131" t="s">
        <v>543</v>
      </c>
      <c r="G1350" s="131" t="s">
        <v>9</v>
      </c>
      <c r="H1350" s="105">
        <f>H1351</f>
        <v>0</v>
      </c>
      <c r="I1350" s="131">
        <v>430420300</v>
      </c>
      <c r="J1350" s="131" t="str">
        <f t="shared" si="228"/>
        <v>0430420300</v>
      </c>
      <c r="K1350" s="132"/>
      <c r="L1350" s="17"/>
      <c r="M1350" s="26">
        <v>8259.32</v>
      </c>
      <c r="N1350" s="26">
        <v>8259.32</v>
      </c>
      <c r="O1350" s="26">
        <v>8259.32</v>
      </c>
      <c r="P1350" s="26">
        <f t="shared" si="234"/>
        <v>-8259.32</v>
      </c>
      <c r="Q1350" s="26" t="e">
        <f>#REF!-N1350</f>
        <v>#REF!</v>
      </c>
      <c r="R1350" s="26" t="e">
        <f>#REF!-O1350</f>
        <v>#REF!</v>
      </c>
      <c r="S1350" s="17" t="str">
        <f t="shared" si="218"/>
        <v>04 3 04 20300000</v>
      </c>
    </row>
    <row r="1351" spans="1:19" s="16" customFormat="1" ht="31.5">
      <c r="A1351" s="14"/>
      <c r="B1351" s="125" t="s">
        <v>28</v>
      </c>
      <c r="C1351" s="130" t="s">
        <v>746</v>
      </c>
      <c r="D1351" s="131" t="s">
        <v>86</v>
      </c>
      <c r="E1351" s="131" t="s">
        <v>13</v>
      </c>
      <c r="F1351" s="131" t="s">
        <v>543</v>
      </c>
      <c r="G1351" s="131" t="s">
        <v>29</v>
      </c>
      <c r="H1351" s="126">
        <f>H1352</f>
        <v>0</v>
      </c>
      <c r="I1351" s="131">
        <v>430420300</v>
      </c>
      <c r="J1351" s="131" t="str">
        <f t="shared" si="228"/>
        <v>0430420300</v>
      </c>
      <c r="K1351" s="132"/>
      <c r="L1351" s="17"/>
      <c r="M1351" s="26">
        <v>8259.32</v>
      </c>
      <c r="N1351" s="26">
        <v>8259.32</v>
      </c>
      <c r="O1351" s="26">
        <v>8259.32</v>
      </c>
      <c r="P1351" s="26">
        <f t="shared" si="234"/>
        <v>-8259.32</v>
      </c>
      <c r="Q1351" s="26" t="e">
        <f>#REF!-N1351</f>
        <v>#REF!</v>
      </c>
      <c r="R1351" s="26" t="e">
        <f>#REF!-O1351</f>
        <v>#REF!</v>
      </c>
      <c r="S1351" s="17" t="str">
        <f t="shared" si="218"/>
        <v>04 3 04 20300240</v>
      </c>
    </row>
    <row r="1352" spans="1:19" s="16" customFormat="1" ht="15.75">
      <c r="A1352" s="14"/>
      <c r="B1352" s="125" t="s">
        <v>30</v>
      </c>
      <c r="C1352" s="130" t="s">
        <v>746</v>
      </c>
      <c r="D1352" s="131" t="s">
        <v>86</v>
      </c>
      <c r="E1352" s="131" t="s">
        <v>13</v>
      </c>
      <c r="F1352" s="131" t="s">
        <v>543</v>
      </c>
      <c r="G1352" s="131" t="s">
        <v>31</v>
      </c>
      <c r="H1352" s="126"/>
      <c r="I1352" s="131">
        <v>430420300</v>
      </c>
      <c r="J1352" s="131" t="str">
        <f t="shared" si="228"/>
        <v>0430420300</v>
      </c>
      <c r="K1352" s="304" t="str">
        <f>C1352&amp;D1352&amp;E1352&amp;J1352&amp;G1352</f>
        <v>61705030430420300244</v>
      </c>
      <c r="L1352" s="17"/>
      <c r="M1352" s="26"/>
      <c r="N1352" s="26"/>
      <c r="O1352" s="26"/>
      <c r="P1352" s="26"/>
      <c r="Q1352" s="26"/>
      <c r="R1352" s="26"/>
      <c r="S1352" s="17"/>
    </row>
    <row r="1353" spans="1:19" s="16" customFormat="1" ht="31.5">
      <c r="A1353" s="14"/>
      <c r="B1353" s="127" t="s">
        <v>774</v>
      </c>
      <c r="C1353" s="130" t="s">
        <v>746</v>
      </c>
      <c r="D1353" s="131" t="s">
        <v>86</v>
      </c>
      <c r="E1353" s="131" t="s">
        <v>13</v>
      </c>
      <c r="F1353" s="131" t="s">
        <v>775</v>
      </c>
      <c r="G1353" s="131" t="s">
        <v>9</v>
      </c>
      <c r="H1353" s="105">
        <f>H1354</f>
        <v>0</v>
      </c>
      <c r="I1353" s="131">
        <v>430421070</v>
      </c>
      <c r="J1353" s="131" t="str">
        <f t="shared" si="228"/>
        <v>0430421070</v>
      </c>
      <c r="K1353" s="132"/>
      <c r="L1353" s="17"/>
      <c r="M1353" s="26">
        <v>941.72</v>
      </c>
      <c r="N1353" s="26">
        <v>941.72</v>
      </c>
      <c r="O1353" s="26">
        <v>941.72</v>
      </c>
      <c r="P1353" s="26">
        <f>H1353-M1353</f>
        <v>-941.72</v>
      </c>
      <c r="Q1353" s="26" t="e">
        <f>#REF!-N1353</f>
        <v>#REF!</v>
      </c>
      <c r="R1353" s="26" t="e">
        <f>#REF!-O1353</f>
        <v>#REF!</v>
      </c>
      <c r="S1353" s="17" t="str">
        <f t="shared" si="218"/>
        <v>04 3 04 21070000</v>
      </c>
    </row>
    <row r="1354" spans="1:19" s="16" customFormat="1" ht="31.5">
      <c r="A1354" s="14"/>
      <c r="B1354" s="125" t="s">
        <v>28</v>
      </c>
      <c r="C1354" s="130" t="s">
        <v>746</v>
      </c>
      <c r="D1354" s="131" t="s">
        <v>86</v>
      </c>
      <c r="E1354" s="131" t="s">
        <v>13</v>
      </c>
      <c r="F1354" s="131" t="s">
        <v>775</v>
      </c>
      <c r="G1354" s="131" t="s">
        <v>29</v>
      </c>
      <c r="H1354" s="126">
        <f>H1355</f>
        <v>0</v>
      </c>
      <c r="I1354" s="131">
        <v>430421070</v>
      </c>
      <c r="J1354" s="131" t="str">
        <f t="shared" si="228"/>
        <v>0430421070</v>
      </c>
      <c r="K1354" s="132"/>
      <c r="L1354" s="17"/>
      <c r="M1354" s="26">
        <v>941.72</v>
      </c>
      <c r="N1354" s="26">
        <v>941.72</v>
      </c>
      <c r="O1354" s="26">
        <v>941.72</v>
      </c>
      <c r="P1354" s="26">
        <f>H1354-M1354</f>
        <v>-941.72</v>
      </c>
      <c r="Q1354" s="26" t="e">
        <f>#REF!-N1354</f>
        <v>#REF!</v>
      </c>
      <c r="R1354" s="26" t="e">
        <f>#REF!-O1354</f>
        <v>#REF!</v>
      </c>
      <c r="S1354" s="17" t="str">
        <f t="shared" si="218"/>
        <v>04 3 04 21070240</v>
      </c>
    </row>
    <row r="1355" spans="1:19" s="16" customFormat="1" ht="15.75">
      <c r="A1355" s="14"/>
      <c r="B1355" s="125" t="s">
        <v>30</v>
      </c>
      <c r="C1355" s="130" t="s">
        <v>746</v>
      </c>
      <c r="D1355" s="131" t="s">
        <v>86</v>
      </c>
      <c r="E1355" s="131" t="s">
        <v>13</v>
      </c>
      <c r="F1355" s="131" t="s">
        <v>775</v>
      </c>
      <c r="G1355" s="131" t="s">
        <v>31</v>
      </c>
      <c r="H1355" s="126"/>
      <c r="I1355" s="131">
        <v>430421070</v>
      </c>
      <c r="J1355" s="131" t="str">
        <f t="shared" si="228"/>
        <v>0430421070</v>
      </c>
      <c r="K1355" s="304" t="str">
        <f>C1355&amp;D1355&amp;E1355&amp;J1355&amp;G1355</f>
        <v>61705030430421070244</v>
      </c>
      <c r="L1355" s="17"/>
      <c r="M1355" s="26"/>
      <c r="N1355" s="26"/>
      <c r="O1355" s="26"/>
      <c r="P1355" s="26"/>
      <c r="Q1355" s="26"/>
      <c r="R1355" s="26"/>
      <c r="S1355" s="17"/>
    </row>
    <row r="1356" spans="1:19" s="16" customFormat="1" ht="78.75">
      <c r="A1356" s="14" t="s">
        <v>80</v>
      </c>
      <c r="B1356" s="127" t="s">
        <v>776</v>
      </c>
      <c r="C1356" s="130" t="s">
        <v>746</v>
      </c>
      <c r="D1356" s="131" t="s">
        <v>86</v>
      </c>
      <c r="E1356" s="131" t="s">
        <v>13</v>
      </c>
      <c r="F1356" s="131" t="s">
        <v>777</v>
      </c>
      <c r="G1356" s="131" t="s">
        <v>9</v>
      </c>
      <c r="H1356" s="105">
        <f>H1357</f>
        <v>0</v>
      </c>
      <c r="I1356" s="131">
        <v>430421080</v>
      </c>
      <c r="J1356" s="131" t="str">
        <f t="shared" si="228"/>
        <v>0430421080</v>
      </c>
      <c r="K1356" s="132"/>
      <c r="L1356" s="17"/>
      <c r="M1356" s="26">
        <v>12476.08</v>
      </c>
      <c r="N1356" s="26">
        <v>9476.08</v>
      </c>
      <c r="O1356" s="26">
        <v>9476.08</v>
      </c>
      <c r="P1356" s="26">
        <f>H1356-M1356</f>
        <v>-12476.08</v>
      </c>
      <c r="Q1356" s="26" t="e">
        <f>#REF!-N1356</f>
        <v>#REF!</v>
      </c>
      <c r="R1356" s="26" t="e">
        <f>#REF!-O1356</f>
        <v>#REF!</v>
      </c>
      <c r="S1356" s="17" t="str">
        <f t="shared" si="218"/>
        <v>04 3 04 21080000</v>
      </c>
    </row>
    <row r="1357" spans="1:19" s="16" customFormat="1" ht="31.5">
      <c r="A1357" s="14"/>
      <c r="B1357" s="125" t="s">
        <v>28</v>
      </c>
      <c r="C1357" s="130" t="s">
        <v>746</v>
      </c>
      <c r="D1357" s="131" t="s">
        <v>86</v>
      </c>
      <c r="E1357" s="131" t="s">
        <v>13</v>
      </c>
      <c r="F1357" s="131" t="s">
        <v>777</v>
      </c>
      <c r="G1357" s="131" t="s">
        <v>29</v>
      </c>
      <c r="H1357" s="126">
        <f>H1358</f>
        <v>0</v>
      </c>
      <c r="I1357" s="131">
        <v>430421080</v>
      </c>
      <c r="J1357" s="131" t="str">
        <f t="shared" si="228"/>
        <v>0430421080</v>
      </c>
      <c r="K1357" s="132"/>
      <c r="L1357" s="17"/>
      <c r="M1357" s="26">
        <v>12476.08</v>
      </c>
      <c r="N1357" s="26">
        <v>9476.08</v>
      </c>
      <c r="O1357" s="26">
        <v>9476.08</v>
      </c>
      <c r="P1357" s="26">
        <f>H1357-M1357</f>
        <v>-12476.08</v>
      </c>
      <c r="Q1357" s="26" t="e">
        <f>#REF!-N1357</f>
        <v>#REF!</v>
      </c>
      <c r="R1357" s="26" t="e">
        <f>#REF!-O1357</f>
        <v>#REF!</v>
      </c>
      <c r="S1357" s="17" t="str">
        <f t="shared" si="218"/>
        <v>04 3 04 21080240</v>
      </c>
    </row>
    <row r="1358" spans="1:19" s="16" customFormat="1" ht="15.75">
      <c r="A1358" s="14"/>
      <c r="B1358" s="125" t="s">
        <v>30</v>
      </c>
      <c r="C1358" s="130" t="s">
        <v>746</v>
      </c>
      <c r="D1358" s="131" t="s">
        <v>86</v>
      </c>
      <c r="E1358" s="131" t="s">
        <v>13</v>
      </c>
      <c r="F1358" s="131" t="s">
        <v>777</v>
      </c>
      <c r="G1358" s="131" t="s">
        <v>31</v>
      </c>
      <c r="H1358" s="126"/>
      <c r="I1358" s="131">
        <v>430421080</v>
      </c>
      <c r="J1358" s="131" t="str">
        <f t="shared" si="228"/>
        <v>0430421080</v>
      </c>
      <c r="K1358" s="304" t="str">
        <f>C1358&amp;D1358&amp;E1358&amp;J1358&amp;G1358</f>
        <v>61705030430421080244</v>
      </c>
      <c r="L1358" s="17"/>
      <c r="M1358" s="26"/>
      <c r="N1358" s="26"/>
      <c r="O1358" s="26"/>
      <c r="P1358" s="26"/>
      <c r="Q1358" s="26"/>
      <c r="R1358" s="26"/>
      <c r="S1358" s="17"/>
    </row>
    <row r="1359" spans="1:19" s="16" customFormat="1" ht="47.25">
      <c r="A1359" s="14"/>
      <c r="B1359" s="125" t="s">
        <v>1043</v>
      </c>
      <c r="C1359" s="130" t="s">
        <v>746</v>
      </c>
      <c r="D1359" s="131" t="s">
        <v>86</v>
      </c>
      <c r="E1359" s="131" t="s">
        <v>13</v>
      </c>
      <c r="F1359" s="131" t="s">
        <v>1056</v>
      </c>
      <c r="G1359" s="131" t="s">
        <v>9</v>
      </c>
      <c r="H1359" s="105">
        <f>H1364</f>
        <v>0</v>
      </c>
      <c r="I1359" s="131" t="s">
        <v>1231</v>
      </c>
      <c r="J1359" s="131" t="str">
        <f t="shared" si="228"/>
        <v>04304G6420</v>
      </c>
      <c r="K1359" s="132"/>
      <c r="L1359" s="17"/>
      <c r="M1359" s="26"/>
      <c r="N1359" s="26"/>
      <c r="O1359" s="26"/>
      <c r="P1359" s="26"/>
      <c r="Q1359" s="26"/>
      <c r="R1359" s="26"/>
      <c r="S1359" s="17"/>
    </row>
    <row r="1360" spans="1:19" s="16" customFormat="1" ht="15.75">
      <c r="A1360" s="14"/>
      <c r="B1360" s="132" t="s">
        <v>1045</v>
      </c>
      <c r="C1360" s="130"/>
      <c r="D1360" s="131"/>
      <c r="E1360" s="131"/>
      <c r="F1360" s="131"/>
      <c r="G1360" s="131"/>
      <c r="H1360" s="105"/>
      <c r="I1360" s="131"/>
      <c r="J1360" s="131" t="str">
        <f t="shared" si="228"/>
        <v>0000000000</v>
      </c>
      <c r="K1360" s="17"/>
      <c r="L1360" s="17"/>
      <c r="M1360" s="26"/>
      <c r="N1360" s="26"/>
      <c r="O1360" s="26"/>
      <c r="P1360" s="26"/>
      <c r="Q1360" s="26"/>
      <c r="R1360" s="26"/>
      <c r="S1360" s="17"/>
    </row>
    <row r="1361" spans="1:19" s="16" customFormat="1" ht="15.75">
      <c r="A1361" s="14"/>
      <c r="B1361" s="125" t="s">
        <v>1046</v>
      </c>
      <c r="C1361" s="130" t="s">
        <v>746</v>
      </c>
      <c r="D1361" s="131" t="s">
        <v>86</v>
      </c>
      <c r="E1361" s="131" t="s">
        <v>13</v>
      </c>
      <c r="F1361" s="131" t="s">
        <v>1056</v>
      </c>
      <c r="G1361" s="131" t="s">
        <v>9</v>
      </c>
      <c r="H1361" s="105">
        <f>305000</f>
        <v>305000</v>
      </c>
      <c r="I1361" s="131" t="s">
        <v>1231</v>
      </c>
      <c r="J1361" s="131" t="str">
        <f t="shared" si="228"/>
        <v>04304G6420</v>
      </c>
      <c r="K1361" s="132"/>
      <c r="L1361" s="17"/>
      <c r="M1361" s="26"/>
      <c r="N1361" s="26"/>
      <c r="O1361" s="26"/>
      <c r="P1361" s="26"/>
      <c r="Q1361" s="26"/>
      <c r="R1361" s="26"/>
      <c r="S1361" s="17"/>
    </row>
    <row r="1362" spans="1:19" s="16" customFormat="1" ht="15.75">
      <c r="A1362" s="14"/>
      <c r="B1362" s="125" t="s">
        <v>1047</v>
      </c>
      <c r="C1362" s="130" t="s">
        <v>746</v>
      </c>
      <c r="D1362" s="131" t="s">
        <v>86</v>
      </c>
      <c r="E1362" s="131" t="s">
        <v>13</v>
      </c>
      <c r="F1362" s="131" t="s">
        <v>1056</v>
      </c>
      <c r="G1362" s="131" t="s">
        <v>9</v>
      </c>
      <c r="H1362" s="105">
        <f>1203530</f>
        <v>1203530</v>
      </c>
      <c r="I1362" s="131" t="s">
        <v>1231</v>
      </c>
      <c r="J1362" s="131" t="str">
        <f t="shared" si="228"/>
        <v>04304G6420</v>
      </c>
      <c r="K1362" s="132"/>
      <c r="L1362" s="17"/>
      <c r="M1362" s="26"/>
      <c r="N1362" s="26"/>
      <c r="O1362" s="26"/>
      <c r="P1362" s="26"/>
      <c r="Q1362" s="26"/>
      <c r="R1362" s="26"/>
      <c r="S1362" s="17"/>
    </row>
    <row r="1363" spans="1:19" s="16" customFormat="1" ht="31.5">
      <c r="A1363" s="14"/>
      <c r="B1363" s="125" t="s">
        <v>28</v>
      </c>
      <c r="C1363" s="130" t="s">
        <v>746</v>
      </c>
      <c r="D1363" s="131" t="s">
        <v>86</v>
      </c>
      <c r="E1363" s="131" t="s">
        <v>13</v>
      </c>
      <c r="F1363" s="131" t="s">
        <v>1056</v>
      </c>
      <c r="G1363" s="131" t="s">
        <v>29</v>
      </c>
      <c r="H1363" s="105">
        <f>H1364</f>
        <v>0</v>
      </c>
      <c r="I1363" s="131" t="s">
        <v>1231</v>
      </c>
      <c r="J1363" s="131" t="str">
        <f t="shared" si="228"/>
        <v>04304G6420</v>
      </c>
      <c r="K1363" s="132"/>
      <c r="L1363" s="17"/>
      <c r="M1363" s="26"/>
      <c r="N1363" s="26"/>
      <c r="O1363" s="26"/>
      <c r="P1363" s="26"/>
      <c r="Q1363" s="26"/>
      <c r="R1363" s="26"/>
      <c r="S1363" s="17"/>
    </row>
    <row r="1364" spans="1:19" s="16" customFormat="1" ht="15.75">
      <c r="A1364" s="14"/>
      <c r="B1364" s="125" t="s">
        <v>30</v>
      </c>
      <c r="C1364" s="130" t="s">
        <v>746</v>
      </c>
      <c r="D1364" s="131" t="s">
        <v>86</v>
      </c>
      <c r="E1364" s="131" t="s">
        <v>13</v>
      </c>
      <c r="F1364" s="131" t="s">
        <v>1056</v>
      </c>
      <c r="G1364" s="131" t="s">
        <v>31</v>
      </c>
      <c r="H1364" s="126"/>
      <c r="I1364" s="131" t="s">
        <v>1231</v>
      </c>
      <c r="J1364" s="131" t="str">
        <f t="shared" si="228"/>
        <v>04304G6420</v>
      </c>
      <c r="K1364" s="304" t="str">
        <f>C1364&amp;D1364&amp;E1364&amp;J1364&amp;G1364</f>
        <v>617050304304G6420244</v>
      </c>
      <c r="L1364" s="17"/>
      <c r="M1364" s="26"/>
      <c r="N1364" s="26"/>
      <c r="O1364" s="26"/>
      <c r="P1364" s="26"/>
      <c r="Q1364" s="26"/>
      <c r="R1364" s="26"/>
      <c r="S1364" s="17"/>
    </row>
    <row r="1365" spans="1:19" s="16" customFormat="1" ht="47.25">
      <c r="A1365" s="14"/>
      <c r="B1365" s="127" t="s">
        <v>1048</v>
      </c>
      <c r="C1365" s="130" t="s">
        <v>746</v>
      </c>
      <c r="D1365" s="131" t="s">
        <v>86</v>
      </c>
      <c r="E1365" s="131" t="s">
        <v>13</v>
      </c>
      <c r="F1365" s="131" t="s">
        <v>1057</v>
      </c>
      <c r="G1365" s="131" t="s">
        <v>9</v>
      </c>
      <c r="H1365" s="105">
        <f>H1370</f>
        <v>0</v>
      </c>
      <c r="I1365" s="131" t="s">
        <v>1232</v>
      </c>
      <c r="J1365" s="131" t="str">
        <f t="shared" si="228"/>
        <v>04304S6420</v>
      </c>
      <c r="K1365" s="132"/>
      <c r="L1365" s="17"/>
      <c r="M1365" s="26"/>
      <c r="N1365" s="26"/>
      <c r="O1365" s="26"/>
      <c r="P1365" s="26"/>
      <c r="Q1365" s="26"/>
      <c r="R1365" s="26"/>
      <c r="S1365" s="17"/>
    </row>
    <row r="1366" spans="1:19" s="16" customFormat="1" ht="15.75">
      <c r="A1366" s="14"/>
      <c r="B1366" s="132" t="s">
        <v>1045</v>
      </c>
      <c r="C1366" s="130"/>
      <c r="D1366" s="131"/>
      <c r="E1366" s="131"/>
      <c r="F1366" s="131"/>
      <c r="G1366" s="131"/>
      <c r="H1366" s="105"/>
      <c r="I1366" s="131"/>
      <c r="J1366" s="131" t="str">
        <f t="shared" si="228"/>
        <v>0000000000</v>
      </c>
      <c r="K1366" s="17"/>
      <c r="L1366" s="17"/>
      <c r="M1366" s="26"/>
      <c r="N1366" s="26"/>
      <c r="O1366" s="26"/>
      <c r="P1366" s="26"/>
      <c r="Q1366" s="26"/>
      <c r="R1366" s="26"/>
      <c r="S1366" s="17"/>
    </row>
    <row r="1367" spans="1:19" s="16" customFormat="1" ht="15.75">
      <c r="A1367" s="14"/>
      <c r="B1367" s="125" t="s">
        <v>1050</v>
      </c>
      <c r="C1367" s="130" t="s">
        <v>746</v>
      </c>
      <c r="D1367" s="131" t="s">
        <v>86</v>
      </c>
      <c r="E1367" s="131" t="s">
        <v>13</v>
      </c>
      <c r="F1367" s="131" t="s">
        <v>1057</v>
      </c>
      <c r="G1367" s="131" t="s">
        <v>9</v>
      </c>
      <c r="H1367" s="105">
        <v>2710000</v>
      </c>
      <c r="I1367" s="131" t="s">
        <v>1232</v>
      </c>
      <c r="J1367" s="131" t="str">
        <f t="shared" si="228"/>
        <v>04304S6420</v>
      </c>
      <c r="K1367" s="132"/>
      <c r="L1367" s="17"/>
      <c r="M1367" s="26"/>
      <c r="N1367" s="26"/>
      <c r="O1367" s="26"/>
      <c r="P1367" s="26"/>
      <c r="Q1367" s="26"/>
      <c r="R1367" s="26"/>
      <c r="S1367" s="17"/>
    </row>
    <row r="1368" spans="1:19" s="16" customFormat="1" ht="15.75">
      <c r="A1368" s="14"/>
      <c r="B1368" s="125" t="s">
        <v>1051</v>
      </c>
      <c r="C1368" s="130" t="s">
        <v>746</v>
      </c>
      <c r="D1368" s="131" t="s">
        <v>86</v>
      </c>
      <c r="E1368" s="131" t="s">
        <v>13</v>
      </c>
      <c r="F1368" s="131" t="s">
        <v>1057</v>
      </c>
      <c r="G1368" s="131" t="s">
        <v>9</v>
      </c>
      <c r="H1368" s="105">
        <v>6000000</v>
      </c>
      <c r="I1368" s="131" t="s">
        <v>1232</v>
      </c>
      <c r="J1368" s="131" t="str">
        <f t="shared" si="228"/>
        <v>04304S6420</v>
      </c>
      <c r="K1368" s="132"/>
      <c r="L1368" s="17"/>
      <c r="M1368" s="26"/>
      <c r="N1368" s="26"/>
      <c r="O1368" s="26"/>
      <c r="P1368" s="26"/>
      <c r="Q1368" s="26"/>
      <c r="R1368" s="26"/>
      <c r="S1368" s="17"/>
    </row>
    <row r="1369" spans="1:19" s="16" customFormat="1" ht="31.5">
      <c r="A1369" s="14"/>
      <c r="B1369" s="125" t="s">
        <v>28</v>
      </c>
      <c r="C1369" s="130" t="s">
        <v>746</v>
      </c>
      <c r="D1369" s="131" t="s">
        <v>86</v>
      </c>
      <c r="E1369" s="131" t="s">
        <v>13</v>
      </c>
      <c r="F1369" s="131" t="s">
        <v>1057</v>
      </c>
      <c r="G1369" s="131" t="s">
        <v>29</v>
      </c>
      <c r="H1369" s="105">
        <f>H1370</f>
        <v>0</v>
      </c>
      <c r="I1369" s="131" t="s">
        <v>1232</v>
      </c>
      <c r="J1369" s="131" t="str">
        <f t="shared" si="228"/>
        <v>04304S6420</v>
      </c>
      <c r="K1369" s="132"/>
      <c r="L1369" s="17"/>
      <c r="M1369" s="26"/>
      <c r="N1369" s="26"/>
      <c r="O1369" s="26"/>
      <c r="P1369" s="26"/>
      <c r="Q1369" s="26"/>
      <c r="R1369" s="26"/>
      <c r="S1369" s="17"/>
    </row>
    <row r="1370" spans="1:19" s="16" customFormat="1" ht="15.75">
      <c r="A1370" s="14"/>
      <c r="B1370" s="125" t="s">
        <v>30</v>
      </c>
      <c r="C1370" s="130" t="s">
        <v>746</v>
      </c>
      <c r="D1370" s="131" t="s">
        <v>86</v>
      </c>
      <c r="E1370" s="131" t="s">
        <v>13</v>
      </c>
      <c r="F1370" s="131" t="s">
        <v>1057</v>
      </c>
      <c r="G1370" s="108" t="s">
        <v>31</v>
      </c>
      <c r="H1370" s="126"/>
      <c r="I1370" s="131" t="s">
        <v>1232</v>
      </c>
      <c r="J1370" s="131" t="str">
        <f t="shared" si="228"/>
        <v>04304S6420</v>
      </c>
      <c r="K1370" s="304" t="str">
        <f>C1370&amp;D1370&amp;E1370&amp;J1370&amp;G1370</f>
        <v>617050304304S6420244</v>
      </c>
      <c r="L1370" s="17"/>
      <c r="M1370" s="26"/>
      <c r="N1370" s="26"/>
      <c r="O1370" s="26"/>
      <c r="P1370" s="26"/>
      <c r="Q1370" s="26"/>
      <c r="R1370" s="26"/>
      <c r="S1370" s="17"/>
    </row>
    <row r="1371" spans="1:19" s="16" customFormat="1" ht="63">
      <c r="A1371" s="14"/>
      <c r="B1371" s="140" t="s">
        <v>87</v>
      </c>
      <c r="C1371" s="130" t="s">
        <v>746</v>
      </c>
      <c r="D1371" s="131" t="s">
        <v>86</v>
      </c>
      <c r="E1371" s="131" t="s">
        <v>13</v>
      </c>
      <c r="F1371" s="131" t="s">
        <v>88</v>
      </c>
      <c r="G1371" s="131" t="s">
        <v>9</v>
      </c>
      <c r="H1371" s="105">
        <f>H1372</f>
        <v>0</v>
      </c>
      <c r="I1371" s="131">
        <v>9800000000</v>
      </c>
      <c r="J1371" s="131" t="str">
        <f t="shared" si="228"/>
        <v>9800000000</v>
      </c>
      <c r="K1371" s="132"/>
      <c r="L1371" s="17"/>
      <c r="M1371" s="26">
        <v>2500</v>
      </c>
      <c r="N1371" s="26">
        <v>0</v>
      </c>
      <c r="O1371" s="26">
        <v>0</v>
      </c>
      <c r="P1371" s="26">
        <f>H1371-M1371</f>
        <v>-2500</v>
      </c>
      <c r="Q1371" s="26" t="e">
        <f>#REF!-N1371</f>
        <v>#REF!</v>
      </c>
      <c r="R1371" s="26" t="e">
        <f>#REF!-O1371</f>
        <v>#REF!</v>
      </c>
      <c r="S1371" s="17" t="str">
        <f t="shared" si="218"/>
        <v>98 0 00 00000000</v>
      </c>
    </row>
    <row r="1372" spans="1:19" s="16" customFormat="1" ht="15.75">
      <c r="A1372" s="14"/>
      <c r="B1372" s="140" t="s">
        <v>89</v>
      </c>
      <c r="C1372" s="130" t="s">
        <v>746</v>
      </c>
      <c r="D1372" s="131" t="s">
        <v>86</v>
      </c>
      <c r="E1372" s="131" t="s">
        <v>13</v>
      </c>
      <c r="F1372" s="131" t="s">
        <v>90</v>
      </c>
      <c r="G1372" s="131" t="s">
        <v>9</v>
      </c>
      <c r="H1372" s="105">
        <f>H1373</f>
        <v>0</v>
      </c>
      <c r="I1372" s="131">
        <v>9810000000</v>
      </c>
      <c r="J1372" s="131" t="str">
        <f t="shared" si="228"/>
        <v>9810000000</v>
      </c>
      <c r="K1372" s="132"/>
      <c r="L1372" s="17"/>
      <c r="M1372" s="26">
        <v>2500</v>
      </c>
      <c r="N1372" s="26">
        <v>0</v>
      </c>
      <c r="O1372" s="26">
        <v>0</v>
      </c>
      <c r="P1372" s="26">
        <f>H1372-M1372</f>
        <v>-2500</v>
      </c>
      <c r="Q1372" s="26" t="e">
        <f>#REF!-N1372</f>
        <v>#REF!</v>
      </c>
      <c r="R1372" s="26" t="e">
        <f>#REF!-O1372</f>
        <v>#REF!</v>
      </c>
      <c r="S1372" s="17" t="str">
        <f t="shared" si="218"/>
        <v>98 1 00 00000000</v>
      </c>
    </row>
    <row r="1373" spans="1:19" s="16" customFormat="1" ht="31.5">
      <c r="A1373" s="14"/>
      <c r="B1373" s="125" t="s">
        <v>778</v>
      </c>
      <c r="C1373" s="130" t="s">
        <v>746</v>
      </c>
      <c r="D1373" s="131" t="s">
        <v>86</v>
      </c>
      <c r="E1373" s="131" t="s">
        <v>13</v>
      </c>
      <c r="F1373" s="131" t="s">
        <v>779</v>
      </c>
      <c r="G1373" s="131" t="s">
        <v>9</v>
      </c>
      <c r="H1373" s="105">
        <f>H1374</f>
        <v>0</v>
      </c>
      <c r="I1373" s="131">
        <v>9810021450</v>
      </c>
      <c r="J1373" s="131" t="str">
        <f t="shared" si="228"/>
        <v>9810021450</v>
      </c>
      <c r="K1373" s="132"/>
      <c r="L1373" s="17"/>
      <c r="M1373" s="26">
        <v>2500</v>
      </c>
      <c r="N1373" s="26">
        <v>0</v>
      </c>
      <c r="O1373" s="26">
        <v>0</v>
      </c>
      <c r="P1373" s="26">
        <f>H1373-M1373</f>
        <v>-2500</v>
      </c>
      <c r="Q1373" s="26" t="e">
        <f>#REF!-N1373</f>
        <v>#REF!</v>
      </c>
      <c r="R1373" s="26" t="e">
        <f>#REF!-O1373</f>
        <v>#REF!</v>
      </c>
      <c r="S1373" s="17" t="str">
        <f t="shared" si="218"/>
        <v>98 1 00 21450000</v>
      </c>
    </row>
    <row r="1374" spans="1:19" s="16" customFormat="1" ht="31.5">
      <c r="A1374" s="14"/>
      <c r="B1374" s="125" t="s">
        <v>28</v>
      </c>
      <c r="C1374" s="130" t="s">
        <v>746</v>
      </c>
      <c r="D1374" s="131" t="s">
        <v>86</v>
      </c>
      <c r="E1374" s="131" t="s">
        <v>13</v>
      </c>
      <c r="F1374" s="131" t="s">
        <v>779</v>
      </c>
      <c r="G1374" s="131" t="s">
        <v>29</v>
      </c>
      <c r="H1374" s="126">
        <f>H1375</f>
        <v>0</v>
      </c>
      <c r="I1374" s="131">
        <v>9810021450</v>
      </c>
      <c r="J1374" s="131" t="str">
        <f t="shared" si="228"/>
        <v>9810021450</v>
      </c>
      <c r="K1374" s="132"/>
      <c r="L1374" s="17"/>
      <c r="M1374" s="26">
        <v>2500</v>
      </c>
      <c r="N1374" s="26">
        <v>0</v>
      </c>
      <c r="O1374" s="26">
        <v>0</v>
      </c>
      <c r="P1374" s="26">
        <f>H1374-M1374</f>
        <v>-2500</v>
      </c>
      <c r="Q1374" s="26" t="e">
        <f>#REF!-N1374</f>
        <v>#REF!</v>
      </c>
      <c r="R1374" s="26" t="e">
        <f>#REF!-O1374</f>
        <v>#REF!</v>
      </c>
      <c r="S1374" s="17" t="str">
        <f t="shared" si="218"/>
        <v>98 1 00 21450240</v>
      </c>
    </row>
    <row r="1375" spans="1:19" s="16" customFormat="1" ht="15.75">
      <c r="A1375" s="14"/>
      <c r="B1375" s="125" t="s">
        <v>30</v>
      </c>
      <c r="C1375" s="130" t="s">
        <v>746</v>
      </c>
      <c r="D1375" s="131" t="s">
        <v>86</v>
      </c>
      <c r="E1375" s="131" t="s">
        <v>13</v>
      </c>
      <c r="F1375" s="131" t="s">
        <v>779</v>
      </c>
      <c r="G1375" s="131" t="s">
        <v>31</v>
      </c>
      <c r="H1375" s="126"/>
      <c r="I1375" s="131">
        <v>9810021450</v>
      </c>
      <c r="J1375" s="131" t="str">
        <f t="shared" si="228"/>
        <v>9810021450</v>
      </c>
      <c r="K1375" s="304" t="str">
        <f>C1375&amp;D1375&amp;E1375&amp;J1375&amp;G1375</f>
        <v>61705039810021450244</v>
      </c>
      <c r="L1375" s="17"/>
      <c r="M1375" s="26"/>
      <c r="N1375" s="26"/>
      <c r="O1375" s="26"/>
      <c r="P1375" s="26"/>
      <c r="Q1375" s="26"/>
      <c r="R1375" s="26"/>
      <c r="S1375" s="17"/>
    </row>
    <row r="1376" spans="1:19" s="16" customFormat="1" ht="15.75">
      <c r="A1376" s="14"/>
      <c r="B1376" s="117" t="s">
        <v>237</v>
      </c>
      <c r="C1376" s="118" t="s">
        <v>746</v>
      </c>
      <c r="D1376" s="119" t="s">
        <v>238</v>
      </c>
      <c r="E1376" s="119" t="s">
        <v>7</v>
      </c>
      <c r="F1376" s="119" t="s">
        <v>8</v>
      </c>
      <c r="G1376" s="119" t="s">
        <v>9</v>
      </c>
      <c r="H1376" s="120">
        <f t="shared" ref="H1376:H1379" si="236">H1377</f>
        <v>0</v>
      </c>
      <c r="I1376" s="119">
        <v>0</v>
      </c>
      <c r="J1376" s="119" t="str">
        <f t="shared" si="228"/>
        <v>0000000000</v>
      </c>
      <c r="K1376" s="132"/>
      <c r="L1376" s="17"/>
      <c r="M1376" s="18">
        <v>1591</v>
      </c>
      <c r="N1376" s="18">
        <v>1591</v>
      </c>
      <c r="O1376" s="18">
        <v>1591</v>
      </c>
      <c r="P1376" s="18">
        <f t="shared" ref="P1376:P1382" si="237">H1376-M1376</f>
        <v>-1591</v>
      </c>
      <c r="Q1376" s="18" t="e">
        <f>#REF!-N1376</f>
        <v>#REF!</v>
      </c>
      <c r="R1376" s="18" t="e">
        <f>#REF!-O1376</f>
        <v>#REF!</v>
      </c>
      <c r="S1376" s="17" t="str">
        <f t="shared" si="218"/>
        <v>00 0 00 00000000</v>
      </c>
    </row>
    <row r="1377" spans="1:19" s="16" customFormat="1" ht="15.75">
      <c r="A1377" s="14"/>
      <c r="B1377" s="121" t="s">
        <v>239</v>
      </c>
      <c r="C1377" s="122" t="s">
        <v>746</v>
      </c>
      <c r="D1377" s="123" t="s">
        <v>238</v>
      </c>
      <c r="E1377" s="123" t="s">
        <v>11</v>
      </c>
      <c r="F1377" s="123" t="s">
        <v>8</v>
      </c>
      <c r="G1377" s="123" t="s">
        <v>9</v>
      </c>
      <c r="H1377" s="124">
        <f t="shared" si="236"/>
        <v>0</v>
      </c>
      <c r="I1377" s="123">
        <v>0</v>
      </c>
      <c r="J1377" s="123" t="str">
        <f t="shared" si="228"/>
        <v>0000000000</v>
      </c>
      <c r="K1377" s="132"/>
      <c r="L1377" s="17"/>
      <c r="M1377" s="19">
        <v>1591</v>
      </c>
      <c r="N1377" s="19">
        <v>1591</v>
      </c>
      <c r="O1377" s="19">
        <v>1591</v>
      </c>
      <c r="P1377" s="19">
        <f t="shared" si="237"/>
        <v>-1591</v>
      </c>
      <c r="Q1377" s="19" t="e">
        <f>#REF!-N1377</f>
        <v>#REF!</v>
      </c>
      <c r="R1377" s="19" t="e">
        <f>#REF!-O1377</f>
        <v>#REF!</v>
      </c>
      <c r="S1377" s="17" t="str">
        <f t="shared" si="218"/>
        <v>00 0 00 00000000</v>
      </c>
    </row>
    <row r="1378" spans="1:19" s="16" customFormat="1" ht="31.5">
      <c r="A1378" s="14"/>
      <c r="B1378" s="125" t="s">
        <v>240</v>
      </c>
      <c r="C1378" s="130" t="s">
        <v>746</v>
      </c>
      <c r="D1378" s="131" t="s">
        <v>238</v>
      </c>
      <c r="E1378" s="131" t="s">
        <v>11</v>
      </c>
      <c r="F1378" s="131" t="s">
        <v>241</v>
      </c>
      <c r="G1378" s="131" t="s">
        <v>9</v>
      </c>
      <c r="H1378" s="105">
        <f t="shared" si="236"/>
        <v>0</v>
      </c>
      <c r="I1378" s="131">
        <v>700000000</v>
      </c>
      <c r="J1378" s="131" t="str">
        <f t="shared" si="228"/>
        <v>0700000000</v>
      </c>
      <c r="K1378" s="132"/>
      <c r="L1378" s="17"/>
      <c r="M1378" s="26">
        <v>1591</v>
      </c>
      <c r="N1378" s="26">
        <v>1591</v>
      </c>
      <c r="O1378" s="26">
        <v>1591</v>
      </c>
      <c r="P1378" s="26">
        <f t="shared" si="237"/>
        <v>-1591</v>
      </c>
      <c r="Q1378" s="26" t="e">
        <f>#REF!-N1378</f>
        <v>#REF!</v>
      </c>
      <c r="R1378" s="26" t="e">
        <f>#REF!-O1378</f>
        <v>#REF!</v>
      </c>
      <c r="S1378" s="17" t="str">
        <f t="shared" si="218"/>
        <v>07 0 00 00000000</v>
      </c>
    </row>
    <row r="1379" spans="1:19" s="16" customFormat="1" ht="78.75">
      <c r="A1379" s="14"/>
      <c r="B1379" s="140" t="s">
        <v>242</v>
      </c>
      <c r="C1379" s="130" t="s">
        <v>746</v>
      </c>
      <c r="D1379" s="131" t="s">
        <v>238</v>
      </c>
      <c r="E1379" s="131" t="s">
        <v>11</v>
      </c>
      <c r="F1379" s="131" t="s">
        <v>243</v>
      </c>
      <c r="G1379" s="131" t="s">
        <v>9</v>
      </c>
      <c r="H1379" s="105">
        <f t="shared" si="236"/>
        <v>0</v>
      </c>
      <c r="I1379" s="131">
        <v>710000000</v>
      </c>
      <c r="J1379" s="131" t="str">
        <f t="shared" si="228"/>
        <v>0710000000</v>
      </c>
      <c r="K1379" s="132"/>
      <c r="L1379" s="17"/>
      <c r="M1379" s="26">
        <v>1591</v>
      </c>
      <c r="N1379" s="26">
        <v>1591</v>
      </c>
      <c r="O1379" s="26">
        <v>1591</v>
      </c>
      <c r="P1379" s="26">
        <f t="shared" si="237"/>
        <v>-1591</v>
      </c>
      <c r="Q1379" s="26" t="e">
        <f>#REF!-N1379</f>
        <v>#REF!</v>
      </c>
      <c r="R1379" s="26" t="e">
        <f>#REF!-O1379</f>
        <v>#REF!</v>
      </c>
      <c r="S1379" s="17" t="str">
        <f t="shared" si="218"/>
        <v>07 1 00 00000000</v>
      </c>
    </row>
    <row r="1380" spans="1:19" s="16" customFormat="1" ht="110.25">
      <c r="A1380" s="14"/>
      <c r="B1380" s="140" t="s">
        <v>244</v>
      </c>
      <c r="C1380" s="130" t="s">
        <v>746</v>
      </c>
      <c r="D1380" s="131" t="s">
        <v>238</v>
      </c>
      <c r="E1380" s="131" t="s">
        <v>11</v>
      </c>
      <c r="F1380" s="131" t="s">
        <v>245</v>
      </c>
      <c r="G1380" s="131" t="s">
        <v>9</v>
      </c>
      <c r="H1380" s="105">
        <f>H1381+H1384</f>
        <v>0</v>
      </c>
      <c r="I1380" s="131">
        <v>710100000</v>
      </c>
      <c r="J1380" s="131" t="str">
        <f t="shared" si="228"/>
        <v>0710100000</v>
      </c>
      <c r="K1380" s="132"/>
      <c r="L1380" s="17"/>
      <c r="M1380" s="26">
        <v>1591</v>
      </c>
      <c r="N1380" s="26">
        <v>1591</v>
      </c>
      <c r="O1380" s="26">
        <v>1591</v>
      </c>
      <c r="P1380" s="26">
        <f t="shared" si="237"/>
        <v>-1591</v>
      </c>
      <c r="Q1380" s="26" t="e">
        <f>#REF!-N1380</f>
        <v>#REF!</v>
      </c>
      <c r="R1380" s="26" t="e">
        <f>#REF!-O1380</f>
        <v>#REF!</v>
      </c>
      <c r="S1380" s="17" t="str">
        <f t="shared" si="218"/>
        <v>07 1 01 00000000</v>
      </c>
    </row>
    <row r="1381" spans="1:19" s="16" customFormat="1" ht="31.5">
      <c r="A1381" s="14"/>
      <c r="B1381" s="125" t="s">
        <v>246</v>
      </c>
      <c r="C1381" s="130" t="s">
        <v>746</v>
      </c>
      <c r="D1381" s="131" t="s">
        <v>238</v>
      </c>
      <c r="E1381" s="131" t="s">
        <v>11</v>
      </c>
      <c r="F1381" s="131" t="s">
        <v>247</v>
      </c>
      <c r="G1381" s="131" t="s">
        <v>9</v>
      </c>
      <c r="H1381" s="105">
        <f>H1382</f>
        <v>0</v>
      </c>
      <c r="I1381" s="131">
        <v>710120060</v>
      </c>
      <c r="J1381" s="131" t="str">
        <f t="shared" si="228"/>
        <v>0710120060</v>
      </c>
      <c r="K1381" s="132"/>
      <c r="L1381" s="17"/>
      <c r="M1381" s="26">
        <v>1095.45</v>
      </c>
      <c r="N1381" s="26">
        <v>1095.45</v>
      </c>
      <c r="O1381" s="26">
        <v>1095.45</v>
      </c>
      <c r="P1381" s="26">
        <f t="shared" si="237"/>
        <v>-1095.45</v>
      </c>
      <c r="Q1381" s="26" t="e">
        <f>#REF!-N1381</f>
        <v>#REF!</v>
      </c>
      <c r="R1381" s="26" t="e">
        <f>#REF!-O1381</f>
        <v>#REF!</v>
      </c>
      <c r="S1381" s="17" t="str">
        <f t="shared" si="218"/>
        <v>07 1 01 20060000</v>
      </c>
    </row>
    <row r="1382" spans="1:19" s="16" customFormat="1" ht="31.5">
      <c r="A1382" s="14"/>
      <c r="B1382" s="125" t="s">
        <v>28</v>
      </c>
      <c r="C1382" s="130" t="s">
        <v>746</v>
      </c>
      <c r="D1382" s="131" t="s">
        <v>238</v>
      </c>
      <c r="E1382" s="131" t="s">
        <v>11</v>
      </c>
      <c r="F1382" s="131" t="s">
        <v>247</v>
      </c>
      <c r="G1382" s="131" t="s">
        <v>29</v>
      </c>
      <c r="H1382" s="126">
        <f>H1383</f>
        <v>0</v>
      </c>
      <c r="I1382" s="131">
        <v>710120060</v>
      </c>
      <c r="J1382" s="131" t="str">
        <f t="shared" si="228"/>
        <v>0710120060</v>
      </c>
      <c r="K1382" s="132"/>
      <c r="L1382" s="17"/>
      <c r="M1382" s="26">
        <v>1095.45</v>
      </c>
      <c r="N1382" s="26">
        <v>1095.45</v>
      </c>
      <c r="O1382" s="26">
        <v>1095.45</v>
      </c>
      <c r="P1382" s="26">
        <f t="shared" si="237"/>
        <v>-1095.45</v>
      </c>
      <c r="Q1382" s="26" t="e">
        <f>#REF!-N1382</f>
        <v>#REF!</v>
      </c>
      <c r="R1382" s="26" t="e">
        <f>#REF!-O1382</f>
        <v>#REF!</v>
      </c>
      <c r="S1382" s="17" t="str">
        <f t="shared" si="218"/>
        <v>07 1 01 20060240</v>
      </c>
    </row>
    <row r="1383" spans="1:19" s="16" customFormat="1" ht="15.75">
      <c r="A1383" s="14"/>
      <c r="B1383" s="125" t="s">
        <v>30</v>
      </c>
      <c r="C1383" s="130" t="s">
        <v>746</v>
      </c>
      <c r="D1383" s="131" t="s">
        <v>238</v>
      </c>
      <c r="E1383" s="131" t="s">
        <v>11</v>
      </c>
      <c r="F1383" s="131" t="s">
        <v>247</v>
      </c>
      <c r="G1383" s="131" t="s">
        <v>31</v>
      </c>
      <c r="H1383" s="126"/>
      <c r="I1383" s="131">
        <v>710120060</v>
      </c>
      <c r="J1383" s="131" t="str">
        <f t="shared" si="228"/>
        <v>0710120060</v>
      </c>
      <c r="K1383" s="304" t="str">
        <f>C1383&amp;D1383&amp;E1383&amp;J1383&amp;G1383</f>
        <v>61708010710120060244</v>
      </c>
      <c r="L1383" s="17"/>
      <c r="M1383" s="26"/>
      <c r="N1383" s="26"/>
      <c r="O1383" s="26"/>
      <c r="P1383" s="26"/>
      <c r="Q1383" s="26"/>
      <c r="R1383" s="26"/>
      <c r="S1383" s="17"/>
    </row>
    <row r="1384" spans="1:19" s="16" customFormat="1" ht="47.25">
      <c r="A1384" s="14"/>
      <c r="B1384" s="127" t="s">
        <v>780</v>
      </c>
      <c r="C1384" s="130" t="s">
        <v>746</v>
      </c>
      <c r="D1384" s="131" t="s">
        <v>238</v>
      </c>
      <c r="E1384" s="131" t="s">
        <v>11</v>
      </c>
      <c r="F1384" s="131" t="s">
        <v>781</v>
      </c>
      <c r="G1384" s="131" t="s">
        <v>9</v>
      </c>
      <c r="H1384" s="105">
        <f>H1385</f>
        <v>0</v>
      </c>
      <c r="I1384" s="131">
        <v>710121130</v>
      </c>
      <c r="J1384" s="131" t="str">
        <f t="shared" si="228"/>
        <v>0710121130</v>
      </c>
      <c r="K1384" s="132"/>
      <c r="L1384" s="17"/>
      <c r="M1384" s="26">
        <v>495.55</v>
      </c>
      <c r="N1384" s="26">
        <v>495.55</v>
      </c>
      <c r="O1384" s="26">
        <v>495.55</v>
      </c>
      <c r="P1384" s="26">
        <f>H1384-M1384</f>
        <v>-495.55</v>
      </c>
      <c r="Q1384" s="26" t="e">
        <f>#REF!-N1384</f>
        <v>#REF!</v>
      </c>
      <c r="R1384" s="26" t="e">
        <f>#REF!-O1384</f>
        <v>#REF!</v>
      </c>
      <c r="S1384" s="17" t="str">
        <f t="shared" ref="S1384:S1482" si="238">CONCATENATE(F1384,G1384)</f>
        <v>07 1 01 21130000</v>
      </c>
    </row>
    <row r="1385" spans="1:19" ht="31.5">
      <c r="B1385" s="125" t="s">
        <v>28</v>
      </c>
      <c r="C1385" s="130" t="s">
        <v>746</v>
      </c>
      <c r="D1385" s="131" t="s">
        <v>238</v>
      </c>
      <c r="E1385" s="131" t="s">
        <v>11</v>
      </c>
      <c r="F1385" s="131" t="s">
        <v>781</v>
      </c>
      <c r="G1385" s="131" t="s">
        <v>29</v>
      </c>
      <c r="H1385" s="126">
        <f>H1386</f>
        <v>0</v>
      </c>
      <c r="I1385" s="131">
        <v>710121130</v>
      </c>
      <c r="J1385" s="131" t="str">
        <f t="shared" ref="J1385:J1448" si="239">TEXT(I1385,"0000000000")</f>
        <v>0710121130</v>
      </c>
      <c r="K1385" s="132"/>
      <c r="L1385" s="17"/>
      <c r="M1385" s="26">
        <v>495.55</v>
      </c>
      <c r="N1385" s="26">
        <v>495.55</v>
      </c>
      <c r="O1385" s="26">
        <v>495.55</v>
      </c>
      <c r="P1385" s="26">
        <f>H1385-M1385</f>
        <v>-495.55</v>
      </c>
      <c r="Q1385" s="26" t="e">
        <f>#REF!-N1385</f>
        <v>#REF!</v>
      </c>
      <c r="R1385" s="26" t="e">
        <f>#REF!-O1385</f>
        <v>#REF!</v>
      </c>
      <c r="S1385" s="17" t="str">
        <f t="shared" si="238"/>
        <v>07 1 01 21130240</v>
      </c>
    </row>
    <row r="1386" spans="1:19">
      <c r="B1386" s="125" t="s">
        <v>30</v>
      </c>
      <c r="C1386" s="130" t="s">
        <v>746</v>
      </c>
      <c r="D1386" s="131" t="s">
        <v>238</v>
      </c>
      <c r="E1386" s="131" t="s">
        <v>11</v>
      </c>
      <c r="F1386" s="131" t="s">
        <v>781</v>
      </c>
      <c r="G1386" s="131" t="s">
        <v>31</v>
      </c>
      <c r="H1386" s="126"/>
      <c r="I1386" s="131">
        <v>710121130</v>
      </c>
      <c r="J1386" s="131" t="str">
        <f t="shared" si="239"/>
        <v>0710121130</v>
      </c>
      <c r="K1386" s="304" t="str">
        <f>C1386&amp;D1386&amp;E1386&amp;J1386&amp;G1386</f>
        <v>61708010710121130244</v>
      </c>
      <c r="M1386" s="26"/>
      <c r="N1386" s="26"/>
      <c r="O1386" s="26"/>
      <c r="P1386" s="26"/>
      <c r="Q1386" s="26"/>
      <c r="R1386" s="26"/>
      <c r="S1386" s="17"/>
    </row>
    <row r="1387" spans="1:19">
      <c r="B1387" s="125"/>
      <c r="C1387" s="130"/>
      <c r="D1387" s="131"/>
      <c r="E1387" s="131"/>
      <c r="F1387" s="131"/>
      <c r="G1387" s="131"/>
      <c r="H1387" s="105"/>
      <c r="I1387" s="131"/>
      <c r="J1387" s="131" t="str">
        <f t="shared" si="239"/>
        <v>0000000000</v>
      </c>
      <c r="K1387" s="292"/>
      <c r="M1387" s="26"/>
      <c r="N1387" s="26"/>
      <c r="O1387" s="26"/>
      <c r="P1387" s="26">
        <f t="shared" ref="P1387:P1394" si="240">H1387-M1387</f>
        <v>0</v>
      </c>
      <c r="Q1387" s="26" t="e">
        <f>#REF!-N1387</f>
        <v>#REF!</v>
      </c>
      <c r="R1387" s="26" t="e">
        <f>#REF!-O1387</f>
        <v>#REF!</v>
      </c>
      <c r="S1387" s="17" t="str">
        <f t="shared" si="238"/>
        <v/>
      </c>
    </row>
    <row r="1388" spans="1:19" s="16" customFormat="1" ht="31.5">
      <c r="A1388" s="14"/>
      <c r="B1388" s="67" t="s">
        <v>782</v>
      </c>
      <c r="C1388" s="116" t="s">
        <v>783</v>
      </c>
      <c r="D1388" s="69" t="s">
        <v>7</v>
      </c>
      <c r="E1388" s="69" t="s">
        <v>7</v>
      </c>
      <c r="F1388" s="69" t="s">
        <v>8</v>
      </c>
      <c r="G1388" s="69" t="s">
        <v>9</v>
      </c>
      <c r="H1388" s="70">
        <f>H1389+H1423+H1434+H1473</f>
        <v>0</v>
      </c>
      <c r="I1388" s="69">
        <v>0</v>
      </c>
      <c r="J1388" s="69" t="str">
        <f t="shared" si="239"/>
        <v>0000000000</v>
      </c>
      <c r="K1388" s="132"/>
      <c r="L1388" s="17"/>
      <c r="M1388" s="25">
        <v>123389.62</v>
      </c>
      <c r="N1388" s="25">
        <v>116997.78</v>
      </c>
      <c r="O1388" s="25">
        <v>122066.77</v>
      </c>
      <c r="P1388" s="25">
        <f t="shared" si="240"/>
        <v>-123389.62</v>
      </c>
      <c r="Q1388" s="25" t="e">
        <f>#REF!-N1388</f>
        <v>#REF!</v>
      </c>
      <c r="R1388" s="25" t="e">
        <f>#REF!-O1388</f>
        <v>#REF!</v>
      </c>
      <c r="S1388" s="17" t="str">
        <f t="shared" si="238"/>
        <v>00 0 00 00000000</v>
      </c>
    </row>
    <row r="1389" spans="1:19" s="16" customFormat="1" ht="15.75">
      <c r="A1389" s="14"/>
      <c r="B1389" s="117" t="s">
        <v>10</v>
      </c>
      <c r="C1389" s="118" t="s">
        <v>783</v>
      </c>
      <c r="D1389" s="119" t="s">
        <v>11</v>
      </c>
      <c r="E1389" s="119" t="s">
        <v>7</v>
      </c>
      <c r="F1389" s="119" t="s">
        <v>8</v>
      </c>
      <c r="G1389" s="119" t="s">
        <v>9</v>
      </c>
      <c r="H1389" s="120">
        <f>H1390+H1416</f>
        <v>0</v>
      </c>
      <c r="I1389" s="119">
        <v>0</v>
      </c>
      <c r="J1389" s="119" t="str">
        <f t="shared" si="239"/>
        <v>0000000000</v>
      </c>
      <c r="K1389" s="132"/>
      <c r="L1389" s="17"/>
      <c r="M1389" s="18">
        <v>31479.460000000003</v>
      </c>
      <c r="N1389" s="18">
        <v>31479.460000000003</v>
      </c>
      <c r="O1389" s="18">
        <v>31479.460000000003</v>
      </c>
      <c r="P1389" s="18">
        <f t="shared" si="240"/>
        <v>-31479.460000000003</v>
      </c>
      <c r="Q1389" s="18" t="e">
        <f>#REF!-N1389</f>
        <v>#REF!</v>
      </c>
      <c r="R1389" s="18" t="e">
        <f>#REF!-O1389</f>
        <v>#REF!</v>
      </c>
      <c r="S1389" s="17" t="str">
        <f t="shared" si="238"/>
        <v>00 0 00 00000000</v>
      </c>
    </row>
    <row r="1390" spans="1:19" s="16" customFormat="1" ht="63">
      <c r="A1390" s="14"/>
      <c r="B1390" s="121" t="s">
        <v>72</v>
      </c>
      <c r="C1390" s="122" t="s">
        <v>783</v>
      </c>
      <c r="D1390" s="123" t="s">
        <v>11</v>
      </c>
      <c r="E1390" s="123" t="s">
        <v>73</v>
      </c>
      <c r="F1390" s="123" t="s">
        <v>8</v>
      </c>
      <c r="G1390" s="123" t="s">
        <v>9</v>
      </c>
      <c r="H1390" s="124">
        <f t="shared" ref="H1390:H1391" si="241">H1391</f>
        <v>0</v>
      </c>
      <c r="I1390" s="123">
        <v>0</v>
      </c>
      <c r="J1390" s="123" t="str">
        <f t="shared" si="239"/>
        <v>0000000000</v>
      </c>
      <c r="K1390" s="132"/>
      <c r="L1390" s="17"/>
      <c r="M1390" s="19">
        <v>31121.610000000004</v>
      </c>
      <c r="N1390" s="19">
        <v>31121.610000000004</v>
      </c>
      <c r="O1390" s="19">
        <v>31121.610000000004</v>
      </c>
      <c r="P1390" s="19">
        <f t="shared" si="240"/>
        <v>-31121.610000000004</v>
      </c>
      <c r="Q1390" s="19" t="e">
        <f>#REF!-N1390</f>
        <v>#REF!</v>
      </c>
      <c r="R1390" s="19" t="e">
        <f>#REF!-O1390</f>
        <v>#REF!</v>
      </c>
      <c r="S1390" s="17" t="str">
        <f t="shared" si="238"/>
        <v>00 0 00 00000000</v>
      </c>
    </row>
    <row r="1391" spans="1:19" s="16" customFormat="1" ht="31.5">
      <c r="A1391" s="14"/>
      <c r="B1391" s="125" t="s">
        <v>784</v>
      </c>
      <c r="C1391" s="109" t="s">
        <v>783</v>
      </c>
      <c r="D1391" s="108" t="s">
        <v>11</v>
      </c>
      <c r="E1391" s="108" t="s">
        <v>73</v>
      </c>
      <c r="F1391" s="108" t="s">
        <v>785</v>
      </c>
      <c r="G1391" s="108" t="s">
        <v>9</v>
      </c>
      <c r="H1391" s="126">
        <f t="shared" si="241"/>
        <v>0</v>
      </c>
      <c r="I1391" s="108">
        <v>8100000000</v>
      </c>
      <c r="J1391" s="108" t="str">
        <f t="shared" si="239"/>
        <v>8100000000</v>
      </c>
      <c r="K1391" s="132"/>
      <c r="L1391" s="17"/>
      <c r="M1391" s="20">
        <v>31121.610000000004</v>
      </c>
      <c r="N1391" s="20">
        <v>31121.610000000004</v>
      </c>
      <c r="O1391" s="20">
        <v>31121.610000000004</v>
      </c>
      <c r="P1391" s="20">
        <f t="shared" si="240"/>
        <v>-31121.610000000004</v>
      </c>
      <c r="Q1391" s="20" t="e">
        <f>#REF!-N1391</f>
        <v>#REF!</v>
      </c>
      <c r="R1391" s="20" t="e">
        <f>#REF!-O1391</f>
        <v>#REF!</v>
      </c>
      <c r="S1391" s="17" t="str">
        <f t="shared" si="238"/>
        <v>81 0 00 00000000</v>
      </c>
    </row>
    <row r="1392" spans="1:19" s="16" customFormat="1" ht="47.25">
      <c r="A1392" s="14"/>
      <c r="B1392" s="125" t="s">
        <v>786</v>
      </c>
      <c r="C1392" s="109" t="s">
        <v>783</v>
      </c>
      <c r="D1392" s="108" t="s">
        <v>11</v>
      </c>
      <c r="E1392" s="108" t="s">
        <v>73</v>
      </c>
      <c r="F1392" s="108" t="s">
        <v>787</v>
      </c>
      <c r="G1392" s="108" t="s">
        <v>9</v>
      </c>
      <c r="H1392" s="126">
        <f>H1393+H1402+H1406+H1413</f>
        <v>0</v>
      </c>
      <c r="I1392" s="108">
        <v>8110000000</v>
      </c>
      <c r="J1392" s="108" t="str">
        <f t="shared" si="239"/>
        <v>8110000000</v>
      </c>
      <c r="K1392" s="132"/>
      <c r="L1392" s="17"/>
      <c r="M1392" s="20">
        <v>31121.610000000004</v>
      </c>
      <c r="N1392" s="20">
        <v>31121.610000000004</v>
      </c>
      <c r="O1392" s="20">
        <v>31121.610000000004</v>
      </c>
      <c r="P1392" s="20">
        <f t="shared" si="240"/>
        <v>-31121.610000000004</v>
      </c>
      <c r="Q1392" s="20" t="e">
        <f>#REF!-N1392</f>
        <v>#REF!</v>
      </c>
      <c r="R1392" s="20" t="e">
        <f>#REF!-O1392</f>
        <v>#REF!</v>
      </c>
      <c r="S1392" s="17" t="str">
        <f t="shared" si="238"/>
        <v>81 1 00 00000000</v>
      </c>
    </row>
    <row r="1393" spans="1:19" s="16" customFormat="1" ht="31.5">
      <c r="A1393" s="14"/>
      <c r="B1393" s="125" t="s">
        <v>18</v>
      </c>
      <c r="C1393" s="109" t="s">
        <v>783</v>
      </c>
      <c r="D1393" s="108" t="s">
        <v>11</v>
      </c>
      <c r="E1393" s="108" t="s">
        <v>73</v>
      </c>
      <c r="F1393" s="108" t="s">
        <v>788</v>
      </c>
      <c r="G1393" s="108" t="s">
        <v>9</v>
      </c>
      <c r="H1393" s="126">
        <f>H1394+H1397+H1399</f>
        <v>0</v>
      </c>
      <c r="I1393" s="108">
        <v>8110010010</v>
      </c>
      <c r="J1393" s="108" t="str">
        <f t="shared" si="239"/>
        <v>8110010010</v>
      </c>
      <c r="K1393" s="132"/>
      <c r="L1393" s="17"/>
      <c r="M1393" s="20">
        <v>4289.08</v>
      </c>
      <c r="N1393" s="20">
        <v>4289.08</v>
      </c>
      <c r="O1393" s="20">
        <v>4289.08</v>
      </c>
      <c r="P1393" s="20">
        <f t="shared" si="240"/>
        <v>-4289.08</v>
      </c>
      <c r="Q1393" s="20" t="e">
        <f>#REF!-N1393</f>
        <v>#REF!</v>
      </c>
      <c r="R1393" s="20" t="e">
        <f>#REF!-O1393</f>
        <v>#REF!</v>
      </c>
      <c r="S1393" s="17" t="str">
        <f t="shared" si="238"/>
        <v>81 1 00 10010000</v>
      </c>
    </row>
    <row r="1394" spans="1:19" s="16" customFormat="1" ht="31.5">
      <c r="A1394" s="14"/>
      <c r="B1394" s="129" t="s">
        <v>20</v>
      </c>
      <c r="C1394" s="109" t="s">
        <v>783</v>
      </c>
      <c r="D1394" s="108" t="s">
        <v>11</v>
      </c>
      <c r="E1394" s="108" t="s">
        <v>73</v>
      </c>
      <c r="F1394" s="108" t="s">
        <v>788</v>
      </c>
      <c r="G1394" s="108" t="s">
        <v>21</v>
      </c>
      <c r="H1394" s="126">
        <f>SUM(H1395:H1396)</f>
        <v>0</v>
      </c>
      <c r="I1394" s="108">
        <v>8110010010</v>
      </c>
      <c r="J1394" s="108" t="str">
        <f t="shared" si="239"/>
        <v>8110010010</v>
      </c>
      <c r="K1394" s="132"/>
      <c r="L1394" s="17"/>
      <c r="M1394" s="20">
        <v>640.11</v>
      </c>
      <c r="N1394" s="20">
        <v>640.11</v>
      </c>
      <c r="O1394" s="20">
        <v>640.11</v>
      </c>
      <c r="P1394" s="20">
        <f t="shared" si="240"/>
        <v>-640.11</v>
      </c>
      <c r="Q1394" s="20" t="e">
        <f>#REF!-N1394</f>
        <v>#REF!</v>
      </c>
      <c r="R1394" s="20" t="e">
        <f>#REF!-O1394</f>
        <v>#REF!</v>
      </c>
      <c r="S1394" s="17" t="str">
        <f t="shared" si="238"/>
        <v>81 1 00 10010120</v>
      </c>
    </row>
    <row r="1395" spans="1:19" s="23" customFormat="1" ht="47.25">
      <c r="A1395" s="21"/>
      <c r="B1395" s="127" t="s">
        <v>22</v>
      </c>
      <c r="C1395" s="109" t="s">
        <v>783</v>
      </c>
      <c r="D1395" s="108" t="s">
        <v>11</v>
      </c>
      <c r="E1395" s="108" t="s">
        <v>73</v>
      </c>
      <c r="F1395" s="108" t="s">
        <v>788</v>
      </c>
      <c r="G1395" s="108" t="s">
        <v>23</v>
      </c>
      <c r="H1395" s="126"/>
      <c r="I1395" s="108">
        <v>8110010010</v>
      </c>
      <c r="J1395" s="108" t="str">
        <f t="shared" si="239"/>
        <v>8110010010</v>
      </c>
      <c r="K1395" s="304" t="str">
        <f t="shared" ref="K1395:K1396" si="242">C1395&amp;D1395&amp;E1395&amp;J1395&amp;G1395</f>
        <v>61801048110010010122</v>
      </c>
      <c r="L1395" s="24"/>
      <c r="M1395" s="22"/>
      <c r="N1395" s="22"/>
      <c r="O1395" s="22"/>
      <c r="P1395" s="22"/>
      <c r="Q1395" s="22"/>
      <c r="R1395" s="22"/>
      <c r="S1395" s="24"/>
    </row>
    <row r="1396" spans="1:19" s="23" customFormat="1" ht="63">
      <c r="A1396" s="21"/>
      <c r="B1396" s="127" t="s">
        <v>26</v>
      </c>
      <c r="C1396" s="109" t="s">
        <v>783</v>
      </c>
      <c r="D1396" s="108" t="s">
        <v>11</v>
      </c>
      <c r="E1396" s="108" t="s">
        <v>73</v>
      </c>
      <c r="F1396" s="108" t="s">
        <v>788</v>
      </c>
      <c r="G1396" s="108" t="s">
        <v>27</v>
      </c>
      <c r="H1396" s="126"/>
      <c r="I1396" s="108">
        <v>8110010010</v>
      </c>
      <c r="J1396" s="108" t="str">
        <f t="shared" si="239"/>
        <v>8110010010</v>
      </c>
      <c r="K1396" s="304" t="str">
        <f t="shared" si="242"/>
        <v>61801048110010010129</v>
      </c>
      <c r="L1396" s="24"/>
      <c r="M1396" s="22"/>
      <c r="N1396" s="22"/>
      <c r="O1396" s="22"/>
      <c r="P1396" s="22"/>
      <c r="Q1396" s="22"/>
      <c r="R1396" s="22"/>
      <c r="S1396" s="24"/>
    </row>
    <row r="1397" spans="1:19" s="16" customFormat="1" ht="31.5">
      <c r="A1397" s="14"/>
      <c r="B1397" s="125" t="s">
        <v>28</v>
      </c>
      <c r="C1397" s="109" t="s">
        <v>783</v>
      </c>
      <c r="D1397" s="108" t="s">
        <v>11</v>
      </c>
      <c r="E1397" s="108" t="s">
        <v>73</v>
      </c>
      <c r="F1397" s="108" t="s">
        <v>788</v>
      </c>
      <c r="G1397" s="108" t="s">
        <v>29</v>
      </c>
      <c r="H1397" s="126">
        <f>H1398</f>
        <v>0</v>
      </c>
      <c r="I1397" s="108">
        <v>8110010010</v>
      </c>
      <c r="J1397" s="108" t="str">
        <f t="shared" si="239"/>
        <v>8110010010</v>
      </c>
      <c r="K1397" s="132"/>
      <c r="L1397" s="17"/>
      <c r="M1397" s="20">
        <v>3598.47</v>
      </c>
      <c r="N1397" s="20">
        <v>3598.47</v>
      </c>
      <c r="O1397" s="20">
        <v>3598.47</v>
      </c>
      <c r="P1397" s="20">
        <f>H1397-M1397</f>
        <v>-3598.47</v>
      </c>
      <c r="Q1397" s="20" t="e">
        <f>#REF!-N1397</f>
        <v>#REF!</v>
      </c>
      <c r="R1397" s="20" t="e">
        <f>#REF!-O1397</f>
        <v>#REF!</v>
      </c>
      <c r="S1397" s="17" t="str">
        <f t="shared" si="238"/>
        <v>81 1 00 10010240</v>
      </c>
    </row>
    <row r="1398" spans="1:19" s="16" customFormat="1" ht="15.75">
      <c r="A1398" s="14"/>
      <c r="B1398" s="125" t="s">
        <v>30</v>
      </c>
      <c r="C1398" s="109" t="s">
        <v>783</v>
      </c>
      <c r="D1398" s="108" t="s">
        <v>11</v>
      </c>
      <c r="E1398" s="108" t="s">
        <v>73</v>
      </c>
      <c r="F1398" s="108" t="s">
        <v>788</v>
      </c>
      <c r="G1398" s="108" t="s">
        <v>31</v>
      </c>
      <c r="H1398" s="126"/>
      <c r="I1398" s="108">
        <v>8110010010</v>
      </c>
      <c r="J1398" s="108" t="str">
        <f t="shared" si="239"/>
        <v>8110010010</v>
      </c>
      <c r="K1398" s="304" t="str">
        <f>C1398&amp;D1398&amp;E1398&amp;J1398&amp;G1398</f>
        <v>61801048110010010244</v>
      </c>
      <c r="L1398" s="17"/>
      <c r="M1398" s="20"/>
      <c r="N1398" s="20"/>
      <c r="O1398" s="20"/>
      <c r="P1398" s="20"/>
      <c r="Q1398" s="20"/>
      <c r="R1398" s="20"/>
      <c r="S1398" s="17"/>
    </row>
    <row r="1399" spans="1:19" s="16" customFormat="1" ht="15.75">
      <c r="A1399" s="14"/>
      <c r="B1399" s="125" t="s">
        <v>32</v>
      </c>
      <c r="C1399" s="109" t="s">
        <v>783</v>
      </c>
      <c r="D1399" s="108" t="s">
        <v>11</v>
      </c>
      <c r="E1399" s="108" t="s">
        <v>73</v>
      </c>
      <c r="F1399" s="108" t="s">
        <v>788</v>
      </c>
      <c r="G1399" s="108" t="s">
        <v>33</v>
      </c>
      <c r="H1399" s="126">
        <f>SUM(H1400:H1401)</f>
        <v>0</v>
      </c>
      <c r="I1399" s="108">
        <v>8110010010</v>
      </c>
      <c r="J1399" s="108" t="str">
        <f t="shared" si="239"/>
        <v>8110010010</v>
      </c>
      <c r="K1399" s="132"/>
      <c r="L1399" s="17"/>
      <c r="M1399" s="20">
        <v>50.5</v>
      </c>
      <c r="N1399" s="20">
        <v>50.5</v>
      </c>
      <c r="O1399" s="20">
        <v>50.5</v>
      </c>
      <c r="P1399" s="20">
        <f>H1399-M1399</f>
        <v>-50.5</v>
      </c>
      <c r="Q1399" s="20" t="e">
        <f>#REF!-N1399</f>
        <v>#REF!</v>
      </c>
      <c r="R1399" s="20" t="e">
        <f>#REF!-O1399</f>
        <v>#REF!</v>
      </c>
      <c r="S1399" s="17" t="str">
        <f t="shared" si="238"/>
        <v>81 1 00 10010850</v>
      </c>
    </row>
    <row r="1400" spans="1:19" s="23" customFormat="1" ht="31.5">
      <c r="A1400" s="21"/>
      <c r="B1400" s="127" t="s">
        <v>34</v>
      </c>
      <c r="C1400" s="109" t="s">
        <v>783</v>
      </c>
      <c r="D1400" s="108" t="s">
        <v>11</v>
      </c>
      <c r="E1400" s="108" t="s">
        <v>73</v>
      </c>
      <c r="F1400" s="108" t="s">
        <v>788</v>
      </c>
      <c r="G1400" s="108" t="s">
        <v>35</v>
      </c>
      <c r="H1400" s="126"/>
      <c r="I1400" s="108">
        <v>8110010010</v>
      </c>
      <c r="J1400" s="108" t="str">
        <f t="shared" si="239"/>
        <v>8110010010</v>
      </c>
      <c r="K1400" s="304" t="str">
        <f t="shared" ref="K1400:K1401" si="243">C1400&amp;D1400&amp;E1400&amp;J1400&amp;G1400</f>
        <v>61801048110010010851</v>
      </c>
      <c r="L1400" s="24"/>
      <c r="M1400" s="22"/>
      <c r="N1400" s="22"/>
      <c r="O1400" s="22"/>
      <c r="P1400" s="22"/>
      <c r="Q1400" s="22"/>
      <c r="R1400" s="22"/>
      <c r="S1400" s="24"/>
    </row>
    <row r="1401" spans="1:19" s="23" customFormat="1" ht="15.75">
      <c r="A1401" s="21"/>
      <c r="B1401" s="127" t="s">
        <v>36</v>
      </c>
      <c r="C1401" s="109" t="s">
        <v>783</v>
      </c>
      <c r="D1401" s="108" t="s">
        <v>11</v>
      </c>
      <c r="E1401" s="108" t="s">
        <v>73</v>
      </c>
      <c r="F1401" s="108" t="s">
        <v>788</v>
      </c>
      <c r="G1401" s="108" t="s">
        <v>37</v>
      </c>
      <c r="H1401" s="126"/>
      <c r="I1401" s="108">
        <v>8110010010</v>
      </c>
      <c r="J1401" s="108" t="str">
        <f t="shared" si="239"/>
        <v>8110010010</v>
      </c>
      <c r="K1401" s="304" t="str">
        <f t="shared" si="243"/>
        <v>61801048110010010852</v>
      </c>
      <c r="L1401" s="24"/>
      <c r="M1401" s="22"/>
      <c r="N1401" s="22"/>
      <c r="O1401" s="22"/>
      <c r="P1401" s="22"/>
      <c r="Q1401" s="22"/>
      <c r="R1401" s="22"/>
      <c r="S1401" s="24"/>
    </row>
    <row r="1402" spans="1:19" s="16" customFormat="1" ht="31.5">
      <c r="A1402" s="14"/>
      <c r="B1402" s="129" t="s">
        <v>789</v>
      </c>
      <c r="C1402" s="109" t="s">
        <v>783</v>
      </c>
      <c r="D1402" s="108" t="s">
        <v>11</v>
      </c>
      <c r="E1402" s="108" t="s">
        <v>73</v>
      </c>
      <c r="F1402" s="108" t="s">
        <v>790</v>
      </c>
      <c r="G1402" s="108" t="s">
        <v>9</v>
      </c>
      <c r="H1402" s="126">
        <f>H1403</f>
        <v>0</v>
      </c>
      <c r="I1402" s="108">
        <v>8110010020</v>
      </c>
      <c r="J1402" s="108" t="str">
        <f t="shared" si="239"/>
        <v>8110010020</v>
      </c>
      <c r="K1402" s="132"/>
      <c r="L1402" s="17"/>
      <c r="M1402" s="20">
        <v>25543</v>
      </c>
      <c r="N1402" s="20">
        <v>25543</v>
      </c>
      <c r="O1402" s="20">
        <v>25543</v>
      </c>
      <c r="P1402" s="20">
        <f>H1402-M1402</f>
        <v>-25543</v>
      </c>
      <c r="Q1402" s="20" t="e">
        <f>#REF!-N1402</f>
        <v>#REF!</v>
      </c>
      <c r="R1402" s="20" t="e">
        <f>#REF!-O1402</f>
        <v>#REF!</v>
      </c>
      <c r="S1402" s="17" t="str">
        <f t="shared" si="238"/>
        <v>81 1 00 10020000</v>
      </c>
    </row>
    <row r="1403" spans="1:19" s="16" customFormat="1" ht="31.5">
      <c r="A1403" s="14"/>
      <c r="B1403" s="129" t="s">
        <v>20</v>
      </c>
      <c r="C1403" s="109" t="s">
        <v>783</v>
      </c>
      <c r="D1403" s="108" t="s">
        <v>11</v>
      </c>
      <c r="E1403" s="108" t="s">
        <v>73</v>
      </c>
      <c r="F1403" s="108" t="s">
        <v>790</v>
      </c>
      <c r="G1403" s="108" t="s">
        <v>21</v>
      </c>
      <c r="H1403" s="126">
        <f>SUM(H1404:H1405)</f>
        <v>0</v>
      </c>
      <c r="I1403" s="108">
        <v>8110010020</v>
      </c>
      <c r="J1403" s="108" t="str">
        <f t="shared" si="239"/>
        <v>8110010020</v>
      </c>
      <c r="K1403" s="132"/>
      <c r="L1403" s="17"/>
      <c r="M1403" s="20">
        <v>25543</v>
      </c>
      <c r="N1403" s="20">
        <v>25543</v>
      </c>
      <c r="O1403" s="20">
        <v>25543</v>
      </c>
      <c r="P1403" s="20">
        <f>H1403-M1403</f>
        <v>-25543</v>
      </c>
      <c r="Q1403" s="20" t="e">
        <f>#REF!-N1403</f>
        <v>#REF!</v>
      </c>
      <c r="R1403" s="20" t="e">
        <f>#REF!-O1403</f>
        <v>#REF!</v>
      </c>
      <c r="S1403" s="17" t="str">
        <f t="shared" si="238"/>
        <v>81 1 00 10020120</v>
      </c>
    </row>
    <row r="1404" spans="1:19" s="23" customFormat="1" ht="31.5">
      <c r="A1404" s="21"/>
      <c r="B1404" s="127" t="s">
        <v>40</v>
      </c>
      <c r="C1404" s="109" t="s">
        <v>783</v>
      </c>
      <c r="D1404" s="108" t="s">
        <v>11</v>
      </c>
      <c r="E1404" s="108" t="s">
        <v>73</v>
      </c>
      <c r="F1404" s="108" t="s">
        <v>790</v>
      </c>
      <c r="G1404" s="108" t="s">
        <v>41</v>
      </c>
      <c r="H1404" s="126"/>
      <c r="I1404" s="108">
        <v>8110010020</v>
      </c>
      <c r="J1404" s="108" t="str">
        <f t="shared" si="239"/>
        <v>8110010020</v>
      </c>
      <c r="K1404" s="304" t="str">
        <f t="shared" ref="K1404:K1405" si="244">C1404&amp;D1404&amp;E1404&amp;J1404&amp;G1404</f>
        <v>61801048110010020121</v>
      </c>
      <c r="L1404" s="24"/>
      <c r="M1404" s="22"/>
      <c r="N1404" s="22"/>
      <c r="O1404" s="22"/>
      <c r="P1404" s="22"/>
      <c r="Q1404" s="22"/>
      <c r="R1404" s="22"/>
      <c r="S1404" s="24"/>
    </row>
    <row r="1405" spans="1:19" s="23" customFormat="1" ht="63">
      <c r="A1405" s="21"/>
      <c r="B1405" s="127" t="s">
        <v>26</v>
      </c>
      <c r="C1405" s="109" t="s">
        <v>783</v>
      </c>
      <c r="D1405" s="108" t="s">
        <v>11</v>
      </c>
      <c r="E1405" s="108" t="s">
        <v>73</v>
      </c>
      <c r="F1405" s="108" t="s">
        <v>790</v>
      </c>
      <c r="G1405" s="108" t="s">
        <v>27</v>
      </c>
      <c r="H1405" s="126"/>
      <c r="I1405" s="108">
        <v>8110010020</v>
      </c>
      <c r="J1405" s="108" t="str">
        <f t="shared" si="239"/>
        <v>8110010020</v>
      </c>
      <c r="K1405" s="304" t="str">
        <f t="shared" si="244"/>
        <v>61801048110010020129</v>
      </c>
      <c r="L1405" s="24"/>
      <c r="M1405" s="22"/>
      <c r="N1405" s="22"/>
      <c r="O1405" s="22"/>
      <c r="P1405" s="22"/>
      <c r="Q1405" s="22"/>
      <c r="R1405" s="22"/>
      <c r="S1405" s="24"/>
    </row>
    <row r="1406" spans="1:19" s="16" customFormat="1" ht="63">
      <c r="A1406" s="14" t="s">
        <v>80</v>
      </c>
      <c r="B1406" s="150" t="s">
        <v>488</v>
      </c>
      <c r="C1406" s="109" t="s">
        <v>783</v>
      </c>
      <c r="D1406" s="108" t="s">
        <v>11</v>
      </c>
      <c r="E1406" s="108" t="s">
        <v>73</v>
      </c>
      <c r="F1406" s="108" t="s">
        <v>791</v>
      </c>
      <c r="G1406" s="108" t="s">
        <v>9</v>
      </c>
      <c r="H1406" s="126">
        <f>H1407+H1411</f>
        <v>0</v>
      </c>
      <c r="I1406" s="108">
        <v>8110076200</v>
      </c>
      <c r="J1406" s="108" t="str">
        <f t="shared" si="239"/>
        <v>8110076200</v>
      </c>
      <c r="K1406" s="132"/>
      <c r="L1406" s="17"/>
      <c r="M1406" s="20">
        <v>1218.6300000000001</v>
      </c>
      <c r="N1406" s="20">
        <v>1218.6300000000001</v>
      </c>
      <c r="O1406" s="20">
        <v>1218.6300000000001</v>
      </c>
      <c r="P1406" s="20">
        <f>H1406-M1406</f>
        <v>-1218.6300000000001</v>
      </c>
      <c r="Q1406" s="20" t="e">
        <f>#REF!-N1406</f>
        <v>#REF!</v>
      </c>
      <c r="R1406" s="20" t="e">
        <f>#REF!-O1406</f>
        <v>#REF!</v>
      </c>
      <c r="S1406" s="17" t="str">
        <f t="shared" si="238"/>
        <v>81 1 00 76200000</v>
      </c>
    </row>
    <row r="1407" spans="1:19" s="16" customFormat="1" ht="31.5">
      <c r="A1407" s="14"/>
      <c r="B1407" s="129" t="s">
        <v>20</v>
      </c>
      <c r="C1407" s="109" t="s">
        <v>783</v>
      </c>
      <c r="D1407" s="108" t="s">
        <v>11</v>
      </c>
      <c r="E1407" s="108" t="s">
        <v>73</v>
      </c>
      <c r="F1407" s="108" t="s">
        <v>791</v>
      </c>
      <c r="G1407" s="108" t="s">
        <v>21</v>
      </c>
      <c r="H1407" s="126">
        <f>SUM(H1408:H1410)</f>
        <v>0</v>
      </c>
      <c r="I1407" s="108">
        <v>8110076200</v>
      </c>
      <c r="J1407" s="108" t="str">
        <f t="shared" si="239"/>
        <v>8110076200</v>
      </c>
      <c r="K1407" s="132"/>
      <c r="L1407" s="17"/>
      <c r="M1407" s="20">
        <v>1059.71</v>
      </c>
      <c r="N1407" s="20">
        <v>1059.71</v>
      </c>
      <c r="O1407" s="20">
        <v>1059.71</v>
      </c>
      <c r="P1407" s="20">
        <f>H1407-M1407</f>
        <v>-1059.71</v>
      </c>
      <c r="Q1407" s="20" t="e">
        <f>#REF!-N1407</f>
        <v>#REF!</v>
      </c>
      <c r="R1407" s="20" t="e">
        <f>#REF!-O1407</f>
        <v>#REF!</v>
      </c>
      <c r="S1407" s="17" t="str">
        <f t="shared" si="238"/>
        <v>81 1 00 76200120</v>
      </c>
    </row>
    <row r="1408" spans="1:19" s="16" customFormat="1" ht="31.5">
      <c r="A1408" s="14"/>
      <c r="B1408" s="127" t="s">
        <v>40</v>
      </c>
      <c r="C1408" s="109" t="s">
        <v>783</v>
      </c>
      <c r="D1408" s="108" t="s">
        <v>11</v>
      </c>
      <c r="E1408" s="108" t="s">
        <v>73</v>
      </c>
      <c r="F1408" s="108" t="s">
        <v>791</v>
      </c>
      <c r="G1408" s="108" t="s">
        <v>41</v>
      </c>
      <c r="H1408" s="126"/>
      <c r="I1408" s="108">
        <v>8110076200</v>
      </c>
      <c r="J1408" s="108" t="str">
        <f t="shared" si="239"/>
        <v>8110076200</v>
      </c>
      <c r="K1408" s="304" t="str">
        <f t="shared" ref="K1408:K1410" si="245">C1408&amp;D1408&amp;E1408&amp;J1408&amp;G1408</f>
        <v>61801048110076200121</v>
      </c>
      <c r="L1408" s="17"/>
      <c r="M1408" s="20"/>
      <c r="N1408" s="20"/>
      <c r="O1408" s="20"/>
      <c r="P1408" s="20"/>
      <c r="Q1408" s="20"/>
      <c r="R1408" s="20"/>
      <c r="S1408" s="17"/>
    </row>
    <row r="1409" spans="1:19" s="23" customFormat="1" ht="47.25">
      <c r="A1409" s="21"/>
      <c r="B1409" s="127" t="s">
        <v>22</v>
      </c>
      <c r="C1409" s="109" t="s">
        <v>783</v>
      </c>
      <c r="D1409" s="108" t="s">
        <v>11</v>
      </c>
      <c r="E1409" s="108" t="s">
        <v>73</v>
      </c>
      <c r="F1409" s="108" t="s">
        <v>791</v>
      </c>
      <c r="G1409" s="108" t="s">
        <v>23</v>
      </c>
      <c r="H1409" s="126"/>
      <c r="I1409" s="108">
        <v>8110076200</v>
      </c>
      <c r="J1409" s="108" t="str">
        <f t="shared" si="239"/>
        <v>8110076200</v>
      </c>
      <c r="K1409" s="304" t="str">
        <f t="shared" si="245"/>
        <v>61801048110076200122</v>
      </c>
      <c r="L1409" s="24"/>
      <c r="M1409" s="22"/>
      <c r="N1409" s="22"/>
      <c r="O1409" s="22"/>
      <c r="P1409" s="22"/>
      <c r="Q1409" s="22"/>
      <c r="R1409" s="22"/>
      <c r="S1409" s="24"/>
    </row>
    <row r="1410" spans="1:19" s="23" customFormat="1" ht="63">
      <c r="A1410" s="21"/>
      <c r="B1410" s="127" t="s">
        <v>26</v>
      </c>
      <c r="C1410" s="109" t="s">
        <v>783</v>
      </c>
      <c r="D1410" s="108" t="s">
        <v>11</v>
      </c>
      <c r="E1410" s="108" t="s">
        <v>73</v>
      </c>
      <c r="F1410" s="108" t="s">
        <v>791</v>
      </c>
      <c r="G1410" s="108" t="s">
        <v>27</v>
      </c>
      <c r="H1410" s="126"/>
      <c r="I1410" s="108">
        <v>8110076200</v>
      </c>
      <c r="J1410" s="108" t="str">
        <f t="shared" si="239"/>
        <v>8110076200</v>
      </c>
      <c r="K1410" s="304" t="str">
        <f t="shared" si="245"/>
        <v>61801048110076200129</v>
      </c>
      <c r="L1410" s="24"/>
      <c r="M1410" s="22"/>
      <c r="N1410" s="22"/>
      <c r="O1410" s="22"/>
      <c r="P1410" s="22"/>
      <c r="Q1410" s="22"/>
      <c r="R1410" s="22"/>
      <c r="S1410" s="24"/>
    </row>
    <row r="1411" spans="1:19" s="16" customFormat="1" ht="31.5">
      <c r="A1411" s="14"/>
      <c r="B1411" s="125" t="s">
        <v>28</v>
      </c>
      <c r="C1411" s="109" t="s">
        <v>783</v>
      </c>
      <c r="D1411" s="108" t="s">
        <v>11</v>
      </c>
      <c r="E1411" s="108" t="s">
        <v>73</v>
      </c>
      <c r="F1411" s="108" t="s">
        <v>791</v>
      </c>
      <c r="G1411" s="108" t="s">
        <v>29</v>
      </c>
      <c r="H1411" s="126">
        <f>H1412</f>
        <v>0</v>
      </c>
      <c r="I1411" s="108">
        <v>8110076200</v>
      </c>
      <c r="J1411" s="108" t="str">
        <f t="shared" si="239"/>
        <v>8110076200</v>
      </c>
      <c r="K1411" s="132"/>
      <c r="L1411" s="17"/>
      <c r="M1411" s="20">
        <v>158.91999999999999</v>
      </c>
      <c r="N1411" s="20">
        <v>158.91999999999999</v>
      </c>
      <c r="O1411" s="20">
        <v>158.91999999999999</v>
      </c>
      <c r="P1411" s="20">
        <f>H1411-M1411</f>
        <v>-158.91999999999999</v>
      </c>
      <c r="Q1411" s="20" t="e">
        <f>#REF!-N1411</f>
        <v>#REF!</v>
      </c>
      <c r="R1411" s="20" t="e">
        <f>#REF!-O1411</f>
        <v>#REF!</v>
      </c>
      <c r="S1411" s="17" t="str">
        <f t="shared" si="238"/>
        <v>81 1 00 76200240</v>
      </c>
    </row>
    <row r="1412" spans="1:19" s="16" customFormat="1" ht="15.75">
      <c r="A1412" s="14"/>
      <c r="B1412" s="125" t="s">
        <v>30</v>
      </c>
      <c r="C1412" s="109" t="s">
        <v>783</v>
      </c>
      <c r="D1412" s="108" t="s">
        <v>11</v>
      </c>
      <c r="E1412" s="108" t="s">
        <v>73</v>
      </c>
      <c r="F1412" s="108" t="s">
        <v>791</v>
      </c>
      <c r="G1412" s="108" t="s">
        <v>31</v>
      </c>
      <c r="H1412" s="126"/>
      <c r="I1412" s="108">
        <v>8110076200</v>
      </c>
      <c r="J1412" s="108" t="str">
        <f t="shared" si="239"/>
        <v>8110076200</v>
      </c>
      <c r="K1412" s="304" t="str">
        <f>C1412&amp;D1412&amp;E1412&amp;J1412&amp;G1412</f>
        <v>61801048110076200244</v>
      </c>
      <c r="L1412" s="17"/>
      <c r="M1412" s="20"/>
      <c r="N1412" s="20"/>
      <c r="O1412" s="20"/>
      <c r="P1412" s="20"/>
      <c r="Q1412" s="20"/>
      <c r="R1412" s="20"/>
      <c r="S1412" s="17"/>
    </row>
    <row r="1413" spans="1:19" s="16" customFormat="1" ht="63">
      <c r="A1413" s="14" t="s">
        <v>80</v>
      </c>
      <c r="B1413" s="129" t="s">
        <v>754</v>
      </c>
      <c r="C1413" s="109" t="str">
        <f t="shared" ref="C1413:E1414" si="246">C1402</f>
        <v>618</v>
      </c>
      <c r="D1413" s="108" t="str">
        <f t="shared" si="246"/>
        <v>01</v>
      </c>
      <c r="E1413" s="108" t="str">
        <f t="shared" si="246"/>
        <v>04</v>
      </c>
      <c r="F1413" s="108" t="s">
        <v>792</v>
      </c>
      <c r="G1413" s="108" t="s">
        <v>9</v>
      </c>
      <c r="H1413" s="126">
        <f>H1414</f>
        <v>0</v>
      </c>
      <c r="I1413" s="108">
        <v>8110076360</v>
      </c>
      <c r="J1413" s="108" t="str">
        <f t="shared" si="239"/>
        <v>8110076360</v>
      </c>
      <c r="K1413" s="132"/>
      <c r="L1413" s="17"/>
      <c r="M1413" s="20">
        <v>70.900000000000006</v>
      </c>
      <c r="N1413" s="20">
        <v>70.900000000000006</v>
      </c>
      <c r="O1413" s="20">
        <v>70.900000000000006</v>
      </c>
      <c r="P1413" s="20">
        <f>H1413-M1413</f>
        <v>-70.900000000000006</v>
      </c>
      <c r="Q1413" s="20" t="e">
        <f>#REF!-N1413</f>
        <v>#REF!</v>
      </c>
      <c r="R1413" s="20" t="e">
        <f>#REF!-O1413</f>
        <v>#REF!</v>
      </c>
      <c r="S1413" s="17" t="str">
        <f t="shared" si="238"/>
        <v>81 1 00 76360000</v>
      </c>
    </row>
    <row r="1414" spans="1:19" s="16" customFormat="1" ht="31.5">
      <c r="A1414" s="14"/>
      <c r="B1414" s="125" t="s">
        <v>28</v>
      </c>
      <c r="C1414" s="109" t="str">
        <f t="shared" si="246"/>
        <v>618</v>
      </c>
      <c r="D1414" s="108" t="str">
        <f t="shared" si="246"/>
        <v>01</v>
      </c>
      <c r="E1414" s="108" t="str">
        <f t="shared" si="246"/>
        <v>04</v>
      </c>
      <c r="F1414" s="108" t="s">
        <v>792</v>
      </c>
      <c r="G1414" s="108" t="s">
        <v>29</v>
      </c>
      <c r="H1414" s="126">
        <f>H1415</f>
        <v>0</v>
      </c>
      <c r="I1414" s="108">
        <v>8110076360</v>
      </c>
      <c r="J1414" s="108" t="str">
        <f t="shared" si="239"/>
        <v>8110076360</v>
      </c>
      <c r="K1414" s="132"/>
      <c r="L1414" s="17"/>
      <c r="M1414" s="20">
        <v>70.900000000000006</v>
      </c>
      <c r="N1414" s="20">
        <v>70.900000000000006</v>
      </c>
      <c r="O1414" s="20">
        <v>70.900000000000006</v>
      </c>
      <c r="P1414" s="20">
        <f>H1414-M1414</f>
        <v>-70.900000000000006</v>
      </c>
      <c r="Q1414" s="20" t="e">
        <f>#REF!-N1414</f>
        <v>#REF!</v>
      </c>
      <c r="R1414" s="20" t="e">
        <f>#REF!-O1414</f>
        <v>#REF!</v>
      </c>
      <c r="S1414" s="17" t="str">
        <f t="shared" si="238"/>
        <v>81 1 00 76360240</v>
      </c>
    </row>
    <row r="1415" spans="1:19" s="16" customFormat="1" ht="15.75">
      <c r="A1415" s="14"/>
      <c r="B1415" s="125" t="s">
        <v>30</v>
      </c>
      <c r="C1415" s="109" t="s">
        <v>783</v>
      </c>
      <c r="D1415" s="108" t="s">
        <v>11</v>
      </c>
      <c r="E1415" s="108" t="s">
        <v>73</v>
      </c>
      <c r="F1415" s="108" t="s">
        <v>792</v>
      </c>
      <c r="G1415" s="108" t="s">
        <v>31</v>
      </c>
      <c r="H1415" s="126"/>
      <c r="I1415" s="108">
        <v>8110076360</v>
      </c>
      <c r="J1415" s="108" t="str">
        <f t="shared" si="239"/>
        <v>8110076360</v>
      </c>
      <c r="K1415" s="304" t="str">
        <f>C1415&amp;D1415&amp;E1415&amp;J1415&amp;G1415</f>
        <v>61801048110076360244</v>
      </c>
      <c r="L1415" s="17"/>
      <c r="M1415" s="20"/>
      <c r="N1415" s="20"/>
      <c r="O1415" s="20"/>
      <c r="P1415" s="20"/>
      <c r="Q1415" s="20"/>
      <c r="R1415" s="20"/>
      <c r="S1415" s="17"/>
    </row>
    <row r="1416" spans="1:19" s="16" customFormat="1" ht="15.75">
      <c r="A1416" s="14"/>
      <c r="B1416" s="121" t="s">
        <v>50</v>
      </c>
      <c r="C1416" s="122" t="s">
        <v>783</v>
      </c>
      <c r="D1416" s="123" t="s">
        <v>11</v>
      </c>
      <c r="E1416" s="123" t="s">
        <v>51</v>
      </c>
      <c r="F1416" s="123" t="s">
        <v>8</v>
      </c>
      <c r="G1416" s="123" t="s">
        <v>9</v>
      </c>
      <c r="H1416" s="124">
        <f>H1417</f>
        <v>0</v>
      </c>
      <c r="I1416" s="123">
        <v>0</v>
      </c>
      <c r="J1416" s="123" t="str">
        <f t="shared" si="239"/>
        <v>0000000000</v>
      </c>
      <c r="K1416" s="132"/>
      <c r="L1416" s="17"/>
      <c r="M1416" s="19">
        <v>357.85</v>
      </c>
      <c r="N1416" s="19">
        <v>357.85</v>
      </c>
      <c r="O1416" s="19">
        <v>357.85</v>
      </c>
      <c r="P1416" s="19">
        <f t="shared" ref="P1416:P1421" si="247">H1416-M1416</f>
        <v>-357.85</v>
      </c>
      <c r="Q1416" s="19" t="e">
        <f>#REF!-N1416</f>
        <v>#REF!</v>
      </c>
      <c r="R1416" s="19" t="e">
        <f>#REF!-O1416</f>
        <v>#REF!</v>
      </c>
      <c r="S1416" s="17" t="str">
        <f t="shared" si="238"/>
        <v>00 0 00 00000000</v>
      </c>
    </row>
    <row r="1417" spans="1:19" s="16" customFormat="1" ht="63">
      <c r="A1417" s="14"/>
      <c r="B1417" s="132" t="s">
        <v>257</v>
      </c>
      <c r="C1417" s="109" t="s">
        <v>783</v>
      </c>
      <c r="D1417" s="108" t="s">
        <v>11</v>
      </c>
      <c r="E1417" s="108" t="s">
        <v>51</v>
      </c>
      <c r="F1417" s="108" t="s">
        <v>258</v>
      </c>
      <c r="G1417" s="108" t="s">
        <v>9</v>
      </c>
      <c r="H1417" s="126">
        <f t="shared" ref="H1417:H1420" si="248">H1418</f>
        <v>0</v>
      </c>
      <c r="I1417" s="108">
        <v>1100000000</v>
      </c>
      <c r="J1417" s="108" t="str">
        <f t="shared" si="239"/>
        <v>1100000000</v>
      </c>
      <c r="K1417" s="132"/>
      <c r="L1417" s="17"/>
      <c r="M1417" s="20">
        <v>357.85</v>
      </c>
      <c r="N1417" s="20">
        <v>357.85</v>
      </c>
      <c r="O1417" s="20">
        <v>357.85</v>
      </c>
      <c r="P1417" s="20">
        <f t="shared" si="247"/>
        <v>-357.85</v>
      </c>
      <c r="Q1417" s="20" t="e">
        <f>#REF!-N1417</f>
        <v>#REF!</v>
      </c>
      <c r="R1417" s="20" t="e">
        <f>#REF!-O1417</f>
        <v>#REF!</v>
      </c>
      <c r="S1417" s="17" t="str">
        <f t="shared" si="238"/>
        <v>11 0 00 00000000</v>
      </c>
    </row>
    <row r="1418" spans="1:19" s="16" customFormat="1" ht="63">
      <c r="A1418" s="14"/>
      <c r="B1418" s="132" t="s">
        <v>259</v>
      </c>
      <c r="C1418" s="109" t="s">
        <v>783</v>
      </c>
      <c r="D1418" s="108" t="s">
        <v>11</v>
      </c>
      <c r="E1418" s="108" t="s">
        <v>51</v>
      </c>
      <c r="F1418" s="108" t="s">
        <v>260</v>
      </c>
      <c r="G1418" s="108" t="s">
        <v>9</v>
      </c>
      <c r="H1418" s="126">
        <f t="shared" si="248"/>
        <v>0</v>
      </c>
      <c r="I1418" s="108" t="s">
        <v>1171</v>
      </c>
      <c r="J1418" s="108" t="str">
        <f t="shared" si="239"/>
        <v>11Б0000000</v>
      </c>
      <c r="K1418" s="132"/>
      <c r="L1418" s="17"/>
      <c r="M1418" s="20">
        <v>357.85</v>
      </c>
      <c r="N1418" s="20">
        <v>357.85</v>
      </c>
      <c r="O1418" s="20">
        <v>357.85</v>
      </c>
      <c r="P1418" s="20">
        <f t="shared" si="247"/>
        <v>-357.85</v>
      </c>
      <c r="Q1418" s="20" t="e">
        <f>#REF!-N1418</f>
        <v>#REF!</v>
      </c>
      <c r="R1418" s="20" t="e">
        <f>#REF!-O1418</f>
        <v>#REF!</v>
      </c>
      <c r="S1418" s="17" t="str">
        <f t="shared" si="238"/>
        <v>11 Б 00 00000000</v>
      </c>
    </row>
    <row r="1419" spans="1:19" s="16" customFormat="1" ht="47.25">
      <c r="A1419" s="14"/>
      <c r="B1419" s="155" t="s">
        <v>261</v>
      </c>
      <c r="C1419" s="108" t="s">
        <v>783</v>
      </c>
      <c r="D1419" s="108" t="s">
        <v>11</v>
      </c>
      <c r="E1419" s="108" t="s">
        <v>51</v>
      </c>
      <c r="F1419" s="108" t="s">
        <v>262</v>
      </c>
      <c r="G1419" s="108" t="s">
        <v>9</v>
      </c>
      <c r="H1419" s="126">
        <f t="shared" si="248"/>
        <v>0</v>
      </c>
      <c r="I1419" s="108" t="s">
        <v>1172</v>
      </c>
      <c r="J1419" s="108" t="str">
        <f t="shared" si="239"/>
        <v>11Б0100000</v>
      </c>
      <c r="K1419" s="132"/>
      <c r="L1419" s="17"/>
      <c r="M1419" s="20">
        <v>357.85</v>
      </c>
      <c r="N1419" s="20">
        <v>357.85</v>
      </c>
      <c r="O1419" s="20">
        <v>357.85</v>
      </c>
      <c r="P1419" s="20">
        <f t="shared" si="247"/>
        <v>-357.85</v>
      </c>
      <c r="Q1419" s="20" t="e">
        <f>#REF!-N1419</f>
        <v>#REF!</v>
      </c>
      <c r="R1419" s="20" t="e">
        <f>#REF!-O1419</f>
        <v>#REF!</v>
      </c>
      <c r="S1419" s="17" t="str">
        <f t="shared" si="238"/>
        <v>11 Б 01 00000000</v>
      </c>
    </row>
    <row r="1420" spans="1:19" s="16" customFormat="1" ht="31.5">
      <c r="A1420" s="14"/>
      <c r="B1420" s="125" t="s">
        <v>756</v>
      </c>
      <c r="C1420" s="109" t="s">
        <v>783</v>
      </c>
      <c r="D1420" s="108" t="s">
        <v>11</v>
      </c>
      <c r="E1420" s="108" t="s">
        <v>51</v>
      </c>
      <c r="F1420" s="108" t="s">
        <v>757</v>
      </c>
      <c r="G1420" s="108" t="s">
        <v>9</v>
      </c>
      <c r="H1420" s="126">
        <f t="shared" si="248"/>
        <v>0</v>
      </c>
      <c r="I1420" s="108" t="s">
        <v>1230</v>
      </c>
      <c r="J1420" s="108" t="str">
        <f t="shared" si="239"/>
        <v>11Б0120840</v>
      </c>
      <c r="K1420" s="132"/>
      <c r="L1420" s="17"/>
      <c r="M1420" s="20">
        <v>357.85</v>
      </c>
      <c r="N1420" s="20">
        <v>357.85</v>
      </c>
      <c r="O1420" s="20">
        <v>357.85</v>
      </c>
      <c r="P1420" s="20">
        <f t="shared" si="247"/>
        <v>-357.85</v>
      </c>
      <c r="Q1420" s="20" t="e">
        <f>#REF!-N1420</f>
        <v>#REF!</v>
      </c>
      <c r="R1420" s="20" t="e">
        <f>#REF!-O1420</f>
        <v>#REF!</v>
      </c>
      <c r="S1420" s="17" t="str">
        <f t="shared" si="238"/>
        <v>11 Б 01 20840000</v>
      </c>
    </row>
    <row r="1421" spans="1:19" s="16" customFormat="1" ht="31.5">
      <c r="A1421" s="14"/>
      <c r="B1421" s="125" t="s">
        <v>28</v>
      </c>
      <c r="C1421" s="109" t="s">
        <v>783</v>
      </c>
      <c r="D1421" s="108" t="s">
        <v>11</v>
      </c>
      <c r="E1421" s="108" t="s">
        <v>51</v>
      </c>
      <c r="F1421" s="108" t="s">
        <v>757</v>
      </c>
      <c r="G1421" s="108" t="s">
        <v>29</v>
      </c>
      <c r="H1421" s="126">
        <f>H1422</f>
        <v>0</v>
      </c>
      <c r="I1421" s="108" t="s">
        <v>1230</v>
      </c>
      <c r="J1421" s="108" t="str">
        <f t="shared" si="239"/>
        <v>11Б0120840</v>
      </c>
      <c r="K1421" s="132"/>
      <c r="L1421" s="17"/>
      <c r="M1421" s="20">
        <v>357.85</v>
      </c>
      <c r="N1421" s="20">
        <v>357.85</v>
      </c>
      <c r="O1421" s="20">
        <v>357.85</v>
      </c>
      <c r="P1421" s="20">
        <f t="shared" si="247"/>
        <v>-357.85</v>
      </c>
      <c r="Q1421" s="20" t="e">
        <f>#REF!-N1421</f>
        <v>#REF!</v>
      </c>
      <c r="R1421" s="20" t="e">
        <f>#REF!-O1421</f>
        <v>#REF!</v>
      </c>
      <c r="S1421" s="17" t="str">
        <f t="shared" si="238"/>
        <v>11 Б 01 20840240</v>
      </c>
    </row>
    <row r="1422" spans="1:19" s="16" customFormat="1" ht="15.75">
      <c r="A1422" s="14"/>
      <c r="B1422" s="125" t="s">
        <v>30</v>
      </c>
      <c r="C1422" s="109" t="s">
        <v>783</v>
      </c>
      <c r="D1422" s="108" t="s">
        <v>11</v>
      </c>
      <c r="E1422" s="108" t="s">
        <v>51</v>
      </c>
      <c r="F1422" s="108" t="s">
        <v>757</v>
      </c>
      <c r="G1422" s="108" t="s">
        <v>31</v>
      </c>
      <c r="H1422" s="126"/>
      <c r="I1422" s="108" t="s">
        <v>1230</v>
      </c>
      <c r="J1422" s="108" t="str">
        <f t="shared" si="239"/>
        <v>11Б0120840</v>
      </c>
      <c r="K1422" s="304" t="str">
        <f>C1422&amp;D1422&amp;E1422&amp;J1422&amp;G1422</f>
        <v>618011311Б0120840244</v>
      </c>
      <c r="L1422" s="17"/>
      <c r="M1422" s="20"/>
      <c r="N1422" s="20"/>
      <c r="O1422" s="20"/>
      <c r="P1422" s="20"/>
      <c r="Q1422" s="20"/>
      <c r="R1422" s="20"/>
      <c r="S1422" s="17"/>
    </row>
    <row r="1423" spans="1:19" s="16" customFormat="1" ht="15.75">
      <c r="A1423" s="14"/>
      <c r="B1423" s="117" t="s">
        <v>195</v>
      </c>
      <c r="C1423" s="118" t="s">
        <v>783</v>
      </c>
      <c r="D1423" s="119" t="s">
        <v>73</v>
      </c>
      <c r="E1423" s="119" t="s">
        <v>7</v>
      </c>
      <c r="F1423" s="119" t="s">
        <v>8</v>
      </c>
      <c r="G1423" s="119" t="s">
        <v>9</v>
      </c>
      <c r="H1423" s="120">
        <f t="shared" ref="H1423:H1426" si="249">H1424</f>
        <v>0</v>
      </c>
      <c r="I1423" s="119">
        <v>0</v>
      </c>
      <c r="J1423" s="119" t="str">
        <f t="shared" si="239"/>
        <v>0000000000</v>
      </c>
      <c r="K1423" s="132"/>
      <c r="L1423" s="17"/>
      <c r="M1423" s="18">
        <v>60223.26</v>
      </c>
      <c r="N1423" s="18">
        <v>64831.42</v>
      </c>
      <c r="O1423" s="18">
        <v>69900.41</v>
      </c>
      <c r="P1423" s="18">
        <f t="shared" ref="P1423:P1429" si="250">H1423-M1423</f>
        <v>-60223.26</v>
      </c>
      <c r="Q1423" s="18" t="e">
        <f>#REF!-N1423</f>
        <v>#REF!</v>
      </c>
      <c r="R1423" s="18" t="e">
        <f>#REF!-O1423</f>
        <v>#REF!</v>
      </c>
      <c r="S1423" s="17" t="str">
        <f t="shared" si="238"/>
        <v>00 0 00 00000000</v>
      </c>
    </row>
    <row r="1424" spans="1:19" s="16" customFormat="1" ht="15.75">
      <c r="A1424" s="14"/>
      <c r="B1424" s="121" t="s">
        <v>760</v>
      </c>
      <c r="C1424" s="122" t="s">
        <v>783</v>
      </c>
      <c r="D1424" s="123" t="s">
        <v>73</v>
      </c>
      <c r="E1424" s="123" t="s">
        <v>471</v>
      </c>
      <c r="F1424" s="123" t="s">
        <v>8</v>
      </c>
      <c r="G1424" s="123" t="s">
        <v>9</v>
      </c>
      <c r="H1424" s="124">
        <f t="shared" si="249"/>
        <v>0</v>
      </c>
      <c r="I1424" s="123">
        <v>0</v>
      </c>
      <c r="J1424" s="123" t="str">
        <f t="shared" si="239"/>
        <v>0000000000</v>
      </c>
      <c r="K1424" s="132"/>
      <c r="L1424" s="17"/>
      <c r="M1424" s="19">
        <v>60223.26</v>
      </c>
      <c r="N1424" s="19">
        <v>64831.42</v>
      </c>
      <c r="O1424" s="19">
        <v>69900.41</v>
      </c>
      <c r="P1424" s="19">
        <f t="shared" si="250"/>
        <v>-60223.26</v>
      </c>
      <c r="Q1424" s="19" t="e">
        <f>#REF!-N1424</f>
        <v>#REF!</v>
      </c>
      <c r="R1424" s="19" t="e">
        <f>#REF!-O1424</f>
        <v>#REF!</v>
      </c>
      <c r="S1424" s="17" t="str">
        <f t="shared" si="238"/>
        <v>00 0 00 00000000</v>
      </c>
    </row>
    <row r="1425" spans="1:19" s="16" customFormat="1" ht="63">
      <c r="A1425" s="14"/>
      <c r="B1425" s="127" t="s">
        <v>293</v>
      </c>
      <c r="C1425" s="109" t="s">
        <v>783</v>
      </c>
      <c r="D1425" s="108" t="s">
        <v>73</v>
      </c>
      <c r="E1425" s="108" t="s">
        <v>471</v>
      </c>
      <c r="F1425" s="108" t="s">
        <v>294</v>
      </c>
      <c r="G1425" s="108" t="s">
        <v>9</v>
      </c>
      <c r="H1425" s="126">
        <f t="shared" si="249"/>
        <v>0</v>
      </c>
      <c r="I1425" s="108">
        <v>400000000</v>
      </c>
      <c r="J1425" s="108" t="str">
        <f t="shared" si="239"/>
        <v>0400000000</v>
      </c>
      <c r="K1425" s="132"/>
      <c r="L1425" s="17"/>
      <c r="M1425" s="20">
        <v>60223.26</v>
      </c>
      <c r="N1425" s="20">
        <v>64831.42</v>
      </c>
      <c r="O1425" s="20">
        <v>69900.41</v>
      </c>
      <c r="P1425" s="20">
        <f t="shared" si="250"/>
        <v>-60223.26</v>
      </c>
      <c r="Q1425" s="20" t="e">
        <f>#REF!-N1425</f>
        <v>#REF!</v>
      </c>
      <c r="R1425" s="20" t="e">
        <f>#REF!-O1425</f>
        <v>#REF!</v>
      </c>
      <c r="S1425" s="17" t="str">
        <f t="shared" si="238"/>
        <v>04 0 00 00000000</v>
      </c>
    </row>
    <row r="1426" spans="1:19" s="16" customFormat="1" ht="63">
      <c r="A1426" s="14"/>
      <c r="B1426" s="140" t="s">
        <v>295</v>
      </c>
      <c r="C1426" s="109" t="s">
        <v>783</v>
      </c>
      <c r="D1426" s="108" t="s">
        <v>73</v>
      </c>
      <c r="E1426" s="108" t="s">
        <v>471</v>
      </c>
      <c r="F1426" s="108" t="s">
        <v>296</v>
      </c>
      <c r="G1426" s="108" t="s">
        <v>9</v>
      </c>
      <c r="H1426" s="126">
        <f t="shared" si="249"/>
        <v>0</v>
      </c>
      <c r="I1426" s="108">
        <v>420000000</v>
      </c>
      <c r="J1426" s="108" t="str">
        <f t="shared" si="239"/>
        <v>0420000000</v>
      </c>
      <c r="K1426" s="132"/>
      <c r="L1426" s="17"/>
      <c r="M1426" s="20">
        <v>60223.26</v>
      </c>
      <c r="N1426" s="20">
        <v>64831.42</v>
      </c>
      <c r="O1426" s="20">
        <v>69900.41</v>
      </c>
      <c r="P1426" s="20">
        <f t="shared" si="250"/>
        <v>-60223.26</v>
      </c>
      <c r="Q1426" s="20" t="e">
        <f>#REF!-N1426</f>
        <v>#REF!</v>
      </c>
      <c r="R1426" s="20" t="e">
        <f>#REF!-O1426</f>
        <v>#REF!</v>
      </c>
      <c r="S1426" s="17" t="str">
        <f t="shared" si="238"/>
        <v>04 2 00 00000000</v>
      </c>
    </row>
    <row r="1427" spans="1:19" s="16" customFormat="1" ht="63">
      <c r="A1427" s="14"/>
      <c r="B1427" s="140" t="s">
        <v>297</v>
      </c>
      <c r="C1427" s="109" t="s">
        <v>783</v>
      </c>
      <c r="D1427" s="108" t="s">
        <v>73</v>
      </c>
      <c r="E1427" s="108" t="s">
        <v>471</v>
      </c>
      <c r="F1427" s="108" t="s">
        <v>298</v>
      </c>
      <c r="G1427" s="108" t="s">
        <v>9</v>
      </c>
      <c r="H1427" s="126">
        <f>H1431+H1428</f>
        <v>0</v>
      </c>
      <c r="I1427" s="108">
        <v>420200000</v>
      </c>
      <c r="J1427" s="108" t="str">
        <f t="shared" si="239"/>
        <v>0420200000</v>
      </c>
      <c r="K1427" s="132"/>
      <c r="L1427" s="17"/>
      <c r="M1427" s="20">
        <v>60223.26</v>
      </c>
      <c r="N1427" s="20">
        <v>64831.42</v>
      </c>
      <c r="O1427" s="20">
        <v>69900.41</v>
      </c>
      <c r="P1427" s="20">
        <f t="shared" si="250"/>
        <v>-60223.26</v>
      </c>
      <c r="Q1427" s="20" t="e">
        <f>#REF!-N1427</f>
        <v>#REF!</v>
      </c>
      <c r="R1427" s="20" t="e">
        <f>#REF!-O1427</f>
        <v>#REF!</v>
      </c>
      <c r="S1427" s="17" t="str">
        <f t="shared" si="238"/>
        <v>04 2 02 00000000</v>
      </c>
    </row>
    <row r="1428" spans="1:19" s="16" customFormat="1" ht="47.25">
      <c r="A1428" s="14"/>
      <c r="B1428" s="127" t="s">
        <v>761</v>
      </c>
      <c r="C1428" s="109" t="s">
        <v>783</v>
      </c>
      <c r="D1428" s="108" t="s">
        <v>73</v>
      </c>
      <c r="E1428" s="108" t="s">
        <v>471</v>
      </c>
      <c r="F1428" s="108" t="s">
        <v>762</v>
      </c>
      <c r="G1428" s="108" t="s">
        <v>9</v>
      </c>
      <c r="H1428" s="126">
        <f>H1429</f>
        <v>0</v>
      </c>
      <c r="I1428" s="108">
        <v>420220820</v>
      </c>
      <c r="J1428" s="108" t="str">
        <f t="shared" si="239"/>
        <v>0420220820</v>
      </c>
      <c r="K1428" s="132"/>
      <c r="L1428" s="17"/>
      <c r="M1428" s="20">
        <v>10087.43</v>
      </c>
      <c r="N1428" s="20">
        <v>10087.43</v>
      </c>
      <c r="O1428" s="20">
        <v>10087.43</v>
      </c>
      <c r="P1428" s="20">
        <f t="shared" si="250"/>
        <v>-10087.43</v>
      </c>
      <c r="Q1428" s="20" t="e">
        <f>#REF!-N1428</f>
        <v>#REF!</v>
      </c>
      <c r="R1428" s="20" t="e">
        <f>#REF!-O1428</f>
        <v>#REF!</v>
      </c>
      <c r="S1428" s="17" t="str">
        <f t="shared" si="238"/>
        <v>04 2 02 20820000</v>
      </c>
    </row>
    <row r="1429" spans="1:19" s="16" customFormat="1" ht="31.5">
      <c r="A1429" s="14"/>
      <c r="B1429" s="125" t="s">
        <v>28</v>
      </c>
      <c r="C1429" s="109" t="s">
        <v>783</v>
      </c>
      <c r="D1429" s="108" t="s">
        <v>73</v>
      </c>
      <c r="E1429" s="108" t="s">
        <v>471</v>
      </c>
      <c r="F1429" s="108" t="s">
        <v>762</v>
      </c>
      <c r="G1429" s="108" t="s">
        <v>29</v>
      </c>
      <c r="H1429" s="126">
        <f>H1430</f>
        <v>0</v>
      </c>
      <c r="I1429" s="108">
        <v>420220820</v>
      </c>
      <c r="J1429" s="108" t="str">
        <f t="shared" si="239"/>
        <v>0420220820</v>
      </c>
      <c r="K1429" s="132"/>
      <c r="L1429" s="17"/>
      <c r="M1429" s="20">
        <v>10087.43</v>
      </c>
      <c r="N1429" s="20">
        <v>10087.43</v>
      </c>
      <c r="O1429" s="20">
        <v>10087.43</v>
      </c>
      <c r="P1429" s="20">
        <f t="shared" si="250"/>
        <v>-10087.43</v>
      </c>
      <c r="Q1429" s="20" t="e">
        <f>#REF!-N1429</f>
        <v>#REF!</v>
      </c>
      <c r="R1429" s="20" t="e">
        <f>#REF!-O1429</f>
        <v>#REF!</v>
      </c>
      <c r="S1429" s="17" t="str">
        <f t="shared" si="238"/>
        <v>04 2 02 20820240</v>
      </c>
    </row>
    <row r="1430" spans="1:19" s="16" customFormat="1" ht="15.75">
      <c r="A1430" s="14"/>
      <c r="B1430" s="125" t="s">
        <v>30</v>
      </c>
      <c r="C1430" s="109" t="s">
        <v>783</v>
      </c>
      <c r="D1430" s="108" t="s">
        <v>73</v>
      </c>
      <c r="E1430" s="108" t="s">
        <v>471</v>
      </c>
      <c r="F1430" s="108" t="s">
        <v>762</v>
      </c>
      <c r="G1430" s="108" t="s">
        <v>31</v>
      </c>
      <c r="H1430" s="126"/>
      <c r="I1430" s="108">
        <v>420220820</v>
      </c>
      <c r="J1430" s="108" t="str">
        <f t="shared" si="239"/>
        <v>0420220820</v>
      </c>
      <c r="K1430" s="304" t="str">
        <f>C1430&amp;D1430&amp;E1430&amp;J1430&amp;G1430</f>
        <v>61804090420220820244</v>
      </c>
      <c r="L1430" s="17"/>
      <c r="M1430" s="20"/>
      <c r="N1430" s="20"/>
      <c r="O1430" s="20"/>
      <c r="P1430" s="20"/>
      <c r="Q1430" s="20"/>
      <c r="R1430" s="20"/>
      <c r="S1430" s="17"/>
    </row>
    <row r="1431" spans="1:19" s="16" customFormat="1" ht="31.5">
      <c r="A1431" s="14"/>
      <c r="B1431" s="125" t="s">
        <v>763</v>
      </c>
      <c r="C1431" s="109" t="s">
        <v>783</v>
      </c>
      <c r="D1431" s="108" t="s">
        <v>73</v>
      </c>
      <c r="E1431" s="108" t="s">
        <v>471</v>
      </c>
      <c r="F1431" s="108" t="s">
        <v>764</v>
      </c>
      <c r="G1431" s="108" t="s">
        <v>9</v>
      </c>
      <c r="H1431" s="126">
        <f>H1432</f>
        <v>0</v>
      </c>
      <c r="I1431" s="108">
        <v>420221090</v>
      </c>
      <c r="J1431" s="108" t="str">
        <f t="shared" si="239"/>
        <v>0420221090</v>
      </c>
      <c r="K1431" s="132"/>
      <c r="L1431" s="17"/>
      <c r="M1431" s="20">
        <v>50135.83</v>
      </c>
      <c r="N1431" s="20">
        <v>54743.99</v>
      </c>
      <c r="O1431" s="20">
        <v>59812.98</v>
      </c>
      <c r="P1431" s="20">
        <f>H1431-M1431</f>
        <v>-50135.83</v>
      </c>
      <c r="Q1431" s="20" t="e">
        <f>#REF!-N1431</f>
        <v>#REF!</v>
      </c>
      <c r="R1431" s="20" t="e">
        <f>#REF!-O1431</f>
        <v>#REF!</v>
      </c>
      <c r="S1431" s="17" t="str">
        <f t="shared" si="238"/>
        <v>04 2 02 21090000</v>
      </c>
    </row>
    <row r="1432" spans="1:19" s="16" customFormat="1" ht="31.5">
      <c r="A1432" s="14"/>
      <c r="B1432" s="125" t="s">
        <v>28</v>
      </c>
      <c r="C1432" s="109" t="s">
        <v>783</v>
      </c>
      <c r="D1432" s="108" t="s">
        <v>73</v>
      </c>
      <c r="E1432" s="108" t="s">
        <v>471</v>
      </c>
      <c r="F1432" s="108" t="s">
        <v>764</v>
      </c>
      <c r="G1432" s="108" t="s">
        <v>29</v>
      </c>
      <c r="H1432" s="126">
        <f>H1433</f>
        <v>0</v>
      </c>
      <c r="I1432" s="108">
        <v>420221090</v>
      </c>
      <c r="J1432" s="108" t="str">
        <f t="shared" si="239"/>
        <v>0420221090</v>
      </c>
      <c r="K1432" s="132"/>
      <c r="L1432" s="17"/>
      <c r="M1432" s="20">
        <v>50135.83</v>
      </c>
      <c r="N1432" s="20">
        <v>54743.99</v>
      </c>
      <c r="O1432" s="20">
        <v>59812.98</v>
      </c>
      <c r="P1432" s="20">
        <f>H1432-M1432</f>
        <v>-50135.83</v>
      </c>
      <c r="Q1432" s="20" t="e">
        <f>#REF!-N1432</f>
        <v>#REF!</v>
      </c>
      <c r="R1432" s="20" t="e">
        <f>#REF!-O1432</f>
        <v>#REF!</v>
      </c>
      <c r="S1432" s="17" t="str">
        <f t="shared" si="238"/>
        <v>04 2 02 21090240</v>
      </c>
    </row>
    <row r="1433" spans="1:19" s="16" customFormat="1" ht="15.75">
      <c r="A1433" s="14"/>
      <c r="B1433" s="125" t="s">
        <v>30</v>
      </c>
      <c r="C1433" s="109" t="s">
        <v>783</v>
      </c>
      <c r="D1433" s="108" t="s">
        <v>73</v>
      </c>
      <c r="E1433" s="108" t="s">
        <v>471</v>
      </c>
      <c r="F1433" s="108" t="s">
        <v>764</v>
      </c>
      <c r="G1433" s="108" t="s">
        <v>31</v>
      </c>
      <c r="H1433" s="126"/>
      <c r="I1433" s="108">
        <v>420221090</v>
      </c>
      <c r="J1433" s="108" t="str">
        <f t="shared" si="239"/>
        <v>0420221090</v>
      </c>
      <c r="K1433" s="304" t="str">
        <f>C1433&amp;D1433&amp;E1433&amp;J1433&amp;G1433</f>
        <v>61804090420221090244</v>
      </c>
      <c r="L1433" s="17"/>
      <c r="M1433" s="20"/>
      <c r="N1433" s="20"/>
      <c r="O1433" s="20"/>
      <c r="P1433" s="20"/>
      <c r="Q1433" s="20"/>
      <c r="R1433" s="20"/>
      <c r="S1433" s="17"/>
    </row>
    <row r="1434" spans="1:19" s="16" customFormat="1" ht="15.75">
      <c r="A1434" s="14"/>
      <c r="B1434" s="117" t="s">
        <v>305</v>
      </c>
      <c r="C1434" s="118" t="s">
        <v>783</v>
      </c>
      <c r="D1434" s="119" t="s">
        <v>86</v>
      </c>
      <c r="E1434" s="119" t="s">
        <v>7</v>
      </c>
      <c r="F1434" s="119" t="s">
        <v>8</v>
      </c>
      <c r="G1434" s="119" t="s">
        <v>9</v>
      </c>
      <c r="H1434" s="120">
        <f>H1435+H1443</f>
        <v>0</v>
      </c>
      <c r="I1434" s="119">
        <v>0</v>
      </c>
      <c r="J1434" s="119" t="str">
        <f t="shared" si="239"/>
        <v>0000000000</v>
      </c>
      <c r="K1434" s="132"/>
      <c r="L1434" s="17"/>
      <c r="M1434" s="18">
        <v>30206.899999999998</v>
      </c>
      <c r="N1434" s="18">
        <v>19206.899999999998</v>
      </c>
      <c r="O1434" s="18">
        <v>19206.899999999998</v>
      </c>
      <c r="P1434" s="18">
        <f t="shared" ref="P1434:P1440" si="251">H1434-M1434</f>
        <v>-30206.899999999998</v>
      </c>
      <c r="Q1434" s="18" t="e">
        <f>#REF!-N1434</f>
        <v>#REF!</v>
      </c>
      <c r="R1434" s="18" t="e">
        <f>#REF!-O1434</f>
        <v>#REF!</v>
      </c>
      <c r="S1434" s="17" t="str">
        <f t="shared" si="238"/>
        <v>00 0 00 00000000</v>
      </c>
    </row>
    <row r="1435" spans="1:19" s="16" customFormat="1" ht="15.75">
      <c r="A1435" s="14"/>
      <c r="B1435" s="121" t="s">
        <v>765</v>
      </c>
      <c r="C1435" s="122" t="s">
        <v>783</v>
      </c>
      <c r="D1435" s="123" t="s">
        <v>86</v>
      </c>
      <c r="E1435" s="123" t="s">
        <v>11</v>
      </c>
      <c r="F1435" s="123" t="s">
        <v>8</v>
      </c>
      <c r="G1435" s="123" t="s">
        <v>9</v>
      </c>
      <c r="H1435" s="124">
        <f>H1436</f>
        <v>0</v>
      </c>
      <c r="I1435" s="123">
        <v>0</v>
      </c>
      <c r="J1435" s="123" t="str">
        <f t="shared" si="239"/>
        <v>0000000000</v>
      </c>
      <c r="K1435" s="132"/>
      <c r="L1435" s="17"/>
      <c r="M1435" s="19">
        <v>1723.26</v>
      </c>
      <c r="N1435" s="19">
        <v>1723.26</v>
      </c>
      <c r="O1435" s="19">
        <v>1723.26</v>
      </c>
      <c r="P1435" s="19">
        <f t="shared" si="251"/>
        <v>-1723.26</v>
      </c>
      <c r="Q1435" s="19" t="e">
        <f>#REF!-N1435</f>
        <v>#REF!</v>
      </c>
      <c r="R1435" s="19" t="e">
        <f>#REF!-O1435</f>
        <v>#REF!</v>
      </c>
      <c r="S1435" s="17" t="str">
        <f t="shared" si="238"/>
        <v>00 0 00 00000000</v>
      </c>
    </row>
    <row r="1436" spans="1:19" s="16" customFormat="1" ht="63">
      <c r="A1436" s="14"/>
      <c r="B1436" s="127" t="s">
        <v>293</v>
      </c>
      <c r="C1436" s="109" t="s">
        <v>783</v>
      </c>
      <c r="D1436" s="108" t="s">
        <v>86</v>
      </c>
      <c r="E1436" s="108" t="s">
        <v>11</v>
      </c>
      <c r="F1436" s="108" t="s">
        <v>294</v>
      </c>
      <c r="G1436" s="108" t="s">
        <v>9</v>
      </c>
      <c r="H1436" s="126">
        <f t="shared" ref="H1436" si="252">H1437</f>
        <v>0</v>
      </c>
      <c r="I1436" s="108">
        <v>400000000</v>
      </c>
      <c r="J1436" s="108" t="str">
        <f t="shared" si="239"/>
        <v>0400000000</v>
      </c>
      <c r="K1436" s="132"/>
      <c r="L1436" s="17"/>
      <c r="M1436" s="20">
        <v>1723.26</v>
      </c>
      <c r="N1436" s="20">
        <v>1723.26</v>
      </c>
      <c r="O1436" s="20">
        <v>1723.26</v>
      </c>
      <c r="P1436" s="20">
        <f t="shared" si="251"/>
        <v>-1723.26</v>
      </c>
      <c r="Q1436" s="20" t="e">
        <f>#REF!-N1436</f>
        <v>#REF!</v>
      </c>
      <c r="R1436" s="20" t="e">
        <f>#REF!-O1436</f>
        <v>#REF!</v>
      </c>
      <c r="S1436" s="17" t="str">
        <f t="shared" si="238"/>
        <v>04 0 00 00000000</v>
      </c>
    </row>
    <row r="1437" spans="1:19" s="16" customFormat="1" ht="31.5">
      <c r="A1437" s="14"/>
      <c r="B1437" s="125" t="s">
        <v>766</v>
      </c>
      <c r="C1437" s="109" t="s">
        <v>783</v>
      </c>
      <c r="D1437" s="108" t="s">
        <v>86</v>
      </c>
      <c r="E1437" s="108" t="s">
        <v>11</v>
      </c>
      <c r="F1437" s="108" t="s">
        <v>767</v>
      </c>
      <c r="G1437" s="108" t="s">
        <v>9</v>
      </c>
      <c r="H1437" s="126">
        <f>H1440</f>
        <v>0</v>
      </c>
      <c r="I1437" s="108">
        <v>410000000</v>
      </c>
      <c r="J1437" s="108" t="str">
        <f t="shared" si="239"/>
        <v>0410000000</v>
      </c>
      <c r="K1437" s="132"/>
      <c r="L1437" s="17"/>
      <c r="M1437" s="20">
        <v>1723.26</v>
      </c>
      <c r="N1437" s="20">
        <v>1723.26</v>
      </c>
      <c r="O1437" s="20">
        <v>1723.26</v>
      </c>
      <c r="P1437" s="20">
        <f t="shared" si="251"/>
        <v>-1723.26</v>
      </c>
      <c r="Q1437" s="20" t="e">
        <f>#REF!-N1437</f>
        <v>#REF!</v>
      </c>
      <c r="R1437" s="20" t="e">
        <f>#REF!-O1437</f>
        <v>#REF!</v>
      </c>
      <c r="S1437" s="17" t="str">
        <f t="shared" si="238"/>
        <v>04 1 00 00000000</v>
      </c>
    </row>
    <row r="1438" spans="1:19" s="16" customFormat="1" ht="47.25">
      <c r="A1438" s="14"/>
      <c r="B1438" s="140" t="s">
        <v>793</v>
      </c>
      <c r="C1438" s="130" t="s">
        <v>783</v>
      </c>
      <c r="D1438" s="131" t="s">
        <v>86</v>
      </c>
      <c r="E1438" s="131" t="s">
        <v>11</v>
      </c>
      <c r="F1438" s="131" t="s">
        <v>769</v>
      </c>
      <c r="G1438" s="131" t="s">
        <v>9</v>
      </c>
      <c r="H1438" s="105">
        <f t="shared" ref="H1438:H1439" si="253">H1439</f>
        <v>0</v>
      </c>
      <c r="I1438" s="131">
        <v>410100000</v>
      </c>
      <c r="J1438" s="131" t="str">
        <f t="shared" si="239"/>
        <v>0410100000</v>
      </c>
      <c r="K1438" s="132"/>
      <c r="L1438" s="17"/>
      <c r="M1438" s="26">
        <v>1723.26</v>
      </c>
      <c r="N1438" s="26">
        <v>1723.26</v>
      </c>
      <c r="O1438" s="26">
        <v>1723.26</v>
      </c>
      <c r="P1438" s="26">
        <f t="shared" si="251"/>
        <v>-1723.26</v>
      </c>
      <c r="Q1438" s="26" t="e">
        <f>#REF!-N1438</f>
        <v>#REF!</v>
      </c>
      <c r="R1438" s="26" t="e">
        <f>#REF!-O1438</f>
        <v>#REF!</v>
      </c>
      <c r="S1438" s="17" t="str">
        <f t="shared" si="238"/>
        <v>04 1 01 00000000</v>
      </c>
    </row>
    <row r="1439" spans="1:19" s="16" customFormat="1" ht="31.5">
      <c r="A1439" s="14"/>
      <c r="B1439" s="127" t="s">
        <v>770</v>
      </c>
      <c r="C1439" s="109" t="s">
        <v>783</v>
      </c>
      <c r="D1439" s="108" t="s">
        <v>86</v>
      </c>
      <c r="E1439" s="108" t="s">
        <v>11</v>
      </c>
      <c r="F1439" s="108" t="s">
        <v>771</v>
      </c>
      <c r="G1439" s="108" t="s">
        <v>9</v>
      </c>
      <c r="H1439" s="126">
        <f t="shared" si="253"/>
        <v>0</v>
      </c>
      <c r="I1439" s="108">
        <v>410120190</v>
      </c>
      <c r="J1439" s="108" t="str">
        <f t="shared" si="239"/>
        <v>0410120190</v>
      </c>
      <c r="K1439" s="132"/>
      <c r="L1439" s="17"/>
      <c r="M1439" s="20">
        <v>1723.26</v>
      </c>
      <c r="N1439" s="20">
        <v>1723.26</v>
      </c>
      <c r="O1439" s="20">
        <v>1723.26</v>
      </c>
      <c r="P1439" s="20">
        <f t="shared" si="251"/>
        <v>-1723.26</v>
      </c>
      <c r="Q1439" s="20" t="e">
        <f>#REF!-N1439</f>
        <v>#REF!</v>
      </c>
      <c r="R1439" s="20" t="e">
        <f>#REF!-O1439</f>
        <v>#REF!</v>
      </c>
      <c r="S1439" s="17" t="str">
        <f t="shared" si="238"/>
        <v>04 1 01 20190000</v>
      </c>
    </row>
    <row r="1440" spans="1:19" s="16" customFormat="1" ht="31.5">
      <c r="A1440" s="14"/>
      <c r="B1440" s="125" t="s">
        <v>28</v>
      </c>
      <c r="C1440" s="109" t="s">
        <v>783</v>
      </c>
      <c r="D1440" s="108" t="s">
        <v>86</v>
      </c>
      <c r="E1440" s="108" t="s">
        <v>11</v>
      </c>
      <c r="F1440" s="108" t="s">
        <v>771</v>
      </c>
      <c r="G1440" s="108" t="s">
        <v>29</v>
      </c>
      <c r="H1440" s="126">
        <f>SUM(H1441:H1442)</f>
        <v>0</v>
      </c>
      <c r="I1440" s="108">
        <v>410120190</v>
      </c>
      <c r="J1440" s="108" t="str">
        <f t="shared" si="239"/>
        <v>0410120190</v>
      </c>
      <c r="K1440" s="132"/>
      <c r="L1440" s="17"/>
      <c r="M1440" s="20">
        <v>1723.26</v>
      </c>
      <c r="N1440" s="20">
        <v>1723.26</v>
      </c>
      <c r="O1440" s="20">
        <v>1723.26</v>
      </c>
      <c r="P1440" s="20">
        <f t="shared" si="251"/>
        <v>-1723.26</v>
      </c>
      <c r="Q1440" s="20" t="e">
        <f>#REF!-N1440</f>
        <v>#REF!</v>
      </c>
      <c r="R1440" s="20" t="e">
        <f>#REF!-O1440</f>
        <v>#REF!</v>
      </c>
      <c r="S1440" s="17" t="str">
        <f t="shared" si="238"/>
        <v>04 1 01 20190240</v>
      </c>
    </row>
    <row r="1441" spans="1:19" s="16" customFormat="1" ht="47.25">
      <c r="A1441" s="14"/>
      <c r="B1441" s="127" t="s">
        <v>772</v>
      </c>
      <c r="C1441" s="109" t="s">
        <v>783</v>
      </c>
      <c r="D1441" s="108" t="s">
        <v>86</v>
      </c>
      <c r="E1441" s="108" t="s">
        <v>11</v>
      </c>
      <c r="F1441" s="108" t="s">
        <v>771</v>
      </c>
      <c r="G1441" s="108" t="s">
        <v>773</v>
      </c>
      <c r="H1441" s="126"/>
      <c r="I1441" s="108">
        <v>410120190</v>
      </c>
      <c r="J1441" s="108" t="str">
        <f t="shared" si="239"/>
        <v>0410120190</v>
      </c>
      <c r="K1441" s="304" t="str">
        <f t="shared" ref="K1441:K1442" si="254">C1441&amp;D1441&amp;E1441&amp;J1441&amp;G1441</f>
        <v>61805010410120190243</v>
      </c>
      <c r="L1441" s="17"/>
      <c r="M1441" s="20"/>
      <c r="N1441" s="20"/>
      <c r="O1441" s="20"/>
      <c r="P1441" s="20"/>
      <c r="Q1441" s="20"/>
      <c r="R1441" s="20"/>
      <c r="S1441" s="17"/>
    </row>
    <row r="1442" spans="1:19" s="16" customFormat="1" ht="15.75">
      <c r="A1442" s="14"/>
      <c r="B1442" s="125" t="s">
        <v>30</v>
      </c>
      <c r="C1442" s="109" t="s">
        <v>783</v>
      </c>
      <c r="D1442" s="108" t="s">
        <v>86</v>
      </c>
      <c r="E1442" s="108" t="s">
        <v>11</v>
      </c>
      <c r="F1442" s="108" t="s">
        <v>771</v>
      </c>
      <c r="G1442" s="108" t="s">
        <v>31</v>
      </c>
      <c r="H1442" s="126"/>
      <c r="I1442" s="108">
        <v>410120190</v>
      </c>
      <c r="J1442" s="108" t="str">
        <f t="shared" si="239"/>
        <v>0410120190</v>
      </c>
      <c r="K1442" s="304" t="str">
        <f t="shared" si="254"/>
        <v>61805010410120190244</v>
      </c>
      <c r="L1442" s="17"/>
      <c r="M1442" s="20"/>
      <c r="N1442" s="20"/>
      <c r="O1442" s="20"/>
      <c r="P1442" s="20"/>
      <c r="Q1442" s="20"/>
      <c r="R1442" s="20"/>
      <c r="S1442" s="17"/>
    </row>
    <row r="1443" spans="1:19" s="16" customFormat="1" ht="15.75">
      <c r="A1443" s="14"/>
      <c r="B1443" s="121" t="s">
        <v>306</v>
      </c>
      <c r="C1443" s="122" t="s">
        <v>783</v>
      </c>
      <c r="D1443" s="123" t="s">
        <v>86</v>
      </c>
      <c r="E1443" s="123" t="s">
        <v>13</v>
      </c>
      <c r="F1443" s="123" t="s">
        <v>8</v>
      </c>
      <c r="G1443" s="123" t="s">
        <v>9</v>
      </c>
      <c r="H1443" s="124">
        <f>H1444+H1468</f>
        <v>0</v>
      </c>
      <c r="I1443" s="123">
        <v>0</v>
      </c>
      <c r="J1443" s="123" t="str">
        <f t="shared" si="239"/>
        <v>0000000000</v>
      </c>
      <c r="K1443" s="132"/>
      <c r="L1443" s="17"/>
      <c r="M1443" s="19">
        <v>28483.64</v>
      </c>
      <c r="N1443" s="19">
        <v>17483.64</v>
      </c>
      <c r="O1443" s="19">
        <v>17483.64</v>
      </c>
      <c r="P1443" s="19">
        <f t="shared" ref="P1443:P1448" si="255">H1443-M1443</f>
        <v>-28483.64</v>
      </c>
      <c r="Q1443" s="19" t="e">
        <f>#REF!-N1443</f>
        <v>#REF!</v>
      </c>
      <c r="R1443" s="19" t="e">
        <f>#REF!-O1443</f>
        <v>#REF!</v>
      </c>
      <c r="S1443" s="17" t="str">
        <f t="shared" si="238"/>
        <v>00 0 00 00000000</v>
      </c>
    </row>
    <row r="1444" spans="1:19" s="16" customFormat="1" ht="63">
      <c r="A1444" s="14"/>
      <c r="B1444" s="127" t="s">
        <v>293</v>
      </c>
      <c r="C1444" s="109" t="s">
        <v>783</v>
      </c>
      <c r="D1444" s="108" t="s">
        <v>86</v>
      </c>
      <c r="E1444" s="108" t="s">
        <v>13</v>
      </c>
      <c r="F1444" s="108" t="s">
        <v>294</v>
      </c>
      <c r="G1444" s="108" t="s">
        <v>9</v>
      </c>
      <c r="H1444" s="126">
        <f t="shared" ref="H1444:H1445" si="256">H1445</f>
        <v>0</v>
      </c>
      <c r="I1444" s="108">
        <v>400000000</v>
      </c>
      <c r="J1444" s="108" t="str">
        <f t="shared" si="239"/>
        <v>0400000000</v>
      </c>
      <c r="K1444" s="132"/>
      <c r="L1444" s="17"/>
      <c r="M1444" s="20">
        <v>26483.64</v>
      </c>
      <c r="N1444" s="20">
        <v>17483.64</v>
      </c>
      <c r="O1444" s="20">
        <v>17483.64</v>
      </c>
      <c r="P1444" s="20">
        <f t="shared" si="255"/>
        <v>-26483.64</v>
      </c>
      <c r="Q1444" s="20" t="e">
        <f>#REF!-N1444</f>
        <v>#REF!</v>
      </c>
      <c r="R1444" s="20" t="e">
        <f>#REF!-O1444</f>
        <v>#REF!</v>
      </c>
      <c r="S1444" s="17" t="str">
        <f t="shared" si="238"/>
        <v>04 0 00 00000000</v>
      </c>
    </row>
    <row r="1445" spans="1:19" s="16" customFormat="1" ht="31.5">
      <c r="A1445" s="14"/>
      <c r="B1445" s="125" t="s">
        <v>307</v>
      </c>
      <c r="C1445" s="109" t="s">
        <v>783</v>
      </c>
      <c r="D1445" s="108" t="s">
        <v>86</v>
      </c>
      <c r="E1445" s="108" t="s">
        <v>13</v>
      </c>
      <c r="F1445" s="108" t="s">
        <v>308</v>
      </c>
      <c r="G1445" s="108" t="s">
        <v>9</v>
      </c>
      <c r="H1445" s="126">
        <f t="shared" si="256"/>
        <v>0</v>
      </c>
      <c r="I1445" s="108">
        <v>430000000</v>
      </c>
      <c r="J1445" s="108" t="str">
        <f t="shared" si="239"/>
        <v>0430000000</v>
      </c>
      <c r="K1445" s="132"/>
      <c r="L1445" s="17"/>
      <c r="M1445" s="20">
        <v>26483.64</v>
      </c>
      <c r="N1445" s="20">
        <v>17483.64</v>
      </c>
      <c r="O1445" s="20">
        <v>17483.64</v>
      </c>
      <c r="P1445" s="20">
        <f t="shared" si="255"/>
        <v>-26483.64</v>
      </c>
      <c r="Q1445" s="20" t="e">
        <f>#REF!-N1445</f>
        <v>#REF!</v>
      </c>
      <c r="R1445" s="20" t="e">
        <f>#REF!-O1445</f>
        <v>#REF!</v>
      </c>
      <c r="S1445" s="17" t="str">
        <f t="shared" si="238"/>
        <v>04 3 00 00000000</v>
      </c>
    </row>
    <row r="1446" spans="1:19" s="16" customFormat="1" ht="31.5">
      <c r="A1446" s="14"/>
      <c r="B1446" s="307" t="s">
        <v>309</v>
      </c>
      <c r="C1446" s="130" t="s">
        <v>783</v>
      </c>
      <c r="D1446" s="131" t="s">
        <v>86</v>
      </c>
      <c r="E1446" s="131" t="s">
        <v>13</v>
      </c>
      <c r="F1446" s="108" t="s">
        <v>310</v>
      </c>
      <c r="G1446" s="131" t="s">
        <v>9</v>
      </c>
      <c r="H1446" s="105">
        <f>H1447+H1450+H1453+H1456+H1462</f>
        <v>0</v>
      </c>
      <c r="I1446" s="108">
        <v>430400000</v>
      </c>
      <c r="J1446" s="108" t="str">
        <f t="shared" si="239"/>
        <v>0430400000</v>
      </c>
      <c r="K1446" s="132"/>
      <c r="L1446" s="17"/>
      <c r="M1446" s="26">
        <v>26483.64</v>
      </c>
      <c r="N1446" s="26">
        <v>17483.64</v>
      </c>
      <c r="O1446" s="26">
        <v>17483.64</v>
      </c>
      <c r="P1446" s="26">
        <f t="shared" si="255"/>
        <v>-26483.64</v>
      </c>
      <c r="Q1446" s="26" t="e">
        <f>#REF!-N1446</f>
        <v>#REF!</v>
      </c>
      <c r="R1446" s="26" t="e">
        <f>#REF!-O1446</f>
        <v>#REF!</v>
      </c>
      <c r="S1446" s="17" t="str">
        <f t="shared" si="238"/>
        <v>04 3 04 00000000</v>
      </c>
    </row>
    <row r="1447" spans="1:19" s="16" customFormat="1" ht="31.5">
      <c r="A1447" s="14"/>
      <c r="B1447" s="125" t="s">
        <v>542</v>
      </c>
      <c r="C1447" s="109" t="s">
        <v>783</v>
      </c>
      <c r="D1447" s="108" t="s">
        <v>86</v>
      </c>
      <c r="E1447" s="108" t="s">
        <v>13</v>
      </c>
      <c r="F1447" s="108" t="s">
        <v>543</v>
      </c>
      <c r="G1447" s="108" t="s">
        <v>9</v>
      </c>
      <c r="H1447" s="126">
        <f>H1448</f>
        <v>0</v>
      </c>
      <c r="I1447" s="108">
        <v>430420300</v>
      </c>
      <c r="J1447" s="108" t="str">
        <f t="shared" si="239"/>
        <v>0430420300</v>
      </c>
      <c r="K1447" s="132"/>
      <c r="L1447" s="17"/>
      <c r="M1447" s="20">
        <v>9545.0499999999993</v>
      </c>
      <c r="N1447" s="20">
        <v>9545.0499999999993</v>
      </c>
      <c r="O1447" s="20">
        <v>9545.0499999999993</v>
      </c>
      <c r="P1447" s="20">
        <f t="shared" si="255"/>
        <v>-9545.0499999999993</v>
      </c>
      <c r="Q1447" s="20" t="e">
        <f>#REF!-N1447</f>
        <v>#REF!</v>
      </c>
      <c r="R1447" s="20" t="e">
        <f>#REF!-O1447</f>
        <v>#REF!</v>
      </c>
      <c r="S1447" s="17" t="str">
        <f t="shared" si="238"/>
        <v>04 3 04 20300000</v>
      </c>
    </row>
    <row r="1448" spans="1:19" s="16" customFormat="1" ht="31.5">
      <c r="A1448" s="14"/>
      <c r="B1448" s="125" t="s">
        <v>28</v>
      </c>
      <c r="C1448" s="109" t="s">
        <v>783</v>
      </c>
      <c r="D1448" s="108" t="s">
        <v>86</v>
      </c>
      <c r="E1448" s="108" t="s">
        <v>13</v>
      </c>
      <c r="F1448" s="108" t="s">
        <v>543</v>
      </c>
      <c r="G1448" s="108" t="s">
        <v>29</v>
      </c>
      <c r="H1448" s="126">
        <f>H1449</f>
        <v>0</v>
      </c>
      <c r="I1448" s="108">
        <v>430420300</v>
      </c>
      <c r="J1448" s="108" t="str">
        <f t="shared" si="239"/>
        <v>0430420300</v>
      </c>
      <c r="K1448" s="132"/>
      <c r="L1448" s="17"/>
      <c r="M1448" s="20">
        <v>9545.0499999999993</v>
      </c>
      <c r="N1448" s="20">
        <v>9545.0499999999993</v>
      </c>
      <c r="O1448" s="20">
        <v>9545.0499999999993</v>
      </c>
      <c r="P1448" s="20">
        <f t="shared" si="255"/>
        <v>-9545.0499999999993</v>
      </c>
      <c r="Q1448" s="20" t="e">
        <f>#REF!-N1448</f>
        <v>#REF!</v>
      </c>
      <c r="R1448" s="20" t="e">
        <f>#REF!-O1448</f>
        <v>#REF!</v>
      </c>
      <c r="S1448" s="17" t="str">
        <f t="shared" si="238"/>
        <v>04 3 04 20300240</v>
      </c>
    </row>
    <row r="1449" spans="1:19" s="16" customFormat="1" ht="15.75">
      <c r="A1449" s="14"/>
      <c r="B1449" s="125" t="s">
        <v>30</v>
      </c>
      <c r="C1449" s="109" t="s">
        <v>783</v>
      </c>
      <c r="D1449" s="108" t="s">
        <v>86</v>
      </c>
      <c r="E1449" s="108" t="s">
        <v>13</v>
      </c>
      <c r="F1449" s="108" t="s">
        <v>543</v>
      </c>
      <c r="G1449" s="108" t="s">
        <v>31</v>
      </c>
      <c r="H1449" s="126"/>
      <c r="I1449" s="108">
        <v>430420300</v>
      </c>
      <c r="J1449" s="108" t="str">
        <f t="shared" ref="J1449:J1513" si="257">TEXT(I1449,"0000000000")</f>
        <v>0430420300</v>
      </c>
      <c r="K1449" s="304" t="str">
        <f>C1449&amp;D1449&amp;E1449&amp;J1449&amp;G1449</f>
        <v>61805030430420300244</v>
      </c>
      <c r="L1449" s="17"/>
      <c r="M1449" s="20"/>
      <c r="N1449" s="20"/>
      <c r="O1449" s="20"/>
      <c r="P1449" s="20"/>
      <c r="Q1449" s="20"/>
      <c r="R1449" s="20"/>
      <c r="S1449" s="17"/>
    </row>
    <row r="1450" spans="1:19" s="16" customFormat="1" ht="31.5">
      <c r="A1450" s="14"/>
      <c r="B1450" s="127" t="s">
        <v>774</v>
      </c>
      <c r="C1450" s="109" t="s">
        <v>783</v>
      </c>
      <c r="D1450" s="131" t="s">
        <v>86</v>
      </c>
      <c r="E1450" s="131" t="s">
        <v>13</v>
      </c>
      <c r="F1450" s="131" t="s">
        <v>775</v>
      </c>
      <c r="G1450" s="131" t="s">
        <v>9</v>
      </c>
      <c r="H1450" s="126">
        <f>H1451</f>
        <v>0</v>
      </c>
      <c r="I1450" s="131">
        <v>430421070</v>
      </c>
      <c r="J1450" s="131" t="str">
        <f t="shared" si="257"/>
        <v>0430421070</v>
      </c>
      <c r="K1450" s="132"/>
      <c r="L1450" s="17"/>
      <c r="M1450" s="20">
        <v>941.72</v>
      </c>
      <c r="N1450" s="20">
        <v>941.72</v>
      </c>
      <c r="O1450" s="20">
        <v>941.72</v>
      </c>
      <c r="P1450" s="20">
        <f>H1450-M1450</f>
        <v>-941.72</v>
      </c>
      <c r="Q1450" s="20" t="e">
        <f>#REF!-N1450</f>
        <v>#REF!</v>
      </c>
      <c r="R1450" s="20" t="e">
        <f>#REF!-O1450</f>
        <v>#REF!</v>
      </c>
      <c r="S1450" s="17" t="str">
        <f t="shared" si="238"/>
        <v>04 3 04 21070000</v>
      </c>
    </row>
    <row r="1451" spans="1:19" s="16" customFormat="1" ht="31.5">
      <c r="A1451" s="14"/>
      <c r="B1451" s="125" t="s">
        <v>28</v>
      </c>
      <c r="C1451" s="109" t="s">
        <v>783</v>
      </c>
      <c r="D1451" s="131" t="s">
        <v>86</v>
      </c>
      <c r="E1451" s="131" t="s">
        <v>13</v>
      </c>
      <c r="F1451" s="131" t="s">
        <v>775</v>
      </c>
      <c r="G1451" s="131" t="s">
        <v>29</v>
      </c>
      <c r="H1451" s="126">
        <f>H1452</f>
        <v>0</v>
      </c>
      <c r="I1451" s="131">
        <v>430421070</v>
      </c>
      <c r="J1451" s="131" t="str">
        <f t="shared" si="257"/>
        <v>0430421070</v>
      </c>
      <c r="K1451" s="132"/>
      <c r="L1451" s="17"/>
      <c r="M1451" s="20">
        <v>941.72</v>
      </c>
      <c r="N1451" s="20">
        <v>941.72</v>
      </c>
      <c r="O1451" s="20">
        <v>941.72</v>
      </c>
      <c r="P1451" s="20">
        <f>H1451-M1451</f>
        <v>-941.72</v>
      </c>
      <c r="Q1451" s="20" t="e">
        <f>#REF!-N1451</f>
        <v>#REF!</v>
      </c>
      <c r="R1451" s="20" t="e">
        <f>#REF!-O1451</f>
        <v>#REF!</v>
      </c>
      <c r="S1451" s="17" t="str">
        <f t="shared" si="238"/>
        <v>04 3 04 21070240</v>
      </c>
    </row>
    <row r="1452" spans="1:19" s="16" customFormat="1" ht="15.75">
      <c r="A1452" s="14"/>
      <c r="B1452" s="125" t="s">
        <v>30</v>
      </c>
      <c r="C1452" s="109" t="s">
        <v>783</v>
      </c>
      <c r="D1452" s="131" t="s">
        <v>86</v>
      </c>
      <c r="E1452" s="131" t="s">
        <v>13</v>
      </c>
      <c r="F1452" s="131" t="s">
        <v>775</v>
      </c>
      <c r="G1452" s="131" t="s">
        <v>31</v>
      </c>
      <c r="H1452" s="126"/>
      <c r="I1452" s="131">
        <v>430421070</v>
      </c>
      <c r="J1452" s="131" t="str">
        <f t="shared" si="257"/>
        <v>0430421070</v>
      </c>
      <c r="K1452" s="304" t="str">
        <f>C1452&amp;D1452&amp;E1452&amp;J1452&amp;G1452</f>
        <v>61805030430421070244</v>
      </c>
      <c r="L1452" s="17"/>
      <c r="M1452" s="20"/>
      <c r="N1452" s="20"/>
      <c r="O1452" s="20"/>
      <c r="P1452" s="20"/>
      <c r="Q1452" s="20"/>
      <c r="R1452" s="20"/>
      <c r="S1452" s="17"/>
    </row>
    <row r="1453" spans="1:19" s="16" customFormat="1" ht="78.75">
      <c r="A1453" s="14" t="s">
        <v>80</v>
      </c>
      <c r="B1453" s="127" t="s">
        <v>776</v>
      </c>
      <c r="C1453" s="130" t="s">
        <v>783</v>
      </c>
      <c r="D1453" s="131" t="s">
        <v>86</v>
      </c>
      <c r="E1453" s="131" t="s">
        <v>13</v>
      </c>
      <c r="F1453" s="108" t="s">
        <v>777</v>
      </c>
      <c r="G1453" s="131" t="s">
        <v>9</v>
      </c>
      <c r="H1453" s="105">
        <f>H1454</f>
        <v>0</v>
      </c>
      <c r="I1453" s="108">
        <v>430421080</v>
      </c>
      <c r="J1453" s="108" t="str">
        <f t="shared" si="257"/>
        <v>0430421080</v>
      </c>
      <c r="K1453" s="132"/>
      <c r="L1453" s="17"/>
      <c r="M1453" s="26">
        <v>15996.87</v>
      </c>
      <c r="N1453" s="26">
        <v>6996.87</v>
      </c>
      <c r="O1453" s="26">
        <v>6996.87</v>
      </c>
      <c r="P1453" s="26">
        <f>H1453-M1453</f>
        <v>-15996.87</v>
      </c>
      <c r="Q1453" s="26" t="e">
        <f>#REF!-N1453</f>
        <v>#REF!</v>
      </c>
      <c r="R1453" s="26" t="e">
        <f>#REF!-O1453</f>
        <v>#REF!</v>
      </c>
      <c r="S1453" s="17" t="str">
        <f t="shared" si="238"/>
        <v>04 3 04 21080000</v>
      </c>
    </row>
    <row r="1454" spans="1:19" s="16" customFormat="1" ht="31.5">
      <c r="A1454" s="14"/>
      <c r="B1454" s="125" t="s">
        <v>28</v>
      </c>
      <c r="C1454" s="109" t="s">
        <v>783</v>
      </c>
      <c r="D1454" s="108" t="s">
        <v>86</v>
      </c>
      <c r="E1454" s="108" t="s">
        <v>13</v>
      </c>
      <c r="F1454" s="108" t="s">
        <v>777</v>
      </c>
      <c r="G1454" s="108" t="s">
        <v>29</v>
      </c>
      <c r="H1454" s="126">
        <f>H1455</f>
        <v>0</v>
      </c>
      <c r="I1454" s="108">
        <v>430421080</v>
      </c>
      <c r="J1454" s="108" t="str">
        <f t="shared" si="257"/>
        <v>0430421080</v>
      </c>
      <c r="K1454" s="132"/>
      <c r="L1454" s="17"/>
      <c r="M1454" s="20">
        <v>15996.87</v>
      </c>
      <c r="N1454" s="20">
        <v>6996.87</v>
      </c>
      <c r="O1454" s="20">
        <v>6996.87</v>
      </c>
      <c r="P1454" s="20">
        <f>H1454-M1454</f>
        <v>-15996.87</v>
      </c>
      <c r="Q1454" s="20" t="e">
        <f>#REF!-N1454</f>
        <v>#REF!</v>
      </c>
      <c r="R1454" s="20" t="e">
        <f>#REF!-O1454</f>
        <v>#REF!</v>
      </c>
      <c r="S1454" s="17" t="str">
        <f t="shared" si="238"/>
        <v>04 3 04 21080240</v>
      </c>
    </row>
    <row r="1455" spans="1:19" s="16" customFormat="1" ht="15.75">
      <c r="A1455" s="14"/>
      <c r="B1455" s="125" t="s">
        <v>30</v>
      </c>
      <c r="C1455" s="109" t="s">
        <v>783</v>
      </c>
      <c r="D1455" s="108" t="s">
        <v>86</v>
      </c>
      <c r="E1455" s="108" t="s">
        <v>13</v>
      </c>
      <c r="F1455" s="108" t="s">
        <v>777</v>
      </c>
      <c r="G1455" s="108" t="s">
        <v>31</v>
      </c>
      <c r="H1455" s="126"/>
      <c r="I1455" s="108">
        <v>430421080</v>
      </c>
      <c r="J1455" s="108" t="str">
        <f t="shared" si="257"/>
        <v>0430421080</v>
      </c>
      <c r="K1455" s="304" t="str">
        <f>C1455&amp;D1455&amp;E1455&amp;J1455&amp;G1455</f>
        <v>61805030430421080244</v>
      </c>
      <c r="L1455" s="17"/>
      <c r="M1455" s="20"/>
      <c r="N1455" s="20"/>
      <c r="O1455" s="20"/>
      <c r="P1455" s="20"/>
      <c r="Q1455" s="20"/>
      <c r="R1455" s="20"/>
      <c r="S1455" s="17"/>
    </row>
    <row r="1456" spans="1:19" s="16" customFormat="1" ht="47.25">
      <c r="A1456" s="14"/>
      <c r="B1456" s="125" t="s">
        <v>1043</v>
      </c>
      <c r="C1456" s="109" t="s">
        <v>783</v>
      </c>
      <c r="D1456" s="108" t="s">
        <v>86</v>
      </c>
      <c r="E1456" s="108" t="s">
        <v>13</v>
      </c>
      <c r="F1456" s="131" t="s">
        <v>1056</v>
      </c>
      <c r="G1456" s="131" t="s">
        <v>9</v>
      </c>
      <c r="H1456" s="126">
        <f>H1460</f>
        <v>0</v>
      </c>
      <c r="I1456" s="131" t="s">
        <v>1231</v>
      </c>
      <c r="J1456" s="131" t="str">
        <f t="shared" si="257"/>
        <v>04304G6420</v>
      </c>
      <c r="K1456" s="132"/>
      <c r="L1456" s="17"/>
      <c r="M1456" s="20"/>
      <c r="N1456" s="20"/>
      <c r="O1456" s="20"/>
      <c r="P1456" s="20"/>
      <c r="Q1456" s="20"/>
      <c r="R1456" s="20"/>
      <c r="S1456" s="17"/>
    </row>
    <row r="1457" spans="1:19" s="16" customFormat="1" ht="15.75">
      <c r="A1457" s="14"/>
      <c r="B1457" s="132" t="s">
        <v>1045</v>
      </c>
      <c r="C1457" s="109"/>
      <c r="D1457" s="108"/>
      <c r="E1457" s="108"/>
      <c r="F1457" s="131"/>
      <c r="G1457" s="131"/>
      <c r="H1457" s="126"/>
      <c r="I1457" s="131"/>
      <c r="J1457" s="131" t="str">
        <f t="shared" si="257"/>
        <v>0000000000</v>
      </c>
      <c r="K1457" s="17"/>
      <c r="L1457" s="17"/>
      <c r="M1457" s="20"/>
      <c r="N1457" s="20"/>
      <c r="O1457" s="20"/>
      <c r="P1457" s="20"/>
      <c r="Q1457" s="20"/>
      <c r="R1457" s="20"/>
      <c r="S1457" s="17"/>
    </row>
    <row r="1458" spans="1:19" s="16" customFormat="1" ht="15.75">
      <c r="A1458" s="14"/>
      <c r="B1458" s="125" t="s">
        <v>1046</v>
      </c>
      <c r="C1458" s="109" t="s">
        <v>783</v>
      </c>
      <c r="D1458" s="108" t="s">
        <v>86</v>
      </c>
      <c r="E1458" s="108" t="s">
        <v>13</v>
      </c>
      <c r="F1458" s="131" t="s">
        <v>1056</v>
      </c>
      <c r="G1458" s="131" t="s">
        <v>9</v>
      </c>
      <c r="H1458" s="126">
        <v>301000</v>
      </c>
      <c r="I1458" s="131" t="s">
        <v>1231</v>
      </c>
      <c r="J1458" s="131" t="str">
        <f t="shared" si="257"/>
        <v>04304G6420</v>
      </c>
      <c r="K1458" s="132"/>
      <c r="L1458" s="17"/>
      <c r="M1458" s="20"/>
      <c r="N1458" s="20"/>
      <c r="O1458" s="20"/>
      <c r="P1458" s="20"/>
      <c r="Q1458" s="20"/>
      <c r="R1458" s="20"/>
      <c r="S1458" s="17"/>
    </row>
    <row r="1459" spans="1:19" s="16" customFormat="1" ht="15.75">
      <c r="A1459" s="14"/>
      <c r="B1459" s="125" t="s">
        <v>1047</v>
      </c>
      <c r="C1459" s="109" t="s">
        <v>783</v>
      </c>
      <c r="D1459" s="108" t="s">
        <v>86</v>
      </c>
      <c r="E1459" s="108" t="s">
        <v>13</v>
      </c>
      <c r="F1459" s="131" t="s">
        <v>1056</v>
      </c>
      <c r="G1459" s="131" t="s">
        <v>9</v>
      </c>
      <c r="H1459" s="126">
        <v>1200000</v>
      </c>
      <c r="I1459" s="131" t="s">
        <v>1231</v>
      </c>
      <c r="J1459" s="131" t="str">
        <f t="shared" si="257"/>
        <v>04304G6420</v>
      </c>
      <c r="K1459" s="132"/>
      <c r="L1459" s="17"/>
      <c r="M1459" s="20"/>
      <c r="N1459" s="20"/>
      <c r="O1459" s="20"/>
      <c r="P1459" s="20"/>
      <c r="Q1459" s="20"/>
      <c r="R1459" s="20"/>
      <c r="S1459" s="17"/>
    </row>
    <row r="1460" spans="1:19" s="16" customFormat="1" ht="31.5">
      <c r="A1460" s="14"/>
      <c r="B1460" s="125" t="s">
        <v>28</v>
      </c>
      <c r="C1460" s="109" t="s">
        <v>783</v>
      </c>
      <c r="D1460" s="108" t="s">
        <v>86</v>
      </c>
      <c r="E1460" s="108" t="s">
        <v>13</v>
      </c>
      <c r="F1460" s="131" t="s">
        <v>1056</v>
      </c>
      <c r="G1460" s="131" t="s">
        <v>29</v>
      </c>
      <c r="H1460" s="126">
        <f>H1461</f>
        <v>0</v>
      </c>
      <c r="I1460" s="131" t="s">
        <v>1231</v>
      </c>
      <c r="J1460" s="131" t="str">
        <f t="shared" si="257"/>
        <v>04304G6420</v>
      </c>
      <c r="K1460" s="132"/>
      <c r="L1460" s="17"/>
      <c r="M1460" s="20"/>
      <c r="N1460" s="20"/>
      <c r="O1460" s="20"/>
      <c r="P1460" s="20"/>
      <c r="Q1460" s="20"/>
      <c r="R1460" s="20"/>
      <c r="S1460" s="17"/>
    </row>
    <row r="1461" spans="1:19" s="16" customFormat="1" ht="15.75">
      <c r="A1461" s="14"/>
      <c r="B1461" s="125" t="s">
        <v>30</v>
      </c>
      <c r="C1461" s="109" t="s">
        <v>783</v>
      </c>
      <c r="D1461" s="108" t="s">
        <v>86</v>
      </c>
      <c r="E1461" s="108" t="s">
        <v>13</v>
      </c>
      <c r="F1461" s="131" t="s">
        <v>1056</v>
      </c>
      <c r="G1461" s="131" t="s">
        <v>31</v>
      </c>
      <c r="H1461" s="126"/>
      <c r="I1461" s="131" t="s">
        <v>1231</v>
      </c>
      <c r="J1461" s="131" t="str">
        <f t="shared" si="257"/>
        <v>04304G6420</v>
      </c>
      <c r="K1461" s="304" t="str">
        <f>C1461&amp;D1461&amp;E1461&amp;J1461&amp;G1461</f>
        <v>618050304304G6420244</v>
      </c>
      <c r="L1461" s="17"/>
      <c r="M1461" s="20"/>
      <c r="N1461" s="20"/>
      <c r="O1461" s="20"/>
      <c r="P1461" s="20"/>
      <c r="Q1461" s="20"/>
      <c r="R1461" s="20"/>
      <c r="S1461" s="17"/>
    </row>
    <row r="1462" spans="1:19" s="16" customFormat="1" ht="47.25">
      <c r="A1462" s="14"/>
      <c r="B1462" s="127" t="s">
        <v>1048</v>
      </c>
      <c r="C1462" s="109" t="s">
        <v>783</v>
      </c>
      <c r="D1462" s="108" t="s">
        <v>86</v>
      </c>
      <c r="E1462" s="108" t="s">
        <v>13</v>
      </c>
      <c r="F1462" s="131" t="s">
        <v>1057</v>
      </c>
      <c r="G1462" s="131" t="s">
        <v>9</v>
      </c>
      <c r="H1462" s="126">
        <f>H1466</f>
        <v>0</v>
      </c>
      <c r="I1462" s="131" t="s">
        <v>1232</v>
      </c>
      <c r="J1462" s="131" t="str">
        <f t="shared" si="257"/>
        <v>04304S6420</v>
      </c>
      <c r="K1462" s="132"/>
      <c r="L1462" s="17"/>
      <c r="M1462" s="20"/>
      <c r="N1462" s="20"/>
      <c r="O1462" s="20"/>
      <c r="P1462" s="20"/>
      <c r="Q1462" s="20"/>
      <c r="R1462" s="20"/>
      <c r="S1462" s="17"/>
    </row>
    <row r="1463" spans="1:19" s="16" customFormat="1" ht="15.75">
      <c r="A1463" s="14"/>
      <c r="B1463" s="132" t="s">
        <v>1045</v>
      </c>
      <c r="C1463" s="109"/>
      <c r="D1463" s="108"/>
      <c r="E1463" s="108"/>
      <c r="F1463" s="131"/>
      <c r="G1463" s="131"/>
      <c r="H1463" s="126"/>
      <c r="I1463" s="131"/>
      <c r="J1463" s="131" t="str">
        <f t="shared" si="257"/>
        <v>0000000000</v>
      </c>
      <c r="K1463" s="17"/>
      <c r="L1463" s="17"/>
      <c r="M1463" s="20"/>
      <c r="N1463" s="20"/>
      <c r="O1463" s="20"/>
      <c r="P1463" s="20"/>
      <c r="Q1463" s="20"/>
      <c r="R1463" s="20"/>
      <c r="S1463" s="17"/>
    </row>
    <row r="1464" spans="1:19" s="16" customFormat="1" ht="15.75">
      <c r="A1464" s="14"/>
      <c r="B1464" s="125" t="s">
        <v>1050</v>
      </c>
      <c r="C1464" s="109" t="s">
        <v>783</v>
      </c>
      <c r="D1464" s="108" t="s">
        <v>86</v>
      </c>
      <c r="E1464" s="108" t="s">
        <v>13</v>
      </c>
      <c r="F1464" s="131" t="s">
        <v>1057</v>
      </c>
      <c r="G1464" s="131" t="s">
        <v>9</v>
      </c>
      <c r="H1464" s="126">
        <v>2705000</v>
      </c>
      <c r="I1464" s="131" t="s">
        <v>1232</v>
      </c>
      <c r="J1464" s="131" t="str">
        <f t="shared" si="257"/>
        <v>04304S6420</v>
      </c>
      <c r="K1464" s="132"/>
      <c r="L1464" s="17"/>
      <c r="M1464" s="20"/>
      <c r="N1464" s="20"/>
      <c r="O1464" s="20"/>
      <c r="P1464" s="20"/>
      <c r="Q1464" s="20"/>
      <c r="R1464" s="20"/>
      <c r="S1464" s="17"/>
    </row>
    <row r="1465" spans="1:19" s="16" customFormat="1" ht="15.75">
      <c r="A1465" s="14"/>
      <c r="B1465" s="125" t="s">
        <v>1051</v>
      </c>
      <c r="C1465" s="109" t="s">
        <v>783</v>
      </c>
      <c r="D1465" s="108" t="s">
        <v>86</v>
      </c>
      <c r="E1465" s="108" t="s">
        <v>13</v>
      </c>
      <c r="F1465" s="131" t="s">
        <v>1057</v>
      </c>
      <c r="G1465" s="131" t="s">
        <v>9</v>
      </c>
      <c r="H1465" s="126">
        <v>5994000</v>
      </c>
      <c r="I1465" s="131" t="s">
        <v>1232</v>
      </c>
      <c r="J1465" s="131" t="str">
        <f t="shared" si="257"/>
        <v>04304S6420</v>
      </c>
      <c r="K1465" s="132"/>
      <c r="L1465" s="17"/>
      <c r="M1465" s="20"/>
      <c r="N1465" s="20"/>
      <c r="O1465" s="20"/>
      <c r="P1465" s="20"/>
      <c r="Q1465" s="20"/>
      <c r="R1465" s="20"/>
      <c r="S1465" s="17"/>
    </row>
    <row r="1466" spans="1:19" s="16" customFormat="1" ht="31.5">
      <c r="A1466" s="14"/>
      <c r="B1466" s="125" t="s">
        <v>28</v>
      </c>
      <c r="C1466" s="109" t="s">
        <v>783</v>
      </c>
      <c r="D1466" s="108" t="s">
        <v>86</v>
      </c>
      <c r="E1466" s="108" t="s">
        <v>13</v>
      </c>
      <c r="F1466" s="131" t="s">
        <v>1057</v>
      </c>
      <c r="G1466" s="131" t="s">
        <v>29</v>
      </c>
      <c r="H1466" s="126">
        <f>H1467</f>
        <v>0</v>
      </c>
      <c r="I1466" s="131" t="s">
        <v>1232</v>
      </c>
      <c r="J1466" s="131" t="str">
        <f t="shared" si="257"/>
        <v>04304S6420</v>
      </c>
      <c r="K1466" s="132"/>
      <c r="L1466" s="17"/>
      <c r="M1466" s="20"/>
      <c r="N1466" s="20"/>
      <c r="O1466" s="20"/>
      <c r="P1466" s="20"/>
      <c r="Q1466" s="20"/>
      <c r="R1466" s="20"/>
      <c r="S1466" s="17"/>
    </row>
    <row r="1467" spans="1:19" s="16" customFormat="1" ht="15.75">
      <c r="A1467" s="14"/>
      <c r="B1467" s="125" t="s">
        <v>30</v>
      </c>
      <c r="C1467" s="109" t="s">
        <v>783</v>
      </c>
      <c r="D1467" s="108" t="s">
        <v>86</v>
      </c>
      <c r="E1467" s="108" t="s">
        <v>13</v>
      </c>
      <c r="F1467" s="131" t="s">
        <v>1057</v>
      </c>
      <c r="G1467" s="131" t="s">
        <v>31</v>
      </c>
      <c r="H1467" s="126"/>
      <c r="I1467" s="131" t="s">
        <v>1232</v>
      </c>
      <c r="J1467" s="131" t="str">
        <f t="shared" si="257"/>
        <v>04304S6420</v>
      </c>
      <c r="K1467" s="304" t="str">
        <f>C1467&amp;D1467&amp;E1467&amp;J1467&amp;G1467</f>
        <v>618050304304S6420244</v>
      </c>
      <c r="L1467" s="17"/>
      <c r="M1467" s="20"/>
      <c r="N1467" s="20"/>
      <c r="O1467" s="20"/>
      <c r="P1467" s="20"/>
      <c r="Q1467" s="20"/>
      <c r="R1467" s="20"/>
      <c r="S1467" s="17"/>
    </row>
    <row r="1468" spans="1:19" s="16" customFormat="1" ht="63">
      <c r="A1468" s="14"/>
      <c r="B1468" s="140" t="s">
        <v>87</v>
      </c>
      <c r="C1468" s="109" t="s">
        <v>783</v>
      </c>
      <c r="D1468" s="131" t="s">
        <v>86</v>
      </c>
      <c r="E1468" s="131" t="s">
        <v>13</v>
      </c>
      <c r="F1468" s="131" t="s">
        <v>88</v>
      </c>
      <c r="G1468" s="131" t="s">
        <v>9</v>
      </c>
      <c r="H1468" s="105">
        <f>H1469</f>
        <v>0</v>
      </c>
      <c r="I1468" s="131">
        <v>9800000000</v>
      </c>
      <c r="J1468" s="131" t="str">
        <f t="shared" si="257"/>
        <v>9800000000</v>
      </c>
      <c r="K1468" s="132"/>
      <c r="L1468" s="17"/>
      <c r="M1468" s="26">
        <v>2000</v>
      </c>
      <c r="N1468" s="26">
        <v>0</v>
      </c>
      <c r="O1468" s="26">
        <v>0</v>
      </c>
      <c r="P1468" s="26">
        <f>H1468-M1468</f>
        <v>-2000</v>
      </c>
      <c r="Q1468" s="26" t="e">
        <f>#REF!-N1468</f>
        <v>#REF!</v>
      </c>
      <c r="R1468" s="26" t="e">
        <f>#REF!-O1468</f>
        <v>#REF!</v>
      </c>
      <c r="S1468" s="17" t="str">
        <f t="shared" si="238"/>
        <v>98 0 00 00000000</v>
      </c>
    </row>
    <row r="1469" spans="1:19" s="16" customFormat="1" ht="15.75">
      <c r="A1469" s="14"/>
      <c r="B1469" s="140" t="s">
        <v>89</v>
      </c>
      <c r="C1469" s="109" t="s">
        <v>783</v>
      </c>
      <c r="D1469" s="131" t="s">
        <v>86</v>
      </c>
      <c r="E1469" s="131" t="s">
        <v>13</v>
      </c>
      <c r="F1469" s="131" t="s">
        <v>90</v>
      </c>
      <c r="G1469" s="131" t="s">
        <v>9</v>
      </c>
      <c r="H1469" s="105">
        <f>H1470</f>
        <v>0</v>
      </c>
      <c r="I1469" s="131">
        <v>9810000000</v>
      </c>
      <c r="J1469" s="131" t="str">
        <f t="shared" si="257"/>
        <v>9810000000</v>
      </c>
      <c r="K1469" s="132"/>
      <c r="L1469" s="17"/>
      <c r="M1469" s="26">
        <v>2000</v>
      </c>
      <c r="N1469" s="26">
        <v>0</v>
      </c>
      <c r="O1469" s="26">
        <v>0</v>
      </c>
      <c r="P1469" s="26">
        <f>H1469-M1469</f>
        <v>-2000</v>
      </c>
      <c r="Q1469" s="26" t="e">
        <f>#REF!-N1469</f>
        <v>#REF!</v>
      </c>
      <c r="R1469" s="26" t="e">
        <f>#REF!-O1469</f>
        <v>#REF!</v>
      </c>
      <c r="S1469" s="17" t="str">
        <f t="shared" si="238"/>
        <v>98 1 00 00000000</v>
      </c>
    </row>
    <row r="1470" spans="1:19" s="16" customFormat="1" ht="31.5">
      <c r="A1470" s="14"/>
      <c r="B1470" s="125" t="s">
        <v>778</v>
      </c>
      <c r="C1470" s="109" t="s">
        <v>783</v>
      </c>
      <c r="D1470" s="131" t="s">
        <v>86</v>
      </c>
      <c r="E1470" s="131" t="s">
        <v>13</v>
      </c>
      <c r="F1470" s="131" t="s">
        <v>779</v>
      </c>
      <c r="G1470" s="131" t="s">
        <v>9</v>
      </c>
      <c r="H1470" s="105">
        <f>H1471</f>
        <v>0</v>
      </c>
      <c r="I1470" s="131">
        <v>9810021450</v>
      </c>
      <c r="J1470" s="131" t="str">
        <f t="shared" si="257"/>
        <v>9810021450</v>
      </c>
      <c r="K1470" s="132"/>
      <c r="L1470" s="17"/>
      <c r="M1470" s="26">
        <v>2000</v>
      </c>
      <c r="N1470" s="26">
        <v>0</v>
      </c>
      <c r="O1470" s="26">
        <v>0</v>
      </c>
      <c r="P1470" s="26">
        <f>H1470-M1470</f>
        <v>-2000</v>
      </c>
      <c r="Q1470" s="26" t="e">
        <f>#REF!-N1470</f>
        <v>#REF!</v>
      </c>
      <c r="R1470" s="26" t="e">
        <f>#REF!-O1470</f>
        <v>#REF!</v>
      </c>
      <c r="S1470" s="17" t="str">
        <f t="shared" si="238"/>
        <v>98 1 00 21450000</v>
      </c>
    </row>
    <row r="1471" spans="1:19" s="16" customFormat="1" ht="31.5">
      <c r="A1471" s="14"/>
      <c r="B1471" s="125" t="s">
        <v>28</v>
      </c>
      <c r="C1471" s="109" t="s">
        <v>783</v>
      </c>
      <c r="D1471" s="131" t="s">
        <v>86</v>
      </c>
      <c r="E1471" s="131" t="s">
        <v>13</v>
      </c>
      <c r="F1471" s="131" t="s">
        <v>779</v>
      </c>
      <c r="G1471" s="131" t="s">
        <v>29</v>
      </c>
      <c r="H1471" s="126">
        <f>H1472</f>
        <v>0</v>
      </c>
      <c r="I1471" s="131">
        <v>9810021450</v>
      </c>
      <c r="J1471" s="131" t="str">
        <f t="shared" si="257"/>
        <v>9810021450</v>
      </c>
      <c r="K1471" s="132"/>
      <c r="L1471" s="17"/>
      <c r="M1471" s="26">
        <v>2000</v>
      </c>
      <c r="N1471" s="26">
        <v>0</v>
      </c>
      <c r="O1471" s="26">
        <v>0</v>
      </c>
      <c r="P1471" s="26">
        <f>H1471-M1471</f>
        <v>-2000</v>
      </c>
      <c r="Q1471" s="26" t="e">
        <f>#REF!-N1471</f>
        <v>#REF!</v>
      </c>
      <c r="R1471" s="26" t="e">
        <f>#REF!-O1471</f>
        <v>#REF!</v>
      </c>
      <c r="S1471" s="17" t="str">
        <f t="shared" si="238"/>
        <v>98 1 00 21450240</v>
      </c>
    </row>
    <row r="1472" spans="1:19" s="16" customFormat="1" ht="15.75">
      <c r="A1472" s="14"/>
      <c r="B1472" s="125" t="s">
        <v>30</v>
      </c>
      <c r="C1472" s="109" t="s">
        <v>783</v>
      </c>
      <c r="D1472" s="131" t="s">
        <v>86</v>
      </c>
      <c r="E1472" s="131" t="s">
        <v>13</v>
      </c>
      <c r="F1472" s="131" t="s">
        <v>779</v>
      </c>
      <c r="G1472" s="131" t="s">
        <v>31</v>
      </c>
      <c r="H1472" s="126"/>
      <c r="I1472" s="131">
        <v>9810021450</v>
      </c>
      <c r="J1472" s="131" t="str">
        <f t="shared" si="257"/>
        <v>9810021450</v>
      </c>
      <c r="K1472" s="304" t="str">
        <f>C1472&amp;D1472&amp;E1472&amp;J1472&amp;G1472</f>
        <v>61805039810021450244</v>
      </c>
      <c r="L1472" s="17"/>
      <c r="M1472" s="26"/>
      <c r="N1472" s="26"/>
      <c r="O1472" s="26"/>
      <c r="P1472" s="26"/>
      <c r="Q1472" s="26"/>
      <c r="R1472" s="26"/>
      <c r="S1472" s="17"/>
    </row>
    <row r="1473" spans="1:19" s="16" customFormat="1" ht="15.75">
      <c r="A1473" s="14"/>
      <c r="B1473" s="117" t="s">
        <v>237</v>
      </c>
      <c r="C1473" s="118" t="s">
        <v>783</v>
      </c>
      <c r="D1473" s="119" t="s">
        <v>238</v>
      </c>
      <c r="E1473" s="119" t="s">
        <v>7</v>
      </c>
      <c r="F1473" s="119" t="s">
        <v>8</v>
      </c>
      <c r="G1473" s="119" t="s">
        <v>9</v>
      </c>
      <c r="H1473" s="120">
        <f t="shared" ref="H1473:H1476" si="258">H1474</f>
        <v>0</v>
      </c>
      <c r="I1473" s="119">
        <v>0</v>
      </c>
      <c r="J1473" s="119" t="str">
        <f t="shared" si="257"/>
        <v>0000000000</v>
      </c>
      <c r="K1473" s="132"/>
      <c r="L1473" s="17"/>
      <c r="M1473" s="18">
        <v>1480</v>
      </c>
      <c r="N1473" s="18">
        <v>1480</v>
      </c>
      <c r="O1473" s="18">
        <v>1480</v>
      </c>
      <c r="P1473" s="18">
        <f t="shared" ref="P1473:P1479" si="259">H1473-M1473</f>
        <v>-1480</v>
      </c>
      <c r="Q1473" s="18" t="e">
        <f>#REF!-N1473</f>
        <v>#REF!</v>
      </c>
      <c r="R1473" s="18" t="e">
        <f>#REF!-O1473</f>
        <v>#REF!</v>
      </c>
      <c r="S1473" s="17" t="str">
        <f t="shared" si="238"/>
        <v>00 0 00 00000000</v>
      </c>
    </row>
    <row r="1474" spans="1:19" s="16" customFormat="1" ht="15.75">
      <c r="A1474" s="14"/>
      <c r="B1474" s="121" t="s">
        <v>239</v>
      </c>
      <c r="C1474" s="122" t="s">
        <v>783</v>
      </c>
      <c r="D1474" s="123" t="s">
        <v>238</v>
      </c>
      <c r="E1474" s="123" t="s">
        <v>11</v>
      </c>
      <c r="F1474" s="123" t="s">
        <v>8</v>
      </c>
      <c r="G1474" s="123" t="s">
        <v>9</v>
      </c>
      <c r="H1474" s="124">
        <f t="shared" si="258"/>
        <v>0</v>
      </c>
      <c r="I1474" s="123">
        <v>0</v>
      </c>
      <c r="J1474" s="123" t="str">
        <f t="shared" si="257"/>
        <v>0000000000</v>
      </c>
      <c r="K1474" s="132"/>
      <c r="L1474" s="17"/>
      <c r="M1474" s="19">
        <v>1480</v>
      </c>
      <c r="N1474" s="19">
        <v>1480</v>
      </c>
      <c r="O1474" s="19">
        <v>1480</v>
      </c>
      <c r="P1474" s="19">
        <f t="shared" si="259"/>
        <v>-1480</v>
      </c>
      <c r="Q1474" s="19" t="e">
        <f>#REF!-N1474</f>
        <v>#REF!</v>
      </c>
      <c r="R1474" s="19" t="e">
        <f>#REF!-O1474</f>
        <v>#REF!</v>
      </c>
      <c r="S1474" s="17" t="str">
        <f t="shared" si="238"/>
        <v>00 0 00 00000000</v>
      </c>
    </row>
    <row r="1475" spans="1:19" s="16" customFormat="1" ht="31.5">
      <c r="A1475" s="14"/>
      <c r="B1475" s="125" t="s">
        <v>240</v>
      </c>
      <c r="C1475" s="109" t="s">
        <v>783</v>
      </c>
      <c r="D1475" s="108" t="s">
        <v>238</v>
      </c>
      <c r="E1475" s="108" t="s">
        <v>11</v>
      </c>
      <c r="F1475" s="108" t="s">
        <v>241</v>
      </c>
      <c r="G1475" s="108" t="s">
        <v>9</v>
      </c>
      <c r="H1475" s="126">
        <f t="shared" si="258"/>
        <v>0</v>
      </c>
      <c r="I1475" s="108">
        <v>700000000</v>
      </c>
      <c r="J1475" s="108" t="str">
        <f t="shared" si="257"/>
        <v>0700000000</v>
      </c>
      <c r="K1475" s="132"/>
      <c r="L1475" s="17"/>
      <c r="M1475" s="20">
        <v>1480</v>
      </c>
      <c r="N1475" s="20">
        <v>1480</v>
      </c>
      <c r="O1475" s="20">
        <v>1480</v>
      </c>
      <c r="P1475" s="20">
        <f t="shared" si="259"/>
        <v>-1480</v>
      </c>
      <c r="Q1475" s="20" t="e">
        <f>#REF!-N1475</f>
        <v>#REF!</v>
      </c>
      <c r="R1475" s="20" t="e">
        <f>#REF!-O1475</f>
        <v>#REF!</v>
      </c>
      <c r="S1475" s="17" t="str">
        <f t="shared" si="238"/>
        <v>07 0 00 00000000</v>
      </c>
    </row>
    <row r="1476" spans="1:19" s="16" customFormat="1" ht="78.75">
      <c r="A1476" s="14"/>
      <c r="B1476" s="127" t="s">
        <v>384</v>
      </c>
      <c r="C1476" s="109" t="s">
        <v>783</v>
      </c>
      <c r="D1476" s="108" t="s">
        <v>238</v>
      </c>
      <c r="E1476" s="108" t="s">
        <v>11</v>
      </c>
      <c r="F1476" s="108" t="s">
        <v>243</v>
      </c>
      <c r="G1476" s="108" t="s">
        <v>9</v>
      </c>
      <c r="H1476" s="126">
        <f t="shared" si="258"/>
        <v>0</v>
      </c>
      <c r="I1476" s="108">
        <v>710000000</v>
      </c>
      <c r="J1476" s="108" t="str">
        <f t="shared" si="257"/>
        <v>0710000000</v>
      </c>
      <c r="K1476" s="132"/>
      <c r="L1476" s="17"/>
      <c r="M1476" s="20">
        <v>1480</v>
      </c>
      <c r="N1476" s="20">
        <v>1480</v>
      </c>
      <c r="O1476" s="20">
        <v>1480</v>
      </c>
      <c r="P1476" s="20">
        <f t="shared" si="259"/>
        <v>-1480</v>
      </c>
      <c r="Q1476" s="20" t="e">
        <f>#REF!-N1476</f>
        <v>#REF!</v>
      </c>
      <c r="R1476" s="20" t="e">
        <f>#REF!-O1476</f>
        <v>#REF!</v>
      </c>
      <c r="S1476" s="17" t="str">
        <f t="shared" si="238"/>
        <v>07 1 00 00000000</v>
      </c>
    </row>
    <row r="1477" spans="1:19" s="16" customFormat="1" ht="110.25">
      <c r="A1477" s="14"/>
      <c r="B1477" s="140" t="s">
        <v>244</v>
      </c>
      <c r="C1477" s="130" t="s">
        <v>783</v>
      </c>
      <c r="D1477" s="131" t="s">
        <v>238</v>
      </c>
      <c r="E1477" s="131" t="s">
        <v>11</v>
      </c>
      <c r="F1477" s="131" t="s">
        <v>245</v>
      </c>
      <c r="G1477" s="131" t="s">
        <v>9</v>
      </c>
      <c r="H1477" s="105">
        <f>H1478+H1481</f>
        <v>0</v>
      </c>
      <c r="I1477" s="131">
        <v>710100000</v>
      </c>
      <c r="J1477" s="131" t="str">
        <f t="shared" si="257"/>
        <v>0710100000</v>
      </c>
      <c r="K1477" s="132"/>
      <c r="L1477" s="17"/>
      <c r="M1477" s="26">
        <v>1480</v>
      </c>
      <c r="N1477" s="26">
        <v>1480</v>
      </c>
      <c r="O1477" s="26">
        <v>1480</v>
      </c>
      <c r="P1477" s="26">
        <f t="shared" si="259"/>
        <v>-1480</v>
      </c>
      <c r="Q1477" s="26" t="e">
        <f>#REF!-N1477</f>
        <v>#REF!</v>
      </c>
      <c r="R1477" s="26" t="e">
        <f>#REF!-O1477</f>
        <v>#REF!</v>
      </c>
      <c r="S1477" s="17" t="str">
        <f t="shared" si="238"/>
        <v>07 1 01 00000000</v>
      </c>
    </row>
    <row r="1478" spans="1:19" s="16" customFormat="1" ht="31.5">
      <c r="A1478" s="14"/>
      <c r="B1478" s="125" t="s">
        <v>246</v>
      </c>
      <c r="C1478" s="109" t="s">
        <v>783</v>
      </c>
      <c r="D1478" s="108" t="s">
        <v>238</v>
      </c>
      <c r="E1478" s="108" t="s">
        <v>11</v>
      </c>
      <c r="F1478" s="108" t="s">
        <v>247</v>
      </c>
      <c r="G1478" s="108" t="s">
        <v>9</v>
      </c>
      <c r="H1478" s="126">
        <f>H1479</f>
        <v>0</v>
      </c>
      <c r="I1478" s="108">
        <v>710120060</v>
      </c>
      <c r="J1478" s="108" t="str">
        <f t="shared" si="257"/>
        <v>0710120060</v>
      </c>
      <c r="K1478" s="132"/>
      <c r="L1478" s="17"/>
      <c r="M1478" s="20">
        <v>919</v>
      </c>
      <c r="N1478" s="20">
        <v>919</v>
      </c>
      <c r="O1478" s="20">
        <v>919</v>
      </c>
      <c r="P1478" s="20">
        <f t="shared" si="259"/>
        <v>-919</v>
      </c>
      <c r="Q1478" s="20" t="e">
        <f>#REF!-N1478</f>
        <v>#REF!</v>
      </c>
      <c r="R1478" s="20" t="e">
        <f>#REF!-O1478</f>
        <v>#REF!</v>
      </c>
      <c r="S1478" s="17" t="str">
        <f t="shared" si="238"/>
        <v>07 1 01 20060000</v>
      </c>
    </row>
    <row r="1479" spans="1:19" s="16" customFormat="1" ht="31.5">
      <c r="A1479" s="14"/>
      <c r="B1479" s="125" t="s">
        <v>28</v>
      </c>
      <c r="C1479" s="109" t="s">
        <v>783</v>
      </c>
      <c r="D1479" s="108" t="s">
        <v>238</v>
      </c>
      <c r="E1479" s="108" t="s">
        <v>11</v>
      </c>
      <c r="F1479" s="108" t="s">
        <v>247</v>
      </c>
      <c r="G1479" s="108" t="s">
        <v>29</v>
      </c>
      <c r="H1479" s="126">
        <f>H1480</f>
        <v>0</v>
      </c>
      <c r="I1479" s="108">
        <v>710120060</v>
      </c>
      <c r="J1479" s="108" t="str">
        <f t="shared" si="257"/>
        <v>0710120060</v>
      </c>
      <c r="K1479" s="132"/>
      <c r="L1479" s="17"/>
      <c r="M1479" s="20">
        <v>919</v>
      </c>
      <c r="N1479" s="20">
        <v>919</v>
      </c>
      <c r="O1479" s="20">
        <v>919</v>
      </c>
      <c r="P1479" s="20">
        <f t="shared" si="259"/>
        <v>-919</v>
      </c>
      <c r="Q1479" s="20" t="e">
        <f>#REF!-N1479</f>
        <v>#REF!</v>
      </c>
      <c r="R1479" s="20" t="e">
        <f>#REF!-O1479</f>
        <v>#REF!</v>
      </c>
      <c r="S1479" s="17" t="str">
        <f t="shared" si="238"/>
        <v>07 1 01 20060240</v>
      </c>
    </row>
    <row r="1480" spans="1:19" s="16" customFormat="1" ht="15.75">
      <c r="A1480" s="14"/>
      <c r="B1480" s="125" t="s">
        <v>30</v>
      </c>
      <c r="C1480" s="109" t="s">
        <v>783</v>
      </c>
      <c r="D1480" s="108" t="s">
        <v>238</v>
      </c>
      <c r="E1480" s="108" t="s">
        <v>11</v>
      </c>
      <c r="F1480" s="108" t="s">
        <v>247</v>
      </c>
      <c r="G1480" s="108" t="s">
        <v>31</v>
      </c>
      <c r="H1480" s="126"/>
      <c r="I1480" s="108">
        <v>710120060</v>
      </c>
      <c r="J1480" s="108" t="str">
        <f t="shared" si="257"/>
        <v>0710120060</v>
      </c>
      <c r="K1480" s="304" t="str">
        <f>C1480&amp;D1480&amp;E1480&amp;J1480&amp;G1480</f>
        <v>61808010710120060244</v>
      </c>
      <c r="L1480" s="17"/>
      <c r="M1480" s="20"/>
      <c r="N1480" s="20"/>
      <c r="O1480" s="20"/>
      <c r="P1480" s="20"/>
      <c r="Q1480" s="20"/>
      <c r="R1480" s="20"/>
      <c r="S1480" s="17"/>
    </row>
    <row r="1481" spans="1:19" s="16" customFormat="1" ht="47.25">
      <c r="A1481" s="14"/>
      <c r="B1481" s="127" t="s">
        <v>780</v>
      </c>
      <c r="C1481" s="109" t="s">
        <v>783</v>
      </c>
      <c r="D1481" s="108" t="s">
        <v>238</v>
      </c>
      <c r="E1481" s="108" t="s">
        <v>11</v>
      </c>
      <c r="F1481" s="108" t="s">
        <v>781</v>
      </c>
      <c r="G1481" s="108" t="s">
        <v>9</v>
      </c>
      <c r="H1481" s="126">
        <f>H1482</f>
        <v>0</v>
      </c>
      <c r="I1481" s="108">
        <v>710121130</v>
      </c>
      <c r="J1481" s="108" t="str">
        <f t="shared" si="257"/>
        <v>0710121130</v>
      </c>
      <c r="K1481" s="132"/>
      <c r="L1481" s="17"/>
      <c r="M1481" s="20">
        <v>561</v>
      </c>
      <c r="N1481" s="20">
        <v>561</v>
      </c>
      <c r="O1481" s="20">
        <v>561</v>
      </c>
      <c r="P1481" s="20">
        <f>H1481-M1481</f>
        <v>-561</v>
      </c>
      <c r="Q1481" s="20" t="e">
        <f>#REF!-N1481</f>
        <v>#REF!</v>
      </c>
      <c r="R1481" s="20" t="e">
        <f>#REF!-O1481</f>
        <v>#REF!</v>
      </c>
      <c r="S1481" s="17" t="str">
        <f t="shared" si="238"/>
        <v>07 1 01 21130000</v>
      </c>
    </row>
    <row r="1482" spans="1:19" s="16" customFormat="1" ht="31.5">
      <c r="A1482" s="14"/>
      <c r="B1482" s="125" t="s">
        <v>28</v>
      </c>
      <c r="C1482" s="109" t="s">
        <v>783</v>
      </c>
      <c r="D1482" s="108" t="s">
        <v>238</v>
      </c>
      <c r="E1482" s="108" t="s">
        <v>11</v>
      </c>
      <c r="F1482" s="108" t="s">
        <v>781</v>
      </c>
      <c r="G1482" s="108" t="s">
        <v>29</v>
      </c>
      <c r="H1482" s="126">
        <f>H1483</f>
        <v>0</v>
      </c>
      <c r="I1482" s="108">
        <v>710121130</v>
      </c>
      <c r="J1482" s="108" t="str">
        <f t="shared" si="257"/>
        <v>0710121130</v>
      </c>
      <c r="K1482" s="132"/>
      <c r="L1482" s="17"/>
      <c r="M1482" s="20">
        <v>561</v>
      </c>
      <c r="N1482" s="20">
        <v>561</v>
      </c>
      <c r="O1482" s="20">
        <v>561</v>
      </c>
      <c r="P1482" s="20">
        <f>H1482-M1482</f>
        <v>-561</v>
      </c>
      <c r="Q1482" s="20" t="e">
        <f>#REF!-N1482</f>
        <v>#REF!</v>
      </c>
      <c r="R1482" s="20" t="e">
        <f>#REF!-O1482</f>
        <v>#REF!</v>
      </c>
      <c r="S1482" s="17" t="str">
        <f t="shared" si="238"/>
        <v>07 1 01 21130240</v>
      </c>
    </row>
    <row r="1483" spans="1:19" s="16" customFormat="1" ht="15.75">
      <c r="A1483" s="14"/>
      <c r="B1483" s="125" t="s">
        <v>30</v>
      </c>
      <c r="C1483" s="109" t="s">
        <v>783</v>
      </c>
      <c r="D1483" s="108" t="s">
        <v>238</v>
      </c>
      <c r="E1483" s="108" t="s">
        <v>11</v>
      </c>
      <c r="F1483" s="108" t="s">
        <v>781</v>
      </c>
      <c r="G1483" s="108" t="s">
        <v>31</v>
      </c>
      <c r="H1483" s="126"/>
      <c r="I1483" s="108">
        <v>710121130</v>
      </c>
      <c r="J1483" s="108" t="str">
        <f t="shared" si="257"/>
        <v>0710121130</v>
      </c>
      <c r="K1483" s="304" t="str">
        <f>C1483&amp;D1483&amp;E1483&amp;J1483&amp;G1483</f>
        <v>61808010710121130244</v>
      </c>
      <c r="L1483" s="17"/>
      <c r="M1483" s="20"/>
      <c r="N1483" s="20"/>
      <c r="O1483" s="20"/>
      <c r="P1483" s="20"/>
      <c r="Q1483" s="20"/>
      <c r="R1483" s="20"/>
      <c r="S1483" s="17"/>
    </row>
    <row r="1484" spans="1:19" s="16" customFormat="1" ht="15.75">
      <c r="A1484" s="14"/>
      <c r="B1484" s="129"/>
      <c r="C1484" s="109"/>
      <c r="D1484" s="108"/>
      <c r="E1484" s="108"/>
      <c r="F1484" s="108"/>
      <c r="G1484" s="108"/>
      <c r="H1484" s="126"/>
      <c r="I1484" s="108"/>
      <c r="J1484" s="108" t="str">
        <f t="shared" si="257"/>
        <v>0000000000</v>
      </c>
      <c r="K1484" s="17"/>
      <c r="L1484" s="17"/>
      <c r="M1484" s="20"/>
      <c r="N1484" s="20"/>
      <c r="O1484" s="20"/>
      <c r="P1484" s="20">
        <f t="shared" ref="P1484:P1491" si="260">H1484-M1484</f>
        <v>0</v>
      </c>
      <c r="Q1484" s="20" t="e">
        <f>#REF!-N1484</f>
        <v>#REF!</v>
      </c>
      <c r="R1484" s="20" t="e">
        <f>#REF!-O1484</f>
        <v>#REF!</v>
      </c>
      <c r="S1484" s="17" t="str">
        <f t="shared" ref="S1484:S1611" si="261">CONCATENATE(F1484,G1484)</f>
        <v/>
      </c>
    </row>
    <row r="1485" spans="1:19" s="16" customFormat="1" ht="31.5">
      <c r="A1485" s="14"/>
      <c r="B1485" s="67" t="s">
        <v>794</v>
      </c>
      <c r="C1485" s="116" t="s">
        <v>795</v>
      </c>
      <c r="D1485" s="69" t="s">
        <v>7</v>
      </c>
      <c r="E1485" s="69" t="s">
        <v>7</v>
      </c>
      <c r="F1485" s="156" t="s">
        <v>8</v>
      </c>
      <c r="G1485" s="69" t="s">
        <v>9</v>
      </c>
      <c r="H1485" s="70">
        <f>H1486+H1537+H1556+H1597</f>
        <v>0</v>
      </c>
      <c r="I1485" s="156">
        <v>0</v>
      </c>
      <c r="J1485" s="156" t="str">
        <f t="shared" si="257"/>
        <v>0000000000</v>
      </c>
      <c r="K1485" s="132"/>
      <c r="L1485" s="17"/>
      <c r="M1485" s="25">
        <v>194853.65</v>
      </c>
      <c r="N1485" s="25">
        <v>199261.83000000002</v>
      </c>
      <c r="O1485" s="25">
        <v>211041.97000000003</v>
      </c>
      <c r="P1485" s="25">
        <f t="shared" si="260"/>
        <v>-194853.65</v>
      </c>
      <c r="Q1485" s="25" t="e">
        <f>#REF!-N1485</f>
        <v>#REF!</v>
      </c>
      <c r="R1485" s="25" t="e">
        <f>#REF!-O1485</f>
        <v>#REF!</v>
      </c>
      <c r="S1485" s="17" t="str">
        <f t="shared" si="261"/>
        <v>00 0 00 00000000</v>
      </c>
    </row>
    <row r="1486" spans="1:19" s="16" customFormat="1" ht="15.75">
      <c r="A1486" s="14"/>
      <c r="B1486" s="117" t="s">
        <v>10</v>
      </c>
      <c r="C1486" s="118" t="s">
        <v>795</v>
      </c>
      <c r="D1486" s="119" t="s">
        <v>11</v>
      </c>
      <c r="E1486" s="119" t="s">
        <v>7</v>
      </c>
      <c r="F1486" s="119" t="s">
        <v>8</v>
      </c>
      <c r="G1486" s="119" t="s">
        <v>9</v>
      </c>
      <c r="H1486" s="120">
        <f>H1487+H1514</f>
        <v>0</v>
      </c>
      <c r="I1486" s="119">
        <v>0</v>
      </c>
      <c r="J1486" s="119" t="str">
        <f t="shared" si="257"/>
        <v>0000000000</v>
      </c>
      <c r="K1486" s="132"/>
      <c r="L1486" s="17"/>
      <c r="M1486" s="18">
        <v>44007.149999999994</v>
      </c>
      <c r="N1486" s="18">
        <v>43253.189999999995</v>
      </c>
      <c r="O1486" s="18">
        <v>43253.189999999995</v>
      </c>
      <c r="P1486" s="18">
        <f t="shared" si="260"/>
        <v>-44007.149999999994</v>
      </c>
      <c r="Q1486" s="18" t="e">
        <f>#REF!-N1486</f>
        <v>#REF!</v>
      </c>
      <c r="R1486" s="18" t="e">
        <f>#REF!-O1486</f>
        <v>#REF!</v>
      </c>
      <c r="S1486" s="17" t="str">
        <f t="shared" si="261"/>
        <v>00 0 00 00000000</v>
      </c>
    </row>
    <row r="1487" spans="1:19" s="16" customFormat="1" ht="63">
      <c r="A1487" s="14"/>
      <c r="B1487" s="121" t="s">
        <v>72</v>
      </c>
      <c r="C1487" s="122" t="s">
        <v>795</v>
      </c>
      <c r="D1487" s="123" t="s">
        <v>11</v>
      </c>
      <c r="E1487" s="123" t="s">
        <v>73</v>
      </c>
      <c r="F1487" s="123" t="s">
        <v>8</v>
      </c>
      <c r="G1487" s="123" t="s">
        <v>9</v>
      </c>
      <c r="H1487" s="124">
        <f t="shared" ref="H1487:H1488" si="262">H1488</f>
        <v>0</v>
      </c>
      <c r="I1487" s="123">
        <v>0</v>
      </c>
      <c r="J1487" s="123" t="str">
        <f t="shared" si="257"/>
        <v>0000000000</v>
      </c>
      <c r="K1487" s="132"/>
      <c r="L1487" s="17"/>
      <c r="M1487" s="19">
        <v>42676.389999999992</v>
      </c>
      <c r="N1487" s="19">
        <v>42676.389999999992</v>
      </c>
      <c r="O1487" s="19">
        <v>42676.389999999992</v>
      </c>
      <c r="P1487" s="19">
        <f t="shared" si="260"/>
        <v>-42676.389999999992</v>
      </c>
      <c r="Q1487" s="19" t="e">
        <f>#REF!-N1487</f>
        <v>#REF!</v>
      </c>
      <c r="R1487" s="19" t="e">
        <f>#REF!-O1487</f>
        <v>#REF!</v>
      </c>
      <c r="S1487" s="17" t="str">
        <f t="shared" si="261"/>
        <v>00 0 00 00000000</v>
      </c>
    </row>
    <row r="1488" spans="1:19" s="16" customFormat="1" ht="31.5">
      <c r="A1488" s="14"/>
      <c r="B1488" s="125" t="s">
        <v>796</v>
      </c>
      <c r="C1488" s="108" t="s">
        <v>795</v>
      </c>
      <c r="D1488" s="108" t="s">
        <v>11</v>
      </c>
      <c r="E1488" s="108" t="s">
        <v>73</v>
      </c>
      <c r="F1488" s="108" t="s">
        <v>797</v>
      </c>
      <c r="G1488" s="108" t="s">
        <v>9</v>
      </c>
      <c r="H1488" s="126">
        <f t="shared" si="262"/>
        <v>0</v>
      </c>
      <c r="I1488" s="108">
        <v>8200000000</v>
      </c>
      <c r="J1488" s="108" t="str">
        <f t="shared" si="257"/>
        <v>8200000000</v>
      </c>
      <c r="K1488" s="132"/>
      <c r="L1488" s="17"/>
      <c r="M1488" s="20">
        <v>42676.389999999992</v>
      </c>
      <c r="N1488" s="20">
        <v>42676.389999999992</v>
      </c>
      <c r="O1488" s="20">
        <v>42676.389999999992</v>
      </c>
      <c r="P1488" s="20">
        <f t="shared" si="260"/>
        <v>-42676.389999999992</v>
      </c>
      <c r="Q1488" s="20" t="e">
        <f>#REF!-N1488</f>
        <v>#REF!</v>
      </c>
      <c r="R1488" s="20" t="e">
        <f>#REF!-O1488</f>
        <v>#REF!</v>
      </c>
      <c r="S1488" s="17" t="str">
        <f t="shared" si="261"/>
        <v>82 0 00 00000000</v>
      </c>
    </row>
    <row r="1489" spans="1:19" s="16" customFormat="1" ht="47.25">
      <c r="A1489" s="14"/>
      <c r="B1489" s="125" t="s">
        <v>798</v>
      </c>
      <c r="C1489" s="108" t="s">
        <v>795</v>
      </c>
      <c r="D1489" s="108" t="s">
        <v>11</v>
      </c>
      <c r="E1489" s="108" t="s">
        <v>73</v>
      </c>
      <c r="F1489" s="108" t="s">
        <v>799</v>
      </c>
      <c r="G1489" s="108" t="s">
        <v>9</v>
      </c>
      <c r="H1489" s="105">
        <f>H1511+H1504+H1500+H1490</f>
        <v>0</v>
      </c>
      <c r="I1489" s="108">
        <v>8210000000</v>
      </c>
      <c r="J1489" s="108" t="str">
        <f t="shared" si="257"/>
        <v>8210000000</v>
      </c>
      <c r="K1489" s="132"/>
      <c r="L1489" s="17"/>
      <c r="M1489" s="26">
        <v>42676.389999999992</v>
      </c>
      <c r="N1489" s="26">
        <v>42676.389999999992</v>
      </c>
      <c r="O1489" s="26">
        <v>42676.389999999992</v>
      </c>
      <c r="P1489" s="26">
        <f t="shared" si="260"/>
        <v>-42676.389999999992</v>
      </c>
      <c r="Q1489" s="26" t="e">
        <f>#REF!-N1489</f>
        <v>#REF!</v>
      </c>
      <c r="R1489" s="26" t="e">
        <f>#REF!-O1489</f>
        <v>#REF!</v>
      </c>
      <c r="S1489" s="17" t="str">
        <f t="shared" si="261"/>
        <v>82 1 00 00000000</v>
      </c>
    </row>
    <row r="1490" spans="1:19" s="16" customFormat="1" ht="31.5">
      <c r="A1490" s="14"/>
      <c r="B1490" s="125" t="s">
        <v>18</v>
      </c>
      <c r="C1490" s="108" t="s">
        <v>795</v>
      </c>
      <c r="D1490" s="108" t="s">
        <v>11</v>
      </c>
      <c r="E1490" s="108" t="s">
        <v>73</v>
      </c>
      <c r="F1490" s="108" t="s">
        <v>800</v>
      </c>
      <c r="G1490" s="108" t="s">
        <v>9</v>
      </c>
      <c r="H1490" s="105">
        <f>H1491+H1494+H1496</f>
        <v>0</v>
      </c>
      <c r="I1490" s="108">
        <v>8210010010</v>
      </c>
      <c r="J1490" s="108" t="str">
        <f t="shared" si="257"/>
        <v>8210010010</v>
      </c>
      <c r="K1490" s="132"/>
      <c r="L1490" s="17"/>
      <c r="M1490" s="26">
        <v>5112.3100000000004</v>
      </c>
      <c r="N1490" s="26">
        <v>5112.3100000000004</v>
      </c>
      <c r="O1490" s="26">
        <v>5112.3100000000004</v>
      </c>
      <c r="P1490" s="26">
        <f t="shared" si="260"/>
        <v>-5112.3100000000004</v>
      </c>
      <c r="Q1490" s="26" t="e">
        <f>#REF!-N1490</f>
        <v>#REF!</v>
      </c>
      <c r="R1490" s="26" t="e">
        <f>#REF!-O1490</f>
        <v>#REF!</v>
      </c>
      <c r="S1490" s="17" t="str">
        <f t="shared" si="261"/>
        <v>82 1 00 10010000</v>
      </c>
    </row>
    <row r="1491" spans="1:19" s="50" customFormat="1" ht="31.5">
      <c r="A1491" s="49"/>
      <c r="B1491" s="129" t="s">
        <v>20</v>
      </c>
      <c r="C1491" s="131" t="s">
        <v>795</v>
      </c>
      <c r="D1491" s="131" t="s">
        <v>11</v>
      </c>
      <c r="E1491" s="131" t="s">
        <v>73</v>
      </c>
      <c r="F1491" s="108" t="s">
        <v>800</v>
      </c>
      <c r="G1491" s="131" t="s">
        <v>21</v>
      </c>
      <c r="H1491" s="126">
        <f>SUM(H1492:H1493)</f>
        <v>0</v>
      </c>
      <c r="I1491" s="108">
        <v>8210010010</v>
      </c>
      <c r="J1491" s="108" t="str">
        <f t="shared" si="257"/>
        <v>8210010010</v>
      </c>
      <c r="K1491" s="132"/>
      <c r="L1491" s="17"/>
      <c r="M1491" s="26">
        <v>836.55</v>
      </c>
      <c r="N1491" s="26">
        <v>836.55</v>
      </c>
      <c r="O1491" s="26">
        <v>836.55</v>
      </c>
      <c r="P1491" s="26">
        <f t="shared" si="260"/>
        <v>-836.55</v>
      </c>
      <c r="Q1491" s="26" t="e">
        <f>#REF!-N1491</f>
        <v>#REF!</v>
      </c>
      <c r="R1491" s="26" t="e">
        <f>#REF!-O1491</f>
        <v>#REF!</v>
      </c>
      <c r="S1491" s="17" t="str">
        <f t="shared" si="261"/>
        <v>82 1 00 10010120</v>
      </c>
    </row>
    <row r="1492" spans="1:19" s="23" customFormat="1" ht="47.25">
      <c r="A1492" s="21"/>
      <c r="B1492" s="127" t="s">
        <v>22</v>
      </c>
      <c r="C1492" s="131" t="s">
        <v>795</v>
      </c>
      <c r="D1492" s="131" t="s">
        <v>11</v>
      </c>
      <c r="E1492" s="131" t="s">
        <v>73</v>
      </c>
      <c r="F1492" s="108" t="s">
        <v>800</v>
      </c>
      <c r="G1492" s="108" t="s">
        <v>23</v>
      </c>
      <c r="H1492" s="126"/>
      <c r="I1492" s="108">
        <v>8210010010</v>
      </c>
      <c r="J1492" s="108" t="str">
        <f t="shared" si="257"/>
        <v>8210010010</v>
      </c>
      <c r="K1492" s="304" t="str">
        <f t="shared" ref="K1492:K1493" si="263">C1492&amp;D1492&amp;E1492&amp;J1492&amp;G1492</f>
        <v>61901048210010010122</v>
      </c>
      <c r="L1492" s="24"/>
      <c r="M1492" s="22"/>
      <c r="N1492" s="22"/>
      <c r="O1492" s="22"/>
      <c r="P1492" s="22"/>
      <c r="Q1492" s="22"/>
      <c r="R1492" s="22"/>
      <c r="S1492" s="24"/>
    </row>
    <row r="1493" spans="1:19" s="23" customFormat="1" ht="63">
      <c r="A1493" s="21"/>
      <c r="B1493" s="127" t="s">
        <v>26</v>
      </c>
      <c r="C1493" s="131" t="s">
        <v>795</v>
      </c>
      <c r="D1493" s="131" t="s">
        <v>11</v>
      </c>
      <c r="E1493" s="131" t="s">
        <v>73</v>
      </c>
      <c r="F1493" s="108" t="s">
        <v>800</v>
      </c>
      <c r="G1493" s="108" t="s">
        <v>27</v>
      </c>
      <c r="H1493" s="126"/>
      <c r="I1493" s="108">
        <v>8210010010</v>
      </c>
      <c r="J1493" s="108" t="str">
        <f t="shared" si="257"/>
        <v>8210010010</v>
      </c>
      <c r="K1493" s="304" t="str">
        <f t="shared" si="263"/>
        <v>61901048210010010129</v>
      </c>
      <c r="L1493" s="24"/>
      <c r="M1493" s="22"/>
      <c r="N1493" s="22"/>
      <c r="O1493" s="22"/>
      <c r="P1493" s="22"/>
      <c r="Q1493" s="22"/>
      <c r="R1493" s="22"/>
      <c r="S1493" s="24"/>
    </row>
    <row r="1494" spans="1:19" s="16" customFormat="1" ht="31.5">
      <c r="A1494" s="14"/>
      <c r="B1494" s="125" t="s">
        <v>28</v>
      </c>
      <c r="C1494" s="131" t="s">
        <v>795</v>
      </c>
      <c r="D1494" s="131" t="s">
        <v>11</v>
      </c>
      <c r="E1494" s="131" t="s">
        <v>73</v>
      </c>
      <c r="F1494" s="108" t="s">
        <v>800</v>
      </c>
      <c r="G1494" s="108" t="s">
        <v>29</v>
      </c>
      <c r="H1494" s="126">
        <f>H1495</f>
        <v>0</v>
      </c>
      <c r="I1494" s="108">
        <v>8210010010</v>
      </c>
      <c r="J1494" s="108" t="str">
        <f t="shared" si="257"/>
        <v>8210010010</v>
      </c>
      <c r="K1494" s="132"/>
      <c r="L1494" s="17"/>
      <c r="M1494" s="26">
        <v>3935.76</v>
      </c>
      <c r="N1494" s="26">
        <v>3935.76</v>
      </c>
      <c r="O1494" s="26">
        <v>3935.76</v>
      </c>
      <c r="P1494" s="26">
        <f>H1494-M1494</f>
        <v>-3935.76</v>
      </c>
      <c r="Q1494" s="26" t="e">
        <f>#REF!-N1494</f>
        <v>#REF!</v>
      </c>
      <c r="R1494" s="26" t="e">
        <f>#REF!-O1494</f>
        <v>#REF!</v>
      </c>
      <c r="S1494" s="17" t="str">
        <f t="shared" si="261"/>
        <v>82 1 00 10010240</v>
      </c>
    </row>
    <row r="1495" spans="1:19" s="16" customFormat="1" ht="15.75">
      <c r="A1495" s="14"/>
      <c r="B1495" s="125" t="s">
        <v>30</v>
      </c>
      <c r="C1495" s="131" t="s">
        <v>795</v>
      </c>
      <c r="D1495" s="131" t="s">
        <v>11</v>
      </c>
      <c r="E1495" s="131" t="s">
        <v>73</v>
      </c>
      <c r="F1495" s="108" t="s">
        <v>800</v>
      </c>
      <c r="G1495" s="108" t="s">
        <v>31</v>
      </c>
      <c r="H1495" s="126"/>
      <c r="I1495" s="108">
        <v>8210010010</v>
      </c>
      <c r="J1495" s="108" t="str">
        <f t="shared" si="257"/>
        <v>8210010010</v>
      </c>
      <c r="K1495" s="304" t="str">
        <f>C1495&amp;D1495&amp;E1495&amp;J1495&amp;G1495</f>
        <v>61901048210010010244</v>
      </c>
      <c r="L1495" s="17"/>
      <c r="M1495" s="26"/>
      <c r="N1495" s="26"/>
      <c r="O1495" s="26"/>
      <c r="P1495" s="26"/>
      <c r="Q1495" s="26"/>
      <c r="R1495" s="26"/>
      <c r="S1495" s="17"/>
    </row>
    <row r="1496" spans="1:19" s="16" customFormat="1" ht="15.75">
      <c r="A1496" s="14"/>
      <c r="B1496" s="125" t="s">
        <v>32</v>
      </c>
      <c r="C1496" s="131" t="s">
        <v>795</v>
      </c>
      <c r="D1496" s="131" t="s">
        <v>11</v>
      </c>
      <c r="E1496" s="131" t="s">
        <v>73</v>
      </c>
      <c r="F1496" s="108" t="s">
        <v>800</v>
      </c>
      <c r="G1496" s="131" t="s">
        <v>33</v>
      </c>
      <c r="H1496" s="126">
        <f>SUM(H1497:H1499)</f>
        <v>0</v>
      </c>
      <c r="I1496" s="108">
        <v>8210010010</v>
      </c>
      <c r="J1496" s="108" t="str">
        <f t="shared" si="257"/>
        <v>8210010010</v>
      </c>
      <c r="K1496" s="132"/>
      <c r="L1496" s="17"/>
      <c r="M1496" s="26">
        <v>340</v>
      </c>
      <c r="N1496" s="26">
        <v>340</v>
      </c>
      <c r="O1496" s="26">
        <v>340</v>
      </c>
      <c r="P1496" s="26">
        <f>H1496-M1496</f>
        <v>-340</v>
      </c>
      <c r="Q1496" s="26" t="e">
        <f>#REF!-N1496</f>
        <v>#REF!</v>
      </c>
      <c r="R1496" s="26" t="e">
        <f>#REF!-O1496</f>
        <v>#REF!</v>
      </c>
      <c r="S1496" s="17" t="str">
        <f t="shared" si="261"/>
        <v>82 1 00 10010850</v>
      </c>
    </row>
    <row r="1497" spans="1:19" s="23" customFormat="1" ht="31.5">
      <c r="A1497" s="21"/>
      <c r="B1497" s="127" t="s">
        <v>34</v>
      </c>
      <c r="C1497" s="131" t="s">
        <v>795</v>
      </c>
      <c r="D1497" s="131" t="s">
        <v>11</v>
      </c>
      <c r="E1497" s="131" t="s">
        <v>73</v>
      </c>
      <c r="F1497" s="108" t="s">
        <v>800</v>
      </c>
      <c r="G1497" s="108" t="s">
        <v>35</v>
      </c>
      <c r="H1497" s="126"/>
      <c r="I1497" s="108">
        <v>8210010010</v>
      </c>
      <c r="J1497" s="108" t="str">
        <f t="shared" si="257"/>
        <v>8210010010</v>
      </c>
      <c r="K1497" s="304" t="str">
        <f t="shared" ref="K1497:K1499" si="264">C1497&amp;D1497&amp;E1497&amp;J1497&amp;G1497</f>
        <v>61901048210010010851</v>
      </c>
      <c r="L1497" s="24"/>
      <c r="M1497" s="22"/>
      <c r="N1497" s="22"/>
      <c r="O1497" s="22"/>
      <c r="P1497" s="22"/>
      <c r="Q1497" s="22"/>
      <c r="R1497" s="22"/>
      <c r="S1497" s="24"/>
    </row>
    <row r="1498" spans="1:19" s="23" customFormat="1" ht="15.75">
      <c r="A1498" s="21"/>
      <c r="B1498" s="127" t="s">
        <v>36</v>
      </c>
      <c r="C1498" s="131" t="s">
        <v>795</v>
      </c>
      <c r="D1498" s="131" t="s">
        <v>11</v>
      </c>
      <c r="E1498" s="131" t="s">
        <v>73</v>
      </c>
      <c r="F1498" s="108" t="s">
        <v>800</v>
      </c>
      <c r="G1498" s="108" t="s">
        <v>37</v>
      </c>
      <c r="H1498" s="126"/>
      <c r="I1498" s="108">
        <v>8210010010</v>
      </c>
      <c r="J1498" s="108" t="str">
        <f t="shared" si="257"/>
        <v>8210010010</v>
      </c>
      <c r="K1498" s="304" t="str">
        <f t="shared" si="264"/>
        <v>61901048210010010852</v>
      </c>
      <c r="L1498" s="24"/>
      <c r="M1498" s="22"/>
      <c r="N1498" s="22"/>
      <c r="O1498" s="22"/>
      <c r="P1498" s="22"/>
      <c r="Q1498" s="22"/>
      <c r="R1498" s="22"/>
      <c r="S1498" s="24"/>
    </row>
    <row r="1499" spans="1:19" s="23" customFormat="1" ht="15.75">
      <c r="A1499" s="21"/>
      <c r="B1499" s="127" t="s">
        <v>77</v>
      </c>
      <c r="C1499" s="131" t="s">
        <v>795</v>
      </c>
      <c r="D1499" s="131" t="s">
        <v>11</v>
      </c>
      <c r="E1499" s="131" t="s">
        <v>73</v>
      </c>
      <c r="F1499" s="108" t="s">
        <v>800</v>
      </c>
      <c r="G1499" s="108" t="s">
        <v>78</v>
      </c>
      <c r="H1499" s="126"/>
      <c r="I1499" s="108">
        <v>8210010010</v>
      </c>
      <c r="J1499" s="108" t="str">
        <f t="shared" si="257"/>
        <v>8210010010</v>
      </c>
      <c r="K1499" s="304" t="str">
        <f t="shared" si="264"/>
        <v>61901048210010010853</v>
      </c>
      <c r="L1499" s="24"/>
      <c r="M1499" s="22"/>
      <c r="N1499" s="22"/>
      <c r="O1499" s="22"/>
      <c r="P1499" s="22"/>
      <c r="Q1499" s="22"/>
      <c r="R1499" s="22"/>
      <c r="S1499" s="24"/>
    </row>
    <row r="1500" spans="1:19" s="47" customFormat="1" ht="31.5">
      <c r="A1500" s="46"/>
      <c r="B1500" s="129" t="s">
        <v>789</v>
      </c>
      <c r="C1500" s="131" t="s">
        <v>795</v>
      </c>
      <c r="D1500" s="131" t="s">
        <v>11</v>
      </c>
      <c r="E1500" s="131" t="s">
        <v>73</v>
      </c>
      <c r="F1500" s="131" t="s">
        <v>801</v>
      </c>
      <c r="G1500" s="131" t="s">
        <v>9</v>
      </c>
      <c r="H1500" s="105">
        <f>H1501</f>
        <v>0</v>
      </c>
      <c r="I1500" s="131">
        <v>8210010020</v>
      </c>
      <c r="J1500" s="131" t="str">
        <f t="shared" si="257"/>
        <v>8210010020</v>
      </c>
      <c r="K1500" s="132"/>
      <c r="L1500" s="17"/>
      <c r="M1500" s="26">
        <v>35958.199999999997</v>
      </c>
      <c r="N1500" s="26">
        <v>35958.199999999997</v>
      </c>
      <c r="O1500" s="26">
        <v>35958.199999999997</v>
      </c>
      <c r="P1500" s="26">
        <f>H1500-M1500</f>
        <v>-35958.199999999997</v>
      </c>
      <c r="Q1500" s="26" t="e">
        <f>#REF!-N1500</f>
        <v>#REF!</v>
      </c>
      <c r="R1500" s="26" t="e">
        <f>#REF!-O1500</f>
        <v>#REF!</v>
      </c>
      <c r="S1500" s="17" t="str">
        <f t="shared" si="261"/>
        <v>82 1 00 10020000</v>
      </c>
    </row>
    <row r="1501" spans="1:19" s="50" customFormat="1" ht="31.5">
      <c r="A1501" s="49"/>
      <c r="B1501" s="129" t="s">
        <v>20</v>
      </c>
      <c r="C1501" s="131" t="s">
        <v>795</v>
      </c>
      <c r="D1501" s="131" t="s">
        <v>11</v>
      </c>
      <c r="E1501" s="131" t="s">
        <v>73</v>
      </c>
      <c r="F1501" s="131" t="s">
        <v>801</v>
      </c>
      <c r="G1501" s="131" t="s">
        <v>21</v>
      </c>
      <c r="H1501" s="126">
        <f>SUM(H1502:H1503)</f>
        <v>0</v>
      </c>
      <c r="I1501" s="131">
        <v>8210010020</v>
      </c>
      <c r="J1501" s="131" t="str">
        <f t="shared" si="257"/>
        <v>8210010020</v>
      </c>
      <c r="K1501" s="132"/>
      <c r="L1501" s="17"/>
      <c r="M1501" s="26">
        <v>35958.199999999997</v>
      </c>
      <c r="N1501" s="26">
        <v>35958.199999999997</v>
      </c>
      <c r="O1501" s="26">
        <v>35958.199999999997</v>
      </c>
      <c r="P1501" s="26">
        <f>H1501-M1501</f>
        <v>-35958.199999999997</v>
      </c>
      <c r="Q1501" s="26" t="e">
        <f>#REF!-N1501</f>
        <v>#REF!</v>
      </c>
      <c r="R1501" s="26" t="e">
        <f>#REF!-O1501</f>
        <v>#REF!</v>
      </c>
      <c r="S1501" s="17" t="str">
        <f t="shared" si="261"/>
        <v>82 1 00 10020120</v>
      </c>
    </row>
    <row r="1502" spans="1:19" s="23" customFormat="1" ht="31.5">
      <c r="A1502" s="21"/>
      <c r="B1502" s="127" t="s">
        <v>40</v>
      </c>
      <c r="C1502" s="131" t="s">
        <v>795</v>
      </c>
      <c r="D1502" s="131" t="s">
        <v>11</v>
      </c>
      <c r="E1502" s="131" t="s">
        <v>73</v>
      </c>
      <c r="F1502" s="131" t="s">
        <v>801</v>
      </c>
      <c r="G1502" s="108" t="s">
        <v>41</v>
      </c>
      <c r="H1502" s="126"/>
      <c r="I1502" s="131">
        <v>8210010020</v>
      </c>
      <c r="J1502" s="131" t="str">
        <f t="shared" si="257"/>
        <v>8210010020</v>
      </c>
      <c r="K1502" s="304" t="str">
        <f t="shared" ref="K1502:K1503" si="265">C1502&amp;D1502&amp;E1502&amp;J1502&amp;G1502</f>
        <v>61901048210010020121</v>
      </c>
      <c r="L1502" s="24"/>
      <c r="M1502" s="22"/>
      <c r="N1502" s="22"/>
      <c r="O1502" s="22"/>
      <c r="P1502" s="22"/>
      <c r="Q1502" s="22"/>
      <c r="R1502" s="22"/>
      <c r="S1502" s="24"/>
    </row>
    <row r="1503" spans="1:19" s="23" customFormat="1" ht="63">
      <c r="A1503" s="21"/>
      <c r="B1503" s="127" t="s">
        <v>26</v>
      </c>
      <c r="C1503" s="131" t="s">
        <v>795</v>
      </c>
      <c r="D1503" s="131" t="s">
        <v>11</v>
      </c>
      <c r="E1503" s="131" t="s">
        <v>73</v>
      </c>
      <c r="F1503" s="131" t="s">
        <v>801</v>
      </c>
      <c r="G1503" s="108" t="s">
        <v>27</v>
      </c>
      <c r="H1503" s="126"/>
      <c r="I1503" s="131">
        <v>8210010020</v>
      </c>
      <c r="J1503" s="131" t="str">
        <f t="shared" si="257"/>
        <v>8210010020</v>
      </c>
      <c r="K1503" s="304" t="str">
        <f t="shared" si="265"/>
        <v>61901048210010020129</v>
      </c>
      <c r="L1503" s="24"/>
      <c r="M1503" s="22"/>
      <c r="N1503" s="22"/>
      <c r="O1503" s="22"/>
      <c r="P1503" s="22"/>
      <c r="Q1503" s="22"/>
      <c r="R1503" s="22"/>
      <c r="S1503" s="24"/>
    </row>
    <row r="1504" spans="1:19" s="47" customFormat="1" ht="63">
      <c r="A1504" s="14" t="s">
        <v>80</v>
      </c>
      <c r="B1504" s="150" t="s">
        <v>488</v>
      </c>
      <c r="C1504" s="131" t="s">
        <v>795</v>
      </c>
      <c r="D1504" s="131" t="s">
        <v>11</v>
      </c>
      <c r="E1504" s="131" t="s">
        <v>73</v>
      </c>
      <c r="F1504" s="131" t="s">
        <v>802</v>
      </c>
      <c r="G1504" s="131" t="s">
        <v>9</v>
      </c>
      <c r="H1504" s="105">
        <f>H1505+H1509</f>
        <v>0</v>
      </c>
      <c r="I1504" s="131">
        <v>8210076200</v>
      </c>
      <c r="J1504" s="131" t="str">
        <f t="shared" si="257"/>
        <v>8210076200</v>
      </c>
      <c r="K1504" s="132"/>
      <c r="L1504" s="17"/>
      <c r="M1504" s="26">
        <v>1534.98</v>
      </c>
      <c r="N1504" s="26">
        <v>1534.98</v>
      </c>
      <c r="O1504" s="26">
        <v>1534.98</v>
      </c>
      <c r="P1504" s="26">
        <f>H1504-M1504</f>
        <v>-1534.98</v>
      </c>
      <c r="Q1504" s="26" t="e">
        <f>#REF!-N1504</f>
        <v>#REF!</v>
      </c>
      <c r="R1504" s="26" t="e">
        <f>#REF!-O1504</f>
        <v>#REF!</v>
      </c>
      <c r="S1504" s="17" t="str">
        <f t="shared" si="261"/>
        <v>82 1 00 76200000</v>
      </c>
    </row>
    <row r="1505" spans="1:19" s="50" customFormat="1" ht="31.5">
      <c r="A1505" s="49"/>
      <c r="B1505" s="129" t="s">
        <v>20</v>
      </c>
      <c r="C1505" s="131" t="s">
        <v>795</v>
      </c>
      <c r="D1505" s="131" t="s">
        <v>11</v>
      </c>
      <c r="E1505" s="131" t="s">
        <v>73</v>
      </c>
      <c r="F1505" s="131" t="s">
        <v>802</v>
      </c>
      <c r="G1505" s="131" t="s">
        <v>21</v>
      </c>
      <c r="H1505" s="126">
        <f>SUM(H1506:H1508)</f>
        <v>0</v>
      </c>
      <c r="I1505" s="131">
        <v>8210076200</v>
      </c>
      <c r="J1505" s="131" t="str">
        <f t="shared" si="257"/>
        <v>8210076200</v>
      </c>
      <c r="K1505" s="132"/>
      <c r="L1505" s="17"/>
      <c r="M1505" s="26">
        <v>1338.68</v>
      </c>
      <c r="N1505" s="26">
        <v>1338.68</v>
      </c>
      <c r="O1505" s="26">
        <v>1338.68</v>
      </c>
      <c r="P1505" s="26">
        <f>H1505-M1505</f>
        <v>-1338.68</v>
      </c>
      <c r="Q1505" s="26" t="e">
        <f>#REF!-N1505</f>
        <v>#REF!</v>
      </c>
      <c r="R1505" s="26" t="e">
        <f>#REF!-O1505</f>
        <v>#REF!</v>
      </c>
      <c r="S1505" s="17" t="str">
        <f t="shared" si="261"/>
        <v>82 1 00 76200120</v>
      </c>
    </row>
    <row r="1506" spans="1:19" s="23" customFormat="1" ht="31.5">
      <c r="A1506" s="21"/>
      <c r="B1506" s="127" t="s">
        <v>40</v>
      </c>
      <c r="C1506" s="131" t="s">
        <v>795</v>
      </c>
      <c r="D1506" s="131" t="s">
        <v>11</v>
      </c>
      <c r="E1506" s="131" t="s">
        <v>73</v>
      </c>
      <c r="F1506" s="131" t="s">
        <v>802</v>
      </c>
      <c r="G1506" s="108" t="s">
        <v>41</v>
      </c>
      <c r="H1506" s="126"/>
      <c r="I1506" s="131">
        <v>8210076200</v>
      </c>
      <c r="J1506" s="131" t="str">
        <f t="shared" si="257"/>
        <v>8210076200</v>
      </c>
      <c r="K1506" s="304" t="str">
        <f t="shared" ref="K1506:K1508" si="266">C1506&amp;D1506&amp;E1506&amp;J1506&amp;G1506</f>
        <v>61901048210076200121</v>
      </c>
      <c r="L1506" s="24"/>
      <c r="M1506" s="22"/>
      <c r="N1506" s="22"/>
      <c r="O1506" s="22"/>
      <c r="P1506" s="22"/>
      <c r="Q1506" s="22"/>
      <c r="R1506" s="22"/>
      <c r="S1506" s="24"/>
    </row>
    <row r="1507" spans="1:19" s="23" customFormat="1" ht="47.25">
      <c r="A1507" s="21"/>
      <c r="B1507" s="127" t="s">
        <v>22</v>
      </c>
      <c r="C1507" s="131" t="s">
        <v>795</v>
      </c>
      <c r="D1507" s="131" t="s">
        <v>11</v>
      </c>
      <c r="E1507" s="131" t="s">
        <v>73</v>
      </c>
      <c r="F1507" s="131" t="s">
        <v>802</v>
      </c>
      <c r="G1507" s="108" t="s">
        <v>23</v>
      </c>
      <c r="H1507" s="126"/>
      <c r="I1507" s="131">
        <v>8210076200</v>
      </c>
      <c r="J1507" s="131" t="str">
        <f t="shared" si="257"/>
        <v>8210076200</v>
      </c>
      <c r="K1507" s="304" t="str">
        <f t="shared" si="266"/>
        <v>61901048210076200122</v>
      </c>
      <c r="L1507" s="24"/>
      <c r="M1507" s="22"/>
      <c r="N1507" s="22"/>
      <c r="O1507" s="22"/>
      <c r="P1507" s="22"/>
      <c r="Q1507" s="22"/>
      <c r="R1507" s="22"/>
      <c r="S1507" s="24"/>
    </row>
    <row r="1508" spans="1:19" s="23" customFormat="1" ht="63">
      <c r="A1508" s="21"/>
      <c r="B1508" s="127" t="s">
        <v>26</v>
      </c>
      <c r="C1508" s="131" t="s">
        <v>795</v>
      </c>
      <c r="D1508" s="131" t="s">
        <v>11</v>
      </c>
      <c r="E1508" s="131" t="s">
        <v>73</v>
      </c>
      <c r="F1508" s="131" t="s">
        <v>802</v>
      </c>
      <c r="G1508" s="108" t="s">
        <v>27</v>
      </c>
      <c r="H1508" s="126"/>
      <c r="I1508" s="131">
        <v>8210076200</v>
      </c>
      <c r="J1508" s="131" t="str">
        <f t="shared" si="257"/>
        <v>8210076200</v>
      </c>
      <c r="K1508" s="304" t="str">
        <f t="shared" si="266"/>
        <v>61901048210076200129</v>
      </c>
      <c r="L1508" s="24"/>
      <c r="M1508" s="22"/>
      <c r="N1508" s="22"/>
      <c r="O1508" s="22"/>
      <c r="P1508" s="22"/>
      <c r="Q1508" s="22"/>
      <c r="R1508" s="22"/>
      <c r="S1508" s="24"/>
    </row>
    <row r="1509" spans="1:19" s="50" customFormat="1" ht="31.5">
      <c r="A1509" s="49"/>
      <c r="B1509" s="125" t="s">
        <v>28</v>
      </c>
      <c r="C1509" s="131" t="s">
        <v>795</v>
      </c>
      <c r="D1509" s="131" t="s">
        <v>11</v>
      </c>
      <c r="E1509" s="131" t="s">
        <v>73</v>
      </c>
      <c r="F1509" s="131" t="s">
        <v>802</v>
      </c>
      <c r="G1509" s="131" t="s">
        <v>29</v>
      </c>
      <c r="H1509" s="126">
        <f>H1510</f>
        <v>0</v>
      </c>
      <c r="I1509" s="131">
        <v>8210076200</v>
      </c>
      <c r="J1509" s="131" t="str">
        <f t="shared" si="257"/>
        <v>8210076200</v>
      </c>
      <c r="K1509" s="132"/>
      <c r="L1509" s="17"/>
      <c r="M1509" s="26">
        <v>196.3</v>
      </c>
      <c r="N1509" s="26">
        <v>196.3</v>
      </c>
      <c r="O1509" s="26">
        <v>196.3</v>
      </c>
      <c r="P1509" s="26">
        <f>H1509-M1509</f>
        <v>-196.3</v>
      </c>
      <c r="Q1509" s="26" t="e">
        <f>#REF!-N1509</f>
        <v>#REF!</v>
      </c>
      <c r="R1509" s="26" t="e">
        <f>#REF!-O1509</f>
        <v>#REF!</v>
      </c>
      <c r="S1509" s="17" t="str">
        <f t="shared" si="261"/>
        <v>82 1 00 76200240</v>
      </c>
    </row>
    <row r="1510" spans="1:19" s="50" customFormat="1" ht="15.75">
      <c r="A1510" s="49"/>
      <c r="B1510" s="125" t="s">
        <v>30</v>
      </c>
      <c r="C1510" s="131" t="s">
        <v>795</v>
      </c>
      <c r="D1510" s="131" t="s">
        <v>11</v>
      </c>
      <c r="E1510" s="131" t="s">
        <v>73</v>
      </c>
      <c r="F1510" s="131" t="s">
        <v>802</v>
      </c>
      <c r="G1510" s="131" t="s">
        <v>31</v>
      </c>
      <c r="H1510" s="126"/>
      <c r="I1510" s="131">
        <v>8210076200</v>
      </c>
      <c r="J1510" s="131" t="str">
        <f t="shared" si="257"/>
        <v>8210076200</v>
      </c>
      <c r="K1510" s="304" t="str">
        <f>C1510&amp;D1510&amp;E1510&amp;J1510&amp;G1510</f>
        <v>61901048210076200244</v>
      </c>
      <c r="L1510" s="299"/>
      <c r="M1510" s="26"/>
      <c r="N1510" s="26"/>
      <c r="O1510" s="26"/>
      <c r="P1510" s="26"/>
      <c r="Q1510" s="26"/>
      <c r="R1510" s="26"/>
      <c r="S1510" s="17"/>
    </row>
    <row r="1511" spans="1:19" s="47" customFormat="1" ht="63">
      <c r="A1511" s="14" t="s">
        <v>80</v>
      </c>
      <c r="B1511" s="129" t="s">
        <v>754</v>
      </c>
      <c r="C1511" s="131" t="s">
        <v>795</v>
      </c>
      <c r="D1511" s="131" t="s">
        <v>11</v>
      </c>
      <c r="E1511" s="131" t="s">
        <v>73</v>
      </c>
      <c r="F1511" s="131" t="s">
        <v>803</v>
      </c>
      <c r="G1511" s="131" t="s">
        <v>9</v>
      </c>
      <c r="H1511" s="105">
        <f>H1512</f>
        <v>0</v>
      </c>
      <c r="I1511" s="131">
        <v>8210076360</v>
      </c>
      <c r="J1511" s="131" t="str">
        <f t="shared" si="257"/>
        <v>8210076360</v>
      </c>
      <c r="K1511" s="132"/>
      <c r="L1511" s="17"/>
      <c r="M1511" s="26">
        <v>70.900000000000006</v>
      </c>
      <c r="N1511" s="26">
        <v>70.900000000000006</v>
      </c>
      <c r="O1511" s="26">
        <v>70.900000000000006</v>
      </c>
      <c r="P1511" s="26">
        <f>H1511-M1511</f>
        <v>-70.900000000000006</v>
      </c>
      <c r="Q1511" s="26" t="e">
        <f>#REF!-N1511</f>
        <v>#REF!</v>
      </c>
      <c r="R1511" s="26" t="e">
        <f>#REF!-O1511</f>
        <v>#REF!</v>
      </c>
      <c r="S1511" s="17" t="str">
        <f t="shared" si="261"/>
        <v>82 1 00 76360000</v>
      </c>
    </row>
    <row r="1512" spans="1:19" s="50" customFormat="1" ht="31.5">
      <c r="A1512" s="49"/>
      <c r="B1512" s="125" t="s">
        <v>28</v>
      </c>
      <c r="C1512" s="131" t="s">
        <v>795</v>
      </c>
      <c r="D1512" s="131" t="s">
        <v>11</v>
      </c>
      <c r="E1512" s="131" t="s">
        <v>73</v>
      </c>
      <c r="F1512" s="131" t="s">
        <v>803</v>
      </c>
      <c r="G1512" s="131" t="s">
        <v>29</v>
      </c>
      <c r="H1512" s="126">
        <f>H1513</f>
        <v>0</v>
      </c>
      <c r="I1512" s="131">
        <v>8210076360</v>
      </c>
      <c r="J1512" s="131" t="str">
        <f t="shared" si="257"/>
        <v>8210076360</v>
      </c>
      <c r="K1512" s="132"/>
      <c r="L1512" s="17"/>
      <c r="M1512" s="26">
        <v>70.900000000000006</v>
      </c>
      <c r="N1512" s="26">
        <v>70.900000000000006</v>
      </c>
      <c r="O1512" s="26">
        <v>70.900000000000006</v>
      </c>
      <c r="P1512" s="26">
        <f>H1512-M1512</f>
        <v>-70.900000000000006</v>
      </c>
      <c r="Q1512" s="26" t="e">
        <f>#REF!-N1512</f>
        <v>#REF!</v>
      </c>
      <c r="R1512" s="26" t="e">
        <f>#REF!-O1512</f>
        <v>#REF!</v>
      </c>
      <c r="S1512" s="17" t="str">
        <f t="shared" si="261"/>
        <v>82 1 00 76360240</v>
      </c>
    </row>
    <row r="1513" spans="1:19" s="50" customFormat="1" ht="15.75">
      <c r="A1513" s="49"/>
      <c r="B1513" s="125" t="s">
        <v>30</v>
      </c>
      <c r="C1513" s="131" t="s">
        <v>795</v>
      </c>
      <c r="D1513" s="131" t="s">
        <v>11</v>
      </c>
      <c r="E1513" s="131" t="s">
        <v>73</v>
      </c>
      <c r="F1513" s="131" t="s">
        <v>803</v>
      </c>
      <c r="G1513" s="131" t="s">
        <v>31</v>
      </c>
      <c r="H1513" s="126"/>
      <c r="I1513" s="131">
        <v>8210076360</v>
      </c>
      <c r="J1513" s="131" t="str">
        <f t="shared" si="257"/>
        <v>8210076360</v>
      </c>
      <c r="K1513" s="304" t="str">
        <f>C1513&amp;D1513&amp;E1513&amp;J1513&amp;G1513</f>
        <v>61901048210076360244</v>
      </c>
      <c r="L1513" s="299"/>
      <c r="M1513" s="26"/>
      <c r="N1513" s="26"/>
      <c r="O1513" s="26"/>
      <c r="P1513" s="26"/>
      <c r="Q1513" s="26"/>
      <c r="R1513" s="26"/>
      <c r="S1513" s="17"/>
    </row>
    <row r="1514" spans="1:19" s="16" customFormat="1" ht="15.75">
      <c r="A1514" s="14"/>
      <c r="B1514" s="157" t="s">
        <v>50</v>
      </c>
      <c r="C1514" s="122" t="s">
        <v>795</v>
      </c>
      <c r="D1514" s="123" t="s">
        <v>11</v>
      </c>
      <c r="E1514" s="123" t="s">
        <v>51</v>
      </c>
      <c r="F1514" s="123" t="s">
        <v>8</v>
      </c>
      <c r="G1514" s="123" t="s">
        <v>9</v>
      </c>
      <c r="H1514" s="124">
        <f>H1515+H1529+H1524</f>
        <v>0</v>
      </c>
      <c r="I1514" s="123">
        <v>0</v>
      </c>
      <c r="J1514" s="123" t="str">
        <f t="shared" ref="J1514:J1577" si="267">TEXT(I1514,"0000000000")</f>
        <v>0000000000</v>
      </c>
      <c r="K1514" s="132"/>
      <c r="L1514" s="17"/>
      <c r="M1514" s="19">
        <v>1330.76</v>
      </c>
      <c r="N1514" s="19">
        <v>576.79999999999995</v>
      </c>
      <c r="O1514" s="19">
        <v>576.79999999999995</v>
      </c>
      <c r="P1514" s="19">
        <f t="shared" ref="P1514:P1519" si="268">H1514-M1514</f>
        <v>-1330.76</v>
      </c>
      <c r="Q1514" s="19" t="e">
        <f>#REF!-N1514</f>
        <v>#REF!</v>
      </c>
      <c r="R1514" s="19" t="e">
        <f>#REF!-O1514</f>
        <v>#REF!</v>
      </c>
      <c r="S1514" s="17" t="str">
        <f t="shared" si="261"/>
        <v>00 0 00 00000000</v>
      </c>
    </row>
    <row r="1515" spans="1:19" s="16" customFormat="1" ht="63">
      <c r="A1515" s="14"/>
      <c r="B1515" s="132" t="s">
        <v>257</v>
      </c>
      <c r="C1515" s="108" t="s">
        <v>795</v>
      </c>
      <c r="D1515" s="108" t="s">
        <v>11</v>
      </c>
      <c r="E1515" s="108" t="s">
        <v>51</v>
      </c>
      <c r="F1515" s="108" t="s">
        <v>258</v>
      </c>
      <c r="G1515" s="108" t="s">
        <v>9</v>
      </c>
      <c r="H1515" s="126">
        <f>H1516</f>
        <v>0</v>
      </c>
      <c r="I1515" s="108">
        <v>1100000000</v>
      </c>
      <c r="J1515" s="108" t="str">
        <f t="shared" si="267"/>
        <v>1100000000</v>
      </c>
      <c r="K1515" s="132"/>
      <c r="L1515" s="17"/>
      <c r="M1515" s="20">
        <v>576.79999999999995</v>
      </c>
      <c r="N1515" s="20">
        <v>576.79999999999995</v>
      </c>
      <c r="O1515" s="20">
        <v>576.79999999999995</v>
      </c>
      <c r="P1515" s="20">
        <f t="shared" si="268"/>
        <v>-576.79999999999995</v>
      </c>
      <c r="Q1515" s="20" t="e">
        <f>#REF!-N1515</f>
        <v>#REF!</v>
      </c>
      <c r="R1515" s="20" t="e">
        <f>#REF!-O1515</f>
        <v>#REF!</v>
      </c>
      <c r="S1515" s="17" t="str">
        <f t="shared" si="261"/>
        <v>11 0 00 00000000</v>
      </c>
    </row>
    <row r="1516" spans="1:19" s="16" customFormat="1" ht="63">
      <c r="A1516" s="14"/>
      <c r="B1516" s="132" t="s">
        <v>259</v>
      </c>
      <c r="C1516" s="108" t="s">
        <v>795</v>
      </c>
      <c r="D1516" s="108" t="s">
        <v>11</v>
      </c>
      <c r="E1516" s="108" t="s">
        <v>51</v>
      </c>
      <c r="F1516" s="108" t="s">
        <v>260</v>
      </c>
      <c r="G1516" s="108" t="s">
        <v>9</v>
      </c>
      <c r="H1516" s="126">
        <f>H1517</f>
        <v>0</v>
      </c>
      <c r="I1516" s="108" t="s">
        <v>1171</v>
      </c>
      <c r="J1516" s="108" t="str">
        <f t="shared" si="267"/>
        <v>11Б0000000</v>
      </c>
      <c r="K1516" s="132"/>
      <c r="L1516" s="17"/>
      <c r="M1516" s="20">
        <v>576.79999999999995</v>
      </c>
      <c r="N1516" s="20">
        <v>576.79999999999995</v>
      </c>
      <c r="O1516" s="20">
        <v>576.79999999999995</v>
      </c>
      <c r="P1516" s="20">
        <f t="shared" si="268"/>
        <v>-576.79999999999995</v>
      </c>
      <c r="Q1516" s="20" t="e">
        <f>#REF!-N1516</f>
        <v>#REF!</v>
      </c>
      <c r="R1516" s="20" t="e">
        <f>#REF!-O1516</f>
        <v>#REF!</v>
      </c>
      <c r="S1516" s="17" t="str">
        <f t="shared" si="261"/>
        <v>11 Б 00 00000000</v>
      </c>
    </row>
    <row r="1517" spans="1:19" s="16" customFormat="1" ht="47.25">
      <c r="A1517" s="14"/>
      <c r="B1517" s="155" t="s">
        <v>261</v>
      </c>
      <c r="C1517" s="108" t="s">
        <v>795</v>
      </c>
      <c r="D1517" s="108" t="s">
        <v>11</v>
      </c>
      <c r="E1517" s="108" t="s">
        <v>51</v>
      </c>
      <c r="F1517" s="108" t="s">
        <v>262</v>
      </c>
      <c r="G1517" s="108" t="s">
        <v>9</v>
      </c>
      <c r="H1517" s="126">
        <f>H1518+H1521</f>
        <v>0</v>
      </c>
      <c r="I1517" s="108" t="s">
        <v>1172</v>
      </c>
      <c r="J1517" s="108" t="str">
        <f t="shared" si="267"/>
        <v>11Б0100000</v>
      </c>
      <c r="K1517" s="132"/>
      <c r="L1517" s="17"/>
      <c r="M1517" s="20">
        <v>576.79999999999995</v>
      </c>
      <c r="N1517" s="20">
        <v>576.79999999999995</v>
      </c>
      <c r="O1517" s="20">
        <v>576.79999999999995</v>
      </c>
      <c r="P1517" s="20">
        <f t="shared" si="268"/>
        <v>-576.79999999999995</v>
      </c>
      <c r="Q1517" s="20" t="e">
        <f>#REF!-N1517</f>
        <v>#REF!</v>
      </c>
      <c r="R1517" s="20" t="e">
        <f>#REF!-O1517</f>
        <v>#REF!</v>
      </c>
      <c r="S1517" s="17" t="str">
        <f t="shared" si="261"/>
        <v>11 Б 01 00000000</v>
      </c>
    </row>
    <row r="1518" spans="1:19" s="16" customFormat="1" ht="31.5">
      <c r="A1518" s="14"/>
      <c r="B1518" s="147" t="s">
        <v>756</v>
      </c>
      <c r="C1518" s="108" t="s">
        <v>795</v>
      </c>
      <c r="D1518" s="108" t="s">
        <v>11</v>
      </c>
      <c r="E1518" s="108" t="s">
        <v>51</v>
      </c>
      <c r="F1518" s="108" t="s">
        <v>757</v>
      </c>
      <c r="G1518" s="108" t="s">
        <v>9</v>
      </c>
      <c r="H1518" s="126">
        <f>H1519</f>
        <v>0</v>
      </c>
      <c r="I1518" s="108" t="s">
        <v>1230</v>
      </c>
      <c r="J1518" s="108" t="str">
        <f t="shared" si="267"/>
        <v>11Б0120840</v>
      </c>
      <c r="K1518" s="132"/>
      <c r="L1518" s="17"/>
      <c r="M1518" s="20">
        <v>476.64</v>
      </c>
      <c r="N1518" s="20">
        <v>476.64</v>
      </c>
      <c r="O1518" s="20">
        <v>476.64</v>
      </c>
      <c r="P1518" s="20">
        <f t="shared" si="268"/>
        <v>-476.64</v>
      </c>
      <c r="Q1518" s="20" t="e">
        <f>#REF!-N1518</f>
        <v>#REF!</v>
      </c>
      <c r="R1518" s="20" t="e">
        <f>#REF!-O1518</f>
        <v>#REF!</v>
      </c>
      <c r="S1518" s="17" t="str">
        <f t="shared" si="261"/>
        <v>11 Б 01 20840000</v>
      </c>
    </row>
    <row r="1519" spans="1:19" s="16" customFormat="1" ht="31.5">
      <c r="A1519" s="14"/>
      <c r="B1519" s="125" t="s">
        <v>28</v>
      </c>
      <c r="C1519" s="108" t="s">
        <v>795</v>
      </c>
      <c r="D1519" s="108" t="s">
        <v>11</v>
      </c>
      <c r="E1519" s="108" t="s">
        <v>51</v>
      </c>
      <c r="F1519" s="108" t="s">
        <v>757</v>
      </c>
      <c r="G1519" s="108" t="s">
        <v>29</v>
      </c>
      <c r="H1519" s="126">
        <f>H1520</f>
        <v>0</v>
      </c>
      <c r="I1519" s="108" t="s">
        <v>1230</v>
      </c>
      <c r="J1519" s="108" t="str">
        <f t="shared" si="267"/>
        <v>11Б0120840</v>
      </c>
      <c r="K1519" s="132"/>
      <c r="L1519" s="17"/>
      <c r="M1519" s="26">
        <v>476.64</v>
      </c>
      <c r="N1519" s="26">
        <v>476.64</v>
      </c>
      <c r="O1519" s="26">
        <v>476.64</v>
      </c>
      <c r="P1519" s="26">
        <f t="shared" si="268"/>
        <v>-476.64</v>
      </c>
      <c r="Q1519" s="26" t="e">
        <f>#REF!-N1519</f>
        <v>#REF!</v>
      </c>
      <c r="R1519" s="26" t="e">
        <f>#REF!-O1519</f>
        <v>#REF!</v>
      </c>
      <c r="S1519" s="17" t="str">
        <f t="shared" si="261"/>
        <v>11 Б 01 20840240</v>
      </c>
    </row>
    <row r="1520" spans="1:19" s="16" customFormat="1" ht="15.75">
      <c r="A1520" s="14"/>
      <c r="B1520" s="125" t="s">
        <v>30</v>
      </c>
      <c r="C1520" s="108" t="s">
        <v>795</v>
      </c>
      <c r="D1520" s="108" t="s">
        <v>11</v>
      </c>
      <c r="E1520" s="108" t="s">
        <v>51</v>
      </c>
      <c r="F1520" s="108" t="s">
        <v>757</v>
      </c>
      <c r="G1520" s="108" t="s">
        <v>31</v>
      </c>
      <c r="H1520" s="126"/>
      <c r="I1520" s="108" t="s">
        <v>1230</v>
      </c>
      <c r="J1520" s="108" t="str">
        <f t="shared" si="267"/>
        <v>11Б0120840</v>
      </c>
      <c r="K1520" s="304" t="str">
        <f>C1520&amp;D1520&amp;E1520&amp;J1520&amp;G1520</f>
        <v>619011311Б0120840244</v>
      </c>
      <c r="L1520" s="17"/>
      <c r="M1520" s="26"/>
      <c r="N1520" s="26"/>
      <c r="O1520" s="26"/>
      <c r="P1520" s="26"/>
      <c r="Q1520" s="26"/>
      <c r="R1520" s="26"/>
      <c r="S1520" s="17"/>
    </row>
    <row r="1521" spans="1:19" s="16" customFormat="1" ht="31.5">
      <c r="A1521" s="14"/>
      <c r="B1521" s="125" t="s">
        <v>267</v>
      </c>
      <c r="C1521" s="108" t="s">
        <v>795</v>
      </c>
      <c r="D1521" s="131" t="s">
        <v>11</v>
      </c>
      <c r="E1521" s="131" t="s">
        <v>51</v>
      </c>
      <c r="F1521" s="14" t="s">
        <v>268</v>
      </c>
      <c r="G1521" s="108" t="s">
        <v>9</v>
      </c>
      <c r="H1521" s="126">
        <f>H1522</f>
        <v>0</v>
      </c>
      <c r="I1521" s="14" t="s">
        <v>1175</v>
      </c>
      <c r="J1521" s="14" t="str">
        <f t="shared" si="267"/>
        <v>11Б0121120</v>
      </c>
      <c r="K1521" s="132"/>
      <c r="L1521" s="17"/>
      <c r="M1521" s="20">
        <v>100.16</v>
      </c>
      <c r="N1521" s="20">
        <v>100.16</v>
      </c>
      <c r="O1521" s="20">
        <v>100.16</v>
      </c>
      <c r="P1521" s="20">
        <f>H1521-M1521</f>
        <v>-100.16</v>
      </c>
      <c r="Q1521" s="20" t="e">
        <f>#REF!-N1521</f>
        <v>#REF!</v>
      </c>
      <c r="R1521" s="20" t="e">
        <f>#REF!-O1521</f>
        <v>#REF!</v>
      </c>
      <c r="S1521" s="17" t="str">
        <f t="shared" si="261"/>
        <v>11 Б 01 21120000</v>
      </c>
    </row>
    <row r="1522" spans="1:19" s="16" customFormat="1" ht="31.5">
      <c r="A1522" s="14"/>
      <c r="B1522" s="125" t="s">
        <v>28</v>
      </c>
      <c r="C1522" s="108" t="s">
        <v>795</v>
      </c>
      <c r="D1522" s="131" t="s">
        <v>11</v>
      </c>
      <c r="E1522" s="131" t="s">
        <v>51</v>
      </c>
      <c r="F1522" s="14" t="s">
        <v>268</v>
      </c>
      <c r="G1522" s="108" t="s">
        <v>29</v>
      </c>
      <c r="H1522" s="126">
        <f>H1523</f>
        <v>0</v>
      </c>
      <c r="I1522" s="14" t="s">
        <v>1175</v>
      </c>
      <c r="J1522" s="14" t="str">
        <f t="shared" si="267"/>
        <v>11Б0121120</v>
      </c>
      <c r="K1522" s="132"/>
      <c r="L1522" s="17"/>
      <c r="M1522" s="20">
        <v>100.16</v>
      </c>
      <c r="N1522" s="20">
        <v>100.16</v>
      </c>
      <c r="O1522" s="20">
        <v>100.16</v>
      </c>
      <c r="P1522" s="20">
        <f>H1522-M1522</f>
        <v>-100.16</v>
      </c>
      <c r="Q1522" s="20" t="e">
        <f>#REF!-N1522</f>
        <v>#REF!</v>
      </c>
      <c r="R1522" s="20" t="e">
        <f>#REF!-O1522</f>
        <v>#REF!</v>
      </c>
      <c r="S1522" s="17" t="str">
        <f t="shared" si="261"/>
        <v>11 Б 01 21120240</v>
      </c>
    </row>
    <row r="1523" spans="1:19" s="16" customFormat="1" ht="15.75">
      <c r="A1523" s="14"/>
      <c r="B1523" s="125" t="s">
        <v>30</v>
      </c>
      <c r="C1523" s="108" t="s">
        <v>795</v>
      </c>
      <c r="D1523" s="131" t="s">
        <v>11</v>
      </c>
      <c r="E1523" s="131" t="s">
        <v>51</v>
      </c>
      <c r="F1523" s="14" t="s">
        <v>268</v>
      </c>
      <c r="G1523" s="108" t="s">
        <v>31</v>
      </c>
      <c r="H1523" s="126"/>
      <c r="I1523" s="14" t="s">
        <v>1175</v>
      </c>
      <c r="J1523" s="14" t="str">
        <f t="shared" si="267"/>
        <v>11Б0121120</v>
      </c>
      <c r="K1523" s="304" t="str">
        <f>C1523&amp;D1523&amp;E1523&amp;J1523&amp;G1523</f>
        <v>619011311Б0121120244</v>
      </c>
      <c r="L1523" s="17"/>
      <c r="M1523" s="20"/>
      <c r="N1523" s="20"/>
      <c r="O1523" s="20"/>
      <c r="P1523" s="20"/>
      <c r="Q1523" s="20"/>
      <c r="R1523" s="20"/>
      <c r="S1523" s="17"/>
    </row>
    <row r="1524" spans="1:19" s="16" customFormat="1" ht="31.5">
      <c r="A1524" s="14"/>
      <c r="B1524" s="125" t="s">
        <v>796</v>
      </c>
      <c r="C1524" s="108" t="s">
        <v>795</v>
      </c>
      <c r="D1524" s="108" t="s">
        <v>11</v>
      </c>
      <c r="E1524" s="131" t="s">
        <v>51</v>
      </c>
      <c r="F1524" s="108" t="s">
        <v>797</v>
      </c>
      <c r="G1524" s="108" t="s">
        <v>9</v>
      </c>
      <c r="H1524" s="126">
        <f>H1525</f>
        <v>0</v>
      </c>
      <c r="I1524" s="108">
        <v>8200000000</v>
      </c>
      <c r="J1524" s="108" t="str">
        <f t="shared" si="267"/>
        <v>8200000000</v>
      </c>
      <c r="K1524" s="17"/>
      <c r="L1524" s="17"/>
      <c r="M1524" s="20"/>
      <c r="N1524" s="20"/>
      <c r="O1524" s="20"/>
      <c r="P1524" s="20"/>
      <c r="Q1524" s="20"/>
      <c r="R1524" s="20"/>
      <c r="S1524" s="17"/>
    </row>
    <row r="1525" spans="1:19" s="16" customFormat="1" ht="47.25">
      <c r="A1525" s="14"/>
      <c r="B1525" s="125" t="s">
        <v>798</v>
      </c>
      <c r="C1525" s="108" t="s">
        <v>795</v>
      </c>
      <c r="D1525" s="108" t="s">
        <v>11</v>
      </c>
      <c r="E1525" s="131" t="s">
        <v>51</v>
      </c>
      <c r="F1525" s="108" t="s">
        <v>799</v>
      </c>
      <c r="G1525" s="108" t="s">
        <v>9</v>
      </c>
      <c r="H1525" s="126">
        <f>H1526</f>
        <v>0</v>
      </c>
      <c r="I1525" s="108">
        <v>8210000000</v>
      </c>
      <c r="J1525" s="108" t="str">
        <f t="shared" si="267"/>
        <v>8210000000</v>
      </c>
      <c r="K1525" s="17"/>
      <c r="L1525" s="17"/>
      <c r="M1525" s="20"/>
      <c r="N1525" s="20"/>
      <c r="O1525" s="20"/>
      <c r="P1525" s="20"/>
      <c r="Q1525" s="20"/>
      <c r="R1525" s="20"/>
      <c r="S1525" s="17"/>
    </row>
    <row r="1526" spans="1:19" s="16" customFormat="1" ht="31.5">
      <c r="A1526" s="14"/>
      <c r="B1526" s="125" t="s">
        <v>187</v>
      </c>
      <c r="C1526" s="108" t="s">
        <v>795</v>
      </c>
      <c r="D1526" s="131" t="s">
        <v>11</v>
      </c>
      <c r="E1526" s="131" t="s">
        <v>51</v>
      </c>
      <c r="F1526" s="131" t="s">
        <v>1140</v>
      </c>
      <c r="G1526" s="108" t="s">
        <v>9</v>
      </c>
      <c r="H1526" s="126">
        <f>H1527</f>
        <v>0</v>
      </c>
      <c r="I1526" s="131">
        <v>8210020050</v>
      </c>
      <c r="J1526" s="131" t="str">
        <f t="shared" si="267"/>
        <v>8210020050</v>
      </c>
      <c r="K1526" s="17"/>
      <c r="L1526" s="17"/>
      <c r="M1526" s="20"/>
      <c r="N1526" s="20"/>
      <c r="O1526" s="20"/>
      <c r="P1526" s="20"/>
      <c r="Q1526" s="20"/>
      <c r="R1526" s="20"/>
      <c r="S1526" s="17"/>
    </row>
    <row r="1527" spans="1:19" s="16" customFormat="1" ht="15.75">
      <c r="A1527" s="14"/>
      <c r="B1527" s="125" t="s">
        <v>189</v>
      </c>
      <c r="C1527" s="108" t="s">
        <v>795</v>
      </c>
      <c r="D1527" s="131" t="s">
        <v>11</v>
      </c>
      <c r="E1527" s="131" t="s">
        <v>51</v>
      </c>
      <c r="F1527" s="131" t="s">
        <v>1140</v>
      </c>
      <c r="G1527" s="108" t="s">
        <v>190</v>
      </c>
      <c r="H1527" s="126">
        <f>H1528</f>
        <v>0</v>
      </c>
      <c r="I1527" s="131">
        <v>8210020050</v>
      </c>
      <c r="J1527" s="131" t="str">
        <f t="shared" si="267"/>
        <v>8210020050</v>
      </c>
      <c r="K1527" s="17"/>
      <c r="L1527" s="17"/>
      <c r="M1527" s="20"/>
      <c r="N1527" s="20"/>
      <c r="O1527" s="20"/>
      <c r="P1527" s="20"/>
      <c r="Q1527" s="20"/>
      <c r="R1527" s="20"/>
      <c r="S1527" s="17"/>
    </row>
    <row r="1528" spans="1:19" s="16" customFormat="1" ht="47.25">
      <c r="A1528" s="14"/>
      <c r="B1528" s="125" t="s">
        <v>191</v>
      </c>
      <c r="C1528" s="108" t="s">
        <v>795</v>
      </c>
      <c r="D1528" s="131" t="s">
        <v>11</v>
      </c>
      <c r="E1528" s="131" t="s">
        <v>51</v>
      </c>
      <c r="F1528" s="131" t="s">
        <v>1140</v>
      </c>
      <c r="G1528" s="108" t="s">
        <v>192</v>
      </c>
      <c r="H1528" s="126"/>
      <c r="I1528" s="131">
        <v>8210020050</v>
      </c>
      <c r="J1528" s="131" t="str">
        <f t="shared" si="267"/>
        <v>8210020050</v>
      </c>
      <c r="K1528" s="304" t="str">
        <f>C1528&amp;D1528&amp;E1528&amp;J1528&amp;G1528</f>
        <v>61901138210020050831</v>
      </c>
      <c r="L1528" s="17"/>
      <c r="M1528" s="20"/>
      <c r="N1528" s="20"/>
      <c r="O1528" s="20"/>
      <c r="P1528" s="20"/>
      <c r="Q1528" s="20"/>
      <c r="R1528" s="20"/>
      <c r="S1528" s="17"/>
    </row>
    <row r="1529" spans="1:19" s="16" customFormat="1" ht="63">
      <c r="A1529" s="14"/>
      <c r="B1529" s="127" t="s">
        <v>87</v>
      </c>
      <c r="C1529" s="108" t="s">
        <v>795</v>
      </c>
      <c r="D1529" s="108" t="s">
        <v>11</v>
      </c>
      <c r="E1529" s="108" t="s">
        <v>51</v>
      </c>
      <c r="F1529" s="14" t="s">
        <v>88</v>
      </c>
      <c r="G1529" s="108" t="s">
        <v>9</v>
      </c>
      <c r="H1529" s="126">
        <f>H1530</f>
        <v>0</v>
      </c>
      <c r="I1529" s="14">
        <v>9800000000</v>
      </c>
      <c r="J1529" s="14" t="str">
        <f t="shared" si="267"/>
        <v>9800000000</v>
      </c>
      <c r="K1529" s="132"/>
      <c r="L1529" s="17"/>
      <c r="M1529" s="20">
        <v>753.96</v>
      </c>
      <c r="N1529" s="20">
        <v>0</v>
      </c>
      <c r="O1529" s="20">
        <v>0</v>
      </c>
      <c r="P1529" s="20">
        <f>H1529-M1529</f>
        <v>-753.96</v>
      </c>
      <c r="Q1529" s="20" t="e">
        <f>#REF!-N1529</f>
        <v>#REF!</v>
      </c>
      <c r="R1529" s="20" t="e">
        <f>#REF!-O1529</f>
        <v>#REF!</v>
      </c>
      <c r="S1529" s="17" t="str">
        <f t="shared" si="261"/>
        <v>98 0 00 00000000</v>
      </c>
    </row>
    <row r="1530" spans="1:19" s="16" customFormat="1" ht="15.75">
      <c r="A1530" s="14"/>
      <c r="B1530" s="127" t="s">
        <v>89</v>
      </c>
      <c r="C1530" s="108" t="s">
        <v>795</v>
      </c>
      <c r="D1530" s="108" t="s">
        <v>11</v>
      </c>
      <c r="E1530" s="108" t="s">
        <v>51</v>
      </c>
      <c r="F1530" s="14" t="s">
        <v>90</v>
      </c>
      <c r="G1530" s="108" t="s">
        <v>9</v>
      </c>
      <c r="H1530" s="126">
        <f>H1531+H1534</f>
        <v>0</v>
      </c>
      <c r="I1530" s="14">
        <v>9810000000</v>
      </c>
      <c r="J1530" s="14" t="str">
        <f t="shared" si="267"/>
        <v>9810000000</v>
      </c>
      <c r="K1530" s="132"/>
      <c r="L1530" s="17"/>
      <c r="M1530" s="20">
        <v>753.96</v>
      </c>
      <c r="N1530" s="20">
        <v>0</v>
      </c>
      <c r="O1530" s="20">
        <v>0</v>
      </c>
      <c r="P1530" s="20">
        <f>H1530-M1530</f>
        <v>-753.96</v>
      </c>
      <c r="Q1530" s="20" t="e">
        <f>#REF!-N1530</f>
        <v>#REF!</v>
      </c>
      <c r="R1530" s="20" t="e">
        <f>#REF!-O1530</f>
        <v>#REF!</v>
      </c>
      <c r="S1530" s="17" t="str">
        <f t="shared" si="261"/>
        <v>98 1 00 00000000</v>
      </c>
    </row>
    <row r="1531" spans="1:19" s="16" customFormat="1" ht="78.75">
      <c r="A1531" s="14"/>
      <c r="B1531" s="127" t="s">
        <v>758</v>
      </c>
      <c r="C1531" s="108" t="s">
        <v>795</v>
      </c>
      <c r="D1531" s="108" t="s">
        <v>11</v>
      </c>
      <c r="E1531" s="108" t="s">
        <v>51</v>
      </c>
      <c r="F1531" s="14" t="s">
        <v>759</v>
      </c>
      <c r="G1531" s="108" t="s">
        <v>9</v>
      </c>
      <c r="H1531" s="126">
        <f>H1532</f>
        <v>0</v>
      </c>
      <c r="I1531" s="14">
        <v>9810021020</v>
      </c>
      <c r="J1531" s="14" t="str">
        <f t="shared" si="267"/>
        <v>9810021020</v>
      </c>
      <c r="K1531" s="132"/>
      <c r="L1531" s="17"/>
      <c r="M1531" s="20">
        <v>753.96</v>
      </c>
      <c r="N1531" s="20">
        <v>0</v>
      </c>
      <c r="O1531" s="20">
        <v>0</v>
      </c>
      <c r="P1531" s="20">
        <f>H1531-M1531</f>
        <v>-753.96</v>
      </c>
      <c r="Q1531" s="20" t="e">
        <f>#REF!-N1531</f>
        <v>#REF!</v>
      </c>
      <c r="R1531" s="20" t="e">
        <f>#REF!-O1531</f>
        <v>#REF!</v>
      </c>
      <c r="S1531" s="17" t="str">
        <f t="shared" si="261"/>
        <v>98 1 00 21020000</v>
      </c>
    </row>
    <row r="1532" spans="1:19" s="16" customFormat="1" ht="31.5">
      <c r="A1532" s="14"/>
      <c r="B1532" s="125" t="s">
        <v>28</v>
      </c>
      <c r="C1532" s="108" t="s">
        <v>795</v>
      </c>
      <c r="D1532" s="108" t="s">
        <v>11</v>
      </c>
      <c r="E1532" s="108" t="s">
        <v>51</v>
      </c>
      <c r="F1532" s="14" t="s">
        <v>759</v>
      </c>
      <c r="G1532" s="131" t="s">
        <v>29</v>
      </c>
      <c r="H1532" s="126">
        <f>H1533</f>
        <v>0</v>
      </c>
      <c r="I1532" s="14">
        <v>9810021020</v>
      </c>
      <c r="J1532" s="14" t="str">
        <f t="shared" si="267"/>
        <v>9810021020</v>
      </c>
      <c r="K1532" s="132"/>
      <c r="L1532" s="17"/>
      <c r="M1532" s="20">
        <v>753.96</v>
      </c>
      <c r="N1532" s="20">
        <v>0</v>
      </c>
      <c r="O1532" s="20">
        <v>0</v>
      </c>
      <c r="P1532" s="20">
        <f>H1532-M1532</f>
        <v>-753.96</v>
      </c>
      <c r="Q1532" s="20" t="e">
        <f>#REF!-N1532</f>
        <v>#REF!</v>
      </c>
      <c r="R1532" s="20" t="e">
        <f>#REF!-O1532</f>
        <v>#REF!</v>
      </c>
      <c r="S1532" s="17" t="str">
        <f t="shared" si="261"/>
        <v>98 1 00 21020240</v>
      </c>
    </row>
    <row r="1533" spans="1:19" s="16" customFormat="1" ht="15.75">
      <c r="A1533" s="14"/>
      <c r="B1533" s="125" t="s">
        <v>30</v>
      </c>
      <c r="C1533" s="108" t="s">
        <v>795</v>
      </c>
      <c r="D1533" s="108" t="s">
        <v>11</v>
      </c>
      <c r="E1533" s="108" t="s">
        <v>51</v>
      </c>
      <c r="F1533" s="14" t="s">
        <v>759</v>
      </c>
      <c r="G1533" s="131" t="s">
        <v>31</v>
      </c>
      <c r="H1533" s="126"/>
      <c r="I1533" s="14">
        <v>9810021020</v>
      </c>
      <c r="J1533" s="14" t="str">
        <f t="shared" si="267"/>
        <v>9810021020</v>
      </c>
      <c r="K1533" s="304" t="str">
        <f>C1533&amp;D1533&amp;E1533&amp;J1533&amp;G1533</f>
        <v>61901139810021020244</v>
      </c>
      <c r="L1533" s="17"/>
      <c r="M1533" s="20"/>
      <c r="N1533" s="20"/>
      <c r="O1533" s="20"/>
      <c r="P1533" s="20"/>
      <c r="Q1533" s="20"/>
      <c r="R1533" s="20"/>
      <c r="S1533" s="17"/>
    </row>
    <row r="1534" spans="1:19" s="16" customFormat="1" ht="31.5">
      <c r="A1534" s="14"/>
      <c r="B1534" s="307" t="s">
        <v>282</v>
      </c>
      <c r="C1534" s="108" t="s">
        <v>795</v>
      </c>
      <c r="D1534" s="108" t="s">
        <v>11</v>
      </c>
      <c r="E1534" s="108" t="s">
        <v>51</v>
      </c>
      <c r="F1534" s="108" t="s">
        <v>283</v>
      </c>
      <c r="G1534" s="108" t="s">
        <v>9</v>
      </c>
      <c r="H1534" s="126">
        <f>H1535</f>
        <v>0</v>
      </c>
      <c r="I1534" s="108">
        <v>9810021350</v>
      </c>
      <c r="J1534" s="108" t="str">
        <f t="shared" si="267"/>
        <v>9810021350</v>
      </c>
      <c r="K1534" s="132"/>
      <c r="L1534" s="17"/>
      <c r="M1534" s="20"/>
      <c r="N1534" s="20"/>
      <c r="O1534" s="20"/>
      <c r="P1534" s="20">
        <f>H1534-M1534</f>
        <v>0</v>
      </c>
      <c r="Q1534" s="20" t="e">
        <f>#REF!-N1534</f>
        <v>#REF!</v>
      </c>
      <c r="R1534" s="20" t="e">
        <f>#REF!-O1534</f>
        <v>#REF!</v>
      </c>
      <c r="S1534" s="17" t="str">
        <f t="shared" si="261"/>
        <v>98 1 00 21350000</v>
      </c>
    </row>
    <row r="1535" spans="1:19" s="16" customFormat="1" ht="31.5">
      <c r="A1535" s="14"/>
      <c r="B1535" s="125" t="s">
        <v>28</v>
      </c>
      <c r="C1535" s="108" t="s">
        <v>795</v>
      </c>
      <c r="D1535" s="108" t="s">
        <v>11</v>
      </c>
      <c r="E1535" s="108" t="s">
        <v>51</v>
      </c>
      <c r="F1535" s="108" t="s">
        <v>283</v>
      </c>
      <c r="G1535" s="131" t="s">
        <v>29</v>
      </c>
      <c r="H1535" s="126">
        <f>H1536</f>
        <v>0</v>
      </c>
      <c r="I1535" s="108">
        <v>9810021350</v>
      </c>
      <c r="J1535" s="108" t="str">
        <f t="shared" si="267"/>
        <v>9810021350</v>
      </c>
      <c r="K1535" s="132"/>
      <c r="L1535" s="17"/>
      <c r="M1535" s="20"/>
      <c r="N1535" s="20"/>
      <c r="O1535" s="20"/>
      <c r="P1535" s="20">
        <f>H1535-M1535</f>
        <v>0</v>
      </c>
      <c r="Q1535" s="20" t="e">
        <f>#REF!-N1535</f>
        <v>#REF!</v>
      </c>
      <c r="R1535" s="20" t="e">
        <f>#REF!-O1535</f>
        <v>#REF!</v>
      </c>
      <c r="S1535" s="17" t="str">
        <f>CONCATENATE(F1535,G1535)</f>
        <v>98 1 00 21350240</v>
      </c>
    </row>
    <row r="1536" spans="1:19" s="16" customFormat="1" ht="47.25">
      <c r="A1536" s="14"/>
      <c r="B1536" s="127" t="s">
        <v>772</v>
      </c>
      <c r="C1536" s="108" t="s">
        <v>795</v>
      </c>
      <c r="D1536" s="108" t="s">
        <v>11</v>
      </c>
      <c r="E1536" s="108" t="s">
        <v>51</v>
      </c>
      <c r="F1536" s="108" t="s">
        <v>283</v>
      </c>
      <c r="G1536" s="131" t="s">
        <v>773</v>
      </c>
      <c r="H1536" s="126"/>
      <c r="I1536" s="108">
        <v>9810021350</v>
      </c>
      <c r="J1536" s="108" t="str">
        <f t="shared" si="267"/>
        <v>9810021350</v>
      </c>
      <c r="K1536" s="304" t="str">
        <f t="shared" ref="K1536" si="269">C1536&amp;D1536&amp;E1536&amp;J1536&amp;G1536</f>
        <v>61901139810021350243</v>
      </c>
      <c r="L1536" s="17"/>
      <c r="M1536" s="20"/>
      <c r="N1536" s="20"/>
      <c r="O1536" s="20"/>
      <c r="P1536" s="20"/>
      <c r="Q1536" s="20"/>
      <c r="R1536" s="20"/>
      <c r="S1536" s="17" t="str">
        <f>CONCATENATE(F1536,G1536)</f>
        <v>98 1 00 21350243</v>
      </c>
    </row>
    <row r="1537" spans="1:19" s="16" customFormat="1" ht="15.75">
      <c r="A1537" s="14"/>
      <c r="B1537" s="117" t="s">
        <v>195</v>
      </c>
      <c r="C1537" s="118" t="s">
        <v>795</v>
      </c>
      <c r="D1537" s="119" t="s">
        <v>73</v>
      </c>
      <c r="E1537" s="119" t="s">
        <v>7</v>
      </c>
      <c r="F1537" s="119" t="s">
        <v>8</v>
      </c>
      <c r="G1537" s="119" t="s">
        <v>9</v>
      </c>
      <c r="H1537" s="120">
        <f t="shared" ref="H1537:H1539" si="270">H1538</f>
        <v>0</v>
      </c>
      <c r="I1537" s="119">
        <v>0</v>
      </c>
      <c r="J1537" s="119" t="str">
        <f t="shared" si="267"/>
        <v>0000000000</v>
      </c>
      <c r="K1537" s="132"/>
      <c r="L1537" s="17"/>
      <c r="M1537" s="18">
        <v>118296.83</v>
      </c>
      <c r="N1537" s="18">
        <v>129176.97</v>
      </c>
      <c r="O1537" s="18">
        <v>141145.11000000002</v>
      </c>
      <c r="P1537" s="18">
        <f t="shared" ref="P1537:P1543" si="271">H1537-M1537</f>
        <v>-118296.83</v>
      </c>
      <c r="Q1537" s="18" t="e">
        <f>#REF!-N1537</f>
        <v>#REF!</v>
      </c>
      <c r="R1537" s="18" t="e">
        <f>#REF!-O1537</f>
        <v>#REF!</v>
      </c>
      <c r="S1537" s="17" t="str">
        <f t="shared" si="261"/>
        <v>00 0 00 00000000</v>
      </c>
    </row>
    <row r="1538" spans="1:19" s="16" customFormat="1" ht="15.75">
      <c r="A1538" s="14"/>
      <c r="B1538" s="121" t="s">
        <v>760</v>
      </c>
      <c r="C1538" s="122" t="s">
        <v>795</v>
      </c>
      <c r="D1538" s="123" t="s">
        <v>73</v>
      </c>
      <c r="E1538" s="123" t="s">
        <v>471</v>
      </c>
      <c r="F1538" s="123" t="s">
        <v>8</v>
      </c>
      <c r="G1538" s="123" t="s">
        <v>9</v>
      </c>
      <c r="H1538" s="124">
        <f>H1539+H1551</f>
        <v>0</v>
      </c>
      <c r="I1538" s="123">
        <v>0</v>
      </c>
      <c r="J1538" s="123" t="str">
        <f t="shared" si="267"/>
        <v>0000000000</v>
      </c>
      <c r="K1538" s="132"/>
      <c r="L1538" s="17"/>
      <c r="M1538" s="19">
        <v>118296.83</v>
      </c>
      <c r="N1538" s="19">
        <v>129176.97</v>
      </c>
      <c r="O1538" s="19">
        <v>141145.11000000002</v>
      </c>
      <c r="P1538" s="19">
        <f t="shared" si="271"/>
        <v>-118296.83</v>
      </c>
      <c r="Q1538" s="19" t="e">
        <f>#REF!-N1538</f>
        <v>#REF!</v>
      </c>
      <c r="R1538" s="19" t="e">
        <f>#REF!-O1538</f>
        <v>#REF!</v>
      </c>
      <c r="S1538" s="17" t="str">
        <f t="shared" si="261"/>
        <v>00 0 00 00000000</v>
      </c>
    </row>
    <row r="1539" spans="1:19" s="16" customFormat="1" ht="63">
      <c r="A1539" s="14"/>
      <c r="B1539" s="127" t="s">
        <v>293</v>
      </c>
      <c r="C1539" s="131" t="s">
        <v>795</v>
      </c>
      <c r="D1539" s="130" t="s">
        <v>73</v>
      </c>
      <c r="E1539" s="130" t="s">
        <v>471</v>
      </c>
      <c r="F1539" s="130" t="s">
        <v>294</v>
      </c>
      <c r="G1539" s="131" t="s">
        <v>9</v>
      </c>
      <c r="H1539" s="105">
        <f t="shared" si="270"/>
        <v>0</v>
      </c>
      <c r="I1539" s="130">
        <v>400000000</v>
      </c>
      <c r="J1539" s="130" t="str">
        <f t="shared" si="267"/>
        <v>0400000000</v>
      </c>
      <c r="K1539" s="132"/>
      <c r="L1539" s="17"/>
      <c r="M1539" s="51">
        <v>118296.83</v>
      </c>
      <c r="N1539" s="51">
        <v>129176.97</v>
      </c>
      <c r="O1539" s="51">
        <v>141145.11000000002</v>
      </c>
      <c r="P1539" s="51">
        <f t="shared" si="271"/>
        <v>-118296.83</v>
      </c>
      <c r="Q1539" s="51" t="e">
        <f>#REF!-N1539</f>
        <v>#REF!</v>
      </c>
      <c r="R1539" s="51" t="e">
        <f>#REF!-O1539</f>
        <v>#REF!</v>
      </c>
      <c r="S1539" s="17" t="str">
        <f t="shared" si="261"/>
        <v>04 0 00 00000000</v>
      </c>
    </row>
    <row r="1540" spans="1:19" s="16" customFormat="1" ht="63">
      <c r="A1540" s="14"/>
      <c r="B1540" s="140" t="s">
        <v>295</v>
      </c>
      <c r="C1540" s="131" t="s">
        <v>795</v>
      </c>
      <c r="D1540" s="130" t="s">
        <v>73</v>
      </c>
      <c r="E1540" s="130" t="s">
        <v>471</v>
      </c>
      <c r="F1540" s="130" t="s">
        <v>296</v>
      </c>
      <c r="G1540" s="130" t="s">
        <v>9</v>
      </c>
      <c r="H1540" s="105">
        <f>H1541</f>
        <v>0</v>
      </c>
      <c r="I1540" s="130">
        <v>420000000</v>
      </c>
      <c r="J1540" s="130" t="str">
        <f t="shared" si="267"/>
        <v>0420000000</v>
      </c>
      <c r="K1540" s="132"/>
      <c r="L1540" s="17"/>
      <c r="M1540" s="26">
        <v>118296.83</v>
      </c>
      <c r="N1540" s="26">
        <v>129176.97</v>
      </c>
      <c r="O1540" s="26">
        <v>141145.11000000002</v>
      </c>
      <c r="P1540" s="26">
        <f t="shared" si="271"/>
        <v>-118296.83</v>
      </c>
      <c r="Q1540" s="26" t="e">
        <f>#REF!-N1540</f>
        <v>#REF!</v>
      </c>
      <c r="R1540" s="26" t="e">
        <f>#REF!-O1540</f>
        <v>#REF!</v>
      </c>
      <c r="S1540" s="17" t="str">
        <f t="shared" si="261"/>
        <v>04 2 00 00000000</v>
      </c>
    </row>
    <row r="1541" spans="1:19" s="16" customFormat="1" ht="63">
      <c r="A1541" s="14"/>
      <c r="B1541" s="129" t="s">
        <v>297</v>
      </c>
      <c r="C1541" s="131" t="s">
        <v>795</v>
      </c>
      <c r="D1541" s="131" t="s">
        <v>73</v>
      </c>
      <c r="E1541" s="131" t="s">
        <v>471</v>
      </c>
      <c r="F1541" s="131" t="s">
        <v>298</v>
      </c>
      <c r="G1541" s="131" t="s">
        <v>9</v>
      </c>
      <c r="H1541" s="105">
        <f>H1548+H1542+H1545</f>
        <v>0</v>
      </c>
      <c r="I1541" s="131">
        <v>420200000</v>
      </c>
      <c r="J1541" s="131" t="str">
        <f t="shared" si="267"/>
        <v>0420200000</v>
      </c>
      <c r="K1541" s="132"/>
      <c r="L1541" s="17"/>
      <c r="M1541" s="26">
        <v>118296.83</v>
      </c>
      <c r="N1541" s="26">
        <v>129176.97</v>
      </c>
      <c r="O1541" s="26">
        <v>141145.11000000002</v>
      </c>
      <c r="P1541" s="26">
        <f t="shared" si="271"/>
        <v>-118296.83</v>
      </c>
      <c r="Q1541" s="26" t="e">
        <f>#REF!-N1541</f>
        <v>#REF!</v>
      </c>
      <c r="R1541" s="26" t="e">
        <f>#REF!-O1541</f>
        <v>#REF!</v>
      </c>
      <c r="S1541" s="17" t="str">
        <f t="shared" si="261"/>
        <v>04 2 02 00000000</v>
      </c>
    </row>
    <row r="1542" spans="1:19" s="16" customFormat="1" ht="47.25">
      <c r="A1542" s="14"/>
      <c r="B1542" s="143" t="s">
        <v>761</v>
      </c>
      <c r="C1542" s="131" t="s">
        <v>795</v>
      </c>
      <c r="D1542" s="131" t="s">
        <v>73</v>
      </c>
      <c r="E1542" s="131" t="s">
        <v>471</v>
      </c>
      <c r="F1542" s="131" t="s">
        <v>762</v>
      </c>
      <c r="G1542" s="131" t="s">
        <v>9</v>
      </c>
      <c r="H1542" s="105">
        <f>H1543</f>
        <v>0</v>
      </c>
      <c r="I1542" s="131">
        <v>420220820</v>
      </c>
      <c r="J1542" s="131" t="str">
        <f t="shared" si="267"/>
        <v>0420220820</v>
      </c>
      <c r="K1542" s="132"/>
      <c r="L1542" s="17"/>
      <c r="M1542" s="26">
        <v>10095.51</v>
      </c>
      <c r="N1542" s="26">
        <v>10095.51</v>
      </c>
      <c r="O1542" s="26">
        <v>10095.51</v>
      </c>
      <c r="P1542" s="26">
        <f t="shared" si="271"/>
        <v>-10095.51</v>
      </c>
      <c r="Q1542" s="26" t="e">
        <f>#REF!-N1542</f>
        <v>#REF!</v>
      </c>
      <c r="R1542" s="26" t="e">
        <f>#REF!-O1542</f>
        <v>#REF!</v>
      </c>
      <c r="S1542" s="17" t="str">
        <f t="shared" si="261"/>
        <v>04 2 02 20820000</v>
      </c>
    </row>
    <row r="1543" spans="1:19" s="47" customFormat="1" ht="31.5">
      <c r="A1543" s="46"/>
      <c r="B1543" s="125" t="s">
        <v>28</v>
      </c>
      <c r="C1543" s="131" t="s">
        <v>795</v>
      </c>
      <c r="D1543" s="131" t="s">
        <v>73</v>
      </c>
      <c r="E1543" s="131" t="s">
        <v>471</v>
      </c>
      <c r="F1543" s="131" t="s">
        <v>762</v>
      </c>
      <c r="G1543" s="131" t="s">
        <v>29</v>
      </c>
      <c r="H1543" s="126">
        <f>H1544</f>
        <v>0</v>
      </c>
      <c r="I1543" s="131">
        <v>420220820</v>
      </c>
      <c r="J1543" s="131" t="str">
        <f t="shared" si="267"/>
        <v>0420220820</v>
      </c>
      <c r="K1543" s="132"/>
      <c r="L1543" s="17"/>
      <c r="M1543" s="26">
        <v>10095.51</v>
      </c>
      <c r="N1543" s="26">
        <v>10095.51</v>
      </c>
      <c r="O1543" s="26">
        <v>10095.51</v>
      </c>
      <c r="P1543" s="26">
        <f t="shared" si="271"/>
        <v>-10095.51</v>
      </c>
      <c r="Q1543" s="26" t="e">
        <f>#REF!-N1543</f>
        <v>#REF!</v>
      </c>
      <c r="R1543" s="26" t="e">
        <f>#REF!-O1543</f>
        <v>#REF!</v>
      </c>
      <c r="S1543" s="17" t="str">
        <f t="shared" si="261"/>
        <v>04 2 02 20820240</v>
      </c>
    </row>
    <row r="1544" spans="1:19" s="47" customFormat="1" ht="15.75">
      <c r="A1544" s="46"/>
      <c r="B1544" s="125" t="s">
        <v>30</v>
      </c>
      <c r="C1544" s="131" t="s">
        <v>795</v>
      </c>
      <c r="D1544" s="131" t="s">
        <v>73</v>
      </c>
      <c r="E1544" s="131" t="s">
        <v>471</v>
      </c>
      <c r="F1544" s="131" t="s">
        <v>762</v>
      </c>
      <c r="G1544" s="131" t="s">
        <v>31</v>
      </c>
      <c r="H1544" s="126"/>
      <c r="I1544" s="131">
        <v>420220820</v>
      </c>
      <c r="J1544" s="131" t="str">
        <f t="shared" si="267"/>
        <v>0420220820</v>
      </c>
      <c r="K1544" s="304" t="str">
        <f>C1544&amp;D1544&amp;E1544&amp;J1544&amp;G1544</f>
        <v>61904090420220820244</v>
      </c>
      <c r="L1544" s="298"/>
      <c r="M1544" s="26"/>
      <c r="N1544" s="26"/>
      <c r="O1544" s="26"/>
      <c r="P1544" s="26"/>
      <c r="Q1544" s="26"/>
      <c r="R1544" s="26"/>
      <c r="S1544" s="17"/>
    </row>
    <row r="1545" spans="1:19" s="47" customFormat="1" ht="126">
      <c r="A1545" s="46"/>
      <c r="B1545" s="125" t="s">
        <v>1061</v>
      </c>
      <c r="C1545" s="109" t="s">
        <v>795</v>
      </c>
      <c r="D1545" s="108" t="s">
        <v>73</v>
      </c>
      <c r="E1545" s="108" t="s">
        <v>471</v>
      </c>
      <c r="F1545" s="108" t="s">
        <v>1062</v>
      </c>
      <c r="G1545" s="108" t="s">
        <v>9</v>
      </c>
      <c r="H1545" s="126">
        <f>H1546</f>
        <v>0</v>
      </c>
      <c r="I1545" s="108">
        <v>420221030</v>
      </c>
      <c r="J1545" s="108" t="str">
        <f t="shared" si="267"/>
        <v>0420221030</v>
      </c>
      <c r="K1545" s="132"/>
      <c r="L1545" s="17"/>
      <c r="M1545" s="26"/>
      <c r="N1545" s="26"/>
      <c r="O1545" s="26"/>
      <c r="P1545" s="26"/>
      <c r="Q1545" s="26"/>
      <c r="R1545" s="26"/>
      <c r="S1545" s="17"/>
    </row>
    <row r="1546" spans="1:19" s="47" customFormat="1" ht="31.5">
      <c r="A1546" s="46"/>
      <c r="B1546" s="125" t="s">
        <v>28</v>
      </c>
      <c r="C1546" s="109" t="s">
        <v>795</v>
      </c>
      <c r="D1546" s="108" t="s">
        <v>73</v>
      </c>
      <c r="E1546" s="108" t="s">
        <v>471</v>
      </c>
      <c r="F1546" s="108" t="s">
        <v>1062</v>
      </c>
      <c r="G1546" s="108" t="s">
        <v>29</v>
      </c>
      <c r="H1546" s="126">
        <f>H1547</f>
        <v>0</v>
      </c>
      <c r="I1546" s="108">
        <v>420221030</v>
      </c>
      <c r="J1546" s="108" t="str">
        <f t="shared" si="267"/>
        <v>0420221030</v>
      </c>
      <c r="K1546" s="132"/>
      <c r="L1546" s="17"/>
      <c r="M1546" s="26"/>
      <c r="N1546" s="26"/>
      <c r="O1546" s="26"/>
      <c r="P1546" s="26"/>
      <c r="Q1546" s="26"/>
      <c r="R1546" s="26"/>
      <c r="S1546" s="17"/>
    </row>
    <row r="1547" spans="1:19" s="47" customFormat="1" ht="15.75">
      <c r="A1547" s="46"/>
      <c r="B1547" s="125" t="s">
        <v>30</v>
      </c>
      <c r="C1547" s="109" t="s">
        <v>795</v>
      </c>
      <c r="D1547" s="108" t="s">
        <v>73</v>
      </c>
      <c r="E1547" s="108" t="s">
        <v>471</v>
      </c>
      <c r="F1547" s="108" t="s">
        <v>1062</v>
      </c>
      <c r="G1547" s="108" t="s">
        <v>31</v>
      </c>
      <c r="H1547" s="126"/>
      <c r="I1547" s="108">
        <v>420221030</v>
      </c>
      <c r="J1547" s="108" t="str">
        <f t="shared" si="267"/>
        <v>0420221030</v>
      </c>
      <c r="K1547" s="304" t="str">
        <f>C1547&amp;D1547&amp;E1547&amp;J1547&amp;G1547</f>
        <v>61904090420221030244</v>
      </c>
      <c r="L1547" s="298"/>
      <c r="M1547" s="26"/>
      <c r="N1547" s="26"/>
      <c r="O1547" s="26"/>
      <c r="P1547" s="26"/>
      <c r="Q1547" s="26"/>
      <c r="R1547" s="26"/>
      <c r="S1547" s="17"/>
    </row>
    <row r="1548" spans="1:19" s="16" customFormat="1" ht="31.5">
      <c r="A1548" s="14"/>
      <c r="B1548" s="125" t="s">
        <v>763</v>
      </c>
      <c r="C1548" s="131" t="s">
        <v>795</v>
      </c>
      <c r="D1548" s="131" t="s">
        <v>73</v>
      </c>
      <c r="E1548" s="131" t="s">
        <v>471</v>
      </c>
      <c r="F1548" s="108" t="s">
        <v>764</v>
      </c>
      <c r="G1548" s="131" t="s">
        <v>9</v>
      </c>
      <c r="H1548" s="105">
        <f>H1549</f>
        <v>0</v>
      </c>
      <c r="I1548" s="108">
        <v>420221090</v>
      </c>
      <c r="J1548" s="108" t="str">
        <f t="shared" si="267"/>
        <v>0420221090</v>
      </c>
      <c r="K1548" s="132"/>
      <c r="L1548" s="17"/>
      <c r="M1548" s="26">
        <v>108201.32</v>
      </c>
      <c r="N1548" s="26">
        <v>119081.46</v>
      </c>
      <c r="O1548" s="26">
        <v>131049.60000000001</v>
      </c>
      <c r="P1548" s="26">
        <f>H1548-M1548</f>
        <v>-108201.32</v>
      </c>
      <c r="Q1548" s="26" t="e">
        <f>#REF!-N1548</f>
        <v>#REF!</v>
      </c>
      <c r="R1548" s="26" t="e">
        <f>#REF!-O1548</f>
        <v>#REF!</v>
      </c>
      <c r="S1548" s="17" t="str">
        <f t="shared" si="261"/>
        <v>04 2 02 21090000</v>
      </c>
    </row>
    <row r="1549" spans="1:19" s="16" customFormat="1" ht="31.5">
      <c r="A1549" s="14"/>
      <c r="B1549" s="125" t="s">
        <v>28</v>
      </c>
      <c r="C1549" s="131" t="s">
        <v>795</v>
      </c>
      <c r="D1549" s="131" t="s">
        <v>73</v>
      </c>
      <c r="E1549" s="131" t="s">
        <v>471</v>
      </c>
      <c r="F1549" s="108" t="s">
        <v>764</v>
      </c>
      <c r="G1549" s="131" t="s">
        <v>29</v>
      </c>
      <c r="H1549" s="126">
        <f>H1550</f>
        <v>0</v>
      </c>
      <c r="I1549" s="108">
        <v>420221090</v>
      </c>
      <c r="J1549" s="108" t="str">
        <f t="shared" si="267"/>
        <v>0420221090</v>
      </c>
      <c r="K1549" s="132"/>
      <c r="L1549" s="17"/>
      <c r="M1549" s="26">
        <v>108201.32</v>
      </c>
      <c r="N1549" s="26">
        <v>119081.46</v>
      </c>
      <c r="O1549" s="26">
        <v>131049.60000000001</v>
      </c>
      <c r="P1549" s="26">
        <f>H1549-M1549</f>
        <v>-108201.32</v>
      </c>
      <c r="Q1549" s="26" t="e">
        <f>#REF!-N1549</f>
        <v>#REF!</v>
      </c>
      <c r="R1549" s="26" t="e">
        <f>#REF!-O1549</f>
        <v>#REF!</v>
      </c>
      <c r="S1549" s="17" t="str">
        <f t="shared" si="261"/>
        <v>04 2 02 21090240</v>
      </c>
    </row>
    <row r="1550" spans="1:19" s="16" customFormat="1" ht="15.75">
      <c r="A1550" s="14"/>
      <c r="B1550" s="125" t="s">
        <v>30</v>
      </c>
      <c r="C1550" s="131" t="s">
        <v>795</v>
      </c>
      <c r="D1550" s="131" t="s">
        <v>73</v>
      </c>
      <c r="E1550" s="131" t="s">
        <v>471</v>
      </c>
      <c r="F1550" s="108" t="s">
        <v>764</v>
      </c>
      <c r="G1550" s="131" t="s">
        <v>31</v>
      </c>
      <c r="H1550" s="126"/>
      <c r="I1550" s="108">
        <v>420221090</v>
      </c>
      <c r="J1550" s="108" t="str">
        <f t="shared" si="267"/>
        <v>0420221090</v>
      </c>
      <c r="K1550" s="304" t="str">
        <f>C1550&amp;D1550&amp;E1550&amp;J1550&amp;G1550</f>
        <v>61904090420221090244</v>
      </c>
      <c r="L1550" s="17"/>
      <c r="M1550" s="26"/>
      <c r="N1550" s="26"/>
      <c r="O1550" s="26"/>
      <c r="P1550" s="26"/>
      <c r="Q1550" s="26"/>
      <c r="R1550" s="26"/>
      <c r="S1550" s="17"/>
    </row>
    <row r="1551" spans="1:19" s="16" customFormat="1" ht="63">
      <c r="A1551" s="14"/>
      <c r="B1551" s="140" t="s">
        <v>87</v>
      </c>
      <c r="C1551" s="131" t="s">
        <v>795</v>
      </c>
      <c r="D1551" s="131" t="s">
        <v>73</v>
      </c>
      <c r="E1551" s="131" t="s">
        <v>471</v>
      </c>
      <c r="F1551" s="131" t="s">
        <v>88</v>
      </c>
      <c r="G1551" s="131" t="s">
        <v>9</v>
      </c>
      <c r="H1551" s="105">
        <f>H1552</f>
        <v>0</v>
      </c>
      <c r="I1551" s="131">
        <v>9800000000</v>
      </c>
      <c r="J1551" s="131" t="str">
        <f t="shared" si="267"/>
        <v>9800000000</v>
      </c>
      <c r="K1551" s="132"/>
      <c r="L1551" s="17"/>
      <c r="M1551" s="26"/>
      <c r="N1551" s="26"/>
      <c r="O1551" s="26"/>
      <c r="P1551" s="26"/>
      <c r="Q1551" s="26"/>
      <c r="R1551" s="26"/>
      <c r="S1551" s="17"/>
    </row>
    <row r="1552" spans="1:19" s="16" customFormat="1" ht="15.75">
      <c r="A1552" s="14"/>
      <c r="B1552" s="140" t="s">
        <v>89</v>
      </c>
      <c r="C1552" s="131" t="s">
        <v>795</v>
      </c>
      <c r="D1552" s="131" t="s">
        <v>73</v>
      </c>
      <c r="E1552" s="131" t="s">
        <v>471</v>
      </c>
      <c r="F1552" s="131" t="s">
        <v>90</v>
      </c>
      <c r="G1552" s="131" t="s">
        <v>9</v>
      </c>
      <c r="H1552" s="105">
        <f>H1553</f>
        <v>0</v>
      </c>
      <c r="I1552" s="131">
        <v>9810000000</v>
      </c>
      <c r="J1552" s="131" t="str">
        <f t="shared" si="267"/>
        <v>9810000000</v>
      </c>
      <c r="K1552" s="132"/>
      <c r="L1552" s="17"/>
      <c r="M1552" s="26"/>
      <c r="N1552" s="26"/>
      <c r="O1552" s="26"/>
      <c r="P1552" s="26"/>
      <c r="Q1552" s="26"/>
      <c r="R1552" s="26"/>
      <c r="S1552" s="17"/>
    </row>
    <row r="1553" spans="1:19" s="16" customFormat="1" ht="31.5">
      <c r="A1553" s="14"/>
      <c r="B1553" s="125" t="s">
        <v>778</v>
      </c>
      <c r="C1553" s="131" t="s">
        <v>795</v>
      </c>
      <c r="D1553" s="131" t="s">
        <v>73</v>
      </c>
      <c r="E1553" s="131" t="s">
        <v>471</v>
      </c>
      <c r="F1553" s="131" t="s">
        <v>779</v>
      </c>
      <c r="G1553" s="131" t="s">
        <v>9</v>
      </c>
      <c r="H1553" s="105">
        <f>H1554</f>
        <v>0</v>
      </c>
      <c r="I1553" s="131">
        <v>9810021450</v>
      </c>
      <c r="J1553" s="131" t="str">
        <f t="shared" si="267"/>
        <v>9810021450</v>
      </c>
      <c r="K1553" s="132"/>
      <c r="L1553" s="17"/>
      <c r="M1553" s="26"/>
      <c r="N1553" s="26"/>
      <c r="O1553" s="26"/>
      <c r="P1553" s="26"/>
      <c r="Q1553" s="26"/>
      <c r="R1553" s="26"/>
      <c r="S1553" s="17"/>
    </row>
    <row r="1554" spans="1:19" s="16" customFormat="1" ht="31.5">
      <c r="A1554" s="14"/>
      <c r="B1554" s="125" t="s">
        <v>28</v>
      </c>
      <c r="C1554" s="131" t="s">
        <v>795</v>
      </c>
      <c r="D1554" s="131" t="s">
        <v>73</v>
      </c>
      <c r="E1554" s="131" t="s">
        <v>471</v>
      </c>
      <c r="F1554" s="131" t="s">
        <v>779</v>
      </c>
      <c r="G1554" s="131" t="s">
        <v>29</v>
      </c>
      <c r="H1554" s="105">
        <f>H1555</f>
        <v>0</v>
      </c>
      <c r="I1554" s="131">
        <v>9810021450</v>
      </c>
      <c r="J1554" s="131" t="str">
        <f t="shared" si="267"/>
        <v>9810021450</v>
      </c>
      <c r="K1554" s="132"/>
      <c r="L1554" s="17"/>
      <c r="M1554" s="26"/>
      <c r="N1554" s="26"/>
      <c r="O1554" s="26"/>
      <c r="P1554" s="26"/>
      <c r="Q1554" s="26"/>
      <c r="R1554" s="26"/>
      <c r="S1554" s="17"/>
    </row>
    <row r="1555" spans="1:19" s="16" customFormat="1" ht="15.75">
      <c r="A1555" s="14"/>
      <c r="B1555" s="125" t="s">
        <v>30</v>
      </c>
      <c r="C1555" s="131" t="s">
        <v>795</v>
      </c>
      <c r="D1555" s="131" t="s">
        <v>73</v>
      </c>
      <c r="E1555" s="131" t="s">
        <v>471</v>
      </c>
      <c r="F1555" s="131" t="s">
        <v>779</v>
      </c>
      <c r="G1555" s="108" t="s">
        <v>31</v>
      </c>
      <c r="H1555" s="126"/>
      <c r="I1555" s="131">
        <v>9810021450</v>
      </c>
      <c r="J1555" s="131" t="str">
        <f t="shared" si="267"/>
        <v>9810021450</v>
      </c>
      <c r="K1555" s="304" t="str">
        <f>C1555&amp;D1555&amp;E1555&amp;J1555&amp;G1555</f>
        <v>61904099810021450244</v>
      </c>
      <c r="L1555" s="17"/>
      <c r="M1555" s="26"/>
      <c r="N1555" s="26"/>
      <c r="O1555" s="26"/>
      <c r="P1555" s="26"/>
      <c r="Q1555" s="26"/>
      <c r="R1555" s="26"/>
      <c r="S1555" s="17"/>
    </row>
    <row r="1556" spans="1:19" s="47" customFormat="1" ht="15.75">
      <c r="A1556" s="46"/>
      <c r="B1556" s="117" t="s">
        <v>305</v>
      </c>
      <c r="C1556" s="118" t="s">
        <v>795</v>
      </c>
      <c r="D1556" s="119" t="s">
        <v>86</v>
      </c>
      <c r="E1556" s="119" t="s">
        <v>7</v>
      </c>
      <c r="F1556" s="119" t="s">
        <v>8</v>
      </c>
      <c r="G1556" s="119" t="s">
        <v>9</v>
      </c>
      <c r="H1556" s="120">
        <f>H1557+H1570</f>
        <v>0</v>
      </c>
      <c r="I1556" s="119">
        <v>0</v>
      </c>
      <c r="J1556" s="119" t="str">
        <f t="shared" si="267"/>
        <v>0000000000</v>
      </c>
      <c r="K1556" s="132"/>
      <c r="L1556" s="17"/>
      <c r="M1556" s="18">
        <v>31000.670000000002</v>
      </c>
      <c r="N1556" s="18">
        <v>25282.670000000002</v>
      </c>
      <c r="O1556" s="18">
        <v>25094.670000000002</v>
      </c>
      <c r="P1556" s="18">
        <f t="shared" ref="P1556:P1562" si="272">H1556-M1556</f>
        <v>-31000.670000000002</v>
      </c>
      <c r="Q1556" s="18" t="e">
        <f>#REF!-N1556</f>
        <v>#REF!</v>
      </c>
      <c r="R1556" s="18" t="e">
        <f>#REF!-O1556</f>
        <v>#REF!</v>
      </c>
      <c r="S1556" s="17" t="str">
        <f t="shared" si="261"/>
        <v>00 0 00 00000000</v>
      </c>
    </row>
    <row r="1557" spans="1:19" s="16" customFormat="1" ht="15.75">
      <c r="A1557" s="14"/>
      <c r="B1557" s="121" t="s">
        <v>765</v>
      </c>
      <c r="C1557" s="122" t="s">
        <v>795</v>
      </c>
      <c r="D1557" s="123" t="s">
        <v>86</v>
      </c>
      <c r="E1557" s="123" t="s">
        <v>11</v>
      </c>
      <c r="F1557" s="123" t="s">
        <v>8</v>
      </c>
      <c r="G1557" s="123" t="s">
        <v>9</v>
      </c>
      <c r="H1557" s="124">
        <f>H1558+H1565</f>
        <v>0</v>
      </c>
      <c r="I1557" s="123">
        <v>0</v>
      </c>
      <c r="J1557" s="123" t="str">
        <f t="shared" si="267"/>
        <v>0000000000</v>
      </c>
      <c r="K1557" s="132"/>
      <c r="L1557" s="17"/>
      <c r="M1557" s="52">
        <v>4069.93</v>
      </c>
      <c r="N1557" s="52">
        <v>3851.93</v>
      </c>
      <c r="O1557" s="52">
        <v>3663.93</v>
      </c>
      <c r="P1557" s="52">
        <f t="shared" si="272"/>
        <v>-4069.93</v>
      </c>
      <c r="Q1557" s="52" t="e">
        <f>#REF!-N1557</f>
        <v>#REF!</v>
      </c>
      <c r="R1557" s="52" t="e">
        <f>#REF!-O1557</f>
        <v>#REF!</v>
      </c>
      <c r="S1557" s="17" t="str">
        <f t="shared" si="261"/>
        <v>00 0 00 00000000</v>
      </c>
    </row>
    <row r="1558" spans="1:19" s="16" customFormat="1" ht="63">
      <c r="A1558" s="14"/>
      <c r="B1558" s="127" t="s">
        <v>293</v>
      </c>
      <c r="C1558" s="131" t="s">
        <v>795</v>
      </c>
      <c r="D1558" s="131" t="s">
        <v>86</v>
      </c>
      <c r="E1558" s="131" t="s">
        <v>11</v>
      </c>
      <c r="F1558" s="131" t="s">
        <v>294</v>
      </c>
      <c r="G1558" s="131" t="s">
        <v>9</v>
      </c>
      <c r="H1558" s="158">
        <f t="shared" ref="H1558:H1559" si="273">H1559</f>
        <v>0</v>
      </c>
      <c r="I1558" s="131">
        <v>400000000</v>
      </c>
      <c r="J1558" s="131" t="str">
        <f t="shared" si="267"/>
        <v>0400000000</v>
      </c>
      <c r="K1558" s="132"/>
      <c r="L1558" s="17"/>
      <c r="M1558" s="53">
        <v>4069.93</v>
      </c>
      <c r="N1558" s="53">
        <v>3851.93</v>
      </c>
      <c r="O1558" s="53">
        <v>3663.93</v>
      </c>
      <c r="P1558" s="53">
        <f t="shared" si="272"/>
        <v>-4069.93</v>
      </c>
      <c r="Q1558" s="53" t="e">
        <f>#REF!-N1558</f>
        <v>#REF!</v>
      </c>
      <c r="R1558" s="53" t="e">
        <f>#REF!-O1558</f>
        <v>#REF!</v>
      </c>
      <c r="S1558" s="17" t="str">
        <f t="shared" si="261"/>
        <v>04 0 00 00000000</v>
      </c>
    </row>
    <row r="1559" spans="1:19" s="47" customFormat="1" ht="31.5">
      <c r="A1559" s="46"/>
      <c r="B1559" s="155" t="s">
        <v>766</v>
      </c>
      <c r="C1559" s="131" t="s">
        <v>795</v>
      </c>
      <c r="D1559" s="131" t="s">
        <v>86</v>
      </c>
      <c r="E1559" s="131" t="s">
        <v>11</v>
      </c>
      <c r="F1559" s="131" t="s">
        <v>767</v>
      </c>
      <c r="G1559" s="131" t="s">
        <v>9</v>
      </c>
      <c r="H1559" s="105">
        <f t="shared" si="273"/>
        <v>0</v>
      </c>
      <c r="I1559" s="131">
        <v>410000000</v>
      </c>
      <c r="J1559" s="131" t="str">
        <f t="shared" si="267"/>
        <v>0410000000</v>
      </c>
      <c r="K1559" s="132"/>
      <c r="L1559" s="17"/>
      <c r="M1559" s="54">
        <v>4069.93</v>
      </c>
      <c r="N1559" s="54">
        <v>3851.93</v>
      </c>
      <c r="O1559" s="54">
        <v>3663.93</v>
      </c>
      <c r="P1559" s="54">
        <f t="shared" si="272"/>
        <v>-4069.93</v>
      </c>
      <c r="Q1559" s="54" t="e">
        <f>#REF!-N1559</f>
        <v>#REF!</v>
      </c>
      <c r="R1559" s="54" t="e">
        <f>#REF!-O1559</f>
        <v>#REF!</v>
      </c>
      <c r="S1559" s="17" t="str">
        <f t="shared" si="261"/>
        <v>04 1 00 00000000</v>
      </c>
    </row>
    <row r="1560" spans="1:19" s="16" customFormat="1" ht="47.25">
      <c r="A1560" s="14"/>
      <c r="B1560" s="129" t="s">
        <v>793</v>
      </c>
      <c r="C1560" s="131" t="s">
        <v>795</v>
      </c>
      <c r="D1560" s="131" t="s">
        <v>86</v>
      </c>
      <c r="E1560" s="131" t="s">
        <v>11</v>
      </c>
      <c r="F1560" s="131" t="s">
        <v>769</v>
      </c>
      <c r="G1560" s="131" t="s">
        <v>9</v>
      </c>
      <c r="H1560" s="105">
        <f>H1561</f>
        <v>0</v>
      </c>
      <c r="I1560" s="131">
        <v>410100000</v>
      </c>
      <c r="J1560" s="131" t="str">
        <f t="shared" si="267"/>
        <v>0410100000</v>
      </c>
      <c r="K1560" s="132"/>
      <c r="L1560" s="17"/>
      <c r="M1560" s="26">
        <v>4069.93</v>
      </c>
      <c r="N1560" s="26">
        <v>3851.93</v>
      </c>
      <c r="O1560" s="26">
        <v>3663.93</v>
      </c>
      <c r="P1560" s="26">
        <f t="shared" si="272"/>
        <v>-4069.93</v>
      </c>
      <c r="Q1560" s="26" t="e">
        <f>#REF!-N1560</f>
        <v>#REF!</v>
      </c>
      <c r="R1560" s="26" t="e">
        <f>#REF!-O1560</f>
        <v>#REF!</v>
      </c>
      <c r="S1560" s="17" t="str">
        <f t="shared" si="261"/>
        <v>04 1 01 00000000</v>
      </c>
    </row>
    <row r="1561" spans="1:19" s="16" customFormat="1" ht="31.5">
      <c r="A1561" s="14"/>
      <c r="B1561" s="159" t="s">
        <v>770</v>
      </c>
      <c r="C1561" s="131" t="s">
        <v>795</v>
      </c>
      <c r="D1561" s="131" t="s">
        <v>86</v>
      </c>
      <c r="E1561" s="131" t="s">
        <v>11</v>
      </c>
      <c r="F1561" s="131" t="s">
        <v>771</v>
      </c>
      <c r="G1561" s="131" t="s">
        <v>9</v>
      </c>
      <c r="H1561" s="105">
        <f>H1562</f>
        <v>0</v>
      </c>
      <c r="I1561" s="131">
        <v>410120190</v>
      </c>
      <c r="J1561" s="131" t="str">
        <f t="shared" si="267"/>
        <v>0410120190</v>
      </c>
      <c r="K1561" s="132"/>
      <c r="L1561" s="17"/>
      <c r="M1561" s="26">
        <v>4069.93</v>
      </c>
      <c r="N1561" s="26">
        <v>3851.93</v>
      </c>
      <c r="O1561" s="26">
        <v>3663.93</v>
      </c>
      <c r="P1561" s="26">
        <f t="shared" si="272"/>
        <v>-4069.93</v>
      </c>
      <c r="Q1561" s="26" t="e">
        <f>#REF!-N1561</f>
        <v>#REF!</v>
      </c>
      <c r="R1561" s="26" t="e">
        <f>#REF!-O1561</f>
        <v>#REF!</v>
      </c>
      <c r="S1561" s="17" t="str">
        <f t="shared" si="261"/>
        <v>04 1 01 20190000</v>
      </c>
    </row>
    <row r="1562" spans="1:19" s="16" customFormat="1" ht="31.5">
      <c r="A1562" s="14"/>
      <c r="B1562" s="125" t="s">
        <v>28</v>
      </c>
      <c r="C1562" s="131" t="s">
        <v>795</v>
      </c>
      <c r="D1562" s="131" t="s">
        <v>86</v>
      </c>
      <c r="E1562" s="131" t="s">
        <v>11</v>
      </c>
      <c r="F1562" s="131" t="s">
        <v>771</v>
      </c>
      <c r="G1562" s="131" t="s">
        <v>29</v>
      </c>
      <c r="H1562" s="126">
        <f>SUM(H1563:H1564)</f>
        <v>0</v>
      </c>
      <c r="I1562" s="131">
        <v>410120190</v>
      </c>
      <c r="J1562" s="131" t="str">
        <f t="shared" si="267"/>
        <v>0410120190</v>
      </c>
      <c r="K1562" s="132"/>
      <c r="L1562" s="17"/>
      <c r="M1562" s="26">
        <v>4069.93</v>
      </c>
      <c r="N1562" s="26">
        <v>3851.93</v>
      </c>
      <c r="O1562" s="26">
        <v>3663.93</v>
      </c>
      <c r="P1562" s="26">
        <f t="shared" si="272"/>
        <v>-4069.93</v>
      </c>
      <c r="Q1562" s="26" t="e">
        <f>#REF!-N1562</f>
        <v>#REF!</v>
      </c>
      <c r="R1562" s="26" t="e">
        <f>#REF!-O1562</f>
        <v>#REF!</v>
      </c>
      <c r="S1562" s="17" t="str">
        <f t="shared" si="261"/>
        <v>04 1 01 20190240</v>
      </c>
    </row>
    <row r="1563" spans="1:19" s="16" customFormat="1" ht="47.25">
      <c r="A1563" s="14"/>
      <c r="B1563" s="127" t="s">
        <v>772</v>
      </c>
      <c r="C1563" s="131" t="s">
        <v>795</v>
      </c>
      <c r="D1563" s="131" t="s">
        <v>86</v>
      </c>
      <c r="E1563" s="131" t="s">
        <v>11</v>
      </c>
      <c r="F1563" s="131" t="s">
        <v>771</v>
      </c>
      <c r="G1563" s="131" t="s">
        <v>773</v>
      </c>
      <c r="H1563" s="126"/>
      <c r="I1563" s="131">
        <v>410120190</v>
      </c>
      <c r="J1563" s="131" t="str">
        <f t="shared" si="267"/>
        <v>0410120190</v>
      </c>
      <c r="K1563" s="304" t="str">
        <f t="shared" ref="K1563:K1564" si="274">C1563&amp;D1563&amp;E1563&amp;J1563&amp;G1563</f>
        <v>61905010410120190243</v>
      </c>
      <c r="L1563" s="17"/>
      <c r="M1563" s="26"/>
      <c r="N1563" s="26"/>
      <c r="O1563" s="26"/>
      <c r="P1563" s="26"/>
      <c r="Q1563" s="26"/>
      <c r="R1563" s="26"/>
      <c r="S1563" s="17" t="str">
        <f t="shared" si="261"/>
        <v>04 1 01 20190243</v>
      </c>
    </row>
    <row r="1564" spans="1:19" s="16" customFormat="1" ht="15.75">
      <c r="A1564" s="14"/>
      <c r="B1564" s="125" t="s">
        <v>30</v>
      </c>
      <c r="C1564" s="131" t="s">
        <v>795</v>
      </c>
      <c r="D1564" s="131" t="s">
        <v>86</v>
      </c>
      <c r="E1564" s="131" t="s">
        <v>11</v>
      </c>
      <c r="F1564" s="131" t="s">
        <v>771</v>
      </c>
      <c r="G1564" s="131" t="s">
        <v>31</v>
      </c>
      <c r="H1564" s="126"/>
      <c r="I1564" s="131">
        <v>410120190</v>
      </c>
      <c r="J1564" s="131" t="str">
        <f t="shared" si="267"/>
        <v>0410120190</v>
      </c>
      <c r="K1564" s="304" t="str">
        <f t="shared" si="274"/>
        <v>61905010410120190244</v>
      </c>
      <c r="L1564" s="17"/>
      <c r="M1564" s="26"/>
      <c r="N1564" s="26"/>
      <c r="O1564" s="26"/>
      <c r="P1564" s="26"/>
      <c r="Q1564" s="26"/>
      <c r="R1564" s="26"/>
      <c r="S1564" s="17"/>
    </row>
    <row r="1565" spans="1:19" s="16" customFormat="1" ht="31.5">
      <c r="A1565" s="14"/>
      <c r="B1565" s="125" t="s">
        <v>796</v>
      </c>
      <c r="C1565" s="108" t="s">
        <v>795</v>
      </c>
      <c r="D1565" s="131" t="s">
        <v>86</v>
      </c>
      <c r="E1565" s="131" t="s">
        <v>11</v>
      </c>
      <c r="F1565" s="108" t="s">
        <v>797</v>
      </c>
      <c r="G1565" s="108" t="s">
        <v>9</v>
      </c>
      <c r="H1565" s="105">
        <f>H1566</f>
        <v>0</v>
      </c>
      <c r="I1565" s="108">
        <v>8200000000</v>
      </c>
      <c r="J1565" s="108" t="str">
        <f t="shared" si="267"/>
        <v>8200000000</v>
      </c>
      <c r="K1565" s="132"/>
      <c r="L1565" s="17"/>
      <c r="M1565" s="26"/>
      <c r="N1565" s="26"/>
      <c r="O1565" s="26"/>
      <c r="P1565" s="26"/>
      <c r="Q1565" s="26"/>
      <c r="R1565" s="26"/>
      <c r="S1565" s="17"/>
    </row>
    <row r="1566" spans="1:19" s="16" customFormat="1" ht="15.75">
      <c r="A1566" s="14"/>
      <c r="B1566" s="129" t="s">
        <v>52</v>
      </c>
      <c r="C1566" s="108" t="s">
        <v>795</v>
      </c>
      <c r="D1566" s="131" t="s">
        <v>86</v>
      </c>
      <c r="E1566" s="131" t="s">
        <v>11</v>
      </c>
      <c r="F1566" s="108" t="s">
        <v>1089</v>
      </c>
      <c r="G1566" s="108" t="s">
        <v>9</v>
      </c>
      <c r="H1566" s="105">
        <f>H1567</f>
        <v>0</v>
      </c>
      <c r="I1566" s="108">
        <v>8220000000</v>
      </c>
      <c r="J1566" s="108" t="str">
        <f t="shared" si="267"/>
        <v>8220000000</v>
      </c>
      <c r="K1566" s="132"/>
      <c r="L1566" s="17"/>
      <c r="M1566" s="26"/>
      <c r="N1566" s="26"/>
      <c r="O1566" s="26"/>
      <c r="P1566" s="26"/>
      <c r="Q1566" s="26"/>
      <c r="R1566" s="26"/>
      <c r="S1566" s="17"/>
    </row>
    <row r="1567" spans="1:19" s="16" customFormat="1" ht="31.5">
      <c r="A1567" s="14"/>
      <c r="B1567" s="125" t="s">
        <v>856</v>
      </c>
      <c r="C1567" s="108" t="s">
        <v>795</v>
      </c>
      <c r="D1567" s="108" t="s">
        <v>86</v>
      </c>
      <c r="E1567" s="108" t="s">
        <v>11</v>
      </c>
      <c r="F1567" s="108" t="s">
        <v>1090</v>
      </c>
      <c r="G1567" s="108" t="s">
        <v>9</v>
      </c>
      <c r="H1567" s="105">
        <f>H1568</f>
        <v>0</v>
      </c>
      <c r="I1567" s="108">
        <v>8220020200</v>
      </c>
      <c r="J1567" s="108" t="str">
        <f t="shared" si="267"/>
        <v>8220020200</v>
      </c>
      <c r="K1567" s="132"/>
      <c r="L1567" s="17"/>
      <c r="M1567" s="26"/>
      <c r="N1567" s="26"/>
      <c r="O1567" s="26"/>
      <c r="P1567" s="26"/>
      <c r="Q1567" s="26"/>
      <c r="R1567" s="26"/>
      <c r="S1567" s="17"/>
    </row>
    <row r="1568" spans="1:19" s="16" customFormat="1" ht="31.5">
      <c r="A1568" s="14"/>
      <c r="B1568" s="125" t="s">
        <v>28</v>
      </c>
      <c r="C1568" s="131" t="s">
        <v>795</v>
      </c>
      <c r="D1568" s="131" t="s">
        <v>86</v>
      </c>
      <c r="E1568" s="131" t="s">
        <v>11</v>
      </c>
      <c r="F1568" s="108" t="s">
        <v>1090</v>
      </c>
      <c r="G1568" s="131" t="s">
        <v>29</v>
      </c>
      <c r="H1568" s="105">
        <f>H1569</f>
        <v>0</v>
      </c>
      <c r="I1568" s="108">
        <v>8220020200</v>
      </c>
      <c r="J1568" s="108" t="str">
        <f t="shared" si="267"/>
        <v>8220020200</v>
      </c>
      <c r="K1568" s="132"/>
      <c r="L1568" s="17"/>
      <c r="M1568" s="26"/>
      <c r="N1568" s="26"/>
      <c r="O1568" s="26"/>
      <c r="P1568" s="26"/>
      <c r="Q1568" s="26"/>
      <c r="R1568" s="26"/>
      <c r="S1568" s="17"/>
    </row>
    <row r="1569" spans="1:19" s="16" customFormat="1" ht="15.75">
      <c r="A1569" s="14"/>
      <c r="B1569" s="125" t="s">
        <v>30</v>
      </c>
      <c r="C1569" s="131" t="s">
        <v>795</v>
      </c>
      <c r="D1569" s="131" t="s">
        <v>86</v>
      </c>
      <c r="E1569" s="131" t="s">
        <v>11</v>
      </c>
      <c r="F1569" s="108" t="s">
        <v>1090</v>
      </c>
      <c r="G1569" s="108" t="s">
        <v>31</v>
      </c>
      <c r="H1569" s="126"/>
      <c r="I1569" s="108">
        <v>8220020200</v>
      </c>
      <c r="J1569" s="108" t="str">
        <f t="shared" si="267"/>
        <v>8220020200</v>
      </c>
      <c r="K1569" s="304" t="str">
        <f>C1569&amp;D1569&amp;E1569&amp;J1569&amp;G1569</f>
        <v>61905018220020200244</v>
      </c>
      <c r="L1569" s="17"/>
      <c r="M1569" s="26"/>
      <c r="N1569" s="26"/>
      <c r="O1569" s="26"/>
      <c r="P1569" s="26"/>
      <c r="Q1569" s="26"/>
      <c r="R1569" s="26"/>
      <c r="S1569" s="17"/>
    </row>
    <row r="1570" spans="1:19" s="16" customFormat="1" ht="15.75">
      <c r="A1570" s="14"/>
      <c r="B1570" s="157" t="s">
        <v>306</v>
      </c>
      <c r="C1570" s="122" t="s">
        <v>795</v>
      </c>
      <c r="D1570" s="123" t="s">
        <v>86</v>
      </c>
      <c r="E1570" s="123" t="s">
        <v>13</v>
      </c>
      <c r="F1570" s="123" t="s">
        <v>8</v>
      </c>
      <c r="G1570" s="123" t="s">
        <v>9</v>
      </c>
      <c r="H1570" s="124">
        <f>H1571+H1592</f>
        <v>0</v>
      </c>
      <c r="I1570" s="123">
        <v>0</v>
      </c>
      <c r="J1570" s="123" t="str">
        <f t="shared" si="267"/>
        <v>0000000000</v>
      </c>
      <c r="K1570" s="132"/>
      <c r="L1570" s="17"/>
      <c r="M1570" s="19">
        <v>26930.74</v>
      </c>
      <c r="N1570" s="19">
        <v>21430.74</v>
      </c>
      <c r="O1570" s="19">
        <v>21430.74</v>
      </c>
      <c r="P1570" s="19">
        <f t="shared" ref="P1570:P1575" si="275">H1570-M1570</f>
        <v>-26930.74</v>
      </c>
      <c r="Q1570" s="19" t="e">
        <f>#REF!-N1570</f>
        <v>#REF!</v>
      </c>
      <c r="R1570" s="19" t="e">
        <f>#REF!-O1570</f>
        <v>#REF!</v>
      </c>
      <c r="S1570" s="17" t="str">
        <f t="shared" si="261"/>
        <v>00 0 00 00000000</v>
      </c>
    </row>
    <row r="1571" spans="1:19" s="16" customFormat="1" ht="63">
      <c r="A1571" s="14"/>
      <c r="B1571" s="127" t="s">
        <v>293</v>
      </c>
      <c r="C1571" s="131" t="s">
        <v>795</v>
      </c>
      <c r="D1571" s="131" t="s">
        <v>86</v>
      </c>
      <c r="E1571" s="131" t="s">
        <v>13</v>
      </c>
      <c r="F1571" s="131" t="s">
        <v>294</v>
      </c>
      <c r="G1571" s="131" t="s">
        <v>9</v>
      </c>
      <c r="H1571" s="105">
        <f t="shared" ref="H1571:H1572" si="276">H1572</f>
        <v>0</v>
      </c>
      <c r="I1571" s="131">
        <v>400000000</v>
      </c>
      <c r="J1571" s="131" t="str">
        <f t="shared" si="267"/>
        <v>0400000000</v>
      </c>
      <c r="K1571" s="132"/>
      <c r="L1571" s="17"/>
      <c r="M1571" s="26">
        <v>21430.74</v>
      </c>
      <c r="N1571" s="26">
        <v>21430.74</v>
      </c>
      <c r="O1571" s="26">
        <v>21430.74</v>
      </c>
      <c r="P1571" s="26">
        <f t="shared" si="275"/>
        <v>-21430.74</v>
      </c>
      <c r="Q1571" s="26" t="e">
        <f>#REF!-N1571</f>
        <v>#REF!</v>
      </c>
      <c r="R1571" s="26" t="e">
        <f>#REF!-O1571</f>
        <v>#REF!</v>
      </c>
      <c r="S1571" s="17" t="str">
        <f t="shared" si="261"/>
        <v>04 0 00 00000000</v>
      </c>
    </row>
    <row r="1572" spans="1:19" s="16" customFormat="1" ht="31.5">
      <c r="A1572" s="14"/>
      <c r="B1572" s="125" t="s">
        <v>307</v>
      </c>
      <c r="C1572" s="131" t="s">
        <v>795</v>
      </c>
      <c r="D1572" s="131" t="s">
        <v>86</v>
      </c>
      <c r="E1572" s="131" t="s">
        <v>13</v>
      </c>
      <c r="F1572" s="131" t="s">
        <v>308</v>
      </c>
      <c r="G1572" s="131" t="s">
        <v>9</v>
      </c>
      <c r="H1572" s="105">
        <f t="shared" si="276"/>
        <v>0</v>
      </c>
      <c r="I1572" s="131">
        <v>430000000</v>
      </c>
      <c r="J1572" s="131" t="str">
        <f t="shared" si="267"/>
        <v>0430000000</v>
      </c>
      <c r="K1572" s="132"/>
      <c r="L1572" s="17"/>
      <c r="M1572" s="26">
        <v>21430.74</v>
      </c>
      <c r="N1572" s="26">
        <v>21430.74</v>
      </c>
      <c r="O1572" s="26">
        <v>21430.74</v>
      </c>
      <c r="P1572" s="26">
        <f t="shared" si="275"/>
        <v>-21430.74</v>
      </c>
      <c r="Q1572" s="26" t="e">
        <f>#REF!-N1572</f>
        <v>#REF!</v>
      </c>
      <c r="R1572" s="26" t="e">
        <f>#REF!-O1572</f>
        <v>#REF!</v>
      </c>
      <c r="S1572" s="17" t="str">
        <f t="shared" si="261"/>
        <v>04 3 00 00000000</v>
      </c>
    </row>
    <row r="1573" spans="1:19" s="16" customFormat="1" ht="31.5">
      <c r="A1573" s="14"/>
      <c r="B1573" s="307" t="s">
        <v>309</v>
      </c>
      <c r="C1573" s="131" t="s">
        <v>795</v>
      </c>
      <c r="D1573" s="131" t="s">
        <v>86</v>
      </c>
      <c r="E1573" s="131" t="s">
        <v>13</v>
      </c>
      <c r="F1573" s="108" t="s">
        <v>310</v>
      </c>
      <c r="G1573" s="131" t="s">
        <v>9</v>
      </c>
      <c r="H1573" s="105">
        <f>H1574+H1577+H1580+H1586</f>
        <v>0</v>
      </c>
      <c r="I1573" s="108">
        <v>430400000</v>
      </c>
      <c r="J1573" s="108" t="str">
        <f t="shared" si="267"/>
        <v>0430400000</v>
      </c>
      <c r="K1573" s="132"/>
      <c r="L1573" s="17"/>
      <c r="M1573" s="26">
        <v>21430.74</v>
      </c>
      <c r="N1573" s="26">
        <v>21430.74</v>
      </c>
      <c r="O1573" s="26">
        <v>21430.74</v>
      </c>
      <c r="P1573" s="26">
        <f t="shared" si="275"/>
        <v>-21430.74</v>
      </c>
      <c r="Q1573" s="26" t="e">
        <f>#REF!-N1573</f>
        <v>#REF!</v>
      </c>
      <c r="R1573" s="26" t="e">
        <f>#REF!-O1573</f>
        <v>#REF!</v>
      </c>
      <c r="S1573" s="17" t="str">
        <f t="shared" si="261"/>
        <v>04 3 04 00000000</v>
      </c>
    </row>
    <row r="1574" spans="1:19" s="16" customFormat="1" ht="31.5">
      <c r="A1574" s="14"/>
      <c r="B1574" s="160" t="s">
        <v>542</v>
      </c>
      <c r="C1574" s="131" t="s">
        <v>795</v>
      </c>
      <c r="D1574" s="131" t="s">
        <v>86</v>
      </c>
      <c r="E1574" s="131" t="s">
        <v>13</v>
      </c>
      <c r="F1574" s="108" t="s">
        <v>543</v>
      </c>
      <c r="G1574" s="131" t="s">
        <v>9</v>
      </c>
      <c r="H1574" s="105">
        <f>H1575</f>
        <v>0</v>
      </c>
      <c r="I1574" s="108">
        <v>430420300</v>
      </c>
      <c r="J1574" s="108" t="str">
        <f t="shared" si="267"/>
        <v>0430420300</v>
      </c>
      <c r="K1574" s="132"/>
      <c r="L1574" s="17"/>
      <c r="M1574" s="26">
        <v>20489.02</v>
      </c>
      <c r="N1574" s="26">
        <v>20489.02</v>
      </c>
      <c r="O1574" s="26">
        <v>20489.02</v>
      </c>
      <c r="P1574" s="26">
        <f t="shared" si="275"/>
        <v>-20489.02</v>
      </c>
      <c r="Q1574" s="26" t="e">
        <f>#REF!-N1574</f>
        <v>#REF!</v>
      </c>
      <c r="R1574" s="26" t="e">
        <f>#REF!-O1574</f>
        <v>#REF!</v>
      </c>
      <c r="S1574" s="17" t="str">
        <f t="shared" si="261"/>
        <v>04 3 04 20300000</v>
      </c>
    </row>
    <row r="1575" spans="1:19" s="16" customFormat="1" ht="31.5">
      <c r="A1575" s="14"/>
      <c r="B1575" s="125" t="s">
        <v>28</v>
      </c>
      <c r="C1575" s="131" t="s">
        <v>795</v>
      </c>
      <c r="D1575" s="131" t="s">
        <v>86</v>
      </c>
      <c r="E1575" s="131" t="s">
        <v>13</v>
      </c>
      <c r="F1575" s="108" t="s">
        <v>543</v>
      </c>
      <c r="G1575" s="131" t="s">
        <v>29</v>
      </c>
      <c r="H1575" s="126">
        <f>H1576</f>
        <v>0</v>
      </c>
      <c r="I1575" s="108">
        <v>430420300</v>
      </c>
      <c r="J1575" s="108" t="str">
        <f t="shared" si="267"/>
        <v>0430420300</v>
      </c>
      <c r="K1575" s="132"/>
      <c r="L1575" s="17"/>
      <c r="M1575" s="20">
        <v>20489.02</v>
      </c>
      <c r="N1575" s="20">
        <v>20489.02</v>
      </c>
      <c r="O1575" s="20">
        <v>20489.02</v>
      </c>
      <c r="P1575" s="20">
        <f t="shared" si="275"/>
        <v>-20489.02</v>
      </c>
      <c r="Q1575" s="20" t="e">
        <f>#REF!-N1575</f>
        <v>#REF!</v>
      </c>
      <c r="R1575" s="20" t="e">
        <f>#REF!-O1575</f>
        <v>#REF!</v>
      </c>
      <c r="S1575" s="17" t="str">
        <f t="shared" si="261"/>
        <v>04 3 04 20300240</v>
      </c>
    </row>
    <row r="1576" spans="1:19" s="16" customFormat="1" ht="15.75">
      <c r="A1576" s="14"/>
      <c r="B1576" s="125" t="s">
        <v>30</v>
      </c>
      <c r="C1576" s="131" t="s">
        <v>795</v>
      </c>
      <c r="D1576" s="131" t="s">
        <v>86</v>
      </c>
      <c r="E1576" s="131" t="s">
        <v>13</v>
      </c>
      <c r="F1576" s="108" t="s">
        <v>543</v>
      </c>
      <c r="G1576" s="131" t="s">
        <v>31</v>
      </c>
      <c r="H1576" s="126"/>
      <c r="I1576" s="108">
        <v>430420300</v>
      </c>
      <c r="J1576" s="108" t="str">
        <f t="shared" si="267"/>
        <v>0430420300</v>
      </c>
      <c r="K1576" s="304" t="str">
        <f>C1576&amp;D1576&amp;E1576&amp;J1576&amp;G1576</f>
        <v>61905030430420300244</v>
      </c>
      <c r="L1576" s="17"/>
      <c r="M1576" s="20"/>
      <c r="N1576" s="20"/>
      <c r="O1576" s="20"/>
      <c r="P1576" s="20"/>
      <c r="Q1576" s="20"/>
      <c r="R1576" s="20"/>
      <c r="S1576" s="17"/>
    </row>
    <row r="1577" spans="1:19" s="16" customFormat="1" ht="31.5">
      <c r="A1577" s="14"/>
      <c r="B1577" s="127" t="s">
        <v>774</v>
      </c>
      <c r="C1577" s="131" t="s">
        <v>795</v>
      </c>
      <c r="D1577" s="131" t="s">
        <v>86</v>
      </c>
      <c r="E1577" s="131" t="s">
        <v>13</v>
      </c>
      <c r="F1577" s="131" t="s">
        <v>775</v>
      </c>
      <c r="G1577" s="131" t="s">
        <v>9</v>
      </c>
      <c r="H1577" s="105">
        <f>H1578</f>
        <v>0</v>
      </c>
      <c r="I1577" s="131">
        <v>430421070</v>
      </c>
      <c r="J1577" s="131" t="str">
        <f t="shared" si="267"/>
        <v>0430421070</v>
      </c>
      <c r="K1577" s="132"/>
      <c r="L1577" s="17"/>
      <c r="M1577" s="26">
        <v>941.72</v>
      </c>
      <c r="N1577" s="26">
        <v>941.72</v>
      </c>
      <c r="O1577" s="26">
        <v>941.72</v>
      </c>
      <c r="P1577" s="26">
        <f>H1577-M1577</f>
        <v>-941.72</v>
      </c>
      <c r="Q1577" s="26" t="e">
        <f>#REF!-N1577</f>
        <v>#REF!</v>
      </c>
      <c r="R1577" s="26" t="e">
        <f>#REF!-O1577</f>
        <v>#REF!</v>
      </c>
      <c r="S1577" s="17" t="str">
        <f t="shared" si="261"/>
        <v>04 3 04 21070000</v>
      </c>
    </row>
    <row r="1578" spans="1:19" s="16" customFormat="1" ht="31.5">
      <c r="A1578" s="14"/>
      <c r="B1578" s="125" t="s">
        <v>28</v>
      </c>
      <c r="C1578" s="131" t="s">
        <v>795</v>
      </c>
      <c r="D1578" s="131" t="s">
        <v>86</v>
      </c>
      <c r="E1578" s="131" t="s">
        <v>13</v>
      </c>
      <c r="F1578" s="131" t="s">
        <v>775</v>
      </c>
      <c r="G1578" s="131" t="s">
        <v>29</v>
      </c>
      <c r="H1578" s="126">
        <f>H1579</f>
        <v>0</v>
      </c>
      <c r="I1578" s="131">
        <v>430421070</v>
      </c>
      <c r="J1578" s="131" t="str">
        <f t="shared" ref="J1578:J1648" si="277">TEXT(I1578,"0000000000")</f>
        <v>0430421070</v>
      </c>
      <c r="K1578" s="132"/>
      <c r="L1578" s="17"/>
      <c r="M1578" s="20">
        <v>941.72</v>
      </c>
      <c r="N1578" s="20">
        <v>941.72</v>
      </c>
      <c r="O1578" s="20">
        <v>941.72</v>
      </c>
      <c r="P1578" s="20">
        <f>H1578-M1578</f>
        <v>-941.72</v>
      </c>
      <c r="Q1578" s="20" t="e">
        <f>#REF!-N1578</f>
        <v>#REF!</v>
      </c>
      <c r="R1578" s="20" t="e">
        <f>#REF!-O1578</f>
        <v>#REF!</v>
      </c>
      <c r="S1578" s="17" t="str">
        <f t="shared" si="261"/>
        <v>04 3 04 21070240</v>
      </c>
    </row>
    <row r="1579" spans="1:19" s="16" customFormat="1" ht="15.75">
      <c r="A1579" s="14"/>
      <c r="B1579" s="125" t="s">
        <v>30</v>
      </c>
      <c r="C1579" s="131" t="s">
        <v>795</v>
      </c>
      <c r="D1579" s="131" t="s">
        <v>86</v>
      </c>
      <c r="E1579" s="131" t="s">
        <v>13</v>
      </c>
      <c r="F1579" s="131" t="s">
        <v>775</v>
      </c>
      <c r="G1579" s="131" t="s">
        <v>31</v>
      </c>
      <c r="H1579" s="126"/>
      <c r="I1579" s="131">
        <v>430421070</v>
      </c>
      <c r="J1579" s="131" t="str">
        <f t="shared" si="277"/>
        <v>0430421070</v>
      </c>
      <c r="K1579" s="304" t="str">
        <f>C1579&amp;D1579&amp;E1579&amp;J1579&amp;G1579</f>
        <v>61905030430421070244</v>
      </c>
      <c r="L1579" s="17"/>
      <c r="M1579" s="20"/>
      <c r="N1579" s="20"/>
      <c r="O1579" s="20"/>
      <c r="P1579" s="20"/>
      <c r="Q1579" s="20"/>
      <c r="R1579" s="20"/>
      <c r="S1579" s="17"/>
    </row>
    <row r="1580" spans="1:19" s="16" customFormat="1" ht="47.25">
      <c r="A1580" s="14"/>
      <c r="B1580" s="125" t="s">
        <v>1043</v>
      </c>
      <c r="C1580" s="131" t="s">
        <v>795</v>
      </c>
      <c r="D1580" s="108" t="s">
        <v>86</v>
      </c>
      <c r="E1580" s="108" t="s">
        <v>13</v>
      </c>
      <c r="F1580" s="131" t="s">
        <v>1056</v>
      </c>
      <c r="G1580" s="131" t="s">
        <v>9</v>
      </c>
      <c r="H1580" s="126">
        <f>H1584</f>
        <v>0</v>
      </c>
      <c r="I1580" s="131" t="s">
        <v>1231</v>
      </c>
      <c r="J1580" s="131" t="str">
        <f t="shared" si="277"/>
        <v>04304G6420</v>
      </c>
      <c r="K1580" s="132"/>
      <c r="L1580" s="17"/>
      <c r="M1580" s="20"/>
      <c r="N1580" s="20"/>
      <c r="O1580" s="20"/>
      <c r="P1580" s="20"/>
      <c r="Q1580" s="20"/>
      <c r="R1580" s="20"/>
      <c r="S1580" s="17"/>
    </row>
    <row r="1581" spans="1:19" s="16" customFormat="1" ht="15.75">
      <c r="A1581" s="14"/>
      <c r="B1581" s="132" t="s">
        <v>1045</v>
      </c>
      <c r="C1581" s="131"/>
      <c r="D1581" s="108"/>
      <c r="E1581" s="108"/>
      <c r="F1581" s="131"/>
      <c r="G1581" s="131"/>
      <c r="H1581" s="126"/>
      <c r="I1581" s="131"/>
      <c r="J1581" s="131" t="str">
        <f t="shared" si="277"/>
        <v>0000000000</v>
      </c>
      <c r="K1581" s="17"/>
      <c r="L1581" s="17"/>
      <c r="M1581" s="20"/>
      <c r="N1581" s="20"/>
      <c r="O1581" s="20"/>
      <c r="P1581" s="20"/>
      <c r="Q1581" s="20"/>
      <c r="R1581" s="20"/>
      <c r="S1581" s="17"/>
    </row>
    <row r="1582" spans="1:19" s="16" customFormat="1" ht="15.75">
      <c r="A1582" s="14"/>
      <c r="B1582" s="125" t="s">
        <v>1046</v>
      </c>
      <c r="C1582" s="131" t="s">
        <v>795</v>
      </c>
      <c r="D1582" s="108" t="s">
        <v>86</v>
      </c>
      <c r="E1582" s="108" t="s">
        <v>13</v>
      </c>
      <c r="F1582" s="131" t="s">
        <v>1056</v>
      </c>
      <c r="G1582" s="131" t="s">
        <v>9</v>
      </c>
      <c r="H1582" s="126">
        <v>305500</v>
      </c>
      <c r="I1582" s="131" t="s">
        <v>1231</v>
      </c>
      <c r="J1582" s="131" t="str">
        <f t="shared" si="277"/>
        <v>04304G6420</v>
      </c>
      <c r="K1582" s="132"/>
      <c r="L1582" s="17"/>
      <c r="M1582" s="20"/>
      <c r="N1582" s="20"/>
      <c r="O1582" s="20"/>
      <c r="P1582" s="20"/>
      <c r="Q1582" s="20"/>
      <c r="R1582" s="20"/>
      <c r="S1582" s="17"/>
    </row>
    <row r="1583" spans="1:19" s="16" customFormat="1" ht="15.75">
      <c r="A1583" s="14"/>
      <c r="B1583" s="125" t="s">
        <v>1047</v>
      </c>
      <c r="C1583" s="131" t="s">
        <v>795</v>
      </c>
      <c r="D1583" s="108" t="s">
        <v>86</v>
      </c>
      <c r="E1583" s="108" t="s">
        <v>13</v>
      </c>
      <c r="F1583" s="131" t="s">
        <v>1056</v>
      </c>
      <c r="G1583" s="131" t="s">
        <v>9</v>
      </c>
      <c r="H1583" s="126">
        <v>1200000</v>
      </c>
      <c r="I1583" s="131" t="s">
        <v>1231</v>
      </c>
      <c r="J1583" s="131" t="str">
        <f t="shared" si="277"/>
        <v>04304G6420</v>
      </c>
      <c r="K1583" s="132"/>
      <c r="L1583" s="17"/>
      <c r="M1583" s="20"/>
      <c r="N1583" s="20"/>
      <c r="O1583" s="20"/>
      <c r="P1583" s="20"/>
      <c r="Q1583" s="20"/>
      <c r="R1583" s="20"/>
      <c r="S1583" s="17"/>
    </row>
    <row r="1584" spans="1:19" s="16" customFormat="1" ht="31.5">
      <c r="A1584" s="14"/>
      <c r="B1584" s="125" t="s">
        <v>28</v>
      </c>
      <c r="C1584" s="131" t="s">
        <v>795</v>
      </c>
      <c r="D1584" s="108" t="s">
        <v>86</v>
      </c>
      <c r="E1584" s="108" t="s">
        <v>13</v>
      </c>
      <c r="F1584" s="131" t="s">
        <v>1056</v>
      </c>
      <c r="G1584" s="131" t="s">
        <v>29</v>
      </c>
      <c r="H1584" s="126">
        <f>H1585</f>
        <v>0</v>
      </c>
      <c r="I1584" s="131" t="s">
        <v>1231</v>
      </c>
      <c r="J1584" s="131" t="str">
        <f t="shared" si="277"/>
        <v>04304G6420</v>
      </c>
      <c r="K1584" s="132"/>
      <c r="L1584" s="17"/>
      <c r="M1584" s="20"/>
      <c r="N1584" s="20"/>
      <c r="O1584" s="20"/>
      <c r="P1584" s="20"/>
      <c r="Q1584" s="20"/>
      <c r="R1584" s="20"/>
      <c r="S1584" s="17"/>
    </row>
    <row r="1585" spans="1:19" s="16" customFormat="1" ht="15.75">
      <c r="A1585" s="14"/>
      <c r="B1585" s="125" t="s">
        <v>30</v>
      </c>
      <c r="C1585" s="131" t="s">
        <v>795</v>
      </c>
      <c r="D1585" s="108" t="s">
        <v>86</v>
      </c>
      <c r="E1585" s="108" t="s">
        <v>13</v>
      </c>
      <c r="F1585" s="131" t="s">
        <v>1056</v>
      </c>
      <c r="G1585" s="131" t="s">
        <v>31</v>
      </c>
      <c r="H1585" s="126"/>
      <c r="I1585" s="131" t="s">
        <v>1231</v>
      </c>
      <c r="J1585" s="131" t="str">
        <f t="shared" si="277"/>
        <v>04304G6420</v>
      </c>
      <c r="K1585" s="304" t="str">
        <f>C1585&amp;D1585&amp;E1585&amp;J1585&amp;G1585</f>
        <v>619050304304G6420244</v>
      </c>
      <c r="L1585" s="17"/>
      <c r="M1585" s="20"/>
      <c r="N1585" s="20"/>
      <c r="O1585" s="20"/>
      <c r="P1585" s="20"/>
      <c r="Q1585" s="20"/>
      <c r="R1585" s="20"/>
      <c r="S1585" s="17"/>
    </row>
    <row r="1586" spans="1:19" s="16" customFormat="1" ht="47.25">
      <c r="A1586" s="14"/>
      <c r="B1586" s="127" t="s">
        <v>1048</v>
      </c>
      <c r="C1586" s="131" t="s">
        <v>795</v>
      </c>
      <c r="D1586" s="108" t="s">
        <v>86</v>
      </c>
      <c r="E1586" s="108" t="s">
        <v>13</v>
      </c>
      <c r="F1586" s="131" t="s">
        <v>1057</v>
      </c>
      <c r="G1586" s="131" t="s">
        <v>9</v>
      </c>
      <c r="H1586" s="126">
        <f>H1590</f>
        <v>0</v>
      </c>
      <c r="I1586" s="131" t="s">
        <v>1232</v>
      </c>
      <c r="J1586" s="131" t="str">
        <f t="shared" si="277"/>
        <v>04304S6420</v>
      </c>
      <c r="K1586" s="132"/>
      <c r="L1586" s="17"/>
      <c r="M1586" s="20"/>
      <c r="N1586" s="20"/>
      <c r="O1586" s="20"/>
      <c r="P1586" s="20"/>
      <c r="Q1586" s="20"/>
      <c r="R1586" s="20"/>
      <c r="S1586" s="17"/>
    </row>
    <row r="1587" spans="1:19" s="16" customFormat="1" ht="15.75">
      <c r="A1587" s="14"/>
      <c r="B1587" s="132" t="s">
        <v>1045</v>
      </c>
      <c r="C1587" s="131"/>
      <c r="D1587" s="108"/>
      <c r="E1587" s="108"/>
      <c r="F1587" s="131"/>
      <c r="G1587" s="131"/>
      <c r="H1587" s="126"/>
      <c r="I1587" s="131"/>
      <c r="J1587" s="131" t="str">
        <f t="shared" si="277"/>
        <v>0000000000</v>
      </c>
      <c r="K1587" s="17"/>
      <c r="L1587" s="17"/>
      <c r="M1587" s="20"/>
      <c r="N1587" s="20"/>
      <c r="O1587" s="20"/>
      <c r="P1587" s="20"/>
      <c r="Q1587" s="20"/>
      <c r="R1587" s="20"/>
      <c r="S1587" s="17"/>
    </row>
    <row r="1588" spans="1:19" s="16" customFormat="1" ht="15.75">
      <c r="A1588" s="14"/>
      <c r="B1588" s="125" t="s">
        <v>1050</v>
      </c>
      <c r="C1588" s="131" t="s">
        <v>795</v>
      </c>
      <c r="D1588" s="108" t="s">
        <v>86</v>
      </c>
      <c r="E1588" s="108" t="s">
        <v>13</v>
      </c>
      <c r="F1588" s="131" t="s">
        <v>1057</v>
      </c>
      <c r="G1588" s="131" t="s">
        <v>9</v>
      </c>
      <c r="H1588" s="126">
        <v>2674500</v>
      </c>
      <c r="I1588" s="131" t="s">
        <v>1232</v>
      </c>
      <c r="J1588" s="131" t="str">
        <f t="shared" si="277"/>
        <v>04304S6420</v>
      </c>
      <c r="K1588" s="132"/>
      <c r="L1588" s="17"/>
      <c r="M1588" s="20"/>
      <c r="N1588" s="20"/>
      <c r="O1588" s="20"/>
      <c r="P1588" s="20"/>
      <c r="Q1588" s="20"/>
      <c r="R1588" s="20"/>
      <c r="S1588" s="17"/>
    </row>
    <row r="1589" spans="1:19" s="16" customFormat="1" ht="15.75">
      <c r="A1589" s="14"/>
      <c r="B1589" s="125" t="s">
        <v>1051</v>
      </c>
      <c r="C1589" s="131" t="s">
        <v>795</v>
      </c>
      <c r="D1589" s="108" t="s">
        <v>86</v>
      </c>
      <c r="E1589" s="108" t="s">
        <v>13</v>
      </c>
      <c r="F1589" s="131" t="s">
        <v>1057</v>
      </c>
      <c r="G1589" s="131" t="s">
        <v>9</v>
      </c>
      <c r="H1589" s="126">
        <v>5920000</v>
      </c>
      <c r="I1589" s="131" t="s">
        <v>1232</v>
      </c>
      <c r="J1589" s="131" t="str">
        <f t="shared" si="277"/>
        <v>04304S6420</v>
      </c>
      <c r="K1589" s="132"/>
      <c r="L1589" s="17"/>
      <c r="M1589" s="20"/>
      <c r="N1589" s="20"/>
      <c r="O1589" s="20"/>
      <c r="P1589" s="20"/>
      <c r="Q1589" s="20"/>
      <c r="R1589" s="20"/>
      <c r="S1589" s="17"/>
    </row>
    <row r="1590" spans="1:19" s="16" customFormat="1" ht="31.5">
      <c r="A1590" s="14"/>
      <c r="B1590" s="125" t="s">
        <v>28</v>
      </c>
      <c r="C1590" s="131" t="s">
        <v>795</v>
      </c>
      <c r="D1590" s="108" t="s">
        <v>86</v>
      </c>
      <c r="E1590" s="108" t="s">
        <v>13</v>
      </c>
      <c r="F1590" s="131" t="s">
        <v>1057</v>
      </c>
      <c r="G1590" s="131" t="s">
        <v>29</v>
      </c>
      <c r="H1590" s="126">
        <f>H1591</f>
        <v>0</v>
      </c>
      <c r="I1590" s="131" t="s">
        <v>1232</v>
      </c>
      <c r="J1590" s="131" t="str">
        <f t="shared" si="277"/>
        <v>04304S6420</v>
      </c>
      <c r="K1590" s="132"/>
      <c r="L1590" s="17"/>
      <c r="M1590" s="20"/>
      <c r="N1590" s="20"/>
      <c r="O1590" s="20"/>
      <c r="P1590" s="20"/>
      <c r="Q1590" s="20"/>
      <c r="R1590" s="20"/>
      <c r="S1590" s="17"/>
    </row>
    <row r="1591" spans="1:19" s="16" customFormat="1" ht="15.75">
      <c r="A1591" s="14"/>
      <c r="B1591" s="125" t="s">
        <v>30</v>
      </c>
      <c r="C1591" s="131" t="s">
        <v>795</v>
      </c>
      <c r="D1591" s="108" t="s">
        <v>86</v>
      </c>
      <c r="E1591" s="108" t="s">
        <v>13</v>
      </c>
      <c r="F1591" s="131" t="s">
        <v>1057</v>
      </c>
      <c r="G1591" s="131" t="s">
        <v>31</v>
      </c>
      <c r="H1591" s="126"/>
      <c r="I1591" s="131" t="s">
        <v>1232</v>
      </c>
      <c r="J1591" s="131" t="str">
        <f t="shared" si="277"/>
        <v>04304S6420</v>
      </c>
      <c r="K1591" s="304" t="str">
        <f>C1591&amp;D1591&amp;E1591&amp;J1591&amp;G1591</f>
        <v>619050304304S6420244</v>
      </c>
      <c r="L1591" s="17"/>
      <c r="M1591" s="20"/>
      <c r="N1591" s="20"/>
      <c r="O1591" s="20"/>
      <c r="P1591" s="20"/>
      <c r="Q1591" s="20"/>
      <c r="R1591" s="20"/>
      <c r="S1591" s="17"/>
    </row>
    <row r="1592" spans="1:19" s="16" customFormat="1" ht="63">
      <c r="A1592" s="14"/>
      <c r="B1592" s="140" t="s">
        <v>87</v>
      </c>
      <c r="C1592" s="131" t="s">
        <v>795</v>
      </c>
      <c r="D1592" s="131" t="s">
        <v>86</v>
      </c>
      <c r="E1592" s="131" t="s">
        <v>13</v>
      </c>
      <c r="F1592" s="131" t="s">
        <v>88</v>
      </c>
      <c r="G1592" s="131" t="s">
        <v>9</v>
      </c>
      <c r="H1592" s="105">
        <f>H1593</f>
        <v>0</v>
      </c>
      <c r="I1592" s="131">
        <v>9800000000</v>
      </c>
      <c r="J1592" s="131" t="str">
        <f t="shared" si="277"/>
        <v>9800000000</v>
      </c>
      <c r="K1592" s="132"/>
      <c r="L1592" s="17"/>
      <c r="M1592" s="26">
        <v>5500</v>
      </c>
      <c r="N1592" s="26">
        <v>0</v>
      </c>
      <c r="O1592" s="26">
        <v>0</v>
      </c>
      <c r="P1592" s="26">
        <f>H1592-M1592</f>
        <v>-5500</v>
      </c>
      <c r="Q1592" s="26" t="e">
        <f>#REF!-N1592</f>
        <v>#REF!</v>
      </c>
      <c r="R1592" s="26" t="e">
        <f>#REF!-O1592</f>
        <v>#REF!</v>
      </c>
      <c r="S1592" s="17" t="str">
        <f t="shared" si="261"/>
        <v>98 0 00 00000000</v>
      </c>
    </row>
    <row r="1593" spans="1:19" s="16" customFormat="1" ht="15.75">
      <c r="A1593" s="14"/>
      <c r="B1593" s="140" t="s">
        <v>89</v>
      </c>
      <c r="C1593" s="131" t="s">
        <v>795</v>
      </c>
      <c r="D1593" s="131" t="s">
        <v>86</v>
      </c>
      <c r="E1593" s="131" t="s">
        <v>13</v>
      </c>
      <c r="F1593" s="131" t="s">
        <v>90</v>
      </c>
      <c r="G1593" s="131" t="s">
        <v>9</v>
      </c>
      <c r="H1593" s="105">
        <f>H1594</f>
        <v>0</v>
      </c>
      <c r="I1593" s="131">
        <v>9810000000</v>
      </c>
      <c r="J1593" s="131" t="str">
        <f t="shared" si="277"/>
        <v>9810000000</v>
      </c>
      <c r="K1593" s="132"/>
      <c r="L1593" s="17"/>
      <c r="M1593" s="26">
        <v>5500</v>
      </c>
      <c r="N1593" s="26">
        <v>0</v>
      </c>
      <c r="O1593" s="26">
        <v>0</v>
      </c>
      <c r="P1593" s="26">
        <f>H1593-M1593</f>
        <v>-5500</v>
      </c>
      <c r="Q1593" s="26" t="e">
        <f>#REF!-N1593</f>
        <v>#REF!</v>
      </c>
      <c r="R1593" s="26" t="e">
        <f>#REF!-O1593</f>
        <v>#REF!</v>
      </c>
      <c r="S1593" s="17" t="str">
        <f t="shared" si="261"/>
        <v>98 1 00 00000000</v>
      </c>
    </row>
    <row r="1594" spans="1:19" s="16" customFormat="1" ht="31.5">
      <c r="A1594" s="14"/>
      <c r="B1594" s="125" t="s">
        <v>778</v>
      </c>
      <c r="C1594" s="131" t="s">
        <v>795</v>
      </c>
      <c r="D1594" s="131" t="s">
        <v>86</v>
      </c>
      <c r="E1594" s="131" t="s">
        <v>13</v>
      </c>
      <c r="F1594" s="131" t="s">
        <v>779</v>
      </c>
      <c r="G1594" s="131" t="s">
        <v>9</v>
      </c>
      <c r="H1594" s="105">
        <f>H1595</f>
        <v>0</v>
      </c>
      <c r="I1594" s="131">
        <v>9810021450</v>
      </c>
      <c r="J1594" s="131" t="str">
        <f t="shared" si="277"/>
        <v>9810021450</v>
      </c>
      <c r="K1594" s="132"/>
      <c r="L1594" s="17"/>
      <c r="M1594" s="26">
        <v>5500</v>
      </c>
      <c r="N1594" s="26">
        <v>0</v>
      </c>
      <c r="O1594" s="26">
        <v>0</v>
      </c>
      <c r="P1594" s="26">
        <f>H1594-M1594</f>
        <v>-5500</v>
      </c>
      <c r="Q1594" s="26" t="e">
        <f>#REF!-N1594</f>
        <v>#REF!</v>
      </c>
      <c r="R1594" s="26" t="e">
        <f>#REF!-O1594</f>
        <v>#REF!</v>
      </c>
      <c r="S1594" s="17" t="str">
        <f t="shared" si="261"/>
        <v>98 1 00 21450000</v>
      </c>
    </row>
    <row r="1595" spans="1:19" s="16" customFormat="1" ht="31.5">
      <c r="A1595" s="14"/>
      <c r="B1595" s="125" t="s">
        <v>28</v>
      </c>
      <c r="C1595" s="131" t="s">
        <v>795</v>
      </c>
      <c r="D1595" s="131" t="s">
        <v>86</v>
      </c>
      <c r="E1595" s="131" t="s">
        <v>13</v>
      </c>
      <c r="F1595" s="131" t="s">
        <v>779</v>
      </c>
      <c r="G1595" s="131" t="s">
        <v>29</v>
      </c>
      <c r="H1595" s="126">
        <f>H1596</f>
        <v>0</v>
      </c>
      <c r="I1595" s="131">
        <v>9810021450</v>
      </c>
      <c r="J1595" s="131" t="str">
        <f t="shared" si="277"/>
        <v>9810021450</v>
      </c>
      <c r="K1595" s="132"/>
      <c r="L1595" s="17"/>
      <c r="M1595" s="26">
        <v>5500</v>
      </c>
      <c r="N1595" s="26">
        <v>0</v>
      </c>
      <c r="O1595" s="26">
        <v>0</v>
      </c>
      <c r="P1595" s="26">
        <f>H1595-M1595</f>
        <v>-5500</v>
      </c>
      <c r="Q1595" s="26" t="e">
        <f>#REF!-N1595</f>
        <v>#REF!</v>
      </c>
      <c r="R1595" s="26" t="e">
        <f>#REF!-O1595</f>
        <v>#REF!</v>
      </c>
      <c r="S1595" s="17" t="str">
        <f t="shared" si="261"/>
        <v>98 1 00 21450240</v>
      </c>
    </row>
    <row r="1596" spans="1:19" s="16" customFormat="1" ht="15.75">
      <c r="A1596" s="14"/>
      <c r="B1596" s="125" t="s">
        <v>30</v>
      </c>
      <c r="C1596" s="131" t="s">
        <v>795</v>
      </c>
      <c r="D1596" s="131" t="s">
        <v>86</v>
      </c>
      <c r="E1596" s="131" t="s">
        <v>13</v>
      </c>
      <c r="F1596" s="131" t="s">
        <v>779</v>
      </c>
      <c r="G1596" s="131" t="s">
        <v>31</v>
      </c>
      <c r="H1596" s="126"/>
      <c r="I1596" s="131">
        <v>9810021450</v>
      </c>
      <c r="J1596" s="131" t="str">
        <f t="shared" si="277"/>
        <v>9810021450</v>
      </c>
      <c r="K1596" s="304" t="str">
        <f>C1596&amp;D1596&amp;E1596&amp;J1596&amp;G1596</f>
        <v>61905039810021450244</v>
      </c>
      <c r="L1596" s="17"/>
      <c r="M1596" s="26"/>
      <c r="N1596" s="26"/>
      <c r="O1596" s="26"/>
      <c r="P1596" s="26"/>
      <c r="Q1596" s="26"/>
      <c r="R1596" s="26"/>
      <c r="S1596" s="17"/>
    </row>
    <row r="1597" spans="1:19" s="16" customFormat="1" ht="15.75">
      <c r="A1597" s="14"/>
      <c r="B1597" s="117" t="s">
        <v>569</v>
      </c>
      <c r="C1597" s="118" t="s">
        <v>795</v>
      </c>
      <c r="D1597" s="119" t="s">
        <v>238</v>
      </c>
      <c r="E1597" s="119" t="s">
        <v>7</v>
      </c>
      <c r="F1597" s="119" t="s">
        <v>8</v>
      </c>
      <c r="G1597" s="119" t="s">
        <v>9</v>
      </c>
      <c r="H1597" s="120">
        <f t="shared" ref="H1597:H1600" si="278">H1598</f>
        <v>0</v>
      </c>
      <c r="I1597" s="119">
        <v>0</v>
      </c>
      <c r="J1597" s="119" t="str">
        <f t="shared" si="277"/>
        <v>0000000000</v>
      </c>
      <c r="K1597" s="132"/>
      <c r="L1597" s="17"/>
      <c r="M1597" s="18">
        <v>1549</v>
      </c>
      <c r="N1597" s="18">
        <v>1549</v>
      </c>
      <c r="O1597" s="18">
        <v>1549</v>
      </c>
      <c r="P1597" s="18">
        <f t="shared" ref="P1597:P1603" si="279">H1597-M1597</f>
        <v>-1549</v>
      </c>
      <c r="Q1597" s="18" t="e">
        <f>#REF!-N1597</f>
        <v>#REF!</v>
      </c>
      <c r="R1597" s="18" t="e">
        <f>#REF!-O1597</f>
        <v>#REF!</v>
      </c>
      <c r="S1597" s="17" t="str">
        <f t="shared" si="261"/>
        <v>00 0 00 00000000</v>
      </c>
    </row>
    <row r="1598" spans="1:19" s="16" customFormat="1" ht="15.75">
      <c r="A1598" s="14"/>
      <c r="B1598" s="157" t="s">
        <v>239</v>
      </c>
      <c r="C1598" s="122" t="s">
        <v>795</v>
      </c>
      <c r="D1598" s="123" t="s">
        <v>238</v>
      </c>
      <c r="E1598" s="123" t="s">
        <v>11</v>
      </c>
      <c r="F1598" s="123" t="s">
        <v>8</v>
      </c>
      <c r="G1598" s="123" t="s">
        <v>9</v>
      </c>
      <c r="H1598" s="124">
        <f t="shared" si="278"/>
        <v>0</v>
      </c>
      <c r="I1598" s="123">
        <v>0</v>
      </c>
      <c r="J1598" s="123" t="str">
        <f t="shared" si="277"/>
        <v>0000000000</v>
      </c>
      <c r="K1598" s="132"/>
      <c r="L1598" s="17"/>
      <c r="M1598" s="19">
        <v>1549</v>
      </c>
      <c r="N1598" s="19">
        <v>1549</v>
      </c>
      <c r="O1598" s="19">
        <v>1549</v>
      </c>
      <c r="P1598" s="19">
        <f t="shared" si="279"/>
        <v>-1549</v>
      </c>
      <c r="Q1598" s="19" t="e">
        <f>#REF!-N1598</f>
        <v>#REF!</v>
      </c>
      <c r="R1598" s="19" t="e">
        <f>#REF!-O1598</f>
        <v>#REF!</v>
      </c>
      <c r="S1598" s="17" t="str">
        <f t="shared" si="261"/>
        <v>00 0 00 00000000</v>
      </c>
    </row>
    <row r="1599" spans="1:19" s="16" customFormat="1" ht="31.5">
      <c r="A1599" s="14"/>
      <c r="B1599" s="125" t="s">
        <v>240</v>
      </c>
      <c r="C1599" s="108" t="s">
        <v>795</v>
      </c>
      <c r="D1599" s="108" t="s">
        <v>238</v>
      </c>
      <c r="E1599" s="108" t="s">
        <v>11</v>
      </c>
      <c r="F1599" s="108" t="s">
        <v>241</v>
      </c>
      <c r="G1599" s="108" t="s">
        <v>9</v>
      </c>
      <c r="H1599" s="126">
        <f t="shared" si="278"/>
        <v>0</v>
      </c>
      <c r="I1599" s="108">
        <v>700000000</v>
      </c>
      <c r="J1599" s="108" t="str">
        <f t="shared" si="277"/>
        <v>0700000000</v>
      </c>
      <c r="K1599" s="132"/>
      <c r="L1599" s="17"/>
      <c r="M1599" s="20">
        <v>1549</v>
      </c>
      <c r="N1599" s="20">
        <v>1549</v>
      </c>
      <c r="O1599" s="20">
        <v>1549</v>
      </c>
      <c r="P1599" s="20">
        <f t="shared" si="279"/>
        <v>-1549</v>
      </c>
      <c r="Q1599" s="20" t="e">
        <f>#REF!-N1599</f>
        <v>#REF!</v>
      </c>
      <c r="R1599" s="20" t="e">
        <f>#REF!-O1599</f>
        <v>#REF!</v>
      </c>
      <c r="S1599" s="17" t="str">
        <f t="shared" si="261"/>
        <v>07 0 00 00000000</v>
      </c>
    </row>
    <row r="1600" spans="1:19" s="16" customFormat="1" ht="78.75">
      <c r="A1600" s="14"/>
      <c r="B1600" s="129" t="s">
        <v>804</v>
      </c>
      <c r="C1600" s="131" t="s">
        <v>795</v>
      </c>
      <c r="D1600" s="131" t="s">
        <v>238</v>
      </c>
      <c r="E1600" s="131" t="s">
        <v>11</v>
      </c>
      <c r="F1600" s="131" t="s">
        <v>243</v>
      </c>
      <c r="G1600" s="131" t="s">
        <v>9</v>
      </c>
      <c r="H1600" s="105">
        <f t="shared" si="278"/>
        <v>0</v>
      </c>
      <c r="I1600" s="131">
        <v>710000000</v>
      </c>
      <c r="J1600" s="131" t="str">
        <f t="shared" si="277"/>
        <v>0710000000</v>
      </c>
      <c r="K1600" s="132"/>
      <c r="L1600" s="17"/>
      <c r="M1600" s="26">
        <v>1549</v>
      </c>
      <c r="N1600" s="26">
        <v>1549</v>
      </c>
      <c r="O1600" s="26">
        <v>1549</v>
      </c>
      <c r="P1600" s="26">
        <f t="shared" si="279"/>
        <v>-1549</v>
      </c>
      <c r="Q1600" s="26" t="e">
        <f>#REF!-N1600</f>
        <v>#REF!</v>
      </c>
      <c r="R1600" s="26" t="e">
        <f>#REF!-O1600</f>
        <v>#REF!</v>
      </c>
      <c r="S1600" s="17" t="str">
        <f t="shared" si="261"/>
        <v>07 1 00 00000000</v>
      </c>
    </row>
    <row r="1601" spans="1:19" s="16" customFormat="1" ht="110.25">
      <c r="A1601" s="14"/>
      <c r="B1601" s="155" t="s">
        <v>244</v>
      </c>
      <c r="C1601" s="131" t="s">
        <v>795</v>
      </c>
      <c r="D1601" s="131" t="s">
        <v>238</v>
      </c>
      <c r="E1601" s="131" t="s">
        <v>11</v>
      </c>
      <c r="F1601" s="131" t="s">
        <v>245</v>
      </c>
      <c r="G1601" s="131" t="s">
        <v>9</v>
      </c>
      <c r="H1601" s="105">
        <f>H1602+H1605</f>
        <v>0</v>
      </c>
      <c r="I1601" s="131">
        <v>710100000</v>
      </c>
      <c r="J1601" s="131" t="str">
        <f t="shared" si="277"/>
        <v>0710100000</v>
      </c>
      <c r="K1601" s="132"/>
      <c r="L1601" s="17"/>
      <c r="M1601" s="26">
        <v>1549</v>
      </c>
      <c r="N1601" s="26">
        <v>1549</v>
      </c>
      <c r="O1601" s="26">
        <v>1549</v>
      </c>
      <c r="P1601" s="26">
        <f t="shared" si="279"/>
        <v>-1549</v>
      </c>
      <c r="Q1601" s="26" t="e">
        <f>#REF!-N1601</f>
        <v>#REF!</v>
      </c>
      <c r="R1601" s="26" t="e">
        <f>#REF!-O1601</f>
        <v>#REF!</v>
      </c>
      <c r="S1601" s="17" t="str">
        <f t="shared" si="261"/>
        <v>07 1 01 00000000</v>
      </c>
    </row>
    <row r="1602" spans="1:19" s="16" customFormat="1" ht="31.5">
      <c r="A1602" s="14"/>
      <c r="B1602" s="129" t="s">
        <v>246</v>
      </c>
      <c r="C1602" s="131" t="s">
        <v>795</v>
      </c>
      <c r="D1602" s="131" t="s">
        <v>238</v>
      </c>
      <c r="E1602" s="131" t="s">
        <v>11</v>
      </c>
      <c r="F1602" s="131" t="s">
        <v>247</v>
      </c>
      <c r="G1602" s="131" t="s">
        <v>9</v>
      </c>
      <c r="H1602" s="105">
        <f>H1603</f>
        <v>0</v>
      </c>
      <c r="I1602" s="131">
        <v>710120060</v>
      </c>
      <c r="J1602" s="131" t="str">
        <f t="shared" si="277"/>
        <v>0710120060</v>
      </c>
      <c r="K1602" s="132"/>
      <c r="L1602" s="17"/>
      <c r="M1602" s="26">
        <v>911.5</v>
      </c>
      <c r="N1602" s="26">
        <v>911.5</v>
      </c>
      <c r="O1602" s="26">
        <v>911.5</v>
      </c>
      <c r="P1602" s="26">
        <f t="shared" si="279"/>
        <v>-911.5</v>
      </c>
      <c r="Q1602" s="26" t="e">
        <f>#REF!-N1602</f>
        <v>#REF!</v>
      </c>
      <c r="R1602" s="26" t="e">
        <f>#REF!-O1602</f>
        <v>#REF!</v>
      </c>
      <c r="S1602" s="17" t="str">
        <f t="shared" si="261"/>
        <v>07 1 01 20060000</v>
      </c>
    </row>
    <row r="1603" spans="1:19" s="16" customFormat="1" ht="31.5">
      <c r="A1603" s="14"/>
      <c r="B1603" s="125" t="s">
        <v>28</v>
      </c>
      <c r="C1603" s="131" t="s">
        <v>795</v>
      </c>
      <c r="D1603" s="131" t="s">
        <v>238</v>
      </c>
      <c r="E1603" s="131" t="s">
        <v>11</v>
      </c>
      <c r="F1603" s="131" t="s">
        <v>247</v>
      </c>
      <c r="G1603" s="131" t="s">
        <v>29</v>
      </c>
      <c r="H1603" s="126">
        <f>H1604</f>
        <v>0</v>
      </c>
      <c r="I1603" s="131">
        <v>710120060</v>
      </c>
      <c r="J1603" s="131" t="str">
        <f t="shared" si="277"/>
        <v>0710120060</v>
      </c>
      <c r="K1603" s="132"/>
      <c r="L1603" s="17"/>
      <c r="M1603" s="20">
        <v>911.5</v>
      </c>
      <c r="N1603" s="20">
        <v>911.5</v>
      </c>
      <c r="O1603" s="20">
        <v>911.5</v>
      </c>
      <c r="P1603" s="20">
        <f t="shared" si="279"/>
        <v>-911.5</v>
      </c>
      <c r="Q1603" s="20" t="e">
        <f>#REF!-N1603</f>
        <v>#REF!</v>
      </c>
      <c r="R1603" s="20" t="e">
        <f>#REF!-O1603</f>
        <v>#REF!</v>
      </c>
      <c r="S1603" s="17" t="str">
        <f t="shared" si="261"/>
        <v>07 1 01 20060240</v>
      </c>
    </row>
    <row r="1604" spans="1:19" s="16" customFormat="1" ht="15.75">
      <c r="A1604" s="14"/>
      <c r="B1604" s="125" t="s">
        <v>30</v>
      </c>
      <c r="C1604" s="131" t="s">
        <v>795</v>
      </c>
      <c r="D1604" s="131" t="s">
        <v>238</v>
      </c>
      <c r="E1604" s="131" t="s">
        <v>11</v>
      </c>
      <c r="F1604" s="131" t="s">
        <v>247</v>
      </c>
      <c r="G1604" s="131" t="s">
        <v>31</v>
      </c>
      <c r="H1604" s="126"/>
      <c r="I1604" s="131">
        <v>710120060</v>
      </c>
      <c r="J1604" s="131" t="str">
        <f t="shared" si="277"/>
        <v>0710120060</v>
      </c>
      <c r="K1604" s="304" t="str">
        <f>C1604&amp;D1604&amp;E1604&amp;J1604&amp;G1604</f>
        <v>61908010710120060244</v>
      </c>
      <c r="L1604" s="17"/>
      <c r="M1604" s="20"/>
      <c r="N1604" s="20"/>
      <c r="O1604" s="20"/>
      <c r="P1604" s="20"/>
      <c r="Q1604" s="20"/>
      <c r="R1604" s="20"/>
      <c r="S1604" s="17"/>
    </row>
    <row r="1605" spans="1:19" s="16" customFormat="1" ht="47.25">
      <c r="A1605" s="14"/>
      <c r="B1605" s="127" t="s">
        <v>780</v>
      </c>
      <c r="C1605" s="131" t="s">
        <v>795</v>
      </c>
      <c r="D1605" s="131" t="s">
        <v>238</v>
      </c>
      <c r="E1605" s="131" t="s">
        <v>11</v>
      </c>
      <c r="F1605" s="131" t="s">
        <v>781</v>
      </c>
      <c r="G1605" s="131" t="s">
        <v>9</v>
      </c>
      <c r="H1605" s="161">
        <f>H1606</f>
        <v>0</v>
      </c>
      <c r="I1605" s="131">
        <v>710121130</v>
      </c>
      <c r="J1605" s="131" t="str">
        <f t="shared" si="277"/>
        <v>0710121130</v>
      </c>
      <c r="K1605" s="132"/>
      <c r="L1605" s="17"/>
      <c r="M1605" s="55">
        <v>637.5</v>
      </c>
      <c r="N1605" s="55">
        <v>637.5</v>
      </c>
      <c r="O1605" s="55">
        <v>637.5</v>
      </c>
      <c r="P1605" s="55">
        <f>H1605-M1605</f>
        <v>-637.5</v>
      </c>
      <c r="Q1605" s="55" t="e">
        <f>#REF!-N1605</f>
        <v>#REF!</v>
      </c>
      <c r="R1605" s="55" t="e">
        <f>#REF!-O1605</f>
        <v>#REF!</v>
      </c>
      <c r="S1605" s="17" t="str">
        <f t="shared" si="261"/>
        <v>07 1 01 21130000</v>
      </c>
    </row>
    <row r="1606" spans="1:19" s="16" customFormat="1" ht="31.5">
      <c r="A1606" s="14"/>
      <c r="B1606" s="125" t="s">
        <v>28</v>
      </c>
      <c r="C1606" s="131" t="s">
        <v>795</v>
      </c>
      <c r="D1606" s="131" t="s">
        <v>238</v>
      </c>
      <c r="E1606" s="131" t="s">
        <v>11</v>
      </c>
      <c r="F1606" s="131" t="s">
        <v>781</v>
      </c>
      <c r="G1606" s="131" t="s">
        <v>29</v>
      </c>
      <c r="H1606" s="126">
        <f>H1607</f>
        <v>0</v>
      </c>
      <c r="I1606" s="131">
        <v>710121130</v>
      </c>
      <c r="J1606" s="131" t="str">
        <f t="shared" si="277"/>
        <v>0710121130</v>
      </c>
      <c r="K1606" s="132"/>
      <c r="L1606" s="17"/>
      <c r="M1606" s="20">
        <v>637.5</v>
      </c>
      <c r="N1606" s="20">
        <v>637.5</v>
      </c>
      <c r="O1606" s="20">
        <v>637.5</v>
      </c>
      <c r="P1606" s="20">
        <f>H1606-M1606</f>
        <v>-637.5</v>
      </c>
      <c r="Q1606" s="20" t="e">
        <f>#REF!-N1606</f>
        <v>#REF!</v>
      </c>
      <c r="R1606" s="20" t="e">
        <f>#REF!-O1606</f>
        <v>#REF!</v>
      </c>
      <c r="S1606" s="17" t="str">
        <f t="shared" si="261"/>
        <v>07 1 01 21130240</v>
      </c>
    </row>
    <row r="1607" spans="1:19" s="16" customFormat="1" ht="15.75">
      <c r="A1607" s="14"/>
      <c r="B1607" s="125" t="s">
        <v>30</v>
      </c>
      <c r="C1607" s="131" t="s">
        <v>795</v>
      </c>
      <c r="D1607" s="131" t="s">
        <v>238</v>
      </c>
      <c r="E1607" s="131" t="s">
        <v>11</v>
      </c>
      <c r="F1607" s="131" t="s">
        <v>781</v>
      </c>
      <c r="G1607" s="131" t="s">
        <v>31</v>
      </c>
      <c r="H1607" s="126"/>
      <c r="I1607" s="131">
        <v>710121130</v>
      </c>
      <c r="J1607" s="131" t="str">
        <f t="shared" si="277"/>
        <v>0710121130</v>
      </c>
      <c r="K1607" s="304" t="str">
        <f>C1607&amp;D1607&amp;E1607&amp;J1607&amp;G1607</f>
        <v>61908010710121130244</v>
      </c>
      <c r="L1607" s="17"/>
      <c r="M1607" s="20"/>
      <c r="N1607" s="20"/>
      <c r="O1607" s="20"/>
      <c r="P1607" s="20"/>
      <c r="Q1607" s="20"/>
      <c r="R1607" s="20"/>
      <c r="S1607" s="17"/>
    </row>
    <row r="1608" spans="1:19" s="16" customFormat="1" ht="15.75">
      <c r="A1608" s="14"/>
      <c r="B1608" s="125"/>
      <c r="C1608" s="131"/>
      <c r="D1608" s="131"/>
      <c r="E1608" s="131"/>
      <c r="F1608" s="131"/>
      <c r="G1608" s="131"/>
      <c r="H1608" s="126"/>
      <c r="I1608" s="131"/>
      <c r="J1608" s="131" t="str">
        <f t="shared" si="277"/>
        <v>0000000000</v>
      </c>
      <c r="K1608" s="17"/>
      <c r="L1608" s="17"/>
      <c r="M1608" s="20"/>
      <c r="N1608" s="20"/>
      <c r="O1608" s="20"/>
      <c r="P1608" s="20">
        <f t="shared" ref="P1608:P1616" si="280">H1608-M1608</f>
        <v>0</v>
      </c>
      <c r="Q1608" s="20" t="e">
        <f>#REF!-N1608</f>
        <v>#REF!</v>
      </c>
      <c r="R1608" s="20" t="e">
        <f>#REF!-O1608</f>
        <v>#REF!</v>
      </c>
      <c r="S1608" s="17" t="str">
        <f t="shared" si="261"/>
        <v/>
      </c>
    </row>
    <row r="1609" spans="1:19" s="16" customFormat="1" ht="31.5">
      <c r="A1609" s="14"/>
      <c r="B1609" s="67" t="s">
        <v>805</v>
      </c>
      <c r="C1609" s="116" t="s">
        <v>410</v>
      </c>
      <c r="D1609" s="69" t="s">
        <v>7</v>
      </c>
      <c r="E1609" s="69" t="s">
        <v>7</v>
      </c>
      <c r="F1609" s="69" t="s">
        <v>8</v>
      </c>
      <c r="G1609" s="69" t="s">
        <v>9</v>
      </c>
      <c r="H1609" s="162">
        <f>H1610+H1630+H1708+H1811+H1803</f>
        <v>0</v>
      </c>
      <c r="I1609" s="69">
        <v>0</v>
      </c>
      <c r="J1609" s="69" t="str">
        <f t="shared" si="277"/>
        <v>0000000000</v>
      </c>
      <c r="K1609" s="132"/>
      <c r="L1609" s="17"/>
      <c r="M1609" s="56">
        <v>613479.86</v>
      </c>
      <c r="N1609" s="56">
        <v>551006.57000000007</v>
      </c>
      <c r="O1609" s="56">
        <v>543634.79</v>
      </c>
      <c r="P1609" s="56">
        <f t="shared" si="280"/>
        <v>-613479.86</v>
      </c>
      <c r="Q1609" s="56" t="e">
        <f>#REF!-N1609</f>
        <v>#REF!</v>
      </c>
      <c r="R1609" s="56" t="e">
        <f>#REF!-O1609</f>
        <v>#REF!</v>
      </c>
      <c r="S1609" s="17" t="str">
        <f t="shared" si="261"/>
        <v>00 0 00 00000000</v>
      </c>
    </row>
    <row r="1610" spans="1:19" s="16" customFormat="1" ht="15.75">
      <c r="A1610" s="14"/>
      <c r="B1610" s="117" t="s">
        <v>10</v>
      </c>
      <c r="C1610" s="118" t="s">
        <v>410</v>
      </c>
      <c r="D1610" s="119" t="s">
        <v>11</v>
      </c>
      <c r="E1610" s="119" t="s">
        <v>7</v>
      </c>
      <c r="F1610" s="119" t="s">
        <v>8</v>
      </c>
      <c r="G1610" s="119" t="s">
        <v>9</v>
      </c>
      <c r="H1610" s="120">
        <f t="shared" ref="H1610:H1618" si="281">H1611</f>
        <v>0</v>
      </c>
      <c r="I1610" s="119">
        <v>0</v>
      </c>
      <c r="J1610" s="119" t="str">
        <f t="shared" si="277"/>
        <v>0000000000</v>
      </c>
      <c r="K1610" s="132"/>
      <c r="L1610" s="17"/>
      <c r="M1610" s="18">
        <v>571.66</v>
      </c>
      <c r="N1610" s="18">
        <v>571.66</v>
      </c>
      <c r="O1610" s="18">
        <v>571.66</v>
      </c>
      <c r="P1610" s="18">
        <f t="shared" si="280"/>
        <v>-571.66</v>
      </c>
      <c r="Q1610" s="18" t="e">
        <f>#REF!-N1610</f>
        <v>#REF!</v>
      </c>
      <c r="R1610" s="18" t="e">
        <f>#REF!-O1610</f>
        <v>#REF!</v>
      </c>
      <c r="S1610" s="17" t="str">
        <f t="shared" si="261"/>
        <v>00 0 00 00000000</v>
      </c>
    </row>
    <row r="1611" spans="1:19" s="16" customFormat="1" ht="15.75">
      <c r="A1611" s="14"/>
      <c r="B1611" s="121" t="s">
        <v>50</v>
      </c>
      <c r="C1611" s="122" t="s">
        <v>410</v>
      </c>
      <c r="D1611" s="123" t="s">
        <v>11</v>
      </c>
      <c r="E1611" s="123" t="s">
        <v>51</v>
      </c>
      <c r="F1611" s="123" t="s">
        <v>8</v>
      </c>
      <c r="G1611" s="123" t="s">
        <v>9</v>
      </c>
      <c r="H1611" s="124">
        <f>H1618+H1612</f>
        <v>0</v>
      </c>
      <c r="I1611" s="123">
        <v>0</v>
      </c>
      <c r="J1611" s="123" t="str">
        <f t="shared" si="277"/>
        <v>0000000000</v>
      </c>
      <c r="K1611" s="132"/>
      <c r="L1611" s="17"/>
      <c r="M1611" s="19">
        <v>571.66</v>
      </c>
      <c r="N1611" s="19">
        <v>571.66</v>
      </c>
      <c r="O1611" s="19">
        <v>571.66</v>
      </c>
      <c r="P1611" s="19">
        <f t="shared" si="280"/>
        <v>-571.66</v>
      </c>
      <c r="Q1611" s="19" t="e">
        <f>#REF!-N1611</f>
        <v>#REF!</v>
      </c>
      <c r="R1611" s="19" t="e">
        <f>#REF!-O1611</f>
        <v>#REF!</v>
      </c>
      <c r="S1611" s="17" t="str">
        <f t="shared" si="261"/>
        <v>00 0 00 00000000</v>
      </c>
    </row>
    <row r="1612" spans="1:19" s="16" customFormat="1" ht="63">
      <c r="A1612" s="14"/>
      <c r="B1612" s="125" t="s">
        <v>257</v>
      </c>
      <c r="C1612" s="109" t="s">
        <v>410</v>
      </c>
      <c r="D1612" s="108" t="s">
        <v>11</v>
      </c>
      <c r="E1612" s="108" t="s">
        <v>51</v>
      </c>
      <c r="F1612" s="14" t="s">
        <v>258</v>
      </c>
      <c r="G1612" s="108" t="s">
        <v>9</v>
      </c>
      <c r="H1612" s="126">
        <f>H1613</f>
        <v>0</v>
      </c>
      <c r="I1612" s="14">
        <v>1100000000</v>
      </c>
      <c r="J1612" s="14" t="str">
        <f t="shared" si="277"/>
        <v>1100000000</v>
      </c>
      <c r="K1612" s="132"/>
      <c r="L1612" s="17"/>
      <c r="M1612" s="20">
        <v>71.66</v>
      </c>
      <c r="N1612" s="20">
        <v>71.66</v>
      </c>
      <c r="O1612" s="20">
        <v>71.66</v>
      </c>
      <c r="P1612" s="20">
        <f t="shared" si="280"/>
        <v>-71.66</v>
      </c>
      <c r="Q1612" s="20" t="e">
        <f>#REF!-N1612</f>
        <v>#REF!</v>
      </c>
      <c r="R1612" s="20" t="e">
        <f>#REF!-O1612</f>
        <v>#REF!</v>
      </c>
      <c r="S1612" s="17" t="str">
        <f t="shared" ref="S1612:S1691" si="282">CONCATENATE(F1612,G1612)</f>
        <v>11 0 00 00000000</v>
      </c>
    </row>
    <row r="1613" spans="1:19" s="16" customFormat="1" ht="63">
      <c r="A1613" s="14"/>
      <c r="B1613" s="125" t="s">
        <v>259</v>
      </c>
      <c r="C1613" s="109" t="s">
        <v>410</v>
      </c>
      <c r="D1613" s="108" t="s">
        <v>11</v>
      </c>
      <c r="E1613" s="108" t="s">
        <v>51</v>
      </c>
      <c r="F1613" s="14" t="s">
        <v>260</v>
      </c>
      <c r="G1613" s="108" t="s">
        <v>9</v>
      </c>
      <c r="H1613" s="126">
        <f>H1614</f>
        <v>0</v>
      </c>
      <c r="I1613" s="14" t="s">
        <v>1171</v>
      </c>
      <c r="J1613" s="14" t="str">
        <f t="shared" si="277"/>
        <v>11Б0000000</v>
      </c>
      <c r="K1613" s="132"/>
      <c r="L1613" s="17"/>
      <c r="M1613" s="20">
        <v>71.66</v>
      </c>
      <c r="N1613" s="20">
        <v>71.66</v>
      </c>
      <c r="O1613" s="20">
        <v>71.66</v>
      </c>
      <c r="P1613" s="20">
        <f t="shared" si="280"/>
        <v>-71.66</v>
      </c>
      <c r="Q1613" s="20" t="e">
        <f>#REF!-N1613</f>
        <v>#REF!</v>
      </c>
      <c r="R1613" s="20" t="e">
        <f>#REF!-O1613</f>
        <v>#REF!</v>
      </c>
      <c r="S1613" s="17" t="str">
        <f t="shared" si="282"/>
        <v>11 Б 00 00000000</v>
      </c>
    </row>
    <row r="1614" spans="1:19" s="16" customFormat="1" ht="47.25">
      <c r="A1614" s="14"/>
      <c r="B1614" s="125" t="s">
        <v>261</v>
      </c>
      <c r="C1614" s="109" t="s">
        <v>410</v>
      </c>
      <c r="D1614" s="108" t="s">
        <v>11</v>
      </c>
      <c r="E1614" s="108" t="s">
        <v>51</v>
      </c>
      <c r="F1614" s="14" t="s">
        <v>262</v>
      </c>
      <c r="G1614" s="108" t="s">
        <v>9</v>
      </c>
      <c r="H1614" s="126">
        <f>H1615</f>
        <v>0</v>
      </c>
      <c r="I1614" s="14" t="s">
        <v>1172</v>
      </c>
      <c r="J1614" s="14" t="str">
        <f t="shared" si="277"/>
        <v>11Б0100000</v>
      </c>
      <c r="K1614" s="132"/>
      <c r="L1614" s="17"/>
      <c r="M1614" s="20">
        <v>71.66</v>
      </c>
      <c r="N1614" s="20">
        <v>71.66</v>
      </c>
      <c r="O1614" s="20">
        <v>71.66</v>
      </c>
      <c r="P1614" s="20">
        <f t="shared" si="280"/>
        <v>-71.66</v>
      </c>
      <c r="Q1614" s="20" t="e">
        <f>#REF!-N1614</f>
        <v>#REF!</v>
      </c>
      <c r="R1614" s="20" t="e">
        <f>#REF!-O1614</f>
        <v>#REF!</v>
      </c>
      <c r="S1614" s="17" t="str">
        <f t="shared" si="282"/>
        <v>11 Б 01 00000000</v>
      </c>
    </row>
    <row r="1615" spans="1:19" s="16" customFormat="1" ht="31.5">
      <c r="A1615" s="14"/>
      <c r="B1615" s="125" t="s">
        <v>267</v>
      </c>
      <c r="C1615" s="109" t="s">
        <v>410</v>
      </c>
      <c r="D1615" s="108" t="s">
        <v>11</v>
      </c>
      <c r="E1615" s="108" t="s">
        <v>51</v>
      </c>
      <c r="F1615" s="14" t="s">
        <v>268</v>
      </c>
      <c r="G1615" s="108" t="s">
        <v>9</v>
      </c>
      <c r="H1615" s="126">
        <f>H1616</f>
        <v>0</v>
      </c>
      <c r="I1615" s="14" t="s">
        <v>1175</v>
      </c>
      <c r="J1615" s="14" t="str">
        <f t="shared" si="277"/>
        <v>11Б0121120</v>
      </c>
      <c r="K1615" s="132"/>
      <c r="L1615" s="17"/>
      <c r="M1615" s="20">
        <v>71.66</v>
      </c>
      <c r="N1615" s="20">
        <v>71.66</v>
      </c>
      <c r="O1615" s="20">
        <v>71.66</v>
      </c>
      <c r="P1615" s="20">
        <f t="shared" si="280"/>
        <v>-71.66</v>
      </c>
      <c r="Q1615" s="20" t="e">
        <f>#REF!-N1615</f>
        <v>#REF!</v>
      </c>
      <c r="R1615" s="20" t="e">
        <f>#REF!-O1615</f>
        <v>#REF!</v>
      </c>
      <c r="S1615" s="17" t="str">
        <f t="shared" si="282"/>
        <v>11 Б 01 21120000</v>
      </c>
    </row>
    <row r="1616" spans="1:19" s="16" customFormat="1" ht="31.5">
      <c r="A1616" s="14"/>
      <c r="B1616" s="125" t="s">
        <v>28</v>
      </c>
      <c r="C1616" s="109" t="s">
        <v>410</v>
      </c>
      <c r="D1616" s="108" t="s">
        <v>11</v>
      </c>
      <c r="E1616" s="108" t="s">
        <v>51</v>
      </c>
      <c r="F1616" s="14" t="s">
        <v>268</v>
      </c>
      <c r="G1616" s="108" t="s">
        <v>29</v>
      </c>
      <c r="H1616" s="126">
        <f>H1617</f>
        <v>0</v>
      </c>
      <c r="I1616" s="14" t="s">
        <v>1175</v>
      </c>
      <c r="J1616" s="14" t="str">
        <f t="shared" si="277"/>
        <v>11Б0121120</v>
      </c>
      <c r="K1616" s="132"/>
      <c r="L1616" s="17"/>
      <c r="M1616" s="20">
        <v>71.66</v>
      </c>
      <c r="N1616" s="20">
        <v>71.66</v>
      </c>
      <c r="O1616" s="20">
        <v>71.66</v>
      </c>
      <c r="P1616" s="20">
        <f t="shared" si="280"/>
        <v>-71.66</v>
      </c>
      <c r="Q1616" s="20" t="e">
        <f>#REF!-N1616</f>
        <v>#REF!</v>
      </c>
      <c r="R1616" s="20" t="e">
        <f>#REF!-O1616</f>
        <v>#REF!</v>
      </c>
      <c r="S1616" s="17" t="str">
        <f t="shared" si="282"/>
        <v>11 Б 01 21120240</v>
      </c>
    </row>
    <row r="1617" spans="1:19" s="16" customFormat="1" ht="15.75">
      <c r="A1617" s="14"/>
      <c r="B1617" s="125" t="s">
        <v>30</v>
      </c>
      <c r="C1617" s="109" t="s">
        <v>410</v>
      </c>
      <c r="D1617" s="108" t="s">
        <v>11</v>
      </c>
      <c r="E1617" s="108" t="s">
        <v>51</v>
      </c>
      <c r="F1617" s="14" t="s">
        <v>268</v>
      </c>
      <c r="G1617" s="108" t="s">
        <v>31</v>
      </c>
      <c r="H1617" s="126"/>
      <c r="I1617" s="14" t="s">
        <v>1175</v>
      </c>
      <c r="J1617" s="14" t="str">
        <f t="shared" si="277"/>
        <v>11Б0121120</v>
      </c>
      <c r="K1617" s="304" t="str">
        <f>C1617&amp;D1617&amp;E1617&amp;J1617&amp;G1617</f>
        <v>620011311Б0121120244</v>
      </c>
      <c r="L1617" s="17"/>
      <c r="M1617" s="20"/>
      <c r="N1617" s="20"/>
      <c r="O1617" s="20"/>
      <c r="P1617" s="20"/>
      <c r="Q1617" s="20"/>
      <c r="R1617" s="20"/>
      <c r="S1617" s="17"/>
    </row>
    <row r="1618" spans="1:19" s="16" customFormat="1" ht="31.5">
      <c r="A1618" s="14"/>
      <c r="B1618" s="125" t="s">
        <v>806</v>
      </c>
      <c r="C1618" s="108" t="s">
        <v>410</v>
      </c>
      <c r="D1618" s="108" t="s">
        <v>11</v>
      </c>
      <c r="E1618" s="108" t="s">
        <v>51</v>
      </c>
      <c r="F1618" s="108" t="s">
        <v>807</v>
      </c>
      <c r="G1618" s="108" t="s">
        <v>9</v>
      </c>
      <c r="H1618" s="126">
        <f t="shared" si="281"/>
        <v>0</v>
      </c>
      <c r="I1618" s="108">
        <v>8300000000</v>
      </c>
      <c r="J1618" s="108" t="str">
        <f t="shared" si="277"/>
        <v>8300000000</v>
      </c>
      <c r="K1618" s="132"/>
      <c r="L1618" s="17"/>
      <c r="M1618" s="20">
        <v>500</v>
      </c>
      <c r="N1618" s="20">
        <v>500</v>
      </c>
      <c r="O1618" s="20">
        <v>500</v>
      </c>
      <c r="P1618" s="20">
        <f>H1618-M1618</f>
        <v>-500</v>
      </c>
      <c r="Q1618" s="20" t="e">
        <f>#REF!-N1618</f>
        <v>#REF!</v>
      </c>
      <c r="R1618" s="20" t="e">
        <f>#REF!-O1618</f>
        <v>#REF!</v>
      </c>
      <c r="S1618" s="17" t="str">
        <f t="shared" si="282"/>
        <v>83 0 00 00000000</v>
      </c>
    </row>
    <row r="1619" spans="1:19" s="16" customFormat="1" ht="47.25">
      <c r="A1619" s="14"/>
      <c r="B1619" s="125" t="s">
        <v>808</v>
      </c>
      <c r="C1619" s="108" t="s">
        <v>410</v>
      </c>
      <c r="D1619" s="108" t="s">
        <v>11</v>
      </c>
      <c r="E1619" s="108" t="s">
        <v>51</v>
      </c>
      <c r="F1619" s="108" t="s">
        <v>809</v>
      </c>
      <c r="G1619" s="108" t="s">
        <v>9</v>
      </c>
      <c r="H1619" s="126">
        <f>H1624+H1620+H1627</f>
        <v>0</v>
      </c>
      <c r="I1619" s="108">
        <v>8310000000</v>
      </c>
      <c r="J1619" s="108" t="str">
        <f t="shared" si="277"/>
        <v>8310000000</v>
      </c>
      <c r="K1619" s="132"/>
      <c r="L1619" s="17"/>
      <c r="M1619" s="20">
        <v>500</v>
      </c>
      <c r="N1619" s="20">
        <v>500</v>
      </c>
      <c r="O1619" s="20">
        <v>500</v>
      </c>
      <c r="P1619" s="20">
        <f>H1619-M1619</f>
        <v>-500</v>
      </c>
      <c r="Q1619" s="20" t="e">
        <f>#REF!-N1619</f>
        <v>#REF!</v>
      </c>
      <c r="R1619" s="20" t="e">
        <f>#REF!-O1619</f>
        <v>#REF!</v>
      </c>
      <c r="S1619" s="17" t="str">
        <f t="shared" si="282"/>
        <v>83 1 00 00000000</v>
      </c>
    </row>
    <row r="1620" spans="1:19" s="16" customFormat="1" ht="47.25">
      <c r="A1620" s="14"/>
      <c r="B1620" s="125" t="s">
        <v>355</v>
      </c>
      <c r="C1620" s="108" t="s">
        <v>410</v>
      </c>
      <c r="D1620" s="108" t="s">
        <v>11</v>
      </c>
      <c r="E1620" s="108" t="s">
        <v>51</v>
      </c>
      <c r="F1620" s="131" t="s">
        <v>1233</v>
      </c>
      <c r="G1620" s="131" t="s">
        <v>9</v>
      </c>
      <c r="H1620" s="126">
        <f t="shared" ref="H1620" si="283">H1621</f>
        <v>0</v>
      </c>
      <c r="I1620" s="108"/>
      <c r="J1620" s="108"/>
      <c r="K1620" s="132"/>
      <c r="L1620" s="17"/>
      <c r="M1620" s="20"/>
      <c r="N1620" s="20"/>
      <c r="O1620" s="20"/>
      <c r="P1620" s="20"/>
      <c r="Q1620" s="20"/>
      <c r="R1620" s="20"/>
      <c r="S1620" s="17"/>
    </row>
    <row r="1621" spans="1:19" s="16" customFormat="1" ht="31.5">
      <c r="A1621" s="14"/>
      <c r="B1621" s="127" t="s">
        <v>20</v>
      </c>
      <c r="C1621" s="108" t="s">
        <v>410</v>
      </c>
      <c r="D1621" s="108" t="s">
        <v>11</v>
      </c>
      <c r="E1621" s="108" t="s">
        <v>51</v>
      </c>
      <c r="F1621" s="131" t="s">
        <v>1233</v>
      </c>
      <c r="G1621" s="305" t="s">
        <v>21</v>
      </c>
      <c r="H1621" s="126">
        <f>SUM(H1622:H1623)</f>
        <v>0</v>
      </c>
      <c r="I1621" s="108"/>
      <c r="J1621" s="108"/>
      <c r="K1621" s="132"/>
      <c r="L1621" s="17"/>
      <c r="M1621" s="20"/>
      <c r="N1621" s="20"/>
      <c r="O1621" s="20"/>
      <c r="P1621" s="20"/>
      <c r="Q1621" s="20"/>
      <c r="R1621" s="20"/>
      <c r="S1621" s="17"/>
    </row>
    <row r="1622" spans="1:19" s="16" customFormat="1" ht="47.25">
      <c r="A1622" s="14"/>
      <c r="B1622" s="127" t="s">
        <v>22</v>
      </c>
      <c r="C1622" s="108" t="s">
        <v>410</v>
      </c>
      <c r="D1622" s="108" t="s">
        <v>11</v>
      </c>
      <c r="E1622" s="108" t="s">
        <v>51</v>
      </c>
      <c r="F1622" s="131" t="s">
        <v>1233</v>
      </c>
      <c r="G1622" s="305" t="s">
        <v>23</v>
      </c>
      <c r="H1622" s="126"/>
      <c r="I1622" s="108"/>
      <c r="J1622" s="108"/>
      <c r="K1622" s="132"/>
      <c r="L1622" s="17"/>
      <c r="M1622" s="20"/>
      <c r="N1622" s="20"/>
      <c r="O1622" s="20"/>
      <c r="P1622" s="20"/>
      <c r="Q1622" s="20"/>
      <c r="R1622" s="20"/>
      <c r="S1622" s="17"/>
    </row>
    <row r="1623" spans="1:19" s="16" customFormat="1" ht="63">
      <c r="A1623" s="14"/>
      <c r="B1623" s="127" t="s">
        <v>26</v>
      </c>
      <c r="C1623" s="108" t="s">
        <v>410</v>
      </c>
      <c r="D1623" s="108" t="s">
        <v>11</v>
      </c>
      <c r="E1623" s="108" t="s">
        <v>51</v>
      </c>
      <c r="F1623" s="131" t="s">
        <v>1233</v>
      </c>
      <c r="G1623" s="305" t="s">
        <v>27</v>
      </c>
      <c r="H1623" s="126"/>
      <c r="I1623" s="108"/>
      <c r="J1623" s="108"/>
      <c r="K1623" s="132"/>
      <c r="L1623" s="17"/>
      <c r="M1623" s="20"/>
      <c r="N1623" s="20"/>
      <c r="O1623" s="20"/>
      <c r="P1623" s="20"/>
      <c r="Q1623" s="20"/>
      <c r="R1623" s="20"/>
      <c r="S1623" s="17"/>
    </row>
    <row r="1624" spans="1:19" s="16" customFormat="1" ht="31.5">
      <c r="A1624" s="14"/>
      <c r="B1624" s="125" t="s">
        <v>187</v>
      </c>
      <c r="C1624" s="108" t="s">
        <v>410</v>
      </c>
      <c r="D1624" s="108" t="s">
        <v>11</v>
      </c>
      <c r="E1624" s="108" t="s">
        <v>51</v>
      </c>
      <c r="F1624" s="108" t="s">
        <v>810</v>
      </c>
      <c r="G1624" s="108" t="s">
        <v>9</v>
      </c>
      <c r="H1624" s="126">
        <f>H1625</f>
        <v>0</v>
      </c>
      <c r="I1624" s="108">
        <v>8310020050</v>
      </c>
      <c r="J1624" s="108" t="str">
        <f t="shared" si="277"/>
        <v>8310020050</v>
      </c>
      <c r="K1624" s="132"/>
      <c r="L1624" s="17"/>
      <c r="M1624" s="20">
        <v>500</v>
      </c>
      <c r="N1624" s="20">
        <v>500</v>
      </c>
      <c r="O1624" s="20">
        <v>500</v>
      </c>
      <c r="P1624" s="20">
        <f>H1624-M1624</f>
        <v>-500</v>
      </c>
      <c r="Q1624" s="20" t="e">
        <f>#REF!-N1624</f>
        <v>#REF!</v>
      </c>
      <c r="R1624" s="20" t="e">
        <f>#REF!-O1624</f>
        <v>#REF!</v>
      </c>
      <c r="S1624" s="17" t="str">
        <f t="shared" si="282"/>
        <v>83 1 00 20050000</v>
      </c>
    </row>
    <row r="1625" spans="1:19" s="16" customFormat="1" ht="15.75">
      <c r="A1625" s="14"/>
      <c r="B1625" s="125" t="s">
        <v>189</v>
      </c>
      <c r="C1625" s="108" t="s">
        <v>410</v>
      </c>
      <c r="D1625" s="108" t="s">
        <v>11</v>
      </c>
      <c r="E1625" s="108" t="s">
        <v>51</v>
      </c>
      <c r="F1625" s="108" t="s">
        <v>810</v>
      </c>
      <c r="G1625" s="108" t="s">
        <v>190</v>
      </c>
      <c r="H1625" s="126">
        <f>H1626</f>
        <v>0</v>
      </c>
      <c r="I1625" s="108">
        <v>8310020050</v>
      </c>
      <c r="J1625" s="108" t="str">
        <f t="shared" si="277"/>
        <v>8310020050</v>
      </c>
      <c r="K1625" s="132"/>
      <c r="L1625" s="17"/>
      <c r="M1625" s="20">
        <v>500</v>
      </c>
      <c r="N1625" s="20">
        <v>500</v>
      </c>
      <c r="O1625" s="20">
        <v>500</v>
      </c>
      <c r="P1625" s="20">
        <f>H1625-M1625</f>
        <v>-500</v>
      </c>
      <c r="Q1625" s="20" t="e">
        <f>#REF!-N1625</f>
        <v>#REF!</v>
      </c>
      <c r="R1625" s="20" t="e">
        <f>#REF!-O1625</f>
        <v>#REF!</v>
      </c>
      <c r="S1625" s="17" t="str">
        <f t="shared" si="282"/>
        <v>83 1 00 20050830</v>
      </c>
    </row>
    <row r="1626" spans="1:19" s="16" customFormat="1" ht="47.25">
      <c r="A1626" s="14"/>
      <c r="B1626" s="125" t="s">
        <v>191</v>
      </c>
      <c r="C1626" s="108" t="s">
        <v>410</v>
      </c>
      <c r="D1626" s="108" t="s">
        <v>11</v>
      </c>
      <c r="E1626" s="108" t="s">
        <v>51</v>
      </c>
      <c r="F1626" s="108" t="s">
        <v>810</v>
      </c>
      <c r="G1626" s="108" t="s">
        <v>192</v>
      </c>
      <c r="H1626" s="126"/>
      <c r="I1626" s="108">
        <v>8310020050</v>
      </c>
      <c r="J1626" s="108" t="str">
        <f t="shared" si="277"/>
        <v>8310020050</v>
      </c>
      <c r="K1626" s="304" t="str">
        <f>C1626&amp;D1626&amp;E1626&amp;J1626&amp;G1626</f>
        <v>62001138310020050831</v>
      </c>
      <c r="L1626" s="17"/>
      <c r="M1626" s="20"/>
      <c r="N1626" s="20"/>
      <c r="O1626" s="20"/>
      <c r="P1626" s="20"/>
      <c r="Q1626" s="20"/>
      <c r="R1626" s="20"/>
      <c r="S1626" s="17"/>
    </row>
    <row r="1627" spans="1:19" s="16" customFormat="1" ht="15.75">
      <c r="A1627" s="14"/>
      <c r="B1627" s="164" t="s">
        <v>1234</v>
      </c>
      <c r="C1627" s="109" t="s">
        <v>410</v>
      </c>
      <c r="D1627" s="108" t="s">
        <v>11</v>
      </c>
      <c r="E1627" s="108" t="s">
        <v>51</v>
      </c>
      <c r="F1627" s="108" t="s">
        <v>1235</v>
      </c>
      <c r="G1627" s="108" t="s">
        <v>9</v>
      </c>
      <c r="H1627" s="126">
        <f>H1628</f>
        <v>0</v>
      </c>
      <c r="I1627" s="108"/>
      <c r="J1627" s="108"/>
      <c r="K1627" s="304"/>
      <c r="L1627" s="17"/>
      <c r="M1627" s="20"/>
      <c r="N1627" s="20"/>
      <c r="O1627" s="20"/>
      <c r="P1627" s="20"/>
      <c r="Q1627" s="20"/>
      <c r="R1627" s="20"/>
      <c r="S1627" s="17"/>
    </row>
    <row r="1628" spans="1:19" s="16" customFormat="1" ht="15.75">
      <c r="A1628" s="14"/>
      <c r="B1628" s="148" t="s">
        <v>32</v>
      </c>
      <c r="C1628" s="109" t="s">
        <v>410</v>
      </c>
      <c r="D1628" s="108" t="s">
        <v>11</v>
      </c>
      <c r="E1628" s="108" t="s">
        <v>51</v>
      </c>
      <c r="F1628" s="108" t="s">
        <v>1235</v>
      </c>
      <c r="G1628" s="108" t="s">
        <v>33</v>
      </c>
      <c r="H1628" s="126">
        <f>H1629</f>
        <v>0</v>
      </c>
      <c r="I1628" s="108"/>
      <c r="J1628" s="108"/>
      <c r="K1628" s="304"/>
      <c r="L1628" s="17"/>
      <c r="M1628" s="20"/>
      <c r="N1628" s="20"/>
      <c r="O1628" s="20"/>
      <c r="P1628" s="20"/>
      <c r="Q1628" s="20"/>
      <c r="R1628" s="20"/>
      <c r="S1628" s="17"/>
    </row>
    <row r="1629" spans="1:19" s="16" customFormat="1" ht="15.75">
      <c r="A1629" s="14"/>
      <c r="B1629" s="127" t="s">
        <v>77</v>
      </c>
      <c r="C1629" s="109" t="s">
        <v>410</v>
      </c>
      <c r="D1629" s="108" t="s">
        <v>11</v>
      </c>
      <c r="E1629" s="108" t="s">
        <v>51</v>
      </c>
      <c r="F1629" s="108" t="s">
        <v>1235</v>
      </c>
      <c r="G1629" s="108" t="s">
        <v>78</v>
      </c>
      <c r="H1629" s="126"/>
      <c r="I1629" s="108"/>
      <c r="J1629" s="108"/>
      <c r="K1629" s="304"/>
      <c r="L1629" s="17"/>
      <c r="M1629" s="20"/>
      <c r="N1629" s="20"/>
      <c r="O1629" s="20"/>
      <c r="P1629" s="20"/>
      <c r="Q1629" s="20"/>
      <c r="R1629" s="20"/>
      <c r="S1629" s="17"/>
    </row>
    <row r="1630" spans="1:19" s="16" customFormat="1" ht="15.75">
      <c r="A1630" s="14"/>
      <c r="B1630" s="117" t="s">
        <v>195</v>
      </c>
      <c r="C1630" s="118" t="s">
        <v>410</v>
      </c>
      <c r="D1630" s="119" t="s">
        <v>73</v>
      </c>
      <c r="E1630" s="119" t="s">
        <v>7</v>
      </c>
      <c r="F1630" s="119" t="s">
        <v>8</v>
      </c>
      <c r="G1630" s="119" t="s">
        <v>9</v>
      </c>
      <c r="H1630" s="120">
        <f>H1631+H1639+H1657+H1702</f>
        <v>0</v>
      </c>
      <c r="I1630" s="119">
        <v>0</v>
      </c>
      <c r="J1630" s="119" t="str">
        <f t="shared" si="277"/>
        <v>0000000000</v>
      </c>
      <c r="K1630" s="132"/>
      <c r="L1630" s="17"/>
      <c r="M1630" s="18">
        <v>307061.11</v>
      </c>
      <c r="N1630" s="18">
        <v>263240.06</v>
      </c>
      <c r="O1630" s="18">
        <v>252044.31999999998</v>
      </c>
      <c r="P1630" s="18">
        <f t="shared" ref="P1630:P1636" si="284">H1630-M1630</f>
        <v>-307061.11</v>
      </c>
      <c r="Q1630" s="18" t="e">
        <f>#REF!-N1630</f>
        <v>#REF!</v>
      </c>
      <c r="R1630" s="18" t="e">
        <f>#REF!-O1630</f>
        <v>#REF!</v>
      </c>
      <c r="S1630" s="17" t="str">
        <f t="shared" si="282"/>
        <v>00 0 00 00000000</v>
      </c>
    </row>
    <row r="1631" spans="1:19" s="16" customFormat="1" ht="15.75">
      <c r="A1631" s="14"/>
      <c r="B1631" s="121" t="s">
        <v>811</v>
      </c>
      <c r="C1631" s="122" t="s">
        <v>410</v>
      </c>
      <c r="D1631" s="123" t="s">
        <v>73</v>
      </c>
      <c r="E1631" s="123" t="s">
        <v>229</v>
      </c>
      <c r="F1631" s="123" t="s">
        <v>8</v>
      </c>
      <c r="G1631" s="123" t="s">
        <v>9</v>
      </c>
      <c r="H1631" s="124">
        <f t="shared" ref="H1631:H1635" si="285">H1632</f>
        <v>0</v>
      </c>
      <c r="I1631" s="123">
        <v>0</v>
      </c>
      <c r="J1631" s="123" t="str">
        <f t="shared" si="277"/>
        <v>0000000000</v>
      </c>
      <c r="K1631" s="132"/>
      <c r="L1631" s="17"/>
      <c r="M1631" s="19">
        <v>13609.359999999999</v>
      </c>
      <c r="N1631" s="19">
        <v>13609.359999999999</v>
      </c>
      <c r="O1631" s="19">
        <v>13609.359999999999</v>
      </c>
      <c r="P1631" s="19">
        <f t="shared" si="284"/>
        <v>-13609.359999999999</v>
      </c>
      <c r="Q1631" s="19" t="e">
        <f>#REF!-N1631</f>
        <v>#REF!</v>
      </c>
      <c r="R1631" s="19" t="e">
        <f>#REF!-O1631</f>
        <v>#REF!</v>
      </c>
      <c r="S1631" s="17" t="str">
        <f t="shared" si="282"/>
        <v>00 0 00 00000000</v>
      </c>
    </row>
    <row r="1632" spans="1:19" s="16" customFormat="1" ht="63">
      <c r="A1632" s="14"/>
      <c r="B1632" s="127" t="s">
        <v>293</v>
      </c>
      <c r="C1632" s="108" t="s">
        <v>410</v>
      </c>
      <c r="D1632" s="108" t="s">
        <v>73</v>
      </c>
      <c r="E1632" s="108" t="s">
        <v>229</v>
      </c>
      <c r="F1632" s="108" t="s">
        <v>294</v>
      </c>
      <c r="G1632" s="108" t="s">
        <v>9</v>
      </c>
      <c r="H1632" s="126">
        <f t="shared" si="285"/>
        <v>0</v>
      </c>
      <c r="I1632" s="108">
        <v>400000000</v>
      </c>
      <c r="J1632" s="108" t="str">
        <f t="shared" si="277"/>
        <v>0400000000</v>
      </c>
      <c r="K1632" s="132"/>
      <c r="L1632" s="17"/>
      <c r="M1632" s="20">
        <v>13609.359999999999</v>
      </c>
      <c r="N1632" s="20">
        <v>13609.359999999999</v>
      </c>
      <c r="O1632" s="20">
        <v>13609.359999999999</v>
      </c>
      <c r="P1632" s="20">
        <f t="shared" si="284"/>
        <v>-13609.359999999999</v>
      </c>
      <c r="Q1632" s="20" t="e">
        <f>#REF!-N1632</f>
        <v>#REF!</v>
      </c>
      <c r="R1632" s="20" t="e">
        <f>#REF!-O1632</f>
        <v>#REF!</v>
      </c>
      <c r="S1632" s="17" t="str">
        <f t="shared" si="282"/>
        <v>04 0 00 00000000</v>
      </c>
    </row>
    <row r="1633" spans="1:19" s="16" customFormat="1" ht="31.5">
      <c r="A1633" s="14"/>
      <c r="B1633" s="125" t="s">
        <v>307</v>
      </c>
      <c r="C1633" s="108" t="s">
        <v>410</v>
      </c>
      <c r="D1633" s="108" t="s">
        <v>73</v>
      </c>
      <c r="E1633" s="108" t="s">
        <v>229</v>
      </c>
      <c r="F1633" s="108" t="s">
        <v>308</v>
      </c>
      <c r="G1633" s="108" t="s">
        <v>9</v>
      </c>
      <c r="H1633" s="126">
        <f>H1634</f>
        <v>0</v>
      </c>
      <c r="I1633" s="108">
        <v>430000000</v>
      </c>
      <c r="J1633" s="108" t="str">
        <f t="shared" si="277"/>
        <v>0430000000</v>
      </c>
      <c r="K1633" s="132"/>
      <c r="L1633" s="17"/>
      <c r="M1633" s="20">
        <v>13609.359999999999</v>
      </c>
      <c r="N1633" s="20">
        <v>13609.359999999999</v>
      </c>
      <c r="O1633" s="20">
        <v>13609.359999999999</v>
      </c>
      <c r="P1633" s="20">
        <f t="shared" si="284"/>
        <v>-13609.359999999999</v>
      </c>
      <c r="Q1633" s="20" t="e">
        <f>#REF!-N1633</f>
        <v>#REF!</v>
      </c>
      <c r="R1633" s="20" t="e">
        <f>#REF!-O1633</f>
        <v>#REF!</v>
      </c>
      <c r="S1633" s="17" t="str">
        <f t="shared" si="282"/>
        <v>04 3 00 00000000</v>
      </c>
    </row>
    <row r="1634" spans="1:19" s="16" customFormat="1" ht="47.25">
      <c r="A1634" s="14"/>
      <c r="B1634" s="125" t="s">
        <v>812</v>
      </c>
      <c r="C1634" s="108" t="s">
        <v>410</v>
      </c>
      <c r="D1634" s="108" t="s">
        <v>73</v>
      </c>
      <c r="E1634" s="108" t="s">
        <v>229</v>
      </c>
      <c r="F1634" s="108" t="s">
        <v>813</v>
      </c>
      <c r="G1634" s="108" t="s">
        <v>9</v>
      </c>
      <c r="H1634" s="126">
        <f>H1635</f>
        <v>0</v>
      </c>
      <c r="I1634" s="108">
        <v>430100000</v>
      </c>
      <c r="J1634" s="108" t="str">
        <f t="shared" si="277"/>
        <v>0430100000</v>
      </c>
      <c r="K1634" s="132"/>
      <c r="L1634" s="17"/>
      <c r="M1634" s="20">
        <v>13609.359999999999</v>
      </c>
      <c r="N1634" s="20">
        <v>13609.359999999999</v>
      </c>
      <c r="O1634" s="20">
        <v>13609.359999999999</v>
      </c>
      <c r="P1634" s="20">
        <f t="shared" si="284"/>
        <v>-13609.359999999999</v>
      </c>
      <c r="Q1634" s="20" t="e">
        <f>#REF!-N1634</f>
        <v>#REF!</v>
      </c>
      <c r="R1634" s="20" t="e">
        <f>#REF!-O1634</f>
        <v>#REF!</v>
      </c>
      <c r="S1634" s="17" t="str">
        <f t="shared" si="282"/>
        <v>04 3 01 00000000</v>
      </c>
    </row>
    <row r="1635" spans="1:19" s="16" customFormat="1" ht="31.5">
      <c r="A1635" s="14"/>
      <c r="B1635" s="125" t="s">
        <v>136</v>
      </c>
      <c r="C1635" s="108" t="s">
        <v>410</v>
      </c>
      <c r="D1635" s="108" t="s">
        <v>73</v>
      </c>
      <c r="E1635" s="108" t="s">
        <v>229</v>
      </c>
      <c r="F1635" s="108" t="s">
        <v>814</v>
      </c>
      <c r="G1635" s="108" t="s">
        <v>9</v>
      </c>
      <c r="H1635" s="126">
        <f t="shared" si="285"/>
        <v>0</v>
      </c>
      <c r="I1635" s="108">
        <v>430111010</v>
      </c>
      <c r="J1635" s="108" t="str">
        <f t="shared" si="277"/>
        <v>0430111010</v>
      </c>
      <c r="K1635" s="132"/>
      <c r="L1635" s="17"/>
      <c r="M1635" s="20">
        <v>13609.359999999999</v>
      </c>
      <c r="N1635" s="20">
        <v>13609.359999999999</v>
      </c>
      <c r="O1635" s="20">
        <v>13609.359999999999</v>
      </c>
      <c r="P1635" s="20">
        <f t="shared" si="284"/>
        <v>-13609.359999999999</v>
      </c>
      <c r="Q1635" s="20" t="e">
        <f>#REF!-N1635</f>
        <v>#REF!</v>
      </c>
      <c r="R1635" s="20" t="e">
        <f>#REF!-O1635</f>
        <v>#REF!</v>
      </c>
      <c r="S1635" s="17" t="str">
        <f t="shared" si="282"/>
        <v>04 3 01 11010000</v>
      </c>
    </row>
    <row r="1636" spans="1:19" s="16" customFormat="1" ht="15.75">
      <c r="A1636" s="14"/>
      <c r="B1636" s="132" t="s">
        <v>403</v>
      </c>
      <c r="C1636" s="108" t="s">
        <v>410</v>
      </c>
      <c r="D1636" s="108" t="s">
        <v>73</v>
      </c>
      <c r="E1636" s="108" t="s">
        <v>229</v>
      </c>
      <c r="F1636" s="108" t="s">
        <v>814</v>
      </c>
      <c r="G1636" s="108" t="s">
        <v>404</v>
      </c>
      <c r="H1636" s="126">
        <f>SUM(H1637:H1638)</f>
        <v>0</v>
      </c>
      <c r="I1636" s="108">
        <v>430111010</v>
      </c>
      <c r="J1636" s="108" t="str">
        <f t="shared" si="277"/>
        <v>0430111010</v>
      </c>
      <c r="K1636" s="132"/>
      <c r="L1636" s="17"/>
      <c r="M1636" s="20">
        <v>13609.359999999999</v>
      </c>
      <c r="N1636" s="20">
        <v>13609.359999999999</v>
      </c>
      <c r="O1636" s="20">
        <v>13609.359999999999</v>
      </c>
      <c r="P1636" s="20">
        <f t="shared" si="284"/>
        <v>-13609.359999999999</v>
      </c>
      <c r="Q1636" s="20" t="e">
        <f>#REF!-N1636</f>
        <v>#REF!</v>
      </c>
      <c r="R1636" s="20" t="e">
        <f>#REF!-O1636</f>
        <v>#REF!</v>
      </c>
      <c r="S1636" s="17" t="str">
        <f t="shared" si="282"/>
        <v>04 3 01 11010610</v>
      </c>
    </row>
    <row r="1637" spans="1:19" s="23" customFormat="1" ht="63">
      <c r="A1637" s="21"/>
      <c r="B1637" s="127" t="s">
        <v>405</v>
      </c>
      <c r="C1637" s="108" t="s">
        <v>410</v>
      </c>
      <c r="D1637" s="108" t="s">
        <v>73</v>
      </c>
      <c r="E1637" s="108" t="s">
        <v>229</v>
      </c>
      <c r="F1637" s="108" t="s">
        <v>814</v>
      </c>
      <c r="G1637" s="108" t="s">
        <v>406</v>
      </c>
      <c r="H1637" s="126"/>
      <c r="I1637" s="108">
        <v>430111010</v>
      </c>
      <c r="J1637" s="108" t="str">
        <f t="shared" si="277"/>
        <v>0430111010</v>
      </c>
      <c r="K1637" s="304" t="str">
        <f t="shared" ref="K1637:K1638" si="286">C1637&amp;D1637&amp;E1637&amp;J1637&amp;G1637</f>
        <v>62004070430111010611</v>
      </c>
      <c r="L1637" s="24"/>
      <c r="M1637" s="22"/>
      <c r="N1637" s="22"/>
      <c r="O1637" s="22"/>
      <c r="P1637" s="22"/>
      <c r="Q1637" s="22"/>
      <c r="R1637" s="22"/>
      <c r="S1637" s="24"/>
    </row>
    <row r="1638" spans="1:19" s="23" customFormat="1" ht="15.75">
      <c r="A1638" s="21"/>
      <c r="B1638" s="127" t="s">
        <v>407</v>
      </c>
      <c r="C1638" s="108" t="s">
        <v>410</v>
      </c>
      <c r="D1638" s="108" t="s">
        <v>73</v>
      </c>
      <c r="E1638" s="108" t="s">
        <v>229</v>
      </c>
      <c r="F1638" s="108" t="s">
        <v>814</v>
      </c>
      <c r="G1638" s="108" t="s">
        <v>408</v>
      </c>
      <c r="H1638" s="126"/>
      <c r="I1638" s="108">
        <v>430111010</v>
      </c>
      <c r="J1638" s="108" t="str">
        <f t="shared" si="277"/>
        <v>0430111010</v>
      </c>
      <c r="K1638" s="304" t="str">
        <f t="shared" si="286"/>
        <v>62004070430111010612</v>
      </c>
      <c r="L1638" s="24"/>
      <c r="M1638" s="22"/>
      <c r="N1638" s="22"/>
      <c r="O1638" s="22"/>
      <c r="P1638" s="22"/>
      <c r="Q1638" s="22"/>
      <c r="R1638" s="22"/>
      <c r="S1638" s="24"/>
    </row>
    <row r="1639" spans="1:19" s="16" customFormat="1" ht="15.75">
      <c r="A1639" s="14"/>
      <c r="B1639" s="121" t="s">
        <v>815</v>
      </c>
      <c r="C1639" s="122" t="s">
        <v>410</v>
      </c>
      <c r="D1639" s="123" t="s">
        <v>73</v>
      </c>
      <c r="E1639" s="123" t="s">
        <v>238</v>
      </c>
      <c r="F1639" s="123" t="s">
        <v>8</v>
      </c>
      <c r="G1639" s="123" t="s">
        <v>9</v>
      </c>
      <c r="H1639" s="124">
        <f>H1640+H1652</f>
        <v>0</v>
      </c>
      <c r="I1639" s="123">
        <v>0</v>
      </c>
      <c r="J1639" s="123" t="str">
        <f t="shared" si="277"/>
        <v>0000000000</v>
      </c>
      <c r="K1639" s="132"/>
      <c r="L1639" s="17"/>
      <c r="M1639" s="19">
        <v>52490.759999999995</v>
      </c>
      <c r="N1639" s="19">
        <v>55046.320000000007</v>
      </c>
      <c r="O1639" s="19">
        <v>25587.94</v>
      </c>
      <c r="P1639" s="19">
        <f t="shared" ref="P1639:P1644" si="287">H1639-M1639</f>
        <v>-52490.759999999995</v>
      </c>
      <c r="Q1639" s="19" t="e">
        <f>#REF!-N1639</f>
        <v>#REF!</v>
      </c>
      <c r="R1639" s="19" t="e">
        <f>#REF!-O1639</f>
        <v>#REF!</v>
      </c>
      <c r="S1639" s="17" t="str">
        <f t="shared" si="282"/>
        <v>00 0 00 00000000</v>
      </c>
    </row>
    <row r="1640" spans="1:19" s="16" customFormat="1" ht="63">
      <c r="A1640" s="14"/>
      <c r="B1640" s="127" t="s">
        <v>293</v>
      </c>
      <c r="C1640" s="108" t="s">
        <v>410</v>
      </c>
      <c r="D1640" s="108" t="s">
        <v>73</v>
      </c>
      <c r="E1640" s="108" t="s">
        <v>238</v>
      </c>
      <c r="F1640" s="108" t="s">
        <v>294</v>
      </c>
      <c r="G1640" s="108" t="s">
        <v>9</v>
      </c>
      <c r="H1640" s="126">
        <f>H1641</f>
        <v>0</v>
      </c>
      <c r="I1640" s="108">
        <v>400000000</v>
      </c>
      <c r="J1640" s="108" t="str">
        <f t="shared" si="277"/>
        <v>0400000000</v>
      </c>
      <c r="K1640" s="132"/>
      <c r="L1640" s="17"/>
      <c r="M1640" s="20">
        <v>52490.759999999995</v>
      </c>
      <c r="N1640" s="20">
        <v>55046.320000000007</v>
      </c>
      <c r="O1640" s="20">
        <v>25587.94</v>
      </c>
      <c r="P1640" s="20">
        <f t="shared" si="287"/>
        <v>-52490.759999999995</v>
      </c>
      <c r="Q1640" s="20" t="e">
        <f>#REF!-N1640</f>
        <v>#REF!</v>
      </c>
      <c r="R1640" s="20" t="e">
        <f>#REF!-O1640</f>
        <v>#REF!</v>
      </c>
      <c r="S1640" s="17" t="str">
        <f t="shared" si="282"/>
        <v>04 0 00 00000000</v>
      </c>
    </row>
    <row r="1641" spans="1:19" s="16" customFormat="1" ht="63">
      <c r="A1641" s="14"/>
      <c r="B1641" s="140" t="s">
        <v>295</v>
      </c>
      <c r="C1641" s="108" t="s">
        <v>410</v>
      </c>
      <c r="D1641" s="108" t="s">
        <v>73</v>
      </c>
      <c r="E1641" s="108" t="s">
        <v>238</v>
      </c>
      <c r="F1641" s="108" t="s">
        <v>296</v>
      </c>
      <c r="G1641" s="108" t="s">
        <v>9</v>
      </c>
      <c r="H1641" s="126">
        <f t="shared" ref="H1641" si="288">H1642</f>
        <v>0</v>
      </c>
      <c r="I1641" s="108">
        <v>420000000</v>
      </c>
      <c r="J1641" s="108" t="str">
        <f t="shared" si="277"/>
        <v>0420000000</v>
      </c>
      <c r="K1641" s="132"/>
      <c r="L1641" s="17"/>
      <c r="M1641" s="20">
        <v>52490.759999999995</v>
      </c>
      <c r="N1641" s="20">
        <v>55046.320000000007</v>
      </c>
      <c r="O1641" s="20">
        <v>25587.94</v>
      </c>
      <c r="P1641" s="20">
        <f t="shared" si="287"/>
        <v>-52490.759999999995</v>
      </c>
      <c r="Q1641" s="20" t="e">
        <f>#REF!-N1641</f>
        <v>#REF!</v>
      </c>
      <c r="R1641" s="20" t="e">
        <f>#REF!-O1641</f>
        <v>#REF!</v>
      </c>
      <c r="S1641" s="17" t="str">
        <f t="shared" si="282"/>
        <v>04 2 00 00000000</v>
      </c>
    </row>
    <row r="1642" spans="1:19" s="16" customFormat="1" ht="63">
      <c r="A1642" s="14"/>
      <c r="B1642" s="135" t="s">
        <v>816</v>
      </c>
      <c r="C1642" s="108" t="s">
        <v>410</v>
      </c>
      <c r="D1642" s="108" t="s">
        <v>73</v>
      </c>
      <c r="E1642" s="108" t="s">
        <v>238</v>
      </c>
      <c r="F1642" s="108" t="s">
        <v>817</v>
      </c>
      <c r="G1642" s="108" t="s">
        <v>9</v>
      </c>
      <c r="H1642" s="126">
        <f>H1643+H1646+H1649</f>
        <v>0</v>
      </c>
      <c r="I1642" s="108">
        <v>420100000</v>
      </c>
      <c r="J1642" s="108" t="str">
        <f t="shared" si="277"/>
        <v>0420100000</v>
      </c>
      <c r="K1642" s="132"/>
      <c r="L1642" s="17"/>
      <c r="M1642" s="20">
        <v>52490.759999999995</v>
      </c>
      <c r="N1642" s="20">
        <v>55046.320000000007</v>
      </c>
      <c r="O1642" s="20">
        <v>25587.94</v>
      </c>
      <c r="P1642" s="20">
        <f t="shared" si="287"/>
        <v>-52490.759999999995</v>
      </c>
      <c r="Q1642" s="20" t="e">
        <f>#REF!-N1642</f>
        <v>#REF!</v>
      </c>
      <c r="R1642" s="20" t="e">
        <f>#REF!-O1642</f>
        <v>#REF!</v>
      </c>
      <c r="S1642" s="17" t="str">
        <f t="shared" si="282"/>
        <v>04 2 01 00000000</v>
      </c>
    </row>
    <row r="1643" spans="1:19" s="16" customFormat="1" ht="31.5">
      <c r="A1643" s="14"/>
      <c r="B1643" s="135" t="s">
        <v>136</v>
      </c>
      <c r="C1643" s="108" t="s">
        <v>410</v>
      </c>
      <c r="D1643" s="108" t="s">
        <v>73</v>
      </c>
      <c r="E1643" s="108" t="s">
        <v>238</v>
      </c>
      <c r="F1643" s="108" t="s">
        <v>818</v>
      </c>
      <c r="G1643" s="108" t="s">
        <v>9</v>
      </c>
      <c r="H1643" s="126">
        <f>H1644</f>
        <v>0</v>
      </c>
      <c r="I1643" s="108">
        <v>420111010</v>
      </c>
      <c r="J1643" s="108" t="str">
        <f t="shared" si="277"/>
        <v>0420111010</v>
      </c>
      <c r="K1643" s="132"/>
      <c r="L1643" s="17"/>
      <c r="M1643" s="20">
        <v>4023.94</v>
      </c>
      <c r="N1643" s="20">
        <v>4023.94</v>
      </c>
      <c r="O1643" s="20">
        <v>4023.94</v>
      </c>
      <c r="P1643" s="20">
        <f t="shared" si="287"/>
        <v>-4023.94</v>
      </c>
      <c r="Q1643" s="20" t="e">
        <f>#REF!-N1643</f>
        <v>#REF!</v>
      </c>
      <c r="R1643" s="20" t="e">
        <f>#REF!-O1643</f>
        <v>#REF!</v>
      </c>
      <c r="S1643" s="17" t="str">
        <f t="shared" si="282"/>
        <v>04 2 01 11010000</v>
      </c>
    </row>
    <row r="1644" spans="1:19" s="16" customFormat="1" ht="15.75">
      <c r="A1644" s="14"/>
      <c r="B1644" s="132" t="s">
        <v>403</v>
      </c>
      <c r="C1644" s="108" t="s">
        <v>410</v>
      </c>
      <c r="D1644" s="108" t="s">
        <v>73</v>
      </c>
      <c r="E1644" s="108" t="s">
        <v>238</v>
      </c>
      <c r="F1644" s="108" t="s">
        <v>818</v>
      </c>
      <c r="G1644" s="108" t="s">
        <v>404</v>
      </c>
      <c r="H1644" s="126">
        <f>H1645</f>
        <v>0</v>
      </c>
      <c r="I1644" s="108">
        <v>420111010</v>
      </c>
      <c r="J1644" s="108" t="str">
        <f t="shared" si="277"/>
        <v>0420111010</v>
      </c>
      <c r="K1644" s="132"/>
      <c r="L1644" s="17"/>
      <c r="M1644" s="20">
        <v>4023.94</v>
      </c>
      <c r="N1644" s="20">
        <v>4023.94</v>
      </c>
      <c r="O1644" s="20">
        <v>4023.94</v>
      </c>
      <c r="P1644" s="20">
        <f t="shared" si="287"/>
        <v>-4023.94</v>
      </c>
      <c r="Q1644" s="20" t="e">
        <f>#REF!-N1644</f>
        <v>#REF!</v>
      </c>
      <c r="R1644" s="20" t="e">
        <f>#REF!-O1644</f>
        <v>#REF!</v>
      </c>
      <c r="S1644" s="17" t="str">
        <f t="shared" si="282"/>
        <v>04 2 01 11010610</v>
      </c>
    </row>
    <row r="1645" spans="1:19" s="23" customFormat="1" ht="63">
      <c r="A1645" s="21"/>
      <c r="B1645" s="127" t="s">
        <v>405</v>
      </c>
      <c r="C1645" s="108" t="s">
        <v>410</v>
      </c>
      <c r="D1645" s="108" t="s">
        <v>73</v>
      </c>
      <c r="E1645" s="108" t="s">
        <v>238</v>
      </c>
      <c r="F1645" s="108" t="s">
        <v>818</v>
      </c>
      <c r="G1645" s="108" t="s">
        <v>406</v>
      </c>
      <c r="H1645" s="126"/>
      <c r="I1645" s="108">
        <v>420111010</v>
      </c>
      <c r="J1645" s="108" t="str">
        <f t="shared" si="277"/>
        <v>0420111010</v>
      </c>
      <c r="K1645" s="304" t="str">
        <f>C1645&amp;D1645&amp;E1645&amp;J1645&amp;G1645</f>
        <v>62004080420111010611</v>
      </c>
      <c r="L1645" s="24"/>
      <c r="M1645" s="22"/>
      <c r="N1645" s="22"/>
      <c r="O1645" s="22"/>
      <c r="P1645" s="22"/>
      <c r="Q1645" s="22"/>
      <c r="R1645" s="22"/>
      <c r="S1645" s="24"/>
    </row>
    <row r="1646" spans="1:19" s="16" customFormat="1" ht="31.5">
      <c r="A1646" s="14"/>
      <c r="B1646" s="135" t="s">
        <v>819</v>
      </c>
      <c r="C1646" s="108" t="s">
        <v>410</v>
      </c>
      <c r="D1646" s="108" t="s">
        <v>73</v>
      </c>
      <c r="E1646" s="108" t="s">
        <v>238</v>
      </c>
      <c r="F1646" s="108" t="s">
        <v>820</v>
      </c>
      <c r="G1646" s="108" t="s">
        <v>9</v>
      </c>
      <c r="H1646" s="126">
        <f>H1647</f>
        <v>0</v>
      </c>
      <c r="I1646" s="108">
        <v>420160020</v>
      </c>
      <c r="J1646" s="108" t="str">
        <f t="shared" si="277"/>
        <v>0420160020</v>
      </c>
      <c r="K1646" s="132"/>
      <c r="L1646" s="17"/>
      <c r="M1646" s="20">
        <v>11796.87</v>
      </c>
      <c r="N1646" s="20">
        <v>11796.87</v>
      </c>
      <c r="O1646" s="20">
        <v>21564</v>
      </c>
      <c r="P1646" s="20">
        <f>H1646-M1646</f>
        <v>-11796.87</v>
      </c>
      <c r="Q1646" s="20" t="e">
        <f>#REF!-N1646</f>
        <v>#REF!</v>
      </c>
      <c r="R1646" s="20" t="e">
        <f>#REF!-O1646</f>
        <v>#REF!</v>
      </c>
      <c r="S1646" s="17" t="str">
        <f t="shared" si="282"/>
        <v>04 2 01 60020000</v>
      </c>
    </row>
    <row r="1647" spans="1:19" s="16" customFormat="1" ht="63">
      <c r="A1647" s="14"/>
      <c r="B1647" s="129" t="s">
        <v>203</v>
      </c>
      <c r="C1647" s="108" t="s">
        <v>410</v>
      </c>
      <c r="D1647" s="108" t="s">
        <v>73</v>
      </c>
      <c r="E1647" s="108" t="s">
        <v>238</v>
      </c>
      <c r="F1647" s="108" t="s">
        <v>820</v>
      </c>
      <c r="G1647" s="108" t="s">
        <v>204</v>
      </c>
      <c r="H1647" s="126">
        <f>H1648</f>
        <v>0</v>
      </c>
      <c r="I1647" s="108">
        <v>420160020</v>
      </c>
      <c r="J1647" s="108" t="str">
        <f t="shared" si="277"/>
        <v>0420160020</v>
      </c>
      <c r="K1647" s="132"/>
      <c r="L1647" s="17"/>
      <c r="M1647" s="57">
        <v>11796.87</v>
      </c>
      <c r="N1647" s="57">
        <v>11796.87</v>
      </c>
      <c r="O1647" s="57">
        <v>21564</v>
      </c>
      <c r="P1647" s="57">
        <f>H1647-M1647</f>
        <v>-11796.87</v>
      </c>
      <c r="Q1647" s="57" t="e">
        <f>#REF!-N1647</f>
        <v>#REF!</v>
      </c>
      <c r="R1647" s="57" t="e">
        <f>#REF!-O1647</f>
        <v>#REF!</v>
      </c>
      <c r="S1647" s="17" t="str">
        <f t="shared" si="282"/>
        <v>04 2 01 60020810</v>
      </c>
    </row>
    <row r="1648" spans="1:19" s="23" customFormat="1" ht="110.25">
      <c r="A1648" s="21"/>
      <c r="B1648" s="127" t="s">
        <v>207</v>
      </c>
      <c r="C1648" s="108" t="s">
        <v>410</v>
      </c>
      <c r="D1648" s="108" t="s">
        <v>73</v>
      </c>
      <c r="E1648" s="108" t="s">
        <v>238</v>
      </c>
      <c r="F1648" s="108" t="s">
        <v>820</v>
      </c>
      <c r="G1648" s="108" t="s">
        <v>208</v>
      </c>
      <c r="H1648" s="126"/>
      <c r="I1648" s="108">
        <v>420160020</v>
      </c>
      <c r="J1648" s="108" t="str">
        <f t="shared" si="277"/>
        <v>0420160020</v>
      </c>
      <c r="K1648" s="304" t="str">
        <f>C1648&amp;D1648&amp;E1648&amp;J1648&amp;G1648</f>
        <v>62004080420160020812</v>
      </c>
      <c r="L1648" s="24"/>
      <c r="M1648" s="58"/>
      <c r="N1648" s="58"/>
      <c r="O1648" s="58"/>
      <c r="P1648" s="58"/>
      <c r="Q1648" s="58"/>
      <c r="R1648" s="58"/>
      <c r="S1648" s="24"/>
    </row>
    <row r="1649" spans="1:19" s="59" customFormat="1" ht="157.5">
      <c r="A1649" s="92"/>
      <c r="B1649" s="129" t="s">
        <v>821</v>
      </c>
      <c r="C1649" s="108" t="s">
        <v>410</v>
      </c>
      <c r="D1649" s="108" t="s">
        <v>73</v>
      </c>
      <c r="E1649" s="108" t="s">
        <v>238</v>
      </c>
      <c r="F1649" s="108" t="s">
        <v>822</v>
      </c>
      <c r="G1649" s="108" t="s">
        <v>9</v>
      </c>
      <c r="H1649" s="126">
        <f>H1650</f>
        <v>0</v>
      </c>
      <c r="I1649" s="108">
        <v>420160070</v>
      </c>
      <c r="J1649" s="108" t="str">
        <f t="shared" ref="J1649:J1712" si="289">TEXT(I1649,"0000000000")</f>
        <v>0420160070</v>
      </c>
      <c r="K1649" s="132"/>
      <c r="L1649" s="17"/>
      <c r="M1649" s="20">
        <v>36669.949999999997</v>
      </c>
      <c r="N1649" s="20">
        <v>39225.51</v>
      </c>
      <c r="O1649" s="20">
        <v>0</v>
      </c>
      <c r="P1649" s="20">
        <f>H1649-M1649</f>
        <v>-36669.949999999997</v>
      </c>
      <c r="Q1649" s="20" t="e">
        <f>#REF!-N1649</f>
        <v>#REF!</v>
      </c>
      <c r="R1649" s="20" t="e">
        <f>#REF!-O1649</f>
        <v>#REF!</v>
      </c>
      <c r="S1649" s="17" t="str">
        <f t="shared" si="282"/>
        <v>04 2 01 60070000</v>
      </c>
    </row>
    <row r="1650" spans="1:19" s="59" customFormat="1" ht="63">
      <c r="A1650" s="92"/>
      <c r="B1650" s="129" t="s">
        <v>203</v>
      </c>
      <c r="C1650" s="108" t="s">
        <v>410</v>
      </c>
      <c r="D1650" s="108" t="s">
        <v>73</v>
      </c>
      <c r="E1650" s="108" t="s">
        <v>238</v>
      </c>
      <c r="F1650" s="108" t="s">
        <v>822</v>
      </c>
      <c r="G1650" s="108" t="s">
        <v>204</v>
      </c>
      <c r="H1650" s="126">
        <f>H1651</f>
        <v>0</v>
      </c>
      <c r="I1650" s="108">
        <v>420160070</v>
      </c>
      <c r="J1650" s="108" t="str">
        <f t="shared" si="289"/>
        <v>0420160070</v>
      </c>
      <c r="K1650" s="132"/>
      <c r="L1650" s="17"/>
      <c r="M1650" s="20">
        <v>36669.949999999997</v>
      </c>
      <c r="N1650" s="20">
        <v>39225.51</v>
      </c>
      <c r="O1650" s="20">
        <v>0</v>
      </c>
      <c r="P1650" s="20">
        <f>H1650-M1650</f>
        <v>-36669.949999999997</v>
      </c>
      <c r="Q1650" s="20" t="e">
        <f>#REF!-N1650</f>
        <v>#REF!</v>
      </c>
      <c r="R1650" s="20" t="e">
        <f>#REF!-O1650</f>
        <v>#REF!</v>
      </c>
      <c r="S1650" s="17" t="str">
        <f t="shared" si="282"/>
        <v>04 2 01 60070810</v>
      </c>
    </row>
    <row r="1651" spans="1:19" s="59" customFormat="1" ht="110.25">
      <c r="A1651" s="92"/>
      <c r="B1651" s="125" t="s">
        <v>207</v>
      </c>
      <c r="C1651" s="108" t="s">
        <v>410</v>
      </c>
      <c r="D1651" s="108" t="s">
        <v>73</v>
      </c>
      <c r="E1651" s="108" t="s">
        <v>238</v>
      </c>
      <c r="F1651" s="108" t="s">
        <v>822</v>
      </c>
      <c r="G1651" s="108" t="s">
        <v>208</v>
      </c>
      <c r="H1651" s="126"/>
      <c r="I1651" s="108">
        <v>420160070</v>
      </c>
      <c r="J1651" s="108" t="str">
        <f t="shared" si="289"/>
        <v>0420160070</v>
      </c>
      <c r="K1651" s="304" t="str">
        <f>C1651&amp;D1651&amp;E1651&amp;J1651&amp;G1651</f>
        <v>62004080420160070812</v>
      </c>
      <c r="L1651" s="300"/>
      <c r="M1651" s="20"/>
      <c r="N1651" s="20"/>
      <c r="O1651" s="20"/>
      <c r="P1651" s="20"/>
      <c r="Q1651" s="20"/>
      <c r="R1651" s="20"/>
      <c r="S1651" s="17"/>
    </row>
    <row r="1652" spans="1:19" s="59" customFormat="1" ht="63">
      <c r="A1652" s="92"/>
      <c r="B1652" s="129" t="s">
        <v>87</v>
      </c>
      <c r="C1652" s="108" t="s">
        <v>410</v>
      </c>
      <c r="D1652" s="108" t="s">
        <v>73</v>
      </c>
      <c r="E1652" s="108" t="s">
        <v>238</v>
      </c>
      <c r="F1652" s="108" t="s">
        <v>88</v>
      </c>
      <c r="G1652" s="108" t="s">
        <v>9</v>
      </c>
      <c r="H1652" s="126">
        <f>H1653</f>
        <v>0</v>
      </c>
      <c r="I1652" s="108">
        <v>9800000000</v>
      </c>
      <c r="J1652" s="108" t="str">
        <f t="shared" si="289"/>
        <v>9800000000</v>
      </c>
      <c r="K1652" s="132"/>
      <c r="L1652" s="17"/>
      <c r="M1652" s="20"/>
      <c r="N1652" s="20"/>
      <c r="O1652" s="20"/>
      <c r="P1652" s="20">
        <f>H1652-M1652</f>
        <v>0</v>
      </c>
      <c r="Q1652" s="20" t="e">
        <f>#REF!-N1652</f>
        <v>#REF!</v>
      </c>
      <c r="R1652" s="20" t="e">
        <f>#REF!-O1652</f>
        <v>#REF!</v>
      </c>
      <c r="S1652" s="17" t="str">
        <f t="shared" si="282"/>
        <v>98 0 00 00000000</v>
      </c>
    </row>
    <row r="1653" spans="1:19" s="59" customFormat="1" ht="15.75">
      <c r="A1653" s="92"/>
      <c r="B1653" s="129" t="s">
        <v>89</v>
      </c>
      <c r="C1653" s="108" t="s">
        <v>410</v>
      </c>
      <c r="D1653" s="108" t="s">
        <v>73</v>
      </c>
      <c r="E1653" s="108" t="s">
        <v>238</v>
      </c>
      <c r="F1653" s="108" t="s">
        <v>90</v>
      </c>
      <c r="G1653" s="108" t="s">
        <v>9</v>
      </c>
      <c r="H1653" s="126">
        <f>H1654</f>
        <v>0</v>
      </c>
      <c r="I1653" s="108">
        <v>9810000000</v>
      </c>
      <c r="J1653" s="108" t="str">
        <f t="shared" si="289"/>
        <v>9810000000</v>
      </c>
      <c r="K1653" s="132"/>
      <c r="L1653" s="17"/>
      <c r="M1653" s="20"/>
      <c r="N1653" s="20"/>
      <c r="O1653" s="20"/>
      <c r="P1653" s="20">
        <f>H1653-M1653</f>
        <v>0</v>
      </c>
      <c r="Q1653" s="20" t="e">
        <f>#REF!-N1653</f>
        <v>#REF!</v>
      </c>
      <c r="R1653" s="20" t="e">
        <f>#REF!-O1653</f>
        <v>#REF!</v>
      </c>
      <c r="S1653" s="17" t="str">
        <f t="shared" si="282"/>
        <v>98 1 00 00000000</v>
      </c>
    </row>
    <row r="1654" spans="1:19" s="59" customFormat="1" ht="31.5">
      <c r="A1654" s="92"/>
      <c r="B1654" s="129" t="s">
        <v>823</v>
      </c>
      <c r="C1654" s="108" t="s">
        <v>410</v>
      </c>
      <c r="D1654" s="108" t="s">
        <v>73</v>
      </c>
      <c r="E1654" s="108" t="s">
        <v>238</v>
      </c>
      <c r="F1654" s="108" t="s">
        <v>824</v>
      </c>
      <c r="G1654" s="108" t="s">
        <v>9</v>
      </c>
      <c r="H1654" s="126">
        <f>H1655</f>
        <v>0</v>
      </c>
      <c r="I1654" s="108">
        <v>9810021170</v>
      </c>
      <c r="J1654" s="108" t="str">
        <f t="shared" si="289"/>
        <v>9810021170</v>
      </c>
      <c r="K1654" s="132"/>
      <c r="L1654" s="17"/>
      <c r="M1654" s="20"/>
      <c r="N1654" s="20"/>
      <c r="O1654" s="20"/>
      <c r="P1654" s="20">
        <f>H1654-M1654</f>
        <v>0</v>
      </c>
      <c r="Q1654" s="20" t="e">
        <f>#REF!-N1654</f>
        <v>#REF!</v>
      </c>
      <c r="R1654" s="20" t="e">
        <f>#REF!-O1654</f>
        <v>#REF!</v>
      </c>
      <c r="S1654" s="17" t="str">
        <f t="shared" si="282"/>
        <v>98 1 00 21170000</v>
      </c>
    </row>
    <row r="1655" spans="1:19" s="16" customFormat="1" ht="31.5">
      <c r="A1655" s="14"/>
      <c r="B1655" s="125" t="s">
        <v>28</v>
      </c>
      <c r="C1655" s="108" t="s">
        <v>410</v>
      </c>
      <c r="D1655" s="108" t="s">
        <v>73</v>
      </c>
      <c r="E1655" s="108" t="s">
        <v>238</v>
      </c>
      <c r="F1655" s="108" t="s">
        <v>824</v>
      </c>
      <c r="G1655" s="108" t="s">
        <v>29</v>
      </c>
      <c r="H1655" s="126">
        <f>H1656</f>
        <v>0</v>
      </c>
      <c r="I1655" s="108">
        <v>9810021170</v>
      </c>
      <c r="J1655" s="108" t="str">
        <f t="shared" si="289"/>
        <v>9810021170</v>
      </c>
      <c r="K1655" s="132"/>
      <c r="L1655" s="17"/>
      <c r="M1655" s="20"/>
      <c r="N1655" s="20"/>
      <c r="O1655" s="20"/>
      <c r="P1655" s="20">
        <f>H1655-M1655</f>
        <v>0</v>
      </c>
      <c r="Q1655" s="20" t="e">
        <f>#REF!-N1655</f>
        <v>#REF!</v>
      </c>
      <c r="R1655" s="20" t="e">
        <f>#REF!-O1655</f>
        <v>#REF!</v>
      </c>
      <c r="S1655" s="17" t="str">
        <f t="shared" si="282"/>
        <v>98 1 00 21170240</v>
      </c>
    </row>
    <row r="1656" spans="1:19" s="16" customFormat="1" ht="15.75">
      <c r="A1656" s="14"/>
      <c r="B1656" s="125" t="s">
        <v>30</v>
      </c>
      <c r="C1656" s="108" t="s">
        <v>410</v>
      </c>
      <c r="D1656" s="108" t="s">
        <v>73</v>
      </c>
      <c r="E1656" s="108" t="s">
        <v>238</v>
      </c>
      <c r="F1656" s="108" t="s">
        <v>824</v>
      </c>
      <c r="G1656" s="108" t="s">
        <v>31</v>
      </c>
      <c r="H1656" s="126"/>
      <c r="I1656" s="108">
        <v>9810021170</v>
      </c>
      <c r="J1656" s="108" t="str">
        <f t="shared" si="289"/>
        <v>9810021170</v>
      </c>
      <c r="K1656" s="304" t="str">
        <f>C1656&amp;D1656&amp;E1656&amp;J1656&amp;G1656</f>
        <v>62004089810021170244</v>
      </c>
      <c r="L1656" s="17"/>
      <c r="M1656" s="60"/>
      <c r="N1656" s="60"/>
      <c r="O1656" s="60"/>
      <c r="P1656" s="60"/>
      <c r="Q1656" s="60"/>
      <c r="R1656" s="60"/>
      <c r="S1656" s="17"/>
    </row>
    <row r="1657" spans="1:19" s="16" customFormat="1" ht="15.75">
      <c r="A1657" s="14"/>
      <c r="B1657" s="121" t="s">
        <v>760</v>
      </c>
      <c r="C1657" s="122" t="s">
        <v>410</v>
      </c>
      <c r="D1657" s="123" t="s">
        <v>73</v>
      </c>
      <c r="E1657" s="123" t="s">
        <v>471</v>
      </c>
      <c r="F1657" s="123" t="s">
        <v>8</v>
      </c>
      <c r="G1657" s="123" t="s">
        <v>9</v>
      </c>
      <c r="H1657" s="124">
        <f>H1658+H1664</f>
        <v>0</v>
      </c>
      <c r="I1657" s="123">
        <v>0</v>
      </c>
      <c r="J1657" s="123" t="str">
        <f t="shared" si="289"/>
        <v>0000000000</v>
      </c>
      <c r="K1657" s="132"/>
      <c r="L1657" s="17"/>
      <c r="M1657" s="61">
        <v>240960.98999999996</v>
      </c>
      <c r="N1657" s="61">
        <v>194584.37999999998</v>
      </c>
      <c r="O1657" s="61">
        <v>212847.02</v>
      </c>
      <c r="P1657" s="61">
        <f t="shared" ref="P1657:P1662" si="290">H1657-M1657</f>
        <v>-240960.98999999996</v>
      </c>
      <c r="Q1657" s="61" t="e">
        <f>#REF!-N1657</f>
        <v>#REF!</v>
      </c>
      <c r="R1657" s="61" t="e">
        <f>#REF!-O1657</f>
        <v>#REF!</v>
      </c>
      <c r="S1657" s="17" t="str">
        <f t="shared" si="282"/>
        <v>00 0 00 00000000</v>
      </c>
    </row>
    <row r="1658" spans="1:19" s="16" customFormat="1" ht="63">
      <c r="A1658" s="14"/>
      <c r="B1658" s="135" t="s">
        <v>285</v>
      </c>
      <c r="C1658" s="109" t="s">
        <v>410</v>
      </c>
      <c r="D1658" s="109" t="s">
        <v>73</v>
      </c>
      <c r="E1658" s="109" t="s">
        <v>471</v>
      </c>
      <c r="F1658" s="109" t="s">
        <v>286</v>
      </c>
      <c r="G1658" s="109" t="s">
        <v>9</v>
      </c>
      <c r="H1658" s="141">
        <f t="shared" ref="H1658:H1661" si="291">H1659</f>
        <v>0</v>
      </c>
      <c r="I1658" s="109">
        <v>200000000</v>
      </c>
      <c r="J1658" s="109" t="str">
        <f t="shared" si="289"/>
        <v>0200000000</v>
      </c>
      <c r="K1658" s="132"/>
      <c r="L1658" s="17"/>
      <c r="M1658" s="32">
        <v>7251.46</v>
      </c>
      <c r="N1658" s="32">
        <v>5251.46</v>
      </c>
      <c r="O1658" s="32">
        <v>5251.46</v>
      </c>
      <c r="P1658" s="32">
        <f t="shared" si="290"/>
        <v>-7251.46</v>
      </c>
      <c r="Q1658" s="32" t="e">
        <f>#REF!-N1658</f>
        <v>#REF!</v>
      </c>
      <c r="R1658" s="32" t="e">
        <f>#REF!-O1658</f>
        <v>#REF!</v>
      </c>
      <c r="S1658" s="17" t="str">
        <f t="shared" si="282"/>
        <v>02 0 00 00000000</v>
      </c>
    </row>
    <row r="1659" spans="1:19" s="16" customFormat="1" ht="78.75">
      <c r="A1659" s="14"/>
      <c r="B1659" s="125" t="s">
        <v>287</v>
      </c>
      <c r="C1659" s="109" t="s">
        <v>410</v>
      </c>
      <c r="D1659" s="109" t="s">
        <v>73</v>
      </c>
      <c r="E1659" s="109" t="s">
        <v>471</v>
      </c>
      <c r="F1659" s="109" t="s">
        <v>288</v>
      </c>
      <c r="G1659" s="109" t="s">
        <v>9</v>
      </c>
      <c r="H1659" s="141">
        <f t="shared" si="291"/>
        <v>0</v>
      </c>
      <c r="I1659" s="109" t="s">
        <v>1182</v>
      </c>
      <c r="J1659" s="109" t="str">
        <f t="shared" si="289"/>
        <v>02Б0000000</v>
      </c>
      <c r="K1659" s="132"/>
      <c r="L1659" s="17"/>
      <c r="M1659" s="32">
        <v>7251.46</v>
      </c>
      <c r="N1659" s="32">
        <v>5251.46</v>
      </c>
      <c r="O1659" s="32">
        <v>5251.46</v>
      </c>
      <c r="P1659" s="32">
        <f t="shared" si="290"/>
        <v>-7251.46</v>
      </c>
      <c r="Q1659" s="32" t="e">
        <f>#REF!-N1659</f>
        <v>#REF!</v>
      </c>
      <c r="R1659" s="32" t="e">
        <f>#REF!-O1659</f>
        <v>#REF!</v>
      </c>
      <c r="S1659" s="17" t="str">
        <f t="shared" si="282"/>
        <v>02 Б 00 00000000</v>
      </c>
    </row>
    <row r="1660" spans="1:19" s="16" customFormat="1" ht="78.75">
      <c r="A1660" s="14"/>
      <c r="B1660" s="127" t="s">
        <v>825</v>
      </c>
      <c r="C1660" s="109" t="s">
        <v>410</v>
      </c>
      <c r="D1660" s="109" t="s">
        <v>73</v>
      </c>
      <c r="E1660" s="109" t="s">
        <v>471</v>
      </c>
      <c r="F1660" s="109" t="s">
        <v>826</v>
      </c>
      <c r="G1660" s="109" t="s">
        <v>9</v>
      </c>
      <c r="H1660" s="141">
        <f t="shared" si="291"/>
        <v>0</v>
      </c>
      <c r="I1660" s="109" t="s">
        <v>1236</v>
      </c>
      <c r="J1660" s="109" t="str">
        <f t="shared" si="289"/>
        <v>02Б0200000</v>
      </c>
      <c r="K1660" s="132"/>
      <c r="L1660" s="17"/>
      <c r="M1660" s="32">
        <v>7251.46</v>
      </c>
      <c r="N1660" s="32">
        <v>5251.46</v>
      </c>
      <c r="O1660" s="32">
        <v>5251.46</v>
      </c>
      <c r="P1660" s="32">
        <f t="shared" si="290"/>
        <v>-7251.46</v>
      </c>
      <c r="Q1660" s="32" t="e">
        <f>#REF!-N1660</f>
        <v>#REF!</v>
      </c>
      <c r="R1660" s="32" t="e">
        <f>#REF!-O1660</f>
        <v>#REF!</v>
      </c>
      <c r="S1660" s="17" t="str">
        <f t="shared" si="282"/>
        <v>02 Б 02 00000000</v>
      </c>
    </row>
    <row r="1661" spans="1:19" s="16" customFormat="1" ht="78.75">
      <c r="A1661" s="14"/>
      <c r="B1661" s="127" t="s">
        <v>827</v>
      </c>
      <c r="C1661" s="109" t="s">
        <v>410</v>
      </c>
      <c r="D1661" s="109" t="s">
        <v>73</v>
      </c>
      <c r="E1661" s="109" t="s">
        <v>471</v>
      </c>
      <c r="F1661" s="109" t="s">
        <v>828</v>
      </c>
      <c r="G1661" s="109" t="s">
        <v>9</v>
      </c>
      <c r="H1661" s="141">
        <f t="shared" si="291"/>
        <v>0</v>
      </c>
      <c r="I1661" s="109" t="s">
        <v>1237</v>
      </c>
      <c r="J1661" s="109" t="str">
        <f t="shared" si="289"/>
        <v>02Б0220560</v>
      </c>
      <c r="K1661" s="132"/>
      <c r="L1661" s="17"/>
      <c r="M1661" s="32">
        <v>7251.46</v>
      </c>
      <c r="N1661" s="32">
        <v>5251.46</v>
      </c>
      <c r="O1661" s="32">
        <v>5251.46</v>
      </c>
      <c r="P1661" s="32">
        <f t="shared" si="290"/>
        <v>-7251.46</v>
      </c>
      <c r="Q1661" s="32" t="e">
        <f>#REF!-N1661</f>
        <v>#REF!</v>
      </c>
      <c r="R1661" s="32" t="e">
        <f>#REF!-O1661</f>
        <v>#REF!</v>
      </c>
      <c r="S1661" s="17" t="str">
        <f t="shared" si="282"/>
        <v>02 Б 02 20560000</v>
      </c>
    </row>
    <row r="1662" spans="1:19" s="16" customFormat="1" ht="31.5">
      <c r="A1662" s="14"/>
      <c r="B1662" s="125" t="s">
        <v>28</v>
      </c>
      <c r="C1662" s="109" t="s">
        <v>410</v>
      </c>
      <c r="D1662" s="109" t="s">
        <v>73</v>
      </c>
      <c r="E1662" s="109" t="s">
        <v>471</v>
      </c>
      <c r="F1662" s="109" t="s">
        <v>828</v>
      </c>
      <c r="G1662" s="109" t="s">
        <v>29</v>
      </c>
      <c r="H1662" s="126">
        <f>H1663</f>
        <v>0</v>
      </c>
      <c r="I1662" s="109" t="s">
        <v>1237</v>
      </c>
      <c r="J1662" s="109" t="str">
        <f t="shared" si="289"/>
        <v>02Б0220560</v>
      </c>
      <c r="K1662" s="132"/>
      <c r="L1662" s="17"/>
      <c r="M1662" s="32">
        <v>7251.46</v>
      </c>
      <c r="N1662" s="32">
        <v>5251.46</v>
      </c>
      <c r="O1662" s="32">
        <v>5251.46</v>
      </c>
      <c r="P1662" s="32">
        <f t="shared" si="290"/>
        <v>-7251.46</v>
      </c>
      <c r="Q1662" s="32" t="e">
        <f>#REF!-N1662</f>
        <v>#REF!</v>
      </c>
      <c r="R1662" s="32" t="e">
        <f>#REF!-O1662</f>
        <v>#REF!</v>
      </c>
      <c r="S1662" s="17" t="str">
        <f t="shared" si="282"/>
        <v>02 Б 02 20560240</v>
      </c>
    </row>
    <row r="1663" spans="1:19" s="16" customFormat="1" ht="15.75">
      <c r="A1663" s="14"/>
      <c r="B1663" s="125" t="s">
        <v>30</v>
      </c>
      <c r="C1663" s="109" t="s">
        <v>410</v>
      </c>
      <c r="D1663" s="109" t="s">
        <v>73</v>
      </c>
      <c r="E1663" s="109" t="s">
        <v>471</v>
      </c>
      <c r="F1663" s="109" t="s">
        <v>828</v>
      </c>
      <c r="G1663" s="109" t="s">
        <v>31</v>
      </c>
      <c r="H1663" s="126"/>
      <c r="I1663" s="109" t="s">
        <v>1237</v>
      </c>
      <c r="J1663" s="109" t="str">
        <f t="shared" si="289"/>
        <v>02Б0220560</v>
      </c>
      <c r="K1663" s="304" t="str">
        <f>C1663&amp;D1663&amp;E1663&amp;J1663&amp;G1663</f>
        <v>620040902Б0220560244</v>
      </c>
      <c r="L1663" s="17"/>
      <c r="M1663" s="32"/>
      <c r="N1663" s="32"/>
      <c r="O1663" s="32"/>
      <c r="P1663" s="32"/>
      <c r="Q1663" s="32"/>
      <c r="R1663" s="32"/>
      <c r="S1663" s="17"/>
    </row>
    <row r="1664" spans="1:19" s="16" customFormat="1" ht="63">
      <c r="A1664" s="14"/>
      <c r="B1664" s="127" t="s">
        <v>293</v>
      </c>
      <c r="C1664" s="108" t="s">
        <v>410</v>
      </c>
      <c r="D1664" s="108" t="s">
        <v>73</v>
      </c>
      <c r="E1664" s="108" t="s">
        <v>471</v>
      </c>
      <c r="F1664" s="108" t="s">
        <v>294</v>
      </c>
      <c r="G1664" s="109" t="s">
        <v>9</v>
      </c>
      <c r="H1664" s="141">
        <f>H1665</f>
        <v>0</v>
      </c>
      <c r="I1664" s="108">
        <v>400000000</v>
      </c>
      <c r="J1664" s="108" t="str">
        <f t="shared" si="289"/>
        <v>0400000000</v>
      </c>
      <c r="K1664" s="132"/>
      <c r="L1664" s="17"/>
      <c r="M1664" s="32">
        <v>233709.52999999997</v>
      </c>
      <c r="N1664" s="32">
        <v>189332.91999999998</v>
      </c>
      <c r="O1664" s="32">
        <v>207595.56</v>
      </c>
      <c r="P1664" s="32">
        <f>H1664-M1664</f>
        <v>-233709.52999999997</v>
      </c>
      <c r="Q1664" s="32" t="e">
        <f>#REF!-N1664</f>
        <v>#REF!</v>
      </c>
      <c r="R1664" s="32" t="e">
        <f>#REF!-O1664</f>
        <v>#REF!</v>
      </c>
      <c r="S1664" s="17" t="str">
        <f t="shared" si="282"/>
        <v>04 0 00 00000000</v>
      </c>
    </row>
    <row r="1665" spans="1:19" s="16" customFormat="1" ht="63">
      <c r="A1665" s="14"/>
      <c r="B1665" s="140" t="s">
        <v>295</v>
      </c>
      <c r="C1665" s="108" t="s">
        <v>410</v>
      </c>
      <c r="D1665" s="108" t="s">
        <v>73</v>
      </c>
      <c r="E1665" s="108" t="s">
        <v>471</v>
      </c>
      <c r="F1665" s="108" t="s">
        <v>296</v>
      </c>
      <c r="G1665" s="109" t="s">
        <v>9</v>
      </c>
      <c r="H1665" s="141">
        <f>H1666+H1694</f>
        <v>0</v>
      </c>
      <c r="I1665" s="108">
        <v>420000000</v>
      </c>
      <c r="J1665" s="108" t="str">
        <f t="shared" si="289"/>
        <v>0420000000</v>
      </c>
      <c r="K1665" s="132"/>
      <c r="L1665" s="17"/>
      <c r="M1665" s="32">
        <v>233709.52999999997</v>
      </c>
      <c r="N1665" s="32">
        <v>189332.91999999998</v>
      </c>
      <c r="O1665" s="32">
        <v>207595.56</v>
      </c>
      <c r="P1665" s="32">
        <f>H1665-M1665</f>
        <v>-233709.52999999997</v>
      </c>
      <c r="Q1665" s="32" t="e">
        <f>#REF!-N1665</f>
        <v>#REF!</v>
      </c>
      <c r="R1665" s="32" t="e">
        <f>#REF!-O1665</f>
        <v>#REF!</v>
      </c>
      <c r="S1665" s="17" t="str">
        <f t="shared" si="282"/>
        <v>04 2 00 00000000</v>
      </c>
    </row>
    <row r="1666" spans="1:19" s="16" customFormat="1" ht="63">
      <c r="A1666" s="14"/>
      <c r="B1666" s="125" t="s">
        <v>297</v>
      </c>
      <c r="C1666" s="108" t="s">
        <v>410</v>
      </c>
      <c r="D1666" s="108" t="s">
        <v>73</v>
      </c>
      <c r="E1666" s="108" t="s">
        <v>471</v>
      </c>
      <c r="F1666" s="108" t="s">
        <v>298</v>
      </c>
      <c r="G1666" s="109" t="s">
        <v>9</v>
      </c>
      <c r="H1666" s="141">
        <f>H1667+H1670+H1673+H1688+H1691+H1676+H1682+H1685+H1679</f>
        <v>0</v>
      </c>
      <c r="I1666" s="108">
        <v>420200000</v>
      </c>
      <c r="J1666" s="108" t="str">
        <f t="shared" si="289"/>
        <v>0420200000</v>
      </c>
      <c r="K1666" s="132"/>
      <c r="L1666" s="17"/>
      <c r="M1666" s="32">
        <v>177184.91999999998</v>
      </c>
      <c r="N1666" s="32">
        <v>137808.31</v>
      </c>
      <c r="O1666" s="32">
        <v>156070.95000000001</v>
      </c>
      <c r="P1666" s="32">
        <f>H1666-M1666</f>
        <v>-177184.91999999998</v>
      </c>
      <c r="Q1666" s="32" t="e">
        <f>#REF!-N1666</f>
        <v>#REF!</v>
      </c>
      <c r="R1666" s="32" t="e">
        <f>#REF!-O1666</f>
        <v>#REF!</v>
      </c>
      <c r="S1666" s="17" t="str">
        <f t="shared" si="282"/>
        <v>04 2 02 00000000</v>
      </c>
    </row>
    <row r="1667" spans="1:19" s="16" customFormat="1" ht="31.5">
      <c r="A1667" s="14"/>
      <c r="B1667" s="125" t="s">
        <v>829</v>
      </c>
      <c r="C1667" s="108" t="s">
        <v>410</v>
      </c>
      <c r="D1667" s="108" t="s">
        <v>73</v>
      </c>
      <c r="E1667" s="108" t="s">
        <v>471</v>
      </c>
      <c r="F1667" s="108" t="s">
        <v>830</v>
      </c>
      <c r="G1667" s="109" t="s">
        <v>9</v>
      </c>
      <c r="H1667" s="141">
        <f>H1668</f>
        <v>0</v>
      </c>
      <c r="I1667" s="108">
        <v>420220130</v>
      </c>
      <c r="J1667" s="108" t="str">
        <f t="shared" si="289"/>
        <v>0420220130</v>
      </c>
      <c r="K1667" s="132"/>
      <c r="L1667" s="17"/>
      <c r="M1667" s="32">
        <v>78131.709999999992</v>
      </c>
      <c r="N1667" s="32">
        <v>72051.709999999992</v>
      </c>
      <c r="O1667" s="32">
        <v>72051.709999999992</v>
      </c>
      <c r="P1667" s="32">
        <f>H1667-M1667</f>
        <v>-78131.709999999992</v>
      </c>
      <c r="Q1667" s="32" t="e">
        <f>#REF!-N1667</f>
        <v>#REF!</v>
      </c>
      <c r="R1667" s="32" t="e">
        <f>#REF!-O1667</f>
        <v>#REF!</v>
      </c>
      <c r="S1667" s="17" t="str">
        <f t="shared" si="282"/>
        <v>04 2 02 20130000</v>
      </c>
    </row>
    <row r="1668" spans="1:19" s="16" customFormat="1" ht="31.5">
      <c r="A1668" s="14"/>
      <c r="B1668" s="125" t="s">
        <v>28</v>
      </c>
      <c r="C1668" s="108" t="s">
        <v>410</v>
      </c>
      <c r="D1668" s="108" t="s">
        <v>73</v>
      </c>
      <c r="E1668" s="108" t="s">
        <v>471</v>
      </c>
      <c r="F1668" s="108" t="s">
        <v>830</v>
      </c>
      <c r="G1668" s="109" t="s">
        <v>29</v>
      </c>
      <c r="H1668" s="126">
        <f>H1669</f>
        <v>0</v>
      </c>
      <c r="I1668" s="108">
        <v>420220130</v>
      </c>
      <c r="J1668" s="108" t="str">
        <f t="shared" si="289"/>
        <v>0420220130</v>
      </c>
      <c r="K1668" s="132"/>
      <c r="L1668" s="17"/>
      <c r="M1668" s="32">
        <v>78131.709999999992</v>
      </c>
      <c r="N1668" s="32">
        <v>72051.709999999992</v>
      </c>
      <c r="O1668" s="32">
        <v>72051.709999999992</v>
      </c>
      <c r="P1668" s="32">
        <f>H1668-M1668</f>
        <v>-78131.709999999992</v>
      </c>
      <c r="Q1668" s="32" t="e">
        <f>#REF!-N1668</f>
        <v>#REF!</v>
      </c>
      <c r="R1668" s="32" t="e">
        <f>#REF!-O1668</f>
        <v>#REF!</v>
      </c>
      <c r="S1668" s="17" t="str">
        <f t="shared" si="282"/>
        <v>04 2 02 20130240</v>
      </c>
    </row>
    <row r="1669" spans="1:19" s="16" customFormat="1" ht="15.75">
      <c r="A1669" s="14"/>
      <c r="B1669" s="125" t="s">
        <v>30</v>
      </c>
      <c r="C1669" s="108" t="s">
        <v>410</v>
      </c>
      <c r="D1669" s="108" t="s">
        <v>73</v>
      </c>
      <c r="E1669" s="108" t="s">
        <v>471</v>
      </c>
      <c r="F1669" s="108" t="s">
        <v>830</v>
      </c>
      <c r="G1669" s="109" t="s">
        <v>31</v>
      </c>
      <c r="H1669" s="126"/>
      <c r="I1669" s="108">
        <v>420220130</v>
      </c>
      <c r="J1669" s="108" t="str">
        <f t="shared" si="289"/>
        <v>0420220130</v>
      </c>
      <c r="K1669" s="304" t="str">
        <f>C1669&amp;D1669&amp;E1669&amp;J1669&amp;G1669</f>
        <v>62004090420220130244</v>
      </c>
      <c r="L1669" s="17"/>
      <c r="M1669" s="32"/>
      <c r="N1669" s="32"/>
      <c r="O1669" s="32"/>
      <c r="P1669" s="32"/>
      <c r="Q1669" s="32"/>
      <c r="R1669" s="32"/>
      <c r="S1669" s="17"/>
    </row>
    <row r="1670" spans="1:19" s="16" customFormat="1" ht="126">
      <c r="A1670" s="14" t="s">
        <v>80</v>
      </c>
      <c r="B1670" s="125" t="s">
        <v>831</v>
      </c>
      <c r="C1670" s="108" t="s">
        <v>410</v>
      </c>
      <c r="D1670" s="108" t="s">
        <v>73</v>
      </c>
      <c r="E1670" s="108" t="s">
        <v>471</v>
      </c>
      <c r="F1670" s="108" t="s">
        <v>832</v>
      </c>
      <c r="G1670" s="109" t="s">
        <v>9</v>
      </c>
      <c r="H1670" s="141">
        <f>H1671</f>
        <v>0</v>
      </c>
      <c r="I1670" s="108">
        <v>420220810</v>
      </c>
      <c r="J1670" s="108" t="str">
        <f t="shared" si="289"/>
        <v>0420220810</v>
      </c>
      <c r="K1670" s="132"/>
      <c r="L1670" s="17"/>
      <c r="M1670" s="32">
        <v>18688.990000000002</v>
      </c>
      <c r="N1670" s="32">
        <v>18688.990000000002</v>
      </c>
      <c r="O1670" s="32">
        <v>18688.990000000002</v>
      </c>
      <c r="P1670" s="32">
        <f>H1670-M1670</f>
        <v>-18688.990000000002</v>
      </c>
      <c r="Q1670" s="32" t="e">
        <f>#REF!-N1670</f>
        <v>#REF!</v>
      </c>
      <c r="R1670" s="32" t="e">
        <f>#REF!-O1670</f>
        <v>#REF!</v>
      </c>
      <c r="S1670" s="17" t="str">
        <f t="shared" si="282"/>
        <v>04 2 02 20810000</v>
      </c>
    </row>
    <row r="1671" spans="1:19" s="16" customFormat="1" ht="31.5">
      <c r="A1671" s="14"/>
      <c r="B1671" s="125" t="s">
        <v>28</v>
      </c>
      <c r="C1671" s="108" t="s">
        <v>410</v>
      </c>
      <c r="D1671" s="108" t="s">
        <v>73</v>
      </c>
      <c r="E1671" s="108" t="s">
        <v>471</v>
      </c>
      <c r="F1671" s="108" t="s">
        <v>832</v>
      </c>
      <c r="G1671" s="109" t="s">
        <v>29</v>
      </c>
      <c r="H1671" s="126">
        <f>H1672</f>
        <v>0</v>
      </c>
      <c r="I1671" s="108">
        <v>420220810</v>
      </c>
      <c r="J1671" s="108" t="str">
        <f t="shared" si="289"/>
        <v>0420220810</v>
      </c>
      <c r="K1671" s="132"/>
      <c r="L1671" s="17"/>
      <c r="M1671" s="32">
        <v>18688.990000000002</v>
      </c>
      <c r="N1671" s="32">
        <v>18688.990000000002</v>
      </c>
      <c r="O1671" s="32">
        <v>18688.990000000002</v>
      </c>
      <c r="P1671" s="32">
        <f>H1671-M1671</f>
        <v>-18688.990000000002</v>
      </c>
      <c r="Q1671" s="32" t="e">
        <f>#REF!-N1671</f>
        <v>#REF!</v>
      </c>
      <c r="R1671" s="32" t="e">
        <f>#REF!-O1671</f>
        <v>#REF!</v>
      </c>
      <c r="S1671" s="17" t="str">
        <f t="shared" si="282"/>
        <v>04 2 02 20810240</v>
      </c>
    </row>
    <row r="1672" spans="1:19" s="16" customFormat="1" ht="15.75">
      <c r="A1672" s="14"/>
      <c r="B1672" s="125" t="s">
        <v>30</v>
      </c>
      <c r="C1672" s="108" t="s">
        <v>410</v>
      </c>
      <c r="D1672" s="108" t="s">
        <v>73</v>
      </c>
      <c r="E1672" s="108" t="s">
        <v>471</v>
      </c>
      <c r="F1672" s="108" t="s">
        <v>832</v>
      </c>
      <c r="G1672" s="109" t="s">
        <v>31</v>
      </c>
      <c r="H1672" s="126"/>
      <c r="I1672" s="108">
        <v>420220810</v>
      </c>
      <c r="J1672" s="108" t="str">
        <f t="shared" si="289"/>
        <v>0420220810</v>
      </c>
      <c r="K1672" s="304" t="str">
        <f>C1672&amp;D1672&amp;E1672&amp;J1672&amp;G1672</f>
        <v>62004090420220810244</v>
      </c>
      <c r="L1672" s="17"/>
      <c r="M1672" s="32"/>
      <c r="N1672" s="32"/>
      <c r="O1672" s="32"/>
      <c r="P1672" s="32"/>
      <c r="Q1672" s="32"/>
      <c r="R1672" s="32"/>
      <c r="S1672" s="17"/>
    </row>
    <row r="1673" spans="1:19" s="16" customFormat="1" ht="31.5">
      <c r="A1673" s="14"/>
      <c r="B1673" s="125" t="s">
        <v>833</v>
      </c>
      <c r="C1673" s="108" t="s">
        <v>410</v>
      </c>
      <c r="D1673" s="108" t="s">
        <v>73</v>
      </c>
      <c r="E1673" s="108" t="s">
        <v>471</v>
      </c>
      <c r="F1673" s="108" t="s">
        <v>834</v>
      </c>
      <c r="G1673" s="109" t="s">
        <v>9</v>
      </c>
      <c r="H1673" s="141">
        <f>H1674</f>
        <v>0</v>
      </c>
      <c r="I1673" s="108">
        <v>420220830</v>
      </c>
      <c r="J1673" s="108" t="str">
        <f t="shared" si="289"/>
        <v>0420220830</v>
      </c>
      <c r="K1673" s="132"/>
      <c r="L1673" s="17"/>
      <c r="M1673" s="32">
        <v>1350</v>
      </c>
      <c r="N1673" s="32">
        <v>1350</v>
      </c>
      <c r="O1673" s="32">
        <v>1350</v>
      </c>
      <c r="P1673" s="32">
        <f>H1673-M1673</f>
        <v>-1350</v>
      </c>
      <c r="Q1673" s="32" t="e">
        <f>#REF!-N1673</f>
        <v>#REF!</v>
      </c>
      <c r="R1673" s="32" t="e">
        <f>#REF!-O1673</f>
        <v>#REF!</v>
      </c>
      <c r="S1673" s="17" t="str">
        <f t="shared" si="282"/>
        <v>04 2 02 20830000</v>
      </c>
    </row>
    <row r="1674" spans="1:19" s="16" customFormat="1" ht="31.5">
      <c r="A1674" s="14"/>
      <c r="B1674" s="125" t="s">
        <v>28</v>
      </c>
      <c r="C1674" s="108" t="s">
        <v>410</v>
      </c>
      <c r="D1674" s="108" t="s">
        <v>73</v>
      </c>
      <c r="E1674" s="108" t="s">
        <v>471</v>
      </c>
      <c r="F1674" s="108" t="s">
        <v>834</v>
      </c>
      <c r="G1674" s="109" t="s">
        <v>29</v>
      </c>
      <c r="H1674" s="126">
        <f>H1675</f>
        <v>0</v>
      </c>
      <c r="I1674" s="108">
        <v>420220830</v>
      </c>
      <c r="J1674" s="108" t="str">
        <f t="shared" si="289"/>
        <v>0420220830</v>
      </c>
      <c r="K1674" s="132"/>
      <c r="L1674" s="17"/>
      <c r="M1674" s="32">
        <v>1350</v>
      </c>
      <c r="N1674" s="32">
        <v>1350</v>
      </c>
      <c r="O1674" s="32">
        <v>1350</v>
      </c>
      <c r="P1674" s="32">
        <f>H1674-M1674</f>
        <v>-1350</v>
      </c>
      <c r="Q1674" s="32" t="e">
        <f>#REF!-N1674</f>
        <v>#REF!</v>
      </c>
      <c r="R1674" s="32" t="e">
        <f>#REF!-O1674</f>
        <v>#REF!</v>
      </c>
      <c r="S1674" s="17" t="str">
        <f t="shared" si="282"/>
        <v>04 2 02 20830240</v>
      </c>
    </row>
    <row r="1675" spans="1:19" s="16" customFormat="1" ht="15.75">
      <c r="A1675" s="14"/>
      <c r="B1675" s="125" t="s">
        <v>30</v>
      </c>
      <c r="C1675" s="108" t="s">
        <v>410</v>
      </c>
      <c r="D1675" s="108" t="s">
        <v>73</v>
      </c>
      <c r="E1675" s="108" t="s">
        <v>471</v>
      </c>
      <c r="F1675" s="108" t="s">
        <v>834</v>
      </c>
      <c r="G1675" s="109" t="s">
        <v>31</v>
      </c>
      <c r="H1675" s="126"/>
      <c r="I1675" s="108">
        <v>420220830</v>
      </c>
      <c r="J1675" s="108" t="str">
        <f t="shared" si="289"/>
        <v>0420220830</v>
      </c>
      <c r="K1675" s="304" t="str">
        <f>C1675&amp;D1675&amp;E1675&amp;J1675&amp;G1675</f>
        <v>62004090420220830244</v>
      </c>
      <c r="L1675" s="17"/>
      <c r="M1675" s="32"/>
      <c r="N1675" s="32"/>
      <c r="O1675" s="32"/>
      <c r="P1675" s="32"/>
      <c r="Q1675" s="32"/>
      <c r="R1675" s="32"/>
      <c r="S1675" s="17"/>
    </row>
    <row r="1676" spans="1:19" s="16" customFormat="1" ht="47.25">
      <c r="A1676" s="14"/>
      <c r="B1676" s="125" t="s">
        <v>835</v>
      </c>
      <c r="C1676" s="108" t="s">
        <v>410</v>
      </c>
      <c r="D1676" s="108" t="s">
        <v>73</v>
      </c>
      <c r="E1676" s="108" t="s">
        <v>471</v>
      </c>
      <c r="F1676" s="108" t="s">
        <v>836</v>
      </c>
      <c r="G1676" s="109" t="s">
        <v>9</v>
      </c>
      <c r="H1676" s="141">
        <f>H1677</f>
        <v>0</v>
      </c>
      <c r="I1676" s="108">
        <v>420221180</v>
      </c>
      <c r="J1676" s="108" t="str">
        <f t="shared" si="289"/>
        <v>0420221180</v>
      </c>
      <c r="K1676" s="132"/>
      <c r="L1676" s="17"/>
      <c r="M1676" s="32">
        <v>21274.62</v>
      </c>
      <c r="N1676" s="32">
        <v>4435.2800000000007</v>
      </c>
      <c r="O1676" s="32">
        <v>22697.919999999998</v>
      </c>
      <c r="P1676" s="32">
        <f>H1676-M1676</f>
        <v>-21274.62</v>
      </c>
      <c r="Q1676" s="32" t="e">
        <f>#REF!-N1676</f>
        <v>#REF!</v>
      </c>
      <c r="R1676" s="32" t="e">
        <f>#REF!-O1676</f>
        <v>#REF!</v>
      </c>
      <c r="S1676" s="17" t="str">
        <f t="shared" si="282"/>
        <v>04 2 02 21180000</v>
      </c>
    </row>
    <row r="1677" spans="1:19" s="16" customFormat="1" ht="15.75">
      <c r="A1677" s="14"/>
      <c r="B1677" s="125" t="s">
        <v>837</v>
      </c>
      <c r="C1677" s="108" t="s">
        <v>410</v>
      </c>
      <c r="D1677" s="108" t="s">
        <v>73</v>
      </c>
      <c r="E1677" s="108" t="s">
        <v>471</v>
      </c>
      <c r="F1677" s="108" t="s">
        <v>836</v>
      </c>
      <c r="G1677" s="109" t="s">
        <v>838</v>
      </c>
      <c r="H1677" s="126">
        <f>H1678</f>
        <v>0</v>
      </c>
      <c r="I1677" s="108">
        <v>420221180</v>
      </c>
      <c r="J1677" s="108" t="str">
        <f t="shared" si="289"/>
        <v>0420221180</v>
      </c>
      <c r="K1677" s="132"/>
      <c r="L1677" s="17"/>
      <c r="M1677" s="32">
        <v>21274.62</v>
      </c>
      <c r="N1677" s="32">
        <v>4435.2800000000007</v>
      </c>
      <c r="O1677" s="32">
        <v>22697.919999999998</v>
      </c>
      <c r="P1677" s="32">
        <f>H1677-M1677</f>
        <v>-21274.62</v>
      </c>
      <c r="Q1677" s="32" t="e">
        <f>#REF!-N1677</f>
        <v>#REF!</v>
      </c>
      <c r="R1677" s="32" t="e">
        <f>#REF!-O1677</f>
        <v>#REF!</v>
      </c>
      <c r="S1677" s="17" t="str">
        <f t="shared" si="282"/>
        <v>04 2 02 21180410</v>
      </c>
    </row>
    <row r="1678" spans="1:19" s="16" customFormat="1" ht="47.25">
      <c r="A1678" s="14"/>
      <c r="B1678" s="125" t="s">
        <v>839</v>
      </c>
      <c r="C1678" s="108" t="s">
        <v>410</v>
      </c>
      <c r="D1678" s="108" t="s">
        <v>73</v>
      </c>
      <c r="E1678" s="108" t="s">
        <v>471</v>
      </c>
      <c r="F1678" s="108" t="s">
        <v>836</v>
      </c>
      <c r="G1678" s="109" t="s">
        <v>840</v>
      </c>
      <c r="H1678" s="126"/>
      <c r="I1678" s="108">
        <v>420221180</v>
      </c>
      <c r="J1678" s="108" t="str">
        <f t="shared" si="289"/>
        <v>0420221180</v>
      </c>
      <c r="K1678" s="304" t="str">
        <f>C1678&amp;D1678&amp;E1678&amp;J1678&amp;G1678</f>
        <v>62004090420221180414</v>
      </c>
      <c r="L1678" s="17"/>
      <c r="M1678" s="32"/>
      <c r="N1678" s="32"/>
      <c r="O1678" s="32"/>
      <c r="P1678" s="32"/>
      <c r="Q1678" s="32"/>
      <c r="R1678" s="32"/>
      <c r="S1678" s="17" t="str">
        <f t="shared" si="282"/>
        <v>04 2 02 21180414</v>
      </c>
    </row>
    <row r="1679" spans="1:19" s="16" customFormat="1" ht="94.5">
      <c r="A1679" s="14"/>
      <c r="B1679" s="125" t="s">
        <v>1075</v>
      </c>
      <c r="C1679" s="130" t="s">
        <v>410</v>
      </c>
      <c r="D1679" s="108" t="s">
        <v>73</v>
      </c>
      <c r="E1679" s="108" t="s">
        <v>471</v>
      </c>
      <c r="F1679" s="108" t="s">
        <v>1076</v>
      </c>
      <c r="G1679" s="108" t="s">
        <v>9</v>
      </c>
      <c r="H1679" s="126">
        <f>H1680</f>
        <v>0</v>
      </c>
      <c r="I1679" s="108">
        <v>420221410</v>
      </c>
      <c r="J1679" s="108" t="str">
        <f t="shared" si="289"/>
        <v>0420221410</v>
      </c>
      <c r="K1679" s="132"/>
      <c r="L1679" s="17"/>
      <c r="M1679" s="32"/>
      <c r="N1679" s="32"/>
      <c r="O1679" s="32"/>
      <c r="P1679" s="32"/>
      <c r="Q1679" s="32"/>
      <c r="R1679" s="32"/>
      <c r="S1679" s="17"/>
    </row>
    <row r="1680" spans="1:19" s="16" customFormat="1" ht="31.5">
      <c r="A1680" s="14"/>
      <c r="B1680" s="125" t="s">
        <v>28</v>
      </c>
      <c r="C1680" s="130" t="s">
        <v>410</v>
      </c>
      <c r="D1680" s="108" t="s">
        <v>73</v>
      </c>
      <c r="E1680" s="108" t="s">
        <v>471</v>
      </c>
      <c r="F1680" s="108" t="s">
        <v>1076</v>
      </c>
      <c r="G1680" s="108" t="s">
        <v>29</v>
      </c>
      <c r="H1680" s="126">
        <f>H1681</f>
        <v>0</v>
      </c>
      <c r="I1680" s="108">
        <v>420221410</v>
      </c>
      <c r="J1680" s="108" t="str">
        <f t="shared" si="289"/>
        <v>0420221410</v>
      </c>
      <c r="K1680" s="132"/>
      <c r="L1680" s="17"/>
      <c r="M1680" s="32"/>
      <c r="N1680" s="32"/>
      <c r="O1680" s="32"/>
      <c r="P1680" s="32"/>
      <c r="Q1680" s="32"/>
      <c r="R1680" s="32"/>
      <c r="S1680" s="17"/>
    </row>
    <row r="1681" spans="1:19" s="16" customFormat="1" ht="15.75">
      <c r="A1681" s="14"/>
      <c r="B1681" s="125" t="s">
        <v>30</v>
      </c>
      <c r="C1681" s="130" t="s">
        <v>410</v>
      </c>
      <c r="D1681" s="108" t="s">
        <v>73</v>
      </c>
      <c r="E1681" s="108" t="s">
        <v>471</v>
      </c>
      <c r="F1681" s="108" t="s">
        <v>1076</v>
      </c>
      <c r="G1681" s="108" t="s">
        <v>31</v>
      </c>
      <c r="H1681" s="126"/>
      <c r="I1681" s="108">
        <v>420221410</v>
      </c>
      <c r="J1681" s="108" t="str">
        <f t="shared" si="289"/>
        <v>0420221410</v>
      </c>
      <c r="K1681" s="304" t="str">
        <f>C1681&amp;D1681&amp;E1681&amp;J1681&amp;G1681</f>
        <v>62004090420221410244</v>
      </c>
      <c r="L1681" s="17"/>
      <c r="M1681" s="32"/>
      <c r="N1681" s="32"/>
      <c r="O1681" s="32"/>
      <c r="P1681" s="32"/>
      <c r="Q1681" s="32"/>
      <c r="R1681" s="32"/>
      <c r="S1681" s="17"/>
    </row>
    <row r="1682" spans="1:19" s="16" customFormat="1" ht="236.25">
      <c r="A1682" s="14"/>
      <c r="B1682" s="125" t="s">
        <v>841</v>
      </c>
      <c r="C1682" s="108" t="s">
        <v>410</v>
      </c>
      <c r="D1682" s="108" t="s">
        <v>73</v>
      </c>
      <c r="E1682" s="108" t="s">
        <v>471</v>
      </c>
      <c r="F1682" s="108" t="s">
        <v>842</v>
      </c>
      <c r="G1682" s="109" t="s">
        <v>9</v>
      </c>
      <c r="H1682" s="141">
        <f>H1683</f>
        <v>0</v>
      </c>
      <c r="I1682" s="108">
        <v>420221460</v>
      </c>
      <c r="J1682" s="108" t="str">
        <f t="shared" si="289"/>
        <v>0420221460</v>
      </c>
      <c r="K1682" s="132"/>
      <c r="L1682" s="17"/>
      <c r="M1682" s="32">
        <v>19287.71</v>
      </c>
      <c r="N1682" s="32">
        <v>0</v>
      </c>
      <c r="O1682" s="32">
        <v>0</v>
      </c>
      <c r="P1682" s="32">
        <f>H1682-M1682</f>
        <v>-19287.71</v>
      </c>
      <c r="Q1682" s="32" t="e">
        <f>#REF!-N1682</f>
        <v>#REF!</v>
      </c>
      <c r="R1682" s="32" t="e">
        <f>#REF!-O1682</f>
        <v>#REF!</v>
      </c>
      <c r="S1682" s="62" t="str">
        <f t="shared" si="282"/>
        <v>04 2 02 21460000</v>
      </c>
    </row>
    <row r="1683" spans="1:19" s="16" customFormat="1" ht="31.5">
      <c r="A1683" s="14"/>
      <c r="B1683" s="125" t="s">
        <v>28</v>
      </c>
      <c r="C1683" s="108" t="s">
        <v>410</v>
      </c>
      <c r="D1683" s="108" t="s">
        <v>73</v>
      </c>
      <c r="E1683" s="108" t="s">
        <v>471</v>
      </c>
      <c r="F1683" s="108" t="s">
        <v>842</v>
      </c>
      <c r="G1683" s="109" t="s">
        <v>29</v>
      </c>
      <c r="H1683" s="126">
        <f>H1684</f>
        <v>0</v>
      </c>
      <c r="I1683" s="108">
        <v>420221460</v>
      </c>
      <c r="J1683" s="108" t="str">
        <f t="shared" si="289"/>
        <v>0420221460</v>
      </c>
      <c r="K1683" s="132"/>
      <c r="L1683" s="17"/>
      <c r="M1683" s="32">
        <v>19287.71</v>
      </c>
      <c r="N1683" s="32">
        <v>0</v>
      </c>
      <c r="O1683" s="32">
        <v>0</v>
      </c>
      <c r="P1683" s="32">
        <f>H1683-M1683</f>
        <v>-19287.71</v>
      </c>
      <c r="Q1683" s="32" t="e">
        <f>#REF!-N1683</f>
        <v>#REF!</v>
      </c>
      <c r="R1683" s="32" t="e">
        <f>#REF!-O1683</f>
        <v>#REF!</v>
      </c>
      <c r="S1683" s="62" t="str">
        <f t="shared" si="282"/>
        <v>04 2 02 21460240</v>
      </c>
    </row>
    <row r="1684" spans="1:19" s="16" customFormat="1" ht="15.75">
      <c r="A1684" s="14"/>
      <c r="B1684" s="125" t="s">
        <v>30</v>
      </c>
      <c r="C1684" s="108" t="s">
        <v>410</v>
      </c>
      <c r="D1684" s="108" t="s">
        <v>73</v>
      </c>
      <c r="E1684" s="108" t="s">
        <v>471</v>
      </c>
      <c r="F1684" s="108" t="s">
        <v>842</v>
      </c>
      <c r="G1684" s="109" t="s">
        <v>31</v>
      </c>
      <c r="H1684" s="126"/>
      <c r="I1684" s="108">
        <v>420221460</v>
      </c>
      <c r="J1684" s="108" t="str">
        <f t="shared" si="289"/>
        <v>0420221460</v>
      </c>
      <c r="K1684" s="304" t="str">
        <f>C1684&amp;D1684&amp;E1684&amp;J1684&amp;G1684</f>
        <v>62004090420221460244</v>
      </c>
      <c r="L1684" s="17"/>
      <c r="M1684" s="32"/>
      <c r="N1684" s="32"/>
      <c r="O1684" s="32"/>
      <c r="P1684" s="32"/>
      <c r="Q1684" s="32"/>
      <c r="R1684" s="32"/>
      <c r="S1684" s="62"/>
    </row>
    <row r="1685" spans="1:19" s="16" customFormat="1" ht="78.75">
      <c r="A1685" s="14"/>
      <c r="B1685" s="125" t="s">
        <v>843</v>
      </c>
      <c r="C1685" s="108" t="s">
        <v>410</v>
      </c>
      <c r="D1685" s="108" t="s">
        <v>73</v>
      </c>
      <c r="E1685" s="108" t="s">
        <v>471</v>
      </c>
      <c r="F1685" s="108" t="s">
        <v>844</v>
      </c>
      <c r="G1685" s="109" t="s">
        <v>9</v>
      </c>
      <c r="H1685" s="141">
        <f>H1686</f>
        <v>0</v>
      </c>
      <c r="I1685" s="108">
        <v>420221490</v>
      </c>
      <c r="J1685" s="108" t="str">
        <f t="shared" si="289"/>
        <v>0420221490</v>
      </c>
      <c r="K1685" s="132"/>
      <c r="L1685" s="17"/>
      <c r="M1685" s="32">
        <v>6350</v>
      </c>
      <c r="N1685" s="32">
        <v>0</v>
      </c>
      <c r="O1685" s="32">
        <v>0</v>
      </c>
      <c r="P1685" s="32">
        <f>H1685-M1685</f>
        <v>-6350</v>
      </c>
      <c r="Q1685" s="32" t="e">
        <f>#REF!-N1685</f>
        <v>#REF!</v>
      </c>
      <c r="R1685" s="32" t="e">
        <f>#REF!-O1685</f>
        <v>#REF!</v>
      </c>
      <c r="S1685" s="62" t="str">
        <f t="shared" si="282"/>
        <v>04 2 02 21490000</v>
      </c>
    </row>
    <row r="1686" spans="1:19" s="16" customFormat="1" ht="31.5">
      <c r="A1686" s="14"/>
      <c r="B1686" s="125" t="s">
        <v>28</v>
      </c>
      <c r="C1686" s="108" t="s">
        <v>410</v>
      </c>
      <c r="D1686" s="108" t="s">
        <v>73</v>
      </c>
      <c r="E1686" s="108" t="s">
        <v>471</v>
      </c>
      <c r="F1686" s="108" t="s">
        <v>844</v>
      </c>
      <c r="G1686" s="109" t="s">
        <v>29</v>
      </c>
      <c r="H1686" s="126">
        <f>H1687</f>
        <v>0</v>
      </c>
      <c r="I1686" s="108">
        <v>420221490</v>
      </c>
      <c r="J1686" s="108" t="str">
        <f t="shared" si="289"/>
        <v>0420221490</v>
      </c>
      <c r="K1686" s="132"/>
      <c r="L1686" s="17"/>
      <c r="M1686" s="32">
        <v>6350</v>
      </c>
      <c r="N1686" s="32">
        <v>0</v>
      </c>
      <c r="O1686" s="32">
        <v>0</v>
      </c>
      <c r="P1686" s="32">
        <f>H1686-M1686</f>
        <v>-6350</v>
      </c>
      <c r="Q1686" s="32" t="e">
        <f>#REF!-N1686</f>
        <v>#REF!</v>
      </c>
      <c r="R1686" s="32" t="e">
        <f>#REF!-O1686</f>
        <v>#REF!</v>
      </c>
      <c r="S1686" s="62" t="str">
        <f t="shared" si="282"/>
        <v>04 2 02 21490240</v>
      </c>
    </row>
    <row r="1687" spans="1:19" s="16" customFormat="1" ht="15.75">
      <c r="A1687" s="14"/>
      <c r="B1687" s="125" t="s">
        <v>30</v>
      </c>
      <c r="C1687" s="108" t="s">
        <v>410</v>
      </c>
      <c r="D1687" s="108" t="s">
        <v>73</v>
      </c>
      <c r="E1687" s="108" t="s">
        <v>471</v>
      </c>
      <c r="F1687" s="108" t="s">
        <v>844</v>
      </c>
      <c r="G1687" s="109" t="s">
        <v>31</v>
      </c>
      <c r="H1687" s="126"/>
      <c r="I1687" s="108">
        <v>420221490</v>
      </c>
      <c r="J1687" s="108" t="str">
        <f t="shared" si="289"/>
        <v>0420221490</v>
      </c>
      <c r="K1687" s="304" t="str">
        <f>C1687&amp;D1687&amp;E1687&amp;J1687&amp;G1687</f>
        <v>62004090420221490244</v>
      </c>
      <c r="L1687" s="17"/>
      <c r="M1687" s="32"/>
      <c r="N1687" s="32"/>
      <c r="O1687" s="32"/>
      <c r="P1687" s="32"/>
      <c r="Q1687" s="32"/>
      <c r="R1687" s="32"/>
      <c r="S1687" s="62"/>
    </row>
    <row r="1688" spans="1:19" s="16" customFormat="1" ht="94.5">
      <c r="A1688" s="14"/>
      <c r="B1688" s="125" t="s">
        <v>845</v>
      </c>
      <c r="C1688" s="109" t="s">
        <v>410</v>
      </c>
      <c r="D1688" s="108" t="s">
        <v>73</v>
      </c>
      <c r="E1688" s="108" t="s">
        <v>471</v>
      </c>
      <c r="F1688" s="14" t="s">
        <v>846</v>
      </c>
      <c r="G1688" s="109" t="s">
        <v>9</v>
      </c>
      <c r="H1688" s="141">
        <f>H1689</f>
        <v>0</v>
      </c>
      <c r="I1688" s="14">
        <v>420260090</v>
      </c>
      <c r="J1688" s="14" t="str">
        <f t="shared" si="289"/>
        <v>0420260090</v>
      </c>
      <c r="K1688" s="132"/>
      <c r="L1688" s="17"/>
      <c r="M1688" s="32">
        <v>17260.62</v>
      </c>
      <c r="N1688" s="32">
        <v>26441.059999999998</v>
      </c>
      <c r="O1688" s="32">
        <v>26441.059999999998</v>
      </c>
      <c r="P1688" s="32">
        <f>H1688-M1688</f>
        <v>-17260.62</v>
      </c>
      <c r="Q1688" s="32" t="e">
        <f>#REF!-N1688</f>
        <v>#REF!</v>
      </c>
      <c r="R1688" s="32" t="e">
        <f>#REF!-O1688</f>
        <v>#REF!</v>
      </c>
      <c r="S1688" s="17" t="str">
        <f t="shared" si="282"/>
        <v>04 2 02 60090000</v>
      </c>
    </row>
    <row r="1689" spans="1:19" s="16" customFormat="1" ht="63">
      <c r="A1689" s="14"/>
      <c r="B1689" s="129" t="s">
        <v>203</v>
      </c>
      <c r="C1689" s="109" t="s">
        <v>410</v>
      </c>
      <c r="D1689" s="108" t="s">
        <v>73</v>
      </c>
      <c r="E1689" s="108" t="s">
        <v>471</v>
      </c>
      <c r="F1689" s="14" t="s">
        <v>846</v>
      </c>
      <c r="G1689" s="109" t="s">
        <v>204</v>
      </c>
      <c r="H1689" s="126">
        <f>H1690</f>
        <v>0</v>
      </c>
      <c r="I1689" s="14">
        <v>420260090</v>
      </c>
      <c r="J1689" s="14" t="str">
        <f t="shared" si="289"/>
        <v>0420260090</v>
      </c>
      <c r="K1689" s="132"/>
      <c r="L1689" s="17"/>
      <c r="M1689" s="32">
        <v>17260.62</v>
      </c>
      <c r="N1689" s="32">
        <v>26441.059999999998</v>
      </c>
      <c r="O1689" s="32">
        <v>26441.059999999998</v>
      </c>
      <c r="P1689" s="32">
        <f>H1689-M1689</f>
        <v>-17260.62</v>
      </c>
      <c r="Q1689" s="32" t="e">
        <f>#REF!-N1689</f>
        <v>#REF!</v>
      </c>
      <c r="R1689" s="32" t="e">
        <f>#REF!-O1689</f>
        <v>#REF!</v>
      </c>
      <c r="S1689" s="17" t="str">
        <f t="shared" si="282"/>
        <v>04 2 02 60090810</v>
      </c>
    </row>
    <row r="1690" spans="1:19" s="16" customFormat="1" ht="63">
      <c r="A1690" s="14"/>
      <c r="B1690" s="125" t="s">
        <v>205</v>
      </c>
      <c r="C1690" s="109" t="s">
        <v>410</v>
      </c>
      <c r="D1690" s="108" t="s">
        <v>73</v>
      </c>
      <c r="E1690" s="108" t="s">
        <v>471</v>
      </c>
      <c r="F1690" s="14" t="s">
        <v>846</v>
      </c>
      <c r="G1690" s="109" t="s">
        <v>206</v>
      </c>
      <c r="H1690" s="126"/>
      <c r="I1690" s="14">
        <v>420260090</v>
      </c>
      <c r="J1690" s="14" t="str">
        <f t="shared" si="289"/>
        <v>0420260090</v>
      </c>
      <c r="K1690" s="304" t="str">
        <f>C1690&amp;D1690&amp;E1690&amp;J1690&amp;G1690</f>
        <v>62004090420260090811</v>
      </c>
      <c r="L1690" s="17"/>
      <c r="M1690" s="32"/>
      <c r="N1690" s="32"/>
      <c r="O1690" s="32"/>
      <c r="P1690" s="32"/>
      <c r="Q1690" s="32"/>
      <c r="R1690" s="32"/>
      <c r="S1690" s="17"/>
    </row>
    <row r="1691" spans="1:19" s="16" customFormat="1" ht="47.25">
      <c r="A1691" s="14"/>
      <c r="B1691" s="125" t="s">
        <v>847</v>
      </c>
      <c r="C1691" s="109" t="s">
        <v>410</v>
      </c>
      <c r="D1691" s="108" t="s">
        <v>73</v>
      </c>
      <c r="E1691" s="108" t="s">
        <v>471</v>
      </c>
      <c r="F1691" s="14" t="s">
        <v>848</v>
      </c>
      <c r="G1691" s="109" t="s">
        <v>9</v>
      </c>
      <c r="H1691" s="141">
        <f>H1692</f>
        <v>0</v>
      </c>
      <c r="I1691" s="14" t="s">
        <v>1238</v>
      </c>
      <c r="J1691" s="14" t="str">
        <f t="shared" si="289"/>
        <v>04202S6460</v>
      </c>
      <c r="K1691" s="132"/>
      <c r="L1691" s="17"/>
      <c r="M1691" s="32">
        <v>14841.27</v>
      </c>
      <c r="N1691" s="32">
        <v>14841.27</v>
      </c>
      <c r="O1691" s="32">
        <v>14841.27</v>
      </c>
      <c r="P1691" s="32">
        <f>H1691-M1691</f>
        <v>-14841.27</v>
      </c>
      <c r="Q1691" s="32" t="e">
        <f>#REF!-N1691</f>
        <v>#REF!</v>
      </c>
      <c r="R1691" s="32" t="e">
        <f>#REF!-O1691</f>
        <v>#REF!</v>
      </c>
      <c r="S1691" s="17" t="str">
        <f t="shared" si="282"/>
        <v>04 2 02 S6460000</v>
      </c>
    </row>
    <row r="1692" spans="1:19" s="16" customFormat="1" ht="31.5">
      <c r="A1692" s="14"/>
      <c r="B1692" s="125" t="s">
        <v>28</v>
      </c>
      <c r="C1692" s="109" t="s">
        <v>410</v>
      </c>
      <c r="D1692" s="108" t="s">
        <v>73</v>
      </c>
      <c r="E1692" s="108" t="s">
        <v>471</v>
      </c>
      <c r="F1692" s="14" t="s">
        <v>848</v>
      </c>
      <c r="G1692" s="109" t="s">
        <v>29</v>
      </c>
      <c r="H1692" s="126">
        <f>H1693</f>
        <v>0</v>
      </c>
      <c r="I1692" s="14" t="s">
        <v>1238</v>
      </c>
      <c r="J1692" s="14" t="str">
        <f t="shared" si="289"/>
        <v>04202S6460</v>
      </c>
      <c r="K1692" s="132"/>
      <c r="L1692" s="17"/>
      <c r="M1692" s="32">
        <v>14841.27</v>
      </c>
      <c r="N1692" s="32">
        <v>14841.27</v>
      </c>
      <c r="O1692" s="32">
        <v>14841.27</v>
      </c>
      <c r="P1692" s="32">
        <f>H1692-M1692</f>
        <v>-14841.27</v>
      </c>
      <c r="Q1692" s="32" t="e">
        <f>#REF!-N1692</f>
        <v>#REF!</v>
      </c>
      <c r="R1692" s="32" t="e">
        <f>#REF!-O1692</f>
        <v>#REF!</v>
      </c>
      <c r="S1692" s="17" t="str">
        <f>CONCATENATE(F1692,G1692)</f>
        <v>04 2 02 S6460240</v>
      </c>
    </row>
    <row r="1693" spans="1:19" s="16" customFormat="1" ht="15.75">
      <c r="A1693" s="14"/>
      <c r="B1693" s="125" t="s">
        <v>30</v>
      </c>
      <c r="C1693" s="109" t="s">
        <v>410</v>
      </c>
      <c r="D1693" s="108" t="s">
        <v>73</v>
      </c>
      <c r="E1693" s="108" t="s">
        <v>471</v>
      </c>
      <c r="F1693" s="14" t="s">
        <v>848</v>
      </c>
      <c r="G1693" s="109" t="s">
        <v>31</v>
      </c>
      <c r="H1693" s="126"/>
      <c r="I1693" s="14" t="s">
        <v>1238</v>
      </c>
      <c r="J1693" s="14" t="str">
        <f t="shared" si="289"/>
        <v>04202S6460</v>
      </c>
      <c r="K1693" s="304" t="str">
        <f>C1693&amp;D1693&amp;E1693&amp;J1693&amp;G1693</f>
        <v>620040904202S6460244</v>
      </c>
      <c r="L1693" s="17"/>
      <c r="M1693" s="32"/>
      <c r="N1693" s="32"/>
      <c r="O1693" s="32"/>
      <c r="P1693" s="32"/>
      <c r="Q1693" s="32"/>
      <c r="R1693" s="32"/>
      <c r="S1693" s="17"/>
    </row>
    <row r="1694" spans="1:19" s="16" customFormat="1" ht="47.25">
      <c r="A1694" s="14"/>
      <c r="B1694" s="125" t="s">
        <v>849</v>
      </c>
      <c r="C1694" s="108" t="s">
        <v>410</v>
      </c>
      <c r="D1694" s="108" t="s">
        <v>73</v>
      </c>
      <c r="E1694" s="108" t="s">
        <v>471</v>
      </c>
      <c r="F1694" s="108" t="s">
        <v>850</v>
      </c>
      <c r="G1694" s="109" t="s">
        <v>9</v>
      </c>
      <c r="H1694" s="141">
        <f>H1699+H1695</f>
        <v>0</v>
      </c>
      <c r="I1694" s="108">
        <v>420300000</v>
      </c>
      <c r="J1694" s="108" t="str">
        <f t="shared" si="289"/>
        <v>0420300000</v>
      </c>
      <c r="K1694" s="132"/>
      <c r="L1694" s="17"/>
      <c r="M1694" s="32">
        <v>56524.61</v>
      </c>
      <c r="N1694" s="32">
        <v>51524.61</v>
      </c>
      <c r="O1694" s="32">
        <v>51524.61</v>
      </c>
      <c r="P1694" s="32">
        <f>H1694-M1694</f>
        <v>-56524.61</v>
      </c>
      <c r="Q1694" s="32" t="e">
        <f>#REF!-N1694</f>
        <v>#REF!</v>
      </c>
      <c r="R1694" s="32" t="e">
        <f>#REF!-O1694</f>
        <v>#REF!</v>
      </c>
      <c r="S1694" s="17" t="str">
        <f>CONCATENATE(F1694,G1694)</f>
        <v>04 2 03 00000000</v>
      </c>
    </row>
    <row r="1695" spans="1:19" s="16" customFormat="1" ht="31.5">
      <c r="A1695" s="14"/>
      <c r="B1695" s="135" t="s">
        <v>136</v>
      </c>
      <c r="C1695" s="108" t="s">
        <v>410</v>
      </c>
      <c r="D1695" s="108" t="s">
        <v>73</v>
      </c>
      <c r="E1695" s="108" t="s">
        <v>471</v>
      </c>
      <c r="F1695" s="108" t="s">
        <v>851</v>
      </c>
      <c r="G1695" s="108" t="s">
        <v>9</v>
      </c>
      <c r="H1695" s="126">
        <f>H1696</f>
        <v>0</v>
      </c>
      <c r="I1695" s="108">
        <v>420311010</v>
      </c>
      <c r="J1695" s="108" t="str">
        <f t="shared" si="289"/>
        <v>0420311010</v>
      </c>
      <c r="K1695" s="132"/>
      <c r="L1695" s="17"/>
      <c r="M1695" s="20">
        <v>42580.75</v>
      </c>
      <c r="N1695" s="20">
        <v>42580.75</v>
      </c>
      <c r="O1695" s="20">
        <v>42580.75</v>
      </c>
      <c r="P1695" s="20">
        <f>H1695-M1695</f>
        <v>-42580.75</v>
      </c>
      <c r="Q1695" s="20" t="e">
        <f>#REF!-N1695</f>
        <v>#REF!</v>
      </c>
      <c r="R1695" s="20" t="e">
        <f>#REF!-O1695</f>
        <v>#REF!</v>
      </c>
      <c r="S1695" s="17" t="str">
        <f>CONCATENATE(F1695,G1695)</f>
        <v>04 2 03 11010000</v>
      </c>
    </row>
    <row r="1696" spans="1:19" s="16" customFormat="1" ht="15.75">
      <c r="A1696" s="14"/>
      <c r="B1696" s="132" t="s">
        <v>403</v>
      </c>
      <c r="C1696" s="108" t="s">
        <v>410</v>
      </c>
      <c r="D1696" s="108" t="s">
        <v>73</v>
      </c>
      <c r="E1696" s="108" t="s">
        <v>471</v>
      </c>
      <c r="F1696" s="108" t="s">
        <v>851</v>
      </c>
      <c r="G1696" s="108" t="s">
        <v>404</v>
      </c>
      <c r="H1696" s="126">
        <f>SUM(H1697:H1698)</f>
        <v>0</v>
      </c>
      <c r="I1696" s="108">
        <v>420311010</v>
      </c>
      <c r="J1696" s="108" t="str">
        <f t="shared" si="289"/>
        <v>0420311010</v>
      </c>
      <c r="K1696" s="132"/>
      <c r="L1696" s="17"/>
      <c r="M1696" s="20">
        <v>42580.75</v>
      </c>
      <c r="N1696" s="20">
        <v>42580.75</v>
      </c>
      <c r="O1696" s="20">
        <v>42580.75</v>
      </c>
      <c r="P1696" s="20">
        <f>H1696-M1696</f>
        <v>-42580.75</v>
      </c>
      <c r="Q1696" s="20" t="e">
        <f>#REF!-N1696</f>
        <v>#REF!</v>
      </c>
      <c r="R1696" s="20" t="e">
        <f>#REF!-O1696</f>
        <v>#REF!</v>
      </c>
      <c r="S1696" s="17" t="str">
        <f>CONCATENATE(F1696,G1696)</f>
        <v>04 2 03 11010610</v>
      </c>
    </row>
    <row r="1697" spans="1:19" s="23" customFormat="1" ht="63">
      <c r="A1697" s="21"/>
      <c r="B1697" s="127" t="s">
        <v>405</v>
      </c>
      <c r="C1697" s="108" t="s">
        <v>410</v>
      </c>
      <c r="D1697" s="108" t="s">
        <v>73</v>
      </c>
      <c r="E1697" s="108" t="s">
        <v>471</v>
      </c>
      <c r="F1697" s="108" t="s">
        <v>851</v>
      </c>
      <c r="G1697" s="108" t="s">
        <v>406</v>
      </c>
      <c r="H1697" s="126"/>
      <c r="I1697" s="108">
        <v>420311010</v>
      </c>
      <c r="J1697" s="108" t="str">
        <f t="shared" si="289"/>
        <v>0420311010</v>
      </c>
      <c r="K1697" s="304" t="str">
        <f t="shared" ref="K1697:K1698" si="292">C1697&amp;D1697&amp;E1697&amp;J1697&amp;G1697</f>
        <v>62004090420311010611</v>
      </c>
      <c r="L1697" s="24"/>
      <c r="M1697" s="22"/>
      <c r="N1697" s="22"/>
      <c r="O1697" s="22"/>
      <c r="P1697" s="22"/>
      <c r="Q1697" s="22"/>
      <c r="R1697" s="22"/>
      <c r="S1697" s="24"/>
    </row>
    <row r="1698" spans="1:19" s="23" customFormat="1" ht="15.75">
      <c r="A1698" s="21"/>
      <c r="B1698" s="127" t="s">
        <v>407</v>
      </c>
      <c r="C1698" s="108" t="s">
        <v>410</v>
      </c>
      <c r="D1698" s="108" t="s">
        <v>73</v>
      </c>
      <c r="E1698" s="108" t="s">
        <v>471</v>
      </c>
      <c r="F1698" s="108" t="s">
        <v>851</v>
      </c>
      <c r="G1698" s="108" t="s">
        <v>408</v>
      </c>
      <c r="H1698" s="126"/>
      <c r="I1698" s="108">
        <v>420311010</v>
      </c>
      <c r="J1698" s="108" t="str">
        <f t="shared" si="289"/>
        <v>0420311010</v>
      </c>
      <c r="K1698" s="304" t="str">
        <f t="shared" si="292"/>
        <v>62004090420311010612</v>
      </c>
      <c r="L1698" s="24"/>
      <c r="M1698" s="22"/>
      <c r="N1698" s="22"/>
      <c r="O1698" s="22"/>
      <c r="P1698" s="22"/>
      <c r="Q1698" s="22"/>
      <c r="R1698" s="22"/>
      <c r="S1698" s="24"/>
    </row>
    <row r="1699" spans="1:19" s="16" customFormat="1" ht="63">
      <c r="A1699" s="14"/>
      <c r="B1699" s="125" t="s">
        <v>852</v>
      </c>
      <c r="C1699" s="108" t="s">
        <v>410</v>
      </c>
      <c r="D1699" s="108" t="s">
        <v>73</v>
      </c>
      <c r="E1699" s="108" t="s">
        <v>471</v>
      </c>
      <c r="F1699" s="108" t="s">
        <v>853</v>
      </c>
      <c r="G1699" s="109" t="s">
        <v>9</v>
      </c>
      <c r="H1699" s="141">
        <f>H1700</f>
        <v>0</v>
      </c>
      <c r="I1699" s="108">
        <v>420320570</v>
      </c>
      <c r="J1699" s="108" t="str">
        <f t="shared" si="289"/>
        <v>0420320570</v>
      </c>
      <c r="K1699" s="132"/>
      <c r="L1699" s="17"/>
      <c r="M1699" s="32">
        <v>13943.86</v>
      </c>
      <c r="N1699" s="32">
        <v>8943.86</v>
      </c>
      <c r="O1699" s="32">
        <v>8943.86</v>
      </c>
      <c r="P1699" s="32">
        <f>H1699-M1699</f>
        <v>-13943.86</v>
      </c>
      <c r="Q1699" s="32" t="e">
        <f>#REF!-N1699</f>
        <v>#REF!</v>
      </c>
      <c r="R1699" s="32" t="e">
        <f>#REF!-O1699</f>
        <v>#REF!</v>
      </c>
      <c r="S1699" s="17" t="str">
        <f>CONCATENATE(F1699,G1699)</f>
        <v>04 2 03 20570000</v>
      </c>
    </row>
    <row r="1700" spans="1:19" s="16" customFormat="1" ht="31.5">
      <c r="A1700" s="14"/>
      <c r="B1700" s="125" t="s">
        <v>28</v>
      </c>
      <c r="C1700" s="108" t="s">
        <v>410</v>
      </c>
      <c r="D1700" s="108" t="s">
        <v>73</v>
      </c>
      <c r="E1700" s="108" t="s">
        <v>471</v>
      </c>
      <c r="F1700" s="108" t="s">
        <v>853</v>
      </c>
      <c r="G1700" s="109" t="s">
        <v>29</v>
      </c>
      <c r="H1700" s="126">
        <f>H1701</f>
        <v>0</v>
      </c>
      <c r="I1700" s="108">
        <v>420320570</v>
      </c>
      <c r="J1700" s="108" t="str">
        <f t="shared" si="289"/>
        <v>0420320570</v>
      </c>
      <c r="K1700" s="132"/>
      <c r="L1700" s="17"/>
      <c r="M1700" s="32">
        <v>13943.86</v>
      </c>
      <c r="N1700" s="32">
        <v>8943.86</v>
      </c>
      <c r="O1700" s="32">
        <v>8943.86</v>
      </c>
      <c r="P1700" s="32">
        <f>H1700-M1700</f>
        <v>-13943.86</v>
      </c>
      <c r="Q1700" s="32" t="e">
        <f>#REF!-N1700</f>
        <v>#REF!</v>
      </c>
      <c r="R1700" s="32" t="e">
        <f>#REF!-O1700</f>
        <v>#REF!</v>
      </c>
      <c r="S1700" s="17" t="str">
        <f>CONCATENATE(F1700,G1700)</f>
        <v>04 2 03 20570240</v>
      </c>
    </row>
    <row r="1701" spans="1:19" s="16" customFormat="1" ht="15.75">
      <c r="A1701" s="14"/>
      <c r="B1701" s="125" t="s">
        <v>30</v>
      </c>
      <c r="C1701" s="108" t="s">
        <v>410</v>
      </c>
      <c r="D1701" s="108" t="s">
        <v>73</v>
      </c>
      <c r="E1701" s="108" t="s">
        <v>471</v>
      </c>
      <c r="F1701" s="108" t="s">
        <v>853</v>
      </c>
      <c r="G1701" s="109" t="s">
        <v>31</v>
      </c>
      <c r="H1701" s="126"/>
      <c r="I1701" s="108">
        <v>420320570</v>
      </c>
      <c r="J1701" s="108" t="str">
        <f t="shared" si="289"/>
        <v>0420320570</v>
      </c>
      <c r="K1701" s="304" t="str">
        <f>C1701&amp;D1701&amp;E1701&amp;J1701&amp;G1701</f>
        <v>62004090420320570244</v>
      </c>
      <c r="L1701" s="17"/>
      <c r="M1701" s="32"/>
      <c r="N1701" s="32"/>
      <c r="O1701" s="32"/>
      <c r="P1701" s="32"/>
      <c r="Q1701" s="32"/>
      <c r="R1701" s="32"/>
      <c r="S1701" s="17"/>
    </row>
    <row r="1702" spans="1:19" s="16" customFormat="1" ht="15.75">
      <c r="A1702" s="14"/>
      <c r="B1702" s="121" t="s">
        <v>284</v>
      </c>
      <c r="C1702" s="122" t="s">
        <v>410</v>
      </c>
      <c r="D1702" s="123" t="s">
        <v>73</v>
      </c>
      <c r="E1702" s="123" t="s">
        <v>57</v>
      </c>
      <c r="F1702" s="123" t="s">
        <v>8</v>
      </c>
      <c r="G1702" s="123" t="s">
        <v>9</v>
      </c>
      <c r="H1702" s="124">
        <f>H1703</f>
        <v>0</v>
      </c>
      <c r="I1702" s="123">
        <v>0</v>
      </c>
      <c r="J1702" s="123" t="str">
        <f t="shared" si="289"/>
        <v>0000000000</v>
      </c>
      <c r="K1702" s="132"/>
      <c r="L1702" s="17"/>
      <c r="M1702" s="19"/>
      <c r="N1702" s="19"/>
      <c r="O1702" s="19"/>
      <c r="P1702" s="32">
        <f>H1702-M1702</f>
        <v>0</v>
      </c>
      <c r="Q1702" s="32" t="e">
        <f>#REF!-N1702</f>
        <v>#REF!</v>
      </c>
      <c r="R1702" s="32" t="e">
        <f>#REF!-O1702</f>
        <v>#REF!</v>
      </c>
      <c r="S1702" s="17" t="str">
        <f>CONCATENATE(F1702,G1702)</f>
        <v>00 0 00 00000000</v>
      </c>
    </row>
    <row r="1703" spans="1:19" s="16" customFormat="1" ht="63">
      <c r="A1703" s="14"/>
      <c r="B1703" s="125" t="s">
        <v>87</v>
      </c>
      <c r="C1703" s="108" t="s">
        <v>410</v>
      </c>
      <c r="D1703" s="108" t="s">
        <v>73</v>
      </c>
      <c r="E1703" s="108" t="s">
        <v>57</v>
      </c>
      <c r="F1703" s="108" t="s">
        <v>88</v>
      </c>
      <c r="G1703" s="109" t="s">
        <v>9</v>
      </c>
      <c r="H1703" s="141">
        <f>H1704</f>
        <v>0</v>
      </c>
      <c r="I1703" s="108">
        <v>9800000000</v>
      </c>
      <c r="J1703" s="108" t="str">
        <f t="shared" si="289"/>
        <v>9800000000</v>
      </c>
      <c r="K1703" s="132"/>
      <c r="L1703" s="17"/>
      <c r="M1703" s="32"/>
      <c r="N1703" s="32"/>
      <c r="O1703" s="32"/>
      <c r="P1703" s="32">
        <f>H1703-M1703</f>
        <v>0</v>
      </c>
      <c r="Q1703" s="32" t="e">
        <f>#REF!-N1703</f>
        <v>#REF!</v>
      </c>
      <c r="R1703" s="32" t="e">
        <f>#REF!-O1703</f>
        <v>#REF!</v>
      </c>
      <c r="S1703" s="17" t="str">
        <f>CONCATENATE(F1703,G1703)</f>
        <v>98 0 00 00000000</v>
      </c>
    </row>
    <row r="1704" spans="1:19" s="16" customFormat="1" ht="15.75">
      <c r="A1704" s="14"/>
      <c r="B1704" s="125" t="s">
        <v>89</v>
      </c>
      <c r="C1704" s="108" t="s">
        <v>410</v>
      </c>
      <c r="D1704" s="108" t="s">
        <v>73</v>
      </c>
      <c r="E1704" s="108" t="s">
        <v>57</v>
      </c>
      <c r="F1704" s="108" t="s">
        <v>90</v>
      </c>
      <c r="G1704" s="109" t="s">
        <v>9</v>
      </c>
      <c r="H1704" s="141">
        <f>H1705</f>
        <v>0</v>
      </c>
      <c r="I1704" s="108">
        <v>9810000000</v>
      </c>
      <c r="J1704" s="108" t="str">
        <f t="shared" si="289"/>
        <v>9810000000</v>
      </c>
      <c r="K1704" s="132"/>
      <c r="L1704" s="17"/>
      <c r="M1704" s="32"/>
      <c r="N1704" s="32"/>
      <c r="O1704" s="32"/>
      <c r="P1704" s="32">
        <f>H1704-M1704</f>
        <v>0</v>
      </c>
      <c r="Q1704" s="32" t="e">
        <f>#REF!-N1704</f>
        <v>#REF!</v>
      </c>
      <c r="R1704" s="32" t="e">
        <f>#REF!-O1704</f>
        <v>#REF!</v>
      </c>
      <c r="S1704" s="17" t="str">
        <f>CONCATENATE(F1704,G1704)</f>
        <v>98 1 00 00000000</v>
      </c>
    </row>
    <row r="1705" spans="1:19" s="16" customFormat="1" ht="31.5">
      <c r="A1705" s="14"/>
      <c r="B1705" s="125" t="s">
        <v>854</v>
      </c>
      <c r="C1705" s="108" t="s">
        <v>410</v>
      </c>
      <c r="D1705" s="108" t="s">
        <v>73</v>
      </c>
      <c r="E1705" s="108" t="s">
        <v>57</v>
      </c>
      <c r="F1705" s="108" t="s">
        <v>855</v>
      </c>
      <c r="G1705" s="109" t="s">
        <v>9</v>
      </c>
      <c r="H1705" s="141">
        <f>H1706</f>
        <v>0</v>
      </c>
      <c r="I1705" s="108">
        <v>9810021540</v>
      </c>
      <c r="J1705" s="108" t="str">
        <f t="shared" si="289"/>
        <v>9810021540</v>
      </c>
      <c r="K1705" s="132"/>
      <c r="L1705" s="17"/>
      <c r="M1705" s="32"/>
      <c r="N1705" s="32"/>
      <c r="O1705" s="32"/>
      <c r="P1705" s="32">
        <f>H1705-M1705</f>
        <v>0</v>
      </c>
      <c r="Q1705" s="32" t="e">
        <f>#REF!-N1705</f>
        <v>#REF!</v>
      </c>
      <c r="R1705" s="32" t="e">
        <f>#REF!-O1705</f>
        <v>#REF!</v>
      </c>
      <c r="S1705" s="17" t="str">
        <f>CONCATENATE(F1705,G1705)</f>
        <v>98 1 00 21540000</v>
      </c>
    </row>
    <row r="1706" spans="1:19" s="16" customFormat="1" ht="31.5">
      <c r="A1706" s="14"/>
      <c r="B1706" s="125" t="s">
        <v>28</v>
      </c>
      <c r="C1706" s="108" t="s">
        <v>410</v>
      </c>
      <c r="D1706" s="108" t="s">
        <v>73</v>
      </c>
      <c r="E1706" s="108" t="s">
        <v>57</v>
      </c>
      <c r="F1706" s="108" t="s">
        <v>855</v>
      </c>
      <c r="G1706" s="109" t="s">
        <v>29</v>
      </c>
      <c r="H1706" s="126">
        <f>H1707</f>
        <v>0</v>
      </c>
      <c r="I1706" s="108">
        <v>9810021540</v>
      </c>
      <c r="J1706" s="108" t="str">
        <f t="shared" si="289"/>
        <v>9810021540</v>
      </c>
      <c r="K1706" s="132"/>
      <c r="L1706" s="17"/>
      <c r="M1706" s="32"/>
      <c r="N1706" s="32"/>
      <c r="O1706" s="32"/>
      <c r="P1706" s="32">
        <f>H1706-M1706</f>
        <v>0</v>
      </c>
      <c r="Q1706" s="32" t="e">
        <f>#REF!-N1706</f>
        <v>#REF!</v>
      </c>
      <c r="R1706" s="32" t="e">
        <f>#REF!-O1706</f>
        <v>#REF!</v>
      </c>
      <c r="S1706" s="17" t="str">
        <f>CONCATENATE(F1706,G1706)</f>
        <v>98 1 00 21540240</v>
      </c>
    </row>
    <row r="1707" spans="1:19" s="16" customFormat="1" ht="15.75">
      <c r="A1707" s="14"/>
      <c r="B1707" s="125" t="s">
        <v>30</v>
      </c>
      <c r="C1707" s="108" t="s">
        <v>410</v>
      </c>
      <c r="D1707" s="108" t="s">
        <v>73</v>
      </c>
      <c r="E1707" s="108" t="s">
        <v>57</v>
      </c>
      <c r="F1707" s="108" t="s">
        <v>855</v>
      </c>
      <c r="G1707" s="109" t="s">
        <v>31</v>
      </c>
      <c r="H1707" s="126"/>
      <c r="I1707" s="108">
        <v>9810021540</v>
      </c>
      <c r="J1707" s="108" t="str">
        <f t="shared" si="289"/>
        <v>9810021540</v>
      </c>
      <c r="K1707" s="304" t="str">
        <f>C1707&amp;D1707&amp;E1707&amp;J1707&amp;G1707</f>
        <v>62004129810021540244</v>
      </c>
      <c r="L1707" s="17"/>
      <c r="M1707" s="32"/>
      <c r="N1707" s="32"/>
      <c r="O1707" s="32"/>
      <c r="P1707" s="32"/>
      <c r="Q1707" s="32"/>
      <c r="R1707" s="32"/>
      <c r="S1707" s="17"/>
    </row>
    <row r="1708" spans="1:19" s="16" customFormat="1" ht="15.75">
      <c r="A1708" s="14"/>
      <c r="B1708" s="117" t="s">
        <v>305</v>
      </c>
      <c r="C1708" s="118" t="s">
        <v>410</v>
      </c>
      <c r="D1708" s="119" t="s">
        <v>86</v>
      </c>
      <c r="E1708" s="119" t="s">
        <v>7</v>
      </c>
      <c r="F1708" s="119" t="s">
        <v>8</v>
      </c>
      <c r="G1708" s="119" t="s">
        <v>9</v>
      </c>
      <c r="H1708" s="120">
        <f>H1709+H1716+H1727+H1787</f>
        <v>0</v>
      </c>
      <c r="I1708" s="119">
        <v>0</v>
      </c>
      <c r="J1708" s="119" t="str">
        <f t="shared" si="289"/>
        <v>0000000000</v>
      </c>
      <c r="K1708" s="132"/>
      <c r="L1708" s="17"/>
      <c r="M1708" s="18">
        <v>281198.81</v>
      </c>
      <c r="N1708" s="18">
        <v>262546.57</v>
      </c>
      <c r="O1708" s="18">
        <v>265456.62</v>
      </c>
      <c r="P1708" s="18">
        <f t="shared" ref="P1708:P1714" si="293">H1708-M1708</f>
        <v>-281198.81</v>
      </c>
      <c r="Q1708" s="18" t="e">
        <f>#REF!-N1708</f>
        <v>#REF!</v>
      </c>
      <c r="R1708" s="18" t="e">
        <f>#REF!-O1708</f>
        <v>#REF!</v>
      </c>
      <c r="S1708" s="17" t="str">
        <f t="shared" ref="S1708:S1714" si="294">CONCATENATE(F1708,G1708)</f>
        <v>00 0 00 00000000</v>
      </c>
    </row>
    <row r="1709" spans="1:19" s="16" customFormat="1" ht="15.75">
      <c r="A1709" s="14"/>
      <c r="B1709" s="121" t="s">
        <v>765</v>
      </c>
      <c r="C1709" s="122" t="s">
        <v>410</v>
      </c>
      <c r="D1709" s="123" t="s">
        <v>86</v>
      </c>
      <c r="E1709" s="123" t="s">
        <v>11</v>
      </c>
      <c r="F1709" s="123" t="s">
        <v>8</v>
      </c>
      <c r="G1709" s="123" t="s">
        <v>9</v>
      </c>
      <c r="H1709" s="124">
        <f>H1710</f>
        <v>0</v>
      </c>
      <c r="I1709" s="123">
        <v>0</v>
      </c>
      <c r="J1709" s="123" t="str">
        <f t="shared" si="289"/>
        <v>0000000000</v>
      </c>
      <c r="K1709" s="132"/>
      <c r="L1709" s="17"/>
      <c r="M1709" s="19">
        <v>90</v>
      </c>
      <c r="N1709" s="19">
        <v>90</v>
      </c>
      <c r="O1709" s="19">
        <v>90</v>
      </c>
      <c r="P1709" s="19">
        <f t="shared" si="293"/>
        <v>-90</v>
      </c>
      <c r="Q1709" s="19" t="e">
        <f>#REF!-N1709</f>
        <v>#REF!</v>
      </c>
      <c r="R1709" s="19" t="e">
        <f>#REF!-O1709</f>
        <v>#REF!</v>
      </c>
      <c r="S1709" s="17" t="str">
        <f t="shared" si="294"/>
        <v>00 0 00 00000000</v>
      </c>
    </row>
    <row r="1710" spans="1:19" s="16" customFormat="1" ht="63">
      <c r="A1710" s="14"/>
      <c r="B1710" s="127" t="s">
        <v>293</v>
      </c>
      <c r="C1710" s="109" t="s">
        <v>410</v>
      </c>
      <c r="D1710" s="108" t="s">
        <v>86</v>
      </c>
      <c r="E1710" s="108" t="s">
        <v>11</v>
      </c>
      <c r="F1710" s="14" t="s">
        <v>294</v>
      </c>
      <c r="G1710" s="108" t="s">
        <v>9</v>
      </c>
      <c r="H1710" s="141">
        <f t="shared" ref="H1710:H1711" si="295">H1711</f>
        <v>0</v>
      </c>
      <c r="I1710" s="14">
        <v>400000000</v>
      </c>
      <c r="J1710" s="14" t="str">
        <f t="shared" si="289"/>
        <v>0400000000</v>
      </c>
      <c r="K1710" s="132"/>
      <c r="L1710" s="17"/>
      <c r="M1710" s="32">
        <v>90</v>
      </c>
      <c r="N1710" s="32">
        <v>90</v>
      </c>
      <c r="O1710" s="32">
        <v>90</v>
      </c>
      <c r="P1710" s="32">
        <f t="shared" si="293"/>
        <v>-90</v>
      </c>
      <c r="Q1710" s="32" t="e">
        <f>#REF!-N1710</f>
        <v>#REF!</v>
      </c>
      <c r="R1710" s="32" t="e">
        <f>#REF!-O1710</f>
        <v>#REF!</v>
      </c>
      <c r="S1710" s="17" t="str">
        <f t="shared" si="294"/>
        <v>04 0 00 00000000</v>
      </c>
    </row>
    <row r="1711" spans="1:19" s="16" customFormat="1" ht="31.5">
      <c r="A1711" s="14"/>
      <c r="B1711" s="125" t="s">
        <v>766</v>
      </c>
      <c r="C1711" s="109" t="s">
        <v>410</v>
      </c>
      <c r="D1711" s="108" t="s">
        <v>86</v>
      </c>
      <c r="E1711" s="108" t="s">
        <v>11</v>
      </c>
      <c r="F1711" s="14" t="s">
        <v>767</v>
      </c>
      <c r="G1711" s="108" t="s">
        <v>9</v>
      </c>
      <c r="H1711" s="141">
        <f t="shared" si="295"/>
        <v>0</v>
      </c>
      <c r="I1711" s="14">
        <v>410000000</v>
      </c>
      <c r="J1711" s="14" t="str">
        <f t="shared" si="289"/>
        <v>0410000000</v>
      </c>
      <c r="K1711" s="132"/>
      <c r="L1711" s="17"/>
      <c r="M1711" s="32">
        <v>90</v>
      </c>
      <c r="N1711" s="32">
        <v>90</v>
      </c>
      <c r="O1711" s="32">
        <v>90</v>
      </c>
      <c r="P1711" s="32">
        <f t="shared" si="293"/>
        <v>-90</v>
      </c>
      <c r="Q1711" s="32" t="e">
        <f>#REF!-N1711</f>
        <v>#REF!</v>
      </c>
      <c r="R1711" s="32" t="e">
        <f>#REF!-O1711</f>
        <v>#REF!</v>
      </c>
      <c r="S1711" s="17" t="str">
        <f t="shared" si="294"/>
        <v>04 1 00 00000000</v>
      </c>
    </row>
    <row r="1712" spans="1:19" s="16" customFormat="1" ht="47.25">
      <c r="A1712" s="14"/>
      <c r="B1712" s="125" t="s">
        <v>793</v>
      </c>
      <c r="C1712" s="109" t="s">
        <v>410</v>
      </c>
      <c r="D1712" s="108" t="s">
        <v>86</v>
      </c>
      <c r="E1712" s="108" t="s">
        <v>11</v>
      </c>
      <c r="F1712" s="14" t="s">
        <v>769</v>
      </c>
      <c r="G1712" s="108" t="s">
        <v>9</v>
      </c>
      <c r="H1712" s="141">
        <f>H1713</f>
        <v>0</v>
      </c>
      <c r="I1712" s="14">
        <v>410100000</v>
      </c>
      <c r="J1712" s="14" t="str">
        <f t="shared" si="289"/>
        <v>0410100000</v>
      </c>
      <c r="K1712" s="132"/>
      <c r="L1712" s="17"/>
      <c r="M1712" s="32">
        <v>90</v>
      </c>
      <c r="N1712" s="32">
        <v>90</v>
      </c>
      <c r="O1712" s="32">
        <v>90</v>
      </c>
      <c r="P1712" s="32">
        <f t="shared" si="293"/>
        <v>-90</v>
      </c>
      <c r="Q1712" s="32" t="e">
        <f>#REF!-N1712</f>
        <v>#REF!</v>
      </c>
      <c r="R1712" s="32" t="e">
        <f>#REF!-O1712</f>
        <v>#REF!</v>
      </c>
      <c r="S1712" s="17" t="str">
        <f t="shared" si="294"/>
        <v>04 1 01 00000000</v>
      </c>
    </row>
    <row r="1713" spans="1:19" s="16" customFormat="1" ht="31.5">
      <c r="A1713" s="14"/>
      <c r="B1713" s="125" t="s">
        <v>856</v>
      </c>
      <c r="C1713" s="109" t="s">
        <v>410</v>
      </c>
      <c r="D1713" s="108" t="s">
        <v>86</v>
      </c>
      <c r="E1713" s="108" t="s">
        <v>11</v>
      </c>
      <c r="F1713" s="14" t="s">
        <v>857</v>
      </c>
      <c r="G1713" s="108" t="s">
        <v>9</v>
      </c>
      <c r="H1713" s="141">
        <f>H1714</f>
        <v>0</v>
      </c>
      <c r="I1713" s="14">
        <v>410120200</v>
      </c>
      <c r="J1713" s="14" t="str">
        <f t="shared" ref="J1713:J1776" si="296">TEXT(I1713,"0000000000")</f>
        <v>0410120200</v>
      </c>
      <c r="K1713" s="132"/>
      <c r="L1713" s="17"/>
      <c r="M1713" s="32">
        <v>90</v>
      </c>
      <c r="N1713" s="32">
        <v>90</v>
      </c>
      <c r="O1713" s="32">
        <v>90</v>
      </c>
      <c r="P1713" s="32">
        <f t="shared" si="293"/>
        <v>-90</v>
      </c>
      <c r="Q1713" s="32" t="e">
        <f>#REF!-N1713</f>
        <v>#REF!</v>
      </c>
      <c r="R1713" s="32" t="e">
        <f>#REF!-O1713</f>
        <v>#REF!</v>
      </c>
      <c r="S1713" s="17" t="str">
        <f t="shared" si="294"/>
        <v>04 1 01 20200000</v>
      </c>
    </row>
    <row r="1714" spans="1:19" s="16" customFormat="1" ht="31.5">
      <c r="A1714" s="14"/>
      <c r="B1714" s="125" t="s">
        <v>28</v>
      </c>
      <c r="C1714" s="108" t="s">
        <v>410</v>
      </c>
      <c r="D1714" s="108" t="s">
        <v>86</v>
      </c>
      <c r="E1714" s="108" t="s">
        <v>11</v>
      </c>
      <c r="F1714" s="14" t="s">
        <v>857</v>
      </c>
      <c r="G1714" s="108" t="s">
        <v>29</v>
      </c>
      <c r="H1714" s="126">
        <f>H1715</f>
        <v>0</v>
      </c>
      <c r="I1714" s="14">
        <v>410120200</v>
      </c>
      <c r="J1714" s="14" t="str">
        <f t="shared" si="296"/>
        <v>0410120200</v>
      </c>
      <c r="K1714" s="132"/>
      <c r="L1714" s="17"/>
      <c r="M1714" s="32">
        <v>90</v>
      </c>
      <c r="N1714" s="32">
        <v>90</v>
      </c>
      <c r="O1714" s="32">
        <v>90</v>
      </c>
      <c r="P1714" s="32">
        <f t="shared" si="293"/>
        <v>-90</v>
      </c>
      <c r="Q1714" s="32" t="e">
        <f>#REF!-N1714</f>
        <v>#REF!</v>
      </c>
      <c r="R1714" s="32" t="e">
        <f>#REF!-O1714</f>
        <v>#REF!</v>
      </c>
      <c r="S1714" s="17" t="str">
        <f t="shared" si="294"/>
        <v>04 1 01 20200240</v>
      </c>
    </row>
    <row r="1715" spans="1:19" s="16" customFormat="1" ht="15.75">
      <c r="A1715" s="14"/>
      <c r="B1715" s="125" t="s">
        <v>30</v>
      </c>
      <c r="C1715" s="108" t="s">
        <v>410</v>
      </c>
      <c r="D1715" s="108" t="s">
        <v>86</v>
      </c>
      <c r="E1715" s="108" t="s">
        <v>11</v>
      </c>
      <c r="F1715" s="14" t="s">
        <v>857</v>
      </c>
      <c r="G1715" s="108" t="s">
        <v>31</v>
      </c>
      <c r="H1715" s="126"/>
      <c r="I1715" s="14">
        <v>410120200</v>
      </c>
      <c r="J1715" s="14" t="str">
        <f t="shared" si="296"/>
        <v>0410120200</v>
      </c>
      <c r="K1715" s="304" t="str">
        <f>C1715&amp;D1715&amp;E1715&amp;J1715&amp;G1715</f>
        <v>62005010410120200244</v>
      </c>
      <c r="L1715" s="17"/>
      <c r="M1715" s="32"/>
      <c r="N1715" s="32"/>
      <c r="O1715" s="32"/>
      <c r="P1715" s="32"/>
      <c r="Q1715" s="32"/>
      <c r="R1715" s="32"/>
      <c r="S1715" s="17"/>
    </row>
    <row r="1716" spans="1:19" s="16" customFormat="1" ht="15.75">
      <c r="A1716" s="14"/>
      <c r="B1716" s="121" t="s">
        <v>858</v>
      </c>
      <c r="C1716" s="122">
        <v>620</v>
      </c>
      <c r="D1716" s="123" t="s">
        <v>86</v>
      </c>
      <c r="E1716" s="123" t="s">
        <v>62</v>
      </c>
      <c r="F1716" s="123" t="s">
        <v>8</v>
      </c>
      <c r="G1716" s="123" t="s">
        <v>9</v>
      </c>
      <c r="H1716" s="124">
        <f t="shared" ref="H1716:H1719" si="297">H1717</f>
        <v>0</v>
      </c>
      <c r="I1716" s="123">
        <v>0</v>
      </c>
      <c r="J1716" s="123" t="str">
        <f t="shared" si="296"/>
        <v>0000000000</v>
      </c>
      <c r="K1716" s="132"/>
      <c r="L1716" s="17"/>
      <c r="M1716" s="19">
        <v>120</v>
      </c>
      <c r="N1716" s="19">
        <v>20</v>
      </c>
      <c r="O1716" s="19">
        <v>20</v>
      </c>
      <c r="P1716" s="19">
        <f t="shared" ref="P1716:P1721" si="298">H1716-M1716</f>
        <v>-120</v>
      </c>
      <c r="Q1716" s="19" t="e">
        <f>#REF!-N1716</f>
        <v>#REF!</v>
      </c>
      <c r="R1716" s="19" t="e">
        <f>#REF!-O1716</f>
        <v>#REF!</v>
      </c>
      <c r="S1716" s="17" t="str">
        <f t="shared" ref="S1716:S1721" si="299">CONCATENATE(F1716,G1716)</f>
        <v>00 0 00 00000000</v>
      </c>
    </row>
    <row r="1717" spans="1:19" s="16" customFormat="1" ht="63">
      <c r="A1717" s="14"/>
      <c r="B1717" s="127" t="s">
        <v>293</v>
      </c>
      <c r="C1717" s="133">
        <v>620</v>
      </c>
      <c r="D1717" s="108" t="s">
        <v>86</v>
      </c>
      <c r="E1717" s="108" t="s">
        <v>62</v>
      </c>
      <c r="F1717" s="14" t="s">
        <v>294</v>
      </c>
      <c r="G1717" s="108" t="s">
        <v>9</v>
      </c>
      <c r="H1717" s="141">
        <f t="shared" si="297"/>
        <v>0</v>
      </c>
      <c r="I1717" s="14">
        <v>400000000</v>
      </c>
      <c r="J1717" s="14" t="str">
        <f t="shared" si="296"/>
        <v>0400000000</v>
      </c>
      <c r="K1717" s="132"/>
      <c r="L1717" s="17"/>
      <c r="M1717" s="32">
        <v>120</v>
      </c>
      <c r="N1717" s="32">
        <v>20</v>
      </c>
      <c r="O1717" s="32">
        <v>20</v>
      </c>
      <c r="P1717" s="32">
        <f t="shared" si="298"/>
        <v>-120</v>
      </c>
      <c r="Q1717" s="32" t="e">
        <f>#REF!-N1717</f>
        <v>#REF!</v>
      </c>
      <c r="R1717" s="32" t="e">
        <f>#REF!-O1717</f>
        <v>#REF!</v>
      </c>
      <c r="S1717" s="17" t="str">
        <f t="shared" si="299"/>
        <v>04 0 00 00000000</v>
      </c>
    </row>
    <row r="1718" spans="1:19" s="16" customFormat="1" ht="31.5">
      <c r="A1718" s="14"/>
      <c r="B1718" s="125" t="s">
        <v>766</v>
      </c>
      <c r="C1718" s="133">
        <v>620</v>
      </c>
      <c r="D1718" s="108" t="s">
        <v>86</v>
      </c>
      <c r="E1718" s="108" t="s">
        <v>62</v>
      </c>
      <c r="F1718" s="14" t="s">
        <v>767</v>
      </c>
      <c r="G1718" s="108" t="s">
        <v>9</v>
      </c>
      <c r="H1718" s="141">
        <f>H1719+H1723</f>
        <v>0</v>
      </c>
      <c r="I1718" s="14">
        <v>410000000</v>
      </c>
      <c r="J1718" s="14" t="str">
        <f t="shared" si="296"/>
        <v>0410000000</v>
      </c>
      <c r="K1718" s="132"/>
      <c r="L1718" s="17"/>
      <c r="M1718" s="32">
        <v>120</v>
      </c>
      <c r="N1718" s="32">
        <v>20</v>
      </c>
      <c r="O1718" s="32">
        <v>20</v>
      </c>
      <c r="P1718" s="32">
        <f t="shared" si="298"/>
        <v>-120</v>
      </c>
      <c r="Q1718" s="32" t="e">
        <f>#REF!-N1718</f>
        <v>#REF!</v>
      </c>
      <c r="R1718" s="32" t="e">
        <f>#REF!-O1718</f>
        <v>#REF!</v>
      </c>
      <c r="S1718" s="17" t="str">
        <f t="shared" si="299"/>
        <v>04 1 00 00000000</v>
      </c>
    </row>
    <row r="1719" spans="1:19" s="16" customFormat="1" ht="63">
      <c r="A1719" s="14"/>
      <c r="B1719" s="125" t="s">
        <v>859</v>
      </c>
      <c r="C1719" s="133">
        <v>620</v>
      </c>
      <c r="D1719" s="108" t="s">
        <v>86</v>
      </c>
      <c r="E1719" s="108" t="s">
        <v>62</v>
      </c>
      <c r="F1719" s="14" t="s">
        <v>860</v>
      </c>
      <c r="G1719" s="108" t="s">
        <v>9</v>
      </c>
      <c r="H1719" s="141">
        <f t="shared" si="297"/>
        <v>0</v>
      </c>
      <c r="I1719" s="14">
        <v>410200000</v>
      </c>
      <c r="J1719" s="14" t="str">
        <f t="shared" si="296"/>
        <v>0410200000</v>
      </c>
      <c r="K1719" s="132"/>
      <c r="L1719" s="17"/>
      <c r="M1719" s="32">
        <v>20</v>
      </c>
      <c r="N1719" s="32">
        <v>20</v>
      </c>
      <c r="O1719" s="32">
        <v>20</v>
      </c>
      <c r="P1719" s="32">
        <f t="shared" si="298"/>
        <v>-20</v>
      </c>
      <c r="Q1719" s="32" t="e">
        <f>#REF!-N1719</f>
        <v>#REF!</v>
      </c>
      <c r="R1719" s="32" t="e">
        <f>#REF!-O1719</f>
        <v>#REF!</v>
      </c>
      <c r="S1719" s="17" t="str">
        <f t="shared" si="299"/>
        <v>04 1 02 00000000</v>
      </c>
    </row>
    <row r="1720" spans="1:19" s="16" customFormat="1" ht="31.5">
      <c r="A1720" s="14"/>
      <c r="B1720" s="125" t="s">
        <v>861</v>
      </c>
      <c r="C1720" s="133">
        <v>620</v>
      </c>
      <c r="D1720" s="108" t="s">
        <v>86</v>
      </c>
      <c r="E1720" s="108" t="s">
        <v>62</v>
      </c>
      <c r="F1720" s="14" t="s">
        <v>862</v>
      </c>
      <c r="G1720" s="108" t="s">
        <v>9</v>
      </c>
      <c r="H1720" s="141">
        <f>H1721</f>
        <v>0</v>
      </c>
      <c r="I1720" s="14">
        <v>410220220</v>
      </c>
      <c r="J1720" s="14" t="str">
        <f t="shared" si="296"/>
        <v>0410220220</v>
      </c>
      <c r="K1720" s="132"/>
      <c r="L1720" s="17"/>
      <c r="M1720" s="32">
        <v>20</v>
      </c>
      <c r="N1720" s="32">
        <v>20</v>
      </c>
      <c r="O1720" s="32">
        <v>20</v>
      </c>
      <c r="P1720" s="32">
        <f t="shared" si="298"/>
        <v>-20</v>
      </c>
      <c r="Q1720" s="32" t="e">
        <f>#REF!-N1720</f>
        <v>#REF!</v>
      </c>
      <c r="R1720" s="32" t="e">
        <f>#REF!-O1720</f>
        <v>#REF!</v>
      </c>
      <c r="S1720" s="17" t="str">
        <f t="shared" si="299"/>
        <v>04 1 02 20220000</v>
      </c>
    </row>
    <row r="1721" spans="1:19" s="16" customFormat="1" ht="31.5">
      <c r="A1721" s="14"/>
      <c r="B1721" s="125" t="s">
        <v>28</v>
      </c>
      <c r="C1721" s="108" t="s">
        <v>410</v>
      </c>
      <c r="D1721" s="108" t="s">
        <v>86</v>
      </c>
      <c r="E1721" s="108" t="s">
        <v>62</v>
      </c>
      <c r="F1721" s="14" t="s">
        <v>862</v>
      </c>
      <c r="G1721" s="108" t="s">
        <v>29</v>
      </c>
      <c r="H1721" s="126">
        <f>H1722</f>
        <v>0</v>
      </c>
      <c r="I1721" s="14">
        <v>410220220</v>
      </c>
      <c r="J1721" s="14" t="str">
        <f t="shared" si="296"/>
        <v>0410220220</v>
      </c>
      <c r="K1721" s="132"/>
      <c r="L1721" s="17"/>
      <c r="M1721" s="32">
        <v>20</v>
      </c>
      <c r="N1721" s="32">
        <v>20</v>
      </c>
      <c r="O1721" s="32">
        <v>20</v>
      </c>
      <c r="P1721" s="32">
        <f t="shared" si="298"/>
        <v>-20</v>
      </c>
      <c r="Q1721" s="32" t="e">
        <f>#REF!-N1721</f>
        <v>#REF!</v>
      </c>
      <c r="R1721" s="32" t="e">
        <f>#REF!-O1721</f>
        <v>#REF!</v>
      </c>
      <c r="S1721" s="17" t="str">
        <f t="shared" si="299"/>
        <v>04 1 02 20220240</v>
      </c>
    </row>
    <row r="1722" spans="1:19" s="16" customFormat="1" ht="15.75">
      <c r="A1722" s="14"/>
      <c r="B1722" s="125" t="s">
        <v>30</v>
      </c>
      <c r="C1722" s="108" t="s">
        <v>410</v>
      </c>
      <c r="D1722" s="108" t="s">
        <v>86</v>
      </c>
      <c r="E1722" s="108" t="s">
        <v>62</v>
      </c>
      <c r="F1722" s="14" t="s">
        <v>862</v>
      </c>
      <c r="G1722" s="108" t="s">
        <v>31</v>
      </c>
      <c r="H1722" s="126"/>
      <c r="I1722" s="14">
        <v>410220220</v>
      </c>
      <c r="J1722" s="14" t="str">
        <f t="shared" si="296"/>
        <v>0410220220</v>
      </c>
      <c r="K1722" s="304" t="str">
        <f>C1722&amp;D1722&amp;E1722&amp;J1722&amp;G1722</f>
        <v>62005020410220220244</v>
      </c>
      <c r="L1722" s="17"/>
      <c r="M1722" s="32"/>
      <c r="N1722" s="32"/>
      <c r="O1722" s="32"/>
      <c r="P1722" s="32"/>
      <c r="Q1722" s="32"/>
      <c r="R1722" s="32"/>
      <c r="S1722" s="17"/>
    </row>
    <row r="1723" spans="1:19" s="16" customFormat="1" ht="63">
      <c r="A1723" s="14"/>
      <c r="B1723" s="125" t="s">
        <v>863</v>
      </c>
      <c r="C1723" s="133">
        <v>620</v>
      </c>
      <c r="D1723" s="108" t="s">
        <v>86</v>
      </c>
      <c r="E1723" s="108" t="s">
        <v>62</v>
      </c>
      <c r="F1723" s="14" t="s">
        <v>864</v>
      </c>
      <c r="G1723" s="108" t="s">
        <v>9</v>
      </c>
      <c r="H1723" s="141">
        <f>H1724</f>
        <v>0</v>
      </c>
      <c r="I1723" s="14">
        <v>410300000</v>
      </c>
      <c r="J1723" s="14" t="str">
        <f t="shared" si="296"/>
        <v>0410300000</v>
      </c>
      <c r="K1723" s="132"/>
      <c r="L1723" s="17"/>
      <c r="M1723" s="32">
        <v>100</v>
      </c>
      <c r="N1723" s="32">
        <v>0</v>
      </c>
      <c r="O1723" s="32">
        <v>0</v>
      </c>
      <c r="P1723" s="32">
        <f>H1723-M1723</f>
        <v>-100</v>
      </c>
      <c r="Q1723" s="32" t="e">
        <f>#REF!-N1723</f>
        <v>#REF!</v>
      </c>
      <c r="R1723" s="32" t="e">
        <f>#REF!-O1723</f>
        <v>#REF!</v>
      </c>
      <c r="S1723" s="17" t="str">
        <f>CONCATENATE(F1723,G1723)</f>
        <v>04 1 03 00000000</v>
      </c>
    </row>
    <row r="1724" spans="1:19" s="16" customFormat="1" ht="31.5">
      <c r="A1724" s="14"/>
      <c r="B1724" s="125" t="s">
        <v>861</v>
      </c>
      <c r="C1724" s="133">
        <v>620</v>
      </c>
      <c r="D1724" s="108" t="s">
        <v>86</v>
      </c>
      <c r="E1724" s="108" t="s">
        <v>62</v>
      </c>
      <c r="F1724" s="14" t="s">
        <v>865</v>
      </c>
      <c r="G1724" s="108" t="s">
        <v>9</v>
      </c>
      <c r="H1724" s="141">
        <f>H1725</f>
        <v>0</v>
      </c>
      <c r="I1724" s="14">
        <v>410320220</v>
      </c>
      <c r="J1724" s="14" t="str">
        <f t="shared" si="296"/>
        <v>0410320220</v>
      </c>
      <c r="K1724" s="132"/>
      <c r="L1724" s="17"/>
      <c r="M1724" s="32">
        <v>100</v>
      </c>
      <c r="N1724" s="32">
        <v>0</v>
      </c>
      <c r="O1724" s="32">
        <v>0</v>
      </c>
      <c r="P1724" s="32">
        <f>H1724-M1724</f>
        <v>-100</v>
      </c>
      <c r="Q1724" s="32" t="e">
        <f>#REF!-N1724</f>
        <v>#REF!</v>
      </c>
      <c r="R1724" s="32" t="e">
        <f>#REF!-O1724</f>
        <v>#REF!</v>
      </c>
      <c r="S1724" s="17" t="str">
        <f>CONCATENATE(F1724,G1724)</f>
        <v>04 1 03 20220000</v>
      </c>
    </row>
    <row r="1725" spans="1:19" s="16" customFormat="1" ht="31.5">
      <c r="A1725" s="14"/>
      <c r="B1725" s="125" t="s">
        <v>28</v>
      </c>
      <c r="C1725" s="133">
        <v>620</v>
      </c>
      <c r="D1725" s="108" t="s">
        <v>86</v>
      </c>
      <c r="E1725" s="108" t="s">
        <v>62</v>
      </c>
      <c r="F1725" s="14" t="s">
        <v>865</v>
      </c>
      <c r="G1725" s="108" t="s">
        <v>29</v>
      </c>
      <c r="H1725" s="126">
        <f>H1726</f>
        <v>0</v>
      </c>
      <c r="I1725" s="14">
        <v>410320220</v>
      </c>
      <c r="J1725" s="14" t="str">
        <f t="shared" si="296"/>
        <v>0410320220</v>
      </c>
      <c r="K1725" s="132"/>
      <c r="L1725" s="17"/>
      <c r="M1725" s="32">
        <v>100</v>
      </c>
      <c r="N1725" s="32">
        <v>0</v>
      </c>
      <c r="O1725" s="32">
        <v>0</v>
      </c>
      <c r="P1725" s="32">
        <f>H1725-M1725</f>
        <v>-100</v>
      </c>
      <c r="Q1725" s="32" t="e">
        <f>#REF!-N1725</f>
        <v>#REF!</v>
      </c>
      <c r="R1725" s="32" t="e">
        <f>#REF!-O1725</f>
        <v>#REF!</v>
      </c>
      <c r="S1725" s="17" t="str">
        <f>CONCATENATE(F1725,G1725)</f>
        <v>04 1 03 20220240</v>
      </c>
    </row>
    <row r="1726" spans="1:19" s="16" customFormat="1" ht="15.75">
      <c r="A1726" s="14"/>
      <c r="B1726" s="125" t="s">
        <v>30</v>
      </c>
      <c r="C1726" s="133">
        <v>620</v>
      </c>
      <c r="D1726" s="108" t="s">
        <v>86</v>
      </c>
      <c r="E1726" s="108" t="s">
        <v>62</v>
      </c>
      <c r="F1726" s="14" t="s">
        <v>865</v>
      </c>
      <c r="G1726" s="108" t="s">
        <v>31</v>
      </c>
      <c r="H1726" s="126"/>
      <c r="I1726" s="14">
        <v>410320220</v>
      </c>
      <c r="J1726" s="14" t="str">
        <f t="shared" si="296"/>
        <v>0410320220</v>
      </c>
      <c r="K1726" s="304" t="str">
        <f>C1726&amp;D1726&amp;E1726&amp;J1726&amp;G1726</f>
        <v>62005020410320220244</v>
      </c>
      <c r="L1726" s="17"/>
      <c r="M1726" s="32"/>
      <c r="N1726" s="32"/>
      <c r="O1726" s="32"/>
      <c r="P1726" s="32"/>
      <c r="Q1726" s="32"/>
      <c r="R1726" s="32"/>
      <c r="S1726" s="17"/>
    </row>
    <row r="1727" spans="1:19" s="16" customFormat="1" ht="15.75">
      <c r="A1727" s="14"/>
      <c r="B1727" s="121" t="s">
        <v>306</v>
      </c>
      <c r="C1727" s="122" t="s">
        <v>410</v>
      </c>
      <c r="D1727" s="123" t="s">
        <v>86</v>
      </c>
      <c r="E1727" s="123" t="s">
        <v>13</v>
      </c>
      <c r="F1727" s="123" t="s">
        <v>8</v>
      </c>
      <c r="G1727" s="123" t="s">
        <v>9</v>
      </c>
      <c r="H1727" s="124">
        <f>H1728+H1773+H1767</f>
        <v>0</v>
      </c>
      <c r="I1727" s="123">
        <v>0</v>
      </c>
      <c r="J1727" s="123" t="str">
        <f t="shared" si="296"/>
        <v>0000000000</v>
      </c>
      <c r="K1727" s="132"/>
      <c r="L1727" s="17"/>
      <c r="M1727" s="19">
        <v>232730.36</v>
      </c>
      <c r="N1727" s="19">
        <v>214178.12</v>
      </c>
      <c r="O1727" s="19">
        <v>217088.16999999998</v>
      </c>
      <c r="P1727" s="19">
        <f t="shared" ref="P1727:P1732" si="300">H1727-M1727</f>
        <v>-232730.36</v>
      </c>
      <c r="Q1727" s="19" t="e">
        <f>#REF!-N1727</f>
        <v>#REF!</v>
      </c>
      <c r="R1727" s="19" t="e">
        <f>#REF!-O1727</f>
        <v>#REF!</v>
      </c>
      <c r="S1727" s="17" t="str">
        <f t="shared" ref="S1727:S1732" si="301">CONCATENATE(F1727,G1727)</f>
        <v>00 0 00 00000000</v>
      </c>
    </row>
    <row r="1728" spans="1:19" s="16" customFormat="1" ht="63">
      <c r="A1728" s="14"/>
      <c r="B1728" s="127" t="s">
        <v>293</v>
      </c>
      <c r="C1728" s="108" t="s">
        <v>410</v>
      </c>
      <c r="D1728" s="108" t="s">
        <v>86</v>
      </c>
      <c r="E1728" s="108" t="s">
        <v>13</v>
      </c>
      <c r="F1728" s="108" t="s">
        <v>294</v>
      </c>
      <c r="G1728" s="108" t="s">
        <v>9</v>
      </c>
      <c r="H1728" s="141">
        <f>H1729</f>
        <v>0</v>
      </c>
      <c r="I1728" s="108">
        <v>400000000</v>
      </c>
      <c r="J1728" s="108" t="str">
        <f t="shared" si="296"/>
        <v>0400000000</v>
      </c>
      <c r="K1728" s="132"/>
      <c r="L1728" s="17"/>
      <c r="M1728" s="32">
        <v>223074.72999999998</v>
      </c>
      <c r="N1728" s="32">
        <v>201612.44</v>
      </c>
      <c r="O1728" s="32">
        <v>201612.44</v>
      </c>
      <c r="P1728" s="32">
        <f t="shared" si="300"/>
        <v>-223074.72999999998</v>
      </c>
      <c r="Q1728" s="32" t="e">
        <f>#REF!-N1728</f>
        <v>#REF!</v>
      </c>
      <c r="R1728" s="32" t="e">
        <f>#REF!-O1728</f>
        <v>#REF!</v>
      </c>
      <c r="S1728" s="17" t="str">
        <f t="shared" si="301"/>
        <v>04 0 00 00000000</v>
      </c>
    </row>
    <row r="1729" spans="1:19" s="16" customFormat="1" ht="31.5">
      <c r="A1729" s="14"/>
      <c r="B1729" s="125" t="s">
        <v>307</v>
      </c>
      <c r="C1729" s="108" t="s">
        <v>410</v>
      </c>
      <c r="D1729" s="108" t="s">
        <v>86</v>
      </c>
      <c r="E1729" s="108" t="s">
        <v>13</v>
      </c>
      <c r="F1729" s="108" t="s">
        <v>308</v>
      </c>
      <c r="G1729" s="108" t="s">
        <v>9</v>
      </c>
      <c r="H1729" s="141">
        <f>H1730+H1734+H1738</f>
        <v>0</v>
      </c>
      <c r="I1729" s="108">
        <v>430000000</v>
      </c>
      <c r="J1729" s="108" t="str">
        <f t="shared" si="296"/>
        <v>0430000000</v>
      </c>
      <c r="K1729" s="132"/>
      <c r="L1729" s="17"/>
      <c r="M1729" s="32">
        <v>223074.72999999998</v>
      </c>
      <c r="N1729" s="32">
        <v>201612.44</v>
      </c>
      <c r="O1729" s="32">
        <v>201612.44</v>
      </c>
      <c r="P1729" s="32">
        <f t="shared" si="300"/>
        <v>-223074.72999999998</v>
      </c>
      <c r="Q1729" s="32" t="e">
        <f>#REF!-N1729</f>
        <v>#REF!</v>
      </c>
      <c r="R1729" s="32" t="e">
        <f>#REF!-O1729</f>
        <v>#REF!</v>
      </c>
      <c r="S1729" s="17" t="str">
        <f t="shared" si="301"/>
        <v>04 3 00 00000000</v>
      </c>
    </row>
    <row r="1730" spans="1:19" s="16" customFormat="1" ht="47.25">
      <c r="A1730" s="14"/>
      <c r="B1730" s="125" t="s">
        <v>866</v>
      </c>
      <c r="C1730" s="108" t="s">
        <v>410</v>
      </c>
      <c r="D1730" s="108" t="s">
        <v>86</v>
      </c>
      <c r="E1730" s="108" t="s">
        <v>13</v>
      </c>
      <c r="F1730" s="108" t="s">
        <v>867</v>
      </c>
      <c r="G1730" s="108" t="s">
        <v>9</v>
      </c>
      <c r="H1730" s="141">
        <f>H1731</f>
        <v>0</v>
      </c>
      <c r="I1730" s="108">
        <v>430200000</v>
      </c>
      <c r="J1730" s="108" t="str">
        <f t="shared" si="296"/>
        <v>0430200000</v>
      </c>
      <c r="K1730" s="132"/>
      <c r="L1730" s="17"/>
      <c r="M1730" s="32">
        <v>21821.77</v>
      </c>
      <c r="N1730" s="32">
        <v>16821.77</v>
      </c>
      <c r="O1730" s="32">
        <v>16821.77</v>
      </c>
      <c r="P1730" s="32">
        <f t="shared" si="300"/>
        <v>-21821.77</v>
      </c>
      <c r="Q1730" s="32" t="e">
        <f>#REF!-N1730</f>
        <v>#REF!</v>
      </c>
      <c r="R1730" s="32" t="e">
        <f>#REF!-O1730</f>
        <v>#REF!</v>
      </c>
      <c r="S1730" s="17" t="str">
        <f t="shared" si="301"/>
        <v>04 3 02 00000000</v>
      </c>
    </row>
    <row r="1731" spans="1:19" s="16" customFormat="1" ht="47.25">
      <c r="A1731" s="14"/>
      <c r="B1731" s="125" t="s">
        <v>868</v>
      </c>
      <c r="C1731" s="108" t="s">
        <v>410</v>
      </c>
      <c r="D1731" s="108" t="s">
        <v>86</v>
      </c>
      <c r="E1731" s="108" t="s">
        <v>13</v>
      </c>
      <c r="F1731" s="108" t="s">
        <v>869</v>
      </c>
      <c r="G1731" s="108" t="s">
        <v>9</v>
      </c>
      <c r="H1731" s="141">
        <f>H1732</f>
        <v>0</v>
      </c>
      <c r="I1731" s="108">
        <v>430220290</v>
      </c>
      <c r="J1731" s="108" t="str">
        <f t="shared" si="296"/>
        <v>0430220290</v>
      </c>
      <c r="K1731" s="132"/>
      <c r="L1731" s="17"/>
      <c r="M1731" s="32">
        <v>21821.77</v>
      </c>
      <c r="N1731" s="32">
        <v>16821.77</v>
      </c>
      <c r="O1731" s="32">
        <v>16821.77</v>
      </c>
      <c r="P1731" s="32">
        <f t="shared" si="300"/>
        <v>-21821.77</v>
      </c>
      <c r="Q1731" s="32" t="e">
        <f>#REF!-N1731</f>
        <v>#REF!</v>
      </c>
      <c r="R1731" s="32" t="e">
        <f>#REF!-O1731</f>
        <v>#REF!</v>
      </c>
      <c r="S1731" s="17" t="str">
        <f t="shared" si="301"/>
        <v>04 3 02 20290000</v>
      </c>
    </row>
    <row r="1732" spans="1:19" s="16" customFormat="1" ht="31.5">
      <c r="A1732" s="14"/>
      <c r="B1732" s="125" t="s">
        <v>28</v>
      </c>
      <c r="C1732" s="108" t="s">
        <v>410</v>
      </c>
      <c r="D1732" s="108" t="s">
        <v>86</v>
      </c>
      <c r="E1732" s="108" t="s">
        <v>13</v>
      </c>
      <c r="F1732" s="108" t="s">
        <v>869</v>
      </c>
      <c r="G1732" s="108" t="s">
        <v>29</v>
      </c>
      <c r="H1732" s="126">
        <f>H1733</f>
        <v>0</v>
      </c>
      <c r="I1732" s="108">
        <v>430220290</v>
      </c>
      <c r="J1732" s="108" t="str">
        <f t="shared" si="296"/>
        <v>0430220290</v>
      </c>
      <c r="K1732" s="132"/>
      <c r="L1732" s="17"/>
      <c r="M1732" s="32">
        <v>21821.77</v>
      </c>
      <c r="N1732" s="32">
        <v>16821.77</v>
      </c>
      <c r="O1732" s="32">
        <v>16821.77</v>
      </c>
      <c r="P1732" s="32">
        <f t="shared" si="300"/>
        <v>-21821.77</v>
      </c>
      <c r="Q1732" s="32" t="e">
        <f>#REF!-N1732</f>
        <v>#REF!</v>
      </c>
      <c r="R1732" s="32" t="e">
        <f>#REF!-O1732</f>
        <v>#REF!</v>
      </c>
      <c r="S1732" s="17" t="str">
        <f t="shared" si="301"/>
        <v>04 3 02 20290240</v>
      </c>
    </row>
    <row r="1733" spans="1:19" s="16" customFormat="1" ht="15.75">
      <c r="A1733" s="14"/>
      <c r="B1733" s="125" t="s">
        <v>30</v>
      </c>
      <c r="C1733" s="108" t="s">
        <v>410</v>
      </c>
      <c r="D1733" s="108" t="s">
        <v>86</v>
      </c>
      <c r="E1733" s="108" t="s">
        <v>13</v>
      </c>
      <c r="F1733" s="108" t="s">
        <v>869</v>
      </c>
      <c r="G1733" s="108" t="s">
        <v>31</v>
      </c>
      <c r="H1733" s="126"/>
      <c r="I1733" s="108">
        <v>430220290</v>
      </c>
      <c r="J1733" s="108" t="str">
        <f t="shared" si="296"/>
        <v>0430220290</v>
      </c>
      <c r="K1733" s="304" t="str">
        <f>C1733&amp;D1733&amp;E1733&amp;J1733&amp;G1733</f>
        <v>62005030430220290244</v>
      </c>
      <c r="L1733" s="17"/>
      <c r="M1733" s="32"/>
      <c r="N1733" s="32"/>
      <c r="O1733" s="32"/>
      <c r="P1733" s="32"/>
      <c r="Q1733" s="32"/>
      <c r="R1733" s="32"/>
      <c r="S1733" s="17"/>
    </row>
    <row r="1734" spans="1:19" s="16" customFormat="1" ht="47.25">
      <c r="A1734" s="14"/>
      <c r="B1734" s="125" t="s">
        <v>870</v>
      </c>
      <c r="C1734" s="108" t="s">
        <v>410</v>
      </c>
      <c r="D1734" s="108" t="s">
        <v>86</v>
      </c>
      <c r="E1734" s="108" t="s">
        <v>13</v>
      </c>
      <c r="F1734" s="108" t="s">
        <v>871</v>
      </c>
      <c r="G1734" s="108" t="s">
        <v>9</v>
      </c>
      <c r="H1734" s="141">
        <f t="shared" ref="H1734:H1735" si="302">H1735</f>
        <v>0</v>
      </c>
      <c r="I1734" s="108">
        <v>430300000</v>
      </c>
      <c r="J1734" s="108" t="str">
        <f t="shared" si="296"/>
        <v>0430300000</v>
      </c>
      <c r="K1734" s="132"/>
      <c r="L1734" s="17"/>
      <c r="M1734" s="32">
        <v>2284.56</v>
      </c>
      <c r="N1734" s="32">
        <v>2284.56</v>
      </c>
      <c r="O1734" s="32">
        <v>2284.56</v>
      </c>
      <c r="P1734" s="32">
        <f>H1734-M1734</f>
        <v>-2284.56</v>
      </c>
      <c r="Q1734" s="32" t="e">
        <f>#REF!-N1734</f>
        <v>#REF!</v>
      </c>
      <c r="R1734" s="32" t="e">
        <f>#REF!-O1734</f>
        <v>#REF!</v>
      </c>
      <c r="S1734" s="17" t="str">
        <f>CONCATENATE(F1734,G1734)</f>
        <v>04 3 03 00000000</v>
      </c>
    </row>
    <row r="1735" spans="1:19" s="16" customFormat="1" ht="47.25">
      <c r="A1735" s="14" t="s">
        <v>80</v>
      </c>
      <c r="B1735" s="125" t="s">
        <v>872</v>
      </c>
      <c r="C1735" s="108" t="s">
        <v>410</v>
      </c>
      <c r="D1735" s="108" t="s">
        <v>86</v>
      </c>
      <c r="E1735" s="108" t="s">
        <v>13</v>
      </c>
      <c r="F1735" s="108" t="s">
        <v>873</v>
      </c>
      <c r="G1735" s="108" t="s">
        <v>9</v>
      </c>
      <c r="H1735" s="141">
        <f t="shared" si="302"/>
        <v>0</v>
      </c>
      <c r="I1735" s="108">
        <v>430377150</v>
      </c>
      <c r="J1735" s="108" t="str">
        <f t="shared" si="296"/>
        <v>0430377150</v>
      </c>
      <c r="K1735" s="132"/>
      <c r="L1735" s="17"/>
      <c r="M1735" s="32">
        <v>2284.56</v>
      </c>
      <c r="N1735" s="32">
        <v>2284.56</v>
      </c>
      <c r="O1735" s="32">
        <v>2284.56</v>
      </c>
      <c r="P1735" s="32">
        <f>H1735-M1735</f>
        <v>-2284.56</v>
      </c>
      <c r="Q1735" s="32" t="e">
        <f>#REF!-N1735</f>
        <v>#REF!</v>
      </c>
      <c r="R1735" s="32" t="e">
        <f>#REF!-O1735</f>
        <v>#REF!</v>
      </c>
      <c r="S1735" s="17" t="str">
        <f>CONCATENATE(F1735,G1735)</f>
        <v>04 3 03 77150000</v>
      </c>
    </row>
    <row r="1736" spans="1:19" s="16" customFormat="1" ht="31.5">
      <c r="A1736" s="14"/>
      <c r="B1736" s="125" t="s">
        <v>28</v>
      </c>
      <c r="C1736" s="108" t="s">
        <v>410</v>
      </c>
      <c r="D1736" s="108" t="s">
        <v>86</v>
      </c>
      <c r="E1736" s="108" t="s">
        <v>13</v>
      </c>
      <c r="F1736" s="108" t="s">
        <v>873</v>
      </c>
      <c r="G1736" s="108" t="s">
        <v>29</v>
      </c>
      <c r="H1736" s="126">
        <f>H1737</f>
        <v>0</v>
      </c>
      <c r="I1736" s="108">
        <v>430377150</v>
      </c>
      <c r="J1736" s="108" t="str">
        <f t="shared" si="296"/>
        <v>0430377150</v>
      </c>
      <c r="K1736" s="132"/>
      <c r="L1736" s="17"/>
      <c r="M1736" s="32">
        <v>2284.56</v>
      </c>
      <c r="N1736" s="32">
        <v>2284.56</v>
      </c>
      <c r="O1736" s="32">
        <v>2284.56</v>
      </c>
      <c r="P1736" s="32">
        <f>H1736-M1736</f>
        <v>-2284.56</v>
      </c>
      <c r="Q1736" s="32" t="e">
        <f>#REF!-N1736</f>
        <v>#REF!</v>
      </c>
      <c r="R1736" s="32" t="e">
        <f>#REF!-O1736</f>
        <v>#REF!</v>
      </c>
      <c r="S1736" s="17" t="str">
        <f>CONCATENATE(F1736,G1736)</f>
        <v>04 3 03 77150240</v>
      </c>
    </row>
    <row r="1737" spans="1:19" s="16" customFormat="1" ht="15.75">
      <c r="A1737" s="14"/>
      <c r="B1737" s="125" t="s">
        <v>30</v>
      </c>
      <c r="C1737" s="108" t="s">
        <v>410</v>
      </c>
      <c r="D1737" s="108" t="s">
        <v>86</v>
      </c>
      <c r="E1737" s="108" t="s">
        <v>13</v>
      </c>
      <c r="F1737" s="108" t="s">
        <v>873</v>
      </c>
      <c r="G1737" s="108" t="s">
        <v>31</v>
      </c>
      <c r="H1737" s="126"/>
      <c r="I1737" s="108">
        <v>430377150</v>
      </c>
      <c r="J1737" s="108" t="str">
        <f t="shared" si="296"/>
        <v>0430377150</v>
      </c>
      <c r="K1737" s="304" t="str">
        <f>C1737&amp;D1737&amp;E1737&amp;J1737&amp;G1737</f>
        <v>62005030430377150244</v>
      </c>
      <c r="L1737" s="17"/>
      <c r="M1737" s="32"/>
      <c r="N1737" s="32"/>
      <c r="O1737" s="32"/>
      <c r="P1737" s="32"/>
      <c r="Q1737" s="32"/>
      <c r="R1737" s="32"/>
      <c r="S1737" s="17"/>
    </row>
    <row r="1738" spans="1:19" s="16" customFormat="1" ht="31.5">
      <c r="A1738" s="14"/>
      <c r="B1738" s="307" t="s">
        <v>309</v>
      </c>
      <c r="C1738" s="108" t="s">
        <v>410</v>
      </c>
      <c r="D1738" s="108" t="s">
        <v>86</v>
      </c>
      <c r="E1738" s="108" t="s">
        <v>13</v>
      </c>
      <c r="F1738" s="108" t="s">
        <v>310</v>
      </c>
      <c r="G1738" s="108" t="s">
        <v>9</v>
      </c>
      <c r="H1738" s="141">
        <f>H1739+H1742+H1745+H1752+H1755+H1758+H1764+H1761</f>
        <v>0</v>
      </c>
      <c r="I1738" s="108">
        <v>430400000</v>
      </c>
      <c r="J1738" s="108" t="str">
        <f t="shared" si="296"/>
        <v>0430400000</v>
      </c>
      <c r="K1738" s="132"/>
      <c r="L1738" s="17"/>
      <c r="M1738" s="32">
        <v>198968.4</v>
      </c>
      <c r="N1738" s="32">
        <v>182506.11</v>
      </c>
      <c r="O1738" s="32">
        <v>182506.11</v>
      </c>
      <c r="P1738" s="32">
        <f>H1738-M1738</f>
        <v>-198968.4</v>
      </c>
      <c r="Q1738" s="32" t="e">
        <f>#REF!-N1738</f>
        <v>#REF!</v>
      </c>
      <c r="R1738" s="32" t="e">
        <f>#REF!-O1738</f>
        <v>#REF!</v>
      </c>
      <c r="S1738" s="17" t="str">
        <f>CONCATENATE(F1738,G1738)</f>
        <v>04 3 04 00000000</v>
      </c>
    </row>
    <row r="1739" spans="1:19" s="16" customFormat="1" ht="31.5">
      <c r="A1739" s="14"/>
      <c r="B1739" s="125" t="s">
        <v>136</v>
      </c>
      <c r="C1739" s="108" t="s">
        <v>410</v>
      </c>
      <c r="D1739" s="108" t="s">
        <v>86</v>
      </c>
      <c r="E1739" s="108" t="s">
        <v>13</v>
      </c>
      <c r="F1739" s="108" t="s">
        <v>874</v>
      </c>
      <c r="G1739" s="108" t="s">
        <v>9</v>
      </c>
      <c r="H1739" s="141">
        <f>H1740</f>
        <v>0</v>
      </c>
      <c r="I1739" s="108">
        <v>430411010</v>
      </c>
      <c r="J1739" s="108" t="str">
        <f t="shared" si="296"/>
        <v>0430411010</v>
      </c>
      <c r="K1739" s="132"/>
      <c r="L1739" s="17"/>
      <c r="M1739" s="32">
        <v>17734.23</v>
      </c>
      <c r="N1739" s="32">
        <v>17734.23</v>
      </c>
      <c r="O1739" s="32">
        <v>17734.23</v>
      </c>
      <c r="P1739" s="32">
        <f>H1739-M1739</f>
        <v>-17734.23</v>
      </c>
      <c r="Q1739" s="32" t="e">
        <f>#REF!-N1739</f>
        <v>#REF!</v>
      </c>
      <c r="R1739" s="32" t="e">
        <f>#REF!-O1739</f>
        <v>#REF!</v>
      </c>
      <c r="S1739" s="17" t="str">
        <f>CONCATENATE(F1739,G1739)</f>
        <v>04 3 04 11010000</v>
      </c>
    </row>
    <row r="1740" spans="1:19" s="16" customFormat="1" ht="15.75">
      <c r="A1740" s="14"/>
      <c r="B1740" s="132" t="s">
        <v>403</v>
      </c>
      <c r="C1740" s="108" t="s">
        <v>410</v>
      </c>
      <c r="D1740" s="108" t="s">
        <v>86</v>
      </c>
      <c r="E1740" s="108" t="s">
        <v>13</v>
      </c>
      <c r="F1740" s="108" t="s">
        <v>874</v>
      </c>
      <c r="G1740" s="108" t="s">
        <v>404</v>
      </c>
      <c r="H1740" s="126">
        <f>H1741</f>
        <v>0</v>
      </c>
      <c r="I1740" s="108">
        <v>430411010</v>
      </c>
      <c r="J1740" s="108" t="str">
        <f t="shared" si="296"/>
        <v>0430411010</v>
      </c>
      <c r="K1740" s="132"/>
      <c r="L1740" s="17"/>
      <c r="M1740" s="32">
        <v>17734.23</v>
      </c>
      <c r="N1740" s="32">
        <v>17734.23</v>
      </c>
      <c r="O1740" s="32">
        <v>17734.23</v>
      </c>
      <c r="P1740" s="32">
        <f>H1740-M1740</f>
        <v>-17734.23</v>
      </c>
      <c r="Q1740" s="32" t="e">
        <f>#REF!-N1740</f>
        <v>#REF!</v>
      </c>
      <c r="R1740" s="32" t="e">
        <f>#REF!-O1740</f>
        <v>#REF!</v>
      </c>
      <c r="S1740" s="17" t="str">
        <f>CONCATENATE(F1740,G1740)</f>
        <v>04 3 04 11010610</v>
      </c>
    </row>
    <row r="1741" spans="1:19" s="23" customFormat="1" ht="63">
      <c r="A1741" s="21"/>
      <c r="B1741" s="127" t="s">
        <v>405</v>
      </c>
      <c r="C1741" s="108" t="s">
        <v>410</v>
      </c>
      <c r="D1741" s="108" t="s">
        <v>86</v>
      </c>
      <c r="E1741" s="108" t="s">
        <v>13</v>
      </c>
      <c r="F1741" s="108" t="s">
        <v>874</v>
      </c>
      <c r="G1741" s="108" t="s">
        <v>406</v>
      </c>
      <c r="H1741" s="126"/>
      <c r="I1741" s="108">
        <v>430411010</v>
      </c>
      <c r="J1741" s="108" t="str">
        <f t="shared" si="296"/>
        <v>0430411010</v>
      </c>
      <c r="K1741" s="304" t="str">
        <f>C1741&amp;D1741&amp;E1741&amp;J1741&amp;G1741</f>
        <v>62005030430411010611</v>
      </c>
      <c r="L1741" s="24"/>
      <c r="M1741" s="63"/>
      <c r="N1741" s="63"/>
      <c r="O1741" s="63"/>
      <c r="P1741" s="63"/>
      <c r="Q1741" s="63"/>
      <c r="R1741" s="63"/>
      <c r="S1741" s="24"/>
    </row>
    <row r="1742" spans="1:19" s="16" customFormat="1" ht="31.5">
      <c r="A1742" s="14"/>
      <c r="B1742" s="125" t="s">
        <v>875</v>
      </c>
      <c r="C1742" s="108" t="s">
        <v>410</v>
      </c>
      <c r="D1742" s="108" t="s">
        <v>86</v>
      </c>
      <c r="E1742" s="108" t="s">
        <v>13</v>
      </c>
      <c r="F1742" s="108" t="s">
        <v>876</v>
      </c>
      <c r="G1742" s="108" t="s">
        <v>9</v>
      </c>
      <c r="H1742" s="141">
        <f>H1743</f>
        <v>0</v>
      </c>
      <c r="I1742" s="108">
        <v>430420280</v>
      </c>
      <c r="J1742" s="108" t="str">
        <f t="shared" si="296"/>
        <v>0430420280</v>
      </c>
      <c r="K1742" s="132"/>
      <c r="L1742" s="17"/>
      <c r="M1742" s="32">
        <v>108492.62</v>
      </c>
      <c r="N1742" s="32">
        <v>105992.62</v>
      </c>
      <c r="O1742" s="32">
        <v>105992.62</v>
      </c>
      <c r="P1742" s="32">
        <f>H1742-M1742</f>
        <v>-108492.62</v>
      </c>
      <c r="Q1742" s="32" t="e">
        <f>#REF!-N1742</f>
        <v>#REF!</v>
      </c>
      <c r="R1742" s="32" t="e">
        <f>#REF!-O1742</f>
        <v>#REF!</v>
      </c>
      <c r="S1742" s="17" t="str">
        <f>CONCATENATE(F1742,G1742)</f>
        <v>04 3 04 20280000</v>
      </c>
    </row>
    <row r="1743" spans="1:19" s="16" customFormat="1" ht="31.5">
      <c r="A1743" s="14"/>
      <c r="B1743" s="125" t="s">
        <v>28</v>
      </c>
      <c r="C1743" s="108" t="s">
        <v>410</v>
      </c>
      <c r="D1743" s="108" t="s">
        <v>86</v>
      </c>
      <c r="E1743" s="108" t="s">
        <v>13</v>
      </c>
      <c r="F1743" s="108" t="s">
        <v>876</v>
      </c>
      <c r="G1743" s="108" t="s">
        <v>29</v>
      </c>
      <c r="H1743" s="126">
        <f>H1744</f>
        <v>0</v>
      </c>
      <c r="I1743" s="108">
        <v>430420280</v>
      </c>
      <c r="J1743" s="108" t="str">
        <f t="shared" si="296"/>
        <v>0430420280</v>
      </c>
      <c r="K1743" s="132"/>
      <c r="L1743" s="17"/>
      <c r="M1743" s="32">
        <v>108492.62</v>
      </c>
      <c r="N1743" s="32">
        <v>105992.62</v>
      </c>
      <c r="O1743" s="32">
        <v>105992.62</v>
      </c>
      <c r="P1743" s="32">
        <f>H1743-M1743</f>
        <v>-108492.62</v>
      </c>
      <c r="Q1743" s="32" t="e">
        <f>#REF!-N1743</f>
        <v>#REF!</v>
      </c>
      <c r="R1743" s="32" t="e">
        <f>#REF!-O1743</f>
        <v>#REF!</v>
      </c>
      <c r="S1743" s="17" t="str">
        <f>CONCATENATE(F1743,G1743)</f>
        <v>04 3 04 20280240</v>
      </c>
    </row>
    <row r="1744" spans="1:19" s="16" customFormat="1" ht="15.75">
      <c r="A1744" s="14"/>
      <c r="B1744" s="125" t="s">
        <v>30</v>
      </c>
      <c r="C1744" s="108" t="s">
        <v>410</v>
      </c>
      <c r="D1744" s="108" t="s">
        <v>86</v>
      </c>
      <c r="E1744" s="108" t="s">
        <v>13</v>
      </c>
      <c r="F1744" s="108" t="s">
        <v>876</v>
      </c>
      <c r="G1744" s="108" t="s">
        <v>31</v>
      </c>
      <c r="H1744" s="126"/>
      <c r="I1744" s="108">
        <v>430420280</v>
      </c>
      <c r="J1744" s="108" t="str">
        <f t="shared" si="296"/>
        <v>0430420280</v>
      </c>
      <c r="K1744" s="304" t="str">
        <f>C1744&amp;D1744&amp;E1744&amp;J1744&amp;G1744</f>
        <v>62005030430420280244</v>
      </c>
      <c r="L1744" s="17"/>
      <c r="M1744" s="32"/>
      <c r="N1744" s="32"/>
      <c r="O1744" s="32"/>
      <c r="P1744" s="32"/>
      <c r="Q1744" s="32"/>
      <c r="R1744" s="32"/>
      <c r="S1744" s="17"/>
    </row>
    <row r="1745" spans="1:19" s="16" customFormat="1" ht="31.5">
      <c r="A1745" s="14"/>
      <c r="B1745" s="125" t="s">
        <v>542</v>
      </c>
      <c r="C1745" s="108" t="s">
        <v>410</v>
      </c>
      <c r="D1745" s="108" t="s">
        <v>86</v>
      </c>
      <c r="E1745" s="108" t="s">
        <v>13</v>
      </c>
      <c r="F1745" s="108" t="s">
        <v>543</v>
      </c>
      <c r="G1745" s="108" t="s">
        <v>9</v>
      </c>
      <c r="H1745" s="141">
        <f>H1746+H1750+H1748</f>
        <v>0</v>
      </c>
      <c r="I1745" s="108">
        <v>430420300</v>
      </c>
      <c r="J1745" s="108" t="str">
        <f t="shared" si="296"/>
        <v>0430420300</v>
      </c>
      <c r="K1745" s="132"/>
      <c r="L1745" s="17"/>
      <c r="M1745" s="32">
        <v>10131.51</v>
      </c>
      <c r="N1745" s="32">
        <v>8531.51</v>
      </c>
      <c r="O1745" s="32">
        <v>8531.51</v>
      </c>
      <c r="P1745" s="32">
        <f>H1745-M1745</f>
        <v>-10131.51</v>
      </c>
      <c r="Q1745" s="32" t="e">
        <f>#REF!-N1745</f>
        <v>#REF!</v>
      </c>
      <c r="R1745" s="32" t="e">
        <f>#REF!-O1745</f>
        <v>#REF!</v>
      </c>
      <c r="S1745" s="17" t="str">
        <f>CONCATENATE(F1745,G1745)</f>
        <v>04 3 04 20300000</v>
      </c>
    </row>
    <row r="1746" spans="1:19" s="16" customFormat="1" ht="31.5">
      <c r="A1746" s="14"/>
      <c r="B1746" s="125" t="s">
        <v>28</v>
      </c>
      <c r="C1746" s="108" t="s">
        <v>410</v>
      </c>
      <c r="D1746" s="108" t="s">
        <v>86</v>
      </c>
      <c r="E1746" s="108" t="s">
        <v>13</v>
      </c>
      <c r="F1746" s="108" t="s">
        <v>543</v>
      </c>
      <c r="G1746" s="108" t="s">
        <v>29</v>
      </c>
      <c r="H1746" s="126">
        <f>H1747</f>
        <v>0</v>
      </c>
      <c r="I1746" s="108">
        <v>430420300</v>
      </c>
      <c r="J1746" s="108" t="str">
        <f t="shared" si="296"/>
        <v>0430420300</v>
      </c>
      <c r="K1746" s="132"/>
      <c r="L1746" s="17"/>
      <c r="M1746" s="32">
        <v>9881.51</v>
      </c>
      <c r="N1746" s="32">
        <v>8381.51</v>
      </c>
      <c r="O1746" s="32">
        <v>8381.51</v>
      </c>
      <c r="P1746" s="32">
        <f>H1746-M1746</f>
        <v>-9881.51</v>
      </c>
      <c r="Q1746" s="32" t="e">
        <f>#REF!-N1746</f>
        <v>#REF!</v>
      </c>
      <c r="R1746" s="32" t="e">
        <f>#REF!-O1746</f>
        <v>#REF!</v>
      </c>
      <c r="S1746" s="17" t="str">
        <f>CONCATENATE(F1746,G1746)</f>
        <v>04 3 04 20300240</v>
      </c>
    </row>
    <row r="1747" spans="1:19" s="16" customFormat="1" ht="15.75">
      <c r="A1747" s="14"/>
      <c r="B1747" s="125" t="s">
        <v>30</v>
      </c>
      <c r="C1747" s="108" t="s">
        <v>410</v>
      </c>
      <c r="D1747" s="108" t="s">
        <v>86</v>
      </c>
      <c r="E1747" s="108" t="s">
        <v>13</v>
      </c>
      <c r="F1747" s="108" t="s">
        <v>543</v>
      </c>
      <c r="G1747" s="108" t="s">
        <v>31</v>
      </c>
      <c r="H1747" s="126"/>
      <c r="I1747" s="108">
        <v>430420300</v>
      </c>
      <c r="J1747" s="108" t="str">
        <f t="shared" si="296"/>
        <v>0430420300</v>
      </c>
      <c r="K1747" s="304" t="str">
        <f>C1747&amp;D1747&amp;E1747&amp;J1747&amp;G1747</f>
        <v>62005030430420300244</v>
      </c>
      <c r="L1747" s="17"/>
      <c r="M1747" s="32"/>
      <c r="N1747" s="32"/>
      <c r="O1747" s="32"/>
      <c r="P1747" s="32"/>
      <c r="Q1747" s="32"/>
      <c r="R1747" s="32"/>
      <c r="S1747" s="17"/>
    </row>
    <row r="1748" spans="1:19" s="16" customFormat="1" ht="15.75">
      <c r="A1748" s="14"/>
      <c r="B1748" s="125" t="s">
        <v>837</v>
      </c>
      <c r="C1748" s="108" t="s">
        <v>410</v>
      </c>
      <c r="D1748" s="108" t="s">
        <v>86</v>
      </c>
      <c r="E1748" s="108" t="s">
        <v>13</v>
      </c>
      <c r="F1748" s="108" t="s">
        <v>543</v>
      </c>
      <c r="G1748" s="109" t="s">
        <v>838</v>
      </c>
      <c r="H1748" s="126">
        <f>H1749</f>
        <v>0</v>
      </c>
      <c r="I1748" s="108">
        <v>430420300</v>
      </c>
      <c r="J1748" s="108" t="str">
        <f t="shared" si="296"/>
        <v>0430420300</v>
      </c>
      <c r="K1748" s="132"/>
      <c r="L1748" s="17"/>
      <c r="M1748" s="32">
        <v>100</v>
      </c>
      <c r="N1748" s="32">
        <v>0</v>
      </c>
      <c r="O1748" s="32">
        <v>0</v>
      </c>
      <c r="P1748" s="32">
        <f>H1748-M1748</f>
        <v>-100</v>
      </c>
      <c r="Q1748" s="32" t="e">
        <f>#REF!-N1748</f>
        <v>#REF!</v>
      </c>
      <c r="R1748" s="32" t="e">
        <f>#REF!-O1748</f>
        <v>#REF!</v>
      </c>
      <c r="S1748" s="17" t="str">
        <f>CONCATENATE(F1748,G1748)</f>
        <v>04 3 04 20300410</v>
      </c>
    </row>
    <row r="1749" spans="1:19" s="16" customFormat="1" ht="47.25">
      <c r="A1749" s="14"/>
      <c r="B1749" s="125" t="s">
        <v>839</v>
      </c>
      <c r="C1749" s="108" t="s">
        <v>410</v>
      </c>
      <c r="D1749" s="108" t="s">
        <v>86</v>
      </c>
      <c r="E1749" s="108" t="s">
        <v>13</v>
      </c>
      <c r="F1749" s="108" t="s">
        <v>543</v>
      </c>
      <c r="G1749" s="109" t="s">
        <v>840</v>
      </c>
      <c r="H1749" s="126"/>
      <c r="I1749" s="108">
        <v>430420300</v>
      </c>
      <c r="J1749" s="108" t="str">
        <f t="shared" si="296"/>
        <v>0430420300</v>
      </c>
      <c r="K1749" s="304" t="str">
        <f>C1749&amp;D1749&amp;E1749&amp;J1749&amp;G1749</f>
        <v>62005030430420300414</v>
      </c>
      <c r="L1749" s="17"/>
      <c r="M1749" s="32"/>
      <c r="N1749" s="32"/>
      <c r="O1749" s="32"/>
      <c r="P1749" s="32"/>
      <c r="Q1749" s="32"/>
      <c r="R1749" s="32"/>
      <c r="S1749" s="17"/>
    </row>
    <row r="1750" spans="1:19" s="16" customFormat="1" ht="63">
      <c r="A1750" s="14"/>
      <c r="B1750" s="125" t="s">
        <v>203</v>
      </c>
      <c r="C1750" s="108" t="s">
        <v>410</v>
      </c>
      <c r="D1750" s="108" t="s">
        <v>86</v>
      </c>
      <c r="E1750" s="108" t="s">
        <v>13</v>
      </c>
      <c r="F1750" s="108" t="s">
        <v>543</v>
      </c>
      <c r="G1750" s="108" t="s">
        <v>204</v>
      </c>
      <c r="H1750" s="126">
        <f>H1751</f>
        <v>0</v>
      </c>
      <c r="I1750" s="108">
        <v>430420300</v>
      </c>
      <c r="J1750" s="108" t="str">
        <f t="shared" si="296"/>
        <v>0430420300</v>
      </c>
      <c r="K1750" s="132"/>
      <c r="L1750" s="17"/>
      <c r="M1750" s="32">
        <v>150</v>
      </c>
      <c r="N1750" s="32">
        <v>150</v>
      </c>
      <c r="O1750" s="32">
        <v>150</v>
      </c>
      <c r="P1750" s="32">
        <f>H1750-M1750</f>
        <v>-150</v>
      </c>
      <c r="Q1750" s="32" t="e">
        <f>#REF!-N1750</f>
        <v>#REF!</v>
      </c>
      <c r="R1750" s="32" t="e">
        <f>#REF!-O1750</f>
        <v>#REF!</v>
      </c>
      <c r="S1750" s="17" t="str">
        <f>CONCATENATE(F1750,G1750)</f>
        <v>04 3 04 20300810</v>
      </c>
    </row>
    <row r="1751" spans="1:19" s="16" customFormat="1" ht="110.25">
      <c r="A1751" s="14"/>
      <c r="B1751" s="125" t="s">
        <v>226</v>
      </c>
      <c r="C1751" s="108" t="s">
        <v>410</v>
      </c>
      <c r="D1751" s="108" t="s">
        <v>86</v>
      </c>
      <c r="E1751" s="108" t="s">
        <v>13</v>
      </c>
      <c r="F1751" s="108" t="s">
        <v>543</v>
      </c>
      <c r="G1751" s="108" t="s">
        <v>227</v>
      </c>
      <c r="H1751" s="126"/>
      <c r="I1751" s="108">
        <v>430420300</v>
      </c>
      <c r="J1751" s="108" t="str">
        <f t="shared" si="296"/>
        <v>0430420300</v>
      </c>
      <c r="K1751" s="304" t="str">
        <f>C1751&amp;D1751&amp;E1751&amp;J1751&amp;G1751</f>
        <v>62005030430420300813</v>
      </c>
      <c r="L1751" s="17"/>
      <c r="M1751" s="32"/>
      <c r="N1751" s="32"/>
      <c r="O1751" s="32"/>
      <c r="P1751" s="32"/>
      <c r="Q1751" s="32"/>
      <c r="R1751" s="32"/>
      <c r="S1751" s="17"/>
    </row>
    <row r="1752" spans="1:19" s="16" customFormat="1" ht="31.5">
      <c r="A1752" s="14"/>
      <c r="B1752" s="135" t="s">
        <v>877</v>
      </c>
      <c r="C1752" s="108" t="s">
        <v>410</v>
      </c>
      <c r="D1752" s="108" t="s">
        <v>86</v>
      </c>
      <c r="E1752" s="108" t="s">
        <v>13</v>
      </c>
      <c r="F1752" s="108" t="s">
        <v>878</v>
      </c>
      <c r="G1752" s="108" t="s">
        <v>9</v>
      </c>
      <c r="H1752" s="141">
        <f>H1753</f>
        <v>0</v>
      </c>
      <c r="I1752" s="108">
        <v>430420780</v>
      </c>
      <c r="J1752" s="108" t="str">
        <f t="shared" si="296"/>
        <v>0430420780</v>
      </c>
      <c r="K1752" s="132"/>
      <c r="L1752" s="17"/>
      <c r="M1752" s="32">
        <v>35409.69</v>
      </c>
      <c r="N1752" s="32">
        <v>35409.69</v>
      </c>
      <c r="O1752" s="32">
        <v>35409.69</v>
      </c>
      <c r="P1752" s="32">
        <f>H1752-M1752</f>
        <v>-35409.69</v>
      </c>
      <c r="Q1752" s="32" t="e">
        <f>#REF!-N1752</f>
        <v>#REF!</v>
      </c>
      <c r="R1752" s="32" t="e">
        <f>#REF!-O1752</f>
        <v>#REF!</v>
      </c>
      <c r="S1752" s="17" t="str">
        <f>CONCATENATE(F1752,G1752)</f>
        <v>04 3 04 20780000</v>
      </c>
    </row>
    <row r="1753" spans="1:19" s="16" customFormat="1" ht="31.5">
      <c r="A1753" s="14"/>
      <c r="B1753" s="125" t="s">
        <v>28</v>
      </c>
      <c r="C1753" s="108" t="s">
        <v>410</v>
      </c>
      <c r="D1753" s="108" t="s">
        <v>86</v>
      </c>
      <c r="E1753" s="108" t="s">
        <v>13</v>
      </c>
      <c r="F1753" s="108" t="s">
        <v>878</v>
      </c>
      <c r="G1753" s="108" t="s">
        <v>29</v>
      </c>
      <c r="H1753" s="126">
        <f>H1754</f>
        <v>0</v>
      </c>
      <c r="I1753" s="108">
        <v>430420780</v>
      </c>
      <c r="J1753" s="108" t="str">
        <f t="shared" si="296"/>
        <v>0430420780</v>
      </c>
      <c r="K1753" s="132"/>
      <c r="L1753" s="17"/>
      <c r="M1753" s="32">
        <v>35409.69</v>
      </c>
      <c r="N1753" s="32">
        <v>35409.69</v>
      </c>
      <c r="O1753" s="32">
        <v>35409.69</v>
      </c>
      <c r="P1753" s="32">
        <f>H1753-M1753</f>
        <v>-35409.69</v>
      </c>
      <c r="Q1753" s="32" t="e">
        <f>#REF!-N1753</f>
        <v>#REF!</v>
      </c>
      <c r="R1753" s="32" t="e">
        <f>#REF!-O1753</f>
        <v>#REF!</v>
      </c>
      <c r="S1753" s="17" t="str">
        <f>CONCATENATE(F1753,G1753)</f>
        <v>04 3 04 20780240</v>
      </c>
    </row>
    <row r="1754" spans="1:19" s="16" customFormat="1" ht="15.75">
      <c r="A1754" s="14"/>
      <c r="B1754" s="125" t="s">
        <v>30</v>
      </c>
      <c r="C1754" s="108" t="s">
        <v>410</v>
      </c>
      <c r="D1754" s="108" t="s">
        <v>86</v>
      </c>
      <c r="E1754" s="108" t="s">
        <v>13</v>
      </c>
      <c r="F1754" s="108" t="s">
        <v>878</v>
      </c>
      <c r="G1754" s="108" t="s">
        <v>31</v>
      </c>
      <c r="H1754" s="126"/>
      <c r="I1754" s="108">
        <v>430420780</v>
      </c>
      <c r="J1754" s="108" t="str">
        <f t="shared" si="296"/>
        <v>0430420780</v>
      </c>
      <c r="K1754" s="304" t="str">
        <f>C1754&amp;D1754&amp;E1754&amp;J1754&amp;G1754</f>
        <v>62005030430420780244</v>
      </c>
      <c r="L1754" s="17"/>
      <c r="M1754" s="32"/>
      <c r="N1754" s="32"/>
      <c r="O1754" s="32"/>
      <c r="P1754" s="32"/>
      <c r="Q1754" s="32"/>
      <c r="R1754" s="32"/>
      <c r="S1754" s="17"/>
    </row>
    <row r="1755" spans="1:19" s="16" customFormat="1" ht="94.5">
      <c r="A1755" s="14" t="s">
        <v>80</v>
      </c>
      <c r="B1755" s="125" t="s">
        <v>879</v>
      </c>
      <c r="C1755" s="108" t="s">
        <v>410</v>
      </c>
      <c r="D1755" s="108" t="s">
        <v>86</v>
      </c>
      <c r="E1755" s="108" t="s">
        <v>13</v>
      </c>
      <c r="F1755" s="108" t="s">
        <v>880</v>
      </c>
      <c r="G1755" s="108" t="s">
        <v>9</v>
      </c>
      <c r="H1755" s="141">
        <f>H1756</f>
        <v>0</v>
      </c>
      <c r="I1755" s="108">
        <v>430420790</v>
      </c>
      <c r="J1755" s="108" t="str">
        <f t="shared" si="296"/>
        <v>0430420790</v>
      </c>
      <c r="K1755" s="132"/>
      <c r="L1755" s="17"/>
      <c r="M1755" s="32">
        <v>19744.080000000002</v>
      </c>
      <c r="N1755" s="32">
        <v>14838.06</v>
      </c>
      <c r="O1755" s="32">
        <v>14838.06</v>
      </c>
      <c r="P1755" s="32">
        <f>H1755-M1755</f>
        <v>-19744.080000000002</v>
      </c>
      <c r="Q1755" s="32" t="e">
        <f>#REF!-N1755</f>
        <v>#REF!</v>
      </c>
      <c r="R1755" s="32" t="e">
        <f>#REF!-O1755</f>
        <v>#REF!</v>
      </c>
      <c r="S1755" s="17" t="str">
        <f>CONCATENATE(F1755,G1755)</f>
        <v>04 3 04 20790000</v>
      </c>
    </row>
    <row r="1756" spans="1:19" s="16" customFormat="1" ht="31.5">
      <c r="A1756" s="14"/>
      <c r="B1756" s="125" t="s">
        <v>28</v>
      </c>
      <c r="C1756" s="108" t="s">
        <v>410</v>
      </c>
      <c r="D1756" s="108" t="s">
        <v>86</v>
      </c>
      <c r="E1756" s="108" t="s">
        <v>13</v>
      </c>
      <c r="F1756" s="108" t="s">
        <v>880</v>
      </c>
      <c r="G1756" s="108" t="s">
        <v>29</v>
      </c>
      <c r="H1756" s="126">
        <f>H1757</f>
        <v>0</v>
      </c>
      <c r="I1756" s="108">
        <v>430420790</v>
      </c>
      <c r="J1756" s="108" t="str">
        <f t="shared" si="296"/>
        <v>0430420790</v>
      </c>
      <c r="K1756" s="132"/>
      <c r="L1756" s="17"/>
      <c r="M1756" s="32">
        <v>19744.080000000002</v>
      </c>
      <c r="N1756" s="32">
        <v>14838.06</v>
      </c>
      <c r="O1756" s="32">
        <v>14838.06</v>
      </c>
      <c r="P1756" s="32">
        <f>H1756-M1756</f>
        <v>-19744.080000000002</v>
      </c>
      <c r="Q1756" s="32" t="e">
        <f>#REF!-N1756</f>
        <v>#REF!</v>
      </c>
      <c r="R1756" s="32" t="e">
        <f>#REF!-O1756</f>
        <v>#REF!</v>
      </c>
      <c r="S1756" s="17" t="str">
        <f>CONCATENATE(F1756,G1756)</f>
        <v>04 3 04 20790240</v>
      </c>
    </row>
    <row r="1757" spans="1:19" s="16" customFormat="1" ht="15.75">
      <c r="A1757" s="14"/>
      <c r="B1757" s="125" t="s">
        <v>30</v>
      </c>
      <c r="C1757" s="108" t="s">
        <v>410</v>
      </c>
      <c r="D1757" s="108" t="s">
        <v>86</v>
      </c>
      <c r="E1757" s="108" t="s">
        <v>13</v>
      </c>
      <c r="F1757" s="108" t="s">
        <v>880</v>
      </c>
      <c r="G1757" s="108" t="s">
        <v>31</v>
      </c>
      <c r="H1757" s="126"/>
      <c r="I1757" s="108">
        <v>430420790</v>
      </c>
      <c r="J1757" s="108" t="str">
        <f t="shared" si="296"/>
        <v>0430420790</v>
      </c>
      <c r="K1757" s="304" t="str">
        <f>C1757&amp;D1757&amp;E1757&amp;J1757&amp;G1757</f>
        <v>62005030430420790244</v>
      </c>
      <c r="L1757" s="17"/>
      <c r="M1757" s="32"/>
      <c r="N1757" s="32"/>
      <c r="O1757" s="32"/>
      <c r="P1757" s="32"/>
      <c r="Q1757" s="32"/>
      <c r="R1757" s="32"/>
      <c r="S1757" s="17"/>
    </row>
    <row r="1758" spans="1:19" s="16" customFormat="1" ht="153" customHeight="1">
      <c r="A1758" s="14"/>
      <c r="B1758" s="125" t="s">
        <v>881</v>
      </c>
      <c r="C1758" s="130" t="s">
        <v>410</v>
      </c>
      <c r="D1758" s="131" t="s">
        <v>86</v>
      </c>
      <c r="E1758" s="131" t="s">
        <v>13</v>
      </c>
      <c r="F1758" s="131" t="s">
        <v>882</v>
      </c>
      <c r="G1758" s="131" t="s">
        <v>9</v>
      </c>
      <c r="H1758" s="105">
        <f t="shared" ref="H1758" si="303">H1759</f>
        <v>0</v>
      </c>
      <c r="I1758" s="131">
        <v>430421480</v>
      </c>
      <c r="J1758" s="131" t="str">
        <f t="shared" si="296"/>
        <v>0430421480</v>
      </c>
      <c r="K1758" s="132"/>
      <c r="L1758" s="17"/>
      <c r="M1758" s="26">
        <v>7456.27</v>
      </c>
      <c r="N1758" s="26">
        <v>0</v>
      </c>
      <c r="O1758" s="26">
        <v>0</v>
      </c>
      <c r="P1758" s="26">
        <f>H1758-M1758</f>
        <v>-7456.27</v>
      </c>
      <c r="Q1758" s="26" t="e">
        <f>#REF!-N1758</f>
        <v>#REF!</v>
      </c>
      <c r="R1758" s="26" t="e">
        <f>#REF!-O1758</f>
        <v>#REF!</v>
      </c>
      <c r="S1758" s="17" t="str">
        <f>CONCATENATE(F1758,G1758)</f>
        <v>04 3 04 21480000</v>
      </c>
    </row>
    <row r="1759" spans="1:19" s="16" customFormat="1" ht="31.5">
      <c r="A1759" s="14"/>
      <c r="B1759" s="125" t="s">
        <v>28</v>
      </c>
      <c r="C1759" s="130" t="s">
        <v>410</v>
      </c>
      <c r="D1759" s="131" t="s">
        <v>86</v>
      </c>
      <c r="E1759" s="131" t="s">
        <v>13</v>
      </c>
      <c r="F1759" s="131" t="s">
        <v>882</v>
      </c>
      <c r="G1759" s="131" t="s">
        <v>29</v>
      </c>
      <c r="H1759" s="126">
        <f>H1760</f>
        <v>0</v>
      </c>
      <c r="I1759" s="131">
        <v>430421480</v>
      </c>
      <c r="J1759" s="131" t="str">
        <f t="shared" si="296"/>
        <v>0430421480</v>
      </c>
      <c r="K1759" s="132"/>
      <c r="L1759" s="17"/>
      <c r="M1759" s="26">
        <v>7456.27</v>
      </c>
      <c r="N1759" s="26">
        <v>0</v>
      </c>
      <c r="O1759" s="26">
        <v>0</v>
      </c>
      <c r="P1759" s="26">
        <f>H1759-M1759</f>
        <v>-7456.27</v>
      </c>
      <c r="Q1759" s="26" t="e">
        <f>#REF!-N1759</f>
        <v>#REF!</v>
      </c>
      <c r="R1759" s="26" t="e">
        <f>#REF!-O1759</f>
        <v>#REF!</v>
      </c>
      <c r="S1759" s="17" t="str">
        <f>CONCATENATE(F1759,G1759)</f>
        <v>04 3 04 21480240</v>
      </c>
    </row>
    <row r="1760" spans="1:19" s="16" customFormat="1" ht="15.75">
      <c r="A1760" s="14"/>
      <c r="B1760" s="125" t="s">
        <v>30</v>
      </c>
      <c r="C1760" s="130" t="s">
        <v>410</v>
      </c>
      <c r="D1760" s="131" t="s">
        <v>86</v>
      </c>
      <c r="E1760" s="131" t="s">
        <v>13</v>
      </c>
      <c r="F1760" s="131" t="s">
        <v>882</v>
      </c>
      <c r="G1760" s="131" t="s">
        <v>31</v>
      </c>
      <c r="H1760" s="126"/>
      <c r="I1760" s="131">
        <v>430421480</v>
      </c>
      <c r="J1760" s="131" t="str">
        <f t="shared" si="296"/>
        <v>0430421480</v>
      </c>
      <c r="K1760" s="304" t="str">
        <f>C1760&amp;D1760&amp;E1760&amp;J1760&amp;G1760</f>
        <v>62005030430421480244</v>
      </c>
      <c r="L1760" s="17"/>
      <c r="M1760" s="26"/>
      <c r="N1760" s="26"/>
      <c r="O1760" s="26"/>
      <c r="P1760" s="26"/>
      <c r="Q1760" s="26"/>
      <c r="R1760" s="26"/>
      <c r="S1760" s="17"/>
    </row>
    <row r="1761" spans="1:19" s="16" customFormat="1" ht="47.25">
      <c r="A1761" s="14"/>
      <c r="B1761" s="125" t="s">
        <v>1144</v>
      </c>
      <c r="C1761" s="130" t="s">
        <v>410</v>
      </c>
      <c r="D1761" s="131" t="s">
        <v>86</v>
      </c>
      <c r="E1761" s="131" t="s">
        <v>13</v>
      </c>
      <c r="F1761" s="131" t="s">
        <v>1145</v>
      </c>
      <c r="G1761" s="131" t="s">
        <v>9</v>
      </c>
      <c r="H1761" s="105">
        <f>H1762</f>
        <v>0</v>
      </c>
      <c r="I1761" s="131">
        <v>430477241</v>
      </c>
      <c r="J1761" s="131" t="str">
        <f t="shared" si="296"/>
        <v>0430477241</v>
      </c>
      <c r="K1761" s="17"/>
      <c r="L1761" s="17"/>
      <c r="M1761" s="26"/>
      <c r="N1761" s="26"/>
      <c r="O1761" s="26"/>
      <c r="P1761" s="26"/>
      <c r="Q1761" s="26"/>
      <c r="R1761" s="26"/>
      <c r="S1761" s="17"/>
    </row>
    <row r="1762" spans="1:19" s="16" customFormat="1" ht="15.75">
      <c r="A1762" s="14"/>
      <c r="B1762" s="125" t="s">
        <v>837</v>
      </c>
      <c r="C1762" s="109" t="s">
        <v>410</v>
      </c>
      <c r="D1762" s="108" t="s">
        <v>86</v>
      </c>
      <c r="E1762" s="108" t="s">
        <v>13</v>
      </c>
      <c r="F1762" s="108" t="s">
        <v>1145</v>
      </c>
      <c r="G1762" s="108" t="s">
        <v>838</v>
      </c>
      <c r="H1762" s="126">
        <f>H1763</f>
        <v>0</v>
      </c>
      <c r="I1762" s="108">
        <v>430477241</v>
      </c>
      <c r="J1762" s="108" t="str">
        <f t="shared" si="296"/>
        <v>0430477241</v>
      </c>
      <c r="K1762" s="17"/>
      <c r="L1762" s="17"/>
      <c r="M1762" s="20"/>
      <c r="N1762" s="20"/>
      <c r="O1762" s="20"/>
      <c r="P1762" s="20"/>
      <c r="Q1762" s="20"/>
      <c r="R1762" s="20"/>
      <c r="S1762" s="17"/>
    </row>
    <row r="1763" spans="1:19" s="16" customFormat="1" ht="47.25">
      <c r="A1763" s="14"/>
      <c r="B1763" s="125" t="s">
        <v>839</v>
      </c>
      <c r="C1763" s="109" t="s">
        <v>410</v>
      </c>
      <c r="D1763" s="108" t="s">
        <v>86</v>
      </c>
      <c r="E1763" s="108" t="s">
        <v>13</v>
      </c>
      <c r="F1763" s="108" t="s">
        <v>1145</v>
      </c>
      <c r="G1763" s="108" t="s">
        <v>840</v>
      </c>
      <c r="H1763" s="126"/>
      <c r="I1763" s="108">
        <v>430477241</v>
      </c>
      <c r="J1763" s="108" t="str">
        <f t="shared" si="296"/>
        <v>0430477241</v>
      </c>
      <c r="K1763" s="304" t="str">
        <f>C1763&amp;D1763&amp;E1763&amp;J1763&amp;G1763</f>
        <v>62005030430477241414</v>
      </c>
      <c r="L1763" s="17"/>
      <c r="M1763" s="20"/>
      <c r="N1763" s="20"/>
      <c r="O1763" s="20"/>
      <c r="P1763" s="20"/>
      <c r="Q1763" s="20"/>
      <c r="R1763" s="20"/>
      <c r="S1763" s="17"/>
    </row>
    <row r="1764" spans="1:19" s="16" customFormat="1" ht="47.25">
      <c r="A1764" s="14"/>
      <c r="B1764" s="125" t="s">
        <v>1063</v>
      </c>
      <c r="C1764" s="130" t="s">
        <v>410</v>
      </c>
      <c r="D1764" s="131" t="s">
        <v>86</v>
      </c>
      <c r="E1764" s="131" t="s">
        <v>13</v>
      </c>
      <c r="F1764" s="131" t="s">
        <v>1064</v>
      </c>
      <c r="G1764" s="131" t="s">
        <v>9</v>
      </c>
      <c r="H1764" s="105">
        <f>H1765</f>
        <v>0</v>
      </c>
      <c r="I1764" s="131" t="s">
        <v>1239</v>
      </c>
      <c r="J1764" s="131" t="str">
        <f t="shared" si="296"/>
        <v>04304S7241</v>
      </c>
      <c r="K1764" s="132"/>
      <c r="L1764" s="17"/>
      <c r="M1764" s="26"/>
      <c r="N1764" s="26"/>
      <c r="O1764" s="26"/>
      <c r="P1764" s="26"/>
      <c r="Q1764" s="26"/>
      <c r="R1764" s="26"/>
      <c r="S1764" s="17"/>
    </row>
    <row r="1765" spans="1:19" s="16" customFormat="1" ht="15.75">
      <c r="A1765" s="14"/>
      <c r="B1765" s="125" t="s">
        <v>837</v>
      </c>
      <c r="C1765" s="130" t="s">
        <v>410</v>
      </c>
      <c r="D1765" s="131" t="s">
        <v>86</v>
      </c>
      <c r="E1765" s="131" t="s">
        <v>13</v>
      </c>
      <c r="F1765" s="131" t="s">
        <v>1064</v>
      </c>
      <c r="G1765" s="109" t="s">
        <v>838</v>
      </c>
      <c r="H1765" s="126">
        <f>H1766</f>
        <v>0</v>
      </c>
      <c r="I1765" s="131" t="s">
        <v>1239</v>
      </c>
      <c r="J1765" s="131" t="str">
        <f t="shared" si="296"/>
        <v>04304S7241</v>
      </c>
      <c r="K1765" s="132"/>
      <c r="L1765" s="17"/>
      <c r="M1765" s="26"/>
      <c r="N1765" s="26"/>
      <c r="O1765" s="26"/>
      <c r="P1765" s="26"/>
      <c r="Q1765" s="26"/>
      <c r="R1765" s="26"/>
      <c r="S1765" s="17"/>
    </row>
    <row r="1766" spans="1:19" s="16" customFormat="1" ht="47.25">
      <c r="A1766" s="14"/>
      <c r="B1766" s="125" t="s">
        <v>839</v>
      </c>
      <c r="C1766" s="130" t="s">
        <v>410</v>
      </c>
      <c r="D1766" s="131" t="s">
        <v>86</v>
      </c>
      <c r="E1766" s="131" t="s">
        <v>13</v>
      </c>
      <c r="F1766" s="131" t="s">
        <v>1064</v>
      </c>
      <c r="G1766" s="109" t="s">
        <v>840</v>
      </c>
      <c r="H1766" s="126"/>
      <c r="I1766" s="131" t="s">
        <v>1239</v>
      </c>
      <c r="J1766" s="131" t="str">
        <f t="shared" si="296"/>
        <v>04304S7241</v>
      </c>
      <c r="K1766" s="304" t="str">
        <f>C1766&amp;D1766&amp;E1766&amp;J1766&amp;G1766</f>
        <v>620050304304S7241414</v>
      </c>
      <c r="L1766" s="17"/>
      <c r="M1766" s="26"/>
      <c r="N1766" s="26"/>
      <c r="O1766" s="26"/>
      <c r="P1766" s="26"/>
      <c r="Q1766" s="26"/>
      <c r="R1766" s="26"/>
      <c r="S1766" s="17"/>
    </row>
    <row r="1767" spans="1:19" s="16" customFormat="1" ht="47.25">
      <c r="A1767" s="14"/>
      <c r="B1767" s="125" t="s">
        <v>430</v>
      </c>
      <c r="C1767" s="131" t="s">
        <v>410</v>
      </c>
      <c r="D1767" s="131" t="s">
        <v>86</v>
      </c>
      <c r="E1767" s="131" t="s">
        <v>13</v>
      </c>
      <c r="F1767" s="131" t="s">
        <v>431</v>
      </c>
      <c r="G1767" s="131" t="s">
        <v>9</v>
      </c>
      <c r="H1767" s="172">
        <f>H1768</f>
        <v>0</v>
      </c>
      <c r="I1767" s="131">
        <v>1700000000</v>
      </c>
      <c r="J1767" s="131" t="str">
        <f t="shared" si="296"/>
        <v>1700000000</v>
      </c>
      <c r="K1767" s="132"/>
      <c r="L1767" s="17"/>
      <c r="M1767" s="53">
        <v>3385.52</v>
      </c>
      <c r="N1767" s="53">
        <v>3385.52</v>
      </c>
      <c r="O1767" s="53">
        <v>3385.52</v>
      </c>
      <c r="P1767" s="53">
        <f>'[1]прил. 1.СБР (2018)'!G424-M1767</f>
        <v>19996614.48</v>
      </c>
      <c r="Q1767" s="53" t="e">
        <f>#REF!-N1767</f>
        <v>#REF!</v>
      </c>
      <c r="R1767" s="53" t="e">
        <f>#REF!-O1767</f>
        <v>#REF!</v>
      </c>
      <c r="S1767" s="17" t="str">
        <f>CONCATENATE('[1]прил. 1.СБР (2018)'!E424,'[1]прил. 1.СБР (2018)'!F424)</f>
        <v>04 2 01 00000000</v>
      </c>
    </row>
    <row r="1768" spans="1:19" s="16" customFormat="1" ht="47.25">
      <c r="A1768" s="14"/>
      <c r="B1768" s="129" t="s">
        <v>432</v>
      </c>
      <c r="C1768" s="131" t="s">
        <v>410</v>
      </c>
      <c r="D1768" s="131" t="s">
        <v>86</v>
      </c>
      <c r="E1768" s="131" t="s">
        <v>13</v>
      </c>
      <c r="F1768" s="131" t="s">
        <v>433</v>
      </c>
      <c r="G1768" s="131" t="s">
        <v>9</v>
      </c>
      <c r="H1768" s="172">
        <f>H1769</f>
        <v>0</v>
      </c>
      <c r="I1768" s="131" t="s">
        <v>1198</v>
      </c>
      <c r="J1768" s="131" t="str">
        <f t="shared" si="296"/>
        <v>17Б0000000</v>
      </c>
      <c r="K1768" s="132"/>
      <c r="L1768" s="17"/>
      <c r="M1768" s="53">
        <v>3385.52</v>
      </c>
      <c r="N1768" s="53">
        <v>3385.52</v>
      </c>
      <c r="O1768" s="53">
        <v>3385.52</v>
      </c>
      <c r="P1768" s="53">
        <f>'[1]прил. 1.СБР (2018)'!G425-M1768</f>
        <v>19996614.48</v>
      </c>
      <c r="Q1768" s="53" t="e">
        <f>#REF!-N1768</f>
        <v>#REF!</v>
      </c>
      <c r="R1768" s="53" t="e">
        <f>#REF!-O1768</f>
        <v>#REF!</v>
      </c>
      <c r="S1768" s="17" t="str">
        <f>CONCATENATE('[1]прил. 1.СБР (2018)'!E425,'[1]прил. 1.СБР (2018)'!F425)</f>
        <v>04 2 01 60070000</v>
      </c>
    </row>
    <row r="1769" spans="1:19" s="16" customFormat="1" ht="47.25">
      <c r="A1769" s="14"/>
      <c r="B1769" s="129" t="s">
        <v>883</v>
      </c>
      <c r="C1769" s="131" t="s">
        <v>410</v>
      </c>
      <c r="D1769" s="131" t="s">
        <v>86</v>
      </c>
      <c r="E1769" s="131" t="s">
        <v>13</v>
      </c>
      <c r="F1769" s="131" t="s">
        <v>884</v>
      </c>
      <c r="G1769" s="131" t="s">
        <v>9</v>
      </c>
      <c r="H1769" s="172">
        <f>H1770</f>
        <v>0</v>
      </c>
      <c r="I1769" s="131" t="s">
        <v>1240</v>
      </c>
      <c r="J1769" s="131" t="str">
        <f t="shared" si="296"/>
        <v>17Б0200000</v>
      </c>
      <c r="K1769" s="132"/>
      <c r="L1769" s="17"/>
      <c r="M1769" s="53">
        <v>3385.52</v>
      </c>
      <c r="N1769" s="53">
        <v>3385.52</v>
      </c>
      <c r="O1769" s="53">
        <v>3385.52</v>
      </c>
      <c r="P1769" s="53">
        <f>'[1]прил. 1.СБР (2018)'!G426-M1769</f>
        <v>19996614.48</v>
      </c>
      <c r="Q1769" s="53" t="e">
        <f>#REF!-N1769</f>
        <v>#REF!</v>
      </c>
      <c r="R1769" s="53" t="e">
        <f>#REF!-O1769</f>
        <v>#REF!</v>
      </c>
      <c r="S1769" s="17" t="str">
        <f>CONCATENATE('[1]прил. 1.СБР (2018)'!E426,'[1]прил. 1.СБР (2018)'!F426)</f>
        <v>04 2 01 60070810</v>
      </c>
    </row>
    <row r="1770" spans="1:19" s="16" customFormat="1" ht="47.25">
      <c r="A1770" s="14"/>
      <c r="B1770" s="132" t="s">
        <v>436</v>
      </c>
      <c r="C1770" s="108" t="s">
        <v>410</v>
      </c>
      <c r="D1770" s="108" t="s">
        <v>86</v>
      </c>
      <c r="E1770" s="108" t="s">
        <v>13</v>
      </c>
      <c r="F1770" s="108" t="s">
        <v>885</v>
      </c>
      <c r="G1770" s="108" t="s">
        <v>9</v>
      </c>
      <c r="H1770" s="173">
        <f>H1771</f>
        <v>0</v>
      </c>
      <c r="I1770" s="108" t="s">
        <v>1241</v>
      </c>
      <c r="J1770" s="108" t="str">
        <f t="shared" si="296"/>
        <v>17Б0220490</v>
      </c>
      <c r="K1770" s="132"/>
      <c r="L1770" s="17"/>
      <c r="M1770" s="64">
        <v>3385.52</v>
      </c>
      <c r="N1770" s="64">
        <v>3385.52</v>
      </c>
      <c r="O1770" s="64">
        <v>3385.52</v>
      </c>
      <c r="P1770" s="64">
        <f>'[1]прил. 1.СБР (2018)'!G427-M1770</f>
        <v>19996614.48</v>
      </c>
      <c r="Q1770" s="64" t="e">
        <f>#REF!-N1770</f>
        <v>#REF!</v>
      </c>
      <c r="R1770" s="64" t="e">
        <f>#REF!-O1770</f>
        <v>#REF!</v>
      </c>
      <c r="S1770" s="17" t="str">
        <f>CONCATENATE('[1]прил. 1.СБР (2018)'!E427,'[1]прил. 1.СБР (2018)'!F427)</f>
        <v>04 2 01 60070812</v>
      </c>
    </row>
    <row r="1771" spans="1:19" s="16" customFormat="1" ht="31.5">
      <c r="A1771" s="14"/>
      <c r="B1771" s="125" t="s">
        <v>28</v>
      </c>
      <c r="C1771" s="108" t="s">
        <v>410</v>
      </c>
      <c r="D1771" s="108" t="s">
        <v>86</v>
      </c>
      <c r="E1771" s="108" t="s">
        <v>13</v>
      </c>
      <c r="F1771" s="108" t="s">
        <v>885</v>
      </c>
      <c r="G1771" s="108" t="s">
        <v>29</v>
      </c>
      <c r="H1771" s="126">
        <f>H1772</f>
        <v>0</v>
      </c>
      <c r="I1771" s="108" t="s">
        <v>1241</v>
      </c>
      <c r="J1771" s="108" t="str">
        <f t="shared" si="296"/>
        <v>17Б0220490</v>
      </c>
      <c r="K1771" s="132"/>
      <c r="L1771" s="17"/>
      <c r="M1771" s="64">
        <v>3385.52</v>
      </c>
      <c r="N1771" s="64">
        <v>3385.52</v>
      </c>
      <c r="O1771" s="64">
        <v>3385.52</v>
      </c>
      <c r="P1771" s="64">
        <f>'[1]прил. 1.СБР (2018)'!G428-M1771</f>
        <v>-3175.52</v>
      </c>
      <c r="Q1771" s="64" t="e">
        <f>#REF!-N1771</f>
        <v>#REF!</v>
      </c>
      <c r="R1771" s="64" t="e">
        <f>#REF!-O1771</f>
        <v>#REF!</v>
      </c>
      <c r="S1771" s="17" t="str">
        <f>CONCATENATE('[1]прил. 1.СБР (2018)'!E428,'[1]прил. 1.СБР (2018)'!F428)</f>
        <v>98 0 00 00000000</v>
      </c>
    </row>
    <row r="1772" spans="1:19" s="16" customFormat="1" ht="15.75">
      <c r="A1772" s="14"/>
      <c r="B1772" s="125" t="s">
        <v>30</v>
      </c>
      <c r="C1772" s="108" t="s">
        <v>410</v>
      </c>
      <c r="D1772" s="108" t="s">
        <v>86</v>
      </c>
      <c r="E1772" s="108" t="s">
        <v>13</v>
      </c>
      <c r="F1772" s="108" t="s">
        <v>885</v>
      </c>
      <c r="G1772" s="108" t="s">
        <v>31</v>
      </c>
      <c r="H1772" s="126"/>
      <c r="I1772" s="108" t="s">
        <v>1241</v>
      </c>
      <c r="J1772" s="108" t="str">
        <f t="shared" si="296"/>
        <v>17Б0220490</v>
      </c>
      <c r="K1772" s="304" t="str">
        <f>C1772&amp;D1772&amp;E1772&amp;J1772&amp;G1772</f>
        <v>620050317Б0220490244</v>
      </c>
      <c r="L1772" s="17"/>
      <c r="M1772" s="64"/>
      <c r="N1772" s="64"/>
      <c r="O1772" s="64"/>
      <c r="P1772" s="64"/>
      <c r="Q1772" s="64"/>
      <c r="R1772" s="64"/>
      <c r="S1772" s="17"/>
    </row>
    <row r="1773" spans="1:19" s="16" customFormat="1" ht="47.25">
      <c r="A1773" s="14"/>
      <c r="B1773" s="125" t="s">
        <v>886</v>
      </c>
      <c r="C1773" s="108" t="s">
        <v>410</v>
      </c>
      <c r="D1773" s="108" t="s">
        <v>86</v>
      </c>
      <c r="E1773" s="108" t="s">
        <v>13</v>
      </c>
      <c r="F1773" s="108" t="s">
        <v>887</v>
      </c>
      <c r="G1773" s="108" t="s">
        <v>9</v>
      </c>
      <c r="H1773" s="163">
        <f>H1774</f>
        <v>0</v>
      </c>
      <c r="I1773" s="108">
        <v>2000000000</v>
      </c>
      <c r="J1773" s="108" t="str">
        <f t="shared" si="296"/>
        <v>2000000000</v>
      </c>
      <c r="K1773" s="132"/>
      <c r="L1773" s="17"/>
      <c r="M1773" s="64">
        <v>6270.1100000000006</v>
      </c>
      <c r="N1773" s="64">
        <v>9180.16</v>
      </c>
      <c r="O1773" s="64">
        <v>12090.21</v>
      </c>
      <c r="P1773" s="64">
        <f>H1773-M1773</f>
        <v>-6270.1100000000006</v>
      </c>
      <c r="Q1773" s="64" t="e">
        <f>#REF!-N1773</f>
        <v>#REF!</v>
      </c>
      <c r="R1773" s="64" t="e">
        <f>#REF!-O1773</f>
        <v>#REF!</v>
      </c>
      <c r="S1773" s="17" t="str">
        <f>CONCATENATE(F1773,G1773)</f>
        <v>20 0 00 00000000</v>
      </c>
    </row>
    <row r="1774" spans="1:19" s="16" customFormat="1" ht="47.25">
      <c r="A1774" s="14"/>
      <c r="B1774" s="125" t="s">
        <v>888</v>
      </c>
      <c r="C1774" s="108" t="s">
        <v>410</v>
      </c>
      <c r="D1774" s="108" t="s">
        <v>86</v>
      </c>
      <c r="E1774" s="108" t="s">
        <v>13</v>
      </c>
      <c r="F1774" s="108" t="s">
        <v>889</v>
      </c>
      <c r="G1774" s="108" t="s">
        <v>9</v>
      </c>
      <c r="H1774" s="163">
        <f>H1775+H1779+H1783</f>
        <v>0</v>
      </c>
      <c r="I1774" s="108" t="s">
        <v>1242</v>
      </c>
      <c r="J1774" s="108" t="str">
        <f t="shared" si="296"/>
        <v>20Б0000000</v>
      </c>
      <c r="K1774" s="132"/>
      <c r="L1774" s="17"/>
      <c r="M1774" s="64">
        <v>6270.1100000000006</v>
      </c>
      <c r="N1774" s="64">
        <v>9180.16</v>
      </c>
      <c r="O1774" s="64">
        <v>12090.21</v>
      </c>
      <c r="P1774" s="64">
        <f>H1774-M1774</f>
        <v>-6270.1100000000006</v>
      </c>
      <c r="Q1774" s="64" t="e">
        <f>#REF!-N1774</f>
        <v>#REF!</v>
      </c>
      <c r="R1774" s="64" t="e">
        <f>#REF!-O1774</f>
        <v>#REF!</v>
      </c>
      <c r="S1774" s="17" t="str">
        <f>CONCATENATE(F1774,G1774)</f>
        <v>20 Б 00 00000000</v>
      </c>
    </row>
    <row r="1775" spans="1:19" s="16" customFormat="1" ht="31.5">
      <c r="A1775" s="14"/>
      <c r="B1775" s="125" t="s">
        <v>890</v>
      </c>
      <c r="C1775" s="108" t="s">
        <v>410</v>
      </c>
      <c r="D1775" s="108" t="s">
        <v>86</v>
      </c>
      <c r="E1775" s="108" t="s">
        <v>13</v>
      </c>
      <c r="F1775" s="108" t="s">
        <v>891</v>
      </c>
      <c r="G1775" s="108" t="s">
        <v>9</v>
      </c>
      <c r="H1775" s="163">
        <f>H1776</f>
        <v>0</v>
      </c>
      <c r="I1775" s="108" t="s">
        <v>1243</v>
      </c>
      <c r="J1775" s="108" t="str">
        <f t="shared" si="296"/>
        <v>20Б0100000</v>
      </c>
      <c r="K1775" s="132"/>
      <c r="L1775" s="17"/>
      <c r="M1775" s="64">
        <v>3880.07</v>
      </c>
      <c r="N1775" s="64">
        <v>5820.1</v>
      </c>
      <c r="O1775" s="64">
        <v>7760.13</v>
      </c>
      <c r="P1775" s="64">
        <f>H1775-M1775</f>
        <v>-3880.07</v>
      </c>
      <c r="Q1775" s="64" t="e">
        <f>#REF!-N1775</f>
        <v>#REF!</v>
      </c>
      <c r="R1775" s="64" t="e">
        <f>#REF!-O1775</f>
        <v>#REF!</v>
      </c>
      <c r="S1775" s="17" t="str">
        <f>CONCATENATE(F1775,G1775)</f>
        <v>20 Б 01 00000000</v>
      </c>
    </row>
    <row r="1776" spans="1:19" s="16" customFormat="1" ht="31.5">
      <c r="A1776" s="14"/>
      <c r="B1776" s="125" t="s">
        <v>892</v>
      </c>
      <c r="C1776" s="108" t="s">
        <v>410</v>
      </c>
      <c r="D1776" s="108" t="s">
        <v>86</v>
      </c>
      <c r="E1776" s="108" t="s">
        <v>13</v>
      </c>
      <c r="F1776" s="108" t="s">
        <v>893</v>
      </c>
      <c r="G1776" s="108" t="s">
        <v>9</v>
      </c>
      <c r="H1776" s="163">
        <f>H1777</f>
        <v>0</v>
      </c>
      <c r="I1776" s="108" t="s">
        <v>1244</v>
      </c>
      <c r="J1776" s="108" t="str">
        <f t="shared" si="296"/>
        <v>20Б01L5550</v>
      </c>
      <c r="K1776" s="132"/>
      <c r="L1776" s="17"/>
      <c r="M1776" s="64">
        <v>3880.07</v>
      </c>
      <c r="N1776" s="64">
        <v>5820.1</v>
      </c>
      <c r="O1776" s="64">
        <v>7760.13</v>
      </c>
      <c r="P1776" s="64">
        <f>H1776-M1776</f>
        <v>-3880.07</v>
      </c>
      <c r="Q1776" s="64" t="e">
        <f>#REF!-N1776</f>
        <v>#REF!</v>
      </c>
      <c r="R1776" s="64" t="e">
        <f>#REF!-O1776</f>
        <v>#REF!</v>
      </c>
      <c r="S1776" s="17" t="str">
        <f>CONCATENATE(F1776,G1776)</f>
        <v>20 Б 01 L5550000</v>
      </c>
    </row>
    <row r="1777" spans="1:19" s="16" customFormat="1" ht="31.5">
      <c r="A1777" s="14"/>
      <c r="B1777" s="125" t="s">
        <v>28</v>
      </c>
      <c r="C1777" s="108" t="s">
        <v>410</v>
      </c>
      <c r="D1777" s="108" t="s">
        <v>86</v>
      </c>
      <c r="E1777" s="108" t="s">
        <v>13</v>
      </c>
      <c r="F1777" s="108" t="s">
        <v>893</v>
      </c>
      <c r="G1777" s="108" t="s">
        <v>29</v>
      </c>
      <c r="H1777" s="126">
        <f>H1778</f>
        <v>0</v>
      </c>
      <c r="I1777" s="108" t="s">
        <v>1244</v>
      </c>
      <c r="J1777" s="108" t="str">
        <f t="shared" ref="J1777:J1840" si="304">TEXT(I1777,"0000000000")</f>
        <v>20Б01L5550</v>
      </c>
      <c r="K1777" s="132"/>
      <c r="L1777" s="17"/>
      <c r="M1777" s="32">
        <v>3880.07</v>
      </c>
      <c r="N1777" s="32">
        <v>5820.1</v>
      </c>
      <c r="O1777" s="32">
        <v>7760.13</v>
      </c>
      <c r="P1777" s="32">
        <f>H1777-M1777</f>
        <v>-3880.07</v>
      </c>
      <c r="Q1777" s="32" t="e">
        <f>#REF!-N1777</f>
        <v>#REF!</v>
      </c>
      <c r="R1777" s="32" t="e">
        <f>#REF!-O1777</f>
        <v>#REF!</v>
      </c>
      <c r="S1777" s="17" t="str">
        <f>CONCATENATE(F1777,G1777)</f>
        <v>20 Б 01 L5550240</v>
      </c>
    </row>
    <row r="1778" spans="1:19" s="16" customFormat="1" ht="15.75">
      <c r="A1778" s="14"/>
      <c r="B1778" s="125" t="s">
        <v>30</v>
      </c>
      <c r="C1778" s="108" t="s">
        <v>410</v>
      </c>
      <c r="D1778" s="108" t="s">
        <v>86</v>
      </c>
      <c r="E1778" s="108" t="s">
        <v>13</v>
      </c>
      <c r="F1778" s="108" t="s">
        <v>893</v>
      </c>
      <c r="G1778" s="108" t="s">
        <v>31</v>
      </c>
      <c r="H1778" s="126"/>
      <c r="I1778" s="108" t="s">
        <v>1244</v>
      </c>
      <c r="J1778" s="108" t="str">
        <f t="shared" si="304"/>
        <v>20Б01L5550</v>
      </c>
      <c r="K1778" s="304" t="str">
        <f>C1778&amp;D1778&amp;E1778&amp;J1778&amp;G1778</f>
        <v>620050320Б01L5550244</v>
      </c>
      <c r="L1778" s="17"/>
      <c r="M1778" s="32"/>
      <c r="N1778" s="32"/>
      <c r="O1778" s="32"/>
      <c r="P1778" s="32"/>
      <c r="Q1778" s="32"/>
      <c r="R1778" s="32"/>
      <c r="S1778" s="17"/>
    </row>
    <row r="1779" spans="1:19" s="16" customFormat="1" ht="31.5">
      <c r="A1779" s="14"/>
      <c r="B1779" s="125" t="s">
        <v>894</v>
      </c>
      <c r="C1779" s="108" t="s">
        <v>410</v>
      </c>
      <c r="D1779" s="108" t="s">
        <v>86</v>
      </c>
      <c r="E1779" s="108" t="s">
        <v>13</v>
      </c>
      <c r="F1779" s="108" t="s">
        <v>895</v>
      </c>
      <c r="G1779" s="108" t="s">
        <v>9</v>
      </c>
      <c r="H1779" s="163">
        <f>H1780</f>
        <v>0</v>
      </c>
      <c r="I1779" s="108" t="s">
        <v>1245</v>
      </c>
      <c r="J1779" s="108" t="str">
        <f t="shared" si="304"/>
        <v>20Б0200000</v>
      </c>
      <c r="K1779" s="132"/>
      <c r="L1779" s="17"/>
      <c r="M1779" s="64">
        <v>1940.04</v>
      </c>
      <c r="N1779" s="64">
        <v>2910.06</v>
      </c>
      <c r="O1779" s="64">
        <v>3880.08</v>
      </c>
      <c r="P1779" s="64">
        <f>H1779-M1779</f>
        <v>-1940.04</v>
      </c>
      <c r="Q1779" s="64" t="e">
        <f>#REF!-N1779</f>
        <v>#REF!</v>
      </c>
      <c r="R1779" s="64" t="e">
        <f>#REF!-O1779</f>
        <v>#REF!</v>
      </c>
      <c r="S1779" s="17" t="str">
        <f>CONCATENATE(F1779,G1779)</f>
        <v>20 Б 02 00000000</v>
      </c>
    </row>
    <row r="1780" spans="1:19" s="16" customFormat="1" ht="31.5">
      <c r="A1780" s="14"/>
      <c r="B1780" s="125" t="s">
        <v>892</v>
      </c>
      <c r="C1780" s="108" t="s">
        <v>410</v>
      </c>
      <c r="D1780" s="108" t="s">
        <v>86</v>
      </c>
      <c r="E1780" s="108" t="s">
        <v>13</v>
      </c>
      <c r="F1780" s="108" t="s">
        <v>896</v>
      </c>
      <c r="G1780" s="108" t="s">
        <v>9</v>
      </c>
      <c r="H1780" s="163">
        <f>H1781</f>
        <v>0</v>
      </c>
      <c r="I1780" s="108" t="s">
        <v>1246</v>
      </c>
      <c r="J1780" s="108" t="str">
        <f t="shared" si="304"/>
        <v>20Б02L5550</v>
      </c>
      <c r="K1780" s="132"/>
      <c r="L1780" s="17"/>
      <c r="M1780" s="64">
        <v>1940.04</v>
      </c>
      <c r="N1780" s="64">
        <v>2910.06</v>
      </c>
      <c r="O1780" s="64">
        <v>3880.08</v>
      </c>
      <c r="P1780" s="64">
        <f>H1780-M1780</f>
        <v>-1940.04</v>
      </c>
      <c r="Q1780" s="64" t="e">
        <f>#REF!-N1780</f>
        <v>#REF!</v>
      </c>
      <c r="R1780" s="64" t="e">
        <f>#REF!-O1780</f>
        <v>#REF!</v>
      </c>
      <c r="S1780" s="17" t="str">
        <f>CONCATENATE(F1780,G1780)</f>
        <v>20 Б 02 L5550000</v>
      </c>
    </row>
    <row r="1781" spans="1:19" s="16" customFormat="1" ht="31.5">
      <c r="A1781" s="14"/>
      <c r="B1781" s="125" t="s">
        <v>28</v>
      </c>
      <c r="C1781" s="108" t="s">
        <v>410</v>
      </c>
      <c r="D1781" s="108" t="s">
        <v>86</v>
      </c>
      <c r="E1781" s="108" t="s">
        <v>13</v>
      </c>
      <c r="F1781" s="108" t="s">
        <v>896</v>
      </c>
      <c r="G1781" s="108" t="s">
        <v>29</v>
      </c>
      <c r="H1781" s="126">
        <f>H1782</f>
        <v>0</v>
      </c>
      <c r="I1781" s="108" t="s">
        <v>1246</v>
      </c>
      <c r="J1781" s="108" t="str">
        <f t="shared" si="304"/>
        <v>20Б02L5550</v>
      </c>
      <c r="K1781" s="132"/>
      <c r="L1781" s="17"/>
      <c r="M1781" s="32">
        <v>1940.04</v>
      </c>
      <c r="N1781" s="32">
        <v>2910.06</v>
      </c>
      <c r="O1781" s="32">
        <v>3880.08</v>
      </c>
      <c r="P1781" s="32">
        <f>H1781-M1781</f>
        <v>-1940.04</v>
      </c>
      <c r="Q1781" s="32" t="e">
        <f>#REF!-N1781</f>
        <v>#REF!</v>
      </c>
      <c r="R1781" s="32" t="e">
        <f>#REF!-O1781</f>
        <v>#REF!</v>
      </c>
      <c r="S1781" s="17" t="str">
        <f>CONCATENATE(F1781,G1781)</f>
        <v>20 Б 02 L5550240</v>
      </c>
    </row>
    <row r="1782" spans="1:19" s="16" customFormat="1" ht="15.75">
      <c r="A1782" s="14"/>
      <c r="B1782" s="125" t="s">
        <v>30</v>
      </c>
      <c r="C1782" s="108" t="s">
        <v>410</v>
      </c>
      <c r="D1782" s="108" t="s">
        <v>86</v>
      </c>
      <c r="E1782" s="108" t="s">
        <v>13</v>
      </c>
      <c r="F1782" s="108" t="s">
        <v>896</v>
      </c>
      <c r="G1782" s="108" t="s">
        <v>31</v>
      </c>
      <c r="H1782" s="126"/>
      <c r="I1782" s="108" t="s">
        <v>1246</v>
      </c>
      <c r="J1782" s="108" t="str">
        <f t="shared" si="304"/>
        <v>20Б02L5550</v>
      </c>
      <c r="K1782" s="304" t="str">
        <f>C1782&amp;D1782&amp;E1782&amp;J1782&amp;G1782</f>
        <v>620050320Б02L5550244</v>
      </c>
      <c r="L1782" s="17"/>
      <c r="M1782" s="32"/>
      <c r="N1782" s="32"/>
      <c r="O1782" s="32"/>
      <c r="P1782" s="32"/>
      <c r="Q1782" s="32"/>
      <c r="R1782" s="32"/>
      <c r="S1782" s="17"/>
    </row>
    <row r="1783" spans="1:19" s="16" customFormat="1" ht="78.75">
      <c r="A1783" s="14"/>
      <c r="B1783" s="125" t="s">
        <v>1067</v>
      </c>
      <c r="C1783" s="108" t="s">
        <v>410</v>
      </c>
      <c r="D1783" s="108" t="s">
        <v>86</v>
      </c>
      <c r="E1783" s="108" t="s">
        <v>13</v>
      </c>
      <c r="F1783" s="108" t="s">
        <v>898</v>
      </c>
      <c r="G1783" s="108" t="s">
        <v>9</v>
      </c>
      <c r="H1783" s="141">
        <f t="shared" ref="H1783:H1784" si="305">H1784</f>
        <v>0</v>
      </c>
      <c r="I1783" s="108" t="s">
        <v>1247</v>
      </c>
      <c r="J1783" s="108" t="str">
        <f t="shared" si="304"/>
        <v>20Б0300000</v>
      </c>
      <c r="K1783" s="132"/>
      <c r="L1783" s="17"/>
      <c r="M1783" s="32">
        <v>450</v>
      </c>
      <c r="N1783" s="32">
        <v>450</v>
      </c>
      <c r="O1783" s="32">
        <v>450</v>
      </c>
      <c r="P1783" s="32">
        <f>H1783-M1783</f>
        <v>-450</v>
      </c>
      <c r="Q1783" s="32" t="e">
        <f>#REF!-N1783</f>
        <v>#REF!</v>
      </c>
      <c r="R1783" s="32" t="e">
        <f>#REF!-O1783</f>
        <v>#REF!</v>
      </c>
      <c r="S1783" s="17" t="str">
        <f>CONCATENATE(F1783,G1783)</f>
        <v>20 Б 03 00000000</v>
      </c>
    </row>
    <row r="1784" spans="1:19" s="16" customFormat="1" ht="31.5">
      <c r="A1784" s="14"/>
      <c r="B1784" s="307" t="s">
        <v>542</v>
      </c>
      <c r="C1784" s="108" t="s">
        <v>410</v>
      </c>
      <c r="D1784" s="108" t="s">
        <v>86</v>
      </c>
      <c r="E1784" s="108" t="s">
        <v>13</v>
      </c>
      <c r="F1784" s="108" t="s">
        <v>899</v>
      </c>
      <c r="G1784" s="108" t="s">
        <v>9</v>
      </c>
      <c r="H1784" s="141">
        <f t="shared" si="305"/>
        <v>0</v>
      </c>
      <c r="I1784" s="108" t="s">
        <v>1248</v>
      </c>
      <c r="J1784" s="108" t="str">
        <f t="shared" si="304"/>
        <v>20Б0320300</v>
      </c>
      <c r="K1784" s="132"/>
      <c r="L1784" s="17"/>
      <c r="M1784" s="32">
        <v>450</v>
      </c>
      <c r="N1784" s="32">
        <v>450</v>
      </c>
      <c r="O1784" s="32">
        <v>450</v>
      </c>
      <c r="P1784" s="32">
        <f>H1784-M1784</f>
        <v>-450</v>
      </c>
      <c r="Q1784" s="32" t="e">
        <f>#REF!-N1784</f>
        <v>#REF!</v>
      </c>
      <c r="R1784" s="32" t="e">
        <f>#REF!-O1784</f>
        <v>#REF!</v>
      </c>
      <c r="S1784" s="17" t="str">
        <f>CONCATENATE(F1784,G1784)</f>
        <v>20 Б 03 20300000</v>
      </c>
    </row>
    <row r="1785" spans="1:19" s="16" customFormat="1" ht="31.5">
      <c r="A1785" s="14"/>
      <c r="B1785" s="307" t="s">
        <v>28</v>
      </c>
      <c r="C1785" s="108" t="s">
        <v>410</v>
      </c>
      <c r="D1785" s="108" t="s">
        <v>86</v>
      </c>
      <c r="E1785" s="108" t="s">
        <v>13</v>
      </c>
      <c r="F1785" s="108" t="s">
        <v>899</v>
      </c>
      <c r="G1785" s="108" t="s">
        <v>29</v>
      </c>
      <c r="H1785" s="126">
        <f>H1786</f>
        <v>0</v>
      </c>
      <c r="I1785" s="108" t="s">
        <v>1248</v>
      </c>
      <c r="J1785" s="108" t="str">
        <f t="shared" si="304"/>
        <v>20Б0320300</v>
      </c>
      <c r="K1785" s="132"/>
      <c r="L1785" s="17"/>
      <c r="M1785" s="32">
        <v>450</v>
      </c>
      <c r="N1785" s="32">
        <v>450</v>
      </c>
      <c r="O1785" s="32">
        <v>450</v>
      </c>
      <c r="P1785" s="32">
        <f>H1785-M1785</f>
        <v>-450</v>
      </c>
      <c r="Q1785" s="32" t="e">
        <f>#REF!-N1785</f>
        <v>#REF!</v>
      </c>
      <c r="R1785" s="32" t="e">
        <f>#REF!-O1785</f>
        <v>#REF!</v>
      </c>
      <c r="S1785" s="17" t="str">
        <f>CONCATENATE(F1785,G1785)</f>
        <v>20 Б 03 20300240</v>
      </c>
    </row>
    <row r="1786" spans="1:19" s="16" customFormat="1" ht="15.75">
      <c r="A1786" s="14"/>
      <c r="B1786" s="125" t="s">
        <v>30</v>
      </c>
      <c r="C1786" s="108" t="s">
        <v>410</v>
      </c>
      <c r="D1786" s="108" t="s">
        <v>86</v>
      </c>
      <c r="E1786" s="108" t="s">
        <v>13</v>
      </c>
      <c r="F1786" s="108" t="s">
        <v>899</v>
      </c>
      <c r="G1786" s="108" t="s">
        <v>31</v>
      </c>
      <c r="H1786" s="126"/>
      <c r="I1786" s="108" t="s">
        <v>1248</v>
      </c>
      <c r="J1786" s="108" t="str">
        <f t="shared" si="304"/>
        <v>20Б0320300</v>
      </c>
      <c r="K1786" s="304" t="str">
        <f>C1786&amp;D1786&amp;E1786&amp;J1786&amp;G1786</f>
        <v>620050320Б0320300244</v>
      </c>
      <c r="L1786" s="17"/>
      <c r="M1786" s="32"/>
      <c r="N1786" s="32"/>
      <c r="O1786" s="32"/>
      <c r="P1786" s="32"/>
      <c r="Q1786" s="32"/>
      <c r="R1786" s="32"/>
      <c r="S1786" s="17"/>
    </row>
    <row r="1787" spans="1:19" s="16" customFormat="1" ht="31.5">
      <c r="A1787" s="14"/>
      <c r="B1787" s="121" t="s">
        <v>313</v>
      </c>
      <c r="C1787" s="122" t="s">
        <v>410</v>
      </c>
      <c r="D1787" s="123" t="s">
        <v>86</v>
      </c>
      <c r="E1787" s="123" t="s">
        <v>86</v>
      </c>
      <c r="F1787" s="123" t="s">
        <v>8</v>
      </c>
      <c r="G1787" s="123" t="s">
        <v>9</v>
      </c>
      <c r="H1787" s="124">
        <f>H1788</f>
        <v>0</v>
      </c>
      <c r="I1787" s="123">
        <v>0</v>
      </c>
      <c r="J1787" s="123" t="str">
        <f t="shared" si="304"/>
        <v>0000000000</v>
      </c>
      <c r="K1787" s="132"/>
      <c r="L1787" s="17"/>
      <c r="M1787" s="19">
        <v>48258.450000000004</v>
      </c>
      <c r="N1787" s="19">
        <v>48258.450000000004</v>
      </c>
      <c r="O1787" s="19">
        <v>48258.450000000004</v>
      </c>
      <c r="P1787" s="19">
        <f>H1787-M1787</f>
        <v>-48258.450000000004</v>
      </c>
      <c r="Q1787" s="19" t="e">
        <f>#REF!-N1787</f>
        <v>#REF!</v>
      </c>
      <c r="R1787" s="19" t="e">
        <f>#REF!-O1787</f>
        <v>#REF!</v>
      </c>
      <c r="S1787" s="17" t="str">
        <f>CONCATENATE(F1787,G1787)</f>
        <v>00 0 00 00000000</v>
      </c>
    </row>
    <row r="1788" spans="1:19" s="16" customFormat="1" ht="31.5">
      <c r="A1788" s="14"/>
      <c r="B1788" s="125" t="s">
        <v>806</v>
      </c>
      <c r="C1788" s="108" t="s">
        <v>410</v>
      </c>
      <c r="D1788" s="108" t="s">
        <v>86</v>
      </c>
      <c r="E1788" s="108" t="s">
        <v>86</v>
      </c>
      <c r="F1788" s="108" t="s">
        <v>807</v>
      </c>
      <c r="G1788" s="108" t="s">
        <v>9</v>
      </c>
      <c r="H1788" s="163">
        <f>H1789</f>
        <v>0</v>
      </c>
      <c r="I1788" s="108">
        <v>8300000000</v>
      </c>
      <c r="J1788" s="108" t="str">
        <f t="shared" si="304"/>
        <v>8300000000</v>
      </c>
      <c r="K1788" s="132"/>
      <c r="L1788" s="17"/>
      <c r="M1788" s="64">
        <v>48258.450000000004</v>
      </c>
      <c r="N1788" s="64">
        <v>48258.450000000004</v>
      </c>
      <c r="O1788" s="64">
        <v>48258.450000000004</v>
      </c>
      <c r="P1788" s="64">
        <f>H1788-M1788</f>
        <v>-48258.450000000004</v>
      </c>
      <c r="Q1788" s="64" t="e">
        <f>#REF!-N1788</f>
        <v>#REF!</v>
      </c>
      <c r="R1788" s="64" t="e">
        <f>#REF!-O1788</f>
        <v>#REF!</v>
      </c>
      <c r="S1788" s="17" t="str">
        <f>CONCATENATE(F1788,G1788)</f>
        <v>83 0 00 00000000</v>
      </c>
    </row>
    <row r="1789" spans="1:19" s="16" customFormat="1" ht="47.25">
      <c r="A1789" s="14"/>
      <c r="B1789" s="125" t="s">
        <v>808</v>
      </c>
      <c r="C1789" s="108" t="s">
        <v>410</v>
      </c>
      <c r="D1789" s="108" t="s">
        <v>86</v>
      </c>
      <c r="E1789" s="108" t="s">
        <v>86</v>
      </c>
      <c r="F1789" s="108" t="s">
        <v>809</v>
      </c>
      <c r="G1789" s="108" t="s">
        <v>9</v>
      </c>
      <c r="H1789" s="163">
        <f>H1790+H1799</f>
        <v>0</v>
      </c>
      <c r="I1789" s="108">
        <v>8310000000</v>
      </c>
      <c r="J1789" s="108" t="str">
        <f t="shared" si="304"/>
        <v>8310000000</v>
      </c>
      <c r="K1789" s="132"/>
      <c r="L1789" s="17"/>
      <c r="M1789" s="64">
        <v>48258.450000000004</v>
      </c>
      <c r="N1789" s="64">
        <v>48258.450000000004</v>
      </c>
      <c r="O1789" s="64">
        <v>48258.450000000004</v>
      </c>
      <c r="P1789" s="64">
        <f>H1789-M1789</f>
        <v>-48258.450000000004</v>
      </c>
      <c r="Q1789" s="64" t="e">
        <f>#REF!-N1789</f>
        <v>#REF!</v>
      </c>
      <c r="R1789" s="64" t="e">
        <f>#REF!-O1789</f>
        <v>#REF!</v>
      </c>
      <c r="S1789" s="17" t="str">
        <f>CONCATENATE(F1789,G1789)</f>
        <v>83 1 00 00000000</v>
      </c>
    </row>
    <row r="1790" spans="1:19" s="16" customFormat="1" ht="31.5">
      <c r="A1790" s="14"/>
      <c r="B1790" s="125" t="s">
        <v>18</v>
      </c>
      <c r="C1790" s="108" t="s">
        <v>410</v>
      </c>
      <c r="D1790" s="108" t="s">
        <v>86</v>
      </c>
      <c r="E1790" s="108" t="s">
        <v>86</v>
      </c>
      <c r="F1790" s="108" t="s">
        <v>900</v>
      </c>
      <c r="G1790" s="108" t="s">
        <v>9</v>
      </c>
      <c r="H1790" s="163">
        <f>H1791+H1794+H1796</f>
        <v>0</v>
      </c>
      <c r="I1790" s="108">
        <v>8310010010</v>
      </c>
      <c r="J1790" s="108" t="str">
        <f t="shared" si="304"/>
        <v>8310010010</v>
      </c>
      <c r="K1790" s="132"/>
      <c r="L1790" s="17"/>
      <c r="M1790" s="64">
        <v>6747.7300000000005</v>
      </c>
      <c r="N1790" s="64">
        <v>6747.7300000000005</v>
      </c>
      <c r="O1790" s="64">
        <v>6747.7300000000005</v>
      </c>
      <c r="P1790" s="64">
        <f>H1790-M1790</f>
        <v>-6747.7300000000005</v>
      </c>
      <c r="Q1790" s="64" t="e">
        <f>#REF!-N1790</f>
        <v>#REF!</v>
      </c>
      <c r="R1790" s="64" t="e">
        <f>#REF!-O1790</f>
        <v>#REF!</v>
      </c>
      <c r="S1790" s="17" t="str">
        <f>CONCATENATE(F1790,G1790)</f>
        <v>83 1 00 10010000</v>
      </c>
    </row>
    <row r="1791" spans="1:19" s="16" customFormat="1" ht="31.5">
      <c r="A1791" s="14"/>
      <c r="B1791" s="127" t="s">
        <v>20</v>
      </c>
      <c r="C1791" s="108" t="s">
        <v>410</v>
      </c>
      <c r="D1791" s="108" t="s">
        <v>86</v>
      </c>
      <c r="E1791" s="108" t="s">
        <v>86</v>
      </c>
      <c r="F1791" s="108" t="s">
        <v>900</v>
      </c>
      <c r="G1791" s="108" t="s">
        <v>21</v>
      </c>
      <c r="H1791" s="126">
        <f>SUM(H1792:H1793)</f>
        <v>0</v>
      </c>
      <c r="I1791" s="108">
        <v>8310010010</v>
      </c>
      <c r="J1791" s="108" t="str">
        <f t="shared" si="304"/>
        <v>8310010010</v>
      </c>
      <c r="K1791" s="132"/>
      <c r="L1791" s="17"/>
      <c r="M1791" s="20">
        <v>1182.76</v>
      </c>
      <c r="N1791" s="20">
        <v>1182.76</v>
      </c>
      <c r="O1791" s="20">
        <v>1182.76</v>
      </c>
      <c r="P1791" s="20">
        <f>H1791-M1791</f>
        <v>-1182.76</v>
      </c>
      <c r="Q1791" s="20" t="e">
        <f>#REF!-N1791</f>
        <v>#REF!</v>
      </c>
      <c r="R1791" s="20" t="e">
        <f>#REF!-O1791</f>
        <v>#REF!</v>
      </c>
      <c r="S1791" s="17" t="str">
        <f>CONCATENATE(F1791,G1791)</f>
        <v>83 1 00 10010120</v>
      </c>
    </row>
    <row r="1792" spans="1:19" s="23" customFormat="1" ht="47.25">
      <c r="A1792" s="21"/>
      <c r="B1792" s="127" t="s">
        <v>22</v>
      </c>
      <c r="C1792" s="108" t="s">
        <v>410</v>
      </c>
      <c r="D1792" s="108" t="s">
        <v>86</v>
      </c>
      <c r="E1792" s="108" t="s">
        <v>86</v>
      </c>
      <c r="F1792" s="108" t="s">
        <v>900</v>
      </c>
      <c r="G1792" s="108" t="s">
        <v>23</v>
      </c>
      <c r="H1792" s="126"/>
      <c r="I1792" s="108">
        <v>8310010010</v>
      </c>
      <c r="J1792" s="108" t="str">
        <f t="shared" si="304"/>
        <v>8310010010</v>
      </c>
      <c r="K1792" s="304" t="str">
        <f t="shared" ref="K1792:K1793" si="306">C1792&amp;D1792&amp;E1792&amp;J1792&amp;G1792</f>
        <v>62005058310010010122</v>
      </c>
      <c r="L1792" s="24"/>
      <c r="M1792" s="22"/>
      <c r="N1792" s="22"/>
      <c r="O1792" s="22"/>
      <c r="P1792" s="22"/>
      <c r="Q1792" s="22"/>
      <c r="R1792" s="22"/>
      <c r="S1792" s="24"/>
    </row>
    <row r="1793" spans="1:19" s="23" customFormat="1" ht="63">
      <c r="A1793" s="21"/>
      <c r="B1793" s="127" t="s">
        <v>26</v>
      </c>
      <c r="C1793" s="108" t="s">
        <v>410</v>
      </c>
      <c r="D1793" s="108" t="s">
        <v>86</v>
      </c>
      <c r="E1793" s="108" t="s">
        <v>86</v>
      </c>
      <c r="F1793" s="108" t="s">
        <v>900</v>
      </c>
      <c r="G1793" s="108" t="s">
        <v>27</v>
      </c>
      <c r="H1793" s="126"/>
      <c r="I1793" s="108">
        <v>8310010010</v>
      </c>
      <c r="J1793" s="108" t="str">
        <f t="shared" si="304"/>
        <v>8310010010</v>
      </c>
      <c r="K1793" s="304" t="str">
        <f t="shared" si="306"/>
        <v>62005058310010010129</v>
      </c>
      <c r="L1793" s="24"/>
      <c r="M1793" s="22"/>
      <c r="N1793" s="22"/>
      <c r="O1793" s="22"/>
      <c r="P1793" s="22"/>
      <c r="Q1793" s="22"/>
      <c r="R1793" s="22"/>
      <c r="S1793" s="24"/>
    </row>
    <row r="1794" spans="1:19" s="16" customFormat="1" ht="31.5">
      <c r="A1794" s="14"/>
      <c r="B1794" s="125" t="s">
        <v>28</v>
      </c>
      <c r="C1794" s="108" t="s">
        <v>410</v>
      </c>
      <c r="D1794" s="108" t="s">
        <v>86</v>
      </c>
      <c r="E1794" s="108" t="s">
        <v>86</v>
      </c>
      <c r="F1794" s="108" t="s">
        <v>900</v>
      </c>
      <c r="G1794" s="108" t="s">
        <v>29</v>
      </c>
      <c r="H1794" s="126">
        <f>H1795</f>
        <v>0</v>
      </c>
      <c r="I1794" s="108">
        <v>8310010010</v>
      </c>
      <c r="J1794" s="108" t="str">
        <f t="shared" si="304"/>
        <v>8310010010</v>
      </c>
      <c r="K1794" s="132"/>
      <c r="L1794" s="17"/>
      <c r="M1794" s="20">
        <v>5455.97</v>
      </c>
      <c r="N1794" s="20">
        <v>5455.97</v>
      </c>
      <c r="O1794" s="20">
        <v>5455.97</v>
      </c>
      <c r="P1794" s="20">
        <f>H1794-M1794</f>
        <v>-5455.97</v>
      </c>
      <c r="Q1794" s="20" t="e">
        <f>#REF!-N1794</f>
        <v>#REF!</v>
      </c>
      <c r="R1794" s="20" t="e">
        <f>#REF!-O1794</f>
        <v>#REF!</v>
      </c>
      <c r="S1794" s="17" t="str">
        <f>CONCATENATE(F1794,G1794)</f>
        <v>83 1 00 10010240</v>
      </c>
    </row>
    <row r="1795" spans="1:19" s="16" customFormat="1" ht="15.75">
      <c r="A1795" s="14"/>
      <c r="B1795" s="125" t="s">
        <v>30</v>
      </c>
      <c r="C1795" s="108" t="s">
        <v>410</v>
      </c>
      <c r="D1795" s="108" t="s">
        <v>86</v>
      </c>
      <c r="E1795" s="108" t="s">
        <v>86</v>
      </c>
      <c r="F1795" s="108" t="s">
        <v>900</v>
      </c>
      <c r="G1795" s="108" t="s">
        <v>31</v>
      </c>
      <c r="H1795" s="126"/>
      <c r="I1795" s="108">
        <v>8310010010</v>
      </c>
      <c r="J1795" s="108" t="str">
        <f t="shared" si="304"/>
        <v>8310010010</v>
      </c>
      <c r="K1795" s="304" t="str">
        <f>C1795&amp;D1795&amp;E1795&amp;J1795&amp;G1795</f>
        <v>62005058310010010244</v>
      </c>
      <c r="L1795" s="17"/>
      <c r="M1795" s="20"/>
      <c r="N1795" s="20"/>
      <c r="O1795" s="20"/>
      <c r="P1795" s="20"/>
      <c r="Q1795" s="20"/>
      <c r="R1795" s="20"/>
      <c r="S1795" s="17"/>
    </row>
    <row r="1796" spans="1:19" s="16" customFormat="1" ht="15.75">
      <c r="A1796" s="14"/>
      <c r="B1796" s="125" t="s">
        <v>32</v>
      </c>
      <c r="C1796" s="108" t="s">
        <v>410</v>
      </c>
      <c r="D1796" s="108" t="s">
        <v>86</v>
      </c>
      <c r="E1796" s="108" t="s">
        <v>86</v>
      </c>
      <c r="F1796" s="108" t="s">
        <v>900</v>
      </c>
      <c r="G1796" s="108" t="s">
        <v>33</v>
      </c>
      <c r="H1796" s="126">
        <f>SUM(H1797:H1798)</f>
        <v>0</v>
      </c>
      <c r="I1796" s="108">
        <v>8310010010</v>
      </c>
      <c r="J1796" s="108" t="str">
        <f t="shared" si="304"/>
        <v>8310010010</v>
      </c>
      <c r="K1796" s="132"/>
      <c r="L1796" s="17"/>
      <c r="M1796" s="20">
        <v>109</v>
      </c>
      <c r="N1796" s="20">
        <v>109</v>
      </c>
      <c r="O1796" s="20">
        <v>109</v>
      </c>
      <c r="P1796" s="20">
        <f>H1796-M1796</f>
        <v>-109</v>
      </c>
      <c r="Q1796" s="20" t="e">
        <f>#REF!-N1796</f>
        <v>#REF!</v>
      </c>
      <c r="R1796" s="20" t="e">
        <f>#REF!-O1796</f>
        <v>#REF!</v>
      </c>
      <c r="S1796" s="17" t="str">
        <f>CONCATENATE(F1796,G1796)</f>
        <v>83 1 00 10010850</v>
      </c>
    </row>
    <row r="1797" spans="1:19" s="23" customFormat="1" ht="31.5">
      <c r="A1797" s="21"/>
      <c r="B1797" s="127" t="s">
        <v>34</v>
      </c>
      <c r="C1797" s="108" t="s">
        <v>410</v>
      </c>
      <c r="D1797" s="108" t="s">
        <v>86</v>
      </c>
      <c r="E1797" s="108" t="s">
        <v>86</v>
      </c>
      <c r="F1797" s="108" t="s">
        <v>900</v>
      </c>
      <c r="G1797" s="108" t="s">
        <v>35</v>
      </c>
      <c r="H1797" s="126"/>
      <c r="I1797" s="108">
        <v>8310010010</v>
      </c>
      <c r="J1797" s="108" t="str">
        <f t="shared" si="304"/>
        <v>8310010010</v>
      </c>
      <c r="K1797" s="304" t="str">
        <f t="shared" ref="K1797:K1798" si="307">C1797&amp;D1797&amp;E1797&amp;J1797&amp;G1797</f>
        <v>62005058310010010851</v>
      </c>
      <c r="L1797" s="24"/>
      <c r="M1797" s="22"/>
      <c r="N1797" s="22"/>
      <c r="O1797" s="22"/>
      <c r="P1797" s="22"/>
      <c r="Q1797" s="22"/>
      <c r="R1797" s="22"/>
      <c r="S1797" s="24"/>
    </row>
    <row r="1798" spans="1:19" s="23" customFormat="1" ht="15.75">
      <c r="A1798" s="21"/>
      <c r="B1798" s="127" t="s">
        <v>36</v>
      </c>
      <c r="C1798" s="108" t="s">
        <v>410</v>
      </c>
      <c r="D1798" s="108" t="s">
        <v>86</v>
      </c>
      <c r="E1798" s="108" t="s">
        <v>86</v>
      </c>
      <c r="F1798" s="108" t="s">
        <v>900</v>
      </c>
      <c r="G1798" s="108" t="s">
        <v>37</v>
      </c>
      <c r="H1798" s="126"/>
      <c r="I1798" s="108">
        <v>8310010010</v>
      </c>
      <c r="J1798" s="108" t="str">
        <f t="shared" si="304"/>
        <v>8310010010</v>
      </c>
      <c r="K1798" s="304" t="str">
        <f t="shared" si="307"/>
        <v>62005058310010010852</v>
      </c>
      <c r="L1798" s="24"/>
      <c r="M1798" s="22"/>
      <c r="N1798" s="22"/>
      <c r="O1798" s="22"/>
      <c r="P1798" s="22"/>
      <c r="Q1798" s="22"/>
      <c r="R1798" s="22"/>
      <c r="S1798" s="24"/>
    </row>
    <row r="1799" spans="1:19" s="16" customFormat="1" ht="31.5">
      <c r="A1799" s="14"/>
      <c r="B1799" s="125" t="s">
        <v>38</v>
      </c>
      <c r="C1799" s="108" t="s">
        <v>410</v>
      </c>
      <c r="D1799" s="108" t="s">
        <v>86</v>
      </c>
      <c r="E1799" s="108" t="s">
        <v>86</v>
      </c>
      <c r="F1799" s="108" t="s">
        <v>901</v>
      </c>
      <c r="G1799" s="108" t="s">
        <v>9</v>
      </c>
      <c r="H1799" s="126">
        <f>H1800</f>
        <v>0</v>
      </c>
      <c r="I1799" s="108">
        <v>8310010020</v>
      </c>
      <c r="J1799" s="108" t="str">
        <f t="shared" si="304"/>
        <v>8310010020</v>
      </c>
      <c r="K1799" s="132"/>
      <c r="L1799" s="17"/>
      <c r="M1799" s="20">
        <v>41510.720000000001</v>
      </c>
      <c r="N1799" s="20">
        <v>41510.720000000001</v>
      </c>
      <c r="O1799" s="20">
        <v>41510.720000000001</v>
      </c>
      <c r="P1799" s="20">
        <f>H1799-M1799</f>
        <v>-41510.720000000001</v>
      </c>
      <c r="Q1799" s="20" t="e">
        <f>#REF!-N1799</f>
        <v>#REF!</v>
      </c>
      <c r="R1799" s="20" t="e">
        <f>#REF!-O1799</f>
        <v>#REF!</v>
      </c>
      <c r="S1799" s="17" t="str">
        <f>CONCATENATE(F1799,G1799)</f>
        <v>83 1 00 10020000</v>
      </c>
    </row>
    <row r="1800" spans="1:19" s="16" customFormat="1" ht="31.5">
      <c r="A1800" s="14"/>
      <c r="B1800" s="127" t="s">
        <v>20</v>
      </c>
      <c r="C1800" s="108" t="s">
        <v>410</v>
      </c>
      <c r="D1800" s="108" t="s">
        <v>86</v>
      </c>
      <c r="E1800" s="108" t="s">
        <v>86</v>
      </c>
      <c r="F1800" s="108" t="s">
        <v>901</v>
      </c>
      <c r="G1800" s="108" t="s">
        <v>21</v>
      </c>
      <c r="H1800" s="126">
        <f>SUM(H1801:H1802)</f>
        <v>0</v>
      </c>
      <c r="I1800" s="108">
        <v>8310010020</v>
      </c>
      <c r="J1800" s="108" t="str">
        <f t="shared" si="304"/>
        <v>8310010020</v>
      </c>
      <c r="K1800" s="132"/>
      <c r="L1800" s="17"/>
      <c r="M1800" s="20">
        <v>41510.720000000001</v>
      </c>
      <c r="N1800" s="20">
        <v>41510.720000000001</v>
      </c>
      <c r="O1800" s="20">
        <v>41510.720000000001</v>
      </c>
      <c r="P1800" s="20">
        <f>H1800-M1800</f>
        <v>-41510.720000000001</v>
      </c>
      <c r="Q1800" s="20" t="e">
        <f>#REF!-N1800</f>
        <v>#REF!</v>
      </c>
      <c r="R1800" s="20" t="e">
        <f>#REF!-O1800</f>
        <v>#REF!</v>
      </c>
      <c r="S1800" s="17" t="str">
        <f>CONCATENATE(F1800,G1800)</f>
        <v>83 1 00 10020120</v>
      </c>
    </row>
    <row r="1801" spans="1:19" s="23" customFormat="1" ht="31.5">
      <c r="A1801" s="21"/>
      <c r="B1801" s="127" t="s">
        <v>40</v>
      </c>
      <c r="C1801" s="108" t="s">
        <v>410</v>
      </c>
      <c r="D1801" s="108" t="s">
        <v>86</v>
      </c>
      <c r="E1801" s="108" t="s">
        <v>86</v>
      </c>
      <c r="F1801" s="108" t="s">
        <v>901</v>
      </c>
      <c r="G1801" s="108" t="s">
        <v>41</v>
      </c>
      <c r="H1801" s="126"/>
      <c r="I1801" s="108">
        <v>8310010020</v>
      </c>
      <c r="J1801" s="108" t="str">
        <f t="shared" si="304"/>
        <v>8310010020</v>
      </c>
      <c r="K1801" s="304" t="str">
        <f t="shared" ref="K1801:K1802" si="308">C1801&amp;D1801&amp;E1801&amp;J1801&amp;G1801</f>
        <v>62005058310010020121</v>
      </c>
      <c r="L1801" s="24"/>
      <c r="M1801" s="22"/>
      <c r="N1801" s="22"/>
      <c r="O1801" s="22"/>
      <c r="P1801" s="22"/>
      <c r="Q1801" s="22"/>
      <c r="R1801" s="22"/>
      <c r="S1801" s="24"/>
    </row>
    <row r="1802" spans="1:19" s="23" customFormat="1" ht="63">
      <c r="A1802" s="21"/>
      <c r="B1802" s="127" t="s">
        <v>26</v>
      </c>
      <c r="C1802" s="108" t="s">
        <v>410</v>
      </c>
      <c r="D1802" s="108" t="s">
        <v>86</v>
      </c>
      <c r="E1802" s="108" t="s">
        <v>86</v>
      </c>
      <c r="F1802" s="108" t="s">
        <v>901</v>
      </c>
      <c r="G1802" s="108" t="s">
        <v>27</v>
      </c>
      <c r="H1802" s="126"/>
      <c r="I1802" s="108">
        <v>8310010020</v>
      </c>
      <c r="J1802" s="108" t="str">
        <f t="shared" si="304"/>
        <v>8310010020</v>
      </c>
      <c r="K1802" s="304" t="str">
        <f t="shared" si="308"/>
        <v>62005058310010020129</v>
      </c>
      <c r="L1802" s="24"/>
      <c r="M1802" s="22"/>
      <c r="N1802" s="22"/>
      <c r="O1802" s="22"/>
      <c r="P1802" s="22"/>
      <c r="Q1802" s="22"/>
      <c r="R1802" s="22"/>
      <c r="S1802" s="24"/>
    </row>
    <row r="1803" spans="1:19" s="16" customFormat="1" ht="15.75">
      <c r="A1803" s="14"/>
      <c r="B1803" s="117" t="s">
        <v>569</v>
      </c>
      <c r="C1803" s="118" t="s">
        <v>410</v>
      </c>
      <c r="D1803" s="119" t="s">
        <v>238</v>
      </c>
      <c r="E1803" s="119" t="s">
        <v>7</v>
      </c>
      <c r="F1803" s="119" t="s">
        <v>8</v>
      </c>
      <c r="G1803" s="119" t="s">
        <v>9</v>
      </c>
      <c r="H1803" s="120">
        <f>H1804</f>
        <v>0</v>
      </c>
      <c r="I1803" s="119">
        <v>0</v>
      </c>
      <c r="J1803" s="119" t="str">
        <f t="shared" si="304"/>
        <v>0000000000</v>
      </c>
      <c r="K1803" s="132"/>
      <c r="L1803" s="17"/>
      <c r="M1803" s="18">
        <v>1162.5</v>
      </c>
      <c r="N1803" s="18">
        <v>1162.5</v>
      </c>
      <c r="O1803" s="18">
        <v>1162.5</v>
      </c>
      <c r="P1803" s="18">
        <f t="shared" ref="P1803:P1809" si="309">H1803-M1803</f>
        <v>-1162.5</v>
      </c>
      <c r="Q1803" s="18" t="e">
        <f>#REF!-N1803</f>
        <v>#REF!</v>
      </c>
      <c r="R1803" s="18" t="e">
        <f>#REF!-O1803</f>
        <v>#REF!</v>
      </c>
      <c r="S1803" s="17" t="str">
        <f t="shared" ref="S1803:S1875" si="310">CONCATENATE(F1803,G1803)</f>
        <v>00 0 00 00000000</v>
      </c>
    </row>
    <row r="1804" spans="1:19" s="16" customFormat="1" ht="15.75">
      <c r="A1804" s="14"/>
      <c r="B1804" s="121" t="s">
        <v>239</v>
      </c>
      <c r="C1804" s="122" t="s">
        <v>410</v>
      </c>
      <c r="D1804" s="123" t="s">
        <v>238</v>
      </c>
      <c r="E1804" s="123" t="s">
        <v>11</v>
      </c>
      <c r="F1804" s="123" t="s">
        <v>8</v>
      </c>
      <c r="G1804" s="123" t="s">
        <v>9</v>
      </c>
      <c r="H1804" s="124">
        <f>H1805</f>
        <v>0</v>
      </c>
      <c r="I1804" s="123">
        <v>0</v>
      </c>
      <c r="J1804" s="123" t="str">
        <f t="shared" si="304"/>
        <v>0000000000</v>
      </c>
      <c r="K1804" s="132"/>
      <c r="L1804" s="17"/>
      <c r="M1804" s="19">
        <v>1162.5</v>
      </c>
      <c r="N1804" s="19">
        <v>1162.5</v>
      </c>
      <c r="O1804" s="19">
        <v>1162.5</v>
      </c>
      <c r="P1804" s="19">
        <f t="shared" si="309"/>
        <v>-1162.5</v>
      </c>
      <c r="Q1804" s="19" t="e">
        <f>#REF!-N1804</f>
        <v>#REF!</v>
      </c>
      <c r="R1804" s="19" t="e">
        <f>#REF!-O1804</f>
        <v>#REF!</v>
      </c>
      <c r="S1804" s="17" t="str">
        <f t="shared" si="310"/>
        <v>00 0 00 00000000</v>
      </c>
    </row>
    <row r="1805" spans="1:19" s="16" customFormat="1" ht="31.5">
      <c r="A1805" s="14"/>
      <c r="B1805" s="125" t="s">
        <v>240</v>
      </c>
      <c r="C1805" s="109" t="s">
        <v>410</v>
      </c>
      <c r="D1805" s="108" t="s">
        <v>238</v>
      </c>
      <c r="E1805" s="108" t="s">
        <v>11</v>
      </c>
      <c r="F1805" s="131" t="s">
        <v>241</v>
      </c>
      <c r="G1805" s="108" t="s">
        <v>9</v>
      </c>
      <c r="H1805" s="126">
        <f>H1806</f>
        <v>0</v>
      </c>
      <c r="I1805" s="131">
        <v>700000000</v>
      </c>
      <c r="J1805" s="131" t="str">
        <f t="shared" si="304"/>
        <v>0700000000</v>
      </c>
      <c r="K1805" s="132"/>
      <c r="L1805" s="17"/>
      <c r="M1805" s="20">
        <v>1162.5</v>
      </c>
      <c r="N1805" s="20">
        <v>1162.5</v>
      </c>
      <c r="O1805" s="20">
        <v>1162.5</v>
      </c>
      <c r="P1805" s="20">
        <f t="shared" si="309"/>
        <v>-1162.5</v>
      </c>
      <c r="Q1805" s="20" t="e">
        <f>#REF!-N1805</f>
        <v>#REF!</v>
      </c>
      <c r="R1805" s="20" t="e">
        <f>#REF!-O1805</f>
        <v>#REF!</v>
      </c>
      <c r="S1805" s="17" t="str">
        <f t="shared" si="310"/>
        <v>07 0 00 00000000</v>
      </c>
    </row>
    <row r="1806" spans="1:19" s="16" customFormat="1" ht="78.75">
      <c r="A1806" s="14"/>
      <c r="B1806" s="125" t="s">
        <v>384</v>
      </c>
      <c r="C1806" s="109" t="s">
        <v>410</v>
      </c>
      <c r="D1806" s="108" t="s">
        <v>238</v>
      </c>
      <c r="E1806" s="108" t="s">
        <v>11</v>
      </c>
      <c r="F1806" s="131" t="s">
        <v>243</v>
      </c>
      <c r="G1806" s="108" t="s">
        <v>9</v>
      </c>
      <c r="H1806" s="126">
        <f t="shared" ref="H1806:H1808" si="311">H1807</f>
        <v>0</v>
      </c>
      <c r="I1806" s="131">
        <v>710000000</v>
      </c>
      <c r="J1806" s="131" t="str">
        <f t="shared" si="304"/>
        <v>0710000000</v>
      </c>
      <c r="K1806" s="132"/>
      <c r="L1806" s="17"/>
      <c r="M1806" s="20">
        <v>1162.5</v>
      </c>
      <c r="N1806" s="20">
        <v>1162.5</v>
      </c>
      <c r="O1806" s="20">
        <v>1162.5</v>
      </c>
      <c r="P1806" s="20">
        <f t="shared" si="309"/>
        <v>-1162.5</v>
      </c>
      <c r="Q1806" s="20" t="e">
        <f>#REF!-N1806</f>
        <v>#REF!</v>
      </c>
      <c r="R1806" s="20" t="e">
        <f>#REF!-O1806</f>
        <v>#REF!</v>
      </c>
      <c r="S1806" s="17" t="str">
        <f t="shared" si="310"/>
        <v>07 1 00 00000000</v>
      </c>
    </row>
    <row r="1807" spans="1:19" s="16" customFormat="1" ht="110.25">
      <c r="A1807" s="14"/>
      <c r="B1807" s="125" t="s">
        <v>244</v>
      </c>
      <c r="C1807" s="109" t="s">
        <v>410</v>
      </c>
      <c r="D1807" s="108" t="s">
        <v>238</v>
      </c>
      <c r="E1807" s="108" t="s">
        <v>11</v>
      </c>
      <c r="F1807" s="131" t="s">
        <v>245</v>
      </c>
      <c r="G1807" s="108" t="s">
        <v>9</v>
      </c>
      <c r="H1807" s="126">
        <f t="shared" si="311"/>
        <v>0</v>
      </c>
      <c r="I1807" s="131">
        <v>710100000</v>
      </c>
      <c r="J1807" s="131" t="str">
        <f t="shared" si="304"/>
        <v>0710100000</v>
      </c>
      <c r="K1807" s="132"/>
      <c r="L1807" s="17"/>
      <c r="M1807" s="20">
        <v>1162.5</v>
      </c>
      <c r="N1807" s="20">
        <v>1162.5</v>
      </c>
      <c r="O1807" s="20">
        <v>1162.5</v>
      </c>
      <c r="P1807" s="20">
        <f t="shared" si="309"/>
        <v>-1162.5</v>
      </c>
      <c r="Q1807" s="20" t="e">
        <f>#REF!-N1807</f>
        <v>#REF!</v>
      </c>
      <c r="R1807" s="20" t="e">
        <f>#REF!-O1807</f>
        <v>#REF!</v>
      </c>
      <c r="S1807" s="17" t="str">
        <f t="shared" si="310"/>
        <v>07 1 01 00000000</v>
      </c>
    </row>
    <row r="1808" spans="1:19" s="16" customFormat="1" ht="31.5">
      <c r="A1808" s="14"/>
      <c r="B1808" s="125" t="s">
        <v>246</v>
      </c>
      <c r="C1808" s="109" t="s">
        <v>410</v>
      </c>
      <c r="D1808" s="108" t="s">
        <v>238</v>
      </c>
      <c r="E1808" s="108" t="s">
        <v>11</v>
      </c>
      <c r="F1808" s="131" t="s">
        <v>247</v>
      </c>
      <c r="G1808" s="108" t="s">
        <v>9</v>
      </c>
      <c r="H1808" s="126">
        <f t="shared" si="311"/>
        <v>0</v>
      </c>
      <c r="I1808" s="131">
        <v>710120060</v>
      </c>
      <c r="J1808" s="131" t="str">
        <f t="shared" si="304"/>
        <v>0710120060</v>
      </c>
      <c r="K1808" s="132"/>
      <c r="L1808" s="17"/>
      <c r="M1808" s="20">
        <v>1162.5</v>
      </c>
      <c r="N1808" s="20">
        <v>1162.5</v>
      </c>
      <c r="O1808" s="20">
        <v>1162.5</v>
      </c>
      <c r="P1808" s="20">
        <f t="shared" si="309"/>
        <v>-1162.5</v>
      </c>
      <c r="Q1808" s="20" t="e">
        <f>#REF!-N1808</f>
        <v>#REF!</v>
      </c>
      <c r="R1808" s="20" t="e">
        <f>#REF!-O1808</f>
        <v>#REF!</v>
      </c>
      <c r="S1808" s="17" t="str">
        <f t="shared" si="310"/>
        <v>07 1 01 20060000</v>
      </c>
    </row>
    <row r="1809" spans="1:19" s="16" customFormat="1" ht="31.5">
      <c r="A1809" s="14"/>
      <c r="B1809" s="127" t="s">
        <v>28</v>
      </c>
      <c r="C1809" s="109" t="s">
        <v>410</v>
      </c>
      <c r="D1809" s="108" t="s">
        <v>238</v>
      </c>
      <c r="E1809" s="108" t="s">
        <v>11</v>
      </c>
      <c r="F1809" s="131" t="s">
        <v>247</v>
      </c>
      <c r="G1809" s="108" t="s">
        <v>29</v>
      </c>
      <c r="H1809" s="126">
        <f>H1810</f>
        <v>0</v>
      </c>
      <c r="I1809" s="131">
        <v>710120060</v>
      </c>
      <c r="J1809" s="131" t="str">
        <f t="shared" si="304"/>
        <v>0710120060</v>
      </c>
      <c r="K1809" s="132"/>
      <c r="L1809" s="17"/>
      <c r="M1809" s="20">
        <v>1162.5</v>
      </c>
      <c r="N1809" s="20">
        <v>1162.5</v>
      </c>
      <c r="O1809" s="20">
        <v>1162.5</v>
      </c>
      <c r="P1809" s="20">
        <f t="shared" si="309"/>
        <v>-1162.5</v>
      </c>
      <c r="Q1809" s="20" t="e">
        <f>#REF!-N1809</f>
        <v>#REF!</v>
      </c>
      <c r="R1809" s="20" t="e">
        <f>#REF!-O1809</f>
        <v>#REF!</v>
      </c>
      <c r="S1809" s="17" t="str">
        <f t="shared" si="310"/>
        <v>07 1 01 20060240</v>
      </c>
    </row>
    <row r="1810" spans="1:19" s="16" customFormat="1" ht="15.75">
      <c r="A1810" s="14"/>
      <c r="B1810" s="125" t="s">
        <v>30</v>
      </c>
      <c r="C1810" s="109" t="s">
        <v>410</v>
      </c>
      <c r="D1810" s="108" t="s">
        <v>238</v>
      </c>
      <c r="E1810" s="108" t="s">
        <v>11</v>
      </c>
      <c r="F1810" s="108" t="s">
        <v>247</v>
      </c>
      <c r="G1810" s="108" t="s">
        <v>31</v>
      </c>
      <c r="H1810" s="126"/>
      <c r="I1810" s="108">
        <v>710120060</v>
      </c>
      <c r="J1810" s="108" t="str">
        <f t="shared" si="304"/>
        <v>0710120060</v>
      </c>
      <c r="K1810" s="304" t="str">
        <f>C1810&amp;D1810&amp;E1810&amp;J1810&amp;G1810</f>
        <v>62008010710120060244</v>
      </c>
      <c r="L1810" s="17"/>
      <c r="M1810" s="20"/>
      <c r="N1810" s="20"/>
      <c r="O1810" s="20"/>
      <c r="P1810" s="20"/>
      <c r="Q1810" s="20"/>
      <c r="R1810" s="20"/>
      <c r="S1810" s="17"/>
    </row>
    <row r="1811" spans="1:19" s="16" customFormat="1" ht="15.75">
      <c r="A1811" s="14"/>
      <c r="B1811" s="117" t="s">
        <v>316</v>
      </c>
      <c r="C1811" s="118" t="s">
        <v>410</v>
      </c>
      <c r="D1811" s="119" t="s">
        <v>317</v>
      </c>
      <c r="E1811" s="119" t="s">
        <v>7</v>
      </c>
      <c r="F1811" s="119" t="s">
        <v>8</v>
      </c>
      <c r="G1811" s="119" t="s">
        <v>9</v>
      </c>
      <c r="H1811" s="120">
        <f>H1812</f>
        <v>0</v>
      </c>
      <c r="I1811" s="119">
        <v>0</v>
      </c>
      <c r="J1811" s="119" t="str">
        <f t="shared" si="304"/>
        <v>0000000000</v>
      </c>
      <c r="K1811" s="132"/>
      <c r="L1811" s="17"/>
      <c r="M1811" s="18">
        <v>23485.78</v>
      </c>
      <c r="N1811" s="18">
        <v>23485.78</v>
      </c>
      <c r="O1811" s="18">
        <v>24399.690000000002</v>
      </c>
      <c r="P1811" s="18">
        <f t="shared" ref="P1811:P1817" si="312">H1811-M1811</f>
        <v>-23485.78</v>
      </c>
      <c r="Q1811" s="18" t="e">
        <f>#REF!-N1811</f>
        <v>#REF!</v>
      </c>
      <c r="R1811" s="18" t="e">
        <f>#REF!-O1811</f>
        <v>#REF!</v>
      </c>
      <c r="S1811" s="17" t="str">
        <f t="shared" si="310"/>
        <v>00 0 00 00000000</v>
      </c>
    </row>
    <row r="1812" spans="1:19" s="16" customFormat="1" ht="15.75">
      <c r="A1812" s="14"/>
      <c r="B1812" s="121" t="s">
        <v>318</v>
      </c>
      <c r="C1812" s="122" t="s">
        <v>410</v>
      </c>
      <c r="D1812" s="123">
        <v>10</v>
      </c>
      <c r="E1812" s="123" t="s">
        <v>13</v>
      </c>
      <c r="F1812" s="123" t="s">
        <v>8</v>
      </c>
      <c r="G1812" s="123" t="s">
        <v>9</v>
      </c>
      <c r="H1812" s="124">
        <f>H1813</f>
        <v>0</v>
      </c>
      <c r="I1812" s="123">
        <v>0</v>
      </c>
      <c r="J1812" s="123" t="str">
        <f t="shared" si="304"/>
        <v>0000000000</v>
      </c>
      <c r="K1812" s="132"/>
      <c r="L1812" s="17"/>
      <c r="M1812" s="19">
        <v>23485.78</v>
      </c>
      <c r="N1812" s="19">
        <v>23485.78</v>
      </c>
      <c r="O1812" s="19">
        <v>24399.690000000002</v>
      </c>
      <c r="P1812" s="19">
        <f t="shared" si="312"/>
        <v>-23485.78</v>
      </c>
      <c r="Q1812" s="19" t="e">
        <f>#REF!-N1812</f>
        <v>#REF!</v>
      </c>
      <c r="R1812" s="19" t="e">
        <f>#REF!-O1812</f>
        <v>#REF!</v>
      </c>
      <c r="S1812" s="17" t="str">
        <f t="shared" si="310"/>
        <v>00 0 00 00000000</v>
      </c>
    </row>
    <row r="1813" spans="1:19" s="16" customFormat="1" ht="31.5">
      <c r="A1813" s="14"/>
      <c r="B1813" s="135" t="s">
        <v>385</v>
      </c>
      <c r="C1813" s="131" t="s">
        <v>410</v>
      </c>
      <c r="D1813" s="131">
        <v>10</v>
      </c>
      <c r="E1813" s="131" t="s">
        <v>13</v>
      </c>
      <c r="F1813" s="131" t="s">
        <v>386</v>
      </c>
      <c r="G1813" s="131" t="s">
        <v>9</v>
      </c>
      <c r="H1813" s="105">
        <f>H1814</f>
        <v>0</v>
      </c>
      <c r="I1813" s="131">
        <v>300000000</v>
      </c>
      <c r="J1813" s="131" t="str">
        <f t="shared" si="304"/>
        <v>0300000000</v>
      </c>
      <c r="K1813" s="132"/>
      <c r="L1813" s="17"/>
      <c r="M1813" s="26">
        <v>23485.78</v>
      </c>
      <c r="N1813" s="26">
        <v>23485.78</v>
      </c>
      <c r="O1813" s="26">
        <v>24399.690000000002</v>
      </c>
      <c r="P1813" s="26">
        <f t="shared" si="312"/>
        <v>-23485.78</v>
      </c>
      <c r="Q1813" s="26" t="e">
        <f>#REF!-N1813</f>
        <v>#REF!</v>
      </c>
      <c r="R1813" s="26" t="e">
        <f>#REF!-O1813</f>
        <v>#REF!</v>
      </c>
      <c r="S1813" s="17" t="str">
        <f t="shared" si="310"/>
        <v>03 0 00 00000000</v>
      </c>
    </row>
    <row r="1814" spans="1:19" s="16" customFormat="1" ht="63">
      <c r="A1814" s="14"/>
      <c r="B1814" s="135" t="s">
        <v>387</v>
      </c>
      <c r="C1814" s="131" t="s">
        <v>410</v>
      </c>
      <c r="D1814" s="131">
        <v>10</v>
      </c>
      <c r="E1814" s="131" t="s">
        <v>13</v>
      </c>
      <c r="F1814" s="131" t="s">
        <v>388</v>
      </c>
      <c r="G1814" s="131" t="s">
        <v>9</v>
      </c>
      <c r="H1814" s="105">
        <f>H1815+H1819</f>
        <v>0</v>
      </c>
      <c r="I1814" s="131">
        <v>320000000</v>
      </c>
      <c r="J1814" s="131" t="str">
        <f t="shared" si="304"/>
        <v>0320000000</v>
      </c>
      <c r="K1814" s="132"/>
      <c r="L1814" s="17"/>
      <c r="M1814" s="26">
        <v>23485.78</v>
      </c>
      <c r="N1814" s="26">
        <v>23485.78</v>
      </c>
      <c r="O1814" s="26">
        <v>24399.690000000002</v>
      </c>
      <c r="P1814" s="26">
        <f t="shared" si="312"/>
        <v>-23485.78</v>
      </c>
      <c r="Q1814" s="26" t="e">
        <f>#REF!-N1814</f>
        <v>#REF!</v>
      </c>
      <c r="R1814" s="26" t="e">
        <f>#REF!-O1814</f>
        <v>#REF!</v>
      </c>
      <c r="S1814" s="17" t="str">
        <f t="shared" si="310"/>
        <v>03 2 00 00000000</v>
      </c>
    </row>
    <row r="1815" spans="1:19" s="16" customFormat="1" ht="63">
      <c r="A1815" s="14"/>
      <c r="B1815" s="129" t="s">
        <v>902</v>
      </c>
      <c r="C1815" s="131" t="s">
        <v>410</v>
      </c>
      <c r="D1815" s="131">
        <v>10</v>
      </c>
      <c r="E1815" s="131" t="s">
        <v>13</v>
      </c>
      <c r="F1815" s="131" t="s">
        <v>903</v>
      </c>
      <c r="G1815" s="131" t="s">
        <v>9</v>
      </c>
      <c r="H1815" s="105">
        <f t="shared" ref="H1815:H1816" si="313">H1816</f>
        <v>0</v>
      </c>
      <c r="I1815" s="131">
        <v>320300000</v>
      </c>
      <c r="J1815" s="131" t="str">
        <f t="shared" si="304"/>
        <v>0320300000</v>
      </c>
      <c r="K1815" s="132"/>
      <c r="L1815" s="17"/>
      <c r="M1815" s="26">
        <v>2109.2600000000002</v>
      </c>
      <c r="N1815" s="26">
        <v>2109.2600000000002</v>
      </c>
      <c r="O1815" s="26">
        <v>2109.2600000000002</v>
      </c>
      <c r="P1815" s="26">
        <f t="shared" si="312"/>
        <v>-2109.2600000000002</v>
      </c>
      <c r="Q1815" s="26" t="e">
        <f>#REF!-N1815</f>
        <v>#REF!</v>
      </c>
      <c r="R1815" s="26" t="e">
        <f>#REF!-O1815</f>
        <v>#REF!</v>
      </c>
      <c r="S1815" s="17" t="str">
        <f t="shared" si="310"/>
        <v>03 2 03 00000000</v>
      </c>
    </row>
    <row r="1816" spans="1:19" s="16" customFormat="1" ht="63">
      <c r="A1816" s="14"/>
      <c r="B1816" s="125" t="s">
        <v>904</v>
      </c>
      <c r="C1816" s="108" t="s">
        <v>410</v>
      </c>
      <c r="D1816" s="108">
        <v>10</v>
      </c>
      <c r="E1816" s="108" t="s">
        <v>13</v>
      </c>
      <c r="F1816" s="108" t="s">
        <v>905</v>
      </c>
      <c r="G1816" s="108" t="s">
        <v>9</v>
      </c>
      <c r="H1816" s="126">
        <f t="shared" si="313"/>
        <v>0</v>
      </c>
      <c r="I1816" s="108">
        <v>320380020</v>
      </c>
      <c r="J1816" s="108" t="str">
        <f t="shared" si="304"/>
        <v>0320380020</v>
      </c>
      <c r="K1816" s="132"/>
      <c r="L1816" s="17"/>
      <c r="M1816" s="20">
        <v>2109.2600000000002</v>
      </c>
      <c r="N1816" s="20">
        <v>2109.2600000000002</v>
      </c>
      <c r="O1816" s="20">
        <v>2109.2600000000002</v>
      </c>
      <c r="P1816" s="20">
        <f t="shared" si="312"/>
        <v>-2109.2600000000002</v>
      </c>
      <c r="Q1816" s="20" t="e">
        <f>#REF!-N1816</f>
        <v>#REF!</v>
      </c>
      <c r="R1816" s="20" t="e">
        <f>#REF!-O1816</f>
        <v>#REF!</v>
      </c>
      <c r="S1816" s="17" t="str">
        <f t="shared" si="310"/>
        <v>03 2 03 80020000</v>
      </c>
    </row>
    <row r="1817" spans="1:19" s="16" customFormat="1" ht="63">
      <c r="A1817" s="14"/>
      <c r="B1817" s="125" t="s">
        <v>203</v>
      </c>
      <c r="C1817" s="108" t="s">
        <v>410</v>
      </c>
      <c r="D1817" s="108">
        <v>10</v>
      </c>
      <c r="E1817" s="108" t="s">
        <v>13</v>
      </c>
      <c r="F1817" s="108" t="s">
        <v>905</v>
      </c>
      <c r="G1817" s="108" t="s">
        <v>204</v>
      </c>
      <c r="H1817" s="126">
        <f>H1818</f>
        <v>0</v>
      </c>
      <c r="I1817" s="108">
        <v>320380020</v>
      </c>
      <c r="J1817" s="108" t="str">
        <f t="shared" si="304"/>
        <v>0320380020</v>
      </c>
      <c r="K1817" s="132"/>
      <c r="L1817" s="17"/>
      <c r="M1817" s="20">
        <v>2109.2600000000002</v>
      </c>
      <c r="N1817" s="20">
        <v>2109.2600000000002</v>
      </c>
      <c r="O1817" s="20">
        <v>2109.2600000000002</v>
      </c>
      <c r="P1817" s="20">
        <f t="shared" si="312"/>
        <v>-2109.2600000000002</v>
      </c>
      <c r="Q1817" s="20" t="e">
        <f>#REF!-N1817</f>
        <v>#REF!</v>
      </c>
      <c r="R1817" s="20" t="e">
        <f>#REF!-O1817</f>
        <v>#REF!</v>
      </c>
      <c r="S1817" s="17" t="str">
        <f t="shared" si="310"/>
        <v>03 2 03 80020810</v>
      </c>
    </row>
    <row r="1818" spans="1:19" s="16" customFormat="1" ht="63">
      <c r="A1818" s="14"/>
      <c r="B1818" s="125" t="s">
        <v>205</v>
      </c>
      <c r="C1818" s="108" t="s">
        <v>410</v>
      </c>
      <c r="D1818" s="108">
        <v>10</v>
      </c>
      <c r="E1818" s="108" t="s">
        <v>13</v>
      </c>
      <c r="F1818" s="108" t="s">
        <v>905</v>
      </c>
      <c r="G1818" s="108" t="s">
        <v>206</v>
      </c>
      <c r="H1818" s="126"/>
      <c r="I1818" s="108">
        <v>320380020</v>
      </c>
      <c r="J1818" s="108" t="str">
        <f t="shared" si="304"/>
        <v>0320380020</v>
      </c>
      <c r="K1818" s="304" t="str">
        <f>C1818&amp;D1818&amp;E1818&amp;J1818&amp;G1818</f>
        <v>62010030320380020811</v>
      </c>
      <c r="L1818" s="17"/>
      <c r="M1818" s="20"/>
      <c r="N1818" s="20"/>
      <c r="O1818" s="20"/>
      <c r="P1818" s="20"/>
      <c r="Q1818" s="20"/>
      <c r="R1818" s="20"/>
      <c r="S1818" s="17" t="str">
        <f t="shared" si="310"/>
        <v>03 2 03 80020811</v>
      </c>
    </row>
    <row r="1819" spans="1:19" s="16" customFormat="1" ht="78.75">
      <c r="A1819" s="14"/>
      <c r="B1819" s="129" t="s">
        <v>906</v>
      </c>
      <c r="C1819" s="131" t="s">
        <v>410</v>
      </c>
      <c r="D1819" s="131">
        <v>10</v>
      </c>
      <c r="E1819" s="131" t="s">
        <v>13</v>
      </c>
      <c r="F1819" s="131" t="s">
        <v>907</v>
      </c>
      <c r="G1819" s="131" t="s">
        <v>9</v>
      </c>
      <c r="H1819" s="105">
        <f t="shared" ref="H1819:H1820" si="314">H1820</f>
        <v>0</v>
      </c>
      <c r="I1819" s="131">
        <v>320400000</v>
      </c>
      <c r="J1819" s="131" t="str">
        <f t="shared" si="304"/>
        <v>0320400000</v>
      </c>
      <c r="K1819" s="132"/>
      <c r="L1819" s="17"/>
      <c r="M1819" s="26">
        <v>21376.52</v>
      </c>
      <c r="N1819" s="26">
        <v>21376.52</v>
      </c>
      <c r="O1819" s="26">
        <v>22290.43</v>
      </c>
      <c r="P1819" s="26">
        <f>H1819-M1819</f>
        <v>-21376.52</v>
      </c>
      <c r="Q1819" s="26" t="e">
        <f>#REF!-N1819</f>
        <v>#REF!</v>
      </c>
      <c r="R1819" s="26" t="e">
        <f>#REF!-O1819</f>
        <v>#REF!</v>
      </c>
      <c r="S1819" s="17" t="str">
        <f t="shared" si="310"/>
        <v>03 2 04 00000000</v>
      </c>
    </row>
    <row r="1820" spans="1:19" s="16" customFormat="1" ht="63">
      <c r="A1820" s="14"/>
      <c r="B1820" s="125" t="s">
        <v>908</v>
      </c>
      <c r="C1820" s="108" t="s">
        <v>410</v>
      </c>
      <c r="D1820" s="108">
        <v>10</v>
      </c>
      <c r="E1820" s="108" t="s">
        <v>13</v>
      </c>
      <c r="F1820" s="108" t="s">
        <v>909</v>
      </c>
      <c r="G1820" s="108" t="s">
        <v>9</v>
      </c>
      <c r="H1820" s="126">
        <f t="shared" si="314"/>
        <v>0</v>
      </c>
      <c r="I1820" s="108">
        <v>320480220</v>
      </c>
      <c r="J1820" s="108" t="str">
        <f t="shared" si="304"/>
        <v>0320480220</v>
      </c>
      <c r="K1820" s="132"/>
      <c r="L1820" s="17"/>
      <c r="M1820" s="20">
        <v>21376.52</v>
      </c>
      <c r="N1820" s="20">
        <v>21376.52</v>
      </c>
      <c r="O1820" s="20">
        <v>22290.43</v>
      </c>
      <c r="P1820" s="20">
        <f>H1820-M1820</f>
        <v>-21376.52</v>
      </c>
      <c r="Q1820" s="20" t="e">
        <f>#REF!-N1820</f>
        <v>#REF!</v>
      </c>
      <c r="R1820" s="20" t="e">
        <f>#REF!-O1820</f>
        <v>#REF!</v>
      </c>
      <c r="S1820" s="17" t="str">
        <f t="shared" si="310"/>
        <v>03 2 04 80220000</v>
      </c>
    </row>
    <row r="1821" spans="1:19" s="16" customFormat="1" ht="63">
      <c r="A1821" s="14"/>
      <c r="B1821" s="125" t="s">
        <v>203</v>
      </c>
      <c r="C1821" s="108" t="s">
        <v>410</v>
      </c>
      <c r="D1821" s="108">
        <v>10</v>
      </c>
      <c r="E1821" s="108" t="s">
        <v>13</v>
      </c>
      <c r="F1821" s="108" t="s">
        <v>909</v>
      </c>
      <c r="G1821" s="108" t="s">
        <v>204</v>
      </c>
      <c r="H1821" s="126">
        <f>H1822</f>
        <v>0</v>
      </c>
      <c r="I1821" s="108">
        <v>320480220</v>
      </c>
      <c r="J1821" s="108" t="str">
        <f t="shared" si="304"/>
        <v>0320480220</v>
      </c>
      <c r="K1821" s="132"/>
      <c r="L1821" s="17"/>
      <c r="M1821" s="20">
        <v>21376.52</v>
      </c>
      <c r="N1821" s="20">
        <v>21376.52</v>
      </c>
      <c r="O1821" s="20">
        <v>22290.43</v>
      </c>
      <c r="P1821" s="20">
        <f>H1821-M1821</f>
        <v>-21376.52</v>
      </c>
      <c r="Q1821" s="20" t="e">
        <f>#REF!-N1821</f>
        <v>#REF!</v>
      </c>
      <c r="R1821" s="20" t="e">
        <f>#REF!-O1821</f>
        <v>#REF!</v>
      </c>
      <c r="S1821" s="17" t="str">
        <f t="shared" si="310"/>
        <v>03 2 04 80220810</v>
      </c>
    </row>
    <row r="1822" spans="1:19" s="16" customFormat="1" ht="110.25">
      <c r="A1822" s="14"/>
      <c r="B1822" s="125" t="s">
        <v>207</v>
      </c>
      <c r="C1822" s="108" t="s">
        <v>410</v>
      </c>
      <c r="D1822" s="108">
        <v>10</v>
      </c>
      <c r="E1822" s="108" t="s">
        <v>13</v>
      </c>
      <c r="F1822" s="108" t="s">
        <v>909</v>
      </c>
      <c r="G1822" s="108" t="s">
        <v>208</v>
      </c>
      <c r="H1822" s="126"/>
      <c r="I1822" s="108">
        <v>320480220</v>
      </c>
      <c r="J1822" s="108" t="str">
        <f t="shared" si="304"/>
        <v>0320480220</v>
      </c>
      <c r="K1822" s="304" t="str">
        <f>C1822&amp;D1822&amp;E1822&amp;J1822&amp;G1822</f>
        <v>62010030320480220812</v>
      </c>
      <c r="L1822" s="17"/>
      <c r="M1822" s="20"/>
      <c r="N1822" s="20"/>
      <c r="O1822" s="20"/>
      <c r="P1822" s="20"/>
      <c r="Q1822" s="20"/>
      <c r="R1822" s="20"/>
      <c r="S1822" s="17" t="str">
        <f t="shared" si="310"/>
        <v>03 2 04 80220812</v>
      </c>
    </row>
    <row r="1823" spans="1:19" s="16" customFormat="1" ht="15.75">
      <c r="A1823" s="14"/>
      <c r="B1823" s="132"/>
      <c r="C1823" s="131"/>
      <c r="D1823" s="131"/>
      <c r="E1823" s="131"/>
      <c r="F1823" s="131"/>
      <c r="G1823" s="131"/>
      <c r="H1823" s="105"/>
      <c r="I1823" s="131"/>
      <c r="J1823" s="131" t="str">
        <f t="shared" si="304"/>
        <v>0000000000</v>
      </c>
      <c r="K1823" s="17"/>
      <c r="L1823" s="17"/>
      <c r="M1823" s="26"/>
      <c r="N1823" s="26"/>
      <c r="O1823" s="26"/>
      <c r="P1823" s="26">
        <f t="shared" ref="P1823:P1830" si="315">H1823-M1823</f>
        <v>0</v>
      </c>
      <c r="Q1823" s="26" t="e">
        <f>#REF!-N1823</f>
        <v>#REF!</v>
      </c>
      <c r="R1823" s="26" t="e">
        <f>#REF!-O1823</f>
        <v>#REF!</v>
      </c>
      <c r="S1823" s="17" t="str">
        <f t="shared" si="310"/>
        <v/>
      </c>
    </row>
    <row r="1824" spans="1:19" s="16" customFormat="1" ht="31.5">
      <c r="A1824" s="14"/>
      <c r="B1824" s="67" t="s">
        <v>910</v>
      </c>
      <c r="C1824" s="116" t="s">
        <v>412</v>
      </c>
      <c r="D1824" s="69" t="s">
        <v>7</v>
      </c>
      <c r="E1824" s="69" t="s">
        <v>7</v>
      </c>
      <c r="F1824" s="69" t="s">
        <v>8</v>
      </c>
      <c r="G1824" s="69" t="s">
        <v>9</v>
      </c>
      <c r="H1824" s="70">
        <f>H1825+H1858+H1917+H1928+H1875+H1940</f>
        <v>0</v>
      </c>
      <c r="I1824" s="69">
        <v>0</v>
      </c>
      <c r="J1824" s="69" t="str">
        <f t="shared" si="304"/>
        <v>0000000000</v>
      </c>
      <c r="K1824" s="132"/>
      <c r="L1824" s="17"/>
      <c r="M1824" s="25">
        <v>70127.8</v>
      </c>
      <c r="N1824" s="25">
        <v>89106.85</v>
      </c>
      <c r="O1824" s="25">
        <v>80479.070000000007</v>
      </c>
      <c r="P1824" s="25">
        <f t="shared" si="315"/>
        <v>-70127.8</v>
      </c>
      <c r="Q1824" s="25" t="e">
        <f>#REF!-N1824</f>
        <v>#REF!</v>
      </c>
      <c r="R1824" s="25" t="e">
        <f>#REF!-O1824</f>
        <v>#REF!</v>
      </c>
      <c r="S1824" s="17" t="str">
        <f t="shared" si="310"/>
        <v>00 0 00 00000000</v>
      </c>
    </row>
    <row r="1825" spans="1:19" s="16" customFormat="1" ht="15.75">
      <c r="A1825" s="14"/>
      <c r="B1825" s="117" t="s">
        <v>10</v>
      </c>
      <c r="C1825" s="118" t="s">
        <v>412</v>
      </c>
      <c r="D1825" s="119" t="s">
        <v>11</v>
      </c>
      <c r="E1825" s="119" t="s">
        <v>7</v>
      </c>
      <c r="F1825" s="119" t="s">
        <v>8</v>
      </c>
      <c r="G1825" s="119" t="s">
        <v>9</v>
      </c>
      <c r="H1825" s="120">
        <f>H1826</f>
        <v>0</v>
      </c>
      <c r="I1825" s="119">
        <v>0</v>
      </c>
      <c r="J1825" s="119" t="str">
        <f t="shared" si="304"/>
        <v>0000000000</v>
      </c>
      <c r="K1825" s="132"/>
      <c r="L1825" s="17"/>
      <c r="M1825" s="18">
        <v>51015.950000000004</v>
      </c>
      <c r="N1825" s="18">
        <v>51015.950000000004</v>
      </c>
      <c r="O1825" s="18">
        <v>51015.950000000004</v>
      </c>
      <c r="P1825" s="18">
        <f t="shared" si="315"/>
        <v>-51015.950000000004</v>
      </c>
      <c r="Q1825" s="18" t="e">
        <f>#REF!-N1825</f>
        <v>#REF!</v>
      </c>
      <c r="R1825" s="18" t="e">
        <f>#REF!-O1825</f>
        <v>#REF!</v>
      </c>
      <c r="S1825" s="17" t="str">
        <f t="shared" si="310"/>
        <v>00 0 00 00000000</v>
      </c>
    </row>
    <row r="1826" spans="1:19" s="16" customFormat="1" ht="15.75">
      <c r="A1826" s="14"/>
      <c r="B1826" s="121" t="s">
        <v>50</v>
      </c>
      <c r="C1826" s="122" t="s">
        <v>412</v>
      </c>
      <c r="D1826" s="123" t="s">
        <v>11</v>
      </c>
      <c r="E1826" s="123" t="s">
        <v>51</v>
      </c>
      <c r="F1826" s="123" t="s">
        <v>8</v>
      </c>
      <c r="G1826" s="123" t="s">
        <v>9</v>
      </c>
      <c r="H1826" s="124">
        <f>H1827</f>
        <v>0</v>
      </c>
      <c r="I1826" s="123">
        <v>0</v>
      </c>
      <c r="J1826" s="123" t="str">
        <f t="shared" si="304"/>
        <v>0000000000</v>
      </c>
      <c r="K1826" s="132"/>
      <c r="L1826" s="17"/>
      <c r="M1826" s="19">
        <v>51015.950000000004</v>
      </c>
      <c r="N1826" s="19">
        <v>51015.950000000004</v>
      </c>
      <c r="O1826" s="19">
        <v>51015.950000000004</v>
      </c>
      <c r="P1826" s="19">
        <f t="shared" si="315"/>
        <v>-51015.950000000004</v>
      </c>
      <c r="Q1826" s="19" t="e">
        <f>#REF!-N1826</f>
        <v>#REF!</v>
      </c>
      <c r="R1826" s="19" t="e">
        <f>#REF!-O1826</f>
        <v>#REF!</v>
      </c>
      <c r="S1826" s="17" t="str">
        <f t="shared" si="310"/>
        <v>00 0 00 00000000</v>
      </c>
    </row>
    <row r="1827" spans="1:19" s="16" customFormat="1" ht="31.5">
      <c r="A1827" s="14"/>
      <c r="B1827" s="164" t="s">
        <v>911</v>
      </c>
      <c r="C1827" s="109" t="s">
        <v>412</v>
      </c>
      <c r="D1827" s="108" t="s">
        <v>11</v>
      </c>
      <c r="E1827" s="108" t="s">
        <v>51</v>
      </c>
      <c r="F1827" s="108" t="s">
        <v>912</v>
      </c>
      <c r="G1827" s="108" t="s">
        <v>9</v>
      </c>
      <c r="H1827" s="126">
        <f>H1828+H1849</f>
        <v>0</v>
      </c>
      <c r="I1827" s="108">
        <v>8400000000</v>
      </c>
      <c r="J1827" s="108" t="str">
        <f t="shared" si="304"/>
        <v>8400000000</v>
      </c>
      <c r="K1827" s="132"/>
      <c r="L1827" s="17"/>
      <c r="M1827" s="20">
        <v>51015.950000000004</v>
      </c>
      <c r="N1827" s="20">
        <v>51015.950000000004</v>
      </c>
      <c r="O1827" s="20">
        <v>51015.950000000004</v>
      </c>
      <c r="P1827" s="20">
        <f t="shared" si="315"/>
        <v>-51015.950000000004</v>
      </c>
      <c r="Q1827" s="20" t="e">
        <f>#REF!-N1827</f>
        <v>#REF!</v>
      </c>
      <c r="R1827" s="20" t="e">
        <f>#REF!-O1827</f>
        <v>#REF!</v>
      </c>
      <c r="S1827" s="17" t="str">
        <f t="shared" si="310"/>
        <v>84 0 00 00000000</v>
      </c>
    </row>
    <row r="1828" spans="1:19" s="16" customFormat="1" ht="47.25">
      <c r="A1828" s="14"/>
      <c r="B1828" s="164" t="s">
        <v>913</v>
      </c>
      <c r="C1828" s="109" t="s">
        <v>412</v>
      </c>
      <c r="D1828" s="108" t="s">
        <v>11</v>
      </c>
      <c r="E1828" s="108" t="s">
        <v>51</v>
      </c>
      <c r="F1828" s="108" t="s">
        <v>914</v>
      </c>
      <c r="G1828" s="108" t="s">
        <v>9</v>
      </c>
      <c r="H1828" s="126">
        <f>H1829+H1839+H1843+H1846</f>
        <v>0</v>
      </c>
      <c r="I1828" s="108">
        <v>8410000000</v>
      </c>
      <c r="J1828" s="108" t="str">
        <f t="shared" si="304"/>
        <v>8410000000</v>
      </c>
      <c r="K1828" s="132"/>
      <c r="L1828" s="17"/>
      <c r="M1828" s="20">
        <v>46915.950000000004</v>
      </c>
      <c r="N1828" s="20">
        <v>46915.950000000004</v>
      </c>
      <c r="O1828" s="20">
        <v>46915.950000000004</v>
      </c>
      <c r="P1828" s="20">
        <f t="shared" si="315"/>
        <v>-46915.950000000004</v>
      </c>
      <c r="Q1828" s="20" t="e">
        <f>#REF!-N1828</f>
        <v>#REF!</v>
      </c>
      <c r="R1828" s="20" t="e">
        <f>#REF!-O1828</f>
        <v>#REF!</v>
      </c>
      <c r="S1828" s="17" t="str">
        <f t="shared" si="310"/>
        <v>84 1 00 00000000</v>
      </c>
    </row>
    <row r="1829" spans="1:19" s="16" customFormat="1" ht="31.5">
      <c r="A1829" s="14"/>
      <c r="B1829" s="164" t="s">
        <v>18</v>
      </c>
      <c r="C1829" s="109" t="s">
        <v>412</v>
      </c>
      <c r="D1829" s="108" t="s">
        <v>11</v>
      </c>
      <c r="E1829" s="108" t="s">
        <v>51</v>
      </c>
      <c r="F1829" s="108" t="s">
        <v>915</v>
      </c>
      <c r="G1829" s="108" t="s">
        <v>9</v>
      </c>
      <c r="H1829" s="126">
        <f>H1830+H1833+H1835</f>
        <v>0</v>
      </c>
      <c r="I1829" s="108">
        <v>8410010010</v>
      </c>
      <c r="J1829" s="108" t="str">
        <f t="shared" si="304"/>
        <v>8410010010</v>
      </c>
      <c r="K1829" s="132"/>
      <c r="L1829" s="17"/>
      <c r="M1829" s="20">
        <v>4084.58</v>
      </c>
      <c r="N1829" s="20">
        <v>4084.58</v>
      </c>
      <c r="O1829" s="20">
        <v>4084.58</v>
      </c>
      <c r="P1829" s="20">
        <f t="shared" si="315"/>
        <v>-4084.58</v>
      </c>
      <c r="Q1829" s="20" t="e">
        <f>#REF!-N1829</f>
        <v>#REF!</v>
      </c>
      <c r="R1829" s="20" t="e">
        <f>#REF!-O1829</f>
        <v>#REF!</v>
      </c>
      <c r="S1829" s="17" t="str">
        <f t="shared" si="310"/>
        <v>84 1 00 10010000</v>
      </c>
    </row>
    <row r="1830" spans="1:19" s="16" customFormat="1" ht="31.5">
      <c r="A1830" s="14"/>
      <c r="B1830" s="164" t="s">
        <v>20</v>
      </c>
      <c r="C1830" s="109" t="s">
        <v>412</v>
      </c>
      <c r="D1830" s="108" t="s">
        <v>11</v>
      </c>
      <c r="E1830" s="108" t="s">
        <v>51</v>
      </c>
      <c r="F1830" s="108" t="s">
        <v>915</v>
      </c>
      <c r="G1830" s="108" t="s">
        <v>21</v>
      </c>
      <c r="H1830" s="126">
        <f>SUM(H1831:H1832)</f>
        <v>0</v>
      </c>
      <c r="I1830" s="108">
        <v>8410010010</v>
      </c>
      <c r="J1830" s="108" t="str">
        <f t="shared" si="304"/>
        <v>8410010010</v>
      </c>
      <c r="K1830" s="132"/>
      <c r="L1830" s="17"/>
      <c r="M1830" s="20">
        <v>994.43</v>
      </c>
      <c r="N1830" s="20">
        <v>994.43</v>
      </c>
      <c r="O1830" s="20">
        <v>994.43</v>
      </c>
      <c r="P1830" s="20">
        <f t="shared" si="315"/>
        <v>-994.43</v>
      </c>
      <c r="Q1830" s="20" t="e">
        <f>#REF!-N1830</f>
        <v>#REF!</v>
      </c>
      <c r="R1830" s="20" t="e">
        <f>#REF!-O1830</f>
        <v>#REF!</v>
      </c>
      <c r="S1830" s="17" t="str">
        <f t="shared" si="310"/>
        <v>84 1 00 10010120</v>
      </c>
    </row>
    <row r="1831" spans="1:19" s="23" customFormat="1" ht="47.25">
      <c r="A1831" s="21"/>
      <c r="B1831" s="127" t="s">
        <v>22</v>
      </c>
      <c r="C1831" s="109" t="s">
        <v>412</v>
      </c>
      <c r="D1831" s="108" t="s">
        <v>11</v>
      </c>
      <c r="E1831" s="108" t="s">
        <v>51</v>
      </c>
      <c r="F1831" s="108" t="s">
        <v>915</v>
      </c>
      <c r="G1831" s="108" t="s">
        <v>23</v>
      </c>
      <c r="H1831" s="126"/>
      <c r="I1831" s="108">
        <v>8410010010</v>
      </c>
      <c r="J1831" s="108" t="str">
        <f t="shared" si="304"/>
        <v>8410010010</v>
      </c>
      <c r="K1831" s="304" t="str">
        <f t="shared" ref="K1831:K1832" si="316">C1831&amp;D1831&amp;E1831&amp;J1831&amp;G1831</f>
        <v>62101138410010010122</v>
      </c>
      <c r="L1831" s="24"/>
      <c r="M1831" s="22"/>
      <c r="N1831" s="22"/>
      <c r="O1831" s="22"/>
      <c r="P1831" s="22"/>
      <c r="Q1831" s="22"/>
      <c r="R1831" s="22"/>
      <c r="S1831" s="24"/>
    </row>
    <row r="1832" spans="1:19" s="23" customFormat="1" ht="63">
      <c r="A1832" s="21"/>
      <c r="B1832" s="127" t="s">
        <v>26</v>
      </c>
      <c r="C1832" s="109" t="s">
        <v>412</v>
      </c>
      <c r="D1832" s="108" t="s">
        <v>11</v>
      </c>
      <c r="E1832" s="108" t="s">
        <v>51</v>
      </c>
      <c r="F1832" s="108" t="s">
        <v>915</v>
      </c>
      <c r="G1832" s="108" t="s">
        <v>27</v>
      </c>
      <c r="H1832" s="126"/>
      <c r="I1832" s="108">
        <v>8410010010</v>
      </c>
      <c r="J1832" s="108" t="str">
        <f t="shared" si="304"/>
        <v>8410010010</v>
      </c>
      <c r="K1832" s="304" t="str">
        <f t="shared" si="316"/>
        <v>62101138410010010129</v>
      </c>
      <c r="L1832" s="24"/>
      <c r="M1832" s="22"/>
      <c r="N1832" s="22"/>
      <c r="O1832" s="22"/>
      <c r="P1832" s="22"/>
      <c r="Q1832" s="22"/>
      <c r="R1832" s="22"/>
      <c r="S1832" s="24"/>
    </row>
    <row r="1833" spans="1:19" s="16" customFormat="1" ht="31.5">
      <c r="A1833" s="14"/>
      <c r="B1833" s="164" t="s">
        <v>28</v>
      </c>
      <c r="C1833" s="109" t="s">
        <v>412</v>
      </c>
      <c r="D1833" s="108" t="s">
        <v>11</v>
      </c>
      <c r="E1833" s="108" t="s">
        <v>51</v>
      </c>
      <c r="F1833" s="108" t="s">
        <v>915</v>
      </c>
      <c r="G1833" s="108" t="s">
        <v>29</v>
      </c>
      <c r="H1833" s="126">
        <f>H1834</f>
        <v>0</v>
      </c>
      <c r="I1833" s="108">
        <v>8410010010</v>
      </c>
      <c r="J1833" s="108" t="str">
        <f t="shared" si="304"/>
        <v>8410010010</v>
      </c>
      <c r="K1833" s="132"/>
      <c r="L1833" s="17"/>
      <c r="M1833" s="20">
        <v>2863.85</v>
      </c>
      <c r="N1833" s="20">
        <v>2863.85</v>
      </c>
      <c r="O1833" s="20">
        <v>2863.85</v>
      </c>
      <c r="P1833" s="20">
        <f>H1833-M1833</f>
        <v>-2863.85</v>
      </c>
      <c r="Q1833" s="20" t="e">
        <f>#REF!-N1833</f>
        <v>#REF!</v>
      </c>
      <c r="R1833" s="20" t="e">
        <f>#REF!-O1833</f>
        <v>#REF!</v>
      </c>
      <c r="S1833" s="17" t="str">
        <f t="shared" si="310"/>
        <v>84 1 00 10010240</v>
      </c>
    </row>
    <row r="1834" spans="1:19" s="16" customFormat="1" ht="15.75">
      <c r="A1834" s="14"/>
      <c r="B1834" s="125" t="s">
        <v>30</v>
      </c>
      <c r="C1834" s="109" t="s">
        <v>412</v>
      </c>
      <c r="D1834" s="108" t="s">
        <v>11</v>
      </c>
      <c r="E1834" s="108" t="s">
        <v>51</v>
      </c>
      <c r="F1834" s="108" t="s">
        <v>915</v>
      </c>
      <c r="G1834" s="108" t="s">
        <v>31</v>
      </c>
      <c r="H1834" s="126"/>
      <c r="I1834" s="108">
        <v>8410010010</v>
      </c>
      <c r="J1834" s="108" t="str">
        <f t="shared" si="304"/>
        <v>8410010010</v>
      </c>
      <c r="K1834" s="304" t="str">
        <f>C1834&amp;D1834&amp;E1834&amp;J1834&amp;G1834</f>
        <v>62101138410010010244</v>
      </c>
      <c r="L1834" s="17"/>
      <c r="M1834" s="20"/>
      <c r="N1834" s="20"/>
      <c r="O1834" s="20"/>
      <c r="P1834" s="20"/>
      <c r="Q1834" s="20"/>
      <c r="R1834" s="20"/>
      <c r="S1834" s="17"/>
    </row>
    <row r="1835" spans="1:19" s="16" customFormat="1" ht="15.75">
      <c r="A1835" s="14"/>
      <c r="B1835" s="164" t="s">
        <v>32</v>
      </c>
      <c r="C1835" s="109" t="s">
        <v>412</v>
      </c>
      <c r="D1835" s="108" t="s">
        <v>11</v>
      </c>
      <c r="E1835" s="108" t="s">
        <v>51</v>
      </c>
      <c r="F1835" s="108" t="s">
        <v>915</v>
      </c>
      <c r="G1835" s="108" t="s">
        <v>33</v>
      </c>
      <c r="H1835" s="126">
        <f>SUM(H1836:H1838)</f>
        <v>0</v>
      </c>
      <c r="I1835" s="108">
        <v>8410010010</v>
      </c>
      <c r="J1835" s="108" t="str">
        <f t="shared" si="304"/>
        <v>8410010010</v>
      </c>
      <c r="K1835" s="132"/>
      <c r="L1835" s="17"/>
      <c r="M1835" s="20">
        <v>226.3</v>
      </c>
      <c r="N1835" s="20">
        <v>226.3</v>
      </c>
      <c r="O1835" s="20">
        <v>226.3</v>
      </c>
      <c r="P1835" s="20">
        <f>H1835-M1835</f>
        <v>-226.3</v>
      </c>
      <c r="Q1835" s="20" t="e">
        <f>#REF!-N1835</f>
        <v>#REF!</v>
      </c>
      <c r="R1835" s="20" t="e">
        <f>#REF!-O1835</f>
        <v>#REF!</v>
      </c>
      <c r="S1835" s="17" t="str">
        <f t="shared" si="310"/>
        <v>84 1 00 10010850</v>
      </c>
    </row>
    <row r="1836" spans="1:19" s="23" customFormat="1" ht="31.5">
      <c r="A1836" s="21"/>
      <c r="B1836" s="127" t="s">
        <v>34</v>
      </c>
      <c r="C1836" s="109" t="s">
        <v>412</v>
      </c>
      <c r="D1836" s="108" t="s">
        <v>11</v>
      </c>
      <c r="E1836" s="108" t="s">
        <v>51</v>
      </c>
      <c r="F1836" s="108" t="s">
        <v>915</v>
      </c>
      <c r="G1836" s="108" t="s">
        <v>35</v>
      </c>
      <c r="H1836" s="126"/>
      <c r="I1836" s="108">
        <v>8410010010</v>
      </c>
      <c r="J1836" s="108" t="str">
        <f t="shared" si="304"/>
        <v>8410010010</v>
      </c>
      <c r="K1836" s="304" t="str">
        <f t="shared" ref="K1836:K1838" si="317">C1836&amp;D1836&amp;E1836&amp;J1836&amp;G1836</f>
        <v>62101138410010010851</v>
      </c>
      <c r="L1836" s="24"/>
      <c r="M1836" s="22"/>
      <c r="N1836" s="22"/>
      <c r="O1836" s="22"/>
      <c r="P1836" s="22"/>
      <c r="Q1836" s="22"/>
      <c r="R1836" s="22"/>
      <c r="S1836" s="24"/>
    </row>
    <row r="1837" spans="1:19" s="23" customFormat="1" ht="15.75">
      <c r="A1837" s="21"/>
      <c r="B1837" s="127" t="s">
        <v>36</v>
      </c>
      <c r="C1837" s="109" t="s">
        <v>412</v>
      </c>
      <c r="D1837" s="108" t="s">
        <v>11</v>
      </c>
      <c r="E1837" s="108" t="s">
        <v>51</v>
      </c>
      <c r="F1837" s="108" t="s">
        <v>915</v>
      </c>
      <c r="G1837" s="108" t="s">
        <v>37</v>
      </c>
      <c r="H1837" s="126"/>
      <c r="I1837" s="108">
        <v>8410010010</v>
      </c>
      <c r="J1837" s="108" t="str">
        <f t="shared" si="304"/>
        <v>8410010010</v>
      </c>
      <c r="K1837" s="304" t="str">
        <f t="shared" si="317"/>
        <v>62101138410010010852</v>
      </c>
      <c r="L1837" s="24"/>
      <c r="M1837" s="22"/>
      <c r="N1837" s="22"/>
      <c r="O1837" s="22"/>
      <c r="P1837" s="22"/>
      <c r="Q1837" s="22"/>
      <c r="R1837" s="22"/>
      <c r="S1837" s="24"/>
    </row>
    <row r="1838" spans="1:19" s="23" customFormat="1" ht="15.75">
      <c r="A1838" s="21"/>
      <c r="B1838" s="127" t="s">
        <v>77</v>
      </c>
      <c r="C1838" s="109" t="s">
        <v>412</v>
      </c>
      <c r="D1838" s="108" t="s">
        <v>11</v>
      </c>
      <c r="E1838" s="108" t="s">
        <v>51</v>
      </c>
      <c r="F1838" s="108" t="s">
        <v>915</v>
      </c>
      <c r="G1838" s="108" t="s">
        <v>78</v>
      </c>
      <c r="H1838" s="126"/>
      <c r="I1838" s="108">
        <v>8410010010</v>
      </c>
      <c r="J1838" s="108" t="str">
        <f t="shared" si="304"/>
        <v>8410010010</v>
      </c>
      <c r="K1838" s="304" t="str">
        <f t="shared" si="317"/>
        <v>62101138410010010853</v>
      </c>
      <c r="L1838" s="24"/>
      <c r="M1838" s="22"/>
      <c r="N1838" s="22"/>
      <c r="O1838" s="22"/>
      <c r="P1838" s="22"/>
      <c r="Q1838" s="22"/>
      <c r="R1838" s="22"/>
      <c r="S1838" s="24"/>
    </row>
    <row r="1839" spans="1:19" s="16" customFormat="1" ht="31.5">
      <c r="A1839" s="14"/>
      <c r="B1839" s="164" t="s">
        <v>38</v>
      </c>
      <c r="C1839" s="109" t="s">
        <v>412</v>
      </c>
      <c r="D1839" s="108" t="s">
        <v>11</v>
      </c>
      <c r="E1839" s="108" t="s">
        <v>51</v>
      </c>
      <c r="F1839" s="108" t="s">
        <v>916</v>
      </c>
      <c r="G1839" s="108" t="s">
        <v>9</v>
      </c>
      <c r="H1839" s="126">
        <f>H1840</f>
        <v>0</v>
      </c>
      <c r="I1839" s="108">
        <v>8410010020</v>
      </c>
      <c r="J1839" s="108" t="str">
        <f t="shared" si="304"/>
        <v>8410010020</v>
      </c>
      <c r="K1839" s="132"/>
      <c r="L1839" s="17"/>
      <c r="M1839" s="20">
        <v>42831.37</v>
      </c>
      <c r="N1839" s="20">
        <v>42831.37</v>
      </c>
      <c r="O1839" s="20">
        <v>42831.37</v>
      </c>
      <c r="P1839" s="20">
        <f>H1839-M1839</f>
        <v>-42831.37</v>
      </c>
      <c r="Q1839" s="20" t="e">
        <f>#REF!-N1839</f>
        <v>#REF!</v>
      </c>
      <c r="R1839" s="20" t="e">
        <f>#REF!-O1839</f>
        <v>#REF!</v>
      </c>
      <c r="S1839" s="17" t="str">
        <f t="shared" si="310"/>
        <v>84 1 00 10020000</v>
      </c>
    </row>
    <row r="1840" spans="1:19" s="16" customFormat="1" ht="31.5">
      <c r="A1840" s="14"/>
      <c r="B1840" s="164" t="s">
        <v>20</v>
      </c>
      <c r="C1840" s="109" t="s">
        <v>412</v>
      </c>
      <c r="D1840" s="108" t="s">
        <v>11</v>
      </c>
      <c r="E1840" s="108" t="s">
        <v>51</v>
      </c>
      <c r="F1840" s="108" t="s">
        <v>916</v>
      </c>
      <c r="G1840" s="108" t="s">
        <v>21</v>
      </c>
      <c r="H1840" s="126">
        <f>SUM(H1841:H1842)</f>
        <v>0</v>
      </c>
      <c r="I1840" s="108">
        <v>8410010020</v>
      </c>
      <c r="J1840" s="108" t="str">
        <f t="shared" si="304"/>
        <v>8410010020</v>
      </c>
      <c r="K1840" s="132"/>
      <c r="L1840" s="17"/>
      <c r="M1840" s="20">
        <v>42831.37</v>
      </c>
      <c r="N1840" s="20">
        <v>42831.37</v>
      </c>
      <c r="O1840" s="20">
        <v>42831.37</v>
      </c>
      <c r="P1840" s="20">
        <f>H1840-M1840</f>
        <v>-42831.37</v>
      </c>
      <c r="Q1840" s="20" t="e">
        <f>#REF!-N1840</f>
        <v>#REF!</v>
      </c>
      <c r="R1840" s="20" t="e">
        <f>#REF!-O1840</f>
        <v>#REF!</v>
      </c>
      <c r="S1840" s="17" t="str">
        <f t="shared" si="310"/>
        <v>84 1 00 10020120</v>
      </c>
    </row>
    <row r="1841" spans="1:19" s="23" customFormat="1" ht="31.5">
      <c r="A1841" s="21"/>
      <c r="B1841" s="127" t="s">
        <v>40</v>
      </c>
      <c r="C1841" s="109" t="s">
        <v>412</v>
      </c>
      <c r="D1841" s="108" t="s">
        <v>11</v>
      </c>
      <c r="E1841" s="108" t="s">
        <v>51</v>
      </c>
      <c r="F1841" s="108" t="s">
        <v>916</v>
      </c>
      <c r="G1841" s="108" t="s">
        <v>41</v>
      </c>
      <c r="H1841" s="126"/>
      <c r="I1841" s="108">
        <v>8410010020</v>
      </c>
      <c r="J1841" s="108" t="str">
        <f t="shared" ref="J1841:J1910" si="318">TEXT(I1841,"0000000000")</f>
        <v>8410010020</v>
      </c>
      <c r="K1841" s="304" t="str">
        <f t="shared" ref="K1841:K1848" si="319">C1841&amp;D1841&amp;E1841&amp;J1841&amp;G1841</f>
        <v>62101138410010020121</v>
      </c>
      <c r="L1841" s="24"/>
      <c r="M1841" s="22"/>
      <c r="N1841" s="22"/>
      <c r="O1841" s="22"/>
      <c r="P1841" s="22"/>
      <c r="Q1841" s="22"/>
      <c r="R1841" s="22"/>
      <c r="S1841" s="24"/>
    </row>
    <row r="1842" spans="1:19" s="23" customFormat="1" ht="63">
      <c r="A1842" s="21"/>
      <c r="B1842" s="127" t="s">
        <v>26</v>
      </c>
      <c r="C1842" s="109" t="s">
        <v>412</v>
      </c>
      <c r="D1842" s="108" t="s">
        <v>11</v>
      </c>
      <c r="E1842" s="108" t="s">
        <v>51</v>
      </c>
      <c r="F1842" s="108" t="s">
        <v>916</v>
      </c>
      <c r="G1842" s="108" t="s">
        <v>27</v>
      </c>
      <c r="H1842" s="126"/>
      <c r="I1842" s="108">
        <v>8410010020</v>
      </c>
      <c r="J1842" s="108" t="str">
        <f t="shared" si="318"/>
        <v>8410010020</v>
      </c>
      <c r="K1842" s="304" t="str">
        <f t="shared" si="319"/>
        <v>62101138410010020129</v>
      </c>
      <c r="L1842" s="24"/>
      <c r="M1842" s="22"/>
      <c r="N1842" s="22"/>
      <c r="O1842" s="22"/>
      <c r="P1842" s="22"/>
      <c r="Q1842" s="22"/>
      <c r="R1842" s="22"/>
      <c r="S1842" s="24"/>
    </row>
    <row r="1843" spans="1:19" s="23" customFormat="1" ht="31.5">
      <c r="A1843" s="21"/>
      <c r="B1843" s="129" t="s">
        <v>187</v>
      </c>
      <c r="C1843" s="109" t="s">
        <v>412</v>
      </c>
      <c r="D1843" s="108" t="s">
        <v>11</v>
      </c>
      <c r="E1843" s="108" t="s">
        <v>51</v>
      </c>
      <c r="F1843" s="108" t="s">
        <v>1249</v>
      </c>
      <c r="G1843" s="108" t="s">
        <v>9</v>
      </c>
      <c r="H1843" s="126">
        <f>H1844</f>
        <v>0</v>
      </c>
      <c r="I1843" s="108">
        <v>8410020050</v>
      </c>
      <c r="J1843" s="108" t="str">
        <f t="shared" si="318"/>
        <v>8410020050</v>
      </c>
      <c r="K1843" s="304" t="str">
        <f t="shared" si="319"/>
        <v>62101138410020050000</v>
      </c>
      <c r="L1843" s="24"/>
      <c r="M1843" s="22"/>
      <c r="N1843" s="22"/>
      <c r="O1843" s="22"/>
      <c r="P1843" s="22"/>
      <c r="Q1843" s="22"/>
      <c r="R1843" s="22"/>
      <c r="S1843" s="24"/>
    </row>
    <row r="1844" spans="1:19" s="23" customFormat="1" ht="15.75">
      <c r="A1844" s="21"/>
      <c r="B1844" s="125" t="s">
        <v>189</v>
      </c>
      <c r="C1844" s="109" t="s">
        <v>412</v>
      </c>
      <c r="D1844" s="108" t="s">
        <v>11</v>
      </c>
      <c r="E1844" s="108" t="s">
        <v>51</v>
      </c>
      <c r="F1844" s="108" t="s">
        <v>1249</v>
      </c>
      <c r="G1844" s="108" t="s">
        <v>190</v>
      </c>
      <c r="H1844" s="126">
        <f>H1845</f>
        <v>0</v>
      </c>
      <c r="I1844" s="108">
        <v>8410020050</v>
      </c>
      <c r="J1844" s="108" t="str">
        <f t="shared" si="318"/>
        <v>8410020050</v>
      </c>
      <c r="K1844" s="304" t="str">
        <f t="shared" si="319"/>
        <v>62101138410020050830</v>
      </c>
      <c r="L1844" s="24"/>
      <c r="M1844" s="22"/>
      <c r="N1844" s="22"/>
      <c r="O1844" s="22"/>
      <c r="P1844" s="22"/>
      <c r="Q1844" s="22"/>
      <c r="R1844" s="22"/>
      <c r="S1844" s="24"/>
    </row>
    <row r="1845" spans="1:19" s="23" customFormat="1" ht="47.25">
      <c r="A1845" s="21"/>
      <c r="B1845" s="129" t="s">
        <v>191</v>
      </c>
      <c r="C1845" s="109" t="s">
        <v>412</v>
      </c>
      <c r="D1845" s="108" t="s">
        <v>11</v>
      </c>
      <c r="E1845" s="108" t="s">
        <v>51</v>
      </c>
      <c r="F1845" s="108" t="s">
        <v>1249</v>
      </c>
      <c r="G1845" s="108" t="s">
        <v>192</v>
      </c>
      <c r="H1845" s="126"/>
      <c r="I1845" s="108">
        <v>8410020050</v>
      </c>
      <c r="J1845" s="108" t="str">
        <f t="shared" si="318"/>
        <v>8410020050</v>
      </c>
      <c r="K1845" s="304" t="str">
        <f t="shared" si="319"/>
        <v>62101138410020050831</v>
      </c>
      <c r="L1845" s="24"/>
      <c r="M1845" s="22"/>
      <c r="N1845" s="22"/>
      <c r="O1845" s="22"/>
      <c r="P1845" s="22"/>
      <c r="Q1845" s="22"/>
      <c r="R1845" s="22"/>
      <c r="S1845" s="24"/>
    </row>
    <row r="1846" spans="1:19" s="23" customFormat="1" ht="15.75">
      <c r="A1846" s="21"/>
      <c r="B1846" s="164" t="s">
        <v>1234</v>
      </c>
      <c r="C1846" s="109" t="s">
        <v>412</v>
      </c>
      <c r="D1846" s="108" t="s">
        <v>11</v>
      </c>
      <c r="E1846" s="108" t="s">
        <v>51</v>
      </c>
      <c r="F1846" s="108" t="s">
        <v>1250</v>
      </c>
      <c r="G1846" s="108" t="s">
        <v>9</v>
      </c>
      <c r="H1846" s="126">
        <f>H1847</f>
        <v>0</v>
      </c>
      <c r="I1846" s="108">
        <v>8410021040</v>
      </c>
      <c r="J1846" s="108" t="str">
        <f t="shared" si="318"/>
        <v>8410021040</v>
      </c>
      <c r="K1846" s="304" t="str">
        <f t="shared" si="319"/>
        <v>62101138410021040000</v>
      </c>
      <c r="L1846" s="24"/>
      <c r="M1846" s="22"/>
      <c r="N1846" s="22"/>
      <c r="O1846" s="22"/>
      <c r="P1846" s="22"/>
      <c r="Q1846" s="22"/>
      <c r="R1846" s="22"/>
      <c r="S1846" s="24"/>
    </row>
    <row r="1847" spans="1:19" s="23" customFormat="1" ht="15.75">
      <c r="A1847" s="21"/>
      <c r="B1847" s="148" t="s">
        <v>32</v>
      </c>
      <c r="C1847" s="109" t="s">
        <v>412</v>
      </c>
      <c r="D1847" s="108" t="s">
        <v>11</v>
      </c>
      <c r="E1847" s="108" t="s">
        <v>51</v>
      </c>
      <c r="F1847" s="108" t="s">
        <v>1250</v>
      </c>
      <c r="G1847" s="108" t="s">
        <v>33</v>
      </c>
      <c r="H1847" s="126">
        <f>H1848</f>
        <v>0</v>
      </c>
      <c r="I1847" s="108">
        <v>8410021040</v>
      </c>
      <c r="J1847" s="108" t="str">
        <f t="shared" si="318"/>
        <v>8410021040</v>
      </c>
      <c r="K1847" s="304" t="str">
        <f t="shared" si="319"/>
        <v>62101138410021040850</v>
      </c>
      <c r="L1847" s="24"/>
      <c r="M1847" s="22"/>
      <c r="N1847" s="22"/>
      <c r="O1847" s="22"/>
      <c r="P1847" s="22"/>
      <c r="Q1847" s="22"/>
      <c r="R1847" s="22"/>
      <c r="S1847" s="24"/>
    </row>
    <row r="1848" spans="1:19" s="23" customFormat="1" ht="15.75">
      <c r="A1848" s="21"/>
      <c r="B1848" s="127" t="s">
        <v>77</v>
      </c>
      <c r="C1848" s="109" t="s">
        <v>412</v>
      </c>
      <c r="D1848" s="108" t="s">
        <v>11</v>
      </c>
      <c r="E1848" s="108" t="s">
        <v>51</v>
      </c>
      <c r="F1848" s="108" t="s">
        <v>1250</v>
      </c>
      <c r="G1848" s="108" t="s">
        <v>78</v>
      </c>
      <c r="H1848" s="126"/>
      <c r="I1848" s="108">
        <v>8410021040</v>
      </c>
      <c r="J1848" s="108" t="str">
        <f t="shared" si="318"/>
        <v>8410021040</v>
      </c>
      <c r="K1848" s="304" t="str">
        <f t="shared" si="319"/>
        <v>62101138410021040853</v>
      </c>
      <c r="L1848" s="24"/>
      <c r="M1848" s="22"/>
      <c r="N1848" s="22"/>
      <c r="O1848" s="22"/>
      <c r="P1848" s="22"/>
      <c r="Q1848" s="22"/>
      <c r="R1848" s="22"/>
      <c r="S1848" s="24"/>
    </row>
    <row r="1849" spans="1:19" s="16" customFormat="1" ht="15.75">
      <c r="A1849" s="14"/>
      <c r="B1849" s="164" t="s">
        <v>52</v>
      </c>
      <c r="C1849" s="109" t="s">
        <v>412</v>
      </c>
      <c r="D1849" s="108" t="s">
        <v>11</v>
      </c>
      <c r="E1849" s="108" t="s">
        <v>51</v>
      </c>
      <c r="F1849" s="108" t="s">
        <v>917</v>
      </c>
      <c r="G1849" s="108" t="s">
        <v>9</v>
      </c>
      <c r="H1849" s="126">
        <f>H1855+H1850</f>
        <v>0</v>
      </c>
      <c r="I1849" s="108">
        <v>8420000000</v>
      </c>
      <c r="J1849" s="108" t="str">
        <f t="shared" si="318"/>
        <v>8420000000</v>
      </c>
      <c r="K1849" s="132"/>
      <c r="L1849" s="17"/>
      <c r="M1849" s="20">
        <v>4100</v>
      </c>
      <c r="N1849" s="20">
        <v>4100</v>
      </c>
      <c r="O1849" s="20">
        <v>4100</v>
      </c>
      <c r="P1849" s="20">
        <f>H1849-M1849</f>
        <v>-4100</v>
      </c>
      <c r="Q1849" s="20" t="e">
        <f>#REF!-N1849</f>
        <v>#REF!</v>
      </c>
      <c r="R1849" s="20" t="e">
        <f>#REF!-O1849</f>
        <v>#REF!</v>
      </c>
      <c r="S1849" s="17" t="str">
        <f t="shared" si="310"/>
        <v>84 2 00 00000000</v>
      </c>
    </row>
    <row r="1850" spans="1:19" s="16" customFormat="1" ht="47.25">
      <c r="A1850" s="14"/>
      <c r="B1850" s="164" t="s">
        <v>918</v>
      </c>
      <c r="C1850" s="109" t="s">
        <v>412</v>
      </c>
      <c r="D1850" s="108" t="s">
        <v>11</v>
      </c>
      <c r="E1850" s="108" t="s">
        <v>51</v>
      </c>
      <c r="F1850" s="108" t="s">
        <v>919</v>
      </c>
      <c r="G1850" s="108" t="s">
        <v>9</v>
      </c>
      <c r="H1850" s="126">
        <f>H1851+H1853</f>
        <v>0</v>
      </c>
      <c r="I1850" s="108">
        <v>8420020740</v>
      </c>
      <c r="J1850" s="108" t="str">
        <f t="shared" si="318"/>
        <v>8420020740</v>
      </c>
      <c r="K1850" s="132"/>
      <c r="L1850" s="17"/>
      <c r="M1850" s="20">
        <v>600</v>
      </c>
      <c r="N1850" s="20">
        <v>600</v>
      </c>
      <c r="O1850" s="20">
        <v>600</v>
      </c>
      <c r="P1850" s="20">
        <f>H1850-M1850</f>
        <v>-600</v>
      </c>
      <c r="Q1850" s="20" t="e">
        <f>#REF!-N1850</f>
        <v>#REF!</v>
      </c>
      <c r="R1850" s="20" t="e">
        <f>#REF!-O1850</f>
        <v>#REF!</v>
      </c>
      <c r="S1850" s="17" t="str">
        <f t="shared" si="310"/>
        <v>84 2 00 20740000</v>
      </c>
    </row>
    <row r="1851" spans="1:19" s="16" customFormat="1" ht="31.5">
      <c r="A1851" s="14"/>
      <c r="B1851" s="125" t="s">
        <v>28</v>
      </c>
      <c r="C1851" s="109" t="s">
        <v>412</v>
      </c>
      <c r="D1851" s="108" t="s">
        <v>11</v>
      </c>
      <c r="E1851" s="108" t="s">
        <v>51</v>
      </c>
      <c r="F1851" s="108" t="s">
        <v>919</v>
      </c>
      <c r="G1851" s="108" t="s">
        <v>29</v>
      </c>
      <c r="H1851" s="126">
        <f>H1852</f>
        <v>0</v>
      </c>
      <c r="I1851" s="108">
        <v>8420020740</v>
      </c>
      <c r="J1851" s="108" t="str">
        <f t="shared" si="318"/>
        <v>8420020740</v>
      </c>
      <c r="K1851" s="132"/>
      <c r="L1851" s="17"/>
      <c r="M1851" s="20">
        <v>150</v>
      </c>
      <c r="N1851" s="20">
        <v>150</v>
      </c>
      <c r="O1851" s="20">
        <v>150</v>
      </c>
      <c r="P1851" s="20">
        <f>H1851-M1851</f>
        <v>-150</v>
      </c>
      <c r="Q1851" s="20" t="e">
        <f>#REF!-N1851</f>
        <v>#REF!</v>
      </c>
      <c r="R1851" s="20" t="e">
        <f>#REF!-O1851</f>
        <v>#REF!</v>
      </c>
      <c r="S1851" s="17" t="str">
        <f t="shared" si="310"/>
        <v>84 2 00 20740240</v>
      </c>
    </row>
    <row r="1852" spans="1:19" s="16" customFormat="1" ht="15.75">
      <c r="A1852" s="14"/>
      <c r="B1852" s="125" t="s">
        <v>30</v>
      </c>
      <c r="C1852" s="109" t="s">
        <v>412</v>
      </c>
      <c r="D1852" s="108" t="s">
        <v>11</v>
      </c>
      <c r="E1852" s="108" t="s">
        <v>51</v>
      </c>
      <c r="F1852" s="108" t="s">
        <v>919</v>
      </c>
      <c r="G1852" s="108" t="s">
        <v>31</v>
      </c>
      <c r="H1852" s="126"/>
      <c r="I1852" s="108">
        <v>8420020740</v>
      </c>
      <c r="J1852" s="108" t="str">
        <f t="shared" si="318"/>
        <v>8420020740</v>
      </c>
      <c r="K1852" s="304" t="str">
        <f>C1852&amp;D1852&amp;E1852&amp;J1852&amp;G1852</f>
        <v>62101138420020740244</v>
      </c>
      <c r="L1852" s="17"/>
      <c r="M1852" s="20"/>
      <c r="N1852" s="20"/>
      <c r="O1852" s="20"/>
      <c r="P1852" s="20"/>
      <c r="Q1852" s="20"/>
      <c r="R1852" s="20"/>
      <c r="S1852" s="17"/>
    </row>
    <row r="1853" spans="1:19" s="16" customFormat="1" ht="15.75">
      <c r="A1853" s="14"/>
      <c r="B1853" s="132" t="s">
        <v>189</v>
      </c>
      <c r="C1853" s="109" t="s">
        <v>412</v>
      </c>
      <c r="D1853" s="108" t="s">
        <v>11</v>
      </c>
      <c r="E1853" s="108" t="s">
        <v>51</v>
      </c>
      <c r="F1853" s="108" t="s">
        <v>919</v>
      </c>
      <c r="G1853" s="108" t="s">
        <v>190</v>
      </c>
      <c r="H1853" s="126">
        <f>H1854</f>
        <v>0</v>
      </c>
      <c r="I1853" s="108">
        <v>8420020740</v>
      </c>
      <c r="J1853" s="108" t="str">
        <f t="shared" si="318"/>
        <v>8420020740</v>
      </c>
      <c r="K1853" s="132"/>
      <c r="L1853" s="17"/>
      <c r="M1853" s="20">
        <v>450</v>
      </c>
      <c r="N1853" s="20">
        <v>450</v>
      </c>
      <c r="O1853" s="20">
        <v>450</v>
      </c>
      <c r="P1853" s="20">
        <f>H1853-M1853</f>
        <v>-450</v>
      </c>
      <c r="Q1853" s="20" t="e">
        <f>#REF!-N1853</f>
        <v>#REF!</v>
      </c>
      <c r="R1853" s="20" t="e">
        <f>#REF!-O1853</f>
        <v>#REF!</v>
      </c>
      <c r="S1853" s="17" t="str">
        <f t="shared" si="310"/>
        <v>84 2 00 20740830</v>
      </c>
    </row>
    <row r="1854" spans="1:19" s="16" customFormat="1" ht="47.25">
      <c r="A1854" s="14"/>
      <c r="B1854" s="127" t="s">
        <v>191</v>
      </c>
      <c r="C1854" s="109" t="s">
        <v>412</v>
      </c>
      <c r="D1854" s="108" t="s">
        <v>11</v>
      </c>
      <c r="E1854" s="108" t="s">
        <v>51</v>
      </c>
      <c r="F1854" s="108" t="s">
        <v>919</v>
      </c>
      <c r="G1854" s="108" t="s">
        <v>192</v>
      </c>
      <c r="H1854" s="126"/>
      <c r="I1854" s="108">
        <v>8420020740</v>
      </c>
      <c r="J1854" s="108" t="str">
        <f t="shared" si="318"/>
        <v>8420020740</v>
      </c>
      <c r="K1854" s="304" t="str">
        <f>C1854&amp;D1854&amp;E1854&amp;J1854&amp;G1854</f>
        <v>62101138420020740831</v>
      </c>
      <c r="L1854" s="17"/>
      <c r="M1854" s="20"/>
      <c r="N1854" s="20"/>
      <c r="O1854" s="20"/>
      <c r="P1854" s="20"/>
      <c r="Q1854" s="20"/>
      <c r="R1854" s="20"/>
      <c r="S1854" s="17"/>
    </row>
    <row r="1855" spans="1:19" s="16" customFormat="1" ht="47.25">
      <c r="A1855" s="14"/>
      <c r="B1855" s="132" t="s">
        <v>920</v>
      </c>
      <c r="C1855" s="109" t="s">
        <v>412</v>
      </c>
      <c r="D1855" s="108" t="s">
        <v>11</v>
      </c>
      <c r="E1855" s="108" t="s">
        <v>51</v>
      </c>
      <c r="F1855" s="108" t="s">
        <v>921</v>
      </c>
      <c r="G1855" s="108" t="s">
        <v>9</v>
      </c>
      <c r="H1855" s="126">
        <f>H1856</f>
        <v>0</v>
      </c>
      <c r="I1855" s="108">
        <v>8420021100</v>
      </c>
      <c r="J1855" s="108" t="str">
        <f t="shared" si="318"/>
        <v>8420021100</v>
      </c>
      <c r="K1855" s="132"/>
      <c r="L1855" s="17"/>
      <c r="M1855" s="20">
        <v>3500</v>
      </c>
      <c r="N1855" s="20">
        <v>3500</v>
      </c>
      <c r="O1855" s="20">
        <v>3500</v>
      </c>
      <c r="P1855" s="20">
        <f>H1855-M1855</f>
        <v>-3500</v>
      </c>
      <c r="Q1855" s="20" t="e">
        <f>#REF!-N1855</f>
        <v>#REF!</v>
      </c>
      <c r="R1855" s="20" t="e">
        <f>#REF!-O1855</f>
        <v>#REF!</v>
      </c>
      <c r="S1855" s="17" t="str">
        <f t="shared" si="310"/>
        <v>84 2 00 21100000</v>
      </c>
    </row>
    <row r="1856" spans="1:19" s="16" customFormat="1" ht="31.5">
      <c r="A1856" s="14"/>
      <c r="B1856" s="125" t="s">
        <v>28</v>
      </c>
      <c r="C1856" s="109" t="s">
        <v>412</v>
      </c>
      <c r="D1856" s="108" t="s">
        <v>11</v>
      </c>
      <c r="E1856" s="108" t="s">
        <v>51</v>
      </c>
      <c r="F1856" s="108" t="s">
        <v>921</v>
      </c>
      <c r="G1856" s="108" t="s">
        <v>29</v>
      </c>
      <c r="H1856" s="126">
        <f>H1857</f>
        <v>0</v>
      </c>
      <c r="I1856" s="108">
        <v>8420021100</v>
      </c>
      <c r="J1856" s="108" t="str">
        <f t="shared" si="318"/>
        <v>8420021100</v>
      </c>
      <c r="K1856" s="132"/>
      <c r="L1856" s="17"/>
      <c r="M1856" s="20">
        <v>3500</v>
      </c>
      <c r="N1856" s="20">
        <v>3500</v>
      </c>
      <c r="O1856" s="20">
        <v>3500</v>
      </c>
      <c r="P1856" s="20">
        <f>H1856-M1856</f>
        <v>-3500</v>
      </c>
      <c r="Q1856" s="20" t="e">
        <f>#REF!-N1856</f>
        <v>#REF!</v>
      </c>
      <c r="R1856" s="20" t="e">
        <f>#REF!-O1856</f>
        <v>#REF!</v>
      </c>
      <c r="S1856" s="17" t="str">
        <f t="shared" si="310"/>
        <v>84 2 00 21100240</v>
      </c>
    </row>
    <row r="1857" spans="1:19" s="16" customFormat="1" ht="15.75">
      <c r="A1857" s="14"/>
      <c r="B1857" s="125" t="s">
        <v>30</v>
      </c>
      <c r="C1857" s="109" t="s">
        <v>412</v>
      </c>
      <c r="D1857" s="108" t="s">
        <v>11</v>
      </c>
      <c r="E1857" s="108" t="s">
        <v>51</v>
      </c>
      <c r="F1857" s="108" t="s">
        <v>921</v>
      </c>
      <c r="G1857" s="108" t="s">
        <v>31</v>
      </c>
      <c r="H1857" s="126"/>
      <c r="I1857" s="108">
        <v>8420021100</v>
      </c>
      <c r="J1857" s="108" t="str">
        <f t="shared" si="318"/>
        <v>8420021100</v>
      </c>
      <c r="K1857" s="304" t="str">
        <f>C1857&amp;D1857&amp;E1857&amp;J1857&amp;G1857</f>
        <v>62101138420021100244</v>
      </c>
      <c r="L1857" s="17"/>
      <c r="M1857" s="20"/>
      <c r="N1857" s="20"/>
      <c r="O1857" s="20"/>
      <c r="P1857" s="20"/>
      <c r="Q1857" s="20"/>
      <c r="R1857" s="20"/>
      <c r="S1857" s="17"/>
    </row>
    <row r="1858" spans="1:19" s="16" customFormat="1" ht="15.75">
      <c r="A1858" s="14"/>
      <c r="B1858" s="117" t="s">
        <v>195</v>
      </c>
      <c r="C1858" s="118" t="s">
        <v>412</v>
      </c>
      <c r="D1858" s="119" t="s">
        <v>73</v>
      </c>
      <c r="E1858" s="119" t="s">
        <v>7</v>
      </c>
      <c r="F1858" s="119" t="s">
        <v>8</v>
      </c>
      <c r="G1858" s="119" t="s">
        <v>9</v>
      </c>
      <c r="H1858" s="120">
        <f>H1859</f>
        <v>0</v>
      </c>
      <c r="I1858" s="119">
        <v>0</v>
      </c>
      <c r="J1858" s="119" t="str">
        <f t="shared" si="318"/>
        <v>0000000000</v>
      </c>
      <c r="K1858" s="132"/>
      <c r="L1858" s="17"/>
      <c r="M1858" s="18">
        <v>4903</v>
      </c>
      <c r="N1858" s="18">
        <v>9588.2999999999993</v>
      </c>
      <c r="O1858" s="18">
        <v>9588.2999999999993</v>
      </c>
      <c r="P1858" s="18">
        <f t="shared" ref="P1858:P1864" si="320">H1858-M1858</f>
        <v>-4903</v>
      </c>
      <c r="Q1858" s="18" t="e">
        <f>#REF!-N1858</f>
        <v>#REF!</v>
      </c>
      <c r="R1858" s="18" t="e">
        <f>#REF!-O1858</f>
        <v>#REF!</v>
      </c>
      <c r="S1858" s="17" t="str">
        <f t="shared" si="310"/>
        <v>00 0 00 00000000</v>
      </c>
    </row>
    <row r="1859" spans="1:19" s="16" customFormat="1" ht="15.75">
      <c r="A1859" s="14"/>
      <c r="B1859" s="121" t="s">
        <v>284</v>
      </c>
      <c r="C1859" s="122" t="s">
        <v>412</v>
      </c>
      <c r="D1859" s="123" t="s">
        <v>73</v>
      </c>
      <c r="E1859" s="123" t="s">
        <v>57</v>
      </c>
      <c r="F1859" s="123" t="s">
        <v>8</v>
      </c>
      <c r="G1859" s="123" t="s">
        <v>9</v>
      </c>
      <c r="H1859" s="124">
        <f>H1860+H1870</f>
        <v>0</v>
      </c>
      <c r="I1859" s="123">
        <v>0</v>
      </c>
      <c r="J1859" s="123" t="str">
        <f t="shared" si="318"/>
        <v>0000000000</v>
      </c>
      <c r="K1859" s="132"/>
      <c r="L1859" s="17"/>
      <c r="M1859" s="19">
        <v>4903</v>
      </c>
      <c r="N1859" s="19">
        <v>9588.2999999999993</v>
      </c>
      <c r="O1859" s="19">
        <v>9588.2999999999993</v>
      </c>
      <c r="P1859" s="19">
        <f t="shared" si="320"/>
        <v>-4903</v>
      </c>
      <c r="Q1859" s="19" t="e">
        <f>#REF!-N1859</f>
        <v>#REF!</v>
      </c>
      <c r="R1859" s="19" t="e">
        <f>#REF!-O1859</f>
        <v>#REF!</v>
      </c>
      <c r="S1859" s="17" t="str">
        <f t="shared" si="310"/>
        <v>00 0 00 00000000</v>
      </c>
    </row>
    <row r="1860" spans="1:19" s="16" customFormat="1" ht="31.5">
      <c r="A1860" s="14"/>
      <c r="B1860" s="125" t="s">
        <v>922</v>
      </c>
      <c r="C1860" s="109" t="s">
        <v>412</v>
      </c>
      <c r="D1860" s="109" t="s">
        <v>73</v>
      </c>
      <c r="E1860" s="109" t="s">
        <v>57</v>
      </c>
      <c r="F1860" s="109" t="s">
        <v>923</v>
      </c>
      <c r="G1860" s="109" t="s">
        <v>9</v>
      </c>
      <c r="H1860" s="141">
        <f>H1861</f>
        <v>0</v>
      </c>
      <c r="I1860" s="109">
        <v>500000000</v>
      </c>
      <c r="J1860" s="109" t="str">
        <f t="shared" si="318"/>
        <v>0500000000</v>
      </c>
      <c r="K1860" s="132"/>
      <c r="L1860" s="17"/>
      <c r="M1860" s="32">
        <v>4803</v>
      </c>
      <c r="N1860" s="32">
        <v>9488.2999999999993</v>
      </c>
      <c r="O1860" s="32">
        <v>9488.2999999999993</v>
      </c>
      <c r="P1860" s="32">
        <f t="shared" si="320"/>
        <v>-4803</v>
      </c>
      <c r="Q1860" s="32" t="e">
        <f>#REF!-N1860</f>
        <v>#REF!</v>
      </c>
      <c r="R1860" s="32" t="e">
        <f>#REF!-O1860</f>
        <v>#REF!</v>
      </c>
      <c r="S1860" s="17" t="str">
        <f t="shared" si="310"/>
        <v>05 0 00 00000000</v>
      </c>
    </row>
    <row r="1861" spans="1:19" s="16" customFormat="1" ht="47.25">
      <c r="A1861" s="14"/>
      <c r="B1861" s="125" t="s">
        <v>924</v>
      </c>
      <c r="C1861" s="109" t="s">
        <v>412</v>
      </c>
      <c r="D1861" s="109" t="s">
        <v>73</v>
      </c>
      <c r="E1861" s="109" t="s">
        <v>57</v>
      </c>
      <c r="F1861" s="109" t="s">
        <v>925</v>
      </c>
      <c r="G1861" s="109" t="s">
        <v>9</v>
      </c>
      <c r="H1861" s="141">
        <f>H1862+H1866</f>
        <v>0</v>
      </c>
      <c r="I1861" s="109" t="s">
        <v>1251</v>
      </c>
      <c r="J1861" s="109" t="str">
        <f t="shared" si="318"/>
        <v>05Б0000000</v>
      </c>
      <c r="K1861" s="132"/>
      <c r="L1861" s="17"/>
      <c r="M1861" s="32">
        <v>4803</v>
      </c>
      <c r="N1861" s="32">
        <v>9488.2999999999993</v>
      </c>
      <c r="O1861" s="32">
        <v>9488.2999999999993</v>
      </c>
      <c r="P1861" s="32">
        <f t="shared" si="320"/>
        <v>-4803</v>
      </c>
      <c r="Q1861" s="32" t="e">
        <f>#REF!-N1861</f>
        <v>#REF!</v>
      </c>
      <c r="R1861" s="32" t="e">
        <f>#REF!-O1861</f>
        <v>#REF!</v>
      </c>
      <c r="S1861" s="17" t="str">
        <f t="shared" si="310"/>
        <v>05 Б 00 00000000</v>
      </c>
    </row>
    <row r="1862" spans="1:19" s="16" customFormat="1" ht="78.75">
      <c r="A1862" s="14"/>
      <c r="B1862" s="125" t="s">
        <v>926</v>
      </c>
      <c r="C1862" s="109" t="s">
        <v>412</v>
      </c>
      <c r="D1862" s="109" t="s">
        <v>73</v>
      </c>
      <c r="E1862" s="109" t="s">
        <v>57</v>
      </c>
      <c r="F1862" s="109" t="s">
        <v>927</v>
      </c>
      <c r="G1862" s="109" t="s">
        <v>9</v>
      </c>
      <c r="H1862" s="141">
        <f t="shared" ref="H1862:H1863" si="321">H1863</f>
        <v>0</v>
      </c>
      <c r="I1862" s="109" t="s">
        <v>1252</v>
      </c>
      <c r="J1862" s="109" t="str">
        <f t="shared" si="318"/>
        <v>05Б0100000</v>
      </c>
      <c r="K1862" s="132"/>
      <c r="L1862" s="17"/>
      <c r="M1862" s="32">
        <v>4403</v>
      </c>
      <c r="N1862" s="32">
        <v>9488.2999999999993</v>
      </c>
      <c r="O1862" s="32">
        <v>9488.2999999999993</v>
      </c>
      <c r="P1862" s="32">
        <f t="shared" si="320"/>
        <v>-4403</v>
      </c>
      <c r="Q1862" s="32" t="e">
        <f>#REF!-N1862</f>
        <v>#REF!</v>
      </c>
      <c r="R1862" s="32" t="e">
        <f>#REF!-O1862</f>
        <v>#REF!</v>
      </c>
      <c r="S1862" s="17" t="str">
        <f t="shared" si="310"/>
        <v>05 Б 01 00000000</v>
      </c>
    </row>
    <row r="1863" spans="1:19" s="16" customFormat="1" ht="31.5">
      <c r="A1863" s="14"/>
      <c r="B1863" s="127" t="s">
        <v>928</v>
      </c>
      <c r="C1863" s="109" t="s">
        <v>412</v>
      </c>
      <c r="D1863" s="109" t="s">
        <v>73</v>
      </c>
      <c r="E1863" s="109" t="s">
        <v>57</v>
      </c>
      <c r="F1863" s="109" t="s">
        <v>929</v>
      </c>
      <c r="G1863" s="109" t="s">
        <v>9</v>
      </c>
      <c r="H1863" s="141">
        <f t="shared" si="321"/>
        <v>0</v>
      </c>
      <c r="I1863" s="109" t="s">
        <v>1253</v>
      </c>
      <c r="J1863" s="109" t="str">
        <f t="shared" si="318"/>
        <v>05Б0120390</v>
      </c>
      <c r="K1863" s="132"/>
      <c r="L1863" s="17"/>
      <c r="M1863" s="32">
        <v>4403</v>
      </c>
      <c r="N1863" s="32">
        <v>9488.2999999999993</v>
      </c>
      <c r="O1863" s="32">
        <v>9488.2999999999993</v>
      </c>
      <c r="P1863" s="32">
        <f t="shared" si="320"/>
        <v>-4403</v>
      </c>
      <c r="Q1863" s="32" t="e">
        <f>#REF!-N1863</f>
        <v>#REF!</v>
      </c>
      <c r="R1863" s="32" t="e">
        <f>#REF!-O1863</f>
        <v>#REF!</v>
      </c>
      <c r="S1863" s="17" t="str">
        <f t="shared" si="310"/>
        <v>05 Б 01 20390000</v>
      </c>
    </row>
    <row r="1864" spans="1:19" s="16" customFormat="1" ht="31.5">
      <c r="A1864" s="14"/>
      <c r="B1864" s="125" t="s">
        <v>28</v>
      </c>
      <c r="C1864" s="109" t="s">
        <v>412</v>
      </c>
      <c r="D1864" s="109" t="s">
        <v>73</v>
      </c>
      <c r="E1864" s="109" t="s">
        <v>57</v>
      </c>
      <c r="F1864" s="109" t="s">
        <v>929</v>
      </c>
      <c r="G1864" s="109" t="s">
        <v>29</v>
      </c>
      <c r="H1864" s="126">
        <f>H1865</f>
        <v>0</v>
      </c>
      <c r="I1864" s="109" t="s">
        <v>1253</v>
      </c>
      <c r="J1864" s="109" t="str">
        <f t="shared" si="318"/>
        <v>05Б0120390</v>
      </c>
      <c r="K1864" s="132"/>
      <c r="L1864" s="17"/>
      <c r="M1864" s="32">
        <v>4403</v>
      </c>
      <c r="N1864" s="32">
        <v>9488.2999999999993</v>
      </c>
      <c r="O1864" s="32">
        <v>9488.2999999999993</v>
      </c>
      <c r="P1864" s="32">
        <f t="shared" si="320"/>
        <v>-4403</v>
      </c>
      <c r="Q1864" s="32" t="e">
        <f>#REF!-N1864</f>
        <v>#REF!</v>
      </c>
      <c r="R1864" s="32" t="e">
        <f>#REF!-O1864</f>
        <v>#REF!</v>
      </c>
      <c r="S1864" s="17" t="str">
        <f t="shared" si="310"/>
        <v>05 Б 01 20390240</v>
      </c>
    </row>
    <row r="1865" spans="1:19" s="16" customFormat="1" ht="15.75">
      <c r="A1865" s="14"/>
      <c r="B1865" s="125" t="s">
        <v>30</v>
      </c>
      <c r="C1865" s="109" t="s">
        <v>412</v>
      </c>
      <c r="D1865" s="109" t="s">
        <v>73</v>
      </c>
      <c r="E1865" s="109" t="s">
        <v>57</v>
      </c>
      <c r="F1865" s="109" t="s">
        <v>929</v>
      </c>
      <c r="G1865" s="109" t="s">
        <v>31</v>
      </c>
      <c r="H1865" s="126"/>
      <c r="I1865" s="109" t="s">
        <v>1253</v>
      </c>
      <c r="J1865" s="109" t="str">
        <f t="shared" si="318"/>
        <v>05Б0120390</v>
      </c>
      <c r="K1865" s="304" t="str">
        <f>C1865&amp;D1865&amp;E1865&amp;J1865&amp;G1865</f>
        <v>621041205Б0120390244</v>
      </c>
      <c r="L1865" s="17"/>
      <c r="M1865" s="32"/>
      <c r="N1865" s="32"/>
      <c r="O1865" s="32"/>
      <c r="P1865" s="32"/>
      <c r="Q1865" s="32"/>
      <c r="R1865" s="32"/>
      <c r="S1865" s="17"/>
    </row>
    <row r="1866" spans="1:19" s="16" customFormat="1" ht="78.75">
      <c r="A1866" s="14"/>
      <c r="B1866" s="125" t="s">
        <v>930</v>
      </c>
      <c r="C1866" s="109" t="s">
        <v>412</v>
      </c>
      <c r="D1866" s="109" t="s">
        <v>73</v>
      </c>
      <c r="E1866" s="109" t="s">
        <v>57</v>
      </c>
      <c r="F1866" s="109" t="s">
        <v>931</v>
      </c>
      <c r="G1866" s="109" t="s">
        <v>9</v>
      </c>
      <c r="H1866" s="141">
        <f t="shared" ref="H1866:H1867" si="322">H1867</f>
        <v>0</v>
      </c>
      <c r="I1866" s="109" t="s">
        <v>1254</v>
      </c>
      <c r="J1866" s="109" t="str">
        <f t="shared" si="318"/>
        <v>05Б0200000</v>
      </c>
      <c r="K1866" s="132"/>
      <c r="L1866" s="17"/>
      <c r="M1866" s="32">
        <v>400</v>
      </c>
      <c r="N1866" s="32">
        <v>0</v>
      </c>
      <c r="O1866" s="32">
        <v>0</v>
      </c>
      <c r="P1866" s="32">
        <f>H1866-M1866</f>
        <v>-400</v>
      </c>
      <c r="Q1866" s="32" t="e">
        <f>#REF!-N1866</f>
        <v>#REF!</v>
      </c>
      <c r="R1866" s="32" t="e">
        <f>#REF!-O1866</f>
        <v>#REF!</v>
      </c>
      <c r="S1866" s="17" t="str">
        <f t="shared" si="310"/>
        <v>05 Б 02 00000000</v>
      </c>
    </row>
    <row r="1867" spans="1:19" s="16" customFormat="1" ht="31.5">
      <c r="A1867" s="14"/>
      <c r="B1867" s="125" t="s">
        <v>932</v>
      </c>
      <c r="C1867" s="109" t="s">
        <v>412</v>
      </c>
      <c r="D1867" s="109" t="s">
        <v>73</v>
      </c>
      <c r="E1867" s="109" t="s">
        <v>57</v>
      </c>
      <c r="F1867" s="109" t="s">
        <v>933</v>
      </c>
      <c r="G1867" s="109" t="s">
        <v>9</v>
      </c>
      <c r="H1867" s="141">
        <f t="shared" si="322"/>
        <v>0</v>
      </c>
      <c r="I1867" s="109" t="s">
        <v>1255</v>
      </c>
      <c r="J1867" s="109" t="str">
        <f t="shared" si="318"/>
        <v>05Б0221190</v>
      </c>
      <c r="K1867" s="132"/>
      <c r="L1867" s="17"/>
      <c r="M1867" s="32">
        <v>400</v>
      </c>
      <c r="N1867" s="32">
        <v>0</v>
      </c>
      <c r="O1867" s="32">
        <v>0</v>
      </c>
      <c r="P1867" s="32">
        <f>H1867-M1867</f>
        <v>-400</v>
      </c>
      <c r="Q1867" s="32" t="e">
        <f>#REF!-N1867</f>
        <v>#REF!</v>
      </c>
      <c r="R1867" s="32" t="e">
        <f>#REF!-O1867</f>
        <v>#REF!</v>
      </c>
      <c r="S1867" s="17" t="str">
        <f t="shared" si="310"/>
        <v>05 Б 02 21190000</v>
      </c>
    </row>
    <row r="1868" spans="1:19" s="16" customFormat="1" ht="31.5">
      <c r="A1868" s="14"/>
      <c r="B1868" s="125" t="s">
        <v>28</v>
      </c>
      <c r="C1868" s="109" t="s">
        <v>412</v>
      </c>
      <c r="D1868" s="109" t="s">
        <v>73</v>
      </c>
      <c r="E1868" s="109" t="s">
        <v>57</v>
      </c>
      <c r="F1868" s="109" t="s">
        <v>933</v>
      </c>
      <c r="G1868" s="109" t="s">
        <v>29</v>
      </c>
      <c r="H1868" s="126">
        <f>H1869</f>
        <v>0</v>
      </c>
      <c r="I1868" s="109" t="s">
        <v>1255</v>
      </c>
      <c r="J1868" s="109" t="str">
        <f t="shared" si="318"/>
        <v>05Б0221190</v>
      </c>
      <c r="K1868" s="132"/>
      <c r="L1868" s="17"/>
      <c r="M1868" s="32">
        <v>400</v>
      </c>
      <c r="N1868" s="32">
        <v>0</v>
      </c>
      <c r="O1868" s="32">
        <v>0</v>
      </c>
      <c r="P1868" s="32">
        <f>H1868-M1868</f>
        <v>-400</v>
      </c>
      <c r="Q1868" s="32" t="e">
        <f>#REF!-N1868</f>
        <v>#REF!</v>
      </c>
      <c r="R1868" s="32" t="e">
        <f>#REF!-O1868</f>
        <v>#REF!</v>
      </c>
      <c r="S1868" s="17" t="str">
        <f t="shared" si="310"/>
        <v>05 Б 02 21190240</v>
      </c>
    </row>
    <row r="1869" spans="1:19" s="16" customFormat="1" ht="15.75">
      <c r="A1869" s="14"/>
      <c r="B1869" s="125" t="s">
        <v>30</v>
      </c>
      <c r="C1869" s="109" t="s">
        <v>412</v>
      </c>
      <c r="D1869" s="109" t="s">
        <v>73</v>
      </c>
      <c r="E1869" s="109" t="s">
        <v>57</v>
      </c>
      <c r="F1869" s="109" t="s">
        <v>933</v>
      </c>
      <c r="G1869" s="109" t="s">
        <v>31</v>
      </c>
      <c r="H1869" s="126"/>
      <c r="I1869" s="109" t="s">
        <v>1255</v>
      </c>
      <c r="J1869" s="109" t="str">
        <f t="shared" si="318"/>
        <v>05Б0221190</v>
      </c>
      <c r="K1869" s="304" t="str">
        <f>C1869&amp;D1869&amp;E1869&amp;J1869&amp;G1869</f>
        <v>621041205Б0221190244</v>
      </c>
      <c r="L1869" s="17"/>
      <c r="M1869" s="32"/>
      <c r="N1869" s="32"/>
      <c r="O1869" s="32"/>
      <c r="P1869" s="32"/>
      <c r="Q1869" s="32"/>
      <c r="R1869" s="32"/>
      <c r="S1869" s="17"/>
    </row>
    <row r="1870" spans="1:19" s="16" customFormat="1" ht="31.5">
      <c r="A1870" s="14"/>
      <c r="B1870" s="164" t="s">
        <v>911</v>
      </c>
      <c r="C1870" s="109" t="s">
        <v>412</v>
      </c>
      <c r="D1870" s="109" t="s">
        <v>73</v>
      </c>
      <c r="E1870" s="109" t="s">
        <v>57</v>
      </c>
      <c r="F1870" s="108" t="s">
        <v>912</v>
      </c>
      <c r="G1870" s="108" t="s">
        <v>9</v>
      </c>
      <c r="H1870" s="126">
        <f t="shared" ref="H1870:H1871" si="323">H1871</f>
        <v>0</v>
      </c>
      <c r="I1870" s="108">
        <v>8400000000</v>
      </c>
      <c r="J1870" s="108" t="str">
        <f t="shared" si="318"/>
        <v>8400000000</v>
      </c>
      <c r="K1870" s="132"/>
      <c r="L1870" s="17"/>
      <c r="M1870" s="20">
        <v>100</v>
      </c>
      <c r="N1870" s="20">
        <v>100</v>
      </c>
      <c r="O1870" s="20">
        <v>100</v>
      </c>
      <c r="P1870" s="20">
        <f>H1870-M1870</f>
        <v>-100</v>
      </c>
      <c r="Q1870" s="20" t="e">
        <f>#REF!-N1870</f>
        <v>#REF!</v>
      </c>
      <c r="R1870" s="20" t="e">
        <f>#REF!-O1870</f>
        <v>#REF!</v>
      </c>
      <c r="S1870" s="17" t="str">
        <f t="shared" si="310"/>
        <v>84 0 00 00000000</v>
      </c>
    </row>
    <row r="1871" spans="1:19" s="16" customFormat="1" ht="15.75">
      <c r="A1871" s="14"/>
      <c r="B1871" s="164" t="s">
        <v>52</v>
      </c>
      <c r="C1871" s="109" t="s">
        <v>412</v>
      </c>
      <c r="D1871" s="109" t="s">
        <v>73</v>
      </c>
      <c r="E1871" s="109" t="s">
        <v>57</v>
      </c>
      <c r="F1871" s="108" t="s">
        <v>917</v>
      </c>
      <c r="G1871" s="108" t="s">
        <v>9</v>
      </c>
      <c r="H1871" s="126">
        <f t="shared" si="323"/>
        <v>0</v>
      </c>
      <c r="I1871" s="108">
        <v>8420000000</v>
      </c>
      <c r="J1871" s="108" t="str">
        <f t="shared" si="318"/>
        <v>8420000000</v>
      </c>
      <c r="K1871" s="132"/>
      <c r="L1871" s="17"/>
      <c r="M1871" s="20">
        <v>100</v>
      </c>
      <c r="N1871" s="20">
        <v>100</v>
      </c>
      <c r="O1871" s="20">
        <v>100</v>
      </c>
      <c r="P1871" s="20">
        <f>H1871-M1871</f>
        <v>-100</v>
      </c>
      <c r="Q1871" s="20" t="e">
        <f>#REF!-N1871</f>
        <v>#REF!</v>
      </c>
      <c r="R1871" s="20" t="e">
        <f>#REF!-O1871</f>
        <v>#REF!</v>
      </c>
      <c r="S1871" s="17" t="str">
        <f t="shared" si="310"/>
        <v>84 2 00 00000000</v>
      </c>
    </row>
    <row r="1872" spans="1:19" s="16" customFormat="1" ht="31.5">
      <c r="A1872" s="14"/>
      <c r="B1872" s="164" t="s">
        <v>934</v>
      </c>
      <c r="C1872" s="109" t="s">
        <v>412</v>
      </c>
      <c r="D1872" s="109" t="s">
        <v>73</v>
      </c>
      <c r="E1872" s="109" t="s">
        <v>57</v>
      </c>
      <c r="F1872" s="108" t="s">
        <v>935</v>
      </c>
      <c r="G1872" s="108" t="s">
        <v>9</v>
      </c>
      <c r="H1872" s="126">
        <f>H1873</f>
        <v>0</v>
      </c>
      <c r="I1872" s="108">
        <v>8420021210</v>
      </c>
      <c r="J1872" s="108" t="str">
        <f t="shared" si="318"/>
        <v>8420021210</v>
      </c>
      <c r="K1872" s="132"/>
      <c r="L1872" s="17"/>
      <c r="M1872" s="20">
        <v>100</v>
      </c>
      <c r="N1872" s="20">
        <v>100</v>
      </c>
      <c r="O1872" s="20">
        <v>100</v>
      </c>
      <c r="P1872" s="20">
        <f>H1872-M1872</f>
        <v>-100</v>
      </c>
      <c r="Q1872" s="20" t="e">
        <f>#REF!-N1872</f>
        <v>#REF!</v>
      </c>
      <c r="R1872" s="20" t="e">
        <f>#REF!-O1872</f>
        <v>#REF!</v>
      </c>
      <c r="S1872" s="17" t="str">
        <f t="shared" si="310"/>
        <v>84 2 00 21210000</v>
      </c>
    </row>
    <row r="1873" spans="1:19" s="16" customFormat="1" ht="31.5">
      <c r="A1873" s="14"/>
      <c r="B1873" s="125" t="s">
        <v>28</v>
      </c>
      <c r="C1873" s="109" t="s">
        <v>412</v>
      </c>
      <c r="D1873" s="109" t="s">
        <v>73</v>
      </c>
      <c r="E1873" s="109" t="s">
        <v>57</v>
      </c>
      <c r="F1873" s="108" t="s">
        <v>935</v>
      </c>
      <c r="G1873" s="108" t="s">
        <v>29</v>
      </c>
      <c r="H1873" s="126">
        <f>H1874</f>
        <v>0</v>
      </c>
      <c r="I1873" s="108">
        <v>8420021210</v>
      </c>
      <c r="J1873" s="108" t="str">
        <f t="shared" si="318"/>
        <v>8420021210</v>
      </c>
      <c r="K1873" s="132"/>
      <c r="L1873" s="17"/>
      <c r="M1873" s="20">
        <v>100</v>
      </c>
      <c r="N1873" s="20">
        <v>100</v>
      </c>
      <c r="O1873" s="20">
        <v>100</v>
      </c>
      <c r="P1873" s="20">
        <f>H1873-M1873</f>
        <v>-100</v>
      </c>
      <c r="Q1873" s="20" t="e">
        <f>#REF!-N1873</f>
        <v>#REF!</v>
      </c>
      <c r="R1873" s="20" t="e">
        <f>#REF!-O1873</f>
        <v>#REF!</v>
      </c>
      <c r="S1873" s="17" t="str">
        <f t="shared" si="310"/>
        <v>84 2 00 21210240</v>
      </c>
    </row>
    <row r="1874" spans="1:19" s="16" customFormat="1" ht="15.75">
      <c r="A1874" s="14"/>
      <c r="B1874" s="125" t="s">
        <v>30</v>
      </c>
      <c r="C1874" s="109" t="s">
        <v>412</v>
      </c>
      <c r="D1874" s="109" t="s">
        <v>73</v>
      </c>
      <c r="E1874" s="109" t="s">
        <v>57</v>
      </c>
      <c r="F1874" s="108" t="s">
        <v>935</v>
      </c>
      <c r="G1874" s="108" t="s">
        <v>31</v>
      </c>
      <c r="H1874" s="126"/>
      <c r="I1874" s="108">
        <v>8420021210</v>
      </c>
      <c r="J1874" s="108" t="str">
        <f t="shared" si="318"/>
        <v>8420021210</v>
      </c>
      <c r="K1874" s="304" t="str">
        <f>C1874&amp;D1874&amp;E1874&amp;J1874&amp;G1874</f>
        <v>62104128420021210244</v>
      </c>
      <c r="L1874" s="17"/>
      <c r="M1874" s="20"/>
      <c r="N1874" s="20"/>
      <c r="O1874" s="20"/>
      <c r="P1874" s="20"/>
      <c r="Q1874" s="20"/>
      <c r="R1874" s="20"/>
      <c r="S1874" s="17"/>
    </row>
    <row r="1875" spans="1:19" s="16" customFormat="1" ht="15.75">
      <c r="A1875" s="14"/>
      <c r="B1875" s="117" t="s">
        <v>305</v>
      </c>
      <c r="C1875" s="118" t="s">
        <v>412</v>
      </c>
      <c r="D1875" s="119" t="s">
        <v>86</v>
      </c>
      <c r="E1875" s="119" t="s">
        <v>7</v>
      </c>
      <c r="F1875" s="119" t="s">
        <v>8</v>
      </c>
      <c r="G1875" s="119" t="s">
        <v>9</v>
      </c>
      <c r="H1875" s="120">
        <f>H1882+H1876</f>
        <v>0</v>
      </c>
      <c r="I1875" s="119">
        <v>0</v>
      </c>
      <c r="J1875" s="119" t="str">
        <f t="shared" si="318"/>
        <v>0000000000</v>
      </c>
      <c r="K1875" s="132"/>
      <c r="L1875" s="17"/>
      <c r="M1875" s="18">
        <v>50</v>
      </c>
      <c r="N1875" s="18">
        <v>0</v>
      </c>
      <c r="O1875" s="18">
        <v>0</v>
      </c>
      <c r="P1875" s="18">
        <f t="shared" ref="P1875:P1887" si="324">H1875-M1875</f>
        <v>-50</v>
      </c>
      <c r="Q1875" s="18" t="e">
        <f>#REF!-N1875</f>
        <v>#REF!</v>
      </c>
      <c r="R1875" s="18" t="e">
        <f>#REF!-O1875</f>
        <v>#REF!</v>
      </c>
      <c r="S1875" s="17" t="str">
        <f t="shared" si="310"/>
        <v>00 0 00 00000000</v>
      </c>
    </row>
    <row r="1876" spans="1:19" s="16" customFormat="1" ht="15.75">
      <c r="A1876" s="14"/>
      <c r="B1876" s="121" t="s">
        <v>765</v>
      </c>
      <c r="C1876" s="122" t="s">
        <v>412</v>
      </c>
      <c r="D1876" s="123" t="s">
        <v>86</v>
      </c>
      <c r="E1876" s="123" t="s">
        <v>11</v>
      </c>
      <c r="F1876" s="123" t="s">
        <v>8</v>
      </c>
      <c r="G1876" s="123" t="s">
        <v>9</v>
      </c>
      <c r="H1876" s="124">
        <f>H1877</f>
        <v>0</v>
      </c>
      <c r="I1876" s="123">
        <v>0</v>
      </c>
      <c r="J1876" s="123" t="str">
        <f t="shared" si="318"/>
        <v>0000000000</v>
      </c>
      <c r="K1876" s="132"/>
      <c r="L1876" s="17"/>
      <c r="M1876" s="18"/>
      <c r="N1876" s="18"/>
      <c r="O1876" s="18"/>
      <c r="P1876" s="18"/>
      <c r="Q1876" s="18"/>
      <c r="R1876" s="18"/>
      <c r="S1876" s="17"/>
    </row>
    <row r="1877" spans="1:19" s="16" customFormat="1" ht="31.5">
      <c r="A1877" s="14"/>
      <c r="B1877" s="164" t="s">
        <v>911</v>
      </c>
      <c r="C1877" s="109" t="s">
        <v>412</v>
      </c>
      <c r="D1877" s="108" t="s">
        <v>86</v>
      </c>
      <c r="E1877" s="108" t="s">
        <v>11</v>
      </c>
      <c r="F1877" s="108" t="s">
        <v>912</v>
      </c>
      <c r="G1877" s="108" t="s">
        <v>9</v>
      </c>
      <c r="H1877" s="126">
        <f>H1878</f>
        <v>0</v>
      </c>
      <c r="I1877" s="108">
        <v>8400000000</v>
      </c>
      <c r="J1877" s="108" t="str">
        <f t="shared" si="318"/>
        <v>8400000000</v>
      </c>
      <c r="K1877" s="132"/>
      <c r="L1877" s="17"/>
      <c r="M1877" s="18"/>
      <c r="N1877" s="18"/>
      <c r="O1877" s="18"/>
      <c r="P1877" s="18"/>
      <c r="Q1877" s="18"/>
      <c r="R1877" s="18"/>
      <c r="S1877" s="17"/>
    </row>
    <row r="1878" spans="1:19" s="16" customFormat="1" ht="15.75">
      <c r="A1878" s="14"/>
      <c r="B1878" s="164" t="s">
        <v>52</v>
      </c>
      <c r="C1878" s="109" t="s">
        <v>412</v>
      </c>
      <c r="D1878" s="108" t="s">
        <v>86</v>
      </c>
      <c r="E1878" s="108" t="s">
        <v>11</v>
      </c>
      <c r="F1878" s="108" t="s">
        <v>917</v>
      </c>
      <c r="G1878" s="108" t="s">
        <v>9</v>
      </c>
      <c r="H1878" s="126">
        <f>H1879</f>
        <v>0</v>
      </c>
      <c r="I1878" s="108">
        <v>8420000000</v>
      </c>
      <c r="J1878" s="108" t="str">
        <f t="shared" si="318"/>
        <v>8420000000</v>
      </c>
      <c r="K1878" s="132"/>
      <c r="L1878" s="17"/>
      <c r="M1878" s="18"/>
      <c r="N1878" s="18"/>
      <c r="O1878" s="18"/>
      <c r="P1878" s="18"/>
      <c r="Q1878" s="18"/>
      <c r="R1878" s="18"/>
      <c r="S1878" s="17"/>
    </row>
    <row r="1879" spans="1:19" s="16" customFormat="1" ht="31.5">
      <c r="A1879" s="14"/>
      <c r="B1879" s="164" t="s">
        <v>856</v>
      </c>
      <c r="C1879" s="109" t="s">
        <v>412</v>
      </c>
      <c r="D1879" s="108" t="s">
        <v>86</v>
      </c>
      <c r="E1879" s="108" t="s">
        <v>11</v>
      </c>
      <c r="F1879" s="108" t="s">
        <v>1079</v>
      </c>
      <c r="G1879" s="108" t="s">
        <v>9</v>
      </c>
      <c r="H1879" s="126">
        <f>H1880</f>
        <v>0</v>
      </c>
      <c r="I1879" s="108">
        <v>8420020200</v>
      </c>
      <c r="J1879" s="108" t="str">
        <f t="shared" si="318"/>
        <v>8420020200</v>
      </c>
      <c r="K1879" s="132"/>
      <c r="L1879" s="17"/>
      <c r="M1879" s="18"/>
      <c r="N1879" s="18"/>
      <c r="O1879" s="18"/>
      <c r="P1879" s="18"/>
      <c r="Q1879" s="18"/>
      <c r="R1879" s="18"/>
      <c r="S1879" s="17"/>
    </row>
    <row r="1880" spans="1:19" s="16" customFormat="1" ht="31.5">
      <c r="A1880" s="14"/>
      <c r="B1880" s="125" t="s">
        <v>28</v>
      </c>
      <c r="C1880" s="109" t="s">
        <v>412</v>
      </c>
      <c r="D1880" s="108" t="s">
        <v>86</v>
      </c>
      <c r="E1880" s="108" t="s">
        <v>11</v>
      </c>
      <c r="F1880" s="108" t="s">
        <v>1079</v>
      </c>
      <c r="G1880" s="108" t="s">
        <v>29</v>
      </c>
      <c r="H1880" s="126">
        <f>H1881</f>
        <v>0</v>
      </c>
      <c r="I1880" s="108">
        <v>8420020200</v>
      </c>
      <c r="J1880" s="108" t="str">
        <f t="shared" si="318"/>
        <v>8420020200</v>
      </c>
      <c r="K1880" s="132"/>
      <c r="L1880" s="17"/>
      <c r="M1880" s="18"/>
      <c r="N1880" s="18"/>
      <c r="O1880" s="18"/>
      <c r="P1880" s="18"/>
      <c r="Q1880" s="18"/>
      <c r="R1880" s="18"/>
      <c r="S1880" s="17"/>
    </row>
    <row r="1881" spans="1:19" s="16" customFormat="1" ht="15.75">
      <c r="A1881" s="14"/>
      <c r="B1881" s="125" t="s">
        <v>30</v>
      </c>
      <c r="C1881" s="109" t="s">
        <v>412</v>
      </c>
      <c r="D1881" s="108" t="s">
        <v>86</v>
      </c>
      <c r="E1881" s="108" t="s">
        <v>11</v>
      </c>
      <c r="F1881" s="108" t="s">
        <v>1079</v>
      </c>
      <c r="G1881" s="108" t="s">
        <v>31</v>
      </c>
      <c r="H1881" s="126"/>
      <c r="I1881" s="108">
        <v>8420020200</v>
      </c>
      <c r="J1881" s="108" t="str">
        <f t="shared" si="318"/>
        <v>8420020200</v>
      </c>
      <c r="K1881" s="304" t="str">
        <f>C1881&amp;D1881&amp;E1881&amp;J1881&amp;G1881</f>
        <v>62105018420020200244</v>
      </c>
      <c r="L1881" s="17"/>
      <c r="M1881" s="18"/>
      <c r="N1881" s="18"/>
      <c r="O1881" s="18"/>
      <c r="P1881" s="18"/>
      <c r="Q1881" s="18"/>
      <c r="R1881" s="18"/>
      <c r="S1881" s="17"/>
    </row>
    <row r="1882" spans="1:19" s="16" customFormat="1" ht="15.75">
      <c r="A1882" s="14"/>
      <c r="B1882" s="121" t="s">
        <v>306</v>
      </c>
      <c r="C1882" s="122" t="s">
        <v>412</v>
      </c>
      <c r="D1882" s="123" t="s">
        <v>86</v>
      </c>
      <c r="E1882" s="123" t="s">
        <v>13</v>
      </c>
      <c r="F1882" s="123" t="s">
        <v>8</v>
      </c>
      <c r="G1882" s="123" t="s">
        <v>9</v>
      </c>
      <c r="H1882" s="124">
        <f>H1883+H1912</f>
        <v>0</v>
      </c>
      <c r="I1882" s="123">
        <v>0</v>
      </c>
      <c r="J1882" s="123" t="str">
        <f t="shared" si="318"/>
        <v>0000000000</v>
      </c>
      <c r="K1882" s="132"/>
      <c r="L1882" s="17"/>
      <c r="M1882" s="19">
        <v>50</v>
      </c>
      <c r="N1882" s="19">
        <v>0</v>
      </c>
      <c r="O1882" s="19">
        <v>0</v>
      </c>
      <c r="P1882" s="19">
        <f t="shared" si="324"/>
        <v>-50</v>
      </c>
      <c r="Q1882" s="19" t="e">
        <f>#REF!-N1882</f>
        <v>#REF!</v>
      </c>
      <c r="R1882" s="19" t="e">
        <f>#REF!-O1882</f>
        <v>#REF!</v>
      </c>
      <c r="S1882" s="17" t="str">
        <f t="shared" ref="S1882:S1982" si="325">CONCATENATE(F1882,G1882)</f>
        <v>00 0 00 00000000</v>
      </c>
    </row>
    <row r="1883" spans="1:19" s="16" customFormat="1" ht="63">
      <c r="A1883" s="14"/>
      <c r="B1883" s="127" t="s">
        <v>293</v>
      </c>
      <c r="C1883" s="108" t="s">
        <v>412</v>
      </c>
      <c r="D1883" s="108" t="s">
        <v>86</v>
      </c>
      <c r="E1883" s="108" t="s">
        <v>13</v>
      </c>
      <c r="F1883" s="108" t="s">
        <v>294</v>
      </c>
      <c r="G1883" s="108" t="s">
        <v>9</v>
      </c>
      <c r="H1883" s="141">
        <f t="shared" ref="H1883:H1884" si="326">H1884</f>
        <v>0</v>
      </c>
      <c r="I1883" s="108">
        <v>400000000</v>
      </c>
      <c r="J1883" s="108" t="str">
        <f t="shared" si="318"/>
        <v>0400000000</v>
      </c>
      <c r="K1883" s="132"/>
      <c r="L1883" s="17"/>
      <c r="M1883" s="32">
        <v>50</v>
      </c>
      <c r="N1883" s="32">
        <v>0</v>
      </c>
      <c r="O1883" s="32">
        <v>0</v>
      </c>
      <c r="P1883" s="32">
        <f t="shared" si="324"/>
        <v>-50</v>
      </c>
      <c r="Q1883" s="32" t="e">
        <f>#REF!-N1883</f>
        <v>#REF!</v>
      </c>
      <c r="R1883" s="32" t="e">
        <f>#REF!-O1883</f>
        <v>#REF!</v>
      </c>
      <c r="S1883" s="17" t="str">
        <f t="shared" si="325"/>
        <v>04 0 00 00000000</v>
      </c>
    </row>
    <row r="1884" spans="1:19" s="16" customFormat="1" ht="31.5">
      <c r="A1884" s="14"/>
      <c r="B1884" s="125" t="s">
        <v>307</v>
      </c>
      <c r="C1884" s="108" t="s">
        <v>412</v>
      </c>
      <c r="D1884" s="108" t="s">
        <v>86</v>
      </c>
      <c r="E1884" s="108" t="s">
        <v>13</v>
      </c>
      <c r="F1884" s="108" t="s">
        <v>308</v>
      </c>
      <c r="G1884" s="108" t="s">
        <v>9</v>
      </c>
      <c r="H1884" s="141">
        <f t="shared" si="326"/>
        <v>0</v>
      </c>
      <c r="I1884" s="108">
        <v>430000000</v>
      </c>
      <c r="J1884" s="108" t="str">
        <f t="shared" si="318"/>
        <v>0430000000</v>
      </c>
      <c r="K1884" s="132"/>
      <c r="L1884" s="17"/>
      <c r="M1884" s="32">
        <v>50</v>
      </c>
      <c r="N1884" s="32">
        <v>0</v>
      </c>
      <c r="O1884" s="32">
        <v>0</v>
      </c>
      <c r="P1884" s="32">
        <f t="shared" si="324"/>
        <v>-50</v>
      </c>
      <c r="Q1884" s="32" t="e">
        <f>#REF!-N1884</f>
        <v>#REF!</v>
      </c>
      <c r="R1884" s="32" t="e">
        <f>#REF!-O1884</f>
        <v>#REF!</v>
      </c>
      <c r="S1884" s="17" t="str">
        <f t="shared" si="325"/>
        <v>04 3 00 00000000</v>
      </c>
    </row>
    <row r="1885" spans="1:19" s="16" customFormat="1" ht="31.5">
      <c r="A1885" s="14"/>
      <c r="B1885" s="307" t="s">
        <v>309</v>
      </c>
      <c r="C1885" s="130" t="s">
        <v>412</v>
      </c>
      <c r="D1885" s="131" t="s">
        <v>86</v>
      </c>
      <c r="E1885" s="131" t="s">
        <v>13</v>
      </c>
      <c r="F1885" s="108" t="s">
        <v>310</v>
      </c>
      <c r="G1885" s="131" t="s">
        <v>9</v>
      </c>
      <c r="H1885" s="105">
        <f>H1886+H1897+H1903+H1891+H1894+H1909</f>
        <v>0</v>
      </c>
      <c r="I1885" s="108">
        <v>430400000</v>
      </c>
      <c r="J1885" s="108" t="str">
        <f t="shared" si="318"/>
        <v>0430400000</v>
      </c>
      <c r="K1885" s="132"/>
      <c r="L1885" s="17"/>
      <c r="M1885" s="26">
        <v>50</v>
      </c>
      <c r="N1885" s="26">
        <v>0</v>
      </c>
      <c r="O1885" s="26">
        <v>0</v>
      </c>
      <c r="P1885" s="26">
        <f t="shared" si="324"/>
        <v>-50</v>
      </c>
      <c r="Q1885" s="26" t="e">
        <f>#REF!-N1885</f>
        <v>#REF!</v>
      </c>
      <c r="R1885" s="26" t="e">
        <f>#REF!-O1885</f>
        <v>#REF!</v>
      </c>
      <c r="S1885" s="17" t="str">
        <f t="shared" si="325"/>
        <v>04 3 04 00000000</v>
      </c>
    </row>
    <row r="1886" spans="1:19" s="16" customFormat="1" ht="31.5">
      <c r="A1886" s="14"/>
      <c r="B1886" s="307" t="s">
        <v>542</v>
      </c>
      <c r="C1886" s="130" t="s">
        <v>412</v>
      </c>
      <c r="D1886" s="131" t="s">
        <v>86</v>
      </c>
      <c r="E1886" s="131" t="s">
        <v>13</v>
      </c>
      <c r="F1886" s="308" t="s">
        <v>543</v>
      </c>
      <c r="G1886" s="308" t="s">
        <v>9</v>
      </c>
      <c r="H1886" s="126">
        <f>H1887+H1889</f>
        <v>0</v>
      </c>
      <c r="I1886" s="308">
        <v>430420300</v>
      </c>
      <c r="J1886" s="308" t="str">
        <f t="shared" si="318"/>
        <v>0430420300</v>
      </c>
      <c r="K1886" s="132"/>
      <c r="L1886" s="17"/>
      <c r="M1886" s="20">
        <v>50</v>
      </c>
      <c r="N1886" s="20">
        <v>0</v>
      </c>
      <c r="O1886" s="20">
        <v>0</v>
      </c>
      <c r="P1886" s="20">
        <f t="shared" si="324"/>
        <v>-50</v>
      </c>
      <c r="Q1886" s="20" t="e">
        <f>#REF!-N1886</f>
        <v>#REF!</v>
      </c>
      <c r="R1886" s="20" t="e">
        <f>#REF!-O1886</f>
        <v>#REF!</v>
      </c>
      <c r="S1886" s="17" t="str">
        <f t="shared" si="325"/>
        <v>04 3 04 20300000</v>
      </c>
    </row>
    <row r="1887" spans="1:19" s="16" customFormat="1" ht="31.5">
      <c r="A1887" s="14"/>
      <c r="B1887" s="307" t="s">
        <v>28</v>
      </c>
      <c r="C1887" s="130" t="s">
        <v>412</v>
      </c>
      <c r="D1887" s="131" t="s">
        <v>86</v>
      </c>
      <c r="E1887" s="131" t="s">
        <v>13</v>
      </c>
      <c r="F1887" s="308" t="s">
        <v>543</v>
      </c>
      <c r="G1887" s="308" t="s">
        <v>29</v>
      </c>
      <c r="H1887" s="126">
        <f>H1888</f>
        <v>0</v>
      </c>
      <c r="I1887" s="308">
        <v>430420300</v>
      </c>
      <c r="J1887" s="308" t="str">
        <f t="shared" si="318"/>
        <v>0430420300</v>
      </c>
      <c r="K1887" s="132"/>
      <c r="L1887" s="17"/>
      <c r="M1887" s="20">
        <v>50</v>
      </c>
      <c r="N1887" s="20">
        <v>0</v>
      </c>
      <c r="O1887" s="20">
        <v>0</v>
      </c>
      <c r="P1887" s="20">
        <f t="shared" si="324"/>
        <v>-50</v>
      </c>
      <c r="Q1887" s="20" t="e">
        <f>#REF!-N1887</f>
        <v>#REF!</v>
      </c>
      <c r="R1887" s="20" t="e">
        <f>#REF!-O1887</f>
        <v>#REF!</v>
      </c>
      <c r="S1887" s="17" t="str">
        <f t="shared" si="325"/>
        <v>04 3 04 20300240</v>
      </c>
    </row>
    <row r="1888" spans="1:19" s="16" customFormat="1" ht="15.75">
      <c r="A1888" s="14"/>
      <c r="B1888" s="125" t="s">
        <v>30</v>
      </c>
      <c r="C1888" s="130" t="s">
        <v>412</v>
      </c>
      <c r="D1888" s="131" t="s">
        <v>86</v>
      </c>
      <c r="E1888" s="131" t="s">
        <v>13</v>
      </c>
      <c r="F1888" s="308" t="s">
        <v>543</v>
      </c>
      <c r="G1888" s="308" t="s">
        <v>31</v>
      </c>
      <c r="H1888" s="126"/>
      <c r="I1888" s="308">
        <v>430420300</v>
      </c>
      <c r="J1888" s="308" t="str">
        <f t="shared" si="318"/>
        <v>0430420300</v>
      </c>
      <c r="K1888" s="304" t="str">
        <f>C1888&amp;D1888&amp;E1888&amp;J1888&amp;G1888</f>
        <v>62105030430420300244</v>
      </c>
      <c r="L1888" s="17"/>
      <c r="M1888" s="20"/>
      <c r="N1888" s="20"/>
      <c r="O1888" s="20"/>
      <c r="P1888" s="20"/>
      <c r="Q1888" s="20"/>
      <c r="R1888" s="20"/>
      <c r="S1888" s="17"/>
    </row>
    <row r="1889" spans="1:19" s="16" customFormat="1" ht="15.75">
      <c r="A1889" s="14"/>
      <c r="B1889" s="125" t="s">
        <v>937</v>
      </c>
      <c r="C1889" s="130" t="s">
        <v>412</v>
      </c>
      <c r="D1889" s="131" t="s">
        <v>86</v>
      </c>
      <c r="E1889" s="131" t="s">
        <v>13</v>
      </c>
      <c r="F1889" s="308" t="s">
        <v>543</v>
      </c>
      <c r="G1889" s="308" t="s">
        <v>838</v>
      </c>
      <c r="H1889" s="126">
        <f>H1890</f>
        <v>0</v>
      </c>
      <c r="I1889" s="308">
        <v>430420300</v>
      </c>
      <c r="J1889" s="308" t="str">
        <f t="shared" si="318"/>
        <v>0430420300</v>
      </c>
      <c r="K1889" s="17"/>
      <c r="L1889" s="17"/>
      <c r="M1889" s="20"/>
      <c r="N1889" s="20"/>
      <c r="O1889" s="20"/>
      <c r="P1889" s="20"/>
      <c r="Q1889" s="20"/>
      <c r="R1889" s="20"/>
      <c r="S1889" s="17"/>
    </row>
    <row r="1890" spans="1:19" s="16" customFormat="1" ht="47.25">
      <c r="A1890" s="14"/>
      <c r="B1890" s="125" t="s">
        <v>839</v>
      </c>
      <c r="C1890" s="130" t="s">
        <v>412</v>
      </c>
      <c r="D1890" s="131" t="s">
        <v>86</v>
      </c>
      <c r="E1890" s="131" t="s">
        <v>13</v>
      </c>
      <c r="F1890" s="308" t="s">
        <v>543</v>
      </c>
      <c r="G1890" s="308" t="s">
        <v>840</v>
      </c>
      <c r="H1890" s="126"/>
      <c r="I1890" s="308">
        <v>430420300</v>
      </c>
      <c r="J1890" s="308" t="str">
        <f t="shared" si="318"/>
        <v>0430420300</v>
      </c>
      <c r="K1890" s="304" t="str">
        <f>C1890&amp;D1890&amp;E1890&amp;J1890&amp;G1890</f>
        <v>62105030430420300414</v>
      </c>
      <c r="L1890" s="17"/>
      <c r="M1890" s="20"/>
      <c r="N1890" s="20"/>
      <c r="O1890" s="20"/>
      <c r="P1890" s="20"/>
      <c r="Q1890" s="20"/>
      <c r="R1890" s="20"/>
      <c r="S1890" s="17"/>
    </row>
    <row r="1891" spans="1:19" s="16" customFormat="1" ht="97.5" customHeight="1">
      <c r="A1891" s="14"/>
      <c r="B1891" s="127" t="s">
        <v>1084</v>
      </c>
      <c r="C1891" s="130" t="s">
        <v>412</v>
      </c>
      <c r="D1891" s="131" t="s">
        <v>86</v>
      </c>
      <c r="E1891" s="131" t="s">
        <v>13</v>
      </c>
      <c r="F1891" s="131" t="s">
        <v>1085</v>
      </c>
      <c r="G1891" s="131" t="s">
        <v>9</v>
      </c>
      <c r="H1891" s="105">
        <f>H1892</f>
        <v>0</v>
      </c>
      <c r="I1891" s="131">
        <v>430420800</v>
      </c>
      <c r="J1891" s="131" t="str">
        <f t="shared" si="318"/>
        <v>0430420800</v>
      </c>
      <c r="K1891" s="132"/>
      <c r="L1891" s="17"/>
      <c r="M1891" s="20"/>
      <c r="N1891" s="20"/>
      <c r="O1891" s="20"/>
      <c r="P1891" s="20"/>
      <c r="Q1891" s="20"/>
      <c r="R1891" s="20"/>
      <c r="S1891" s="17"/>
    </row>
    <row r="1892" spans="1:19" s="16" customFormat="1" ht="31.5">
      <c r="A1892" s="14"/>
      <c r="B1892" s="125" t="s">
        <v>28</v>
      </c>
      <c r="C1892" s="130" t="s">
        <v>412</v>
      </c>
      <c r="D1892" s="131" t="s">
        <v>86</v>
      </c>
      <c r="E1892" s="131" t="s">
        <v>13</v>
      </c>
      <c r="F1892" s="131" t="s">
        <v>1085</v>
      </c>
      <c r="G1892" s="131" t="s">
        <v>29</v>
      </c>
      <c r="H1892" s="105">
        <f>H1893</f>
        <v>0</v>
      </c>
      <c r="I1892" s="131">
        <v>430420800</v>
      </c>
      <c r="J1892" s="131" t="str">
        <f t="shared" si="318"/>
        <v>0430420800</v>
      </c>
      <c r="K1892" s="132"/>
      <c r="L1892" s="17"/>
      <c r="M1892" s="20"/>
      <c r="N1892" s="20"/>
      <c r="O1892" s="20"/>
      <c r="P1892" s="20"/>
      <c r="Q1892" s="20"/>
      <c r="R1892" s="20"/>
      <c r="S1892" s="17"/>
    </row>
    <row r="1893" spans="1:19" s="16" customFormat="1" ht="15.75">
      <c r="A1893" s="14"/>
      <c r="B1893" s="125" t="s">
        <v>30</v>
      </c>
      <c r="C1893" s="130" t="s">
        <v>412</v>
      </c>
      <c r="D1893" s="131" t="s">
        <v>86</v>
      </c>
      <c r="E1893" s="131" t="s">
        <v>13</v>
      </c>
      <c r="F1893" s="131" t="s">
        <v>1085</v>
      </c>
      <c r="G1893" s="108" t="s">
        <v>31</v>
      </c>
      <c r="H1893" s="126"/>
      <c r="I1893" s="131">
        <v>430420800</v>
      </c>
      <c r="J1893" s="131" t="str">
        <f t="shared" si="318"/>
        <v>0430420800</v>
      </c>
      <c r="K1893" s="304" t="str">
        <f>C1893&amp;D1893&amp;E1893&amp;J1893&amp;G1893</f>
        <v>62105030430420800244</v>
      </c>
      <c r="L1893" s="17"/>
      <c r="M1893" s="20"/>
      <c r="N1893" s="20"/>
      <c r="O1893" s="20"/>
      <c r="P1893" s="20"/>
      <c r="Q1893" s="20"/>
      <c r="R1893" s="20"/>
      <c r="S1893" s="17"/>
    </row>
    <row r="1894" spans="1:19" s="16" customFormat="1" ht="47.25">
      <c r="A1894" s="14"/>
      <c r="B1894" s="125" t="s">
        <v>1149</v>
      </c>
      <c r="C1894" s="130" t="s">
        <v>412</v>
      </c>
      <c r="D1894" s="131" t="s">
        <v>86</v>
      </c>
      <c r="E1894" s="131" t="s">
        <v>13</v>
      </c>
      <c r="F1894" s="131" t="s">
        <v>1146</v>
      </c>
      <c r="G1894" s="131" t="s">
        <v>9</v>
      </c>
      <c r="H1894" s="126">
        <f>H1895</f>
        <v>0</v>
      </c>
      <c r="I1894" s="131">
        <v>430477330</v>
      </c>
      <c r="J1894" s="131" t="str">
        <f t="shared" si="318"/>
        <v>0430477330</v>
      </c>
      <c r="K1894" s="17"/>
      <c r="L1894" s="17"/>
      <c r="M1894" s="20"/>
      <c r="N1894" s="20"/>
      <c r="O1894" s="20"/>
      <c r="P1894" s="20"/>
      <c r="Q1894" s="20"/>
      <c r="R1894" s="20"/>
      <c r="S1894" s="17"/>
    </row>
    <row r="1895" spans="1:19" s="16" customFormat="1" ht="31.5">
      <c r="A1895" s="14"/>
      <c r="B1895" s="125" t="s">
        <v>28</v>
      </c>
      <c r="C1895" s="130" t="s">
        <v>412</v>
      </c>
      <c r="D1895" s="131" t="s">
        <v>86</v>
      </c>
      <c r="E1895" s="131" t="s">
        <v>13</v>
      </c>
      <c r="F1895" s="131" t="s">
        <v>1146</v>
      </c>
      <c r="G1895" s="131" t="s">
        <v>29</v>
      </c>
      <c r="H1895" s="126">
        <f>H1896</f>
        <v>0</v>
      </c>
      <c r="I1895" s="131">
        <v>430477330</v>
      </c>
      <c r="J1895" s="131" t="str">
        <f t="shared" si="318"/>
        <v>0430477330</v>
      </c>
      <c r="K1895" s="17"/>
      <c r="L1895" s="17"/>
      <c r="M1895" s="20"/>
      <c r="N1895" s="20"/>
      <c r="O1895" s="20"/>
      <c r="P1895" s="20"/>
      <c r="Q1895" s="20"/>
      <c r="R1895" s="20"/>
      <c r="S1895" s="17"/>
    </row>
    <row r="1896" spans="1:19" s="16" customFormat="1" ht="15.75">
      <c r="A1896" s="14"/>
      <c r="B1896" s="125" t="s">
        <v>30</v>
      </c>
      <c r="C1896" s="130" t="s">
        <v>412</v>
      </c>
      <c r="D1896" s="131" t="s">
        <v>86</v>
      </c>
      <c r="E1896" s="131" t="s">
        <v>13</v>
      </c>
      <c r="F1896" s="131" t="s">
        <v>1146</v>
      </c>
      <c r="G1896" s="131" t="s">
        <v>31</v>
      </c>
      <c r="H1896" s="126"/>
      <c r="I1896" s="131">
        <v>430477330</v>
      </c>
      <c r="J1896" s="131" t="str">
        <f t="shared" si="318"/>
        <v>0430477330</v>
      </c>
      <c r="K1896" s="304" t="str">
        <f>C1896&amp;D1896&amp;E1896&amp;J1896&amp;G1896</f>
        <v>62105030430477330244</v>
      </c>
      <c r="L1896" s="17"/>
      <c r="M1896" s="20"/>
      <c r="N1896" s="20"/>
      <c r="O1896" s="20"/>
      <c r="P1896" s="20"/>
      <c r="Q1896" s="20"/>
      <c r="R1896" s="20"/>
      <c r="S1896" s="17"/>
    </row>
    <row r="1897" spans="1:19" s="16" customFormat="1" ht="47.25">
      <c r="A1897" s="14"/>
      <c r="B1897" s="125" t="s">
        <v>1043</v>
      </c>
      <c r="C1897" s="130" t="s">
        <v>412</v>
      </c>
      <c r="D1897" s="131" t="s">
        <v>86</v>
      </c>
      <c r="E1897" s="131" t="s">
        <v>13</v>
      </c>
      <c r="F1897" s="131" t="s">
        <v>1056</v>
      </c>
      <c r="G1897" s="131" t="s">
        <v>9</v>
      </c>
      <c r="H1897" s="126">
        <f>H1901</f>
        <v>0</v>
      </c>
      <c r="I1897" s="131" t="s">
        <v>1231</v>
      </c>
      <c r="J1897" s="131" t="str">
        <f t="shared" si="318"/>
        <v>04304G6420</v>
      </c>
      <c r="K1897" s="132"/>
      <c r="L1897" s="17"/>
      <c r="M1897" s="20"/>
      <c r="N1897" s="20"/>
      <c r="O1897" s="20"/>
      <c r="P1897" s="20"/>
      <c r="Q1897" s="20"/>
      <c r="R1897" s="20"/>
      <c r="S1897" s="17"/>
    </row>
    <row r="1898" spans="1:19" s="16" customFormat="1" ht="15.75">
      <c r="A1898" s="14"/>
      <c r="B1898" s="132" t="s">
        <v>1045</v>
      </c>
      <c r="C1898" s="130"/>
      <c r="D1898" s="131"/>
      <c r="E1898" s="131"/>
      <c r="F1898" s="131"/>
      <c r="G1898" s="131"/>
      <c r="H1898" s="126"/>
      <c r="I1898" s="131"/>
      <c r="J1898" s="131" t="str">
        <f t="shared" si="318"/>
        <v>0000000000</v>
      </c>
      <c r="K1898" s="17"/>
      <c r="L1898" s="17"/>
      <c r="M1898" s="20"/>
      <c r="N1898" s="20"/>
      <c r="O1898" s="20"/>
      <c r="P1898" s="20"/>
      <c r="Q1898" s="20"/>
      <c r="R1898" s="20"/>
      <c r="S1898" s="17"/>
    </row>
    <row r="1899" spans="1:19" s="16" customFormat="1" ht="15.75">
      <c r="A1899" s="14"/>
      <c r="B1899" s="125" t="s">
        <v>1046</v>
      </c>
      <c r="C1899" s="130" t="s">
        <v>412</v>
      </c>
      <c r="D1899" s="131" t="s">
        <v>86</v>
      </c>
      <c r="E1899" s="131" t="s">
        <v>13</v>
      </c>
      <c r="F1899" s="131" t="s">
        <v>1056</v>
      </c>
      <c r="G1899" s="131" t="s">
        <v>9</v>
      </c>
      <c r="H1899" s="126">
        <v>310200</v>
      </c>
      <c r="I1899" s="131" t="s">
        <v>1231</v>
      </c>
      <c r="J1899" s="131" t="str">
        <f t="shared" si="318"/>
        <v>04304G6420</v>
      </c>
      <c r="K1899" s="132"/>
      <c r="L1899" s="17"/>
      <c r="M1899" s="20"/>
      <c r="N1899" s="20"/>
      <c r="O1899" s="20"/>
      <c r="P1899" s="20"/>
      <c r="Q1899" s="20"/>
      <c r="R1899" s="20"/>
      <c r="S1899" s="17"/>
    </row>
    <row r="1900" spans="1:19" s="16" customFormat="1" ht="15.75">
      <c r="A1900" s="14"/>
      <c r="B1900" s="125" t="s">
        <v>1047</v>
      </c>
      <c r="C1900" s="130" t="s">
        <v>412</v>
      </c>
      <c r="D1900" s="131" t="s">
        <v>86</v>
      </c>
      <c r="E1900" s="131" t="s">
        <v>13</v>
      </c>
      <c r="F1900" s="131" t="s">
        <v>1056</v>
      </c>
      <c r="G1900" s="131" t="s">
        <v>9</v>
      </c>
      <c r="H1900" s="126">
        <v>10336493.439999999</v>
      </c>
      <c r="I1900" s="131" t="s">
        <v>1231</v>
      </c>
      <c r="J1900" s="131" t="str">
        <f t="shared" si="318"/>
        <v>04304G6420</v>
      </c>
      <c r="K1900" s="132"/>
      <c r="L1900" s="17"/>
      <c r="M1900" s="20"/>
      <c r="N1900" s="20"/>
      <c r="O1900" s="20"/>
      <c r="P1900" s="20"/>
      <c r="Q1900" s="20"/>
      <c r="R1900" s="20"/>
      <c r="S1900" s="17"/>
    </row>
    <row r="1901" spans="1:19" s="16" customFormat="1" ht="31.5">
      <c r="A1901" s="14"/>
      <c r="B1901" s="125" t="s">
        <v>28</v>
      </c>
      <c r="C1901" s="130" t="s">
        <v>412</v>
      </c>
      <c r="D1901" s="131" t="s">
        <v>86</v>
      </c>
      <c r="E1901" s="131" t="s">
        <v>13</v>
      </c>
      <c r="F1901" s="131" t="s">
        <v>1056</v>
      </c>
      <c r="G1901" s="131" t="s">
        <v>29</v>
      </c>
      <c r="H1901" s="126">
        <f>H1902</f>
        <v>0</v>
      </c>
      <c r="I1901" s="131" t="s">
        <v>1231</v>
      </c>
      <c r="J1901" s="131" t="str">
        <f t="shared" si="318"/>
        <v>04304G6420</v>
      </c>
      <c r="K1901" s="132"/>
      <c r="L1901" s="17"/>
      <c r="M1901" s="20"/>
      <c r="N1901" s="20"/>
      <c r="O1901" s="20"/>
      <c r="P1901" s="20"/>
      <c r="Q1901" s="20"/>
      <c r="R1901" s="20"/>
      <c r="S1901" s="17"/>
    </row>
    <row r="1902" spans="1:19" s="16" customFormat="1" ht="15.75">
      <c r="A1902" s="14"/>
      <c r="B1902" s="125" t="s">
        <v>30</v>
      </c>
      <c r="C1902" s="130" t="s">
        <v>412</v>
      </c>
      <c r="D1902" s="131" t="s">
        <v>86</v>
      </c>
      <c r="E1902" s="131" t="s">
        <v>13</v>
      </c>
      <c r="F1902" s="131" t="s">
        <v>1056</v>
      </c>
      <c r="G1902" s="131" t="s">
        <v>31</v>
      </c>
      <c r="H1902" s="126"/>
      <c r="I1902" s="131" t="s">
        <v>1231</v>
      </c>
      <c r="J1902" s="131" t="str">
        <f t="shared" si="318"/>
        <v>04304G6420</v>
      </c>
      <c r="K1902" s="304" t="str">
        <f>C1902&amp;D1902&amp;E1902&amp;J1902&amp;G1902</f>
        <v>621050304304G6420244</v>
      </c>
      <c r="L1902" s="17"/>
      <c r="M1902" s="20"/>
      <c r="N1902" s="20"/>
      <c r="O1902" s="20"/>
      <c r="P1902" s="20"/>
      <c r="Q1902" s="20"/>
      <c r="R1902" s="20"/>
      <c r="S1902" s="17"/>
    </row>
    <row r="1903" spans="1:19" s="16" customFormat="1" ht="47.25">
      <c r="A1903" s="14"/>
      <c r="B1903" s="127" t="s">
        <v>1048</v>
      </c>
      <c r="C1903" s="130" t="s">
        <v>412</v>
      </c>
      <c r="D1903" s="131" t="s">
        <v>86</v>
      </c>
      <c r="E1903" s="131" t="s">
        <v>13</v>
      </c>
      <c r="F1903" s="131" t="s">
        <v>1057</v>
      </c>
      <c r="G1903" s="131" t="s">
        <v>9</v>
      </c>
      <c r="H1903" s="126">
        <f>H1907</f>
        <v>0</v>
      </c>
      <c r="I1903" s="131" t="s">
        <v>1232</v>
      </c>
      <c r="J1903" s="131" t="str">
        <f t="shared" si="318"/>
        <v>04304S6420</v>
      </c>
      <c r="K1903" s="132"/>
      <c r="L1903" s="17"/>
      <c r="M1903" s="20"/>
      <c r="N1903" s="20"/>
      <c r="O1903" s="20"/>
      <c r="P1903" s="20"/>
      <c r="Q1903" s="20"/>
      <c r="R1903" s="20"/>
      <c r="S1903" s="17"/>
    </row>
    <row r="1904" spans="1:19" s="16" customFormat="1" ht="15.75">
      <c r="A1904" s="14"/>
      <c r="B1904" s="132" t="s">
        <v>1045</v>
      </c>
      <c r="C1904" s="130"/>
      <c r="D1904" s="131"/>
      <c r="E1904" s="131"/>
      <c r="F1904" s="131"/>
      <c r="G1904" s="131"/>
      <c r="H1904" s="126"/>
      <c r="I1904" s="131"/>
      <c r="J1904" s="131" t="str">
        <f t="shared" si="318"/>
        <v>0000000000</v>
      </c>
      <c r="K1904" s="17"/>
      <c r="L1904" s="17"/>
      <c r="M1904" s="20"/>
      <c r="N1904" s="20"/>
      <c r="O1904" s="20"/>
      <c r="P1904" s="20"/>
      <c r="Q1904" s="20"/>
      <c r="R1904" s="20"/>
      <c r="S1904" s="17"/>
    </row>
    <row r="1905" spans="1:19" s="16" customFormat="1" ht="15.75">
      <c r="A1905" s="14"/>
      <c r="B1905" s="125" t="s">
        <v>1050</v>
      </c>
      <c r="C1905" s="130" t="s">
        <v>412</v>
      </c>
      <c r="D1905" s="131" t="s">
        <v>86</v>
      </c>
      <c r="E1905" s="131" t="s">
        <v>13</v>
      </c>
      <c r="F1905" s="131" t="s">
        <v>1057</v>
      </c>
      <c r="G1905" s="131" t="s">
        <v>9</v>
      </c>
      <c r="H1905" s="126">
        <v>2709800</v>
      </c>
      <c r="I1905" s="131" t="s">
        <v>1232</v>
      </c>
      <c r="J1905" s="131" t="str">
        <f t="shared" si="318"/>
        <v>04304S6420</v>
      </c>
      <c r="K1905" s="132"/>
      <c r="L1905" s="17"/>
      <c r="M1905" s="20"/>
      <c r="N1905" s="20"/>
      <c r="O1905" s="20"/>
      <c r="P1905" s="20"/>
      <c r="Q1905" s="20"/>
      <c r="R1905" s="20"/>
      <c r="S1905" s="17"/>
    </row>
    <row r="1906" spans="1:19" s="16" customFormat="1" ht="15.75">
      <c r="A1906" s="14"/>
      <c r="B1906" s="125" t="s">
        <v>1051</v>
      </c>
      <c r="C1906" s="130" t="s">
        <v>412</v>
      </c>
      <c r="D1906" s="131" t="s">
        <v>86</v>
      </c>
      <c r="E1906" s="131" t="s">
        <v>13</v>
      </c>
      <c r="F1906" s="131" t="s">
        <v>1057</v>
      </c>
      <c r="G1906" s="131" t="s">
        <v>9</v>
      </c>
      <c r="H1906" s="126">
        <v>6000000</v>
      </c>
      <c r="I1906" s="131" t="s">
        <v>1232</v>
      </c>
      <c r="J1906" s="131" t="str">
        <f t="shared" si="318"/>
        <v>04304S6420</v>
      </c>
      <c r="K1906" s="132"/>
      <c r="L1906" s="17"/>
      <c r="M1906" s="20"/>
      <c r="N1906" s="20"/>
      <c r="O1906" s="20"/>
      <c r="P1906" s="20"/>
      <c r="Q1906" s="20"/>
      <c r="R1906" s="20"/>
      <c r="S1906" s="17"/>
    </row>
    <row r="1907" spans="1:19" s="16" customFormat="1" ht="31.5">
      <c r="A1907" s="14"/>
      <c r="B1907" s="125" t="s">
        <v>28</v>
      </c>
      <c r="C1907" s="130" t="s">
        <v>412</v>
      </c>
      <c r="D1907" s="131" t="s">
        <v>86</v>
      </c>
      <c r="E1907" s="131" t="s">
        <v>13</v>
      </c>
      <c r="F1907" s="131" t="s">
        <v>1057</v>
      </c>
      <c r="G1907" s="131" t="s">
        <v>29</v>
      </c>
      <c r="H1907" s="126">
        <f>H1908</f>
        <v>0</v>
      </c>
      <c r="I1907" s="131" t="s">
        <v>1232</v>
      </c>
      <c r="J1907" s="131" t="str">
        <f t="shared" si="318"/>
        <v>04304S6420</v>
      </c>
      <c r="K1907" s="132"/>
      <c r="L1907" s="17"/>
      <c r="M1907" s="20"/>
      <c r="N1907" s="20"/>
      <c r="O1907" s="20"/>
      <c r="P1907" s="20"/>
      <c r="Q1907" s="20"/>
      <c r="R1907" s="20"/>
      <c r="S1907" s="17"/>
    </row>
    <row r="1908" spans="1:19" s="16" customFormat="1" ht="15.75">
      <c r="A1908" s="14"/>
      <c r="B1908" s="125" t="s">
        <v>30</v>
      </c>
      <c r="C1908" s="130" t="s">
        <v>412</v>
      </c>
      <c r="D1908" s="131" t="s">
        <v>86</v>
      </c>
      <c r="E1908" s="131" t="s">
        <v>13</v>
      </c>
      <c r="F1908" s="131" t="s">
        <v>1057</v>
      </c>
      <c r="G1908" s="108" t="s">
        <v>31</v>
      </c>
      <c r="H1908" s="126"/>
      <c r="I1908" s="131" t="s">
        <v>1232</v>
      </c>
      <c r="J1908" s="131" t="str">
        <f t="shared" si="318"/>
        <v>04304S6420</v>
      </c>
      <c r="K1908" s="304" t="str">
        <f>C1908&amp;D1908&amp;E1908&amp;J1908&amp;G1908</f>
        <v>621050304304S6420244</v>
      </c>
      <c r="L1908" s="17"/>
      <c r="M1908" s="20"/>
      <c r="N1908" s="20"/>
      <c r="O1908" s="20"/>
      <c r="P1908" s="20"/>
      <c r="Q1908" s="20"/>
      <c r="R1908" s="20"/>
      <c r="S1908" s="17"/>
    </row>
    <row r="1909" spans="1:19" s="16" customFormat="1" ht="47.25">
      <c r="A1909" s="14"/>
      <c r="B1909" s="125" t="s">
        <v>1150</v>
      </c>
      <c r="C1909" s="130" t="s">
        <v>412</v>
      </c>
      <c r="D1909" s="131" t="s">
        <v>86</v>
      </c>
      <c r="E1909" s="131" t="s">
        <v>13</v>
      </c>
      <c r="F1909" s="131" t="s">
        <v>1147</v>
      </c>
      <c r="G1909" s="131" t="s">
        <v>9</v>
      </c>
      <c r="H1909" s="126">
        <f>H1910</f>
        <v>0</v>
      </c>
      <c r="I1909" s="131" t="s">
        <v>1256</v>
      </c>
      <c r="J1909" s="131" t="str">
        <f t="shared" si="318"/>
        <v>04304S7330</v>
      </c>
      <c r="K1909" s="17"/>
      <c r="L1909" s="17"/>
      <c r="M1909" s="20"/>
      <c r="N1909" s="20"/>
      <c r="O1909" s="20"/>
      <c r="P1909" s="20"/>
      <c r="Q1909" s="20"/>
      <c r="R1909" s="20"/>
      <c r="S1909" s="17"/>
    </row>
    <row r="1910" spans="1:19" s="16" customFormat="1" ht="31.5">
      <c r="A1910" s="14"/>
      <c r="B1910" s="125" t="s">
        <v>28</v>
      </c>
      <c r="C1910" s="130" t="s">
        <v>412</v>
      </c>
      <c r="D1910" s="131" t="s">
        <v>86</v>
      </c>
      <c r="E1910" s="131" t="s">
        <v>13</v>
      </c>
      <c r="F1910" s="131" t="s">
        <v>1147</v>
      </c>
      <c r="G1910" s="131" t="s">
        <v>29</v>
      </c>
      <c r="H1910" s="126">
        <f>H1911</f>
        <v>0</v>
      </c>
      <c r="I1910" s="131" t="s">
        <v>1256</v>
      </c>
      <c r="J1910" s="131" t="str">
        <f t="shared" si="318"/>
        <v>04304S7330</v>
      </c>
      <c r="K1910" s="17"/>
      <c r="L1910" s="17"/>
      <c r="M1910" s="20"/>
      <c r="N1910" s="20"/>
      <c r="O1910" s="20"/>
      <c r="P1910" s="20"/>
      <c r="Q1910" s="20"/>
      <c r="R1910" s="20"/>
      <c r="S1910" s="17"/>
    </row>
    <row r="1911" spans="1:19" s="16" customFormat="1" ht="15.75">
      <c r="A1911" s="14"/>
      <c r="B1911" s="125" t="s">
        <v>30</v>
      </c>
      <c r="C1911" s="130" t="s">
        <v>412</v>
      </c>
      <c r="D1911" s="131" t="s">
        <v>86</v>
      </c>
      <c r="E1911" s="131" t="s">
        <v>13</v>
      </c>
      <c r="F1911" s="131" t="s">
        <v>1147</v>
      </c>
      <c r="G1911" s="108" t="s">
        <v>31</v>
      </c>
      <c r="H1911" s="126"/>
      <c r="I1911" s="131" t="s">
        <v>1256</v>
      </c>
      <c r="J1911" s="131" t="str">
        <f t="shared" ref="J1911:J1983" si="327">TEXT(I1911,"0000000000")</f>
        <v>04304S7330</v>
      </c>
      <c r="K1911" s="304" t="str">
        <f>C1911&amp;D1911&amp;E1911&amp;J1911&amp;G1911</f>
        <v>621050304304S7330244</v>
      </c>
      <c r="L1911" s="17"/>
      <c r="M1911" s="20"/>
      <c r="N1911" s="20"/>
      <c r="O1911" s="20"/>
      <c r="P1911" s="20"/>
      <c r="Q1911" s="20"/>
      <c r="R1911" s="20"/>
      <c r="S1911" s="17"/>
    </row>
    <row r="1912" spans="1:19" s="16" customFormat="1" ht="63">
      <c r="A1912" s="14"/>
      <c r="B1912" s="125" t="s">
        <v>87</v>
      </c>
      <c r="C1912" s="109" t="s">
        <v>412</v>
      </c>
      <c r="D1912" s="108" t="s">
        <v>86</v>
      </c>
      <c r="E1912" s="108" t="s">
        <v>13</v>
      </c>
      <c r="F1912" s="108" t="s">
        <v>88</v>
      </c>
      <c r="G1912" s="108" t="s">
        <v>9</v>
      </c>
      <c r="H1912" s="126">
        <f t="shared" ref="H1912:H1915" si="328">H1913</f>
        <v>0</v>
      </c>
      <c r="I1912" s="131"/>
      <c r="J1912" s="131"/>
      <c r="K1912" s="304"/>
      <c r="L1912" s="17"/>
      <c r="M1912" s="20"/>
      <c r="N1912" s="20"/>
      <c r="O1912" s="20"/>
      <c r="P1912" s="20"/>
      <c r="Q1912" s="20"/>
      <c r="R1912" s="20"/>
      <c r="S1912" s="17"/>
    </row>
    <row r="1913" spans="1:19" s="16" customFormat="1" ht="63">
      <c r="A1913" s="14"/>
      <c r="B1913" s="125" t="s">
        <v>1108</v>
      </c>
      <c r="C1913" s="108" t="s">
        <v>412</v>
      </c>
      <c r="D1913" s="108" t="s">
        <v>86</v>
      </c>
      <c r="E1913" s="108" t="s">
        <v>13</v>
      </c>
      <c r="F1913" s="108" t="s">
        <v>1109</v>
      </c>
      <c r="G1913" s="109" t="s">
        <v>9</v>
      </c>
      <c r="H1913" s="126">
        <f t="shared" si="328"/>
        <v>0</v>
      </c>
      <c r="I1913" s="131"/>
      <c r="J1913" s="131"/>
      <c r="K1913" s="304"/>
      <c r="L1913" s="17"/>
      <c r="M1913" s="20"/>
      <c r="N1913" s="20"/>
      <c r="O1913" s="20"/>
      <c r="P1913" s="20"/>
      <c r="Q1913" s="20"/>
      <c r="R1913" s="20"/>
      <c r="S1913" s="17"/>
    </row>
    <row r="1914" spans="1:19" s="16" customFormat="1" ht="94.5">
      <c r="A1914" s="14"/>
      <c r="B1914" s="127" t="s">
        <v>1084</v>
      </c>
      <c r="C1914" s="130" t="s">
        <v>412</v>
      </c>
      <c r="D1914" s="131" t="s">
        <v>86</v>
      </c>
      <c r="E1914" s="131" t="s">
        <v>13</v>
      </c>
      <c r="F1914" s="131" t="s">
        <v>1257</v>
      </c>
      <c r="G1914" s="131" t="s">
        <v>9</v>
      </c>
      <c r="H1914" s="126">
        <f t="shared" si="328"/>
        <v>0</v>
      </c>
      <c r="I1914" s="131"/>
      <c r="J1914" s="131"/>
      <c r="K1914" s="304"/>
      <c r="L1914" s="17"/>
      <c r="M1914" s="20"/>
      <c r="N1914" s="20"/>
      <c r="O1914" s="20"/>
      <c r="P1914" s="20"/>
      <c r="Q1914" s="20"/>
      <c r="R1914" s="20"/>
      <c r="S1914" s="17"/>
    </row>
    <row r="1915" spans="1:19" s="16" customFormat="1" ht="15.75">
      <c r="A1915" s="14"/>
      <c r="B1915" s="125" t="s">
        <v>937</v>
      </c>
      <c r="C1915" s="109" t="s">
        <v>412</v>
      </c>
      <c r="D1915" s="108" t="s">
        <v>86</v>
      </c>
      <c r="E1915" s="108" t="s">
        <v>13</v>
      </c>
      <c r="F1915" s="108" t="s">
        <v>1257</v>
      </c>
      <c r="G1915" s="108" t="s">
        <v>838</v>
      </c>
      <c r="H1915" s="126">
        <f t="shared" si="328"/>
        <v>0</v>
      </c>
      <c r="I1915" s="131"/>
      <c r="J1915" s="131"/>
      <c r="K1915" s="304"/>
      <c r="L1915" s="17"/>
      <c r="M1915" s="20"/>
      <c r="N1915" s="20"/>
      <c r="O1915" s="20"/>
      <c r="P1915" s="20"/>
      <c r="Q1915" s="20"/>
      <c r="R1915" s="20"/>
      <c r="S1915" s="17"/>
    </row>
    <row r="1916" spans="1:19" s="16" customFormat="1" ht="47.25">
      <c r="A1916" s="14"/>
      <c r="B1916" s="125" t="s">
        <v>839</v>
      </c>
      <c r="C1916" s="109" t="s">
        <v>412</v>
      </c>
      <c r="D1916" s="108" t="s">
        <v>86</v>
      </c>
      <c r="E1916" s="108" t="s">
        <v>13</v>
      </c>
      <c r="F1916" s="108" t="s">
        <v>1257</v>
      </c>
      <c r="G1916" s="108" t="s">
        <v>840</v>
      </c>
      <c r="H1916" s="126"/>
      <c r="I1916" s="131"/>
      <c r="J1916" s="131"/>
      <c r="K1916" s="304"/>
      <c r="L1916" s="17"/>
      <c r="M1916" s="20"/>
      <c r="N1916" s="20"/>
      <c r="O1916" s="20"/>
      <c r="P1916" s="20"/>
      <c r="Q1916" s="20"/>
      <c r="R1916" s="20"/>
      <c r="S1916" s="17"/>
    </row>
    <row r="1917" spans="1:19" s="16" customFormat="1" ht="15.75">
      <c r="A1917" s="14"/>
      <c r="B1917" s="117" t="s">
        <v>228</v>
      </c>
      <c r="C1917" s="118" t="s">
        <v>412</v>
      </c>
      <c r="D1917" s="119" t="s">
        <v>229</v>
      </c>
      <c r="E1917" s="119" t="s">
        <v>7</v>
      </c>
      <c r="F1917" s="119" t="s">
        <v>8</v>
      </c>
      <c r="G1917" s="119" t="s">
        <v>9</v>
      </c>
      <c r="H1917" s="120">
        <f>H1918</f>
        <v>0</v>
      </c>
      <c r="I1917" s="119">
        <v>0</v>
      </c>
      <c r="J1917" s="119" t="str">
        <f t="shared" si="327"/>
        <v>0000000000</v>
      </c>
      <c r="K1917" s="132"/>
      <c r="L1917" s="17"/>
      <c r="M1917" s="18">
        <v>13358.85</v>
      </c>
      <c r="N1917" s="18">
        <v>27702.6</v>
      </c>
      <c r="O1917" s="18">
        <v>19074.82</v>
      </c>
      <c r="P1917" s="18">
        <f t="shared" ref="P1917:P1923" si="329">H1917-M1917</f>
        <v>-13358.85</v>
      </c>
      <c r="Q1917" s="18" t="e">
        <f>#REF!-N1917</f>
        <v>#REF!</v>
      </c>
      <c r="R1917" s="18" t="e">
        <f>#REF!-O1917</f>
        <v>#REF!</v>
      </c>
      <c r="S1917" s="17" t="str">
        <f t="shared" si="325"/>
        <v>00 0 00 00000000</v>
      </c>
    </row>
    <row r="1918" spans="1:19" s="16" customFormat="1" ht="15.75">
      <c r="A1918" s="14"/>
      <c r="B1918" s="121" t="s">
        <v>438</v>
      </c>
      <c r="C1918" s="122" t="s">
        <v>412</v>
      </c>
      <c r="D1918" s="123" t="s">
        <v>229</v>
      </c>
      <c r="E1918" s="123" t="s">
        <v>62</v>
      </c>
      <c r="F1918" s="123" t="s">
        <v>8</v>
      </c>
      <c r="G1918" s="123" t="s">
        <v>9</v>
      </c>
      <c r="H1918" s="124">
        <f>H1919</f>
        <v>0</v>
      </c>
      <c r="I1918" s="123">
        <v>0</v>
      </c>
      <c r="J1918" s="123" t="str">
        <f t="shared" si="327"/>
        <v>0000000000</v>
      </c>
      <c r="K1918" s="132"/>
      <c r="L1918" s="17"/>
      <c r="M1918" s="19">
        <v>13358.85</v>
      </c>
      <c r="N1918" s="19">
        <v>7613.02</v>
      </c>
      <c r="O1918" s="19">
        <v>15579.71</v>
      </c>
      <c r="P1918" s="19">
        <f t="shared" si="329"/>
        <v>-13358.85</v>
      </c>
      <c r="Q1918" s="19" t="e">
        <f>#REF!-N1918</f>
        <v>#REF!</v>
      </c>
      <c r="R1918" s="19" t="e">
        <f>#REF!-O1918</f>
        <v>#REF!</v>
      </c>
      <c r="S1918" s="17" t="str">
        <f t="shared" si="325"/>
        <v>00 0 00 00000000</v>
      </c>
    </row>
    <row r="1919" spans="1:19" s="16" customFormat="1" ht="31.5">
      <c r="A1919" s="14"/>
      <c r="B1919" s="132" t="s">
        <v>396</v>
      </c>
      <c r="C1919" s="109" t="s">
        <v>412</v>
      </c>
      <c r="D1919" s="108" t="s">
        <v>229</v>
      </c>
      <c r="E1919" s="108" t="s">
        <v>62</v>
      </c>
      <c r="F1919" s="108" t="s">
        <v>397</v>
      </c>
      <c r="G1919" s="108" t="s">
        <v>9</v>
      </c>
      <c r="H1919" s="126">
        <f t="shared" ref="H1919:H1920" si="330">H1920</f>
        <v>0</v>
      </c>
      <c r="I1919" s="108">
        <v>100000000</v>
      </c>
      <c r="J1919" s="108" t="str">
        <f t="shared" si="327"/>
        <v>0100000000</v>
      </c>
      <c r="K1919" s="132"/>
      <c r="L1919" s="17"/>
      <c r="M1919" s="20">
        <v>13358.85</v>
      </c>
      <c r="N1919" s="20">
        <v>7613.02</v>
      </c>
      <c r="O1919" s="20">
        <v>15579.71</v>
      </c>
      <c r="P1919" s="20">
        <f t="shared" si="329"/>
        <v>-13358.85</v>
      </c>
      <c r="Q1919" s="20" t="e">
        <f>#REF!-N1919</f>
        <v>#REF!</v>
      </c>
      <c r="R1919" s="20" t="e">
        <f>#REF!-O1919</f>
        <v>#REF!</v>
      </c>
      <c r="S1919" s="17" t="str">
        <f t="shared" si="325"/>
        <v>01 0 00 00000000</v>
      </c>
    </row>
    <row r="1920" spans="1:19" s="16" customFormat="1" ht="47.25">
      <c r="A1920" s="14"/>
      <c r="B1920" s="125" t="s">
        <v>444</v>
      </c>
      <c r="C1920" s="109" t="s">
        <v>412</v>
      </c>
      <c r="D1920" s="108" t="s">
        <v>229</v>
      </c>
      <c r="E1920" s="108" t="s">
        <v>62</v>
      </c>
      <c r="F1920" s="108" t="s">
        <v>445</v>
      </c>
      <c r="G1920" s="108" t="s">
        <v>9</v>
      </c>
      <c r="H1920" s="126">
        <f t="shared" si="330"/>
        <v>0</v>
      </c>
      <c r="I1920" s="108">
        <v>120000000</v>
      </c>
      <c r="J1920" s="108" t="str">
        <f t="shared" si="327"/>
        <v>0120000000</v>
      </c>
      <c r="K1920" s="132"/>
      <c r="L1920" s="17"/>
      <c r="M1920" s="20">
        <v>13358.85</v>
      </c>
      <c r="N1920" s="20">
        <v>7613.02</v>
      </c>
      <c r="O1920" s="20">
        <v>15579.71</v>
      </c>
      <c r="P1920" s="20">
        <f t="shared" si="329"/>
        <v>-13358.85</v>
      </c>
      <c r="Q1920" s="20" t="e">
        <f>#REF!-N1920</f>
        <v>#REF!</v>
      </c>
      <c r="R1920" s="20" t="e">
        <f>#REF!-O1920</f>
        <v>#REF!</v>
      </c>
      <c r="S1920" s="17" t="str">
        <f t="shared" si="325"/>
        <v>01 2 00 00000000</v>
      </c>
    </row>
    <row r="1921" spans="1:19" s="16" customFormat="1" ht="63">
      <c r="A1921" s="14"/>
      <c r="B1921" s="125" t="s">
        <v>936</v>
      </c>
      <c r="C1921" s="109" t="s">
        <v>412</v>
      </c>
      <c r="D1921" s="108" t="s">
        <v>229</v>
      </c>
      <c r="E1921" s="108" t="s">
        <v>62</v>
      </c>
      <c r="F1921" s="108" t="s">
        <v>447</v>
      </c>
      <c r="G1921" s="108" t="s">
        <v>9</v>
      </c>
      <c r="H1921" s="126">
        <f>H1922+H1925</f>
        <v>0</v>
      </c>
      <c r="I1921" s="108">
        <v>120100000</v>
      </c>
      <c r="J1921" s="108" t="str">
        <f t="shared" si="327"/>
        <v>0120100000</v>
      </c>
      <c r="K1921" s="132"/>
      <c r="L1921" s="17"/>
      <c r="M1921" s="20">
        <v>13358.85</v>
      </c>
      <c r="N1921" s="20">
        <v>7613.02</v>
      </c>
      <c r="O1921" s="20">
        <v>15579.71</v>
      </c>
      <c r="P1921" s="20">
        <f t="shared" si="329"/>
        <v>-13358.85</v>
      </c>
      <c r="Q1921" s="20" t="e">
        <f>#REF!-N1921</f>
        <v>#REF!</v>
      </c>
      <c r="R1921" s="20" t="e">
        <f>#REF!-O1921</f>
        <v>#REF!</v>
      </c>
      <c r="S1921" s="17" t="str">
        <f t="shared" si="325"/>
        <v>01 2 01 00000000</v>
      </c>
    </row>
    <row r="1922" spans="1:19" s="16" customFormat="1" ht="47.25">
      <c r="A1922" s="14"/>
      <c r="B1922" s="125" t="s">
        <v>448</v>
      </c>
      <c r="C1922" s="109" t="s">
        <v>412</v>
      </c>
      <c r="D1922" s="108" t="s">
        <v>229</v>
      </c>
      <c r="E1922" s="108" t="s">
        <v>62</v>
      </c>
      <c r="F1922" s="108" t="s">
        <v>449</v>
      </c>
      <c r="G1922" s="108" t="s">
        <v>9</v>
      </c>
      <c r="H1922" s="126">
        <f>H1923</f>
        <v>0</v>
      </c>
      <c r="I1922" s="108">
        <v>120140010</v>
      </c>
      <c r="J1922" s="108" t="str">
        <f t="shared" si="327"/>
        <v>0120140010</v>
      </c>
      <c r="K1922" s="132"/>
      <c r="L1922" s="17"/>
      <c r="M1922" s="20">
        <v>13358.85</v>
      </c>
      <c r="N1922" s="20">
        <v>7613.02</v>
      </c>
      <c r="O1922" s="20">
        <v>15579.71</v>
      </c>
      <c r="P1922" s="20">
        <f t="shared" si="329"/>
        <v>-13358.85</v>
      </c>
      <c r="Q1922" s="20" t="e">
        <f>#REF!-N1922</f>
        <v>#REF!</v>
      </c>
      <c r="R1922" s="20" t="e">
        <f>#REF!-O1922</f>
        <v>#REF!</v>
      </c>
      <c r="S1922" s="17" t="str">
        <f t="shared" si="325"/>
        <v>01 2 01 40010000</v>
      </c>
    </row>
    <row r="1923" spans="1:19" s="16" customFormat="1" ht="15.75">
      <c r="A1923" s="14"/>
      <c r="B1923" s="125" t="s">
        <v>937</v>
      </c>
      <c r="C1923" s="109" t="s">
        <v>412</v>
      </c>
      <c r="D1923" s="108" t="s">
        <v>229</v>
      </c>
      <c r="E1923" s="108" t="s">
        <v>62</v>
      </c>
      <c r="F1923" s="108" t="s">
        <v>449</v>
      </c>
      <c r="G1923" s="108" t="s">
        <v>838</v>
      </c>
      <c r="H1923" s="126">
        <f>H1924</f>
        <v>0</v>
      </c>
      <c r="I1923" s="108">
        <v>120140010</v>
      </c>
      <c r="J1923" s="108" t="str">
        <f t="shared" si="327"/>
        <v>0120140010</v>
      </c>
      <c r="K1923" s="132"/>
      <c r="L1923" s="17"/>
      <c r="M1923" s="20">
        <v>13358.85</v>
      </c>
      <c r="N1923" s="20">
        <v>7613.02</v>
      </c>
      <c r="O1923" s="20">
        <v>15579.71</v>
      </c>
      <c r="P1923" s="20">
        <f t="shared" si="329"/>
        <v>-13358.85</v>
      </c>
      <c r="Q1923" s="20" t="e">
        <f>#REF!-N1923</f>
        <v>#REF!</v>
      </c>
      <c r="R1923" s="20" t="e">
        <f>#REF!-O1923</f>
        <v>#REF!</v>
      </c>
      <c r="S1923" s="17" t="str">
        <f t="shared" si="325"/>
        <v>01 2 01 40010410</v>
      </c>
    </row>
    <row r="1924" spans="1:19" s="16" customFormat="1" ht="47.25">
      <c r="A1924" s="14"/>
      <c r="B1924" s="125" t="s">
        <v>839</v>
      </c>
      <c r="C1924" s="109" t="s">
        <v>412</v>
      </c>
      <c r="D1924" s="108" t="s">
        <v>229</v>
      </c>
      <c r="E1924" s="108" t="s">
        <v>62</v>
      </c>
      <c r="F1924" s="108" t="s">
        <v>449</v>
      </c>
      <c r="G1924" s="108" t="s">
        <v>840</v>
      </c>
      <c r="H1924" s="126"/>
      <c r="I1924" s="108">
        <v>120140010</v>
      </c>
      <c r="J1924" s="108" t="str">
        <f t="shared" si="327"/>
        <v>0120140010</v>
      </c>
      <c r="K1924" s="304" t="str">
        <f>C1924&amp;D1924&amp;E1924&amp;J1924&amp;G1924</f>
        <v>62107020120140010414</v>
      </c>
      <c r="L1924" s="17"/>
      <c r="M1924" s="20"/>
      <c r="N1924" s="20"/>
      <c r="O1924" s="20"/>
      <c r="P1924" s="20"/>
      <c r="Q1924" s="20"/>
      <c r="R1924" s="20"/>
      <c r="S1924" s="17" t="str">
        <f t="shared" si="325"/>
        <v>01 2 01 40010414</v>
      </c>
    </row>
    <row r="1925" spans="1:19" s="16" customFormat="1" ht="47.25">
      <c r="A1925" s="14"/>
      <c r="B1925" s="125" t="s">
        <v>1077</v>
      </c>
      <c r="C1925" s="109" t="s">
        <v>412</v>
      </c>
      <c r="D1925" s="108" t="s">
        <v>229</v>
      </c>
      <c r="E1925" s="108" t="s">
        <v>62</v>
      </c>
      <c r="F1925" s="108" t="s">
        <v>1078</v>
      </c>
      <c r="G1925" s="108" t="s">
        <v>9</v>
      </c>
      <c r="H1925" s="126">
        <f>H1926</f>
        <v>0</v>
      </c>
      <c r="I1925" s="108" t="s">
        <v>1258</v>
      </c>
      <c r="J1925" s="108" t="str">
        <f t="shared" si="327"/>
        <v>01201R5200</v>
      </c>
      <c r="K1925" s="132"/>
      <c r="L1925" s="17"/>
      <c r="M1925" s="20"/>
      <c r="N1925" s="20"/>
      <c r="O1925" s="20"/>
      <c r="P1925" s="20"/>
      <c r="Q1925" s="20"/>
      <c r="R1925" s="20"/>
      <c r="S1925" s="17"/>
    </row>
    <row r="1926" spans="1:19" s="16" customFormat="1" ht="15.75">
      <c r="A1926" s="14"/>
      <c r="B1926" s="125" t="s">
        <v>937</v>
      </c>
      <c r="C1926" s="109" t="s">
        <v>412</v>
      </c>
      <c r="D1926" s="108" t="s">
        <v>229</v>
      </c>
      <c r="E1926" s="108" t="s">
        <v>62</v>
      </c>
      <c r="F1926" s="108" t="s">
        <v>1078</v>
      </c>
      <c r="G1926" s="108" t="s">
        <v>838</v>
      </c>
      <c r="H1926" s="126">
        <f>H1927</f>
        <v>0</v>
      </c>
      <c r="I1926" s="108" t="s">
        <v>1258</v>
      </c>
      <c r="J1926" s="108" t="str">
        <f t="shared" si="327"/>
        <v>01201R5200</v>
      </c>
      <c r="K1926" s="132"/>
      <c r="L1926" s="17"/>
      <c r="M1926" s="20"/>
      <c r="N1926" s="20"/>
      <c r="O1926" s="20"/>
      <c r="P1926" s="20"/>
      <c r="Q1926" s="20"/>
      <c r="R1926" s="20"/>
      <c r="S1926" s="17"/>
    </row>
    <row r="1927" spans="1:19" s="16" customFormat="1" ht="47.25">
      <c r="A1927" s="14"/>
      <c r="B1927" s="125" t="s">
        <v>839</v>
      </c>
      <c r="C1927" s="109" t="s">
        <v>412</v>
      </c>
      <c r="D1927" s="108" t="s">
        <v>229</v>
      </c>
      <c r="E1927" s="108" t="s">
        <v>62</v>
      </c>
      <c r="F1927" s="108" t="s">
        <v>1078</v>
      </c>
      <c r="G1927" s="108" t="s">
        <v>840</v>
      </c>
      <c r="H1927" s="126"/>
      <c r="I1927" s="108" t="s">
        <v>1258</v>
      </c>
      <c r="J1927" s="108" t="str">
        <f t="shared" si="327"/>
        <v>01201R5200</v>
      </c>
      <c r="K1927" s="304" t="str">
        <f>C1927&amp;D1927&amp;E1927&amp;J1927&amp;G1927</f>
        <v>621070201201R5200414</v>
      </c>
      <c r="L1927" s="17"/>
      <c r="M1927" s="20"/>
      <c r="N1927" s="20"/>
      <c r="O1927" s="20"/>
      <c r="P1927" s="20"/>
      <c r="Q1927" s="20"/>
      <c r="R1927" s="20"/>
      <c r="S1927" s="17"/>
    </row>
    <row r="1928" spans="1:19" s="16" customFormat="1" ht="15.75">
      <c r="A1928" s="14"/>
      <c r="B1928" s="117" t="s">
        <v>569</v>
      </c>
      <c r="C1928" s="118" t="s">
        <v>412</v>
      </c>
      <c r="D1928" s="119" t="s">
        <v>238</v>
      </c>
      <c r="E1928" s="119" t="s">
        <v>7</v>
      </c>
      <c r="F1928" s="119" t="s">
        <v>8</v>
      </c>
      <c r="G1928" s="119" t="s">
        <v>9</v>
      </c>
      <c r="H1928" s="120">
        <f t="shared" ref="H1928" si="331">H1929</f>
        <v>0</v>
      </c>
      <c r="I1928" s="119">
        <v>0</v>
      </c>
      <c r="J1928" s="119" t="str">
        <f t="shared" si="327"/>
        <v>0000000000</v>
      </c>
      <c r="K1928" s="132"/>
      <c r="L1928" s="17"/>
      <c r="M1928" s="18">
        <v>800</v>
      </c>
      <c r="N1928" s="18">
        <v>800</v>
      </c>
      <c r="O1928" s="18">
        <v>800</v>
      </c>
      <c r="P1928" s="18">
        <f t="shared" ref="P1928:P1934" si="332">H1928-M1928</f>
        <v>-800</v>
      </c>
      <c r="Q1928" s="18" t="e">
        <f>#REF!-N1928</f>
        <v>#REF!</v>
      </c>
      <c r="R1928" s="18" t="e">
        <f>#REF!-O1928</f>
        <v>#REF!</v>
      </c>
      <c r="S1928" s="17" t="str">
        <f t="shared" si="325"/>
        <v>00 0 00 00000000</v>
      </c>
    </row>
    <row r="1929" spans="1:19" s="16" customFormat="1" ht="15.75">
      <c r="A1929" s="14"/>
      <c r="B1929" s="121" t="s">
        <v>239</v>
      </c>
      <c r="C1929" s="122" t="s">
        <v>412</v>
      </c>
      <c r="D1929" s="123" t="s">
        <v>238</v>
      </c>
      <c r="E1929" s="123" t="s">
        <v>11</v>
      </c>
      <c r="F1929" s="123" t="s">
        <v>8</v>
      </c>
      <c r="G1929" s="123" t="s">
        <v>9</v>
      </c>
      <c r="H1929" s="124">
        <f>H1930</f>
        <v>0</v>
      </c>
      <c r="I1929" s="123">
        <v>0</v>
      </c>
      <c r="J1929" s="123" t="str">
        <f t="shared" si="327"/>
        <v>0000000000</v>
      </c>
      <c r="K1929" s="132"/>
      <c r="L1929" s="17"/>
      <c r="M1929" s="19">
        <v>800</v>
      </c>
      <c r="N1929" s="19">
        <v>800</v>
      </c>
      <c r="O1929" s="19">
        <v>800</v>
      </c>
      <c r="P1929" s="19">
        <f t="shared" si="332"/>
        <v>-800</v>
      </c>
      <c r="Q1929" s="19" t="e">
        <f>#REF!-N1929</f>
        <v>#REF!</v>
      </c>
      <c r="R1929" s="19" t="e">
        <f>#REF!-O1929</f>
        <v>#REF!</v>
      </c>
      <c r="S1929" s="17" t="str">
        <f t="shared" si="325"/>
        <v>00 0 00 00000000</v>
      </c>
    </row>
    <row r="1930" spans="1:19" s="16" customFormat="1" ht="31.5">
      <c r="A1930" s="14"/>
      <c r="B1930" s="125" t="s">
        <v>240</v>
      </c>
      <c r="C1930" s="109" t="s">
        <v>412</v>
      </c>
      <c r="D1930" s="108" t="s">
        <v>238</v>
      </c>
      <c r="E1930" s="108" t="s">
        <v>11</v>
      </c>
      <c r="F1930" s="131" t="s">
        <v>241</v>
      </c>
      <c r="G1930" s="108" t="s">
        <v>9</v>
      </c>
      <c r="H1930" s="126">
        <f>H1931</f>
        <v>0</v>
      </c>
      <c r="I1930" s="131">
        <v>700000000</v>
      </c>
      <c r="J1930" s="131" t="str">
        <f t="shared" si="327"/>
        <v>0700000000</v>
      </c>
      <c r="K1930" s="132"/>
      <c r="L1930" s="17"/>
      <c r="M1930" s="20">
        <v>800</v>
      </c>
      <c r="N1930" s="20">
        <v>800</v>
      </c>
      <c r="O1930" s="20">
        <v>800</v>
      </c>
      <c r="P1930" s="20">
        <f t="shared" si="332"/>
        <v>-800</v>
      </c>
      <c r="Q1930" s="20" t="e">
        <f>#REF!-N1930</f>
        <v>#REF!</v>
      </c>
      <c r="R1930" s="20" t="e">
        <f>#REF!-O1930</f>
        <v>#REF!</v>
      </c>
      <c r="S1930" s="17" t="str">
        <f t="shared" si="325"/>
        <v>07 0 00 00000000</v>
      </c>
    </row>
    <row r="1931" spans="1:19" s="16" customFormat="1" ht="78.75">
      <c r="A1931" s="14"/>
      <c r="B1931" s="125" t="s">
        <v>384</v>
      </c>
      <c r="C1931" s="109" t="s">
        <v>412</v>
      </c>
      <c r="D1931" s="108" t="s">
        <v>238</v>
      </c>
      <c r="E1931" s="108" t="s">
        <v>11</v>
      </c>
      <c r="F1931" s="131" t="s">
        <v>243</v>
      </c>
      <c r="G1931" s="108" t="s">
        <v>9</v>
      </c>
      <c r="H1931" s="126">
        <f>H1932+H1936</f>
        <v>0</v>
      </c>
      <c r="I1931" s="131">
        <v>710000000</v>
      </c>
      <c r="J1931" s="131" t="str">
        <f t="shared" si="327"/>
        <v>0710000000</v>
      </c>
      <c r="K1931" s="132"/>
      <c r="L1931" s="17"/>
      <c r="M1931" s="20">
        <v>800</v>
      </c>
      <c r="N1931" s="20">
        <v>800</v>
      </c>
      <c r="O1931" s="20">
        <v>800</v>
      </c>
      <c r="P1931" s="20">
        <f t="shared" si="332"/>
        <v>-800</v>
      </c>
      <c r="Q1931" s="20" t="e">
        <f>#REF!-N1931</f>
        <v>#REF!</v>
      </c>
      <c r="R1931" s="20" t="e">
        <f>#REF!-O1931</f>
        <v>#REF!</v>
      </c>
      <c r="S1931" s="17" t="str">
        <f t="shared" si="325"/>
        <v>07 1 00 00000000</v>
      </c>
    </row>
    <row r="1932" spans="1:19" s="16" customFormat="1" ht="110.25">
      <c r="A1932" s="14"/>
      <c r="B1932" s="125" t="s">
        <v>244</v>
      </c>
      <c r="C1932" s="109" t="s">
        <v>412</v>
      </c>
      <c r="D1932" s="108" t="s">
        <v>238</v>
      </c>
      <c r="E1932" s="108" t="s">
        <v>11</v>
      </c>
      <c r="F1932" s="131" t="s">
        <v>245</v>
      </c>
      <c r="G1932" s="108" t="s">
        <v>9</v>
      </c>
      <c r="H1932" s="126">
        <f t="shared" ref="H1932:H1933" si="333">H1933</f>
        <v>0</v>
      </c>
      <c r="I1932" s="131">
        <v>710100000</v>
      </c>
      <c r="J1932" s="131" t="str">
        <f t="shared" si="327"/>
        <v>0710100000</v>
      </c>
      <c r="K1932" s="132"/>
      <c r="L1932" s="17"/>
      <c r="M1932" s="20">
        <v>800</v>
      </c>
      <c r="N1932" s="20">
        <v>800</v>
      </c>
      <c r="O1932" s="20">
        <v>800</v>
      </c>
      <c r="P1932" s="20">
        <f t="shared" si="332"/>
        <v>-800</v>
      </c>
      <c r="Q1932" s="20" t="e">
        <f>#REF!-N1932</f>
        <v>#REF!</v>
      </c>
      <c r="R1932" s="20" t="e">
        <f>#REF!-O1932</f>
        <v>#REF!</v>
      </c>
      <c r="S1932" s="17" t="str">
        <f t="shared" si="325"/>
        <v>07 1 01 00000000</v>
      </c>
    </row>
    <row r="1933" spans="1:19" s="16" customFormat="1" ht="31.5">
      <c r="A1933" s="14"/>
      <c r="B1933" s="125" t="s">
        <v>246</v>
      </c>
      <c r="C1933" s="109" t="s">
        <v>412</v>
      </c>
      <c r="D1933" s="108" t="s">
        <v>238</v>
      </c>
      <c r="E1933" s="108" t="s">
        <v>11</v>
      </c>
      <c r="F1933" s="131" t="s">
        <v>247</v>
      </c>
      <c r="G1933" s="108" t="s">
        <v>9</v>
      </c>
      <c r="H1933" s="126">
        <f t="shared" si="333"/>
        <v>0</v>
      </c>
      <c r="I1933" s="131">
        <v>710120060</v>
      </c>
      <c r="J1933" s="131" t="str">
        <f t="shared" si="327"/>
        <v>0710120060</v>
      </c>
      <c r="K1933" s="132"/>
      <c r="L1933" s="17"/>
      <c r="M1933" s="20">
        <v>800</v>
      </c>
      <c r="N1933" s="20">
        <v>800</v>
      </c>
      <c r="O1933" s="20">
        <v>800</v>
      </c>
      <c r="P1933" s="20">
        <f t="shared" si="332"/>
        <v>-800</v>
      </c>
      <c r="Q1933" s="20" t="e">
        <f>#REF!-N1933</f>
        <v>#REF!</v>
      </c>
      <c r="R1933" s="20" t="e">
        <f>#REF!-O1933</f>
        <v>#REF!</v>
      </c>
      <c r="S1933" s="17" t="str">
        <f t="shared" si="325"/>
        <v>07 1 01 20060000</v>
      </c>
    </row>
    <row r="1934" spans="1:19" s="16" customFormat="1" ht="31.5">
      <c r="A1934" s="14"/>
      <c r="B1934" s="127" t="s">
        <v>28</v>
      </c>
      <c r="C1934" s="109" t="s">
        <v>412</v>
      </c>
      <c r="D1934" s="108" t="s">
        <v>238</v>
      </c>
      <c r="E1934" s="108" t="s">
        <v>11</v>
      </c>
      <c r="F1934" s="131" t="s">
        <v>247</v>
      </c>
      <c r="G1934" s="108" t="s">
        <v>29</v>
      </c>
      <c r="H1934" s="126">
        <f>H1935</f>
        <v>0</v>
      </c>
      <c r="I1934" s="131">
        <v>710120060</v>
      </c>
      <c r="J1934" s="131" t="str">
        <f t="shared" si="327"/>
        <v>0710120060</v>
      </c>
      <c r="K1934" s="132"/>
      <c r="L1934" s="17"/>
      <c r="M1934" s="20">
        <v>800</v>
      </c>
      <c r="N1934" s="20">
        <v>800</v>
      </c>
      <c r="O1934" s="20">
        <v>800</v>
      </c>
      <c r="P1934" s="20">
        <f t="shared" si="332"/>
        <v>-800</v>
      </c>
      <c r="Q1934" s="20" t="e">
        <f>#REF!-N1934</f>
        <v>#REF!</v>
      </c>
      <c r="R1934" s="20" t="e">
        <f>#REF!-O1934</f>
        <v>#REF!</v>
      </c>
      <c r="S1934" s="17" t="str">
        <f t="shared" si="325"/>
        <v>07 1 01 20060240</v>
      </c>
    </row>
    <row r="1935" spans="1:19" s="16" customFormat="1" ht="15.75">
      <c r="A1935" s="14"/>
      <c r="B1935" s="125" t="s">
        <v>30</v>
      </c>
      <c r="C1935" s="109" t="s">
        <v>412</v>
      </c>
      <c r="D1935" s="108" t="s">
        <v>238</v>
      </c>
      <c r="E1935" s="108" t="s">
        <v>11</v>
      </c>
      <c r="F1935" s="131" t="s">
        <v>247</v>
      </c>
      <c r="G1935" s="108" t="s">
        <v>31</v>
      </c>
      <c r="H1935" s="126"/>
      <c r="I1935" s="131">
        <v>710120060</v>
      </c>
      <c r="J1935" s="131" t="str">
        <f t="shared" si="327"/>
        <v>0710120060</v>
      </c>
      <c r="K1935" s="304" t="str">
        <f>C1935&amp;D1935&amp;E1935&amp;J1935&amp;G1935</f>
        <v>62108010710120060244</v>
      </c>
      <c r="L1935" s="17"/>
      <c r="M1935" s="20"/>
      <c r="N1935" s="20"/>
      <c r="O1935" s="20"/>
      <c r="P1935" s="20"/>
      <c r="Q1935" s="20"/>
      <c r="R1935" s="20"/>
      <c r="S1935" s="17"/>
    </row>
    <row r="1936" spans="1:19" s="16" customFormat="1" ht="47.25">
      <c r="A1936" s="14"/>
      <c r="B1936" s="125" t="s">
        <v>1259</v>
      </c>
      <c r="C1936" s="109" t="s">
        <v>412</v>
      </c>
      <c r="D1936" s="108" t="s">
        <v>238</v>
      </c>
      <c r="E1936" s="108" t="s">
        <v>11</v>
      </c>
      <c r="F1936" s="131" t="s">
        <v>1260</v>
      </c>
      <c r="G1936" s="108" t="s">
        <v>9</v>
      </c>
      <c r="H1936" s="126">
        <f t="shared" ref="H1936:H1938" si="334">H1937</f>
        <v>0</v>
      </c>
      <c r="I1936" s="131"/>
      <c r="J1936" s="131"/>
      <c r="K1936" s="304"/>
      <c r="L1936" s="17"/>
      <c r="M1936" s="20"/>
      <c r="N1936" s="20"/>
      <c r="O1936" s="20"/>
      <c r="P1936" s="20"/>
      <c r="Q1936" s="20"/>
      <c r="R1936" s="20"/>
      <c r="S1936" s="17"/>
    </row>
    <row r="1937" spans="1:19" s="16" customFormat="1" ht="94.5">
      <c r="A1937" s="14"/>
      <c r="B1937" s="132" t="s">
        <v>1261</v>
      </c>
      <c r="C1937" s="109" t="s">
        <v>412</v>
      </c>
      <c r="D1937" s="108" t="s">
        <v>238</v>
      </c>
      <c r="E1937" s="108" t="s">
        <v>11</v>
      </c>
      <c r="F1937" s="131" t="s">
        <v>1262</v>
      </c>
      <c r="G1937" s="108" t="s">
        <v>9</v>
      </c>
      <c r="H1937" s="126">
        <f t="shared" si="334"/>
        <v>0</v>
      </c>
      <c r="I1937" s="131"/>
      <c r="J1937" s="131"/>
      <c r="K1937" s="304"/>
      <c r="L1937" s="17"/>
      <c r="M1937" s="20"/>
      <c r="N1937" s="20"/>
      <c r="O1937" s="20"/>
      <c r="P1937" s="20"/>
      <c r="Q1937" s="20"/>
      <c r="R1937" s="20"/>
      <c r="S1937" s="17"/>
    </row>
    <row r="1938" spans="1:19" s="16" customFormat="1" ht="15.75">
      <c r="A1938" s="14"/>
      <c r="B1938" s="125" t="s">
        <v>937</v>
      </c>
      <c r="C1938" s="109" t="s">
        <v>412</v>
      </c>
      <c r="D1938" s="108" t="s">
        <v>238</v>
      </c>
      <c r="E1938" s="108" t="s">
        <v>11</v>
      </c>
      <c r="F1938" s="108" t="s">
        <v>1262</v>
      </c>
      <c r="G1938" s="108" t="s">
        <v>838</v>
      </c>
      <c r="H1938" s="126">
        <f t="shared" si="334"/>
        <v>0</v>
      </c>
      <c r="I1938" s="131"/>
      <c r="J1938" s="131"/>
      <c r="K1938" s="304"/>
      <c r="L1938" s="17"/>
      <c r="M1938" s="20"/>
      <c r="N1938" s="20"/>
      <c r="O1938" s="20"/>
      <c r="P1938" s="20"/>
      <c r="Q1938" s="20"/>
      <c r="R1938" s="20"/>
      <c r="S1938" s="17"/>
    </row>
    <row r="1939" spans="1:19" s="16" customFormat="1" ht="47.25">
      <c r="A1939" s="14"/>
      <c r="B1939" s="125" t="s">
        <v>839</v>
      </c>
      <c r="C1939" s="109" t="s">
        <v>412</v>
      </c>
      <c r="D1939" s="108" t="s">
        <v>238</v>
      </c>
      <c r="E1939" s="108" t="s">
        <v>11</v>
      </c>
      <c r="F1939" s="108" t="s">
        <v>1262</v>
      </c>
      <c r="G1939" s="108" t="s">
        <v>840</v>
      </c>
      <c r="H1939" s="126"/>
      <c r="I1939" s="131"/>
      <c r="J1939" s="131"/>
      <c r="K1939" s="304"/>
      <c r="L1939" s="17"/>
      <c r="M1939" s="20"/>
      <c r="N1939" s="20"/>
      <c r="O1939" s="20"/>
      <c r="P1939" s="20"/>
      <c r="Q1939" s="20"/>
      <c r="R1939" s="20"/>
      <c r="S1939" s="17"/>
    </row>
    <row r="1940" spans="1:19" s="16" customFormat="1" ht="15.75">
      <c r="A1940" s="14"/>
      <c r="B1940" s="117" t="s">
        <v>707</v>
      </c>
      <c r="C1940" s="118" t="s">
        <v>412</v>
      </c>
      <c r="D1940" s="119" t="s">
        <v>342</v>
      </c>
      <c r="E1940" s="119" t="s">
        <v>7</v>
      </c>
      <c r="F1940" s="119" t="s">
        <v>8</v>
      </c>
      <c r="G1940" s="119" t="s">
        <v>9</v>
      </c>
      <c r="H1940" s="120">
        <f t="shared" ref="H1940:H1946" si="335">H1941</f>
        <v>0</v>
      </c>
      <c r="I1940" s="119">
        <v>0</v>
      </c>
      <c r="J1940" s="119" t="str">
        <f t="shared" si="327"/>
        <v>0000000000</v>
      </c>
      <c r="K1940" s="132"/>
      <c r="L1940" s="17"/>
      <c r="M1940" s="20"/>
      <c r="N1940" s="20"/>
      <c r="O1940" s="20"/>
      <c r="P1940" s="20"/>
      <c r="Q1940" s="20"/>
      <c r="R1940" s="20"/>
      <c r="S1940" s="17"/>
    </row>
    <row r="1941" spans="1:19" s="16" customFormat="1" ht="15.75">
      <c r="A1941" s="14"/>
      <c r="B1941" s="121" t="s">
        <v>712</v>
      </c>
      <c r="C1941" s="122" t="s">
        <v>412</v>
      </c>
      <c r="D1941" s="123" t="s">
        <v>342</v>
      </c>
      <c r="E1941" s="123" t="s">
        <v>62</v>
      </c>
      <c r="F1941" s="123" t="s">
        <v>8</v>
      </c>
      <c r="G1941" s="123" t="s">
        <v>9</v>
      </c>
      <c r="H1941" s="124">
        <f t="shared" si="335"/>
        <v>0</v>
      </c>
      <c r="I1941" s="123">
        <v>0</v>
      </c>
      <c r="J1941" s="123" t="str">
        <f t="shared" si="327"/>
        <v>0000000000</v>
      </c>
      <c r="K1941" s="132"/>
      <c r="L1941" s="17"/>
      <c r="M1941" s="20"/>
      <c r="N1941" s="20"/>
      <c r="O1941" s="20"/>
      <c r="P1941" s="20"/>
      <c r="Q1941" s="20"/>
      <c r="R1941" s="20"/>
      <c r="S1941" s="17"/>
    </row>
    <row r="1942" spans="1:19" s="16" customFormat="1" ht="31.5">
      <c r="A1942" s="14"/>
      <c r="B1942" s="125" t="s">
        <v>700</v>
      </c>
      <c r="C1942" s="109" t="s">
        <v>412</v>
      </c>
      <c r="D1942" s="108" t="s">
        <v>342</v>
      </c>
      <c r="E1942" s="108" t="s">
        <v>62</v>
      </c>
      <c r="F1942" s="108" t="s">
        <v>701</v>
      </c>
      <c r="G1942" s="108" t="s">
        <v>9</v>
      </c>
      <c r="H1942" s="126">
        <f t="shared" si="335"/>
        <v>0</v>
      </c>
      <c r="I1942" s="108">
        <v>800000000</v>
      </c>
      <c r="J1942" s="108" t="str">
        <f t="shared" si="327"/>
        <v>0800000000</v>
      </c>
      <c r="K1942" s="132"/>
      <c r="L1942" s="17"/>
      <c r="M1942" s="20"/>
      <c r="N1942" s="20"/>
      <c r="O1942" s="20"/>
      <c r="P1942" s="20"/>
      <c r="Q1942" s="20"/>
      <c r="R1942" s="20"/>
      <c r="S1942" s="17"/>
    </row>
    <row r="1943" spans="1:19" s="16" customFormat="1" ht="47.25">
      <c r="A1943" s="14"/>
      <c r="B1943" s="125" t="s">
        <v>702</v>
      </c>
      <c r="C1943" s="109" t="s">
        <v>412</v>
      </c>
      <c r="D1943" s="108" t="s">
        <v>342</v>
      </c>
      <c r="E1943" s="108" t="s">
        <v>62</v>
      </c>
      <c r="F1943" s="108" t="s">
        <v>703</v>
      </c>
      <c r="G1943" s="108" t="s">
        <v>9</v>
      </c>
      <c r="H1943" s="126">
        <f t="shared" si="335"/>
        <v>0</v>
      </c>
      <c r="I1943" s="108">
        <v>810000000</v>
      </c>
      <c r="J1943" s="108" t="str">
        <f t="shared" si="327"/>
        <v>0810000000</v>
      </c>
      <c r="K1943" s="132"/>
      <c r="L1943" s="17"/>
      <c r="M1943" s="20"/>
      <c r="N1943" s="20"/>
      <c r="O1943" s="20"/>
      <c r="P1943" s="20"/>
      <c r="Q1943" s="20"/>
      <c r="R1943" s="20"/>
      <c r="S1943" s="17"/>
    </row>
    <row r="1944" spans="1:19" s="16" customFormat="1" ht="31.5">
      <c r="A1944" s="14"/>
      <c r="B1944" s="132" t="s">
        <v>1080</v>
      </c>
      <c r="C1944" s="109" t="s">
        <v>412</v>
      </c>
      <c r="D1944" s="108" t="s">
        <v>342</v>
      </c>
      <c r="E1944" s="108" t="s">
        <v>62</v>
      </c>
      <c r="F1944" s="108" t="s">
        <v>1081</v>
      </c>
      <c r="G1944" s="108" t="s">
        <v>9</v>
      </c>
      <c r="H1944" s="126">
        <f t="shared" si="335"/>
        <v>0</v>
      </c>
      <c r="I1944" s="108">
        <v>810400000</v>
      </c>
      <c r="J1944" s="108" t="str">
        <f t="shared" si="327"/>
        <v>0810400000</v>
      </c>
      <c r="K1944" s="132"/>
      <c r="L1944" s="17"/>
      <c r="M1944" s="20"/>
      <c r="N1944" s="20"/>
      <c r="O1944" s="20"/>
      <c r="P1944" s="20"/>
      <c r="Q1944" s="20"/>
      <c r="R1944" s="20"/>
      <c r="S1944" s="17"/>
    </row>
    <row r="1945" spans="1:19" s="16" customFormat="1" ht="63">
      <c r="A1945" s="14"/>
      <c r="B1945" s="132" t="s">
        <v>1082</v>
      </c>
      <c r="C1945" s="109" t="s">
        <v>412</v>
      </c>
      <c r="D1945" s="108" t="s">
        <v>342</v>
      </c>
      <c r="E1945" s="108" t="s">
        <v>62</v>
      </c>
      <c r="F1945" s="108" t="s">
        <v>1083</v>
      </c>
      <c r="G1945" s="108" t="s">
        <v>9</v>
      </c>
      <c r="H1945" s="126">
        <f t="shared" si="335"/>
        <v>0</v>
      </c>
      <c r="I1945" s="108">
        <v>810421380</v>
      </c>
      <c r="J1945" s="108" t="str">
        <f t="shared" si="327"/>
        <v>0810421380</v>
      </c>
      <c r="K1945" s="132"/>
      <c r="L1945" s="17"/>
      <c r="M1945" s="20"/>
      <c r="N1945" s="20"/>
      <c r="O1945" s="20"/>
      <c r="P1945" s="20"/>
      <c r="Q1945" s="20"/>
      <c r="R1945" s="20"/>
      <c r="S1945" s="17"/>
    </row>
    <row r="1946" spans="1:19" s="16" customFormat="1" ht="31.5">
      <c r="A1946" s="14"/>
      <c r="B1946" s="125" t="s">
        <v>28</v>
      </c>
      <c r="C1946" s="109" t="s">
        <v>412</v>
      </c>
      <c r="D1946" s="108" t="s">
        <v>342</v>
      </c>
      <c r="E1946" s="108" t="s">
        <v>62</v>
      </c>
      <c r="F1946" s="108" t="s">
        <v>1083</v>
      </c>
      <c r="G1946" s="108" t="s">
        <v>29</v>
      </c>
      <c r="H1946" s="126">
        <f t="shared" si="335"/>
        <v>0</v>
      </c>
      <c r="I1946" s="108">
        <v>810421380</v>
      </c>
      <c r="J1946" s="108" t="str">
        <f t="shared" si="327"/>
        <v>0810421380</v>
      </c>
      <c r="K1946" s="132"/>
      <c r="L1946" s="17"/>
      <c r="M1946" s="20"/>
      <c r="N1946" s="20"/>
      <c r="O1946" s="20"/>
      <c r="P1946" s="20"/>
      <c r="Q1946" s="20"/>
      <c r="R1946" s="20"/>
      <c r="S1946" s="17"/>
    </row>
    <row r="1947" spans="1:19" s="16" customFormat="1" ht="15.75">
      <c r="A1947" s="14"/>
      <c r="B1947" s="125" t="s">
        <v>30</v>
      </c>
      <c r="C1947" s="109" t="s">
        <v>412</v>
      </c>
      <c r="D1947" s="108" t="s">
        <v>342</v>
      </c>
      <c r="E1947" s="108" t="s">
        <v>62</v>
      </c>
      <c r="F1947" s="108" t="s">
        <v>1083</v>
      </c>
      <c r="G1947" s="108" t="s">
        <v>31</v>
      </c>
      <c r="H1947" s="126"/>
      <c r="I1947" s="108">
        <v>810421380</v>
      </c>
      <c r="J1947" s="108" t="str">
        <f t="shared" si="327"/>
        <v>0810421380</v>
      </c>
      <c r="K1947" s="304" t="str">
        <f>C1947&amp;D1947&amp;E1947&amp;J1947&amp;G1947</f>
        <v>62111020810421380244</v>
      </c>
      <c r="L1947" s="17"/>
      <c r="M1947" s="20"/>
      <c r="N1947" s="20"/>
      <c r="O1947" s="20"/>
      <c r="P1947" s="20"/>
      <c r="Q1947" s="20"/>
      <c r="R1947" s="20"/>
      <c r="S1947" s="17"/>
    </row>
    <row r="1948" spans="1:19" s="16" customFormat="1" ht="15.75">
      <c r="A1948" s="14"/>
      <c r="B1948" s="125"/>
      <c r="C1948" s="109"/>
      <c r="D1948" s="108"/>
      <c r="E1948" s="108"/>
      <c r="F1948" s="108"/>
      <c r="G1948" s="108"/>
      <c r="H1948" s="126"/>
      <c r="I1948" s="108"/>
      <c r="J1948" s="108" t="str">
        <f t="shared" si="327"/>
        <v>0000000000</v>
      </c>
      <c r="K1948" s="17"/>
      <c r="L1948" s="17"/>
      <c r="M1948" s="20"/>
      <c r="N1948" s="20"/>
      <c r="O1948" s="20"/>
      <c r="P1948" s="20">
        <f t="shared" ref="P1948:P1956" si="336">H1948-M1948</f>
        <v>0</v>
      </c>
      <c r="Q1948" s="20" t="e">
        <f>#REF!-N1948</f>
        <v>#REF!</v>
      </c>
      <c r="R1948" s="20" t="e">
        <f>#REF!-O1948</f>
        <v>#REF!</v>
      </c>
      <c r="S1948" s="17" t="str">
        <f t="shared" si="325"/>
        <v/>
      </c>
    </row>
    <row r="1949" spans="1:19" s="16" customFormat="1" ht="47.25">
      <c r="A1949" s="14"/>
      <c r="B1949" s="67" t="s">
        <v>938</v>
      </c>
      <c r="C1949" s="116" t="s">
        <v>939</v>
      </c>
      <c r="D1949" s="69" t="s">
        <v>7</v>
      </c>
      <c r="E1949" s="69" t="s">
        <v>7</v>
      </c>
      <c r="F1949" s="69" t="s">
        <v>8</v>
      </c>
      <c r="G1949" s="69" t="s">
        <v>9</v>
      </c>
      <c r="H1949" s="70">
        <f>H1950</f>
        <v>0</v>
      </c>
      <c r="I1949" s="69">
        <v>0</v>
      </c>
      <c r="J1949" s="69" t="str">
        <f t="shared" si="327"/>
        <v>0000000000</v>
      </c>
      <c r="K1949" s="132"/>
      <c r="L1949" s="17"/>
      <c r="M1949" s="25">
        <v>71663.040000000008</v>
      </c>
      <c r="N1949" s="25">
        <v>71312.98000000001</v>
      </c>
      <c r="O1949" s="25">
        <v>71312.98000000001</v>
      </c>
      <c r="P1949" s="25">
        <f t="shared" si="336"/>
        <v>-71663.040000000008</v>
      </c>
      <c r="Q1949" s="25" t="e">
        <f>#REF!-N1949</f>
        <v>#REF!</v>
      </c>
      <c r="R1949" s="25" t="e">
        <f>#REF!-O1949</f>
        <v>#REF!</v>
      </c>
      <c r="S1949" s="17" t="str">
        <f t="shared" si="325"/>
        <v>00 0 00 00000000</v>
      </c>
    </row>
    <row r="1950" spans="1:19" s="16" customFormat="1" ht="31.5">
      <c r="A1950" s="14"/>
      <c r="B1950" s="117" t="s">
        <v>940</v>
      </c>
      <c r="C1950" s="118" t="s">
        <v>939</v>
      </c>
      <c r="D1950" s="119" t="s">
        <v>13</v>
      </c>
      <c r="E1950" s="119" t="s">
        <v>7</v>
      </c>
      <c r="F1950" s="119" t="s">
        <v>8</v>
      </c>
      <c r="G1950" s="119" t="s">
        <v>9</v>
      </c>
      <c r="H1950" s="120">
        <f t="shared" ref="H1950" si="337">H1951</f>
        <v>0</v>
      </c>
      <c r="I1950" s="119">
        <v>0</v>
      </c>
      <c r="J1950" s="119" t="str">
        <f t="shared" si="327"/>
        <v>0000000000</v>
      </c>
      <c r="K1950" s="132"/>
      <c r="L1950" s="17"/>
      <c r="M1950" s="18">
        <v>71663.040000000008</v>
      </c>
      <c r="N1950" s="18">
        <v>71312.98000000001</v>
      </c>
      <c r="O1950" s="18">
        <v>71312.98000000001</v>
      </c>
      <c r="P1950" s="18">
        <f t="shared" si="336"/>
        <v>-71663.040000000008</v>
      </c>
      <c r="Q1950" s="18" t="e">
        <f>#REF!-N1950</f>
        <v>#REF!</v>
      </c>
      <c r="R1950" s="18" t="e">
        <f>#REF!-O1950</f>
        <v>#REF!</v>
      </c>
      <c r="S1950" s="17" t="str">
        <f t="shared" si="325"/>
        <v>00 0 00 00000000</v>
      </c>
    </row>
    <row r="1951" spans="1:19" s="16" customFormat="1" ht="47.25">
      <c r="A1951" s="14"/>
      <c r="B1951" s="121" t="s">
        <v>941</v>
      </c>
      <c r="C1951" s="122" t="s">
        <v>939</v>
      </c>
      <c r="D1951" s="123" t="s">
        <v>13</v>
      </c>
      <c r="E1951" s="123" t="s">
        <v>471</v>
      </c>
      <c r="F1951" s="123" t="s">
        <v>8</v>
      </c>
      <c r="G1951" s="123" t="s">
        <v>9</v>
      </c>
      <c r="H1951" s="124">
        <f>H1952+H1958+H2008</f>
        <v>0</v>
      </c>
      <c r="I1951" s="123">
        <v>0</v>
      </c>
      <c r="J1951" s="123" t="str">
        <f t="shared" si="327"/>
        <v>0000000000</v>
      </c>
      <c r="K1951" s="132"/>
      <c r="L1951" s="17"/>
      <c r="M1951" s="19">
        <v>71663.040000000008</v>
      </c>
      <c r="N1951" s="19">
        <v>71312.98000000001</v>
      </c>
      <c r="O1951" s="19">
        <v>71312.98000000001</v>
      </c>
      <c r="P1951" s="19">
        <f t="shared" si="336"/>
        <v>-71663.040000000008</v>
      </c>
      <c r="Q1951" s="19" t="e">
        <f>#REF!-N1951</f>
        <v>#REF!</v>
      </c>
      <c r="R1951" s="19" t="e">
        <f>#REF!-O1951</f>
        <v>#REF!</v>
      </c>
      <c r="S1951" s="17" t="str">
        <f t="shared" si="325"/>
        <v>00 0 00 00000000</v>
      </c>
    </row>
    <row r="1952" spans="1:19" s="16" customFormat="1" ht="47.25">
      <c r="A1952" s="14"/>
      <c r="B1952" s="148" t="s">
        <v>146</v>
      </c>
      <c r="C1952" s="109" t="s">
        <v>939</v>
      </c>
      <c r="D1952" s="108" t="s">
        <v>13</v>
      </c>
      <c r="E1952" s="108" t="s">
        <v>471</v>
      </c>
      <c r="F1952" s="108" t="s">
        <v>147</v>
      </c>
      <c r="G1952" s="108" t="s">
        <v>9</v>
      </c>
      <c r="H1952" s="126">
        <f>H1953</f>
        <v>0</v>
      </c>
      <c r="I1952" s="108">
        <v>1500000000</v>
      </c>
      <c r="J1952" s="108" t="str">
        <f t="shared" si="327"/>
        <v>1500000000</v>
      </c>
      <c r="K1952" s="132"/>
      <c r="L1952" s="17"/>
      <c r="M1952" s="20">
        <v>22.95</v>
      </c>
      <c r="N1952" s="20">
        <v>22.95</v>
      </c>
      <c r="O1952" s="20">
        <v>22.95</v>
      </c>
      <c r="P1952" s="20">
        <f t="shared" si="336"/>
        <v>-22.95</v>
      </c>
      <c r="Q1952" s="20" t="e">
        <f>#REF!-N1952</f>
        <v>#REF!</v>
      </c>
      <c r="R1952" s="20" t="e">
        <f>#REF!-O1952</f>
        <v>#REF!</v>
      </c>
      <c r="S1952" s="17" t="str">
        <f t="shared" si="325"/>
        <v>15 0 00 00000000</v>
      </c>
    </row>
    <row r="1953" spans="1:19" s="66" customFormat="1" ht="31.5">
      <c r="A1953" s="65"/>
      <c r="B1953" s="125" t="s">
        <v>168</v>
      </c>
      <c r="C1953" s="109" t="s">
        <v>939</v>
      </c>
      <c r="D1953" s="108" t="s">
        <v>13</v>
      </c>
      <c r="E1953" s="108" t="s">
        <v>471</v>
      </c>
      <c r="F1953" s="108" t="s">
        <v>169</v>
      </c>
      <c r="G1953" s="108" t="s">
        <v>9</v>
      </c>
      <c r="H1953" s="126">
        <f t="shared" ref="H1953:H1955" si="338">H1954</f>
        <v>0</v>
      </c>
      <c r="I1953" s="108">
        <v>1530000000</v>
      </c>
      <c r="J1953" s="108" t="str">
        <f t="shared" si="327"/>
        <v>1530000000</v>
      </c>
      <c r="K1953" s="132"/>
      <c r="L1953" s="17"/>
      <c r="M1953" s="20">
        <v>22.95</v>
      </c>
      <c r="N1953" s="20">
        <v>22.95</v>
      </c>
      <c r="O1953" s="20">
        <v>22.95</v>
      </c>
      <c r="P1953" s="20">
        <f t="shared" si="336"/>
        <v>-22.95</v>
      </c>
      <c r="Q1953" s="20" t="e">
        <f>#REF!-N1953</f>
        <v>#REF!</v>
      </c>
      <c r="R1953" s="20" t="e">
        <f>#REF!-O1953</f>
        <v>#REF!</v>
      </c>
      <c r="S1953" s="17" t="str">
        <f t="shared" si="325"/>
        <v>15 3 00 00000000</v>
      </c>
    </row>
    <row r="1954" spans="1:19" s="16" customFormat="1" ht="31.5">
      <c r="A1954" s="14"/>
      <c r="B1954" s="148" t="s">
        <v>942</v>
      </c>
      <c r="C1954" s="109" t="s">
        <v>939</v>
      </c>
      <c r="D1954" s="108" t="s">
        <v>13</v>
      </c>
      <c r="E1954" s="108" t="s">
        <v>471</v>
      </c>
      <c r="F1954" s="108" t="s">
        <v>943</v>
      </c>
      <c r="G1954" s="108" t="s">
        <v>9</v>
      </c>
      <c r="H1954" s="126">
        <f t="shared" si="338"/>
        <v>0</v>
      </c>
      <c r="I1954" s="108">
        <v>1530200000</v>
      </c>
      <c r="J1954" s="108" t="str">
        <f t="shared" si="327"/>
        <v>1530200000</v>
      </c>
      <c r="K1954" s="132"/>
      <c r="L1954" s="17"/>
      <c r="M1954" s="20">
        <v>22.95</v>
      </c>
      <c r="N1954" s="20">
        <v>22.95</v>
      </c>
      <c r="O1954" s="20">
        <v>22.95</v>
      </c>
      <c r="P1954" s="20">
        <f t="shared" si="336"/>
        <v>-22.95</v>
      </c>
      <c r="Q1954" s="20" t="e">
        <f>#REF!-N1954</f>
        <v>#REF!</v>
      </c>
      <c r="R1954" s="20" t="e">
        <f>#REF!-O1954</f>
        <v>#REF!</v>
      </c>
      <c r="S1954" s="17" t="str">
        <f t="shared" si="325"/>
        <v>15 3 02 00000000</v>
      </c>
    </row>
    <row r="1955" spans="1:19" s="16" customFormat="1" ht="47.25">
      <c r="A1955" s="14"/>
      <c r="B1955" s="148" t="s">
        <v>944</v>
      </c>
      <c r="C1955" s="109" t="s">
        <v>939</v>
      </c>
      <c r="D1955" s="108" t="s">
        <v>13</v>
      </c>
      <c r="E1955" s="108" t="s">
        <v>471</v>
      </c>
      <c r="F1955" s="108" t="s">
        <v>945</v>
      </c>
      <c r="G1955" s="108" t="s">
        <v>9</v>
      </c>
      <c r="H1955" s="126">
        <f t="shared" si="338"/>
        <v>0</v>
      </c>
      <c r="I1955" s="108">
        <v>1530221290</v>
      </c>
      <c r="J1955" s="108" t="str">
        <f t="shared" si="327"/>
        <v>1530221290</v>
      </c>
      <c r="K1955" s="132"/>
      <c r="L1955" s="17"/>
      <c r="M1955" s="20">
        <v>22.95</v>
      </c>
      <c r="N1955" s="20">
        <v>22.95</v>
      </c>
      <c r="O1955" s="20">
        <v>22.95</v>
      </c>
      <c r="P1955" s="20">
        <f t="shared" si="336"/>
        <v>-22.95</v>
      </c>
      <c r="Q1955" s="20" t="e">
        <f>#REF!-N1955</f>
        <v>#REF!</v>
      </c>
      <c r="R1955" s="20" t="e">
        <f>#REF!-O1955</f>
        <v>#REF!</v>
      </c>
      <c r="S1955" s="17" t="str">
        <f t="shared" si="325"/>
        <v>15 3 02 21290000</v>
      </c>
    </row>
    <row r="1956" spans="1:19" s="16" customFormat="1" ht="31.5">
      <c r="A1956" s="14"/>
      <c r="B1956" s="148" t="s">
        <v>28</v>
      </c>
      <c r="C1956" s="109" t="s">
        <v>939</v>
      </c>
      <c r="D1956" s="108" t="s">
        <v>13</v>
      </c>
      <c r="E1956" s="108" t="s">
        <v>471</v>
      </c>
      <c r="F1956" s="108" t="s">
        <v>945</v>
      </c>
      <c r="G1956" s="108" t="s">
        <v>29</v>
      </c>
      <c r="H1956" s="126">
        <f>H1957</f>
        <v>0</v>
      </c>
      <c r="I1956" s="108">
        <v>1530221290</v>
      </c>
      <c r="J1956" s="108" t="str">
        <f t="shared" si="327"/>
        <v>1530221290</v>
      </c>
      <c r="K1956" s="132"/>
      <c r="L1956" s="17"/>
      <c r="M1956" s="20">
        <v>22.95</v>
      </c>
      <c r="N1956" s="20">
        <v>22.95</v>
      </c>
      <c r="O1956" s="20">
        <v>22.95</v>
      </c>
      <c r="P1956" s="20">
        <f t="shared" si="336"/>
        <v>-22.95</v>
      </c>
      <c r="Q1956" s="20" t="e">
        <f>#REF!-N1956</f>
        <v>#REF!</v>
      </c>
      <c r="R1956" s="20" t="e">
        <f>#REF!-O1956</f>
        <v>#REF!</v>
      </c>
      <c r="S1956" s="17" t="str">
        <f t="shared" si="325"/>
        <v>15 3 02 21290240</v>
      </c>
    </row>
    <row r="1957" spans="1:19" s="16" customFormat="1" ht="15.75">
      <c r="A1957" s="14"/>
      <c r="B1957" s="125" t="s">
        <v>30</v>
      </c>
      <c r="C1957" s="109" t="s">
        <v>939</v>
      </c>
      <c r="D1957" s="108" t="s">
        <v>13</v>
      </c>
      <c r="E1957" s="108" t="s">
        <v>471</v>
      </c>
      <c r="F1957" s="108" t="s">
        <v>945</v>
      </c>
      <c r="G1957" s="108" t="s">
        <v>31</v>
      </c>
      <c r="H1957" s="126"/>
      <c r="I1957" s="108">
        <v>1530221290</v>
      </c>
      <c r="J1957" s="108" t="str">
        <f t="shared" si="327"/>
        <v>1530221290</v>
      </c>
      <c r="K1957" s="304" t="str">
        <f>C1957&amp;D1957&amp;E1957&amp;J1957&amp;G1957</f>
        <v>62403091530221290244</v>
      </c>
      <c r="L1957" s="17"/>
      <c r="M1957" s="20"/>
      <c r="N1957" s="20"/>
      <c r="O1957" s="20"/>
      <c r="P1957" s="20"/>
      <c r="Q1957" s="20"/>
      <c r="R1957" s="20"/>
      <c r="S1957" s="17"/>
    </row>
    <row r="1958" spans="1:19" s="16" customFormat="1" ht="94.5">
      <c r="A1958" s="14"/>
      <c r="B1958" s="125" t="s">
        <v>420</v>
      </c>
      <c r="C1958" s="109" t="s">
        <v>939</v>
      </c>
      <c r="D1958" s="108" t="s">
        <v>13</v>
      </c>
      <c r="E1958" s="108" t="s">
        <v>471</v>
      </c>
      <c r="F1958" s="108" t="s">
        <v>421</v>
      </c>
      <c r="G1958" s="108" t="s">
        <v>9</v>
      </c>
      <c r="H1958" s="126">
        <f>H1959+H1979+H1984</f>
        <v>0</v>
      </c>
      <c r="I1958" s="108">
        <v>1600000000</v>
      </c>
      <c r="J1958" s="108" t="str">
        <f t="shared" si="327"/>
        <v>1600000000</v>
      </c>
      <c r="K1958" s="132"/>
      <c r="L1958" s="17"/>
      <c r="M1958" s="20">
        <v>56290.600000000006</v>
      </c>
      <c r="N1958" s="20">
        <v>55940.540000000008</v>
      </c>
      <c r="O1958" s="20">
        <v>55940.540000000008</v>
      </c>
      <c r="P1958" s="20">
        <f>H1958-M1958</f>
        <v>-56290.600000000006</v>
      </c>
      <c r="Q1958" s="20" t="e">
        <f>#REF!-N1958</f>
        <v>#REF!</v>
      </c>
      <c r="R1958" s="20" t="e">
        <f>#REF!-O1958</f>
        <v>#REF!</v>
      </c>
      <c r="S1958" s="17" t="str">
        <f t="shared" si="325"/>
        <v>16 0 00 00000000</v>
      </c>
    </row>
    <row r="1959" spans="1:19" s="66" customFormat="1" ht="47.25">
      <c r="A1959" s="65"/>
      <c r="B1959" s="125" t="s">
        <v>946</v>
      </c>
      <c r="C1959" s="109" t="s">
        <v>939</v>
      </c>
      <c r="D1959" s="108" t="s">
        <v>13</v>
      </c>
      <c r="E1959" s="108" t="s">
        <v>471</v>
      </c>
      <c r="F1959" s="108" t="s">
        <v>947</v>
      </c>
      <c r="G1959" s="108" t="s">
        <v>9</v>
      </c>
      <c r="H1959" s="126">
        <f>H1960+H1964+H1975</f>
        <v>0</v>
      </c>
      <c r="I1959" s="108">
        <v>1610000000</v>
      </c>
      <c r="J1959" s="108" t="str">
        <f t="shared" si="327"/>
        <v>1610000000</v>
      </c>
      <c r="K1959" s="132"/>
      <c r="L1959" s="17"/>
      <c r="M1959" s="20">
        <v>31046.15</v>
      </c>
      <c r="N1959" s="20">
        <v>31046.15</v>
      </c>
      <c r="O1959" s="20">
        <v>31046.15</v>
      </c>
      <c r="P1959" s="20">
        <f>H1959-M1959</f>
        <v>-31046.15</v>
      </c>
      <c r="Q1959" s="20" t="e">
        <f>#REF!-N1959</f>
        <v>#REF!</v>
      </c>
      <c r="R1959" s="20" t="e">
        <f>#REF!-O1959</f>
        <v>#REF!</v>
      </c>
      <c r="S1959" s="17" t="str">
        <f t="shared" si="325"/>
        <v>16 1 00 00000000</v>
      </c>
    </row>
    <row r="1960" spans="1:19" s="16" customFormat="1" ht="63">
      <c r="A1960" s="14"/>
      <c r="B1960" s="125" t="s">
        <v>948</v>
      </c>
      <c r="C1960" s="109" t="s">
        <v>939</v>
      </c>
      <c r="D1960" s="108" t="s">
        <v>13</v>
      </c>
      <c r="E1960" s="108" t="s">
        <v>471</v>
      </c>
      <c r="F1960" s="108" t="s">
        <v>949</v>
      </c>
      <c r="G1960" s="108" t="s">
        <v>9</v>
      </c>
      <c r="H1960" s="126">
        <f t="shared" ref="H1960:H1961" si="339">H1961</f>
        <v>0</v>
      </c>
      <c r="I1960" s="108">
        <v>1610100000</v>
      </c>
      <c r="J1960" s="108" t="str">
        <f t="shared" si="327"/>
        <v>1610100000</v>
      </c>
      <c r="K1960" s="132"/>
      <c r="L1960" s="17"/>
      <c r="M1960" s="20">
        <v>100</v>
      </c>
      <c r="N1960" s="20">
        <v>100</v>
      </c>
      <c r="O1960" s="20">
        <v>100</v>
      </c>
      <c r="P1960" s="20">
        <f>H1960-M1960</f>
        <v>-100</v>
      </c>
      <c r="Q1960" s="20" t="e">
        <f>#REF!-N1960</f>
        <v>#REF!</v>
      </c>
      <c r="R1960" s="20" t="e">
        <f>#REF!-O1960</f>
        <v>#REF!</v>
      </c>
      <c r="S1960" s="17" t="str">
        <f t="shared" si="325"/>
        <v>16 1 01 00000000</v>
      </c>
    </row>
    <row r="1961" spans="1:19" s="16" customFormat="1" ht="78.75">
      <c r="A1961" s="14"/>
      <c r="B1961" s="148" t="s">
        <v>950</v>
      </c>
      <c r="C1961" s="109" t="s">
        <v>939</v>
      </c>
      <c r="D1961" s="108" t="s">
        <v>13</v>
      </c>
      <c r="E1961" s="108" t="s">
        <v>471</v>
      </c>
      <c r="F1961" s="108" t="s">
        <v>951</v>
      </c>
      <c r="G1961" s="108" t="s">
        <v>9</v>
      </c>
      <c r="H1961" s="126">
        <f t="shared" si="339"/>
        <v>0</v>
      </c>
      <c r="I1961" s="108">
        <v>1610120120</v>
      </c>
      <c r="J1961" s="108" t="str">
        <f t="shared" si="327"/>
        <v>1610120120</v>
      </c>
      <c r="K1961" s="132"/>
      <c r="L1961" s="17"/>
      <c r="M1961" s="20">
        <v>100</v>
      </c>
      <c r="N1961" s="20">
        <v>100</v>
      </c>
      <c r="O1961" s="20">
        <v>100</v>
      </c>
      <c r="P1961" s="20">
        <f>H1961-M1961</f>
        <v>-100</v>
      </c>
      <c r="Q1961" s="20" t="e">
        <f>#REF!-N1961</f>
        <v>#REF!</v>
      </c>
      <c r="R1961" s="20" t="e">
        <f>#REF!-O1961</f>
        <v>#REF!</v>
      </c>
      <c r="S1961" s="17" t="str">
        <f t="shared" si="325"/>
        <v>16 1 01 20120000</v>
      </c>
    </row>
    <row r="1962" spans="1:19" s="16" customFormat="1" ht="31.5">
      <c r="A1962" s="14"/>
      <c r="B1962" s="125" t="s">
        <v>28</v>
      </c>
      <c r="C1962" s="109" t="s">
        <v>939</v>
      </c>
      <c r="D1962" s="108" t="s">
        <v>13</v>
      </c>
      <c r="E1962" s="108" t="s">
        <v>471</v>
      </c>
      <c r="F1962" s="108" t="s">
        <v>951</v>
      </c>
      <c r="G1962" s="108" t="s">
        <v>29</v>
      </c>
      <c r="H1962" s="126">
        <f>H1963</f>
        <v>0</v>
      </c>
      <c r="I1962" s="108">
        <v>1610120120</v>
      </c>
      <c r="J1962" s="108" t="str">
        <f t="shared" si="327"/>
        <v>1610120120</v>
      </c>
      <c r="K1962" s="132"/>
      <c r="L1962" s="17"/>
      <c r="M1962" s="20">
        <v>100</v>
      </c>
      <c r="N1962" s="20">
        <v>100</v>
      </c>
      <c r="O1962" s="20">
        <v>100</v>
      </c>
      <c r="P1962" s="20">
        <f>H1962-M1962</f>
        <v>-100</v>
      </c>
      <c r="Q1962" s="20" t="e">
        <f>#REF!-N1962</f>
        <v>#REF!</v>
      </c>
      <c r="R1962" s="20" t="e">
        <f>#REF!-O1962</f>
        <v>#REF!</v>
      </c>
      <c r="S1962" s="17" t="str">
        <f t="shared" si="325"/>
        <v>16 1 01 20120240</v>
      </c>
    </row>
    <row r="1963" spans="1:19" s="16" customFormat="1" ht="15.75">
      <c r="A1963" s="14"/>
      <c r="B1963" s="125" t="s">
        <v>30</v>
      </c>
      <c r="C1963" s="109" t="s">
        <v>939</v>
      </c>
      <c r="D1963" s="108" t="s">
        <v>13</v>
      </c>
      <c r="E1963" s="108" t="s">
        <v>471</v>
      </c>
      <c r="F1963" s="108" t="s">
        <v>951</v>
      </c>
      <c r="G1963" s="108" t="s">
        <v>31</v>
      </c>
      <c r="H1963" s="126"/>
      <c r="I1963" s="108">
        <v>1610120120</v>
      </c>
      <c r="J1963" s="108" t="str">
        <f t="shared" si="327"/>
        <v>1610120120</v>
      </c>
      <c r="K1963" s="304" t="str">
        <f>C1963&amp;D1963&amp;E1963&amp;J1963&amp;G1963</f>
        <v>62403091610120120244</v>
      </c>
      <c r="L1963" s="17"/>
      <c r="M1963" s="20"/>
      <c r="N1963" s="20"/>
      <c r="O1963" s="20"/>
      <c r="P1963" s="20"/>
      <c r="Q1963" s="20"/>
      <c r="R1963" s="20"/>
      <c r="S1963" s="17"/>
    </row>
    <row r="1964" spans="1:19" s="16" customFormat="1" ht="47.25">
      <c r="A1964" s="14"/>
      <c r="B1964" s="148" t="s">
        <v>952</v>
      </c>
      <c r="C1964" s="109" t="s">
        <v>939</v>
      </c>
      <c r="D1964" s="108" t="s">
        <v>13</v>
      </c>
      <c r="E1964" s="108" t="s">
        <v>471</v>
      </c>
      <c r="F1964" s="108" t="s">
        <v>953</v>
      </c>
      <c r="G1964" s="108" t="s">
        <v>9</v>
      </c>
      <c r="H1964" s="126">
        <f>H1965</f>
        <v>0</v>
      </c>
      <c r="I1964" s="108">
        <v>1610200000</v>
      </c>
      <c r="J1964" s="108" t="str">
        <f t="shared" si="327"/>
        <v>1610200000</v>
      </c>
      <c r="K1964" s="132"/>
      <c r="L1964" s="17"/>
      <c r="M1964" s="20">
        <v>30516.15</v>
      </c>
      <c r="N1964" s="20">
        <v>30516.15</v>
      </c>
      <c r="O1964" s="20">
        <v>30516.15</v>
      </c>
      <c r="P1964" s="20">
        <f>H1964-M1964</f>
        <v>-30516.15</v>
      </c>
      <c r="Q1964" s="20" t="e">
        <f>#REF!-N1964</f>
        <v>#REF!</v>
      </c>
      <c r="R1964" s="20" t="e">
        <f>#REF!-O1964</f>
        <v>#REF!</v>
      </c>
      <c r="S1964" s="17" t="str">
        <f t="shared" si="325"/>
        <v>16 1 02 00000000</v>
      </c>
    </row>
    <row r="1965" spans="1:19" s="16" customFormat="1" ht="31.5">
      <c r="A1965" s="14"/>
      <c r="B1965" s="148" t="s">
        <v>136</v>
      </c>
      <c r="C1965" s="109" t="s">
        <v>939</v>
      </c>
      <c r="D1965" s="108" t="s">
        <v>13</v>
      </c>
      <c r="E1965" s="108" t="s">
        <v>471</v>
      </c>
      <c r="F1965" s="108" t="s">
        <v>954</v>
      </c>
      <c r="G1965" s="108" t="s">
        <v>9</v>
      </c>
      <c r="H1965" s="126">
        <f>H1966+H1969+H1971</f>
        <v>0</v>
      </c>
      <c r="I1965" s="108">
        <v>1610211010</v>
      </c>
      <c r="J1965" s="108" t="str">
        <f t="shared" si="327"/>
        <v>1610211010</v>
      </c>
      <c r="K1965" s="132"/>
      <c r="L1965" s="17"/>
      <c r="M1965" s="20">
        <v>30516.15</v>
      </c>
      <c r="N1965" s="20">
        <v>30516.15</v>
      </c>
      <c r="O1965" s="20">
        <v>30516.15</v>
      </c>
      <c r="P1965" s="20">
        <f>H1965-M1965</f>
        <v>-30516.15</v>
      </c>
      <c r="Q1965" s="20" t="e">
        <f>#REF!-N1965</f>
        <v>#REF!</v>
      </c>
      <c r="R1965" s="20" t="e">
        <f>#REF!-O1965</f>
        <v>#REF!</v>
      </c>
      <c r="S1965" s="17" t="str">
        <f t="shared" si="325"/>
        <v>16 1 02 11010000</v>
      </c>
    </row>
    <row r="1966" spans="1:19" s="16" customFormat="1" ht="15.75">
      <c r="A1966" s="14"/>
      <c r="B1966" s="125" t="s">
        <v>138</v>
      </c>
      <c r="C1966" s="109" t="s">
        <v>939</v>
      </c>
      <c r="D1966" s="108" t="s">
        <v>13</v>
      </c>
      <c r="E1966" s="108" t="s">
        <v>471</v>
      </c>
      <c r="F1966" s="108" t="s">
        <v>954</v>
      </c>
      <c r="G1966" s="108" t="s">
        <v>139</v>
      </c>
      <c r="H1966" s="126">
        <f>SUM(H1967:H1968)</f>
        <v>0</v>
      </c>
      <c r="I1966" s="108">
        <v>1610211010</v>
      </c>
      <c r="J1966" s="108" t="str">
        <f t="shared" si="327"/>
        <v>1610211010</v>
      </c>
      <c r="K1966" s="132"/>
      <c r="L1966" s="17"/>
      <c r="M1966" s="20">
        <v>25310.93</v>
      </c>
      <c r="N1966" s="20">
        <v>25310.93</v>
      </c>
      <c r="O1966" s="20">
        <v>25310.93</v>
      </c>
      <c r="P1966" s="20">
        <f>H1966-M1966</f>
        <v>-25310.93</v>
      </c>
      <c r="Q1966" s="20" t="e">
        <f>#REF!-N1966</f>
        <v>#REF!</v>
      </c>
      <c r="R1966" s="20" t="e">
        <f>#REF!-O1966</f>
        <v>#REF!</v>
      </c>
      <c r="S1966" s="17" t="str">
        <f t="shared" si="325"/>
        <v>16 1 02 11010110</v>
      </c>
    </row>
    <row r="1967" spans="1:19" s="23" customFormat="1" ht="15.75">
      <c r="A1967" s="21"/>
      <c r="B1967" s="127" t="s">
        <v>140</v>
      </c>
      <c r="C1967" s="109" t="s">
        <v>939</v>
      </c>
      <c r="D1967" s="108" t="s">
        <v>13</v>
      </c>
      <c r="E1967" s="108" t="s">
        <v>471</v>
      </c>
      <c r="F1967" s="108" t="s">
        <v>954</v>
      </c>
      <c r="G1967" s="108" t="s">
        <v>141</v>
      </c>
      <c r="H1967" s="126"/>
      <c r="I1967" s="108">
        <v>1610211010</v>
      </c>
      <c r="J1967" s="108" t="str">
        <f t="shared" si="327"/>
        <v>1610211010</v>
      </c>
      <c r="K1967" s="304" t="str">
        <f t="shared" ref="K1967:K1968" si="340">C1967&amp;D1967&amp;E1967&amp;J1967&amp;G1967</f>
        <v>62403091610211010111</v>
      </c>
      <c r="L1967" s="24"/>
      <c r="M1967" s="22"/>
      <c r="N1967" s="22"/>
      <c r="O1967" s="22"/>
      <c r="P1967" s="22"/>
      <c r="Q1967" s="22"/>
      <c r="R1967" s="22"/>
      <c r="S1967" s="24"/>
    </row>
    <row r="1968" spans="1:19" s="23" customFormat="1" ht="47.25">
      <c r="A1968" s="21"/>
      <c r="B1968" s="127" t="s">
        <v>487</v>
      </c>
      <c r="C1968" s="109" t="s">
        <v>939</v>
      </c>
      <c r="D1968" s="108" t="s">
        <v>13</v>
      </c>
      <c r="E1968" s="108" t="s">
        <v>471</v>
      </c>
      <c r="F1968" s="108" t="s">
        <v>954</v>
      </c>
      <c r="G1968" s="108" t="s">
        <v>145</v>
      </c>
      <c r="H1968" s="126"/>
      <c r="I1968" s="108">
        <v>1610211010</v>
      </c>
      <c r="J1968" s="108" t="str">
        <f t="shared" si="327"/>
        <v>1610211010</v>
      </c>
      <c r="K1968" s="304" t="str">
        <f t="shared" si="340"/>
        <v>62403091610211010119</v>
      </c>
      <c r="L1968" s="24"/>
      <c r="M1968" s="22"/>
      <c r="N1968" s="22"/>
      <c r="O1968" s="22"/>
      <c r="P1968" s="22"/>
      <c r="Q1968" s="22"/>
      <c r="R1968" s="22"/>
      <c r="S1968" s="24"/>
    </row>
    <row r="1969" spans="1:19" s="16" customFormat="1" ht="31.5">
      <c r="A1969" s="14"/>
      <c r="B1969" s="148" t="s">
        <v>28</v>
      </c>
      <c r="C1969" s="109" t="s">
        <v>939</v>
      </c>
      <c r="D1969" s="108" t="s">
        <v>13</v>
      </c>
      <c r="E1969" s="108" t="s">
        <v>471</v>
      </c>
      <c r="F1969" s="108" t="s">
        <v>954</v>
      </c>
      <c r="G1969" s="108" t="s">
        <v>29</v>
      </c>
      <c r="H1969" s="126">
        <f>H1970</f>
        <v>0</v>
      </c>
      <c r="I1969" s="108">
        <v>1610211010</v>
      </c>
      <c r="J1969" s="108" t="str">
        <f t="shared" si="327"/>
        <v>1610211010</v>
      </c>
      <c r="K1969" s="132"/>
      <c r="L1969" s="17"/>
      <c r="M1969" s="20">
        <v>4264.22</v>
      </c>
      <c r="N1969" s="20">
        <v>4264.22</v>
      </c>
      <c r="O1969" s="20">
        <v>4264.22</v>
      </c>
      <c r="P1969" s="20">
        <f>H1969-M1969</f>
        <v>-4264.22</v>
      </c>
      <c r="Q1969" s="20" t="e">
        <f>#REF!-N1969</f>
        <v>#REF!</v>
      </c>
      <c r="R1969" s="20" t="e">
        <f>#REF!-O1969</f>
        <v>#REF!</v>
      </c>
      <c r="S1969" s="17" t="str">
        <f t="shared" si="325"/>
        <v>16 1 02 11010240</v>
      </c>
    </row>
    <row r="1970" spans="1:19" s="16" customFormat="1" ht="15.75">
      <c r="A1970" s="14"/>
      <c r="B1970" s="125" t="s">
        <v>30</v>
      </c>
      <c r="C1970" s="109" t="s">
        <v>939</v>
      </c>
      <c r="D1970" s="108" t="s">
        <v>13</v>
      </c>
      <c r="E1970" s="108" t="s">
        <v>471</v>
      </c>
      <c r="F1970" s="108" t="s">
        <v>954</v>
      </c>
      <c r="G1970" s="108" t="s">
        <v>31</v>
      </c>
      <c r="H1970" s="126"/>
      <c r="I1970" s="108">
        <v>1610211010</v>
      </c>
      <c r="J1970" s="108" t="str">
        <f t="shared" si="327"/>
        <v>1610211010</v>
      </c>
      <c r="K1970" s="304" t="str">
        <f>C1970&amp;D1970&amp;E1970&amp;J1970&amp;G1970</f>
        <v>62403091610211010244</v>
      </c>
      <c r="L1970" s="17"/>
      <c r="M1970" s="20"/>
      <c r="N1970" s="20"/>
      <c r="O1970" s="20"/>
      <c r="P1970" s="20"/>
      <c r="Q1970" s="20"/>
      <c r="R1970" s="20"/>
      <c r="S1970" s="17"/>
    </row>
    <row r="1971" spans="1:19" s="16" customFormat="1" ht="15.75">
      <c r="A1971" s="14"/>
      <c r="B1971" s="148" t="s">
        <v>32</v>
      </c>
      <c r="C1971" s="109" t="s">
        <v>939</v>
      </c>
      <c r="D1971" s="108" t="s">
        <v>13</v>
      </c>
      <c r="E1971" s="108" t="s">
        <v>471</v>
      </c>
      <c r="F1971" s="108" t="s">
        <v>954</v>
      </c>
      <c r="G1971" s="108" t="s">
        <v>33</v>
      </c>
      <c r="H1971" s="126">
        <f>SUM(H1972:H1974)</f>
        <v>0</v>
      </c>
      <c r="I1971" s="108">
        <v>1610211010</v>
      </c>
      <c r="J1971" s="108" t="str">
        <f t="shared" si="327"/>
        <v>1610211010</v>
      </c>
      <c r="K1971" s="132"/>
      <c r="L1971" s="17"/>
      <c r="M1971" s="20">
        <v>941</v>
      </c>
      <c r="N1971" s="20">
        <v>941</v>
      </c>
      <c r="O1971" s="20">
        <v>941</v>
      </c>
      <c r="P1971" s="20">
        <f>H1971-M1971</f>
        <v>-941</v>
      </c>
      <c r="Q1971" s="20" t="e">
        <f>#REF!-N1971</f>
        <v>#REF!</v>
      </c>
      <c r="R1971" s="20" t="e">
        <f>#REF!-O1971</f>
        <v>#REF!</v>
      </c>
      <c r="S1971" s="17" t="str">
        <f t="shared" si="325"/>
        <v>16 1 02 11010850</v>
      </c>
    </row>
    <row r="1972" spans="1:19" s="23" customFormat="1" ht="31.5">
      <c r="A1972" s="21"/>
      <c r="B1972" s="127" t="s">
        <v>34</v>
      </c>
      <c r="C1972" s="109" t="s">
        <v>939</v>
      </c>
      <c r="D1972" s="108" t="s">
        <v>13</v>
      </c>
      <c r="E1972" s="108" t="s">
        <v>471</v>
      </c>
      <c r="F1972" s="108" t="s">
        <v>954</v>
      </c>
      <c r="G1972" s="108">
        <v>851</v>
      </c>
      <c r="H1972" s="126"/>
      <c r="I1972" s="108">
        <v>1610211010</v>
      </c>
      <c r="J1972" s="108" t="str">
        <f t="shared" si="327"/>
        <v>1610211010</v>
      </c>
      <c r="K1972" s="304" t="str">
        <f t="shared" ref="K1972:K1974" si="341">C1972&amp;D1972&amp;E1972&amp;J1972&amp;G1972</f>
        <v>62403091610211010851</v>
      </c>
      <c r="L1972" s="24"/>
      <c r="M1972" s="22"/>
      <c r="N1972" s="22"/>
      <c r="O1972" s="22"/>
      <c r="P1972" s="22"/>
      <c r="Q1972" s="22"/>
      <c r="R1972" s="22"/>
      <c r="S1972" s="24"/>
    </row>
    <row r="1973" spans="1:19" s="23" customFormat="1" ht="15.75">
      <c r="A1973" s="21"/>
      <c r="B1973" s="127" t="s">
        <v>36</v>
      </c>
      <c r="C1973" s="109" t="s">
        <v>939</v>
      </c>
      <c r="D1973" s="108" t="s">
        <v>13</v>
      </c>
      <c r="E1973" s="108" t="s">
        <v>471</v>
      </c>
      <c r="F1973" s="108" t="s">
        <v>954</v>
      </c>
      <c r="G1973" s="108" t="s">
        <v>37</v>
      </c>
      <c r="H1973" s="126"/>
      <c r="I1973" s="108">
        <v>1610211010</v>
      </c>
      <c r="J1973" s="108" t="str">
        <f t="shared" si="327"/>
        <v>1610211010</v>
      </c>
      <c r="K1973" s="304" t="str">
        <f t="shared" si="341"/>
        <v>62403091610211010852</v>
      </c>
      <c r="L1973" s="24"/>
      <c r="M1973" s="22"/>
      <c r="N1973" s="22"/>
      <c r="O1973" s="22"/>
      <c r="P1973" s="22"/>
      <c r="Q1973" s="22"/>
      <c r="R1973" s="22"/>
      <c r="S1973" s="24"/>
    </row>
    <row r="1974" spans="1:19" s="23" customFormat="1" ht="15.75">
      <c r="A1974" s="21"/>
      <c r="B1974" s="127" t="s">
        <v>77</v>
      </c>
      <c r="C1974" s="109" t="s">
        <v>939</v>
      </c>
      <c r="D1974" s="108" t="s">
        <v>13</v>
      </c>
      <c r="E1974" s="108" t="s">
        <v>471</v>
      </c>
      <c r="F1974" s="108" t="s">
        <v>954</v>
      </c>
      <c r="G1974" s="108" t="s">
        <v>78</v>
      </c>
      <c r="H1974" s="126"/>
      <c r="I1974" s="108">
        <v>1610211010</v>
      </c>
      <c r="J1974" s="108" t="str">
        <f t="shared" si="327"/>
        <v>1610211010</v>
      </c>
      <c r="K1974" s="304" t="str">
        <f t="shared" si="341"/>
        <v>62403091610211010853</v>
      </c>
      <c r="L1974" s="24"/>
      <c r="M1974" s="22"/>
      <c r="N1974" s="22"/>
      <c r="O1974" s="22"/>
      <c r="P1974" s="22"/>
      <c r="Q1974" s="22"/>
      <c r="R1974" s="22"/>
      <c r="S1974" s="24"/>
    </row>
    <row r="1975" spans="1:19" s="16" customFormat="1" ht="31.5">
      <c r="A1975" s="14"/>
      <c r="B1975" s="148" t="s">
        <v>942</v>
      </c>
      <c r="C1975" s="109" t="s">
        <v>939</v>
      </c>
      <c r="D1975" s="108" t="s">
        <v>13</v>
      </c>
      <c r="E1975" s="108" t="s">
        <v>471</v>
      </c>
      <c r="F1975" s="108" t="s">
        <v>955</v>
      </c>
      <c r="G1975" s="108" t="s">
        <v>9</v>
      </c>
      <c r="H1975" s="126">
        <f t="shared" ref="H1975" si="342">H1976</f>
        <v>0</v>
      </c>
      <c r="I1975" s="108">
        <v>1610300000</v>
      </c>
      <c r="J1975" s="108" t="str">
        <f t="shared" si="327"/>
        <v>1610300000</v>
      </c>
      <c r="K1975" s="132"/>
      <c r="L1975" s="17"/>
      <c r="M1975" s="20">
        <v>430</v>
      </c>
      <c r="N1975" s="20">
        <v>430</v>
      </c>
      <c r="O1975" s="20">
        <v>430</v>
      </c>
      <c r="P1975" s="20">
        <f>H1975-M1975</f>
        <v>-430</v>
      </c>
      <c r="Q1975" s="20" t="e">
        <f>#REF!-N1975</f>
        <v>#REF!</v>
      </c>
      <c r="R1975" s="20" t="e">
        <f>#REF!-O1975</f>
        <v>#REF!</v>
      </c>
      <c r="S1975" s="17" t="str">
        <f t="shared" si="325"/>
        <v>16 1 03 00000000</v>
      </c>
    </row>
    <row r="1976" spans="1:19" s="16" customFormat="1" ht="78.75">
      <c r="A1976" s="14"/>
      <c r="B1976" s="125" t="s">
        <v>950</v>
      </c>
      <c r="C1976" s="109" t="s">
        <v>939</v>
      </c>
      <c r="D1976" s="108" t="s">
        <v>13</v>
      </c>
      <c r="E1976" s="108" t="s">
        <v>471</v>
      </c>
      <c r="F1976" s="108" t="s">
        <v>956</v>
      </c>
      <c r="G1976" s="108" t="s">
        <v>9</v>
      </c>
      <c r="H1976" s="126">
        <f>H1977</f>
        <v>0</v>
      </c>
      <c r="I1976" s="108">
        <v>1610320120</v>
      </c>
      <c r="J1976" s="108" t="str">
        <f t="shared" si="327"/>
        <v>1610320120</v>
      </c>
      <c r="K1976" s="132"/>
      <c r="L1976" s="17"/>
      <c r="M1976" s="20">
        <v>430</v>
      </c>
      <c r="N1976" s="20">
        <v>430</v>
      </c>
      <c r="O1976" s="20">
        <v>430</v>
      </c>
      <c r="P1976" s="20">
        <f>H1976-M1976</f>
        <v>-430</v>
      </c>
      <c r="Q1976" s="20" t="e">
        <f>#REF!-N1976</f>
        <v>#REF!</v>
      </c>
      <c r="R1976" s="20" t="e">
        <f>#REF!-O1976</f>
        <v>#REF!</v>
      </c>
      <c r="S1976" s="17" t="str">
        <f t="shared" si="325"/>
        <v>16 1 03 20120000</v>
      </c>
    </row>
    <row r="1977" spans="1:19" s="16" customFormat="1" ht="31.5">
      <c r="A1977" s="14"/>
      <c r="B1977" s="148" t="s">
        <v>28</v>
      </c>
      <c r="C1977" s="109" t="s">
        <v>939</v>
      </c>
      <c r="D1977" s="108" t="s">
        <v>13</v>
      </c>
      <c r="E1977" s="108" t="s">
        <v>471</v>
      </c>
      <c r="F1977" s="108" t="s">
        <v>956</v>
      </c>
      <c r="G1977" s="108" t="s">
        <v>29</v>
      </c>
      <c r="H1977" s="126">
        <f>H1978</f>
        <v>0</v>
      </c>
      <c r="I1977" s="108">
        <v>1610320120</v>
      </c>
      <c r="J1977" s="108" t="str">
        <f t="shared" si="327"/>
        <v>1610320120</v>
      </c>
      <c r="K1977" s="132"/>
      <c r="L1977" s="17"/>
      <c r="M1977" s="20">
        <v>430</v>
      </c>
      <c r="N1977" s="20">
        <v>430</v>
      </c>
      <c r="O1977" s="20">
        <v>430</v>
      </c>
      <c r="P1977" s="20">
        <f>H1977-M1977</f>
        <v>-430</v>
      </c>
      <c r="Q1977" s="20" t="e">
        <f>#REF!-N1977</f>
        <v>#REF!</v>
      </c>
      <c r="R1977" s="20" t="e">
        <f>#REF!-O1977</f>
        <v>#REF!</v>
      </c>
      <c r="S1977" s="17" t="str">
        <f t="shared" si="325"/>
        <v>16 1 03 20120240</v>
      </c>
    </row>
    <row r="1978" spans="1:19" s="16" customFormat="1" ht="15.75">
      <c r="A1978" s="14"/>
      <c r="B1978" s="125" t="s">
        <v>30</v>
      </c>
      <c r="C1978" s="109" t="s">
        <v>939</v>
      </c>
      <c r="D1978" s="108" t="s">
        <v>13</v>
      </c>
      <c r="E1978" s="108" t="s">
        <v>471</v>
      </c>
      <c r="F1978" s="108" t="s">
        <v>956</v>
      </c>
      <c r="G1978" s="108" t="s">
        <v>31</v>
      </c>
      <c r="H1978" s="126"/>
      <c r="I1978" s="108">
        <v>1610320120</v>
      </c>
      <c r="J1978" s="108" t="str">
        <f t="shared" si="327"/>
        <v>1610320120</v>
      </c>
      <c r="K1978" s="304" t="str">
        <f>C1978&amp;D1978&amp;E1978&amp;J1978&amp;G1978</f>
        <v>62403091610320120244</v>
      </c>
      <c r="L1978" s="17"/>
      <c r="M1978" s="20"/>
      <c r="N1978" s="20"/>
      <c r="O1978" s="20"/>
      <c r="P1978" s="20"/>
      <c r="Q1978" s="20"/>
      <c r="R1978" s="20"/>
      <c r="S1978" s="17"/>
    </row>
    <row r="1979" spans="1:19" s="66" customFormat="1" ht="31.5">
      <c r="A1979" s="65"/>
      <c r="B1979" s="125" t="s">
        <v>422</v>
      </c>
      <c r="C1979" s="109" t="s">
        <v>939</v>
      </c>
      <c r="D1979" s="108" t="s">
        <v>13</v>
      </c>
      <c r="E1979" s="108" t="s">
        <v>471</v>
      </c>
      <c r="F1979" s="108" t="s">
        <v>423</v>
      </c>
      <c r="G1979" s="108" t="s">
        <v>9</v>
      </c>
      <c r="H1979" s="126">
        <f t="shared" ref="H1979:H1980" si="343">H1980</f>
        <v>0</v>
      </c>
      <c r="I1979" s="108">
        <v>1620000000</v>
      </c>
      <c r="J1979" s="108" t="str">
        <f t="shared" si="327"/>
        <v>1620000000</v>
      </c>
      <c r="K1979" s="132"/>
      <c r="L1979" s="17"/>
      <c r="M1979" s="20">
        <v>535</v>
      </c>
      <c r="N1979" s="20">
        <v>535</v>
      </c>
      <c r="O1979" s="20">
        <v>535</v>
      </c>
      <c r="P1979" s="20">
        <f>H1979-M1979</f>
        <v>-535</v>
      </c>
      <c r="Q1979" s="20" t="e">
        <f>#REF!-N1979</f>
        <v>#REF!</v>
      </c>
      <c r="R1979" s="20" t="e">
        <f>#REF!-O1979</f>
        <v>#REF!</v>
      </c>
      <c r="S1979" s="17" t="str">
        <f t="shared" si="325"/>
        <v>16 2 00 00000000</v>
      </c>
    </row>
    <row r="1980" spans="1:19" s="16" customFormat="1" ht="31.5">
      <c r="A1980" s="14"/>
      <c r="B1980" s="148" t="s">
        <v>957</v>
      </c>
      <c r="C1980" s="109" t="s">
        <v>939</v>
      </c>
      <c r="D1980" s="108" t="s">
        <v>13</v>
      </c>
      <c r="E1980" s="108" t="s">
        <v>471</v>
      </c>
      <c r="F1980" s="108" t="s">
        <v>958</v>
      </c>
      <c r="G1980" s="108" t="s">
        <v>9</v>
      </c>
      <c r="H1980" s="126">
        <f t="shared" si="343"/>
        <v>0</v>
      </c>
      <c r="I1980" s="108">
        <v>1620100000</v>
      </c>
      <c r="J1980" s="108" t="str">
        <f t="shared" si="327"/>
        <v>1620100000</v>
      </c>
      <c r="K1980" s="132"/>
      <c r="L1980" s="17"/>
      <c r="M1980" s="20">
        <v>535</v>
      </c>
      <c r="N1980" s="20">
        <v>535</v>
      </c>
      <c r="O1980" s="20">
        <v>535</v>
      </c>
      <c r="P1980" s="20">
        <f>H1980-M1980</f>
        <v>-535</v>
      </c>
      <c r="Q1980" s="20" t="e">
        <f>#REF!-N1980</f>
        <v>#REF!</v>
      </c>
      <c r="R1980" s="20" t="e">
        <f>#REF!-O1980</f>
        <v>#REF!</v>
      </c>
      <c r="S1980" s="17" t="str">
        <f t="shared" si="325"/>
        <v>16 2 01 00000000</v>
      </c>
    </row>
    <row r="1981" spans="1:19" s="16" customFormat="1" ht="31.5">
      <c r="A1981" s="14"/>
      <c r="B1981" s="148" t="s">
        <v>959</v>
      </c>
      <c r="C1981" s="109" t="s">
        <v>939</v>
      </c>
      <c r="D1981" s="108" t="s">
        <v>13</v>
      </c>
      <c r="E1981" s="108" t="s">
        <v>471</v>
      </c>
      <c r="F1981" s="108" t="s">
        <v>960</v>
      </c>
      <c r="G1981" s="108" t="s">
        <v>9</v>
      </c>
      <c r="H1981" s="126">
        <f>H1982</f>
        <v>0</v>
      </c>
      <c r="I1981" s="108">
        <v>1620120540</v>
      </c>
      <c r="J1981" s="108" t="str">
        <f t="shared" si="327"/>
        <v>1620120540</v>
      </c>
      <c r="K1981" s="132"/>
      <c r="L1981" s="17"/>
      <c r="M1981" s="20">
        <v>535</v>
      </c>
      <c r="N1981" s="20">
        <v>535</v>
      </c>
      <c r="O1981" s="20">
        <v>535</v>
      </c>
      <c r="P1981" s="20">
        <f>H1981-M1981</f>
        <v>-535</v>
      </c>
      <c r="Q1981" s="20" t="e">
        <f>#REF!-N1981</f>
        <v>#REF!</v>
      </c>
      <c r="R1981" s="20" t="e">
        <f>#REF!-O1981</f>
        <v>#REF!</v>
      </c>
      <c r="S1981" s="17" t="str">
        <f t="shared" si="325"/>
        <v>16 2 01 20540000</v>
      </c>
    </row>
    <row r="1982" spans="1:19" s="16" customFormat="1" ht="31.5">
      <c r="A1982" s="14"/>
      <c r="B1982" s="125" t="s">
        <v>28</v>
      </c>
      <c r="C1982" s="109" t="s">
        <v>939</v>
      </c>
      <c r="D1982" s="108" t="s">
        <v>13</v>
      </c>
      <c r="E1982" s="108" t="s">
        <v>471</v>
      </c>
      <c r="F1982" s="108" t="s">
        <v>960</v>
      </c>
      <c r="G1982" s="108" t="s">
        <v>29</v>
      </c>
      <c r="H1982" s="126">
        <f>H1983</f>
        <v>0</v>
      </c>
      <c r="I1982" s="108">
        <v>1620120540</v>
      </c>
      <c r="J1982" s="108" t="str">
        <f t="shared" si="327"/>
        <v>1620120540</v>
      </c>
      <c r="K1982" s="132"/>
      <c r="L1982" s="17"/>
      <c r="M1982" s="20">
        <v>488</v>
      </c>
      <c r="N1982" s="20">
        <v>488</v>
      </c>
      <c r="O1982" s="20">
        <v>488</v>
      </c>
      <c r="P1982" s="20">
        <f>H1982-M1982</f>
        <v>-488</v>
      </c>
      <c r="Q1982" s="20" t="e">
        <f>#REF!-N1982</f>
        <v>#REF!</v>
      </c>
      <c r="R1982" s="20" t="e">
        <f>#REF!-O1982</f>
        <v>#REF!</v>
      </c>
      <c r="S1982" s="17" t="str">
        <f t="shared" si="325"/>
        <v>16 2 01 20540240</v>
      </c>
    </row>
    <row r="1983" spans="1:19" s="16" customFormat="1" ht="15.75">
      <c r="A1983" s="14"/>
      <c r="B1983" s="125" t="s">
        <v>30</v>
      </c>
      <c r="C1983" s="109" t="s">
        <v>939</v>
      </c>
      <c r="D1983" s="108" t="s">
        <v>13</v>
      </c>
      <c r="E1983" s="108" t="s">
        <v>471</v>
      </c>
      <c r="F1983" s="108" t="s">
        <v>960</v>
      </c>
      <c r="G1983" s="108" t="s">
        <v>31</v>
      </c>
      <c r="H1983" s="126"/>
      <c r="I1983" s="108">
        <v>1620120540</v>
      </c>
      <c r="J1983" s="108" t="str">
        <f t="shared" si="327"/>
        <v>1620120540</v>
      </c>
      <c r="K1983" s="304" t="str">
        <f>C1983&amp;D1983&amp;E1983&amp;J1983&amp;G1983</f>
        <v>62403091620120540244</v>
      </c>
      <c r="L1983" s="17"/>
      <c r="M1983" s="20"/>
      <c r="N1983" s="20"/>
      <c r="O1983" s="20"/>
      <c r="P1983" s="20"/>
      <c r="Q1983" s="20"/>
      <c r="R1983" s="20"/>
      <c r="S1983" s="17"/>
    </row>
    <row r="1984" spans="1:19" s="16" customFormat="1" ht="47.25">
      <c r="A1984" s="14"/>
      <c r="B1984" s="125" t="s">
        <v>961</v>
      </c>
      <c r="C1984" s="109" t="s">
        <v>939</v>
      </c>
      <c r="D1984" s="108" t="s">
        <v>13</v>
      </c>
      <c r="E1984" s="108" t="s">
        <v>471</v>
      </c>
      <c r="F1984" s="108" t="s">
        <v>962</v>
      </c>
      <c r="G1984" s="108" t="s">
        <v>9</v>
      </c>
      <c r="H1984" s="126">
        <f>H1985+H1996+H2000+H2004</f>
        <v>0</v>
      </c>
      <c r="I1984" s="108">
        <v>1630000000</v>
      </c>
      <c r="J1984" s="108" t="str">
        <f t="shared" ref="J1984:J2042" si="344">TEXT(I1984,"0000000000")</f>
        <v>1630000000</v>
      </c>
      <c r="K1984" s="132"/>
      <c r="L1984" s="17"/>
      <c r="M1984" s="20">
        <v>24709.450000000004</v>
      </c>
      <c r="N1984" s="20">
        <v>24359.390000000003</v>
      </c>
      <c r="O1984" s="20">
        <v>24359.390000000003</v>
      </c>
      <c r="P1984" s="20">
        <f>H1984-M1984</f>
        <v>-24709.450000000004</v>
      </c>
      <c r="Q1984" s="20" t="e">
        <f>#REF!-N1984</f>
        <v>#REF!</v>
      </c>
      <c r="R1984" s="20" t="e">
        <f>#REF!-O1984</f>
        <v>#REF!</v>
      </c>
      <c r="S1984" s="17" t="str">
        <f t="shared" ref="S1984:S2071" si="345">CONCATENATE(F1984,G1984)</f>
        <v>16 3 00 00000000</v>
      </c>
    </row>
    <row r="1985" spans="1:19" s="16" customFormat="1" ht="63">
      <c r="A1985" s="14"/>
      <c r="B1985" s="125" t="s">
        <v>963</v>
      </c>
      <c r="C1985" s="109" t="s">
        <v>939</v>
      </c>
      <c r="D1985" s="108" t="s">
        <v>13</v>
      </c>
      <c r="E1985" s="108" t="s">
        <v>471</v>
      </c>
      <c r="F1985" s="108" t="s">
        <v>964</v>
      </c>
      <c r="G1985" s="108" t="s">
        <v>9</v>
      </c>
      <c r="H1985" s="126">
        <f>H1986</f>
        <v>0</v>
      </c>
      <c r="I1985" s="108">
        <v>1630100000</v>
      </c>
      <c r="J1985" s="108" t="str">
        <f t="shared" si="344"/>
        <v>1630100000</v>
      </c>
      <c r="K1985" s="132"/>
      <c r="L1985" s="17"/>
      <c r="M1985" s="20">
        <v>19042.640000000003</v>
      </c>
      <c r="N1985" s="20">
        <v>18692.580000000002</v>
      </c>
      <c r="O1985" s="20">
        <v>18692.580000000002</v>
      </c>
      <c r="P1985" s="20">
        <f>H1985-M1985</f>
        <v>-19042.640000000003</v>
      </c>
      <c r="Q1985" s="20" t="e">
        <f>#REF!-N1985</f>
        <v>#REF!</v>
      </c>
      <c r="R1985" s="20" t="e">
        <f>#REF!-O1985</f>
        <v>#REF!</v>
      </c>
      <c r="S1985" s="17" t="str">
        <f t="shared" si="345"/>
        <v>16 3 01 00000000</v>
      </c>
    </row>
    <row r="1986" spans="1:19" s="16" customFormat="1" ht="31.5">
      <c r="A1986" s="14"/>
      <c r="B1986" s="148" t="s">
        <v>136</v>
      </c>
      <c r="C1986" s="109" t="s">
        <v>939</v>
      </c>
      <c r="D1986" s="108" t="s">
        <v>13</v>
      </c>
      <c r="E1986" s="108" t="s">
        <v>471</v>
      </c>
      <c r="F1986" s="108" t="s">
        <v>965</v>
      </c>
      <c r="G1986" s="108" t="s">
        <v>9</v>
      </c>
      <c r="H1986" s="126">
        <f>H1987+H1990+H1992</f>
        <v>0</v>
      </c>
      <c r="I1986" s="108">
        <v>1630111010</v>
      </c>
      <c r="J1986" s="108" t="str">
        <f t="shared" si="344"/>
        <v>1630111010</v>
      </c>
      <c r="K1986" s="132"/>
      <c r="L1986" s="17"/>
      <c r="M1986" s="20">
        <v>19042.640000000003</v>
      </c>
      <c r="N1986" s="20">
        <v>18692.580000000002</v>
      </c>
      <c r="O1986" s="20">
        <v>18692.580000000002</v>
      </c>
      <c r="P1986" s="20">
        <f>H1986-M1986</f>
        <v>-19042.640000000003</v>
      </c>
      <c r="Q1986" s="20" t="e">
        <f>#REF!-N1986</f>
        <v>#REF!</v>
      </c>
      <c r="R1986" s="20" t="e">
        <f>#REF!-O1986</f>
        <v>#REF!</v>
      </c>
      <c r="S1986" s="17" t="str">
        <f t="shared" si="345"/>
        <v>16 3 01 11010000</v>
      </c>
    </row>
    <row r="1987" spans="1:19" s="16" customFormat="1" ht="15.75">
      <c r="A1987" s="14"/>
      <c r="B1987" s="148" t="s">
        <v>138</v>
      </c>
      <c r="C1987" s="109" t="s">
        <v>939</v>
      </c>
      <c r="D1987" s="108" t="s">
        <v>13</v>
      </c>
      <c r="E1987" s="108" t="s">
        <v>471</v>
      </c>
      <c r="F1987" s="108" t="s">
        <v>965</v>
      </c>
      <c r="G1987" s="108" t="s">
        <v>139</v>
      </c>
      <c r="H1987" s="126">
        <f>SUM(H1988:H1989)</f>
        <v>0</v>
      </c>
      <c r="I1987" s="108">
        <v>1630111010</v>
      </c>
      <c r="J1987" s="108" t="str">
        <f t="shared" si="344"/>
        <v>1630111010</v>
      </c>
      <c r="K1987" s="132"/>
      <c r="L1987" s="17"/>
      <c r="M1987" s="20">
        <v>16997.420000000002</v>
      </c>
      <c r="N1987" s="20">
        <v>16997.420000000002</v>
      </c>
      <c r="O1987" s="20">
        <v>16997.420000000002</v>
      </c>
      <c r="P1987" s="20">
        <f>H1987-M1987</f>
        <v>-16997.420000000002</v>
      </c>
      <c r="Q1987" s="20" t="e">
        <f>#REF!-N1987</f>
        <v>#REF!</v>
      </c>
      <c r="R1987" s="20" t="e">
        <f>#REF!-O1987</f>
        <v>#REF!</v>
      </c>
      <c r="S1987" s="17" t="str">
        <f t="shared" si="345"/>
        <v>16 3 01 11010110</v>
      </c>
    </row>
    <row r="1988" spans="1:19" s="23" customFormat="1" ht="15.75">
      <c r="A1988" s="21"/>
      <c r="B1988" s="127" t="s">
        <v>140</v>
      </c>
      <c r="C1988" s="109" t="s">
        <v>939</v>
      </c>
      <c r="D1988" s="108" t="s">
        <v>13</v>
      </c>
      <c r="E1988" s="108" t="s">
        <v>471</v>
      </c>
      <c r="F1988" s="108" t="s">
        <v>965</v>
      </c>
      <c r="G1988" s="108" t="s">
        <v>141</v>
      </c>
      <c r="H1988" s="126"/>
      <c r="I1988" s="108">
        <v>1630111010</v>
      </c>
      <c r="J1988" s="108" t="str">
        <f t="shared" si="344"/>
        <v>1630111010</v>
      </c>
      <c r="K1988" s="304" t="str">
        <f t="shared" ref="K1988:K1989" si="346">C1988&amp;D1988&amp;E1988&amp;J1988&amp;G1988</f>
        <v>62403091630111010111</v>
      </c>
      <c r="L1988" s="24"/>
      <c r="M1988" s="22"/>
      <c r="N1988" s="22"/>
      <c r="O1988" s="22"/>
      <c r="P1988" s="22"/>
      <c r="Q1988" s="22"/>
      <c r="R1988" s="22"/>
      <c r="S1988" s="24"/>
    </row>
    <row r="1989" spans="1:19" s="23" customFormat="1" ht="47.25">
      <c r="A1989" s="21"/>
      <c r="B1989" s="127" t="s">
        <v>487</v>
      </c>
      <c r="C1989" s="109" t="s">
        <v>939</v>
      </c>
      <c r="D1989" s="108" t="s">
        <v>13</v>
      </c>
      <c r="E1989" s="108" t="s">
        <v>471</v>
      </c>
      <c r="F1989" s="108" t="s">
        <v>965</v>
      </c>
      <c r="G1989" s="108" t="s">
        <v>145</v>
      </c>
      <c r="H1989" s="126"/>
      <c r="I1989" s="108">
        <v>1630111010</v>
      </c>
      <c r="J1989" s="108" t="str">
        <f t="shared" si="344"/>
        <v>1630111010</v>
      </c>
      <c r="K1989" s="304" t="str">
        <f t="shared" si="346"/>
        <v>62403091630111010119</v>
      </c>
      <c r="L1989" s="24"/>
      <c r="M1989" s="22"/>
      <c r="N1989" s="22"/>
      <c r="O1989" s="22"/>
      <c r="P1989" s="22"/>
      <c r="Q1989" s="22"/>
      <c r="R1989" s="22"/>
      <c r="S1989" s="24"/>
    </row>
    <row r="1990" spans="1:19" s="16" customFormat="1" ht="31.5">
      <c r="A1990" s="14"/>
      <c r="B1990" s="125" t="s">
        <v>28</v>
      </c>
      <c r="C1990" s="109" t="s">
        <v>939</v>
      </c>
      <c r="D1990" s="108" t="s">
        <v>13</v>
      </c>
      <c r="E1990" s="108" t="s">
        <v>471</v>
      </c>
      <c r="F1990" s="108" t="s">
        <v>965</v>
      </c>
      <c r="G1990" s="108" t="s">
        <v>29</v>
      </c>
      <c r="H1990" s="126">
        <f>H1991</f>
        <v>0</v>
      </c>
      <c r="I1990" s="108">
        <v>1630111010</v>
      </c>
      <c r="J1990" s="108" t="str">
        <f t="shared" si="344"/>
        <v>1630111010</v>
      </c>
      <c r="K1990" s="132"/>
      <c r="L1990" s="17"/>
      <c r="M1990" s="20">
        <v>1688.22</v>
      </c>
      <c r="N1990" s="20">
        <v>1338.16</v>
      </c>
      <c r="O1990" s="20">
        <v>1338.16</v>
      </c>
      <c r="P1990" s="20">
        <f>H1990-M1990</f>
        <v>-1688.22</v>
      </c>
      <c r="Q1990" s="20" t="e">
        <f>#REF!-N1990</f>
        <v>#REF!</v>
      </c>
      <c r="R1990" s="20" t="e">
        <f>#REF!-O1990</f>
        <v>#REF!</v>
      </c>
      <c r="S1990" s="17" t="str">
        <f t="shared" si="345"/>
        <v>16 3 01 11010240</v>
      </c>
    </row>
    <row r="1991" spans="1:19" s="16" customFormat="1" ht="15.75">
      <c r="A1991" s="14"/>
      <c r="B1991" s="125" t="s">
        <v>30</v>
      </c>
      <c r="C1991" s="109" t="s">
        <v>939</v>
      </c>
      <c r="D1991" s="108" t="s">
        <v>13</v>
      </c>
      <c r="E1991" s="108" t="s">
        <v>471</v>
      </c>
      <c r="F1991" s="108" t="s">
        <v>965</v>
      </c>
      <c r="G1991" s="108" t="s">
        <v>31</v>
      </c>
      <c r="H1991" s="126"/>
      <c r="I1991" s="108">
        <v>1630111010</v>
      </c>
      <c r="J1991" s="108" t="str">
        <f t="shared" si="344"/>
        <v>1630111010</v>
      </c>
      <c r="K1991" s="304" t="str">
        <f>C1991&amp;D1991&amp;E1991&amp;J1991&amp;G1991</f>
        <v>62403091630111010244</v>
      </c>
      <c r="L1991" s="17"/>
      <c r="M1991" s="20"/>
      <c r="N1991" s="20"/>
      <c r="O1991" s="20"/>
      <c r="P1991" s="20"/>
      <c r="Q1991" s="20"/>
      <c r="R1991" s="20"/>
      <c r="S1991" s="17"/>
    </row>
    <row r="1992" spans="1:19" s="16" customFormat="1" ht="15.75">
      <c r="A1992" s="14"/>
      <c r="B1992" s="148" t="s">
        <v>32</v>
      </c>
      <c r="C1992" s="109" t="s">
        <v>939</v>
      </c>
      <c r="D1992" s="108" t="s">
        <v>13</v>
      </c>
      <c r="E1992" s="108" t="s">
        <v>471</v>
      </c>
      <c r="F1992" s="108" t="s">
        <v>965</v>
      </c>
      <c r="G1992" s="108" t="s">
        <v>33</v>
      </c>
      <c r="H1992" s="126">
        <f>SUM(H1993:H1995)</f>
        <v>0</v>
      </c>
      <c r="I1992" s="108">
        <v>1630111010</v>
      </c>
      <c r="J1992" s="108" t="str">
        <f t="shared" si="344"/>
        <v>1630111010</v>
      </c>
      <c r="K1992" s="132"/>
      <c r="L1992" s="17"/>
      <c r="M1992" s="20">
        <v>357</v>
      </c>
      <c r="N1992" s="20">
        <v>357</v>
      </c>
      <c r="O1992" s="20">
        <v>357</v>
      </c>
      <c r="P1992" s="20">
        <f>H1992-M1992</f>
        <v>-357</v>
      </c>
      <c r="Q1992" s="20" t="e">
        <f>#REF!-N1992</f>
        <v>#REF!</v>
      </c>
      <c r="R1992" s="20" t="e">
        <f>#REF!-O1992</f>
        <v>#REF!</v>
      </c>
      <c r="S1992" s="17" t="str">
        <f t="shared" si="345"/>
        <v>16 3 01 11010850</v>
      </c>
    </row>
    <row r="1993" spans="1:19" s="23" customFormat="1" ht="31.5">
      <c r="A1993" s="21"/>
      <c r="B1993" s="127" t="s">
        <v>34</v>
      </c>
      <c r="C1993" s="109" t="s">
        <v>939</v>
      </c>
      <c r="D1993" s="108" t="s">
        <v>13</v>
      </c>
      <c r="E1993" s="108" t="s">
        <v>471</v>
      </c>
      <c r="F1993" s="108" t="s">
        <v>965</v>
      </c>
      <c r="G1993" s="108">
        <v>851</v>
      </c>
      <c r="H1993" s="126"/>
      <c r="I1993" s="108">
        <v>1630111010</v>
      </c>
      <c r="J1993" s="108" t="str">
        <f t="shared" si="344"/>
        <v>1630111010</v>
      </c>
      <c r="K1993" s="304" t="str">
        <f t="shared" ref="K1993:K1995" si="347">C1993&amp;D1993&amp;E1993&amp;J1993&amp;G1993</f>
        <v>62403091630111010851</v>
      </c>
      <c r="L1993" s="24"/>
      <c r="M1993" s="22"/>
      <c r="N1993" s="22"/>
      <c r="O1993" s="22"/>
      <c r="P1993" s="22"/>
      <c r="Q1993" s="22"/>
      <c r="R1993" s="22"/>
      <c r="S1993" s="24"/>
    </row>
    <row r="1994" spans="1:19" s="23" customFormat="1" ht="15.75">
      <c r="A1994" s="21"/>
      <c r="B1994" s="127" t="s">
        <v>36</v>
      </c>
      <c r="C1994" s="109" t="s">
        <v>939</v>
      </c>
      <c r="D1994" s="108" t="s">
        <v>13</v>
      </c>
      <c r="E1994" s="108" t="s">
        <v>471</v>
      </c>
      <c r="F1994" s="108" t="s">
        <v>965</v>
      </c>
      <c r="G1994" s="108" t="s">
        <v>37</v>
      </c>
      <c r="H1994" s="126"/>
      <c r="I1994" s="108">
        <v>1630111010</v>
      </c>
      <c r="J1994" s="108" t="str">
        <f t="shared" si="344"/>
        <v>1630111010</v>
      </c>
      <c r="K1994" s="304" t="str">
        <f t="shared" si="347"/>
        <v>62403091630111010852</v>
      </c>
      <c r="L1994" s="24"/>
      <c r="M1994" s="22"/>
      <c r="N1994" s="22"/>
      <c r="O1994" s="22"/>
      <c r="P1994" s="22"/>
      <c r="Q1994" s="22"/>
      <c r="R1994" s="22"/>
      <c r="S1994" s="24"/>
    </row>
    <row r="1995" spans="1:19" s="23" customFormat="1" ht="15.75">
      <c r="A1995" s="21"/>
      <c r="B1995" s="127" t="s">
        <v>77</v>
      </c>
      <c r="C1995" s="109" t="s">
        <v>939</v>
      </c>
      <c r="D1995" s="108" t="s">
        <v>13</v>
      </c>
      <c r="E1995" s="108" t="s">
        <v>471</v>
      </c>
      <c r="F1995" s="108" t="s">
        <v>965</v>
      </c>
      <c r="G1995" s="108" t="s">
        <v>78</v>
      </c>
      <c r="H1995" s="126"/>
      <c r="I1995" s="108">
        <v>1630111010</v>
      </c>
      <c r="J1995" s="108" t="str">
        <f t="shared" si="344"/>
        <v>1630111010</v>
      </c>
      <c r="K1995" s="304" t="str">
        <f t="shared" si="347"/>
        <v>62403091630111010853</v>
      </c>
      <c r="L1995" s="24"/>
      <c r="M1995" s="22"/>
      <c r="N1995" s="22"/>
      <c r="O1995" s="22"/>
      <c r="P1995" s="22"/>
      <c r="Q1995" s="22"/>
      <c r="R1995" s="22"/>
      <c r="S1995" s="24"/>
    </row>
    <row r="1996" spans="1:19" s="16" customFormat="1" ht="94.5">
      <c r="A1996" s="14"/>
      <c r="B1996" s="148" t="s">
        <v>966</v>
      </c>
      <c r="C1996" s="109" t="s">
        <v>939</v>
      </c>
      <c r="D1996" s="108" t="s">
        <v>13</v>
      </c>
      <c r="E1996" s="108" t="s">
        <v>471</v>
      </c>
      <c r="F1996" s="108" t="s">
        <v>967</v>
      </c>
      <c r="G1996" s="108" t="s">
        <v>9</v>
      </c>
      <c r="H1996" s="126">
        <f>H1997</f>
        <v>0</v>
      </c>
      <c r="I1996" s="108">
        <v>1630200000</v>
      </c>
      <c r="J1996" s="108" t="str">
        <f t="shared" si="344"/>
        <v>1630200000</v>
      </c>
      <c r="K1996" s="132"/>
      <c r="L1996" s="17"/>
      <c r="M1996" s="20">
        <v>2201.81</v>
      </c>
      <c r="N1996" s="20">
        <v>2201.81</v>
      </c>
      <c r="O1996" s="20">
        <v>2201.81</v>
      </c>
      <c r="P1996" s="20">
        <f>H1996-M1996</f>
        <v>-2201.81</v>
      </c>
      <c r="Q1996" s="20" t="e">
        <f>#REF!-N1996</f>
        <v>#REF!</v>
      </c>
      <c r="R1996" s="20" t="e">
        <f>#REF!-O1996</f>
        <v>#REF!</v>
      </c>
      <c r="S1996" s="17" t="str">
        <f t="shared" si="345"/>
        <v>16 3 02 00000000</v>
      </c>
    </row>
    <row r="1997" spans="1:19" s="16" customFormat="1" ht="63">
      <c r="A1997" s="14"/>
      <c r="B1997" s="148" t="s">
        <v>968</v>
      </c>
      <c r="C1997" s="109" t="s">
        <v>939</v>
      </c>
      <c r="D1997" s="108" t="s">
        <v>13</v>
      </c>
      <c r="E1997" s="108" t="s">
        <v>471</v>
      </c>
      <c r="F1997" s="108" t="s">
        <v>969</v>
      </c>
      <c r="G1997" s="108" t="s">
        <v>9</v>
      </c>
      <c r="H1997" s="126">
        <f>H1998</f>
        <v>0</v>
      </c>
      <c r="I1997" s="108">
        <v>1630220690</v>
      </c>
      <c r="J1997" s="108" t="str">
        <f t="shared" si="344"/>
        <v>1630220690</v>
      </c>
      <c r="K1997" s="132"/>
      <c r="L1997" s="17"/>
      <c r="M1997" s="20">
        <v>2201.81</v>
      </c>
      <c r="N1997" s="20">
        <v>2201.81</v>
      </c>
      <c r="O1997" s="20">
        <v>2201.81</v>
      </c>
      <c r="P1997" s="20">
        <f>H1997-M1997</f>
        <v>-2201.81</v>
      </c>
      <c r="Q1997" s="20" t="e">
        <f>#REF!-N1997</f>
        <v>#REF!</v>
      </c>
      <c r="R1997" s="20" t="e">
        <f>#REF!-O1997</f>
        <v>#REF!</v>
      </c>
      <c r="S1997" s="17" t="str">
        <f t="shared" si="345"/>
        <v>16 3 02 20690000</v>
      </c>
    </row>
    <row r="1998" spans="1:19" s="16" customFormat="1" ht="31.5">
      <c r="A1998" s="14"/>
      <c r="B1998" s="125" t="s">
        <v>28</v>
      </c>
      <c r="C1998" s="109" t="s">
        <v>939</v>
      </c>
      <c r="D1998" s="108" t="s">
        <v>13</v>
      </c>
      <c r="E1998" s="108" t="s">
        <v>471</v>
      </c>
      <c r="F1998" s="108" t="s">
        <v>969</v>
      </c>
      <c r="G1998" s="108" t="s">
        <v>29</v>
      </c>
      <c r="H1998" s="126">
        <f>H1999</f>
        <v>0</v>
      </c>
      <c r="I1998" s="108">
        <v>1630220690</v>
      </c>
      <c r="J1998" s="108" t="str">
        <f t="shared" si="344"/>
        <v>1630220690</v>
      </c>
      <c r="K1998" s="132"/>
      <c r="L1998" s="17"/>
      <c r="M1998" s="20">
        <v>2201.81</v>
      </c>
      <c r="N1998" s="20">
        <v>2201.81</v>
      </c>
      <c r="O1998" s="20">
        <v>2201.81</v>
      </c>
      <c r="P1998" s="20">
        <f>H1998-M1998</f>
        <v>-2201.81</v>
      </c>
      <c r="Q1998" s="20" t="e">
        <f>#REF!-N1998</f>
        <v>#REF!</v>
      </c>
      <c r="R1998" s="20" t="e">
        <f>#REF!-O1998</f>
        <v>#REF!</v>
      </c>
      <c r="S1998" s="17" t="str">
        <f t="shared" si="345"/>
        <v>16 3 02 20690240</v>
      </c>
    </row>
    <row r="1999" spans="1:19" s="16" customFormat="1" ht="15.75">
      <c r="A1999" s="14"/>
      <c r="B1999" s="125" t="s">
        <v>30</v>
      </c>
      <c r="C1999" s="109" t="s">
        <v>939</v>
      </c>
      <c r="D1999" s="108" t="s">
        <v>13</v>
      </c>
      <c r="E1999" s="108" t="s">
        <v>471</v>
      </c>
      <c r="F1999" s="108" t="s">
        <v>969</v>
      </c>
      <c r="G1999" s="108" t="s">
        <v>31</v>
      </c>
      <c r="H1999" s="126"/>
      <c r="I1999" s="108">
        <v>1630220690</v>
      </c>
      <c r="J1999" s="108" t="str">
        <f t="shared" si="344"/>
        <v>1630220690</v>
      </c>
      <c r="K1999" s="304" t="str">
        <f>C1999&amp;D1999&amp;E1999&amp;J1999&amp;G1999</f>
        <v>62403091630220690244</v>
      </c>
      <c r="L1999" s="17"/>
      <c r="M1999" s="20"/>
      <c r="N1999" s="20"/>
      <c r="O1999" s="20"/>
      <c r="P1999" s="20"/>
      <c r="Q1999" s="20"/>
      <c r="R1999" s="20"/>
      <c r="S1999" s="17"/>
    </row>
    <row r="2000" spans="1:19" s="16" customFormat="1" ht="94.5">
      <c r="A2000" s="14"/>
      <c r="B2000" s="148" t="s">
        <v>970</v>
      </c>
      <c r="C2000" s="109" t="s">
        <v>939</v>
      </c>
      <c r="D2000" s="108" t="s">
        <v>13</v>
      </c>
      <c r="E2000" s="108" t="s">
        <v>471</v>
      </c>
      <c r="F2000" s="108" t="s">
        <v>971</v>
      </c>
      <c r="G2000" s="108" t="s">
        <v>9</v>
      </c>
      <c r="H2000" s="126">
        <f>H2001</f>
        <v>0</v>
      </c>
      <c r="I2000" s="108">
        <v>1630300000</v>
      </c>
      <c r="J2000" s="108" t="str">
        <f t="shared" si="344"/>
        <v>1630300000</v>
      </c>
      <c r="K2000" s="132"/>
      <c r="L2000" s="17"/>
      <c r="M2000" s="20">
        <v>2700</v>
      </c>
      <c r="N2000" s="20">
        <v>2700</v>
      </c>
      <c r="O2000" s="20">
        <v>2700</v>
      </c>
      <c r="P2000" s="20">
        <f>H2000-M2000</f>
        <v>-2700</v>
      </c>
      <c r="Q2000" s="20" t="e">
        <f>#REF!-N2000</f>
        <v>#REF!</v>
      </c>
      <c r="R2000" s="20" t="e">
        <f>#REF!-O2000</f>
        <v>#REF!</v>
      </c>
      <c r="S2000" s="17" t="str">
        <f t="shared" si="345"/>
        <v>16 3 03 00000000</v>
      </c>
    </row>
    <row r="2001" spans="1:19" s="16" customFormat="1" ht="47.25">
      <c r="A2001" s="14"/>
      <c r="B2001" s="148" t="s">
        <v>152</v>
      </c>
      <c r="C2001" s="109" t="s">
        <v>939</v>
      </c>
      <c r="D2001" s="108" t="s">
        <v>13</v>
      </c>
      <c r="E2001" s="108" t="s">
        <v>471</v>
      </c>
      <c r="F2001" s="108" t="s">
        <v>972</v>
      </c>
      <c r="G2001" s="108" t="s">
        <v>9</v>
      </c>
      <c r="H2001" s="126">
        <f>H2002</f>
        <v>0</v>
      </c>
      <c r="I2001" s="108">
        <v>1630320350</v>
      </c>
      <c r="J2001" s="108" t="str">
        <f t="shared" si="344"/>
        <v>1630320350</v>
      </c>
      <c r="K2001" s="132"/>
      <c r="L2001" s="17"/>
      <c r="M2001" s="20">
        <v>2700</v>
      </c>
      <c r="N2001" s="20">
        <v>2700</v>
      </c>
      <c r="O2001" s="20">
        <v>2700</v>
      </c>
      <c r="P2001" s="20">
        <f>H2001-M2001</f>
        <v>-2700</v>
      </c>
      <c r="Q2001" s="20" t="e">
        <f>#REF!-N2001</f>
        <v>#REF!</v>
      </c>
      <c r="R2001" s="20" t="e">
        <f>#REF!-O2001</f>
        <v>#REF!</v>
      </c>
      <c r="S2001" s="17" t="str">
        <f t="shared" si="345"/>
        <v>16 3 03 20350000</v>
      </c>
    </row>
    <row r="2002" spans="1:19" s="16" customFormat="1" ht="31.5">
      <c r="A2002" s="14"/>
      <c r="B2002" s="148" t="s">
        <v>28</v>
      </c>
      <c r="C2002" s="109" t="s">
        <v>939</v>
      </c>
      <c r="D2002" s="108" t="s">
        <v>13</v>
      </c>
      <c r="E2002" s="108" t="s">
        <v>471</v>
      </c>
      <c r="F2002" s="108" t="s">
        <v>972</v>
      </c>
      <c r="G2002" s="108" t="s">
        <v>29</v>
      </c>
      <c r="H2002" s="126">
        <f>H2003</f>
        <v>0</v>
      </c>
      <c r="I2002" s="108">
        <v>1630320350</v>
      </c>
      <c r="J2002" s="108" t="str">
        <f t="shared" si="344"/>
        <v>1630320350</v>
      </c>
      <c r="K2002" s="132"/>
      <c r="L2002" s="17"/>
      <c r="M2002" s="20">
        <v>2700</v>
      </c>
      <c r="N2002" s="20">
        <v>2700</v>
      </c>
      <c r="O2002" s="20">
        <v>2700</v>
      </c>
      <c r="P2002" s="20">
        <f>H2002-M2002</f>
        <v>-2700</v>
      </c>
      <c r="Q2002" s="20" t="e">
        <f>#REF!-N2002</f>
        <v>#REF!</v>
      </c>
      <c r="R2002" s="20" t="e">
        <f>#REF!-O2002</f>
        <v>#REF!</v>
      </c>
      <c r="S2002" s="17" t="str">
        <f t="shared" si="345"/>
        <v>16 3 03 20350240</v>
      </c>
    </row>
    <row r="2003" spans="1:19" s="16" customFormat="1" ht="15.75">
      <c r="A2003" s="14"/>
      <c r="B2003" s="125" t="s">
        <v>30</v>
      </c>
      <c r="C2003" s="109" t="s">
        <v>939</v>
      </c>
      <c r="D2003" s="108" t="s">
        <v>13</v>
      </c>
      <c r="E2003" s="108" t="s">
        <v>471</v>
      </c>
      <c r="F2003" s="108" t="s">
        <v>972</v>
      </c>
      <c r="G2003" s="108" t="s">
        <v>31</v>
      </c>
      <c r="H2003" s="126"/>
      <c r="I2003" s="108">
        <v>1630320350</v>
      </c>
      <c r="J2003" s="108" t="str">
        <f t="shared" si="344"/>
        <v>1630320350</v>
      </c>
      <c r="K2003" s="304" t="str">
        <f>C2003&amp;D2003&amp;E2003&amp;J2003&amp;G2003</f>
        <v>62403091630320350244</v>
      </c>
      <c r="L2003" s="17"/>
      <c r="M2003" s="20"/>
      <c r="N2003" s="20"/>
      <c r="O2003" s="20"/>
      <c r="P2003" s="20"/>
      <c r="Q2003" s="20"/>
      <c r="R2003" s="20"/>
      <c r="S2003" s="17"/>
    </row>
    <row r="2004" spans="1:19" s="16" customFormat="1" ht="78.75">
      <c r="A2004" s="14"/>
      <c r="B2004" s="148" t="s">
        <v>973</v>
      </c>
      <c r="C2004" s="109" t="s">
        <v>939</v>
      </c>
      <c r="D2004" s="108" t="s">
        <v>13</v>
      </c>
      <c r="E2004" s="108" t="s">
        <v>471</v>
      </c>
      <c r="F2004" s="108" t="s">
        <v>974</v>
      </c>
      <c r="G2004" s="108" t="s">
        <v>9</v>
      </c>
      <c r="H2004" s="126">
        <f>H2005</f>
        <v>0</v>
      </c>
      <c r="I2004" s="108">
        <v>1630400000</v>
      </c>
      <c r="J2004" s="108" t="str">
        <f t="shared" si="344"/>
        <v>1630400000</v>
      </c>
      <c r="K2004" s="132"/>
      <c r="L2004" s="17"/>
      <c r="M2004" s="20">
        <v>765</v>
      </c>
      <c r="N2004" s="20">
        <v>765</v>
      </c>
      <c r="O2004" s="20">
        <v>765</v>
      </c>
      <c r="P2004" s="20">
        <f>H2004-M2004</f>
        <v>-765</v>
      </c>
      <c r="Q2004" s="20" t="e">
        <f>#REF!-N2004</f>
        <v>#REF!</v>
      </c>
      <c r="R2004" s="20" t="e">
        <f>#REF!-O2004</f>
        <v>#REF!</v>
      </c>
      <c r="S2004" s="17" t="str">
        <f t="shared" si="345"/>
        <v>16 3 04 00000000</v>
      </c>
    </row>
    <row r="2005" spans="1:19" s="16" customFormat="1" ht="47.25">
      <c r="A2005" s="14"/>
      <c r="B2005" s="148" t="s">
        <v>152</v>
      </c>
      <c r="C2005" s="109" t="s">
        <v>939</v>
      </c>
      <c r="D2005" s="108" t="s">
        <v>13</v>
      </c>
      <c r="E2005" s="108" t="s">
        <v>471</v>
      </c>
      <c r="F2005" s="108" t="s">
        <v>975</v>
      </c>
      <c r="G2005" s="108" t="s">
        <v>9</v>
      </c>
      <c r="H2005" s="126">
        <f>H2006</f>
        <v>0</v>
      </c>
      <c r="I2005" s="108">
        <v>1630420350</v>
      </c>
      <c r="J2005" s="108" t="str">
        <f t="shared" si="344"/>
        <v>1630420350</v>
      </c>
      <c r="K2005" s="132"/>
      <c r="L2005" s="17"/>
      <c r="M2005" s="20">
        <v>765</v>
      </c>
      <c r="N2005" s="20">
        <v>765</v>
      </c>
      <c r="O2005" s="20">
        <v>765</v>
      </c>
      <c r="P2005" s="20">
        <f>H2005-M2005</f>
        <v>-765</v>
      </c>
      <c r="Q2005" s="20" t="e">
        <f>#REF!-N2005</f>
        <v>#REF!</v>
      </c>
      <c r="R2005" s="20" t="e">
        <f>#REF!-O2005</f>
        <v>#REF!</v>
      </c>
      <c r="S2005" s="17" t="str">
        <f t="shared" si="345"/>
        <v>16 3 04 20350000</v>
      </c>
    </row>
    <row r="2006" spans="1:19" s="16" customFormat="1" ht="31.5">
      <c r="A2006" s="14"/>
      <c r="B2006" s="148" t="s">
        <v>28</v>
      </c>
      <c r="C2006" s="109" t="s">
        <v>939</v>
      </c>
      <c r="D2006" s="108" t="s">
        <v>13</v>
      </c>
      <c r="E2006" s="108" t="s">
        <v>471</v>
      </c>
      <c r="F2006" s="108" t="s">
        <v>975</v>
      </c>
      <c r="G2006" s="108" t="s">
        <v>29</v>
      </c>
      <c r="H2006" s="126">
        <f>H2007</f>
        <v>0</v>
      </c>
      <c r="I2006" s="108">
        <v>1630420350</v>
      </c>
      <c r="J2006" s="108" t="str">
        <f t="shared" si="344"/>
        <v>1630420350</v>
      </c>
      <c r="K2006" s="132"/>
      <c r="L2006" s="17"/>
      <c r="M2006" s="20">
        <v>765</v>
      </c>
      <c r="N2006" s="20">
        <v>765</v>
      </c>
      <c r="O2006" s="20">
        <v>765</v>
      </c>
      <c r="P2006" s="20">
        <f>H2006-M2006</f>
        <v>-765</v>
      </c>
      <c r="Q2006" s="20" t="e">
        <f>#REF!-N2006</f>
        <v>#REF!</v>
      </c>
      <c r="R2006" s="20" t="e">
        <f>#REF!-O2006</f>
        <v>#REF!</v>
      </c>
      <c r="S2006" s="17" t="str">
        <f t="shared" si="345"/>
        <v>16 3 04 20350240</v>
      </c>
    </row>
    <row r="2007" spans="1:19" s="16" customFormat="1" ht="15.75">
      <c r="A2007" s="14"/>
      <c r="B2007" s="125" t="s">
        <v>30</v>
      </c>
      <c r="C2007" s="109" t="s">
        <v>939</v>
      </c>
      <c r="D2007" s="108" t="s">
        <v>13</v>
      </c>
      <c r="E2007" s="108" t="s">
        <v>471</v>
      </c>
      <c r="F2007" s="108" t="s">
        <v>975</v>
      </c>
      <c r="G2007" s="108" t="s">
        <v>31</v>
      </c>
      <c r="H2007" s="126"/>
      <c r="I2007" s="108">
        <v>1630420350</v>
      </c>
      <c r="J2007" s="108" t="str">
        <f t="shared" si="344"/>
        <v>1630420350</v>
      </c>
      <c r="K2007" s="304" t="str">
        <f>C2007&amp;D2007&amp;E2007&amp;J2007&amp;G2007</f>
        <v>62403091630420350244</v>
      </c>
      <c r="L2007" s="17"/>
      <c r="M2007" s="20"/>
      <c r="N2007" s="20"/>
      <c r="O2007" s="20"/>
      <c r="P2007" s="20"/>
      <c r="Q2007" s="20"/>
      <c r="R2007" s="20"/>
      <c r="S2007" s="17"/>
    </row>
    <row r="2008" spans="1:19" s="16" customFormat="1" ht="47.25">
      <c r="A2008" s="14"/>
      <c r="B2008" s="147" t="s">
        <v>976</v>
      </c>
      <c r="C2008" s="109" t="s">
        <v>939</v>
      </c>
      <c r="D2008" s="108" t="s">
        <v>13</v>
      </c>
      <c r="E2008" s="108" t="s">
        <v>471</v>
      </c>
      <c r="F2008" s="108" t="s">
        <v>977</v>
      </c>
      <c r="G2008" s="108" t="s">
        <v>9</v>
      </c>
      <c r="H2008" s="126">
        <f>H2009</f>
        <v>0</v>
      </c>
      <c r="I2008" s="108">
        <v>8500000000</v>
      </c>
      <c r="J2008" s="108" t="str">
        <f t="shared" si="344"/>
        <v>8500000000</v>
      </c>
      <c r="K2008" s="132"/>
      <c r="L2008" s="17"/>
      <c r="M2008" s="20">
        <v>15349.49</v>
      </c>
      <c r="N2008" s="20">
        <v>15349.49</v>
      </c>
      <c r="O2008" s="20">
        <v>15349.49</v>
      </c>
      <c r="P2008" s="20">
        <f>H2008-M2008</f>
        <v>-15349.49</v>
      </c>
      <c r="Q2008" s="20" t="e">
        <f>#REF!-N2008</f>
        <v>#REF!</v>
      </c>
      <c r="R2008" s="20" t="e">
        <f>#REF!-O2008</f>
        <v>#REF!</v>
      </c>
      <c r="S2008" s="17" t="str">
        <f t="shared" si="345"/>
        <v>85 0 00 00000000</v>
      </c>
    </row>
    <row r="2009" spans="1:19" s="66" customFormat="1" ht="63">
      <c r="A2009" s="65"/>
      <c r="B2009" s="125" t="s">
        <v>978</v>
      </c>
      <c r="C2009" s="109" t="s">
        <v>939</v>
      </c>
      <c r="D2009" s="108" t="s">
        <v>13</v>
      </c>
      <c r="E2009" s="108" t="s">
        <v>471</v>
      </c>
      <c r="F2009" s="108" t="s">
        <v>979</v>
      </c>
      <c r="G2009" s="108" t="s">
        <v>9</v>
      </c>
      <c r="H2009" s="126">
        <f>H2010+H2019</f>
        <v>0</v>
      </c>
      <c r="I2009" s="108">
        <v>8510000000</v>
      </c>
      <c r="J2009" s="108" t="str">
        <f t="shared" si="344"/>
        <v>8510000000</v>
      </c>
      <c r="K2009" s="132"/>
      <c r="L2009" s="17"/>
      <c r="M2009" s="20">
        <v>15349.49</v>
      </c>
      <c r="N2009" s="20">
        <v>15349.49</v>
      </c>
      <c r="O2009" s="20">
        <v>15349.49</v>
      </c>
      <c r="P2009" s="20">
        <f>H2009-M2009</f>
        <v>-15349.49</v>
      </c>
      <c r="Q2009" s="20" t="e">
        <f>#REF!-N2009</f>
        <v>#REF!</v>
      </c>
      <c r="R2009" s="20" t="e">
        <f>#REF!-O2009</f>
        <v>#REF!</v>
      </c>
      <c r="S2009" s="17" t="str">
        <f t="shared" si="345"/>
        <v>85 1 00 00000000</v>
      </c>
    </row>
    <row r="2010" spans="1:19" s="16" customFormat="1" ht="31.5">
      <c r="A2010" s="14"/>
      <c r="B2010" s="148" t="s">
        <v>18</v>
      </c>
      <c r="C2010" s="109" t="s">
        <v>939</v>
      </c>
      <c r="D2010" s="108" t="s">
        <v>13</v>
      </c>
      <c r="E2010" s="108" t="s">
        <v>471</v>
      </c>
      <c r="F2010" s="108" t="s">
        <v>980</v>
      </c>
      <c r="G2010" s="108" t="s">
        <v>9</v>
      </c>
      <c r="H2010" s="126">
        <f>H2011+H2014+H2016</f>
        <v>0</v>
      </c>
      <c r="I2010" s="108">
        <v>8510010010</v>
      </c>
      <c r="J2010" s="108" t="str">
        <f t="shared" si="344"/>
        <v>8510010010</v>
      </c>
      <c r="K2010" s="132"/>
      <c r="L2010" s="17"/>
      <c r="M2010" s="20">
        <v>1772.94</v>
      </c>
      <c r="N2010" s="20">
        <v>1772.94</v>
      </c>
      <c r="O2010" s="20">
        <v>1772.94</v>
      </c>
      <c r="P2010" s="20">
        <f>H2010-M2010</f>
        <v>-1772.94</v>
      </c>
      <c r="Q2010" s="20" t="e">
        <f>#REF!-N2010</f>
        <v>#REF!</v>
      </c>
      <c r="R2010" s="20" t="e">
        <f>#REF!-O2010</f>
        <v>#REF!</v>
      </c>
      <c r="S2010" s="17" t="str">
        <f t="shared" si="345"/>
        <v>85 1 00 10010000</v>
      </c>
    </row>
    <row r="2011" spans="1:19" s="16" customFormat="1" ht="31.5">
      <c r="A2011" s="14"/>
      <c r="B2011" s="125" t="s">
        <v>20</v>
      </c>
      <c r="C2011" s="109" t="s">
        <v>939</v>
      </c>
      <c r="D2011" s="108" t="s">
        <v>13</v>
      </c>
      <c r="E2011" s="108" t="s">
        <v>471</v>
      </c>
      <c r="F2011" s="108" t="s">
        <v>980</v>
      </c>
      <c r="G2011" s="108" t="s">
        <v>21</v>
      </c>
      <c r="H2011" s="126">
        <f>SUM(H2012:H2013)</f>
        <v>0</v>
      </c>
      <c r="I2011" s="108">
        <v>8510010010</v>
      </c>
      <c r="J2011" s="108" t="str">
        <f t="shared" si="344"/>
        <v>8510010010</v>
      </c>
      <c r="K2011" s="132"/>
      <c r="L2011" s="17"/>
      <c r="M2011" s="20">
        <v>387.25</v>
      </c>
      <c r="N2011" s="20">
        <v>387.25</v>
      </c>
      <c r="O2011" s="20">
        <v>387.25</v>
      </c>
      <c r="P2011" s="20">
        <f>H2011-M2011</f>
        <v>-387.25</v>
      </c>
      <c r="Q2011" s="20" t="e">
        <f>#REF!-N2011</f>
        <v>#REF!</v>
      </c>
      <c r="R2011" s="20" t="e">
        <f>#REF!-O2011</f>
        <v>#REF!</v>
      </c>
      <c r="S2011" s="17" t="str">
        <f t="shared" si="345"/>
        <v>85 1 00 10010120</v>
      </c>
    </row>
    <row r="2012" spans="1:19" s="16" customFormat="1" ht="47.25">
      <c r="A2012" s="14"/>
      <c r="B2012" s="125" t="s">
        <v>22</v>
      </c>
      <c r="C2012" s="109" t="s">
        <v>939</v>
      </c>
      <c r="D2012" s="108" t="s">
        <v>13</v>
      </c>
      <c r="E2012" s="108" t="s">
        <v>471</v>
      </c>
      <c r="F2012" s="108" t="s">
        <v>980</v>
      </c>
      <c r="G2012" s="108" t="s">
        <v>23</v>
      </c>
      <c r="H2012" s="126"/>
      <c r="I2012" s="108">
        <v>8510010010</v>
      </c>
      <c r="J2012" s="108" t="str">
        <f t="shared" si="344"/>
        <v>8510010010</v>
      </c>
      <c r="K2012" s="304" t="str">
        <f t="shared" ref="K2012:K2013" si="348">C2012&amp;D2012&amp;E2012&amp;J2012&amp;G2012</f>
        <v>62403098510010010122</v>
      </c>
      <c r="L2012" s="17"/>
      <c r="M2012" s="20"/>
      <c r="N2012" s="20"/>
      <c r="O2012" s="20"/>
      <c r="P2012" s="20"/>
      <c r="Q2012" s="20"/>
      <c r="R2012" s="20"/>
      <c r="S2012" s="17"/>
    </row>
    <row r="2013" spans="1:19" s="16" customFormat="1" ht="63">
      <c r="A2013" s="14"/>
      <c r="B2013" s="125" t="s">
        <v>26</v>
      </c>
      <c r="C2013" s="109" t="s">
        <v>939</v>
      </c>
      <c r="D2013" s="108" t="s">
        <v>13</v>
      </c>
      <c r="E2013" s="108" t="s">
        <v>471</v>
      </c>
      <c r="F2013" s="108" t="s">
        <v>980</v>
      </c>
      <c r="G2013" s="108" t="s">
        <v>27</v>
      </c>
      <c r="H2013" s="126"/>
      <c r="I2013" s="108">
        <v>8510010010</v>
      </c>
      <c r="J2013" s="108" t="str">
        <f t="shared" si="344"/>
        <v>8510010010</v>
      </c>
      <c r="K2013" s="304" t="str">
        <f t="shared" si="348"/>
        <v>62403098510010010129</v>
      </c>
      <c r="L2013" s="17"/>
      <c r="M2013" s="20"/>
      <c r="N2013" s="20"/>
      <c r="O2013" s="20"/>
      <c r="P2013" s="20"/>
      <c r="Q2013" s="20"/>
      <c r="R2013" s="20"/>
      <c r="S2013" s="17"/>
    </row>
    <row r="2014" spans="1:19" s="16" customFormat="1" ht="31.5">
      <c r="A2014" s="14"/>
      <c r="B2014" s="125" t="s">
        <v>28</v>
      </c>
      <c r="C2014" s="109" t="s">
        <v>939</v>
      </c>
      <c r="D2014" s="108" t="s">
        <v>13</v>
      </c>
      <c r="E2014" s="108" t="s">
        <v>471</v>
      </c>
      <c r="F2014" s="108" t="s">
        <v>980</v>
      </c>
      <c r="G2014" s="108" t="s">
        <v>29</v>
      </c>
      <c r="H2014" s="126">
        <f>H2015</f>
        <v>0</v>
      </c>
      <c r="I2014" s="108">
        <v>8510010010</v>
      </c>
      <c r="J2014" s="108" t="str">
        <f t="shared" si="344"/>
        <v>8510010010</v>
      </c>
      <c r="K2014" s="132"/>
      <c r="L2014" s="17"/>
      <c r="M2014" s="20">
        <v>1183.98</v>
      </c>
      <c r="N2014" s="20">
        <v>1183.98</v>
      </c>
      <c r="O2014" s="20">
        <v>1183.98</v>
      </c>
      <c r="P2014" s="20">
        <f>H2014-M2014</f>
        <v>-1183.98</v>
      </c>
      <c r="Q2014" s="20" t="e">
        <f>#REF!-N2014</f>
        <v>#REF!</v>
      </c>
      <c r="R2014" s="20" t="e">
        <f>#REF!-O2014</f>
        <v>#REF!</v>
      </c>
      <c r="S2014" s="17" t="str">
        <f t="shared" si="345"/>
        <v>85 1 00 10010240</v>
      </c>
    </row>
    <row r="2015" spans="1:19" s="16" customFormat="1" ht="15.75">
      <c r="A2015" s="14"/>
      <c r="B2015" s="125" t="s">
        <v>30</v>
      </c>
      <c r="C2015" s="109" t="s">
        <v>939</v>
      </c>
      <c r="D2015" s="108" t="s">
        <v>13</v>
      </c>
      <c r="E2015" s="108" t="s">
        <v>471</v>
      </c>
      <c r="F2015" s="108" t="s">
        <v>980</v>
      </c>
      <c r="G2015" s="108" t="s">
        <v>31</v>
      </c>
      <c r="H2015" s="126"/>
      <c r="I2015" s="108">
        <v>8510010010</v>
      </c>
      <c r="J2015" s="108" t="str">
        <f t="shared" si="344"/>
        <v>8510010010</v>
      </c>
      <c r="K2015" s="304" t="str">
        <f>C2015&amp;D2015&amp;E2015&amp;J2015&amp;G2015</f>
        <v>62403098510010010244</v>
      </c>
      <c r="L2015" s="17"/>
      <c r="M2015" s="20"/>
      <c r="N2015" s="20"/>
      <c r="O2015" s="20"/>
      <c r="P2015" s="20"/>
      <c r="Q2015" s="20"/>
      <c r="R2015" s="20"/>
      <c r="S2015" s="17"/>
    </row>
    <row r="2016" spans="1:19" s="16" customFormat="1" ht="15.75">
      <c r="A2016" s="14"/>
      <c r="B2016" s="125" t="s">
        <v>32</v>
      </c>
      <c r="C2016" s="109" t="s">
        <v>939</v>
      </c>
      <c r="D2016" s="108" t="s">
        <v>13</v>
      </c>
      <c r="E2016" s="108" t="s">
        <v>471</v>
      </c>
      <c r="F2016" s="108" t="s">
        <v>980</v>
      </c>
      <c r="G2016" s="108" t="s">
        <v>33</v>
      </c>
      <c r="H2016" s="126">
        <f>SUM(H2017:H2018)</f>
        <v>0</v>
      </c>
      <c r="I2016" s="108">
        <v>8510010010</v>
      </c>
      <c r="J2016" s="108" t="str">
        <f t="shared" si="344"/>
        <v>8510010010</v>
      </c>
      <c r="K2016" s="132"/>
      <c r="L2016" s="17"/>
      <c r="M2016" s="20">
        <v>201.71</v>
      </c>
      <c r="N2016" s="20">
        <v>201.71</v>
      </c>
      <c r="O2016" s="20">
        <v>201.71</v>
      </c>
      <c r="P2016" s="20">
        <f>H2016-M2016</f>
        <v>-201.71</v>
      </c>
      <c r="Q2016" s="20" t="e">
        <f>#REF!-N2016</f>
        <v>#REF!</v>
      </c>
      <c r="R2016" s="20" t="e">
        <f>#REF!-O2016</f>
        <v>#REF!</v>
      </c>
      <c r="S2016" s="17" t="str">
        <f t="shared" si="345"/>
        <v>85 1 00 10010850</v>
      </c>
    </row>
    <row r="2017" spans="1:19" s="16" customFormat="1" ht="31.5">
      <c r="A2017" s="14"/>
      <c r="B2017" s="125" t="s">
        <v>34</v>
      </c>
      <c r="C2017" s="109" t="s">
        <v>939</v>
      </c>
      <c r="D2017" s="108" t="s">
        <v>13</v>
      </c>
      <c r="E2017" s="108" t="s">
        <v>471</v>
      </c>
      <c r="F2017" s="108" t="s">
        <v>980</v>
      </c>
      <c r="G2017" s="108">
        <v>851</v>
      </c>
      <c r="H2017" s="126"/>
      <c r="I2017" s="108">
        <v>8510010010</v>
      </c>
      <c r="J2017" s="108" t="str">
        <f t="shared" si="344"/>
        <v>8510010010</v>
      </c>
      <c r="K2017" s="304" t="str">
        <f t="shared" ref="K2017:K2018" si="349">C2017&amp;D2017&amp;E2017&amp;J2017&amp;G2017</f>
        <v>62403098510010010851</v>
      </c>
      <c r="L2017" s="17"/>
      <c r="M2017" s="20"/>
      <c r="N2017" s="20"/>
      <c r="O2017" s="20"/>
      <c r="P2017" s="20"/>
      <c r="Q2017" s="20"/>
      <c r="R2017" s="20"/>
      <c r="S2017" s="17"/>
    </row>
    <row r="2018" spans="1:19" s="16" customFormat="1" ht="15.75">
      <c r="A2018" s="14"/>
      <c r="B2018" s="125" t="s">
        <v>77</v>
      </c>
      <c r="C2018" s="109" t="s">
        <v>939</v>
      </c>
      <c r="D2018" s="108" t="s">
        <v>13</v>
      </c>
      <c r="E2018" s="108" t="s">
        <v>471</v>
      </c>
      <c r="F2018" s="108" t="s">
        <v>980</v>
      </c>
      <c r="G2018" s="108" t="s">
        <v>78</v>
      </c>
      <c r="H2018" s="126"/>
      <c r="I2018" s="108">
        <v>8510010010</v>
      </c>
      <c r="J2018" s="108" t="str">
        <f t="shared" si="344"/>
        <v>8510010010</v>
      </c>
      <c r="K2018" s="304" t="str">
        <f t="shared" si="349"/>
        <v>62403098510010010853</v>
      </c>
      <c r="L2018" s="17"/>
      <c r="M2018" s="20"/>
      <c r="N2018" s="20"/>
      <c r="O2018" s="20"/>
      <c r="P2018" s="20"/>
      <c r="Q2018" s="20"/>
      <c r="R2018" s="20"/>
      <c r="S2018" s="17"/>
    </row>
    <row r="2019" spans="1:19" s="16" customFormat="1" ht="31.5">
      <c r="A2019" s="14"/>
      <c r="B2019" s="148" t="s">
        <v>38</v>
      </c>
      <c r="C2019" s="109" t="s">
        <v>939</v>
      </c>
      <c r="D2019" s="108" t="s">
        <v>13</v>
      </c>
      <c r="E2019" s="108" t="s">
        <v>471</v>
      </c>
      <c r="F2019" s="108" t="s">
        <v>981</v>
      </c>
      <c r="G2019" s="108" t="s">
        <v>9</v>
      </c>
      <c r="H2019" s="126">
        <f>H2020</f>
        <v>0</v>
      </c>
      <c r="I2019" s="108">
        <v>8510010020</v>
      </c>
      <c r="J2019" s="108" t="str">
        <f t="shared" si="344"/>
        <v>8510010020</v>
      </c>
      <c r="K2019" s="132"/>
      <c r="L2019" s="17"/>
      <c r="M2019" s="20">
        <v>13576.55</v>
      </c>
      <c r="N2019" s="20">
        <v>13576.55</v>
      </c>
      <c r="O2019" s="20">
        <v>13576.55</v>
      </c>
      <c r="P2019" s="20">
        <f>H2019-M2019</f>
        <v>-13576.55</v>
      </c>
      <c r="Q2019" s="20" t="e">
        <f>#REF!-N2019</f>
        <v>#REF!</v>
      </c>
      <c r="R2019" s="20" t="e">
        <f>#REF!-O2019</f>
        <v>#REF!</v>
      </c>
      <c r="S2019" s="17" t="str">
        <f t="shared" si="345"/>
        <v>85 1 00 10020000</v>
      </c>
    </row>
    <row r="2020" spans="1:19" s="16" customFormat="1" ht="31.5">
      <c r="A2020" s="14"/>
      <c r="B2020" s="125" t="s">
        <v>20</v>
      </c>
      <c r="C2020" s="109" t="s">
        <v>939</v>
      </c>
      <c r="D2020" s="108" t="s">
        <v>13</v>
      </c>
      <c r="E2020" s="108" t="s">
        <v>471</v>
      </c>
      <c r="F2020" s="108" t="s">
        <v>981</v>
      </c>
      <c r="G2020" s="108" t="s">
        <v>21</v>
      </c>
      <c r="H2020" s="126">
        <f>SUM(H2021:H2022)</f>
        <v>0</v>
      </c>
      <c r="I2020" s="108">
        <v>8510010020</v>
      </c>
      <c r="J2020" s="108" t="str">
        <f t="shared" si="344"/>
        <v>8510010020</v>
      </c>
      <c r="K2020" s="132"/>
      <c r="L2020" s="17"/>
      <c r="M2020" s="20">
        <v>13576.55</v>
      </c>
      <c r="N2020" s="20">
        <v>13576.55</v>
      </c>
      <c r="O2020" s="20">
        <v>13576.55</v>
      </c>
      <c r="P2020" s="20">
        <f>H2020-M2020</f>
        <v>-13576.55</v>
      </c>
      <c r="Q2020" s="20" t="e">
        <f>#REF!-N2020</f>
        <v>#REF!</v>
      </c>
      <c r="R2020" s="20" t="e">
        <f>#REF!-O2020</f>
        <v>#REF!</v>
      </c>
      <c r="S2020" s="17" t="str">
        <f t="shared" si="345"/>
        <v>85 1 00 10020120</v>
      </c>
    </row>
    <row r="2021" spans="1:19" s="23" customFormat="1" ht="31.5">
      <c r="A2021" s="21"/>
      <c r="B2021" s="127" t="s">
        <v>40</v>
      </c>
      <c r="C2021" s="109" t="s">
        <v>939</v>
      </c>
      <c r="D2021" s="108" t="s">
        <v>13</v>
      </c>
      <c r="E2021" s="108" t="s">
        <v>471</v>
      </c>
      <c r="F2021" s="108" t="s">
        <v>981</v>
      </c>
      <c r="G2021" s="108" t="s">
        <v>41</v>
      </c>
      <c r="H2021" s="126"/>
      <c r="I2021" s="108">
        <v>8510010020</v>
      </c>
      <c r="J2021" s="108" t="str">
        <f t="shared" si="344"/>
        <v>8510010020</v>
      </c>
      <c r="K2021" s="304" t="str">
        <f t="shared" ref="K2021:K2022" si="350">C2021&amp;D2021&amp;E2021&amp;J2021&amp;G2021</f>
        <v>62403098510010020121</v>
      </c>
      <c r="L2021" s="24"/>
      <c r="M2021" s="22"/>
      <c r="N2021" s="22"/>
      <c r="O2021" s="22"/>
      <c r="P2021" s="22"/>
      <c r="Q2021" s="22"/>
      <c r="R2021" s="22"/>
      <c r="S2021" s="24"/>
    </row>
    <row r="2022" spans="1:19" s="23" customFormat="1" ht="63">
      <c r="A2022" s="21"/>
      <c r="B2022" s="127" t="s">
        <v>26</v>
      </c>
      <c r="C2022" s="109" t="s">
        <v>939</v>
      </c>
      <c r="D2022" s="108" t="s">
        <v>13</v>
      </c>
      <c r="E2022" s="108" t="s">
        <v>471</v>
      </c>
      <c r="F2022" s="108" t="s">
        <v>981</v>
      </c>
      <c r="G2022" s="108" t="s">
        <v>27</v>
      </c>
      <c r="H2022" s="126"/>
      <c r="I2022" s="108">
        <v>8510010020</v>
      </c>
      <c r="J2022" s="108" t="str">
        <f t="shared" si="344"/>
        <v>8510010020</v>
      </c>
      <c r="K2022" s="304" t="str">
        <f t="shared" si="350"/>
        <v>62403098510010020129</v>
      </c>
      <c r="L2022" s="24"/>
      <c r="M2022" s="22"/>
      <c r="N2022" s="22"/>
      <c r="O2022" s="22"/>
      <c r="P2022" s="22"/>
      <c r="Q2022" s="22"/>
      <c r="R2022" s="22"/>
      <c r="S2022" s="24"/>
    </row>
    <row r="2023" spans="1:19" s="16" customFormat="1" ht="15.75">
      <c r="A2023" s="14"/>
      <c r="B2023" s="125"/>
      <c r="C2023" s="109"/>
      <c r="D2023" s="108"/>
      <c r="E2023" s="108"/>
      <c r="F2023" s="108"/>
      <c r="G2023" s="108"/>
      <c r="H2023" s="126"/>
      <c r="I2023" s="108"/>
      <c r="J2023" s="108" t="str">
        <f t="shared" si="344"/>
        <v>0000000000</v>
      </c>
      <c r="K2023" s="17"/>
      <c r="L2023" s="17"/>
      <c r="M2023" s="20"/>
      <c r="N2023" s="20"/>
      <c r="O2023" s="20"/>
      <c r="P2023" s="20">
        <f t="shared" ref="P2023:P2030" si="351">H2023-M2023</f>
        <v>0</v>
      </c>
      <c r="Q2023" s="20" t="e">
        <f>#REF!-N2023</f>
        <v>#REF!</v>
      </c>
      <c r="R2023" s="20" t="e">
        <f>#REF!-O2023</f>
        <v>#REF!</v>
      </c>
      <c r="S2023" s="17" t="str">
        <f t="shared" si="345"/>
        <v/>
      </c>
    </row>
    <row r="2024" spans="1:19" s="16" customFormat="1" ht="15.75">
      <c r="A2024" s="14"/>
      <c r="B2024" s="67" t="s">
        <v>982</v>
      </c>
      <c r="C2024" s="116" t="s">
        <v>983</v>
      </c>
      <c r="D2024" s="69" t="s">
        <v>7</v>
      </c>
      <c r="E2024" s="69" t="s">
        <v>7</v>
      </c>
      <c r="F2024" s="69" t="s">
        <v>8</v>
      </c>
      <c r="G2024" s="69" t="s">
        <v>9</v>
      </c>
      <c r="H2024" s="70">
        <f t="shared" ref="H2024:H2027" si="352">H2025</f>
        <v>0</v>
      </c>
      <c r="I2024" s="69">
        <v>0</v>
      </c>
      <c r="J2024" s="69" t="str">
        <f t="shared" si="344"/>
        <v>0000000000</v>
      </c>
      <c r="K2024" s="132"/>
      <c r="L2024" s="17"/>
      <c r="M2024" s="25">
        <v>14384</v>
      </c>
      <c r="N2024" s="25">
        <v>14384</v>
      </c>
      <c r="O2024" s="25">
        <v>14384</v>
      </c>
      <c r="P2024" s="25">
        <f t="shared" si="351"/>
        <v>-14384</v>
      </c>
      <c r="Q2024" s="25" t="e">
        <f>#REF!-N2024</f>
        <v>#REF!</v>
      </c>
      <c r="R2024" s="25" t="e">
        <f>#REF!-O2024</f>
        <v>#REF!</v>
      </c>
      <c r="S2024" s="17" t="str">
        <f t="shared" si="345"/>
        <v>00 0 00 00000000</v>
      </c>
    </row>
    <row r="2025" spans="1:19" s="16" customFormat="1" ht="15.75">
      <c r="A2025" s="14"/>
      <c r="B2025" s="117" t="s">
        <v>10</v>
      </c>
      <c r="C2025" s="118" t="s">
        <v>983</v>
      </c>
      <c r="D2025" s="119" t="s">
        <v>11</v>
      </c>
      <c r="E2025" s="119" t="s">
        <v>7</v>
      </c>
      <c r="F2025" s="119" t="s">
        <v>8</v>
      </c>
      <c r="G2025" s="119" t="s">
        <v>9</v>
      </c>
      <c r="H2025" s="120">
        <f t="shared" si="352"/>
        <v>0</v>
      </c>
      <c r="I2025" s="119">
        <v>0</v>
      </c>
      <c r="J2025" s="119" t="str">
        <f t="shared" si="344"/>
        <v>0000000000</v>
      </c>
      <c r="K2025" s="132"/>
      <c r="L2025" s="17"/>
      <c r="M2025" s="18">
        <v>14384</v>
      </c>
      <c r="N2025" s="18">
        <v>14384</v>
      </c>
      <c r="O2025" s="18">
        <v>14384</v>
      </c>
      <c r="P2025" s="18">
        <f t="shared" si="351"/>
        <v>-14384</v>
      </c>
      <c r="Q2025" s="18" t="e">
        <f>#REF!-N2025</f>
        <v>#REF!</v>
      </c>
      <c r="R2025" s="18" t="e">
        <f>#REF!-O2025</f>
        <v>#REF!</v>
      </c>
      <c r="S2025" s="17" t="str">
        <f t="shared" si="345"/>
        <v>00 0 00 00000000</v>
      </c>
    </row>
    <row r="2026" spans="1:19" s="16" customFormat="1" ht="47.25">
      <c r="A2026" s="14"/>
      <c r="B2026" s="121" t="s">
        <v>333</v>
      </c>
      <c r="C2026" s="122" t="s">
        <v>983</v>
      </c>
      <c r="D2026" s="123" t="s">
        <v>11</v>
      </c>
      <c r="E2026" s="123" t="s">
        <v>334</v>
      </c>
      <c r="F2026" s="123" t="s">
        <v>8</v>
      </c>
      <c r="G2026" s="123" t="s">
        <v>9</v>
      </c>
      <c r="H2026" s="124">
        <f t="shared" si="352"/>
        <v>0</v>
      </c>
      <c r="I2026" s="123">
        <v>0</v>
      </c>
      <c r="J2026" s="123" t="str">
        <f t="shared" si="344"/>
        <v>0000000000</v>
      </c>
      <c r="K2026" s="132"/>
      <c r="L2026" s="17"/>
      <c r="M2026" s="19">
        <v>14384</v>
      </c>
      <c r="N2026" s="19">
        <v>14384</v>
      </c>
      <c r="O2026" s="19">
        <v>14384</v>
      </c>
      <c r="P2026" s="19">
        <f t="shared" si="351"/>
        <v>-14384</v>
      </c>
      <c r="Q2026" s="19" t="e">
        <f>#REF!-N2026</f>
        <v>#REF!</v>
      </c>
      <c r="R2026" s="19" t="e">
        <f>#REF!-O2026</f>
        <v>#REF!</v>
      </c>
      <c r="S2026" s="17" t="str">
        <f t="shared" si="345"/>
        <v>00 0 00 00000000</v>
      </c>
    </row>
    <row r="2027" spans="1:19" s="16" customFormat="1" ht="31.5">
      <c r="A2027" s="14"/>
      <c r="B2027" s="129" t="s">
        <v>984</v>
      </c>
      <c r="C2027" s="109" t="s">
        <v>983</v>
      </c>
      <c r="D2027" s="108" t="s">
        <v>11</v>
      </c>
      <c r="E2027" s="108" t="s">
        <v>334</v>
      </c>
      <c r="F2027" s="108" t="s">
        <v>985</v>
      </c>
      <c r="G2027" s="108" t="s">
        <v>9</v>
      </c>
      <c r="H2027" s="126">
        <f t="shared" si="352"/>
        <v>0</v>
      </c>
      <c r="I2027" s="108">
        <v>8600000000</v>
      </c>
      <c r="J2027" s="108" t="str">
        <f t="shared" si="344"/>
        <v>8600000000</v>
      </c>
      <c r="K2027" s="132"/>
      <c r="L2027" s="17"/>
      <c r="M2027" s="20">
        <v>14384</v>
      </c>
      <c r="N2027" s="20">
        <v>14384</v>
      </c>
      <c r="O2027" s="20">
        <v>14384</v>
      </c>
      <c r="P2027" s="20">
        <f t="shared" si="351"/>
        <v>-14384</v>
      </c>
      <c r="Q2027" s="20" t="e">
        <f>#REF!-N2027</f>
        <v>#REF!</v>
      </c>
      <c r="R2027" s="20" t="e">
        <f>#REF!-O2027</f>
        <v>#REF!</v>
      </c>
      <c r="S2027" s="17" t="str">
        <f t="shared" si="345"/>
        <v>86 0 00 00000000</v>
      </c>
    </row>
    <row r="2028" spans="1:19" s="16" customFormat="1" ht="47.25">
      <c r="A2028" s="14"/>
      <c r="B2028" s="129" t="s">
        <v>986</v>
      </c>
      <c r="C2028" s="109" t="s">
        <v>983</v>
      </c>
      <c r="D2028" s="108" t="s">
        <v>11</v>
      </c>
      <c r="E2028" s="108" t="s">
        <v>334</v>
      </c>
      <c r="F2028" s="108" t="s">
        <v>987</v>
      </c>
      <c r="G2028" s="108" t="s">
        <v>9</v>
      </c>
      <c r="H2028" s="126">
        <f>H2029+H2039</f>
        <v>0</v>
      </c>
      <c r="I2028" s="108">
        <v>8610000000</v>
      </c>
      <c r="J2028" s="108" t="str">
        <f t="shared" si="344"/>
        <v>8610000000</v>
      </c>
      <c r="K2028" s="132"/>
      <c r="L2028" s="17"/>
      <c r="M2028" s="20">
        <v>14384</v>
      </c>
      <c r="N2028" s="20">
        <v>14384</v>
      </c>
      <c r="O2028" s="20">
        <v>14384</v>
      </c>
      <c r="P2028" s="20">
        <f t="shared" si="351"/>
        <v>-14384</v>
      </c>
      <c r="Q2028" s="20" t="e">
        <f>#REF!-N2028</f>
        <v>#REF!</v>
      </c>
      <c r="R2028" s="20" t="e">
        <f>#REF!-O2028</f>
        <v>#REF!</v>
      </c>
      <c r="S2028" s="17" t="str">
        <f t="shared" si="345"/>
        <v>86 1 00 00000000</v>
      </c>
    </row>
    <row r="2029" spans="1:19" s="16" customFormat="1" ht="31.5">
      <c r="A2029" s="14"/>
      <c r="B2029" s="125" t="s">
        <v>18</v>
      </c>
      <c r="C2029" s="109" t="s">
        <v>983</v>
      </c>
      <c r="D2029" s="108" t="s">
        <v>11</v>
      </c>
      <c r="E2029" s="108" t="s">
        <v>334</v>
      </c>
      <c r="F2029" s="108" t="s">
        <v>988</v>
      </c>
      <c r="G2029" s="108" t="s">
        <v>9</v>
      </c>
      <c r="H2029" s="126">
        <f>H2030+H2033+H2035</f>
        <v>0</v>
      </c>
      <c r="I2029" s="108">
        <v>8610010010</v>
      </c>
      <c r="J2029" s="108" t="str">
        <f t="shared" si="344"/>
        <v>8610010010</v>
      </c>
      <c r="K2029" s="132"/>
      <c r="L2029" s="17"/>
      <c r="M2029" s="20">
        <v>3916.21</v>
      </c>
      <c r="N2029" s="20">
        <v>3916.21</v>
      </c>
      <c r="O2029" s="20">
        <v>3916.21</v>
      </c>
      <c r="P2029" s="20">
        <f t="shared" si="351"/>
        <v>-3916.21</v>
      </c>
      <c r="Q2029" s="20" t="e">
        <f>#REF!-N2029</f>
        <v>#REF!</v>
      </c>
      <c r="R2029" s="20" t="e">
        <f>#REF!-O2029</f>
        <v>#REF!</v>
      </c>
      <c r="S2029" s="17" t="str">
        <f t="shared" si="345"/>
        <v>86 1 00 10010000</v>
      </c>
    </row>
    <row r="2030" spans="1:19" s="16" customFormat="1" ht="31.5">
      <c r="A2030" s="14"/>
      <c r="B2030" s="127" t="s">
        <v>20</v>
      </c>
      <c r="C2030" s="109" t="s">
        <v>983</v>
      </c>
      <c r="D2030" s="108" t="s">
        <v>11</v>
      </c>
      <c r="E2030" s="108" t="s">
        <v>334</v>
      </c>
      <c r="F2030" s="108" t="s">
        <v>988</v>
      </c>
      <c r="G2030" s="108" t="s">
        <v>21</v>
      </c>
      <c r="H2030" s="126">
        <f>SUM(H2031:H2032)</f>
        <v>0</v>
      </c>
      <c r="I2030" s="108">
        <v>8610010010</v>
      </c>
      <c r="J2030" s="108" t="str">
        <f t="shared" si="344"/>
        <v>8610010010</v>
      </c>
      <c r="K2030" s="132"/>
      <c r="L2030" s="17"/>
      <c r="M2030" s="20">
        <v>546.53</v>
      </c>
      <c r="N2030" s="20">
        <v>546.53</v>
      </c>
      <c r="O2030" s="20">
        <v>546.53</v>
      </c>
      <c r="P2030" s="20">
        <f t="shared" si="351"/>
        <v>-546.53</v>
      </c>
      <c r="Q2030" s="20" t="e">
        <f>#REF!-N2030</f>
        <v>#REF!</v>
      </c>
      <c r="R2030" s="20" t="e">
        <f>#REF!-O2030</f>
        <v>#REF!</v>
      </c>
      <c r="S2030" s="17" t="str">
        <f t="shared" si="345"/>
        <v>86 1 00 10010120</v>
      </c>
    </row>
    <row r="2031" spans="1:19" s="23" customFormat="1" ht="47.25">
      <c r="A2031" s="21"/>
      <c r="B2031" s="127" t="s">
        <v>22</v>
      </c>
      <c r="C2031" s="109" t="s">
        <v>983</v>
      </c>
      <c r="D2031" s="108" t="s">
        <v>11</v>
      </c>
      <c r="E2031" s="108" t="s">
        <v>334</v>
      </c>
      <c r="F2031" s="108" t="s">
        <v>988</v>
      </c>
      <c r="G2031" s="108">
        <v>122</v>
      </c>
      <c r="H2031" s="126"/>
      <c r="I2031" s="108">
        <v>8610010010</v>
      </c>
      <c r="J2031" s="108" t="str">
        <f t="shared" si="344"/>
        <v>8610010010</v>
      </c>
      <c r="K2031" s="304" t="str">
        <f t="shared" ref="K2031:K2032" si="353">C2031&amp;D2031&amp;E2031&amp;J2031&amp;G2031</f>
        <v>64301068610010010122</v>
      </c>
      <c r="L2031" s="24"/>
      <c r="M2031" s="22"/>
      <c r="N2031" s="22"/>
      <c r="O2031" s="22"/>
      <c r="P2031" s="22"/>
      <c r="Q2031" s="22"/>
      <c r="R2031" s="22"/>
      <c r="S2031" s="24"/>
    </row>
    <row r="2032" spans="1:19" s="23" customFormat="1" ht="63">
      <c r="A2032" s="21"/>
      <c r="B2032" s="127" t="s">
        <v>26</v>
      </c>
      <c r="C2032" s="109" t="s">
        <v>983</v>
      </c>
      <c r="D2032" s="108" t="s">
        <v>11</v>
      </c>
      <c r="E2032" s="108" t="s">
        <v>334</v>
      </c>
      <c r="F2032" s="108" t="s">
        <v>988</v>
      </c>
      <c r="G2032" s="108" t="s">
        <v>27</v>
      </c>
      <c r="H2032" s="126"/>
      <c r="I2032" s="108">
        <v>8610010010</v>
      </c>
      <c r="J2032" s="108" t="str">
        <f t="shared" si="344"/>
        <v>8610010010</v>
      </c>
      <c r="K2032" s="304" t="str">
        <f t="shared" si="353"/>
        <v>64301068610010010129</v>
      </c>
      <c r="L2032" s="24"/>
      <c r="M2032" s="22"/>
      <c r="N2032" s="22"/>
      <c r="O2032" s="22"/>
      <c r="P2032" s="22"/>
      <c r="Q2032" s="22"/>
      <c r="R2032" s="22"/>
      <c r="S2032" s="24"/>
    </row>
    <row r="2033" spans="1:19" s="16" customFormat="1" ht="31.5">
      <c r="A2033" s="14"/>
      <c r="B2033" s="125" t="s">
        <v>28</v>
      </c>
      <c r="C2033" s="109" t="s">
        <v>983</v>
      </c>
      <c r="D2033" s="108" t="s">
        <v>11</v>
      </c>
      <c r="E2033" s="108" t="s">
        <v>334</v>
      </c>
      <c r="F2033" s="108" t="s">
        <v>988</v>
      </c>
      <c r="G2033" s="108" t="s">
        <v>29</v>
      </c>
      <c r="H2033" s="126">
        <f>H2034</f>
        <v>0</v>
      </c>
      <c r="I2033" s="108">
        <v>8610010010</v>
      </c>
      <c r="J2033" s="108" t="str">
        <f t="shared" si="344"/>
        <v>8610010010</v>
      </c>
      <c r="K2033" s="132"/>
      <c r="L2033" s="17"/>
      <c r="M2033" s="20">
        <v>3257.98</v>
      </c>
      <c r="N2033" s="20">
        <v>3257.98</v>
      </c>
      <c r="O2033" s="20">
        <v>3257.98</v>
      </c>
      <c r="P2033" s="20">
        <f>H2033-M2033</f>
        <v>-3257.98</v>
      </c>
      <c r="Q2033" s="20" t="e">
        <f>#REF!-N2033</f>
        <v>#REF!</v>
      </c>
      <c r="R2033" s="20" t="e">
        <f>#REF!-O2033</f>
        <v>#REF!</v>
      </c>
      <c r="S2033" s="17" t="str">
        <f t="shared" si="345"/>
        <v>86 1 00 10010240</v>
      </c>
    </row>
    <row r="2034" spans="1:19" s="16" customFormat="1" ht="15.75">
      <c r="A2034" s="14"/>
      <c r="B2034" s="125" t="s">
        <v>30</v>
      </c>
      <c r="C2034" s="109" t="s">
        <v>983</v>
      </c>
      <c r="D2034" s="108" t="s">
        <v>11</v>
      </c>
      <c r="E2034" s="108" t="s">
        <v>334</v>
      </c>
      <c r="F2034" s="108" t="s">
        <v>988</v>
      </c>
      <c r="G2034" s="108" t="s">
        <v>31</v>
      </c>
      <c r="H2034" s="126"/>
      <c r="I2034" s="108">
        <v>8610010010</v>
      </c>
      <c r="J2034" s="108" t="str">
        <f t="shared" si="344"/>
        <v>8610010010</v>
      </c>
      <c r="K2034" s="304" t="str">
        <f>C2034&amp;D2034&amp;E2034&amp;J2034&amp;G2034</f>
        <v>64301068610010010244</v>
      </c>
      <c r="L2034" s="17"/>
      <c r="M2034" s="20"/>
      <c r="N2034" s="20"/>
      <c r="O2034" s="20"/>
      <c r="P2034" s="20"/>
      <c r="Q2034" s="20"/>
      <c r="R2034" s="20"/>
      <c r="S2034" s="17"/>
    </row>
    <row r="2035" spans="1:19" s="16" customFormat="1" ht="15.75">
      <c r="A2035" s="14"/>
      <c r="B2035" s="125" t="s">
        <v>32</v>
      </c>
      <c r="C2035" s="109" t="s">
        <v>983</v>
      </c>
      <c r="D2035" s="108" t="s">
        <v>11</v>
      </c>
      <c r="E2035" s="108" t="s">
        <v>334</v>
      </c>
      <c r="F2035" s="108" t="s">
        <v>988</v>
      </c>
      <c r="G2035" s="108" t="s">
        <v>33</v>
      </c>
      <c r="H2035" s="126">
        <f>SUM(H2036:H2038)</f>
        <v>0</v>
      </c>
      <c r="I2035" s="108">
        <v>8610010010</v>
      </c>
      <c r="J2035" s="108" t="str">
        <f t="shared" si="344"/>
        <v>8610010010</v>
      </c>
      <c r="K2035" s="132"/>
      <c r="L2035" s="17"/>
      <c r="M2035" s="20">
        <v>111.69999999999999</v>
      </c>
      <c r="N2035" s="20">
        <v>111.69999999999999</v>
      </c>
      <c r="O2035" s="20">
        <v>111.69999999999999</v>
      </c>
      <c r="P2035" s="20">
        <f>H2035-M2035</f>
        <v>-111.69999999999999</v>
      </c>
      <c r="Q2035" s="20" t="e">
        <f>#REF!-N2035</f>
        <v>#REF!</v>
      </c>
      <c r="R2035" s="20" t="e">
        <f>#REF!-O2035</f>
        <v>#REF!</v>
      </c>
      <c r="S2035" s="17" t="str">
        <f t="shared" si="345"/>
        <v>86 1 00 10010850</v>
      </c>
    </row>
    <row r="2036" spans="1:19" s="23" customFormat="1" ht="31.5">
      <c r="A2036" s="21"/>
      <c r="B2036" s="127" t="s">
        <v>34</v>
      </c>
      <c r="C2036" s="109" t="s">
        <v>983</v>
      </c>
      <c r="D2036" s="108" t="s">
        <v>11</v>
      </c>
      <c r="E2036" s="108" t="s">
        <v>334</v>
      </c>
      <c r="F2036" s="108" t="s">
        <v>988</v>
      </c>
      <c r="G2036" s="108" t="s">
        <v>35</v>
      </c>
      <c r="H2036" s="126"/>
      <c r="I2036" s="108">
        <v>8610010010</v>
      </c>
      <c r="J2036" s="108" t="str">
        <f t="shared" si="344"/>
        <v>8610010010</v>
      </c>
      <c r="K2036" s="304" t="str">
        <f t="shared" ref="K2036:K2038" si="354">C2036&amp;D2036&amp;E2036&amp;J2036&amp;G2036</f>
        <v>64301068610010010851</v>
      </c>
      <c r="L2036" s="24"/>
      <c r="M2036" s="22"/>
      <c r="N2036" s="22"/>
      <c r="O2036" s="22"/>
      <c r="P2036" s="22"/>
      <c r="Q2036" s="22"/>
      <c r="R2036" s="22"/>
      <c r="S2036" s="24"/>
    </row>
    <row r="2037" spans="1:19" s="23" customFormat="1" ht="15.75">
      <c r="A2037" s="21"/>
      <c r="B2037" s="127" t="s">
        <v>36</v>
      </c>
      <c r="C2037" s="109" t="s">
        <v>983</v>
      </c>
      <c r="D2037" s="108" t="s">
        <v>11</v>
      </c>
      <c r="E2037" s="108" t="s">
        <v>334</v>
      </c>
      <c r="F2037" s="108" t="s">
        <v>988</v>
      </c>
      <c r="G2037" s="108" t="s">
        <v>37</v>
      </c>
      <c r="H2037" s="126"/>
      <c r="I2037" s="108">
        <v>8610010010</v>
      </c>
      <c r="J2037" s="108" t="str">
        <f t="shared" si="344"/>
        <v>8610010010</v>
      </c>
      <c r="K2037" s="304" t="str">
        <f t="shared" si="354"/>
        <v>64301068610010010852</v>
      </c>
      <c r="L2037" s="24"/>
      <c r="M2037" s="22"/>
      <c r="N2037" s="22"/>
      <c r="O2037" s="22"/>
      <c r="P2037" s="22"/>
      <c r="Q2037" s="22"/>
      <c r="R2037" s="22"/>
      <c r="S2037" s="24"/>
    </row>
    <row r="2038" spans="1:19" s="23" customFormat="1" ht="15.75">
      <c r="A2038" s="21"/>
      <c r="B2038" s="127" t="s">
        <v>77</v>
      </c>
      <c r="C2038" s="109" t="s">
        <v>983</v>
      </c>
      <c r="D2038" s="108" t="s">
        <v>11</v>
      </c>
      <c r="E2038" s="108" t="s">
        <v>334</v>
      </c>
      <c r="F2038" s="108" t="s">
        <v>988</v>
      </c>
      <c r="G2038" s="108" t="s">
        <v>78</v>
      </c>
      <c r="H2038" s="126"/>
      <c r="I2038" s="108">
        <v>8610010010</v>
      </c>
      <c r="J2038" s="108" t="str">
        <f t="shared" si="344"/>
        <v>8610010010</v>
      </c>
      <c r="K2038" s="304" t="str">
        <f t="shared" si="354"/>
        <v>64301068610010010853</v>
      </c>
      <c r="L2038" s="24"/>
      <c r="M2038" s="22"/>
      <c r="N2038" s="22"/>
      <c r="O2038" s="22"/>
      <c r="P2038" s="22"/>
      <c r="Q2038" s="22"/>
      <c r="R2038" s="22"/>
      <c r="S2038" s="24"/>
    </row>
    <row r="2039" spans="1:19" s="16" customFormat="1" ht="31.5">
      <c r="A2039" s="14"/>
      <c r="B2039" s="127" t="s">
        <v>38</v>
      </c>
      <c r="C2039" s="109" t="s">
        <v>983</v>
      </c>
      <c r="D2039" s="108" t="s">
        <v>11</v>
      </c>
      <c r="E2039" s="108" t="s">
        <v>334</v>
      </c>
      <c r="F2039" s="108" t="s">
        <v>989</v>
      </c>
      <c r="G2039" s="108" t="s">
        <v>9</v>
      </c>
      <c r="H2039" s="126">
        <f>H2040</f>
        <v>0</v>
      </c>
      <c r="I2039" s="108">
        <v>8610010020</v>
      </c>
      <c r="J2039" s="108" t="str">
        <f t="shared" si="344"/>
        <v>8610010020</v>
      </c>
      <c r="K2039" s="132"/>
      <c r="L2039" s="17"/>
      <c r="M2039" s="20">
        <v>10467.790000000001</v>
      </c>
      <c r="N2039" s="20">
        <v>10467.790000000001</v>
      </c>
      <c r="O2039" s="20">
        <v>10467.790000000001</v>
      </c>
      <c r="P2039" s="20">
        <f>H2039-M2039</f>
        <v>-10467.790000000001</v>
      </c>
      <c r="Q2039" s="20" t="e">
        <f>#REF!-N2039</f>
        <v>#REF!</v>
      </c>
      <c r="R2039" s="20" t="e">
        <f>#REF!-O2039</f>
        <v>#REF!</v>
      </c>
      <c r="S2039" s="17" t="str">
        <f t="shared" si="345"/>
        <v>86 1 00 10020000</v>
      </c>
    </row>
    <row r="2040" spans="1:19" s="16" customFormat="1" ht="31.5">
      <c r="A2040" s="14"/>
      <c r="B2040" s="127" t="s">
        <v>20</v>
      </c>
      <c r="C2040" s="109" t="s">
        <v>983</v>
      </c>
      <c r="D2040" s="108" t="s">
        <v>11</v>
      </c>
      <c r="E2040" s="108" t="s">
        <v>334</v>
      </c>
      <c r="F2040" s="108" t="s">
        <v>989</v>
      </c>
      <c r="G2040" s="108" t="s">
        <v>21</v>
      </c>
      <c r="H2040" s="126">
        <f>SUM(H2041:H2042)</f>
        <v>0</v>
      </c>
      <c r="I2040" s="108">
        <v>8610010020</v>
      </c>
      <c r="J2040" s="108" t="str">
        <f t="shared" si="344"/>
        <v>8610010020</v>
      </c>
      <c r="K2040" s="132"/>
      <c r="L2040" s="17"/>
      <c r="M2040" s="20">
        <v>10467.790000000001</v>
      </c>
      <c r="N2040" s="20">
        <v>10467.790000000001</v>
      </c>
      <c r="O2040" s="20">
        <v>10467.790000000001</v>
      </c>
      <c r="P2040" s="20">
        <f>H2040-M2040</f>
        <v>-10467.790000000001</v>
      </c>
      <c r="Q2040" s="20" t="e">
        <f>#REF!-N2040</f>
        <v>#REF!</v>
      </c>
      <c r="R2040" s="20" t="e">
        <f>#REF!-O2040</f>
        <v>#REF!</v>
      </c>
      <c r="S2040" s="17" t="str">
        <f t="shared" si="345"/>
        <v>86 1 00 10020120</v>
      </c>
    </row>
    <row r="2041" spans="1:19" s="23" customFormat="1" ht="31.5">
      <c r="A2041" s="21"/>
      <c r="B2041" s="127" t="s">
        <v>40</v>
      </c>
      <c r="C2041" s="109" t="s">
        <v>983</v>
      </c>
      <c r="D2041" s="108" t="s">
        <v>11</v>
      </c>
      <c r="E2041" s="108" t="s">
        <v>334</v>
      </c>
      <c r="F2041" s="108" t="s">
        <v>989</v>
      </c>
      <c r="G2041" s="108" t="s">
        <v>41</v>
      </c>
      <c r="H2041" s="126"/>
      <c r="I2041" s="108">
        <v>8610010020</v>
      </c>
      <c r="J2041" s="108" t="str">
        <f t="shared" si="344"/>
        <v>8610010020</v>
      </c>
      <c r="K2041" s="304" t="str">
        <f t="shared" ref="K2041:K2042" si="355">C2041&amp;D2041&amp;E2041&amp;J2041&amp;G2041</f>
        <v>64301068610010020121</v>
      </c>
      <c r="L2041" s="24"/>
      <c r="M2041" s="22"/>
      <c r="N2041" s="22"/>
      <c r="O2041" s="22"/>
      <c r="P2041" s="22"/>
      <c r="Q2041" s="22"/>
      <c r="R2041" s="22"/>
      <c r="S2041" s="24"/>
    </row>
    <row r="2042" spans="1:19" s="23" customFormat="1" ht="63">
      <c r="A2042" s="21"/>
      <c r="B2042" s="127" t="s">
        <v>26</v>
      </c>
      <c r="C2042" s="109" t="s">
        <v>983</v>
      </c>
      <c r="D2042" s="108" t="s">
        <v>11</v>
      </c>
      <c r="E2042" s="108" t="s">
        <v>334</v>
      </c>
      <c r="F2042" s="108" t="s">
        <v>989</v>
      </c>
      <c r="G2042" s="108" t="s">
        <v>27</v>
      </c>
      <c r="H2042" s="126"/>
      <c r="I2042" s="108">
        <v>8610010020</v>
      </c>
      <c r="J2042" s="108" t="str">
        <f t="shared" si="344"/>
        <v>8610010020</v>
      </c>
      <c r="K2042" s="304" t="str">
        <f t="shared" si="355"/>
        <v>64301068610010020129</v>
      </c>
      <c r="L2042" s="24"/>
      <c r="M2042" s="22"/>
      <c r="N2042" s="22"/>
      <c r="O2042" s="22"/>
      <c r="P2042" s="22"/>
      <c r="Q2042" s="22"/>
      <c r="R2042" s="22"/>
      <c r="S2042" s="24"/>
    </row>
    <row r="2043" spans="1:19" s="16" customFormat="1" ht="15.75">
      <c r="A2043" s="14"/>
      <c r="B2043" s="129"/>
      <c r="C2043" s="109"/>
      <c r="D2043" s="108"/>
      <c r="E2043" s="108"/>
      <c r="F2043" s="108"/>
      <c r="G2043" s="108"/>
      <c r="H2043" s="126"/>
      <c r="I2043" s="108"/>
      <c r="J2043" s="108"/>
      <c r="K2043" s="17"/>
      <c r="L2043" s="17"/>
      <c r="M2043" s="20"/>
      <c r="N2043" s="20"/>
      <c r="O2043" s="20"/>
      <c r="P2043" s="20">
        <f>H2043-M2043</f>
        <v>0</v>
      </c>
      <c r="Q2043" s="20" t="e">
        <f>#REF!-N2043</f>
        <v>#REF!</v>
      </c>
      <c r="R2043" s="20" t="e">
        <f>#REF!-O2043</f>
        <v>#REF!</v>
      </c>
      <c r="S2043" s="17" t="str">
        <f t="shared" si="345"/>
        <v/>
      </c>
    </row>
    <row r="2044" spans="1:19">
      <c r="B2044" s="67" t="s">
        <v>990</v>
      </c>
      <c r="C2044" s="68"/>
      <c r="D2044" s="69"/>
      <c r="E2044" s="69"/>
      <c r="F2044" s="69"/>
      <c r="G2044" s="69"/>
      <c r="H2044" s="70">
        <f>H12+H69+H295+H411+H456+H498+H752+H970+H1201+H1279+H1388+H1485+H1609+H1949+H1824+H2024</f>
        <v>0</v>
      </c>
      <c r="I2044" s="69"/>
      <c r="J2044" s="69"/>
      <c r="K2044" s="292"/>
      <c r="M2044" s="25">
        <v>8029027.2400000012</v>
      </c>
      <c r="N2044" s="25">
        <v>8006432.7300000004</v>
      </c>
      <c r="O2044" s="25">
        <v>8125650.7400000002</v>
      </c>
      <c r="P2044" s="25">
        <f>H2044-M2044</f>
        <v>-8029027.2400000012</v>
      </c>
      <c r="Q2044" s="25" t="e">
        <f>#REF!-N2044</f>
        <v>#REF!</v>
      </c>
      <c r="R2044" s="25" t="e">
        <f>#REF!-O2044</f>
        <v>#REF!</v>
      </c>
      <c r="S2044" s="17"/>
    </row>
    <row r="2045" spans="1:19">
      <c r="B2045" s="67"/>
      <c r="C2045" s="68"/>
      <c r="D2045" s="69"/>
      <c r="E2045" s="69"/>
      <c r="F2045" s="69"/>
      <c r="G2045" s="69"/>
      <c r="H2045" s="70">
        <f>'[2]исх 31 03 2018'!F596</f>
        <v>8603639977.0699997</v>
      </c>
      <c r="I2045" s="69"/>
      <c r="J2045" s="69"/>
      <c r="K2045" s="292"/>
      <c r="M2045" s="70"/>
      <c r="N2045" s="70"/>
      <c r="O2045" s="18"/>
      <c r="P2045" s="70"/>
      <c r="Q2045" s="70"/>
      <c r="R2045" s="18"/>
      <c r="S2045" s="17"/>
    </row>
    <row r="2046" spans="1:19">
      <c r="B2046" s="93"/>
      <c r="C2046" s="94"/>
      <c r="D2046" s="90"/>
      <c r="E2046" s="90"/>
      <c r="F2046" s="90"/>
      <c r="G2046" s="90"/>
      <c r="H2046" s="77">
        <f>H2044-H2045</f>
        <v>-8603639977.0699997</v>
      </c>
      <c r="I2046" s="90"/>
      <c r="J2046" s="90"/>
      <c r="K2046" s="292"/>
      <c r="N2046" s="76"/>
      <c r="O2046" s="18"/>
      <c r="Q2046" s="76"/>
      <c r="R2046" s="18"/>
      <c r="S2046" s="17"/>
    </row>
    <row r="2047" spans="1:19">
      <c r="B2047" s="93"/>
      <c r="C2047" s="94"/>
      <c r="D2047" s="90"/>
      <c r="E2047" s="90"/>
      <c r="F2047" s="90"/>
      <c r="G2047" s="90"/>
      <c r="H2047" s="77"/>
      <c r="I2047" s="90"/>
      <c r="J2047" s="90"/>
      <c r="K2047" s="292"/>
      <c r="N2047" s="76"/>
      <c r="O2047" s="18"/>
      <c r="Q2047" s="76"/>
      <c r="R2047" s="18"/>
      <c r="S2047" s="17"/>
    </row>
    <row r="2048" spans="1:19" s="81" customFormat="1" ht="15.75">
      <c r="A2048" s="78"/>
      <c r="B2048" s="95"/>
      <c r="C2048" s="83"/>
      <c r="D2048" s="79"/>
      <c r="E2048" s="79"/>
      <c r="F2048" s="79"/>
      <c r="G2048" s="79"/>
      <c r="H2048" s="80"/>
      <c r="I2048" s="79"/>
      <c r="J2048" s="79"/>
      <c r="K2048" s="301"/>
      <c r="L2048" s="301"/>
      <c r="M2048" s="82"/>
      <c r="N2048" s="82"/>
      <c r="O2048" s="82"/>
      <c r="P2048" s="82"/>
      <c r="Q2048" s="82"/>
      <c r="R2048" s="82"/>
      <c r="S2048" s="17"/>
    </row>
    <row r="2049" spans="1:19" s="81" customFormat="1" ht="15.75">
      <c r="A2049" s="78"/>
      <c r="B2049" s="95"/>
      <c r="C2049" s="83"/>
      <c r="D2049" s="79"/>
      <c r="E2049" s="79"/>
      <c r="F2049" s="83"/>
      <c r="G2049" s="83"/>
      <c r="H2049" s="80"/>
      <c r="I2049" s="83"/>
      <c r="J2049" s="83"/>
      <c r="K2049" s="301"/>
      <c r="L2049" s="301"/>
      <c r="M2049" s="82"/>
      <c r="N2049" s="82"/>
      <c r="O2049" s="82"/>
      <c r="P2049" s="82"/>
      <c r="Q2049" s="82"/>
      <c r="R2049" s="82"/>
      <c r="S2049" s="17"/>
    </row>
    <row r="2050" spans="1:19" s="81" customFormat="1" ht="15.75">
      <c r="A2050" s="78"/>
      <c r="B2050" s="95"/>
      <c r="C2050" s="83"/>
      <c r="D2050" s="79"/>
      <c r="E2050" s="79"/>
      <c r="F2050" s="79"/>
      <c r="G2050" s="79"/>
      <c r="H2050" s="80"/>
      <c r="I2050" s="79"/>
      <c r="J2050" s="79"/>
      <c r="K2050" s="301"/>
      <c r="L2050" s="301"/>
      <c r="M2050" s="82"/>
      <c r="N2050" s="82"/>
      <c r="O2050" s="82"/>
      <c r="P2050" s="82"/>
      <c r="Q2050" s="82"/>
      <c r="R2050" s="82"/>
      <c r="S2050" s="17"/>
    </row>
    <row r="2051" spans="1:19" s="81" customFormat="1" ht="15.75">
      <c r="A2051" s="78"/>
      <c r="B2051" s="95"/>
      <c r="C2051" s="83"/>
      <c r="D2051" s="79"/>
      <c r="E2051" s="79"/>
      <c r="F2051" s="79"/>
      <c r="G2051" s="79"/>
      <c r="H2051" s="80"/>
      <c r="I2051" s="79"/>
      <c r="J2051" s="79"/>
      <c r="K2051" s="301"/>
      <c r="L2051" s="301"/>
      <c r="M2051" s="82"/>
      <c r="N2051" s="82"/>
      <c r="O2051" s="82"/>
      <c r="P2051" s="82"/>
      <c r="Q2051" s="82"/>
      <c r="R2051" s="82"/>
      <c r="S2051" s="17"/>
    </row>
    <row r="2052" spans="1:19" s="81" customFormat="1" ht="15.75">
      <c r="A2052" s="78"/>
      <c r="B2052" s="95"/>
      <c r="C2052" s="83"/>
      <c r="D2052" s="79"/>
      <c r="E2052" s="79"/>
      <c r="F2052" s="79"/>
      <c r="G2052" s="79"/>
      <c r="H2052" s="80"/>
      <c r="I2052" s="79"/>
      <c r="J2052" s="79"/>
      <c r="K2052" s="301"/>
      <c r="L2052" s="301"/>
      <c r="M2052" s="82"/>
      <c r="N2052" s="82"/>
      <c r="O2052" s="82"/>
      <c r="P2052" s="82"/>
      <c r="Q2052" s="82"/>
      <c r="R2052" s="82"/>
      <c r="S2052" s="17"/>
    </row>
    <row r="2053" spans="1:19" s="81" customFormat="1" ht="15.75">
      <c r="A2053" s="78"/>
      <c r="B2053" s="95"/>
      <c r="C2053" s="83"/>
      <c r="D2053" s="79"/>
      <c r="E2053" s="79"/>
      <c r="F2053" s="79"/>
      <c r="G2053" s="79"/>
      <c r="H2053" s="80"/>
      <c r="I2053" s="79"/>
      <c r="J2053" s="79"/>
      <c r="K2053" s="301"/>
      <c r="L2053" s="301"/>
      <c r="M2053" s="82"/>
      <c r="N2053" s="82"/>
      <c r="O2053" s="82"/>
      <c r="P2053" s="82"/>
      <c r="Q2053" s="82"/>
      <c r="R2053" s="82"/>
      <c r="S2053" s="17"/>
    </row>
    <row r="2054" spans="1:19" s="81" customFormat="1" ht="15.75">
      <c r="A2054" s="78"/>
      <c r="B2054" s="95"/>
      <c r="C2054" s="83"/>
      <c r="D2054" s="79"/>
      <c r="E2054" s="79"/>
      <c r="F2054" s="79"/>
      <c r="G2054" s="79"/>
      <c r="H2054" s="80"/>
      <c r="I2054" s="79"/>
      <c r="J2054" s="79"/>
      <c r="K2054" s="301"/>
      <c r="L2054" s="301"/>
      <c r="M2054" s="82"/>
      <c r="N2054" s="82"/>
      <c r="O2054" s="82"/>
      <c r="P2054" s="82"/>
      <c r="Q2054" s="82"/>
      <c r="R2054" s="82"/>
      <c r="S2054" s="17"/>
    </row>
    <row r="2055" spans="1:19">
      <c r="B2055" s="93"/>
      <c r="C2055" s="94"/>
      <c r="D2055" s="90"/>
      <c r="E2055" s="90"/>
      <c r="F2055" s="90"/>
      <c r="G2055" s="90"/>
      <c r="H2055" s="77"/>
      <c r="I2055" s="90"/>
      <c r="J2055" s="90"/>
      <c r="K2055" s="292"/>
      <c r="S2055" s="17"/>
    </row>
    <row r="2056" spans="1:19">
      <c r="B2056" s="93"/>
      <c r="C2056" s="94"/>
      <c r="D2056" s="90"/>
      <c r="E2056" s="90"/>
      <c r="F2056" s="90"/>
      <c r="G2056" s="90"/>
      <c r="H2056" s="77"/>
      <c r="I2056" s="90"/>
      <c r="J2056" s="90"/>
      <c r="K2056" s="292"/>
      <c r="S2056" s="17"/>
    </row>
    <row r="2057" spans="1:19" s="86" customFormat="1" ht="15.75">
      <c r="A2057" s="85"/>
      <c r="B2057" s="96"/>
      <c r="C2057" s="87"/>
      <c r="D2057" s="87"/>
      <c r="E2057" s="87"/>
      <c r="F2057" s="165"/>
      <c r="G2057" s="88"/>
      <c r="H2057" s="89"/>
      <c r="I2057" s="165"/>
      <c r="J2057" s="165"/>
      <c r="K2057" s="302"/>
      <c r="L2057" s="302"/>
      <c r="M2057" s="89"/>
      <c r="N2057" s="87"/>
      <c r="P2057" s="89"/>
      <c r="Q2057" s="87"/>
      <c r="S2057" s="17"/>
    </row>
    <row r="2058" spans="1:19">
      <c r="B2058" s="24"/>
      <c r="C2058" s="23"/>
      <c r="D2058" s="23"/>
      <c r="E2058" s="23"/>
      <c r="F2058" s="94"/>
      <c r="G2058" s="90"/>
      <c r="H2058" s="89"/>
      <c r="I2058" s="94"/>
      <c r="J2058" s="94"/>
      <c r="K2058" s="292"/>
      <c r="M2058" s="89"/>
      <c r="N2058" s="23"/>
      <c r="O2058" s="48"/>
      <c r="P2058" s="89"/>
      <c r="Q2058" s="23"/>
      <c r="R2058" s="48"/>
      <c r="S2058" s="17"/>
    </row>
    <row r="2059" spans="1:19">
      <c r="B2059" s="24"/>
      <c r="C2059" s="23"/>
      <c r="D2059" s="23"/>
      <c r="E2059" s="23"/>
      <c r="F2059" s="94"/>
      <c r="G2059" s="90"/>
      <c r="H2059" s="89"/>
      <c r="I2059" s="94"/>
      <c r="J2059" s="94"/>
      <c r="K2059" s="292"/>
      <c r="M2059" s="89"/>
      <c r="N2059" s="23"/>
      <c r="O2059" s="48"/>
      <c r="P2059" s="89"/>
      <c r="Q2059" s="23"/>
      <c r="R2059" s="48"/>
      <c r="S2059" s="17"/>
    </row>
    <row r="2060" spans="1:19">
      <c r="B2060" s="24"/>
      <c r="C2060" s="23"/>
      <c r="D2060" s="23"/>
      <c r="E2060" s="23"/>
      <c r="F2060" s="90"/>
      <c r="G2060" s="90"/>
      <c r="H2060" s="89"/>
      <c r="I2060" s="90"/>
      <c r="J2060" s="90"/>
      <c r="K2060" s="292"/>
      <c r="M2060" s="89"/>
      <c r="N2060" s="23"/>
      <c r="O2060" s="48"/>
      <c r="P2060" s="89"/>
      <c r="Q2060" s="23"/>
      <c r="R2060" s="48"/>
      <c r="S2060" s="17"/>
    </row>
    <row r="2061" spans="1:19">
      <c r="B2061" s="93"/>
      <c r="C2061" s="94"/>
      <c r="D2061" s="90"/>
      <c r="E2061" s="90"/>
      <c r="F2061" s="94"/>
      <c r="G2061" s="90"/>
      <c r="H2061" s="89"/>
      <c r="I2061" s="94"/>
      <c r="J2061" s="94"/>
      <c r="K2061" s="292"/>
      <c r="M2061" s="89"/>
      <c r="N2061" s="77"/>
      <c r="P2061" s="89"/>
      <c r="Q2061" s="77"/>
      <c r="S2061" s="17"/>
    </row>
    <row r="2062" spans="1:19">
      <c r="B2062" s="93"/>
      <c r="C2062" s="94"/>
      <c r="D2062" s="90"/>
      <c r="E2062" s="90"/>
      <c r="F2062" s="94"/>
      <c r="G2062" s="90"/>
      <c r="H2062" s="89"/>
      <c r="I2062" s="94"/>
      <c r="J2062" s="94"/>
      <c r="K2062" s="292"/>
      <c r="M2062" s="89"/>
      <c r="N2062" s="77"/>
      <c r="P2062" s="89"/>
      <c r="Q2062" s="77"/>
      <c r="S2062" s="17"/>
    </row>
    <row r="2063" spans="1:19">
      <c r="B2063" s="93"/>
      <c r="C2063" s="94"/>
      <c r="D2063" s="90"/>
      <c r="E2063" s="90"/>
      <c r="F2063" s="94"/>
      <c r="G2063" s="90"/>
      <c r="H2063" s="89"/>
      <c r="I2063" s="94"/>
      <c r="J2063" s="94"/>
      <c r="K2063" s="292"/>
      <c r="M2063" s="89"/>
      <c r="N2063" s="77"/>
      <c r="P2063" s="89"/>
      <c r="Q2063" s="77"/>
      <c r="S2063" s="17"/>
    </row>
    <row r="2064" spans="1:19">
      <c r="B2064" s="93"/>
      <c r="C2064" s="94"/>
      <c r="D2064" s="90"/>
      <c r="E2064" s="90"/>
      <c r="F2064" s="90"/>
      <c r="G2064" s="90"/>
      <c r="H2064" s="77"/>
      <c r="I2064" s="90"/>
      <c r="J2064" s="90"/>
      <c r="K2064" s="292"/>
      <c r="M2064" s="77"/>
      <c r="N2064" s="77"/>
      <c r="P2064" s="77"/>
      <c r="Q2064" s="77"/>
      <c r="S2064" s="17"/>
    </row>
    <row r="2065" spans="2:19">
      <c r="B2065" s="93"/>
      <c r="C2065" s="94"/>
      <c r="D2065" s="90"/>
      <c r="E2065" s="90"/>
      <c r="F2065" s="90"/>
      <c r="G2065" s="90"/>
      <c r="H2065" s="77"/>
      <c r="I2065" s="90"/>
      <c r="J2065" s="90"/>
      <c r="K2065" s="292"/>
      <c r="S2065" s="17" t="str">
        <f t="shared" si="345"/>
        <v/>
      </c>
    </row>
    <row r="2066" spans="2:19">
      <c r="B2066" s="93"/>
      <c r="C2066" s="94"/>
      <c r="D2066" s="90"/>
      <c r="E2066" s="90"/>
      <c r="F2066" s="90"/>
      <c r="G2066" s="90"/>
      <c r="H2066" s="77"/>
      <c r="I2066" s="90"/>
      <c r="J2066" s="90"/>
      <c r="K2066" s="292"/>
      <c r="M2066" s="77"/>
      <c r="N2066" s="77"/>
      <c r="O2066" s="91"/>
      <c r="P2066" s="77"/>
      <c r="Q2066" s="77"/>
      <c r="R2066" s="91"/>
      <c r="S2066" s="17" t="str">
        <f t="shared" si="345"/>
        <v/>
      </c>
    </row>
    <row r="2067" spans="2:19">
      <c r="B2067" s="93"/>
      <c r="C2067" s="94"/>
      <c r="D2067" s="90"/>
      <c r="E2067" s="90"/>
      <c r="F2067" s="90"/>
      <c r="G2067" s="90"/>
      <c r="H2067" s="77"/>
      <c r="I2067" s="90"/>
      <c r="J2067" s="90"/>
      <c r="K2067" s="292"/>
      <c r="M2067" s="77"/>
      <c r="N2067" s="77"/>
      <c r="O2067" s="91"/>
      <c r="P2067" s="77"/>
      <c r="Q2067" s="77"/>
      <c r="R2067" s="91"/>
      <c r="S2067" s="17" t="str">
        <f t="shared" si="345"/>
        <v/>
      </c>
    </row>
    <row r="2068" spans="2:19">
      <c r="B2068" s="93"/>
      <c r="C2068" s="94"/>
      <c r="D2068" s="90"/>
      <c r="E2068" s="90"/>
      <c r="F2068" s="90"/>
      <c r="G2068" s="90"/>
      <c r="H2068" s="77"/>
      <c r="I2068" s="90"/>
      <c r="J2068" s="90"/>
      <c r="K2068" s="292"/>
      <c r="M2068" s="77"/>
      <c r="N2068" s="77"/>
      <c r="O2068" s="91"/>
      <c r="P2068" s="77"/>
      <c r="Q2068" s="77"/>
      <c r="R2068" s="91"/>
      <c r="S2068" s="17" t="str">
        <f t="shared" si="345"/>
        <v/>
      </c>
    </row>
    <row r="2069" spans="2:19">
      <c r="B2069" s="93"/>
      <c r="C2069" s="94"/>
      <c r="D2069" s="90"/>
      <c r="E2069" s="90"/>
      <c r="F2069" s="90"/>
      <c r="G2069" s="90"/>
      <c r="H2069" s="76"/>
      <c r="I2069" s="90"/>
      <c r="J2069" s="90"/>
      <c r="K2069" s="292"/>
      <c r="M2069" s="76"/>
      <c r="N2069" s="77"/>
      <c r="O2069" s="77"/>
      <c r="P2069" s="76"/>
      <c r="Q2069" s="77"/>
      <c r="R2069" s="77"/>
      <c r="S2069" s="17" t="str">
        <f t="shared" si="345"/>
        <v/>
      </c>
    </row>
    <row r="2070" spans="2:19">
      <c r="B2070" s="93"/>
      <c r="C2070" s="94"/>
      <c r="D2070" s="90"/>
      <c r="E2070" s="90"/>
      <c r="F2070" s="90"/>
      <c r="G2070" s="90"/>
      <c r="H2070" s="76"/>
      <c r="I2070" s="90"/>
      <c r="J2070" s="90"/>
      <c r="K2070" s="292"/>
      <c r="M2070" s="76"/>
      <c r="N2070" s="77"/>
      <c r="O2070" s="77"/>
      <c r="P2070" s="76"/>
      <c r="Q2070" s="77"/>
      <c r="R2070" s="77"/>
      <c r="S2070" s="17" t="str">
        <f t="shared" si="345"/>
        <v/>
      </c>
    </row>
    <row r="2071" spans="2:19">
      <c r="B2071" s="93"/>
      <c r="C2071" s="94"/>
      <c r="D2071" s="90"/>
      <c r="E2071" s="90"/>
      <c r="F2071" s="90"/>
      <c r="G2071" s="90"/>
      <c r="H2071" s="76"/>
      <c r="I2071" s="90"/>
      <c r="J2071" s="90"/>
      <c r="K2071" s="292"/>
      <c r="M2071" s="76"/>
      <c r="N2071" s="77"/>
      <c r="O2071" s="77"/>
      <c r="P2071" s="76"/>
      <c r="Q2071" s="77"/>
      <c r="R2071" s="77"/>
      <c r="S2071" s="17" t="str">
        <f t="shared" si="345"/>
        <v/>
      </c>
    </row>
    <row r="2072" spans="2:19">
      <c r="B2072" s="93"/>
      <c r="C2072" s="94"/>
      <c r="D2072" s="90"/>
      <c r="E2072" s="90"/>
      <c r="F2072" s="90"/>
      <c r="G2072" s="90"/>
      <c r="H2072" s="76"/>
      <c r="I2072" s="90"/>
      <c r="J2072" s="90"/>
      <c r="K2072" s="292"/>
      <c r="M2072" s="76"/>
      <c r="N2072" s="77"/>
      <c r="O2072" s="77"/>
      <c r="P2072" s="76"/>
      <c r="Q2072" s="77"/>
      <c r="R2072" s="77"/>
      <c r="S2072" s="17" t="str">
        <f t="shared" ref="S2072:S2122" si="356">CONCATENATE(F2072,G2072)</f>
        <v/>
      </c>
    </row>
    <row r="2073" spans="2:19">
      <c r="B2073" s="93"/>
      <c r="C2073" s="94"/>
      <c r="D2073" s="90"/>
      <c r="E2073" s="90"/>
      <c r="F2073" s="90"/>
      <c r="G2073" s="90"/>
      <c r="H2073" s="77"/>
      <c r="I2073" s="90"/>
      <c r="J2073" s="90"/>
      <c r="K2073" s="292"/>
      <c r="M2073" s="77"/>
      <c r="N2073" s="77"/>
      <c r="O2073" s="91"/>
      <c r="P2073" s="77"/>
      <c r="Q2073" s="77"/>
      <c r="R2073" s="91"/>
      <c r="S2073" s="17" t="str">
        <f t="shared" si="356"/>
        <v/>
      </c>
    </row>
    <row r="2074" spans="2:19">
      <c r="B2074" s="93"/>
      <c r="C2074" s="94"/>
      <c r="D2074" s="90"/>
      <c r="E2074" s="90"/>
      <c r="F2074" s="90"/>
      <c r="G2074" s="90"/>
      <c r="H2074" s="77"/>
      <c r="I2074" s="90"/>
      <c r="J2074" s="90"/>
      <c r="K2074" s="292"/>
      <c r="M2074" s="77"/>
      <c r="N2074" s="77"/>
      <c r="O2074" s="91"/>
      <c r="P2074" s="77"/>
      <c r="Q2074" s="77"/>
      <c r="R2074" s="91"/>
      <c r="S2074" s="17" t="str">
        <f t="shared" si="356"/>
        <v/>
      </c>
    </row>
    <row r="2075" spans="2:19">
      <c r="B2075" s="93"/>
      <c r="C2075" s="94"/>
      <c r="D2075" s="90"/>
      <c r="E2075" s="90"/>
      <c r="F2075" s="90"/>
      <c r="G2075" s="90"/>
      <c r="H2075" s="77"/>
      <c r="I2075" s="90"/>
      <c r="J2075" s="90"/>
      <c r="K2075" s="292"/>
      <c r="M2075" s="77"/>
      <c r="N2075" s="77"/>
      <c r="O2075" s="91"/>
      <c r="P2075" s="77"/>
      <c r="Q2075" s="77"/>
      <c r="R2075" s="91"/>
      <c r="S2075" s="17" t="str">
        <f t="shared" si="356"/>
        <v/>
      </c>
    </row>
    <row r="2076" spans="2:19">
      <c r="B2076" s="93"/>
      <c r="C2076" s="94"/>
      <c r="D2076" s="90"/>
      <c r="E2076" s="90"/>
      <c r="F2076" s="90"/>
      <c r="G2076" s="90"/>
      <c r="H2076" s="77"/>
      <c r="I2076" s="90"/>
      <c r="J2076" s="90"/>
      <c r="K2076" s="292"/>
      <c r="M2076" s="77"/>
      <c r="N2076" s="77"/>
      <c r="O2076" s="91"/>
      <c r="P2076" s="77"/>
      <c r="Q2076" s="77"/>
      <c r="R2076" s="91"/>
      <c r="S2076" s="17" t="str">
        <f t="shared" si="356"/>
        <v/>
      </c>
    </row>
    <row r="2077" spans="2:19">
      <c r="B2077" s="93"/>
      <c r="C2077" s="94"/>
      <c r="D2077" s="90"/>
      <c r="E2077" s="90"/>
      <c r="F2077" s="90"/>
      <c r="G2077" s="90"/>
      <c r="H2077" s="77"/>
      <c r="I2077" s="90"/>
      <c r="J2077" s="90"/>
      <c r="K2077" s="292"/>
      <c r="M2077" s="77"/>
      <c r="N2077" s="77"/>
      <c r="O2077" s="91"/>
      <c r="P2077" s="77"/>
      <c r="Q2077" s="77"/>
      <c r="R2077" s="91"/>
      <c r="S2077" s="17" t="str">
        <f t="shared" si="356"/>
        <v/>
      </c>
    </row>
    <row r="2078" spans="2:19">
      <c r="B2078" s="93"/>
      <c r="C2078" s="94"/>
      <c r="D2078" s="90"/>
      <c r="E2078" s="90"/>
      <c r="F2078" s="90"/>
      <c r="G2078" s="90"/>
      <c r="H2078" s="77"/>
      <c r="I2078" s="90"/>
      <c r="J2078" s="90"/>
      <c r="K2078" s="292"/>
      <c r="S2078" s="17" t="str">
        <f t="shared" si="356"/>
        <v/>
      </c>
    </row>
    <row r="2079" spans="2:19">
      <c r="B2079" s="93"/>
      <c r="C2079" s="94"/>
      <c r="D2079" s="90"/>
      <c r="E2079" s="90"/>
      <c r="F2079" s="90"/>
      <c r="G2079" s="90"/>
      <c r="H2079" s="77"/>
      <c r="I2079" s="90"/>
      <c r="J2079" s="90"/>
      <c r="K2079" s="292"/>
      <c r="S2079" s="17" t="str">
        <f t="shared" si="356"/>
        <v/>
      </c>
    </row>
    <row r="2080" spans="2:19">
      <c r="B2080" s="93"/>
      <c r="C2080" s="94"/>
      <c r="D2080" s="90"/>
      <c r="E2080" s="90"/>
      <c r="F2080" s="90"/>
      <c r="G2080" s="90"/>
      <c r="H2080" s="77"/>
      <c r="I2080" s="90"/>
      <c r="J2080" s="90"/>
      <c r="K2080" s="292"/>
      <c r="S2080" s="17" t="str">
        <f t="shared" si="356"/>
        <v/>
      </c>
    </row>
    <row r="2081" spans="2:19">
      <c r="B2081" s="93"/>
      <c r="C2081" s="94"/>
      <c r="D2081" s="90"/>
      <c r="E2081" s="90"/>
      <c r="F2081" s="90"/>
      <c r="G2081" s="90"/>
      <c r="H2081" s="77"/>
      <c r="I2081" s="90"/>
      <c r="J2081" s="90"/>
      <c r="K2081" s="292"/>
      <c r="S2081" s="17" t="str">
        <f t="shared" si="356"/>
        <v/>
      </c>
    </row>
    <row r="2082" spans="2:19">
      <c r="B2082" s="93"/>
      <c r="C2082" s="94"/>
      <c r="D2082" s="90"/>
      <c r="E2082" s="90"/>
      <c r="F2082" s="90"/>
      <c r="G2082" s="90"/>
      <c r="H2082" s="77"/>
      <c r="I2082" s="90"/>
      <c r="J2082" s="90"/>
      <c r="K2082" s="292"/>
      <c r="S2082" s="17" t="str">
        <f t="shared" si="356"/>
        <v/>
      </c>
    </row>
    <row r="2083" spans="2:19">
      <c r="B2083" s="93"/>
      <c r="C2083" s="94"/>
      <c r="D2083" s="90"/>
      <c r="E2083" s="90"/>
      <c r="F2083" s="90"/>
      <c r="G2083" s="90"/>
      <c r="H2083" s="77"/>
      <c r="I2083" s="90"/>
      <c r="J2083" s="90"/>
      <c r="K2083" s="292"/>
      <c r="S2083" s="17" t="str">
        <f t="shared" si="356"/>
        <v/>
      </c>
    </row>
    <row r="2084" spans="2:19">
      <c r="B2084" s="93"/>
      <c r="C2084" s="94"/>
      <c r="D2084" s="90"/>
      <c r="E2084" s="90"/>
      <c r="F2084" s="90"/>
      <c r="G2084" s="90"/>
      <c r="H2084" s="77"/>
      <c r="I2084" s="90"/>
      <c r="J2084" s="90"/>
      <c r="K2084" s="292"/>
      <c r="S2084" s="17" t="str">
        <f t="shared" si="356"/>
        <v/>
      </c>
    </row>
    <row r="2085" spans="2:19">
      <c r="B2085" s="93"/>
      <c r="C2085" s="94"/>
      <c r="D2085" s="90"/>
      <c r="E2085" s="90"/>
      <c r="F2085" s="90"/>
      <c r="G2085" s="90"/>
      <c r="H2085" s="77"/>
      <c r="I2085" s="90"/>
      <c r="J2085" s="90"/>
      <c r="K2085" s="292"/>
      <c r="S2085" s="17" t="str">
        <f t="shared" si="356"/>
        <v/>
      </c>
    </row>
    <row r="2086" spans="2:19">
      <c r="B2086" s="93"/>
      <c r="C2086" s="94"/>
      <c r="D2086" s="90"/>
      <c r="E2086" s="90"/>
      <c r="F2086" s="90"/>
      <c r="G2086" s="90"/>
      <c r="H2086" s="77"/>
      <c r="I2086" s="90"/>
      <c r="J2086" s="90"/>
      <c r="K2086" s="292"/>
      <c r="S2086" s="17" t="str">
        <f t="shared" si="356"/>
        <v/>
      </c>
    </row>
    <row r="2087" spans="2:19">
      <c r="B2087" s="93"/>
      <c r="C2087" s="94"/>
      <c r="D2087" s="90"/>
      <c r="E2087" s="90"/>
      <c r="F2087" s="90"/>
      <c r="G2087" s="90"/>
      <c r="H2087" s="77"/>
      <c r="I2087" s="90"/>
      <c r="J2087" s="90"/>
      <c r="K2087" s="292"/>
      <c r="S2087" s="17" t="str">
        <f t="shared" si="356"/>
        <v/>
      </c>
    </row>
    <row r="2088" spans="2:19">
      <c r="B2088" s="93"/>
      <c r="C2088" s="94"/>
      <c r="D2088" s="90"/>
      <c r="E2088" s="90"/>
      <c r="F2088" s="90"/>
      <c r="G2088" s="90"/>
      <c r="H2088" s="77"/>
      <c r="I2088" s="90"/>
      <c r="J2088" s="90"/>
      <c r="K2088" s="292"/>
      <c r="S2088" s="17" t="str">
        <f t="shared" si="356"/>
        <v/>
      </c>
    </row>
    <row r="2089" spans="2:19">
      <c r="B2089" s="93"/>
      <c r="C2089" s="94"/>
      <c r="D2089" s="90"/>
      <c r="E2089" s="90"/>
      <c r="F2089" s="90"/>
      <c r="G2089" s="90"/>
      <c r="H2089" s="77"/>
      <c r="I2089" s="90"/>
      <c r="J2089" s="90"/>
      <c r="K2089" s="292"/>
      <c r="S2089" s="17" t="str">
        <f t="shared" si="356"/>
        <v/>
      </c>
    </row>
    <row r="2090" spans="2:19">
      <c r="B2090" s="93"/>
      <c r="C2090" s="94"/>
      <c r="D2090" s="90"/>
      <c r="E2090" s="90"/>
      <c r="F2090" s="90"/>
      <c r="G2090" s="90"/>
      <c r="H2090" s="77"/>
      <c r="I2090" s="90"/>
      <c r="J2090" s="90"/>
      <c r="K2090" s="292"/>
      <c r="S2090" s="17" t="str">
        <f t="shared" si="356"/>
        <v/>
      </c>
    </row>
    <row r="2091" spans="2:19">
      <c r="B2091" s="93"/>
      <c r="C2091" s="94"/>
      <c r="D2091" s="90"/>
      <c r="E2091" s="90"/>
      <c r="F2091" s="90"/>
      <c r="G2091" s="90"/>
      <c r="H2091" s="77"/>
      <c r="I2091" s="90"/>
      <c r="J2091" s="90"/>
      <c r="K2091" s="292"/>
      <c r="S2091" s="17" t="str">
        <f t="shared" si="356"/>
        <v/>
      </c>
    </row>
    <row r="2092" spans="2:19">
      <c r="B2092" s="93"/>
      <c r="C2092" s="94"/>
      <c r="D2092" s="90"/>
      <c r="E2092" s="90"/>
      <c r="F2092" s="90"/>
      <c r="G2092" s="90"/>
      <c r="H2092" s="77"/>
      <c r="I2092" s="90"/>
      <c r="J2092" s="90"/>
      <c r="K2092" s="292"/>
      <c r="S2092" s="17" t="str">
        <f t="shared" si="356"/>
        <v/>
      </c>
    </row>
    <row r="2093" spans="2:19">
      <c r="B2093" s="93"/>
      <c r="C2093" s="94"/>
      <c r="D2093" s="90"/>
      <c r="E2093" s="90"/>
      <c r="F2093" s="90"/>
      <c r="G2093" s="90"/>
      <c r="H2093" s="77"/>
      <c r="I2093" s="90"/>
      <c r="J2093" s="90"/>
      <c r="K2093" s="292"/>
      <c r="S2093" s="17" t="str">
        <f t="shared" si="356"/>
        <v/>
      </c>
    </row>
    <row r="2094" spans="2:19">
      <c r="B2094" s="93"/>
      <c r="C2094" s="94"/>
      <c r="D2094" s="90"/>
      <c r="E2094" s="90"/>
      <c r="F2094" s="90"/>
      <c r="G2094" s="90"/>
      <c r="H2094" s="77"/>
      <c r="I2094" s="90"/>
      <c r="J2094" s="90"/>
      <c r="K2094" s="292"/>
      <c r="S2094" s="17" t="str">
        <f t="shared" si="356"/>
        <v/>
      </c>
    </row>
    <row r="2095" spans="2:19">
      <c r="B2095" s="93"/>
      <c r="C2095" s="94"/>
      <c r="D2095" s="90"/>
      <c r="E2095" s="90"/>
      <c r="F2095" s="90"/>
      <c r="G2095" s="90"/>
      <c r="H2095" s="77"/>
      <c r="I2095" s="90"/>
      <c r="J2095" s="90"/>
      <c r="K2095" s="292"/>
      <c r="S2095" s="17" t="str">
        <f t="shared" si="356"/>
        <v/>
      </c>
    </row>
    <row r="2096" spans="2:19">
      <c r="B2096" s="93"/>
      <c r="C2096" s="94"/>
      <c r="D2096" s="90"/>
      <c r="E2096" s="90"/>
      <c r="F2096" s="90"/>
      <c r="G2096" s="90"/>
      <c r="H2096" s="77"/>
      <c r="I2096" s="90"/>
      <c r="J2096" s="90"/>
      <c r="K2096" s="292"/>
      <c r="S2096" s="17" t="str">
        <f t="shared" si="356"/>
        <v/>
      </c>
    </row>
    <row r="2097" spans="2:19">
      <c r="B2097" s="93"/>
      <c r="C2097" s="94"/>
      <c r="D2097" s="90"/>
      <c r="E2097" s="90"/>
      <c r="F2097" s="90"/>
      <c r="G2097" s="90"/>
      <c r="H2097" s="77"/>
      <c r="I2097" s="90"/>
      <c r="J2097" s="90"/>
      <c r="K2097" s="292"/>
      <c r="S2097" s="17" t="str">
        <f t="shared" si="356"/>
        <v/>
      </c>
    </row>
    <row r="2098" spans="2:19">
      <c r="B2098" s="93"/>
      <c r="C2098" s="94"/>
      <c r="D2098" s="90"/>
      <c r="E2098" s="90"/>
      <c r="F2098" s="90"/>
      <c r="G2098" s="90"/>
      <c r="H2098" s="77"/>
      <c r="I2098" s="90"/>
      <c r="J2098" s="90"/>
      <c r="K2098" s="292"/>
      <c r="S2098" s="17" t="str">
        <f t="shared" si="356"/>
        <v/>
      </c>
    </row>
    <row r="2099" spans="2:19">
      <c r="B2099" s="93"/>
      <c r="C2099" s="94"/>
      <c r="D2099" s="90"/>
      <c r="E2099" s="90"/>
      <c r="F2099" s="90"/>
      <c r="G2099" s="90"/>
      <c r="H2099" s="77"/>
      <c r="I2099" s="90"/>
      <c r="J2099" s="90"/>
      <c r="K2099" s="292"/>
      <c r="S2099" s="17" t="str">
        <f t="shared" si="356"/>
        <v/>
      </c>
    </row>
    <row r="2100" spans="2:19">
      <c r="B2100" s="93"/>
      <c r="C2100" s="94"/>
      <c r="D2100" s="90"/>
      <c r="E2100" s="90"/>
      <c r="F2100" s="90"/>
      <c r="G2100" s="90"/>
      <c r="H2100" s="77"/>
      <c r="I2100" s="90"/>
      <c r="J2100" s="90"/>
      <c r="K2100" s="292"/>
      <c r="S2100" s="17" t="str">
        <f t="shared" si="356"/>
        <v/>
      </c>
    </row>
    <row r="2101" spans="2:19">
      <c r="B2101" s="93"/>
      <c r="C2101" s="94"/>
      <c r="D2101" s="90"/>
      <c r="E2101" s="90"/>
      <c r="F2101" s="90"/>
      <c r="G2101" s="90"/>
      <c r="H2101" s="77"/>
      <c r="I2101" s="90"/>
      <c r="J2101" s="90"/>
      <c r="K2101" s="292"/>
      <c r="S2101" s="17" t="str">
        <f t="shared" si="356"/>
        <v/>
      </c>
    </row>
    <row r="2102" spans="2:19">
      <c r="B2102" s="93"/>
      <c r="C2102" s="94"/>
      <c r="D2102" s="90"/>
      <c r="E2102" s="90"/>
      <c r="F2102" s="90"/>
      <c r="G2102" s="90"/>
      <c r="H2102" s="77"/>
      <c r="I2102" s="90"/>
      <c r="J2102" s="90"/>
      <c r="K2102" s="292"/>
      <c r="S2102" s="17" t="str">
        <f t="shared" si="356"/>
        <v/>
      </c>
    </row>
    <row r="2103" spans="2:19">
      <c r="B2103" s="93"/>
      <c r="C2103" s="94"/>
      <c r="D2103" s="90"/>
      <c r="E2103" s="90"/>
      <c r="F2103" s="90"/>
      <c r="G2103" s="90"/>
      <c r="H2103" s="77"/>
      <c r="I2103" s="90"/>
      <c r="J2103" s="90"/>
      <c r="K2103" s="292"/>
      <c r="S2103" s="17" t="str">
        <f t="shared" si="356"/>
        <v/>
      </c>
    </row>
    <row r="2104" spans="2:19">
      <c r="B2104" s="93"/>
      <c r="C2104" s="94"/>
      <c r="D2104" s="90"/>
      <c r="E2104" s="90"/>
      <c r="F2104" s="90"/>
      <c r="G2104" s="90"/>
      <c r="H2104" s="77"/>
      <c r="I2104" s="90"/>
      <c r="J2104" s="90"/>
      <c r="K2104" s="292"/>
      <c r="S2104" s="17" t="str">
        <f t="shared" si="356"/>
        <v/>
      </c>
    </row>
    <row r="2105" spans="2:19">
      <c r="B2105" s="93"/>
      <c r="C2105" s="94"/>
      <c r="D2105" s="90"/>
      <c r="E2105" s="90"/>
      <c r="F2105" s="90"/>
      <c r="G2105" s="90"/>
      <c r="H2105" s="77"/>
      <c r="I2105" s="90"/>
      <c r="J2105" s="90"/>
      <c r="K2105" s="292"/>
      <c r="S2105" s="17" t="str">
        <f t="shared" si="356"/>
        <v/>
      </c>
    </row>
    <row r="2106" spans="2:19">
      <c r="B2106" s="93"/>
      <c r="C2106" s="94"/>
      <c r="D2106" s="90"/>
      <c r="E2106" s="90"/>
      <c r="F2106" s="90"/>
      <c r="G2106" s="90"/>
      <c r="H2106" s="77"/>
      <c r="I2106" s="90"/>
      <c r="J2106" s="90"/>
      <c r="K2106" s="292"/>
      <c r="S2106" s="17" t="str">
        <f t="shared" si="356"/>
        <v/>
      </c>
    </row>
    <row r="2107" spans="2:19">
      <c r="B2107" s="93"/>
      <c r="C2107" s="94"/>
      <c r="D2107" s="90"/>
      <c r="E2107" s="90"/>
      <c r="F2107" s="90"/>
      <c r="G2107" s="90"/>
      <c r="H2107" s="77"/>
      <c r="I2107" s="90"/>
      <c r="J2107" s="90"/>
      <c r="K2107" s="292"/>
      <c r="S2107" s="17" t="str">
        <f t="shared" si="356"/>
        <v/>
      </c>
    </row>
    <row r="2108" spans="2:19">
      <c r="B2108" s="93"/>
      <c r="C2108" s="94"/>
      <c r="D2108" s="90"/>
      <c r="E2108" s="90"/>
      <c r="F2108" s="90"/>
      <c r="G2108" s="90"/>
      <c r="H2108" s="77"/>
      <c r="I2108" s="90"/>
      <c r="J2108" s="90"/>
      <c r="K2108" s="292"/>
      <c r="S2108" s="17" t="str">
        <f t="shared" si="356"/>
        <v/>
      </c>
    </row>
    <row r="2109" spans="2:19">
      <c r="B2109" s="93"/>
      <c r="C2109" s="94"/>
      <c r="D2109" s="90"/>
      <c r="E2109" s="90"/>
      <c r="F2109" s="90"/>
      <c r="G2109" s="90"/>
      <c r="H2109" s="77"/>
      <c r="I2109" s="90"/>
      <c r="J2109" s="90"/>
      <c r="K2109" s="292"/>
      <c r="S2109" s="17" t="str">
        <f t="shared" si="356"/>
        <v/>
      </c>
    </row>
    <row r="2110" spans="2:19">
      <c r="B2110" s="93"/>
      <c r="C2110" s="94"/>
      <c r="D2110" s="90"/>
      <c r="E2110" s="90"/>
      <c r="F2110" s="90"/>
      <c r="G2110" s="90"/>
      <c r="H2110" s="77"/>
      <c r="I2110" s="90"/>
      <c r="J2110" s="90"/>
      <c r="K2110" s="292"/>
      <c r="S2110" s="17" t="str">
        <f t="shared" si="356"/>
        <v/>
      </c>
    </row>
    <row r="2111" spans="2:19">
      <c r="B2111" s="93"/>
      <c r="C2111" s="94"/>
      <c r="D2111" s="90"/>
      <c r="E2111" s="90"/>
      <c r="F2111" s="90"/>
      <c r="G2111" s="90"/>
      <c r="H2111" s="77"/>
      <c r="I2111" s="90"/>
      <c r="J2111" s="90"/>
      <c r="K2111" s="292"/>
      <c r="S2111" s="17" t="str">
        <f t="shared" si="356"/>
        <v/>
      </c>
    </row>
    <row r="2112" spans="2:19">
      <c r="B2112" s="93"/>
      <c r="C2112" s="94"/>
      <c r="D2112" s="90"/>
      <c r="E2112" s="90"/>
      <c r="F2112" s="90"/>
      <c r="G2112" s="90"/>
      <c r="H2112" s="77"/>
      <c r="I2112" s="90"/>
      <c r="J2112" s="90"/>
      <c r="K2112" s="292"/>
      <c r="S2112" s="17" t="str">
        <f t="shared" si="356"/>
        <v/>
      </c>
    </row>
    <row r="2113" spans="1:20">
      <c r="B2113" s="93"/>
      <c r="C2113" s="94"/>
      <c r="D2113" s="90"/>
      <c r="E2113" s="90"/>
      <c r="F2113" s="90"/>
      <c r="G2113" s="90"/>
      <c r="H2113" s="77"/>
      <c r="I2113" s="90"/>
      <c r="J2113" s="90"/>
      <c r="K2113" s="292"/>
      <c r="S2113" s="17" t="str">
        <f t="shared" si="356"/>
        <v/>
      </c>
    </row>
    <row r="2114" spans="1:20">
      <c r="B2114" s="93"/>
      <c r="C2114" s="94"/>
      <c r="D2114" s="90"/>
      <c r="E2114" s="90"/>
      <c r="F2114" s="90"/>
      <c r="G2114" s="90"/>
      <c r="H2114" s="77"/>
      <c r="I2114" s="90"/>
      <c r="J2114" s="90"/>
      <c r="K2114" s="292"/>
      <c r="S2114" s="17" t="str">
        <f t="shared" si="356"/>
        <v/>
      </c>
    </row>
    <row r="2115" spans="1:20">
      <c r="B2115" s="93"/>
      <c r="C2115" s="94"/>
      <c r="D2115" s="90"/>
      <c r="E2115" s="90"/>
      <c r="F2115" s="90"/>
      <c r="G2115" s="90"/>
      <c r="H2115" s="77"/>
      <c r="I2115" s="90"/>
      <c r="J2115" s="90"/>
      <c r="K2115" s="292"/>
      <c r="S2115" s="17" t="str">
        <f t="shared" si="356"/>
        <v/>
      </c>
    </row>
    <row r="2116" spans="1:20">
      <c r="B2116" s="93"/>
      <c r="C2116" s="94"/>
      <c r="D2116" s="90"/>
      <c r="E2116" s="90"/>
      <c r="F2116" s="90"/>
      <c r="G2116" s="90"/>
      <c r="H2116" s="77"/>
      <c r="I2116" s="90"/>
      <c r="J2116" s="90"/>
      <c r="K2116" s="292"/>
      <c r="S2116" s="17" t="str">
        <f t="shared" si="356"/>
        <v/>
      </c>
    </row>
    <row r="2117" spans="1:20">
      <c r="B2117" s="93"/>
      <c r="C2117" s="94"/>
      <c r="D2117" s="90"/>
      <c r="E2117" s="90"/>
      <c r="F2117" s="90"/>
      <c r="G2117" s="90"/>
      <c r="H2117" s="77"/>
      <c r="I2117" s="90"/>
      <c r="J2117" s="90"/>
      <c r="K2117" s="292"/>
      <c r="S2117" s="17" t="str">
        <f t="shared" si="356"/>
        <v/>
      </c>
    </row>
    <row r="2118" spans="1:20">
      <c r="B2118" s="93"/>
      <c r="C2118" s="94"/>
      <c r="D2118" s="90"/>
      <c r="E2118" s="90"/>
      <c r="F2118" s="90"/>
      <c r="G2118" s="90"/>
      <c r="H2118" s="77"/>
      <c r="I2118" s="90"/>
      <c r="J2118" s="90"/>
      <c r="K2118" s="292"/>
      <c r="S2118" s="17" t="str">
        <f t="shared" si="356"/>
        <v/>
      </c>
    </row>
    <row r="2119" spans="1:20">
      <c r="B2119" s="93"/>
      <c r="C2119" s="94"/>
      <c r="D2119" s="90"/>
      <c r="E2119" s="90"/>
      <c r="F2119" s="90"/>
      <c r="G2119" s="90"/>
      <c r="H2119" s="77"/>
      <c r="I2119" s="90"/>
      <c r="J2119" s="90"/>
      <c r="K2119" s="292"/>
      <c r="S2119" s="17" t="str">
        <f t="shared" si="356"/>
        <v/>
      </c>
    </row>
    <row r="2120" spans="1:20">
      <c r="B2120" s="93"/>
      <c r="C2120" s="94"/>
      <c r="D2120" s="90"/>
      <c r="E2120" s="90"/>
      <c r="F2120" s="90"/>
      <c r="G2120" s="90"/>
      <c r="H2120" s="77"/>
      <c r="I2120" s="90"/>
      <c r="J2120" s="90"/>
      <c r="K2120" s="292"/>
      <c r="S2120" s="17" t="str">
        <f t="shared" si="356"/>
        <v/>
      </c>
    </row>
    <row r="2121" spans="1:20">
      <c r="B2121" s="93"/>
      <c r="C2121" s="94"/>
      <c r="D2121" s="90"/>
      <c r="E2121" s="90"/>
      <c r="F2121" s="90"/>
      <c r="G2121" s="90"/>
      <c r="H2121" s="77"/>
      <c r="I2121" s="90"/>
      <c r="J2121" s="90"/>
      <c r="K2121" s="292"/>
      <c r="S2121" s="17" t="str">
        <f t="shared" si="356"/>
        <v/>
      </c>
    </row>
    <row r="2122" spans="1:20">
      <c r="B2122" s="93"/>
      <c r="C2122" s="94"/>
      <c r="D2122" s="90"/>
      <c r="E2122" s="90"/>
      <c r="F2122" s="90"/>
      <c r="G2122" s="90"/>
      <c r="H2122" s="77"/>
      <c r="I2122" s="90"/>
      <c r="J2122" s="90"/>
      <c r="K2122" s="292"/>
      <c r="S2122" s="17" t="str">
        <f t="shared" si="356"/>
        <v/>
      </c>
    </row>
    <row r="2123" spans="1:20">
      <c r="B2123" s="93"/>
      <c r="C2123" s="94"/>
      <c r="D2123" s="90"/>
      <c r="E2123" s="90"/>
      <c r="F2123" s="90"/>
      <c r="G2123" s="90"/>
      <c r="H2123" s="77"/>
      <c r="I2123" s="90"/>
      <c r="J2123" s="90"/>
      <c r="K2123" s="292"/>
    </row>
    <row r="2124" spans="1:20">
      <c r="B2124" s="93"/>
      <c r="C2124" s="94"/>
      <c r="D2124" s="90"/>
      <c r="E2124" s="90"/>
      <c r="F2124" s="90"/>
      <c r="G2124" s="90"/>
      <c r="H2124" s="77"/>
      <c r="I2124" s="90"/>
      <c r="J2124" s="90"/>
      <c r="K2124" s="292"/>
    </row>
    <row r="2125" spans="1:20" customFormat="1">
      <c r="A2125" s="40"/>
      <c r="B2125" s="93"/>
      <c r="C2125" s="94"/>
      <c r="D2125" s="90"/>
      <c r="E2125" s="90"/>
      <c r="F2125" s="90"/>
      <c r="G2125" s="90"/>
      <c r="H2125" s="77"/>
      <c r="I2125" s="90"/>
      <c r="J2125" s="90"/>
      <c r="K2125" s="292"/>
      <c r="L2125" s="292"/>
      <c r="M2125" s="75"/>
      <c r="N2125" s="75"/>
      <c r="O2125" s="84"/>
      <c r="P2125" s="75"/>
      <c r="Q2125" s="75"/>
      <c r="R2125" s="84"/>
      <c r="S2125" s="48"/>
      <c r="T2125" s="48"/>
    </row>
    <row r="2126" spans="1:20" customFormat="1">
      <c r="A2126" s="40"/>
      <c r="B2126" s="93"/>
      <c r="C2126" s="94"/>
      <c r="D2126" s="90"/>
      <c r="E2126" s="90"/>
      <c r="F2126" s="90"/>
      <c r="G2126" s="90"/>
      <c r="H2126" s="77"/>
      <c r="I2126" s="90"/>
      <c r="J2126" s="90"/>
      <c r="K2126" s="292"/>
      <c r="L2126" s="292"/>
      <c r="M2126" s="75"/>
      <c r="N2126" s="75"/>
      <c r="O2126" s="84"/>
      <c r="P2126" s="75"/>
      <c r="Q2126" s="75"/>
      <c r="R2126" s="84"/>
      <c r="S2126" s="48"/>
      <c r="T2126" s="48"/>
    </row>
    <row r="2127" spans="1:20" customFormat="1">
      <c r="A2127" s="40"/>
      <c r="B2127" s="93"/>
      <c r="C2127" s="94"/>
      <c r="D2127" s="90"/>
      <c r="E2127" s="90"/>
      <c r="F2127" s="90"/>
      <c r="G2127" s="90"/>
      <c r="H2127" s="77"/>
      <c r="I2127" s="90"/>
      <c r="J2127" s="90"/>
      <c r="K2127" s="292"/>
      <c r="L2127" s="292"/>
      <c r="M2127" s="75"/>
      <c r="N2127" s="75"/>
      <c r="O2127" s="84"/>
      <c r="P2127" s="75"/>
      <c r="Q2127" s="75"/>
      <c r="R2127" s="84"/>
      <c r="S2127" s="48"/>
      <c r="T2127" s="48"/>
    </row>
    <row r="2128" spans="1:20" customFormat="1">
      <c r="A2128" s="40"/>
      <c r="B2128" s="93"/>
      <c r="C2128" s="94"/>
      <c r="D2128" s="90"/>
      <c r="E2128" s="90"/>
      <c r="F2128" s="90"/>
      <c r="G2128" s="90"/>
      <c r="H2128" s="77"/>
      <c r="I2128" s="90"/>
      <c r="J2128" s="90"/>
      <c r="K2128" s="292"/>
      <c r="L2128" s="292"/>
      <c r="M2128" s="75"/>
      <c r="N2128" s="75"/>
      <c r="O2128" s="84"/>
      <c r="P2128" s="75"/>
      <c r="Q2128" s="75"/>
      <c r="R2128" s="84"/>
      <c r="S2128" s="48"/>
      <c r="T2128" s="48"/>
    </row>
    <row r="2129" spans="1:20" customFormat="1">
      <c r="A2129" s="40"/>
      <c r="B2129" s="93"/>
      <c r="C2129" s="94"/>
      <c r="D2129" s="90"/>
      <c r="E2129" s="90"/>
      <c r="F2129" s="90"/>
      <c r="G2129" s="90"/>
      <c r="H2129" s="77"/>
      <c r="I2129" s="90"/>
      <c r="J2129" s="90"/>
      <c r="K2129" s="292"/>
      <c r="L2129" s="292"/>
      <c r="M2129" s="75"/>
      <c r="N2129" s="75"/>
      <c r="O2129" s="84"/>
      <c r="P2129" s="75"/>
      <c r="Q2129" s="75"/>
      <c r="R2129" s="84"/>
      <c r="S2129" s="48"/>
      <c r="T2129" s="48"/>
    </row>
    <row r="2130" spans="1:20" customFormat="1">
      <c r="A2130" s="40"/>
      <c r="B2130" s="93"/>
      <c r="C2130" s="94"/>
      <c r="D2130" s="90"/>
      <c r="E2130" s="90"/>
      <c r="F2130" s="90"/>
      <c r="G2130" s="90"/>
      <c r="H2130" s="77"/>
      <c r="I2130" s="90"/>
      <c r="J2130" s="90"/>
      <c r="K2130" s="292"/>
      <c r="L2130" s="292"/>
      <c r="M2130" s="75"/>
      <c r="N2130" s="75"/>
      <c r="O2130" s="84"/>
      <c r="P2130" s="75"/>
      <c r="Q2130" s="75"/>
      <c r="R2130" s="84"/>
      <c r="S2130" s="48"/>
      <c r="T2130" s="48"/>
    </row>
    <row r="2131" spans="1:20" customFormat="1">
      <c r="A2131" s="40"/>
      <c r="B2131" s="93"/>
      <c r="C2131" s="94"/>
      <c r="D2131" s="90"/>
      <c r="E2131" s="90"/>
      <c r="F2131" s="90"/>
      <c r="G2131" s="90"/>
      <c r="H2131" s="77"/>
      <c r="I2131" s="90"/>
      <c r="J2131" s="90"/>
      <c r="K2131" s="292"/>
      <c r="L2131" s="292"/>
      <c r="M2131" s="75"/>
      <c r="N2131" s="75"/>
      <c r="O2131" s="84"/>
      <c r="P2131" s="75"/>
      <c r="Q2131" s="75"/>
      <c r="R2131" s="84"/>
      <c r="S2131" s="48"/>
      <c r="T2131" s="48"/>
    </row>
    <row r="2132" spans="1:20" customFormat="1">
      <c r="A2132" s="40"/>
      <c r="B2132" s="93"/>
      <c r="C2132" s="94"/>
      <c r="D2132" s="90"/>
      <c r="E2132" s="90"/>
      <c r="F2132" s="90"/>
      <c r="G2132" s="90"/>
      <c r="H2132" s="77"/>
      <c r="I2132" s="90"/>
      <c r="J2132" s="90"/>
      <c r="K2132" s="292"/>
      <c r="L2132" s="292"/>
      <c r="M2132" s="75"/>
      <c r="N2132" s="75"/>
      <c r="O2132" s="84"/>
      <c r="P2132" s="75"/>
      <c r="Q2132" s="75"/>
      <c r="R2132" s="84"/>
      <c r="S2132" s="48"/>
      <c r="T2132" s="48"/>
    </row>
    <row r="2133" spans="1:20" customFormat="1">
      <c r="A2133" s="40"/>
      <c r="B2133" s="93"/>
      <c r="C2133" s="94"/>
      <c r="D2133" s="90"/>
      <c r="E2133" s="90"/>
      <c r="F2133" s="90"/>
      <c r="G2133" s="90"/>
      <c r="H2133" s="77"/>
      <c r="I2133" s="90"/>
      <c r="J2133" s="90"/>
      <c r="K2133" s="292"/>
      <c r="L2133" s="292"/>
      <c r="M2133" s="75"/>
      <c r="N2133" s="75"/>
      <c r="O2133" s="84"/>
      <c r="P2133" s="75"/>
      <c r="Q2133" s="75"/>
      <c r="R2133" s="84"/>
      <c r="S2133" s="48"/>
      <c r="T2133" s="48"/>
    </row>
    <row r="2134" spans="1:20" customFormat="1">
      <c r="A2134" s="40"/>
      <c r="B2134" s="93"/>
      <c r="C2134" s="94"/>
      <c r="D2134" s="90"/>
      <c r="E2134" s="90"/>
      <c r="F2134" s="90"/>
      <c r="G2134" s="90"/>
      <c r="H2134" s="77"/>
      <c r="I2134" s="90"/>
      <c r="J2134" s="90"/>
      <c r="K2134" s="292"/>
      <c r="L2134" s="292"/>
      <c r="M2134" s="75"/>
      <c r="N2134" s="75"/>
      <c r="O2134" s="84"/>
      <c r="P2134" s="75"/>
      <c r="Q2134" s="75"/>
      <c r="R2134" s="84"/>
      <c r="S2134" s="48"/>
      <c r="T2134" s="48"/>
    </row>
    <row r="2135" spans="1:20" customFormat="1">
      <c r="A2135" s="40"/>
      <c r="B2135" s="93"/>
      <c r="C2135" s="94"/>
      <c r="D2135" s="90"/>
      <c r="E2135" s="90"/>
      <c r="F2135" s="90"/>
      <c r="G2135" s="90"/>
      <c r="H2135" s="77"/>
      <c r="I2135" s="90"/>
      <c r="J2135" s="90"/>
      <c r="K2135" s="292"/>
      <c r="L2135" s="292"/>
      <c r="M2135" s="75"/>
      <c r="N2135" s="75"/>
      <c r="O2135" s="84"/>
      <c r="P2135" s="75"/>
      <c r="Q2135" s="75"/>
      <c r="R2135" s="84"/>
      <c r="S2135" s="48"/>
      <c r="T2135" s="48"/>
    </row>
    <row r="2136" spans="1:20" customFormat="1">
      <c r="A2136" s="40"/>
      <c r="B2136" s="93"/>
      <c r="C2136" s="94"/>
      <c r="D2136" s="90"/>
      <c r="E2136" s="90"/>
      <c r="F2136" s="90"/>
      <c r="G2136" s="90"/>
      <c r="H2136" s="77"/>
      <c r="I2136" s="90"/>
      <c r="J2136" s="90"/>
      <c r="K2136" s="292"/>
      <c r="L2136" s="292"/>
      <c r="M2136" s="75"/>
      <c r="N2136" s="75"/>
      <c r="O2136" s="84"/>
      <c r="P2136" s="75"/>
      <c r="Q2136" s="75"/>
      <c r="R2136" s="84"/>
      <c r="S2136" s="48"/>
      <c r="T2136" s="48"/>
    </row>
    <row r="2137" spans="1:20" customFormat="1">
      <c r="A2137" s="40"/>
      <c r="B2137" s="93"/>
      <c r="C2137" s="94"/>
      <c r="D2137" s="90"/>
      <c r="E2137" s="90"/>
      <c r="F2137" s="90"/>
      <c r="G2137" s="90"/>
      <c r="H2137" s="77"/>
      <c r="I2137" s="90"/>
      <c r="J2137" s="90"/>
      <c r="K2137" s="292"/>
      <c r="L2137" s="292"/>
      <c r="M2137" s="75"/>
      <c r="N2137" s="75"/>
      <c r="O2137" s="84"/>
      <c r="P2137" s="75"/>
      <c r="Q2137" s="75"/>
      <c r="R2137" s="84"/>
      <c r="S2137" s="48"/>
      <c r="T2137" s="48"/>
    </row>
    <row r="2138" spans="1:20" customFormat="1">
      <c r="A2138" s="40"/>
      <c r="B2138" s="93"/>
      <c r="C2138" s="94"/>
      <c r="D2138" s="90"/>
      <c r="E2138" s="90"/>
      <c r="F2138" s="90"/>
      <c r="G2138" s="90"/>
      <c r="H2138" s="77"/>
      <c r="I2138" s="90"/>
      <c r="J2138" s="90"/>
      <c r="K2138" s="292"/>
      <c r="L2138" s="292"/>
      <c r="M2138" s="75"/>
      <c r="N2138" s="75"/>
      <c r="O2138" s="84"/>
      <c r="P2138" s="75"/>
      <c r="Q2138" s="75"/>
      <c r="R2138" s="84"/>
      <c r="S2138" s="48"/>
      <c r="T2138" s="48"/>
    </row>
    <row r="2139" spans="1:20" customFormat="1">
      <c r="A2139" s="40"/>
      <c r="B2139" s="93"/>
      <c r="C2139" s="94"/>
      <c r="D2139" s="90"/>
      <c r="E2139" s="90"/>
      <c r="F2139" s="90"/>
      <c r="G2139" s="90"/>
      <c r="H2139" s="77"/>
      <c r="I2139" s="90"/>
      <c r="J2139" s="90"/>
      <c r="K2139" s="292"/>
      <c r="L2139" s="292"/>
      <c r="M2139" s="75"/>
      <c r="N2139" s="75"/>
      <c r="O2139" s="84"/>
      <c r="P2139" s="75"/>
      <c r="Q2139" s="75"/>
      <c r="R2139" s="84"/>
      <c r="S2139" s="48"/>
      <c r="T2139" s="48"/>
    </row>
    <row r="2140" spans="1:20" customFormat="1">
      <c r="A2140" s="40"/>
      <c r="B2140" s="93"/>
      <c r="C2140" s="94"/>
      <c r="D2140" s="90"/>
      <c r="E2140" s="90"/>
      <c r="F2140" s="90"/>
      <c r="G2140" s="90"/>
      <c r="H2140" s="77"/>
      <c r="I2140" s="90"/>
      <c r="J2140" s="90"/>
      <c r="K2140" s="292"/>
      <c r="L2140" s="292"/>
      <c r="M2140" s="75"/>
      <c r="N2140" s="75"/>
      <c r="O2140" s="84"/>
      <c r="P2140" s="75"/>
      <c r="Q2140" s="75"/>
      <c r="R2140" s="84"/>
      <c r="S2140" s="48"/>
      <c r="T2140" s="48"/>
    </row>
    <row r="2141" spans="1:20" customFormat="1">
      <c r="A2141" s="40"/>
      <c r="B2141" s="93"/>
      <c r="C2141" s="94"/>
      <c r="D2141" s="90"/>
      <c r="E2141" s="90"/>
      <c r="F2141" s="90"/>
      <c r="G2141" s="90"/>
      <c r="H2141" s="77"/>
      <c r="I2141" s="90"/>
      <c r="J2141" s="90"/>
      <c r="K2141" s="292"/>
      <c r="L2141" s="292"/>
      <c r="M2141" s="75"/>
      <c r="N2141" s="75"/>
      <c r="O2141" s="84"/>
      <c r="P2141" s="75"/>
      <c r="Q2141" s="75"/>
      <c r="R2141" s="84"/>
      <c r="S2141" s="48"/>
      <c r="T2141" s="48"/>
    </row>
    <row r="2142" spans="1:20" customFormat="1">
      <c r="A2142" s="40"/>
      <c r="B2142" s="93"/>
      <c r="C2142" s="94"/>
      <c r="D2142" s="90"/>
      <c r="E2142" s="90"/>
      <c r="F2142" s="90"/>
      <c r="G2142" s="90"/>
      <c r="H2142" s="77"/>
      <c r="I2142" s="90"/>
      <c r="J2142" s="90"/>
      <c r="K2142" s="292"/>
      <c r="L2142" s="292"/>
      <c r="M2142" s="75"/>
      <c r="N2142" s="75"/>
      <c r="O2142" s="84"/>
      <c r="P2142" s="75"/>
      <c r="Q2142" s="75"/>
      <c r="R2142" s="84"/>
      <c r="S2142" s="48"/>
      <c r="T2142" s="48"/>
    </row>
    <row r="2143" spans="1:20" customFormat="1">
      <c r="A2143" s="40"/>
      <c r="B2143" s="93"/>
      <c r="C2143" s="94"/>
      <c r="D2143" s="90"/>
      <c r="E2143" s="90"/>
      <c r="F2143" s="90"/>
      <c r="G2143" s="90"/>
      <c r="H2143" s="77"/>
      <c r="I2143" s="90"/>
      <c r="J2143" s="90"/>
      <c r="K2143" s="292"/>
      <c r="L2143" s="292"/>
      <c r="M2143" s="75"/>
      <c r="N2143" s="75"/>
      <c r="O2143" s="84"/>
      <c r="P2143" s="75"/>
      <c r="Q2143" s="75"/>
      <c r="R2143" s="84"/>
      <c r="S2143" s="48"/>
      <c r="T2143" s="48"/>
    </row>
    <row r="2144" spans="1:20" customFormat="1">
      <c r="A2144" s="40"/>
      <c r="B2144" s="93"/>
      <c r="C2144" s="94"/>
      <c r="D2144" s="90"/>
      <c r="E2144" s="90"/>
      <c r="F2144" s="90"/>
      <c r="G2144" s="90"/>
      <c r="H2144" s="77"/>
      <c r="I2144" s="90"/>
      <c r="J2144" s="90"/>
      <c r="K2144" s="292"/>
      <c r="L2144" s="292"/>
      <c r="M2144" s="75"/>
      <c r="N2144" s="75"/>
      <c r="O2144" s="84"/>
      <c r="P2144" s="75"/>
      <c r="Q2144" s="75"/>
      <c r="R2144" s="84"/>
      <c r="S2144" s="48"/>
      <c r="T2144" s="48"/>
    </row>
    <row r="2145" spans="1:20" customFormat="1">
      <c r="A2145" s="40"/>
      <c r="B2145" s="93"/>
      <c r="C2145" s="94"/>
      <c r="D2145" s="90"/>
      <c r="E2145" s="90"/>
      <c r="F2145" s="90"/>
      <c r="G2145" s="90"/>
      <c r="H2145" s="77"/>
      <c r="I2145" s="90"/>
      <c r="J2145" s="90"/>
      <c r="K2145" s="292"/>
      <c r="L2145" s="292"/>
      <c r="M2145" s="75"/>
      <c r="N2145" s="75"/>
      <c r="O2145" s="84"/>
      <c r="P2145" s="75"/>
      <c r="Q2145" s="75"/>
      <c r="R2145" s="84"/>
      <c r="S2145" s="48"/>
      <c r="T2145" s="48"/>
    </row>
    <row r="2146" spans="1:20" customFormat="1">
      <c r="A2146" s="40"/>
      <c r="B2146" s="93"/>
      <c r="C2146" s="94"/>
      <c r="D2146" s="90"/>
      <c r="E2146" s="90"/>
      <c r="F2146" s="90"/>
      <c r="G2146" s="90"/>
      <c r="H2146" s="77"/>
      <c r="I2146" s="90"/>
      <c r="J2146" s="90"/>
      <c r="K2146" s="292"/>
      <c r="L2146" s="292"/>
      <c r="M2146" s="75"/>
      <c r="N2146" s="75"/>
      <c r="O2146" s="84"/>
      <c r="P2146" s="75"/>
      <c r="Q2146" s="75"/>
      <c r="R2146" s="84"/>
      <c r="S2146" s="48"/>
      <c r="T2146" s="48"/>
    </row>
    <row r="2147" spans="1:20" customFormat="1">
      <c r="A2147" s="40"/>
      <c r="B2147" s="93"/>
      <c r="C2147" s="94"/>
      <c r="D2147" s="90"/>
      <c r="E2147" s="90"/>
      <c r="F2147" s="90"/>
      <c r="G2147" s="90"/>
      <c r="H2147" s="77"/>
      <c r="I2147" s="90"/>
      <c r="J2147" s="90"/>
      <c r="K2147" s="292"/>
      <c r="L2147" s="292"/>
      <c r="M2147" s="75"/>
      <c r="N2147" s="75"/>
      <c r="O2147" s="84"/>
      <c r="P2147" s="75"/>
      <c r="Q2147" s="75"/>
      <c r="R2147" s="84"/>
      <c r="S2147" s="48"/>
      <c r="T2147" s="48"/>
    </row>
    <row r="2148" spans="1:20" customFormat="1">
      <c r="A2148" s="40"/>
      <c r="B2148" s="93"/>
      <c r="C2148" s="94"/>
      <c r="D2148" s="90"/>
      <c r="E2148" s="90"/>
      <c r="F2148" s="90"/>
      <c r="G2148" s="90"/>
      <c r="H2148" s="77"/>
      <c r="I2148" s="90"/>
      <c r="J2148" s="90"/>
      <c r="K2148" s="292"/>
      <c r="L2148" s="292"/>
      <c r="M2148" s="75"/>
      <c r="N2148" s="75"/>
      <c r="O2148" s="84"/>
      <c r="P2148" s="75"/>
      <c r="Q2148" s="75"/>
      <c r="R2148" s="84"/>
      <c r="S2148" s="48"/>
      <c r="T2148" s="48"/>
    </row>
    <row r="2149" spans="1:20" customFormat="1">
      <c r="A2149" s="40"/>
      <c r="B2149" s="93"/>
      <c r="C2149" s="94"/>
      <c r="D2149" s="90"/>
      <c r="E2149" s="90"/>
      <c r="F2149" s="90"/>
      <c r="G2149" s="90"/>
      <c r="H2149" s="77"/>
      <c r="I2149" s="90"/>
      <c r="J2149" s="90"/>
      <c r="K2149" s="292"/>
      <c r="L2149" s="292"/>
      <c r="M2149" s="75"/>
      <c r="N2149" s="75"/>
      <c r="O2149" s="84"/>
      <c r="P2149" s="75"/>
      <c r="Q2149" s="75"/>
      <c r="R2149" s="84"/>
      <c r="S2149" s="48"/>
      <c r="T2149" s="48"/>
    </row>
    <row r="2150" spans="1:20" customFormat="1">
      <c r="A2150" s="40"/>
      <c r="B2150" s="93"/>
      <c r="C2150" s="94"/>
      <c r="D2150" s="90"/>
      <c r="E2150" s="90"/>
      <c r="F2150" s="90"/>
      <c r="G2150" s="90"/>
      <c r="H2150" s="77"/>
      <c r="I2150" s="90"/>
      <c r="J2150" s="90"/>
      <c r="K2150" s="292"/>
      <c r="L2150" s="292"/>
      <c r="M2150" s="75"/>
      <c r="N2150" s="75"/>
      <c r="O2150" s="84"/>
      <c r="P2150" s="75"/>
      <c r="Q2150" s="75"/>
      <c r="R2150" s="84"/>
      <c r="S2150" s="48"/>
      <c r="T2150" s="48"/>
    </row>
    <row r="2151" spans="1:20" customFormat="1">
      <c r="A2151" s="40"/>
      <c r="B2151" s="93"/>
      <c r="C2151" s="94"/>
      <c r="D2151" s="90"/>
      <c r="E2151" s="90"/>
      <c r="F2151" s="90"/>
      <c r="G2151" s="90"/>
      <c r="H2151" s="77"/>
      <c r="I2151" s="90"/>
      <c r="J2151" s="90"/>
      <c r="K2151" s="292"/>
      <c r="L2151" s="292"/>
      <c r="M2151" s="75"/>
      <c r="N2151" s="75"/>
      <c r="O2151" s="84"/>
      <c r="P2151" s="75"/>
      <c r="Q2151" s="75"/>
      <c r="R2151" s="84"/>
      <c r="S2151" s="48"/>
      <c r="T2151" s="48"/>
    </row>
    <row r="2152" spans="1:20" customFormat="1">
      <c r="A2152" s="40"/>
      <c r="B2152" s="93"/>
      <c r="C2152" s="94"/>
      <c r="D2152" s="90"/>
      <c r="E2152" s="90"/>
      <c r="F2152" s="90"/>
      <c r="G2152" s="90"/>
      <c r="H2152" s="77"/>
      <c r="I2152" s="90"/>
      <c r="J2152" s="90"/>
      <c r="K2152" s="292"/>
      <c r="L2152" s="292"/>
      <c r="M2152" s="75"/>
      <c r="N2152" s="75"/>
      <c r="O2152" s="84"/>
      <c r="P2152" s="75"/>
      <c r="Q2152" s="75"/>
      <c r="R2152" s="84"/>
      <c r="S2152" s="48"/>
      <c r="T2152" s="48"/>
    </row>
    <row r="2153" spans="1:20" customFormat="1">
      <c r="A2153" s="40"/>
      <c r="B2153" s="93"/>
      <c r="C2153" s="94"/>
      <c r="D2153" s="90"/>
      <c r="E2153" s="90"/>
      <c r="F2153" s="90"/>
      <c r="G2153" s="90"/>
      <c r="H2153" s="77"/>
      <c r="I2153" s="90"/>
      <c r="J2153" s="90"/>
      <c r="K2153" s="292"/>
      <c r="L2153" s="292"/>
      <c r="M2153" s="75"/>
      <c r="N2153" s="75"/>
      <c r="O2153" s="84"/>
      <c r="P2153" s="75"/>
      <c r="Q2153" s="75"/>
      <c r="R2153" s="84"/>
      <c r="S2153" s="48"/>
      <c r="T2153" s="48"/>
    </row>
    <row r="2154" spans="1:20" customFormat="1">
      <c r="A2154" s="40"/>
      <c r="B2154" s="93"/>
      <c r="C2154" s="94"/>
      <c r="D2154" s="90"/>
      <c r="E2154" s="90"/>
      <c r="F2154" s="90"/>
      <c r="G2154" s="90"/>
      <c r="H2154" s="77"/>
      <c r="I2154" s="90"/>
      <c r="J2154" s="90"/>
      <c r="K2154" s="292"/>
      <c r="L2154" s="292"/>
      <c r="M2154" s="75"/>
      <c r="N2154" s="75"/>
      <c r="O2154" s="84"/>
      <c r="P2154" s="75"/>
      <c r="Q2154" s="75"/>
      <c r="R2154" s="84"/>
      <c r="S2154" s="48"/>
      <c r="T2154" s="48"/>
    </row>
    <row r="2155" spans="1:20" customFormat="1">
      <c r="A2155" s="40"/>
      <c r="B2155" s="93"/>
      <c r="C2155" s="94"/>
      <c r="D2155" s="90"/>
      <c r="E2155" s="90"/>
      <c r="F2155" s="90"/>
      <c r="G2155" s="90"/>
      <c r="H2155" s="77"/>
      <c r="I2155" s="90"/>
      <c r="J2155" s="90"/>
      <c r="K2155" s="292"/>
      <c r="L2155" s="292"/>
      <c r="M2155" s="75"/>
      <c r="N2155" s="75"/>
      <c r="O2155" s="84"/>
      <c r="P2155" s="75"/>
      <c r="Q2155" s="75"/>
      <c r="R2155" s="84"/>
      <c r="S2155" s="48"/>
      <c r="T2155" s="48"/>
    </row>
    <row r="2156" spans="1:20" customFormat="1">
      <c r="A2156" s="40"/>
      <c r="B2156" s="93"/>
      <c r="C2156" s="94"/>
      <c r="D2156" s="90"/>
      <c r="E2156" s="90"/>
      <c r="F2156" s="90"/>
      <c r="G2156" s="90"/>
      <c r="H2156" s="77"/>
      <c r="I2156" s="90"/>
      <c r="J2156" s="90"/>
      <c r="K2156" s="292"/>
      <c r="L2156" s="292"/>
      <c r="M2156" s="75"/>
      <c r="N2156" s="75"/>
      <c r="O2156" s="84"/>
      <c r="P2156" s="75"/>
      <c r="Q2156" s="75"/>
      <c r="R2156" s="84"/>
      <c r="S2156" s="48"/>
      <c r="T2156" s="48"/>
    </row>
    <row r="2157" spans="1:20" customFormat="1">
      <c r="A2157" s="40"/>
      <c r="B2157" s="93"/>
      <c r="C2157" s="94"/>
      <c r="D2157" s="90"/>
      <c r="E2157" s="90"/>
      <c r="F2157" s="90"/>
      <c r="G2157" s="90"/>
      <c r="H2157" s="77"/>
      <c r="I2157" s="90"/>
      <c r="J2157" s="90"/>
      <c r="K2157" s="292"/>
      <c r="L2157" s="292"/>
      <c r="M2157" s="75"/>
      <c r="N2157" s="75"/>
      <c r="O2157" s="84"/>
      <c r="P2157" s="75"/>
      <c r="Q2157" s="75"/>
      <c r="R2157" s="84"/>
      <c r="S2157" s="48"/>
      <c r="T2157" s="48"/>
    </row>
    <row r="2158" spans="1:20" customFormat="1">
      <c r="A2158" s="40"/>
      <c r="B2158" s="93"/>
      <c r="C2158" s="94"/>
      <c r="D2158" s="90"/>
      <c r="E2158" s="90"/>
      <c r="F2158" s="90"/>
      <c r="G2158" s="90"/>
      <c r="H2158" s="77"/>
      <c r="I2158" s="90"/>
      <c r="J2158" s="90"/>
      <c r="K2158" s="292"/>
      <c r="L2158" s="292"/>
      <c r="M2158" s="75"/>
      <c r="N2158" s="75"/>
      <c r="O2158" s="84"/>
      <c r="P2158" s="75"/>
      <c r="Q2158" s="75"/>
      <c r="R2158" s="84"/>
      <c r="S2158" s="48"/>
      <c r="T2158" s="48"/>
    </row>
    <row r="2159" spans="1:20" customFormat="1">
      <c r="A2159" s="40"/>
      <c r="B2159" s="93"/>
      <c r="C2159" s="94"/>
      <c r="D2159" s="90"/>
      <c r="E2159" s="90"/>
      <c r="F2159" s="90"/>
      <c r="G2159" s="90"/>
      <c r="H2159" s="77"/>
      <c r="I2159" s="90"/>
      <c r="J2159" s="90"/>
      <c r="K2159" s="292"/>
      <c r="L2159" s="292"/>
      <c r="M2159" s="75"/>
      <c r="N2159" s="75"/>
      <c r="O2159" s="84"/>
      <c r="P2159" s="75"/>
      <c r="Q2159" s="75"/>
      <c r="R2159" s="84"/>
      <c r="S2159" s="48"/>
      <c r="T2159" s="48"/>
    </row>
    <row r="2160" spans="1:20" customFormat="1">
      <c r="A2160" s="40"/>
      <c r="B2160" s="93"/>
      <c r="C2160" s="94"/>
      <c r="D2160" s="90"/>
      <c r="E2160" s="90"/>
      <c r="F2160" s="90"/>
      <c r="G2160" s="90"/>
      <c r="H2160" s="77"/>
      <c r="I2160" s="90"/>
      <c r="J2160" s="90"/>
      <c r="K2160" s="292"/>
      <c r="L2160" s="292"/>
      <c r="M2160" s="75"/>
      <c r="N2160" s="75"/>
      <c r="O2160" s="84"/>
      <c r="P2160" s="75"/>
      <c r="Q2160" s="75"/>
      <c r="R2160" s="84"/>
      <c r="S2160" s="48"/>
      <c r="T2160" s="48"/>
    </row>
    <row r="2161" spans="1:20" customFormat="1">
      <c r="A2161" s="40"/>
      <c r="B2161" s="93"/>
      <c r="C2161" s="94"/>
      <c r="D2161" s="90"/>
      <c r="E2161" s="90"/>
      <c r="F2161" s="90"/>
      <c r="G2161" s="90"/>
      <c r="H2161" s="77"/>
      <c r="I2161" s="90"/>
      <c r="J2161" s="90"/>
      <c r="K2161" s="292"/>
      <c r="L2161" s="292"/>
      <c r="M2161" s="75"/>
      <c r="N2161" s="75"/>
      <c r="O2161" s="84"/>
      <c r="P2161" s="75"/>
      <c r="Q2161" s="75"/>
      <c r="R2161" s="84"/>
      <c r="S2161" s="48"/>
      <c r="T2161" s="48"/>
    </row>
    <row r="2162" spans="1:20" customFormat="1">
      <c r="A2162" s="40"/>
      <c r="B2162" s="93"/>
      <c r="C2162" s="94"/>
      <c r="D2162" s="90"/>
      <c r="E2162" s="90"/>
      <c r="F2162" s="90"/>
      <c r="G2162" s="90"/>
      <c r="H2162" s="77"/>
      <c r="I2162" s="90"/>
      <c r="J2162" s="90"/>
      <c r="K2162" s="292"/>
      <c r="L2162" s="292"/>
      <c r="M2162" s="75"/>
      <c r="N2162" s="75"/>
      <c r="O2162" s="84"/>
      <c r="P2162" s="75"/>
      <c r="Q2162" s="75"/>
      <c r="R2162" s="84"/>
      <c r="S2162" s="48"/>
      <c r="T2162" s="48"/>
    </row>
    <row r="2163" spans="1:20" customFormat="1">
      <c r="A2163" s="40"/>
      <c r="B2163" s="93"/>
      <c r="C2163" s="94"/>
      <c r="D2163" s="90"/>
      <c r="E2163" s="90"/>
      <c r="F2163" s="90"/>
      <c r="G2163" s="90"/>
      <c r="H2163" s="77"/>
      <c r="I2163" s="90"/>
      <c r="J2163" s="90"/>
      <c r="K2163" s="292"/>
      <c r="L2163" s="292"/>
      <c r="M2163" s="75"/>
      <c r="N2163" s="75"/>
      <c r="O2163" s="84"/>
      <c r="P2163" s="75"/>
      <c r="Q2163" s="75"/>
      <c r="R2163" s="84"/>
      <c r="S2163" s="48"/>
      <c r="T2163" s="48"/>
    </row>
    <row r="2164" spans="1:20" customFormat="1">
      <c r="A2164" s="40"/>
      <c r="B2164" s="93"/>
      <c r="C2164" s="94"/>
      <c r="D2164" s="90"/>
      <c r="E2164" s="90"/>
      <c r="F2164" s="90"/>
      <c r="G2164" s="90"/>
      <c r="H2164" s="77"/>
      <c r="I2164" s="90"/>
      <c r="J2164" s="90"/>
      <c r="K2164" s="292"/>
      <c r="L2164" s="292"/>
      <c r="M2164" s="75"/>
      <c r="N2164" s="75"/>
      <c r="O2164" s="84"/>
      <c r="P2164" s="75"/>
      <c r="Q2164" s="75"/>
      <c r="R2164" s="84"/>
      <c r="S2164" s="48"/>
      <c r="T2164" s="48"/>
    </row>
    <row r="2165" spans="1:20" customFormat="1">
      <c r="A2165" s="40"/>
      <c r="B2165" s="93"/>
      <c r="C2165" s="94"/>
      <c r="D2165" s="90"/>
      <c r="E2165" s="90"/>
      <c r="F2165" s="90"/>
      <c r="G2165" s="90"/>
      <c r="H2165" s="77"/>
      <c r="I2165" s="90"/>
      <c r="J2165" s="90"/>
      <c r="K2165" s="292"/>
      <c r="L2165" s="292"/>
      <c r="M2165" s="75"/>
      <c r="N2165" s="75"/>
      <c r="O2165" s="84"/>
      <c r="P2165" s="75"/>
      <c r="Q2165" s="75"/>
      <c r="R2165" s="84"/>
      <c r="S2165" s="48"/>
      <c r="T2165" s="48"/>
    </row>
    <row r="2166" spans="1:20" customFormat="1">
      <c r="A2166" s="40"/>
      <c r="B2166" s="93"/>
      <c r="C2166" s="94"/>
      <c r="D2166" s="90"/>
      <c r="E2166" s="90"/>
      <c r="F2166" s="90"/>
      <c r="G2166" s="90"/>
      <c r="H2166" s="77"/>
      <c r="I2166" s="90"/>
      <c r="J2166" s="90"/>
      <c r="K2166" s="292"/>
      <c r="L2166" s="292"/>
      <c r="M2166" s="75"/>
      <c r="N2166" s="75"/>
      <c r="O2166" s="84"/>
      <c r="P2166" s="75"/>
      <c r="Q2166" s="75"/>
      <c r="R2166" s="84"/>
      <c r="S2166" s="48"/>
      <c r="T2166" s="48"/>
    </row>
    <row r="2167" spans="1:20" customFormat="1">
      <c r="A2167" s="40"/>
      <c r="B2167" s="93"/>
      <c r="C2167" s="94"/>
      <c r="D2167" s="90"/>
      <c r="E2167" s="90"/>
      <c r="F2167" s="90"/>
      <c r="G2167" s="90"/>
      <c r="H2167" s="77"/>
      <c r="I2167" s="90"/>
      <c r="J2167" s="90"/>
      <c r="K2167" s="292"/>
      <c r="L2167" s="292"/>
      <c r="M2167" s="75"/>
      <c r="N2167" s="75"/>
      <c r="O2167" s="84"/>
      <c r="P2167" s="75"/>
      <c r="Q2167" s="75"/>
      <c r="R2167" s="84"/>
      <c r="S2167" s="48"/>
      <c r="T2167" s="48"/>
    </row>
    <row r="2168" spans="1:20" customFormat="1">
      <c r="A2168" s="40"/>
      <c r="B2168" s="93"/>
      <c r="C2168" s="94"/>
      <c r="D2168" s="90"/>
      <c r="E2168" s="90"/>
      <c r="F2168" s="90"/>
      <c r="G2168" s="90"/>
      <c r="H2168" s="77"/>
      <c r="I2168" s="90"/>
      <c r="J2168" s="90"/>
      <c r="K2168" s="292"/>
      <c r="L2168" s="292"/>
      <c r="M2168" s="75"/>
      <c r="N2168" s="75"/>
      <c r="O2168" s="84"/>
      <c r="P2168" s="75"/>
      <c r="Q2168" s="75"/>
      <c r="R2168" s="84"/>
      <c r="S2168" s="48"/>
      <c r="T2168" s="48"/>
    </row>
    <row r="2169" spans="1:20" customFormat="1">
      <c r="A2169" s="40"/>
      <c r="B2169" s="93"/>
      <c r="C2169" s="94"/>
      <c r="D2169" s="90"/>
      <c r="E2169" s="90"/>
      <c r="F2169" s="90"/>
      <c r="G2169" s="90"/>
      <c r="H2169" s="77"/>
      <c r="I2169" s="90"/>
      <c r="J2169" s="90"/>
      <c r="K2169" s="292"/>
      <c r="L2169" s="292"/>
      <c r="M2169" s="75"/>
      <c r="N2169" s="75"/>
      <c r="O2169" s="84"/>
      <c r="P2169" s="75"/>
      <c r="Q2169" s="75"/>
      <c r="R2169" s="84"/>
      <c r="S2169" s="48"/>
      <c r="T2169" s="48"/>
    </row>
    <row r="2170" spans="1:20" customFormat="1">
      <c r="A2170" s="40"/>
      <c r="B2170" s="93"/>
      <c r="C2170" s="94"/>
      <c r="D2170" s="90"/>
      <c r="E2170" s="90"/>
      <c r="F2170" s="90"/>
      <c r="G2170" s="90"/>
      <c r="H2170" s="77"/>
      <c r="I2170" s="90"/>
      <c r="J2170" s="90"/>
      <c r="K2170" s="292"/>
      <c r="L2170" s="292"/>
      <c r="M2170" s="75"/>
      <c r="N2170" s="75"/>
      <c r="O2170" s="84"/>
      <c r="P2170" s="75"/>
      <c r="Q2170" s="75"/>
      <c r="R2170" s="84"/>
      <c r="S2170" s="48"/>
      <c r="T2170" s="48"/>
    </row>
    <row r="2171" spans="1:20" customFormat="1">
      <c r="A2171" s="40"/>
      <c r="B2171" s="93"/>
      <c r="C2171" s="94"/>
      <c r="D2171" s="90"/>
      <c r="E2171" s="90"/>
      <c r="F2171" s="90"/>
      <c r="G2171" s="90"/>
      <c r="H2171" s="77"/>
      <c r="I2171" s="90"/>
      <c r="J2171" s="90"/>
      <c r="K2171" s="292"/>
      <c r="L2171" s="292"/>
      <c r="M2171" s="75"/>
      <c r="N2171" s="75"/>
      <c r="O2171" s="84"/>
      <c r="P2171" s="75"/>
      <c r="Q2171" s="75"/>
      <c r="R2171" s="84"/>
      <c r="S2171" s="48"/>
      <c r="T2171" s="48"/>
    </row>
    <row r="2172" spans="1:20" customFormat="1">
      <c r="A2172" s="40"/>
      <c r="B2172" s="93"/>
      <c r="C2172" s="94"/>
      <c r="D2172" s="90"/>
      <c r="E2172" s="90"/>
      <c r="F2172" s="90"/>
      <c r="G2172" s="90"/>
      <c r="H2172" s="77"/>
      <c r="I2172" s="90"/>
      <c r="J2172" s="90"/>
      <c r="K2172" s="292"/>
      <c r="L2172" s="292"/>
      <c r="M2172" s="75"/>
      <c r="N2172" s="75"/>
      <c r="O2172" s="84"/>
      <c r="P2172" s="75"/>
      <c r="Q2172" s="75"/>
      <c r="R2172" s="84"/>
      <c r="S2172" s="48"/>
      <c r="T2172" s="48"/>
    </row>
    <row r="2173" spans="1:20" customFormat="1">
      <c r="A2173" s="40"/>
      <c r="B2173" s="93"/>
      <c r="C2173" s="94"/>
      <c r="D2173" s="90"/>
      <c r="E2173" s="90"/>
      <c r="F2173" s="90"/>
      <c r="G2173" s="90"/>
      <c r="H2173" s="77"/>
      <c r="I2173" s="90"/>
      <c r="J2173" s="90"/>
      <c r="K2173" s="292"/>
      <c r="L2173" s="292"/>
      <c r="M2173" s="75"/>
      <c r="N2173" s="75"/>
      <c r="O2173" s="84"/>
      <c r="P2173" s="75"/>
      <c r="Q2173" s="75"/>
      <c r="R2173" s="84"/>
      <c r="S2173" s="48"/>
      <c r="T2173" s="48"/>
    </row>
    <row r="2174" spans="1:20" customFormat="1">
      <c r="A2174" s="40"/>
      <c r="B2174" s="93"/>
      <c r="C2174" s="94"/>
      <c r="D2174" s="90"/>
      <c r="E2174" s="90"/>
      <c r="F2174" s="90"/>
      <c r="G2174" s="90"/>
      <c r="H2174" s="77"/>
      <c r="I2174" s="90"/>
      <c r="J2174" s="90"/>
      <c r="K2174" s="292"/>
      <c r="L2174" s="292"/>
      <c r="M2174" s="75"/>
      <c r="N2174" s="75"/>
      <c r="O2174" s="84"/>
      <c r="P2174" s="75"/>
      <c r="Q2174" s="75"/>
      <c r="R2174" s="84"/>
      <c r="S2174" s="48"/>
      <c r="T2174" s="48"/>
    </row>
    <row r="2175" spans="1:20" customFormat="1">
      <c r="A2175" s="40"/>
      <c r="B2175" s="93"/>
      <c r="C2175" s="94"/>
      <c r="D2175" s="90"/>
      <c r="E2175" s="90"/>
      <c r="F2175" s="90"/>
      <c r="G2175" s="90"/>
      <c r="H2175" s="77"/>
      <c r="I2175" s="90"/>
      <c r="J2175" s="90"/>
      <c r="K2175" s="292"/>
      <c r="L2175" s="292"/>
      <c r="M2175" s="75"/>
      <c r="N2175" s="75"/>
      <c r="O2175" s="84"/>
      <c r="P2175" s="75"/>
      <c r="Q2175" s="75"/>
      <c r="R2175" s="84"/>
      <c r="S2175" s="48"/>
      <c r="T2175" s="48"/>
    </row>
    <row r="2176" spans="1:20" customFormat="1">
      <c r="A2176" s="40"/>
      <c r="B2176" s="93"/>
      <c r="C2176" s="94"/>
      <c r="D2176" s="90"/>
      <c r="E2176" s="90"/>
      <c r="F2176" s="90"/>
      <c r="G2176" s="90"/>
      <c r="H2176" s="77"/>
      <c r="I2176" s="90"/>
      <c r="J2176" s="90"/>
      <c r="K2176" s="292"/>
      <c r="L2176" s="292"/>
      <c r="M2176" s="75"/>
      <c r="N2176" s="75"/>
      <c r="O2176" s="84"/>
      <c r="P2176" s="75"/>
      <c r="Q2176" s="75"/>
      <c r="R2176" s="84"/>
      <c r="S2176" s="48"/>
      <c r="T2176" s="48"/>
    </row>
    <row r="2177" spans="1:20" customFormat="1">
      <c r="A2177" s="40"/>
      <c r="B2177" s="93"/>
      <c r="C2177" s="94"/>
      <c r="D2177" s="90"/>
      <c r="E2177" s="90"/>
      <c r="F2177" s="90"/>
      <c r="G2177" s="90"/>
      <c r="H2177" s="77"/>
      <c r="I2177" s="90"/>
      <c r="J2177" s="90"/>
      <c r="K2177" s="292"/>
      <c r="L2177" s="292"/>
      <c r="M2177" s="75"/>
      <c r="N2177" s="75"/>
      <c r="O2177" s="84"/>
      <c r="P2177" s="75"/>
      <c r="Q2177" s="75"/>
      <c r="R2177" s="84"/>
      <c r="S2177" s="48"/>
      <c r="T2177" s="48"/>
    </row>
    <row r="2178" spans="1:20" customFormat="1">
      <c r="A2178" s="40"/>
      <c r="B2178" s="93"/>
      <c r="C2178" s="94"/>
      <c r="D2178" s="90"/>
      <c r="E2178" s="90"/>
      <c r="F2178" s="90"/>
      <c r="G2178" s="90"/>
      <c r="H2178" s="77"/>
      <c r="I2178" s="90"/>
      <c r="J2178" s="90"/>
      <c r="K2178" s="292"/>
      <c r="L2178" s="292"/>
      <c r="M2178" s="75"/>
      <c r="N2178" s="75"/>
      <c r="O2178" s="84"/>
      <c r="P2178" s="75"/>
      <c r="Q2178" s="75"/>
      <c r="R2178" s="84"/>
      <c r="S2178" s="48"/>
      <c r="T2178" s="48"/>
    </row>
    <row r="2179" spans="1:20" customFormat="1">
      <c r="A2179" s="40"/>
      <c r="B2179" s="93"/>
      <c r="C2179" s="94"/>
      <c r="D2179" s="90"/>
      <c r="E2179" s="90"/>
      <c r="F2179" s="90"/>
      <c r="G2179" s="90"/>
      <c r="H2179" s="77"/>
      <c r="I2179" s="90"/>
      <c r="J2179" s="90"/>
      <c r="K2179" s="292"/>
      <c r="L2179" s="292"/>
      <c r="M2179" s="75"/>
      <c r="N2179" s="75"/>
      <c r="O2179" s="84"/>
      <c r="P2179" s="75"/>
      <c r="Q2179" s="75"/>
      <c r="R2179" s="84"/>
      <c r="S2179" s="48"/>
      <c r="T2179" s="48"/>
    </row>
    <row r="2180" spans="1:20" customFormat="1">
      <c r="A2180" s="40"/>
      <c r="B2180" s="93"/>
      <c r="C2180" s="94"/>
      <c r="D2180" s="90"/>
      <c r="E2180" s="90"/>
      <c r="F2180" s="90"/>
      <c r="G2180" s="90"/>
      <c r="H2180" s="77"/>
      <c r="I2180" s="90"/>
      <c r="J2180" s="90"/>
      <c r="K2180" s="292"/>
      <c r="L2180" s="292"/>
      <c r="M2180" s="75"/>
      <c r="N2180" s="75"/>
      <c r="O2180" s="84"/>
      <c r="P2180" s="75"/>
      <c r="Q2180" s="75"/>
      <c r="R2180" s="84"/>
      <c r="S2180" s="48"/>
      <c r="T2180" s="48"/>
    </row>
    <row r="2181" spans="1:20" customFormat="1">
      <c r="A2181" s="40"/>
      <c r="B2181" s="93"/>
      <c r="C2181" s="94"/>
      <c r="D2181" s="90"/>
      <c r="E2181" s="90"/>
      <c r="F2181" s="90"/>
      <c r="G2181" s="90"/>
      <c r="H2181" s="77"/>
      <c r="I2181" s="90"/>
      <c r="J2181" s="90"/>
      <c r="K2181" s="292"/>
      <c r="L2181" s="292"/>
      <c r="M2181" s="75"/>
      <c r="N2181" s="75"/>
      <c r="O2181" s="84"/>
      <c r="P2181" s="75"/>
      <c r="Q2181" s="75"/>
      <c r="R2181" s="84"/>
      <c r="S2181" s="48"/>
      <c r="T2181" s="48"/>
    </row>
    <row r="2182" spans="1:20" customFormat="1">
      <c r="A2182" s="40"/>
      <c r="B2182" s="93"/>
      <c r="C2182" s="94"/>
      <c r="D2182" s="90"/>
      <c r="E2182" s="90"/>
      <c r="F2182" s="90"/>
      <c r="G2182" s="90"/>
      <c r="H2182" s="77"/>
      <c r="I2182" s="90"/>
      <c r="J2182" s="90"/>
      <c r="K2182" s="292"/>
      <c r="L2182" s="292"/>
      <c r="M2182" s="75"/>
      <c r="N2182" s="75"/>
      <c r="O2182" s="84"/>
      <c r="P2182" s="75"/>
      <c r="Q2182" s="75"/>
      <c r="R2182" s="84"/>
      <c r="S2182" s="48"/>
      <c r="T2182" s="48"/>
    </row>
    <row r="2183" spans="1:20" customFormat="1">
      <c r="A2183" s="40"/>
      <c r="B2183" s="93"/>
      <c r="C2183" s="94"/>
      <c r="D2183" s="90"/>
      <c r="E2183" s="90"/>
      <c r="F2183" s="90"/>
      <c r="G2183" s="90"/>
      <c r="H2183" s="77"/>
      <c r="I2183" s="90"/>
      <c r="J2183" s="90"/>
      <c r="K2183" s="292"/>
      <c r="L2183" s="292"/>
      <c r="M2183" s="75"/>
      <c r="N2183" s="75"/>
      <c r="O2183" s="84"/>
      <c r="P2183" s="75"/>
      <c r="Q2183" s="75"/>
      <c r="R2183" s="84"/>
      <c r="S2183" s="48"/>
      <c r="T2183" s="48"/>
    </row>
    <row r="2184" spans="1:20" customFormat="1">
      <c r="A2184" s="40"/>
      <c r="B2184" s="93"/>
      <c r="C2184" s="94"/>
      <c r="D2184" s="90"/>
      <c r="E2184" s="90"/>
      <c r="F2184" s="90"/>
      <c r="G2184" s="90"/>
      <c r="H2184" s="77"/>
      <c r="I2184" s="90"/>
      <c r="J2184" s="90"/>
      <c r="K2184" s="292"/>
      <c r="L2184" s="292"/>
      <c r="M2184" s="75"/>
      <c r="N2184" s="75"/>
      <c r="O2184" s="84"/>
      <c r="P2184" s="75"/>
      <c r="Q2184" s="75"/>
      <c r="R2184" s="84"/>
      <c r="S2184" s="48"/>
      <c r="T2184" s="48"/>
    </row>
    <row r="2185" spans="1:20" customFormat="1">
      <c r="A2185" s="40"/>
      <c r="B2185" s="93"/>
      <c r="C2185" s="94"/>
      <c r="D2185" s="90"/>
      <c r="E2185" s="90"/>
      <c r="F2185" s="90"/>
      <c r="G2185" s="90"/>
      <c r="H2185" s="77"/>
      <c r="I2185" s="90"/>
      <c r="J2185" s="90"/>
      <c r="K2185" s="292"/>
      <c r="L2185" s="292"/>
      <c r="M2185" s="75"/>
      <c r="N2185" s="75"/>
      <c r="O2185" s="84"/>
      <c r="P2185" s="75"/>
      <c r="Q2185" s="75"/>
      <c r="R2185" s="84"/>
      <c r="S2185" s="48"/>
      <c r="T2185" s="48"/>
    </row>
    <row r="2186" spans="1:20" customFormat="1">
      <c r="A2186" s="40"/>
      <c r="B2186" s="93"/>
      <c r="C2186" s="94"/>
      <c r="D2186" s="90"/>
      <c r="E2186" s="90"/>
      <c r="F2186" s="90"/>
      <c r="G2186" s="90"/>
      <c r="H2186" s="77"/>
      <c r="I2186" s="90"/>
      <c r="J2186" s="90"/>
      <c r="K2186" s="292"/>
      <c r="L2186" s="292"/>
      <c r="M2186" s="75"/>
      <c r="N2186" s="75"/>
      <c r="O2186" s="84"/>
      <c r="P2186" s="75"/>
      <c r="Q2186" s="75"/>
      <c r="R2186" s="84"/>
      <c r="S2186" s="48"/>
      <c r="T2186" s="48"/>
    </row>
  </sheetData>
  <mergeCells count="9">
    <mergeCell ref="B9:B10"/>
    <mergeCell ref="C9:G9"/>
    <mergeCell ref="H9:H10"/>
    <mergeCell ref="B1:H1"/>
    <mergeCell ref="B2:H2"/>
    <mergeCell ref="B3:H3"/>
    <mergeCell ref="B5:H5"/>
    <mergeCell ref="B6:H6"/>
    <mergeCell ref="B7:H7"/>
  </mergeCells>
  <pageMargins left="0.59055118110236227" right="0.15748031496062992" top="0.51181102362204722" bottom="0.27559055118110237" header="0.19685039370078741" footer="0.15748031496062992"/>
  <pageSetup paperSize="9" scale="94" fitToHeight="2" orientation="portrait" r:id="rId1"/>
  <headerFooter differentFirst="1" alignWithMargins="0">
    <oddHeader>&amp;C&amp;"Times New Roman,обычный"&amp;P</oddHeader>
  </headerFooter>
</worksheet>
</file>

<file path=xl/worksheets/sheet6.xml><?xml version="1.0" encoding="utf-8"?>
<worksheet xmlns="http://schemas.openxmlformats.org/spreadsheetml/2006/main" xmlns:r="http://schemas.openxmlformats.org/officeDocument/2006/relationships">
  <sheetPr>
    <tabColor rgb="FFFFFF00"/>
    <pageSetUpPr fitToPage="1"/>
  </sheetPr>
  <dimension ref="A1:M2656"/>
  <sheetViews>
    <sheetView view="pageBreakPreview" zoomScaleNormal="100" zoomScaleSheetLayoutView="100" workbookViewId="0">
      <selection activeCell="B4" sqref="B4"/>
    </sheetView>
  </sheetViews>
  <sheetFormatPr defaultColWidth="8.7265625" defaultRowHeight="18"/>
  <cols>
    <col min="1" max="1" width="6.81640625" style="40" customWidth="1"/>
    <col min="2" max="2" width="39.7265625" style="72" customWidth="1"/>
    <col min="3" max="3" width="4.26953125" style="73" customWidth="1"/>
    <col min="4" max="4" width="3.36328125" style="74" customWidth="1"/>
    <col min="5" max="5" width="3.26953125" style="74" customWidth="1"/>
    <col min="6" max="6" width="9.7265625" style="74" customWidth="1"/>
    <col min="7" max="7" width="4" style="74" customWidth="1"/>
    <col min="8" max="8" width="13.1796875" style="75" customWidth="1"/>
    <col min="9" max="10" width="10" style="74" hidden="1" customWidth="1"/>
    <col min="11" max="11" width="17.54296875" style="294" hidden="1" customWidth="1"/>
    <col min="12" max="12" width="58.54296875" style="294" hidden="1" customWidth="1"/>
    <col min="13" max="13" width="8.7265625" style="41" hidden="1" customWidth="1"/>
    <col min="14" max="14" width="0" style="48" hidden="1" customWidth="1"/>
    <col min="15" max="16384" width="8.7265625" style="48"/>
  </cols>
  <sheetData>
    <row r="1" spans="1:13" s="6" customFormat="1" ht="15.75">
      <c r="A1" s="1"/>
      <c r="B1" s="511" t="s">
        <v>993</v>
      </c>
      <c r="C1" s="511"/>
      <c r="D1" s="511"/>
      <c r="E1" s="511"/>
      <c r="F1" s="511"/>
      <c r="G1" s="511"/>
      <c r="H1" s="511"/>
      <c r="I1" s="311"/>
      <c r="J1" s="349"/>
      <c r="K1" s="304"/>
      <c r="L1" s="293"/>
      <c r="M1" s="4"/>
    </row>
    <row r="2" spans="1:13" s="6" customFormat="1" ht="15.75">
      <c r="A2" s="1"/>
      <c r="B2" s="512" t="s">
        <v>1001</v>
      </c>
      <c r="C2" s="512"/>
      <c r="D2" s="512"/>
      <c r="E2" s="512"/>
      <c r="F2" s="512"/>
      <c r="G2" s="512"/>
      <c r="H2" s="512"/>
      <c r="I2" s="312"/>
      <c r="J2" s="350"/>
      <c r="K2" s="4"/>
      <c r="L2" s="4"/>
    </row>
    <row r="3" spans="1:13" s="6" customFormat="1" ht="15.75">
      <c r="A3" s="1"/>
      <c r="B3" s="512" t="s">
        <v>2438</v>
      </c>
      <c r="C3" s="512"/>
      <c r="D3" s="512"/>
      <c r="E3" s="512"/>
      <c r="F3" s="512"/>
      <c r="G3" s="512"/>
      <c r="H3" s="512"/>
      <c r="I3" s="312"/>
      <c r="J3" s="350"/>
      <c r="K3" s="4"/>
      <c r="L3" s="4"/>
    </row>
    <row r="4" spans="1:13" s="6" customFormat="1" ht="15.75">
      <c r="A4" s="1"/>
      <c r="B4" s="312"/>
      <c r="C4" s="312"/>
      <c r="D4" s="312"/>
      <c r="E4" s="312"/>
      <c r="F4" s="312"/>
      <c r="G4" s="312"/>
      <c r="H4" s="312"/>
      <c r="I4" s="312"/>
      <c r="J4" s="350"/>
      <c r="K4" s="4"/>
      <c r="L4" s="4"/>
    </row>
    <row r="5" spans="1:13" s="6" customFormat="1" ht="15.75">
      <c r="A5" s="1"/>
      <c r="B5" s="512" t="s">
        <v>994</v>
      </c>
      <c r="C5" s="512"/>
      <c r="D5" s="512"/>
      <c r="E5" s="512"/>
      <c r="F5" s="512"/>
      <c r="G5" s="512"/>
      <c r="H5" s="512"/>
      <c r="I5" s="312"/>
      <c r="J5" s="350"/>
      <c r="K5" s="4"/>
      <c r="L5" s="4"/>
    </row>
    <row r="6" spans="1:13" s="6" customFormat="1" ht="15.75">
      <c r="A6" s="1"/>
      <c r="B6" s="512" t="s">
        <v>995</v>
      </c>
      <c r="C6" s="512"/>
      <c r="D6" s="512"/>
      <c r="E6" s="512"/>
      <c r="F6" s="512"/>
      <c r="G6" s="512"/>
      <c r="H6" s="512"/>
      <c r="I6" s="312"/>
      <c r="J6" s="350"/>
      <c r="K6" s="4"/>
      <c r="L6" s="4"/>
    </row>
    <row r="7" spans="1:13" s="6" customFormat="1" ht="15.75">
      <c r="A7" s="1"/>
      <c r="B7" s="513"/>
      <c r="C7" s="513"/>
      <c r="D7" s="513"/>
      <c r="E7" s="513"/>
      <c r="F7" s="513"/>
      <c r="G7" s="513"/>
      <c r="H7" s="513"/>
      <c r="I7" s="313"/>
      <c r="J7" s="351"/>
      <c r="K7" s="4"/>
      <c r="L7" s="4"/>
    </row>
    <row r="8" spans="1:13" s="6" customFormat="1" ht="15.75">
      <c r="A8" s="1"/>
      <c r="B8" s="312"/>
      <c r="C8" s="312"/>
      <c r="D8" s="312"/>
      <c r="E8" s="312"/>
      <c r="F8" s="312"/>
      <c r="G8" s="111"/>
      <c r="H8" s="112" t="s">
        <v>996</v>
      </c>
      <c r="I8" s="312"/>
      <c r="J8" s="350"/>
      <c r="K8" s="4"/>
      <c r="L8" s="4"/>
    </row>
    <row r="9" spans="1:13" s="6" customFormat="1" ht="38.25" customHeight="1">
      <c r="A9" s="1"/>
      <c r="B9" s="508" t="s">
        <v>997</v>
      </c>
      <c r="C9" s="508" t="s">
        <v>998</v>
      </c>
      <c r="D9" s="508"/>
      <c r="E9" s="508"/>
      <c r="F9" s="508"/>
      <c r="G9" s="508"/>
      <c r="H9" s="509" t="s">
        <v>999</v>
      </c>
      <c r="I9" s="313"/>
      <c r="J9" s="351"/>
      <c r="K9" s="4"/>
      <c r="L9" s="4"/>
    </row>
    <row r="10" spans="1:13" s="6" customFormat="1" ht="15.75">
      <c r="A10" s="1"/>
      <c r="B10" s="508"/>
      <c r="C10" s="310" t="s">
        <v>1000</v>
      </c>
      <c r="D10" s="310" t="s">
        <v>0</v>
      </c>
      <c r="E10" s="310" t="s">
        <v>1</v>
      </c>
      <c r="F10" s="310" t="s">
        <v>2</v>
      </c>
      <c r="G10" s="310" t="s">
        <v>3</v>
      </c>
      <c r="H10" s="510"/>
      <c r="I10" s="310" t="s">
        <v>2</v>
      </c>
      <c r="J10" s="347"/>
      <c r="K10" s="4"/>
      <c r="L10" s="4"/>
    </row>
    <row r="11" spans="1:13" s="13" customFormat="1" ht="15.75">
      <c r="A11" s="1"/>
      <c r="B11" s="114">
        <v>1</v>
      </c>
      <c r="C11" s="115">
        <v>2</v>
      </c>
      <c r="D11" s="115">
        <v>3</v>
      </c>
      <c r="E11" s="115" t="s">
        <v>4</v>
      </c>
      <c r="F11" s="115">
        <v>5</v>
      </c>
      <c r="G11" s="115">
        <v>6</v>
      </c>
      <c r="H11" s="115">
        <v>7</v>
      </c>
      <c r="I11" s="115">
        <v>5</v>
      </c>
      <c r="J11" s="115"/>
      <c r="K11" s="1"/>
      <c r="L11" s="1"/>
    </row>
    <row r="12" spans="1:13" s="16" customFormat="1" ht="15.75">
      <c r="A12" s="14"/>
      <c r="B12" s="67" t="s">
        <v>5</v>
      </c>
      <c r="C12" s="116" t="s">
        <v>6</v>
      </c>
      <c r="D12" s="69" t="s">
        <v>7</v>
      </c>
      <c r="E12" s="69" t="s">
        <v>7</v>
      </c>
      <c r="F12" s="69" t="s">
        <v>8</v>
      </c>
      <c r="G12" s="69" t="s">
        <v>9</v>
      </c>
      <c r="H12" s="70">
        <v>55604601.330000006</v>
      </c>
      <c r="I12" s="69">
        <v>0</v>
      </c>
      <c r="J12" s="69" t="str">
        <f>TEXT(I12,"0000000000")</f>
        <v>0000000000</v>
      </c>
      <c r="K12" s="304" t="str">
        <f t="shared" ref="K12:K68" si="0">C12&amp;D12&amp;E12&amp;J12&amp;G12</f>
        <v>60000000000000000000</v>
      </c>
      <c r="L12" s="17" t="str">
        <f>INDEX('реш СГД № 265'!$A:$N,MATCH('БА расх 2018 31 12 2018'!$K12,'реш СГД № 265'!$N:$N,0),3)</f>
        <v xml:space="preserve">Ставропольская городская Дума </v>
      </c>
      <c r="M12" s="16">
        <f>IF(B12=L12,1,0)</f>
        <v>1</v>
      </c>
    </row>
    <row r="13" spans="1:13" s="16" customFormat="1" ht="15.75">
      <c r="A13" s="14"/>
      <c r="B13" s="117" t="s">
        <v>10</v>
      </c>
      <c r="C13" s="118" t="s">
        <v>6</v>
      </c>
      <c r="D13" s="119" t="s">
        <v>11</v>
      </c>
      <c r="E13" s="119" t="s">
        <v>7</v>
      </c>
      <c r="F13" s="119" t="s">
        <v>8</v>
      </c>
      <c r="G13" s="119" t="s">
        <v>9</v>
      </c>
      <c r="H13" s="120">
        <v>48514162.330000006</v>
      </c>
      <c r="I13" s="119">
        <v>0</v>
      </c>
      <c r="J13" s="119" t="str">
        <f t="shared" ref="J13:J69" si="1">TEXT(I13,"0000000000")</f>
        <v>0000000000</v>
      </c>
      <c r="K13" s="304" t="str">
        <f t="shared" si="0"/>
        <v>60001000000000000000</v>
      </c>
      <c r="L13" s="17" t="str">
        <f>INDEX('реш СГД № 265'!$A:$N,MATCH('БА расх 2018 31 12 2018'!$K13,'реш СГД № 265'!$N:$N,0),3)</f>
        <v>Общегосударственные вопросы</v>
      </c>
      <c r="M13" s="16">
        <f>IF(B13=L13,1,0)</f>
        <v>1</v>
      </c>
    </row>
    <row r="14" spans="1:13" s="16" customFormat="1" ht="47.25">
      <c r="A14" s="14"/>
      <c r="B14" s="121" t="s">
        <v>12</v>
      </c>
      <c r="C14" s="122" t="s">
        <v>6</v>
      </c>
      <c r="D14" s="123" t="s">
        <v>11</v>
      </c>
      <c r="E14" s="123" t="s">
        <v>13</v>
      </c>
      <c r="F14" s="123" t="s">
        <v>8</v>
      </c>
      <c r="G14" s="123" t="s">
        <v>9</v>
      </c>
      <c r="H14" s="124">
        <v>48514162.330000006</v>
      </c>
      <c r="I14" s="123">
        <v>0</v>
      </c>
      <c r="J14" s="123" t="str">
        <f t="shared" si="1"/>
        <v>0000000000</v>
      </c>
      <c r="K14" s="304" t="str">
        <f t="shared" si="0"/>
        <v>60001030000000000000</v>
      </c>
      <c r="L14" s="17" t="str">
        <f>INDEX('реш СГД № 265'!$A:$N,MATCH('БА расх 2018 31 12 2018'!$K14,'реш СГД № 265'!$N:$N,0),3)</f>
        <v>Функционирование законодательных (представительных) органов государственной власти и представительных органов муниципальных образований</v>
      </c>
      <c r="M14" s="16">
        <f t="shared" ref="M14:M69" si="2">IF(B14=L14,1,0)</f>
        <v>1</v>
      </c>
    </row>
    <row r="15" spans="1:13" s="16" customFormat="1" ht="15.75">
      <c r="A15" s="14"/>
      <c r="B15" s="125" t="s">
        <v>14</v>
      </c>
      <c r="C15" s="109" t="s">
        <v>6</v>
      </c>
      <c r="D15" s="108" t="s">
        <v>11</v>
      </c>
      <c r="E15" s="108" t="s">
        <v>13</v>
      </c>
      <c r="F15" s="108" t="s">
        <v>15</v>
      </c>
      <c r="G15" s="108" t="s">
        <v>9</v>
      </c>
      <c r="H15" s="126">
        <v>48514162.330000006</v>
      </c>
      <c r="I15" s="108">
        <v>7000000000</v>
      </c>
      <c r="J15" s="108" t="str">
        <f t="shared" si="1"/>
        <v>7000000000</v>
      </c>
      <c r="K15" s="304" t="str">
        <f t="shared" si="0"/>
        <v>60001037000000000000</v>
      </c>
      <c r="L15" s="17" t="str">
        <f>INDEX('реш СГД № 265'!$A:$N,MATCH('БА расх 2018 31 12 2018'!$K15,'реш СГД № 265'!$N:$N,0),3)</f>
        <v>Обеспечение деятельности Ставропольской городской Думы</v>
      </c>
      <c r="M15" s="16">
        <f t="shared" si="2"/>
        <v>1</v>
      </c>
    </row>
    <row r="16" spans="1:13" s="16" customFormat="1" ht="31.5">
      <c r="A16" s="14"/>
      <c r="B16" s="125" t="s">
        <v>16</v>
      </c>
      <c r="C16" s="109" t="s">
        <v>6</v>
      </c>
      <c r="D16" s="108" t="s">
        <v>11</v>
      </c>
      <c r="E16" s="108" t="s">
        <v>13</v>
      </c>
      <c r="F16" s="108" t="s">
        <v>17</v>
      </c>
      <c r="G16" s="108" t="s">
        <v>9</v>
      </c>
      <c r="H16" s="126">
        <v>44393959.880000003</v>
      </c>
      <c r="I16" s="108">
        <v>7010000000</v>
      </c>
      <c r="J16" s="108" t="str">
        <f t="shared" si="1"/>
        <v>7010000000</v>
      </c>
      <c r="K16" s="304" t="str">
        <f t="shared" si="0"/>
        <v>60001037010000000000</v>
      </c>
      <c r="L16" s="17" t="str">
        <f>INDEX('реш СГД № 265'!$A:$N,MATCH('БА расх 2018 31 12 2018'!$K16,'реш СГД № 265'!$N:$N,0),3)</f>
        <v>Непрограммные расходы в рамках обеспечения деятельности Ставропольской городской Думы</v>
      </c>
      <c r="M16" s="16">
        <f t="shared" si="2"/>
        <v>1</v>
      </c>
    </row>
    <row r="17" spans="1:13" s="16" customFormat="1" ht="31.5">
      <c r="A17" s="14"/>
      <c r="B17" s="125" t="s">
        <v>18</v>
      </c>
      <c r="C17" s="109" t="s">
        <v>6</v>
      </c>
      <c r="D17" s="108" t="s">
        <v>11</v>
      </c>
      <c r="E17" s="108" t="s">
        <v>13</v>
      </c>
      <c r="F17" s="108" t="s">
        <v>19</v>
      </c>
      <c r="G17" s="108" t="s">
        <v>9</v>
      </c>
      <c r="H17" s="126">
        <v>9879252.0700000003</v>
      </c>
      <c r="I17" s="108">
        <v>7010010010</v>
      </c>
      <c r="J17" s="108" t="str">
        <f t="shared" si="1"/>
        <v>7010010010</v>
      </c>
      <c r="K17" s="304" t="str">
        <f t="shared" si="0"/>
        <v>60001037010010010000</v>
      </c>
      <c r="L17" s="17" t="str">
        <f>INDEX('реш СГД № 265'!$A:$N,MATCH('БА расх 2018 31 12 2018'!$K17,'реш СГД № 265'!$N:$N,0),3)</f>
        <v>Расходы на обеспечение функций органов местного самоуправления города Ставрополя</v>
      </c>
      <c r="M17" s="16">
        <f t="shared" si="2"/>
        <v>1</v>
      </c>
    </row>
    <row r="18" spans="1:13" s="16" customFormat="1" ht="31.5">
      <c r="A18" s="14"/>
      <c r="B18" s="127" t="s">
        <v>20</v>
      </c>
      <c r="C18" s="109" t="s">
        <v>6</v>
      </c>
      <c r="D18" s="108" t="s">
        <v>11</v>
      </c>
      <c r="E18" s="108" t="s">
        <v>13</v>
      </c>
      <c r="F18" s="108" t="s">
        <v>19</v>
      </c>
      <c r="G18" s="108" t="s">
        <v>21</v>
      </c>
      <c r="H18" s="126">
        <v>3826375.25</v>
      </c>
      <c r="I18" s="108">
        <v>7010010010</v>
      </c>
      <c r="J18" s="108" t="str">
        <f t="shared" si="1"/>
        <v>7010010010</v>
      </c>
      <c r="K18" s="304" t="str">
        <f t="shared" si="0"/>
        <v>60001037010010010120</v>
      </c>
      <c r="L18" s="17" t="str">
        <f>INDEX('реш СГД № 265'!$A:$N,MATCH('БА расх 2018 31 12 2018'!$K18,'реш СГД № 265'!$N:$N,0),3)</f>
        <v>Расходы на выплаты персоналу государственных (муниципальных) органов</v>
      </c>
      <c r="M18" s="16">
        <f t="shared" si="2"/>
        <v>1</v>
      </c>
    </row>
    <row r="19" spans="1:13" s="23" customFormat="1" ht="31.5">
      <c r="A19" s="21"/>
      <c r="B19" s="127" t="s">
        <v>22</v>
      </c>
      <c r="C19" s="109" t="s">
        <v>6</v>
      </c>
      <c r="D19" s="108" t="s">
        <v>11</v>
      </c>
      <c r="E19" s="108" t="s">
        <v>13</v>
      </c>
      <c r="F19" s="108" t="s">
        <v>19</v>
      </c>
      <c r="G19" s="108" t="s">
        <v>23</v>
      </c>
      <c r="H19" s="126">
        <v>1198057.0900000001</v>
      </c>
      <c r="I19" s="108">
        <v>7010010010</v>
      </c>
      <c r="J19" s="108" t="str">
        <f t="shared" si="1"/>
        <v>7010010010</v>
      </c>
      <c r="K19" s="304" t="str">
        <f t="shared" si="0"/>
        <v>60001037010010010122</v>
      </c>
      <c r="L19" s="17"/>
      <c r="M19" s="16"/>
    </row>
    <row r="20" spans="1:13" s="23" customFormat="1" ht="63">
      <c r="A20" s="21"/>
      <c r="B20" s="127" t="s">
        <v>24</v>
      </c>
      <c r="C20" s="109" t="s">
        <v>6</v>
      </c>
      <c r="D20" s="108" t="s">
        <v>11</v>
      </c>
      <c r="E20" s="108" t="s">
        <v>13</v>
      </c>
      <c r="F20" s="108" t="s">
        <v>19</v>
      </c>
      <c r="G20" s="108" t="s">
        <v>25</v>
      </c>
      <c r="H20" s="126">
        <v>2426598</v>
      </c>
      <c r="I20" s="108">
        <v>7010010010</v>
      </c>
      <c r="J20" s="108" t="str">
        <f t="shared" si="1"/>
        <v>7010010010</v>
      </c>
      <c r="K20" s="304" t="str">
        <f t="shared" si="0"/>
        <v>60001037010010010123</v>
      </c>
      <c r="L20" s="17"/>
      <c r="M20" s="16"/>
    </row>
    <row r="21" spans="1:13" s="23" customFormat="1" ht="47.25">
      <c r="A21" s="21"/>
      <c r="B21" s="127" t="s">
        <v>26</v>
      </c>
      <c r="C21" s="109" t="s">
        <v>6</v>
      </c>
      <c r="D21" s="108" t="s">
        <v>11</v>
      </c>
      <c r="E21" s="108" t="s">
        <v>13</v>
      </c>
      <c r="F21" s="108" t="s">
        <v>19</v>
      </c>
      <c r="G21" s="108" t="s">
        <v>27</v>
      </c>
      <c r="H21" s="126">
        <v>201720.16</v>
      </c>
      <c r="I21" s="108">
        <v>7010010010</v>
      </c>
      <c r="J21" s="108" t="str">
        <f t="shared" si="1"/>
        <v>7010010010</v>
      </c>
      <c r="K21" s="304" t="str">
        <f t="shared" si="0"/>
        <v>60001037010010010129</v>
      </c>
      <c r="L21" s="17"/>
      <c r="M21" s="16"/>
    </row>
    <row r="22" spans="1:13" s="16" customFormat="1" ht="31.5">
      <c r="A22" s="14"/>
      <c r="B22" s="125" t="s">
        <v>28</v>
      </c>
      <c r="C22" s="109" t="s">
        <v>6</v>
      </c>
      <c r="D22" s="108" t="s">
        <v>11</v>
      </c>
      <c r="E22" s="108" t="s">
        <v>13</v>
      </c>
      <c r="F22" s="108" t="s">
        <v>19</v>
      </c>
      <c r="G22" s="108" t="s">
        <v>29</v>
      </c>
      <c r="H22" s="126">
        <v>5976392.9900000002</v>
      </c>
      <c r="I22" s="108">
        <v>7010010010</v>
      </c>
      <c r="J22" s="108" t="str">
        <f t="shared" si="1"/>
        <v>7010010010</v>
      </c>
      <c r="K22" s="304" t="str">
        <f t="shared" si="0"/>
        <v>60001037010010010240</v>
      </c>
      <c r="L22" s="17" t="str">
        <f>INDEX('реш СГД № 265'!$A:$N,MATCH('БА расх 2018 31 12 2018'!$K22,'реш СГД № 265'!$N:$N,0),3)</f>
        <v>Иные закупки товаров, работ и услуг для обеспечения государственных (муниципальных) нужд</v>
      </c>
      <c r="M22" s="16">
        <f t="shared" si="2"/>
        <v>1</v>
      </c>
    </row>
    <row r="23" spans="1:13" s="16" customFormat="1" ht="15.75">
      <c r="A23" s="14"/>
      <c r="B23" s="125" t="s">
        <v>30</v>
      </c>
      <c r="C23" s="109" t="s">
        <v>6</v>
      </c>
      <c r="D23" s="108" t="s">
        <v>11</v>
      </c>
      <c r="E23" s="108" t="s">
        <v>13</v>
      </c>
      <c r="F23" s="108" t="s">
        <v>19</v>
      </c>
      <c r="G23" s="108" t="s">
        <v>31</v>
      </c>
      <c r="H23" s="126">
        <v>5976392.9900000002</v>
      </c>
      <c r="I23" s="108">
        <v>7010010010</v>
      </c>
      <c r="J23" s="108" t="str">
        <f t="shared" si="1"/>
        <v>7010010010</v>
      </c>
      <c r="K23" s="304" t="str">
        <f t="shared" si="0"/>
        <v>60001037010010010244</v>
      </c>
      <c r="L23" s="17"/>
    </row>
    <row r="24" spans="1:13" s="16" customFormat="1" ht="15.75">
      <c r="A24" s="14"/>
      <c r="B24" s="125" t="s">
        <v>32</v>
      </c>
      <c r="C24" s="109" t="s">
        <v>6</v>
      </c>
      <c r="D24" s="108" t="s">
        <v>11</v>
      </c>
      <c r="E24" s="108" t="s">
        <v>13</v>
      </c>
      <c r="F24" s="108" t="s">
        <v>19</v>
      </c>
      <c r="G24" s="108" t="s">
        <v>33</v>
      </c>
      <c r="H24" s="126">
        <v>76483.83</v>
      </c>
      <c r="I24" s="108">
        <v>7010010010</v>
      </c>
      <c r="J24" s="108" t="str">
        <f t="shared" si="1"/>
        <v>7010010010</v>
      </c>
      <c r="K24" s="304" t="str">
        <f t="shared" si="0"/>
        <v>60001037010010010850</v>
      </c>
      <c r="L24" s="17" t="str">
        <f>INDEX('реш СГД № 265'!$A:$N,MATCH('БА расх 2018 31 12 2018'!$K24,'реш СГД № 265'!$N:$N,0),3)</f>
        <v>Уплата налогов, сборов и иных платежей</v>
      </c>
      <c r="M24" s="16">
        <f t="shared" si="2"/>
        <v>1</v>
      </c>
    </row>
    <row r="25" spans="1:13" s="23" customFormat="1" ht="15.75">
      <c r="A25" s="21"/>
      <c r="B25" s="127" t="s">
        <v>36</v>
      </c>
      <c r="C25" s="109" t="s">
        <v>6</v>
      </c>
      <c r="D25" s="108" t="s">
        <v>11</v>
      </c>
      <c r="E25" s="108" t="s">
        <v>13</v>
      </c>
      <c r="F25" s="108" t="s">
        <v>19</v>
      </c>
      <c r="G25" s="108" t="s">
        <v>37</v>
      </c>
      <c r="H25" s="126">
        <v>76341</v>
      </c>
      <c r="I25" s="108">
        <v>7010010010</v>
      </c>
      <c r="J25" s="108" t="str">
        <f t="shared" si="1"/>
        <v>7010010010</v>
      </c>
      <c r="K25" s="304" t="str">
        <f t="shared" si="0"/>
        <v>60001037010010010852</v>
      </c>
      <c r="L25" s="17"/>
      <c r="M25" s="16"/>
    </row>
    <row r="26" spans="1:13" s="23" customFormat="1" ht="15.75">
      <c r="A26" s="21"/>
      <c r="B26" s="125" t="s">
        <v>77</v>
      </c>
      <c r="C26" s="109" t="s">
        <v>6</v>
      </c>
      <c r="D26" s="108" t="s">
        <v>11</v>
      </c>
      <c r="E26" s="108" t="s">
        <v>13</v>
      </c>
      <c r="F26" s="108" t="s">
        <v>19</v>
      </c>
      <c r="G26" s="108" t="s">
        <v>78</v>
      </c>
      <c r="H26" s="126">
        <v>142.83000000000001</v>
      </c>
      <c r="I26" s="108">
        <v>7010010010</v>
      </c>
      <c r="J26" s="108" t="str">
        <f t="shared" si="1"/>
        <v>7010010010</v>
      </c>
      <c r="K26" s="304" t="str">
        <f t="shared" si="0"/>
        <v>60001037010010010853</v>
      </c>
      <c r="L26" s="17"/>
      <c r="M26" s="16"/>
    </row>
    <row r="27" spans="1:13" s="16" customFormat="1" ht="31.5">
      <c r="A27" s="14"/>
      <c r="B27" s="127" t="s">
        <v>38</v>
      </c>
      <c r="C27" s="109" t="s">
        <v>6</v>
      </c>
      <c r="D27" s="108" t="s">
        <v>11</v>
      </c>
      <c r="E27" s="108" t="s">
        <v>13</v>
      </c>
      <c r="F27" s="108" t="s">
        <v>39</v>
      </c>
      <c r="G27" s="108" t="s">
        <v>9</v>
      </c>
      <c r="H27" s="126">
        <v>33379247.710000001</v>
      </c>
      <c r="I27" s="108">
        <v>7010010020</v>
      </c>
      <c r="J27" s="108" t="str">
        <f t="shared" si="1"/>
        <v>7010010020</v>
      </c>
      <c r="K27" s="304" t="str">
        <f t="shared" si="0"/>
        <v>60001037010010020000</v>
      </c>
      <c r="L27" s="17" t="str">
        <f>INDEX('реш СГД № 265'!$A:$N,MATCH('БА расх 2018 31 12 2018'!$K27,'реш СГД № 265'!$N:$N,0),3)</f>
        <v>Расходы на выплаты по оплате труда работников органов местного самоуправления города Ставрополя</v>
      </c>
      <c r="M27" s="16">
        <f t="shared" si="2"/>
        <v>1</v>
      </c>
    </row>
    <row r="28" spans="1:13" s="16" customFormat="1" ht="31.5">
      <c r="A28" s="14"/>
      <c r="B28" s="127" t="s">
        <v>20</v>
      </c>
      <c r="C28" s="109" t="s">
        <v>6</v>
      </c>
      <c r="D28" s="108" t="s">
        <v>11</v>
      </c>
      <c r="E28" s="108" t="s">
        <v>13</v>
      </c>
      <c r="F28" s="108" t="s">
        <v>39</v>
      </c>
      <c r="G28" s="108" t="s">
        <v>21</v>
      </c>
      <c r="H28" s="126">
        <v>33379247.710000001</v>
      </c>
      <c r="I28" s="108">
        <v>7010010020</v>
      </c>
      <c r="J28" s="108" t="str">
        <f t="shared" si="1"/>
        <v>7010010020</v>
      </c>
      <c r="K28" s="304" t="str">
        <f t="shared" si="0"/>
        <v>60001037010010020120</v>
      </c>
      <c r="L28" s="17" t="str">
        <f>INDEX('реш СГД № 265'!$A:$N,MATCH('БА расх 2018 31 12 2018'!$K28,'реш СГД № 265'!$N:$N,0),3)</f>
        <v>Расходы на выплаты персоналу государственных (муниципальных) органов</v>
      </c>
      <c r="M28" s="16">
        <f t="shared" si="2"/>
        <v>1</v>
      </c>
    </row>
    <row r="29" spans="1:13" s="23" customFormat="1" ht="31.5">
      <c r="A29" s="21"/>
      <c r="B29" s="127" t="s">
        <v>40</v>
      </c>
      <c r="C29" s="109" t="s">
        <v>6</v>
      </c>
      <c r="D29" s="108" t="s">
        <v>11</v>
      </c>
      <c r="E29" s="108" t="s">
        <v>13</v>
      </c>
      <c r="F29" s="108" t="s">
        <v>39</v>
      </c>
      <c r="G29" s="108" t="s">
        <v>41</v>
      </c>
      <c r="H29" s="126">
        <v>25738976.350000001</v>
      </c>
      <c r="I29" s="108">
        <v>7010010020</v>
      </c>
      <c r="J29" s="108" t="str">
        <f t="shared" si="1"/>
        <v>7010010020</v>
      </c>
      <c r="K29" s="304" t="str">
        <f t="shared" si="0"/>
        <v>60001037010010020121</v>
      </c>
      <c r="L29" s="17"/>
      <c r="M29" s="16"/>
    </row>
    <row r="30" spans="1:13" s="23" customFormat="1" ht="47.25">
      <c r="A30" s="21"/>
      <c r="B30" s="127" t="s">
        <v>26</v>
      </c>
      <c r="C30" s="109" t="s">
        <v>6</v>
      </c>
      <c r="D30" s="108" t="s">
        <v>11</v>
      </c>
      <c r="E30" s="108" t="s">
        <v>13</v>
      </c>
      <c r="F30" s="108" t="s">
        <v>39</v>
      </c>
      <c r="G30" s="108" t="s">
        <v>27</v>
      </c>
      <c r="H30" s="126">
        <v>7640271.3600000003</v>
      </c>
      <c r="I30" s="108">
        <v>7010010020</v>
      </c>
      <c r="J30" s="108" t="str">
        <f t="shared" si="1"/>
        <v>7010010020</v>
      </c>
      <c r="K30" s="304" t="str">
        <f t="shared" si="0"/>
        <v>60001037010010020129</v>
      </c>
      <c r="L30" s="17"/>
      <c r="M30" s="16"/>
    </row>
    <row r="31" spans="1:13" s="23" customFormat="1" ht="267.75">
      <c r="A31" s="21"/>
      <c r="B31" s="132" t="s">
        <v>2269</v>
      </c>
      <c r="C31" s="109" t="s">
        <v>6</v>
      </c>
      <c r="D31" s="108" t="s">
        <v>11</v>
      </c>
      <c r="E31" s="108" t="s">
        <v>13</v>
      </c>
      <c r="F31" s="108" t="s">
        <v>1264</v>
      </c>
      <c r="G31" s="108" t="s">
        <v>9</v>
      </c>
      <c r="H31" s="126">
        <v>1064636.51</v>
      </c>
      <c r="I31" s="108">
        <v>7010077460</v>
      </c>
      <c r="J31" s="108" t="str">
        <f t="shared" si="1"/>
        <v>7010077460</v>
      </c>
      <c r="K31" s="304" t="str">
        <f t="shared" si="0"/>
        <v>60001037010077460000</v>
      </c>
      <c r="L31" s="132" t="str">
        <f>INDEX('реш СГД № 265'!$A:$N,MATCH('БА расх 2018 31 12 2018'!$K31,'реш СГД № 265'!$N:$N,0),3)</f>
        <v>Субсидии на компенсацию расходов по повышению заработной платы муниципальных служащих муниципальной службы и лиц, не замещающих должности муниципальной службы и исполняющих обязанности по техническому обеспечению деятельности органов местного самоуправления муниципальных образований, а также работников муниципальных учреждений, за исключением отдельных категорий работников муниципальных учреждений, которым повышение заработной платы осуществляется в соответствии с указами Президента Российской Федерации от 7 мая 2012 года № 597 «О мероприятиях по реализации государственной социальной политики», от 1 июня 2012 года № 761 «О Национальной стратегии действий в интересах детей на 2012 - 2017 годы» и от 28 декабря 2012 года № 1688 «О некоторых мерах по реализации государственной политики в сфере защиты детей-сирот и детей, оставшихся без попечения родителей»</v>
      </c>
      <c r="M31" s="17">
        <f t="shared" si="2"/>
        <v>1</v>
      </c>
    </row>
    <row r="32" spans="1:13" s="23" customFormat="1" ht="31.5">
      <c r="A32" s="21"/>
      <c r="B32" s="164" t="s">
        <v>20</v>
      </c>
      <c r="C32" s="109" t="s">
        <v>6</v>
      </c>
      <c r="D32" s="108" t="s">
        <v>11</v>
      </c>
      <c r="E32" s="108" t="s">
        <v>13</v>
      </c>
      <c r="F32" s="108" t="s">
        <v>1264</v>
      </c>
      <c r="G32" s="108" t="s">
        <v>21</v>
      </c>
      <c r="H32" s="126">
        <v>1064636.51</v>
      </c>
      <c r="I32" s="108">
        <v>7010077460</v>
      </c>
      <c r="J32" s="108" t="str">
        <f t="shared" si="1"/>
        <v>7010077460</v>
      </c>
      <c r="K32" s="304" t="str">
        <f t="shared" si="0"/>
        <v>60001037010077460120</v>
      </c>
      <c r="L32" s="17" t="str">
        <f>INDEX('реш СГД № 265'!$A:$N,MATCH('БА расх 2018 31 12 2018'!$K32,'реш СГД № 265'!$N:$N,0),3)</f>
        <v>Расходы на выплаты персоналу государственных (муниципальных) органов</v>
      </c>
      <c r="M32" s="16">
        <f t="shared" si="2"/>
        <v>1</v>
      </c>
    </row>
    <row r="33" spans="1:13" s="23" customFormat="1" ht="31.5">
      <c r="A33" s="21"/>
      <c r="B33" s="127" t="s">
        <v>40</v>
      </c>
      <c r="C33" s="109" t="s">
        <v>6</v>
      </c>
      <c r="D33" s="108" t="s">
        <v>11</v>
      </c>
      <c r="E33" s="108" t="s">
        <v>13</v>
      </c>
      <c r="F33" s="108" t="s">
        <v>1264</v>
      </c>
      <c r="G33" s="108" t="s">
        <v>41</v>
      </c>
      <c r="H33" s="126">
        <v>806556.46</v>
      </c>
      <c r="I33" s="108">
        <v>7010077460</v>
      </c>
      <c r="J33" s="108" t="str">
        <f t="shared" si="1"/>
        <v>7010077460</v>
      </c>
      <c r="K33" s="304" t="str">
        <f t="shared" si="0"/>
        <v>60001037010077460121</v>
      </c>
      <c r="L33" s="17"/>
      <c r="M33" s="16"/>
    </row>
    <row r="34" spans="1:13" s="23" customFormat="1" ht="47.25">
      <c r="A34" s="21"/>
      <c r="B34" s="127" t="s">
        <v>26</v>
      </c>
      <c r="C34" s="109" t="s">
        <v>6</v>
      </c>
      <c r="D34" s="108" t="s">
        <v>11</v>
      </c>
      <c r="E34" s="108" t="s">
        <v>13</v>
      </c>
      <c r="F34" s="108" t="s">
        <v>1264</v>
      </c>
      <c r="G34" s="108" t="s">
        <v>27</v>
      </c>
      <c r="H34" s="126">
        <v>258080.05</v>
      </c>
      <c r="I34" s="108">
        <v>7010077460</v>
      </c>
      <c r="J34" s="108" t="str">
        <f t="shared" si="1"/>
        <v>7010077460</v>
      </c>
      <c r="K34" s="304" t="str">
        <f t="shared" si="0"/>
        <v>60001037010077460129</v>
      </c>
      <c r="L34" s="17"/>
      <c r="M34" s="16"/>
    </row>
    <row r="35" spans="1:13" s="23" customFormat="1" ht="236.25">
      <c r="A35" s="21"/>
      <c r="B35" s="127" t="s">
        <v>2247</v>
      </c>
      <c r="C35" s="109" t="s">
        <v>6</v>
      </c>
      <c r="D35" s="108" t="s">
        <v>11</v>
      </c>
      <c r="E35" s="108" t="s">
        <v>13</v>
      </c>
      <c r="F35" s="108" t="s">
        <v>2245</v>
      </c>
      <c r="G35" s="108" t="s">
        <v>9</v>
      </c>
      <c r="H35" s="126">
        <v>70823.59</v>
      </c>
      <c r="I35" s="108">
        <v>7010077580</v>
      </c>
      <c r="J35" s="108" t="str">
        <f t="shared" si="1"/>
        <v>7010077580</v>
      </c>
      <c r="K35" s="304" t="str">
        <f t="shared" si="0"/>
        <v>60001037010077580000</v>
      </c>
      <c r="L35" s="17" t="str">
        <f>INDEX('реш СГД № 265'!$A:$N,MATCH('БА расх 2018 31 12 2018'!$K35,'реш СГД № 265'!$N:$N,0),3)</f>
        <v>Субсидии на компенсацию расходов на обеспечение выплаты лицам, не замещающим муниципальные должности муниципальной службы и исполняющим обязанности по техническому обеспечению деятельности органов местного самоуправления муниципальных образований, работникам органов местного самоуправления муниципальных образований, осуществляющим профессиональную деятельность по профессиям рабочих, и работникам муниципальных учреждений заработной платы не ниже установленного с 01 мая 2018 года федеральным законом минимального размера оплаты труда, а также компенсацию расходов на обеспечение выплаты работникам муниципальных учреждений с 01 января 2018 года коэффициента к заработной плате за работу в пустынных и безводных местностях</v>
      </c>
      <c r="M35" s="16">
        <f t="shared" si="2"/>
        <v>1</v>
      </c>
    </row>
    <row r="36" spans="1:13" s="23" customFormat="1" ht="31.5">
      <c r="A36" s="21"/>
      <c r="B36" s="164" t="s">
        <v>20</v>
      </c>
      <c r="C36" s="109" t="s">
        <v>6</v>
      </c>
      <c r="D36" s="108" t="s">
        <v>11</v>
      </c>
      <c r="E36" s="108" t="s">
        <v>13</v>
      </c>
      <c r="F36" s="108" t="s">
        <v>2245</v>
      </c>
      <c r="G36" s="108" t="s">
        <v>21</v>
      </c>
      <c r="H36" s="126">
        <v>70823.59</v>
      </c>
      <c r="I36" s="108">
        <v>7010077580</v>
      </c>
      <c r="J36" s="108" t="str">
        <f t="shared" si="1"/>
        <v>7010077580</v>
      </c>
      <c r="K36" s="304" t="str">
        <f t="shared" si="0"/>
        <v>60001037010077580120</v>
      </c>
      <c r="L36" s="17" t="str">
        <f>INDEX('реш СГД № 265'!$A:$N,MATCH('БА расх 2018 31 12 2018'!$K36,'реш СГД № 265'!$N:$N,0),3)</f>
        <v>Расходы на выплаты персоналу государственных (муниципальных) органов</v>
      </c>
      <c r="M36" s="16">
        <f t="shared" si="2"/>
        <v>1</v>
      </c>
    </row>
    <row r="37" spans="1:13" s="23" customFormat="1" ht="31.5">
      <c r="A37" s="21"/>
      <c r="B37" s="127" t="s">
        <v>40</v>
      </c>
      <c r="C37" s="109" t="s">
        <v>6</v>
      </c>
      <c r="D37" s="108" t="s">
        <v>11</v>
      </c>
      <c r="E37" s="108" t="s">
        <v>13</v>
      </c>
      <c r="F37" s="108" t="s">
        <v>2245</v>
      </c>
      <c r="G37" s="108" t="s">
        <v>41</v>
      </c>
      <c r="H37" s="126">
        <v>54396</v>
      </c>
      <c r="I37" s="108">
        <v>7010077580</v>
      </c>
      <c r="J37" s="108" t="str">
        <f t="shared" si="1"/>
        <v>7010077580</v>
      </c>
      <c r="K37" s="304" t="str">
        <f t="shared" si="0"/>
        <v>60001037010077580121</v>
      </c>
      <c r="L37" s="17"/>
      <c r="M37" s="16"/>
    </row>
    <row r="38" spans="1:13" s="23" customFormat="1" ht="47.25">
      <c r="A38" s="21"/>
      <c r="B38" s="127" t="s">
        <v>26</v>
      </c>
      <c r="C38" s="109" t="s">
        <v>6</v>
      </c>
      <c r="D38" s="108" t="s">
        <v>11</v>
      </c>
      <c r="E38" s="108" t="s">
        <v>13</v>
      </c>
      <c r="F38" s="108" t="s">
        <v>2245</v>
      </c>
      <c r="G38" s="108" t="s">
        <v>27</v>
      </c>
      <c r="H38" s="126">
        <v>16427.59</v>
      </c>
      <c r="I38" s="108">
        <v>7010077580</v>
      </c>
      <c r="J38" s="108" t="str">
        <f t="shared" si="1"/>
        <v>7010077580</v>
      </c>
      <c r="K38" s="304" t="str">
        <f t="shared" si="0"/>
        <v>60001037010077580129</v>
      </c>
      <c r="L38" s="17"/>
      <c r="M38" s="16"/>
    </row>
    <row r="39" spans="1:13" s="16" customFormat="1" ht="31.5">
      <c r="A39" s="14"/>
      <c r="B39" s="127" t="s">
        <v>42</v>
      </c>
      <c r="C39" s="109" t="s">
        <v>6</v>
      </c>
      <c r="D39" s="108" t="s">
        <v>11</v>
      </c>
      <c r="E39" s="108" t="s">
        <v>13</v>
      </c>
      <c r="F39" s="108" t="s">
        <v>43</v>
      </c>
      <c r="G39" s="108" t="s">
        <v>9</v>
      </c>
      <c r="H39" s="126">
        <v>1659494.1800000002</v>
      </c>
      <c r="I39" s="108">
        <v>7020000000</v>
      </c>
      <c r="J39" s="108" t="str">
        <f t="shared" si="1"/>
        <v>7020000000</v>
      </c>
      <c r="K39" s="304" t="str">
        <f t="shared" si="0"/>
        <v>60001037020000000000</v>
      </c>
      <c r="L39" s="17" t="str">
        <f>INDEX('реш СГД № 265'!$A:$N,MATCH('БА расх 2018 31 12 2018'!$K39,'реш СГД № 265'!$N:$N,0),3)</f>
        <v>Председатель представительного органа муниципального образования</v>
      </c>
      <c r="M39" s="16">
        <f t="shared" si="2"/>
        <v>1</v>
      </c>
    </row>
    <row r="40" spans="1:13" s="16" customFormat="1" ht="31.5">
      <c r="A40" s="14"/>
      <c r="B40" s="125" t="s">
        <v>18</v>
      </c>
      <c r="C40" s="109" t="s">
        <v>6</v>
      </c>
      <c r="D40" s="108" t="s">
        <v>11</v>
      </c>
      <c r="E40" s="108" t="s">
        <v>13</v>
      </c>
      <c r="F40" s="108" t="s">
        <v>44</v>
      </c>
      <c r="G40" s="108" t="s">
        <v>9</v>
      </c>
      <c r="H40" s="126">
        <v>41550</v>
      </c>
      <c r="I40" s="108">
        <v>7020010010</v>
      </c>
      <c r="J40" s="108" t="str">
        <f t="shared" si="1"/>
        <v>7020010010</v>
      </c>
      <c r="K40" s="304" t="str">
        <f t="shared" si="0"/>
        <v>60001037020010010000</v>
      </c>
      <c r="L40" s="17" t="str">
        <f>INDEX('реш СГД № 265'!$A:$N,MATCH('БА расх 2018 31 12 2018'!$K40,'реш СГД № 265'!$N:$N,0),3)</f>
        <v>Расходы на обеспечение функций органов местного самоуправления города Ставрополя</v>
      </c>
      <c r="M40" s="16">
        <f t="shared" si="2"/>
        <v>1</v>
      </c>
    </row>
    <row r="41" spans="1:13" s="16" customFormat="1" ht="31.5">
      <c r="A41" s="14"/>
      <c r="B41" s="127" t="s">
        <v>20</v>
      </c>
      <c r="C41" s="109" t="s">
        <v>6</v>
      </c>
      <c r="D41" s="108" t="s">
        <v>11</v>
      </c>
      <c r="E41" s="108" t="s">
        <v>13</v>
      </c>
      <c r="F41" s="108" t="s">
        <v>44</v>
      </c>
      <c r="G41" s="108" t="s">
        <v>21</v>
      </c>
      <c r="H41" s="126">
        <v>41550</v>
      </c>
      <c r="I41" s="108">
        <v>7020010010</v>
      </c>
      <c r="J41" s="108" t="str">
        <f t="shared" si="1"/>
        <v>7020010010</v>
      </c>
      <c r="K41" s="304" t="str">
        <f t="shared" si="0"/>
        <v>60001037020010010120</v>
      </c>
      <c r="L41" s="17" t="str">
        <f>INDEX('реш СГД № 265'!$A:$N,MATCH('БА расх 2018 31 12 2018'!$K41,'реш СГД № 265'!$N:$N,0),3)</f>
        <v>Расходы на выплаты персоналу государственных (муниципальных) органов</v>
      </c>
      <c r="M41" s="16">
        <f t="shared" si="2"/>
        <v>1</v>
      </c>
    </row>
    <row r="42" spans="1:13" s="23" customFormat="1" ht="31.5">
      <c r="A42" s="21"/>
      <c r="B42" s="127" t="s">
        <v>22</v>
      </c>
      <c r="C42" s="109" t="s">
        <v>6</v>
      </c>
      <c r="D42" s="108" t="s">
        <v>11</v>
      </c>
      <c r="E42" s="108" t="s">
        <v>13</v>
      </c>
      <c r="F42" s="108" t="s">
        <v>44</v>
      </c>
      <c r="G42" s="108" t="s">
        <v>23</v>
      </c>
      <c r="H42" s="126">
        <v>31912.5</v>
      </c>
      <c r="I42" s="108">
        <v>7020010010</v>
      </c>
      <c r="J42" s="108" t="str">
        <f t="shared" si="1"/>
        <v>7020010010</v>
      </c>
      <c r="K42" s="304" t="str">
        <f t="shared" si="0"/>
        <v>60001037020010010122</v>
      </c>
      <c r="L42" s="17"/>
      <c r="M42" s="16"/>
    </row>
    <row r="43" spans="1:13" s="23" customFormat="1" ht="47.25">
      <c r="A43" s="21"/>
      <c r="B43" s="127" t="s">
        <v>26</v>
      </c>
      <c r="C43" s="109" t="s">
        <v>6</v>
      </c>
      <c r="D43" s="108" t="s">
        <v>11</v>
      </c>
      <c r="E43" s="108" t="s">
        <v>13</v>
      </c>
      <c r="F43" s="108" t="s">
        <v>44</v>
      </c>
      <c r="G43" s="108" t="s">
        <v>27</v>
      </c>
      <c r="H43" s="126">
        <v>9637.5</v>
      </c>
      <c r="I43" s="108">
        <v>7020010010</v>
      </c>
      <c r="J43" s="108" t="str">
        <f t="shared" si="1"/>
        <v>7020010010</v>
      </c>
      <c r="K43" s="304" t="str">
        <f t="shared" si="0"/>
        <v>60001037020010010129</v>
      </c>
      <c r="L43" s="17"/>
      <c r="M43" s="16"/>
    </row>
    <row r="44" spans="1:13" s="16" customFormat="1" ht="31.5">
      <c r="A44" s="14"/>
      <c r="B44" s="127" t="s">
        <v>38</v>
      </c>
      <c r="C44" s="109" t="s">
        <v>6</v>
      </c>
      <c r="D44" s="108" t="s">
        <v>11</v>
      </c>
      <c r="E44" s="108" t="s">
        <v>13</v>
      </c>
      <c r="F44" s="108" t="s">
        <v>45</v>
      </c>
      <c r="G44" s="108" t="s">
        <v>9</v>
      </c>
      <c r="H44" s="126">
        <v>1566253.4100000001</v>
      </c>
      <c r="I44" s="108">
        <v>7020010020</v>
      </c>
      <c r="J44" s="108" t="str">
        <f t="shared" si="1"/>
        <v>7020010020</v>
      </c>
      <c r="K44" s="304" t="str">
        <f t="shared" si="0"/>
        <v>60001037020010020000</v>
      </c>
      <c r="L44" s="17" t="str">
        <f>INDEX('реш СГД № 265'!$A:$N,MATCH('БА расх 2018 31 12 2018'!$K44,'реш СГД № 265'!$N:$N,0),3)</f>
        <v>Расходы на выплаты по оплате труда работников органов местного самоуправления города Ставрополя</v>
      </c>
      <c r="M44" s="16">
        <f t="shared" si="2"/>
        <v>1</v>
      </c>
    </row>
    <row r="45" spans="1:13" s="16" customFormat="1" ht="31.5">
      <c r="A45" s="14"/>
      <c r="B45" s="127" t="s">
        <v>20</v>
      </c>
      <c r="C45" s="109" t="s">
        <v>6</v>
      </c>
      <c r="D45" s="108" t="s">
        <v>11</v>
      </c>
      <c r="E45" s="108" t="s">
        <v>13</v>
      </c>
      <c r="F45" s="108" t="s">
        <v>45</v>
      </c>
      <c r="G45" s="108" t="s">
        <v>21</v>
      </c>
      <c r="H45" s="126">
        <v>1566253.4100000001</v>
      </c>
      <c r="I45" s="108">
        <v>7020010020</v>
      </c>
      <c r="J45" s="108" t="str">
        <f t="shared" si="1"/>
        <v>7020010020</v>
      </c>
      <c r="K45" s="304" t="str">
        <f t="shared" si="0"/>
        <v>60001037020010020120</v>
      </c>
      <c r="L45" s="17" t="str">
        <f>INDEX('реш СГД № 265'!$A:$N,MATCH('БА расх 2018 31 12 2018'!$K45,'реш СГД № 265'!$N:$N,0),3)</f>
        <v>Расходы на выплаты персоналу государственных (муниципальных) органов</v>
      </c>
      <c r="M45" s="16">
        <f t="shared" si="2"/>
        <v>1</v>
      </c>
    </row>
    <row r="46" spans="1:13" s="16" customFormat="1" ht="31.5">
      <c r="A46" s="14"/>
      <c r="B46" s="125" t="s">
        <v>40</v>
      </c>
      <c r="C46" s="109" t="s">
        <v>6</v>
      </c>
      <c r="D46" s="108" t="s">
        <v>11</v>
      </c>
      <c r="E46" s="108" t="s">
        <v>13</v>
      </c>
      <c r="F46" s="108" t="s">
        <v>45</v>
      </c>
      <c r="G46" s="108" t="s">
        <v>41</v>
      </c>
      <c r="H46" s="126">
        <v>1235043.81</v>
      </c>
      <c r="I46" s="108">
        <v>7020010020</v>
      </c>
      <c r="J46" s="108" t="str">
        <f t="shared" si="1"/>
        <v>7020010020</v>
      </c>
      <c r="K46" s="304" t="str">
        <f t="shared" si="0"/>
        <v>60001037020010020121</v>
      </c>
      <c r="L46" s="17"/>
    </row>
    <row r="47" spans="1:13" s="16" customFormat="1" ht="47.25">
      <c r="A47" s="14"/>
      <c r="B47" s="125" t="s">
        <v>26</v>
      </c>
      <c r="C47" s="109" t="s">
        <v>6</v>
      </c>
      <c r="D47" s="108" t="s">
        <v>11</v>
      </c>
      <c r="E47" s="108" t="s">
        <v>13</v>
      </c>
      <c r="F47" s="108" t="s">
        <v>45</v>
      </c>
      <c r="G47" s="108" t="s">
        <v>27</v>
      </c>
      <c r="H47" s="126">
        <v>331209.59999999998</v>
      </c>
      <c r="I47" s="108">
        <v>7020010020</v>
      </c>
      <c r="J47" s="108" t="str">
        <f t="shared" si="1"/>
        <v>7020010020</v>
      </c>
      <c r="K47" s="304" t="str">
        <f t="shared" si="0"/>
        <v>60001037020010020129</v>
      </c>
      <c r="L47" s="17"/>
    </row>
    <row r="48" spans="1:13" s="16" customFormat="1" ht="267.75">
      <c r="A48" s="14"/>
      <c r="B48" s="132" t="s">
        <v>2269</v>
      </c>
      <c r="C48" s="109" t="s">
        <v>6</v>
      </c>
      <c r="D48" s="108" t="s">
        <v>11</v>
      </c>
      <c r="E48" s="108" t="s">
        <v>13</v>
      </c>
      <c r="F48" s="108" t="s">
        <v>1265</v>
      </c>
      <c r="G48" s="108" t="s">
        <v>9</v>
      </c>
      <c r="H48" s="126">
        <v>51690.77</v>
      </c>
      <c r="I48" s="108">
        <v>7020077460</v>
      </c>
      <c r="J48" s="108" t="str">
        <f t="shared" si="1"/>
        <v>7020077460</v>
      </c>
      <c r="K48" s="304" t="str">
        <f t="shared" si="0"/>
        <v>60001037020077460000</v>
      </c>
      <c r="L48" s="132" t="str">
        <f>INDEX('реш СГД № 265'!$A:$N,MATCH('БА расх 2018 31 12 2018'!$K48,'реш СГД № 265'!$N:$N,0),3)</f>
        <v>Субсидии на компенсацию расходов по повышению заработной платы муниципальных служащих муниципальной службы и лиц, не замещающих должности муниципальной службы и исполняющих обязанности по техническому обеспечению деятельности органов местного самоуправления муниципальных образований, а также работников муниципальных учреждений, за исключением отдельных категорий работников муниципальных учреждений, которым повышение заработной платы осуществляется в соответствии с указами Президента Российской Федерации от 7 мая 2012 года № 597 «О мероприятиях по реализации государственной социальной политики», от 1 июня 2012 года № 761 «О Национальной стратегии действий в интересах детей на 2012 - 2017 годы» и от 28 декабря 2012 года № 1688 «О некоторых мерах по реализации государственной политики в сфере защиты детей-сирот и детей, оставшихся без попечения родителей»</v>
      </c>
      <c r="M48" s="17">
        <f t="shared" si="2"/>
        <v>1</v>
      </c>
    </row>
    <row r="49" spans="1:13" s="16" customFormat="1" ht="31.5">
      <c r="A49" s="14"/>
      <c r="B49" s="164" t="s">
        <v>20</v>
      </c>
      <c r="C49" s="109" t="s">
        <v>6</v>
      </c>
      <c r="D49" s="108" t="s">
        <v>11</v>
      </c>
      <c r="E49" s="108" t="s">
        <v>13</v>
      </c>
      <c r="F49" s="108" t="s">
        <v>1265</v>
      </c>
      <c r="G49" s="108" t="s">
        <v>21</v>
      </c>
      <c r="H49" s="126">
        <v>51690.77</v>
      </c>
      <c r="I49" s="108">
        <v>7020077460</v>
      </c>
      <c r="J49" s="108" t="str">
        <f t="shared" si="1"/>
        <v>7020077460</v>
      </c>
      <c r="K49" s="304" t="str">
        <f t="shared" si="0"/>
        <v>60001037020077460120</v>
      </c>
      <c r="L49" s="17" t="str">
        <f>INDEX('реш СГД № 265'!$A:$N,MATCH('БА расх 2018 31 12 2018'!$K49,'реш СГД № 265'!$N:$N,0),3)</f>
        <v>Расходы на выплаты персоналу государственных (муниципальных) органов</v>
      </c>
      <c r="M49" s="16">
        <f t="shared" si="2"/>
        <v>1</v>
      </c>
    </row>
    <row r="50" spans="1:13" s="16" customFormat="1" ht="31.5">
      <c r="A50" s="14"/>
      <c r="B50" s="127" t="s">
        <v>40</v>
      </c>
      <c r="C50" s="109" t="s">
        <v>6</v>
      </c>
      <c r="D50" s="108" t="s">
        <v>11</v>
      </c>
      <c r="E50" s="108" t="s">
        <v>13</v>
      </c>
      <c r="F50" s="108" t="s">
        <v>1265</v>
      </c>
      <c r="G50" s="108" t="s">
        <v>41</v>
      </c>
      <c r="H50" s="126">
        <v>46090.67</v>
      </c>
      <c r="I50" s="108">
        <v>7020077460</v>
      </c>
      <c r="J50" s="108" t="str">
        <f t="shared" si="1"/>
        <v>7020077460</v>
      </c>
      <c r="K50" s="304" t="str">
        <f t="shared" si="0"/>
        <v>60001037020077460121</v>
      </c>
      <c r="L50" s="17"/>
    </row>
    <row r="51" spans="1:13" s="16" customFormat="1" ht="47.25">
      <c r="A51" s="14"/>
      <c r="B51" s="127" t="s">
        <v>26</v>
      </c>
      <c r="C51" s="109" t="s">
        <v>6</v>
      </c>
      <c r="D51" s="108" t="s">
        <v>11</v>
      </c>
      <c r="E51" s="108" t="s">
        <v>13</v>
      </c>
      <c r="F51" s="108" t="s">
        <v>1265</v>
      </c>
      <c r="G51" s="108" t="s">
        <v>27</v>
      </c>
      <c r="H51" s="126">
        <v>5600.1</v>
      </c>
      <c r="I51" s="108">
        <v>7020077460</v>
      </c>
      <c r="J51" s="108" t="str">
        <f t="shared" si="1"/>
        <v>7020077460</v>
      </c>
      <c r="K51" s="304" t="str">
        <f t="shared" si="0"/>
        <v>60001037020077460129</v>
      </c>
      <c r="L51" s="17"/>
    </row>
    <row r="52" spans="1:13" s="16" customFormat="1" ht="31.5">
      <c r="A52" s="14"/>
      <c r="B52" s="127" t="s">
        <v>46</v>
      </c>
      <c r="C52" s="109" t="s">
        <v>6</v>
      </c>
      <c r="D52" s="108" t="s">
        <v>11</v>
      </c>
      <c r="E52" s="108" t="s">
        <v>13</v>
      </c>
      <c r="F52" s="108" t="s">
        <v>47</v>
      </c>
      <c r="G52" s="108" t="s">
        <v>9</v>
      </c>
      <c r="H52" s="126">
        <v>2460708.27</v>
      </c>
      <c r="I52" s="108">
        <v>7030000000</v>
      </c>
      <c r="J52" s="108" t="str">
        <f t="shared" si="1"/>
        <v>7030000000</v>
      </c>
      <c r="K52" s="304" t="str">
        <f t="shared" si="0"/>
        <v>60001037030000000000</v>
      </c>
      <c r="L52" s="17" t="str">
        <f>INDEX('реш СГД № 265'!$A:$N,MATCH('БА расх 2018 31 12 2018'!$K52,'реш СГД № 265'!$N:$N,0),3)</f>
        <v>Депутаты представительного органа муниципального образования</v>
      </c>
      <c r="M52" s="16">
        <f t="shared" si="2"/>
        <v>1</v>
      </c>
    </row>
    <row r="53" spans="1:13" s="16" customFormat="1" ht="31.5">
      <c r="A53" s="14"/>
      <c r="B53" s="125" t="s">
        <v>18</v>
      </c>
      <c r="C53" s="109" t="s">
        <v>6</v>
      </c>
      <c r="D53" s="108" t="s">
        <v>11</v>
      </c>
      <c r="E53" s="108" t="s">
        <v>13</v>
      </c>
      <c r="F53" s="108" t="s">
        <v>48</v>
      </c>
      <c r="G53" s="108" t="s">
        <v>9</v>
      </c>
      <c r="H53" s="126">
        <v>83105</v>
      </c>
      <c r="I53" s="108">
        <v>7030010010</v>
      </c>
      <c r="J53" s="108" t="str">
        <f t="shared" si="1"/>
        <v>7030010010</v>
      </c>
      <c r="K53" s="304" t="str">
        <f t="shared" si="0"/>
        <v>60001037030010010000</v>
      </c>
      <c r="L53" s="17" t="str">
        <f>INDEX('реш СГД № 265'!$A:$N,MATCH('БА расх 2018 31 12 2018'!$K53,'реш СГД № 265'!$N:$N,0),3)</f>
        <v>Расходы на обеспечение функций органов местного самоуправления города Ставрополя</v>
      </c>
      <c r="M53" s="16">
        <f t="shared" si="2"/>
        <v>1</v>
      </c>
    </row>
    <row r="54" spans="1:13" s="16" customFormat="1" ht="31.5">
      <c r="A54" s="14"/>
      <c r="B54" s="127" t="s">
        <v>20</v>
      </c>
      <c r="C54" s="109" t="s">
        <v>6</v>
      </c>
      <c r="D54" s="108" t="s">
        <v>11</v>
      </c>
      <c r="E54" s="108" t="s">
        <v>13</v>
      </c>
      <c r="F54" s="108" t="s">
        <v>48</v>
      </c>
      <c r="G54" s="108" t="s">
        <v>21</v>
      </c>
      <c r="H54" s="126">
        <v>83105</v>
      </c>
      <c r="I54" s="108">
        <v>7030010010</v>
      </c>
      <c r="J54" s="108" t="str">
        <f t="shared" si="1"/>
        <v>7030010010</v>
      </c>
      <c r="K54" s="304" t="str">
        <f t="shared" si="0"/>
        <v>60001037030010010120</v>
      </c>
      <c r="L54" s="17" t="str">
        <f>INDEX('реш СГД № 265'!$A:$N,MATCH('БА расх 2018 31 12 2018'!$K54,'реш СГД № 265'!$N:$N,0),3)</f>
        <v>Расходы на выплаты персоналу государственных (муниципальных) органов</v>
      </c>
      <c r="M54" s="16">
        <f t="shared" si="2"/>
        <v>1</v>
      </c>
    </row>
    <row r="55" spans="1:13" s="16" customFormat="1" ht="31.5">
      <c r="A55" s="14"/>
      <c r="B55" s="127" t="s">
        <v>22</v>
      </c>
      <c r="C55" s="109" t="s">
        <v>6</v>
      </c>
      <c r="D55" s="108" t="s">
        <v>11</v>
      </c>
      <c r="E55" s="108" t="s">
        <v>13</v>
      </c>
      <c r="F55" s="108" t="s">
        <v>48</v>
      </c>
      <c r="G55" s="108" t="s">
        <v>23</v>
      </c>
      <c r="H55" s="126">
        <v>63825</v>
      </c>
      <c r="I55" s="108">
        <v>7030010010</v>
      </c>
      <c r="J55" s="108" t="str">
        <f t="shared" si="1"/>
        <v>7030010010</v>
      </c>
      <c r="K55" s="304" t="str">
        <f t="shared" si="0"/>
        <v>60001037030010010122</v>
      </c>
      <c r="L55" s="17"/>
    </row>
    <row r="56" spans="1:13" s="16" customFormat="1" ht="47.25">
      <c r="A56" s="14"/>
      <c r="B56" s="127" t="s">
        <v>26</v>
      </c>
      <c r="C56" s="109" t="s">
        <v>6</v>
      </c>
      <c r="D56" s="108" t="s">
        <v>11</v>
      </c>
      <c r="E56" s="108" t="s">
        <v>13</v>
      </c>
      <c r="F56" s="108" t="s">
        <v>48</v>
      </c>
      <c r="G56" s="108" t="s">
        <v>27</v>
      </c>
      <c r="H56" s="126">
        <v>19280</v>
      </c>
      <c r="I56" s="108">
        <v>7030010010</v>
      </c>
      <c r="J56" s="108" t="str">
        <f t="shared" si="1"/>
        <v>7030010010</v>
      </c>
      <c r="K56" s="304" t="str">
        <f t="shared" si="0"/>
        <v>60001037030010010129</v>
      </c>
      <c r="L56" s="17"/>
    </row>
    <row r="57" spans="1:13" s="16" customFormat="1" ht="31.5">
      <c r="A57" s="14"/>
      <c r="B57" s="127" t="s">
        <v>38</v>
      </c>
      <c r="C57" s="109" t="s">
        <v>6</v>
      </c>
      <c r="D57" s="108" t="s">
        <v>11</v>
      </c>
      <c r="E57" s="108" t="s">
        <v>13</v>
      </c>
      <c r="F57" s="108" t="s">
        <v>49</v>
      </c>
      <c r="G57" s="108" t="s">
        <v>9</v>
      </c>
      <c r="H57" s="126">
        <v>2294522.85</v>
      </c>
      <c r="I57" s="108">
        <v>7030010020</v>
      </c>
      <c r="J57" s="108" t="str">
        <f t="shared" si="1"/>
        <v>7030010020</v>
      </c>
      <c r="K57" s="304" t="str">
        <f t="shared" si="0"/>
        <v>60001037030010020000</v>
      </c>
      <c r="L57" s="17" t="str">
        <f>INDEX('реш СГД № 265'!$A:$N,MATCH('БА расх 2018 31 12 2018'!$K57,'реш СГД № 265'!$N:$N,0),3)</f>
        <v>Расходы на выплаты по оплате труда работников органов местного самоуправления города Ставрополя</v>
      </c>
      <c r="M57" s="16">
        <f t="shared" si="2"/>
        <v>1</v>
      </c>
    </row>
    <row r="58" spans="1:13" s="16" customFormat="1" ht="31.5">
      <c r="A58" s="14"/>
      <c r="B58" s="127" t="s">
        <v>20</v>
      </c>
      <c r="C58" s="109" t="s">
        <v>6</v>
      </c>
      <c r="D58" s="108" t="s">
        <v>11</v>
      </c>
      <c r="E58" s="108" t="s">
        <v>13</v>
      </c>
      <c r="F58" s="108" t="s">
        <v>49</v>
      </c>
      <c r="G58" s="108" t="s">
        <v>21</v>
      </c>
      <c r="H58" s="126">
        <v>2294522.85</v>
      </c>
      <c r="I58" s="108">
        <v>7030010020</v>
      </c>
      <c r="J58" s="108" t="str">
        <f t="shared" si="1"/>
        <v>7030010020</v>
      </c>
      <c r="K58" s="304" t="str">
        <f t="shared" si="0"/>
        <v>60001037030010020120</v>
      </c>
      <c r="L58" s="17" t="str">
        <f>INDEX('реш СГД № 265'!$A:$N,MATCH('БА расх 2018 31 12 2018'!$K58,'реш СГД № 265'!$N:$N,0),3)</f>
        <v>Расходы на выплаты персоналу государственных (муниципальных) органов</v>
      </c>
      <c r="M58" s="16">
        <f t="shared" si="2"/>
        <v>1</v>
      </c>
    </row>
    <row r="59" spans="1:13" s="16" customFormat="1" ht="31.5">
      <c r="A59" s="14"/>
      <c r="B59" s="127" t="s">
        <v>40</v>
      </c>
      <c r="C59" s="109" t="s">
        <v>6</v>
      </c>
      <c r="D59" s="108" t="s">
        <v>11</v>
      </c>
      <c r="E59" s="108" t="s">
        <v>13</v>
      </c>
      <c r="F59" s="108" t="s">
        <v>49</v>
      </c>
      <c r="G59" s="108" t="s">
        <v>41</v>
      </c>
      <c r="H59" s="126">
        <v>1766855.36</v>
      </c>
      <c r="I59" s="108">
        <v>7030010020</v>
      </c>
      <c r="J59" s="108" t="str">
        <f t="shared" si="1"/>
        <v>7030010020</v>
      </c>
      <c r="K59" s="304" t="str">
        <f t="shared" si="0"/>
        <v>60001037030010020121</v>
      </c>
      <c r="L59" s="17"/>
    </row>
    <row r="60" spans="1:13" s="16" customFormat="1" ht="47.25">
      <c r="A60" s="14"/>
      <c r="B60" s="127" t="s">
        <v>26</v>
      </c>
      <c r="C60" s="109" t="s">
        <v>6</v>
      </c>
      <c r="D60" s="108" t="s">
        <v>11</v>
      </c>
      <c r="E60" s="108" t="s">
        <v>13</v>
      </c>
      <c r="F60" s="108" t="s">
        <v>49</v>
      </c>
      <c r="G60" s="108" t="s">
        <v>27</v>
      </c>
      <c r="H60" s="126">
        <v>527667.49</v>
      </c>
      <c r="I60" s="108">
        <v>7030010020</v>
      </c>
      <c r="J60" s="108" t="str">
        <f t="shared" si="1"/>
        <v>7030010020</v>
      </c>
      <c r="K60" s="304" t="str">
        <f t="shared" si="0"/>
        <v>60001037030010020129</v>
      </c>
      <c r="L60" s="17"/>
    </row>
    <row r="61" spans="1:13" s="16" customFormat="1" ht="267.75">
      <c r="A61" s="14"/>
      <c r="B61" s="125" t="s">
        <v>1263</v>
      </c>
      <c r="C61" s="109" t="s">
        <v>6</v>
      </c>
      <c r="D61" s="108" t="s">
        <v>11</v>
      </c>
      <c r="E61" s="108" t="s">
        <v>13</v>
      </c>
      <c r="F61" s="108" t="s">
        <v>1266</v>
      </c>
      <c r="G61" s="108" t="s">
        <v>9</v>
      </c>
      <c r="H61" s="126">
        <v>83080.42</v>
      </c>
      <c r="I61" s="108">
        <v>7030077460</v>
      </c>
      <c r="J61" s="108" t="str">
        <f t="shared" si="1"/>
        <v>7030077460</v>
      </c>
      <c r="K61" s="304" t="str">
        <f t="shared" si="0"/>
        <v>60001037030077460000</v>
      </c>
      <c r="L61" s="132" t="str">
        <f>INDEX('реш СГД № 265'!$A:$N,MATCH('БА расх 2018 31 12 2018'!$K61,'реш СГД № 265'!$N:$N,0),3)</f>
        <v>Субсидии на компенсацию расходов по повышению заработной платы муниципальных служащих муниципальной службы и лиц, не замещающих должности муниципальной службы и исполняющих обязанности по техническому обеспечению деятельности органов местного самоуправления муниципальных образований, а также работников муниципальных учреждений, за исключением отдельных категорий работников муниципальных учреждений, которым повышение заработной платы осуществляется в соответствии с указами Президента Российской Федерации от 7 мая 2012 года № 597 «О мероприятиях по реализации государственной социальной политики», от 1 июня 2012 года № 761 «О Национальной стратегии действий в интересах детей на 2012 - 2017 годы» и от 28 декабря 2012 года № 1688 «О некоторых мерах по реализации государственной политики в сфере защиты детей-сирот и детей, оставшихся без попечения родителей»</v>
      </c>
      <c r="M61" s="17">
        <f t="shared" si="2"/>
        <v>0</v>
      </c>
    </row>
    <row r="62" spans="1:13" s="16" customFormat="1" ht="31.5">
      <c r="A62" s="14"/>
      <c r="B62" s="164" t="s">
        <v>20</v>
      </c>
      <c r="C62" s="109" t="s">
        <v>6</v>
      </c>
      <c r="D62" s="108" t="s">
        <v>11</v>
      </c>
      <c r="E62" s="108" t="s">
        <v>13</v>
      </c>
      <c r="F62" s="108" t="s">
        <v>1266</v>
      </c>
      <c r="G62" s="108" t="s">
        <v>21</v>
      </c>
      <c r="H62" s="126">
        <v>83080.42</v>
      </c>
      <c r="I62" s="108">
        <v>7030077460</v>
      </c>
      <c r="J62" s="108" t="str">
        <f t="shared" si="1"/>
        <v>7030077460</v>
      </c>
      <c r="K62" s="304" t="str">
        <f t="shared" si="0"/>
        <v>60001037030077460120</v>
      </c>
      <c r="L62" s="17" t="str">
        <f>INDEX('реш СГД № 265'!$A:$N,MATCH('БА расх 2018 31 12 2018'!$K62,'реш СГД № 265'!$N:$N,0),3)</f>
        <v>Расходы на выплаты персоналу государственных (муниципальных) органов</v>
      </c>
      <c r="M62" s="16">
        <f t="shared" si="2"/>
        <v>1</v>
      </c>
    </row>
    <row r="63" spans="1:13" s="16" customFormat="1" ht="31.5">
      <c r="A63" s="14"/>
      <c r="B63" s="127" t="s">
        <v>40</v>
      </c>
      <c r="C63" s="109" t="s">
        <v>6</v>
      </c>
      <c r="D63" s="108" t="s">
        <v>11</v>
      </c>
      <c r="E63" s="108" t="s">
        <v>13</v>
      </c>
      <c r="F63" s="108" t="s">
        <v>1266</v>
      </c>
      <c r="G63" s="108" t="s">
        <v>41</v>
      </c>
      <c r="H63" s="126">
        <v>68556.94</v>
      </c>
      <c r="I63" s="108">
        <v>7030077460</v>
      </c>
      <c r="J63" s="108" t="str">
        <f t="shared" si="1"/>
        <v>7030077460</v>
      </c>
      <c r="K63" s="304" t="str">
        <f t="shared" si="0"/>
        <v>60001037030077460121</v>
      </c>
      <c r="L63" s="17"/>
    </row>
    <row r="64" spans="1:13" s="16" customFormat="1" ht="47.25">
      <c r="A64" s="14"/>
      <c r="B64" s="127" t="s">
        <v>26</v>
      </c>
      <c r="C64" s="109" t="s">
        <v>6</v>
      </c>
      <c r="D64" s="108" t="s">
        <v>11</v>
      </c>
      <c r="E64" s="108" t="s">
        <v>13</v>
      </c>
      <c r="F64" s="108" t="s">
        <v>1266</v>
      </c>
      <c r="G64" s="108" t="s">
        <v>27</v>
      </c>
      <c r="H64" s="126">
        <v>14523.48</v>
      </c>
      <c r="I64" s="108">
        <v>7030077460</v>
      </c>
      <c r="J64" s="108" t="str">
        <f t="shared" si="1"/>
        <v>7030077460</v>
      </c>
      <c r="K64" s="304" t="str">
        <f t="shared" si="0"/>
        <v>60001037030077460129</v>
      </c>
      <c r="L64" s="17"/>
    </row>
    <row r="65" spans="1:13" s="6" customFormat="1" ht="15.75">
      <c r="A65" s="1"/>
      <c r="B65" s="117" t="s">
        <v>56</v>
      </c>
      <c r="C65" s="118" t="s">
        <v>6</v>
      </c>
      <c r="D65" s="119" t="s">
        <v>57</v>
      </c>
      <c r="E65" s="119" t="s">
        <v>7</v>
      </c>
      <c r="F65" s="119" t="s">
        <v>8</v>
      </c>
      <c r="G65" s="119" t="s">
        <v>9</v>
      </c>
      <c r="H65" s="120">
        <v>7090439</v>
      </c>
      <c r="I65" s="119">
        <v>0</v>
      </c>
      <c r="J65" s="119" t="str">
        <f t="shared" si="1"/>
        <v>0000000000</v>
      </c>
      <c r="K65" s="304" t="str">
        <f t="shared" si="0"/>
        <v>60012000000000000000</v>
      </c>
      <c r="L65" s="17" t="str">
        <f>INDEX('реш СГД № 265'!$A:$N,MATCH('БА расх 2018 31 12 2018'!$K65,'реш СГД № 265'!$N:$N,0),3)</f>
        <v>Средства массовой информации</v>
      </c>
      <c r="M65" s="16">
        <f t="shared" si="2"/>
        <v>1</v>
      </c>
    </row>
    <row r="66" spans="1:13" s="6" customFormat="1" ht="15.75">
      <c r="A66" s="1"/>
      <c r="B66" s="121" t="s">
        <v>58</v>
      </c>
      <c r="C66" s="122" t="s">
        <v>6</v>
      </c>
      <c r="D66" s="123" t="s">
        <v>57</v>
      </c>
      <c r="E66" s="123" t="s">
        <v>11</v>
      </c>
      <c r="F66" s="123" t="s">
        <v>8</v>
      </c>
      <c r="G66" s="123" t="s">
        <v>9</v>
      </c>
      <c r="H66" s="124">
        <v>5090499</v>
      </c>
      <c r="I66" s="123">
        <v>0</v>
      </c>
      <c r="J66" s="123" t="str">
        <f t="shared" si="1"/>
        <v>0000000000</v>
      </c>
      <c r="K66" s="304" t="str">
        <f t="shared" si="0"/>
        <v>60012010000000000000</v>
      </c>
      <c r="L66" s="17" t="str">
        <f>INDEX('реш СГД № 265'!$A:$N,MATCH('БА расх 2018 31 12 2018'!$K66,'реш СГД № 265'!$N:$N,0),3)</f>
        <v>Телевидение и радиовещание</v>
      </c>
      <c r="M66" s="16">
        <f t="shared" si="2"/>
        <v>1</v>
      </c>
    </row>
    <row r="67" spans="1:13" s="16" customFormat="1" ht="15.75">
      <c r="A67" s="14"/>
      <c r="B67" s="125" t="s">
        <v>14</v>
      </c>
      <c r="C67" s="109" t="s">
        <v>6</v>
      </c>
      <c r="D67" s="108" t="s">
        <v>57</v>
      </c>
      <c r="E67" s="108" t="s">
        <v>11</v>
      </c>
      <c r="F67" s="108" t="s">
        <v>15</v>
      </c>
      <c r="G67" s="108" t="s">
        <v>9</v>
      </c>
      <c r="H67" s="126">
        <v>5090499</v>
      </c>
      <c r="I67" s="108">
        <v>7000000000</v>
      </c>
      <c r="J67" s="108" t="str">
        <f t="shared" si="1"/>
        <v>7000000000</v>
      </c>
      <c r="K67" s="304" t="str">
        <f t="shared" si="0"/>
        <v>60012017000000000000</v>
      </c>
      <c r="L67" s="17" t="str">
        <f>INDEX('реш СГД № 265'!$A:$N,MATCH('БА расх 2018 31 12 2018'!$K67,'реш СГД № 265'!$N:$N,0),3)</f>
        <v>Обеспечение деятельности Ставропольской городской Думы</v>
      </c>
      <c r="M67" s="16">
        <f t="shared" si="2"/>
        <v>1</v>
      </c>
    </row>
    <row r="68" spans="1:13" s="16" customFormat="1" ht="15.75">
      <c r="A68" s="14"/>
      <c r="B68" s="125" t="s">
        <v>52</v>
      </c>
      <c r="C68" s="109" t="s">
        <v>6</v>
      </c>
      <c r="D68" s="108" t="s">
        <v>57</v>
      </c>
      <c r="E68" s="108" t="s">
        <v>11</v>
      </c>
      <c r="F68" s="108" t="s">
        <v>53</v>
      </c>
      <c r="G68" s="108" t="s">
        <v>9</v>
      </c>
      <c r="H68" s="126">
        <v>5090499</v>
      </c>
      <c r="I68" s="108">
        <v>7040000000</v>
      </c>
      <c r="J68" s="108" t="str">
        <f t="shared" si="1"/>
        <v>7040000000</v>
      </c>
      <c r="K68" s="304" t="str">
        <f t="shared" si="0"/>
        <v>60012017040000000000</v>
      </c>
      <c r="L68" s="17" t="str">
        <f>INDEX('реш СГД № 265'!$A:$N,MATCH('БА расх 2018 31 12 2018'!$K68,'реш СГД № 265'!$N:$N,0),3)</f>
        <v>Расходы, предусмотренные на иные цели</v>
      </c>
      <c r="M68" s="16">
        <f t="shared" si="2"/>
        <v>1</v>
      </c>
    </row>
    <row r="69" spans="1:13" s="16" customFormat="1" ht="31.5">
      <c r="A69" s="14"/>
      <c r="B69" s="125" t="s">
        <v>59</v>
      </c>
      <c r="C69" s="109" t="s">
        <v>6</v>
      </c>
      <c r="D69" s="108" t="s">
        <v>57</v>
      </c>
      <c r="E69" s="108" t="s">
        <v>11</v>
      </c>
      <c r="F69" s="108" t="s">
        <v>60</v>
      </c>
      <c r="G69" s="108" t="s">
        <v>9</v>
      </c>
      <c r="H69" s="126">
        <v>5090499</v>
      </c>
      <c r="I69" s="108">
        <v>7040098710</v>
      </c>
      <c r="J69" s="108" t="str">
        <f t="shared" si="1"/>
        <v>7040098710</v>
      </c>
      <c r="K69" s="304" t="str">
        <f t="shared" ref="K69:K132" si="3">C69&amp;D69&amp;E69&amp;J69&amp;G69</f>
        <v>60012017040098710000</v>
      </c>
      <c r="L69" s="17" t="str">
        <f>INDEX('реш СГД № 265'!$A:$N,MATCH('БА расх 2018 31 12 2018'!$K69,'реш СГД № 265'!$N:$N,0),3)</f>
        <v>Расходы на оказание информационных услуг средствами массовой информации</v>
      </c>
      <c r="M69" s="16">
        <f t="shared" si="2"/>
        <v>1</v>
      </c>
    </row>
    <row r="70" spans="1:13" s="16" customFormat="1" ht="31.5">
      <c r="A70" s="14"/>
      <c r="B70" s="125" t="s">
        <v>28</v>
      </c>
      <c r="C70" s="109" t="s">
        <v>6</v>
      </c>
      <c r="D70" s="108" t="s">
        <v>57</v>
      </c>
      <c r="E70" s="108" t="s">
        <v>11</v>
      </c>
      <c r="F70" s="108" t="s">
        <v>60</v>
      </c>
      <c r="G70" s="108" t="s">
        <v>29</v>
      </c>
      <c r="H70" s="126">
        <v>5090499</v>
      </c>
      <c r="I70" s="108">
        <v>7040098710</v>
      </c>
      <c r="J70" s="108" t="str">
        <f t="shared" ref="J70:J133" si="4">TEXT(I70,"0000000000")</f>
        <v>7040098710</v>
      </c>
      <c r="K70" s="304" t="str">
        <f t="shared" si="3"/>
        <v>60012017040098710240</v>
      </c>
      <c r="L70" s="17" t="str">
        <f>INDEX('реш СГД № 265'!$A:$N,MATCH('БА расх 2018 31 12 2018'!$K70,'реш СГД № 265'!$N:$N,0),3)</f>
        <v>Иные закупки товаров, работ и услуг для обеспечения государственных (муниципальных) нужд</v>
      </c>
      <c r="M70" s="16">
        <f t="shared" ref="M70:M133" si="5">IF(B70=L70,1,0)</f>
        <v>1</v>
      </c>
    </row>
    <row r="71" spans="1:13" s="16" customFormat="1" ht="15.75">
      <c r="A71" s="14"/>
      <c r="B71" s="125" t="s">
        <v>30</v>
      </c>
      <c r="C71" s="109" t="s">
        <v>6</v>
      </c>
      <c r="D71" s="108" t="s">
        <v>57</v>
      </c>
      <c r="E71" s="108" t="s">
        <v>11</v>
      </c>
      <c r="F71" s="108" t="s">
        <v>60</v>
      </c>
      <c r="G71" s="108" t="s">
        <v>31</v>
      </c>
      <c r="H71" s="126">
        <v>5090499</v>
      </c>
      <c r="I71" s="108">
        <v>7040098710</v>
      </c>
      <c r="J71" s="108" t="str">
        <f t="shared" si="4"/>
        <v>7040098710</v>
      </c>
      <c r="K71" s="304" t="str">
        <f t="shared" si="3"/>
        <v>60012017040098710244</v>
      </c>
      <c r="L71" s="17"/>
    </row>
    <row r="72" spans="1:13" s="16" customFormat="1" ht="15.75">
      <c r="A72" s="14"/>
      <c r="B72" s="121" t="s">
        <v>61</v>
      </c>
      <c r="C72" s="122" t="s">
        <v>6</v>
      </c>
      <c r="D72" s="123" t="s">
        <v>57</v>
      </c>
      <c r="E72" s="123" t="s">
        <v>62</v>
      </c>
      <c r="F72" s="123" t="s">
        <v>8</v>
      </c>
      <c r="G72" s="123" t="s">
        <v>9</v>
      </c>
      <c r="H72" s="124">
        <v>1999940</v>
      </c>
      <c r="I72" s="123">
        <v>0</v>
      </c>
      <c r="J72" s="123" t="str">
        <f t="shared" si="4"/>
        <v>0000000000</v>
      </c>
      <c r="K72" s="304" t="str">
        <f t="shared" si="3"/>
        <v>60012020000000000000</v>
      </c>
      <c r="L72" s="17" t="str">
        <f>INDEX('реш СГД № 265'!$A:$N,MATCH('БА расх 2018 31 12 2018'!$K72,'реш СГД № 265'!$N:$N,0),3)</f>
        <v>Периодическая печать и издательства</v>
      </c>
      <c r="M72" s="16">
        <f t="shared" si="5"/>
        <v>1</v>
      </c>
    </row>
    <row r="73" spans="1:13" s="16" customFormat="1" ht="15.75">
      <c r="A73" s="14"/>
      <c r="B73" s="125" t="s">
        <v>14</v>
      </c>
      <c r="C73" s="109" t="s">
        <v>6</v>
      </c>
      <c r="D73" s="108" t="s">
        <v>57</v>
      </c>
      <c r="E73" s="108" t="s">
        <v>62</v>
      </c>
      <c r="F73" s="108" t="s">
        <v>15</v>
      </c>
      <c r="G73" s="108" t="s">
        <v>9</v>
      </c>
      <c r="H73" s="126">
        <v>1999940</v>
      </c>
      <c r="I73" s="108">
        <v>7000000000</v>
      </c>
      <c r="J73" s="108" t="str">
        <f t="shared" si="4"/>
        <v>7000000000</v>
      </c>
      <c r="K73" s="304" t="str">
        <f t="shared" si="3"/>
        <v>60012027000000000000</v>
      </c>
      <c r="L73" s="17" t="str">
        <f>INDEX('реш СГД № 265'!$A:$N,MATCH('БА расх 2018 31 12 2018'!$K73,'реш СГД № 265'!$N:$N,0),3)</f>
        <v>Обеспечение деятельности Ставропольской городской Думы</v>
      </c>
      <c r="M73" s="16">
        <f t="shared" si="5"/>
        <v>1</v>
      </c>
    </row>
    <row r="74" spans="1:13" s="16" customFormat="1" ht="15.75">
      <c r="A74" s="14"/>
      <c r="B74" s="125" t="s">
        <v>52</v>
      </c>
      <c r="C74" s="109" t="s">
        <v>6</v>
      </c>
      <c r="D74" s="108" t="s">
        <v>57</v>
      </c>
      <c r="E74" s="108" t="s">
        <v>62</v>
      </c>
      <c r="F74" s="108" t="s">
        <v>53</v>
      </c>
      <c r="G74" s="108" t="s">
        <v>9</v>
      </c>
      <c r="H74" s="126">
        <v>1999940</v>
      </c>
      <c r="I74" s="108">
        <v>7040000000</v>
      </c>
      <c r="J74" s="108" t="str">
        <f t="shared" si="4"/>
        <v>7040000000</v>
      </c>
      <c r="K74" s="304" t="str">
        <f t="shared" si="3"/>
        <v>60012027040000000000</v>
      </c>
      <c r="L74" s="17" t="str">
        <f>INDEX('реш СГД № 265'!$A:$N,MATCH('БА расх 2018 31 12 2018'!$K74,'реш СГД № 265'!$N:$N,0),3)</f>
        <v>Расходы, предусмотренные на иные цели</v>
      </c>
      <c r="M74" s="16">
        <f t="shared" si="5"/>
        <v>1</v>
      </c>
    </row>
    <row r="75" spans="1:13" s="16" customFormat="1" ht="31.5">
      <c r="A75" s="14"/>
      <c r="B75" s="125" t="s">
        <v>59</v>
      </c>
      <c r="C75" s="109" t="s">
        <v>6</v>
      </c>
      <c r="D75" s="108" t="s">
        <v>57</v>
      </c>
      <c r="E75" s="108" t="s">
        <v>62</v>
      </c>
      <c r="F75" s="108" t="s">
        <v>60</v>
      </c>
      <c r="G75" s="108" t="s">
        <v>9</v>
      </c>
      <c r="H75" s="126">
        <v>1999940</v>
      </c>
      <c r="I75" s="108">
        <v>7040098710</v>
      </c>
      <c r="J75" s="108" t="str">
        <f t="shared" si="4"/>
        <v>7040098710</v>
      </c>
      <c r="K75" s="304" t="str">
        <f t="shared" si="3"/>
        <v>60012027040098710000</v>
      </c>
      <c r="L75" s="17" t="str">
        <f>INDEX('реш СГД № 265'!$A:$N,MATCH('БА расх 2018 31 12 2018'!$K75,'реш СГД № 265'!$N:$N,0),3)</f>
        <v>Расходы на оказание информационных услуг средствами массовой информации</v>
      </c>
      <c r="M75" s="16">
        <f t="shared" si="5"/>
        <v>1</v>
      </c>
    </row>
    <row r="76" spans="1:13" s="16" customFormat="1" ht="31.5">
      <c r="A76" s="14"/>
      <c r="B76" s="125" t="s">
        <v>28</v>
      </c>
      <c r="C76" s="109" t="s">
        <v>6</v>
      </c>
      <c r="D76" s="108" t="s">
        <v>57</v>
      </c>
      <c r="E76" s="108" t="s">
        <v>62</v>
      </c>
      <c r="F76" s="108" t="s">
        <v>60</v>
      </c>
      <c r="G76" s="108" t="s">
        <v>29</v>
      </c>
      <c r="H76" s="126">
        <v>1999940</v>
      </c>
      <c r="I76" s="108">
        <v>7040098710</v>
      </c>
      <c r="J76" s="108" t="str">
        <f t="shared" si="4"/>
        <v>7040098710</v>
      </c>
      <c r="K76" s="304" t="str">
        <f t="shared" si="3"/>
        <v>60012027040098710240</v>
      </c>
      <c r="L76" s="17" t="str">
        <f>INDEX('реш СГД № 265'!$A:$N,MATCH('БА расх 2018 31 12 2018'!$K76,'реш СГД № 265'!$N:$N,0),3)</f>
        <v>Иные закупки товаров, работ и услуг для обеспечения государственных (муниципальных) нужд</v>
      </c>
      <c r="M76" s="16">
        <f t="shared" si="5"/>
        <v>1</v>
      </c>
    </row>
    <row r="77" spans="1:13" s="16" customFormat="1" ht="15.75">
      <c r="A77" s="14"/>
      <c r="B77" s="125" t="s">
        <v>30</v>
      </c>
      <c r="C77" s="109" t="s">
        <v>6</v>
      </c>
      <c r="D77" s="108" t="s">
        <v>57</v>
      </c>
      <c r="E77" s="108" t="s">
        <v>62</v>
      </c>
      <c r="F77" s="108" t="s">
        <v>60</v>
      </c>
      <c r="G77" s="108" t="s">
        <v>31</v>
      </c>
      <c r="H77" s="126">
        <v>1999940</v>
      </c>
      <c r="I77" s="108">
        <v>7040098710</v>
      </c>
      <c r="J77" s="108" t="str">
        <f t="shared" si="4"/>
        <v>7040098710</v>
      </c>
      <c r="K77" s="304" t="str">
        <f t="shared" si="3"/>
        <v>60012027040098710244</v>
      </c>
      <c r="L77" s="17"/>
    </row>
    <row r="78" spans="1:13" s="16" customFormat="1" ht="15.75">
      <c r="A78" s="14"/>
      <c r="B78" s="125"/>
      <c r="C78" s="109"/>
      <c r="D78" s="108"/>
      <c r="E78" s="108"/>
      <c r="F78" s="108"/>
      <c r="G78" s="108"/>
      <c r="H78" s="126"/>
      <c r="I78" s="108"/>
      <c r="J78" s="108" t="str">
        <f t="shared" si="4"/>
        <v>0000000000</v>
      </c>
      <c r="K78" s="304" t="str">
        <f t="shared" si="3"/>
        <v>0000000000</v>
      </c>
      <c r="L78" s="17">
        <f>INDEX('реш СГД № 265'!$A:$N,MATCH('БА расх 2018 31 12 2018'!$K78,'реш СГД № 265'!$N:$N,0),3)</f>
        <v>0</v>
      </c>
      <c r="M78" s="16">
        <f t="shared" si="5"/>
        <v>1</v>
      </c>
    </row>
    <row r="79" spans="1:13" s="16" customFormat="1" ht="15.75">
      <c r="A79" s="14"/>
      <c r="B79" s="67" t="s">
        <v>63</v>
      </c>
      <c r="C79" s="116" t="s">
        <v>64</v>
      </c>
      <c r="D79" s="69" t="s">
        <v>7</v>
      </c>
      <c r="E79" s="69" t="s">
        <v>7</v>
      </c>
      <c r="F79" s="69" t="s">
        <v>8</v>
      </c>
      <c r="G79" s="69" t="s">
        <v>9</v>
      </c>
      <c r="H79" s="70">
        <v>301328402.34000003</v>
      </c>
      <c r="I79" s="69">
        <v>0</v>
      </c>
      <c r="J79" s="69" t="str">
        <f t="shared" si="4"/>
        <v>0000000000</v>
      </c>
      <c r="K79" s="304" t="str">
        <f t="shared" si="3"/>
        <v>60100000000000000000</v>
      </c>
      <c r="L79" s="17" t="str">
        <f>INDEX('реш СГД № 265'!$A:$N,MATCH('БА расх 2018 31 12 2018'!$K79,'реш СГД № 265'!$N:$N,0),3)</f>
        <v>Администрация города Ставрополя</v>
      </c>
      <c r="M79" s="16">
        <f t="shared" si="5"/>
        <v>1</v>
      </c>
    </row>
    <row r="80" spans="1:13" s="16" customFormat="1" ht="15.75">
      <c r="A80" s="14"/>
      <c r="B80" s="117" t="s">
        <v>10</v>
      </c>
      <c r="C80" s="118" t="s">
        <v>64</v>
      </c>
      <c r="D80" s="119" t="s">
        <v>11</v>
      </c>
      <c r="E80" s="119" t="s">
        <v>7</v>
      </c>
      <c r="F80" s="119" t="s">
        <v>8</v>
      </c>
      <c r="G80" s="119" t="s">
        <v>9</v>
      </c>
      <c r="H80" s="120">
        <v>267483132.34</v>
      </c>
      <c r="I80" s="119">
        <v>0</v>
      </c>
      <c r="J80" s="119" t="str">
        <f t="shared" si="4"/>
        <v>0000000000</v>
      </c>
      <c r="K80" s="304" t="str">
        <f t="shared" si="3"/>
        <v>60101000000000000000</v>
      </c>
      <c r="L80" s="17" t="str">
        <f>INDEX('реш СГД № 265'!$A:$N,MATCH('БА расх 2018 31 12 2018'!$K80,'реш СГД № 265'!$N:$N,0),3)</f>
        <v>Общегосударственные вопросы</v>
      </c>
      <c r="M80" s="16">
        <f t="shared" si="5"/>
        <v>1</v>
      </c>
    </row>
    <row r="81" spans="1:13" s="16" customFormat="1" ht="31.5">
      <c r="A81" s="14"/>
      <c r="B81" s="121" t="s">
        <v>65</v>
      </c>
      <c r="C81" s="122" t="s">
        <v>64</v>
      </c>
      <c r="D81" s="123" t="s">
        <v>11</v>
      </c>
      <c r="E81" s="123" t="s">
        <v>62</v>
      </c>
      <c r="F81" s="123" t="s">
        <v>8</v>
      </c>
      <c r="G81" s="123" t="s">
        <v>9</v>
      </c>
      <c r="H81" s="124">
        <v>1680400.4000000001</v>
      </c>
      <c r="I81" s="123">
        <v>0</v>
      </c>
      <c r="J81" s="123" t="str">
        <f t="shared" si="4"/>
        <v>0000000000</v>
      </c>
      <c r="K81" s="304" t="str">
        <f t="shared" si="3"/>
        <v>60101020000000000000</v>
      </c>
      <c r="L81" s="17" t="str">
        <f>INDEX('реш СГД № 265'!$A:$N,MATCH('БА расх 2018 31 12 2018'!$K81,'реш СГД № 265'!$N:$N,0),3)</f>
        <v>Функционирование высшего должностного лица субъекта Российской Федерации и муниципального образования</v>
      </c>
      <c r="M81" s="16">
        <f t="shared" si="5"/>
        <v>1</v>
      </c>
    </row>
    <row r="82" spans="1:13" s="16" customFormat="1" ht="31.5">
      <c r="A82" s="14"/>
      <c r="B82" s="129" t="s">
        <v>66</v>
      </c>
      <c r="C82" s="109" t="s">
        <v>64</v>
      </c>
      <c r="D82" s="108" t="s">
        <v>11</v>
      </c>
      <c r="E82" s="108" t="s">
        <v>62</v>
      </c>
      <c r="F82" s="108" t="s">
        <v>67</v>
      </c>
      <c r="G82" s="108" t="s">
        <v>9</v>
      </c>
      <c r="H82" s="126">
        <v>1680400.4000000001</v>
      </c>
      <c r="I82" s="108">
        <v>7100000000</v>
      </c>
      <c r="J82" s="108" t="str">
        <f t="shared" si="4"/>
        <v>7100000000</v>
      </c>
      <c r="K82" s="304" t="str">
        <f t="shared" si="3"/>
        <v>60101027100000000000</v>
      </c>
      <c r="L82" s="17" t="str">
        <f>INDEX('реш СГД № 265'!$A:$N,MATCH('БА расх 2018 31 12 2018'!$K82,'реш СГД № 265'!$N:$N,0),3)</f>
        <v>Обеспечение деятельности администрации города Ставрополя</v>
      </c>
      <c r="M82" s="16">
        <f t="shared" si="5"/>
        <v>1</v>
      </c>
    </row>
    <row r="83" spans="1:13" s="16" customFormat="1" ht="15.75">
      <c r="A83" s="14"/>
      <c r="B83" s="125" t="s">
        <v>68</v>
      </c>
      <c r="C83" s="109" t="s">
        <v>64</v>
      </c>
      <c r="D83" s="108" t="s">
        <v>11</v>
      </c>
      <c r="E83" s="108" t="s">
        <v>62</v>
      </c>
      <c r="F83" s="108" t="s">
        <v>69</v>
      </c>
      <c r="G83" s="108" t="s">
        <v>9</v>
      </c>
      <c r="H83" s="126">
        <v>1680400.4000000001</v>
      </c>
      <c r="I83" s="108">
        <v>7120000000</v>
      </c>
      <c r="J83" s="108" t="str">
        <f t="shared" si="4"/>
        <v>7120000000</v>
      </c>
      <c r="K83" s="304" t="str">
        <f t="shared" si="3"/>
        <v>60101027120000000000</v>
      </c>
      <c r="L83" s="17" t="str">
        <f>INDEX('реш СГД № 265'!$A:$N,MATCH('БА расх 2018 31 12 2018'!$K83,'реш СГД № 265'!$N:$N,0),3)</f>
        <v>Глава муниципального образования</v>
      </c>
      <c r="M83" s="16">
        <f t="shared" si="5"/>
        <v>1</v>
      </c>
    </row>
    <row r="84" spans="1:13" s="16" customFormat="1" ht="31.5">
      <c r="A84" s="14"/>
      <c r="B84" s="125" t="s">
        <v>18</v>
      </c>
      <c r="C84" s="109" t="s">
        <v>64</v>
      </c>
      <c r="D84" s="108" t="s">
        <v>11</v>
      </c>
      <c r="E84" s="108" t="s">
        <v>62</v>
      </c>
      <c r="F84" s="108" t="s">
        <v>70</v>
      </c>
      <c r="G84" s="108" t="s">
        <v>9</v>
      </c>
      <c r="H84" s="126">
        <v>41550</v>
      </c>
      <c r="I84" s="108">
        <v>7120010010</v>
      </c>
      <c r="J84" s="108" t="str">
        <f t="shared" si="4"/>
        <v>7120010010</v>
      </c>
      <c r="K84" s="304" t="str">
        <f t="shared" si="3"/>
        <v>60101027120010010000</v>
      </c>
      <c r="L84" s="17" t="str">
        <f>INDEX('реш СГД № 265'!$A:$N,MATCH('БА расх 2018 31 12 2018'!$K84,'реш СГД № 265'!$N:$N,0),3)</f>
        <v>Расходы на обеспечение функций органов местного самоуправления города Ставрополя</v>
      </c>
      <c r="M84" s="16">
        <f t="shared" si="5"/>
        <v>1</v>
      </c>
    </row>
    <row r="85" spans="1:13" s="16" customFormat="1" ht="31.5">
      <c r="A85" s="14"/>
      <c r="B85" s="127" t="s">
        <v>20</v>
      </c>
      <c r="C85" s="109" t="s">
        <v>64</v>
      </c>
      <c r="D85" s="108" t="s">
        <v>11</v>
      </c>
      <c r="E85" s="108" t="s">
        <v>62</v>
      </c>
      <c r="F85" s="108" t="s">
        <v>70</v>
      </c>
      <c r="G85" s="108" t="s">
        <v>21</v>
      </c>
      <c r="H85" s="126">
        <v>41550</v>
      </c>
      <c r="I85" s="108">
        <v>7120010010</v>
      </c>
      <c r="J85" s="108" t="str">
        <f t="shared" si="4"/>
        <v>7120010010</v>
      </c>
      <c r="K85" s="304" t="str">
        <f t="shared" si="3"/>
        <v>60101027120010010120</v>
      </c>
      <c r="L85" s="17" t="str">
        <f>INDEX('реш СГД № 265'!$A:$N,MATCH('БА расх 2018 31 12 2018'!$K85,'реш СГД № 265'!$N:$N,0),3)</f>
        <v>Расходы на выплаты персоналу государственных (муниципальных) органов</v>
      </c>
      <c r="M85" s="16">
        <f t="shared" si="5"/>
        <v>1</v>
      </c>
    </row>
    <row r="86" spans="1:13" s="23" customFormat="1" ht="31.5">
      <c r="A86" s="21"/>
      <c r="B86" s="127" t="s">
        <v>22</v>
      </c>
      <c r="C86" s="109" t="s">
        <v>64</v>
      </c>
      <c r="D86" s="108" t="s">
        <v>11</v>
      </c>
      <c r="E86" s="108" t="s">
        <v>62</v>
      </c>
      <c r="F86" s="108" t="s">
        <v>70</v>
      </c>
      <c r="G86" s="108" t="s">
        <v>23</v>
      </c>
      <c r="H86" s="126">
        <v>31912.5</v>
      </c>
      <c r="I86" s="108">
        <v>7120010010</v>
      </c>
      <c r="J86" s="108" t="str">
        <f t="shared" si="4"/>
        <v>7120010010</v>
      </c>
      <c r="K86" s="304" t="str">
        <f t="shared" si="3"/>
        <v>60101027120010010122</v>
      </c>
      <c r="L86" s="17"/>
      <c r="M86" s="16"/>
    </row>
    <row r="87" spans="1:13" s="23" customFormat="1" ht="47.25">
      <c r="A87" s="21"/>
      <c r="B87" s="127" t="s">
        <v>26</v>
      </c>
      <c r="C87" s="109" t="s">
        <v>64</v>
      </c>
      <c r="D87" s="108" t="s">
        <v>11</v>
      </c>
      <c r="E87" s="108" t="s">
        <v>62</v>
      </c>
      <c r="F87" s="108" t="s">
        <v>70</v>
      </c>
      <c r="G87" s="108" t="s">
        <v>27</v>
      </c>
      <c r="H87" s="126">
        <v>9637.5</v>
      </c>
      <c r="I87" s="108">
        <v>7120010010</v>
      </c>
      <c r="J87" s="108" t="str">
        <f t="shared" si="4"/>
        <v>7120010010</v>
      </c>
      <c r="K87" s="304" t="str">
        <f t="shared" si="3"/>
        <v>60101027120010010129</v>
      </c>
      <c r="L87" s="17"/>
      <c r="M87" s="16"/>
    </row>
    <row r="88" spans="1:13" s="16" customFormat="1" ht="31.5">
      <c r="A88" s="14"/>
      <c r="B88" s="125" t="s">
        <v>38</v>
      </c>
      <c r="C88" s="109" t="s">
        <v>64</v>
      </c>
      <c r="D88" s="108" t="s">
        <v>11</v>
      </c>
      <c r="E88" s="108" t="s">
        <v>62</v>
      </c>
      <c r="F88" s="108" t="s">
        <v>71</v>
      </c>
      <c r="G88" s="108" t="s">
        <v>9</v>
      </c>
      <c r="H88" s="126">
        <v>1586277.7600000002</v>
      </c>
      <c r="I88" s="108">
        <v>7120010020</v>
      </c>
      <c r="J88" s="108" t="str">
        <f t="shared" si="4"/>
        <v>7120010020</v>
      </c>
      <c r="K88" s="304" t="str">
        <f t="shared" si="3"/>
        <v>60101027120010020000</v>
      </c>
      <c r="L88" s="17" t="str">
        <f>INDEX('реш СГД № 265'!$A:$N,MATCH('БА расх 2018 31 12 2018'!$K88,'реш СГД № 265'!$N:$N,0),3)</f>
        <v>Расходы на выплаты по оплате труда работников органов местного самоуправления города Ставрополя</v>
      </c>
      <c r="M88" s="16">
        <f t="shared" si="5"/>
        <v>1</v>
      </c>
    </row>
    <row r="89" spans="1:13" s="16" customFormat="1" ht="31.5">
      <c r="A89" s="14"/>
      <c r="B89" s="127" t="s">
        <v>20</v>
      </c>
      <c r="C89" s="109" t="s">
        <v>64</v>
      </c>
      <c r="D89" s="108" t="s">
        <v>11</v>
      </c>
      <c r="E89" s="108" t="s">
        <v>62</v>
      </c>
      <c r="F89" s="108" t="s">
        <v>71</v>
      </c>
      <c r="G89" s="108" t="s">
        <v>21</v>
      </c>
      <c r="H89" s="126">
        <v>1586277.7600000002</v>
      </c>
      <c r="I89" s="108">
        <v>7120010020</v>
      </c>
      <c r="J89" s="108" t="str">
        <f t="shared" si="4"/>
        <v>7120010020</v>
      </c>
      <c r="K89" s="304" t="str">
        <f t="shared" si="3"/>
        <v>60101027120010020120</v>
      </c>
      <c r="L89" s="17" t="str">
        <f>INDEX('реш СГД № 265'!$A:$N,MATCH('БА расх 2018 31 12 2018'!$K89,'реш СГД № 265'!$N:$N,0),3)</f>
        <v>Расходы на выплаты персоналу государственных (муниципальных) органов</v>
      </c>
      <c r="M89" s="16">
        <f t="shared" si="5"/>
        <v>1</v>
      </c>
    </row>
    <row r="90" spans="1:13" s="23" customFormat="1" ht="31.5">
      <c r="A90" s="21"/>
      <c r="B90" s="127" t="s">
        <v>40</v>
      </c>
      <c r="C90" s="109" t="s">
        <v>64</v>
      </c>
      <c r="D90" s="108" t="s">
        <v>11</v>
      </c>
      <c r="E90" s="108" t="s">
        <v>62</v>
      </c>
      <c r="F90" s="108" t="s">
        <v>71</v>
      </c>
      <c r="G90" s="108" t="s">
        <v>41</v>
      </c>
      <c r="H90" s="126">
        <v>1259698.3700000001</v>
      </c>
      <c r="I90" s="108">
        <v>7120010020</v>
      </c>
      <c r="J90" s="108" t="str">
        <f t="shared" si="4"/>
        <v>7120010020</v>
      </c>
      <c r="K90" s="304" t="str">
        <f t="shared" si="3"/>
        <v>60101027120010020121</v>
      </c>
      <c r="L90" s="17"/>
      <c r="M90" s="16"/>
    </row>
    <row r="91" spans="1:13" s="23" customFormat="1" ht="47.25">
      <c r="A91" s="21"/>
      <c r="B91" s="127" t="s">
        <v>26</v>
      </c>
      <c r="C91" s="109" t="s">
        <v>64</v>
      </c>
      <c r="D91" s="108" t="s">
        <v>11</v>
      </c>
      <c r="E91" s="108" t="s">
        <v>62</v>
      </c>
      <c r="F91" s="108" t="s">
        <v>71</v>
      </c>
      <c r="G91" s="108" t="s">
        <v>27</v>
      </c>
      <c r="H91" s="126">
        <v>326579.39</v>
      </c>
      <c r="I91" s="108">
        <v>7120010020</v>
      </c>
      <c r="J91" s="108" t="str">
        <f t="shared" si="4"/>
        <v>7120010020</v>
      </c>
      <c r="K91" s="304" t="str">
        <f t="shared" si="3"/>
        <v>60101027120010020129</v>
      </c>
      <c r="L91" s="17"/>
      <c r="M91" s="16"/>
    </row>
    <row r="92" spans="1:13" s="23" customFormat="1" ht="267.75">
      <c r="A92" s="21"/>
      <c r="B92" s="132" t="s">
        <v>2269</v>
      </c>
      <c r="C92" s="109" t="s">
        <v>64</v>
      </c>
      <c r="D92" s="108" t="s">
        <v>11</v>
      </c>
      <c r="E92" s="108" t="s">
        <v>62</v>
      </c>
      <c r="F92" s="108" t="s">
        <v>1267</v>
      </c>
      <c r="G92" s="108" t="s">
        <v>9</v>
      </c>
      <c r="H92" s="126">
        <v>52572.639999999999</v>
      </c>
      <c r="I92" s="108">
        <v>7120077460</v>
      </c>
      <c r="J92" s="108" t="str">
        <f t="shared" si="4"/>
        <v>7120077460</v>
      </c>
      <c r="K92" s="304" t="str">
        <f t="shared" si="3"/>
        <v>60101027120077460000</v>
      </c>
      <c r="L92" s="132" t="str">
        <f>INDEX('реш СГД № 265'!$A:$N,MATCH('БА расх 2018 31 12 2018'!$K92,'реш СГД № 265'!$N:$N,0),3)</f>
        <v>Субсидии на компенсацию расходов по повышению заработной платы муниципальных служащих муниципальной службы и лиц, не замещающих должности муниципальной службы и исполняющих обязанности по техническому обеспечению деятельности органов местного самоуправления муниципальных образований, а также работников муниципальных учреждений, за исключением отдельных категорий работников муниципальных учреждений, которым повышение заработной платы осуществляется в соответствии с указами Президента Российской Федерации от 7 мая 2012 года № 597 «О мероприятиях по реализации государственной социальной политики», от 1 июня 2012 года № 761 «О Национальной стратегии действий в интересах детей на 2012 - 2017 годы» и от 28 декабря 2012 года № 1688 «О некоторых мерах по реализации государственной политики в сфере защиты детей-сирот и детей, оставшихся без попечения родителей»</v>
      </c>
      <c r="M92" s="17">
        <f t="shared" si="5"/>
        <v>1</v>
      </c>
    </row>
    <row r="93" spans="1:13" s="23" customFormat="1" ht="31.5">
      <c r="A93" s="21"/>
      <c r="B93" s="164" t="s">
        <v>20</v>
      </c>
      <c r="C93" s="109" t="s">
        <v>64</v>
      </c>
      <c r="D93" s="108" t="s">
        <v>11</v>
      </c>
      <c r="E93" s="108" t="s">
        <v>62</v>
      </c>
      <c r="F93" s="108" t="s">
        <v>1267</v>
      </c>
      <c r="G93" s="108" t="s">
        <v>21</v>
      </c>
      <c r="H93" s="126">
        <v>52572.639999999999</v>
      </c>
      <c r="I93" s="108">
        <v>7120077460</v>
      </c>
      <c r="J93" s="108" t="str">
        <f t="shared" si="4"/>
        <v>7120077460</v>
      </c>
      <c r="K93" s="304" t="str">
        <f t="shared" si="3"/>
        <v>60101027120077460120</v>
      </c>
      <c r="L93" s="17" t="str">
        <f>INDEX('реш СГД № 265'!$A:$N,MATCH('БА расх 2018 31 12 2018'!$K93,'реш СГД № 265'!$N:$N,0),3)</f>
        <v>Расходы на выплаты персоналу государственных (муниципальных) органов</v>
      </c>
      <c r="M93" s="16">
        <f t="shared" si="5"/>
        <v>1</v>
      </c>
    </row>
    <row r="94" spans="1:13" s="23" customFormat="1" ht="31.5">
      <c r="A94" s="21"/>
      <c r="B94" s="127" t="s">
        <v>40</v>
      </c>
      <c r="C94" s="109" t="s">
        <v>64</v>
      </c>
      <c r="D94" s="108" t="s">
        <v>11</v>
      </c>
      <c r="E94" s="108" t="s">
        <v>62</v>
      </c>
      <c r="F94" s="108" t="s">
        <v>1267</v>
      </c>
      <c r="G94" s="108" t="s">
        <v>41</v>
      </c>
      <c r="H94" s="126">
        <v>40378.36</v>
      </c>
      <c r="I94" s="108">
        <v>7120077460</v>
      </c>
      <c r="J94" s="108" t="str">
        <f t="shared" si="4"/>
        <v>7120077460</v>
      </c>
      <c r="K94" s="304" t="str">
        <f t="shared" si="3"/>
        <v>60101027120077460121</v>
      </c>
      <c r="L94" s="17"/>
      <c r="M94" s="16"/>
    </row>
    <row r="95" spans="1:13" s="23" customFormat="1" ht="47.25">
      <c r="A95" s="21"/>
      <c r="B95" s="127" t="s">
        <v>26</v>
      </c>
      <c r="C95" s="109" t="s">
        <v>64</v>
      </c>
      <c r="D95" s="108" t="s">
        <v>11</v>
      </c>
      <c r="E95" s="108" t="s">
        <v>62</v>
      </c>
      <c r="F95" s="108" t="s">
        <v>1267</v>
      </c>
      <c r="G95" s="108" t="s">
        <v>27</v>
      </c>
      <c r="H95" s="126">
        <v>12194.28</v>
      </c>
      <c r="I95" s="108">
        <v>7120077460</v>
      </c>
      <c r="J95" s="108" t="str">
        <f t="shared" si="4"/>
        <v>7120077460</v>
      </c>
      <c r="K95" s="304" t="str">
        <f t="shared" si="3"/>
        <v>60101027120077460129</v>
      </c>
      <c r="L95" s="17"/>
      <c r="M95" s="16"/>
    </row>
    <row r="96" spans="1:13" s="16" customFormat="1" ht="47.25">
      <c r="A96" s="14"/>
      <c r="B96" s="121" t="s">
        <v>72</v>
      </c>
      <c r="C96" s="122" t="s">
        <v>64</v>
      </c>
      <c r="D96" s="123" t="s">
        <v>11</v>
      </c>
      <c r="E96" s="123" t="s">
        <v>73</v>
      </c>
      <c r="F96" s="123" t="s">
        <v>8</v>
      </c>
      <c r="G96" s="123" t="s">
        <v>9</v>
      </c>
      <c r="H96" s="124">
        <v>109524967.43000001</v>
      </c>
      <c r="I96" s="123">
        <v>0</v>
      </c>
      <c r="J96" s="123" t="str">
        <f t="shared" si="4"/>
        <v>0000000000</v>
      </c>
      <c r="K96" s="304" t="str">
        <f t="shared" si="3"/>
        <v>60101040000000000000</v>
      </c>
      <c r="L96" s="17" t="str">
        <f>INDEX('реш СГД № 265'!$A:$N,MATCH('БА расх 2018 31 12 2018'!$K96,'реш СГД № 265'!$N:$N,0),3)</f>
        <v>Функционирование Правительства Российской Федерации, высших исполнительных органов государственной власти субъектов Российской Федерации, местных администраций</v>
      </c>
      <c r="M96" s="16">
        <f t="shared" si="5"/>
        <v>1</v>
      </c>
    </row>
    <row r="97" spans="1:13" s="16" customFormat="1" ht="31.5">
      <c r="A97" s="14"/>
      <c r="B97" s="129" t="s">
        <v>66</v>
      </c>
      <c r="C97" s="109" t="s">
        <v>64</v>
      </c>
      <c r="D97" s="108" t="s">
        <v>11</v>
      </c>
      <c r="E97" s="108" t="s">
        <v>73</v>
      </c>
      <c r="F97" s="108" t="s">
        <v>67</v>
      </c>
      <c r="G97" s="108" t="s">
        <v>9</v>
      </c>
      <c r="H97" s="126">
        <v>109524967.43000001</v>
      </c>
      <c r="I97" s="108">
        <v>7100000000</v>
      </c>
      <c r="J97" s="108" t="str">
        <f t="shared" si="4"/>
        <v>7100000000</v>
      </c>
      <c r="K97" s="304" t="str">
        <f t="shared" si="3"/>
        <v>60101047100000000000</v>
      </c>
      <c r="L97" s="17" t="str">
        <f>INDEX('реш СГД № 265'!$A:$N,MATCH('БА расх 2018 31 12 2018'!$K97,'реш СГД № 265'!$N:$N,0),3)</f>
        <v>Обеспечение деятельности администрации города Ставрополя</v>
      </c>
      <c r="M97" s="16">
        <f t="shared" si="5"/>
        <v>1</v>
      </c>
    </row>
    <row r="98" spans="1:13" s="16" customFormat="1" ht="31.5">
      <c r="A98" s="14"/>
      <c r="B98" s="129" t="s">
        <v>74</v>
      </c>
      <c r="C98" s="109" t="s">
        <v>64</v>
      </c>
      <c r="D98" s="108" t="s">
        <v>11</v>
      </c>
      <c r="E98" s="108" t="s">
        <v>73</v>
      </c>
      <c r="F98" s="108" t="s">
        <v>75</v>
      </c>
      <c r="G98" s="108" t="s">
        <v>9</v>
      </c>
      <c r="H98" s="126">
        <v>109524967.43000001</v>
      </c>
      <c r="I98" s="108">
        <v>7110000000</v>
      </c>
      <c r="J98" s="108" t="str">
        <f t="shared" si="4"/>
        <v>7110000000</v>
      </c>
      <c r="K98" s="304" t="str">
        <f t="shared" si="3"/>
        <v>60101047110000000000</v>
      </c>
      <c r="L98" s="17" t="str">
        <f>INDEX('реш СГД № 265'!$A:$N,MATCH('БА расх 2018 31 12 2018'!$K98,'реш СГД № 265'!$N:$N,0),3)</f>
        <v>Непрограммные расходы в рамках обеспечения деятельности администрации города Ставрополя</v>
      </c>
      <c r="M98" s="16">
        <f t="shared" si="5"/>
        <v>1</v>
      </c>
    </row>
    <row r="99" spans="1:13" s="16" customFormat="1" ht="31.5">
      <c r="A99" s="14"/>
      <c r="B99" s="129" t="s">
        <v>18</v>
      </c>
      <c r="C99" s="130" t="s">
        <v>64</v>
      </c>
      <c r="D99" s="131" t="s">
        <v>11</v>
      </c>
      <c r="E99" s="131" t="s">
        <v>73</v>
      </c>
      <c r="F99" s="131" t="s">
        <v>76</v>
      </c>
      <c r="G99" s="131" t="s">
        <v>9</v>
      </c>
      <c r="H99" s="105">
        <v>11339841.32</v>
      </c>
      <c r="I99" s="131">
        <v>7110010010</v>
      </c>
      <c r="J99" s="131" t="str">
        <f t="shared" si="4"/>
        <v>7110010010</v>
      </c>
      <c r="K99" s="304" t="str">
        <f t="shared" si="3"/>
        <v>60101047110010010000</v>
      </c>
      <c r="L99" s="17" t="str">
        <f>INDEX('реш СГД № 265'!$A:$N,MATCH('БА расх 2018 31 12 2018'!$K99,'реш СГД № 265'!$N:$N,0),3)</f>
        <v>Расходы на обеспечение функций органов местного самоуправления города Ставрополя</v>
      </c>
      <c r="M99" s="16">
        <f t="shared" si="5"/>
        <v>1</v>
      </c>
    </row>
    <row r="100" spans="1:13" s="16" customFormat="1" ht="31.5">
      <c r="A100" s="14"/>
      <c r="B100" s="127" t="s">
        <v>20</v>
      </c>
      <c r="C100" s="130" t="s">
        <v>64</v>
      </c>
      <c r="D100" s="131" t="s">
        <v>11</v>
      </c>
      <c r="E100" s="131" t="s">
        <v>73</v>
      </c>
      <c r="F100" s="131" t="s">
        <v>76</v>
      </c>
      <c r="G100" s="108" t="s">
        <v>21</v>
      </c>
      <c r="H100" s="126">
        <v>3952735.63</v>
      </c>
      <c r="I100" s="131">
        <v>7110010010</v>
      </c>
      <c r="J100" s="131" t="str">
        <f t="shared" si="4"/>
        <v>7110010010</v>
      </c>
      <c r="K100" s="304" t="str">
        <f t="shared" si="3"/>
        <v>60101047110010010120</v>
      </c>
      <c r="L100" s="17" t="str">
        <f>INDEX('реш СГД № 265'!$A:$N,MATCH('БА расх 2018 31 12 2018'!$K100,'реш СГД № 265'!$N:$N,0),3)</f>
        <v>Расходы на выплаты персоналу государственных (муниципальных) органов</v>
      </c>
      <c r="M100" s="16">
        <f t="shared" si="5"/>
        <v>1</v>
      </c>
    </row>
    <row r="101" spans="1:13" s="23" customFormat="1" ht="31.5">
      <c r="A101" s="21"/>
      <c r="B101" s="127" t="s">
        <v>22</v>
      </c>
      <c r="C101" s="130" t="s">
        <v>64</v>
      </c>
      <c r="D101" s="131" t="s">
        <v>11</v>
      </c>
      <c r="E101" s="131" t="s">
        <v>73</v>
      </c>
      <c r="F101" s="131" t="s">
        <v>76</v>
      </c>
      <c r="G101" s="108" t="s">
        <v>23</v>
      </c>
      <c r="H101" s="126">
        <v>3304613.55</v>
      </c>
      <c r="I101" s="131">
        <v>7110010010</v>
      </c>
      <c r="J101" s="131" t="str">
        <f t="shared" si="4"/>
        <v>7110010010</v>
      </c>
      <c r="K101" s="304" t="str">
        <f t="shared" si="3"/>
        <v>60101047110010010122</v>
      </c>
      <c r="L101" s="17"/>
      <c r="M101" s="16"/>
    </row>
    <row r="102" spans="1:13" s="23" customFormat="1" ht="47.25">
      <c r="A102" s="21"/>
      <c r="B102" s="127" t="s">
        <v>26</v>
      </c>
      <c r="C102" s="130" t="s">
        <v>64</v>
      </c>
      <c r="D102" s="131" t="s">
        <v>11</v>
      </c>
      <c r="E102" s="131" t="s">
        <v>73</v>
      </c>
      <c r="F102" s="131" t="s">
        <v>76</v>
      </c>
      <c r="G102" s="108" t="s">
        <v>27</v>
      </c>
      <c r="H102" s="126">
        <v>648122.07999999996</v>
      </c>
      <c r="I102" s="131">
        <v>7110010010</v>
      </c>
      <c r="J102" s="131" t="str">
        <f t="shared" si="4"/>
        <v>7110010010</v>
      </c>
      <c r="K102" s="304" t="str">
        <f t="shared" si="3"/>
        <v>60101047110010010129</v>
      </c>
      <c r="L102" s="17"/>
      <c r="M102" s="16"/>
    </row>
    <row r="103" spans="1:13" s="16" customFormat="1" ht="31.5">
      <c r="A103" s="14"/>
      <c r="B103" s="125" t="s">
        <v>28</v>
      </c>
      <c r="C103" s="130" t="s">
        <v>64</v>
      </c>
      <c r="D103" s="131" t="s">
        <v>11</v>
      </c>
      <c r="E103" s="131" t="s">
        <v>73</v>
      </c>
      <c r="F103" s="131" t="s">
        <v>76</v>
      </c>
      <c r="G103" s="108" t="s">
        <v>29</v>
      </c>
      <c r="H103" s="126">
        <v>7236461.3700000001</v>
      </c>
      <c r="I103" s="131">
        <v>7110010010</v>
      </c>
      <c r="J103" s="131" t="str">
        <f t="shared" si="4"/>
        <v>7110010010</v>
      </c>
      <c r="K103" s="304" t="str">
        <f t="shared" si="3"/>
        <v>60101047110010010240</v>
      </c>
      <c r="L103" s="17" t="str">
        <f>INDEX('реш СГД № 265'!$A:$N,MATCH('БА расх 2018 31 12 2018'!$K103,'реш СГД № 265'!$N:$N,0),3)</f>
        <v>Иные закупки товаров, работ и услуг для обеспечения государственных (муниципальных) нужд</v>
      </c>
      <c r="M103" s="16">
        <f t="shared" si="5"/>
        <v>1</v>
      </c>
    </row>
    <row r="104" spans="1:13" s="16" customFormat="1" ht="15.75">
      <c r="A104" s="14"/>
      <c r="B104" s="125" t="s">
        <v>30</v>
      </c>
      <c r="C104" s="130" t="s">
        <v>64</v>
      </c>
      <c r="D104" s="131" t="s">
        <v>11</v>
      </c>
      <c r="E104" s="131" t="s">
        <v>73</v>
      </c>
      <c r="F104" s="131" t="s">
        <v>76</v>
      </c>
      <c r="G104" s="108" t="s">
        <v>31</v>
      </c>
      <c r="H104" s="126">
        <v>7236461.3700000001</v>
      </c>
      <c r="I104" s="131">
        <v>7110010010</v>
      </c>
      <c r="J104" s="131" t="str">
        <f t="shared" si="4"/>
        <v>7110010010</v>
      </c>
      <c r="K104" s="304" t="str">
        <f t="shared" si="3"/>
        <v>60101047110010010244</v>
      </c>
      <c r="L104" s="17"/>
    </row>
    <row r="105" spans="1:13" s="16" customFormat="1" ht="15.75">
      <c r="A105" s="14"/>
      <c r="B105" s="125" t="s">
        <v>32</v>
      </c>
      <c r="C105" s="130" t="s">
        <v>64</v>
      </c>
      <c r="D105" s="131" t="s">
        <v>11</v>
      </c>
      <c r="E105" s="131" t="s">
        <v>73</v>
      </c>
      <c r="F105" s="131" t="s">
        <v>76</v>
      </c>
      <c r="G105" s="108" t="s">
        <v>33</v>
      </c>
      <c r="H105" s="126">
        <v>150644.32</v>
      </c>
      <c r="I105" s="131">
        <v>7110010010</v>
      </c>
      <c r="J105" s="131" t="str">
        <f t="shared" si="4"/>
        <v>7110010010</v>
      </c>
      <c r="K105" s="304" t="str">
        <f t="shared" si="3"/>
        <v>60101047110010010850</v>
      </c>
      <c r="L105" s="17" t="str">
        <f>INDEX('реш СГД № 265'!$A:$N,MATCH('БА расх 2018 31 12 2018'!$K105,'реш СГД № 265'!$N:$N,0),3)</f>
        <v>Уплата налогов, сборов и иных платежей</v>
      </c>
      <c r="M105" s="16">
        <f t="shared" si="5"/>
        <v>1</v>
      </c>
    </row>
    <row r="106" spans="1:13" s="16" customFormat="1" ht="15.75">
      <c r="A106" s="14"/>
      <c r="B106" s="125" t="s">
        <v>36</v>
      </c>
      <c r="C106" s="109" t="s">
        <v>64</v>
      </c>
      <c r="D106" s="108" t="s">
        <v>11</v>
      </c>
      <c r="E106" s="108" t="s">
        <v>73</v>
      </c>
      <c r="F106" s="108" t="s">
        <v>76</v>
      </c>
      <c r="G106" s="108" t="s">
        <v>37</v>
      </c>
      <c r="H106" s="126">
        <v>300</v>
      </c>
      <c r="I106" s="108">
        <v>7110010010</v>
      </c>
      <c r="J106" s="108" t="str">
        <f t="shared" si="4"/>
        <v>7110010010</v>
      </c>
      <c r="K106" s="304" t="str">
        <f t="shared" si="3"/>
        <v>60101047110010010852</v>
      </c>
      <c r="L106" s="17"/>
    </row>
    <row r="107" spans="1:13" s="16" customFormat="1" ht="15.75">
      <c r="A107" s="14"/>
      <c r="B107" s="125" t="s">
        <v>77</v>
      </c>
      <c r="C107" s="109" t="s">
        <v>64</v>
      </c>
      <c r="D107" s="108" t="s">
        <v>11</v>
      </c>
      <c r="E107" s="108" t="s">
        <v>73</v>
      </c>
      <c r="F107" s="108" t="s">
        <v>76</v>
      </c>
      <c r="G107" s="108" t="s">
        <v>78</v>
      </c>
      <c r="H107" s="126">
        <v>150344.32000000001</v>
      </c>
      <c r="I107" s="108">
        <v>7110010010</v>
      </c>
      <c r="J107" s="108" t="str">
        <f t="shared" si="4"/>
        <v>7110010010</v>
      </c>
      <c r="K107" s="304" t="str">
        <f t="shared" si="3"/>
        <v>60101047110010010853</v>
      </c>
      <c r="L107" s="17"/>
    </row>
    <row r="108" spans="1:13" s="16" customFormat="1" ht="31.5">
      <c r="A108" s="14"/>
      <c r="B108" s="129" t="s">
        <v>38</v>
      </c>
      <c r="C108" s="109" t="s">
        <v>64</v>
      </c>
      <c r="D108" s="108" t="s">
        <v>11</v>
      </c>
      <c r="E108" s="108" t="s">
        <v>73</v>
      </c>
      <c r="F108" s="108" t="s">
        <v>79</v>
      </c>
      <c r="G108" s="131" t="s">
        <v>9</v>
      </c>
      <c r="H108" s="126">
        <v>93936348.549999997</v>
      </c>
      <c r="I108" s="108">
        <v>7110010020</v>
      </c>
      <c r="J108" s="108" t="str">
        <f t="shared" si="4"/>
        <v>7110010020</v>
      </c>
      <c r="K108" s="304" t="str">
        <f t="shared" si="3"/>
        <v>60101047110010020000</v>
      </c>
      <c r="L108" s="17" t="str">
        <f>INDEX('реш СГД № 265'!$A:$N,MATCH('БА расх 2018 31 12 2018'!$K108,'реш СГД № 265'!$N:$N,0),3)</f>
        <v>Расходы на выплаты по оплате труда работников органов местного самоуправления города Ставрополя</v>
      </c>
      <c r="M108" s="16">
        <f t="shared" si="5"/>
        <v>1</v>
      </c>
    </row>
    <row r="109" spans="1:13" s="16" customFormat="1" ht="31.5">
      <c r="A109" s="14"/>
      <c r="B109" s="127" t="s">
        <v>20</v>
      </c>
      <c r="C109" s="109" t="s">
        <v>64</v>
      </c>
      <c r="D109" s="108" t="s">
        <v>11</v>
      </c>
      <c r="E109" s="108" t="s">
        <v>73</v>
      </c>
      <c r="F109" s="108" t="s">
        <v>79</v>
      </c>
      <c r="G109" s="131" t="s">
        <v>21</v>
      </c>
      <c r="H109" s="126">
        <v>93799044.140000001</v>
      </c>
      <c r="I109" s="108">
        <v>7110010020</v>
      </c>
      <c r="J109" s="108" t="str">
        <f t="shared" si="4"/>
        <v>7110010020</v>
      </c>
      <c r="K109" s="304" t="str">
        <f t="shared" si="3"/>
        <v>60101047110010020120</v>
      </c>
      <c r="L109" s="17" t="str">
        <f>INDEX('реш СГД № 265'!$A:$N,MATCH('БА расх 2018 31 12 2018'!$K109,'реш СГД № 265'!$N:$N,0),3)</f>
        <v>Расходы на выплаты персоналу государственных (муниципальных) органов</v>
      </c>
      <c r="M109" s="16">
        <f t="shared" si="5"/>
        <v>1</v>
      </c>
    </row>
    <row r="110" spans="1:13" s="16" customFormat="1" ht="31.5">
      <c r="A110" s="14"/>
      <c r="B110" s="125" t="s">
        <v>40</v>
      </c>
      <c r="C110" s="109" t="s">
        <v>64</v>
      </c>
      <c r="D110" s="108" t="s">
        <v>11</v>
      </c>
      <c r="E110" s="108" t="s">
        <v>73</v>
      </c>
      <c r="F110" s="108" t="s">
        <v>79</v>
      </c>
      <c r="G110" s="108" t="s">
        <v>41</v>
      </c>
      <c r="H110" s="126">
        <v>72140147.090000004</v>
      </c>
      <c r="I110" s="108">
        <v>7110010020</v>
      </c>
      <c r="J110" s="108" t="str">
        <f t="shared" si="4"/>
        <v>7110010020</v>
      </c>
      <c r="K110" s="304" t="str">
        <f t="shared" si="3"/>
        <v>60101047110010020121</v>
      </c>
      <c r="L110" s="17"/>
    </row>
    <row r="111" spans="1:13" s="16" customFormat="1" ht="47.25">
      <c r="A111" s="14"/>
      <c r="B111" s="125" t="s">
        <v>26</v>
      </c>
      <c r="C111" s="109" t="s">
        <v>64</v>
      </c>
      <c r="D111" s="108" t="s">
        <v>11</v>
      </c>
      <c r="E111" s="108" t="s">
        <v>73</v>
      </c>
      <c r="F111" s="108" t="s">
        <v>79</v>
      </c>
      <c r="G111" s="108" t="s">
        <v>27</v>
      </c>
      <c r="H111" s="126">
        <v>21658897.050000001</v>
      </c>
      <c r="I111" s="108">
        <v>7110010020</v>
      </c>
      <c r="J111" s="108" t="str">
        <f t="shared" si="4"/>
        <v>7110010020</v>
      </c>
      <c r="K111" s="304" t="str">
        <f t="shared" si="3"/>
        <v>60101047110010020129</v>
      </c>
      <c r="L111" s="17"/>
    </row>
    <row r="112" spans="1:13" s="16" customFormat="1" ht="31.5">
      <c r="A112" s="14"/>
      <c r="B112" s="125" t="s">
        <v>327</v>
      </c>
      <c r="C112" s="109" t="s">
        <v>64</v>
      </c>
      <c r="D112" s="108" t="s">
        <v>11</v>
      </c>
      <c r="E112" s="108" t="s">
        <v>73</v>
      </c>
      <c r="F112" s="108" t="s">
        <v>79</v>
      </c>
      <c r="G112" s="108" t="s">
        <v>328</v>
      </c>
      <c r="H112" s="126">
        <v>137304.41</v>
      </c>
      <c r="I112" s="108">
        <v>7110010020</v>
      </c>
      <c r="J112" s="108" t="str">
        <f t="shared" si="4"/>
        <v>7110010020</v>
      </c>
      <c r="K112" s="304" t="str">
        <f t="shared" si="3"/>
        <v>60101047110010020320</v>
      </c>
      <c r="L112" s="17"/>
    </row>
    <row r="113" spans="1:13" s="16" customFormat="1" ht="31.5">
      <c r="A113" s="14"/>
      <c r="B113" s="125" t="s">
        <v>2248</v>
      </c>
      <c r="C113" s="109" t="s">
        <v>64</v>
      </c>
      <c r="D113" s="108" t="s">
        <v>11</v>
      </c>
      <c r="E113" s="108" t="s">
        <v>73</v>
      </c>
      <c r="F113" s="108" t="s">
        <v>79</v>
      </c>
      <c r="G113" s="108" t="s">
        <v>1856</v>
      </c>
      <c r="H113" s="126">
        <v>137304.41</v>
      </c>
      <c r="I113" s="108">
        <v>7110010020</v>
      </c>
      <c r="J113" s="108" t="str">
        <f t="shared" si="4"/>
        <v>7110010020</v>
      </c>
      <c r="K113" s="304" t="str">
        <f t="shared" si="3"/>
        <v>60101047110010020321</v>
      </c>
      <c r="L113" s="17"/>
    </row>
    <row r="114" spans="1:13" s="16" customFormat="1" ht="63">
      <c r="A114" s="14" t="s">
        <v>80</v>
      </c>
      <c r="B114" s="125" t="s">
        <v>81</v>
      </c>
      <c r="C114" s="130" t="s">
        <v>64</v>
      </c>
      <c r="D114" s="131" t="s">
        <v>11</v>
      </c>
      <c r="E114" s="131" t="s">
        <v>73</v>
      </c>
      <c r="F114" s="131" t="s">
        <v>82</v>
      </c>
      <c r="G114" s="131" t="s">
        <v>9</v>
      </c>
      <c r="H114" s="126">
        <v>1053422.5900000001</v>
      </c>
      <c r="I114" s="131">
        <v>7110076630</v>
      </c>
      <c r="J114" s="131" t="str">
        <f t="shared" si="4"/>
        <v>7110076630</v>
      </c>
      <c r="K114" s="304" t="str">
        <f t="shared" si="3"/>
        <v>60101047110076630000</v>
      </c>
      <c r="L114" s="17" t="str">
        <f>INDEX('реш СГД № 265'!$A:$N,MATCH('БА расх 2018 31 12 2018'!$K114,'реш СГД № 265'!$N:$N,0),3)</f>
        <v>Расходы на осуществление переданных государственных полномочий Ставропольского края по формированию, содержанию и использованию Архивного фонда Ставропольского края</v>
      </c>
      <c r="M114" s="16">
        <f t="shared" si="5"/>
        <v>1</v>
      </c>
    </row>
    <row r="115" spans="1:13" s="16" customFormat="1" ht="31.5">
      <c r="A115" s="14"/>
      <c r="B115" s="127" t="s">
        <v>20</v>
      </c>
      <c r="C115" s="130" t="s">
        <v>64</v>
      </c>
      <c r="D115" s="131" t="s">
        <v>11</v>
      </c>
      <c r="E115" s="131" t="s">
        <v>73</v>
      </c>
      <c r="F115" s="131" t="s">
        <v>82</v>
      </c>
      <c r="G115" s="131" t="s">
        <v>21</v>
      </c>
      <c r="H115" s="126">
        <v>833403.59000000008</v>
      </c>
      <c r="I115" s="131">
        <v>7110076630</v>
      </c>
      <c r="J115" s="131" t="str">
        <f t="shared" si="4"/>
        <v>7110076630</v>
      </c>
      <c r="K115" s="304" t="str">
        <f t="shared" si="3"/>
        <v>60101047110076630120</v>
      </c>
      <c r="L115" s="17" t="str">
        <f>INDEX('реш СГД № 265'!$A:$N,MATCH('БА расх 2018 31 12 2018'!$K115,'реш СГД № 265'!$N:$N,0),3)</f>
        <v>Расходы на выплаты персоналу государственных (муниципальных) органов</v>
      </c>
      <c r="M115" s="16">
        <f t="shared" si="5"/>
        <v>1</v>
      </c>
    </row>
    <row r="116" spans="1:13" s="23" customFormat="1" ht="31.5">
      <c r="A116" s="21"/>
      <c r="B116" s="127" t="s">
        <v>40</v>
      </c>
      <c r="C116" s="109" t="s">
        <v>64</v>
      </c>
      <c r="D116" s="108" t="s">
        <v>11</v>
      </c>
      <c r="E116" s="108" t="s">
        <v>73</v>
      </c>
      <c r="F116" s="108" t="s">
        <v>82</v>
      </c>
      <c r="G116" s="108" t="s">
        <v>41</v>
      </c>
      <c r="H116" s="126">
        <v>640094.92000000004</v>
      </c>
      <c r="I116" s="108">
        <v>7110076630</v>
      </c>
      <c r="J116" s="108" t="str">
        <f t="shared" si="4"/>
        <v>7110076630</v>
      </c>
      <c r="K116" s="304" t="str">
        <f t="shared" si="3"/>
        <v>60101047110076630121</v>
      </c>
      <c r="L116" s="17"/>
      <c r="M116" s="16"/>
    </row>
    <row r="117" spans="1:13" s="23" customFormat="1" ht="47.25">
      <c r="A117" s="21"/>
      <c r="B117" s="127" t="s">
        <v>26</v>
      </c>
      <c r="C117" s="109" t="s">
        <v>64</v>
      </c>
      <c r="D117" s="108" t="s">
        <v>11</v>
      </c>
      <c r="E117" s="108" t="s">
        <v>73</v>
      </c>
      <c r="F117" s="108" t="s">
        <v>82</v>
      </c>
      <c r="G117" s="108" t="s">
        <v>27</v>
      </c>
      <c r="H117" s="126">
        <v>193308.67</v>
      </c>
      <c r="I117" s="108">
        <v>7110076630</v>
      </c>
      <c r="J117" s="108" t="str">
        <f t="shared" si="4"/>
        <v>7110076630</v>
      </c>
      <c r="K117" s="304" t="str">
        <f t="shared" si="3"/>
        <v>60101047110076630129</v>
      </c>
      <c r="L117" s="17"/>
      <c r="M117" s="16"/>
    </row>
    <row r="118" spans="1:13" s="16" customFormat="1" ht="31.5">
      <c r="A118" s="14"/>
      <c r="B118" s="125" t="s">
        <v>28</v>
      </c>
      <c r="C118" s="130" t="s">
        <v>64</v>
      </c>
      <c r="D118" s="131" t="s">
        <v>11</v>
      </c>
      <c r="E118" s="131" t="s">
        <v>73</v>
      </c>
      <c r="F118" s="131" t="s">
        <v>82</v>
      </c>
      <c r="G118" s="131" t="s">
        <v>29</v>
      </c>
      <c r="H118" s="126">
        <v>220019</v>
      </c>
      <c r="I118" s="131">
        <v>7110076630</v>
      </c>
      <c r="J118" s="131" t="str">
        <f t="shared" si="4"/>
        <v>7110076630</v>
      </c>
      <c r="K118" s="304" t="str">
        <f t="shared" si="3"/>
        <v>60101047110076630240</v>
      </c>
      <c r="L118" s="17" t="str">
        <f>INDEX('реш СГД № 265'!$A:$N,MATCH('БА расх 2018 31 12 2018'!$K118,'реш СГД № 265'!$N:$N,0),3)</f>
        <v>Иные закупки товаров, работ и услуг для обеспечения государственных (муниципальных) нужд</v>
      </c>
      <c r="M118" s="16">
        <f t="shared" si="5"/>
        <v>1</v>
      </c>
    </row>
    <row r="119" spans="1:13" s="16" customFormat="1" ht="15.75">
      <c r="A119" s="14"/>
      <c r="B119" s="125" t="s">
        <v>30</v>
      </c>
      <c r="C119" s="130" t="s">
        <v>64</v>
      </c>
      <c r="D119" s="131" t="s">
        <v>11</v>
      </c>
      <c r="E119" s="131" t="s">
        <v>73</v>
      </c>
      <c r="F119" s="131" t="s">
        <v>82</v>
      </c>
      <c r="G119" s="131" t="s">
        <v>31</v>
      </c>
      <c r="H119" s="126">
        <v>220019</v>
      </c>
      <c r="I119" s="131">
        <v>7110076630</v>
      </c>
      <c r="J119" s="131" t="str">
        <f t="shared" si="4"/>
        <v>7110076630</v>
      </c>
      <c r="K119" s="304" t="str">
        <f t="shared" si="3"/>
        <v>60101047110076630244</v>
      </c>
      <c r="L119" s="17"/>
    </row>
    <row r="120" spans="1:13" s="16" customFormat="1" ht="47.25">
      <c r="A120" s="14" t="s">
        <v>80</v>
      </c>
      <c r="B120" s="129" t="s">
        <v>83</v>
      </c>
      <c r="C120" s="130" t="s">
        <v>64</v>
      </c>
      <c r="D120" s="131" t="s">
        <v>11</v>
      </c>
      <c r="E120" s="131" t="s">
        <v>73</v>
      </c>
      <c r="F120" s="131" t="s">
        <v>84</v>
      </c>
      <c r="G120" s="131" t="s">
        <v>9</v>
      </c>
      <c r="H120" s="105">
        <v>9000</v>
      </c>
      <c r="I120" s="131">
        <v>7110076930</v>
      </c>
      <c r="J120" s="131" t="str">
        <f t="shared" si="4"/>
        <v>7110076930</v>
      </c>
      <c r="K120" s="304" t="str">
        <f t="shared" si="3"/>
        <v>60101047110076930000</v>
      </c>
      <c r="L120" s="17" t="str">
        <f>INDEX('реш СГД № 265'!$A:$N,MATCH('БА расх 2018 31 12 2018'!$K120,'реш СГД № 265'!$N:$N,0),3)</f>
        <v>Расходы на осуществление переданных государственных полномочий Ставропольского края по созданию административных комиссий</v>
      </c>
      <c r="M120" s="16">
        <f t="shared" si="5"/>
        <v>1</v>
      </c>
    </row>
    <row r="121" spans="1:13" s="16" customFormat="1" ht="31.5">
      <c r="A121" s="14"/>
      <c r="B121" s="125" t="s">
        <v>28</v>
      </c>
      <c r="C121" s="130" t="s">
        <v>64</v>
      </c>
      <c r="D121" s="131" t="s">
        <v>11</v>
      </c>
      <c r="E121" s="131" t="s">
        <v>73</v>
      </c>
      <c r="F121" s="131" t="s">
        <v>84</v>
      </c>
      <c r="G121" s="131" t="s">
        <v>29</v>
      </c>
      <c r="H121" s="126">
        <v>9000</v>
      </c>
      <c r="I121" s="131">
        <v>7110076930</v>
      </c>
      <c r="J121" s="131" t="str">
        <f t="shared" si="4"/>
        <v>7110076930</v>
      </c>
      <c r="K121" s="304" t="str">
        <f t="shared" si="3"/>
        <v>60101047110076930240</v>
      </c>
      <c r="L121" s="17" t="str">
        <f>INDEX('реш СГД № 265'!$A:$N,MATCH('БА расх 2018 31 12 2018'!$K121,'реш СГД № 265'!$N:$N,0),3)</f>
        <v>Иные закупки товаров, работ и услуг для обеспечения государственных (муниципальных) нужд</v>
      </c>
      <c r="M121" s="16">
        <f t="shared" si="5"/>
        <v>1</v>
      </c>
    </row>
    <row r="122" spans="1:13" s="16" customFormat="1" ht="15.75">
      <c r="A122" s="14"/>
      <c r="B122" s="125" t="s">
        <v>30</v>
      </c>
      <c r="C122" s="130" t="s">
        <v>64</v>
      </c>
      <c r="D122" s="131" t="s">
        <v>11</v>
      </c>
      <c r="E122" s="131" t="s">
        <v>73</v>
      </c>
      <c r="F122" s="131" t="s">
        <v>84</v>
      </c>
      <c r="G122" s="131" t="s">
        <v>31</v>
      </c>
      <c r="H122" s="126">
        <v>9000</v>
      </c>
      <c r="I122" s="131">
        <v>7110076930</v>
      </c>
      <c r="J122" s="131" t="str">
        <f t="shared" si="4"/>
        <v>7110076930</v>
      </c>
      <c r="K122" s="304" t="str">
        <f t="shared" si="3"/>
        <v>60101047110076930244</v>
      </c>
      <c r="L122" s="17"/>
    </row>
    <row r="123" spans="1:13" s="16" customFormat="1" ht="267.75">
      <c r="A123" s="14"/>
      <c r="B123" s="132" t="s">
        <v>2269</v>
      </c>
      <c r="C123" s="109" t="s">
        <v>64</v>
      </c>
      <c r="D123" s="108" t="s">
        <v>11</v>
      </c>
      <c r="E123" s="108" t="s">
        <v>73</v>
      </c>
      <c r="F123" s="108" t="s">
        <v>1268</v>
      </c>
      <c r="G123" s="108" t="s">
        <v>9</v>
      </c>
      <c r="H123" s="126">
        <v>3186354.9699999997</v>
      </c>
      <c r="I123" s="108">
        <v>7110077460</v>
      </c>
      <c r="J123" s="108" t="str">
        <f t="shared" si="4"/>
        <v>7110077460</v>
      </c>
      <c r="K123" s="304" t="str">
        <f t="shared" si="3"/>
        <v>60101047110077460000</v>
      </c>
      <c r="L123" s="132" t="str">
        <f>INDEX('реш СГД № 265'!$A:$N,MATCH('БА расх 2018 31 12 2018'!$K123,'реш СГД № 265'!$N:$N,0),3)</f>
        <v>Субсидии на компенсацию расходов по повышению заработной платы муниципальных служащих муниципальной службы и лиц, не замещающих должности муниципальной службы и исполняющих обязанности по техническому обеспечению деятельности органов местного самоуправления муниципальных образований, а также работников муниципальных учреждений, за исключением отдельных категорий работников муниципальных учреждений, которым повышение заработной платы осуществляется в соответствии с указами Президента Российской Федерации от 7 мая 2012 года № 597 «О мероприятиях по реализации государственной социальной политики», от 1 июня 2012 года № 761 «О Национальной стратегии действий в интересах детей на 2012 - 2017 годы» и от 28 декабря 2012 года № 1688 «О некоторых мерах по реализации государственной политики в сфере защиты детей-сирот и детей, оставшихся без попечения родителей»</v>
      </c>
      <c r="M123" s="17">
        <f t="shared" si="5"/>
        <v>1</v>
      </c>
    </row>
    <row r="124" spans="1:13" s="16" customFormat="1" ht="31.5">
      <c r="A124" s="14"/>
      <c r="B124" s="164" t="s">
        <v>20</v>
      </c>
      <c r="C124" s="109" t="s">
        <v>64</v>
      </c>
      <c r="D124" s="108" t="s">
        <v>11</v>
      </c>
      <c r="E124" s="108" t="s">
        <v>73</v>
      </c>
      <c r="F124" s="108" t="s">
        <v>1268</v>
      </c>
      <c r="G124" s="108" t="s">
        <v>21</v>
      </c>
      <c r="H124" s="126">
        <v>3186354.9699999997</v>
      </c>
      <c r="I124" s="108">
        <v>7110077460</v>
      </c>
      <c r="J124" s="108" t="str">
        <f t="shared" si="4"/>
        <v>7110077460</v>
      </c>
      <c r="K124" s="304" t="str">
        <f t="shared" si="3"/>
        <v>60101047110077460120</v>
      </c>
      <c r="L124" s="17" t="str">
        <f>INDEX('реш СГД № 265'!$A:$N,MATCH('БА расх 2018 31 12 2018'!$K124,'реш СГД № 265'!$N:$N,0),3)</f>
        <v>Расходы на выплаты персоналу государственных (муниципальных) органов</v>
      </c>
      <c r="M124" s="16">
        <f t="shared" si="5"/>
        <v>1</v>
      </c>
    </row>
    <row r="125" spans="1:13" s="16" customFormat="1" ht="31.5">
      <c r="A125" s="14"/>
      <c r="B125" s="127" t="s">
        <v>40</v>
      </c>
      <c r="C125" s="109" t="s">
        <v>64</v>
      </c>
      <c r="D125" s="108" t="s">
        <v>11</v>
      </c>
      <c r="E125" s="108" t="s">
        <v>73</v>
      </c>
      <c r="F125" s="108" t="s">
        <v>1268</v>
      </c>
      <c r="G125" s="108" t="s">
        <v>41</v>
      </c>
      <c r="H125" s="126">
        <v>2447277.25</v>
      </c>
      <c r="I125" s="108">
        <v>7110077460</v>
      </c>
      <c r="J125" s="108" t="str">
        <f t="shared" si="4"/>
        <v>7110077460</v>
      </c>
      <c r="K125" s="304" t="str">
        <f t="shared" si="3"/>
        <v>60101047110077460121</v>
      </c>
      <c r="L125" s="17"/>
    </row>
    <row r="126" spans="1:13" s="16" customFormat="1" ht="47.25">
      <c r="A126" s="14"/>
      <c r="B126" s="127" t="s">
        <v>26</v>
      </c>
      <c r="C126" s="109" t="s">
        <v>64</v>
      </c>
      <c r="D126" s="108" t="s">
        <v>11</v>
      </c>
      <c r="E126" s="108" t="s">
        <v>73</v>
      </c>
      <c r="F126" s="108" t="s">
        <v>1268</v>
      </c>
      <c r="G126" s="108" t="s">
        <v>27</v>
      </c>
      <c r="H126" s="126">
        <v>739077.72</v>
      </c>
      <c r="I126" s="108">
        <v>7110077460</v>
      </c>
      <c r="J126" s="108" t="str">
        <f t="shared" si="4"/>
        <v>7110077460</v>
      </c>
      <c r="K126" s="304" t="str">
        <f t="shared" si="3"/>
        <v>60101047110077460129</v>
      </c>
      <c r="L126" s="17"/>
    </row>
    <row r="127" spans="1:13" s="16" customFormat="1" ht="15.75">
      <c r="A127" s="14"/>
      <c r="B127" s="121" t="s">
        <v>85</v>
      </c>
      <c r="C127" s="122" t="s">
        <v>64</v>
      </c>
      <c r="D127" s="123" t="s">
        <v>11</v>
      </c>
      <c r="E127" s="123" t="s">
        <v>86</v>
      </c>
      <c r="F127" s="123" t="s">
        <v>8</v>
      </c>
      <c r="G127" s="123" t="s">
        <v>9</v>
      </c>
      <c r="H127" s="124">
        <v>1291440</v>
      </c>
      <c r="I127" s="123">
        <v>0</v>
      </c>
      <c r="J127" s="123" t="str">
        <f t="shared" si="4"/>
        <v>0000000000</v>
      </c>
      <c r="K127" s="304" t="str">
        <f t="shared" si="3"/>
        <v>60101050000000000000</v>
      </c>
      <c r="L127" s="17" t="str">
        <f>INDEX('реш СГД № 265'!$A:$N,MATCH('БА расх 2018 31 12 2018'!$K127,'реш СГД № 265'!$N:$N,0),3)</f>
        <v>Судебная система</v>
      </c>
      <c r="M127" s="16">
        <f t="shared" si="5"/>
        <v>1</v>
      </c>
    </row>
    <row r="128" spans="1:13" s="16" customFormat="1" ht="47.25">
      <c r="A128" s="14"/>
      <c r="B128" s="125" t="s">
        <v>87</v>
      </c>
      <c r="C128" s="109" t="s">
        <v>64</v>
      </c>
      <c r="D128" s="108" t="s">
        <v>11</v>
      </c>
      <c r="E128" s="131" t="s">
        <v>86</v>
      </c>
      <c r="F128" s="108" t="s">
        <v>88</v>
      </c>
      <c r="G128" s="108" t="s">
        <v>9</v>
      </c>
      <c r="H128" s="126">
        <v>1291440</v>
      </c>
      <c r="I128" s="108">
        <v>9800000000</v>
      </c>
      <c r="J128" s="108" t="str">
        <f t="shared" si="4"/>
        <v>9800000000</v>
      </c>
      <c r="K128" s="304" t="str">
        <f t="shared" si="3"/>
        <v>60101059800000000000</v>
      </c>
      <c r="L128" s="17" t="str">
        <f>INDEX('реш СГД № 265'!$A:$N,MATCH('БА расх 2018 31 12 2018'!$K128,'реш СГД № 265'!$N:$N,0),3)</f>
        <v>Реализация иных функций Ставропольской городской Думы, администрации города Ставрополя, ее отраслевых (функциональных) и территориальных органов</v>
      </c>
      <c r="M128" s="16">
        <f t="shared" si="5"/>
        <v>1</v>
      </c>
    </row>
    <row r="129" spans="1:13" s="16" customFormat="1" ht="15.75">
      <c r="A129" s="14"/>
      <c r="B129" s="125" t="s">
        <v>89</v>
      </c>
      <c r="C129" s="109" t="s">
        <v>64</v>
      </c>
      <c r="D129" s="108" t="s">
        <v>11</v>
      </c>
      <c r="E129" s="131" t="s">
        <v>86</v>
      </c>
      <c r="F129" s="108" t="s">
        <v>90</v>
      </c>
      <c r="G129" s="108" t="s">
        <v>9</v>
      </c>
      <c r="H129" s="126">
        <v>1291440</v>
      </c>
      <c r="I129" s="108">
        <v>9810000000</v>
      </c>
      <c r="J129" s="108" t="str">
        <f t="shared" si="4"/>
        <v>9810000000</v>
      </c>
      <c r="K129" s="304" t="str">
        <f t="shared" si="3"/>
        <v>60101059810000000000</v>
      </c>
      <c r="L129" s="17" t="str">
        <f>INDEX('реш СГД № 265'!$A:$N,MATCH('БА расх 2018 31 12 2018'!$K129,'реш СГД № 265'!$N:$N,0),3)</f>
        <v>Иные непрограммные мероприятия</v>
      </c>
      <c r="M129" s="16">
        <f t="shared" si="5"/>
        <v>1</v>
      </c>
    </row>
    <row r="130" spans="1:13" s="16" customFormat="1" ht="63">
      <c r="A130" s="14" t="s">
        <v>91</v>
      </c>
      <c r="B130" s="129" t="s">
        <v>92</v>
      </c>
      <c r="C130" s="130" t="s">
        <v>64</v>
      </c>
      <c r="D130" s="131" t="s">
        <v>11</v>
      </c>
      <c r="E130" s="131" t="s">
        <v>86</v>
      </c>
      <c r="F130" s="131" t="s">
        <v>93</v>
      </c>
      <c r="G130" s="131" t="s">
        <v>9</v>
      </c>
      <c r="H130" s="105">
        <v>1291440</v>
      </c>
      <c r="I130" s="131">
        <v>9810051200</v>
      </c>
      <c r="J130" s="131" t="str">
        <f t="shared" si="4"/>
        <v>9810051200</v>
      </c>
      <c r="K130" s="304" t="str">
        <f t="shared" si="3"/>
        <v>60101059810051200000</v>
      </c>
      <c r="L130" s="17" t="str">
        <f>INDEX('реш СГД № 265'!$A:$N,MATCH('БА расх 2018 31 12 2018'!$K130,'реш СГД № 265'!$N:$N,0),3)</f>
        <v>Расходы на 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v>
      </c>
      <c r="M130" s="16">
        <f t="shared" si="5"/>
        <v>1</v>
      </c>
    </row>
    <row r="131" spans="1:13" s="16" customFormat="1" ht="31.5">
      <c r="A131" s="14"/>
      <c r="B131" s="125" t="s">
        <v>28</v>
      </c>
      <c r="C131" s="130" t="s">
        <v>64</v>
      </c>
      <c r="D131" s="131" t="s">
        <v>11</v>
      </c>
      <c r="E131" s="131" t="s">
        <v>86</v>
      </c>
      <c r="F131" s="131" t="s">
        <v>93</v>
      </c>
      <c r="G131" s="131" t="s">
        <v>29</v>
      </c>
      <c r="H131" s="126">
        <v>1291440</v>
      </c>
      <c r="I131" s="131">
        <v>9810051200</v>
      </c>
      <c r="J131" s="131" t="str">
        <f t="shared" si="4"/>
        <v>9810051200</v>
      </c>
      <c r="K131" s="304" t="str">
        <f t="shared" si="3"/>
        <v>60101059810051200240</v>
      </c>
      <c r="L131" s="17" t="str">
        <f>INDEX('реш СГД № 265'!$A:$N,MATCH('БА расх 2018 31 12 2018'!$K131,'реш СГД № 265'!$N:$N,0),3)</f>
        <v>Иные закупки товаров, работ и услуг для обеспечения государственных (муниципальных) нужд</v>
      </c>
      <c r="M131" s="16">
        <f t="shared" si="5"/>
        <v>1</v>
      </c>
    </row>
    <row r="132" spans="1:13" s="16" customFormat="1" ht="15.75">
      <c r="A132" s="14"/>
      <c r="B132" s="125" t="s">
        <v>30</v>
      </c>
      <c r="C132" s="130" t="s">
        <v>64</v>
      </c>
      <c r="D132" s="131" t="s">
        <v>11</v>
      </c>
      <c r="E132" s="131" t="s">
        <v>86</v>
      </c>
      <c r="F132" s="131" t="s">
        <v>93</v>
      </c>
      <c r="G132" s="131" t="s">
        <v>31</v>
      </c>
      <c r="H132" s="126">
        <v>1291440</v>
      </c>
      <c r="I132" s="131">
        <v>9810051200</v>
      </c>
      <c r="J132" s="131" t="str">
        <f t="shared" si="4"/>
        <v>9810051200</v>
      </c>
      <c r="K132" s="304" t="str">
        <f t="shared" si="3"/>
        <v>60101059810051200244</v>
      </c>
      <c r="L132" s="17"/>
    </row>
    <row r="133" spans="1:13" s="16" customFormat="1" ht="15.75">
      <c r="A133" s="14"/>
      <c r="B133" s="121" t="s">
        <v>50</v>
      </c>
      <c r="C133" s="122" t="s">
        <v>64</v>
      </c>
      <c r="D133" s="123" t="s">
        <v>11</v>
      </c>
      <c r="E133" s="123" t="s">
        <v>51</v>
      </c>
      <c r="F133" s="123" t="s">
        <v>8</v>
      </c>
      <c r="G133" s="123" t="s">
        <v>9</v>
      </c>
      <c r="H133" s="124">
        <v>154986324.50999999</v>
      </c>
      <c r="I133" s="123">
        <v>0</v>
      </c>
      <c r="J133" s="123" t="str">
        <f t="shared" si="4"/>
        <v>0000000000</v>
      </c>
      <c r="K133" s="304" t="str">
        <f t="shared" ref="K133:K186" si="6">C133&amp;D133&amp;E133&amp;J133&amp;G133</f>
        <v>60101130000000000000</v>
      </c>
      <c r="L133" s="17" t="str">
        <f>INDEX('реш СГД № 265'!$A:$N,MATCH('БА расх 2018 31 12 2018'!$K133,'реш СГД № 265'!$N:$N,0),3)</f>
        <v>Другие общегосударственные вопросы</v>
      </c>
      <c r="M133" s="16">
        <f t="shared" si="5"/>
        <v>1</v>
      </c>
    </row>
    <row r="134" spans="1:13" s="16" customFormat="1" ht="31.5">
      <c r="A134" s="14"/>
      <c r="B134" s="129" t="s">
        <v>94</v>
      </c>
      <c r="C134" s="109" t="s">
        <v>64</v>
      </c>
      <c r="D134" s="108" t="s">
        <v>11</v>
      </c>
      <c r="E134" s="108" t="s">
        <v>51</v>
      </c>
      <c r="F134" s="108" t="s">
        <v>95</v>
      </c>
      <c r="G134" s="108" t="s">
        <v>9</v>
      </c>
      <c r="H134" s="126">
        <v>1565230.96</v>
      </c>
      <c r="I134" s="108">
        <v>1200000000</v>
      </c>
      <c r="J134" s="108" t="str">
        <f t="shared" ref="J134:J187" si="7">TEXT(I134,"0000000000")</f>
        <v>1200000000</v>
      </c>
      <c r="K134" s="304" t="str">
        <f t="shared" si="6"/>
        <v>60101131200000000000</v>
      </c>
      <c r="L134" s="17" t="str">
        <f>INDEX('реш СГД № 265'!$A:$N,MATCH('БА расх 2018 31 12 2018'!$K134,'реш СГД № 265'!$N:$N,0),3)</f>
        <v>Муниципальная программа «Экономическое развитие города Ставрополя»</v>
      </c>
      <c r="M134" s="16">
        <f t="shared" ref="M134:M186" si="8">IF(B134=L134,1,0)</f>
        <v>1</v>
      </c>
    </row>
    <row r="135" spans="1:13" s="16" customFormat="1" ht="31.5">
      <c r="A135" s="14"/>
      <c r="B135" s="129" t="s">
        <v>96</v>
      </c>
      <c r="C135" s="109" t="s">
        <v>64</v>
      </c>
      <c r="D135" s="108" t="s">
        <v>11</v>
      </c>
      <c r="E135" s="108" t="s">
        <v>51</v>
      </c>
      <c r="F135" s="108" t="s">
        <v>97</v>
      </c>
      <c r="G135" s="108" t="s">
        <v>9</v>
      </c>
      <c r="H135" s="126">
        <v>1565230.96</v>
      </c>
      <c r="I135" s="108">
        <v>1220000000</v>
      </c>
      <c r="J135" s="108" t="str">
        <f t="shared" si="7"/>
        <v>1220000000</v>
      </c>
      <c r="K135" s="304" t="str">
        <f t="shared" si="6"/>
        <v>60101131220000000000</v>
      </c>
      <c r="L135" s="17" t="str">
        <f>INDEX('реш СГД № 265'!$A:$N,MATCH('БА расх 2018 31 12 2018'!$K135,'реш СГД № 265'!$N:$N,0),3)</f>
        <v>Подпрограмма «Создание благоприятных условий для экономического развития города Ставрополя»</v>
      </c>
      <c r="M135" s="16">
        <f t="shared" si="8"/>
        <v>1</v>
      </c>
    </row>
    <row r="136" spans="1:13" s="16" customFormat="1" ht="47.25">
      <c r="A136" s="14"/>
      <c r="B136" s="129" t="s">
        <v>98</v>
      </c>
      <c r="C136" s="109" t="s">
        <v>64</v>
      </c>
      <c r="D136" s="108" t="s">
        <v>11</v>
      </c>
      <c r="E136" s="108" t="s">
        <v>51</v>
      </c>
      <c r="F136" s="108" t="s">
        <v>99</v>
      </c>
      <c r="G136" s="108" t="s">
        <v>9</v>
      </c>
      <c r="H136" s="126">
        <v>1565230.96</v>
      </c>
      <c r="I136" s="108">
        <v>1220300000</v>
      </c>
      <c r="J136" s="108" t="str">
        <f t="shared" si="7"/>
        <v>1220300000</v>
      </c>
      <c r="K136" s="304" t="str">
        <f t="shared" si="6"/>
        <v>60101131220300000000</v>
      </c>
      <c r="L136" s="17" t="str">
        <f>INDEX('реш СГД № 265'!$A:$N,MATCH('БА расх 2018 31 12 2018'!$K136,'реш СГД № 265'!$N:$N,0),3)</f>
        <v>Основное мероприятие «Развитие международного, межрегионального и межмуниципального сотрудничества города Ставрополя»</v>
      </c>
      <c r="M136" s="16">
        <f t="shared" si="8"/>
        <v>1</v>
      </c>
    </row>
    <row r="137" spans="1:13" s="16" customFormat="1" ht="47.25">
      <c r="A137" s="14"/>
      <c r="B137" s="129" t="s">
        <v>100</v>
      </c>
      <c r="C137" s="109" t="s">
        <v>64</v>
      </c>
      <c r="D137" s="108" t="s">
        <v>11</v>
      </c>
      <c r="E137" s="108" t="s">
        <v>51</v>
      </c>
      <c r="F137" s="108" t="s">
        <v>101</v>
      </c>
      <c r="G137" s="108" t="s">
        <v>9</v>
      </c>
      <c r="H137" s="126">
        <v>1329080</v>
      </c>
      <c r="I137" s="108">
        <v>1220320040</v>
      </c>
      <c r="J137" s="108" t="str">
        <f t="shared" si="7"/>
        <v>1220320040</v>
      </c>
      <c r="K137" s="304" t="str">
        <f t="shared" si="6"/>
        <v>60101131220320040000</v>
      </c>
      <c r="L137" s="17" t="str">
        <f>INDEX('реш СГД № 265'!$A:$N,MATCH('БА расх 2018 31 12 2018'!$K137,'реш СГД № 265'!$N:$N,0),3)</f>
        <v>Обеспечение членства в международных, общероссийских и региональных объединениях муниципальных образований (оплата членских взносов)</v>
      </c>
      <c r="M137" s="16">
        <f t="shared" si="8"/>
        <v>1</v>
      </c>
    </row>
    <row r="138" spans="1:13" s="16" customFormat="1" ht="15.75">
      <c r="A138" s="14"/>
      <c r="B138" s="125" t="s">
        <v>32</v>
      </c>
      <c r="C138" s="109" t="s">
        <v>64</v>
      </c>
      <c r="D138" s="108" t="s">
        <v>11</v>
      </c>
      <c r="E138" s="108" t="s">
        <v>51</v>
      </c>
      <c r="F138" s="108" t="s">
        <v>101</v>
      </c>
      <c r="G138" s="108" t="s">
        <v>33</v>
      </c>
      <c r="H138" s="126">
        <v>1329080</v>
      </c>
      <c r="I138" s="108">
        <v>1220320040</v>
      </c>
      <c r="J138" s="108" t="str">
        <f t="shared" si="7"/>
        <v>1220320040</v>
      </c>
      <c r="K138" s="304" t="str">
        <f t="shared" si="6"/>
        <v>60101131220320040850</v>
      </c>
      <c r="L138" s="17" t="str">
        <f>INDEX('реш СГД № 265'!$A:$N,MATCH('БА расх 2018 31 12 2018'!$K138,'реш СГД № 265'!$N:$N,0),3)</f>
        <v>Уплата налогов, сборов и иных платежей</v>
      </c>
      <c r="M138" s="16">
        <f t="shared" si="8"/>
        <v>1</v>
      </c>
    </row>
    <row r="139" spans="1:13" s="23" customFormat="1" ht="15.75">
      <c r="A139" s="21"/>
      <c r="B139" s="127" t="s">
        <v>77</v>
      </c>
      <c r="C139" s="109" t="s">
        <v>64</v>
      </c>
      <c r="D139" s="108" t="s">
        <v>11</v>
      </c>
      <c r="E139" s="108" t="s">
        <v>51</v>
      </c>
      <c r="F139" s="108" t="s">
        <v>101</v>
      </c>
      <c r="G139" s="108" t="s">
        <v>78</v>
      </c>
      <c r="H139" s="126">
        <v>1329080</v>
      </c>
      <c r="I139" s="108">
        <v>1220320040</v>
      </c>
      <c r="J139" s="108" t="str">
        <f t="shared" si="7"/>
        <v>1220320040</v>
      </c>
      <c r="K139" s="304" t="str">
        <f t="shared" si="6"/>
        <v>60101131220320040853</v>
      </c>
      <c r="L139" s="17"/>
      <c r="M139" s="16"/>
    </row>
    <row r="140" spans="1:13" s="16" customFormat="1" ht="78.75">
      <c r="A140" s="14"/>
      <c r="B140" s="129" t="s">
        <v>54</v>
      </c>
      <c r="C140" s="109" t="s">
        <v>64</v>
      </c>
      <c r="D140" s="108" t="s">
        <v>11</v>
      </c>
      <c r="E140" s="108" t="s">
        <v>51</v>
      </c>
      <c r="F140" s="108" t="s">
        <v>102</v>
      </c>
      <c r="G140" s="108" t="s">
        <v>9</v>
      </c>
      <c r="H140" s="126">
        <v>236150.96</v>
      </c>
      <c r="I140" s="108">
        <v>1220320090</v>
      </c>
      <c r="J140" s="108" t="str">
        <f t="shared" si="7"/>
        <v>1220320090</v>
      </c>
      <c r="K140" s="304" t="str">
        <f t="shared" si="6"/>
        <v>60101131220320090000</v>
      </c>
      <c r="L140" s="17" t="str">
        <f>INDEX('реш СГД № 265'!$A:$N,MATCH('БА расх 2018 31 12 2018'!$K140,'реш СГД № 265'!$N:$N,0),3)</f>
        <v>Организация приема и обслуживание официальных лиц и делегаций городов стран дальнего и ближнего зарубежья, регионов Российской Федерации, представителей иностранных посольств и консульств и проведение официальных мероприятий (представительские расходы)</v>
      </c>
      <c r="M140" s="16">
        <f t="shared" si="8"/>
        <v>1</v>
      </c>
    </row>
    <row r="141" spans="1:13" s="16" customFormat="1" ht="31.5">
      <c r="A141" s="14"/>
      <c r="B141" s="125" t="s">
        <v>28</v>
      </c>
      <c r="C141" s="109" t="s">
        <v>64</v>
      </c>
      <c r="D141" s="108" t="s">
        <v>11</v>
      </c>
      <c r="E141" s="108" t="s">
        <v>51</v>
      </c>
      <c r="F141" s="108" t="s">
        <v>102</v>
      </c>
      <c r="G141" s="108" t="s">
        <v>29</v>
      </c>
      <c r="H141" s="126">
        <v>236150.96</v>
      </c>
      <c r="I141" s="108">
        <v>1220320090</v>
      </c>
      <c r="J141" s="108" t="str">
        <f t="shared" si="7"/>
        <v>1220320090</v>
      </c>
      <c r="K141" s="304" t="str">
        <f t="shared" si="6"/>
        <v>60101131220320090240</v>
      </c>
      <c r="L141" s="17" t="str">
        <f>INDEX('реш СГД № 265'!$A:$N,MATCH('БА расх 2018 31 12 2018'!$K141,'реш СГД № 265'!$N:$N,0),3)</f>
        <v>Иные закупки товаров, работ и услуг для обеспечения государственных (муниципальных) нужд</v>
      </c>
      <c r="M141" s="16">
        <f t="shared" si="8"/>
        <v>1</v>
      </c>
    </row>
    <row r="142" spans="1:13" s="16" customFormat="1" ht="15.75">
      <c r="A142" s="14"/>
      <c r="B142" s="125" t="s">
        <v>30</v>
      </c>
      <c r="C142" s="109" t="s">
        <v>64</v>
      </c>
      <c r="D142" s="108" t="s">
        <v>11</v>
      </c>
      <c r="E142" s="108" t="s">
        <v>51</v>
      </c>
      <c r="F142" s="108" t="s">
        <v>102</v>
      </c>
      <c r="G142" s="108" t="s">
        <v>31</v>
      </c>
      <c r="H142" s="126">
        <v>236150.96</v>
      </c>
      <c r="I142" s="108">
        <v>1220320090</v>
      </c>
      <c r="J142" s="108" t="str">
        <f t="shared" si="7"/>
        <v>1220320090</v>
      </c>
      <c r="K142" s="304" t="str">
        <f t="shared" si="6"/>
        <v>60101131220320090244</v>
      </c>
      <c r="L142" s="17"/>
    </row>
    <row r="143" spans="1:13" s="16" customFormat="1" ht="63">
      <c r="A143" s="14"/>
      <c r="B143" s="129" t="s">
        <v>111</v>
      </c>
      <c r="C143" s="109" t="s">
        <v>64</v>
      </c>
      <c r="D143" s="108" t="s">
        <v>11</v>
      </c>
      <c r="E143" s="108" t="s">
        <v>51</v>
      </c>
      <c r="F143" s="108" t="s">
        <v>112</v>
      </c>
      <c r="G143" s="108" t="s">
        <v>9</v>
      </c>
      <c r="H143" s="126">
        <v>98850414.799999982</v>
      </c>
      <c r="I143" s="108">
        <v>1400000000</v>
      </c>
      <c r="J143" s="108" t="str">
        <f t="shared" si="7"/>
        <v>1400000000</v>
      </c>
      <c r="K143" s="304" t="str">
        <f t="shared" si="6"/>
        <v>60101131400000000000</v>
      </c>
      <c r="L143" s="17" t="str">
        <f>INDEX('реш СГД № 265'!$A:$N,MATCH('БА расх 2018 31 12 2018'!$K143,'реш СГД № 265'!$N:$N,0),3)</f>
        <v>Муниципальная программа «Развитие информационного общества, оптимизация и повышение качества предоставления государственных и муниципальных услуг в городе Ставрополе»</v>
      </c>
      <c r="M143" s="16">
        <f t="shared" si="8"/>
        <v>1</v>
      </c>
    </row>
    <row r="144" spans="1:13" s="16" customFormat="1" ht="31.5">
      <c r="A144" s="14"/>
      <c r="B144" s="129" t="s">
        <v>113</v>
      </c>
      <c r="C144" s="109" t="s">
        <v>64</v>
      </c>
      <c r="D144" s="108" t="s">
        <v>11</v>
      </c>
      <c r="E144" s="108" t="s">
        <v>51</v>
      </c>
      <c r="F144" s="108" t="s">
        <v>114</v>
      </c>
      <c r="G144" s="108" t="s">
        <v>9</v>
      </c>
      <c r="H144" s="126">
        <v>21602510.109999999</v>
      </c>
      <c r="I144" s="108">
        <v>1410000000</v>
      </c>
      <c r="J144" s="108" t="str">
        <f t="shared" si="7"/>
        <v>1410000000</v>
      </c>
      <c r="K144" s="304" t="str">
        <f t="shared" si="6"/>
        <v>60101131410000000000</v>
      </c>
      <c r="L144" s="17" t="str">
        <f>INDEX('реш СГД № 265'!$A:$N,MATCH('БА расх 2018 31 12 2018'!$K144,'реш СГД № 265'!$N:$N,0),3)</f>
        <v>Подпрограмма «Развитие информационного общества в городе Ставрополе»</v>
      </c>
      <c r="M144" s="16">
        <f t="shared" si="8"/>
        <v>1</v>
      </c>
    </row>
    <row r="145" spans="1:13" s="16" customFormat="1" ht="47.25">
      <c r="A145" s="14"/>
      <c r="B145" s="129" t="s">
        <v>115</v>
      </c>
      <c r="C145" s="109" t="s">
        <v>64</v>
      </c>
      <c r="D145" s="108" t="s">
        <v>11</v>
      </c>
      <c r="E145" s="108" t="s">
        <v>51</v>
      </c>
      <c r="F145" s="108" t="s">
        <v>116</v>
      </c>
      <c r="G145" s="108" t="s">
        <v>9</v>
      </c>
      <c r="H145" s="126">
        <v>15900651.109999999</v>
      </c>
      <c r="I145" s="108">
        <v>1410100000</v>
      </c>
      <c r="J145" s="108" t="str">
        <f t="shared" si="7"/>
        <v>1410100000</v>
      </c>
      <c r="K145" s="304" t="str">
        <f t="shared" si="6"/>
        <v>60101131410100000000</v>
      </c>
      <c r="L145" s="17" t="str">
        <f>INDEX('реш СГД № 265'!$A:$N,MATCH('БА расх 2018 31 12 2018'!$K145,'реш СГД № 265'!$N:$N,0),3)</f>
        <v>Основное мероприятие «Развитие и обеспечение функционирования инфраструктуры информационного общества в городе Ставрополе»</v>
      </c>
      <c r="M145" s="16">
        <f t="shared" si="8"/>
        <v>1</v>
      </c>
    </row>
    <row r="146" spans="1:13" s="16" customFormat="1" ht="31.5">
      <c r="A146" s="14"/>
      <c r="B146" s="129" t="s">
        <v>117</v>
      </c>
      <c r="C146" s="109" t="s">
        <v>64</v>
      </c>
      <c r="D146" s="108" t="s">
        <v>11</v>
      </c>
      <c r="E146" s="108" t="s">
        <v>51</v>
      </c>
      <c r="F146" s="108" t="s">
        <v>118</v>
      </c>
      <c r="G146" s="108" t="s">
        <v>9</v>
      </c>
      <c r="H146" s="126">
        <v>15900651.109999999</v>
      </c>
      <c r="I146" s="108">
        <v>1410120630</v>
      </c>
      <c r="J146" s="108" t="str">
        <f t="shared" si="7"/>
        <v>1410120630</v>
      </c>
      <c r="K146" s="304" t="str">
        <f t="shared" si="6"/>
        <v>60101131410120630000</v>
      </c>
      <c r="L146" s="17" t="str">
        <f>INDEX('реш СГД № 265'!$A:$N,MATCH('БА расх 2018 31 12 2018'!$K146,'реш СГД № 265'!$N:$N,0),3)</f>
        <v>Расходы на развитие и обеспечение функционирования информационного общества в городе Ставрополе</v>
      </c>
      <c r="M146" s="16">
        <f t="shared" si="8"/>
        <v>1</v>
      </c>
    </row>
    <row r="147" spans="1:13" s="16" customFormat="1" ht="31.5">
      <c r="A147" s="14"/>
      <c r="B147" s="125" t="s">
        <v>28</v>
      </c>
      <c r="C147" s="109" t="s">
        <v>64</v>
      </c>
      <c r="D147" s="108" t="s">
        <v>11</v>
      </c>
      <c r="E147" s="108" t="s">
        <v>51</v>
      </c>
      <c r="F147" s="108" t="s">
        <v>118</v>
      </c>
      <c r="G147" s="108" t="s">
        <v>29</v>
      </c>
      <c r="H147" s="126">
        <v>15900651.109999999</v>
      </c>
      <c r="I147" s="108">
        <v>1410120630</v>
      </c>
      <c r="J147" s="108" t="str">
        <f t="shared" si="7"/>
        <v>1410120630</v>
      </c>
      <c r="K147" s="304" t="str">
        <f t="shared" si="6"/>
        <v>60101131410120630240</v>
      </c>
      <c r="L147" s="17" t="str">
        <f>INDEX('реш СГД № 265'!$A:$N,MATCH('БА расх 2018 31 12 2018'!$K147,'реш СГД № 265'!$N:$N,0),3)</f>
        <v>Иные закупки товаров, работ и услуг для обеспечения государственных (муниципальных) нужд</v>
      </c>
      <c r="M147" s="16">
        <f t="shared" si="8"/>
        <v>1</v>
      </c>
    </row>
    <row r="148" spans="1:13" s="16" customFormat="1" ht="15.75">
      <c r="A148" s="14"/>
      <c r="B148" s="125" t="s">
        <v>30</v>
      </c>
      <c r="C148" s="109" t="s">
        <v>64</v>
      </c>
      <c r="D148" s="108" t="s">
        <v>11</v>
      </c>
      <c r="E148" s="108" t="s">
        <v>51</v>
      </c>
      <c r="F148" s="108" t="s">
        <v>118</v>
      </c>
      <c r="G148" s="108" t="s">
        <v>31</v>
      </c>
      <c r="H148" s="126">
        <v>15900651.109999999</v>
      </c>
      <c r="I148" s="108">
        <v>1410120630</v>
      </c>
      <c r="J148" s="108" t="str">
        <f t="shared" si="7"/>
        <v>1410120630</v>
      </c>
      <c r="K148" s="304" t="str">
        <f t="shared" si="6"/>
        <v>60101131410120630244</v>
      </c>
      <c r="L148" s="17"/>
    </row>
    <row r="149" spans="1:13" s="16" customFormat="1" ht="47.25">
      <c r="A149" s="14"/>
      <c r="B149" s="129" t="s">
        <v>119</v>
      </c>
      <c r="C149" s="109" t="s">
        <v>64</v>
      </c>
      <c r="D149" s="108" t="s">
        <v>11</v>
      </c>
      <c r="E149" s="108" t="s">
        <v>51</v>
      </c>
      <c r="F149" s="108" t="s">
        <v>120</v>
      </c>
      <c r="G149" s="108" t="s">
        <v>9</v>
      </c>
      <c r="H149" s="126">
        <v>5701859</v>
      </c>
      <c r="I149" s="108">
        <v>1410200000</v>
      </c>
      <c r="J149" s="108" t="str">
        <f t="shared" si="7"/>
        <v>1410200000</v>
      </c>
      <c r="K149" s="304" t="str">
        <f t="shared" si="6"/>
        <v>60101131410200000000</v>
      </c>
      <c r="L149" s="17" t="str">
        <f>INDEX('реш СГД № 265'!$A:$N,MATCH('БА расх 2018 31 12 2018'!$K149,'реш СГД № 265'!$N:$N,0),3)</f>
        <v>Основное мероприятие «Развитие и обеспечение функционирования межведомственного электронного взаимодействия и муниципальных информационных систем»</v>
      </c>
      <c r="M149" s="16">
        <f t="shared" si="8"/>
        <v>1</v>
      </c>
    </row>
    <row r="150" spans="1:13" s="16" customFormat="1" ht="31.5">
      <c r="A150" s="14"/>
      <c r="B150" s="129" t="s">
        <v>117</v>
      </c>
      <c r="C150" s="109" t="s">
        <v>64</v>
      </c>
      <c r="D150" s="108" t="s">
        <v>11</v>
      </c>
      <c r="E150" s="108" t="s">
        <v>51</v>
      </c>
      <c r="F150" s="108" t="s">
        <v>121</v>
      </c>
      <c r="G150" s="108" t="s">
        <v>9</v>
      </c>
      <c r="H150" s="126">
        <v>5701859</v>
      </c>
      <c r="I150" s="108">
        <v>1410220630</v>
      </c>
      <c r="J150" s="108" t="str">
        <f t="shared" si="7"/>
        <v>1410220630</v>
      </c>
      <c r="K150" s="304" t="str">
        <f t="shared" si="6"/>
        <v>60101131410220630000</v>
      </c>
      <c r="L150" s="17" t="str">
        <f>INDEX('реш СГД № 265'!$A:$N,MATCH('БА расх 2018 31 12 2018'!$K150,'реш СГД № 265'!$N:$N,0),3)</f>
        <v>Расходы на развитие и обеспечение функционирования информационного общества в городе Ставрополе</v>
      </c>
      <c r="M150" s="16">
        <f t="shared" si="8"/>
        <v>1</v>
      </c>
    </row>
    <row r="151" spans="1:13" s="16" customFormat="1" ht="31.5">
      <c r="A151" s="14"/>
      <c r="B151" s="125" t="s">
        <v>28</v>
      </c>
      <c r="C151" s="109" t="s">
        <v>64</v>
      </c>
      <c r="D151" s="108" t="s">
        <v>11</v>
      </c>
      <c r="E151" s="108" t="s">
        <v>51</v>
      </c>
      <c r="F151" s="108" t="s">
        <v>121</v>
      </c>
      <c r="G151" s="108" t="s">
        <v>29</v>
      </c>
      <c r="H151" s="126">
        <v>5701859</v>
      </c>
      <c r="I151" s="108">
        <v>1410220630</v>
      </c>
      <c r="J151" s="108" t="str">
        <f t="shared" si="7"/>
        <v>1410220630</v>
      </c>
      <c r="K151" s="304" t="str">
        <f t="shared" si="6"/>
        <v>60101131410220630240</v>
      </c>
      <c r="L151" s="17" t="str">
        <f>INDEX('реш СГД № 265'!$A:$N,MATCH('БА расх 2018 31 12 2018'!$K151,'реш СГД № 265'!$N:$N,0),3)</f>
        <v>Иные закупки товаров, работ и услуг для обеспечения государственных (муниципальных) нужд</v>
      </c>
      <c r="M151" s="16">
        <f t="shared" si="8"/>
        <v>1</v>
      </c>
    </row>
    <row r="152" spans="1:13" s="16" customFormat="1" ht="15.75">
      <c r="A152" s="14"/>
      <c r="B152" s="125" t="s">
        <v>30</v>
      </c>
      <c r="C152" s="109" t="s">
        <v>64</v>
      </c>
      <c r="D152" s="108" t="s">
        <v>11</v>
      </c>
      <c r="E152" s="108" t="s">
        <v>51</v>
      </c>
      <c r="F152" s="108" t="s">
        <v>121</v>
      </c>
      <c r="G152" s="108" t="s">
        <v>31</v>
      </c>
      <c r="H152" s="126">
        <v>5701859</v>
      </c>
      <c r="I152" s="108">
        <v>1410220630</v>
      </c>
      <c r="J152" s="108" t="str">
        <f t="shared" si="7"/>
        <v>1410220630</v>
      </c>
      <c r="K152" s="304" t="str">
        <f t="shared" si="6"/>
        <v>60101131410220630244</v>
      </c>
      <c r="L152" s="17"/>
    </row>
    <row r="153" spans="1:13" s="16" customFormat="1" ht="47.25">
      <c r="A153" s="14"/>
      <c r="B153" s="129" t="s">
        <v>122</v>
      </c>
      <c r="C153" s="109" t="s">
        <v>64</v>
      </c>
      <c r="D153" s="108" t="s">
        <v>11</v>
      </c>
      <c r="E153" s="108" t="s">
        <v>51</v>
      </c>
      <c r="F153" s="108" t="s">
        <v>123</v>
      </c>
      <c r="G153" s="108" t="s">
        <v>9</v>
      </c>
      <c r="H153" s="126">
        <v>77247904.689999983</v>
      </c>
      <c r="I153" s="108">
        <v>1420000000</v>
      </c>
      <c r="J153" s="108" t="str">
        <f t="shared" si="7"/>
        <v>1420000000</v>
      </c>
      <c r="K153" s="304" t="str">
        <f t="shared" si="6"/>
        <v>60101131420000000000</v>
      </c>
      <c r="L153" s="17" t="str">
        <f>INDEX('реш СГД № 265'!$A:$N,MATCH('БА расх 2018 31 12 2018'!$K153,'реш СГД № 265'!$N:$N,0),3)</f>
        <v>Подпрограмма «Оптимизация и повышение качества предоставления государственных и муниципальных услуг в городе Ставрополе»</v>
      </c>
      <c r="M153" s="16">
        <f t="shared" si="8"/>
        <v>1</v>
      </c>
    </row>
    <row r="154" spans="1:13" s="16" customFormat="1" ht="47.25">
      <c r="A154" s="14"/>
      <c r="B154" s="129" t="s">
        <v>124</v>
      </c>
      <c r="C154" s="109" t="s">
        <v>64</v>
      </c>
      <c r="D154" s="108" t="s">
        <v>11</v>
      </c>
      <c r="E154" s="108" t="s">
        <v>51</v>
      </c>
      <c r="F154" s="108" t="s">
        <v>125</v>
      </c>
      <c r="G154" s="108" t="s">
        <v>9</v>
      </c>
      <c r="H154" s="126">
        <v>150000</v>
      </c>
      <c r="I154" s="108">
        <v>1420100000</v>
      </c>
      <c r="J154" s="108" t="str">
        <f t="shared" si="7"/>
        <v>1420100000</v>
      </c>
      <c r="K154" s="304" t="str">
        <f t="shared" si="6"/>
        <v>60101131420100000000</v>
      </c>
      <c r="L154" s="17" t="str">
        <f>INDEX('реш СГД № 265'!$A:$N,MATCH('БА расх 2018 31 12 2018'!$K154,'реш СГД № 265'!$N:$N,0),3)</f>
        <v>Основное мероприятие «Организация и предоставление муниципальных услуг в городе Ставрополе в электронном виде»</v>
      </c>
      <c r="M154" s="16">
        <f t="shared" si="8"/>
        <v>1</v>
      </c>
    </row>
    <row r="155" spans="1:13" s="16" customFormat="1" ht="63">
      <c r="A155" s="14"/>
      <c r="B155" s="129" t="s">
        <v>126</v>
      </c>
      <c r="C155" s="109" t="s">
        <v>64</v>
      </c>
      <c r="D155" s="108" t="s">
        <v>11</v>
      </c>
      <c r="E155" s="108" t="s">
        <v>51</v>
      </c>
      <c r="F155" s="108" t="s">
        <v>127</v>
      </c>
      <c r="G155" s="108" t="s">
        <v>9</v>
      </c>
      <c r="H155" s="126">
        <v>150000</v>
      </c>
      <c r="I155" s="108">
        <v>1420120710</v>
      </c>
      <c r="J155" s="108" t="str">
        <f t="shared" si="7"/>
        <v>1420120710</v>
      </c>
      <c r="K155" s="304" t="str">
        <f t="shared" si="6"/>
        <v>60101131420120710000</v>
      </c>
      <c r="L155" s="17" t="str">
        <f>INDEX('реш СГД № 265'!$A:$N,MATCH('БА расх 2018 31 12 2018'!$K155,'реш СГД № 265'!$N:$N,0),3)</f>
        <v>Расходы на реализацию мероприятий, направленных на оптимизацию и повышение качества предоставления государственных и муниципальных услуг в городе Ставрополе</v>
      </c>
      <c r="M155" s="16">
        <f t="shared" si="8"/>
        <v>1</v>
      </c>
    </row>
    <row r="156" spans="1:13" s="16" customFormat="1" ht="31.5">
      <c r="A156" s="14"/>
      <c r="B156" s="125" t="s">
        <v>28</v>
      </c>
      <c r="C156" s="109" t="s">
        <v>64</v>
      </c>
      <c r="D156" s="108" t="s">
        <v>11</v>
      </c>
      <c r="E156" s="108" t="s">
        <v>51</v>
      </c>
      <c r="F156" s="108" t="s">
        <v>127</v>
      </c>
      <c r="G156" s="108" t="s">
        <v>29</v>
      </c>
      <c r="H156" s="126">
        <v>150000</v>
      </c>
      <c r="I156" s="108">
        <v>1420120710</v>
      </c>
      <c r="J156" s="108" t="str">
        <f t="shared" si="7"/>
        <v>1420120710</v>
      </c>
      <c r="K156" s="304" t="str">
        <f t="shared" si="6"/>
        <v>60101131420120710240</v>
      </c>
      <c r="L156" s="17" t="str">
        <f>INDEX('реш СГД № 265'!$A:$N,MATCH('БА расх 2018 31 12 2018'!$K156,'реш СГД № 265'!$N:$N,0),3)</f>
        <v>Иные закупки товаров, работ и услуг для обеспечения государственных (муниципальных) нужд</v>
      </c>
      <c r="M156" s="16">
        <f t="shared" si="8"/>
        <v>1</v>
      </c>
    </row>
    <row r="157" spans="1:13" s="16" customFormat="1" ht="15.75">
      <c r="A157" s="14"/>
      <c r="B157" s="125" t="s">
        <v>30</v>
      </c>
      <c r="C157" s="109" t="s">
        <v>64</v>
      </c>
      <c r="D157" s="108" t="s">
        <v>11</v>
      </c>
      <c r="E157" s="108" t="s">
        <v>51</v>
      </c>
      <c r="F157" s="108" t="s">
        <v>127</v>
      </c>
      <c r="G157" s="108" t="s">
        <v>31</v>
      </c>
      <c r="H157" s="126">
        <v>150000</v>
      </c>
      <c r="I157" s="108">
        <v>1420120710</v>
      </c>
      <c r="J157" s="108" t="str">
        <f t="shared" si="7"/>
        <v>1420120710</v>
      </c>
      <c r="K157" s="304" t="str">
        <f t="shared" si="6"/>
        <v>60101131420120710244</v>
      </c>
      <c r="L157" s="17"/>
    </row>
    <row r="158" spans="1:13" s="16" customFormat="1" ht="63">
      <c r="A158" s="14"/>
      <c r="B158" s="129" t="s">
        <v>128</v>
      </c>
      <c r="C158" s="109" t="s">
        <v>64</v>
      </c>
      <c r="D158" s="108" t="s">
        <v>11</v>
      </c>
      <c r="E158" s="108" t="s">
        <v>51</v>
      </c>
      <c r="F158" s="108" t="s">
        <v>129</v>
      </c>
      <c r="G158" s="108" t="s">
        <v>9</v>
      </c>
      <c r="H158" s="126">
        <v>76500</v>
      </c>
      <c r="I158" s="108">
        <v>1420200000</v>
      </c>
      <c r="J158" s="108" t="str">
        <f t="shared" si="7"/>
        <v>1420200000</v>
      </c>
      <c r="K158" s="304" t="str">
        <f t="shared" si="6"/>
        <v>60101131420200000000</v>
      </c>
      <c r="L158" s="17" t="str">
        <f>INDEX('реш СГД № 265'!$A:$N,MATCH('БА расх 2018 31 12 2018'!$K158,'реш СГД № 265'!$N:$N,0),3)</f>
        <v>Основное мероприятие «Проведение мониторинга удовлетворенности населения качеством и доступностью государственных и муниципальных услуг, предоставляемых органами местного самоуправления города Ставрополя»</v>
      </c>
      <c r="M158" s="16">
        <f t="shared" si="8"/>
        <v>1</v>
      </c>
    </row>
    <row r="159" spans="1:13" s="16" customFormat="1" ht="63">
      <c r="A159" s="14"/>
      <c r="B159" s="129" t="s">
        <v>126</v>
      </c>
      <c r="C159" s="109" t="s">
        <v>64</v>
      </c>
      <c r="D159" s="108" t="s">
        <v>11</v>
      </c>
      <c r="E159" s="108" t="s">
        <v>51</v>
      </c>
      <c r="F159" s="108" t="s">
        <v>130</v>
      </c>
      <c r="G159" s="108" t="s">
        <v>9</v>
      </c>
      <c r="H159" s="126">
        <v>76500</v>
      </c>
      <c r="I159" s="108">
        <v>1420220710</v>
      </c>
      <c r="J159" s="108" t="str">
        <f t="shared" si="7"/>
        <v>1420220710</v>
      </c>
      <c r="K159" s="304" t="str">
        <f t="shared" si="6"/>
        <v>60101131420220710000</v>
      </c>
      <c r="L159" s="17" t="str">
        <f>INDEX('реш СГД № 265'!$A:$N,MATCH('БА расх 2018 31 12 2018'!$K159,'реш СГД № 265'!$N:$N,0),3)</f>
        <v>Расходы на реализацию мероприятий, направленных на оптимизацию и повышение качества предоставления государственных и муниципальных услуг в городе Ставрополе</v>
      </c>
      <c r="M159" s="16">
        <f t="shared" si="8"/>
        <v>1</v>
      </c>
    </row>
    <row r="160" spans="1:13" s="16" customFormat="1" ht="31.5">
      <c r="A160" s="14"/>
      <c r="B160" s="125" t="s">
        <v>28</v>
      </c>
      <c r="C160" s="109" t="s">
        <v>64</v>
      </c>
      <c r="D160" s="108" t="s">
        <v>11</v>
      </c>
      <c r="E160" s="108" t="s">
        <v>51</v>
      </c>
      <c r="F160" s="108" t="s">
        <v>130</v>
      </c>
      <c r="G160" s="108" t="s">
        <v>29</v>
      </c>
      <c r="H160" s="126">
        <v>76500</v>
      </c>
      <c r="I160" s="108">
        <v>1420220710</v>
      </c>
      <c r="J160" s="108" t="str">
        <f t="shared" si="7"/>
        <v>1420220710</v>
      </c>
      <c r="K160" s="304" t="str">
        <f t="shared" si="6"/>
        <v>60101131420220710240</v>
      </c>
      <c r="L160" s="17" t="str">
        <f>INDEX('реш СГД № 265'!$A:$N,MATCH('БА расх 2018 31 12 2018'!$K160,'реш СГД № 265'!$N:$N,0),3)</f>
        <v>Иные закупки товаров, работ и услуг для обеспечения государственных (муниципальных) нужд</v>
      </c>
      <c r="M160" s="16">
        <f t="shared" si="8"/>
        <v>1</v>
      </c>
    </row>
    <row r="161" spans="1:13" s="16" customFormat="1" ht="15.75">
      <c r="A161" s="14"/>
      <c r="B161" s="125" t="s">
        <v>30</v>
      </c>
      <c r="C161" s="109" t="s">
        <v>64</v>
      </c>
      <c r="D161" s="108" t="s">
        <v>11</v>
      </c>
      <c r="E161" s="108" t="s">
        <v>51</v>
      </c>
      <c r="F161" s="108" t="s">
        <v>130</v>
      </c>
      <c r="G161" s="108" t="s">
        <v>31</v>
      </c>
      <c r="H161" s="126">
        <v>76500</v>
      </c>
      <c r="I161" s="108">
        <v>1420220710</v>
      </c>
      <c r="J161" s="108" t="str">
        <f t="shared" si="7"/>
        <v>1420220710</v>
      </c>
      <c r="K161" s="304" t="str">
        <f t="shared" si="6"/>
        <v>60101131420220710244</v>
      </c>
      <c r="L161" s="17"/>
    </row>
    <row r="162" spans="1:13" s="16" customFormat="1" ht="78.75">
      <c r="A162" s="14"/>
      <c r="B162" s="129" t="s">
        <v>131</v>
      </c>
      <c r="C162" s="109" t="s">
        <v>64</v>
      </c>
      <c r="D162" s="108" t="s">
        <v>11</v>
      </c>
      <c r="E162" s="108" t="s">
        <v>51</v>
      </c>
      <c r="F162" s="108" t="s">
        <v>132</v>
      </c>
      <c r="G162" s="108" t="s">
        <v>9</v>
      </c>
      <c r="H162" s="126">
        <v>76500</v>
      </c>
      <c r="I162" s="108">
        <v>1420300000</v>
      </c>
      <c r="J162" s="108" t="str">
        <f t="shared" si="7"/>
        <v>1420300000</v>
      </c>
      <c r="K162" s="304" t="str">
        <f t="shared" si="6"/>
        <v>60101131420300000000</v>
      </c>
      <c r="L162" s="17" t="str">
        <f>INDEX('реш СГД № 265'!$A:$N,MATCH('БА расх 2018 31 12 2018'!$K162,'реш СГД № 265'!$N:$N,0),3)</f>
        <v>Основное мероприятие «Организация, проведение и участие в семинарах, круглых столах и конференциях по вопросам оптимизации и повышения качества предоставления государственных и муниципальных услуг в городе Ставрополе»</v>
      </c>
      <c r="M162" s="16">
        <f t="shared" si="8"/>
        <v>1</v>
      </c>
    </row>
    <row r="163" spans="1:13" s="16" customFormat="1" ht="63">
      <c r="A163" s="14"/>
      <c r="B163" s="129" t="s">
        <v>126</v>
      </c>
      <c r="C163" s="109" t="s">
        <v>64</v>
      </c>
      <c r="D163" s="108" t="s">
        <v>11</v>
      </c>
      <c r="E163" s="108" t="s">
        <v>51</v>
      </c>
      <c r="F163" s="108" t="s">
        <v>133</v>
      </c>
      <c r="G163" s="108" t="s">
        <v>9</v>
      </c>
      <c r="H163" s="126">
        <v>76500</v>
      </c>
      <c r="I163" s="108">
        <v>1420320710</v>
      </c>
      <c r="J163" s="108" t="str">
        <f t="shared" si="7"/>
        <v>1420320710</v>
      </c>
      <c r="K163" s="304" t="str">
        <f t="shared" si="6"/>
        <v>60101131420320710000</v>
      </c>
      <c r="L163" s="17" t="str">
        <f>INDEX('реш СГД № 265'!$A:$N,MATCH('БА расх 2018 31 12 2018'!$K163,'реш СГД № 265'!$N:$N,0),3)</f>
        <v>Расходы на реализацию мероприятий, направленных на оптимизацию и повышение качества предоставления государственных и муниципальных услуг в городе Ставрополе</v>
      </c>
      <c r="M163" s="16">
        <f t="shared" si="8"/>
        <v>1</v>
      </c>
    </row>
    <row r="164" spans="1:13" s="16" customFormat="1" ht="31.5">
      <c r="A164" s="14"/>
      <c r="B164" s="125" t="s">
        <v>28</v>
      </c>
      <c r="C164" s="109" t="s">
        <v>64</v>
      </c>
      <c r="D164" s="108" t="s">
        <v>11</v>
      </c>
      <c r="E164" s="108" t="s">
        <v>51</v>
      </c>
      <c r="F164" s="108" t="s">
        <v>133</v>
      </c>
      <c r="G164" s="108" t="s">
        <v>29</v>
      </c>
      <c r="H164" s="126">
        <v>76500</v>
      </c>
      <c r="I164" s="108">
        <v>1420320710</v>
      </c>
      <c r="J164" s="108" t="str">
        <f t="shared" si="7"/>
        <v>1420320710</v>
      </c>
      <c r="K164" s="304" t="str">
        <f t="shared" si="6"/>
        <v>60101131420320710240</v>
      </c>
      <c r="L164" s="17" t="str">
        <f>INDEX('реш СГД № 265'!$A:$N,MATCH('БА расх 2018 31 12 2018'!$K164,'реш СГД № 265'!$N:$N,0),3)</f>
        <v>Иные закупки товаров, работ и услуг для обеспечения государственных (муниципальных) нужд</v>
      </c>
      <c r="M164" s="16">
        <f t="shared" si="8"/>
        <v>1</v>
      </c>
    </row>
    <row r="165" spans="1:13" s="16" customFormat="1" ht="15.75">
      <c r="A165" s="14"/>
      <c r="B165" s="125" t="s">
        <v>30</v>
      </c>
      <c r="C165" s="109" t="s">
        <v>64</v>
      </c>
      <c r="D165" s="108" t="s">
        <v>11</v>
      </c>
      <c r="E165" s="108" t="s">
        <v>51</v>
      </c>
      <c r="F165" s="108" t="s">
        <v>133</v>
      </c>
      <c r="G165" s="108" t="s">
        <v>31</v>
      </c>
      <c r="H165" s="126">
        <v>76500</v>
      </c>
      <c r="I165" s="108">
        <v>1420320710</v>
      </c>
      <c r="J165" s="108" t="str">
        <f t="shared" si="7"/>
        <v>1420320710</v>
      </c>
      <c r="K165" s="304" t="str">
        <f t="shared" si="6"/>
        <v>60101131420320710244</v>
      </c>
      <c r="L165" s="17"/>
    </row>
    <row r="166" spans="1:13" s="16" customFormat="1" ht="63">
      <c r="A166" s="14"/>
      <c r="B166" s="125" t="s">
        <v>134</v>
      </c>
      <c r="C166" s="109" t="s">
        <v>64</v>
      </c>
      <c r="D166" s="108" t="s">
        <v>11</v>
      </c>
      <c r="E166" s="108" t="s">
        <v>51</v>
      </c>
      <c r="F166" s="108" t="s">
        <v>135</v>
      </c>
      <c r="G166" s="108" t="s">
        <v>9</v>
      </c>
      <c r="H166" s="126">
        <v>76944904.689999983</v>
      </c>
      <c r="I166" s="108">
        <v>1420400000</v>
      </c>
      <c r="J166" s="108" t="str">
        <f t="shared" si="7"/>
        <v>1420400000</v>
      </c>
      <c r="K166" s="304" t="str">
        <f t="shared" si="6"/>
        <v>60101131420400000000</v>
      </c>
      <c r="L166" s="17" t="str">
        <f>INDEX('реш СГД № 265'!$A:$N,MATCH('БА расх 2018 31 12 2018'!$K166,'реш СГД № 265'!$N:$N,0),3)</f>
        <v>Основное мероприятие «Обеспечение деятельности многофункционального центра предоставления государственных и муниципальных услуг в городе Ставрополе»</v>
      </c>
      <c r="M166" s="16">
        <f t="shared" si="8"/>
        <v>1</v>
      </c>
    </row>
    <row r="167" spans="1:13" s="16" customFormat="1" ht="31.5">
      <c r="A167" s="14"/>
      <c r="B167" s="125" t="s">
        <v>136</v>
      </c>
      <c r="C167" s="109" t="s">
        <v>64</v>
      </c>
      <c r="D167" s="108" t="s">
        <v>11</v>
      </c>
      <c r="E167" s="108" t="s">
        <v>51</v>
      </c>
      <c r="F167" s="108" t="s">
        <v>137</v>
      </c>
      <c r="G167" s="108" t="s">
        <v>9</v>
      </c>
      <c r="H167" s="126">
        <v>74579765.339999989</v>
      </c>
      <c r="I167" s="108">
        <v>1420411010</v>
      </c>
      <c r="J167" s="108" t="str">
        <f t="shared" si="7"/>
        <v>1420411010</v>
      </c>
      <c r="K167" s="304" t="str">
        <f t="shared" si="6"/>
        <v>60101131420411010000</v>
      </c>
      <c r="L167" s="17" t="str">
        <f>INDEX('реш СГД № 265'!$A:$N,MATCH('БА расх 2018 31 12 2018'!$K167,'реш СГД № 265'!$N:$N,0),3)</f>
        <v>Расходы на обеспечение деятельности (оказание услуг) муниципальных учреждений</v>
      </c>
      <c r="M167" s="16">
        <f t="shared" si="8"/>
        <v>1</v>
      </c>
    </row>
    <row r="168" spans="1:13" s="16" customFormat="1" ht="15.75">
      <c r="A168" s="14"/>
      <c r="B168" s="132" t="s">
        <v>138</v>
      </c>
      <c r="C168" s="109" t="s">
        <v>64</v>
      </c>
      <c r="D168" s="108" t="s">
        <v>11</v>
      </c>
      <c r="E168" s="108" t="s">
        <v>51</v>
      </c>
      <c r="F168" s="108" t="s">
        <v>137</v>
      </c>
      <c r="G168" s="108" t="s">
        <v>139</v>
      </c>
      <c r="H168" s="126">
        <v>61884086.129999995</v>
      </c>
      <c r="I168" s="108">
        <v>1420411010</v>
      </c>
      <c r="J168" s="108" t="str">
        <f t="shared" si="7"/>
        <v>1420411010</v>
      </c>
      <c r="K168" s="304" t="str">
        <f t="shared" si="6"/>
        <v>60101131420411010110</v>
      </c>
      <c r="L168" s="17" t="str">
        <f>INDEX('реш СГД № 265'!$A:$N,MATCH('БА расх 2018 31 12 2018'!$K168,'реш СГД № 265'!$N:$N,0),3)</f>
        <v>Расходы на выплаты персоналу казенных учреждений</v>
      </c>
      <c r="M168" s="16">
        <f t="shared" si="8"/>
        <v>1</v>
      </c>
    </row>
    <row r="169" spans="1:13" s="23" customFormat="1" ht="15.75">
      <c r="A169" s="21"/>
      <c r="B169" s="127" t="s">
        <v>140</v>
      </c>
      <c r="C169" s="109" t="s">
        <v>64</v>
      </c>
      <c r="D169" s="108" t="s">
        <v>11</v>
      </c>
      <c r="E169" s="108" t="s">
        <v>51</v>
      </c>
      <c r="F169" s="108" t="s">
        <v>137</v>
      </c>
      <c r="G169" s="108" t="s">
        <v>141</v>
      </c>
      <c r="H169" s="126">
        <v>47514162.119999997</v>
      </c>
      <c r="I169" s="108">
        <v>1420411010</v>
      </c>
      <c r="J169" s="108" t="str">
        <f t="shared" si="7"/>
        <v>1420411010</v>
      </c>
      <c r="K169" s="304" t="str">
        <f t="shared" si="6"/>
        <v>60101131420411010111</v>
      </c>
      <c r="L169" s="17"/>
      <c r="M169" s="16"/>
    </row>
    <row r="170" spans="1:13" s="23" customFormat="1" ht="31.5">
      <c r="A170" s="21"/>
      <c r="B170" s="127" t="s">
        <v>142</v>
      </c>
      <c r="C170" s="109" t="s">
        <v>64</v>
      </c>
      <c r="D170" s="108" t="s">
        <v>11</v>
      </c>
      <c r="E170" s="108" t="s">
        <v>51</v>
      </c>
      <c r="F170" s="108" t="s">
        <v>137</v>
      </c>
      <c r="G170" s="108" t="s">
        <v>143</v>
      </c>
      <c r="H170" s="126">
        <v>20650.86</v>
      </c>
      <c r="I170" s="108">
        <v>1420411010</v>
      </c>
      <c r="J170" s="108" t="str">
        <f t="shared" si="7"/>
        <v>1420411010</v>
      </c>
      <c r="K170" s="304" t="str">
        <f t="shared" si="6"/>
        <v>60101131420411010112</v>
      </c>
      <c r="L170" s="17"/>
      <c r="M170" s="16"/>
    </row>
    <row r="171" spans="1:13" s="23" customFormat="1" ht="47.25">
      <c r="A171" s="21"/>
      <c r="B171" s="127" t="s">
        <v>144</v>
      </c>
      <c r="C171" s="109" t="s">
        <v>64</v>
      </c>
      <c r="D171" s="108" t="s">
        <v>11</v>
      </c>
      <c r="E171" s="108" t="s">
        <v>51</v>
      </c>
      <c r="F171" s="108" t="s">
        <v>137</v>
      </c>
      <c r="G171" s="108" t="s">
        <v>145</v>
      </c>
      <c r="H171" s="126">
        <v>14349273.15</v>
      </c>
      <c r="I171" s="108">
        <v>1420411010</v>
      </c>
      <c r="J171" s="108" t="str">
        <f t="shared" si="7"/>
        <v>1420411010</v>
      </c>
      <c r="K171" s="304" t="str">
        <f t="shared" si="6"/>
        <v>60101131420411010119</v>
      </c>
      <c r="L171" s="17"/>
      <c r="M171" s="16"/>
    </row>
    <row r="172" spans="1:13" s="16" customFormat="1" ht="31.5">
      <c r="A172" s="14"/>
      <c r="B172" s="125" t="s">
        <v>28</v>
      </c>
      <c r="C172" s="109" t="s">
        <v>64</v>
      </c>
      <c r="D172" s="108" t="s">
        <v>11</v>
      </c>
      <c r="E172" s="108" t="s">
        <v>51</v>
      </c>
      <c r="F172" s="108" t="s">
        <v>137</v>
      </c>
      <c r="G172" s="108" t="s">
        <v>29</v>
      </c>
      <c r="H172" s="126">
        <v>11351892.5</v>
      </c>
      <c r="I172" s="108">
        <v>1420411010</v>
      </c>
      <c r="J172" s="108" t="str">
        <f t="shared" si="7"/>
        <v>1420411010</v>
      </c>
      <c r="K172" s="304" t="str">
        <f t="shared" si="6"/>
        <v>60101131420411010240</v>
      </c>
      <c r="L172" s="17" t="str">
        <f>INDEX('реш СГД № 265'!$A:$N,MATCH('БА расх 2018 31 12 2018'!$K172,'реш СГД № 265'!$N:$N,0),3)</f>
        <v>Иные закупки товаров, работ и услуг для обеспечения государственных (муниципальных) нужд</v>
      </c>
      <c r="M172" s="16">
        <f t="shared" si="8"/>
        <v>1</v>
      </c>
    </row>
    <row r="173" spans="1:13" s="16" customFormat="1" ht="15.75">
      <c r="A173" s="14"/>
      <c r="B173" s="125" t="s">
        <v>30</v>
      </c>
      <c r="C173" s="109" t="s">
        <v>64</v>
      </c>
      <c r="D173" s="108" t="s">
        <v>11</v>
      </c>
      <c r="E173" s="108" t="s">
        <v>51</v>
      </c>
      <c r="F173" s="108" t="s">
        <v>137</v>
      </c>
      <c r="G173" s="108" t="s">
        <v>31</v>
      </c>
      <c r="H173" s="126">
        <v>11351892.5</v>
      </c>
      <c r="I173" s="108">
        <v>1420411010</v>
      </c>
      <c r="J173" s="108" t="str">
        <f t="shared" si="7"/>
        <v>1420411010</v>
      </c>
      <c r="K173" s="304" t="str">
        <f t="shared" si="6"/>
        <v>60101131420411010244</v>
      </c>
      <c r="L173" s="17"/>
    </row>
    <row r="174" spans="1:13" s="16" customFormat="1" ht="15.75">
      <c r="A174" s="14"/>
      <c r="B174" s="125" t="s">
        <v>32</v>
      </c>
      <c r="C174" s="109" t="s">
        <v>64</v>
      </c>
      <c r="D174" s="108" t="s">
        <v>11</v>
      </c>
      <c r="E174" s="108" t="s">
        <v>51</v>
      </c>
      <c r="F174" s="108" t="s">
        <v>137</v>
      </c>
      <c r="G174" s="133">
        <v>850</v>
      </c>
      <c r="H174" s="126">
        <v>1343786.71</v>
      </c>
      <c r="I174" s="108">
        <v>1420411010</v>
      </c>
      <c r="J174" s="108" t="str">
        <f t="shared" si="7"/>
        <v>1420411010</v>
      </c>
      <c r="K174" s="304" t="str">
        <f t="shared" si="6"/>
        <v>60101131420411010850</v>
      </c>
      <c r="L174" s="17" t="str">
        <f>INDEX('реш СГД № 265'!$A:$N,MATCH('БА расх 2018 31 12 2018'!$K174,'реш СГД № 265'!$N:$N,0),3)</f>
        <v>Уплата налогов, сборов и иных платежей</v>
      </c>
      <c r="M174" s="16">
        <f t="shared" si="8"/>
        <v>1</v>
      </c>
    </row>
    <row r="175" spans="1:13" s="23" customFormat="1" ht="31.5">
      <c r="A175" s="21"/>
      <c r="B175" s="127" t="s">
        <v>34</v>
      </c>
      <c r="C175" s="109" t="s">
        <v>64</v>
      </c>
      <c r="D175" s="108" t="s">
        <v>11</v>
      </c>
      <c r="E175" s="108" t="s">
        <v>51</v>
      </c>
      <c r="F175" s="108" t="s">
        <v>137</v>
      </c>
      <c r="G175" s="133">
        <v>851</v>
      </c>
      <c r="H175" s="126">
        <v>1337418</v>
      </c>
      <c r="I175" s="108">
        <v>1420411010</v>
      </c>
      <c r="J175" s="108" t="str">
        <f t="shared" si="7"/>
        <v>1420411010</v>
      </c>
      <c r="K175" s="304" t="str">
        <f t="shared" si="6"/>
        <v>60101131420411010851</v>
      </c>
      <c r="L175" s="17"/>
      <c r="M175" s="16"/>
    </row>
    <row r="176" spans="1:13" s="23" customFormat="1" ht="15.75">
      <c r="A176" s="21"/>
      <c r="B176" s="127" t="s">
        <v>36</v>
      </c>
      <c r="C176" s="109" t="s">
        <v>64</v>
      </c>
      <c r="D176" s="108" t="s">
        <v>11</v>
      </c>
      <c r="E176" s="108" t="s">
        <v>51</v>
      </c>
      <c r="F176" s="108" t="s">
        <v>137</v>
      </c>
      <c r="G176" s="133">
        <v>852</v>
      </c>
      <c r="H176" s="126">
        <v>2772</v>
      </c>
      <c r="I176" s="108">
        <v>1420411010</v>
      </c>
      <c r="J176" s="108" t="str">
        <f t="shared" si="7"/>
        <v>1420411010</v>
      </c>
      <c r="K176" s="304" t="str">
        <f t="shared" si="6"/>
        <v>60101131420411010852</v>
      </c>
      <c r="L176" s="17"/>
      <c r="M176" s="16"/>
    </row>
    <row r="177" spans="1:13" s="23" customFormat="1" ht="15.75">
      <c r="A177" s="21"/>
      <c r="B177" s="127" t="s">
        <v>77</v>
      </c>
      <c r="C177" s="109" t="s">
        <v>64</v>
      </c>
      <c r="D177" s="108" t="s">
        <v>11</v>
      </c>
      <c r="E177" s="108" t="s">
        <v>51</v>
      </c>
      <c r="F177" s="108" t="s">
        <v>137</v>
      </c>
      <c r="G177" s="133">
        <v>853</v>
      </c>
      <c r="H177" s="126">
        <v>3596.71</v>
      </c>
      <c r="I177" s="108">
        <v>1420411010</v>
      </c>
      <c r="J177" s="108" t="str">
        <f t="shared" si="7"/>
        <v>1420411010</v>
      </c>
      <c r="K177" s="304" t="str">
        <f t="shared" si="6"/>
        <v>60101131420411010853</v>
      </c>
      <c r="L177" s="17"/>
      <c r="M177" s="16"/>
    </row>
    <row r="178" spans="1:13" s="23" customFormat="1" ht="267.75">
      <c r="A178" s="21"/>
      <c r="B178" s="132" t="s">
        <v>2269</v>
      </c>
      <c r="C178" s="109" t="s">
        <v>64</v>
      </c>
      <c r="D178" s="108" t="s">
        <v>11</v>
      </c>
      <c r="E178" s="108" t="s">
        <v>51</v>
      </c>
      <c r="F178" s="108" t="s">
        <v>1269</v>
      </c>
      <c r="G178" s="108" t="s">
        <v>9</v>
      </c>
      <c r="H178" s="126">
        <v>2365139.35</v>
      </c>
      <c r="I178" s="108">
        <v>1420477460</v>
      </c>
      <c r="J178" s="108" t="str">
        <f t="shared" si="7"/>
        <v>1420477460</v>
      </c>
      <c r="K178" s="304" t="str">
        <f t="shared" si="6"/>
        <v>60101131420477460000</v>
      </c>
      <c r="L178" s="132" t="str">
        <f>INDEX('реш СГД № 265'!$A:$N,MATCH('БА расх 2018 31 12 2018'!$K178,'реш СГД № 265'!$N:$N,0),3)</f>
        <v>Субсидии на компенсацию расходов по повышению заработной платы муниципальных служащих муниципальной службы и лиц, не замещающих должности муниципальной службы и исполняющих обязанности по техническому обеспечению деятельности органов местного самоуправления муниципальных образований, а также работников муниципальных учреждений, за исключением отдельных категорий работников муниципальных учреждений, которым повышение заработной платы осуществляется в соответствии с указами Президента Российской Федерации от 7 мая 2012 года № 597 «О мероприятиях по реализации государственной социальной политики», от 1 июня 2012 года № 761 «О Национальной стратегии действий в интересах детей на 2012 - 2017 годы» и от 28 декабря 2012 года № 1688 «О некоторых мерах по реализации государственной политики в сфере защиты детей-сирот и детей, оставшихся без попечения родителей»</v>
      </c>
      <c r="M178" s="17">
        <f t="shared" si="8"/>
        <v>1</v>
      </c>
    </row>
    <row r="179" spans="1:13" s="23" customFormat="1" ht="15.75">
      <c r="A179" s="21"/>
      <c r="B179" s="132" t="s">
        <v>138</v>
      </c>
      <c r="C179" s="109" t="s">
        <v>64</v>
      </c>
      <c r="D179" s="108" t="s">
        <v>11</v>
      </c>
      <c r="E179" s="108" t="s">
        <v>51</v>
      </c>
      <c r="F179" s="108" t="s">
        <v>1269</v>
      </c>
      <c r="G179" s="108" t="s">
        <v>139</v>
      </c>
      <c r="H179" s="126">
        <v>2365139.35</v>
      </c>
      <c r="I179" s="108">
        <v>1420477460</v>
      </c>
      <c r="J179" s="108" t="str">
        <f t="shared" si="7"/>
        <v>1420477460</v>
      </c>
      <c r="K179" s="304" t="str">
        <f t="shared" si="6"/>
        <v>60101131420477460110</v>
      </c>
      <c r="L179" s="17" t="str">
        <f>INDEX('реш СГД № 265'!$A:$N,MATCH('БА расх 2018 31 12 2018'!$K179,'реш СГД № 265'!$N:$N,0),3)</f>
        <v>Расходы на выплаты персоналу казенных учреждений</v>
      </c>
      <c r="M179" s="16">
        <f t="shared" si="8"/>
        <v>1</v>
      </c>
    </row>
    <row r="180" spans="1:13" s="23" customFormat="1" ht="15.75">
      <c r="A180" s="21"/>
      <c r="B180" s="127" t="s">
        <v>140</v>
      </c>
      <c r="C180" s="109" t="s">
        <v>64</v>
      </c>
      <c r="D180" s="108" t="s">
        <v>11</v>
      </c>
      <c r="E180" s="108" t="s">
        <v>51</v>
      </c>
      <c r="F180" s="108" t="s">
        <v>1269</v>
      </c>
      <c r="G180" s="108" t="s">
        <v>141</v>
      </c>
      <c r="H180" s="126">
        <v>1816543.28</v>
      </c>
      <c r="I180" s="108">
        <v>1420477460</v>
      </c>
      <c r="J180" s="108" t="str">
        <f t="shared" si="7"/>
        <v>1420477460</v>
      </c>
      <c r="K180" s="304" t="str">
        <f t="shared" si="6"/>
        <v>60101131420477460111</v>
      </c>
      <c r="L180" s="17"/>
      <c r="M180" s="16"/>
    </row>
    <row r="181" spans="1:13" s="23" customFormat="1" ht="47.25">
      <c r="A181" s="21"/>
      <c r="B181" s="127" t="s">
        <v>144</v>
      </c>
      <c r="C181" s="109" t="s">
        <v>64</v>
      </c>
      <c r="D181" s="108" t="s">
        <v>11</v>
      </c>
      <c r="E181" s="108" t="s">
        <v>51</v>
      </c>
      <c r="F181" s="108" t="s">
        <v>1269</v>
      </c>
      <c r="G181" s="108" t="s">
        <v>145</v>
      </c>
      <c r="H181" s="126">
        <v>548596.06999999995</v>
      </c>
      <c r="I181" s="108">
        <v>1420477460</v>
      </c>
      <c r="J181" s="108" t="str">
        <f t="shared" si="7"/>
        <v>1420477460</v>
      </c>
      <c r="K181" s="304" t="str">
        <f t="shared" si="6"/>
        <v>60101131420477460119</v>
      </c>
      <c r="L181" s="17"/>
      <c r="M181" s="16"/>
    </row>
    <row r="182" spans="1:13" s="16" customFormat="1" ht="47.25">
      <c r="A182" s="14"/>
      <c r="B182" s="127" t="s">
        <v>146</v>
      </c>
      <c r="C182" s="130">
        <v>601</v>
      </c>
      <c r="D182" s="130" t="s">
        <v>11</v>
      </c>
      <c r="E182" s="130">
        <v>13</v>
      </c>
      <c r="F182" s="130" t="s">
        <v>147</v>
      </c>
      <c r="G182" s="130" t="s">
        <v>9</v>
      </c>
      <c r="H182" s="134">
        <v>650520</v>
      </c>
      <c r="I182" s="130">
        <v>1500000000</v>
      </c>
      <c r="J182" s="130" t="str">
        <f t="shared" si="7"/>
        <v>1500000000</v>
      </c>
      <c r="K182" s="304" t="str">
        <f t="shared" si="6"/>
        <v>60101131500000000000</v>
      </c>
      <c r="L182" s="17" t="str">
        <f>INDEX('реш СГД № 265'!$A:$N,MATCH('БА расх 2018 31 12 2018'!$K182,'реш СГД № 265'!$N:$N,0),3)</f>
        <v>Муниципальная программа «Обеспечение безопасности, общественного порядка и профилактика правонарушений в городе Ставрополе»</v>
      </c>
      <c r="M182" s="16">
        <f t="shared" si="8"/>
        <v>1</v>
      </c>
    </row>
    <row r="183" spans="1:13" s="16" customFormat="1" ht="47.25">
      <c r="A183" s="14"/>
      <c r="B183" s="125" t="s">
        <v>1065</v>
      </c>
      <c r="C183" s="130">
        <v>601</v>
      </c>
      <c r="D183" s="130" t="s">
        <v>11</v>
      </c>
      <c r="E183" s="130">
        <v>13</v>
      </c>
      <c r="F183" s="130" t="s">
        <v>149</v>
      </c>
      <c r="G183" s="130" t="s">
        <v>9</v>
      </c>
      <c r="H183" s="134">
        <v>185300</v>
      </c>
      <c r="I183" s="130">
        <v>1510000000</v>
      </c>
      <c r="J183" s="130" t="str">
        <f t="shared" si="7"/>
        <v>1510000000</v>
      </c>
      <c r="K183" s="304" t="str">
        <f t="shared" si="6"/>
        <v>60101131510000000000</v>
      </c>
      <c r="L183" s="17" t="str">
        <f>INDEX('реш СГД № 265'!$A:$N,MATCH('БА расх 2018 31 12 2018'!$K183,'реш СГД № 265'!$N:$N,0),3)</f>
        <v>Подпрограмма «Профилактика терроризма, экстремизма, межнациональных (межэтнических) конфликтов в городе Ставрополе»</v>
      </c>
      <c r="M183" s="16">
        <f t="shared" si="8"/>
        <v>1</v>
      </c>
    </row>
    <row r="184" spans="1:13" s="16" customFormat="1" ht="63">
      <c r="A184" s="14"/>
      <c r="B184" s="125" t="s">
        <v>1071</v>
      </c>
      <c r="C184" s="130">
        <v>601</v>
      </c>
      <c r="D184" s="130" t="s">
        <v>11</v>
      </c>
      <c r="E184" s="130">
        <v>13</v>
      </c>
      <c r="F184" s="130" t="s">
        <v>274</v>
      </c>
      <c r="G184" s="130" t="s">
        <v>9</v>
      </c>
      <c r="H184" s="126">
        <v>185300</v>
      </c>
      <c r="I184" s="130">
        <v>1510200000</v>
      </c>
      <c r="J184" s="130" t="str">
        <f t="shared" si="7"/>
        <v>1510200000</v>
      </c>
      <c r="K184" s="304" t="str">
        <f t="shared" si="6"/>
        <v>60101131510200000000</v>
      </c>
      <c r="L184" s="17" t="str">
        <f>INDEX('реш СГД № 265'!$A:$N,MATCH('БА расх 2018 31 12 2018'!$K184,'реш СГД № 265'!$N:$N,0),3)</f>
        <v>Основное мероприятие «Организация и проведение информационно-пропагандистских мероприятий по разъяснению сущности терроризма и экстремизма, их общественной опасности»</v>
      </c>
      <c r="M184" s="16">
        <f t="shared" si="8"/>
        <v>1</v>
      </c>
    </row>
    <row r="185" spans="1:13" s="16" customFormat="1" ht="47.25">
      <c r="A185" s="14"/>
      <c r="B185" s="129" t="s">
        <v>152</v>
      </c>
      <c r="C185" s="130">
        <v>601</v>
      </c>
      <c r="D185" s="130" t="s">
        <v>11</v>
      </c>
      <c r="E185" s="130">
        <v>13</v>
      </c>
      <c r="F185" s="130" t="s">
        <v>275</v>
      </c>
      <c r="G185" s="130" t="s">
        <v>9</v>
      </c>
      <c r="H185" s="126">
        <v>185300</v>
      </c>
      <c r="I185" s="130">
        <v>1510220350</v>
      </c>
      <c r="J185" s="130" t="str">
        <f t="shared" si="7"/>
        <v>1510220350</v>
      </c>
      <c r="K185" s="304" t="str">
        <f t="shared" si="6"/>
        <v>60101131510220350000</v>
      </c>
      <c r="L185" s="17" t="str">
        <f>INDEX('реш СГД № 265'!$A:$N,MATCH('БА расх 2018 31 12 2018'!$K185,'реш СГД № 265'!$N:$N,0),3)</f>
        <v>Расходы на реализацию мероприятий, направленных на повышение уровня безопасности жизнедеятельности города Ставрополя</v>
      </c>
      <c r="M185" s="16">
        <f t="shared" si="8"/>
        <v>1</v>
      </c>
    </row>
    <row r="186" spans="1:13" s="16" customFormat="1" ht="31.5">
      <c r="A186" s="14"/>
      <c r="B186" s="129" t="s">
        <v>28</v>
      </c>
      <c r="C186" s="130">
        <v>601</v>
      </c>
      <c r="D186" s="130" t="s">
        <v>11</v>
      </c>
      <c r="E186" s="130">
        <v>13</v>
      </c>
      <c r="F186" s="130" t="s">
        <v>275</v>
      </c>
      <c r="G186" s="130" t="s">
        <v>29</v>
      </c>
      <c r="H186" s="126">
        <v>185300</v>
      </c>
      <c r="I186" s="130">
        <v>1510220350</v>
      </c>
      <c r="J186" s="130" t="str">
        <f t="shared" si="7"/>
        <v>1510220350</v>
      </c>
      <c r="K186" s="304" t="str">
        <f t="shared" si="6"/>
        <v>60101131510220350240</v>
      </c>
      <c r="L186" s="17" t="str">
        <f>INDEX('реш СГД № 265'!$A:$N,MATCH('БА расх 2018 31 12 2018'!$K186,'реш СГД № 265'!$N:$N,0),3)</f>
        <v>Иные закупки товаров, работ и услуг для обеспечения государственных (муниципальных) нужд</v>
      </c>
      <c r="M186" s="16">
        <f t="shared" si="8"/>
        <v>1</v>
      </c>
    </row>
    <row r="187" spans="1:13" s="16" customFormat="1" ht="15.75">
      <c r="A187" s="14"/>
      <c r="B187" s="129" t="s">
        <v>30</v>
      </c>
      <c r="C187" s="130">
        <v>601</v>
      </c>
      <c r="D187" s="130" t="s">
        <v>11</v>
      </c>
      <c r="E187" s="130">
        <v>13</v>
      </c>
      <c r="F187" s="130" t="s">
        <v>275</v>
      </c>
      <c r="G187" s="130" t="s">
        <v>31</v>
      </c>
      <c r="H187" s="126">
        <v>185300</v>
      </c>
      <c r="I187" s="130">
        <v>1510220350</v>
      </c>
      <c r="J187" s="130" t="str">
        <f t="shared" si="7"/>
        <v>1510220350</v>
      </c>
      <c r="K187" s="304" t="str">
        <f t="shared" ref="K187" si="9">C187&amp;D187&amp;E187&amp;J187&amp;G187</f>
        <v>60101131510220350244</v>
      </c>
      <c r="L187" s="17"/>
    </row>
    <row r="188" spans="1:13" s="16" customFormat="1" ht="15.75">
      <c r="A188" s="14"/>
      <c r="B188" s="127" t="s">
        <v>154</v>
      </c>
      <c r="C188" s="136">
        <v>601</v>
      </c>
      <c r="D188" s="130" t="s">
        <v>11</v>
      </c>
      <c r="E188" s="130">
        <v>13</v>
      </c>
      <c r="F188" s="130" t="s">
        <v>155</v>
      </c>
      <c r="G188" s="130" t="s">
        <v>9</v>
      </c>
      <c r="H188" s="134">
        <v>214300</v>
      </c>
      <c r="I188" s="130">
        <v>1520000000</v>
      </c>
      <c r="J188" s="130" t="str">
        <f t="shared" ref="J188:J240" si="10">TEXT(I188,"0000000000")</f>
        <v>1520000000</v>
      </c>
      <c r="K188" s="304" t="str">
        <f t="shared" ref="K188:K239" si="11">C188&amp;D188&amp;E188&amp;J188&amp;G188</f>
        <v>60101131520000000000</v>
      </c>
      <c r="L188" s="17" t="str">
        <f>INDEX('реш СГД № 265'!$A:$N,MATCH('БА расх 2018 31 12 2018'!$K188,'реш СГД № 265'!$N:$N,0),3)</f>
        <v xml:space="preserve">Подпрограмма «НЕзависимость» </v>
      </c>
      <c r="M188" s="16">
        <f t="shared" ref="M188:M240" si="12">IF(B188=L188,1,0)</f>
        <v>1</v>
      </c>
    </row>
    <row r="189" spans="1:13" s="16" customFormat="1" ht="47.25">
      <c r="A189" s="14"/>
      <c r="B189" s="129" t="s">
        <v>160</v>
      </c>
      <c r="C189" s="136">
        <v>601</v>
      </c>
      <c r="D189" s="130" t="s">
        <v>11</v>
      </c>
      <c r="E189" s="130">
        <v>13</v>
      </c>
      <c r="F189" s="130" t="s">
        <v>161</v>
      </c>
      <c r="G189" s="108" t="s">
        <v>9</v>
      </c>
      <c r="H189" s="126">
        <v>13500</v>
      </c>
      <c r="I189" s="130">
        <v>1520200000</v>
      </c>
      <c r="J189" s="130" t="str">
        <f t="shared" si="10"/>
        <v>1520200000</v>
      </c>
      <c r="K189" s="304" t="str">
        <f t="shared" si="11"/>
        <v>60101131520200000000</v>
      </c>
      <c r="L189" s="17" t="str">
        <f>INDEX('реш СГД № 265'!$A:$N,MATCH('БА расх 2018 31 12 2018'!$K189,'реш СГД № 265'!$N:$N,0),3)</f>
        <v>Основное мероприятие «Профилактика зависимости от наркотических и других психоактивных веществ среди детей и молодежи»</v>
      </c>
      <c r="M189" s="16">
        <f t="shared" si="12"/>
        <v>1</v>
      </c>
    </row>
    <row r="190" spans="1:13" s="16" customFormat="1" ht="78.75">
      <c r="A190" s="14"/>
      <c r="B190" s="129" t="s">
        <v>158</v>
      </c>
      <c r="C190" s="136">
        <v>601</v>
      </c>
      <c r="D190" s="130" t="s">
        <v>11</v>
      </c>
      <c r="E190" s="130">
        <v>13</v>
      </c>
      <c r="F190" s="130" t="s">
        <v>162</v>
      </c>
      <c r="G190" s="108" t="s">
        <v>9</v>
      </c>
      <c r="H190" s="126">
        <v>13500</v>
      </c>
      <c r="I190" s="130">
        <v>1520220370</v>
      </c>
      <c r="J190" s="130" t="str">
        <f t="shared" si="10"/>
        <v>1520220370</v>
      </c>
      <c r="K190" s="304" t="str">
        <f t="shared" si="11"/>
        <v>60101131520220370000</v>
      </c>
      <c r="L190" s="17" t="str">
        <f>INDEX('реш СГД № 265'!$A:$N,MATCH('БА расх 2018 31 12 2018'!$K190,'реш СГД № 265'!$N:$N,0),3)</f>
        <v>Расходы на реализацию мероприятий по профилактике незаконного потребления наркотических средств и психотропных веществ, наркомании и снижение их потребления среди подростков и молодежи города Ставрополя</v>
      </c>
      <c r="M190" s="16">
        <f t="shared" si="12"/>
        <v>1</v>
      </c>
    </row>
    <row r="191" spans="1:13" s="16" customFormat="1" ht="31.5">
      <c r="A191" s="14"/>
      <c r="B191" s="125" t="s">
        <v>28</v>
      </c>
      <c r="C191" s="136">
        <v>601</v>
      </c>
      <c r="D191" s="130" t="s">
        <v>11</v>
      </c>
      <c r="E191" s="130">
        <v>13</v>
      </c>
      <c r="F191" s="130" t="s">
        <v>162</v>
      </c>
      <c r="G191" s="108" t="s">
        <v>29</v>
      </c>
      <c r="H191" s="126">
        <v>13500</v>
      </c>
      <c r="I191" s="130">
        <v>1520220370</v>
      </c>
      <c r="J191" s="130" t="str">
        <f t="shared" si="10"/>
        <v>1520220370</v>
      </c>
      <c r="K191" s="304" t="str">
        <f t="shared" si="11"/>
        <v>60101131520220370240</v>
      </c>
      <c r="L191" s="17" t="str">
        <f>INDEX('реш СГД № 265'!$A:$N,MATCH('БА расх 2018 31 12 2018'!$K191,'реш СГД № 265'!$N:$N,0),3)</f>
        <v>Иные закупки товаров, работ и услуг для обеспечения государственных (муниципальных) нужд</v>
      </c>
      <c r="M191" s="16">
        <f t="shared" si="12"/>
        <v>1</v>
      </c>
    </row>
    <row r="192" spans="1:13" s="16" customFormat="1" ht="15.75">
      <c r="A192" s="14"/>
      <c r="B192" s="125" t="s">
        <v>30</v>
      </c>
      <c r="C192" s="136">
        <v>601</v>
      </c>
      <c r="D192" s="130" t="s">
        <v>11</v>
      </c>
      <c r="E192" s="130">
        <v>13</v>
      </c>
      <c r="F192" s="130" t="s">
        <v>162</v>
      </c>
      <c r="G192" s="108" t="s">
        <v>31</v>
      </c>
      <c r="H192" s="126">
        <v>13500</v>
      </c>
      <c r="I192" s="130">
        <v>1520220370</v>
      </c>
      <c r="J192" s="130" t="str">
        <f t="shared" si="10"/>
        <v>1520220370</v>
      </c>
      <c r="K192" s="304" t="str">
        <f t="shared" si="11"/>
        <v>60101131520220370244</v>
      </c>
      <c r="L192" s="17"/>
    </row>
    <row r="193" spans="1:13" s="16" customFormat="1" ht="47.25">
      <c r="A193" s="14"/>
      <c r="B193" s="129" t="s">
        <v>165</v>
      </c>
      <c r="C193" s="136">
        <v>601</v>
      </c>
      <c r="D193" s="130" t="s">
        <v>11</v>
      </c>
      <c r="E193" s="130">
        <v>13</v>
      </c>
      <c r="F193" s="130" t="s">
        <v>166</v>
      </c>
      <c r="G193" s="108" t="s">
        <v>9</v>
      </c>
      <c r="H193" s="126">
        <v>200800</v>
      </c>
      <c r="I193" s="130">
        <v>1520300000</v>
      </c>
      <c r="J193" s="130" t="str">
        <f t="shared" si="10"/>
        <v>1520300000</v>
      </c>
      <c r="K193" s="304" t="str">
        <f t="shared" si="11"/>
        <v>60101131520300000000</v>
      </c>
      <c r="L193" s="17" t="str">
        <f>INDEX('реш СГД № 265'!$A:$N,MATCH('БА расх 2018 31 12 2018'!$K193,'реш СГД № 265'!$N:$N,0),3)</f>
        <v>Основное мероприятие «Профилактика зависимого (аддиктивного) поведения и пропаганда здорового образа жизни»</v>
      </c>
      <c r="M193" s="16">
        <f t="shared" si="12"/>
        <v>1</v>
      </c>
    </row>
    <row r="194" spans="1:13" s="16" customFormat="1" ht="78.75">
      <c r="A194" s="14"/>
      <c r="B194" s="129" t="s">
        <v>158</v>
      </c>
      <c r="C194" s="136">
        <v>601</v>
      </c>
      <c r="D194" s="130" t="s">
        <v>11</v>
      </c>
      <c r="E194" s="130">
        <v>13</v>
      </c>
      <c r="F194" s="130" t="s">
        <v>167</v>
      </c>
      <c r="G194" s="108" t="s">
        <v>9</v>
      </c>
      <c r="H194" s="126">
        <v>200800</v>
      </c>
      <c r="I194" s="130">
        <v>1520320370</v>
      </c>
      <c r="J194" s="130" t="str">
        <f t="shared" si="10"/>
        <v>1520320370</v>
      </c>
      <c r="K194" s="304" t="str">
        <f t="shared" si="11"/>
        <v>60101131520320370000</v>
      </c>
      <c r="L194" s="17" t="str">
        <f>INDEX('реш СГД № 265'!$A:$N,MATCH('БА расх 2018 31 12 2018'!$K194,'реш СГД № 265'!$N:$N,0),3)</f>
        <v>Расходы на реализацию мероприятий по профилактике незаконного потребления наркотических средств и психотропных веществ, наркомании и снижение их потребления среди подростков и молодежи города Ставрополя</v>
      </c>
      <c r="M194" s="16">
        <f t="shared" si="12"/>
        <v>1</v>
      </c>
    </row>
    <row r="195" spans="1:13" s="16" customFormat="1" ht="31.5">
      <c r="A195" s="14"/>
      <c r="B195" s="125" t="s">
        <v>28</v>
      </c>
      <c r="C195" s="136">
        <v>601</v>
      </c>
      <c r="D195" s="130" t="s">
        <v>11</v>
      </c>
      <c r="E195" s="130">
        <v>13</v>
      </c>
      <c r="F195" s="130" t="s">
        <v>167</v>
      </c>
      <c r="G195" s="108" t="s">
        <v>29</v>
      </c>
      <c r="H195" s="126">
        <v>200800</v>
      </c>
      <c r="I195" s="130">
        <v>1520320370</v>
      </c>
      <c r="J195" s="130" t="str">
        <f t="shared" si="10"/>
        <v>1520320370</v>
      </c>
      <c r="K195" s="304" t="str">
        <f t="shared" si="11"/>
        <v>60101131520320370240</v>
      </c>
      <c r="L195" s="17" t="str">
        <f>INDEX('реш СГД № 265'!$A:$N,MATCH('БА расх 2018 31 12 2018'!$K195,'реш СГД № 265'!$N:$N,0),3)</f>
        <v>Иные закупки товаров, работ и услуг для обеспечения государственных (муниципальных) нужд</v>
      </c>
      <c r="M195" s="16">
        <f t="shared" si="12"/>
        <v>1</v>
      </c>
    </row>
    <row r="196" spans="1:13" s="16" customFormat="1" ht="15.75">
      <c r="A196" s="14"/>
      <c r="B196" s="125" t="s">
        <v>30</v>
      </c>
      <c r="C196" s="136">
        <v>601</v>
      </c>
      <c r="D196" s="130" t="s">
        <v>11</v>
      </c>
      <c r="E196" s="130">
        <v>13</v>
      </c>
      <c r="F196" s="130" t="s">
        <v>167</v>
      </c>
      <c r="G196" s="108" t="s">
        <v>31</v>
      </c>
      <c r="H196" s="126">
        <v>200800</v>
      </c>
      <c r="I196" s="130">
        <v>1520320370</v>
      </c>
      <c r="J196" s="130" t="str">
        <f t="shared" si="10"/>
        <v>1520320370</v>
      </c>
      <c r="K196" s="304" t="str">
        <f t="shared" si="11"/>
        <v>60101131520320370244</v>
      </c>
      <c r="L196" s="17"/>
    </row>
    <row r="197" spans="1:13" s="16" customFormat="1" ht="31.5">
      <c r="A197" s="14"/>
      <c r="B197" s="125" t="s">
        <v>168</v>
      </c>
      <c r="C197" s="136">
        <v>601</v>
      </c>
      <c r="D197" s="130" t="s">
        <v>11</v>
      </c>
      <c r="E197" s="130">
        <v>13</v>
      </c>
      <c r="F197" s="130" t="s">
        <v>169</v>
      </c>
      <c r="G197" s="108" t="s">
        <v>9</v>
      </c>
      <c r="H197" s="126">
        <v>250920</v>
      </c>
      <c r="I197" s="130">
        <v>1530000000</v>
      </c>
      <c r="J197" s="130" t="str">
        <f t="shared" si="10"/>
        <v>1530000000</v>
      </c>
      <c r="K197" s="304" t="str">
        <f t="shared" si="11"/>
        <v>60101131530000000000</v>
      </c>
      <c r="L197" s="17" t="str">
        <f>INDEX('реш СГД № 265'!$A:$N,MATCH('БА расх 2018 31 12 2018'!$K197,'реш СГД № 265'!$N:$N,0),3)</f>
        <v xml:space="preserve">Подпрограмма «Профилактика правонарушений в городе Ставрополе» </v>
      </c>
      <c r="M197" s="16">
        <f t="shared" si="12"/>
        <v>1</v>
      </c>
    </row>
    <row r="198" spans="1:13" s="16" customFormat="1" ht="47.25">
      <c r="A198" s="14"/>
      <c r="B198" s="125" t="s">
        <v>170</v>
      </c>
      <c r="C198" s="136">
        <v>601</v>
      </c>
      <c r="D198" s="130" t="s">
        <v>11</v>
      </c>
      <c r="E198" s="130">
        <v>13</v>
      </c>
      <c r="F198" s="130" t="s">
        <v>171</v>
      </c>
      <c r="G198" s="108" t="s">
        <v>9</v>
      </c>
      <c r="H198" s="126">
        <v>250920</v>
      </c>
      <c r="I198" s="130">
        <v>1530300000</v>
      </c>
      <c r="J198" s="130" t="str">
        <f t="shared" si="10"/>
        <v>1530300000</v>
      </c>
      <c r="K198" s="304" t="str">
        <f t="shared" si="11"/>
        <v>60101131530300000000</v>
      </c>
      <c r="L198" s="17" t="str">
        <f>INDEX('реш СГД № 265'!$A:$N,MATCH('БА расх 2018 31 12 2018'!$K198,'реш СГД № 265'!$N:$N,0),3)</f>
        <v>Основное мероприятие «Организация материально-технического обеспечения деятельности народной дружины города Ставрополя»</v>
      </c>
      <c r="M198" s="16">
        <f t="shared" si="12"/>
        <v>1</v>
      </c>
    </row>
    <row r="199" spans="1:13" s="16" customFormat="1" ht="63">
      <c r="A199" s="14"/>
      <c r="B199" s="125" t="s">
        <v>172</v>
      </c>
      <c r="C199" s="136">
        <v>601</v>
      </c>
      <c r="D199" s="130" t="s">
        <v>11</v>
      </c>
      <c r="E199" s="130">
        <v>13</v>
      </c>
      <c r="F199" s="130" t="s">
        <v>173</v>
      </c>
      <c r="G199" s="108" t="s">
        <v>9</v>
      </c>
      <c r="H199" s="126">
        <v>250920</v>
      </c>
      <c r="I199" s="130">
        <v>1530320100</v>
      </c>
      <c r="J199" s="130" t="str">
        <f t="shared" si="10"/>
        <v>1530320100</v>
      </c>
      <c r="K199" s="304" t="str">
        <f t="shared" si="11"/>
        <v>60101131530320100000</v>
      </c>
      <c r="L199" s="17" t="str">
        <f>INDEX('реш СГД № 265'!$A:$N,MATCH('БА расх 2018 31 12 2018'!$K199,'реш СГД № 265'!$N:$N,0),3)</f>
        <v>Расходы на организацию материально-технического обеспечения деятельности народной дружины города Ставрополя, в том числе материальное стимулирование ее членов</v>
      </c>
      <c r="M199" s="16">
        <f t="shared" si="12"/>
        <v>1</v>
      </c>
    </row>
    <row r="200" spans="1:13" s="16" customFormat="1" ht="15.75">
      <c r="A200" s="14"/>
      <c r="B200" s="125" t="s">
        <v>163</v>
      </c>
      <c r="C200" s="136">
        <v>601</v>
      </c>
      <c r="D200" s="130" t="s">
        <v>11</v>
      </c>
      <c r="E200" s="130">
        <v>13</v>
      </c>
      <c r="F200" s="130" t="s">
        <v>173</v>
      </c>
      <c r="G200" s="108" t="s">
        <v>164</v>
      </c>
      <c r="H200" s="126">
        <v>250920</v>
      </c>
      <c r="I200" s="130">
        <v>1530320100</v>
      </c>
      <c r="J200" s="130" t="str">
        <f t="shared" si="10"/>
        <v>1530320100</v>
      </c>
      <c r="K200" s="304" t="str">
        <f t="shared" si="11"/>
        <v>60101131530320100350</v>
      </c>
      <c r="L200" s="17"/>
    </row>
    <row r="201" spans="1:13" s="16" customFormat="1" ht="31.5">
      <c r="A201" s="14"/>
      <c r="B201" s="125" t="s">
        <v>174</v>
      </c>
      <c r="C201" s="109" t="s">
        <v>64</v>
      </c>
      <c r="D201" s="108" t="s">
        <v>11</v>
      </c>
      <c r="E201" s="108" t="s">
        <v>51</v>
      </c>
      <c r="F201" s="108" t="s">
        <v>175</v>
      </c>
      <c r="G201" s="108" t="s">
        <v>9</v>
      </c>
      <c r="H201" s="126">
        <v>2292500</v>
      </c>
      <c r="I201" s="108">
        <v>1800000000</v>
      </c>
      <c r="J201" s="108" t="str">
        <f t="shared" si="10"/>
        <v>1800000000</v>
      </c>
      <c r="K201" s="304" t="str">
        <f t="shared" si="11"/>
        <v>60101131800000000000</v>
      </c>
      <c r="L201" s="17" t="str">
        <f>INDEX('реш СГД № 265'!$A:$N,MATCH('БА расх 2018 31 12 2018'!$K201,'реш СГД № 265'!$N:$N,0),3)</f>
        <v>Муниципальная программа «Развитие казачества в городе Ставрополе»</v>
      </c>
      <c r="M201" s="16">
        <f t="shared" si="12"/>
        <v>1</v>
      </c>
    </row>
    <row r="202" spans="1:13" s="16" customFormat="1" ht="31.5">
      <c r="A202" s="14"/>
      <c r="B202" s="125" t="s">
        <v>176</v>
      </c>
      <c r="C202" s="109" t="s">
        <v>64</v>
      </c>
      <c r="D202" s="108" t="s">
        <v>11</v>
      </c>
      <c r="E202" s="108" t="s">
        <v>51</v>
      </c>
      <c r="F202" s="108" t="s">
        <v>177</v>
      </c>
      <c r="G202" s="108" t="s">
        <v>9</v>
      </c>
      <c r="H202" s="126">
        <v>2292500</v>
      </c>
      <c r="I202" s="108" t="s">
        <v>1167</v>
      </c>
      <c r="J202" s="108" t="str">
        <f t="shared" si="10"/>
        <v>18Б0000000</v>
      </c>
      <c r="K202" s="304" t="str">
        <f t="shared" si="11"/>
        <v>601011318Б0000000000</v>
      </c>
      <c r="L202" s="17" t="str">
        <f>INDEX('реш СГД № 265'!$A:$N,MATCH('БА расх 2018 31 12 2018'!$K202,'реш СГД № 265'!$N:$N,0),3)</f>
        <v>Расходы в рамках реализации муниципальной программы «Развитие казачества в городе Ставрополе»</v>
      </c>
      <c r="M202" s="16">
        <f t="shared" si="12"/>
        <v>1</v>
      </c>
    </row>
    <row r="203" spans="1:13" s="16" customFormat="1" ht="63">
      <c r="A203" s="14"/>
      <c r="B203" s="129" t="s">
        <v>178</v>
      </c>
      <c r="C203" s="109" t="s">
        <v>64</v>
      </c>
      <c r="D203" s="108" t="s">
        <v>11</v>
      </c>
      <c r="E203" s="108" t="s">
        <v>51</v>
      </c>
      <c r="F203" s="108" t="s">
        <v>179</v>
      </c>
      <c r="G203" s="108" t="s">
        <v>9</v>
      </c>
      <c r="H203" s="126">
        <v>2292500</v>
      </c>
      <c r="I203" s="108" t="s">
        <v>1168</v>
      </c>
      <c r="J203" s="108" t="str">
        <f t="shared" si="10"/>
        <v>18Б0100000</v>
      </c>
      <c r="K203" s="304" t="str">
        <f t="shared" si="11"/>
        <v>601011318Б0100000000</v>
      </c>
      <c r="L203" s="17" t="str">
        <f>INDEX('реш СГД № 265'!$A:$N,MATCH('БА расх 2018 31 12 2018'!$K203,'реш СГД № 265'!$N:$N,0),3)</f>
        <v>Основное мероприятие «Создание условий для развития казачества, привлечения членов казачьих обществ к несению службы по охране общественного порядка на территории города Ставрополя»</v>
      </c>
      <c r="M203" s="16">
        <f t="shared" si="12"/>
        <v>1</v>
      </c>
    </row>
    <row r="204" spans="1:13" s="16" customFormat="1" ht="110.25">
      <c r="A204" s="14"/>
      <c r="B204" s="125" t="s">
        <v>180</v>
      </c>
      <c r="C204" s="109" t="s">
        <v>64</v>
      </c>
      <c r="D204" s="108" t="s">
        <v>11</v>
      </c>
      <c r="E204" s="108" t="s">
        <v>51</v>
      </c>
      <c r="F204" s="108" t="s">
        <v>181</v>
      </c>
      <c r="G204" s="108" t="s">
        <v>9</v>
      </c>
      <c r="H204" s="126">
        <v>2292500</v>
      </c>
      <c r="I204" s="108" t="s">
        <v>1169</v>
      </c>
      <c r="J204" s="108" t="str">
        <f t="shared" si="10"/>
        <v>18Б0160080</v>
      </c>
      <c r="K204" s="304" t="str">
        <f t="shared" si="11"/>
        <v>601011318Б0160080000</v>
      </c>
      <c r="L204" s="17" t="str">
        <f>INDEX('реш СГД № 265'!$A:$N,MATCH('БА расх 2018 31 12 2018'!$K204,'реш СГД № 265'!$N:$N,0),3)</f>
        <v>Предоставление субсидии казачьим обществам, внесенным в государственный реестр казачьих обществ в Российской Федерации и взявшим на себя обязательства по несению службы в целях обеспечения охраны общественного порядка на территории города Ставрополя, на финансирование расходов, связанных с организацией деятельности народных дружин из числа членов казачьих обществ</v>
      </c>
      <c r="M204" s="16">
        <f t="shared" si="12"/>
        <v>1</v>
      </c>
    </row>
    <row r="205" spans="1:13" s="16" customFormat="1" ht="31.5">
      <c r="A205" s="14"/>
      <c r="B205" s="125" t="s">
        <v>182</v>
      </c>
      <c r="C205" s="109" t="s">
        <v>64</v>
      </c>
      <c r="D205" s="108" t="s">
        <v>11</v>
      </c>
      <c r="E205" s="108" t="s">
        <v>51</v>
      </c>
      <c r="F205" s="108" t="s">
        <v>181</v>
      </c>
      <c r="G205" s="108" t="s">
        <v>183</v>
      </c>
      <c r="H205" s="126">
        <v>2292500</v>
      </c>
      <c r="I205" s="108" t="s">
        <v>1169</v>
      </c>
      <c r="J205" s="108" t="str">
        <f t="shared" si="10"/>
        <v>18Б0160080</v>
      </c>
      <c r="K205" s="304" t="str">
        <f t="shared" si="11"/>
        <v>601011318Б0160080630</v>
      </c>
      <c r="L205" s="17" t="str">
        <f>INDEX('реш СГД № 265'!$A:$N,MATCH('БА расх 2018 31 12 2018'!$K205,'реш СГД № 265'!$N:$N,0),3)</f>
        <v>Субсидии некоммерческим организациям (за исключением государственных (муниципальных) учреждений)</v>
      </c>
      <c r="M205" s="16">
        <f t="shared" si="12"/>
        <v>1</v>
      </c>
    </row>
    <row r="206" spans="1:13" s="16" customFormat="1" ht="31.5">
      <c r="A206" s="14"/>
      <c r="B206" s="125" t="s">
        <v>1037</v>
      </c>
      <c r="C206" s="109" t="s">
        <v>64</v>
      </c>
      <c r="D206" s="108" t="s">
        <v>11</v>
      </c>
      <c r="E206" s="108" t="s">
        <v>51</v>
      </c>
      <c r="F206" s="108" t="s">
        <v>181</v>
      </c>
      <c r="G206" s="108" t="s">
        <v>185</v>
      </c>
      <c r="H206" s="126">
        <v>2292500</v>
      </c>
      <c r="I206" s="108" t="s">
        <v>1169</v>
      </c>
      <c r="J206" s="108" t="str">
        <f t="shared" si="10"/>
        <v>18Б0160080</v>
      </c>
      <c r="K206" s="304" t="str">
        <f t="shared" si="11"/>
        <v>601011318Б0160080631</v>
      </c>
      <c r="L206" s="17"/>
    </row>
    <row r="207" spans="1:13" s="16" customFormat="1" ht="31.5">
      <c r="A207" s="14"/>
      <c r="B207" s="129" t="s">
        <v>66</v>
      </c>
      <c r="C207" s="130" t="s">
        <v>64</v>
      </c>
      <c r="D207" s="131" t="s">
        <v>11</v>
      </c>
      <c r="E207" s="131" t="s">
        <v>51</v>
      </c>
      <c r="F207" s="131" t="s">
        <v>67</v>
      </c>
      <c r="G207" s="131" t="s">
        <v>9</v>
      </c>
      <c r="H207" s="126">
        <v>42805478.75</v>
      </c>
      <c r="I207" s="131">
        <v>7100000000</v>
      </c>
      <c r="J207" s="131" t="str">
        <f t="shared" si="10"/>
        <v>7100000000</v>
      </c>
      <c r="K207" s="304" t="str">
        <f t="shared" si="11"/>
        <v>60101137100000000000</v>
      </c>
      <c r="L207" s="17" t="str">
        <f>INDEX('реш СГД № 265'!$A:$N,MATCH('БА расх 2018 31 12 2018'!$K207,'реш СГД № 265'!$N:$N,0),3)</f>
        <v>Обеспечение деятельности администрации города Ставрополя</v>
      </c>
      <c r="M207" s="16">
        <f t="shared" si="12"/>
        <v>1</v>
      </c>
    </row>
    <row r="208" spans="1:13" s="16" customFormat="1" ht="31.5">
      <c r="A208" s="14"/>
      <c r="B208" s="129" t="s">
        <v>74</v>
      </c>
      <c r="C208" s="130" t="s">
        <v>64</v>
      </c>
      <c r="D208" s="131" t="s">
        <v>11</v>
      </c>
      <c r="E208" s="131" t="s">
        <v>51</v>
      </c>
      <c r="F208" s="131" t="s">
        <v>75</v>
      </c>
      <c r="G208" s="131" t="s">
        <v>9</v>
      </c>
      <c r="H208" s="126">
        <v>42792478.75</v>
      </c>
      <c r="I208" s="131">
        <v>7110000000</v>
      </c>
      <c r="J208" s="131" t="str">
        <f t="shared" si="10"/>
        <v>7110000000</v>
      </c>
      <c r="K208" s="304" t="str">
        <f t="shared" si="11"/>
        <v>60101137110000000000</v>
      </c>
      <c r="L208" s="17" t="str">
        <f>INDEX('реш СГД № 265'!$A:$N,MATCH('БА расх 2018 31 12 2018'!$K208,'реш СГД № 265'!$N:$N,0),3)</f>
        <v>Непрограммные расходы в рамках обеспечения деятельности администрации города Ставрополя</v>
      </c>
      <c r="M208" s="16">
        <f t="shared" si="12"/>
        <v>1</v>
      </c>
    </row>
    <row r="209" spans="1:13" s="16" customFormat="1" ht="31.5">
      <c r="A209" s="14"/>
      <c r="B209" s="125" t="s">
        <v>355</v>
      </c>
      <c r="C209" s="130" t="s">
        <v>64</v>
      </c>
      <c r="D209" s="131" t="s">
        <v>11</v>
      </c>
      <c r="E209" s="131" t="s">
        <v>51</v>
      </c>
      <c r="F209" s="131" t="s">
        <v>1170</v>
      </c>
      <c r="G209" s="131" t="s">
        <v>9</v>
      </c>
      <c r="H209" s="126">
        <v>530174.4</v>
      </c>
      <c r="I209" s="131">
        <v>7110010050</v>
      </c>
      <c r="J209" s="131" t="str">
        <f t="shared" si="10"/>
        <v>7110010050</v>
      </c>
      <c r="K209" s="304" t="str">
        <f t="shared" si="11"/>
        <v>60101137110010050000</v>
      </c>
      <c r="L209" s="400" t="e">
        <f>INDEX('реш СГД № 265'!$A:$N,MATCH('БА расх 2018 31 12 2018'!$K209,'реш СГД № 265'!$N:$N,0),3)</f>
        <v>#N/A</v>
      </c>
      <c r="M209" s="248" t="e">
        <f t="shared" si="12"/>
        <v>#N/A</v>
      </c>
    </row>
    <row r="210" spans="1:13" s="16" customFormat="1" ht="31.5">
      <c r="A210" s="14"/>
      <c r="B210" s="127" t="s">
        <v>20</v>
      </c>
      <c r="C210" s="130" t="s">
        <v>64</v>
      </c>
      <c r="D210" s="131" t="s">
        <v>11</v>
      </c>
      <c r="E210" s="131" t="s">
        <v>51</v>
      </c>
      <c r="F210" s="131" t="s">
        <v>1170</v>
      </c>
      <c r="G210" s="305" t="s">
        <v>21</v>
      </c>
      <c r="H210" s="126">
        <v>530174.4</v>
      </c>
      <c r="I210" s="131">
        <v>7110010050</v>
      </c>
      <c r="J210" s="131" t="str">
        <f t="shared" si="10"/>
        <v>7110010050</v>
      </c>
      <c r="K210" s="304" t="str">
        <f t="shared" si="11"/>
        <v>60101137110010050120</v>
      </c>
      <c r="L210" s="400" t="e">
        <f>INDEX('реш СГД № 265'!$A:$N,MATCH('БА расх 2018 31 12 2018'!$K210,'реш СГД № 265'!$N:$N,0),3)</f>
        <v>#N/A</v>
      </c>
      <c r="M210" s="248" t="e">
        <f t="shared" si="12"/>
        <v>#N/A</v>
      </c>
    </row>
    <row r="211" spans="1:13" s="16" customFormat="1" ht="31.5">
      <c r="A211" s="14"/>
      <c r="B211" s="127" t="s">
        <v>40</v>
      </c>
      <c r="C211" s="130" t="s">
        <v>64</v>
      </c>
      <c r="D211" s="131" t="s">
        <v>11</v>
      </c>
      <c r="E211" s="131" t="s">
        <v>51</v>
      </c>
      <c r="F211" s="131" t="s">
        <v>1170</v>
      </c>
      <c r="G211" s="305" t="s">
        <v>41</v>
      </c>
      <c r="H211" s="126">
        <v>407200</v>
      </c>
      <c r="I211" s="131">
        <v>7110010050</v>
      </c>
      <c r="J211" s="131" t="str">
        <f t="shared" si="10"/>
        <v>7110010050</v>
      </c>
      <c r="K211" s="304" t="str">
        <f t="shared" si="11"/>
        <v>60101137110010050121</v>
      </c>
      <c r="L211" s="17"/>
    </row>
    <row r="212" spans="1:13" s="16" customFormat="1" ht="47.25">
      <c r="A212" s="14"/>
      <c r="B212" s="127" t="s">
        <v>26</v>
      </c>
      <c r="C212" s="130" t="s">
        <v>64</v>
      </c>
      <c r="D212" s="131" t="s">
        <v>11</v>
      </c>
      <c r="E212" s="131" t="s">
        <v>51</v>
      </c>
      <c r="F212" s="131" t="s">
        <v>1170</v>
      </c>
      <c r="G212" s="305" t="s">
        <v>27</v>
      </c>
      <c r="H212" s="126">
        <v>122974.39999999999</v>
      </c>
      <c r="I212" s="131">
        <v>7110010050</v>
      </c>
      <c r="J212" s="131" t="str">
        <f t="shared" si="10"/>
        <v>7110010050</v>
      </c>
      <c r="K212" s="304" t="str">
        <f t="shared" si="11"/>
        <v>60101137110010050129</v>
      </c>
      <c r="L212" s="17"/>
    </row>
    <row r="213" spans="1:13" s="16" customFormat="1" ht="31.5">
      <c r="A213" s="14"/>
      <c r="B213" s="125" t="s">
        <v>136</v>
      </c>
      <c r="C213" s="109" t="s">
        <v>64</v>
      </c>
      <c r="D213" s="108" t="s">
        <v>11</v>
      </c>
      <c r="E213" s="108" t="s">
        <v>51</v>
      </c>
      <c r="F213" s="108" t="s">
        <v>186</v>
      </c>
      <c r="G213" s="108" t="s">
        <v>9</v>
      </c>
      <c r="H213" s="126">
        <v>40657154.659999996</v>
      </c>
      <c r="I213" s="108">
        <v>7110011010</v>
      </c>
      <c r="J213" s="108" t="str">
        <f t="shared" si="10"/>
        <v>7110011010</v>
      </c>
      <c r="K213" s="304" t="str">
        <f t="shared" si="11"/>
        <v>60101137110011010000</v>
      </c>
      <c r="L213" s="17" t="str">
        <f>INDEX('реш СГД № 265'!$A:$N,MATCH('БА расх 2018 31 12 2018'!$K213,'реш СГД № 265'!$N:$N,0),3)</f>
        <v>Расходы на обеспечение деятельности (оказание услуг) муниципальных учреждений</v>
      </c>
      <c r="M213" s="16">
        <f t="shared" si="12"/>
        <v>1</v>
      </c>
    </row>
    <row r="214" spans="1:13" s="16" customFormat="1" ht="15.75">
      <c r="A214" s="14"/>
      <c r="B214" s="132" t="s">
        <v>138</v>
      </c>
      <c r="C214" s="109" t="s">
        <v>64</v>
      </c>
      <c r="D214" s="108" t="s">
        <v>11</v>
      </c>
      <c r="E214" s="108" t="s">
        <v>51</v>
      </c>
      <c r="F214" s="108" t="s">
        <v>186</v>
      </c>
      <c r="G214" s="108" t="s">
        <v>139</v>
      </c>
      <c r="H214" s="126">
        <v>13321804.689999999</v>
      </c>
      <c r="I214" s="108">
        <v>7110011010</v>
      </c>
      <c r="J214" s="108" t="str">
        <f t="shared" si="10"/>
        <v>7110011010</v>
      </c>
      <c r="K214" s="304" t="str">
        <f t="shared" si="11"/>
        <v>60101137110011010110</v>
      </c>
      <c r="L214" s="17" t="str">
        <f>INDEX('реш СГД № 265'!$A:$N,MATCH('БА расх 2018 31 12 2018'!$K214,'реш СГД № 265'!$N:$N,0),3)</f>
        <v>Расходы на выплаты персоналу казенных учреждений</v>
      </c>
      <c r="M214" s="16">
        <f t="shared" si="12"/>
        <v>1</v>
      </c>
    </row>
    <row r="215" spans="1:13" s="23" customFormat="1" ht="15.75">
      <c r="A215" s="21"/>
      <c r="B215" s="127" t="s">
        <v>140</v>
      </c>
      <c r="C215" s="109" t="s">
        <v>64</v>
      </c>
      <c r="D215" s="108" t="s">
        <v>11</v>
      </c>
      <c r="E215" s="108" t="s">
        <v>51</v>
      </c>
      <c r="F215" s="108" t="s">
        <v>186</v>
      </c>
      <c r="G215" s="108" t="s">
        <v>141</v>
      </c>
      <c r="H215" s="126">
        <v>10278445.869999999</v>
      </c>
      <c r="I215" s="108">
        <v>7110011010</v>
      </c>
      <c r="J215" s="108" t="str">
        <f t="shared" si="10"/>
        <v>7110011010</v>
      </c>
      <c r="K215" s="304" t="str">
        <f t="shared" si="11"/>
        <v>60101137110011010111</v>
      </c>
      <c r="L215" s="17"/>
      <c r="M215" s="16"/>
    </row>
    <row r="216" spans="1:13" s="23" customFormat="1" ht="47.25">
      <c r="A216" s="21"/>
      <c r="B216" s="127" t="s">
        <v>144</v>
      </c>
      <c r="C216" s="109" t="s">
        <v>64</v>
      </c>
      <c r="D216" s="108" t="s">
        <v>11</v>
      </c>
      <c r="E216" s="108" t="s">
        <v>51</v>
      </c>
      <c r="F216" s="108" t="s">
        <v>186</v>
      </c>
      <c r="G216" s="108" t="s">
        <v>145</v>
      </c>
      <c r="H216" s="126">
        <v>3043358.82</v>
      </c>
      <c r="I216" s="108">
        <v>7110011010</v>
      </c>
      <c r="J216" s="108" t="str">
        <f t="shared" si="10"/>
        <v>7110011010</v>
      </c>
      <c r="K216" s="304" t="str">
        <f t="shared" si="11"/>
        <v>60101137110011010119</v>
      </c>
      <c r="L216" s="17"/>
      <c r="M216" s="16"/>
    </row>
    <row r="217" spans="1:13" s="16" customFormat="1" ht="31.5">
      <c r="A217" s="14"/>
      <c r="B217" s="125" t="s">
        <v>28</v>
      </c>
      <c r="C217" s="109" t="s">
        <v>64</v>
      </c>
      <c r="D217" s="108" t="s">
        <v>11</v>
      </c>
      <c r="E217" s="108" t="s">
        <v>51</v>
      </c>
      <c r="F217" s="108" t="s">
        <v>186</v>
      </c>
      <c r="G217" s="108" t="s">
        <v>29</v>
      </c>
      <c r="H217" s="126">
        <v>27147399.219999999</v>
      </c>
      <c r="I217" s="108">
        <v>7110011010</v>
      </c>
      <c r="J217" s="108" t="str">
        <f t="shared" si="10"/>
        <v>7110011010</v>
      </c>
      <c r="K217" s="304" t="str">
        <f t="shared" si="11"/>
        <v>60101137110011010240</v>
      </c>
      <c r="L217" s="17" t="str">
        <f>INDEX('реш СГД № 265'!$A:$N,MATCH('БА расх 2018 31 12 2018'!$K217,'реш СГД № 265'!$N:$N,0),3)</f>
        <v>Иные закупки товаров, работ и услуг для обеспечения государственных (муниципальных) нужд</v>
      </c>
      <c r="M217" s="16">
        <f t="shared" si="12"/>
        <v>1</v>
      </c>
    </row>
    <row r="218" spans="1:13" s="16" customFormat="1" ht="15.75">
      <c r="A218" s="14"/>
      <c r="B218" s="125" t="s">
        <v>30</v>
      </c>
      <c r="C218" s="109" t="s">
        <v>64</v>
      </c>
      <c r="D218" s="108" t="s">
        <v>11</v>
      </c>
      <c r="E218" s="108" t="s">
        <v>51</v>
      </c>
      <c r="F218" s="108" t="s">
        <v>186</v>
      </c>
      <c r="G218" s="108" t="s">
        <v>31</v>
      </c>
      <c r="H218" s="126">
        <v>27147399.219999999</v>
      </c>
      <c r="I218" s="108">
        <v>7110011010</v>
      </c>
      <c r="J218" s="108" t="str">
        <f t="shared" si="10"/>
        <v>7110011010</v>
      </c>
      <c r="K218" s="304" t="str">
        <f t="shared" si="11"/>
        <v>60101137110011010244</v>
      </c>
      <c r="L218" s="17"/>
    </row>
    <row r="219" spans="1:13" s="16" customFormat="1" ht="15.75">
      <c r="A219" s="14"/>
      <c r="B219" s="125" t="s">
        <v>32</v>
      </c>
      <c r="C219" s="109" t="s">
        <v>64</v>
      </c>
      <c r="D219" s="108" t="s">
        <v>11</v>
      </c>
      <c r="E219" s="108" t="s">
        <v>51</v>
      </c>
      <c r="F219" s="108" t="s">
        <v>186</v>
      </c>
      <c r="G219" s="108" t="s">
        <v>33</v>
      </c>
      <c r="H219" s="126">
        <v>187950.75</v>
      </c>
      <c r="I219" s="108">
        <v>7110011010</v>
      </c>
      <c r="J219" s="108" t="str">
        <f t="shared" si="10"/>
        <v>7110011010</v>
      </c>
      <c r="K219" s="304" t="str">
        <f t="shared" si="11"/>
        <v>60101137110011010850</v>
      </c>
      <c r="L219" s="17" t="str">
        <f>INDEX('реш СГД № 265'!$A:$N,MATCH('БА расх 2018 31 12 2018'!$K219,'реш СГД № 265'!$N:$N,0),3)</f>
        <v>Уплата налогов, сборов и иных платежей</v>
      </c>
      <c r="M219" s="16">
        <f t="shared" si="12"/>
        <v>1</v>
      </c>
    </row>
    <row r="220" spans="1:13" s="23" customFormat="1" ht="31.5">
      <c r="A220" s="21"/>
      <c r="B220" s="127" t="s">
        <v>34</v>
      </c>
      <c r="C220" s="109" t="s">
        <v>64</v>
      </c>
      <c r="D220" s="108" t="s">
        <v>11</v>
      </c>
      <c r="E220" s="108" t="s">
        <v>51</v>
      </c>
      <c r="F220" s="108" t="s">
        <v>186</v>
      </c>
      <c r="G220" s="108" t="s">
        <v>35</v>
      </c>
      <c r="H220" s="126">
        <v>107277</v>
      </c>
      <c r="I220" s="108">
        <v>7110011010</v>
      </c>
      <c r="J220" s="108" t="str">
        <f t="shared" si="10"/>
        <v>7110011010</v>
      </c>
      <c r="K220" s="304" t="str">
        <f t="shared" si="11"/>
        <v>60101137110011010851</v>
      </c>
      <c r="L220" s="17"/>
      <c r="M220" s="16"/>
    </row>
    <row r="221" spans="1:13" s="23" customFormat="1" ht="15.75">
      <c r="A221" s="21"/>
      <c r="B221" s="127" t="s">
        <v>36</v>
      </c>
      <c r="C221" s="109" t="s">
        <v>64</v>
      </c>
      <c r="D221" s="108" t="s">
        <v>11</v>
      </c>
      <c r="E221" s="108" t="s">
        <v>51</v>
      </c>
      <c r="F221" s="108" t="s">
        <v>186</v>
      </c>
      <c r="G221" s="108" t="s">
        <v>37</v>
      </c>
      <c r="H221" s="126">
        <v>73673.75</v>
      </c>
      <c r="I221" s="108">
        <v>7110011010</v>
      </c>
      <c r="J221" s="108" t="str">
        <f t="shared" si="10"/>
        <v>7110011010</v>
      </c>
      <c r="K221" s="304" t="str">
        <f t="shared" si="11"/>
        <v>60101137110011010852</v>
      </c>
      <c r="L221" s="17"/>
      <c r="M221" s="16"/>
    </row>
    <row r="222" spans="1:13" s="23" customFormat="1" ht="15.75">
      <c r="A222" s="21"/>
      <c r="B222" s="127" t="s">
        <v>77</v>
      </c>
      <c r="C222" s="109" t="s">
        <v>64</v>
      </c>
      <c r="D222" s="108" t="s">
        <v>11</v>
      </c>
      <c r="E222" s="108" t="s">
        <v>51</v>
      </c>
      <c r="F222" s="108" t="s">
        <v>186</v>
      </c>
      <c r="G222" s="108" t="s">
        <v>78</v>
      </c>
      <c r="H222" s="126">
        <v>7000</v>
      </c>
      <c r="I222" s="108">
        <v>7110011010</v>
      </c>
      <c r="J222" s="108" t="str">
        <f t="shared" si="10"/>
        <v>7110011010</v>
      </c>
      <c r="K222" s="304" t="str">
        <f t="shared" si="11"/>
        <v>60101137110011010853</v>
      </c>
      <c r="L222" s="17"/>
      <c r="M222" s="16"/>
    </row>
    <row r="223" spans="1:13" s="16" customFormat="1" ht="31.5">
      <c r="A223" s="14"/>
      <c r="B223" s="129" t="s">
        <v>187</v>
      </c>
      <c r="C223" s="130" t="s">
        <v>64</v>
      </c>
      <c r="D223" s="131" t="s">
        <v>11</v>
      </c>
      <c r="E223" s="131" t="s">
        <v>51</v>
      </c>
      <c r="F223" s="131" t="s">
        <v>188</v>
      </c>
      <c r="G223" s="131" t="s">
        <v>9</v>
      </c>
      <c r="H223" s="126">
        <v>1108276.52</v>
      </c>
      <c r="I223" s="131">
        <v>7110020050</v>
      </c>
      <c r="J223" s="131" t="str">
        <f t="shared" si="10"/>
        <v>7110020050</v>
      </c>
      <c r="K223" s="304" t="str">
        <f t="shared" si="11"/>
        <v>60101137110020050000</v>
      </c>
      <c r="L223" s="17" t="str">
        <f>INDEX('реш СГД № 265'!$A:$N,MATCH('БА расх 2018 31 12 2018'!$K223,'реш СГД № 265'!$N:$N,0),3)</f>
        <v>Расходы на выплаты на основании исполнительных листов судебных органов</v>
      </c>
      <c r="M223" s="16">
        <f t="shared" si="12"/>
        <v>1</v>
      </c>
    </row>
    <row r="224" spans="1:13" s="16" customFormat="1" ht="15.75">
      <c r="A224" s="14"/>
      <c r="B224" s="125" t="s">
        <v>189</v>
      </c>
      <c r="C224" s="130" t="s">
        <v>64</v>
      </c>
      <c r="D224" s="131" t="s">
        <v>11</v>
      </c>
      <c r="E224" s="131" t="s">
        <v>51</v>
      </c>
      <c r="F224" s="131" t="s">
        <v>188</v>
      </c>
      <c r="G224" s="131" t="s">
        <v>190</v>
      </c>
      <c r="H224" s="126">
        <v>1108276.52</v>
      </c>
      <c r="I224" s="131">
        <v>7110020050</v>
      </c>
      <c r="J224" s="131" t="str">
        <f t="shared" si="10"/>
        <v>7110020050</v>
      </c>
      <c r="K224" s="304" t="str">
        <f t="shared" si="11"/>
        <v>60101137110020050830</v>
      </c>
      <c r="L224" s="17" t="str">
        <f>INDEX('реш СГД № 265'!$A:$N,MATCH('БА расх 2018 31 12 2018'!$K224,'реш СГД № 265'!$N:$N,0),3)</f>
        <v>Исполнение судебных актов</v>
      </c>
      <c r="M224" s="16">
        <f t="shared" si="12"/>
        <v>1</v>
      </c>
    </row>
    <row r="225" spans="1:13" s="16" customFormat="1" ht="31.5">
      <c r="A225" s="14"/>
      <c r="B225" s="129" t="s">
        <v>191</v>
      </c>
      <c r="C225" s="130" t="s">
        <v>64</v>
      </c>
      <c r="D225" s="131" t="s">
        <v>11</v>
      </c>
      <c r="E225" s="131" t="s">
        <v>51</v>
      </c>
      <c r="F225" s="131" t="s">
        <v>188</v>
      </c>
      <c r="G225" s="131" t="s">
        <v>192</v>
      </c>
      <c r="H225" s="126">
        <v>1108276.52</v>
      </c>
      <c r="I225" s="131">
        <v>7110020050</v>
      </c>
      <c r="J225" s="131" t="str">
        <f t="shared" si="10"/>
        <v>7110020050</v>
      </c>
      <c r="K225" s="304" t="str">
        <f t="shared" si="11"/>
        <v>60101137110020050831</v>
      </c>
      <c r="L225" s="17"/>
    </row>
    <row r="226" spans="1:13" s="16" customFormat="1" ht="267.75">
      <c r="A226" s="14"/>
      <c r="B226" s="132" t="s">
        <v>2269</v>
      </c>
      <c r="C226" s="109" t="s">
        <v>64</v>
      </c>
      <c r="D226" s="108" t="s">
        <v>11</v>
      </c>
      <c r="E226" s="108" t="s">
        <v>51</v>
      </c>
      <c r="F226" s="108" t="s">
        <v>1268</v>
      </c>
      <c r="G226" s="108" t="s">
        <v>9</v>
      </c>
      <c r="H226" s="126">
        <v>496873.17000000004</v>
      </c>
      <c r="I226" s="108">
        <v>7110077460</v>
      </c>
      <c r="J226" s="108" t="str">
        <f t="shared" si="10"/>
        <v>7110077460</v>
      </c>
      <c r="K226" s="304" t="str">
        <f t="shared" si="11"/>
        <v>60101137110077460000</v>
      </c>
      <c r="L226" s="132" t="str">
        <f>INDEX('реш СГД № 265'!$A:$N,MATCH('БА расх 2018 31 12 2018'!$K226,'реш СГД № 265'!$N:$N,0),3)</f>
        <v>Субсидии на компенсацию расходов по повышению заработной платы муниципальных служащих муниципальной службы и лиц, не замещающих должности муниципальной службы и исполняющих обязанности по техническому обеспечению деятельности органов местного самоуправления муниципальных образований, а также работников муниципальных учреждений, за исключением отдельных категорий работников муниципальных учреждений, которым повышение заработной платы осуществляется в соответствии с указами Президента Российской Федерации от 7 мая 2012 года № 597 «О мероприятиях по реализации государственной социальной политики», от 1 июня 2012 года № 761 «О Национальной стратегии действий в интересах детей на 2012 - 2017 годы» и от 28 декабря 2012 года № 1688 «О некоторых мерах по реализации государственной политики в сфере защиты детей-сирот и детей, оставшихся без попечения родителей»</v>
      </c>
      <c r="M226" s="17">
        <f t="shared" si="12"/>
        <v>1</v>
      </c>
    </row>
    <row r="227" spans="1:13" s="16" customFormat="1" ht="15.75">
      <c r="A227" s="14"/>
      <c r="B227" s="132" t="s">
        <v>138</v>
      </c>
      <c r="C227" s="109" t="s">
        <v>64</v>
      </c>
      <c r="D227" s="108" t="s">
        <v>11</v>
      </c>
      <c r="E227" s="108" t="s">
        <v>51</v>
      </c>
      <c r="F227" s="108" t="s">
        <v>1268</v>
      </c>
      <c r="G227" s="108" t="s">
        <v>139</v>
      </c>
      <c r="H227" s="126">
        <v>496873.17000000004</v>
      </c>
      <c r="I227" s="108">
        <v>7110077460</v>
      </c>
      <c r="J227" s="108" t="str">
        <f t="shared" si="10"/>
        <v>7110077460</v>
      </c>
      <c r="K227" s="304" t="str">
        <f t="shared" si="11"/>
        <v>60101137110077460110</v>
      </c>
      <c r="L227" s="17" t="str">
        <f>INDEX('реш СГД № 265'!$A:$N,MATCH('БА расх 2018 31 12 2018'!$K227,'реш СГД № 265'!$N:$N,0),3)</f>
        <v>Расходы на выплаты персоналу казенных учреждений</v>
      </c>
      <c r="M227" s="16">
        <f t="shared" si="12"/>
        <v>1</v>
      </c>
    </row>
    <row r="228" spans="1:13" s="16" customFormat="1" ht="15.75">
      <c r="A228" s="14"/>
      <c r="B228" s="127" t="s">
        <v>140</v>
      </c>
      <c r="C228" s="109" t="s">
        <v>64</v>
      </c>
      <c r="D228" s="108" t="s">
        <v>11</v>
      </c>
      <c r="E228" s="108" t="s">
        <v>51</v>
      </c>
      <c r="F228" s="108" t="s">
        <v>1268</v>
      </c>
      <c r="G228" s="108" t="s">
        <v>141</v>
      </c>
      <c r="H228" s="126">
        <v>381623.02</v>
      </c>
      <c r="I228" s="108">
        <v>7110077460</v>
      </c>
      <c r="J228" s="108" t="str">
        <f t="shared" si="10"/>
        <v>7110077460</v>
      </c>
      <c r="K228" s="304" t="str">
        <f t="shared" si="11"/>
        <v>60101137110077460111</v>
      </c>
      <c r="L228" s="17"/>
    </row>
    <row r="229" spans="1:13" s="16" customFormat="1" ht="47.25">
      <c r="A229" s="14"/>
      <c r="B229" s="127" t="s">
        <v>144</v>
      </c>
      <c r="C229" s="109" t="s">
        <v>64</v>
      </c>
      <c r="D229" s="108" t="s">
        <v>11</v>
      </c>
      <c r="E229" s="108" t="s">
        <v>51</v>
      </c>
      <c r="F229" s="108" t="s">
        <v>1268</v>
      </c>
      <c r="G229" s="108" t="s">
        <v>145</v>
      </c>
      <c r="H229" s="126">
        <v>115250.15</v>
      </c>
      <c r="I229" s="108">
        <v>7110077460</v>
      </c>
      <c r="J229" s="108" t="str">
        <f t="shared" si="10"/>
        <v>7110077460</v>
      </c>
      <c r="K229" s="304" t="str">
        <f t="shared" si="11"/>
        <v>60101137110077460119</v>
      </c>
      <c r="L229" s="17"/>
    </row>
    <row r="230" spans="1:13" s="16" customFormat="1" ht="15.75">
      <c r="A230" s="14"/>
      <c r="B230" s="125" t="s">
        <v>52</v>
      </c>
      <c r="C230" s="109" t="s">
        <v>64</v>
      </c>
      <c r="D230" s="108" t="s">
        <v>11</v>
      </c>
      <c r="E230" s="108" t="s">
        <v>51</v>
      </c>
      <c r="F230" s="108" t="s">
        <v>1880</v>
      </c>
      <c r="G230" s="108" t="s">
        <v>9</v>
      </c>
      <c r="H230" s="126">
        <v>13000</v>
      </c>
      <c r="I230" s="108">
        <v>7140000000</v>
      </c>
      <c r="J230" s="108" t="str">
        <f t="shared" si="10"/>
        <v>7140000000</v>
      </c>
      <c r="K230" s="304" t="str">
        <f t="shared" si="11"/>
        <v>60101137140000000000</v>
      </c>
      <c r="L230" s="400" t="e">
        <f>INDEX('реш СГД № 265'!$A:$N,MATCH('БА расх 2018 31 12 2018'!$K230,'реш СГД № 265'!$N:$N,0),3)</f>
        <v>#N/A</v>
      </c>
      <c r="M230" s="248" t="e">
        <f t="shared" si="12"/>
        <v>#N/A</v>
      </c>
    </row>
    <row r="231" spans="1:13" s="16" customFormat="1" ht="15.75">
      <c r="A231" s="14"/>
      <c r="B231" s="164" t="s">
        <v>1234</v>
      </c>
      <c r="C231" s="109" t="s">
        <v>64</v>
      </c>
      <c r="D231" s="108" t="s">
        <v>11</v>
      </c>
      <c r="E231" s="108" t="s">
        <v>51</v>
      </c>
      <c r="F231" s="108" t="s">
        <v>1881</v>
      </c>
      <c r="G231" s="108" t="s">
        <v>9</v>
      </c>
      <c r="H231" s="126">
        <v>13000</v>
      </c>
      <c r="I231" s="108">
        <v>7140021040</v>
      </c>
      <c r="J231" s="108" t="str">
        <f t="shared" si="10"/>
        <v>7140021040</v>
      </c>
      <c r="K231" s="304" t="str">
        <f t="shared" si="11"/>
        <v>60101137140021040000</v>
      </c>
      <c r="L231" s="400" t="e">
        <f>INDEX('реш СГД № 265'!$A:$N,MATCH('БА расх 2018 31 12 2018'!$K231,'реш СГД № 265'!$N:$N,0),3)</f>
        <v>#N/A</v>
      </c>
      <c r="M231" s="248" t="e">
        <f t="shared" si="12"/>
        <v>#N/A</v>
      </c>
    </row>
    <row r="232" spans="1:13" s="16" customFormat="1" ht="15.75">
      <c r="A232" s="14"/>
      <c r="B232" s="148" t="s">
        <v>32</v>
      </c>
      <c r="C232" s="109" t="s">
        <v>64</v>
      </c>
      <c r="D232" s="108" t="s">
        <v>11</v>
      </c>
      <c r="E232" s="108" t="s">
        <v>51</v>
      </c>
      <c r="F232" s="108" t="s">
        <v>1881</v>
      </c>
      <c r="G232" s="108" t="s">
        <v>33</v>
      </c>
      <c r="H232" s="126">
        <v>13000</v>
      </c>
      <c r="I232" s="108">
        <v>7140021040</v>
      </c>
      <c r="J232" s="108" t="str">
        <f t="shared" si="10"/>
        <v>7140021040</v>
      </c>
      <c r="K232" s="304" t="str">
        <f t="shared" si="11"/>
        <v>60101137140021040850</v>
      </c>
      <c r="L232" s="400" t="e">
        <f>INDEX('реш СГД № 265'!$A:$N,MATCH('БА расх 2018 31 12 2018'!$K232,'реш СГД № 265'!$N:$N,0),3)</f>
        <v>#N/A</v>
      </c>
      <c r="M232" s="248" t="e">
        <f t="shared" si="12"/>
        <v>#N/A</v>
      </c>
    </row>
    <row r="233" spans="1:13" s="16" customFormat="1" ht="15.75">
      <c r="A233" s="14"/>
      <c r="B233" s="127" t="s">
        <v>77</v>
      </c>
      <c r="C233" s="109" t="s">
        <v>64</v>
      </c>
      <c r="D233" s="108" t="s">
        <v>11</v>
      </c>
      <c r="E233" s="108" t="s">
        <v>51</v>
      </c>
      <c r="F233" s="108" t="s">
        <v>1881</v>
      </c>
      <c r="G233" s="108" t="s">
        <v>78</v>
      </c>
      <c r="H233" s="126">
        <v>13000</v>
      </c>
      <c r="I233" s="108">
        <v>7140021040</v>
      </c>
      <c r="J233" s="108" t="str">
        <f t="shared" si="10"/>
        <v>7140021040</v>
      </c>
      <c r="K233" s="304" t="str">
        <f t="shared" si="11"/>
        <v>60101137140021040853</v>
      </c>
      <c r="L233" s="17"/>
    </row>
    <row r="234" spans="1:13" s="16" customFormat="1" ht="47.25">
      <c r="A234" s="14"/>
      <c r="B234" s="125" t="s">
        <v>87</v>
      </c>
      <c r="C234" s="130" t="s">
        <v>64</v>
      </c>
      <c r="D234" s="131" t="s">
        <v>11</v>
      </c>
      <c r="E234" s="131" t="s">
        <v>51</v>
      </c>
      <c r="F234" s="131" t="s">
        <v>88</v>
      </c>
      <c r="G234" s="131" t="s">
        <v>9</v>
      </c>
      <c r="H234" s="126">
        <v>8822180</v>
      </c>
      <c r="I234" s="131">
        <v>9800000000</v>
      </c>
      <c r="J234" s="131" t="str">
        <f t="shared" si="10"/>
        <v>9800000000</v>
      </c>
      <c r="K234" s="304" t="str">
        <f t="shared" si="11"/>
        <v>60101139800000000000</v>
      </c>
      <c r="L234" s="17" t="str">
        <f>INDEX('реш СГД № 265'!$A:$N,MATCH('БА расх 2018 31 12 2018'!$K234,'реш СГД № 265'!$N:$N,0),3)</f>
        <v>Реализация иных функций Ставропольской городской Думы, администрации города Ставрополя, ее отраслевых (функциональных) и территориальных органов</v>
      </c>
      <c r="M234" s="16">
        <f t="shared" si="12"/>
        <v>1</v>
      </c>
    </row>
    <row r="235" spans="1:13" s="16" customFormat="1" ht="15.75">
      <c r="A235" s="14"/>
      <c r="B235" s="125" t="s">
        <v>89</v>
      </c>
      <c r="C235" s="130" t="s">
        <v>64</v>
      </c>
      <c r="D235" s="131" t="s">
        <v>11</v>
      </c>
      <c r="E235" s="131" t="s">
        <v>51</v>
      </c>
      <c r="F235" s="131" t="s">
        <v>90</v>
      </c>
      <c r="G235" s="131" t="s">
        <v>9</v>
      </c>
      <c r="H235" s="126">
        <v>8822180</v>
      </c>
      <c r="I235" s="131">
        <v>9810000000</v>
      </c>
      <c r="J235" s="131" t="str">
        <f t="shared" si="10"/>
        <v>9810000000</v>
      </c>
      <c r="K235" s="304" t="str">
        <f t="shared" si="11"/>
        <v>60101139810000000000</v>
      </c>
      <c r="L235" s="17" t="str">
        <f>INDEX('реш СГД № 265'!$A:$N,MATCH('БА расх 2018 31 12 2018'!$K235,'реш СГД № 265'!$N:$N,0),3)</f>
        <v>Иные непрограммные мероприятия</v>
      </c>
      <c r="M235" s="16">
        <f t="shared" si="12"/>
        <v>1</v>
      </c>
    </row>
    <row r="236" spans="1:13" s="16" customFormat="1" ht="63">
      <c r="A236" s="14" t="s">
        <v>80</v>
      </c>
      <c r="B236" s="129" t="s">
        <v>193</v>
      </c>
      <c r="C236" s="130" t="s">
        <v>64</v>
      </c>
      <c r="D236" s="131" t="s">
        <v>11</v>
      </c>
      <c r="E236" s="131" t="s">
        <v>51</v>
      </c>
      <c r="F236" s="131" t="s">
        <v>194</v>
      </c>
      <c r="G236" s="131" t="s">
        <v>9</v>
      </c>
      <c r="H236" s="126">
        <v>8822180</v>
      </c>
      <c r="I236" s="131">
        <v>9810076610</v>
      </c>
      <c r="J236" s="131" t="str">
        <f t="shared" si="10"/>
        <v>9810076610</v>
      </c>
      <c r="K236" s="304" t="str">
        <f t="shared" si="11"/>
        <v>60101139810076610000</v>
      </c>
      <c r="L236" s="17" t="str">
        <f>INDEX('реш СГД № 265'!$A:$N,MATCH('БА расх 2018 31 12 2018'!$K236,'реш СГД № 265'!$N:$N,0),3)</f>
        <v>Возмещение расходов, связанных с материальным обеспечением деятельности депутатов Думы Ставропольского края и их помощников в Ставропольском крае</v>
      </c>
      <c r="M236" s="16">
        <f t="shared" si="12"/>
        <v>1</v>
      </c>
    </row>
    <row r="237" spans="1:13" s="16" customFormat="1" ht="31.5">
      <c r="A237" s="14"/>
      <c r="B237" s="127" t="s">
        <v>20</v>
      </c>
      <c r="C237" s="130" t="s">
        <v>64</v>
      </c>
      <c r="D237" s="131" t="s">
        <v>11</v>
      </c>
      <c r="E237" s="131" t="s">
        <v>51</v>
      </c>
      <c r="F237" s="131" t="s">
        <v>194</v>
      </c>
      <c r="G237" s="131" t="s">
        <v>21</v>
      </c>
      <c r="H237" s="126">
        <v>8648530</v>
      </c>
      <c r="I237" s="131">
        <v>9810076610</v>
      </c>
      <c r="J237" s="131" t="str">
        <f t="shared" si="10"/>
        <v>9810076610</v>
      </c>
      <c r="K237" s="304" t="str">
        <f t="shared" si="11"/>
        <v>60101139810076610120</v>
      </c>
      <c r="L237" s="17" t="str">
        <f>INDEX('реш СГД № 265'!$A:$N,MATCH('БА расх 2018 31 12 2018'!$K237,'реш СГД № 265'!$N:$N,0),3)</f>
        <v>Расходы на выплаты персоналу государственных (муниципальных) органов</v>
      </c>
      <c r="M237" s="16">
        <f t="shared" si="12"/>
        <v>1</v>
      </c>
    </row>
    <row r="238" spans="1:13" s="23" customFormat="1" ht="31.5">
      <c r="A238" s="21"/>
      <c r="B238" s="127" t="s">
        <v>40</v>
      </c>
      <c r="C238" s="130" t="s">
        <v>64</v>
      </c>
      <c r="D238" s="131" t="s">
        <v>11</v>
      </c>
      <c r="E238" s="131" t="s">
        <v>51</v>
      </c>
      <c r="F238" s="131" t="s">
        <v>194</v>
      </c>
      <c r="G238" s="108" t="s">
        <v>41</v>
      </c>
      <c r="H238" s="126">
        <v>6642954.4000000004</v>
      </c>
      <c r="I238" s="131">
        <v>9810076610</v>
      </c>
      <c r="J238" s="131" t="str">
        <f t="shared" si="10"/>
        <v>9810076610</v>
      </c>
      <c r="K238" s="304" t="str">
        <f t="shared" si="11"/>
        <v>60101139810076610121</v>
      </c>
      <c r="L238" s="17"/>
      <c r="M238" s="16"/>
    </row>
    <row r="239" spans="1:13" s="23" customFormat="1" ht="47.25">
      <c r="A239" s="21"/>
      <c r="B239" s="127" t="s">
        <v>26</v>
      </c>
      <c r="C239" s="130" t="s">
        <v>64</v>
      </c>
      <c r="D239" s="131" t="s">
        <v>11</v>
      </c>
      <c r="E239" s="131" t="s">
        <v>51</v>
      </c>
      <c r="F239" s="131" t="s">
        <v>194</v>
      </c>
      <c r="G239" s="108" t="s">
        <v>27</v>
      </c>
      <c r="H239" s="126">
        <v>2005575.6</v>
      </c>
      <c r="I239" s="131">
        <v>9810076610</v>
      </c>
      <c r="J239" s="131" t="str">
        <f t="shared" si="10"/>
        <v>9810076610</v>
      </c>
      <c r="K239" s="304" t="str">
        <f t="shared" si="11"/>
        <v>60101139810076610129</v>
      </c>
      <c r="L239" s="17"/>
      <c r="M239" s="16"/>
    </row>
    <row r="240" spans="1:13" s="23" customFormat="1" ht="31.5">
      <c r="A240" s="21"/>
      <c r="B240" s="125" t="s">
        <v>28</v>
      </c>
      <c r="C240" s="130" t="s">
        <v>64</v>
      </c>
      <c r="D240" s="131" t="s">
        <v>11</v>
      </c>
      <c r="E240" s="131" t="s">
        <v>51</v>
      </c>
      <c r="F240" s="131" t="s">
        <v>194</v>
      </c>
      <c r="G240" s="108" t="s">
        <v>29</v>
      </c>
      <c r="H240" s="126">
        <v>173650</v>
      </c>
      <c r="I240" s="131">
        <v>9810076610</v>
      </c>
      <c r="J240" s="131" t="str">
        <f t="shared" si="10"/>
        <v>9810076610</v>
      </c>
      <c r="K240" s="304" t="str">
        <f t="shared" ref="K240:K301" si="13">C240&amp;D240&amp;E240&amp;J240&amp;G240</f>
        <v>60101139810076610240</v>
      </c>
      <c r="L240" s="17" t="str">
        <f>INDEX('реш СГД № 265'!$A:$N,MATCH('БА расх 2018 31 12 2018'!$K240,'реш СГД № 265'!$N:$N,0),3)</f>
        <v>Иные закупки товаров, работ и услуг для обеспечения государственных (муниципальных) нужд</v>
      </c>
      <c r="M240" s="16">
        <f t="shared" si="12"/>
        <v>1</v>
      </c>
    </row>
    <row r="241" spans="1:13" s="23" customFormat="1" ht="15.75">
      <c r="A241" s="21"/>
      <c r="B241" s="125" t="s">
        <v>30</v>
      </c>
      <c r="C241" s="130" t="s">
        <v>64</v>
      </c>
      <c r="D241" s="131" t="s">
        <v>11</v>
      </c>
      <c r="E241" s="131" t="s">
        <v>51</v>
      </c>
      <c r="F241" s="131" t="s">
        <v>194</v>
      </c>
      <c r="G241" s="108" t="s">
        <v>31</v>
      </c>
      <c r="H241" s="126">
        <v>173650</v>
      </c>
      <c r="I241" s="131">
        <v>9810076610</v>
      </c>
      <c r="J241" s="131" t="str">
        <f t="shared" ref="J241:J302" si="14">TEXT(I241,"0000000000")</f>
        <v>9810076610</v>
      </c>
      <c r="K241" s="304" t="str">
        <f t="shared" si="13"/>
        <v>60101139810076610244</v>
      </c>
      <c r="L241" s="17"/>
      <c r="M241" s="16"/>
    </row>
    <row r="242" spans="1:13" s="16" customFormat="1" ht="15.75">
      <c r="A242" s="14"/>
      <c r="B242" s="117" t="s">
        <v>195</v>
      </c>
      <c r="C242" s="118" t="s">
        <v>64</v>
      </c>
      <c r="D242" s="119" t="s">
        <v>73</v>
      </c>
      <c r="E242" s="119" t="s">
        <v>7</v>
      </c>
      <c r="F242" s="119" t="s">
        <v>8</v>
      </c>
      <c r="G242" s="119" t="s">
        <v>9</v>
      </c>
      <c r="H242" s="120">
        <v>11207570</v>
      </c>
      <c r="I242" s="119">
        <v>0</v>
      </c>
      <c r="J242" s="119" t="str">
        <f t="shared" si="14"/>
        <v>0000000000</v>
      </c>
      <c r="K242" s="304" t="str">
        <f t="shared" si="13"/>
        <v>60104000000000000000</v>
      </c>
      <c r="L242" s="17" t="str">
        <f>INDEX('реш СГД № 265'!$A:$N,MATCH('БА расх 2018 31 12 2018'!$K242,'реш СГД № 265'!$N:$N,0),3)</f>
        <v>Национальная экономика</v>
      </c>
      <c r="M242" s="16">
        <f t="shared" ref="M242:M302" si="15">IF(B242=L242,1,0)</f>
        <v>1</v>
      </c>
    </row>
    <row r="243" spans="1:13" s="16" customFormat="1" ht="15.75">
      <c r="A243" s="14"/>
      <c r="B243" s="121" t="s">
        <v>196</v>
      </c>
      <c r="C243" s="122" t="s">
        <v>64</v>
      </c>
      <c r="D243" s="123" t="s">
        <v>73</v>
      </c>
      <c r="E243" s="123" t="s">
        <v>57</v>
      </c>
      <c r="F243" s="123" t="s">
        <v>8</v>
      </c>
      <c r="G243" s="123" t="s">
        <v>9</v>
      </c>
      <c r="H243" s="124">
        <v>11207570</v>
      </c>
      <c r="I243" s="123">
        <v>0</v>
      </c>
      <c r="J243" s="123" t="str">
        <f t="shared" si="14"/>
        <v>0000000000</v>
      </c>
      <c r="K243" s="304" t="str">
        <f t="shared" si="13"/>
        <v>60104120000000000000</v>
      </c>
      <c r="L243" s="17" t="str">
        <f>INDEX('реш СГД № 265'!$A:$N,MATCH('БА расх 2018 31 12 2018'!$K243,'реш СГД № 265'!$N:$N,0),3)</f>
        <v xml:space="preserve">Другие вопросы в области национальной экономики </v>
      </c>
      <c r="M243" s="16">
        <f t="shared" si="15"/>
        <v>1</v>
      </c>
    </row>
    <row r="244" spans="1:13" s="16" customFormat="1" ht="31.5">
      <c r="A244" s="14"/>
      <c r="B244" s="129" t="s">
        <v>94</v>
      </c>
      <c r="C244" s="109" t="s">
        <v>64</v>
      </c>
      <c r="D244" s="108" t="s">
        <v>73</v>
      </c>
      <c r="E244" s="108" t="s">
        <v>57</v>
      </c>
      <c r="F244" s="108" t="s">
        <v>95</v>
      </c>
      <c r="G244" s="108" t="s">
        <v>9</v>
      </c>
      <c r="H244" s="126">
        <v>11207570</v>
      </c>
      <c r="I244" s="108">
        <v>1200000000</v>
      </c>
      <c r="J244" s="108" t="str">
        <f t="shared" si="14"/>
        <v>1200000000</v>
      </c>
      <c r="K244" s="304" t="str">
        <f t="shared" si="13"/>
        <v>60104121200000000000</v>
      </c>
      <c r="L244" s="17" t="str">
        <f>INDEX('реш СГД № 265'!$A:$N,MATCH('БА расх 2018 31 12 2018'!$K244,'реш СГД № 265'!$N:$N,0),3)</f>
        <v>Муниципальная программа «Экономическое развитие города Ставрополя»</v>
      </c>
      <c r="M244" s="16">
        <f t="shared" si="15"/>
        <v>1</v>
      </c>
    </row>
    <row r="245" spans="1:13" s="16" customFormat="1" ht="31.5">
      <c r="A245" s="14"/>
      <c r="B245" s="129" t="s">
        <v>197</v>
      </c>
      <c r="C245" s="109" t="s">
        <v>64</v>
      </c>
      <c r="D245" s="108" t="s">
        <v>73</v>
      </c>
      <c r="E245" s="108" t="s">
        <v>57</v>
      </c>
      <c r="F245" s="108" t="s">
        <v>198</v>
      </c>
      <c r="G245" s="108" t="s">
        <v>9</v>
      </c>
      <c r="H245" s="126">
        <v>9524500</v>
      </c>
      <c r="I245" s="108">
        <v>1210000000</v>
      </c>
      <c r="J245" s="108" t="str">
        <f t="shared" si="14"/>
        <v>1210000000</v>
      </c>
      <c r="K245" s="304" t="str">
        <f t="shared" si="13"/>
        <v>60104121210000000000</v>
      </c>
      <c r="L245" s="17" t="str">
        <f>INDEX('реш СГД № 265'!$A:$N,MATCH('БА расх 2018 31 12 2018'!$K245,'реш СГД № 265'!$N:$N,0),3)</f>
        <v>Подпрограмма «Развитие малого и среднего предпринимательства в городе Ставрополе»</v>
      </c>
      <c r="M245" s="16">
        <f t="shared" si="15"/>
        <v>1</v>
      </c>
    </row>
    <row r="246" spans="1:13" s="16" customFormat="1" ht="47.25">
      <c r="A246" s="14"/>
      <c r="B246" s="129" t="s">
        <v>199</v>
      </c>
      <c r="C246" s="109" t="s">
        <v>64</v>
      </c>
      <c r="D246" s="108" t="s">
        <v>73</v>
      </c>
      <c r="E246" s="108" t="s">
        <v>57</v>
      </c>
      <c r="F246" s="108" t="s">
        <v>200</v>
      </c>
      <c r="G246" s="108" t="s">
        <v>9</v>
      </c>
      <c r="H246" s="126">
        <v>4975000</v>
      </c>
      <c r="I246" s="108">
        <v>1210100000</v>
      </c>
      <c r="J246" s="108" t="str">
        <f t="shared" si="14"/>
        <v>1210100000</v>
      </c>
      <c r="K246" s="304" t="str">
        <f t="shared" si="13"/>
        <v>60104121210100000000</v>
      </c>
      <c r="L246" s="17" t="str">
        <f>INDEX('реш СГД № 265'!$A:$N,MATCH('БА расх 2018 31 12 2018'!$K246,'реш СГД № 265'!$N:$N,0),3)</f>
        <v>Основное мероприятие «Финансовая поддержка субъектов малого и среднего предпринимательства в городе Ставрополе»</v>
      </c>
      <c r="M246" s="16">
        <f t="shared" si="15"/>
        <v>1</v>
      </c>
    </row>
    <row r="247" spans="1:13" s="16" customFormat="1" ht="47.25">
      <c r="A247" s="14"/>
      <c r="B247" s="129" t="s">
        <v>201</v>
      </c>
      <c r="C247" s="109" t="s">
        <v>64</v>
      </c>
      <c r="D247" s="108" t="s">
        <v>73</v>
      </c>
      <c r="E247" s="108" t="s">
        <v>57</v>
      </c>
      <c r="F247" s="108" t="s">
        <v>202</v>
      </c>
      <c r="G247" s="108" t="s">
        <v>9</v>
      </c>
      <c r="H247" s="126">
        <v>4975000</v>
      </c>
      <c r="I247" s="108">
        <v>1210160130</v>
      </c>
      <c r="J247" s="108" t="str">
        <f t="shared" si="14"/>
        <v>1210160130</v>
      </c>
      <c r="K247" s="304" t="str">
        <f t="shared" si="13"/>
        <v>60104121210160130000</v>
      </c>
      <c r="L247" s="17" t="str">
        <f>INDEX('реш СГД № 265'!$A:$N,MATCH('БА расх 2018 31 12 2018'!$K247,'реш СГД № 265'!$N:$N,0),3)</f>
        <v>Предоставление субсидий субъектам малого и среднего предпринимательства, осуществляющим деятельность на территории города Ставрополя</v>
      </c>
      <c r="M247" s="16">
        <f t="shared" si="15"/>
        <v>1</v>
      </c>
    </row>
    <row r="248" spans="1:13" s="16" customFormat="1" ht="47.25">
      <c r="A248" s="14"/>
      <c r="B248" s="129" t="s">
        <v>203</v>
      </c>
      <c r="C248" s="109" t="s">
        <v>64</v>
      </c>
      <c r="D248" s="108" t="s">
        <v>73</v>
      </c>
      <c r="E248" s="108" t="s">
        <v>57</v>
      </c>
      <c r="F248" s="108" t="s">
        <v>202</v>
      </c>
      <c r="G248" s="108" t="s">
        <v>204</v>
      </c>
      <c r="H248" s="126">
        <v>4975000</v>
      </c>
      <c r="I248" s="108">
        <v>1210160130</v>
      </c>
      <c r="J248" s="108" t="str">
        <f t="shared" si="14"/>
        <v>1210160130</v>
      </c>
      <c r="K248" s="304" t="str">
        <f t="shared" si="13"/>
        <v>60104121210160130810</v>
      </c>
      <c r="L248" s="17" t="str">
        <f>INDEX('реш СГД № 265'!$A:$N,MATCH('БА расх 2018 31 12 2018'!$K248,'реш СГД № 265'!$N:$N,0),3)</f>
        <v>Субсидии юридическим лицам (кроме некоммерческих организаций), индивидуальным предпринимателям, физическим лицам - производителям товаров, работ, услуг</v>
      </c>
      <c r="M248" s="16">
        <f t="shared" si="15"/>
        <v>1</v>
      </c>
    </row>
    <row r="249" spans="1:13" s="23" customFormat="1" ht="63">
      <c r="A249" s="21"/>
      <c r="B249" s="127" t="s">
        <v>205</v>
      </c>
      <c r="C249" s="109" t="s">
        <v>64</v>
      </c>
      <c r="D249" s="108" t="s">
        <v>73</v>
      </c>
      <c r="E249" s="108" t="s">
        <v>57</v>
      </c>
      <c r="F249" s="108" t="s">
        <v>202</v>
      </c>
      <c r="G249" s="108" t="s">
        <v>206</v>
      </c>
      <c r="H249" s="126">
        <v>2975000</v>
      </c>
      <c r="I249" s="108">
        <v>1210160130</v>
      </c>
      <c r="J249" s="108" t="str">
        <f t="shared" si="14"/>
        <v>1210160130</v>
      </c>
      <c r="K249" s="304" t="str">
        <f t="shared" si="13"/>
        <v>60104121210160130811</v>
      </c>
      <c r="L249" s="17"/>
      <c r="M249" s="16"/>
    </row>
    <row r="250" spans="1:13" s="23" customFormat="1" ht="110.25">
      <c r="A250" s="21"/>
      <c r="B250" s="127" t="s">
        <v>207</v>
      </c>
      <c r="C250" s="109" t="s">
        <v>64</v>
      </c>
      <c r="D250" s="108" t="s">
        <v>73</v>
      </c>
      <c r="E250" s="108" t="s">
        <v>57</v>
      </c>
      <c r="F250" s="108" t="s">
        <v>202</v>
      </c>
      <c r="G250" s="108" t="s">
        <v>208</v>
      </c>
      <c r="H250" s="126">
        <v>2000000</v>
      </c>
      <c r="I250" s="108">
        <v>1210160130</v>
      </c>
      <c r="J250" s="108" t="str">
        <f t="shared" si="14"/>
        <v>1210160130</v>
      </c>
      <c r="K250" s="304" t="str">
        <f t="shared" si="13"/>
        <v>60104121210160130812</v>
      </c>
      <c r="L250" s="17"/>
      <c r="M250" s="16"/>
    </row>
    <row r="251" spans="1:13" s="16" customFormat="1" ht="47.25">
      <c r="A251" s="14"/>
      <c r="B251" s="129" t="s">
        <v>209</v>
      </c>
      <c r="C251" s="109" t="s">
        <v>64</v>
      </c>
      <c r="D251" s="108" t="s">
        <v>73</v>
      </c>
      <c r="E251" s="108" t="s">
        <v>57</v>
      </c>
      <c r="F251" s="108" t="s">
        <v>210</v>
      </c>
      <c r="G251" s="108" t="s">
        <v>9</v>
      </c>
      <c r="H251" s="126">
        <v>4500000</v>
      </c>
      <c r="I251" s="108">
        <v>1210200000</v>
      </c>
      <c r="J251" s="108" t="str">
        <f t="shared" si="14"/>
        <v>1210200000</v>
      </c>
      <c r="K251" s="304" t="str">
        <f t="shared" si="13"/>
        <v>60104121210200000000</v>
      </c>
      <c r="L251" s="17" t="str">
        <f>INDEX('реш СГД № 265'!$A:$N,MATCH('БА расх 2018 31 12 2018'!$K251,'реш СГД № 265'!$N:$N,0),3)</f>
        <v>Основное мероприятие «Развитие и обеспечение деятельности инфраструктуры поддержки субъектов малого и среднего предпринимательства в городе Ставрополе»</v>
      </c>
      <c r="M251" s="16">
        <f t="shared" si="15"/>
        <v>1</v>
      </c>
    </row>
    <row r="252" spans="1:13" s="16" customFormat="1" ht="47.25">
      <c r="A252" s="14"/>
      <c r="B252" s="129" t="s">
        <v>211</v>
      </c>
      <c r="C252" s="109" t="s">
        <v>64</v>
      </c>
      <c r="D252" s="108" t="s">
        <v>73</v>
      </c>
      <c r="E252" s="108" t="s">
        <v>57</v>
      </c>
      <c r="F252" s="108" t="s">
        <v>212</v>
      </c>
      <c r="G252" s="108" t="s">
        <v>9</v>
      </c>
      <c r="H252" s="126">
        <v>4500000</v>
      </c>
      <c r="I252" s="108">
        <v>1210220480</v>
      </c>
      <c r="J252" s="108" t="str">
        <f t="shared" si="14"/>
        <v>1210220480</v>
      </c>
      <c r="K252" s="304" t="str">
        <f t="shared" si="13"/>
        <v>60104121210220480000</v>
      </c>
      <c r="L252" s="17" t="str">
        <f>INDEX('реш СГД № 265'!$A:$N,MATCH('БА расх 2018 31 12 2018'!$K252,'реш СГД № 265'!$N:$N,0),3)</f>
        <v>Расходы на реализацию мероприятий, направленных на развитие малого и среднего предпринимательства на территории города Ставрополя</v>
      </c>
      <c r="M252" s="16">
        <f t="shared" si="15"/>
        <v>1</v>
      </c>
    </row>
    <row r="253" spans="1:13" s="16" customFormat="1" ht="31.5">
      <c r="A253" s="14"/>
      <c r="B253" s="306" t="s">
        <v>182</v>
      </c>
      <c r="C253" s="109" t="s">
        <v>64</v>
      </c>
      <c r="D253" s="108" t="s">
        <v>73</v>
      </c>
      <c r="E253" s="108" t="s">
        <v>57</v>
      </c>
      <c r="F253" s="108" t="s">
        <v>212</v>
      </c>
      <c r="G253" s="108" t="s">
        <v>183</v>
      </c>
      <c r="H253" s="126">
        <v>4500000</v>
      </c>
      <c r="I253" s="108">
        <v>1210220480</v>
      </c>
      <c r="J253" s="108" t="str">
        <f t="shared" si="14"/>
        <v>1210220480</v>
      </c>
      <c r="K253" s="304" t="str">
        <f t="shared" si="13"/>
        <v>60104121210220480630</v>
      </c>
      <c r="L253" s="17" t="str">
        <f>INDEX('реш СГД № 265'!$A:$N,MATCH('БА расх 2018 31 12 2018'!$K253,'реш СГД № 265'!$N:$N,0),3)</f>
        <v>Субсидии некоммерческим организациям (за исключением государственных (муниципальных) учреждений)</v>
      </c>
      <c r="M253" s="16">
        <f t="shared" si="15"/>
        <v>1</v>
      </c>
    </row>
    <row r="254" spans="1:13" s="16" customFormat="1" ht="47.25">
      <c r="A254" s="14"/>
      <c r="B254" s="125" t="s">
        <v>213</v>
      </c>
      <c r="C254" s="109" t="s">
        <v>64</v>
      </c>
      <c r="D254" s="108" t="s">
        <v>73</v>
      </c>
      <c r="E254" s="108" t="s">
        <v>57</v>
      </c>
      <c r="F254" s="108" t="s">
        <v>212</v>
      </c>
      <c r="G254" s="108" t="s">
        <v>214</v>
      </c>
      <c r="H254" s="126">
        <v>4500000</v>
      </c>
      <c r="I254" s="108">
        <v>1210220480</v>
      </c>
      <c r="J254" s="108" t="str">
        <f t="shared" si="14"/>
        <v>1210220480</v>
      </c>
      <c r="K254" s="304" t="str">
        <f t="shared" si="13"/>
        <v>60104121210220480634</v>
      </c>
      <c r="L254" s="17"/>
    </row>
    <row r="255" spans="1:13" s="16" customFormat="1" ht="47.25">
      <c r="A255" s="14"/>
      <c r="B255" s="129" t="s">
        <v>215</v>
      </c>
      <c r="C255" s="109" t="s">
        <v>64</v>
      </c>
      <c r="D255" s="108" t="s">
        <v>73</v>
      </c>
      <c r="E255" s="108" t="s">
        <v>57</v>
      </c>
      <c r="F255" s="108" t="s">
        <v>216</v>
      </c>
      <c r="G255" s="108" t="s">
        <v>9</v>
      </c>
      <c r="H255" s="126">
        <v>49500</v>
      </c>
      <c r="I255" s="108">
        <v>1210300000</v>
      </c>
      <c r="J255" s="108" t="str">
        <f t="shared" si="14"/>
        <v>1210300000</v>
      </c>
      <c r="K255" s="304" t="str">
        <f t="shared" si="13"/>
        <v>60104121210300000000</v>
      </c>
      <c r="L255" s="17" t="str">
        <f>INDEX('реш СГД № 265'!$A:$N,MATCH('БА расх 2018 31 12 2018'!$K255,'реш СГД № 265'!$N:$N,0),3)</f>
        <v>Основное мероприятие «Обеспечение благоприятных условий для развития малого и среднего предпринимательства на территории города Ставрополя»</v>
      </c>
      <c r="M255" s="16">
        <f t="shared" si="15"/>
        <v>1</v>
      </c>
    </row>
    <row r="256" spans="1:13" s="16" customFormat="1" ht="47.25">
      <c r="A256" s="14"/>
      <c r="B256" s="129" t="s">
        <v>211</v>
      </c>
      <c r="C256" s="109" t="s">
        <v>64</v>
      </c>
      <c r="D256" s="108" t="s">
        <v>73</v>
      </c>
      <c r="E256" s="108" t="s">
        <v>57</v>
      </c>
      <c r="F256" s="108" t="s">
        <v>217</v>
      </c>
      <c r="G256" s="108" t="s">
        <v>9</v>
      </c>
      <c r="H256" s="126">
        <v>49500</v>
      </c>
      <c r="I256" s="108">
        <v>1210320480</v>
      </c>
      <c r="J256" s="108" t="str">
        <f t="shared" si="14"/>
        <v>1210320480</v>
      </c>
      <c r="K256" s="304" t="str">
        <f t="shared" si="13"/>
        <v>60104121210320480000</v>
      </c>
      <c r="L256" s="17" t="str">
        <f>INDEX('реш СГД № 265'!$A:$N,MATCH('БА расх 2018 31 12 2018'!$K256,'реш СГД № 265'!$N:$N,0),3)</f>
        <v>Расходы на реализацию мероприятий, направленных на развитие малого и среднего предпринимательства на территории города Ставрополя</v>
      </c>
      <c r="M256" s="16">
        <f t="shared" si="15"/>
        <v>1</v>
      </c>
    </row>
    <row r="257" spans="1:13" s="16" customFormat="1" ht="31.5">
      <c r="A257" s="14"/>
      <c r="B257" s="125" t="s">
        <v>28</v>
      </c>
      <c r="C257" s="109" t="s">
        <v>64</v>
      </c>
      <c r="D257" s="108" t="s">
        <v>73</v>
      </c>
      <c r="E257" s="108" t="s">
        <v>57</v>
      </c>
      <c r="F257" s="108" t="s">
        <v>217</v>
      </c>
      <c r="G257" s="108" t="s">
        <v>29</v>
      </c>
      <c r="H257" s="126">
        <v>49500</v>
      </c>
      <c r="I257" s="108">
        <v>1210320480</v>
      </c>
      <c r="J257" s="108" t="str">
        <f t="shared" si="14"/>
        <v>1210320480</v>
      </c>
      <c r="K257" s="304" t="str">
        <f t="shared" si="13"/>
        <v>60104121210320480240</v>
      </c>
      <c r="L257" s="17" t="str">
        <f>INDEX('реш СГД № 265'!$A:$N,MATCH('БА расх 2018 31 12 2018'!$K257,'реш СГД № 265'!$N:$N,0),3)</f>
        <v>Иные закупки товаров, работ и услуг для обеспечения государственных (муниципальных) нужд</v>
      </c>
      <c r="M257" s="16">
        <f t="shared" si="15"/>
        <v>1</v>
      </c>
    </row>
    <row r="258" spans="1:13" s="16" customFormat="1" ht="15.75">
      <c r="A258" s="14"/>
      <c r="B258" s="125" t="s">
        <v>30</v>
      </c>
      <c r="C258" s="109" t="s">
        <v>64</v>
      </c>
      <c r="D258" s="108" t="s">
        <v>73</v>
      </c>
      <c r="E258" s="108" t="s">
        <v>57</v>
      </c>
      <c r="F258" s="108" t="s">
        <v>217</v>
      </c>
      <c r="G258" s="108" t="s">
        <v>31</v>
      </c>
      <c r="H258" s="126">
        <v>49500</v>
      </c>
      <c r="I258" s="108">
        <v>1210320480</v>
      </c>
      <c r="J258" s="108" t="str">
        <f t="shared" si="14"/>
        <v>1210320480</v>
      </c>
      <c r="K258" s="304" t="str">
        <f t="shared" si="13"/>
        <v>60104121210320480244</v>
      </c>
      <c r="L258" s="17"/>
    </row>
    <row r="259" spans="1:13" s="16" customFormat="1" ht="31.5">
      <c r="A259" s="14"/>
      <c r="B259" s="125" t="s">
        <v>96</v>
      </c>
      <c r="C259" s="109" t="s">
        <v>64</v>
      </c>
      <c r="D259" s="108" t="s">
        <v>73</v>
      </c>
      <c r="E259" s="108" t="s">
        <v>57</v>
      </c>
      <c r="F259" s="108" t="s">
        <v>97</v>
      </c>
      <c r="G259" s="108" t="s">
        <v>9</v>
      </c>
      <c r="H259" s="126">
        <v>1683070</v>
      </c>
      <c r="I259" s="108">
        <v>1220000000</v>
      </c>
      <c r="J259" s="108" t="str">
        <f t="shared" si="14"/>
        <v>1220000000</v>
      </c>
      <c r="K259" s="304" t="str">
        <f t="shared" si="13"/>
        <v>60104121220000000000</v>
      </c>
      <c r="L259" s="17" t="str">
        <f>INDEX('реш СГД № 265'!$A:$N,MATCH('БА расх 2018 31 12 2018'!$K259,'реш СГД № 265'!$N:$N,0),3)</f>
        <v>Подпрограмма «Создание благоприятных условий для экономического развития города Ставрополя»</v>
      </c>
      <c r="M259" s="16">
        <f t="shared" si="15"/>
        <v>1</v>
      </c>
    </row>
    <row r="260" spans="1:13" s="16" customFormat="1" ht="31.5">
      <c r="A260" s="14"/>
      <c r="B260" s="129" t="s">
        <v>218</v>
      </c>
      <c r="C260" s="109" t="s">
        <v>64</v>
      </c>
      <c r="D260" s="108" t="s">
        <v>73</v>
      </c>
      <c r="E260" s="108" t="s">
        <v>57</v>
      </c>
      <c r="F260" s="108" t="s">
        <v>219</v>
      </c>
      <c r="G260" s="108" t="s">
        <v>9</v>
      </c>
      <c r="H260" s="126">
        <v>50000</v>
      </c>
      <c r="I260" s="108">
        <v>1220100000</v>
      </c>
      <c r="J260" s="108" t="str">
        <f t="shared" si="14"/>
        <v>1220100000</v>
      </c>
      <c r="K260" s="304" t="str">
        <f t="shared" si="13"/>
        <v>60104121220100000000</v>
      </c>
      <c r="L260" s="17" t="str">
        <f>INDEX('реш СГД № 265'!$A:$N,MATCH('БА расх 2018 31 12 2018'!$K260,'реш СГД № 265'!$N:$N,0),3)</f>
        <v>Основное мероприятие «Создание благоприятных условий для развития инвестиционной деятельности»</v>
      </c>
      <c r="M260" s="16">
        <f t="shared" si="15"/>
        <v>1</v>
      </c>
    </row>
    <row r="261" spans="1:13" s="16" customFormat="1" ht="31.5">
      <c r="A261" s="14"/>
      <c r="B261" s="129" t="s">
        <v>220</v>
      </c>
      <c r="C261" s="109" t="s">
        <v>64</v>
      </c>
      <c r="D261" s="108" t="s">
        <v>73</v>
      </c>
      <c r="E261" s="108" t="s">
        <v>57</v>
      </c>
      <c r="F261" s="108" t="s">
        <v>221</v>
      </c>
      <c r="G261" s="108" t="s">
        <v>9</v>
      </c>
      <c r="H261" s="126">
        <v>50000</v>
      </c>
      <c r="I261" s="108">
        <v>1220120650</v>
      </c>
      <c r="J261" s="108" t="str">
        <f t="shared" si="14"/>
        <v>1220120650</v>
      </c>
      <c r="K261" s="304" t="str">
        <f t="shared" si="13"/>
        <v>60104121220120650000</v>
      </c>
      <c r="L261" s="17" t="str">
        <f>INDEX('реш СГД № 265'!$A:$N,MATCH('БА расх 2018 31 12 2018'!$K261,'реш СГД № 265'!$N:$N,0),3)</f>
        <v>Расходы на информирование об инвестиционных возможностях города Ставрополя</v>
      </c>
      <c r="M261" s="16">
        <f t="shared" si="15"/>
        <v>1</v>
      </c>
    </row>
    <row r="262" spans="1:13" s="16" customFormat="1" ht="31.5">
      <c r="A262" s="14"/>
      <c r="B262" s="125" t="s">
        <v>28</v>
      </c>
      <c r="C262" s="109" t="s">
        <v>64</v>
      </c>
      <c r="D262" s="108" t="s">
        <v>73</v>
      </c>
      <c r="E262" s="108" t="s">
        <v>57</v>
      </c>
      <c r="F262" s="108" t="s">
        <v>221</v>
      </c>
      <c r="G262" s="108" t="s">
        <v>29</v>
      </c>
      <c r="H262" s="126">
        <v>50000</v>
      </c>
      <c r="I262" s="108">
        <v>1220120650</v>
      </c>
      <c r="J262" s="108" t="str">
        <f t="shared" si="14"/>
        <v>1220120650</v>
      </c>
      <c r="K262" s="304" t="str">
        <f t="shared" si="13"/>
        <v>60104121220120650240</v>
      </c>
      <c r="L262" s="17" t="str">
        <f>INDEX('реш СГД № 265'!$A:$N,MATCH('БА расх 2018 31 12 2018'!$K262,'реш СГД № 265'!$N:$N,0),3)</f>
        <v>Иные закупки товаров, работ и услуг для обеспечения государственных (муниципальных) нужд</v>
      </c>
      <c r="M262" s="16">
        <f t="shared" si="15"/>
        <v>1</v>
      </c>
    </row>
    <row r="263" spans="1:13" s="16" customFormat="1" ht="15.75">
      <c r="A263" s="14"/>
      <c r="B263" s="125" t="s">
        <v>30</v>
      </c>
      <c r="C263" s="109" t="s">
        <v>64</v>
      </c>
      <c r="D263" s="108" t="s">
        <v>73</v>
      </c>
      <c r="E263" s="108" t="s">
        <v>57</v>
      </c>
      <c r="F263" s="108" t="s">
        <v>221</v>
      </c>
      <c r="G263" s="108" t="s">
        <v>31</v>
      </c>
      <c r="H263" s="126">
        <v>50000</v>
      </c>
      <c r="I263" s="108">
        <v>1220120650</v>
      </c>
      <c r="J263" s="108" t="str">
        <f t="shared" si="14"/>
        <v>1220120650</v>
      </c>
      <c r="K263" s="304" t="str">
        <f t="shared" si="13"/>
        <v>60104121220120650244</v>
      </c>
      <c r="L263" s="17"/>
    </row>
    <row r="264" spans="1:13" s="16" customFormat="1" ht="31.5">
      <c r="A264" s="14"/>
      <c r="B264" s="125" t="s">
        <v>222</v>
      </c>
      <c r="C264" s="109" t="s">
        <v>64</v>
      </c>
      <c r="D264" s="108" t="s">
        <v>73</v>
      </c>
      <c r="E264" s="108" t="s">
        <v>57</v>
      </c>
      <c r="F264" s="108" t="s">
        <v>223</v>
      </c>
      <c r="G264" s="108" t="s">
        <v>9</v>
      </c>
      <c r="H264" s="126">
        <v>1633070</v>
      </c>
      <c r="I264" s="108">
        <v>1220200000</v>
      </c>
      <c r="J264" s="108" t="str">
        <f t="shared" si="14"/>
        <v>1220200000</v>
      </c>
      <c r="K264" s="304" t="str">
        <f t="shared" si="13"/>
        <v>60104121220200000000</v>
      </c>
      <c r="L264" s="17" t="str">
        <f>INDEX('реш СГД № 265'!$A:$N,MATCH('БА расх 2018 31 12 2018'!$K264,'реш СГД № 265'!$N:$N,0),3)</f>
        <v>Основное мероприятие «Создание условий для развития туризма на территории города Ставрополя»</v>
      </c>
      <c r="M264" s="16">
        <f t="shared" si="15"/>
        <v>1</v>
      </c>
    </row>
    <row r="265" spans="1:13" s="16" customFormat="1" ht="47.25">
      <c r="A265" s="14"/>
      <c r="B265" s="129" t="s">
        <v>224</v>
      </c>
      <c r="C265" s="109" t="s">
        <v>64</v>
      </c>
      <c r="D265" s="108" t="s">
        <v>73</v>
      </c>
      <c r="E265" s="108" t="s">
        <v>57</v>
      </c>
      <c r="F265" s="108" t="s">
        <v>225</v>
      </c>
      <c r="G265" s="108" t="s">
        <v>9</v>
      </c>
      <c r="H265" s="126">
        <v>1633070</v>
      </c>
      <c r="I265" s="108">
        <v>1220220640</v>
      </c>
      <c r="J265" s="108" t="str">
        <f t="shared" si="14"/>
        <v>1220220640</v>
      </c>
      <c r="K265" s="304" t="str">
        <f t="shared" si="13"/>
        <v>60104121220220640000</v>
      </c>
      <c r="L265" s="17" t="str">
        <f>INDEX('реш СГД № 265'!$A:$N,MATCH('БА расх 2018 31 12 2018'!$K265,'реш СГД № 265'!$N:$N,0),3)</f>
        <v>Расходы на повышение туристической привлекательности города Ставрополя, развитие внутреннего и въездного туризма в городе Ставрополе</v>
      </c>
      <c r="M265" s="16">
        <f t="shared" si="15"/>
        <v>1</v>
      </c>
    </row>
    <row r="266" spans="1:13" s="16" customFormat="1" ht="31.5">
      <c r="A266" s="14"/>
      <c r="B266" s="125" t="s">
        <v>28</v>
      </c>
      <c r="C266" s="109" t="s">
        <v>64</v>
      </c>
      <c r="D266" s="108" t="s">
        <v>73</v>
      </c>
      <c r="E266" s="108" t="s">
        <v>57</v>
      </c>
      <c r="F266" s="108" t="s">
        <v>225</v>
      </c>
      <c r="G266" s="108" t="s">
        <v>29</v>
      </c>
      <c r="H266" s="126">
        <v>1433070</v>
      </c>
      <c r="I266" s="108">
        <v>1220220640</v>
      </c>
      <c r="J266" s="108" t="str">
        <f t="shared" si="14"/>
        <v>1220220640</v>
      </c>
      <c r="K266" s="304" t="str">
        <f t="shared" si="13"/>
        <v>60104121220220640240</v>
      </c>
      <c r="L266" s="17" t="str">
        <f>INDEX('реш СГД № 265'!$A:$N,MATCH('БА расх 2018 31 12 2018'!$K266,'реш СГД № 265'!$N:$N,0),3)</f>
        <v>Иные закупки товаров, работ и услуг для обеспечения государственных (муниципальных) нужд</v>
      </c>
      <c r="M266" s="16">
        <f t="shared" si="15"/>
        <v>1</v>
      </c>
    </row>
    <row r="267" spans="1:13" s="16" customFormat="1" ht="15.75">
      <c r="A267" s="14"/>
      <c r="B267" s="125" t="s">
        <v>30</v>
      </c>
      <c r="C267" s="109" t="s">
        <v>64</v>
      </c>
      <c r="D267" s="108" t="s">
        <v>73</v>
      </c>
      <c r="E267" s="108" t="s">
        <v>57</v>
      </c>
      <c r="F267" s="108" t="s">
        <v>225</v>
      </c>
      <c r="G267" s="108" t="s">
        <v>31</v>
      </c>
      <c r="H267" s="126">
        <v>1433070</v>
      </c>
      <c r="I267" s="108">
        <v>1220220640</v>
      </c>
      <c r="J267" s="108" t="str">
        <f t="shared" si="14"/>
        <v>1220220640</v>
      </c>
      <c r="K267" s="304" t="str">
        <f t="shared" si="13"/>
        <v>60104121220220640244</v>
      </c>
      <c r="L267" s="17"/>
    </row>
    <row r="268" spans="1:13" s="16" customFormat="1" ht="47.25">
      <c r="A268" s="14"/>
      <c r="B268" s="125" t="s">
        <v>203</v>
      </c>
      <c r="C268" s="109" t="s">
        <v>64</v>
      </c>
      <c r="D268" s="108" t="s">
        <v>73</v>
      </c>
      <c r="E268" s="108" t="s">
        <v>57</v>
      </c>
      <c r="F268" s="108" t="s">
        <v>225</v>
      </c>
      <c r="G268" s="108" t="s">
        <v>204</v>
      </c>
      <c r="H268" s="126">
        <v>200000</v>
      </c>
      <c r="I268" s="108">
        <v>1220220640</v>
      </c>
      <c r="J268" s="108" t="str">
        <f t="shared" si="14"/>
        <v>1220220640</v>
      </c>
      <c r="K268" s="304" t="str">
        <f t="shared" si="13"/>
        <v>60104121220220640810</v>
      </c>
      <c r="L268" s="17" t="str">
        <f>INDEX('реш СГД № 265'!$A:$N,MATCH('БА расх 2018 31 12 2018'!$K268,'реш СГД № 265'!$N:$N,0),3)</f>
        <v>Субсидии юридическим лицам (кроме некоммерческих организаций), индивидуальным предпринимателям, физическим лицам - производителям товаров, работ, услуг</v>
      </c>
      <c r="M268" s="16">
        <f t="shared" si="15"/>
        <v>1</v>
      </c>
    </row>
    <row r="269" spans="1:13" s="16" customFormat="1" ht="104.25" customHeight="1">
      <c r="A269" s="14"/>
      <c r="B269" s="125" t="s">
        <v>207</v>
      </c>
      <c r="C269" s="109" t="s">
        <v>64</v>
      </c>
      <c r="D269" s="108" t="s">
        <v>73</v>
      </c>
      <c r="E269" s="108" t="s">
        <v>57</v>
      </c>
      <c r="F269" s="108" t="s">
        <v>225</v>
      </c>
      <c r="G269" s="108" t="s">
        <v>208</v>
      </c>
      <c r="H269" s="126">
        <v>200000</v>
      </c>
      <c r="I269" s="108">
        <v>1220220640</v>
      </c>
      <c r="J269" s="108" t="str">
        <f t="shared" ref="J269" si="16">TEXT(I269,"0000000000")</f>
        <v>1220220640</v>
      </c>
      <c r="K269" s="304" t="str">
        <f t="shared" ref="K269" si="17">C269&amp;D269&amp;E269&amp;J269&amp;G269</f>
        <v>60104121220220640812</v>
      </c>
      <c r="L269" s="490"/>
    </row>
    <row r="270" spans="1:13" s="16" customFormat="1" ht="15.75">
      <c r="A270" s="14"/>
      <c r="B270" s="117" t="s">
        <v>228</v>
      </c>
      <c r="C270" s="118" t="s">
        <v>64</v>
      </c>
      <c r="D270" s="119" t="s">
        <v>229</v>
      </c>
      <c r="E270" s="119" t="s">
        <v>7</v>
      </c>
      <c r="F270" s="119" t="s">
        <v>8</v>
      </c>
      <c r="G270" s="119" t="s">
        <v>9</v>
      </c>
      <c r="H270" s="120">
        <v>69200</v>
      </c>
      <c r="I270" s="119">
        <v>0</v>
      </c>
      <c r="J270" s="119" t="str">
        <f t="shared" si="14"/>
        <v>0000000000</v>
      </c>
      <c r="K270" s="304" t="str">
        <f t="shared" si="13"/>
        <v>60107000000000000000</v>
      </c>
      <c r="L270" s="17" t="str">
        <f>INDEX('реш СГД № 265'!$A:$N,MATCH('БА расх 2018 31 12 2018'!$K270,'реш СГД № 265'!$N:$N,0),3)</f>
        <v>Образование</v>
      </c>
      <c r="M270" s="16">
        <f t="shared" si="15"/>
        <v>1</v>
      </c>
    </row>
    <row r="271" spans="1:13" s="16" customFormat="1" ht="31.5">
      <c r="A271" s="14"/>
      <c r="B271" s="121" t="s">
        <v>230</v>
      </c>
      <c r="C271" s="122" t="s">
        <v>64</v>
      </c>
      <c r="D271" s="123" t="s">
        <v>229</v>
      </c>
      <c r="E271" s="123" t="s">
        <v>86</v>
      </c>
      <c r="F271" s="123" t="s">
        <v>8</v>
      </c>
      <c r="G271" s="123" t="s">
        <v>9</v>
      </c>
      <c r="H271" s="124">
        <v>69200</v>
      </c>
      <c r="I271" s="123">
        <v>0</v>
      </c>
      <c r="J271" s="123" t="str">
        <f t="shared" si="14"/>
        <v>0000000000</v>
      </c>
      <c r="K271" s="304" t="str">
        <f t="shared" si="13"/>
        <v>60107050000000000000</v>
      </c>
      <c r="L271" s="17" t="str">
        <f>INDEX('реш СГД № 265'!$A:$N,MATCH('БА расх 2018 31 12 2018'!$K271,'реш СГД № 265'!$N:$N,0),3)</f>
        <v>Профессиональная подготовка, переподготовка и повышение квалификации</v>
      </c>
      <c r="M271" s="16">
        <f t="shared" si="15"/>
        <v>1</v>
      </c>
    </row>
    <row r="272" spans="1:13" s="16" customFormat="1" ht="31.5">
      <c r="A272" s="14"/>
      <c r="B272" s="129" t="s">
        <v>103</v>
      </c>
      <c r="C272" s="109" t="s">
        <v>64</v>
      </c>
      <c r="D272" s="108" t="s">
        <v>229</v>
      </c>
      <c r="E272" s="108" t="s">
        <v>86</v>
      </c>
      <c r="F272" s="108" t="s">
        <v>104</v>
      </c>
      <c r="G272" s="108" t="s">
        <v>9</v>
      </c>
      <c r="H272" s="126">
        <v>69200</v>
      </c>
      <c r="I272" s="108">
        <v>1300000000</v>
      </c>
      <c r="J272" s="108" t="str">
        <f t="shared" si="14"/>
        <v>1300000000</v>
      </c>
      <c r="K272" s="304" t="str">
        <f t="shared" si="13"/>
        <v>60107051300000000000</v>
      </c>
      <c r="L272" s="17" t="str">
        <f>INDEX('реш СГД № 265'!$A:$N,MATCH('БА расх 2018 31 12 2018'!$K272,'реш СГД № 265'!$N:$N,0),3)</f>
        <v>Муниципальная программа «Развитие муниципальной службы и противодействие коррупции в городе Ставрополе»</v>
      </c>
      <c r="M272" s="16">
        <f t="shared" si="15"/>
        <v>1</v>
      </c>
    </row>
    <row r="273" spans="1:13" s="16" customFormat="1" ht="31.5">
      <c r="A273" s="14"/>
      <c r="B273" s="129" t="s">
        <v>231</v>
      </c>
      <c r="C273" s="109" t="s">
        <v>64</v>
      </c>
      <c r="D273" s="108" t="s">
        <v>229</v>
      </c>
      <c r="E273" s="108" t="s">
        <v>86</v>
      </c>
      <c r="F273" s="108" t="s">
        <v>232</v>
      </c>
      <c r="G273" s="108" t="s">
        <v>9</v>
      </c>
      <c r="H273" s="126">
        <v>69200</v>
      </c>
      <c r="I273" s="108">
        <v>1310000000</v>
      </c>
      <c r="J273" s="108" t="str">
        <f t="shared" si="14"/>
        <v>1310000000</v>
      </c>
      <c r="K273" s="304" t="str">
        <f t="shared" si="13"/>
        <v>60107051310000000000</v>
      </c>
      <c r="L273" s="17" t="str">
        <f>INDEX('реш СГД № 265'!$A:$N,MATCH('БА расх 2018 31 12 2018'!$K273,'реш СГД № 265'!$N:$N,0),3)</f>
        <v xml:space="preserve">Подпрограмма «Развитие муниципальной службы в городе Ставрополе» </v>
      </c>
      <c r="M273" s="16">
        <f t="shared" si="15"/>
        <v>1</v>
      </c>
    </row>
    <row r="274" spans="1:13" s="16" customFormat="1" ht="47.25">
      <c r="A274" s="14"/>
      <c r="B274" s="129" t="s">
        <v>233</v>
      </c>
      <c r="C274" s="109" t="s">
        <v>64</v>
      </c>
      <c r="D274" s="108" t="s">
        <v>229</v>
      </c>
      <c r="E274" s="108" t="s">
        <v>86</v>
      </c>
      <c r="F274" s="108" t="s">
        <v>234</v>
      </c>
      <c r="G274" s="108" t="s">
        <v>9</v>
      </c>
      <c r="H274" s="126">
        <v>69200</v>
      </c>
      <c r="I274" s="108">
        <v>1310100000</v>
      </c>
      <c r="J274" s="108" t="str">
        <f t="shared" si="14"/>
        <v>1310100000</v>
      </c>
      <c r="K274" s="304" t="str">
        <f t="shared" si="13"/>
        <v>60107051310100000000</v>
      </c>
      <c r="L274" s="17" t="str">
        <f>INDEX('реш СГД № 265'!$A:$N,MATCH('БА расх 2018 31 12 2018'!$K274,'реш СГД № 265'!$N:$N,0),3)</f>
        <v>Основное мероприятие «Создание условий для профессионального развития и подготовки кадров в органах местного самоуправления города Ставрополя»</v>
      </c>
      <c r="M274" s="16">
        <f t="shared" si="15"/>
        <v>1</v>
      </c>
    </row>
    <row r="275" spans="1:13" s="16" customFormat="1" ht="47.25">
      <c r="A275" s="14"/>
      <c r="B275" s="129" t="s">
        <v>235</v>
      </c>
      <c r="C275" s="109" t="s">
        <v>64</v>
      </c>
      <c r="D275" s="108" t="s">
        <v>229</v>
      </c>
      <c r="E275" s="108" t="s">
        <v>86</v>
      </c>
      <c r="F275" s="108" t="s">
        <v>236</v>
      </c>
      <c r="G275" s="108" t="s">
        <v>9</v>
      </c>
      <c r="H275" s="126">
        <v>69200</v>
      </c>
      <c r="I275" s="108">
        <v>1310120450</v>
      </c>
      <c r="J275" s="108" t="str">
        <f t="shared" si="14"/>
        <v>1310120450</v>
      </c>
      <c r="K275" s="304" t="str">
        <f t="shared" si="13"/>
        <v>60107051310120450000</v>
      </c>
      <c r="L275" s="17" t="str">
        <f>INDEX('реш СГД № 265'!$A:$N,MATCH('БА расх 2018 31 12 2018'!$K275,'реш СГД № 265'!$N:$N,0),3)</f>
        <v>Расходы на реализацию мероприятий, направленных на повышение профессионального уровня муниципальных служащих</v>
      </c>
      <c r="M275" s="16">
        <f t="shared" si="15"/>
        <v>1</v>
      </c>
    </row>
    <row r="276" spans="1:13" s="16" customFormat="1" ht="31.5">
      <c r="A276" s="14"/>
      <c r="B276" s="125" t="s">
        <v>28</v>
      </c>
      <c r="C276" s="109" t="s">
        <v>64</v>
      </c>
      <c r="D276" s="108" t="s">
        <v>229</v>
      </c>
      <c r="E276" s="108" t="s">
        <v>86</v>
      </c>
      <c r="F276" s="108" t="s">
        <v>236</v>
      </c>
      <c r="G276" s="108" t="s">
        <v>29</v>
      </c>
      <c r="H276" s="126">
        <v>69200</v>
      </c>
      <c r="I276" s="108">
        <v>1310120450</v>
      </c>
      <c r="J276" s="108" t="str">
        <f t="shared" si="14"/>
        <v>1310120450</v>
      </c>
      <c r="K276" s="304" t="str">
        <f t="shared" si="13"/>
        <v>60107051310120450240</v>
      </c>
      <c r="L276" s="17" t="str">
        <f>INDEX('реш СГД № 265'!$A:$N,MATCH('БА расх 2018 31 12 2018'!$K276,'реш СГД № 265'!$N:$N,0),3)</f>
        <v>Иные закупки товаров, работ и услуг для обеспечения государственных (муниципальных) нужд</v>
      </c>
      <c r="M276" s="16">
        <f t="shared" si="15"/>
        <v>1</v>
      </c>
    </row>
    <row r="277" spans="1:13" s="16" customFormat="1" ht="15.75">
      <c r="A277" s="14"/>
      <c r="B277" s="125" t="s">
        <v>30</v>
      </c>
      <c r="C277" s="109" t="s">
        <v>64</v>
      </c>
      <c r="D277" s="108" t="s">
        <v>229</v>
      </c>
      <c r="E277" s="108" t="s">
        <v>86</v>
      </c>
      <c r="F277" s="108" t="s">
        <v>236</v>
      </c>
      <c r="G277" s="108" t="s">
        <v>31</v>
      </c>
      <c r="H277" s="126">
        <v>69200</v>
      </c>
      <c r="I277" s="108">
        <v>1310120450</v>
      </c>
      <c r="J277" s="108" t="str">
        <f t="shared" si="14"/>
        <v>1310120450</v>
      </c>
      <c r="K277" s="304" t="str">
        <f t="shared" si="13"/>
        <v>60107051310120450244</v>
      </c>
      <c r="L277" s="17"/>
    </row>
    <row r="278" spans="1:13" s="16" customFormat="1" ht="15.75">
      <c r="A278" s="14"/>
      <c r="B278" s="117" t="s">
        <v>237</v>
      </c>
      <c r="C278" s="118" t="s">
        <v>64</v>
      </c>
      <c r="D278" s="119" t="s">
        <v>238</v>
      </c>
      <c r="E278" s="119" t="s">
        <v>7</v>
      </c>
      <c r="F278" s="119" t="s">
        <v>8</v>
      </c>
      <c r="G278" s="119" t="s">
        <v>9</v>
      </c>
      <c r="H278" s="120">
        <v>2111000</v>
      </c>
      <c r="I278" s="119">
        <v>0</v>
      </c>
      <c r="J278" s="119" t="str">
        <f t="shared" si="14"/>
        <v>0000000000</v>
      </c>
      <c r="K278" s="304" t="str">
        <f t="shared" si="13"/>
        <v>60108000000000000000</v>
      </c>
      <c r="L278" s="17" t="str">
        <f>INDEX('реш СГД № 265'!$A:$N,MATCH('БА расх 2018 31 12 2018'!$K278,'реш СГД № 265'!$N:$N,0),3)</f>
        <v xml:space="preserve">Культура, кинематография </v>
      </c>
      <c r="M278" s="16">
        <f t="shared" si="15"/>
        <v>1</v>
      </c>
    </row>
    <row r="279" spans="1:13" s="16" customFormat="1" ht="15.75">
      <c r="A279" s="14"/>
      <c r="B279" s="121" t="s">
        <v>239</v>
      </c>
      <c r="C279" s="122" t="s">
        <v>64</v>
      </c>
      <c r="D279" s="123" t="s">
        <v>238</v>
      </c>
      <c r="E279" s="123" t="s">
        <v>11</v>
      </c>
      <c r="F279" s="123" t="s">
        <v>8</v>
      </c>
      <c r="G279" s="123" t="s">
        <v>9</v>
      </c>
      <c r="H279" s="124">
        <v>2111000</v>
      </c>
      <c r="I279" s="123">
        <v>0</v>
      </c>
      <c r="J279" s="123" t="str">
        <f t="shared" si="14"/>
        <v>0000000000</v>
      </c>
      <c r="K279" s="304" t="str">
        <f t="shared" si="13"/>
        <v>60108010000000000000</v>
      </c>
      <c r="L279" s="17" t="str">
        <f>INDEX('реш СГД № 265'!$A:$N,MATCH('БА расх 2018 31 12 2018'!$K279,'реш СГД № 265'!$N:$N,0),3)</f>
        <v>Культура</v>
      </c>
      <c r="M279" s="16">
        <f t="shared" si="15"/>
        <v>1</v>
      </c>
    </row>
    <row r="280" spans="1:13" s="16" customFormat="1" ht="15.75">
      <c r="A280" s="14"/>
      <c r="B280" s="125" t="s">
        <v>240</v>
      </c>
      <c r="C280" s="109" t="s">
        <v>64</v>
      </c>
      <c r="D280" s="108" t="s">
        <v>238</v>
      </c>
      <c r="E280" s="108" t="s">
        <v>11</v>
      </c>
      <c r="F280" s="108" t="s">
        <v>241</v>
      </c>
      <c r="G280" s="108" t="s">
        <v>9</v>
      </c>
      <c r="H280" s="126">
        <v>2111000</v>
      </c>
      <c r="I280" s="108">
        <v>700000000</v>
      </c>
      <c r="J280" s="108" t="str">
        <f t="shared" si="14"/>
        <v>0700000000</v>
      </c>
      <c r="K280" s="304" t="str">
        <f t="shared" si="13"/>
        <v>60108010700000000000</v>
      </c>
      <c r="L280" s="17" t="str">
        <f>INDEX('реш СГД № 265'!$A:$N,MATCH('БА расх 2018 31 12 2018'!$K280,'реш СГД № 265'!$N:$N,0),3)</f>
        <v>Муниципальная программа «Культура города Ставрополя»</v>
      </c>
      <c r="M280" s="16">
        <f t="shared" si="15"/>
        <v>1</v>
      </c>
    </row>
    <row r="281" spans="1:13" s="16" customFormat="1" ht="63">
      <c r="A281" s="14"/>
      <c r="B281" s="129" t="s">
        <v>242</v>
      </c>
      <c r="C281" s="109" t="s">
        <v>64</v>
      </c>
      <c r="D281" s="108" t="s">
        <v>238</v>
      </c>
      <c r="E281" s="108" t="s">
        <v>11</v>
      </c>
      <c r="F281" s="108" t="s">
        <v>243</v>
      </c>
      <c r="G281" s="108" t="s">
        <v>9</v>
      </c>
      <c r="H281" s="126">
        <v>2111000</v>
      </c>
      <c r="I281" s="108">
        <v>710000000</v>
      </c>
      <c r="J281" s="108" t="str">
        <f t="shared" si="14"/>
        <v>0710000000</v>
      </c>
      <c r="K281" s="304" t="str">
        <f t="shared" si="13"/>
        <v>60108010710000000000</v>
      </c>
      <c r="L281" s="17" t="str">
        <f>INDEX('реш СГД № 265'!$A:$N,MATCH('БА расх 2018 31 12 2018'!$K281,'реш СГД № 265'!$N:$N,0),3)</f>
        <v xml:space="preserve">Подпрограмма «Проведение городских и краевых культурно-массовых мероприятий, посвященных памятным, знаменательным и юбилейным датам в истории России, Ставропольского края, города Ставрополя» </v>
      </c>
      <c r="M281" s="16">
        <f t="shared" si="15"/>
        <v>1</v>
      </c>
    </row>
    <row r="282" spans="1:13" s="16" customFormat="1" ht="94.5">
      <c r="A282" s="14"/>
      <c r="B282" s="129" t="s">
        <v>244</v>
      </c>
      <c r="C282" s="109" t="s">
        <v>64</v>
      </c>
      <c r="D282" s="108" t="s">
        <v>238</v>
      </c>
      <c r="E282" s="108" t="s">
        <v>11</v>
      </c>
      <c r="F282" s="108" t="s">
        <v>245</v>
      </c>
      <c r="G282" s="108" t="s">
        <v>9</v>
      </c>
      <c r="H282" s="126">
        <v>2111000</v>
      </c>
      <c r="I282" s="108">
        <v>710100000</v>
      </c>
      <c r="J282" s="108" t="str">
        <f t="shared" si="14"/>
        <v>0710100000</v>
      </c>
      <c r="K282" s="304" t="str">
        <f t="shared" si="13"/>
        <v>60108010710100000000</v>
      </c>
      <c r="L282" s="17" t="str">
        <f>INDEX('реш СГД № 265'!$A:$N,MATCH('БА расх 2018 31 12 2018'!$K282,'реш СГД № 265'!$N:$N,0),3)</f>
        <v>Основное мероприятие «Обеспечение доступности к культурным ценностям и права на участие в культурной жизни для всех групп населения города Ставрополя, популяризация объектов культурного наследия города Ставрополя, формирование имиджа города Ставрополя как культурного центра Ставропольского края»</v>
      </c>
      <c r="M282" s="16">
        <f t="shared" si="15"/>
        <v>1</v>
      </c>
    </row>
    <row r="283" spans="1:13" s="16" customFormat="1" ht="31.5">
      <c r="A283" s="14"/>
      <c r="B283" s="129" t="s">
        <v>246</v>
      </c>
      <c r="C283" s="109" t="s">
        <v>64</v>
      </c>
      <c r="D283" s="108" t="s">
        <v>238</v>
      </c>
      <c r="E283" s="108" t="s">
        <v>11</v>
      </c>
      <c r="F283" s="108" t="s">
        <v>247</v>
      </c>
      <c r="G283" s="108" t="s">
        <v>9</v>
      </c>
      <c r="H283" s="126">
        <v>2111000</v>
      </c>
      <c r="I283" s="108">
        <v>710120060</v>
      </c>
      <c r="J283" s="108" t="str">
        <f t="shared" si="14"/>
        <v>0710120060</v>
      </c>
      <c r="K283" s="304" t="str">
        <f t="shared" si="13"/>
        <v>60108010710120060000</v>
      </c>
      <c r="L283" s="17" t="str">
        <f>INDEX('реш СГД № 265'!$A:$N,MATCH('БА расх 2018 31 12 2018'!$K283,'реш СГД № 265'!$N:$N,0),3)</f>
        <v>Расходы на проведение культурно-массовых мероприятий в городе Ставрополе</v>
      </c>
      <c r="M283" s="16">
        <f t="shared" si="15"/>
        <v>1</v>
      </c>
    </row>
    <row r="284" spans="1:13" s="16" customFormat="1" ht="31.5">
      <c r="A284" s="14"/>
      <c r="B284" s="125" t="s">
        <v>28</v>
      </c>
      <c r="C284" s="109" t="s">
        <v>64</v>
      </c>
      <c r="D284" s="108" t="s">
        <v>238</v>
      </c>
      <c r="E284" s="108" t="s">
        <v>11</v>
      </c>
      <c r="F284" s="108" t="s">
        <v>247</v>
      </c>
      <c r="G284" s="108" t="s">
        <v>29</v>
      </c>
      <c r="H284" s="126">
        <v>2111000</v>
      </c>
      <c r="I284" s="108">
        <v>710120060</v>
      </c>
      <c r="J284" s="108" t="str">
        <f t="shared" si="14"/>
        <v>0710120060</v>
      </c>
      <c r="K284" s="304" t="str">
        <f t="shared" si="13"/>
        <v>60108010710120060240</v>
      </c>
      <c r="L284" s="17" t="str">
        <f>INDEX('реш СГД № 265'!$A:$N,MATCH('БА расх 2018 31 12 2018'!$K284,'реш СГД № 265'!$N:$N,0),3)</f>
        <v>Иные закупки товаров, работ и услуг для обеспечения государственных (муниципальных) нужд</v>
      </c>
      <c r="M284" s="16">
        <f t="shared" si="15"/>
        <v>1</v>
      </c>
    </row>
    <row r="285" spans="1:13" s="16" customFormat="1" ht="15.75">
      <c r="A285" s="14"/>
      <c r="B285" s="125" t="s">
        <v>30</v>
      </c>
      <c r="C285" s="109" t="s">
        <v>64</v>
      </c>
      <c r="D285" s="108" t="s">
        <v>238</v>
      </c>
      <c r="E285" s="108" t="s">
        <v>11</v>
      </c>
      <c r="F285" s="108" t="s">
        <v>247</v>
      </c>
      <c r="G285" s="108" t="s">
        <v>31</v>
      </c>
      <c r="H285" s="126">
        <v>2111000</v>
      </c>
      <c r="I285" s="108">
        <v>710120060</v>
      </c>
      <c r="J285" s="108" t="str">
        <f t="shared" si="14"/>
        <v>0710120060</v>
      </c>
      <c r="K285" s="304" t="str">
        <f t="shared" si="13"/>
        <v>60108010710120060244</v>
      </c>
      <c r="L285" s="17"/>
    </row>
    <row r="286" spans="1:13" s="6" customFormat="1" ht="15.75">
      <c r="A286" s="1"/>
      <c r="B286" s="117" t="s">
        <v>56</v>
      </c>
      <c r="C286" s="118" t="s">
        <v>64</v>
      </c>
      <c r="D286" s="119" t="s">
        <v>57</v>
      </c>
      <c r="E286" s="119" t="s">
        <v>7</v>
      </c>
      <c r="F286" s="119" t="s">
        <v>8</v>
      </c>
      <c r="G286" s="119" t="s">
        <v>9</v>
      </c>
      <c r="H286" s="120">
        <v>20457500</v>
      </c>
      <c r="I286" s="119">
        <v>0</v>
      </c>
      <c r="J286" s="119" t="str">
        <f t="shared" si="14"/>
        <v>0000000000</v>
      </c>
      <c r="K286" s="304" t="str">
        <f t="shared" si="13"/>
        <v>60112000000000000000</v>
      </c>
      <c r="L286" s="17" t="str">
        <f>INDEX('реш СГД № 265'!$A:$N,MATCH('БА расх 2018 31 12 2018'!$K286,'реш СГД № 265'!$N:$N,0),3)</f>
        <v>Средства массовой информации</v>
      </c>
      <c r="M286" s="16">
        <f t="shared" si="15"/>
        <v>1</v>
      </c>
    </row>
    <row r="287" spans="1:13" s="6" customFormat="1" ht="15.75">
      <c r="A287" s="1"/>
      <c r="B287" s="121" t="s">
        <v>58</v>
      </c>
      <c r="C287" s="122" t="s">
        <v>64</v>
      </c>
      <c r="D287" s="123" t="s">
        <v>57</v>
      </c>
      <c r="E287" s="123" t="s">
        <v>11</v>
      </c>
      <c r="F287" s="123" t="s">
        <v>8</v>
      </c>
      <c r="G287" s="123" t="s">
        <v>9</v>
      </c>
      <c r="H287" s="124">
        <v>5900500</v>
      </c>
      <c r="I287" s="123">
        <v>0</v>
      </c>
      <c r="J287" s="123" t="str">
        <f t="shared" si="14"/>
        <v>0000000000</v>
      </c>
      <c r="K287" s="304" t="str">
        <f t="shared" si="13"/>
        <v>60112010000000000000</v>
      </c>
      <c r="L287" s="17" t="str">
        <f>INDEX('реш СГД № 265'!$A:$N,MATCH('БА расх 2018 31 12 2018'!$K287,'реш СГД № 265'!$N:$N,0),3)</f>
        <v>Телевидение и радиовещание</v>
      </c>
      <c r="M287" s="16">
        <f t="shared" si="15"/>
        <v>1</v>
      </c>
    </row>
    <row r="288" spans="1:13" s="6" customFormat="1" ht="63">
      <c r="A288" s="1"/>
      <c r="B288" s="129" t="s">
        <v>111</v>
      </c>
      <c r="C288" s="109" t="s">
        <v>64</v>
      </c>
      <c r="D288" s="108" t="s">
        <v>57</v>
      </c>
      <c r="E288" s="108" t="s">
        <v>11</v>
      </c>
      <c r="F288" s="108" t="s">
        <v>112</v>
      </c>
      <c r="G288" s="108" t="s">
        <v>9</v>
      </c>
      <c r="H288" s="126">
        <v>5900500</v>
      </c>
      <c r="I288" s="108">
        <v>1400000000</v>
      </c>
      <c r="J288" s="108" t="str">
        <f t="shared" si="14"/>
        <v>1400000000</v>
      </c>
      <c r="K288" s="304" t="str">
        <f t="shared" si="13"/>
        <v>60112011400000000000</v>
      </c>
      <c r="L288" s="17" t="str">
        <f>INDEX('реш СГД № 265'!$A:$N,MATCH('БА расх 2018 31 12 2018'!$K288,'реш СГД № 265'!$N:$N,0),3)</f>
        <v>Муниципальная программа «Развитие информационного общества, оптимизация и повышение качества предоставления государственных и муниципальных услуг в городе Ставрополе»</v>
      </c>
      <c r="M288" s="16">
        <f t="shared" si="15"/>
        <v>1</v>
      </c>
    </row>
    <row r="289" spans="1:13" s="6" customFormat="1" ht="31.5">
      <c r="A289" s="1"/>
      <c r="B289" s="129" t="s">
        <v>113</v>
      </c>
      <c r="C289" s="109" t="s">
        <v>64</v>
      </c>
      <c r="D289" s="108" t="s">
        <v>57</v>
      </c>
      <c r="E289" s="108" t="s">
        <v>11</v>
      </c>
      <c r="F289" s="108" t="s">
        <v>114</v>
      </c>
      <c r="G289" s="108" t="s">
        <v>9</v>
      </c>
      <c r="H289" s="126">
        <v>5900500</v>
      </c>
      <c r="I289" s="108">
        <v>1410000000</v>
      </c>
      <c r="J289" s="108" t="str">
        <f t="shared" si="14"/>
        <v>1410000000</v>
      </c>
      <c r="K289" s="304" t="str">
        <f t="shared" si="13"/>
        <v>60112011410000000000</v>
      </c>
      <c r="L289" s="17" t="str">
        <f>INDEX('реш СГД № 265'!$A:$N,MATCH('БА расх 2018 31 12 2018'!$K289,'реш СГД № 265'!$N:$N,0),3)</f>
        <v>Подпрограмма «Развитие информационного общества в городе Ставрополе»</v>
      </c>
      <c r="M289" s="16">
        <f t="shared" si="15"/>
        <v>1</v>
      </c>
    </row>
    <row r="290" spans="1:13" s="6" customFormat="1" ht="47.25">
      <c r="A290" s="1"/>
      <c r="B290" s="129" t="s">
        <v>248</v>
      </c>
      <c r="C290" s="109" t="s">
        <v>64</v>
      </c>
      <c r="D290" s="108" t="s">
        <v>57</v>
      </c>
      <c r="E290" s="108" t="s">
        <v>11</v>
      </c>
      <c r="F290" s="108" t="s">
        <v>249</v>
      </c>
      <c r="G290" s="108" t="s">
        <v>9</v>
      </c>
      <c r="H290" s="126">
        <v>5900500</v>
      </c>
      <c r="I290" s="108">
        <v>1410300000</v>
      </c>
      <c r="J290" s="108" t="str">
        <f t="shared" si="14"/>
        <v>1410300000</v>
      </c>
      <c r="K290" s="304" t="str">
        <f t="shared" si="13"/>
        <v>60112011410300000000</v>
      </c>
      <c r="L290" s="17" t="str">
        <f>INDEX('реш СГД № 265'!$A:$N,MATCH('БА расх 2018 31 12 2018'!$K290,'реш СГД № 265'!$N:$N,0),3)</f>
        <v>Основное мероприятие «Информирование населения города Ставрополя о деятельности администрации города Ставрополя через средства массовой информации»</v>
      </c>
      <c r="M290" s="16">
        <f t="shared" si="15"/>
        <v>1</v>
      </c>
    </row>
    <row r="291" spans="1:13" s="6" customFormat="1" ht="31.5">
      <c r="A291" s="1"/>
      <c r="B291" s="129" t="s">
        <v>59</v>
      </c>
      <c r="C291" s="109" t="s">
        <v>64</v>
      </c>
      <c r="D291" s="108" t="s">
        <v>57</v>
      </c>
      <c r="E291" s="108" t="s">
        <v>11</v>
      </c>
      <c r="F291" s="108" t="s">
        <v>250</v>
      </c>
      <c r="G291" s="108" t="s">
        <v>9</v>
      </c>
      <c r="H291" s="126">
        <v>5900500</v>
      </c>
      <c r="I291" s="108">
        <v>1410398710</v>
      </c>
      <c r="J291" s="108" t="str">
        <f t="shared" si="14"/>
        <v>1410398710</v>
      </c>
      <c r="K291" s="304" t="str">
        <f t="shared" si="13"/>
        <v>60112011410398710000</v>
      </c>
      <c r="L291" s="17" t="str">
        <f>INDEX('реш СГД № 265'!$A:$N,MATCH('БА расх 2018 31 12 2018'!$K291,'реш СГД № 265'!$N:$N,0),3)</f>
        <v>Расходы на оказание информационных услуг средствами массовой информации</v>
      </c>
      <c r="M291" s="16">
        <f t="shared" si="15"/>
        <v>1</v>
      </c>
    </row>
    <row r="292" spans="1:13" s="6" customFormat="1" ht="31.5">
      <c r="A292" s="1"/>
      <c r="B292" s="125" t="s">
        <v>28</v>
      </c>
      <c r="C292" s="109" t="s">
        <v>64</v>
      </c>
      <c r="D292" s="108" t="s">
        <v>57</v>
      </c>
      <c r="E292" s="108" t="s">
        <v>11</v>
      </c>
      <c r="F292" s="108" t="s">
        <v>250</v>
      </c>
      <c r="G292" s="108" t="s">
        <v>29</v>
      </c>
      <c r="H292" s="126">
        <v>5900500</v>
      </c>
      <c r="I292" s="108">
        <v>1410398710</v>
      </c>
      <c r="J292" s="108" t="str">
        <f t="shared" si="14"/>
        <v>1410398710</v>
      </c>
      <c r="K292" s="304" t="str">
        <f t="shared" si="13"/>
        <v>60112011410398710240</v>
      </c>
      <c r="L292" s="17" t="str">
        <f>INDEX('реш СГД № 265'!$A:$N,MATCH('БА расх 2018 31 12 2018'!$K292,'реш СГД № 265'!$N:$N,0),3)</f>
        <v>Иные закупки товаров, работ и услуг для обеспечения государственных (муниципальных) нужд</v>
      </c>
      <c r="M292" s="16">
        <f t="shared" si="15"/>
        <v>1</v>
      </c>
    </row>
    <row r="293" spans="1:13" s="6" customFormat="1" ht="15.75">
      <c r="A293" s="1"/>
      <c r="B293" s="125" t="s">
        <v>30</v>
      </c>
      <c r="C293" s="109" t="s">
        <v>64</v>
      </c>
      <c r="D293" s="108" t="s">
        <v>57</v>
      </c>
      <c r="E293" s="108" t="s">
        <v>11</v>
      </c>
      <c r="F293" s="108" t="s">
        <v>250</v>
      </c>
      <c r="G293" s="108" t="s">
        <v>31</v>
      </c>
      <c r="H293" s="126">
        <v>5900500</v>
      </c>
      <c r="I293" s="108">
        <v>1410398710</v>
      </c>
      <c r="J293" s="108" t="str">
        <f t="shared" si="14"/>
        <v>1410398710</v>
      </c>
      <c r="K293" s="304" t="str">
        <f t="shared" si="13"/>
        <v>60112011410398710244</v>
      </c>
      <c r="L293" s="17"/>
      <c r="M293" s="16"/>
    </row>
    <row r="294" spans="1:13" s="6" customFormat="1" ht="15.75">
      <c r="A294" s="1"/>
      <c r="B294" s="121" t="s">
        <v>61</v>
      </c>
      <c r="C294" s="122" t="s">
        <v>64</v>
      </c>
      <c r="D294" s="123" t="s">
        <v>57</v>
      </c>
      <c r="E294" s="123" t="s">
        <v>62</v>
      </c>
      <c r="F294" s="123" t="s">
        <v>8</v>
      </c>
      <c r="G294" s="123" t="s">
        <v>9</v>
      </c>
      <c r="H294" s="124">
        <v>14557000</v>
      </c>
      <c r="I294" s="123">
        <v>0</v>
      </c>
      <c r="J294" s="123" t="str">
        <f t="shared" si="14"/>
        <v>0000000000</v>
      </c>
      <c r="K294" s="304" t="str">
        <f t="shared" si="13"/>
        <v>60112020000000000000</v>
      </c>
      <c r="L294" s="17" t="str">
        <f>INDEX('реш СГД № 265'!$A:$N,MATCH('БА расх 2018 31 12 2018'!$K294,'реш СГД № 265'!$N:$N,0),3)</f>
        <v>Периодическая печать и издательства</v>
      </c>
      <c r="M294" s="16">
        <f t="shared" si="15"/>
        <v>1</v>
      </c>
    </row>
    <row r="295" spans="1:13" s="16" customFormat="1" ht="63">
      <c r="A295" s="14"/>
      <c r="B295" s="129" t="s">
        <v>111</v>
      </c>
      <c r="C295" s="109" t="s">
        <v>64</v>
      </c>
      <c r="D295" s="108" t="s">
        <v>57</v>
      </c>
      <c r="E295" s="108" t="s">
        <v>62</v>
      </c>
      <c r="F295" s="108" t="s">
        <v>112</v>
      </c>
      <c r="G295" s="108" t="s">
        <v>9</v>
      </c>
      <c r="H295" s="126">
        <v>14557000</v>
      </c>
      <c r="I295" s="108">
        <v>1400000000</v>
      </c>
      <c r="J295" s="108" t="str">
        <f t="shared" si="14"/>
        <v>1400000000</v>
      </c>
      <c r="K295" s="304" t="str">
        <f t="shared" si="13"/>
        <v>60112021400000000000</v>
      </c>
      <c r="L295" s="17" t="str">
        <f>INDEX('реш СГД № 265'!$A:$N,MATCH('БА расх 2018 31 12 2018'!$K295,'реш СГД № 265'!$N:$N,0),3)</f>
        <v>Муниципальная программа «Развитие информационного общества, оптимизация и повышение качества предоставления государственных и муниципальных услуг в городе Ставрополе»</v>
      </c>
      <c r="M295" s="16">
        <f t="shared" si="15"/>
        <v>1</v>
      </c>
    </row>
    <row r="296" spans="1:13" s="16" customFormat="1" ht="31.5">
      <c r="A296" s="14"/>
      <c r="B296" s="129" t="s">
        <v>113</v>
      </c>
      <c r="C296" s="109" t="s">
        <v>64</v>
      </c>
      <c r="D296" s="108" t="s">
        <v>57</v>
      </c>
      <c r="E296" s="108" t="s">
        <v>62</v>
      </c>
      <c r="F296" s="108" t="s">
        <v>114</v>
      </c>
      <c r="G296" s="108" t="s">
        <v>9</v>
      </c>
      <c r="H296" s="126">
        <v>14557000</v>
      </c>
      <c r="I296" s="108">
        <v>1410000000</v>
      </c>
      <c r="J296" s="108" t="str">
        <f t="shared" si="14"/>
        <v>1410000000</v>
      </c>
      <c r="K296" s="304" t="str">
        <f t="shared" si="13"/>
        <v>60112021410000000000</v>
      </c>
      <c r="L296" s="17" t="str">
        <f>INDEX('реш СГД № 265'!$A:$N,MATCH('БА расх 2018 31 12 2018'!$K296,'реш СГД № 265'!$N:$N,0),3)</f>
        <v>Подпрограмма «Развитие информационного общества в городе Ставрополе»</v>
      </c>
      <c r="M296" s="16">
        <f t="shared" si="15"/>
        <v>1</v>
      </c>
    </row>
    <row r="297" spans="1:13" s="6" customFormat="1" ht="47.25">
      <c r="A297" s="1"/>
      <c r="B297" s="129" t="s">
        <v>248</v>
      </c>
      <c r="C297" s="109" t="s">
        <v>64</v>
      </c>
      <c r="D297" s="108" t="s">
        <v>57</v>
      </c>
      <c r="E297" s="108" t="s">
        <v>62</v>
      </c>
      <c r="F297" s="108" t="s">
        <v>249</v>
      </c>
      <c r="G297" s="108" t="s">
        <v>9</v>
      </c>
      <c r="H297" s="126">
        <v>1190000</v>
      </c>
      <c r="I297" s="108">
        <v>1410300000</v>
      </c>
      <c r="J297" s="108" t="str">
        <f t="shared" si="14"/>
        <v>1410300000</v>
      </c>
      <c r="K297" s="304" t="str">
        <f t="shared" si="13"/>
        <v>60112021410300000000</v>
      </c>
      <c r="L297" s="17" t="str">
        <f>INDEX('реш СГД № 265'!$A:$N,MATCH('БА расх 2018 31 12 2018'!$K297,'реш СГД № 265'!$N:$N,0),3)</f>
        <v>Основное мероприятие «Информирование населения города Ставрополя о деятельности администрации города Ставрополя через средства массовой информации»</v>
      </c>
      <c r="M297" s="16">
        <f t="shared" si="15"/>
        <v>1</v>
      </c>
    </row>
    <row r="298" spans="1:13" s="6" customFormat="1" ht="31.5">
      <c r="A298" s="1"/>
      <c r="B298" s="129" t="s">
        <v>59</v>
      </c>
      <c r="C298" s="109" t="s">
        <v>64</v>
      </c>
      <c r="D298" s="108" t="s">
        <v>57</v>
      </c>
      <c r="E298" s="108" t="s">
        <v>62</v>
      </c>
      <c r="F298" s="108" t="s">
        <v>250</v>
      </c>
      <c r="G298" s="108" t="s">
        <v>9</v>
      </c>
      <c r="H298" s="126">
        <v>1190000</v>
      </c>
      <c r="I298" s="108">
        <v>1410398710</v>
      </c>
      <c r="J298" s="108" t="str">
        <f t="shared" si="14"/>
        <v>1410398710</v>
      </c>
      <c r="K298" s="304" t="str">
        <f t="shared" si="13"/>
        <v>60112021410398710000</v>
      </c>
      <c r="L298" s="17" t="str">
        <f>INDEX('реш СГД № 265'!$A:$N,MATCH('БА расх 2018 31 12 2018'!$K298,'реш СГД № 265'!$N:$N,0),3)</f>
        <v>Расходы на оказание информационных услуг средствами массовой информации</v>
      </c>
      <c r="M298" s="16">
        <f t="shared" si="15"/>
        <v>1</v>
      </c>
    </row>
    <row r="299" spans="1:13" s="6" customFormat="1" ht="31.5">
      <c r="A299" s="1"/>
      <c r="B299" s="125" t="s">
        <v>28</v>
      </c>
      <c r="C299" s="109" t="s">
        <v>64</v>
      </c>
      <c r="D299" s="108" t="s">
        <v>57</v>
      </c>
      <c r="E299" s="108" t="s">
        <v>62</v>
      </c>
      <c r="F299" s="108" t="s">
        <v>250</v>
      </c>
      <c r="G299" s="108" t="s">
        <v>29</v>
      </c>
      <c r="H299" s="126">
        <v>1190000</v>
      </c>
      <c r="I299" s="108">
        <v>1410398710</v>
      </c>
      <c r="J299" s="108" t="str">
        <f t="shared" si="14"/>
        <v>1410398710</v>
      </c>
      <c r="K299" s="304" t="str">
        <f t="shared" si="13"/>
        <v>60112021410398710240</v>
      </c>
      <c r="L299" s="17" t="str">
        <f>INDEX('реш СГД № 265'!$A:$N,MATCH('БА расх 2018 31 12 2018'!$K299,'реш СГД № 265'!$N:$N,0),3)</f>
        <v>Иные закупки товаров, работ и услуг для обеспечения государственных (муниципальных) нужд</v>
      </c>
      <c r="M299" s="16">
        <f t="shared" si="15"/>
        <v>1</v>
      </c>
    </row>
    <row r="300" spans="1:13" s="6" customFormat="1" ht="15.75">
      <c r="A300" s="1"/>
      <c r="B300" s="125" t="s">
        <v>30</v>
      </c>
      <c r="C300" s="109" t="s">
        <v>64</v>
      </c>
      <c r="D300" s="108" t="s">
        <v>57</v>
      </c>
      <c r="E300" s="108" t="s">
        <v>62</v>
      </c>
      <c r="F300" s="108" t="s">
        <v>250</v>
      </c>
      <c r="G300" s="108" t="s">
        <v>31</v>
      </c>
      <c r="H300" s="126">
        <v>1190000</v>
      </c>
      <c r="I300" s="108">
        <v>1410398710</v>
      </c>
      <c r="J300" s="108" t="str">
        <f t="shared" si="14"/>
        <v>1410398710</v>
      </c>
      <c r="K300" s="304" t="str">
        <f t="shared" si="13"/>
        <v>60112021410398710244</v>
      </c>
      <c r="L300" s="17"/>
      <c r="M300" s="16"/>
    </row>
    <row r="301" spans="1:13" s="16" customFormat="1" ht="47.25">
      <c r="A301" s="14"/>
      <c r="B301" s="129" t="s">
        <v>251</v>
      </c>
      <c r="C301" s="109" t="s">
        <v>64</v>
      </c>
      <c r="D301" s="108" t="s">
        <v>57</v>
      </c>
      <c r="E301" s="108" t="s">
        <v>62</v>
      </c>
      <c r="F301" s="108" t="s">
        <v>252</v>
      </c>
      <c r="G301" s="108" t="s">
        <v>9</v>
      </c>
      <c r="H301" s="126">
        <v>13367000</v>
      </c>
      <c r="I301" s="108">
        <v>1410400000</v>
      </c>
      <c r="J301" s="108" t="str">
        <f t="shared" si="14"/>
        <v>1410400000</v>
      </c>
      <c r="K301" s="304" t="str">
        <f t="shared" si="13"/>
        <v>60112021410400000000</v>
      </c>
      <c r="L301" s="17" t="str">
        <f>INDEX('реш СГД № 265'!$A:$N,MATCH('БА расх 2018 31 12 2018'!$K301,'реш СГД № 265'!$N:$N,0),3)</f>
        <v>Основное мероприятие «Официальное опубликование муниципальных правовых актов города Ставрополя в газете «Вечерний Ставрополь»</v>
      </c>
      <c r="M301" s="16">
        <f t="shared" si="15"/>
        <v>1</v>
      </c>
    </row>
    <row r="302" spans="1:13" s="16" customFormat="1" ht="47.25">
      <c r="A302" s="14"/>
      <c r="B302" s="129" t="s">
        <v>253</v>
      </c>
      <c r="C302" s="109" t="s">
        <v>64</v>
      </c>
      <c r="D302" s="108" t="s">
        <v>57</v>
      </c>
      <c r="E302" s="108" t="s">
        <v>62</v>
      </c>
      <c r="F302" s="108" t="s">
        <v>254</v>
      </c>
      <c r="G302" s="108" t="s">
        <v>9</v>
      </c>
      <c r="H302" s="126">
        <v>13367000</v>
      </c>
      <c r="I302" s="108">
        <v>1410498720</v>
      </c>
      <c r="J302" s="108" t="str">
        <f t="shared" si="14"/>
        <v>1410498720</v>
      </c>
      <c r="K302" s="304" t="str">
        <f t="shared" ref="K302:K365" si="18">C302&amp;D302&amp;E302&amp;J302&amp;G302</f>
        <v>60112021410498720000</v>
      </c>
      <c r="L302" s="17" t="str">
        <f>INDEX('реш СГД № 265'!$A:$N,MATCH('БА расх 2018 31 12 2018'!$K302,'реш СГД № 265'!$N:$N,0),3)</f>
        <v>Расходы на официальное опубликование муниципальных правовых актов города Ставрополя в газете «Вечерний Ставрополь»</v>
      </c>
      <c r="M302" s="16">
        <f t="shared" si="15"/>
        <v>1</v>
      </c>
    </row>
    <row r="303" spans="1:13" s="16" customFormat="1" ht="47.25">
      <c r="A303" s="14"/>
      <c r="B303" s="129" t="s">
        <v>203</v>
      </c>
      <c r="C303" s="109" t="s">
        <v>64</v>
      </c>
      <c r="D303" s="108" t="s">
        <v>57</v>
      </c>
      <c r="E303" s="108" t="s">
        <v>62</v>
      </c>
      <c r="F303" s="108" t="s">
        <v>254</v>
      </c>
      <c r="G303" s="108" t="s">
        <v>204</v>
      </c>
      <c r="H303" s="126">
        <v>13367000</v>
      </c>
      <c r="I303" s="108">
        <v>1410498720</v>
      </c>
      <c r="J303" s="108" t="str">
        <f t="shared" ref="J303:J366" si="19">TEXT(I303,"0000000000")</f>
        <v>1410498720</v>
      </c>
      <c r="K303" s="304" t="str">
        <f t="shared" si="18"/>
        <v>60112021410498720810</v>
      </c>
      <c r="L303" s="17" t="str">
        <f>INDEX('реш СГД № 265'!$A:$N,MATCH('БА расх 2018 31 12 2018'!$K303,'реш СГД № 265'!$N:$N,0),3)</f>
        <v>Субсидии юридическим лицам (кроме некоммерческих организаций), индивидуальным предпринимателям, физическим лицам - производителям товаров, работ, услуг</v>
      </c>
      <c r="M303" s="16">
        <f t="shared" ref="M303:M366" si="20">IF(B303=L303,1,0)</f>
        <v>1</v>
      </c>
    </row>
    <row r="304" spans="1:13" s="23" customFormat="1" ht="63">
      <c r="A304" s="21"/>
      <c r="B304" s="127" t="s">
        <v>205</v>
      </c>
      <c r="C304" s="109" t="s">
        <v>64</v>
      </c>
      <c r="D304" s="108" t="s">
        <v>57</v>
      </c>
      <c r="E304" s="108" t="s">
        <v>62</v>
      </c>
      <c r="F304" s="108" t="s">
        <v>254</v>
      </c>
      <c r="G304" s="108" t="s">
        <v>206</v>
      </c>
      <c r="H304" s="126">
        <v>13367000</v>
      </c>
      <c r="I304" s="108">
        <v>1410498720</v>
      </c>
      <c r="J304" s="108" t="str">
        <f t="shared" si="19"/>
        <v>1410498720</v>
      </c>
      <c r="K304" s="304" t="str">
        <f t="shared" si="18"/>
        <v>60112021410498720811</v>
      </c>
      <c r="L304" s="17"/>
      <c r="M304" s="16"/>
    </row>
    <row r="305" spans="1:13" s="16" customFormat="1" ht="15.75">
      <c r="A305" s="14"/>
      <c r="B305" s="129"/>
      <c r="C305" s="109"/>
      <c r="D305" s="108"/>
      <c r="E305" s="108"/>
      <c r="F305" s="108"/>
      <c r="G305" s="108"/>
      <c r="H305" s="126"/>
      <c r="I305" s="108"/>
      <c r="J305" s="108" t="str">
        <f t="shared" si="19"/>
        <v>0000000000</v>
      </c>
      <c r="K305" s="304" t="str">
        <f t="shared" si="18"/>
        <v>0000000000</v>
      </c>
      <c r="L305" s="17">
        <f>INDEX('реш СГД № 265'!$A:$N,MATCH('БА расх 2018 31 12 2018'!$K305,'реш СГД № 265'!$N:$N,0),3)</f>
        <v>0</v>
      </c>
      <c r="M305" s="16">
        <f t="shared" si="20"/>
        <v>1</v>
      </c>
    </row>
    <row r="306" spans="1:13" s="29" customFormat="1" ht="31.5">
      <c r="A306" s="28"/>
      <c r="B306" s="67" t="s">
        <v>255</v>
      </c>
      <c r="C306" s="116" t="s">
        <v>256</v>
      </c>
      <c r="D306" s="69" t="s">
        <v>7</v>
      </c>
      <c r="E306" s="69" t="s">
        <v>7</v>
      </c>
      <c r="F306" s="69" t="s">
        <v>8</v>
      </c>
      <c r="G306" s="69" t="s">
        <v>9</v>
      </c>
      <c r="H306" s="70">
        <v>236313584.67000002</v>
      </c>
      <c r="I306" s="69">
        <v>0</v>
      </c>
      <c r="J306" s="69" t="str">
        <f t="shared" si="19"/>
        <v>0000000000</v>
      </c>
      <c r="K306" s="304" t="str">
        <f t="shared" si="18"/>
        <v>60200000000000000000</v>
      </c>
      <c r="L306" s="17" t="str">
        <f>INDEX('реш СГД № 265'!$A:$N,MATCH('БА расх 2018 31 12 2018'!$K306,'реш СГД № 265'!$N:$N,0),3)</f>
        <v>Комитет по управлению муниципальным имуществом города Ставрополя</v>
      </c>
      <c r="M306" s="16">
        <f t="shared" si="20"/>
        <v>1</v>
      </c>
    </row>
    <row r="307" spans="1:13" s="29" customFormat="1" ht="15.75">
      <c r="A307" s="28"/>
      <c r="B307" s="117" t="s">
        <v>10</v>
      </c>
      <c r="C307" s="118" t="s">
        <v>256</v>
      </c>
      <c r="D307" s="119" t="s">
        <v>11</v>
      </c>
      <c r="E307" s="119" t="s">
        <v>7</v>
      </c>
      <c r="F307" s="119" t="s">
        <v>8</v>
      </c>
      <c r="G307" s="119" t="s">
        <v>9</v>
      </c>
      <c r="H307" s="120">
        <v>117110754.03</v>
      </c>
      <c r="I307" s="119">
        <v>0</v>
      </c>
      <c r="J307" s="119" t="str">
        <f t="shared" si="19"/>
        <v>0000000000</v>
      </c>
      <c r="K307" s="304" t="str">
        <f t="shared" si="18"/>
        <v>60201000000000000000</v>
      </c>
      <c r="L307" s="17" t="str">
        <f>INDEX('реш СГД № 265'!$A:$N,MATCH('БА расх 2018 31 12 2018'!$K307,'реш СГД № 265'!$N:$N,0),3)</f>
        <v>Общегосударственные вопросы</v>
      </c>
      <c r="M307" s="16">
        <f t="shared" si="20"/>
        <v>1</v>
      </c>
    </row>
    <row r="308" spans="1:13" s="29" customFormat="1" ht="15.75">
      <c r="A308" s="28"/>
      <c r="B308" s="121" t="s">
        <v>50</v>
      </c>
      <c r="C308" s="122" t="s">
        <v>256</v>
      </c>
      <c r="D308" s="123" t="s">
        <v>11</v>
      </c>
      <c r="E308" s="123" t="s">
        <v>51</v>
      </c>
      <c r="F308" s="123" t="s">
        <v>8</v>
      </c>
      <c r="G308" s="123" t="s">
        <v>9</v>
      </c>
      <c r="H308" s="124">
        <v>117110754.03</v>
      </c>
      <c r="I308" s="123">
        <v>0</v>
      </c>
      <c r="J308" s="123" t="str">
        <f t="shared" si="19"/>
        <v>0000000000</v>
      </c>
      <c r="K308" s="304" t="str">
        <f t="shared" si="18"/>
        <v>60201130000000000000</v>
      </c>
      <c r="L308" s="17" t="str">
        <f>INDEX('реш СГД № 265'!$A:$N,MATCH('БА расх 2018 31 12 2018'!$K308,'реш СГД № 265'!$N:$N,0),3)</f>
        <v>Другие общегосударственные вопросы</v>
      </c>
      <c r="M308" s="16">
        <f t="shared" si="20"/>
        <v>1</v>
      </c>
    </row>
    <row r="309" spans="1:13" s="29" customFormat="1" ht="47.25">
      <c r="A309" s="28"/>
      <c r="B309" s="132" t="s">
        <v>257</v>
      </c>
      <c r="C309" s="109" t="s">
        <v>256</v>
      </c>
      <c r="D309" s="108" t="s">
        <v>11</v>
      </c>
      <c r="E309" s="108" t="s">
        <v>51</v>
      </c>
      <c r="F309" s="108" t="s">
        <v>258</v>
      </c>
      <c r="G309" s="108" t="s">
        <v>9</v>
      </c>
      <c r="H309" s="126">
        <v>5089555.63</v>
      </c>
      <c r="I309" s="108">
        <v>1100000000</v>
      </c>
      <c r="J309" s="108" t="str">
        <f t="shared" si="19"/>
        <v>1100000000</v>
      </c>
      <c r="K309" s="304" t="str">
        <f t="shared" si="18"/>
        <v>60201131100000000000</v>
      </c>
      <c r="L309" s="17" t="str">
        <f>INDEX('реш СГД № 265'!$A:$N,MATCH('БА расх 2018 31 12 2018'!$K309,'реш СГД № 265'!$N:$N,0),3)</f>
        <v>Муниципальная программа  «Управление и распоряжение имуществом, находящимся в муниципальной собственности города Ставрополя, в том числе земельными ресурсами»</v>
      </c>
      <c r="M309" s="16">
        <f t="shared" si="20"/>
        <v>1</v>
      </c>
    </row>
    <row r="310" spans="1:13" s="29" customFormat="1" ht="63">
      <c r="A310" s="28"/>
      <c r="B310" s="132" t="s">
        <v>259</v>
      </c>
      <c r="C310" s="109" t="s">
        <v>256</v>
      </c>
      <c r="D310" s="108" t="s">
        <v>11</v>
      </c>
      <c r="E310" s="108" t="s">
        <v>51</v>
      </c>
      <c r="F310" s="108" t="s">
        <v>260</v>
      </c>
      <c r="G310" s="108" t="s">
        <v>9</v>
      </c>
      <c r="H310" s="126">
        <v>5089555.63</v>
      </c>
      <c r="I310" s="108" t="s">
        <v>1171</v>
      </c>
      <c r="J310" s="108" t="str">
        <f t="shared" si="19"/>
        <v>11Б0000000</v>
      </c>
      <c r="K310" s="304" t="str">
        <f t="shared" si="18"/>
        <v>602011311Б0000000000</v>
      </c>
      <c r="L310" s="17" t="str">
        <f>INDEX('реш СГД № 265'!$A:$N,MATCH('БА расх 2018 31 12 2018'!$K310,'реш СГД № 265'!$N:$N,0),3)</f>
        <v>Расходы в рамках реализации муниципальной программы «Управление и распоряжение  имуществом, находящимся в муниципальной собственности города Ставрополя, в том числе земельными ресурсами»</v>
      </c>
      <c r="M310" s="16">
        <f t="shared" si="20"/>
        <v>1</v>
      </c>
    </row>
    <row r="311" spans="1:13" s="29" customFormat="1" ht="47.25">
      <c r="A311" s="28"/>
      <c r="B311" s="125" t="s">
        <v>261</v>
      </c>
      <c r="C311" s="109" t="s">
        <v>256</v>
      </c>
      <c r="D311" s="108" t="s">
        <v>11</v>
      </c>
      <c r="E311" s="108" t="s">
        <v>51</v>
      </c>
      <c r="F311" s="108" t="s">
        <v>262</v>
      </c>
      <c r="G311" s="108" t="s">
        <v>9</v>
      </c>
      <c r="H311" s="126">
        <v>4522125.63</v>
      </c>
      <c r="I311" s="108" t="s">
        <v>1172</v>
      </c>
      <c r="J311" s="108" t="str">
        <f t="shared" si="19"/>
        <v>11Б0100000</v>
      </c>
      <c r="K311" s="304" t="str">
        <f t="shared" si="18"/>
        <v>602011311Б0100000000</v>
      </c>
      <c r="L311" s="17" t="str">
        <f>INDEX('реш СГД № 265'!$A:$N,MATCH('БА расх 2018 31 12 2018'!$K311,'реш СГД № 265'!$N:$N,0),3)</f>
        <v>Основное мероприятие «Управление и распоряжение объектами недвижимого имущества, находящимися в муниципальной собственности города Ставрополя»</v>
      </c>
      <c r="M311" s="16">
        <f t="shared" si="20"/>
        <v>1</v>
      </c>
    </row>
    <row r="312" spans="1:13" s="29" customFormat="1" ht="63">
      <c r="A312" s="28"/>
      <c r="B312" s="125" t="s">
        <v>263</v>
      </c>
      <c r="C312" s="109" t="s">
        <v>256</v>
      </c>
      <c r="D312" s="108" t="s">
        <v>11</v>
      </c>
      <c r="E312" s="108" t="s">
        <v>51</v>
      </c>
      <c r="F312" s="108" t="s">
        <v>264</v>
      </c>
      <c r="G312" s="108" t="s">
        <v>9</v>
      </c>
      <c r="H312" s="126">
        <v>1196728.75</v>
      </c>
      <c r="I312" s="108" t="s">
        <v>1173</v>
      </c>
      <c r="J312" s="108" t="str">
        <f t="shared" si="19"/>
        <v>11Б0120030</v>
      </c>
      <c r="K312" s="304" t="str">
        <f t="shared" si="18"/>
        <v>602011311Б0120030000</v>
      </c>
      <c r="L312" s="17" t="str">
        <f>INDEX('реш СГД № 265'!$A:$N,MATCH('БА расх 2018 31 12 2018'!$K312,'реш СГД № 265'!$N:$N,0),3)</f>
        <v>Расходы на получение рыночной оценки стоимости недвижимого имущества, находящегося в муниципальной собственности города Ставрополя, и подготовку технической документации на объекты недвижимого имущества</v>
      </c>
      <c r="M312" s="16">
        <f t="shared" si="20"/>
        <v>1</v>
      </c>
    </row>
    <row r="313" spans="1:13" s="29" customFormat="1" ht="31.5">
      <c r="A313" s="28"/>
      <c r="B313" s="125" t="s">
        <v>28</v>
      </c>
      <c r="C313" s="109" t="s">
        <v>256</v>
      </c>
      <c r="D313" s="108" t="s">
        <v>11</v>
      </c>
      <c r="E313" s="108" t="s">
        <v>51</v>
      </c>
      <c r="F313" s="108" t="s">
        <v>264</v>
      </c>
      <c r="G313" s="108" t="s">
        <v>29</v>
      </c>
      <c r="H313" s="126">
        <v>1196728.75</v>
      </c>
      <c r="I313" s="108" t="s">
        <v>1173</v>
      </c>
      <c r="J313" s="108" t="str">
        <f t="shared" si="19"/>
        <v>11Б0120030</v>
      </c>
      <c r="K313" s="304" t="str">
        <f t="shared" si="18"/>
        <v>602011311Б0120030240</v>
      </c>
      <c r="L313" s="17" t="str">
        <f>INDEX('реш СГД № 265'!$A:$N,MATCH('БА расх 2018 31 12 2018'!$K313,'реш СГД № 265'!$N:$N,0),3)</f>
        <v>Иные закупки товаров, работ и услуг для обеспечения государственных (муниципальных) нужд</v>
      </c>
      <c r="M313" s="16">
        <f t="shared" si="20"/>
        <v>1</v>
      </c>
    </row>
    <row r="314" spans="1:13" s="29" customFormat="1" ht="15.75">
      <c r="A314" s="28"/>
      <c r="B314" s="125" t="s">
        <v>30</v>
      </c>
      <c r="C314" s="109" t="s">
        <v>256</v>
      </c>
      <c r="D314" s="108" t="s">
        <v>11</v>
      </c>
      <c r="E314" s="108" t="s">
        <v>51</v>
      </c>
      <c r="F314" s="108" t="s">
        <v>264</v>
      </c>
      <c r="G314" s="108" t="s">
        <v>31</v>
      </c>
      <c r="H314" s="126">
        <v>1196728.75</v>
      </c>
      <c r="I314" s="108" t="s">
        <v>1173</v>
      </c>
      <c r="J314" s="108" t="str">
        <f t="shared" si="19"/>
        <v>11Б0120030</v>
      </c>
      <c r="K314" s="304" t="str">
        <f t="shared" si="18"/>
        <v>602011311Б0120030244</v>
      </c>
      <c r="L314" s="17"/>
      <c r="M314" s="16"/>
    </row>
    <row r="315" spans="1:13" s="29" customFormat="1" ht="31.5">
      <c r="A315" s="28"/>
      <c r="B315" s="125" t="s">
        <v>265</v>
      </c>
      <c r="C315" s="109" t="s">
        <v>256</v>
      </c>
      <c r="D315" s="108" t="s">
        <v>11</v>
      </c>
      <c r="E315" s="108" t="s">
        <v>51</v>
      </c>
      <c r="F315" s="108" t="s">
        <v>266</v>
      </c>
      <c r="G315" s="108" t="s">
        <v>9</v>
      </c>
      <c r="H315" s="126">
        <v>1523920</v>
      </c>
      <c r="I315" s="108" t="s">
        <v>1174</v>
      </c>
      <c r="J315" s="108" t="str">
        <f t="shared" si="19"/>
        <v>11Б0120070</v>
      </c>
      <c r="K315" s="304" t="str">
        <f t="shared" si="18"/>
        <v>602011311Б0120070000</v>
      </c>
      <c r="L315" s="17" t="str">
        <f>INDEX('реш СГД № 265'!$A:$N,MATCH('БА расх 2018 31 12 2018'!$K315,'реш СГД № 265'!$N:$N,0),3)</f>
        <v xml:space="preserve">Расходы на содержание объектов муниципальной казны города Ставрополя в части нежилых помещений </v>
      </c>
      <c r="M315" s="16">
        <f t="shared" si="20"/>
        <v>1</v>
      </c>
    </row>
    <row r="316" spans="1:13" s="29" customFormat="1" ht="31.5">
      <c r="A316" s="28"/>
      <c r="B316" s="125" t="s">
        <v>28</v>
      </c>
      <c r="C316" s="109" t="s">
        <v>256</v>
      </c>
      <c r="D316" s="108" t="s">
        <v>11</v>
      </c>
      <c r="E316" s="108" t="s">
        <v>51</v>
      </c>
      <c r="F316" s="108" t="s">
        <v>266</v>
      </c>
      <c r="G316" s="108" t="s">
        <v>29</v>
      </c>
      <c r="H316" s="126">
        <v>1523920</v>
      </c>
      <c r="I316" s="108" t="s">
        <v>1174</v>
      </c>
      <c r="J316" s="108" t="str">
        <f t="shared" si="19"/>
        <v>11Б0120070</v>
      </c>
      <c r="K316" s="304" t="str">
        <f t="shared" si="18"/>
        <v>602011311Б0120070240</v>
      </c>
      <c r="L316" s="17" t="str">
        <f>INDEX('реш СГД № 265'!$A:$N,MATCH('БА расх 2018 31 12 2018'!$K316,'реш СГД № 265'!$N:$N,0),3)</f>
        <v>Иные закупки товаров, работ и услуг для обеспечения государственных (муниципальных) нужд</v>
      </c>
      <c r="M316" s="16">
        <f t="shared" si="20"/>
        <v>1</v>
      </c>
    </row>
    <row r="317" spans="1:13" s="29" customFormat="1" ht="15.75">
      <c r="A317" s="28"/>
      <c r="B317" s="125" t="s">
        <v>30</v>
      </c>
      <c r="C317" s="109" t="s">
        <v>256</v>
      </c>
      <c r="D317" s="108" t="s">
        <v>11</v>
      </c>
      <c r="E317" s="108" t="s">
        <v>51</v>
      </c>
      <c r="F317" s="108" t="s">
        <v>266</v>
      </c>
      <c r="G317" s="108" t="s">
        <v>31</v>
      </c>
      <c r="H317" s="126">
        <v>1523920</v>
      </c>
      <c r="I317" s="108" t="s">
        <v>1174</v>
      </c>
      <c r="J317" s="108" t="str">
        <f t="shared" si="19"/>
        <v>11Б0120070</v>
      </c>
      <c r="K317" s="304" t="str">
        <f t="shared" si="18"/>
        <v>602011311Б0120070244</v>
      </c>
      <c r="L317" s="17"/>
      <c r="M317" s="16"/>
    </row>
    <row r="318" spans="1:13" s="29" customFormat="1" ht="31.5">
      <c r="A318" s="28"/>
      <c r="B318" s="125" t="s">
        <v>267</v>
      </c>
      <c r="C318" s="109" t="s">
        <v>256</v>
      </c>
      <c r="D318" s="108" t="s">
        <v>11</v>
      </c>
      <c r="E318" s="108" t="s">
        <v>51</v>
      </c>
      <c r="F318" s="108" t="s">
        <v>268</v>
      </c>
      <c r="G318" s="108" t="s">
        <v>9</v>
      </c>
      <c r="H318" s="126">
        <v>1801476.88</v>
      </c>
      <c r="I318" s="108" t="s">
        <v>1175</v>
      </c>
      <c r="J318" s="108" t="str">
        <f t="shared" si="19"/>
        <v>11Б0121120</v>
      </c>
      <c r="K318" s="304" t="str">
        <f t="shared" si="18"/>
        <v>602011311Б0121120000</v>
      </c>
      <c r="L318" s="17" t="str">
        <f>INDEX('реш СГД № 265'!$A:$N,MATCH('БА расх 2018 31 12 2018'!$K318,'реш СГД № 265'!$N:$N,0),3)</f>
        <v>Расходы на уплату взносов на капитальный ремонт общего имущества в многоквартирных домах</v>
      </c>
      <c r="M318" s="16">
        <f t="shared" si="20"/>
        <v>1</v>
      </c>
    </row>
    <row r="319" spans="1:13" s="29" customFormat="1" ht="31.5">
      <c r="A319" s="28"/>
      <c r="B319" s="125" t="s">
        <v>28</v>
      </c>
      <c r="C319" s="109" t="s">
        <v>256</v>
      </c>
      <c r="D319" s="108" t="s">
        <v>11</v>
      </c>
      <c r="E319" s="108" t="s">
        <v>51</v>
      </c>
      <c r="F319" s="108" t="s">
        <v>268</v>
      </c>
      <c r="G319" s="108" t="s">
        <v>29</v>
      </c>
      <c r="H319" s="126">
        <v>1801476.88</v>
      </c>
      <c r="I319" s="108" t="s">
        <v>1175</v>
      </c>
      <c r="J319" s="108" t="str">
        <f t="shared" si="19"/>
        <v>11Б0121120</v>
      </c>
      <c r="K319" s="304" t="str">
        <f t="shared" si="18"/>
        <v>602011311Б0121120240</v>
      </c>
      <c r="L319" s="17" t="str">
        <f>INDEX('реш СГД № 265'!$A:$N,MATCH('БА расх 2018 31 12 2018'!$K319,'реш СГД № 265'!$N:$N,0),3)</f>
        <v>Иные закупки товаров, работ и услуг для обеспечения государственных (муниципальных) нужд</v>
      </c>
      <c r="M319" s="16">
        <f t="shared" si="20"/>
        <v>1</v>
      </c>
    </row>
    <row r="320" spans="1:13" s="29" customFormat="1" ht="15.75">
      <c r="A320" s="28"/>
      <c r="B320" s="125" t="s">
        <v>30</v>
      </c>
      <c r="C320" s="109" t="s">
        <v>256</v>
      </c>
      <c r="D320" s="108" t="s">
        <v>11</v>
      </c>
      <c r="E320" s="108" t="s">
        <v>51</v>
      </c>
      <c r="F320" s="108" t="s">
        <v>268</v>
      </c>
      <c r="G320" s="108" t="s">
        <v>31</v>
      </c>
      <c r="H320" s="126">
        <v>1801476.88</v>
      </c>
      <c r="I320" s="108" t="s">
        <v>1175</v>
      </c>
      <c r="J320" s="108" t="str">
        <f t="shared" si="19"/>
        <v>11Б0121120</v>
      </c>
      <c r="K320" s="304" t="str">
        <f t="shared" si="18"/>
        <v>602011311Б0121120244</v>
      </c>
      <c r="L320" s="17"/>
      <c r="M320" s="16"/>
    </row>
    <row r="321" spans="1:13" s="29" customFormat="1" ht="63">
      <c r="A321" s="28"/>
      <c r="B321" s="307" t="s">
        <v>269</v>
      </c>
      <c r="C321" s="109" t="s">
        <v>256</v>
      </c>
      <c r="D321" s="108" t="s">
        <v>11</v>
      </c>
      <c r="E321" s="108" t="s">
        <v>51</v>
      </c>
      <c r="F321" s="108" t="s">
        <v>270</v>
      </c>
      <c r="G321" s="108" t="s">
        <v>9</v>
      </c>
      <c r="H321" s="126">
        <v>567430</v>
      </c>
      <c r="I321" s="108" t="s">
        <v>1176</v>
      </c>
      <c r="J321" s="108" t="str">
        <f t="shared" si="19"/>
        <v>11Б0300000</v>
      </c>
      <c r="K321" s="304" t="str">
        <f t="shared" si="18"/>
        <v>602011311Б0300000000</v>
      </c>
      <c r="L321" s="17" t="str">
        <f>INDEX('реш СГД № 265'!$A:$N,MATCH('БА расх 2018 31 12 2018'!$K321,'реш СГД № 265'!$N:$N,0),3)</f>
        <v>Основное мероприятие «Создание условий для эффективного выполнения полномочий по управлению и распоряжению имуществом, находящимся в муниципальной собственности города Ставрополя, в том числе земельными ресурсами»</v>
      </c>
      <c r="M321" s="16">
        <f t="shared" si="20"/>
        <v>1</v>
      </c>
    </row>
    <row r="322" spans="1:13" s="29" customFormat="1" ht="63">
      <c r="A322" s="28"/>
      <c r="B322" s="125" t="s">
        <v>271</v>
      </c>
      <c r="C322" s="109" t="s">
        <v>256</v>
      </c>
      <c r="D322" s="108" t="s">
        <v>11</v>
      </c>
      <c r="E322" s="108" t="s">
        <v>51</v>
      </c>
      <c r="F322" s="108" t="s">
        <v>272</v>
      </c>
      <c r="G322" s="108" t="s">
        <v>9</v>
      </c>
      <c r="H322" s="126">
        <v>567430</v>
      </c>
      <c r="I322" s="108" t="s">
        <v>1177</v>
      </c>
      <c r="J322" s="108" t="str">
        <f t="shared" si="19"/>
        <v>11Б0320340</v>
      </c>
      <c r="K322" s="304" t="str">
        <f t="shared" si="18"/>
        <v>602011311Б0320340000</v>
      </c>
      <c r="L322" s="17" t="str">
        <f>INDEX('реш СГД № 265'!$A:$N,MATCH('БА расх 2018 31 12 2018'!$K322,'реш СГД № 265'!$N:$N,0),3)</f>
        <v>Расходы на создание условий для эффективного выполнения полномочий по управлению и распоряжению муниципальной собственностью города Ставрополя в области имущественных и земельных отношений</v>
      </c>
      <c r="M322" s="16">
        <f t="shared" si="20"/>
        <v>1</v>
      </c>
    </row>
    <row r="323" spans="1:13" s="29" customFormat="1" ht="31.5">
      <c r="A323" s="28"/>
      <c r="B323" s="125" t="s">
        <v>28</v>
      </c>
      <c r="C323" s="109" t="s">
        <v>256</v>
      </c>
      <c r="D323" s="108" t="s">
        <v>11</v>
      </c>
      <c r="E323" s="108" t="s">
        <v>51</v>
      </c>
      <c r="F323" s="108" t="s">
        <v>272</v>
      </c>
      <c r="G323" s="108" t="s">
        <v>29</v>
      </c>
      <c r="H323" s="126">
        <v>567430</v>
      </c>
      <c r="I323" s="108" t="s">
        <v>1177</v>
      </c>
      <c r="J323" s="108" t="str">
        <f t="shared" si="19"/>
        <v>11Б0320340</v>
      </c>
      <c r="K323" s="304" t="str">
        <f t="shared" si="18"/>
        <v>602011311Б0320340240</v>
      </c>
      <c r="L323" s="17" t="str">
        <f>INDEX('реш СГД № 265'!$A:$N,MATCH('БА расх 2018 31 12 2018'!$K323,'реш СГД № 265'!$N:$N,0),3)</f>
        <v>Иные закупки товаров, работ и услуг для обеспечения государственных (муниципальных) нужд</v>
      </c>
      <c r="M323" s="16">
        <f t="shared" si="20"/>
        <v>1</v>
      </c>
    </row>
    <row r="324" spans="1:13" s="29" customFormat="1" ht="15.75">
      <c r="A324" s="28"/>
      <c r="B324" s="125" t="s">
        <v>30</v>
      </c>
      <c r="C324" s="109" t="s">
        <v>256</v>
      </c>
      <c r="D324" s="108" t="s">
        <v>11</v>
      </c>
      <c r="E324" s="108" t="s">
        <v>51</v>
      </c>
      <c r="F324" s="108" t="s">
        <v>272</v>
      </c>
      <c r="G324" s="108" t="s">
        <v>31</v>
      </c>
      <c r="H324" s="126">
        <v>567430</v>
      </c>
      <c r="I324" s="108" t="s">
        <v>1177</v>
      </c>
      <c r="J324" s="108" t="str">
        <f t="shared" si="19"/>
        <v>11Б0320340</v>
      </c>
      <c r="K324" s="304" t="str">
        <f t="shared" si="18"/>
        <v>602011311Б0320340244</v>
      </c>
      <c r="L324" s="17"/>
      <c r="M324" s="16"/>
    </row>
    <row r="325" spans="1:13" s="16" customFormat="1" ht="47.25">
      <c r="A325" s="14"/>
      <c r="B325" s="127" t="s">
        <v>146</v>
      </c>
      <c r="C325" s="109" t="s">
        <v>256</v>
      </c>
      <c r="D325" s="130" t="s">
        <v>11</v>
      </c>
      <c r="E325" s="130">
        <v>13</v>
      </c>
      <c r="F325" s="130" t="s">
        <v>147</v>
      </c>
      <c r="G325" s="130" t="s">
        <v>9</v>
      </c>
      <c r="H325" s="134">
        <v>4750000</v>
      </c>
      <c r="I325" s="130">
        <v>1500000000</v>
      </c>
      <c r="J325" s="130" t="str">
        <f t="shared" si="19"/>
        <v>1500000000</v>
      </c>
      <c r="K325" s="304" t="str">
        <f t="shared" si="18"/>
        <v>60201131500000000000</v>
      </c>
      <c r="L325" s="17" t="str">
        <f>INDEX('реш СГД № 265'!$A:$N,MATCH('БА расх 2018 31 12 2018'!$K325,'реш СГД № 265'!$N:$N,0),3)</f>
        <v>Муниципальная программа «Обеспечение безопасности, общественного порядка и профилактика правонарушений в городе Ставрополе»</v>
      </c>
      <c r="M325" s="16">
        <f t="shared" si="20"/>
        <v>1</v>
      </c>
    </row>
    <row r="326" spans="1:13" s="16" customFormat="1" ht="47.25">
      <c r="A326" s="14"/>
      <c r="B326" s="125" t="s">
        <v>1065</v>
      </c>
      <c r="C326" s="109" t="s">
        <v>256</v>
      </c>
      <c r="D326" s="130" t="s">
        <v>11</v>
      </c>
      <c r="E326" s="130">
        <v>13</v>
      </c>
      <c r="F326" s="130" t="s">
        <v>149</v>
      </c>
      <c r="G326" s="130" t="s">
        <v>9</v>
      </c>
      <c r="H326" s="134">
        <v>4750000</v>
      </c>
      <c r="I326" s="130">
        <v>1510000000</v>
      </c>
      <c r="J326" s="130" t="str">
        <f t="shared" si="19"/>
        <v>1510000000</v>
      </c>
      <c r="K326" s="304" t="str">
        <f t="shared" si="18"/>
        <v>60201131510000000000</v>
      </c>
      <c r="L326" s="17" t="str">
        <f>INDEX('реш СГД № 265'!$A:$N,MATCH('БА расх 2018 31 12 2018'!$K326,'реш СГД № 265'!$N:$N,0),3)</f>
        <v>Подпрограмма «Профилактика терроризма, экстремизма, межнациональных (межэтнических) конфликтов в городе Ставрополе»</v>
      </c>
      <c r="M326" s="16">
        <f t="shared" si="20"/>
        <v>1</v>
      </c>
    </row>
    <row r="327" spans="1:13" s="16" customFormat="1" ht="63">
      <c r="A327" s="14"/>
      <c r="B327" s="132" t="s">
        <v>1068</v>
      </c>
      <c r="C327" s="109" t="s">
        <v>256</v>
      </c>
      <c r="D327" s="130" t="s">
        <v>11</v>
      </c>
      <c r="E327" s="130">
        <v>13</v>
      </c>
      <c r="F327" s="130" t="s">
        <v>1069</v>
      </c>
      <c r="G327" s="130" t="s">
        <v>9</v>
      </c>
      <c r="H327" s="134">
        <v>4750000</v>
      </c>
      <c r="I327" s="130">
        <v>1510400000</v>
      </c>
      <c r="J327" s="130" t="str">
        <f t="shared" si="19"/>
        <v>1510400000</v>
      </c>
      <c r="K327" s="304" t="str">
        <f t="shared" si="18"/>
        <v>60201131510400000000</v>
      </c>
      <c r="L327" s="17" t="str">
        <f>INDEX('реш СГД № 265'!$A:$N,MATCH('БА расх 2018 31 12 2018'!$K327,'реш СГД № 265'!$N:$N,0),3)</f>
        <v>Основное мероприятие «Повышение уровня антитеррористической защищенности мест массового пребывания людей на территории города Ставрополя и муниципальных учреждений города Ставрополя»</v>
      </c>
      <c r="M327" s="16">
        <f t="shared" si="20"/>
        <v>1</v>
      </c>
    </row>
    <row r="328" spans="1:13" s="16" customFormat="1" ht="47.25">
      <c r="A328" s="14"/>
      <c r="B328" s="135" t="s">
        <v>152</v>
      </c>
      <c r="C328" s="109" t="s">
        <v>256</v>
      </c>
      <c r="D328" s="130" t="s">
        <v>11</v>
      </c>
      <c r="E328" s="130">
        <v>13</v>
      </c>
      <c r="F328" s="130" t="s">
        <v>1070</v>
      </c>
      <c r="G328" s="130" t="s">
        <v>9</v>
      </c>
      <c r="H328" s="134">
        <v>3000000</v>
      </c>
      <c r="I328" s="130">
        <v>1510420350</v>
      </c>
      <c r="J328" s="130" t="str">
        <f t="shared" si="19"/>
        <v>1510420350</v>
      </c>
      <c r="K328" s="304" t="str">
        <f t="shared" si="18"/>
        <v>60201131510420350000</v>
      </c>
      <c r="L328" s="17" t="str">
        <f>INDEX('реш СГД № 265'!$A:$N,MATCH('БА расх 2018 31 12 2018'!$K328,'реш СГД № 265'!$N:$N,0),3)</f>
        <v>Расходы на реализацию мероприятий, направленных на повышение уровня безопасности жизнедеятельности города Ставрополя</v>
      </c>
      <c r="M328" s="16">
        <f t="shared" si="20"/>
        <v>1</v>
      </c>
    </row>
    <row r="329" spans="1:13" s="16" customFormat="1" ht="31.5">
      <c r="A329" s="14"/>
      <c r="B329" s="135" t="s">
        <v>28</v>
      </c>
      <c r="C329" s="109" t="s">
        <v>256</v>
      </c>
      <c r="D329" s="130" t="s">
        <v>11</v>
      </c>
      <c r="E329" s="130">
        <v>13</v>
      </c>
      <c r="F329" s="130" t="s">
        <v>1070</v>
      </c>
      <c r="G329" s="130" t="s">
        <v>29</v>
      </c>
      <c r="H329" s="126">
        <v>3000000</v>
      </c>
      <c r="I329" s="130">
        <v>1510420350</v>
      </c>
      <c r="J329" s="130" t="str">
        <f t="shared" si="19"/>
        <v>1510420350</v>
      </c>
      <c r="K329" s="304" t="str">
        <f t="shared" si="18"/>
        <v>60201131510420350240</v>
      </c>
      <c r="L329" s="17" t="str">
        <f>INDEX('реш СГД № 265'!$A:$N,MATCH('БА расх 2018 31 12 2018'!$K329,'реш СГД № 265'!$N:$N,0),3)</f>
        <v>Иные закупки товаров, работ и услуг для обеспечения государственных (муниципальных) нужд</v>
      </c>
      <c r="M329" s="16">
        <f t="shared" si="20"/>
        <v>1</v>
      </c>
    </row>
    <row r="330" spans="1:13" s="16" customFormat="1" ht="15.75">
      <c r="A330" s="14"/>
      <c r="B330" s="125" t="s">
        <v>30</v>
      </c>
      <c r="C330" s="109" t="s">
        <v>256</v>
      </c>
      <c r="D330" s="130" t="s">
        <v>11</v>
      </c>
      <c r="E330" s="130">
        <v>13</v>
      </c>
      <c r="F330" s="130" t="s">
        <v>1070</v>
      </c>
      <c r="G330" s="130" t="s">
        <v>31</v>
      </c>
      <c r="H330" s="126">
        <v>3000000</v>
      </c>
      <c r="I330" s="130">
        <v>1510420350</v>
      </c>
      <c r="J330" s="130" t="str">
        <f t="shared" si="19"/>
        <v>1510420350</v>
      </c>
      <c r="K330" s="304" t="str">
        <f t="shared" si="18"/>
        <v>60201131510420350244</v>
      </c>
      <c r="L330" s="17"/>
    </row>
    <row r="331" spans="1:13" s="16" customFormat="1" ht="63">
      <c r="A331" s="14"/>
      <c r="B331" s="135" t="s">
        <v>1178</v>
      </c>
      <c r="C331" s="109" t="s">
        <v>256</v>
      </c>
      <c r="D331" s="130" t="s">
        <v>11</v>
      </c>
      <c r="E331" s="130">
        <v>13</v>
      </c>
      <c r="F331" s="130" t="s">
        <v>1179</v>
      </c>
      <c r="G331" s="130" t="s">
        <v>9</v>
      </c>
      <c r="H331" s="126">
        <v>1400000</v>
      </c>
      <c r="I331" s="130">
        <v>1510477310</v>
      </c>
      <c r="J331" s="130" t="str">
        <f t="shared" si="19"/>
        <v>1510477310</v>
      </c>
      <c r="K331" s="304" t="str">
        <f t="shared" si="18"/>
        <v>60201131510477310000</v>
      </c>
      <c r="L331" s="17" t="str">
        <f>INDEX('реш СГД № 265'!$A:$N,MATCH('БА расх 2018 31 12 2018'!$K331,'реш СГД № 265'!$N:$N,0),3)</f>
        <v>Cоздание условий для обеспечения безопасности граждан в местах массового пребывания людей на территории муниципальных образований за счет средств краевого бюджета</v>
      </c>
      <c r="M331" s="16">
        <f t="shared" si="20"/>
        <v>1</v>
      </c>
    </row>
    <row r="332" spans="1:13" s="16" customFormat="1" ht="31.5">
      <c r="A332" s="14"/>
      <c r="B332" s="135" t="s">
        <v>28</v>
      </c>
      <c r="C332" s="109" t="s">
        <v>256</v>
      </c>
      <c r="D332" s="130" t="s">
        <v>11</v>
      </c>
      <c r="E332" s="130">
        <v>13</v>
      </c>
      <c r="F332" s="130" t="s">
        <v>1179</v>
      </c>
      <c r="G332" s="130" t="s">
        <v>29</v>
      </c>
      <c r="H332" s="126">
        <v>1400000</v>
      </c>
      <c r="I332" s="130">
        <v>1510477310</v>
      </c>
      <c r="J332" s="130" t="str">
        <f t="shared" si="19"/>
        <v>1510477310</v>
      </c>
      <c r="K332" s="304" t="str">
        <f t="shared" si="18"/>
        <v>60201131510477310240</v>
      </c>
      <c r="L332" s="17" t="str">
        <f>INDEX('реш СГД № 265'!$A:$N,MATCH('БА расх 2018 31 12 2018'!$K332,'реш СГД № 265'!$N:$N,0),3)</f>
        <v>Иные закупки товаров, работ и услуг для обеспечения государственных (муниципальных) нужд</v>
      </c>
      <c r="M332" s="16">
        <f t="shared" si="20"/>
        <v>1</v>
      </c>
    </row>
    <row r="333" spans="1:13" s="16" customFormat="1" ht="15.75">
      <c r="A333" s="14"/>
      <c r="B333" s="125" t="s">
        <v>30</v>
      </c>
      <c r="C333" s="109" t="s">
        <v>256</v>
      </c>
      <c r="D333" s="130" t="s">
        <v>11</v>
      </c>
      <c r="E333" s="130">
        <v>13</v>
      </c>
      <c r="F333" s="130" t="s">
        <v>1179</v>
      </c>
      <c r="G333" s="130" t="s">
        <v>31</v>
      </c>
      <c r="H333" s="126">
        <v>1400000</v>
      </c>
      <c r="I333" s="130">
        <v>1510477310</v>
      </c>
      <c r="J333" s="130" t="str">
        <f t="shared" si="19"/>
        <v>1510477310</v>
      </c>
      <c r="K333" s="304" t="str">
        <f t="shared" si="18"/>
        <v>60201131510477310244</v>
      </c>
      <c r="L333" s="17"/>
    </row>
    <row r="334" spans="1:13" s="16" customFormat="1" ht="63">
      <c r="A334" s="14"/>
      <c r="B334" s="135" t="s">
        <v>1039</v>
      </c>
      <c r="C334" s="109" t="s">
        <v>256</v>
      </c>
      <c r="D334" s="130" t="s">
        <v>11</v>
      </c>
      <c r="E334" s="130">
        <v>13</v>
      </c>
      <c r="F334" s="130" t="s">
        <v>1086</v>
      </c>
      <c r="G334" s="130" t="s">
        <v>9</v>
      </c>
      <c r="H334" s="126">
        <v>350000</v>
      </c>
      <c r="I334" s="130" t="s">
        <v>1180</v>
      </c>
      <c r="J334" s="130" t="str">
        <f t="shared" si="19"/>
        <v>15104S7310</v>
      </c>
      <c r="K334" s="304" t="str">
        <f t="shared" si="18"/>
        <v>602011315104S7310000</v>
      </c>
      <c r="L334" s="17" t="str">
        <f>INDEX('реш СГД № 265'!$A:$N,MATCH('БА расх 2018 31 12 2018'!$K334,'реш СГД № 265'!$N:$N,0),3)</f>
        <v>Cоздание условий для обеспечения безопасности граждан в местах массового пребывания людей на территории муниципальных образований за счет средств местного бюджета</v>
      </c>
      <c r="M334" s="16">
        <f t="shared" si="20"/>
        <v>1</v>
      </c>
    </row>
    <row r="335" spans="1:13" s="16" customFormat="1" ht="31.5">
      <c r="A335" s="14"/>
      <c r="B335" s="135" t="s">
        <v>28</v>
      </c>
      <c r="C335" s="109" t="s">
        <v>256</v>
      </c>
      <c r="D335" s="130" t="s">
        <v>11</v>
      </c>
      <c r="E335" s="130">
        <v>13</v>
      </c>
      <c r="F335" s="130" t="s">
        <v>1086</v>
      </c>
      <c r="G335" s="130" t="s">
        <v>29</v>
      </c>
      <c r="H335" s="126">
        <v>350000</v>
      </c>
      <c r="I335" s="130" t="s">
        <v>1180</v>
      </c>
      <c r="J335" s="130" t="str">
        <f t="shared" si="19"/>
        <v>15104S7310</v>
      </c>
      <c r="K335" s="304" t="str">
        <f t="shared" si="18"/>
        <v>602011315104S7310240</v>
      </c>
      <c r="L335" s="17" t="str">
        <f>INDEX('реш СГД № 265'!$A:$N,MATCH('БА расх 2018 31 12 2018'!$K335,'реш СГД № 265'!$N:$N,0),3)</f>
        <v>Иные закупки товаров, работ и услуг для обеспечения государственных (муниципальных) нужд</v>
      </c>
      <c r="M335" s="16">
        <f t="shared" si="20"/>
        <v>1</v>
      </c>
    </row>
    <row r="336" spans="1:13" s="16" customFormat="1" ht="15.75">
      <c r="A336" s="14"/>
      <c r="B336" s="135" t="s">
        <v>30</v>
      </c>
      <c r="C336" s="109" t="s">
        <v>256</v>
      </c>
      <c r="D336" s="130" t="s">
        <v>11</v>
      </c>
      <c r="E336" s="130">
        <v>13</v>
      </c>
      <c r="F336" s="130" t="s">
        <v>1086</v>
      </c>
      <c r="G336" s="108" t="s">
        <v>31</v>
      </c>
      <c r="H336" s="126">
        <v>350000</v>
      </c>
      <c r="I336" s="130" t="s">
        <v>1180</v>
      </c>
      <c r="J336" s="130" t="str">
        <f t="shared" si="19"/>
        <v>15104S7310</v>
      </c>
      <c r="K336" s="304" t="str">
        <f t="shared" si="18"/>
        <v>602011315104S7310244</v>
      </c>
      <c r="L336" s="17"/>
    </row>
    <row r="337" spans="1:13" s="29" customFormat="1" ht="31.5">
      <c r="A337" s="28"/>
      <c r="B337" s="125" t="s">
        <v>276</v>
      </c>
      <c r="C337" s="109" t="s">
        <v>256</v>
      </c>
      <c r="D337" s="108" t="s">
        <v>11</v>
      </c>
      <c r="E337" s="108" t="s">
        <v>51</v>
      </c>
      <c r="F337" s="108" t="s">
        <v>277</v>
      </c>
      <c r="G337" s="108" t="s">
        <v>9</v>
      </c>
      <c r="H337" s="126">
        <v>76864398.400000006</v>
      </c>
      <c r="I337" s="108">
        <v>7200000000</v>
      </c>
      <c r="J337" s="108" t="str">
        <f t="shared" si="19"/>
        <v>7200000000</v>
      </c>
      <c r="K337" s="304" t="str">
        <f t="shared" si="18"/>
        <v>60201137200000000000</v>
      </c>
      <c r="L337" s="17" t="str">
        <f>INDEX('реш СГД № 265'!$A:$N,MATCH('БА расх 2018 31 12 2018'!$K337,'реш СГД № 265'!$N:$N,0),3)</f>
        <v>Обеспечения деятельности комитета по управлению муниципальным имуществом города Ставрополя</v>
      </c>
      <c r="M337" s="16">
        <f t="shared" si="20"/>
        <v>1</v>
      </c>
    </row>
    <row r="338" spans="1:13" s="29" customFormat="1" ht="47.25">
      <c r="A338" s="28"/>
      <c r="B338" s="125" t="s">
        <v>278</v>
      </c>
      <c r="C338" s="109" t="s">
        <v>256</v>
      </c>
      <c r="D338" s="108" t="s">
        <v>11</v>
      </c>
      <c r="E338" s="108" t="s">
        <v>51</v>
      </c>
      <c r="F338" s="108" t="s">
        <v>279</v>
      </c>
      <c r="G338" s="108" t="s">
        <v>9</v>
      </c>
      <c r="H338" s="126">
        <v>75776213.430000007</v>
      </c>
      <c r="I338" s="108">
        <v>7210000000</v>
      </c>
      <c r="J338" s="108" t="str">
        <f t="shared" si="19"/>
        <v>7210000000</v>
      </c>
      <c r="K338" s="304" t="str">
        <f t="shared" si="18"/>
        <v>60201137210000000000</v>
      </c>
      <c r="L338" s="17" t="str">
        <f>INDEX('реш СГД № 265'!$A:$N,MATCH('БА расх 2018 31 12 2018'!$K338,'реш СГД № 265'!$N:$N,0),3)</f>
        <v>Непрограммные расходы в рамках обеспечения деятельности комитета по управлению муниципальным имуществом города Ставрополя</v>
      </c>
      <c r="M338" s="16">
        <f t="shared" si="20"/>
        <v>1</v>
      </c>
    </row>
    <row r="339" spans="1:13" s="29" customFormat="1" ht="31.5">
      <c r="A339" s="28"/>
      <c r="B339" s="125" t="s">
        <v>18</v>
      </c>
      <c r="C339" s="109" t="s">
        <v>256</v>
      </c>
      <c r="D339" s="108" t="s">
        <v>11</v>
      </c>
      <c r="E339" s="108" t="s">
        <v>51</v>
      </c>
      <c r="F339" s="108" t="s">
        <v>280</v>
      </c>
      <c r="G339" s="108" t="s">
        <v>9</v>
      </c>
      <c r="H339" s="126">
        <v>12672800.9</v>
      </c>
      <c r="I339" s="108">
        <v>7210010010</v>
      </c>
      <c r="J339" s="108" t="str">
        <f t="shared" si="19"/>
        <v>7210010010</v>
      </c>
      <c r="K339" s="304" t="str">
        <f t="shared" si="18"/>
        <v>60201137210010010000</v>
      </c>
      <c r="L339" s="17" t="str">
        <f>INDEX('реш СГД № 265'!$A:$N,MATCH('БА расх 2018 31 12 2018'!$K339,'реш СГД № 265'!$N:$N,0),3)</f>
        <v>Расходы на обеспечение функций органов местного самоуправления города Ставрополя</v>
      </c>
      <c r="M339" s="16">
        <f t="shared" si="20"/>
        <v>1</v>
      </c>
    </row>
    <row r="340" spans="1:13" s="29" customFormat="1" ht="31.5">
      <c r="A340" s="28"/>
      <c r="B340" s="127" t="s">
        <v>20</v>
      </c>
      <c r="C340" s="109" t="s">
        <v>256</v>
      </c>
      <c r="D340" s="108" t="s">
        <v>11</v>
      </c>
      <c r="E340" s="108" t="s">
        <v>51</v>
      </c>
      <c r="F340" s="108" t="s">
        <v>280</v>
      </c>
      <c r="G340" s="108" t="s">
        <v>21</v>
      </c>
      <c r="H340" s="126">
        <v>1571790</v>
      </c>
      <c r="I340" s="108">
        <v>7210010010</v>
      </c>
      <c r="J340" s="108" t="str">
        <f t="shared" si="19"/>
        <v>7210010010</v>
      </c>
      <c r="K340" s="304" t="str">
        <f t="shared" si="18"/>
        <v>60201137210010010120</v>
      </c>
      <c r="L340" s="17" t="str">
        <f>INDEX('реш СГД № 265'!$A:$N,MATCH('БА расх 2018 31 12 2018'!$K340,'реш СГД № 265'!$N:$N,0),3)</f>
        <v>Расходы на выплаты персоналу государственных (муниципальных) органов</v>
      </c>
      <c r="M340" s="16">
        <f t="shared" si="20"/>
        <v>1</v>
      </c>
    </row>
    <row r="341" spans="1:13" s="31" customFormat="1" ht="31.5">
      <c r="A341" s="30"/>
      <c r="B341" s="127" t="s">
        <v>22</v>
      </c>
      <c r="C341" s="109" t="s">
        <v>256</v>
      </c>
      <c r="D341" s="108" t="s">
        <v>11</v>
      </c>
      <c r="E341" s="108" t="s">
        <v>51</v>
      </c>
      <c r="F341" s="108" t="s">
        <v>280</v>
      </c>
      <c r="G341" s="108" t="s">
        <v>23</v>
      </c>
      <c r="H341" s="126">
        <v>1244455.73</v>
      </c>
      <c r="I341" s="108">
        <v>7210010010</v>
      </c>
      <c r="J341" s="108" t="str">
        <f t="shared" si="19"/>
        <v>7210010010</v>
      </c>
      <c r="K341" s="304" t="str">
        <f t="shared" si="18"/>
        <v>60201137210010010122</v>
      </c>
      <c r="L341" s="17"/>
      <c r="M341" s="16"/>
    </row>
    <row r="342" spans="1:13" s="31" customFormat="1" ht="47.25">
      <c r="A342" s="30"/>
      <c r="B342" s="127" t="s">
        <v>26</v>
      </c>
      <c r="C342" s="109" t="s">
        <v>256</v>
      </c>
      <c r="D342" s="108" t="s">
        <v>11</v>
      </c>
      <c r="E342" s="108" t="s">
        <v>51</v>
      </c>
      <c r="F342" s="108" t="s">
        <v>280</v>
      </c>
      <c r="G342" s="108" t="s">
        <v>27</v>
      </c>
      <c r="H342" s="126">
        <v>327334.27</v>
      </c>
      <c r="I342" s="108">
        <v>7210010010</v>
      </c>
      <c r="J342" s="108" t="str">
        <f t="shared" si="19"/>
        <v>7210010010</v>
      </c>
      <c r="K342" s="304" t="str">
        <f t="shared" si="18"/>
        <v>60201137210010010129</v>
      </c>
      <c r="L342" s="17"/>
      <c r="M342" s="16"/>
    </row>
    <row r="343" spans="1:13" s="29" customFormat="1" ht="31.5">
      <c r="A343" s="28"/>
      <c r="B343" s="125" t="s">
        <v>28</v>
      </c>
      <c r="C343" s="109" t="s">
        <v>256</v>
      </c>
      <c r="D343" s="108" t="s">
        <v>11</v>
      </c>
      <c r="E343" s="108" t="s">
        <v>51</v>
      </c>
      <c r="F343" s="108" t="s">
        <v>280</v>
      </c>
      <c r="G343" s="108" t="s">
        <v>29</v>
      </c>
      <c r="H343" s="126">
        <v>10976733.9</v>
      </c>
      <c r="I343" s="108">
        <v>7210010010</v>
      </c>
      <c r="J343" s="108" t="str">
        <f t="shared" si="19"/>
        <v>7210010010</v>
      </c>
      <c r="K343" s="304" t="str">
        <f t="shared" si="18"/>
        <v>60201137210010010240</v>
      </c>
      <c r="L343" s="17" t="str">
        <f>INDEX('реш СГД № 265'!$A:$N,MATCH('БА расх 2018 31 12 2018'!$K343,'реш СГД № 265'!$N:$N,0),3)</f>
        <v>Иные закупки товаров, работ и услуг для обеспечения государственных (муниципальных) нужд</v>
      </c>
      <c r="M343" s="16">
        <f t="shared" si="20"/>
        <v>1</v>
      </c>
    </row>
    <row r="344" spans="1:13" s="29" customFormat="1" ht="15.75">
      <c r="A344" s="28"/>
      <c r="B344" s="125" t="s">
        <v>30</v>
      </c>
      <c r="C344" s="109" t="s">
        <v>256</v>
      </c>
      <c r="D344" s="108" t="s">
        <v>11</v>
      </c>
      <c r="E344" s="108" t="s">
        <v>51</v>
      </c>
      <c r="F344" s="108" t="s">
        <v>280</v>
      </c>
      <c r="G344" s="108" t="s">
        <v>31</v>
      </c>
      <c r="H344" s="126">
        <v>10976733.9</v>
      </c>
      <c r="I344" s="108">
        <v>7210010010</v>
      </c>
      <c r="J344" s="108" t="str">
        <f t="shared" si="19"/>
        <v>7210010010</v>
      </c>
      <c r="K344" s="304" t="str">
        <f t="shared" si="18"/>
        <v>60201137210010010244</v>
      </c>
      <c r="L344" s="17"/>
      <c r="M344" s="16"/>
    </row>
    <row r="345" spans="1:13" s="29" customFormat="1" ht="15.75">
      <c r="A345" s="28"/>
      <c r="B345" s="125" t="s">
        <v>189</v>
      </c>
      <c r="C345" s="109" t="s">
        <v>256</v>
      </c>
      <c r="D345" s="108" t="s">
        <v>11</v>
      </c>
      <c r="E345" s="108" t="s">
        <v>51</v>
      </c>
      <c r="F345" s="108" t="s">
        <v>280</v>
      </c>
      <c r="G345" s="108" t="s">
        <v>190</v>
      </c>
      <c r="H345" s="126">
        <v>30000</v>
      </c>
      <c r="I345" s="108"/>
      <c r="J345" s="108"/>
      <c r="K345" s="304"/>
      <c r="L345" s="17"/>
      <c r="M345" s="16"/>
    </row>
    <row r="346" spans="1:13" s="29" customFormat="1" ht="31.5">
      <c r="A346" s="28"/>
      <c r="B346" s="129" t="s">
        <v>191</v>
      </c>
      <c r="C346" s="109" t="s">
        <v>256</v>
      </c>
      <c r="D346" s="108" t="s">
        <v>11</v>
      </c>
      <c r="E346" s="108" t="s">
        <v>51</v>
      </c>
      <c r="F346" s="108" t="s">
        <v>280</v>
      </c>
      <c r="G346" s="108" t="s">
        <v>192</v>
      </c>
      <c r="H346" s="126">
        <v>30000</v>
      </c>
      <c r="I346" s="108">
        <v>7210010010</v>
      </c>
      <c r="J346" s="108" t="str">
        <f t="shared" ref="J346" si="21">TEXT(I346,"0000000000")</f>
        <v>7210010010</v>
      </c>
      <c r="K346" s="304" t="str">
        <f t="shared" ref="K346" si="22">C346&amp;D346&amp;E346&amp;J346&amp;G346</f>
        <v>60201137210010010831</v>
      </c>
      <c r="L346" s="17"/>
      <c r="M346" s="16"/>
    </row>
    <row r="347" spans="1:13" s="29" customFormat="1" ht="15.75">
      <c r="A347" s="28"/>
      <c r="B347" s="125" t="s">
        <v>32</v>
      </c>
      <c r="C347" s="109" t="s">
        <v>256</v>
      </c>
      <c r="D347" s="108" t="s">
        <v>11</v>
      </c>
      <c r="E347" s="108" t="s">
        <v>51</v>
      </c>
      <c r="F347" s="108" t="s">
        <v>280</v>
      </c>
      <c r="G347" s="108" t="s">
        <v>33</v>
      </c>
      <c r="H347" s="126">
        <v>94277</v>
      </c>
      <c r="I347" s="108">
        <v>7210010010</v>
      </c>
      <c r="J347" s="108" t="str">
        <f t="shared" si="19"/>
        <v>7210010010</v>
      </c>
      <c r="K347" s="304" t="str">
        <f t="shared" si="18"/>
        <v>60201137210010010850</v>
      </c>
      <c r="L347" s="17" t="str">
        <f>INDEX('реш СГД № 265'!$A:$N,MATCH('БА расх 2018 31 12 2018'!$K347,'реш СГД № 265'!$N:$N,0),3)</f>
        <v>Уплата налогов, сборов и иных платежей</v>
      </c>
      <c r="M347" s="16">
        <f t="shared" si="20"/>
        <v>1</v>
      </c>
    </row>
    <row r="348" spans="1:13" s="31" customFormat="1" ht="31.5">
      <c r="A348" s="30"/>
      <c r="B348" s="127" t="s">
        <v>34</v>
      </c>
      <c r="C348" s="109" t="s">
        <v>256</v>
      </c>
      <c r="D348" s="108" t="s">
        <v>11</v>
      </c>
      <c r="E348" s="108" t="s">
        <v>51</v>
      </c>
      <c r="F348" s="108" t="s">
        <v>280</v>
      </c>
      <c r="G348" s="108" t="s">
        <v>35</v>
      </c>
      <c r="H348" s="126">
        <v>69102</v>
      </c>
      <c r="I348" s="108">
        <v>7210010010</v>
      </c>
      <c r="J348" s="108" t="str">
        <f t="shared" si="19"/>
        <v>7210010010</v>
      </c>
      <c r="K348" s="304" t="str">
        <f t="shared" si="18"/>
        <v>60201137210010010851</v>
      </c>
      <c r="L348" s="17"/>
      <c r="M348" s="16"/>
    </row>
    <row r="349" spans="1:13" s="31" customFormat="1" ht="15.75">
      <c r="A349" s="30"/>
      <c r="B349" s="127" t="s">
        <v>36</v>
      </c>
      <c r="C349" s="109" t="s">
        <v>256</v>
      </c>
      <c r="D349" s="108" t="s">
        <v>11</v>
      </c>
      <c r="E349" s="108" t="s">
        <v>51</v>
      </c>
      <c r="F349" s="108" t="s">
        <v>280</v>
      </c>
      <c r="G349" s="108" t="s">
        <v>37</v>
      </c>
      <c r="H349" s="126">
        <v>17487</v>
      </c>
      <c r="I349" s="108">
        <v>7210010010</v>
      </c>
      <c r="J349" s="108" t="str">
        <f t="shared" si="19"/>
        <v>7210010010</v>
      </c>
      <c r="K349" s="304" t="str">
        <f t="shared" si="18"/>
        <v>60201137210010010852</v>
      </c>
      <c r="L349" s="17"/>
      <c r="M349" s="16"/>
    </row>
    <row r="350" spans="1:13" s="31" customFormat="1" ht="15.75">
      <c r="A350" s="30"/>
      <c r="B350" s="127" t="s">
        <v>77</v>
      </c>
      <c r="C350" s="109" t="s">
        <v>256</v>
      </c>
      <c r="D350" s="108" t="s">
        <v>11</v>
      </c>
      <c r="E350" s="108" t="s">
        <v>51</v>
      </c>
      <c r="F350" s="108" t="s">
        <v>280</v>
      </c>
      <c r="G350" s="108" t="s">
        <v>78</v>
      </c>
      <c r="H350" s="126">
        <v>7688</v>
      </c>
      <c r="I350" s="108">
        <v>7210010010</v>
      </c>
      <c r="J350" s="108" t="str">
        <f t="shared" si="19"/>
        <v>7210010010</v>
      </c>
      <c r="K350" s="304" t="str">
        <f t="shared" si="18"/>
        <v>60201137210010010853</v>
      </c>
      <c r="L350" s="17"/>
      <c r="M350" s="16"/>
    </row>
    <row r="351" spans="1:13" s="29" customFormat="1" ht="31.5">
      <c r="A351" s="28"/>
      <c r="B351" s="125" t="s">
        <v>38</v>
      </c>
      <c r="C351" s="109" t="s">
        <v>256</v>
      </c>
      <c r="D351" s="108" t="s">
        <v>11</v>
      </c>
      <c r="E351" s="108" t="s">
        <v>51</v>
      </c>
      <c r="F351" s="108" t="s">
        <v>281</v>
      </c>
      <c r="G351" s="108" t="s">
        <v>9</v>
      </c>
      <c r="H351" s="126">
        <v>59514342.350000001</v>
      </c>
      <c r="I351" s="108">
        <v>7210010020</v>
      </c>
      <c r="J351" s="108" t="str">
        <f t="shared" si="19"/>
        <v>7210010020</v>
      </c>
      <c r="K351" s="304" t="str">
        <f t="shared" si="18"/>
        <v>60201137210010020000</v>
      </c>
      <c r="L351" s="17" t="str">
        <f>INDEX('реш СГД № 265'!$A:$N,MATCH('БА расх 2018 31 12 2018'!$K351,'реш СГД № 265'!$N:$N,0),3)</f>
        <v>Расходы на выплаты по оплате труда работников органов местного самоуправления города Ставрополя</v>
      </c>
      <c r="M351" s="16">
        <f t="shared" si="20"/>
        <v>1</v>
      </c>
    </row>
    <row r="352" spans="1:13" s="29" customFormat="1" ht="31.5">
      <c r="A352" s="28"/>
      <c r="B352" s="127" t="s">
        <v>20</v>
      </c>
      <c r="C352" s="109" t="s">
        <v>256</v>
      </c>
      <c r="D352" s="108" t="s">
        <v>11</v>
      </c>
      <c r="E352" s="108" t="s">
        <v>51</v>
      </c>
      <c r="F352" s="108" t="s">
        <v>281</v>
      </c>
      <c r="G352" s="108" t="s">
        <v>21</v>
      </c>
      <c r="H352" s="126">
        <v>59514342.350000001</v>
      </c>
      <c r="I352" s="108">
        <v>7210010020</v>
      </c>
      <c r="J352" s="108" t="str">
        <f t="shared" si="19"/>
        <v>7210010020</v>
      </c>
      <c r="K352" s="304" t="str">
        <f t="shared" si="18"/>
        <v>60201137210010020120</v>
      </c>
      <c r="L352" s="17" t="str">
        <f>INDEX('реш СГД № 265'!$A:$N,MATCH('БА расх 2018 31 12 2018'!$K352,'реш СГД № 265'!$N:$N,0),3)</f>
        <v>Расходы на выплаты персоналу государственных (муниципальных) органов</v>
      </c>
      <c r="M352" s="16">
        <f t="shared" si="20"/>
        <v>1</v>
      </c>
    </row>
    <row r="353" spans="1:13" s="31" customFormat="1" ht="31.5">
      <c r="A353" s="30"/>
      <c r="B353" s="127" t="s">
        <v>40</v>
      </c>
      <c r="C353" s="109" t="s">
        <v>256</v>
      </c>
      <c r="D353" s="108" t="s">
        <v>11</v>
      </c>
      <c r="E353" s="108" t="s">
        <v>51</v>
      </c>
      <c r="F353" s="108" t="s">
        <v>281</v>
      </c>
      <c r="G353" s="108" t="s">
        <v>41</v>
      </c>
      <c r="H353" s="126">
        <v>45828114.700000003</v>
      </c>
      <c r="I353" s="108">
        <v>7210010020</v>
      </c>
      <c r="J353" s="108" t="str">
        <f t="shared" si="19"/>
        <v>7210010020</v>
      </c>
      <c r="K353" s="304" t="str">
        <f t="shared" si="18"/>
        <v>60201137210010020121</v>
      </c>
      <c r="L353" s="17"/>
      <c r="M353" s="16"/>
    </row>
    <row r="354" spans="1:13" s="31" customFormat="1" ht="47.25">
      <c r="A354" s="30"/>
      <c r="B354" s="127" t="s">
        <v>26</v>
      </c>
      <c r="C354" s="109" t="s">
        <v>256</v>
      </c>
      <c r="D354" s="108" t="s">
        <v>11</v>
      </c>
      <c r="E354" s="108" t="s">
        <v>51</v>
      </c>
      <c r="F354" s="108" t="s">
        <v>281</v>
      </c>
      <c r="G354" s="108" t="s">
        <v>27</v>
      </c>
      <c r="H354" s="126">
        <v>13686227.65</v>
      </c>
      <c r="I354" s="108">
        <v>7210010020</v>
      </c>
      <c r="J354" s="108" t="str">
        <f t="shared" si="19"/>
        <v>7210010020</v>
      </c>
      <c r="K354" s="304" t="str">
        <f t="shared" si="18"/>
        <v>60201137210010020129</v>
      </c>
      <c r="L354" s="17"/>
      <c r="M354" s="16"/>
    </row>
    <row r="355" spans="1:13" s="31" customFormat="1" ht="31.5">
      <c r="A355" s="30"/>
      <c r="B355" s="125" t="s">
        <v>355</v>
      </c>
      <c r="C355" s="130" t="s">
        <v>256</v>
      </c>
      <c r="D355" s="131" t="s">
        <v>11</v>
      </c>
      <c r="E355" s="131" t="s">
        <v>51</v>
      </c>
      <c r="F355" s="131" t="s">
        <v>1882</v>
      </c>
      <c r="G355" s="131" t="s">
        <v>9</v>
      </c>
      <c r="H355" s="126">
        <v>137419.34</v>
      </c>
      <c r="I355" s="131">
        <v>7210010050</v>
      </c>
      <c r="J355" s="131" t="str">
        <f t="shared" si="19"/>
        <v>7210010050</v>
      </c>
      <c r="K355" s="304" t="str">
        <f t="shared" si="18"/>
        <v>60201137210010050000</v>
      </c>
      <c r="L355" s="400" t="e">
        <f>INDEX('реш СГД № 265'!$A:$N,MATCH('БА расх 2018 31 12 2018'!$K355,'реш СГД № 265'!$N:$N,0),3)</f>
        <v>#N/A</v>
      </c>
      <c r="M355" s="248" t="e">
        <f t="shared" si="20"/>
        <v>#N/A</v>
      </c>
    </row>
    <row r="356" spans="1:13" s="31" customFormat="1" ht="31.5">
      <c r="A356" s="30"/>
      <c r="B356" s="127" t="s">
        <v>20</v>
      </c>
      <c r="C356" s="130" t="s">
        <v>256</v>
      </c>
      <c r="D356" s="131" t="s">
        <v>11</v>
      </c>
      <c r="E356" s="131" t="s">
        <v>51</v>
      </c>
      <c r="F356" s="131" t="s">
        <v>1882</v>
      </c>
      <c r="G356" s="305" t="s">
        <v>21</v>
      </c>
      <c r="H356" s="126">
        <v>137419.34</v>
      </c>
      <c r="I356" s="131">
        <v>7210010050</v>
      </c>
      <c r="J356" s="131" t="str">
        <f t="shared" si="19"/>
        <v>7210010050</v>
      </c>
      <c r="K356" s="304" t="str">
        <f t="shared" si="18"/>
        <v>60201137210010050120</v>
      </c>
      <c r="L356" s="400" t="e">
        <f>INDEX('реш СГД № 265'!$A:$N,MATCH('БА расх 2018 31 12 2018'!$K356,'реш СГД № 265'!$N:$N,0),3)</f>
        <v>#N/A</v>
      </c>
      <c r="M356" s="248" t="e">
        <f t="shared" si="20"/>
        <v>#N/A</v>
      </c>
    </row>
    <row r="357" spans="1:13" s="31" customFormat="1" ht="31.5">
      <c r="A357" s="30"/>
      <c r="B357" s="127" t="s">
        <v>40</v>
      </c>
      <c r="C357" s="130" t="s">
        <v>256</v>
      </c>
      <c r="D357" s="131" t="s">
        <v>11</v>
      </c>
      <c r="E357" s="131" t="s">
        <v>51</v>
      </c>
      <c r="F357" s="131" t="s">
        <v>1882</v>
      </c>
      <c r="G357" s="305" t="s">
        <v>41</v>
      </c>
      <c r="H357" s="126">
        <v>105480</v>
      </c>
      <c r="I357" s="131">
        <v>7210010050</v>
      </c>
      <c r="J357" s="131" t="str">
        <f t="shared" si="19"/>
        <v>7210010050</v>
      </c>
      <c r="K357" s="304" t="str">
        <f t="shared" si="18"/>
        <v>60201137210010050121</v>
      </c>
      <c r="L357" s="17"/>
      <c r="M357" s="16"/>
    </row>
    <row r="358" spans="1:13" s="31" customFormat="1" ht="47.25">
      <c r="A358" s="30"/>
      <c r="B358" s="127" t="s">
        <v>26</v>
      </c>
      <c r="C358" s="130" t="s">
        <v>256</v>
      </c>
      <c r="D358" s="131" t="s">
        <v>11</v>
      </c>
      <c r="E358" s="131" t="s">
        <v>51</v>
      </c>
      <c r="F358" s="131" t="s">
        <v>1882</v>
      </c>
      <c r="G358" s="305" t="s">
        <v>27</v>
      </c>
      <c r="H358" s="126">
        <v>31939.34</v>
      </c>
      <c r="I358" s="131">
        <v>7210010050</v>
      </c>
      <c r="J358" s="131" t="str">
        <f t="shared" si="19"/>
        <v>7210010050</v>
      </c>
      <c r="K358" s="304" t="str">
        <f t="shared" si="18"/>
        <v>60201137210010050129</v>
      </c>
      <c r="L358" s="17"/>
      <c r="M358" s="16"/>
    </row>
    <row r="359" spans="1:13" s="31" customFormat="1" ht="31.5">
      <c r="A359" s="30"/>
      <c r="B359" s="129" t="s">
        <v>187</v>
      </c>
      <c r="C359" s="109" t="s">
        <v>256</v>
      </c>
      <c r="D359" s="108" t="s">
        <v>11</v>
      </c>
      <c r="E359" s="108" t="s">
        <v>51</v>
      </c>
      <c r="F359" s="108" t="s">
        <v>1181</v>
      </c>
      <c r="G359" s="108" t="s">
        <v>9</v>
      </c>
      <c r="H359" s="126">
        <v>1399004.04</v>
      </c>
      <c r="I359" s="108">
        <v>7210020050</v>
      </c>
      <c r="J359" s="108" t="str">
        <f t="shared" si="19"/>
        <v>7210020050</v>
      </c>
      <c r="K359" s="304" t="str">
        <f t="shared" si="18"/>
        <v>60201137210020050000</v>
      </c>
      <c r="L359" s="17" t="str">
        <f>INDEX('реш СГД № 265'!$A:$N,MATCH('БА расх 2018 31 12 2018'!$K359,'реш СГД № 265'!$N:$N,0),3)</f>
        <v>Расходы на выплаты на основании исполнительных листов судебных органов</v>
      </c>
      <c r="M359" s="16">
        <f t="shared" si="20"/>
        <v>1</v>
      </c>
    </row>
    <row r="360" spans="1:13" s="31" customFormat="1" ht="15.75">
      <c r="A360" s="30"/>
      <c r="B360" s="125" t="s">
        <v>189</v>
      </c>
      <c r="C360" s="109" t="s">
        <v>256</v>
      </c>
      <c r="D360" s="108" t="s">
        <v>11</v>
      </c>
      <c r="E360" s="108" t="s">
        <v>51</v>
      </c>
      <c r="F360" s="108" t="s">
        <v>1181</v>
      </c>
      <c r="G360" s="108" t="s">
        <v>190</v>
      </c>
      <c r="H360" s="126">
        <v>1399004.04</v>
      </c>
      <c r="I360" s="108">
        <v>7210020050</v>
      </c>
      <c r="J360" s="108" t="str">
        <f t="shared" si="19"/>
        <v>7210020050</v>
      </c>
      <c r="K360" s="304" t="str">
        <f t="shared" si="18"/>
        <v>60201137210020050830</v>
      </c>
      <c r="L360" s="17" t="str">
        <f>INDEX('реш СГД № 265'!$A:$N,MATCH('БА расх 2018 31 12 2018'!$K360,'реш СГД № 265'!$N:$N,0),3)</f>
        <v>Исполнение судебных актов</v>
      </c>
      <c r="M360" s="16">
        <f t="shared" si="20"/>
        <v>1</v>
      </c>
    </row>
    <row r="361" spans="1:13" s="31" customFormat="1" ht="31.5">
      <c r="A361" s="30"/>
      <c r="B361" s="129" t="s">
        <v>191</v>
      </c>
      <c r="C361" s="109" t="s">
        <v>256</v>
      </c>
      <c r="D361" s="108" t="s">
        <v>11</v>
      </c>
      <c r="E361" s="108" t="s">
        <v>51</v>
      </c>
      <c r="F361" s="108" t="s">
        <v>1181</v>
      </c>
      <c r="G361" s="108" t="s">
        <v>192</v>
      </c>
      <c r="H361" s="126">
        <v>1399004.04</v>
      </c>
      <c r="I361" s="108">
        <v>7210020050</v>
      </c>
      <c r="J361" s="108" t="str">
        <f t="shared" si="19"/>
        <v>7210020050</v>
      </c>
      <c r="K361" s="304" t="str">
        <f t="shared" si="18"/>
        <v>60201137210020050831</v>
      </c>
      <c r="L361" s="17"/>
      <c r="M361" s="16"/>
    </row>
    <row r="362" spans="1:13" s="31" customFormat="1" ht="267.75">
      <c r="A362" s="30"/>
      <c r="B362" s="132" t="s">
        <v>2269</v>
      </c>
      <c r="C362" s="109" t="s">
        <v>256</v>
      </c>
      <c r="D362" s="108" t="s">
        <v>11</v>
      </c>
      <c r="E362" s="108" t="s">
        <v>51</v>
      </c>
      <c r="F362" s="108" t="s">
        <v>1270</v>
      </c>
      <c r="G362" s="108" t="s">
        <v>9</v>
      </c>
      <c r="H362" s="126">
        <v>1965595.0799999998</v>
      </c>
      <c r="I362" s="108">
        <v>7210077460</v>
      </c>
      <c r="J362" s="108" t="str">
        <f t="shared" si="19"/>
        <v>7210077460</v>
      </c>
      <c r="K362" s="304" t="str">
        <f t="shared" si="18"/>
        <v>60201137210077460000</v>
      </c>
      <c r="L362" s="132" t="str">
        <f>INDEX('реш СГД № 265'!$A:$N,MATCH('БА расх 2018 31 12 2018'!$K362,'реш СГД № 265'!$N:$N,0),3)</f>
        <v>Субсидии на компенсацию расходов по повышению заработной платы муниципальных служащих муниципальной службы и лиц, не замещающих должности муниципальной службы и исполняющих обязанности по техническому обеспечению деятельности органов местного самоуправления муниципальных образований, а также работников муниципальных учреждений, за исключением отдельных категорий работников муниципальных учреждений, которым повышение заработной платы осуществляется в соответствии с указами Президента Российской Федерации от 7 мая 2012 года № 597 «О мероприятиях по реализации государственной социальной политики», от 1 июня 2012 года № 761 «О Национальной стратегии действий в интересах детей на 2012 - 2017 годы» и от 28 декабря 2012 года № 1688 «О некоторых мерах по реализации государственной политики в сфере защиты детей-сирот и детей, оставшихся без попечения родителей»</v>
      </c>
      <c r="M362" s="17">
        <f t="shared" si="20"/>
        <v>1</v>
      </c>
    </row>
    <row r="363" spans="1:13" s="31" customFormat="1" ht="31.5">
      <c r="A363" s="30"/>
      <c r="B363" s="164" t="s">
        <v>20</v>
      </c>
      <c r="C363" s="109" t="s">
        <v>256</v>
      </c>
      <c r="D363" s="108" t="s">
        <v>11</v>
      </c>
      <c r="E363" s="108" t="s">
        <v>51</v>
      </c>
      <c r="F363" s="108" t="s">
        <v>1270</v>
      </c>
      <c r="G363" s="108" t="s">
        <v>21</v>
      </c>
      <c r="H363" s="126">
        <v>1965595.0799999998</v>
      </c>
      <c r="I363" s="108">
        <v>7210077460</v>
      </c>
      <c r="J363" s="108" t="str">
        <f t="shared" si="19"/>
        <v>7210077460</v>
      </c>
      <c r="K363" s="304" t="str">
        <f t="shared" si="18"/>
        <v>60201137210077460120</v>
      </c>
      <c r="L363" s="17" t="str">
        <f>INDEX('реш СГД № 265'!$A:$N,MATCH('БА расх 2018 31 12 2018'!$K363,'реш СГД № 265'!$N:$N,0),3)</f>
        <v>Расходы на выплаты персоналу государственных (муниципальных) органов</v>
      </c>
      <c r="M363" s="16">
        <f t="shared" si="20"/>
        <v>1</v>
      </c>
    </row>
    <row r="364" spans="1:13" s="31" customFormat="1" ht="31.5">
      <c r="A364" s="30"/>
      <c r="B364" s="127" t="s">
        <v>40</v>
      </c>
      <c r="C364" s="109" t="s">
        <v>256</v>
      </c>
      <c r="D364" s="108" t="s">
        <v>11</v>
      </c>
      <c r="E364" s="108" t="s">
        <v>51</v>
      </c>
      <c r="F364" s="108" t="s">
        <v>1270</v>
      </c>
      <c r="G364" s="108" t="s">
        <v>41</v>
      </c>
      <c r="H364" s="126">
        <v>1509673.64</v>
      </c>
      <c r="I364" s="108">
        <v>7210077460</v>
      </c>
      <c r="J364" s="108" t="str">
        <f t="shared" si="19"/>
        <v>7210077460</v>
      </c>
      <c r="K364" s="304" t="str">
        <f t="shared" si="18"/>
        <v>60201137210077460121</v>
      </c>
      <c r="L364" s="17"/>
      <c r="M364" s="16"/>
    </row>
    <row r="365" spans="1:13" s="31" customFormat="1" ht="47.25">
      <c r="A365" s="30"/>
      <c r="B365" s="127" t="s">
        <v>26</v>
      </c>
      <c r="C365" s="109" t="s">
        <v>256</v>
      </c>
      <c r="D365" s="108" t="s">
        <v>11</v>
      </c>
      <c r="E365" s="108" t="s">
        <v>51</v>
      </c>
      <c r="F365" s="108" t="s">
        <v>1270</v>
      </c>
      <c r="G365" s="108" t="s">
        <v>27</v>
      </c>
      <c r="H365" s="126">
        <v>455921.44</v>
      </c>
      <c r="I365" s="108">
        <v>7210077460</v>
      </c>
      <c r="J365" s="108" t="str">
        <f t="shared" si="19"/>
        <v>7210077460</v>
      </c>
      <c r="K365" s="304" t="str">
        <f t="shared" si="18"/>
        <v>60201137210077460129</v>
      </c>
      <c r="L365" s="17"/>
      <c r="M365" s="16"/>
    </row>
    <row r="366" spans="1:13" s="31" customFormat="1" ht="236.25">
      <c r="A366" s="30"/>
      <c r="B366" s="164" t="s">
        <v>2247</v>
      </c>
      <c r="C366" s="109" t="s">
        <v>256</v>
      </c>
      <c r="D366" s="108" t="s">
        <v>11</v>
      </c>
      <c r="E366" s="108" t="s">
        <v>51</v>
      </c>
      <c r="F366" s="108" t="s">
        <v>2246</v>
      </c>
      <c r="G366" s="108" t="s">
        <v>9</v>
      </c>
      <c r="H366" s="126">
        <v>87051.72</v>
      </c>
      <c r="I366" s="108">
        <v>7210077580</v>
      </c>
      <c r="J366" s="108" t="str">
        <f t="shared" si="19"/>
        <v>7210077580</v>
      </c>
      <c r="K366" s="304" t="str">
        <f t="shared" ref="K366:K429" si="23">C366&amp;D366&amp;E366&amp;J366&amp;G366</f>
        <v>60201137210077580000</v>
      </c>
      <c r="L366" s="17" t="str">
        <f>INDEX('реш СГД № 265'!$A:$N,MATCH('БА расх 2018 31 12 2018'!$K366,'реш СГД № 265'!$N:$N,0),3)</f>
        <v>Субсидии на компенсацию расходов на обеспечение выплаты лицам, не замещающим муниципальные должности муниципальной службы и исполняющим обязанности по техническому обеспечению деятельности органов местного самоуправления муниципальных образований, работникам органов местного самоуправления муниципальных образований, осуществляющим профессиональную деятельность по профессиям рабочих, и работникам муниципальных учреждений заработной платы не ниже установленного с 01 мая 2018 года федеральным законом минимального размера оплаты труда, а также компенсацию расходов на обеспечение выплаты работникам муниципальных учреждений с 01 января 2018 года коэффициента к заработной плате за работу в пустынных и безводных местностях</v>
      </c>
      <c r="M366" s="16">
        <f t="shared" si="20"/>
        <v>1</v>
      </c>
    </row>
    <row r="367" spans="1:13" s="31" customFormat="1" ht="31.5">
      <c r="A367" s="30"/>
      <c r="B367" s="164" t="s">
        <v>20</v>
      </c>
      <c r="C367" s="109" t="s">
        <v>256</v>
      </c>
      <c r="D367" s="108" t="s">
        <v>11</v>
      </c>
      <c r="E367" s="108" t="s">
        <v>51</v>
      </c>
      <c r="F367" s="108" t="s">
        <v>2246</v>
      </c>
      <c r="G367" s="108" t="s">
        <v>21</v>
      </c>
      <c r="H367" s="126">
        <v>87051.72</v>
      </c>
      <c r="I367" s="108">
        <v>7210077580</v>
      </c>
      <c r="J367" s="108" t="str">
        <f t="shared" ref="J367:J430" si="24">TEXT(I367,"0000000000")</f>
        <v>7210077580</v>
      </c>
      <c r="K367" s="304" t="str">
        <f t="shared" si="23"/>
        <v>60201137210077580120</v>
      </c>
      <c r="L367" s="17" t="str">
        <f>INDEX('реш СГД № 265'!$A:$N,MATCH('БА расх 2018 31 12 2018'!$K367,'реш СГД № 265'!$N:$N,0),3)</f>
        <v>Расходы на выплаты персоналу государственных (муниципальных) органов</v>
      </c>
      <c r="M367" s="16">
        <f t="shared" ref="M367:M430" si="25">IF(B367=L367,1,0)</f>
        <v>1</v>
      </c>
    </row>
    <row r="368" spans="1:13" s="31" customFormat="1" ht="31.5">
      <c r="A368" s="30"/>
      <c r="B368" s="127" t="s">
        <v>40</v>
      </c>
      <c r="C368" s="109" t="s">
        <v>256</v>
      </c>
      <c r="D368" s="108" t="s">
        <v>11</v>
      </c>
      <c r="E368" s="108" t="s">
        <v>51</v>
      </c>
      <c r="F368" s="108" t="s">
        <v>2246</v>
      </c>
      <c r="G368" s="108" t="s">
        <v>41</v>
      </c>
      <c r="H368" s="126">
        <v>66860</v>
      </c>
      <c r="I368" s="108">
        <v>7210077580</v>
      </c>
      <c r="J368" s="108" t="str">
        <f t="shared" si="24"/>
        <v>7210077580</v>
      </c>
      <c r="K368" s="304" t="str">
        <f t="shared" si="23"/>
        <v>60201137210077580121</v>
      </c>
      <c r="L368" s="17"/>
      <c r="M368" s="16"/>
    </row>
    <row r="369" spans="1:13" s="31" customFormat="1" ht="47.25">
      <c r="A369" s="30"/>
      <c r="B369" s="127" t="s">
        <v>26</v>
      </c>
      <c r="C369" s="109" t="s">
        <v>256</v>
      </c>
      <c r="D369" s="108" t="s">
        <v>11</v>
      </c>
      <c r="E369" s="108" t="s">
        <v>51</v>
      </c>
      <c r="F369" s="108" t="s">
        <v>2246</v>
      </c>
      <c r="G369" s="108" t="s">
        <v>27</v>
      </c>
      <c r="H369" s="126">
        <v>20191.72</v>
      </c>
      <c r="I369" s="108">
        <v>7210077580</v>
      </c>
      <c r="J369" s="108" t="str">
        <f t="shared" si="24"/>
        <v>7210077580</v>
      </c>
      <c r="K369" s="304" t="str">
        <f t="shared" si="23"/>
        <v>60201137210077580129</v>
      </c>
      <c r="L369" s="17"/>
      <c r="M369" s="16"/>
    </row>
    <row r="370" spans="1:13" s="31" customFormat="1" ht="15.75">
      <c r="A370" s="30"/>
      <c r="B370" s="125" t="s">
        <v>52</v>
      </c>
      <c r="C370" s="109" t="s">
        <v>256</v>
      </c>
      <c r="D370" s="108" t="s">
        <v>11</v>
      </c>
      <c r="E370" s="108" t="s">
        <v>51</v>
      </c>
      <c r="F370" s="108" t="s">
        <v>1058</v>
      </c>
      <c r="G370" s="108" t="s">
        <v>9</v>
      </c>
      <c r="H370" s="126">
        <v>1088184.97</v>
      </c>
      <c r="I370" s="108">
        <v>7220000000</v>
      </c>
      <c r="J370" s="108" t="str">
        <f t="shared" si="24"/>
        <v>7220000000</v>
      </c>
      <c r="K370" s="304" t="str">
        <f t="shared" si="23"/>
        <v>60201137220000000000</v>
      </c>
      <c r="L370" s="17" t="str">
        <f>INDEX('реш СГД № 265'!$A:$N,MATCH('БА расх 2018 31 12 2018'!$K370,'реш СГД № 265'!$N:$N,0),3)</f>
        <v>Расходы, предусмотренные на иные цели</v>
      </c>
      <c r="M370" s="16">
        <f t="shared" si="25"/>
        <v>1</v>
      </c>
    </row>
    <row r="371" spans="1:13" s="31" customFormat="1" ht="47.25">
      <c r="A371" s="30"/>
      <c r="B371" s="125" t="s">
        <v>1059</v>
      </c>
      <c r="C371" s="109" t="s">
        <v>256</v>
      </c>
      <c r="D371" s="108" t="s">
        <v>11</v>
      </c>
      <c r="E371" s="108" t="s">
        <v>51</v>
      </c>
      <c r="F371" s="108" t="s">
        <v>1060</v>
      </c>
      <c r="G371" s="108" t="s">
        <v>9</v>
      </c>
      <c r="H371" s="126">
        <v>1088184.97</v>
      </c>
      <c r="I371" s="108">
        <v>7220020970</v>
      </c>
      <c r="J371" s="108" t="str">
        <f t="shared" si="24"/>
        <v>7220020970</v>
      </c>
      <c r="K371" s="304" t="str">
        <f t="shared" si="23"/>
        <v>60201137220020970000</v>
      </c>
      <c r="L371" s="17" t="str">
        <f>INDEX('реш СГД № 265'!$A:$N,MATCH('БА расх 2018 31 12 2018'!$K371,'реш СГД № 265'!$N:$N,0),3)</f>
        <v>Расходы на уплату налога на добавленную стоимость в связи с реализацией муниципального имущества физическим лицам</v>
      </c>
      <c r="M371" s="16">
        <f t="shared" si="25"/>
        <v>1</v>
      </c>
    </row>
    <row r="372" spans="1:13" s="31" customFormat="1" ht="15.75">
      <c r="A372" s="30"/>
      <c r="B372" s="125" t="s">
        <v>32</v>
      </c>
      <c r="C372" s="109" t="s">
        <v>256</v>
      </c>
      <c r="D372" s="108" t="s">
        <v>11</v>
      </c>
      <c r="E372" s="108" t="s">
        <v>51</v>
      </c>
      <c r="F372" s="108" t="s">
        <v>1060</v>
      </c>
      <c r="G372" s="108" t="s">
        <v>33</v>
      </c>
      <c r="H372" s="126">
        <v>1088184.97</v>
      </c>
      <c r="I372" s="108">
        <v>7220020970</v>
      </c>
      <c r="J372" s="108" t="str">
        <f t="shared" si="24"/>
        <v>7220020970</v>
      </c>
      <c r="K372" s="304" t="str">
        <f t="shared" si="23"/>
        <v>60201137220020970850</v>
      </c>
      <c r="L372" s="17" t="str">
        <f>INDEX('реш СГД № 265'!$A:$N,MATCH('БА расх 2018 31 12 2018'!$K372,'реш СГД № 265'!$N:$N,0),3)</f>
        <v>Уплата налогов, сборов и иных платежей</v>
      </c>
      <c r="M372" s="16">
        <f t="shared" si="25"/>
        <v>1</v>
      </c>
    </row>
    <row r="373" spans="1:13" s="31" customFormat="1" ht="15.75">
      <c r="A373" s="30"/>
      <c r="B373" s="127" t="s">
        <v>36</v>
      </c>
      <c r="C373" s="109" t="s">
        <v>256</v>
      </c>
      <c r="D373" s="108" t="s">
        <v>11</v>
      </c>
      <c r="E373" s="108" t="s">
        <v>51</v>
      </c>
      <c r="F373" s="108" t="s">
        <v>1060</v>
      </c>
      <c r="G373" s="108" t="s">
        <v>37</v>
      </c>
      <c r="H373" s="126">
        <v>1088184.97</v>
      </c>
      <c r="I373" s="108">
        <v>7220020970</v>
      </c>
      <c r="J373" s="108" t="str">
        <f t="shared" si="24"/>
        <v>7220020970</v>
      </c>
      <c r="K373" s="304" t="str">
        <f t="shared" si="23"/>
        <v>60201137220020970852</v>
      </c>
      <c r="L373" s="17"/>
      <c r="M373" s="16"/>
    </row>
    <row r="374" spans="1:13" s="29" customFormat="1" ht="47.25">
      <c r="A374" s="28"/>
      <c r="B374" s="307" t="s">
        <v>87</v>
      </c>
      <c r="C374" s="109" t="s">
        <v>256</v>
      </c>
      <c r="D374" s="108" t="s">
        <v>11</v>
      </c>
      <c r="E374" s="108" t="s">
        <v>51</v>
      </c>
      <c r="F374" s="108" t="s">
        <v>88</v>
      </c>
      <c r="G374" s="108" t="s">
        <v>9</v>
      </c>
      <c r="H374" s="126">
        <v>30406800</v>
      </c>
      <c r="I374" s="108">
        <v>9800000000</v>
      </c>
      <c r="J374" s="108" t="str">
        <f t="shared" si="24"/>
        <v>9800000000</v>
      </c>
      <c r="K374" s="304" t="str">
        <f t="shared" si="23"/>
        <v>60201139800000000000</v>
      </c>
      <c r="L374" s="17" t="str">
        <f>INDEX('реш СГД № 265'!$A:$N,MATCH('БА расх 2018 31 12 2018'!$K374,'реш СГД № 265'!$N:$N,0),3)</f>
        <v>Реализация иных функций Ставропольской городской Думы, администрации города Ставрополя, ее отраслевых (функциональных) и территориальных органов</v>
      </c>
      <c r="M374" s="16">
        <f t="shared" si="25"/>
        <v>1</v>
      </c>
    </row>
    <row r="375" spans="1:13" s="29" customFormat="1" ht="15.75">
      <c r="A375" s="28"/>
      <c r="B375" s="307" t="s">
        <v>89</v>
      </c>
      <c r="C375" s="109" t="s">
        <v>256</v>
      </c>
      <c r="D375" s="108" t="s">
        <v>11</v>
      </c>
      <c r="E375" s="108" t="s">
        <v>51</v>
      </c>
      <c r="F375" s="108" t="s">
        <v>90</v>
      </c>
      <c r="G375" s="108" t="s">
        <v>9</v>
      </c>
      <c r="H375" s="126">
        <v>30406800</v>
      </c>
      <c r="I375" s="108">
        <v>9810000000</v>
      </c>
      <c r="J375" s="108" t="str">
        <f t="shared" si="24"/>
        <v>9810000000</v>
      </c>
      <c r="K375" s="304" t="str">
        <f t="shared" si="23"/>
        <v>60201139810000000000</v>
      </c>
      <c r="L375" s="17" t="str">
        <f>INDEX('реш СГД № 265'!$A:$N,MATCH('БА расх 2018 31 12 2018'!$K375,'реш СГД № 265'!$N:$N,0),3)</f>
        <v>Иные непрограммные мероприятия</v>
      </c>
      <c r="M375" s="16">
        <f t="shared" si="25"/>
        <v>1</v>
      </c>
    </row>
    <row r="376" spans="1:13" s="29" customFormat="1" ht="31.5">
      <c r="A376" s="28"/>
      <c r="B376" s="307" t="s">
        <v>282</v>
      </c>
      <c r="C376" s="109" t="s">
        <v>256</v>
      </c>
      <c r="D376" s="108" t="s">
        <v>11</v>
      </c>
      <c r="E376" s="108" t="s">
        <v>51</v>
      </c>
      <c r="F376" s="108" t="s">
        <v>283</v>
      </c>
      <c r="G376" s="108" t="s">
        <v>9</v>
      </c>
      <c r="H376" s="126">
        <v>250000</v>
      </c>
      <c r="I376" s="108">
        <v>9810021350</v>
      </c>
      <c r="J376" s="108" t="str">
        <f t="shared" si="24"/>
        <v>9810021350</v>
      </c>
      <c r="K376" s="304" t="str">
        <f t="shared" si="23"/>
        <v>60201139810021350000</v>
      </c>
      <c r="L376" s="17" t="str">
        <f>INDEX('реш СГД № 265'!$A:$N,MATCH('БА расх 2018 31 12 2018'!$K376,'реш СГД № 265'!$N:$N,0),3)</f>
        <v>Иные вопросы, связанные с общегосударственным управлением</v>
      </c>
      <c r="M376" s="16">
        <f t="shared" si="25"/>
        <v>1</v>
      </c>
    </row>
    <row r="377" spans="1:13" s="29" customFormat="1" ht="15.75">
      <c r="A377" s="28"/>
      <c r="B377" s="307" t="s">
        <v>189</v>
      </c>
      <c r="C377" s="109" t="s">
        <v>256</v>
      </c>
      <c r="D377" s="108" t="s">
        <v>11</v>
      </c>
      <c r="E377" s="108" t="s">
        <v>51</v>
      </c>
      <c r="F377" s="108" t="s">
        <v>283</v>
      </c>
      <c r="G377" s="108" t="s">
        <v>190</v>
      </c>
      <c r="H377" s="126">
        <v>250000</v>
      </c>
      <c r="I377" s="108">
        <v>9810021350</v>
      </c>
      <c r="J377" s="108" t="str">
        <f t="shared" si="24"/>
        <v>9810021350</v>
      </c>
      <c r="K377" s="304" t="str">
        <f t="shared" si="23"/>
        <v>60201139810021350830</v>
      </c>
      <c r="L377" s="17" t="str">
        <f>INDEX('реш СГД № 265'!$A:$N,MATCH('БА расх 2018 31 12 2018'!$K377,'реш СГД № 265'!$N:$N,0),3)</f>
        <v>Исполнение судебных актов</v>
      </c>
      <c r="M377" s="16">
        <f t="shared" si="25"/>
        <v>1</v>
      </c>
    </row>
    <row r="378" spans="1:13" s="29" customFormat="1" ht="31.5">
      <c r="A378" s="28"/>
      <c r="B378" s="307" t="s">
        <v>191</v>
      </c>
      <c r="C378" s="109" t="s">
        <v>256</v>
      </c>
      <c r="D378" s="108" t="s">
        <v>11</v>
      </c>
      <c r="E378" s="108" t="s">
        <v>51</v>
      </c>
      <c r="F378" s="108" t="s">
        <v>283</v>
      </c>
      <c r="G378" s="108" t="s">
        <v>192</v>
      </c>
      <c r="H378" s="126">
        <v>250000</v>
      </c>
      <c r="I378" s="108">
        <v>9810021350</v>
      </c>
      <c r="J378" s="108" t="str">
        <f t="shared" si="24"/>
        <v>9810021350</v>
      </c>
      <c r="K378" s="304" t="str">
        <f t="shared" si="23"/>
        <v>60201139810021350831</v>
      </c>
      <c r="L378" s="17"/>
      <c r="M378" s="16"/>
    </row>
    <row r="379" spans="1:13" s="29" customFormat="1" ht="31.5">
      <c r="A379" s="28"/>
      <c r="B379" s="127" t="s">
        <v>2250</v>
      </c>
      <c r="C379" s="109" t="s">
        <v>256</v>
      </c>
      <c r="D379" s="108" t="s">
        <v>11</v>
      </c>
      <c r="E379" s="108" t="s">
        <v>51</v>
      </c>
      <c r="F379" s="108" t="s">
        <v>2251</v>
      </c>
      <c r="G379" s="108" t="s">
        <v>9</v>
      </c>
      <c r="H379" s="126">
        <v>30156800</v>
      </c>
      <c r="I379" s="108">
        <v>9810021580</v>
      </c>
      <c r="J379" s="108" t="str">
        <f t="shared" si="24"/>
        <v>9810021580</v>
      </c>
      <c r="K379" s="304" t="str">
        <f t="shared" si="23"/>
        <v>60201139810021580000</v>
      </c>
      <c r="L379" s="17" t="str">
        <f>INDEX('реш СГД № 265'!$A:$N,MATCH('БА расх 2018 31 12 2018'!$K379,'реш СГД № 265'!$N:$N,0),3)</f>
        <v>Создание экспозиции военной техники на территории площади имени Святого князя Владимира города Ставрополя</v>
      </c>
      <c r="M379" s="16">
        <f t="shared" si="25"/>
        <v>1</v>
      </c>
    </row>
    <row r="380" spans="1:13" s="29" customFormat="1" ht="31.5">
      <c r="A380" s="28"/>
      <c r="B380" s="125" t="s">
        <v>28</v>
      </c>
      <c r="C380" s="109" t="s">
        <v>256</v>
      </c>
      <c r="D380" s="108" t="s">
        <v>11</v>
      </c>
      <c r="E380" s="108" t="s">
        <v>51</v>
      </c>
      <c r="F380" s="108" t="s">
        <v>2251</v>
      </c>
      <c r="G380" s="108" t="s">
        <v>29</v>
      </c>
      <c r="H380" s="126">
        <v>30156800</v>
      </c>
      <c r="I380" s="108">
        <v>9810021580</v>
      </c>
      <c r="J380" s="108" t="str">
        <f t="shared" si="24"/>
        <v>9810021580</v>
      </c>
      <c r="K380" s="304" t="str">
        <f t="shared" si="23"/>
        <v>60201139810021580240</v>
      </c>
      <c r="L380" s="17" t="str">
        <f>INDEX('реш СГД № 265'!$A:$N,MATCH('БА расх 2018 31 12 2018'!$K380,'реш СГД № 265'!$N:$N,0),3)</f>
        <v>Иные закупки товаров, работ и услуг для обеспечения государственных (муниципальных) нужд</v>
      </c>
      <c r="M380" s="16">
        <f t="shared" si="25"/>
        <v>1</v>
      </c>
    </row>
    <row r="381" spans="1:13" s="29" customFormat="1" ht="15.75">
      <c r="A381" s="28"/>
      <c r="B381" s="125" t="s">
        <v>30</v>
      </c>
      <c r="C381" s="109" t="s">
        <v>256</v>
      </c>
      <c r="D381" s="108" t="s">
        <v>11</v>
      </c>
      <c r="E381" s="108" t="s">
        <v>51</v>
      </c>
      <c r="F381" s="108" t="s">
        <v>2251</v>
      </c>
      <c r="G381" s="108" t="s">
        <v>31</v>
      </c>
      <c r="H381" s="126">
        <v>30156800</v>
      </c>
      <c r="I381" s="108">
        <v>9810021580</v>
      </c>
      <c r="J381" s="108" t="str">
        <f t="shared" si="24"/>
        <v>9810021580</v>
      </c>
      <c r="K381" s="304" t="str">
        <f t="shared" si="23"/>
        <v>60201139810021580244</v>
      </c>
      <c r="L381" s="17"/>
      <c r="M381" s="16"/>
    </row>
    <row r="382" spans="1:13" s="29" customFormat="1" ht="15.75">
      <c r="A382" s="28"/>
      <c r="B382" s="117" t="s">
        <v>195</v>
      </c>
      <c r="C382" s="118" t="s">
        <v>256</v>
      </c>
      <c r="D382" s="119" t="s">
        <v>73</v>
      </c>
      <c r="E382" s="119" t="s">
        <v>7</v>
      </c>
      <c r="F382" s="119" t="s">
        <v>8</v>
      </c>
      <c r="G382" s="119" t="s">
        <v>9</v>
      </c>
      <c r="H382" s="120">
        <v>58137755.819999993</v>
      </c>
      <c r="I382" s="119">
        <v>0</v>
      </c>
      <c r="J382" s="119" t="str">
        <f t="shared" si="24"/>
        <v>0000000000</v>
      </c>
      <c r="K382" s="304" t="str">
        <f t="shared" si="23"/>
        <v>60204000000000000000</v>
      </c>
      <c r="L382" s="17" t="str">
        <f>INDEX('реш СГД № 265'!$A:$N,MATCH('БА расх 2018 31 12 2018'!$K382,'реш СГД № 265'!$N:$N,0),3)</f>
        <v>Национальная экономика</v>
      </c>
      <c r="M382" s="16">
        <f t="shared" si="25"/>
        <v>1</v>
      </c>
    </row>
    <row r="383" spans="1:13" s="29" customFormat="1" ht="15.75">
      <c r="A383" s="28"/>
      <c r="B383" s="121" t="s">
        <v>284</v>
      </c>
      <c r="C383" s="122" t="s">
        <v>256</v>
      </c>
      <c r="D383" s="123" t="s">
        <v>73</v>
      </c>
      <c r="E383" s="123" t="s">
        <v>57</v>
      </c>
      <c r="F383" s="139" t="s">
        <v>8</v>
      </c>
      <c r="G383" s="139" t="s">
        <v>9</v>
      </c>
      <c r="H383" s="124">
        <v>58137755.819999993</v>
      </c>
      <c r="I383" s="139">
        <v>0</v>
      </c>
      <c r="J383" s="139" t="str">
        <f t="shared" si="24"/>
        <v>0000000000</v>
      </c>
      <c r="K383" s="304" t="str">
        <f t="shared" si="23"/>
        <v>60204120000000000000</v>
      </c>
      <c r="L383" s="17" t="str">
        <f>INDEX('реш СГД № 265'!$A:$N,MATCH('БА расх 2018 31 12 2018'!$K383,'реш СГД № 265'!$N:$N,0),3)</f>
        <v>Другие вопросы в области национальной экономики</v>
      </c>
      <c r="M383" s="16">
        <f t="shared" si="25"/>
        <v>1</v>
      </c>
    </row>
    <row r="384" spans="1:13" s="29" customFormat="1" ht="47.25">
      <c r="A384" s="28"/>
      <c r="B384" s="135" t="s">
        <v>285</v>
      </c>
      <c r="C384" s="109" t="s">
        <v>256</v>
      </c>
      <c r="D384" s="108" t="s">
        <v>73</v>
      </c>
      <c r="E384" s="108" t="s">
        <v>57</v>
      </c>
      <c r="F384" s="108" t="s">
        <v>286</v>
      </c>
      <c r="G384" s="108" t="s">
        <v>9</v>
      </c>
      <c r="H384" s="126">
        <v>180000</v>
      </c>
      <c r="I384" s="108">
        <v>200000000</v>
      </c>
      <c r="J384" s="108" t="str">
        <f t="shared" si="24"/>
        <v>0200000000</v>
      </c>
      <c r="K384" s="304" t="str">
        <f t="shared" si="23"/>
        <v>60204120200000000000</v>
      </c>
      <c r="L384" s="17" t="str">
        <f>INDEX('реш СГД № 265'!$A:$N,MATCH('БА расх 2018 31 12 2018'!$K384,'реш СГД № 265'!$N:$N,0),3)</f>
        <v>Муниципальная программа «Поддержка садоводческих, огороднических и дачных некоммерческих объединений граждан, расположенных на территории города Ставрополя»</v>
      </c>
      <c r="M384" s="16">
        <f t="shared" si="25"/>
        <v>1</v>
      </c>
    </row>
    <row r="385" spans="1:13" s="29" customFormat="1" ht="63">
      <c r="A385" s="28"/>
      <c r="B385" s="125" t="s">
        <v>287</v>
      </c>
      <c r="C385" s="109" t="s">
        <v>256</v>
      </c>
      <c r="D385" s="108" t="s">
        <v>73</v>
      </c>
      <c r="E385" s="108" t="s">
        <v>57</v>
      </c>
      <c r="F385" s="108" t="s">
        <v>288</v>
      </c>
      <c r="G385" s="108" t="s">
        <v>9</v>
      </c>
      <c r="H385" s="126">
        <v>180000</v>
      </c>
      <c r="I385" s="108" t="s">
        <v>1182</v>
      </c>
      <c r="J385" s="108" t="str">
        <f t="shared" si="24"/>
        <v>02Б0000000</v>
      </c>
      <c r="K385" s="304" t="str">
        <f t="shared" si="23"/>
        <v>602041202Б0000000000</v>
      </c>
      <c r="L385" s="17" t="str">
        <f>INDEX('реш СГД № 265'!$A:$N,MATCH('БА расх 2018 31 12 2018'!$K385,'реш СГД № 265'!$N:$N,0),3)</f>
        <v>Расходы в рамках реализации муниципальной программы «Поддержка садоводческих, огороднических и дачных некоммерческих объединений граждан, расположенных на территории города Ставрополя»</v>
      </c>
      <c r="M385" s="16">
        <f t="shared" si="25"/>
        <v>1</v>
      </c>
    </row>
    <row r="386" spans="1:13" s="29" customFormat="1" ht="63">
      <c r="A386" s="28"/>
      <c r="B386" s="125" t="s">
        <v>289</v>
      </c>
      <c r="C386" s="109" t="s">
        <v>256</v>
      </c>
      <c r="D386" s="108" t="s">
        <v>73</v>
      </c>
      <c r="E386" s="108" t="s">
        <v>57</v>
      </c>
      <c r="F386" s="108" t="s">
        <v>290</v>
      </c>
      <c r="G386" s="108" t="s">
        <v>9</v>
      </c>
      <c r="H386" s="126">
        <v>180000</v>
      </c>
      <c r="I386" s="108" t="s">
        <v>1183</v>
      </c>
      <c r="J386" s="108" t="str">
        <f t="shared" si="24"/>
        <v>02Б0100000</v>
      </c>
      <c r="K386" s="304" t="str">
        <f t="shared" si="23"/>
        <v>602041202Б0100000000</v>
      </c>
      <c r="L386" s="17" t="str">
        <f>INDEX('реш СГД № 265'!$A:$N,MATCH('БА расх 2018 31 12 2018'!$K386,'реш СГД № 265'!$N:$N,0),3)</f>
        <v>Основное мероприятие «Благоустройство  и инженерное обеспечение территорий садоводческих, огороднических и дачных некоммерческих объединений граждан, расположенных на территории города Ставрополя»</v>
      </c>
      <c r="M386" s="16">
        <f t="shared" si="25"/>
        <v>1</v>
      </c>
    </row>
    <row r="387" spans="1:13" s="29" customFormat="1" ht="78.75">
      <c r="A387" s="28"/>
      <c r="B387" s="125" t="s">
        <v>291</v>
      </c>
      <c r="C387" s="109" t="s">
        <v>256</v>
      </c>
      <c r="D387" s="108" t="s">
        <v>73</v>
      </c>
      <c r="E387" s="108" t="s">
        <v>57</v>
      </c>
      <c r="F387" s="108" t="s">
        <v>292</v>
      </c>
      <c r="G387" s="108" t="s">
        <v>9</v>
      </c>
      <c r="H387" s="126">
        <v>180000</v>
      </c>
      <c r="I387" s="108" t="s">
        <v>1184</v>
      </c>
      <c r="J387" s="108" t="str">
        <f t="shared" si="24"/>
        <v>02Б0120160</v>
      </c>
      <c r="K387" s="304" t="str">
        <f t="shared" si="23"/>
        <v>602041202Б0120160000</v>
      </c>
      <c r="L387" s="17" t="str">
        <f>INDEX('реш СГД № 265'!$A:$N,MATCH('БА расх 2018 31 12 2018'!$K387,'реш СГД № 265'!$N:$N,0),3)</f>
        <v>Расходы на проведение землеустройства (кадастровых работ) по формированию территорий общего пользования садоводческих, огороднических и дачных некоммерческих объединений граждан, расположенных на территории города Ставрополя</v>
      </c>
      <c r="M387" s="16">
        <f t="shared" si="25"/>
        <v>1</v>
      </c>
    </row>
    <row r="388" spans="1:13" s="29" customFormat="1" ht="31.5">
      <c r="A388" s="28"/>
      <c r="B388" s="125" t="s">
        <v>28</v>
      </c>
      <c r="C388" s="109" t="s">
        <v>256</v>
      </c>
      <c r="D388" s="108" t="s">
        <v>73</v>
      </c>
      <c r="E388" s="108" t="s">
        <v>57</v>
      </c>
      <c r="F388" s="108" t="s">
        <v>292</v>
      </c>
      <c r="G388" s="108" t="s">
        <v>29</v>
      </c>
      <c r="H388" s="126">
        <v>180000</v>
      </c>
      <c r="I388" s="108" t="s">
        <v>1184</v>
      </c>
      <c r="J388" s="108" t="str">
        <f t="shared" si="24"/>
        <v>02Б0120160</v>
      </c>
      <c r="K388" s="304" t="str">
        <f t="shared" si="23"/>
        <v>602041202Б0120160240</v>
      </c>
      <c r="L388" s="17" t="str">
        <f>INDEX('реш СГД № 265'!$A:$N,MATCH('БА расх 2018 31 12 2018'!$K388,'реш СГД № 265'!$N:$N,0),3)</f>
        <v>Иные закупки товаров, работ и услуг для обеспечения государственных (муниципальных) нужд</v>
      </c>
      <c r="M388" s="16">
        <f t="shared" si="25"/>
        <v>1</v>
      </c>
    </row>
    <row r="389" spans="1:13" s="29" customFormat="1" ht="15.75">
      <c r="A389" s="28"/>
      <c r="B389" s="125" t="s">
        <v>30</v>
      </c>
      <c r="C389" s="109" t="s">
        <v>256</v>
      </c>
      <c r="D389" s="108" t="s">
        <v>73</v>
      </c>
      <c r="E389" s="108" t="s">
        <v>57</v>
      </c>
      <c r="F389" s="108" t="s">
        <v>292</v>
      </c>
      <c r="G389" s="108" t="s">
        <v>31</v>
      </c>
      <c r="H389" s="126">
        <v>180000</v>
      </c>
      <c r="I389" s="108" t="s">
        <v>1184</v>
      </c>
      <c r="J389" s="108" t="str">
        <f t="shared" si="24"/>
        <v>02Б0120160</v>
      </c>
      <c r="K389" s="304" t="str">
        <f t="shared" si="23"/>
        <v>602041202Б0120160244</v>
      </c>
      <c r="L389" s="17"/>
      <c r="M389" s="16"/>
    </row>
    <row r="390" spans="1:13" s="29" customFormat="1" ht="63">
      <c r="A390" s="28"/>
      <c r="B390" s="127" t="s">
        <v>293</v>
      </c>
      <c r="C390" s="109" t="s">
        <v>256</v>
      </c>
      <c r="D390" s="108" t="s">
        <v>73</v>
      </c>
      <c r="E390" s="108" t="s">
        <v>57</v>
      </c>
      <c r="F390" s="108" t="s">
        <v>294</v>
      </c>
      <c r="G390" s="108" t="s">
        <v>9</v>
      </c>
      <c r="H390" s="126">
        <v>57305898.669999994</v>
      </c>
      <c r="I390" s="108">
        <v>400000000</v>
      </c>
      <c r="J390" s="108" t="str">
        <f t="shared" si="24"/>
        <v>0400000000</v>
      </c>
      <c r="K390" s="304" t="str">
        <f t="shared" si="23"/>
        <v>60204120400000000000</v>
      </c>
      <c r="L390" s="17" t="str">
        <f>INDEX('реш СГД № 265'!$A:$N,MATCH('БА расх 2018 31 12 2018'!$K390,'реш СГД № 265'!$N:$N,0),3)</f>
        <v>Муниципальная программа «Развитие жилищно-коммунального хозяйства, транспортной системы на территории города Ставрополя, благоустройство территории города Ставрополя»</v>
      </c>
      <c r="M390" s="16">
        <f t="shared" si="25"/>
        <v>1</v>
      </c>
    </row>
    <row r="391" spans="1:13" s="29" customFormat="1" ht="63">
      <c r="A391" s="28"/>
      <c r="B391" s="140" t="s">
        <v>295</v>
      </c>
      <c r="C391" s="109" t="s">
        <v>256</v>
      </c>
      <c r="D391" s="108" t="s">
        <v>73</v>
      </c>
      <c r="E391" s="108" t="s">
        <v>57</v>
      </c>
      <c r="F391" s="108" t="s">
        <v>296</v>
      </c>
      <c r="G391" s="108" t="s">
        <v>9</v>
      </c>
      <c r="H391" s="126">
        <v>57305898.669999994</v>
      </c>
      <c r="I391" s="108">
        <v>420000000</v>
      </c>
      <c r="J391" s="108" t="str">
        <f t="shared" si="24"/>
        <v>0420000000</v>
      </c>
      <c r="K391" s="304" t="str">
        <f t="shared" si="23"/>
        <v>60204120420000000000</v>
      </c>
      <c r="L391" s="17" t="str">
        <f>INDEX('реш СГД № 265'!$A:$N,MATCH('БА расх 2018 31 12 2018'!$K391,'реш СГД № 265'!$N:$N,0),3)</f>
        <v xml:space="preserve">Подпрограмма «Дорожная деятельность и обеспечение безопасности дорожного движения, организация транспортного обслуживания населения на территории города Ставрополя» </v>
      </c>
      <c r="M391" s="16">
        <f t="shared" si="25"/>
        <v>1</v>
      </c>
    </row>
    <row r="392" spans="1:13" s="29" customFormat="1" ht="63">
      <c r="A392" s="28"/>
      <c r="B392" s="125" t="s">
        <v>297</v>
      </c>
      <c r="C392" s="109" t="s">
        <v>256</v>
      </c>
      <c r="D392" s="108" t="s">
        <v>73</v>
      </c>
      <c r="E392" s="108" t="s">
        <v>57</v>
      </c>
      <c r="F392" s="108" t="s">
        <v>298</v>
      </c>
      <c r="G392" s="108" t="s">
        <v>9</v>
      </c>
      <c r="H392" s="126">
        <v>57305898.669999994</v>
      </c>
      <c r="I392" s="108">
        <v>420200000</v>
      </c>
      <c r="J392" s="108" t="str">
        <f t="shared" si="24"/>
        <v>0420200000</v>
      </c>
      <c r="K392" s="304" t="str">
        <f t="shared" si="23"/>
        <v>60204120420200000000</v>
      </c>
      <c r="L392" s="17" t="str">
        <f>INDEX('реш СГД № 265'!$A:$N,MATCH('БА расх 2018 31 12 2018'!$K392,'реш СГД № 265'!$N:$N,0),3)</f>
        <v>Основное мероприятие «Организация дорожной деятельности в отношении автомобильных дорог общего пользования местного значения в границах города Ставрополя»</v>
      </c>
      <c r="M392" s="16">
        <f t="shared" si="25"/>
        <v>1</v>
      </c>
    </row>
    <row r="393" spans="1:13" s="29" customFormat="1" ht="15.75">
      <c r="A393" s="28"/>
      <c r="B393" s="125" t="s">
        <v>299</v>
      </c>
      <c r="C393" s="109" t="s">
        <v>256</v>
      </c>
      <c r="D393" s="108" t="s">
        <v>73</v>
      </c>
      <c r="E393" s="108" t="s">
        <v>57</v>
      </c>
      <c r="F393" s="108" t="s">
        <v>300</v>
      </c>
      <c r="G393" s="108" t="s">
        <v>9</v>
      </c>
      <c r="H393" s="126">
        <v>10521351.300000001</v>
      </c>
      <c r="I393" s="108">
        <v>420221470</v>
      </c>
      <c r="J393" s="108" t="str">
        <f t="shared" si="24"/>
        <v>0420221470</v>
      </c>
      <c r="K393" s="304" t="str">
        <f t="shared" si="23"/>
        <v>60204120420221470000</v>
      </c>
      <c r="L393" s="17" t="str">
        <f>INDEX('реш СГД № 265'!$A:$N,MATCH('БА расх 2018 31 12 2018'!$K393,'реш СГД № 265'!$N:$N,0),3)</f>
        <v>Расходы на приобретение коммунальной техники</v>
      </c>
      <c r="M393" s="16">
        <f t="shared" si="25"/>
        <v>1</v>
      </c>
    </row>
    <row r="394" spans="1:13" s="29" customFormat="1" ht="31.5">
      <c r="A394" s="28"/>
      <c r="B394" s="125" t="s">
        <v>28</v>
      </c>
      <c r="C394" s="109" t="s">
        <v>256</v>
      </c>
      <c r="D394" s="108" t="s">
        <v>73</v>
      </c>
      <c r="E394" s="108" t="s">
        <v>57</v>
      </c>
      <c r="F394" s="108" t="s">
        <v>300</v>
      </c>
      <c r="G394" s="108" t="s">
        <v>29</v>
      </c>
      <c r="H394" s="126">
        <v>10521351.300000001</v>
      </c>
      <c r="I394" s="108">
        <v>420221470</v>
      </c>
      <c r="J394" s="108" t="str">
        <f t="shared" si="24"/>
        <v>0420221470</v>
      </c>
      <c r="K394" s="304" t="str">
        <f t="shared" si="23"/>
        <v>60204120420221470240</v>
      </c>
      <c r="L394" s="17" t="str">
        <f>INDEX('реш СГД № 265'!$A:$N,MATCH('БА расх 2018 31 12 2018'!$K394,'реш СГД № 265'!$N:$N,0),3)</f>
        <v>Иные закупки товаров, работ и услуг для обеспечения государственных (муниципальных) нужд</v>
      </c>
      <c r="M394" s="16">
        <f t="shared" si="25"/>
        <v>1</v>
      </c>
    </row>
    <row r="395" spans="1:13" s="29" customFormat="1" ht="15.75">
      <c r="A395" s="28"/>
      <c r="B395" s="125" t="s">
        <v>30</v>
      </c>
      <c r="C395" s="109" t="s">
        <v>256</v>
      </c>
      <c r="D395" s="108" t="s">
        <v>73</v>
      </c>
      <c r="E395" s="108" t="s">
        <v>57</v>
      </c>
      <c r="F395" s="108" t="s">
        <v>300</v>
      </c>
      <c r="G395" s="108" t="s">
        <v>31</v>
      </c>
      <c r="H395" s="126">
        <v>10521351.300000001</v>
      </c>
      <c r="I395" s="108">
        <v>420221470</v>
      </c>
      <c r="J395" s="108" t="str">
        <f t="shared" si="24"/>
        <v>0420221470</v>
      </c>
      <c r="K395" s="304" t="str">
        <f t="shared" si="23"/>
        <v>60204120420221470244</v>
      </c>
      <c r="L395" s="17"/>
      <c r="M395" s="16"/>
    </row>
    <row r="396" spans="1:13" s="29" customFormat="1" ht="31.5">
      <c r="A396" s="28"/>
      <c r="B396" s="125" t="s">
        <v>1885</v>
      </c>
      <c r="C396" s="109" t="s">
        <v>256</v>
      </c>
      <c r="D396" s="108" t="s">
        <v>73</v>
      </c>
      <c r="E396" s="108" t="s">
        <v>57</v>
      </c>
      <c r="F396" s="108" t="s">
        <v>1886</v>
      </c>
      <c r="G396" s="108" t="s">
        <v>9</v>
      </c>
      <c r="H396" s="126">
        <v>44445320</v>
      </c>
      <c r="I396" s="108">
        <v>420277480</v>
      </c>
      <c r="J396" s="108" t="str">
        <f t="shared" si="24"/>
        <v>0420277480</v>
      </c>
      <c r="K396" s="304" t="str">
        <f t="shared" si="23"/>
        <v>60204120420277480000</v>
      </c>
      <c r="L396" s="17" t="str">
        <f>INDEX('реш СГД № 265'!$A:$N,MATCH('БА расх 2018 31 12 2018'!$K396,'реш СГД № 265'!$N:$N,0),3)</f>
        <v>Приобретение коммунальной техники для муниципальных нужд за счет средств краевого бюджета</v>
      </c>
      <c r="M396" s="16">
        <f t="shared" si="25"/>
        <v>1</v>
      </c>
    </row>
    <row r="397" spans="1:13" s="29" customFormat="1" ht="31.5">
      <c r="A397" s="28"/>
      <c r="B397" s="125" t="s">
        <v>28</v>
      </c>
      <c r="C397" s="109" t="s">
        <v>256</v>
      </c>
      <c r="D397" s="108" t="s">
        <v>73</v>
      </c>
      <c r="E397" s="108" t="s">
        <v>57</v>
      </c>
      <c r="F397" s="108" t="s">
        <v>1886</v>
      </c>
      <c r="G397" s="108" t="s">
        <v>29</v>
      </c>
      <c r="H397" s="126">
        <v>44445320</v>
      </c>
      <c r="I397" s="108">
        <v>420277480</v>
      </c>
      <c r="J397" s="108" t="str">
        <f t="shared" si="24"/>
        <v>0420277480</v>
      </c>
      <c r="K397" s="304" t="str">
        <f t="shared" si="23"/>
        <v>60204120420277480240</v>
      </c>
      <c r="L397" s="17" t="str">
        <f>INDEX('реш СГД № 265'!$A:$N,MATCH('БА расх 2018 31 12 2018'!$K397,'реш СГД № 265'!$N:$N,0),3)</f>
        <v>Иные закупки товаров, работ и услуг для обеспечения государственных (муниципальных) нужд</v>
      </c>
      <c r="M397" s="16">
        <f t="shared" si="25"/>
        <v>1</v>
      </c>
    </row>
    <row r="398" spans="1:13" s="29" customFormat="1" ht="15.75">
      <c r="A398" s="28"/>
      <c r="B398" s="125" t="s">
        <v>30</v>
      </c>
      <c r="C398" s="109" t="s">
        <v>256</v>
      </c>
      <c r="D398" s="108" t="s">
        <v>73</v>
      </c>
      <c r="E398" s="108" t="s">
        <v>57</v>
      </c>
      <c r="F398" s="108" t="s">
        <v>1886</v>
      </c>
      <c r="G398" s="108" t="s">
        <v>31</v>
      </c>
      <c r="H398" s="126">
        <v>44445320</v>
      </c>
      <c r="I398" s="108">
        <v>420277480</v>
      </c>
      <c r="J398" s="108" t="str">
        <f t="shared" si="24"/>
        <v>0420277480</v>
      </c>
      <c r="K398" s="304" t="str">
        <f t="shared" si="23"/>
        <v>60204120420277480244</v>
      </c>
      <c r="L398" s="17"/>
      <c r="M398" s="16"/>
    </row>
    <row r="399" spans="1:13" s="29" customFormat="1" ht="31.5">
      <c r="A399" s="28"/>
      <c r="B399" s="125" t="s">
        <v>1271</v>
      </c>
      <c r="C399" s="109" t="s">
        <v>256</v>
      </c>
      <c r="D399" s="108" t="s">
        <v>73</v>
      </c>
      <c r="E399" s="108" t="s">
        <v>57</v>
      </c>
      <c r="F399" s="108" t="s">
        <v>1272</v>
      </c>
      <c r="G399" s="108" t="s">
        <v>9</v>
      </c>
      <c r="H399" s="126">
        <v>2339227.37</v>
      </c>
      <c r="I399" s="108" t="s">
        <v>1854</v>
      </c>
      <c r="J399" s="108" t="str">
        <f t="shared" si="24"/>
        <v>04202S7480</v>
      </c>
      <c r="K399" s="304" t="str">
        <f t="shared" si="23"/>
        <v>602041204202S7480000</v>
      </c>
      <c r="L399" s="17" t="str">
        <f>INDEX('реш СГД № 265'!$A:$N,MATCH('БА расх 2018 31 12 2018'!$K399,'реш СГД № 265'!$N:$N,0),3)</f>
        <v>Приобретение коммунальной техники для муниципальных нужд за счет средств местного бюджета</v>
      </c>
      <c r="M399" s="16">
        <f t="shared" si="25"/>
        <v>1</v>
      </c>
    </row>
    <row r="400" spans="1:13" s="29" customFormat="1" ht="31.5">
      <c r="A400" s="28"/>
      <c r="B400" s="125" t="s">
        <v>28</v>
      </c>
      <c r="C400" s="109" t="s">
        <v>256</v>
      </c>
      <c r="D400" s="108" t="s">
        <v>73</v>
      </c>
      <c r="E400" s="108" t="s">
        <v>57</v>
      </c>
      <c r="F400" s="108" t="s">
        <v>1272</v>
      </c>
      <c r="G400" s="108" t="s">
        <v>29</v>
      </c>
      <c r="H400" s="126">
        <v>2339227.37</v>
      </c>
      <c r="I400" s="108" t="s">
        <v>1854</v>
      </c>
      <c r="J400" s="108" t="str">
        <f t="shared" si="24"/>
        <v>04202S7480</v>
      </c>
      <c r="K400" s="304" t="str">
        <f t="shared" si="23"/>
        <v>602041204202S7480240</v>
      </c>
      <c r="L400" s="17" t="str">
        <f>INDEX('реш СГД № 265'!$A:$N,MATCH('БА расх 2018 31 12 2018'!$K400,'реш СГД № 265'!$N:$N,0),3)</f>
        <v>Иные закупки товаров, работ и услуг для обеспечения государственных (муниципальных) нужд</v>
      </c>
      <c r="M400" s="16">
        <f t="shared" si="25"/>
        <v>1</v>
      </c>
    </row>
    <row r="401" spans="1:13" s="29" customFormat="1" ht="15.75">
      <c r="A401" s="28"/>
      <c r="B401" s="125" t="s">
        <v>30</v>
      </c>
      <c r="C401" s="109" t="s">
        <v>256</v>
      </c>
      <c r="D401" s="108" t="s">
        <v>73</v>
      </c>
      <c r="E401" s="108" t="s">
        <v>57</v>
      </c>
      <c r="F401" s="108" t="s">
        <v>1272</v>
      </c>
      <c r="G401" s="108" t="s">
        <v>31</v>
      </c>
      <c r="H401" s="126">
        <v>2339227.37</v>
      </c>
      <c r="I401" s="108" t="s">
        <v>1854</v>
      </c>
      <c r="J401" s="108" t="str">
        <f t="shared" si="24"/>
        <v>04202S7480</v>
      </c>
      <c r="K401" s="304" t="str">
        <f t="shared" si="23"/>
        <v>602041204202S7480244</v>
      </c>
      <c r="L401" s="17"/>
      <c r="M401" s="16"/>
    </row>
    <row r="402" spans="1:13" s="29" customFormat="1" ht="47.25">
      <c r="A402" s="28"/>
      <c r="B402" s="132" t="s">
        <v>257</v>
      </c>
      <c r="C402" s="109" t="s">
        <v>256</v>
      </c>
      <c r="D402" s="108" t="s">
        <v>73</v>
      </c>
      <c r="E402" s="108" t="s">
        <v>57</v>
      </c>
      <c r="F402" s="108" t="s">
        <v>258</v>
      </c>
      <c r="G402" s="108" t="s">
        <v>9</v>
      </c>
      <c r="H402" s="126">
        <v>651857.15</v>
      </c>
      <c r="I402" s="108">
        <v>1100000000</v>
      </c>
      <c r="J402" s="108" t="str">
        <f t="shared" si="24"/>
        <v>1100000000</v>
      </c>
      <c r="K402" s="304" t="str">
        <f t="shared" si="23"/>
        <v>60204121100000000000</v>
      </c>
      <c r="L402" s="17" t="str">
        <f>INDEX('реш СГД № 265'!$A:$N,MATCH('БА расх 2018 31 12 2018'!$K402,'реш СГД № 265'!$N:$N,0),3)</f>
        <v>Муниципальная программа  «Управление и распоряжение имуществом, находящимся в муниципальной собственности города Ставрополя, в том числе земельными ресурсами»</v>
      </c>
      <c r="M402" s="16">
        <f t="shared" si="25"/>
        <v>1</v>
      </c>
    </row>
    <row r="403" spans="1:13" s="29" customFormat="1" ht="63">
      <c r="A403" s="28"/>
      <c r="B403" s="132" t="s">
        <v>259</v>
      </c>
      <c r="C403" s="109" t="s">
        <v>256</v>
      </c>
      <c r="D403" s="108" t="s">
        <v>73</v>
      </c>
      <c r="E403" s="108" t="s">
        <v>57</v>
      </c>
      <c r="F403" s="108" t="s">
        <v>260</v>
      </c>
      <c r="G403" s="108" t="s">
        <v>9</v>
      </c>
      <c r="H403" s="126">
        <v>651857.15</v>
      </c>
      <c r="I403" s="108" t="s">
        <v>1171</v>
      </c>
      <c r="J403" s="108" t="str">
        <f t="shared" si="24"/>
        <v>11Б0000000</v>
      </c>
      <c r="K403" s="304" t="str">
        <f t="shared" si="23"/>
        <v>602041211Б0000000000</v>
      </c>
      <c r="L403" s="17" t="str">
        <f>INDEX('реш СГД № 265'!$A:$N,MATCH('БА расх 2018 31 12 2018'!$K403,'реш СГД № 265'!$N:$N,0),3)</f>
        <v>Расходы в рамках реализации муниципальной программы «Управление и распоряжение  имуществом, находящимся в муниципальной собственности города Ставрополя, в том числе земельными ресурсами»</v>
      </c>
      <c r="M403" s="16">
        <f t="shared" si="25"/>
        <v>1</v>
      </c>
    </row>
    <row r="404" spans="1:13" s="29" customFormat="1" ht="47.25">
      <c r="A404" s="28"/>
      <c r="B404" s="125" t="s">
        <v>301</v>
      </c>
      <c r="C404" s="109" t="s">
        <v>256</v>
      </c>
      <c r="D404" s="108" t="s">
        <v>73</v>
      </c>
      <c r="E404" s="108" t="s">
        <v>57</v>
      </c>
      <c r="F404" s="108" t="s">
        <v>302</v>
      </c>
      <c r="G404" s="108" t="s">
        <v>9</v>
      </c>
      <c r="H404" s="126">
        <v>651857.15</v>
      </c>
      <c r="I404" s="108" t="s">
        <v>1185</v>
      </c>
      <c r="J404" s="108" t="str">
        <f t="shared" si="24"/>
        <v>11Б0200000</v>
      </c>
      <c r="K404" s="304" t="str">
        <f t="shared" si="23"/>
        <v>602041211Б0200000000</v>
      </c>
      <c r="L404" s="17" t="str">
        <f>INDEX('реш СГД № 265'!$A:$N,MATCH('БА расх 2018 31 12 2018'!$K404,'реш СГД № 265'!$N:$N,0),3)</f>
        <v>Основное мероприятие «Управление и распоряжение земельными участками, расположенными на территории города Ставрополя»</v>
      </c>
      <c r="M404" s="16">
        <f t="shared" si="25"/>
        <v>1</v>
      </c>
    </row>
    <row r="405" spans="1:13" s="29" customFormat="1" ht="47.25">
      <c r="A405" s="28"/>
      <c r="B405" s="125" t="s">
        <v>303</v>
      </c>
      <c r="C405" s="109" t="s">
        <v>256</v>
      </c>
      <c r="D405" s="108" t="s">
        <v>73</v>
      </c>
      <c r="E405" s="108" t="s">
        <v>57</v>
      </c>
      <c r="F405" s="108" t="s">
        <v>304</v>
      </c>
      <c r="G405" s="108" t="s">
        <v>9</v>
      </c>
      <c r="H405" s="126">
        <v>651857.15</v>
      </c>
      <c r="I405" s="108" t="s">
        <v>1186</v>
      </c>
      <c r="J405" s="108" t="str">
        <f t="shared" si="24"/>
        <v>11Б0220180</v>
      </c>
      <c r="K405" s="304" t="str">
        <f t="shared" si="23"/>
        <v>602041211Б0220180000</v>
      </c>
      <c r="L405" s="17" t="str">
        <f>INDEX('реш СГД № 265'!$A:$N,MATCH('БА расх 2018 31 12 2018'!$K405,'реш СГД № 265'!$N:$N,0),3)</f>
        <v>Расходы на проведение кадастровых работ, необходимых для постановки на государственный кадастровый учет земельных участков, расположенных на территории города Ставрополя</v>
      </c>
      <c r="M405" s="16">
        <f t="shared" si="25"/>
        <v>1</v>
      </c>
    </row>
    <row r="406" spans="1:13" s="29" customFormat="1" ht="31.5">
      <c r="A406" s="28"/>
      <c r="B406" s="125" t="s">
        <v>28</v>
      </c>
      <c r="C406" s="109" t="s">
        <v>256</v>
      </c>
      <c r="D406" s="108" t="s">
        <v>73</v>
      </c>
      <c r="E406" s="108" t="s">
        <v>57</v>
      </c>
      <c r="F406" s="108" t="s">
        <v>304</v>
      </c>
      <c r="G406" s="108" t="s">
        <v>29</v>
      </c>
      <c r="H406" s="126">
        <v>651857.15</v>
      </c>
      <c r="I406" s="108" t="s">
        <v>1186</v>
      </c>
      <c r="J406" s="108" t="str">
        <f t="shared" si="24"/>
        <v>11Б0220180</v>
      </c>
      <c r="K406" s="304" t="str">
        <f t="shared" si="23"/>
        <v>602041211Б0220180240</v>
      </c>
      <c r="L406" s="17" t="str">
        <f>INDEX('реш СГД № 265'!$A:$N,MATCH('БА расх 2018 31 12 2018'!$K406,'реш СГД № 265'!$N:$N,0),3)</f>
        <v>Иные закупки товаров, работ и услуг для обеспечения государственных (муниципальных) нужд</v>
      </c>
      <c r="M406" s="16">
        <f t="shared" si="25"/>
        <v>1</v>
      </c>
    </row>
    <row r="407" spans="1:13" s="29" customFormat="1" ht="15.75">
      <c r="A407" s="28"/>
      <c r="B407" s="125" t="s">
        <v>30</v>
      </c>
      <c r="C407" s="109" t="s">
        <v>256</v>
      </c>
      <c r="D407" s="108" t="s">
        <v>73</v>
      </c>
      <c r="E407" s="108" t="s">
        <v>57</v>
      </c>
      <c r="F407" s="108" t="s">
        <v>304</v>
      </c>
      <c r="G407" s="108" t="s">
        <v>31</v>
      </c>
      <c r="H407" s="126">
        <v>651857.15</v>
      </c>
      <c r="I407" s="108" t="s">
        <v>1186</v>
      </c>
      <c r="J407" s="108" t="str">
        <f t="shared" si="24"/>
        <v>11Б0220180</v>
      </c>
      <c r="K407" s="304" t="str">
        <f t="shared" si="23"/>
        <v>602041211Б0220180244</v>
      </c>
      <c r="L407" s="17"/>
      <c r="M407" s="16"/>
    </row>
    <row r="408" spans="1:13" s="16" customFormat="1" ht="15.75">
      <c r="A408" s="14"/>
      <c r="B408" s="117" t="s">
        <v>305</v>
      </c>
      <c r="C408" s="118" t="s">
        <v>256</v>
      </c>
      <c r="D408" s="119" t="s">
        <v>86</v>
      </c>
      <c r="E408" s="119" t="s">
        <v>7</v>
      </c>
      <c r="F408" s="119" t="s">
        <v>8</v>
      </c>
      <c r="G408" s="119" t="s">
        <v>9</v>
      </c>
      <c r="H408" s="120">
        <v>20819608.02</v>
      </c>
      <c r="I408" s="119">
        <v>0</v>
      </c>
      <c r="J408" s="119" t="str">
        <f t="shared" si="24"/>
        <v>0000000000</v>
      </c>
      <c r="K408" s="304" t="str">
        <f t="shared" si="23"/>
        <v>60205000000000000000</v>
      </c>
      <c r="L408" s="17" t="str">
        <f>INDEX('реш СГД № 265'!$A:$N,MATCH('БА расх 2018 31 12 2018'!$K408,'реш СГД № 265'!$N:$N,0),3)</f>
        <v>Жилищно-коммунальное хозяйство</v>
      </c>
      <c r="M408" s="16">
        <f t="shared" si="25"/>
        <v>1</v>
      </c>
    </row>
    <row r="409" spans="1:13" s="16" customFormat="1" ht="15.75">
      <c r="A409" s="14"/>
      <c r="B409" s="121" t="s">
        <v>765</v>
      </c>
      <c r="C409" s="122" t="s">
        <v>256</v>
      </c>
      <c r="D409" s="123" t="s">
        <v>86</v>
      </c>
      <c r="E409" s="123" t="s">
        <v>11</v>
      </c>
      <c r="F409" s="123" t="s">
        <v>8</v>
      </c>
      <c r="G409" s="123" t="s">
        <v>9</v>
      </c>
      <c r="H409" s="124">
        <v>12026645.109999999</v>
      </c>
      <c r="I409" s="123">
        <v>0</v>
      </c>
      <c r="J409" s="123" t="str">
        <f t="shared" si="24"/>
        <v>0000000000</v>
      </c>
      <c r="K409" s="304" t="str">
        <f t="shared" si="23"/>
        <v>60205010000000000000</v>
      </c>
      <c r="L409" s="17" t="str">
        <f>INDEX('реш СГД № 265'!$A:$N,MATCH('БА расх 2018 31 12 2018'!$K409,'реш СГД № 265'!$N:$N,0),3)</f>
        <v>Жилищное хозяйство</v>
      </c>
      <c r="M409" s="16">
        <f t="shared" si="25"/>
        <v>1</v>
      </c>
    </row>
    <row r="410" spans="1:13" s="16" customFormat="1" ht="31.5">
      <c r="A410" s="14"/>
      <c r="B410" s="125" t="s">
        <v>276</v>
      </c>
      <c r="C410" s="109" t="s">
        <v>256</v>
      </c>
      <c r="D410" s="108" t="s">
        <v>86</v>
      </c>
      <c r="E410" s="108" t="s">
        <v>11</v>
      </c>
      <c r="F410" s="108" t="s">
        <v>277</v>
      </c>
      <c r="G410" s="108" t="s">
        <v>9</v>
      </c>
      <c r="H410" s="126">
        <v>3171045.11</v>
      </c>
      <c r="I410" s="123">
        <v>7200000000</v>
      </c>
      <c r="J410" s="123" t="str">
        <f t="shared" si="24"/>
        <v>7200000000</v>
      </c>
      <c r="K410" s="304" t="str">
        <f t="shared" si="23"/>
        <v>60205017200000000000</v>
      </c>
      <c r="L410" s="17" t="str">
        <f>INDEX('реш СГД № 265'!$A:$N,MATCH('БА расх 2018 31 12 2018'!$K410,'реш СГД № 265'!$N:$N,0),3)</f>
        <v>Обеспечения деятельности комитета по управлению муниципальным имуществом города Ставрополя</v>
      </c>
      <c r="M410" s="16">
        <f t="shared" si="25"/>
        <v>1</v>
      </c>
    </row>
    <row r="411" spans="1:13" s="16" customFormat="1" ht="15.75">
      <c r="A411" s="14"/>
      <c r="B411" s="138" t="s">
        <v>52</v>
      </c>
      <c r="C411" s="109" t="s">
        <v>256</v>
      </c>
      <c r="D411" s="108" t="s">
        <v>86</v>
      </c>
      <c r="E411" s="108" t="s">
        <v>11</v>
      </c>
      <c r="F411" s="108" t="s">
        <v>1058</v>
      </c>
      <c r="G411" s="108" t="s">
        <v>9</v>
      </c>
      <c r="H411" s="126">
        <v>3171045.11</v>
      </c>
      <c r="I411" s="123">
        <v>7220000000</v>
      </c>
      <c r="J411" s="123" t="str">
        <f t="shared" si="24"/>
        <v>7220000000</v>
      </c>
      <c r="K411" s="304" t="str">
        <f t="shared" si="23"/>
        <v>60205017220000000000</v>
      </c>
      <c r="L411" s="17" t="str">
        <f>INDEX('реш СГД № 265'!$A:$N,MATCH('БА расх 2018 31 12 2018'!$K411,'реш СГД № 265'!$N:$N,0),3)</f>
        <v>Расходы, предусмотренные на иные цели</v>
      </c>
      <c r="M411" s="16">
        <f t="shared" si="25"/>
        <v>1</v>
      </c>
    </row>
    <row r="412" spans="1:13" s="16" customFormat="1" ht="15.75">
      <c r="A412" s="14"/>
      <c r="B412" s="138" t="s">
        <v>856</v>
      </c>
      <c r="C412" s="109" t="s">
        <v>256</v>
      </c>
      <c r="D412" s="108" t="s">
        <v>86</v>
      </c>
      <c r="E412" s="108" t="s">
        <v>11</v>
      </c>
      <c r="F412" s="108" t="s">
        <v>2252</v>
      </c>
      <c r="G412" s="108" t="s">
        <v>9</v>
      </c>
      <c r="H412" s="126">
        <v>3171045.11</v>
      </c>
      <c r="I412" s="123">
        <v>7220020200</v>
      </c>
      <c r="J412" s="123" t="str">
        <f t="shared" si="24"/>
        <v>7220020200</v>
      </c>
      <c r="K412" s="304" t="str">
        <f t="shared" si="23"/>
        <v>60205017220020200000</v>
      </c>
      <c r="L412" s="17" t="str">
        <f>INDEX('реш СГД № 265'!$A:$N,MATCH('БА расх 2018 31 12 2018'!$K412,'реш СГД № 265'!$N:$N,0),3)</f>
        <v>Расходы на мероприятия в области жилищного хозяйства</v>
      </c>
      <c r="M412" s="16">
        <f t="shared" si="25"/>
        <v>1</v>
      </c>
    </row>
    <row r="413" spans="1:13" s="16" customFormat="1" ht="15.75">
      <c r="A413" s="14"/>
      <c r="B413" s="125" t="s">
        <v>937</v>
      </c>
      <c r="C413" s="109" t="s">
        <v>256</v>
      </c>
      <c r="D413" s="108" t="s">
        <v>86</v>
      </c>
      <c r="E413" s="108" t="s">
        <v>11</v>
      </c>
      <c r="F413" s="108" t="s">
        <v>2252</v>
      </c>
      <c r="G413" s="108" t="s">
        <v>838</v>
      </c>
      <c r="H413" s="126">
        <v>3171045.11</v>
      </c>
      <c r="I413" s="108">
        <v>7220020200</v>
      </c>
      <c r="J413" s="108" t="str">
        <f t="shared" si="24"/>
        <v>7220020200</v>
      </c>
      <c r="K413" s="304" t="str">
        <f t="shared" si="23"/>
        <v>60205017220020200410</v>
      </c>
      <c r="L413" s="17" t="str">
        <f>INDEX('реш СГД № 265'!$A:$N,MATCH('БА расх 2018 31 12 2018'!$K413,'реш СГД № 265'!$N:$N,0),3)</f>
        <v>Бюджетные инвестиции</v>
      </c>
      <c r="M413" s="16">
        <f t="shared" si="25"/>
        <v>1</v>
      </c>
    </row>
    <row r="414" spans="1:13" s="16" customFormat="1" ht="47.25">
      <c r="A414" s="14"/>
      <c r="B414" s="125" t="s">
        <v>1161</v>
      </c>
      <c r="C414" s="109" t="s">
        <v>256</v>
      </c>
      <c r="D414" s="108" t="s">
        <v>86</v>
      </c>
      <c r="E414" s="108" t="s">
        <v>11</v>
      </c>
      <c r="F414" s="108" t="s">
        <v>2252</v>
      </c>
      <c r="G414" s="108" t="s">
        <v>1162</v>
      </c>
      <c r="H414" s="126">
        <v>3171045.11</v>
      </c>
      <c r="I414" s="108">
        <v>7220020200</v>
      </c>
      <c r="J414" s="108" t="str">
        <f t="shared" si="24"/>
        <v>7220020200</v>
      </c>
      <c r="K414" s="304" t="str">
        <f t="shared" si="23"/>
        <v>60205017220020200412</v>
      </c>
      <c r="L414" s="17"/>
    </row>
    <row r="415" spans="1:13" s="16" customFormat="1" ht="47.25">
      <c r="A415" s="14"/>
      <c r="B415" s="125" t="s">
        <v>87</v>
      </c>
      <c r="C415" s="109" t="s">
        <v>256</v>
      </c>
      <c r="D415" s="108" t="s">
        <v>86</v>
      </c>
      <c r="E415" s="108" t="s">
        <v>11</v>
      </c>
      <c r="F415" s="108" t="s">
        <v>88</v>
      </c>
      <c r="G415" s="108" t="s">
        <v>9</v>
      </c>
      <c r="H415" s="126">
        <v>8855600</v>
      </c>
      <c r="I415" s="108">
        <v>9800000000</v>
      </c>
      <c r="J415" s="108" t="str">
        <f t="shared" si="24"/>
        <v>9800000000</v>
      </c>
      <c r="K415" s="304" t="str">
        <f t="shared" si="23"/>
        <v>60205019800000000000</v>
      </c>
      <c r="L415" s="17" t="str">
        <f>INDEX('реш СГД № 265'!$A:$N,MATCH('БА расх 2018 31 12 2018'!$K415,'реш СГД № 265'!$N:$N,0),3)</f>
        <v>Реализация иных функций Ставропольской городской Думы, администрации города Ставрополя, ее отраслевых (функциональных) и территориальных органов</v>
      </c>
      <c r="M415" s="16">
        <f t="shared" si="25"/>
        <v>1</v>
      </c>
    </row>
    <row r="416" spans="1:13" s="16" customFormat="1" ht="47.25">
      <c r="A416" s="14"/>
      <c r="B416" s="125" t="s">
        <v>1108</v>
      </c>
      <c r="C416" s="108" t="s">
        <v>256</v>
      </c>
      <c r="D416" s="108" t="s">
        <v>86</v>
      </c>
      <c r="E416" s="108" t="s">
        <v>11</v>
      </c>
      <c r="F416" s="108" t="s">
        <v>1109</v>
      </c>
      <c r="G416" s="109" t="s">
        <v>9</v>
      </c>
      <c r="H416" s="141">
        <v>8855600</v>
      </c>
      <c r="I416" s="108">
        <v>9820000000</v>
      </c>
      <c r="J416" s="108" t="str">
        <f t="shared" si="24"/>
        <v>9820000000</v>
      </c>
      <c r="K416" s="304" t="str">
        <f t="shared" si="23"/>
        <v>60205019820000000000</v>
      </c>
      <c r="L416" s="17" t="str">
        <f>INDEX('реш СГД № 265'!$A:$N,MATCH('БА расх 2018 31 12 2018'!$K416,'реш СГД № 265'!$N:$N,0),3)</f>
        <v>Расходы на исполнение обязательств в рамках реализации муниципальных программ города Ставрополя, действовавших до 01.01.2017, за счет остатков на 01.01.2018</v>
      </c>
      <c r="M416" s="16">
        <f t="shared" si="25"/>
        <v>1</v>
      </c>
    </row>
    <row r="417" spans="1:13" s="16" customFormat="1" ht="110.25">
      <c r="A417" s="14"/>
      <c r="B417" s="125" t="s">
        <v>1887</v>
      </c>
      <c r="C417" s="109" t="s">
        <v>256</v>
      </c>
      <c r="D417" s="108" t="s">
        <v>86</v>
      </c>
      <c r="E417" s="108" t="s">
        <v>11</v>
      </c>
      <c r="F417" s="108" t="s">
        <v>1888</v>
      </c>
      <c r="G417" s="108" t="s">
        <v>9</v>
      </c>
      <c r="H417" s="141">
        <v>6641700</v>
      </c>
      <c r="I417" s="108">
        <v>9820076910</v>
      </c>
      <c r="J417" s="108" t="str">
        <f t="shared" si="24"/>
        <v>9820076910</v>
      </c>
      <c r="K417" s="304" t="str">
        <f t="shared" si="23"/>
        <v>60205019820076910000</v>
      </c>
      <c r="L417" s="17" t="str">
        <f>INDEX('реш СГД № 265'!$A:$N,MATCH('БА расх 2018 31 12 2018'!$K417,'реш СГД № 265'!$N:$N,0),3)</f>
        <v>Обеспечение мероприятий, реализуемых без участия средств государственной корпорации – Фонда содействия реформированию жилищно-коммунального хозяйства, по переселению граждан из аварийного жилищного фонда, в том числе переселению граждан из аварийного жилищного фонда с учетом необходимости развития малоэтажного жилищного строительства, за счет средств краевого бюджета</v>
      </c>
      <c r="M417" s="16">
        <f t="shared" si="25"/>
        <v>1</v>
      </c>
    </row>
    <row r="418" spans="1:13" s="16" customFormat="1" ht="15.75">
      <c r="A418" s="14"/>
      <c r="B418" s="125" t="s">
        <v>937</v>
      </c>
      <c r="C418" s="109" t="s">
        <v>256</v>
      </c>
      <c r="D418" s="108" t="s">
        <v>86</v>
      </c>
      <c r="E418" s="108" t="s">
        <v>11</v>
      </c>
      <c r="F418" s="108" t="s">
        <v>1888</v>
      </c>
      <c r="G418" s="108" t="s">
        <v>838</v>
      </c>
      <c r="H418" s="141">
        <v>6641700</v>
      </c>
      <c r="I418" s="108">
        <v>9820076910</v>
      </c>
      <c r="J418" s="108" t="str">
        <f t="shared" si="24"/>
        <v>9820076910</v>
      </c>
      <c r="K418" s="304" t="str">
        <f t="shared" si="23"/>
        <v>60205019820076910410</v>
      </c>
      <c r="L418" s="17" t="str">
        <f>INDEX('реш СГД № 265'!$A:$N,MATCH('БА расх 2018 31 12 2018'!$K418,'реш СГД № 265'!$N:$N,0),3)</f>
        <v>Бюджетные инвестиции</v>
      </c>
      <c r="M418" s="16">
        <f t="shared" si="25"/>
        <v>1</v>
      </c>
    </row>
    <row r="419" spans="1:13" s="16" customFormat="1" ht="47.25">
      <c r="A419" s="14"/>
      <c r="B419" s="125" t="s">
        <v>1161</v>
      </c>
      <c r="C419" s="109" t="s">
        <v>256</v>
      </c>
      <c r="D419" s="108" t="s">
        <v>86</v>
      </c>
      <c r="E419" s="108" t="s">
        <v>11</v>
      </c>
      <c r="F419" s="108" t="s">
        <v>1888</v>
      </c>
      <c r="G419" s="108" t="s">
        <v>1162</v>
      </c>
      <c r="H419" s="126">
        <v>6641700</v>
      </c>
      <c r="I419" s="108">
        <v>9820076910</v>
      </c>
      <c r="J419" s="108" t="str">
        <f t="shared" si="24"/>
        <v>9820076910</v>
      </c>
      <c r="K419" s="304" t="str">
        <f t="shared" si="23"/>
        <v>60205019820076910412</v>
      </c>
      <c r="L419" s="17"/>
    </row>
    <row r="420" spans="1:13" s="16" customFormat="1" ht="31.5">
      <c r="A420" s="14"/>
      <c r="B420" s="125" t="s">
        <v>1110</v>
      </c>
      <c r="C420" s="109" t="s">
        <v>256</v>
      </c>
      <c r="D420" s="108" t="s">
        <v>86</v>
      </c>
      <c r="E420" s="108" t="s">
        <v>11</v>
      </c>
      <c r="F420" s="108" t="s">
        <v>1111</v>
      </c>
      <c r="G420" s="108" t="s">
        <v>9</v>
      </c>
      <c r="H420" s="126">
        <v>2213900</v>
      </c>
      <c r="I420" s="108" t="s">
        <v>1187</v>
      </c>
      <c r="J420" s="108" t="str">
        <f t="shared" si="24"/>
        <v>98200S6910</v>
      </c>
      <c r="K420" s="304" t="str">
        <f t="shared" si="23"/>
        <v>602050198200S6910000</v>
      </c>
      <c r="L420" s="17" t="str">
        <f>INDEX('реш СГД № 265'!$A:$N,MATCH('БА расх 2018 31 12 2018'!$K420,'реш СГД № 265'!$N:$N,0),3)</f>
        <v>Обеспечение мероприятий по переселению граждан из аварийного жилищного фонда в городе Ставрополе</v>
      </c>
      <c r="M420" s="16">
        <f t="shared" si="25"/>
        <v>1</v>
      </c>
    </row>
    <row r="421" spans="1:13" s="16" customFormat="1" ht="15.75">
      <c r="A421" s="14"/>
      <c r="B421" s="125" t="s">
        <v>937</v>
      </c>
      <c r="C421" s="109" t="s">
        <v>256</v>
      </c>
      <c r="D421" s="108" t="s">
        <v>86</v>
      </c>
      <c r="E421" s="108" t="s">
        <v>11</v>
      </c>
      <c r="F421" s="108" t="s">
        <v>1111</v>
      </c>
      <c r="G421" s="108" t="s">
        <v>838</v>
      </c>
      <c r="H421" s="126">
        <v>2213900</v>
      </c>
      <c r="I421" s="108" t="s">
        <v>1187</v>
      </c>
      <c r="J421" s="108" t="str">
        <f t="shared" si="24"/>
        <v>98200S6910</v>
      </c>
      <c r="K421" s="304" t="str">
        <f t="shared" si="23"/>
        <v>602050198200S6910410</v>
      </c>
      <c r="L421" s="17" t="str">
        <f>INDEX('реш СГД № 265'!$A:$N,MATCH('БА расх 2018 31 12 2018'!$K421,'реш СГД № 265'!$N:$N,0),3)</f>
        <v>Бюджетные инвестиции</v>
      </c>
      <c r="M421" s="16">
        <f t="shared" si="25"/>
        <v>1</v>
      </c>
    </row>
    <row r="422" spans="1:13" s="16" customFormat="1" ht="47.25">
      <c r="A422" s="14"/>
      <c r="B422" s="125" t="s">
        <v>1161</v>
      </c>
      <c r="C422" s="109" t="s">
        <v>256</v>
      </c>
      <c r="D422" s="108" t="s">
        <v>86</v>
      </c>
      <c r="E422" s="108" t="s">
        <v>11</v>
      </c>
      <c r="F422" s="108" t="s">
        <v>1111</v>
      </c>
      <c r="G422" s="108" t="s">
        <v>1162</v>
      </c>
      <c r="H422" s="126">
        <v>2213900</v>
      </c>
      <c r="I422" s="108" t="s">
        <v>1187</v>
      </c>
      <c r="J422" s="108" t="str">
        <f t="shared" si="24"/>
        <v>98200S6910</v>
      </c>
      <c r="K422" s="304" t="str">
        <f t="shared" si="23"/>
        <v>602050198200S6910412</v>
      </c>
      <c r="L422" s="17"/>
    </row>
    <row r="423" spans="1:13" s="16" customFormat="1" ht="15.75">
      <c r="A423" s="14"/>
      <c r="B423" s="121" t="s">
        <v>306</v>
      </c>
      <c r="C423" s="122" t="s">
        <v>256</v>
      </c>
      <c r="D423" s="123" t="s">
        <v>86</v>
      </c>
      <c r="E423" s="123" t="s">
        <v>13</v>
      </c>
      <c r="F423" s="123" t="s">
        <v>8</v>
      </c>
      <c r="G423" s="123" t="s">
        <v>9</v>
      </c>
      <c r="H423" s="124">
        <v>7484648.7000000002</v>
      </c>
      <c r="I423" s="123">
        <v>0</v>
      </c>
      <c r="J423" s="123" t="str">
        <f t="shared" si="24"/>
        <v>0000000000</v>
      </c>
      <c r="K423" s="304" t="str">
        <f t="shared" si="23"/>
        <v>60205030000000000000</v>
      </c>
      <c r="L423" s="17" t="str">
        <f>INDEX('реш СГД № 265'!$A:$N,MATCH('БА расх 2018 31 12 2018'!$K423,'реш СГД № 265'!$N:$N,0),3)</f>
        <v>Благоустройство</v>
      </c>
      <c r="M423" s="16">
        <f t="shared" si="25"/>
        <v>1</v>
      </c>
    </row>
    <row r="424" spans="1:13" s="16" customFormat="1" ht="63">
      <c r="A424" s="14"/>
      <c r="B424" s="125" t="s">
        <v>293</v>
      </c>
      <c r="C424" s="108" t="s">
        <v>256</v>
      </c>
      <c r="D424" s="108" t="s">
        <v>86</v>
      </c>
      <c r="E424" s="108" t="s">
        <v>13</v>
      </c>
      <c r="F424" s="108" t="s">
        <v>294</v>
      </c>
      <c r="G424" s="108" t="s">
        <v>9</v>
      </c>
      <c r="H424" s="141">
        <v>7484648.7000000002</v>
      </c>
      <c r="I424" s="108">
        <v>400000000</v>
      </c>
      <c r="J424" s="108" t="str">
        <f t="shared" si="24"/>
        <v>0400000000</v>
      </c>
      <c r="K424" s="304" t="str">
        <f t="shared" si="23"/>
        <v>60205030400000000000</v>
      </c>
      <c r="L424" s="17" t="str">
        <f>INDEX('реш СГД № 265'!$A:$N,MATCH('БА расх 2018 31 12 2018'!$K424,'реш СГД № 265'!$N:$N,0),3)</f>
        <v>Муниципальная программа «Развитие жилищно-коммунального хозяйства, транспортной системы на территории города Ставрополя, благоустройство территории города Ставрополя»</v>
      </c>
      <c r="M424" s="16">
        <f t="shared" si="25"/>
        <v>1</v>
      </c>
    </row>
    <row r="425" spans="1:13" s="16" customFormat="1" ht="31.5">
      <c r="A425" s="14"/>
      <c r="B425" s="132" t="s">
        <v>2283</v>
      </c>
      <c r="C425" s="108" t="s">
        <v>256</v>
      </c>
      <c r="D425" s="108" t="s">
        <v>86</v>
      </c>
      <c r="E425" s="108" t="s">
        <v>13</v>
      </c>
      <c r="F425" s="108" t="s">
        <v>308</v>
      </c>
      <c r="G425" s="108" t="s">
        <v>9</v>
      </c>
      <c r="H425" s="141">
        <v>7484648.7000000002</v>
      </c>
      <c r="I425" s="108">
        <v>430000000</v>
      </c>
      <c r="J425" s="108" t="str">
        <f t="shared" si="24"/>
        <v>0430000000</v>
      </c>
      <c r="K425" s="304" t="str">
        <f t="shared" si="23"/>
        <v>60205030430000000000</v>
      </c>
      <c r="L425" s="132" t="str">
        <f>INDEX('реш СГД № 265'!$A:$N,MATCH('БА расх 2018 31 12 2018'!$K425,'реш СГД № 265'!$N:$N,0),3)</f>
        <v>Подпрограмма «Благоустройство территории города Ставрополя»</v>
      </c>
      <c r="M425" s="17">
        <f t="shared" si="25"/>
        <v>1</v>
      </c>
    </row>
    <row r="426" spans="1:13" s="29" customFormat="1" ht="31.5">
      <c r="A426" s="28"/>
      <c r="B426" s="307" t="s">
        <v>309</v>
      </c>
      <c r="C426" s="109" t="s">
        <v>256</v>
      </c>
      <c r="D426" s="108" t="s">
        <v>86</v>
      </c>
      <c r="E426" s="108" t="s">
        <v>13</v>
      </c>
      <c r="F426" s="308" t="s">
        <v>310</v>
      </c>
      <c r="G426" s="108" t="s">
        <v>9</v>
      </c>
      <c r="H426" s="126">
        <v>7484648.7000000002</v>
      </c>
      <c r="I426" s="308">
        <v>430400000</v>
      </c>
      <c r="J426" s="308" t="str">
        <f t="shared" si="24"/>
        <v>0430400000</v>
      </c>
      <c r="K426" s="304" t="str">
        <f t="shared" si="23"/>
        <v>60205030430400000000</v>
      </c>
      <c r="L426" s="17" t="str">
        <f>INDEX('реш СГД № 265'!$A:$N,MATCH('БА расх 2018 31 12 2018'!$K426,'реш СГД № 265'!$N:$N,0),3)</f>
        <v>Основное мероприятие «Благоустройство территории города Ставрополя»</v>
      </c>
      <c r="M426" s="16">
        <f t="shared" si="25"/>
        <v>1</v>
      </c>
    </row>
    <row r="427" spans="1:13" s="29" customFormat="1" ht="31.5">
      <c r="A427" s="28"/>
      <c r="B427" s="125" t="s">
        <v>311</v>
      </c>
      <c r="C427" s="109" t="s">
        <v>256</v>
      </c>
      <c r="D427" s="108" t="s">
        <v>86</v>
      </c>
      <c r="E427" s="108" t="s">
        <v>13</v>
      </c>
      <c r="F427" s="108" t="s">
        <v>312</v>
      </c>
      <c r="G427" s="108" t="s">
        <v>9</v>
      </c>
      <c r="H427" s="126">
        <v>7484648.7000000002</v>
      </c>
      <c r="I427" s="108">
        <v>430421510</v>
      </c>
      <c r="J427" s="108" t="str">
        <f t="shared" si="24"/>
        <v>0430421510</v>
      </c>
      <c r="K427" s="304" t="str">
        <f t="shared" si="23"/>
        <v>60205030430421510000</v>
      </c>
      <c r="L427" s="17" t="str">
        <f>INDEX('реш СГД № 265'!$A:$N,MATCH('БА расх 2018 31 12 2018'!$K427,'реш СГД № 265'!$N:$N,0),3)</f>
        <v>Расходы на приобретение коммунальной техники, райдеров и прицепов тракторных</v>
      </c>
      <c r="M427" s="16">
        <f t="shared" si="25"/>
        <v>1</v>
      </c>
    </row>
    <row r="428" spans="1:13" s="29" customFormat="1" ht="31.5">
      <c r="A428" s="28"/>
      <c r="B428" s="125" t="s">
        <v>28</v>
      </c>
      <c r="C428" s="109" t="s">
        <v>256</v>
      </c>
      <c r="D428" s="108" t="s">
        <v>86</v>
      </c>
      <c r="E428" s="108" t="s">
        <v>13</v>
      </c>
      <c r="F428" s="108" t="s">
        <v>312</v>
      </c>
      <c r="G428" s="108" t="s">
        <v>29</v>
      </c>
      <c r="H428" s="126">
        <v>7484648.7000000002</v>
      </c>
      <c r="I428" s="108">
        <v>430421510</v>
      </c>
      <c r="J428" s="108" t="str">
        <f t="shared" si="24"/>
        <v>0430421510</v>
      </c>
      <c r="K428" s="304" t="str">
        <f t="shared" si="23"/>
        <v>60205030430421510240</v>
      </c>
      <c r="L428" s="17" t="str">
        <f>INDEX('реш СГД № 265'!$A:$N,MATCH('БА расх 2018 31 12 2018'!$K428,'реш СГД № 265'!$N:$N,0),3)</f>
        <v>Иные закупки товаров, работ и услуг для обеспечения государственных (муниципальных) нужд</v>
      </c>
      <c r="M428" s="16">
        <f t="shared" si="25"/>
        <v>1</v>
      </c>
    </row>
    <row r="429" spans="1:13" s="29" customFormat="1" ht="15.75">
      <c r="A429" s="28"/>
      <c r="B429" s="125" t="s">
        <v>30</v>
      </c>
      <c r="C429" s="109" t="s">
        <v>256</v>
      </c>
      <c r="D429" s="108" t="s">
        <v>86</v>
      </c>
      <c r="E429" s="108" t="s">
        <v>13</v>
      </c>
      <c r="F429" s="108" t="s">
        <v>312</v>
      </c>
      <c r="G429" s="108" t="s">
        <v>31</v>
      </c>
      <c r="H429" s="126">
        <v>7484648.7000000002</v>
      </c>
      <c r="I429" s="108">
        <v>430421510</v>
      </c>
      <c r="J429" s="108" t="str">
        <f t="shared" si="24"/>
        <v>0430421510</v>
      </c>
      <c r="K429" s="304" t="str">
        <f t="shared" si="23"/>
        <v>60205030430421510244</v>
      </c>
      <c r="L429" s="17"/>
      <c r="M429" s="16"/>
    </row>
    <row r="430" spans="1:13" s="16" customFormat="1" ht="31.5">
      <c r="A430" s="14"/>
      <c r="B430" s="121" t="s">
        <v>313</v>
      </c>
      <c r="C430" s="122" t="s">
        <v>256</v>
      </c>
      <c r="D430" s="123" t="s">
        <v>86</v>
      </c>
      <c r="E430" s="123" t="s">
        <v>86</v>
      </c>
      <c r="F430" s="123" t="s">
        <v>8</v>
      </c>
      <c r="G430" s="123" t="s">
        <v>9</v>
      </c>
      <c r="H430" s="124">
        <v>1308314.21</v>
      </c>
      <c r="I430" s="123">
        <v>0</v>
      </c>
      <c r="J430" s="123" t="str">
        <f t="shared" si="24"/>
        <v>0000000000</v>
      </c>
      <c r="K430" s="304" t="str">
        <f t="shared" ref="K430:K488" si="26">C430&amp;D430&amp;E430&amp;J430&amp;G430</f>
        <v>60205050000000000000</v>
      </c>
      <c r="L430" s="17" t="str">
        <f>INDEX('реш СГД № 265'!$A:$N,MATCH('БА расх 2018 31 12 2018'!$K430,'реш СГД № 265'!$N:$N,0),3)</f>
        <v>Другие вопросы в области жилищно-коммунального хозяйства</v>
      </c>
      <c r="M430" s="16">
        <f t="shared" si="25"/>
        <v>1</v>
      </c>
    </row>
    <row r="431" spans="1:13" s="29" customFormat="1" ht="47.25">
      <c r="A431" s="28"/>
      <c r="B431" s="307" t="s">
        <v>87</v>
      </c>
      <c r="C431" s="109" t="s">
        <v>256</v>
      </c>
      <c r="D431" s="108" t="s">
        <v>86</v>
      </c>
      <c r="E431" s="108" t="s">
        <v>86</v>
      </c>
      <c r="F431" s="108" t="s">
        <v>88</v>
      </c>
      <c r="G431" s="108" t="s">
        <v>9</v>
      </c>
      <c r="H431" s="126">
        <v>1308314.21</v>
      </c>
      <c r="I431" s="108">
        <v>9800000000</v>
      </c>
      <c r="J431" s="108" t="str">
        <f t="shared" ref="J431:J489" si="27">TEXT(I431,"0000000000")</f>
        <v>9800000000</v>
      </c>
      <c r="K431" s="304" t="str">
        <f t="shared" si="26"/>
        <v>60205059800000000000</v>
      </c>
      <c r="L431" s="17" t="str">
        <f>INDEX('реш СГД № 265'!$A:$N,MATCH('БА расх 2018 31 12 2018'!$K431,'реш СГД № 265'!$N:$N,0),3)</f>
        <v>Реализация иных функций Ставропольской городской Думы, администрации города Ставрополя, ее отраслевых (функциональных) и территориальных органов</v>
      </c>
      <c r="M431" s="16">
        <f t="shared" ref="M431:M489" si="28">IF(B431=L431,1,0)</f>
        <v>1</v>
      </c>
    </row>
    <row r="432" spans="1:13" s="29" customFormat="1" ht="15.75">
      <c r="A432" s="28"/>
      <c r="B432" s="307" t="s">
        <v>89</v>
      </c>
      <c r="C432" s="109" t="s">
        <v>256</v>
      </c>
      <c r="D432" s="108" t="s">
        <v>86</v>
      </c>
      <c r="E432" s="108" t="s">
        <v>86</v>
      </c>
      <c r="F432" s="108" t="s">
        <v>90</v>
      </c>
      <c r="G432" s="108" t="s">
        <v>9</v>
      </c>
      <c r="H432" s="126">
        <v>1308314.21</v>
      </c>
      <c r="I432" s="108">
        <v>9810000000</v>
      </c>
      <c r="J432" s="108" t="str">
        <f t="shared" si="27"/>
        <v>9810000000</v>
      </c>
      <c r="K432" s="304" t="str">
        <f t="shared" si="26"/>
        <v>60205059810000000000</v>
      </c>
      <c r="L432" s="17" t="str">
        <f>INDEX('реш СГД № 265'!$A:$N,MATCH('БА расх 2018 31 12 2018'!$K432,'реш СГД № 265'!$N:$N,0),3)</f>
        <v>Иные непрограммные мероприятия</v>
      </c>
      <c r="M432" s="16">
        <f t="shared" si="28"/>
        <v>1</v>
      </c>
    </row>
    <row r="433" spans="1:13" s="29" customFormat="1" ht="47.25">
      <c r="A433" s="28"/>
      <c r="B433" s="125" t="s">
        <v>314</v>
      </c>
      <c r="C433" s="109" t="s">
        <v>256</v>
      </c>
      <c r="D433" s="108" t="s">
        <v>86</v>
      </c>
      <c r="E433" s="108" t="s">
        <v>86</v>
      </c>
      <c r="F433" s="108" t="s">
        <v>315</v>
      </c>
      <c r="G433" s="108" t="s">
        <v>9</v>
      </c>
      <c r="H433" s="126">
        <v>1308314.21</v>
      </c>
      <c r="I433" s="108">
        <v>9810020950</v>
      </c>
      <c r="J433" s="108" t="str">
        <f t="shared" si="27"/>
        <v>9810020950</v>
      </c>
      <c r="K433" s="304" t="str">
        <f t="shared" si="26"/>
        <v>60205059810020950000</v>
      </c>
      <c r="L433" s="17" t="str">
        <f>INDEX('реш СГД № 265'!$A:$N,MATCH('БА расх 2018 31 12 2018'!$K433,'реш СГД № 265'!$N:$N,0),3)</f>
        <v>Снос многоквартирных домов в городе Ставрополе, признанных аварийными и подлежащими сносу (в том числе проектно-сметная документация)</v>
      </c>
      <c r="M433" s="16">
        <f t="shared" si="28"/>
        <v>1</v>
      </c>
    </row>
    <row r="434" spans="1:13" s="29" customFormat="1" ht="31.5">
      <c r="A434" s="28"/>
      <c r="B434" s="125" t="s">
        <v>28</v>
      </c>
      <c r="C434" s="109" t="s">
        <v>256</v>
      </c>
      <c r="D434" s="108" t="s">
        <v>86</v>
      </c>
      <c r="E434" s="108" t="s">
        <v>86</v>
      </c>
      <c r="F434" s="108" t="s">
        <v>315</v>
      </c>
      <c r="G434" s="108" t="s">
        <v>29</v>
      </c>
      <c r="H434" s="126">
        <v>1308314.21</v>
      </c>
      <c r="I434" s="108">
        <v>9810020950</v>
      </c>
      <c r="J434" s="108" t="str">
        <f t="shared" si="27"/>
        <v>9810020950</v>
      </c>
      <c r="K434" s="304" t="str">
        <f t="shared" si="26"/>
        <v>60205059810020950240</v>
      </c>
      <c r="L434" s="17" t="str">
        <f>INDEX('реш СГД № 265'!$A:$N,MATCH('БА расх 2018 31 12 2018'!$K434,'реш СГД № 265'!$N:$N,0),3)</f>
        <v>Иные закупки товаров, работ и услуг для обеспечения государственных (муниципальных) нужд</v>
      </c>
      <c r="M434" s="16">
        <f t="shared" si="28"/>
        <v>1</v>
      </c>
    </row>
    <row r="435" spans="1:13" s="29" customFormat="1" ht="15.75">
      <c r="A435" s="28"/>
      <c r="B435" s="125" t="s">
        <v>30</v>
      </c>
      <c r="C435" s="109" t="s">
        <v>256</v>
      </c>
      <c r="D435" s="108" t="s">
        <v>86</v>
      </c>
      <c r="E435" s="108" t="s">
        <v>86</v>
      </c>
      <c r="F435" s="108" t="s">
        <v>315</v>
      </c>
      <c r="G435" s="108" t="s">
        <v>31</v>
      </c>
      <c r="H435" s="126">
        <v>1308314.21</v>
      </c>
      <c r="I435" s="108">
        <v>9810020950</v>
      </c>
      <c r="J435" s="108" t="str">
        <f t="shared" si="27"/>
        <v>9810020950</v>
      </c>
      <c r="K435" s="304" t="str">
        <f t="shared" si="26"/>
        <v>60205059810020950244</v>
      </c>
      <c r="L435" s="17"/>
      <c r="M435" s="16"/>
    </row>
    <row r="436" spans="1:13" s="29" customFormat="1" ht="15.75">
      <c r="A436" s="28"/>
      <c r="B436" s="117" t="s">
        <v>316</v>
      </c>
      <c r="C436" s="118" t="s">
        <v>256</v>
      </c>
      <c r="D436" s="119" t="s">
        <v>317</v>
      </c>
      <c r="E436" s="119" t="s">
        <v>7</v>
      </c>
      <c r="F436" s="119" t="s">
        <v>8</v>
      </c>
      <c r="G436" s="119" t="s">
        <v>9</v>
      </c>
      <c r="H436" s="120">
        <v>40245466.799999997</v>
      </c>
      <c r="I436" s="119">
        <v>0</v>
      </c>
      <c r="J436" s="119" t="str">
        <f t="shared" si="27"/>
        <v>0000000000</v>
      </c>
      <c r="K436" s="304" t="str">
        <f t="shared" si="26"/>
        <v>60210000000000000000</v>
      </c>
      <c r="L436" s="17" t="str">
        <f>INDEX('реш СГД № 265'!$A:$N,MATCH('БА расх 2018 31 12 2018'!$K436,'реш СГД № 265'!$N:$N,0),3)</f>
        <v>Социальная политика</v>
      </c>
      <c r="M436" s="16">
        <f t="shared" si="28"/>
        <v>1</v>
      </c>
    </row>
    <row r="437" spans="1:13" s="29" customFormat="1" ht="15.75">
      <c r="A437" s="28"/>
      <c r="B437" s="121" t="s">
        <v>318</v>
      </c>
      <c r="C437" s="122" t="s">
        <v>256</v>
      </c>
      <c r="D437" s="123">
        <v>10</v>
      </c>
      <c r="E437" s="123" t="s">
        <v>13</v>
      </c>
      <c r="F437" s="123" t="s">
        <v>8</v>
      </c>
      <c r="G437" s="123" t="s">
        <v>9</v>
      </c>
      <c r="H437" s="124">
        <v>40245466.799999997</v>
      </c>
      <c r="I437" s="123">
        <v>0</v>
      </c>
      <c r="J437" s="123" t="str">
        <f t="shared" si="27"/>
        <v>0000000000</v>
      </c>
      <c r="K437" s="304" t="str">
        <f t="shared" si="26"/>
        <v>60210030000000000000</v>
      </c>
      <c r="L437" s="17" t="str">
        <f>INDEX('реш СГД № 265'!$A:$N,MATCH('БА расх 2018 31 12 2018'!$K437,'реш СГД № 265'!$N:$N,0),3)</f>
        <v>Социальное обеспечение населения</v>
      </c>
      <c r="M437" s="16">
        <f t="shared" si="28"/>
        <v>1</v>
      </c>
    </row>
    <row r="438" spans="1:13" s="29" customFormat="1" ht="31.5">
      <c r="A438" s="28"/>
      <c r="B438" s="125" t="s">
        <v>319</v>
      </c>
      <c r="C438" s="131" t="s">
        <v>256</v>
      </c>
      <c r="D438" s="131" t="s">
        <v>317</v>
      </c>
      <c r="E438" s="131" t="s">
        <v>13</v>
      </c>
      <c r="F438" s="131" t="s">
        <v>320</v>
      </c>
      <c r="G438" s="131" t="s">
        <v>9</v>
      </c>
      <c r="H438" s="105">
        <v>40245466.799999997</v>
      </c>
      <c r="I438" s="131">
        <v>600000000</v>
      </c>
      <c r="J438" s="131" t="str">
        <f t="shared" si="27"/>
        <v>0600000000</v>
      </c>
      <c r="K438" s="304" t="str">
        <f t="shared" si="26"/>
        <v>60210030600000000000</v>
      </c>
      <c r="L438" s="17" t="str">
        <f>INDEX('реш СГД № 265'!$A:$N,MATCH('БА расх 2018 31 12 2018'!$K438,'реш СГД № 265'!$N:$N,0),3)</f>
        <v>Муниципальная программа «Обеспечение жильем молодых семей в городе Ставрополе»</v>
      </c>
      <c r="M438" s="16">
        <f t="shared" si="28"/>
        <v>1</v>
      </c>
    </row>
    <row r="439" spans="1:13" s="29" customFormat="1" ht="31.5">
      <c r="A439" s="28"/>
      <c r="B439" s="129" t="s">
        <v>321</v>
      </c>
      <c r="C439" s="131" t="s">
        <v>256</v>
      </c>
      <c r="D439" s="131" t="s">
        <v>317</v>
      </c>
      <c r="E439" s="131" t="s">
        <v>13</v>
      </c>
      <c r="F439" s="131" t="s">
        <v>322</v>
      </c>
      <c r="G439" s="131" t="s">
        <v>9</v>
      </c>
      <c r="H439" s="105">
        <v>40245466.799999997</v>
      </c>
      <c r="I439" s="131" t="s">
        <v>1188</v>
      </c>
      <c r="J439" s="131" t="str">
        <f t="shared" si="27"/>
        <v>06Б0000000</v>
      </c>
      <c r="K439" s="304" t="str">
        <f t="shared" si="26"/>
        <v>602100306Б0000000000</v>
      </c>
      <c r="L439" s="17" t="str">
        <f>INDEX('реш СГД № 265'!$A:$N,MATCH('БА расх 2018 31 12 2018'!$K439,'реш СГД № 265'!$N:$N,0),3)</f>
        <v xml:space="preserve">Расходы в рамках реализации муниципальной программы «Обеспечение жильем молодых семей в городе Ставрополе»  </v>
      </c>
      <c r="M439" s="16">
        <f t="shared" si="28"/>
        <v>1</v>
      </c>
    </row>
    <row r="440" spans="1:13" s="29" customFormat="1" ht="31.5">
      <c r="A440" s="28"/>
      <c r="B440" s="129" t="s">
        <v>323</v>
      </c>
      <c r="C440" s="131" t="s">
        <v>256</v>
      </c>
      <c r="D440" s="131" t="s">
        <v>317</v>
      </c>
      <c r="E440" s="131" t="s">
        <v>13</v>
      </c>
      <c r="F440" s="131" t="s">
        <v>324</v>
      </c>
      <c r="G440" s="131" t="s">
        <v>9</v>
      </c>
      <c r="H440" s="105">
        <v>40245466.799999997</v>
      </c>
      <c r="I440" s="131" t="s">
        <v>1189</v>
      </c>
      <c r="J440" s="131" t="str">
        <f t="shared" si="27"/>
        <v>06Б0100000</v>
      </c>
      <c r="K440" s="304" t="str">
        <f t="shared" si="26"/>
        <v>602100306Б0100000000</v>
      </c>
      <c r="L440" s="17" t="str">
        <f>INDEX('реш СГД № 265'!$A:$N,MATCH('БА расх 2018 31 12 2018'!$K440,'реш СГД № 265'!$N:$N,0),3)</f>
        <v>Основное мероприятие «Предоставление молодым семьям социальных выплат»</v>
      </c>
      <c r="M440" s="16">
        <f t="shared" si="28"/>
        <v>1</v>
      </c>
    </row>
    <row r="441" spans="1:13" s="29" customFormat="1" ht="94.5">
      <c r="A441" s="28"/>
      <c r="B441" s="132" t="s">
        <v>2284</v>
      </c>
      <c r="C441" s="108" t="s">
        <v>256</v>
      </c>
      <c r="D441" s="108" t="s">
        <v>317</v>
      </c>
      <c r="E441" s="108" t="s">
        <v>13</v>
      </c>
      <c r="F441" s="108" t="s">
        <v>2253</v>
      </c>
      <c r="G441" s="108" t="s">
        <v>9</v>
      </c>
      <c r="H441" s="126">
        <v>15408422.4</v>
      </c>
      <c r="I441" s="131" t="s">
        <v>1967</v>
      </c>
      <c r="J441" s="131" t="str">
        <f t="shared" si="27"/>
        <v>06Б0174970</v>
      </c>
      <c r="K441" s="304" t="str">
        <f t="shared" si="26"/>
        <v>602100306Б0174970000</v>
      </c>
      <c r="L441" s="132" t="str">
        <f>INDEX('реш СГД № 265'!$A:$N,MATCH('БА расх 2018 31 12 2018'!$K441,'реш СГД № 265'!$N:$N,0),3)</f>
        <v>Предоставление молодым семьям социальных выплат на приобретение (строительство) жилья, нуждающимся в улучшении жилищных условий, имеющим одного или двух детей, а также, не имеющим детей, социальных выплат на приобретение (строительство) жилья, за счет средств краевого бюджета</v>
      </c>
      <c r="M441" s="17">
        <f t="shared" si="28"/>
        <v>1</v>
      </c>
    </row>
    <row r="442" spans="1:13" s="29" customFormat="1" ht="31.5">
      <c r="A442" s="28"/>
      <c r="B442" s="132" t="s">
        <v>327</v>
      </c>
      <c r="C442" s="108" t="s">
        <v>256</v>
      </c>
      <c r="D442" s="108" t="s">
        <v>317</v>
      </c>
      <c r="E442" s="108" t="s">
        <v>13</v>
      </c>
      <c r="F442" s="108" t="s">
        <v>2253</v>
      </c>
      <c r="G442" s="108" t="s">
        <v>328</v>
      </c>
      <c r="H442" s="126">
        <v>15408422.4</v>
      </c>
      <c r="I442" s="131" t="s">
        <v>1967</v>
      </c>
      <c r="J442" s="131" t="str">
        <f t="shared" si="27"/>
        <v>06Б0174970</v>
      </c>
      <c r="K442" s="304" t="str">
        <f t="shared" si="26"/>
        <v>602100306Б0174970320</v>
      </c>
      <c r="L442" s="17" t="str">
        <f>INDEX('реш СГД № 265'!$A:$N,MATCH('БА расх 2018 31 12 2018'!$K442,'реш СГД № 265'!$N:$N,0),3)</f>
        <v>Социальные выплаты гражданам, кроме публичных нормативных социальных выплат</v>
      </c>
      <c r="M442" s="16">
        <f t="shared" si="28"/>
        <v>1</v>
      </c>
    </row>
    <row r="443" spans="1:13" s="29" customFormat="1" ht="15.75">
      <c r="A443" s="28"/>
      <c r="B443" s="127" t="s">
        <v>329</v>
      </c>
      <c r="C443" s="108" t="s">
        <v>256</v>
      </c>
      <c r="D443" s="108" t="s">
        <v>317</v>
      </c>
      <c r="E443" s="108" t="s">
        <v>13</v>
      </c>
      <c r="F443" s="108" t="s">
        <v>2253</v>
      </c>
      <c r="G443" s="108" t="s">
        <v>330</v>
      </c>
      <c r="H443" s="126">
        <v>15408422.4</v>
      </c>
      <c r="I443" s="131" t="s">
        <v>1967</v>
      </c>
      <c r="J443" s="131" t="str">
        <f t="shared" si="27"/>
        <v>06Б0174970</v>
      </c>
      <c r="K443" s="304" t="str">
        <f t="shared" si="26"/>
        <v>602100306Б0174970322</v>
      </c>
      <c r="L443" s="17"/>
      <c r="M443" s="16"/>
    </row>
    <row r="444" spans="1:13" s="29" customFormat="1" ht="157.5">
      <c r="A444" s="28"/>
      <c r="B444" s="132" t="s">
        <v>2285</v>
      </c>
      <c r="C444" s="109" t="s">
        <v>256</v>
      </c>
      <c r="D444" s="108" t="s">
        <v>317</v>
      </c>
      <c r="E444" s="108" t="s">
        <v>13</v>
      </c>
      <c r="F444" s="108" t="s">
        <v>1088</v>
      </c>
      <c r="G444" s="108" t="s">
        <v>9</v>
      </c>
      <c r="H444" s="126">
        <v>957243.42</v>
      </c>
      <c r="I444" s="108" t="s">
        <v>1190</v>
      </c>
      <c r="J444" s="108" t="str">
        <f t="shared" si="27"/>
        <v>06Б0177360</v>
      </c>
      <c r="K444" s="304" t="str">
        <f t="shared" si="26"/>
        <v>602100306Б0177360000</v>
      </c>
      <c r="L444" s="132" t="str">
        <f>INDEX('реш СГД № 265'!$A:$N,MATCH('БА расх 2018 31 12 2018'!$K444,'реш СГД № 265'!$N:$N,0),3)</f>
        <v>Предоставление молодым семьям, являющимися по состоянию на 01 января 2017 года  участниками подпрограммы «Обеспечение жильем молодых семей» федеральной целевой программы «Жилище» на 2015 - 2020 годы, нуждающимся в улучшении жилищных условий, имеющим трех и более детей, в которых один из супругов или родитель в неполной семье достигает в 2017 году возраста 36 лет, социальных выплат на приобретение (строительство) жилья в 2017 году, за счет средств краевого бюджета</v>
      </c>
      <c r="M444" s="17">
        <f t="shared" si="28"/>
        <v>1</v>
      </c>
    </row>
    <row r="445" spans="1:13" s="29" customFormat="1" ht="31.5">
      <c r="A445" s="28"/>
      <c r="B445" s="125" t="s">
        <v>327</v>
      </c>
      <c r="C445" s="109" t="s">
        <v>256</v>
      </c>
      <c r="D445" s="108" t="s">
        <v>317</v>
      </c>
      <c r="E445" s="108" t="s">
        <v>13</v>
      </c>
      <c r="F445" s="108" t="s">
        <v>1088</v>
      </c>
      <c r="G445" s="108" t="s">
        <v>328</v>
      </c>
      <c r="H445" s="126">
        <v>957243.42</v>
      </c>
      <c r="I445" s="108" t="s">
        <v>1190</v>
      </c>
      <c r="J445" s="108" t="str">
        <f t="shared" si="27"/>
        <v>06Б0177360</v>
      </c>
      <c r="K445" s="304" t="str">
        <f t="shared" si="26"/>
        <v>602100306Б0177360320</v>
      </c>
      <c r="L445" s="17" t="str">
        <f>INDEX('реш СГД № 265'!$A:$N,MATCH('БА расх 2018 31 12 2018'!$K445,'реш СГД № 265'!$N:$N,0),3)</f>
        <v>Социальные выплаты гражданам, кроме публичных нормативных социальных выплат</v>
      </c>
      <c r="M445" s="16">
        <f t="shared" si="28"/>
        <v>1</v>
      </c>
    </row>
    <row r="446" spans="1:13" s="29" customFormat="1" ht="15.75">
      <c r="A446" s="28"/>
      <c r="B446" s="127" t="s">
        <v>329</v>
      </c>
      <c r="C446" s="109" t="s">
        <v>256</v>
      </c>
      <c r="D446" s="108" t="s">
        <v>317</v>
      </c>
      <c r="E446" s="108" t="s">
        <v>13</v>
      </c>
      <c r="F446" s="108" t="s">
        <v>1088</v>
      </c>
      <c r="G446" s="108" t="s">
        <v>330</v>
      </c>
      <c r="H446" s="126">
        <v>957243.42</v>
      </c>
      <c r="I446" s="108" t="s">
        <v>1190</v>
      </c>
      <c r="J446" s="108" t="str">
        <f t="shared" si="27"/>
        <v>06Б0177360</v>
      </c>
      <c r="K446" s="304" t="str">
        <f t="shared" si="26"/>
        <v>602100306Б0177360322</v>
      </c>
      <c r="L446" s="17"/>
      <c r="M446" s="16"/>
    </row>
    <row r="447" spans="1:13" s="29" customFormat="1" ht="173.25">
      <c r="A447" s="28"/>
      <c r="B447" s="132" t="s">
        <v>2254</v>
      </c>
      <c r="C447" s="108" t="s">
        <v>256</v>
      </c>
      <c r="D447" s="108" t="s">
        <v>317</v>
      </c>
      <c r="E447" s="108" t="s">
        <v>13</v>
      </c>
      <c r="F447" s="108" t="s">
        <v>2255</v>
      </c>
      <c r="G447" s="108" t="s">
        <v>9</v>
      </c>
      <c r="H447" s="126">
        <v>13867580.16</v>
      </c>
      <c r="I447" s="108" t="s">
        <v>1968</v>
      </c>
      <c r="J447" s="108" t="str">
        <f t="shared" si="27"/>
        <v>06Б0177520</v>
      </c>
      <c r="K447" s="304" t="str">
        <f t="shared" si="26"/>
        <v>602100306Б0177520000</v>
      </c>
      <c r="L447" s="17" t="str">
        <f>INDEX('реш СГД № 265'!$A:$N,MATCH('БА расх 2018 31 12 2018'!$K447,'реш СГД № 265'!$N:$N,0),3)</f>
        <v>Предоставление молодым семьям, являющимся участниками основного мероприятия «Обеспечение жильем молодых семей» государственной программы Российской Федерации «Обеспечение доступным и комфортным жильем и коммунальными услугами граждан Российской Федерации», нуждающимся в улучшении жилищных условий, имеющим трех и более детей, в том числе молодым семьям, в которых один из супругов или оба супруга, или родитель в неполной семье достигает в 2018 году возраста 36 лет, социальных выплат на приобретение (строительство) жилья в 2018 году за счет средств краевого бюджета</v>
      </c>
      <c r="M447" s="16">
        <f t="shared" si="28"/>
        <v>1</v>
      </c>
    </row>
    <row r="448" spans="1:13" s="29" customFormat="1" ht="31.5">
      <c r="A448" s="28"/>
      <c r="B448" s="132" t="s">
        <v>327</v>
      </c>
      <c r="C448" s="108" t="s">
        <v>256</v>
      </c>
      <c r="D448" s="108" t="s">
        <v>317</v>
      </c>
      <c r="E448" s="108" t="s">
        <v>13</v>
      </c>
      <c r="F448" s="108" t="s">
        <v>2255</v>
      </c>
      <c r="G448" s="108" t="s">
        <v>328</v>
      </c>
      <c r="H448" s="126">
        <v>13867580.16</v>
      </c>
      <c r="I448" s="108" t="s">
        <v>1968</v>
      </c>
      <c r="J448" s="108" t="str">
        <f t="shared" si="27"/>
        <v>06Б0177520</v>
      </c>
      <c r="K448" s="304" t="str">
        <f t="shared" si="26"/>
        <v>602100306Б0177520320</v>
      </c>
      <c r="L448" s="17" t="str">
        <f>INDEX('реш СГД № 265'!$A:$N,MATCH('БА расх 2018 31 12 2018'!$K448,'реш СГД № 265'!$N:$N,0),3)</f>
        <v>Социальные выплаты гражданам, кроме публичных нормативных социальных выплат</v>
      </c>
      <c r="M448" s="16">
        <f t="shared" si="28"/>
        <v>1</v>
      </c>
    </row>
    <row r="449" spans="1:13" s="29" customFormat="1" ht="15.75">
      <c r="A449" s="28"/>
      <c r="B449" s="127" t="s">
        <v>329</v>
      </c>
      <c r="C449" s="108" t="s">
        <v>256</v>
      </c>
      <c r="D449" s="108" t="s">
        <v>317</v>
      </c>
      <c r="E449" s="108" t="s">
        <v>13</v>
      </c>
      <c r="F449" s="108" t="s">
        <v>2255</v>
      </c>
      <c r="G449" s="108" t="s">
        <v>330</v>
      </c>
      <c r="H449" s="126">
        <v>13867580.16</v>
      </c>
      <c r="I449" s="108" t="s">
        <v>1968</v>
      </c>
      <c r="J449" s="108" t="str">
        <f t="shared" si="27"/>
        <v>06Б0177520</v>
      </c>
      <c r="K449" s="304" t="str">
        <f t="shared" si="26"/>
        <v>602100306Б0177520322</v>
      </c>
      <c r="L449" s="17"/>
      <c r="M449" s="16"/>
    </row>
    <row r="450" spans="1:13" s="29" customFormat="1" ht="31.5">
      <c r="A450" s="28"/>
      <c r="B450" s="125" t="s">
        <v>325</v>
      </c>
      <c r="C450" s="131" t="s">
        <v>256</v>
      </c>
      <c r="D450" s="131" t="s">
        <v>317</v>
      </c>
      <c r="E450" s="131" t="s">
        <v>13</v>
      </c>
      <c r="F450" s="131" t="s">
        <v>1113</v>
      </c>
      <c r="G450" s="131" t="s">
        <v>9</v>
      </c>
      <c r="H450" s="105">
        <v>8399328</v>
      </c>
      <c r="I450" s="131" t="s">
        <v>1191</v>
      </c>
      <c r="J450" s="131" t="str">
        <f t="shared" si="27"/>
        <v>06Б01L4970</v>
      </c>
      <c r="K450" s="304" t="str">
        <f t="shared" si="26"/>
        <v>602100306Б01L4970000</v>
      </c>
      <c r="L450" s="17" t="str">
        <f>INDEX('реш СГД № 265'!$A:$N,MATCH('БА расх 2018 31 12 2018'!$K450,'реш СГД № 265'!$N:$N,0),3)</f>
        <v>Предоставление молодым семьям социальных выплат на приобретение (строительство) жилья</v>
      </c>
      <c r="M450" s="16">
        <f t="shared" si="28"/>
        <v>1</v>
      </c>
    </row>
    <row r="451" spans="1:13" s="29" customFormat="1" ht="31.5">
      <c r="A451" s="28"/>
      <c r="B451" s="132" t="s">
        <v>327</v>
      </c>
      <c r="C451" s="131" t="s">
        <v>256</v>
      </c>
      <c r="D451" s="131" t="s">
        <v>317</v>
      </c>
      <c r="E451" s="131" t="s">
        <v>13</v>
      </c>
      <c r="F451" s="131" t="s">
        <v>1113</v>
      </c>
      <c r="G451" s="131" t="s">
        <v>328</v>
      </c>
      <c r="H451" s="126">
        <v>8399328</v>
      </c>
      <c r="I451" s="131" t="s">
        <v>1191</v>
      </c>
      <c r="J451" s="131" t="str">
        <f t="shared" si="27"/>
        <v>06Б01L4970</v>
      </c>
      <c r="K451" s="304" t="str">
        <f t="shared" si="26"/>
        <v>602100306Б01L4970320</v>
      </c>
      <c r="L451" s="17" t="str">
        <f>INDEX('реш СГД № 265'!$A:$N,MATCH('БА расх 2018 31 12 2018'!$K451,'реш СГД № 265'!$N:$N,0),3)</f>
        <v>Социальные выплаты гражданам, кроме публичных нормативных социальных выплат</v>
      </c>
      <c r="M451" s="16">
        <f t="shared" si="28"/>
        <v>1</v>
      </c>
    </row>
    <row r="452" spans="1:13" s="29" customFormat="1" ht="15.75">
      <c r="A452" s="28"/>
      <c r="B452" s="127" t="s">
        <v>329</v>
      </c>
      <c r="C452" s="108" t="s">
        <v>256</v>
      </c>
      <c r="D452" s="108" t="s">
        <v>317</v>
      </c>
      <c r="E452" s="108" t="s">
        <v>13</v>
      </c>
      <c r="F452" s="131" t="s">
        <v>1113</v>
      </c>
      <c r="G452" s="108" t="s">
        <v>330</v>
      </c>
      <c r="H452" s="126">
        <v>8399328</v>
      </c>
      <c r="I452" s="131" t="s">
        <v>1191</v>
      </c>
      <c r="J452" s="131" t="str">
        <f t="shared" si="27"/>
        <v>06Б01L4970</v>
      </c>
      <c r="K452" s="304" t="str">
        <f t="shared" si="26"/>
        <v>602100306Б01L4970322</v>
      </c>
      <c r="L452" s="17"/>
      <c r="M452" s="16"/>
    </row>
    <row r="453" spans="1:13" s="29" customFormat="1" ht="94.5">
      <c r="A453" s="28"/>
      <c r="B453" s="132" t="s">
        <v>2286</v>
      </c>
      <c r="C453" s="109" t="s">
        <v>256</v>
      </c>
      <c r="D453" s="108" t="s">
        <v>317</v>
      </c>
      <c r="E453" s="108" t="s">
        <v>13</v>
      </c>
      <c r="F453" s="108" t="s">
        <v>1274</v>
      </c>
      <c r="G453" s="108" t="s">
        <v>9</v>
      </c>
      <c r="H453" s="126">
        <v>810969.59999999998</v>
      </c>
      <c r="I453" s="108" t="s">
        <v>1855</v>
      </c>
      <c r="J453" s="108" t="str">
        <f t="shared" si="27"/>
        <v>06Б01S4970</v>
      </c>
      <c r="K453" s="304" t="str">
        <f t="shared" si="26"/>
        <v>602100306Б01S4970000</v>
      </c>
      <c r="L453" s="132" t="str">
        <f>INDEX('реш СГД № 265'!$A:$N,MATCH('БА расх 2018 31 12 2018'!$K453,'реш СГД № 265'!$N:$N,0),3)</f>
        <v>Предоставление молодым семьям социальных выплат на приобретение (строительство) жилья, нуждающимся в улучшении жилищных условий, имеющим одного или двух детей, а также не имеющим детей, социальных выплат на приобретение (строительство) жилья в 2018 году, за счет средств местного бюджета</v>
      </c>
      <c r="M453" s="17">
        <f t="shared" si="28"/>
        <v>1</v>
      </c>
    </row>
    <row r="454" spans="1:13" s="29" customFormat="1" ht="31.5">
      <c r="A454" s="28"/>
      <c r="B454" s="132" t="s">
        <v>327</v>
      </c>
      <c r="C454" s="109" t="s">
        <v>256</v>
      </c>
      <c r="D454" s="108" t="s">
        <v>317</v>
      </c>
      <c r="E454" s="108" t="s">
        <v>13</v>
      </c>
      <c r="F454" s="108" t="s">
        <v>1274</v>
      </c>
      <c r="G454" s="131" t="s">
        <v>328</v>
      </c>
      <c r="H454" s="126">
        <v>810969.59999999998</v>
      </c>
      <c r="I454" s="108" t="s">
        <v>1855</v>
      </c>
      <c r="J454" s="108" t="str">
        <f t="shared" si="27"/>
        <v>06Б01S4970</v>
      </c>
      <c r="K454" s="304" t="str">
        <f t="shared" si="26"/>
        <v>602100306Б01S4970320</v>
      </c>
      <c r="L454" s="17" t="str">
        <f>INDEX('реш СГД № 265'!$A:$N,MATCH('БА расх 2018 31 12 2018'!$K454,'реш СГД № 265'!$N:$N,0),3)</f>
        <v>Социальные выплаты гражданам, кроме публичных нормативных социальных выплат</v>
      </c>
      <c r="M454" s="16">
        <f t="shared" si="28"/>
        <v>1</v>
      </c>
    </row>
    <row r="455" spans="1:13" s="29" customFormat="1" ht="15.75">
      <c r="A455" s="28"/>
      <c r="B455" s="132" t="s">
        <v>329</v>
      </c>
      <c r="C455" s="109" t="s">
        <v>256</v>
      </c>
      <c r="D455" s="108" t="s">
        <v>317</v>
      </c>
      <c r="E455" s="108" t="s">
        <v>13</v>
      </c>
      <c r="F455" s="108" t="s">
        <v>1274</v>
      </c>
      <c r="G455" s="108" t="s">
        <v>330</v>
      </c>
      <c r="H455" s="126">
        <v>810969.59999999998</v>
      </c>
      <c r="I455" s="108" t="s">
        <v>1855</v>
      </c>
      <c r="J455" s="108" t="str">
        <f t="shared" si="27"/>
        <v>06Б01S4970</v>
      </c>
      <c r="K455" s="304" t="str">
        <f t="shared" si="26"/>
        <v>602100306Б01S4970322</v>
      </c>
      <c r="L455" s="17"/>
      <c r="M455" s="16"/>
    </row>
    <row r="456" spans="1:13" s="29" customFormat="1" ht="175.15" customHeight="1">
      <c r="A456" s="28"/>
      <c r="B456" s="125" t="s">
        <v>1114</v>
      </c>
      <c r="C456" s="109" t="s">
        <v>256</v>
      </c>
      <c r="D456" s="108" t="s">
        <v>317</v>
      </c>
      <c r="E456" s="108" t="s">
        <v>13</v>
      </c>
      <c r="F456" s="108" t="s">
        <v>1115</v>
      </c>
      <c r="G456" s="108" t="s">
        <v>9</v>
      </c>
      <c r="H456" s="126">
        <v>72050.58</v>
      </c>
      <c r="I456" s="108" t="s">
        <v>1192</v>
      </c>
      <c r="J456" s="108" t="str">
        <f t="shared" si="27"/>
        <v>06Б01S7360</v>
      </c>
      <c r="K456" s="304" t="str">
        <f t="shared" si="26"/>
        <v>602100306Б01S7360000</v>
      </c>
      <c r="L456" s="17" t="str">
        <f>INDEX('реш СГД № 265'!$A:$N,MATCH('БА расх 2018 31 12 2018'!$K456,'реш СГД № 265'!$N:$N,0),3)</f>
        <v>Предоставление молодым семьям, являющимися по состоянию на 01 января 2017 года  участниками подпрограммы «Обеспечение жильем молодых семей» федеральной целевой программы «Жилище» на 2015 - 2020 годы, нуждающимся в улучшении жилищных условий, имеющим трех и более детей, в которых один из супругов или родитель в неполной семье достигает в 2017 году возраста 36 лет, социальных выплат на приобретение (строительство) жилья в 2017 году, за счет средств местного бюджета</v>
      </c>
      <c r="M456" s="16">
        <f t="shared" si="28"/>
        <v>1</v>
      </c>
    </row>
    <row r="457" spans="1:13" s="29" customFormat="1" ht="31.5">
      <c r="A457" s="28"/>
      <c r="B457" s="132" t="s">
        <v>327</v>
      </c>
      <c r="C457" s="109" t="s">
        <v>256</v>
      </c>
      <c r="D457" s="108" t="s">
        <v>317</v>
      </c>
      <c r="E457" s="108" t="s">
        <v>13</v>
      </c>
      <c r="F457" s="108" t="s">
        <v>1115</v>
      </c>
      <c r="G457" s="131" t="s">
        <v>328</v>
      </c>
      <c r="H457" s="126">
        <v>72050.58</v>
      </c>
      <c r="I457" s="108" t="s">
        <v>1192</v>
      </c>
      <c r="J457" s="108" t="str">
        <f t="shared" si="27"/>
        <v>06Б01S7360</v>
      </c>
      <c r="K457" s="304" t="str">
        <f t="shared" si="26"/>
        <v>602100306Б01S7360320</v>
      </c>
      <c r="L457" s="17" t="str">
        <f>INDEX('реш СГД № 265'!$A:$N,MATCH('БА расх 2018 31 12 2018'!$K457,'реш СГД № 265'!$N:$N,0),3)</f>
        <v>Социальные выплаты гражданам, кроме публичных нормативных социальных выплат</v>
      </c>
      <c r="M457" s="16">
        <f t="shared" si="28"/>
        <v>1</v>
      </c>
    </row>
    <row r="458" spans="1:13" s="29" customFormat="1" ht="15.75">
      <c r="A458" s="28"/>
      <c r="B458" s="127" t="s">
        <v>329</v>
      </c>
      <c r="C458" s="109" t="s">
        <v>256</v>
      </c>
      <c r="D458" s="108" t="s">
        <v>317</v>
      </c>
      <c r="E458" s="108" t="s">
        <v>13</v>
      </c>
      <c r="F458" s="108" t="s">
        <v>1115</v>
      </c>
      <c r="G458" s="108" t="s">
        <v>330</v>
      </c>
      <c r="H458" s="126">
        <v>72050.58</v>
      </c>
      <c r="I458" s="108" t="s">
        <v>1192</v>
      </c>
      <c r="J458" s="108" t="str">
        <f t="shared" si="27"/>
        <v>06Б01S7360</v>
      </c>
      <c r="K458" s="304" t="str">
        <f t="shared" si="26"/>
        <v>602100306Б01S7360322</v>
      </c>
      <c r="L458" s="17"/>
      <c r="M458" s="16"/>
    </row>
    <row r="459" spans="1:13" s="29" customFormat="1" ht="196.9" customHeight="1">
      <c r="A459" s="28"/>
      <c r="B459" s="132" t="s">
        <v>2287</v>
      </c>
      <c r="C459" s="108" t="s">
        <v>256</v>
      </c>
      <c r="D459" s="108" t="s">
        <v>317</v>
      </c>
      <c r="E459" s="108" t="s">
        <v>13</v>
      </c>
      <c r="F459" s="108" t="s">
        <v>2256</v>
      </c>
      <c r="G459" s="108" t="s">
        <v>9</v>
      </c>
      <c r="H459" s="126">
        <v>729872.64</v>
      </c>
      <c r="I459" s="108" t="s">
        <v>1969</v>
      </c>
      <c r="J459" s="108" t="str">
        <f t="shared" si="27"/>
        <v>06Б01S7520</v>
      </c>
      <c r="K459" s="304" t="str">
        <f t="shared" si="26"/>
        <v>602100306Б01S7520000</v>
      </c>
      <c r="L459" s="132" t="str">
        <f>INDEX('реш СГД № 265'!$A:$N,MATCH('БА расх 2018 31 12 2018'!$K459,'реш СГД № 265'!$N:$N,0),3)</f>
        <v>Предоставление молодым семьям, являющимся по состоянию участниками основного мероприятия «Обеспечение жильем молодых семей» государственной программы Российской Федерации «Обеспечение доступным и комфортным жильем и коммунальными услугами граждан Российской Федерации», нуждающимся в улучшении жилищных условий, имеющим трех и более детей, в том числе молодым семьям, в которых один из супругов или оба супруга, или родитель в неполной семье достигает в 2018 году возраста 36 лет, социальных выплат на приобретение (строительство) жилья в 2018 году, за счет средств местного бюджета</v>
      </c>
      <c r="M459" s="17">
        <f t="shared" si="28"/>
        <v>1</v>
      </c>
    </row>
    <row r="460" spans="1:13" s="29" customFormat="1" ht="31.5">
      <c r="A460" s="28"/>
      <c r="B460" s="132" t="s">
        <v>327</v>
      </c>
      <c r="C460" s="108" t="s">
        <v>256</v>
      </c>
      <c r="D460" s="108" t="s">
        <v>317</v>
      </c>
      <c r="E460" s="108" t="s">
        <v>13</v>
      </c>
      <c r="F460" s="108" t="s">
        <v>2256</v>
      </c>
      <c r="G460" s="108" t="s">
        <v>328</v>
      </c>
      <c r="H460" s="126">
        <v>729872.64</v>
      </c>
      <c r="I460" s="108" t="s">
        <v>1969</v>
      </c>
      <c r="J460" s="108" t="str">
        <f t="shared" si="27"/>
        <v>06Б01S7520</v>
      </c>
      <c r="K460" s="304" t="str">
        <f t="shared" si="26"/>
        <v>602100306Б01S7520320</v>
      </c>
      <c r="L460" s="17" t="str">
        <f>INDEX('реш СГД № 265'!$A:$N,MATCH('БА расх 2018 31 12 2018'!$K460,'реш СГД № 265'!$N:$N,0),3)</f>
        <v>Социальные выплаты гражданам, кроме публичных нормативных социальных выплат</v>
      </c>
      <c r="M460" s="16">
        <f t="shared" si="28"/>
        <v>1</v>
      </c>
    </row>
    <row r="461" spans="1:13" s="29" customFormat="1" ht="15.75">
      <c r="A461" s="28"/>
      <c r="B461" s="127" t="s">
        <v>329</v>
      </c>
      <c r="C461" s="108" t="s">
        <v>256</v>
      </c>
      <c r="D461" s="108" t="s">
        <v>317</v>
      </c>
      <c r="E461" s="108" t="s">
        <v>13</v>
      </c>
      <c r="F461" s="108" t="s">
        <v>2256</v>
      </c>
      <c r="G461" s="108" t="s">
        <v>330</v>
      </c>
      <c r="H461" s="126">
        <v>729872.64</v>
      </c>
      <c r="I461" s="108" t="s">
        <v>1969</v>
      </c>
      <c r="J461" s="108" t="str">
        <f t="shared" si="27"/>
        <v>06Б01S7520</v>
      </c>
      <c r="K461" s="304" t="str">
        <f t="shared" si="26"/>
        <v>602100306Б01S7520322</v>
      </c>
      <c r="L461" s="17"/>
      <c r="M461" s="16"/>
    </row>
    <row r="462" spans="1:13" s="29" customFormat="1" ht="15.75">
      <c r="A462" s="28"/>
      <c r="B462" s="125"/>
      <c r="C462" s="109"/>
      <c r="D462" s="108"/>
      <c r="E462" s="108"/>
      <c r="F462" s="108"/>
      <c r="G462" s="108"/>
      <c r="H462" s="126"/>
      <c r="I462" s="108"/>
      <c r="J462" s="108" t="str">
        <f t="shared" si="27"/>
        <v>0000000000</v>
      </c>
      <c r="K462" s="304" t="str">
        <f t="shared" si="26"/>
        <v>0000000000</v>
      </c>
      <c r="L462" s="17">
        <f>INDEX('реш СГД № 265'!$A:$N,MATCH('БА расх 2018 31 12 2018'!$K462,'реш СГД № 265'!$N:$N,0),3)</f>
        <v>0</v>
      </c>
      <c r="M462" s="16">
        <f t="shared" si="28"/>
        <v>1</v>
      </c>
    </row>
    <row r="463" spans="1:13" s="29" customFormat="1" ht="31.5">
      <c r="A463" s="28"/>
      <c r="B463" s="67" t="s">
        <v>331</v>
      </c>
      <c r="C463" s="116" t="s">
        <v>332</v>
      </c>
      <c r="D463" s="69" t="s">
        <v>7</v>
      </c>
      <c r="E463" s="69" t="s">
        <v>7</v>
      </c>
      <c r="F463" s="69" t="s">
        <v>8</v>
      </c>
      <c r="G463" s="69" t="s">
        <v>9</v>
      </c>
      <c r="H463" s="70">
        <v>144187049.66999999</v>
      </c>
      <c r="I463" s="69">
        <v>0</v>
      </c>
      <c r="J463" s="69" t="str">
        <f t="shared" si="27"/>
        <v>0000000000</v>
      </c>
      <c r="K463" s="304" t="str">
        <f t="shared" si="26"/>
        <v>60400000000000000000</v>
      </c>
      <c r="L463" s="17" t="str">
        <f>INDEX('реш СГД № 265'!$A:$N,MATCH('БА расх 2018 31 12 2018'!$K463,'реш СГД № 265'!$N:$N,0),3)</f>
        <v>Комитет финансов и бюджета администрации города Ставрополя</v>
      </c>
      <c r="M463" s="16">
        <f t="shared" si="28"/>
        <v>1</v>
      </c>
    </row>
    <row r="464" spans="1:13" s="29" customFormat="1" ht="15.75">
      <c r="A464" s="28"/>
      <c r="B464" s="117" t="s">
        <v>10</v>
      </c>
      <c r="C464" s="118" t="s">
        <v>332</v>
      </c>
      <c r="D464" s="119" t="s">
        <v>11</v>
      </c>
      <c r="E464" s="119" t="s">
        <v>7</v>
      </c>
      <c r="F464" s="119" t="s">
        <v>8</v>
      </c>
      <c r="G464" s="119" t="s">
        <v>9</v>
      </c>
      <c r="H464" s="120">
        <v>51187049.669999994</v>
      </c>
      <c r="I464" s="119">
        <v>0</v>
      </c>
      <c r="J464" s="119" t="str">
        <f t="shared" si="27"/>
        <v>0000000000</v>
      </c>
      <c r="K464" s="304" t="str">
        <f t="shared" si="26"/>
        <v>60401000000000000000</v>
      </c>
      <c r="L464" s="17" t="str">
        <f>INDEX('реш СГД № 265'!$A:$N,MATCH('БА расх 2018 31 12 2018'!$K464,'реш СГД № 265'!$N:$N,0),3)</f>
        <v>Общегосударственные вопросы</v>
      </c>
      <c r="M464" s="16">
        <f t="shared" si="28"/>
        <v>1</v>
      </c>
    </row>
    <row r="465" spans="1:13" s="29" customFormat="1" ht="47.25">
      <c r="A465" s="28"/>
      <c r="B465" s="121" t="s">
        <v>333</v>
      </c>
      <c r="C465" s="122" t="s">
        <v>332</v>
      </c>
      <c r="D465" s="123" t="s">
        <v>11</v>
      </c>
      <c r="E465" s="123" t="s">
        <v>334</v>
      </c>
      <c r="F465" s="123" t="s">
        <v>8</v>
      </c>
      <c r="G465" s="123" t="s">
        <v>9</v>
      </c>
      <c r="H465" s="124">
        <v>47079696.189999998</v>
      </c>
      <c r="I465" s="123">
        <v>0</v>
      </c>
      <c r="J465" s="123" t="str">
        <f t="shared" si="27"/>
        <v>0000000000</v>
      </c>
      <c r="K465" s="304" t="str">
        <f t="shared" si="26"/>
        <v>60401060000000000000</v>
      </c>
      <c r="L465" s="17" t="str">
        <f>INDEX('реш СГД № 265'!$A:$N,MATCH('БА расх 2018 31 12 2018'!$K465,'реш СГД № 265'!$N:$N,0),3)</f>
        <v>Обеспечение деятельности финансовых, налоговых и таможенных органов и органов финансового (финансово-бюджетного) надзора</v>
      </c>
      <c r="M465" s="16">
        <f t="shared" si="28"/>
        <v>1</v>
      </c>
    </row>
    <row r="466" spans="1:13" s="29" customFormat="1" ht="31.5">
      <c r="A466" s="28"/>
      <c r="B466" s="143" t="s">
        <v>335</v>
      </c>
      <c r="C466" s="109" t="s">
        <v>332</v>
      </c>
      <c r="D466" s="108" t="s">
        <v>11</v>
      </c>
      <c r="E466" s="108" t="s">
        <v>334</v>
      </c>
      <c r="F466" s="108" t="s">
        <v>336</v>
      </c>
      <c r="G466" s="108" t="s">
        <v>9</v>
      </c>
      <c r="H466" s="126">
        <v>47079696.189999998</v>
      </c>
      <c r="I466" s="108">
        <v>7300000000</v>
      </c>
      <c r="J466" s="108" t="str">
        <f t="shared" si="27"/>
        <v>7300000000</v>
      </c>
      <c r="K466" s="304" t="str">
        <f t="shared" si="26"/>
        <v>60401067300000000000</v>
      </c>
      <c r="L466" s="17" t="str">
        <f>INDEX('реш СГД № 265'!$A:$N,MATCH('БА расх 2018 31 12 2018'!$K466,'реш СГД № 265'!$N:$N,0),3)</f>
        <v>Обеспечение деятельности комитета финансов и бюджета администрации города Ставрополя</v>
      </c>
      <c r="M466" s="16">
        <f t="shared" si="28"/>
        <v>1</v>
      </c>
    </row>
    <row r="467" spans="1:13" s="29" customFormat="1" ht="47.25">
      <c r="A467" s="28"/>
      <c r="B467" s="143" t="s">
        <v>337</v>
      </c>
      <c r="C467" s="109" t="s">
        <v>332</v>
      </c>
      <c r="D467" s="108" t="s">
        <v>11</v>
      </c>
      <c r="E467" s="108" t="s">
        <v>334</v>
      </c>
      <c r="F467" s="108" t="s">
        <v>338</v>
      </c>
      <c r="G467" s="108" t="s">
        <v>9</v>
      </c>
      <c r="H467" s="126">
        <v>47079696.189999998</v>
      </c>
      <c r="I467" s="108">
        <v>7310000000</v>
      </c>
      <c r="J467" s="108" t="str">
        <f t="shared" si="27"/>
        <v>7310000000</v>
      </c>
      <c r="K467" s="304" t="str">
        <f t="shared" si="26"/>
        <v>60401067310000000000</v>
      </c>
      <c r="L467" s="17" t="str">
        <f>INDEX('реш СГД № 265'!$A:$N,MATCH('БА расх 2018 31 12 2018'!$K467,'реш СГД № 265'!$N:$N,0),3)</f>
        <v>Непрограммные расходы в рамках обеспечения деятельности комитета финансов и бюджета администрации города Ставрополя</v>
      </c>
      <c r="M467" s="16">
        <f t="shared" si="28"/>
        <v>1</v>
      </c>
    </row>
    <row r="468" spans="1:13" s="29" customFormat="1" ht="31.5">
      <c r="A468" s="28"/>
      <c r="B468" s="144" t="s">
        <v>18</v>
      </c>
      <c r="C468" s="109" t="s">
        <v>332</v>
      </c>
      <c r="D468" s="108" t="s">
        <v>11</v>
      </c>
      <c r="E468" s="108" t="s">
        <v>334</v>
      </c>
      <c r="F468" s="108" t="s">
        <v>339</v>
      </c>
      <c r="G468" s="108" t="s">
        <v>9</v>
      </c>
      <c r="H468" s="126">
        <v>5807148.96</v>
      </c>
      <c r="I468" s="108">
        <v>7310010010</v>
      </c>
      <c r="J468" s="108" t="str">
        <f t="shared" si="27"/>
        <v>7310010010</v>
      </c>
      <c r="K468" s="304" t="str">
        <f t="shared" si="26"/>
        <v>60401067310010010000</v>
      </c>
      <c r="L468" s="17" t="str">
        <f>INDEX('реш СГД № 265'!$A:$N,MATCH('БА расх 2018 31 12 2018'!$K468,'реш СГД № 265'!$N:$N,0),3)</f>
        <v>Расходы на обеспечение функций органов местного самоуправления города Ставрополя</v>
      </c>
      <c r="M468" s="16">
        <f t="shared" si="28"/>
        <v>1</v>
      </c>
    </row>
    <row r="469" spans="1:13" s="29" customFormat="1" ht="31.5">
      <c r="A469" s="28"/>
      <c r="B469" s="127" t="s">
        <v>20</v>
      </c>
      <c r="C469" s="109" t="s">
        <v>332</v>
      </c>
      <c r="D469" s="108" t="s">
        <v>11</v>
      </c>
      <c r="E469" s="108" t="s">
        <v>334</v>
      </c>
      <c r="F469" s="108" t="s">
        <v>339</v>
      </c>
      <c r="G469" s="108" t="s">
        <v>21</v>
      </c>
      <c r="H469" s="126">
        <v>1211338</v>
      </c>
      <c r="I469" s="108">
        <v>7310010010</v>
      </c>
      <c r="J469" s="108" t="str">
        <f t="shared" si="27"/>
        <v>7310010010</v>
      </c>
      <c r="K469" s="304" t="str">
        <f t="shared" si="26"/>
        <v>60401067310010010120</v>
      </c>
      <c r="L469" s="17" t="str">
        <f>INDEX('реш СГД № 265'!$A:$N,MATCH('БА расх 2018 31 12 2018'!$K469,'реш СГД № 265'!$N:$N,0),3)</f>
        <v>Расходы на выплаты персоналу государственных (муниципальных) органов</v>
      </c>
      <c r="M469" s="16">
        <f t="shared" si="28"/>
        <v>1</v>
      </c>
    </row>
    <row r="470" spans="1:13" s="31" customFormat="1" ht="31.5">
      <c r="A470" s="30"/>
      <c r="B470" s="127" t="s">
        <v>22</v>
      </c>
      <c r="C470" s="109" t="s">
        <v>332</v>
      </c>
      <c r="D470" s="108" t="s">
        <v>11</v>
      </c>
      <c r="E470" s="108" t="s">
        <v>334</v>
      </c>
      <c r="F470" s="108" t="s">
        <v>339</v>
      </c>
      <c r="G470" s="108" t="s">
        <v>23</v>
      </c>
      <c r="H470" s="126">
        <v>939558</v>
      </c>
      <c r="I470" s="108">
        <v>7310010010</v>
      </c>
      <c r="J470" s="108" t="str">
        <f t="shared" si="27"/>
        <v>7310010010</v>
      </c>
      <c r="K470" s="304" t="str">
        <f t="shared" si="26"/>
        <v>60401067310010010122</v>
      </c>
      <c r="L470" s="17"/>
      <c r="M470" s="16"/>
    </row>
    <row r="471" spans="1:13" s="31" customFormat="1" ht="47.25">
      <c r="A471" s="30"/>
      <c r="B471" s="127" t="s">
        <v>26</v>
      </c>
      <c r="C471" s="109" t="s">
        <v>332</v>
      </c>
      <c r="D471" s="108" t="s">
        <v>11</v>
      </c>
      <c r="E471" s="108" t="s">
        <v>334</v>
      </c>
      <c r="F471" s="108" t="s">
        <v>339</v>
      </c>
      <c r="G471" s="108" t="s">
        <v>27</v>
      </c>
      <c r="H471" s="126">
        <v>271780</v>
      </c>
      <c r="I471" s="108">
        <v>7310010010</v>
      </c>
      <c r="J471" s="108" t="str">
        <f t="shared" si="27"/>
        <v>7310010010</v>
      </c>
      <c r="K471" s="304" t="str">
        <f t="shared" si="26"/>
        <v>60401067310010010129</v>
      </c>
      <c r="L471" s="17"/>
      <c r="M471" s="16"/>
    </row>
    <row r="472" spans="1:13" s="29" customFormat="1" ht="31.5">
      <c r="A472" s="28"/>
      <c r="B472" s="125" t="s">
        <v>28</v>
      </c>
      <c r="C472" s="109" t="s">
        <v>332</v>
      </c>
      <c r="D472" s="108" t="s">
        <v>11</v>
      </c>
      <c r="E472" s="108" t="s">
        <v>334</v>
      </c>
      <c r="F472" s="108" t="s">
        <v>339</v>
      </c>
      <c r="G472" s="108" t="s">
        <v>29</v>
      </c>
      <c r="H472" s="126">
        <v>4535340.96</v>
      </c>
      <c r="I472" s="108">
        <v>7310010010</v>
      </c>
      <c r="J472" s="108" t="str">
        <f t="shared" si="27"/>
        <v>7310010010</v>
      </c>
      <c r="K472" s="304" t="str">
        <f t="shared" si="26"/>
        <v>60401067310010010240</v>
      </c>
      <c r="L472" s="17" t="str">
        <f>INDEX('реш СГД № 265'!$A:$N,MATCH('БА расх 2018 31 12 2018'!$K472,'реш СГД № 265'!$N:$N,0),3)</f>
        <v>Иные закупки товаров, работ и услуг для обеспечения государственных (муниципальных) нужд</v>
      </c>
      <c r="M472" s="16">
        <f t="shared" si="28"/>
        <v>1</v>
      </c>
    </row>
    <row r="473" spans="1:13" s="29" customFormat="1" ht="15.75">
      <c r="A473" s="28"/>
      <c r="B473" s="125" t="s">
        <v>30</v>
      </c>
      <c r="C473" s="109" t="s">
        <v>332</v>
      </c>
      <c r="D473" s="108" t="s">
        <v>11</v>
      </c>
      <c r="E473" s="108" t="s">
        <v>334</v>
      </c>
      <c r="F473" s="108" t="s">
        <v>339</v>
      </c>
      <c r="G473" s="108" t="s">
        <v>31</v>
      </c>
      <c r="H473" s="126">
        <v>4535340.96</v>
      </c>
      <c r="I473" s="108">
        <v>7310010010</v>
      </c>
      <c r="J473" s="108" t="str">
        <f t="shared" si="27"/>
        <v>7310010010</v>
      </c>
      <c r="K473" s="304" t="str">
        <f t="shared" si="26"/>
        <v>60401067310010010244</v>
      </c>
      <c r="L473" s="17"/>
      <c r="M473" s="16"/>
    </row>
    <row r="474" spans="1:13" s="29" customFormat="1" ht="15.75">
      <c r="A474" s="28"/>
      <c r="B474" s="125" t="s">
        <v>32</v>
      </c>
      <c r="C474" s="109" t="s">
        <v>332</v>
      </c>
      <c r="D474" s="108" t="s">
        <v>11</v>
      </c>
      <c r="E474" s="108" t="s">
        <v>334</v>
      </c>
      <c r="F474" s="108" t="s">
        <v>339</v>
      </c>
      <c r="G474" s="108" t="s">
        <v>33</v>
      </c>
      <c r="H474" s="126">
        <v>60470</v>
      </c>
      <c r="I474" s="108">
        <v>7310010010</v>
      </c>
      <c r="J474" s="108" t="str">
        <f t="shared" si="27"/>
        <v>7310010010</v>
      </c>
      <c r="K474" s="304" t="str">
        <f t="shared" si="26"/>
        <v>60401067310010010850</v>
      </c>
      <c r="L474" s="17" t="str">
        <f>INDEX('реш СГД № 265'!$A:$N,MATCH('БА расх 2018 31 12 2018'!$K474,'реш СГД № 265'!$N:$N,0),3)</f>
        <v>Уплата налогов, сборов и иных платежей</v>
      </c>
      <c r="M474" s="16">
        <f t="shared" si="28"/>
        <v>1</v>
      </c>
    </row>
    <row r="475" spans="1:13" s="31" customFormat="1" ht="31.5">
      <c r="A475" s="30"/>
      <c r="B475" s="127" t="s">
        <v>34</v>
      </c>
      <c r="C475" s="109" t="s">
        <v>332</v>
      </c>
      <c r="D475" s="108" t="s">
        <v>11</v>
      </c>
      <c r="E475" s="108" t="s">
        <v>334</v>
      </c>
      <c r="F475" s="108" t="s">
        <v>339</v>
      </c>
      <c r="G475" s="108" t="s">
        <v>35</v>
      </c>
      <c r="H475" s="126">
        <v>3463.75</v>
      </c>
      <c r="I475" s="108">
        <v>7310010010</v>
      </c>
      <c r="J475" s="108" t="str">
        <f t="shared" si="27"/>
        <v>7310010010</v>
      </c>
      <c r="K475" s="304" t="str">
        <f t="shared" si="26"/>
        <v>60401067310010010851</v>
      </c>
      <c r="L475" s="17"/>
      <c r="M475" s="16"/>
    </row>
    <row r="476" spans="1:13" s="31" customFormat="1" ht="15.75">
      <c r="A476" s="30"/>
      <c r="B476" s="127" t="s">
        <v>36</v>
      </c>
      <c r="C476" s="109" t="s">
        <v>332</v>
      </c>
      <c r="D476" s="108" t="s">
        <v>11</v>
      </c>
      <c r="E476" s="108" t="s">
        <v>334</v>
      </c>
      <c r="F476" s="108" t="s">
        <v>339</v>
      </c>
      <c r="G476" s="108" t="s">
        <v>37</v>
      </c>
      <c r="H476" s="126">
        <v>17006.25</v>
      </c>
      <c r="I476" s="108">
        <v>7310010010</v>
      </c>
      <c r="J476" s="108" t="str">
        <f t="shared" si="27"/>
        <v>7310010010</v>
      </c>
      <c r="K476" s="304" t="str">
        <f t="shared" si="26"/>
        <v>60401067310010010852</v>
      </c>
      <c r="L476" s="17"/>
      <c r="M476" s="16"/>
    </row>
    <row r="477" spans="1:13" s="31" customFormat="1" ht="15.75">
      <c r="A477" s="30"/>
      <c r="B477" s="127" t="s">
        <v>77</v>
      </c>
      <c r="C477" s="109" t="s">
        <v>332</v>
      </c>
      <c r="D477" s="108" t="s">
        <v>11</v>
      </c>
      <c r="E477" s="108" t="s">
        <v>334</v>
      </c>
      <c r="F477" s="108" t="s">
        <v>339</v>
      </c>
      <c r="G477" s="108" t="s">
        <v>78</v>
      </c>
      <c r="H477" s="126">
        <v>40000</v>
      </c>
      <c r="I477" s="108">
        <v>7310010010</v>
      </c>
      <c r="J477" s="108" t="str">
        <f t="shared" si="27"/>
        <v>7310010010</v>
      </c>
      <c r="K477" s="304" t="str">
        <f t="shared" si="26"/>
        <v>60401067310010010853</v>
      </c>
      <c r="L477" s="17"/>
      <c r="M477" s="16"/>
    </row>
    <row r="478" spans="1:13" s="29" customFormat="1" ht="31.5">
      <c r="A478" s="28"/>
      <c r="B478" s="144" t="s">
        <v>38</v>
      </c>
      <c r="C478" s="109" t="s">
        <v>332</v>
      </c>
      <c r="D478" s="108" t="s">
        <v>11</v>
      </c>
      <c r="E478" s="108" t="s">
        <v>334</v>
      </c>
      <c r="F478" s="108" t="s">
        <v>340</v>
      </c>
      <c r="G478" s="108" t="s">
        <v>9</v>
      </c>
      <c r="H478" s="126">
        <v>39936585.439999998</v>
      </c>
      <c r="I478" s="108">
        <v>7310010020</v>
      </c>
      <c r="J478" s="108" t="str">
        <f t="shared" si="27"/>
        <v>7310010020</v>
      </c>
      <c r="K478" s="304" t="str">
        <f t="shared" si="26"/>
        <v>60401067310010020000</v>
      </c>
      <c r="L478" s="17" t="str">
        <f>INDEX('реш СГД № 265'!$A:$N,MATCH('БА расх 2018 31 12 2018'!$K478,'реш СГД № 265'!$N:$N,0),3)</f>
        <v>Расходы на выплаты по оплате труда работников органов местного самоуправления города Ставрополя</v>
      </c>
      <c r="M478" s="16">
        <f t="shared" si="28"/>
        <v>1</v>
      </c>
    </row>
    <row r="479" spans="1:13" s="29" customFormat="1" ht="31.5">
      <c r="A479" s="28"/>
      <c r="B479" s="127" t="s">
        <v>20</v>
      </c>
      <c r="C479" s="109" t="s">
        <v>332</v>
      </c>
      <c r="D479" s="108" t="s">
        <v>11</v>
      </c>
      <c r="E479" s="108" t="s">
        <v>334</v>
      </c>
      <c r="F479" s="108" t="s">
        <v>340</v>
      </c>
      <c r="G479" s="108" t="s">
        <v>21</v>
      </c>
      <c r="H479" s="126">
        <v>39936585.439999998</v>
      </c>
      <c r="I479" s="108">
        <v>7310010020</v>
      </c>
      <c r="J479" s="108" t="str">
        <f t="shared" si="27"/>
        <v>7310010020</v>
      </c>
      <c r="K479" s="304" t="str">
        <f t="shared" si="26"/>
        <v>60401067310010020120</v>
      </c>
      <c r="L479" s="17" t="str">
        <f>INDEX('реш СГД № 265'!$A:$N,MATCH('БА расх 2018 31 12 2018'!$K479,'реш СГД № 265'!$N:$N,0),3)</f>
        <v>Расходы на выплаты персоналу государственных (муниципальных) органов</v>
      </c>
      <c r="M479" s="16">
        <f t="shared" si="28"/>
        <v>1</v>
      </c>
    </row>
    <row r="480" spans="1:13" s="31" customFormat="1" ht="31.5">
      <c r="A480" s="30"/>
      <c r="B480" s="127" t="s">
        <v>40</v>
      </c>
      <c r="C480" s="109" t="s">
        <v>332</v>
      </c>
      <c r="D480" s="108" t="s">
        <v>11</v>
      </c>
      <c r="E480" s="108" t="s">
        <v>334</v>
      </c>
      <c r="F480" s="108" t="s">
        <v>340</v>
      </c>
      <c r="G480" s="108" t="s">
        <v>41</v>
      </c>
      <c r="H480" s="126">
        <v>30823355.710000001</v>
      </c>
      <c r="I480" s="108">
        <v>7310010020</v>
      </c>
      <c r="J480" s="108" t="str">
        <f t="shared" si="27"/>
        <v>7310010020</v>
      </c>
      <c r="K480" s="304" t="str">
        <f t="shared" si="26"/>
        <v>60401067310010020121</v>
      </c>
      <c r="L480" s="17"/>
      <c r="M480" s="16"/>
    </row>
    <row r="481" spans="1:13" s="31" customFormat="1" ht="47.25">
      <c r="A481" s="30"/>
      <c r="B481" s="127" t="s">
        <v>26</v>
      </c>
      <c r="C481" s="109" t="s">
        <v>332</v>
      </c>
      <c r="D481" s="108" t="s">
        <v>11</v>
      </c>
      <c r="E481" s="108" t="s">
        <v>334</v>
      </c>
      <c r="F481" s="108" t="s">
        <v>340</v>
      </c>
      <c r="G481" s="108" t="s">
        <v>27</v>
      </c>
      <c r="H481" s="126">
        <v>9113229.7300000004</v>
      </c>
      <c r="I481" s="108">
        <v>7310010020</v>
      </c>
      <c r="J481" s="108" t="str">
        <f t="shared" si="27"/>
        <v>7310010020</v>
      </c>
      <c r="K481" s="304" t="str">
        <f t="shared" si="26"/>
        <v>60401067310010020129</v>
      </c>
      <c r="L481" s="17"/>
      <c r="M481" s="16"/>
    </row>
    <row r="482" spans="1:13" s="31" customFormat="1" ht="267.75">
      <c r="A482" s="30"/>
      <c r="B482" s="132" t="s">
        <v>2269</v>
      </c>
      <c r="C482" s="109" t="s">
        <v>332</v>
      </c>
      <c r="D482" s="108" t="s">
        <v>11</v>
      </c>
      <c r="E482" s="108" t="s">
        <v>334</v>
      </c>
      <c r="F482" s="108" t="s">
        <v>1275</v>
      </c>
      <c r="G482" s="108" t="s">
        <v>9</v>
      </c>
      <c r="H482" s="126">
        <v>1335961.79</v>
      </c>
      <c r="I482" s="108">
        <v>7310077460</v>
      </c>
      <c r="J482" s="108" t="str">
        <f t="shared" si="27"/>
        <v>7310077460</v>
      </c>
      <c r="K482" s="304" t="str">
        <f t="shared" si="26"/>
        <v>60401067310077460000</v>
      </c>
      <c r="L482" s="132" t="str">
        <f>INDEX('реш СГД № 265'!$A:$N,MATCH('БА расх 2018 31 12 2018'!$K482,'реш СГД № 265'!$N:$N,0),3)</f>
        <v>Субсидии на компенсацию расходов по повышению заработной платы муниципальных служащих муниципальной службы и лиц, не замещающих должности муниципальной службы и исполняющих обязанности по техническому обеспечению деятельности органов местного самоуправления муниципальных образований, а также работников муниципальных учреждений, за исключением отдельных категорий работников муниципальных учреждений, которым повышение заработной платы осуществляется в соответствии с указами Президента Российской Федерации от 7 мая 2012 года № 597 «О мероприятиях по реализации государственной социальной политики», от 1 июня 2012 года № 761 «О Национальной стратегии действий в интересах детей на 2012 - 2017 годы» и от 28 декабря 2012 года № 1688 «О некоторых мерах по реализации государственной политики в сфере защиты детей-сирот и детей, оставшихся без попечения родителей»</v>
      </c>
      <c r="M482" s="17">
        <f t="shared" si="28"/>
        <v>1</v>
      </c>
    </row>
    <row r="483" spans="1:13" s="31" customFormat="1" ht="31.5">
      <c r="A483" s="30"/>
      <c r="B483" s="164" t="s">
        <v>20</v>
      </c>
      <c r="C483" s="109" t="s">
        <v>332</v>
      </c>
      <c r="D483" s="108" t="s">
        <v>11</v>
      </c>
      <c r="E483" s="108" t="s">
        <v>334</v>
      </c>
      <c r="F483" s="108" t="s">
        <v>1275</v>
      </c>
      <c r="G483" s="108" t="s">
        <v>21</v>
      </c>
      <c r="H483" s="126">
        <v>1335961.79</v>
      </c>
      <c r="I483" s="108">
        <v>7310077460</v>
      </c>
      <c r="J483" s="108" t="str">
        <f t="shared" si="27"/>
        <v>7310077460</v>
      </c>
      <c r="K483" s="304" t="str">
        <f t="shared" si="26"/>
        <v>60401067310077460120</v>
      </c>
      <c r="L483" s="17" t="str">
        <f>INDEX('реш СГД № 265'!$A:$N,MATCH('БА расх 2018 31 12 2018'!$K483,'реш СГД № 265'!$N:$N,0),3)</f>
        <v>Расходы на выплаты персоналу государственных (муниципальных) органов</v>
      </c>
      <c r="M483" s="16">
        <f t="shared" si="28"/>
        <v>1</v>
      </c>
    </row>
    <row r="484" spans="1:13" s="31" customFormat="1" ht="31.5">
      <c r="A484" s="30"/>
      <c r="B484" s="127" t="s">
        <v>40</v>
      </c>
      <c r="C484" s="109" t="s">
        <v>332</v>
      </c>
      <c r="D484" s="108" t="s">
        <v>11</v>
      </c>
      <c r="E484" s="108" t="s">
        <v>334</v>
      </c>
      <c r="F484" s="108" t="s">
        <v>1275</v>
      </c>
      <c r="G484" s="108" t="s">
        <v>41</v>
      </c>
      <c r="H484" s="126">
        <v>1026084.32</v>
      </c>
      <c r="I484" s="108">
        <v>7310077460</v>
      </c>
      <c r="J484" s="108" t="str">
        <f t="shared" si="27"/>
        <v>7310077460</v>
      </c>
      <c r="K484" s="304" t="str">
        <f t="shared" si="26"/>
        <v>60401067310077460121</v>
      </c>
      <c r="L484" s="17"/>
      <c r="M484" s="16"/>
    </row>
    <row r="485" spans="1:13" s="31" customFormat="1" ht="47.25">
      <c r="A485" s="30"/>
      <c r="B485" s="127" t="s">
        <v>26</v>
      </c>
      <c r="C485" s="109" t="s">
        <v>332</v>
      </c>
      <c r="D485" s="108" t="s">
        <v>11</v>
      </c>
      <c r="E485" s="108" t="s">
        <v>334</v>
      </c>
      <c r="F485" s="108" t="s">
        <v>1275</v>
      </c>
      <c r="G485" s="108" t="s">
        <v>27</v>
      </c>
      <c r="H485" s="126">
        <v>309877.46999999997</v>
      </c>
      <c r="I485" s="108">
        <v>7310077460</v>
      </c>
      <c r="J485" s="108" t="str">
        <f t="shared" si="27"/>
        <v>7310077460</v>
      </c>
      <c r="K485" s="304" t="str">
        <f t="shared" si="26"/>
        <v>60401067310077460129</v>
      </c>
      <c r="L485" s="17"/>
      <c r="M485" s="16"/>
    </row>
    <row r="486" spans="1:13" s="29" customFormat="1" ht="15.75">
      <c r="A486" s="28"/>
      <c r="B486" s="121" t="s">
        <v>50</v>
      </c>
      <c r="C486" s="122" t="s">
        <v>332</v>
      </c>
      <c r="D486" s="123" t="s">
        <v>11</v>
      </c>
      <c r="E486" s="123" t="s">
        <v>51</v>
      </c>
      <c r="F486" s="123" t="s">
        <v>8</v>
      </c>
      <c r="G486" s="123" t="s">
        <v>9</v>
      </c>
      <c r="H486" s="124">
        <v>4107353.48</v>
      </c>
      <c r="I486" s="123">
        <v>0</v>
      </c>
      <c r="J486" s="123" t="str">
        <f t="shared" si="27"/>
        <v>0000000000</v>
      </c>
      <c r="K486" s="304" t="str">
        <f t="shared" si="26"/>
        <v>60401130000000000000</v>
      </c>
      <c r="L486" s="17" t="str">
        <f>INDEX('реш СГД № 265'!$A:$N,MATCH('БА расх 2018 31 12 2018'!$K486,'реш СГД № 265'!$N:$N,0),3)</f>
        <v>Другие общегосударственные вопросы</v>
      </c>
      <c r="M486" s="16">
        <f t="shared" si="28"/>
        <v>1</v>
      </c>
    </row>
    <row r="487" spans="1:13" s="29" customFormat="1" ht="31.5">
      <c r="A487" s="28"/>
      <c r="B487" s="127" t="s">
        <v>348</v>
      </c>
      <c r="C487" s="109" t="s">
        <v>332</v>
      </c>
      <c r="D487" s="108" t="s">
        <v>11</v>
      </c>
      <c r="E487" s="108" t="s">
        <v>51</v>
      </c>
      <c r="F487" s="108" t="s">
        <v>349</v>
      </c>
      <c r="G487" s="108" t="s">
        <v>9</v>
      </c>
      <c r="H487" s="126">
        <v>1308795.3</v>
      </c>
      <c r="I487" s="108">
        <v>1000000000</v>
      </c>
      <c r="J487" s="108" t="str">
        <f t="shared" si="27"/>
        <v>1000000000</v>
      </c>
      <c r="K487" s="304" t="str">
        <f t="shared" si="26"/>
        <v>60401131000000000000</v>
      </c>
      <c r="L487" s="17" t="str">
        <f>INDEX('реш СГД № 265'!$A:$N,MATCH('БА расх 2018 31 12 2018'!$K487,'реш СГД № 265'!$N:$N,0),3)</f>
        <v>Муниципальная программа «Управление муниципальными финансами и муниципальным долгом города Ставрополя»</v>
      </c>
      <c r="M487" s="16">
        <f t="shared" si="28"/>
        <v>1</v>
      </c>
    </row>
    <row r="488" spans="1:13" s="29" customFormat="1" ht="47.25">
      <c r="A488" s="28"/>
      <c r="B488" s="127" t="s">
        <v>350</v>
      </c>
      <c r="C488" s="109" t="s">
        <v>332</v>
      </c>
      <c r="D488" s="108" t="s">
        <v>11</v>
      </c>
      <c r="E488" s="108" t="s">
        <v>51</v>
      </c>
      <c r="F488" s="108" t="s">
        <v>351</v>
      </c>
      <c r="G488" s="108" t="s">
        <v>9</v>
      </c>
      <c r="H488" s="126">
        <v>1308795.3</v>
      </c>
      <c r="I488" s="108" t="s">
        <v>1193</v>
      </c>
      <c r="J488" s="108" t="str">
        <f t="shared" si="27"/>
        <v>10Б0000000</v>
      </c>
      <c r="K488" s="304" t="str">
        <f t="shared" si="26"/>
        <v>604011310Б0000000000</v>
      </c>
      <c r="L488" s="17" t="str">
        <f>INDEX('реш СГД № 265'!$A:$N,MATCH('БА расх 2018 31 12 2018'!$K488,'реш СГД № 265'!$N:$N,0),3)</f>
        <v>Расходы в рамках реализации муниципальной программы «Управление муниципальными финансами и муниципальным долгом города Ставрополя»</v>
      </c>
      <c r="M488" s="16">
        <f t="shared" si="28"/>
        <v>1</v>
      </c>
    </row>
    <row r="489" spans="1:13" s="29" customFormat="1" ht="63">
      <c r="A489" s="28"/>
      <c r="B489" s="127" t="s">
        <v>352</v>
      </c>
      <c r="C489" s="109" t="s">
        <v>332</v>
      </c>
      <c r="D489" s="108" t="s">
        <v>11</v>
      </c>
      <c r="E489" s="108" t="s">
        <v>51</v>
      </c>
      <c r="F489" s="108" t="s">
        <v>353</v>
      </c>
      <c r="G489" s="108" t="s">
        <v>9</v>
      </c>
      <c r="H489" s="126">
        <v>1308795.3</v>
      </c>
      <c r="I489" s="108" t="s">
        <v>1194</v>
      </c>
      <c r="J489" s="108" t="str">
        <f t="shared" si="27"/>
        <v>10Б0100000</v>
      </c>
      <c r="K489" s="304" t="str">
        <f t="shared" ref="K489:K548" si="29">C489&amp;D489&amp;E489&amp;J489&amp;G489</f>
        <v>604011310Б0100000000</v>
      </c>
      <c r="L489" s="17" t="str">
        <f>INDEX('реш СГД № 265'!$A:$N,MATCH('БА расх 2018 31 12 2018'!$K489,'реш СГД № 265'!$N:$N,0),3)</f>
        <v>Основное мероприятие «Резервирование средств на выплаты на основании исполнительных листов судебных органов по искам к муниципальному образованию городу Ставрополю Ставропольского края»</v>
      </c>
      <c r="M489" s="16">
        <f t="shared" si="28"/>
        <v>1</v>
      </c>
    </row>
    <row r="490" spans="1:13" s="29" customFormat="1" ht="31.5">
      <c r="A490" s="28"/>
      <c r="B490" s="125" t="s">
        <v>187</v>
      </c>
      <c r="C490" s="109" t="s">
        <v>332</v>
      </c>
      <c r="D490" s="108" t="s">
        <v>11</v>
      </c>
      <c r="E490" s="108" t="s">
        <v>51</v>
      </c>
      <c r="F490" s="108" t="s">
        <v>354</v>
      </c>
      <c r="G490" s="108" t="s">
        <v>9</v>
      </c>
      <c r="H490" s="126">
        <v>1308795.3</v>
      </c>
      <c r="I490" s="108" t="s">
        <v>1195</v>
      </c>
      <c r="J490" s="108" t="str">
        <f t="shared" ref="J490:J549" si="30">TEXT(I490,"0000000000")</f>
        <v>10Б0120050</v>
      </c>
      <c r="K490" s="304" t="str">
        <f t="shared" si="29"/>
        <v>604011310Б0120050000</v>
      </c>
      <c r="L490" s="17" t="str">
        <f>INDEX('реш СГД № 265'!$A:$N,MATCH('БА расх 2018 31 12 2018'!$K490,'реш СГД № 265'!$N:$N,0),3)</f>
        <v>Расходы на выплаты на основании исполнительных листов судебных органов</v>
      </c>
      <c r="M490" s="16">
        <f t="shared" ref="M490:M549" si="31">IF(B490=L490,1,0)</f>
        <v>1</v>
      </c>
    </row>
    <row r="491" spans="1:13" s="29" customFormat="1" ht="15.75">
      <c r="A491" s="28"/>
      <c r="B491" s="125" t="s">
        <v>189</v>
      </c>
      <c r="C491" s="109" t="s">
        <v>332</v>
      </c>
      <c r="D491" s="108" t="s">
        <v>11</v>
      </c>
      <c r="E491" s="108" t="s">
        <v>51</v>
      </c>
      <c r="F491" s="108" t="s">
        <v>354</v>
      </c>
      <c r="G491" s="108" t="s">
        <v>190</v>
      </c>
      <c r="H491" s="126">
        <v>1308795.3</v>
      </c>
      <c r="I491" s="108" t="s">
        <v>1195</v>
      </c>
      <c r="J491" s="108" t="str">
        <f t="shared" si="30"/>
        <v>10Б0120050</v>
      </c>
      <c r="K491" s="304" t="str">
        <f t="shared" si="29"/>
        <v>604011310Б0120050830</v>
      </c>
      <c r="L491" s="17" t="str">
        <f>INDEX('реш СГД № 265'!$A:$N,MATCH('БА расх 2018 31 12 2018'!$K491,'реш СГД № 265'!$N:$N,0),3)</f>
        <v>Исполнение судебных актов</v>
      </c>
      <c r="M491" s="16">
        <f t="shared" si="31"/>
        <v>1</v>
      </c>
    </row>
    <row r="492" spans="1:13" s="29" customFormat="1" ht="31.5">
      <c r="A492" s="28"/>
      <c r="B492" s="125" t="s">
        <v>191</v>
      </c>
      <c r="C492" s="109" t="s">
        <v>332</v>
      </c>
      <c r="D492" s="108" t="s">
        <v>11</v>
      </c>
      <c r="E492" s="108" t="s">
        <v>51</v>
      </c>
      <c r="F492" s="108" t="s">
        <v>354</v>
      </c>
      <c r="G492" s="108" t="s">
        <v>192</v>
      </c>
      <c r="H492" s="126">
        <v>1308795.3</v>
      </c>
      <c r="I492" s="108" t="s">
        <v>1195</v>
      </c>
      <c r="J492" s="108" t="str">
        <f t="shared" si="30"/>
        <v>10Б0120050</v>
      </c>
      <c r="K492" s="304" t="str">
        <f t="shared" si="29"/>
        <v>604011310Б0120050831</v>
      </c>
      <c r="L492" s="17"/>
      <c r="M492" s="16"/>
    </row>
    <row r="493" spans="1:13" s="29" customFormat="1" ht="31.5">
      <c r="A493" s="28"/>
      <c r="B493" s="143" t="s">
        <v>335</v>
      </c>
      <c r="C493" s="109" t="s">
        <v>332</v>
      </c>
      <c r="D493" s="108" t="s">
        <v>11</v>
      </c>
      <c r="E493" s="108" t="s">
        <v>51</v>
      </c>
      <c r="F493" s="108" t="s">
        <v>336</v>
      </c>
      <c r="G493" s="108" t="s">
        <v>9</v>
      </c>
      <c r="H493" s="126">
        <v>517935.6</v>
      </c>
      <c r="I493" s="108">
        <v>7300000000</v>
      </c>
      <c r="J493" s="108" t="str">
        <f t="shared" si="30"/>
        <v>7300000000</v>
      </c>
      <c r="K493" s="304" t="str">
        <f t="shared" si="29"/>
        <v>60401137300000000000</v>
      </c>
      <c r="L493" s="400" t="e">
        <f>INDEX('реш СГД № 265'!$A:$N,MATCH('БА расх 2018 31 12 2018'!$K493,'реш СГД № 265'!$N:$N,0),3)</f>
        <v>#N/A</v>
      </c>
      <c r="M493" s="248" t="e">
        <f t="shared" si="31"/>
        <v>#N/A</v>
      </c>
    </row>
    <row r="494" spans="1:13" s="29" customFormat="1" ht="47.25">
      <c r="A494" s="28"/>
      <c r="B494" s="143" t="s">
        <v>337</v>
      </c>
      <c r="C494" s="109" t="s">
        <v>332</v>
      </c>
      <c r="D494" s="108" t="s">
        <v>11</v>
      </c>
      <c r="E494" s="108" t="s">
        <v>51</v>
      </c>
      <c r="F494" s="108" t="s">
        <v>338</v>
      </c>
      <c r="G494" s="108" t="s">
        <v>9</v>
      </c>
      <c r="H494" s="126">
        <v>517935.6</v>
      </c>
      <c r="I494" s="108">
        <v>7310000000</v>
      </c>
      <c r="J494" s="108" t="str">
        <f t="shared" si="30"/>
        <v>7310000000</v>
      </c>
      <c r="K494" s="304" t="str">
        <f t="shared" si="29"/>
        <v>60401137310000000000</v>
      </c>
      <c r="L494" s="400" t="e">
        <f>INDEX('реш СГД № 265'!$A:$N,MATCH('БА расх 2018 31 12 2018'!$K494,'реш СГД № 265'!$N:$N,0),3)</f>
        <v>#N/A</v>
      </c>
      <c r="M494" s="248" t="e">
        <f t="shared" si="31"/>
        <v>#N/A</v>
      </c>
    </row>
    <row r="495" spans="1:13" s="29" customFormat="1" ht="31.5">
      <c r="A495" s="28"/>
      <c r="B495" s="125" t="s">
        <v>355</v>
      </c>
      <c r="C495" s="109" t="s">
        <v>332</v>
      </c>
      <c r="D495" s="108" t="s">
        <v>11</v>
      </c>
      <c r="E495" s="108" t="s">
        <v>51</v>
      </c>
      <c r="F495" s="108" t="s">
        <v>1883</v>
      </c>
      <c r="G495" s="108" t="s">
        <v>9</v>
      </c>
      <c r="H495" s="126">
        <v>517935.6</v>
      </c>
      <c r="I495" s="108">
        <v>7310010050</v>
      </c>
      <c r="J495" s="108" t="str">
        <f t="shared" si="30"/>
        <v>7310010050</v>
      </c>
      <c r="K495" s="304" t="str">
        <f t="shared" si="29"/>
        <v>60401137310010050000</v>
      </c>
      <c r="L495" s="400" t="e">
        <f>INDEX('реш СГД № 265'!$A:$N,MATCH('БА расх 2018 31 12 2018'!$K495,'реш СГД № 265'!$N:$N,0),3)</f>
        <v>#N/A</v>
      </c>
      <c r="M495" s="248" t="e">
        <f t="shared" si="31"/>
        <v>#N/A</v>
      </c>
    </row>
    <row r="496" spans="1:13" s="29" customFormat="1" ht="31.5">
      <c r="A496" s="28"/>
      <c r="B496" s="125" t="s">
        <v>20</v>
      </c>
      <c r="C496" s="109" t="s">
        <v>332</v>
      </c>
      <c r="D496" s="108" t="s">
        <v>11</v>
      </c>
      <c r="E496" s="108" t="s">
        <v>51</v>
      </c>
      <c r="F496" s="108" t="s">
        <v>1883</v>
      </c>
      <c r="G496" s="305" t="s">
        <v>21</v>
      </c>
      <c r="H496" s="126">
        <v>517935.6</v>
      </c>
      <c r="I496" s="108">
        <v>7310010050</v>
      </c>
      <c r="J496" s="108" t="str">
        <f t="shared" si="30"/>
        <v>7310010050</v>
      </c>
      <c r="K496" s="304" t="str">
        <f t="shared" si="29"/>
        <v>60401137310010050120</v>
      </c>
      <c r="L496" s="400" t="e">
        <f>INDEX('реш СГД № 265'!$A:$N,MATCH('БА расх 2018 31 12 2018'!$K496,'реш СГД № 265'!$N:$N,0),3)</f>
        <v>#N/A</v>
      </c>
      <c r="M496" s="248" t="e">
        <f t="shared" si="31"/>
        <v>#N/A</v>
      </c>
    </row>
    <row r="497" spans="1:13" s="29" customFormat="1" ht="31.5">
      <c r="A497" s="28"/>
      <c r="B497" s="127" t="s">
        <v>40</v>
      </c>
      <c r="C497" s="109" t="s">
        <v>332</v>
      </c>
      <c r="D497" s="108" t="s">
        <v>11</v>
      </c>
      <c r="E497" s="108" t="s">
        <v>51</v>
      </c>
      <c r="F497" s="108" t="s">
        <v>1883</v>
      </c>
      <c r="G497" s="305" t="s">
        <v>41</v>
      </c>
      <c r="H497" s="126">
        <v>397800</v>
      </c>
      <c r="I497" s="108">
        <v>7310010050</v>
      </c>
      <c r="J497" s="108" t="str">
        <f t="shared" si="30"/>
        <v>7310010050</v>
      </c>
      <c r="K497" s="304" t="str">
        <f t="shared" si="29"/>
        <v>60401137310010050121</v>
      </c>
      <c r="L497" s="17"/>
      <c r="M497" s="16"/>
    </row>
    <row r="498" spans="1:13" s="29" customFormat="1" ht="47.25">
      <c r="A498" s="28"/>
      <c r="B498" s="125" t="s">
        <v>26</v>
      </c>
      <c r="C498" s="109" t="s">
        <v>332</v>
      </c>
      <c r="D498" s="108" t="s">
        <v>11</v>
      </c>
      <c r="E498" s="108" t="s">
        <v>51</v>
      </c>
      <c r="F498" s="108" t="s">
        <v>1883</v>
      </c>
      <c r="G498" s="305" t="s">
        <v>27</v>
      </c>
      <c r="H498" s="126">
        <v>120135.6</v>
      </c>
      <c r="I498" s="108">
        <v>7310010050</v>
      </c>
      <c r="J498" s="108" t="str">
        <f t="shared" si="30"/>
        <v>7310010050</v>
      </c>
      <c r="K498" s="304" t="str">
        <f t="shared" si="29"/>
        <v>60401137310010050129</v>
      </c>
      <c r="L498" s="17"/>
      <c r="M498" s="16"/>
    </row>
    <row r="499" spans="1:13" s="29" customFormat="1" ht="47.25">
      <c r="A499" s="28"/>
      <c r="B499" s="125" t="s">
        <v>87</v>
      </c>
      <c r="C499" s="109" t="s">
        <v>332</v>
      </c>
      <c r="D499" s="108" t="s">
        <v>11</v>
      </c>
      <c r="E499" s="108" t="s">
        <v>51</v>
      </c>
      <c r="F499" s="108" t="s">
        <v>88</v>
      </c>
      <c r="G499" s="108" t="s">
        <v>9</v>
      </c>
      <c r="H499" s="126">
        <v>2280622.58</v>
      </c>
      <c r="I499" s="108">
        <v>9800000000</v>
      </c>
      <c r="J499" s="108" t="str">
        <f t="shared" si="30"/>
        <v>9800000000</v>
      </c>
      <c r="K499" s="304" t="str">
        <f t="shared" si="29"/>
        <v>60401139800000000000</v>
      </c>
      <c r="L499" s="17" t="str">
        <f>INDEX('реш СГД № 265'!$A:$N,MATCH('БА расх 2018 31 12 2018'!$K499,'реш СГД № 265'!$N:$N,0),3)</f>
        <v>Реализация иных функций Ставропольской городской Думы, администрации города Ставрополя, ее отраслевых (функциональных) и территориальных органов</v>
      </c>
      <c r="M499" s="16">
        <f t="shared" si="31"/>
        <v>1</v>
      </c>
    </row>
    <row r="500" spans="1:13" s="29" customFormat="1" ht="15.75">
      <c r="A500" s="28"/>
      <c r="B500" s="125" t="s">
        <v>89</v>
      </c>
      <c r="C500" s="109" t="s">
        <v>332</v>
      </c>
      <c r="D500" s="108" t="s">
        <v>11</v>
      </c>
      <c r="E500" s="108" t="s">
        <v>51</v>
      </c>
      <c r="F500" s="108" t="s">
        <v>90</v>
      </c>
      <c r="G500" s="108" t="s">
        <v>9</v>
      </c>
      <c r="H500" s="126">
        <v>2280622.58</v>
      </c>
      <c r="I500" s="108">
        <v>9810000000</v>
      </c>
      <c r="J500" s="108" t="str">
        <f t="shared" si="30"/>
        <v>9810000000</v>
      </c>
      <c r="K500" s="304" t="str">
        <f t="shared" si="29"/>
        <v>60401139810000000000</v>
      </c>
      <c r="L500" s="17" t="str">
        <f>INDEX('реш СГД № 265'!$A:$N,MATCH('БА расх 2018 31 12 2018'!$K500,'реш СГД № 265'!$N:$N,0),3)</f>
        <v>Иные непрограммные мероприятия</v>
      </c>
      <c r="M500" s="16">
        <f t="shared" si="31"/>
        <v>1</v>
      </c>
    </row>
    <row r="501" spans="1:13" s="29" customFormat="1" ht="31.5">
      <c r="A501" s="28"/>
      <c r="B501" s="125" t="s">
        <v>355</v>
      </c>
      <c r="C501" s="109" t="s">
        <v>332</v>
      </c>
      <c r="D501" s="108" t="s">
        <v>11</v>
      </c>
      <c r="E501" s="108" t="s">
        <v>51</v>
      </c>
      <c r="F501" s="108" t="s">
        <v>356</v>
      </c>
      <c r="G501" s="108" t="s">
        <v>9</v>
      </c>
      <c r="H501" s="126">
        <v>1780622.58</v>
      </c>
      <c r="I501" s="108">
        <v>9810010050</v>
      </c>
      <c r="J501" s="108" t="str">
        <f t="shared" si="30"/>
        <v>9810010050</v>
      </c>
      <c r="K501" s="304" t="str">
        <f t="shared" si="29"/>
        <v>60401139810010050000</v>
      </c>
      <c r="L501" s="17" t="str">
        <f>INDEX('реш СГД № 265'!$A:$N,MATCH('БА расх 2018 31 12 2018'!$K501,'реш СГД № 265'!$N:$N,0),3)</f>
        <v>Поощрение муниципального служащего в связи с выходом на страховую пенсию по старости (инвалидности)</v>
      </c>
      <c r="M501" s="16">
        <f t="shared" si="31"/>
        <v>1</v>
      </c>
    </row>
    <row r="502" spans="1:13" s="29" customFormat="1" ht="15.75">
      <c r="A502" s="28"/>
      <c r="B502" s="129" t="s">
        <v>357</v>
      </c>
      <c r="C502" s="109" t="s">
        <v>332</v>
      </c>
      <c r="D502" s="108" t="s">
        <v>11</v>
      </c>
      <c r="E502" s="108" t="s">
        <v>51</v>
      </c>
      <c r="F502" s="108" t="s">
        <v>356</v>
      </c>
      <c r="G502" s="108" t="s">
        <v>358</v>
      </c>
      <c r="H502" s="126">
        <v>1780622.58</v>
      </c>
      <c r="I502" s="108">
        <v>9810010050</v>
      </c>
      <c r="J502" s="108" t="str">
        <f t="shared" si="30"/>
        <v>9810010050</v>
      </c>
      <c r="K502" s="304" t="str">
        <f t="shared" si="29"/>
        <v>60401139810010050880</v>
      </c>
      <c r="L502" s="17"/>
      <c r="M502" s="16"/>
    </row>
    <row r="503" spans="1:13" s="29" customFormat="1" ht="31.5">
      <c r="A503" s="28"/>
      <c r="B503" s="138" t="s">
        <v>282</v>
      </c>
      <c r="C503" s="109" t="s">
        <v>332</v>
      </c>
      <c r="D503" s="108" t="s">
        <v>11</v>
      </c>
      <c r="E503" s="108" t="s">
        <v>51</v>
      </c>
      <c r="F503" s="108" t="s">
        <v>283</v>
      </c>
      <c r="G503" s="108" t="s">
        <v>9</v>
      </c>
      <c r="H503" s="126">
        <v>500000</v>
      </c>
      <c r="I503" s="108">
        <v>9810021350</v>
      </c>
      <c r="J503" s="108" t="str">
        <f t="shared" si="30"/>
        <v>9810021350</v>
      </c>
      <c r="K503" s="304" t="str">
        <f t="shared" si="29"/>
        <v>60401139810021350000</v>
      </c>
      <c r="L503" s="17" t="str">
        <f>INDEX('реш СГД № 265'!$A:$N,MATCH('БА расх 2018 31 12 2018'!$K503,'реш СГД № 265'!$N:$N,0),3)</f>
        <v>Иные вопросы, связанные с общегосударственным управлением</v>
      </c>
      <c r="M503" s="16">
        <f t="shared" si="31"/>
        <v>1</v>
      </c>
    </row>
    <row r="504" spans="1:13" s="29" customFormat="1" ht="31.5">
      <c r="A504" s="28"/>
      <c r="B504" s="125" t="s">
        <v>28</v>
      </c>
      <c r="C504" s="109" t="s">
        <v>332</v>
      </c>
      <c r="D504" s="108" t="s">
        <v>11</v>
      </c>
      <c r="E504" s="108" t="s">
        <v>51</v>
      </c>
      <c r="F504" s="108" t="s">
        <v>283</v>
      </c>
      <c r="G504" s="108" t="s">
        <v>29</v>
      </c>
      <c r="H504" s="126">
        <v>500000</v>
      </c>
      <c r="I504" s="108">
        <v>9810021350</v>
      </c>
      <c r="J504" s="108" t="str">
        <f t="shared" si="30"/>
        <v>9810021350</v>
      </c>
      <c r="K504" s="304" t="str">
        <f t="shared" si="29"/>
        <v>60401139810021350240</v>
      </c>
      <c r="L504" s="17" t="str">
        <f>INDEX('реш СГД № 265'!$A:$N,MATCH('БА расх 2018 31 12 2018'!$K504,'реш СГД № 265'!$N:$N,0),3)</f>
        <v>Иные закупки товаров, работ и услуг для обеспечения государственных (муниципальных) нужд</v>
      </c>
      <c r="M504" s="16">
        <f t="shared" si="31"/>
        <v>1</v>
      </c>
    </row>
    <row r="505" spans="1:13" s="29" customFormat="1" ht="27" customHeight="1">
      <c r="A505" s="28"/>
      <c r="B505" s="125" t="s">
        <v>30</v>
      </c>
      <c r="C505" s="109" t="s">
        <v>332</v>
      </c>
      <c r="D505" s="108" t="s">
        <v>11</v>
      </c>
      <c r="E505" s="108" t="s">
        <v>51</v>
      </c>
      <c r="F505" s="108" t="s">
        <v>283</v>
      </c>
      <c r="G505" s="108" t="s">
        <v>31</v>
      </c>
      <c r="H505" s="126">
        <v>500000</v>
      </c>
      <c r="I505" s="108">
        <v>9810021350</v>
      </c>
      <c r="J505" s="108" t="str">
        <f t="shared" si="30"/>
        <v>9810021350</v>
      </c>
      <c r="K505" s="304" t="str">
        <f t="shared" si="29"/>
        <v>60401139810021350244</v>
      </c>
      <c r="L505" s="17"/>
      <c r="M505" s="16"/>
    </row>
    <row r="506" spans="1:13" s="29" customFormat="1" ht="15.75">
      <c r="A506" s="28"/>
      <c r="B506" s="117" t="s">
        <v>363</v>
      </c>
      <c r="C506" s="118" t="s">
        <v>332</v>
      </c>
      <c r="D506" s="119" t="s">
        <v>51</v>
      </c>
      <c r="E506" s="119" t="s">
        <v>7</v>
      </c>
      <c r="F506" s="119" t="s">
        <v>8</v>
      </c>
      <c r="G506" s="119" t="s">
        <v>9</v>
      </c>
      <c r="H506" s="120">
        <v>93000000</v>
      </c>
      <c r="I506" s="119">
        <v>0</v>
      </c>
      <c r="J506" s="119" t="str">
        <f t="shared" si="30"/>
        <v>0000000000</v>
      </c>
      <c r="K506" s="304" t="str">
        <f t="shared" si="29"/>
        <v>60413000000000000000</v>
      </c>
      <c r="L506" s="17" t="str">
        <f>INDEX('реш СГД № 265'!$A:$N,MATCH('БА расх 2018 31 12 2018'!$K506,'реш СГД № 265'!$N:$N,0),3)</f>
        <v>Обслуживание государственного и муниципального долга</v>
      </c>
      <c r="M506" s="16">
        <f t="shared" si="31"/>
        <v>1</v>
      </c>
    </row>
    <row r="507" spans="1:13" s="29" customFormat="1" ht="31.5">
      <c r="A507" s="28"/>
      <c r="B507" s="121" t="s">
        <v>364</v>
      </c>
      <c r="C507" s="122" t="s">
        <v>332</v>
      </c>
      <c r="D507" s="123" t="s">
        <v>51</v>
      </c>
      <c r="E507" s="123" t="s">
        <v>11</v>
      </c>
      <c r="F507" s="123" t="s">
        <v>8</v>
      </c>
      <c r="G507" s="123" t="s">
        <v>9</v>
      </c>
      <c r="H507" s="124">
        <v>93000000</v>
      </c>
      <c r="I507" s="123">
        <v>0</v>
      </c>
      <c r="J507" s="123" t="str">
        <f t="shared" si="30"/>
        <v>0000000000</v>
      </c>
      <c r="K507" s="304" t="str">
        <f t="shared" si="29"/>
        <v>60413010000000000000</v>
      </c>
      <c r="L507" s="17" t="str">
        <f>INDEX('реш СГД № 265'!$A:$N,MATCH('БА расх 2018 31 12 2018'!$K507,'реш СГД № 265'!$N:$N,0),3)</f>
        <v>Обслуживание государственного внутреннего и муниципального долга</v>
      </c>
      <c r="M507" s="16">
        <f t="shared" si="31"/>
        <v>1</v>
      </c>
    </row>
    <row r="508" spans="1:13" s="29" customFormat="1" ht="31.5">
      <c r="A508" s="28"/>
      <c r="B508" s="127" t="s">
        <v>348</v>
      </c>
      <c r="C508" s="109" t="s">
        <v>332</v>
      </c>
      <c r="D508" s="108" t="s">
        <v>51</v>
      </c>
      <c r="E508" s="108" t="s">
        <v>11</v>
      </c>
      <c r="F508" s="108" t="s">
        <v>349</v>
      </c>
      <c r="G508" s="108" t="s">
        <v>9</v>
      </c>
      <c r="H508" s="126">
        <v>93000000</v>
      </c>
      <c r="I508" s="108">
        <v>1000000000</v>
      </c>
      <c r="J508" s="108" t="str">
        <f t="shared" si="30"/>
        <v>1000000000</v>
      </c>
      <c r="K508" s="304" t="str">
        <f t="shared" si="29"/>
        <v>60413011000000000000</v>
      </c>
      <c r="L508" s="17" t="str">
        <f>INDEX('реш СГД № 265'!$A:$N,MATCH('БА расх 2018 31 12 2018'!$K508,'реш СГД № 265'!$N:$N,0),3)</f>
        <v>Муниципальная программа «Управление муниципальными финансами и муниципальным долгом города Ставрополя»</v>
      </c>
      <c r="M508" s="16">
        <f t="shared" si="31"/>
        <v>1</v>
      </c>
    </row>
    <row r="509" spans="1:13" s="29" customFormat="1" ht="47.25">
      <c r="A509" s="28"/>
      <c r="B509" s="127" t="s">
        <v>350</v>
      </c>
      <c r="C509" s="109" t="s">
        <v>332</v>
      </c>
      <c r="D509" s="108" t="s">
        <v>51</v>
      </c>
      <c r="E509" s="108" t="s">
        <v>11</v>
      </c>
      <c r="F509" s="108" t="s">
        <v>351</v>
      </c>
      <c r="G509" s="108" t="s">
        <v>9</v>
      </c>
      <c r="H509" s="126">
        <v>93000000</v>
      </c>
      <c r="I509" s="108" t="s">
        <v>1193</v>
      </c>
      <c r="J509" s="108" t="str">
        <f t="shared" si="30"/>
        <v>10Б0000000</v>
      </c>
      <c r="K509" s="304" t="str">
        <f t="shared" si="29"/>
        <v>604130110Б0000000000</v>
      </c>
      <c r="L509" s="17" t="str">
        <f>INDEX('реш СГД № 265'!$A:$N,MATCH('БА расх 2018 31 12 2018'!$K509,'реш СГД № 265'!$N:$N,0),3)</f>
        <v>Расходы в рамках реализации муниципальной программы «Управление муниципальными финансами и муниципальным долгом города Ставрополя»</v>
      </c>
      <c r="M509" s="16">
        <f t="shared" si="31"/>
        <v>1</v>
      </c>
    </row>
    <row r="510" spans="1:13" s="29" customFormat="1" ht="63">
      <c r="A510" s="28"/>
      <c r="B510" s="127" t="s">
        <v>365</v>
      </c>
      <c r="C510" s="109" t="s">
        <v>332</v>
      </c>
      <c r="D510" s="108" t="s">
        <v>51</v>
      </c>
      <c r="E510" s="108" t="s">
        <v>11</v>
      </c>
      <c r="F510" s="108" t="s">
        <v>366</v>
      </c>
      <c r="G510" s="108" t="s">
        <v>9</v>
      </c>
      <c r="H510" s="126">
        <v>93000000</v>
      </c>
      <c r="I510" s="108" t="s">
        <v>1196</v>
      </c>
      <c r="J510" s="108" t="str">
        <f t="shared" si="30"/>
        <v>10Б0200000</v>
      </c>
      <c r="K510" s="304" t="str">
        <f t="shared" si="29"/>
        <v>604130110Б0200000000</v>
      </c>
      <c r="L510" s="17" t="str">
        <f>INDEX('реш СГД № 265'!$A:$N,MATCH('БА расх 2018 31 12 2018'!$K510,'реш СГД № 265'!$N:$N,0),3)</f>
        <v>Основное мероприятие «Своевременное исполнение обязательств по обслуживанию и погашению муниципального долга города Ставрополя, принятие мер по его реструктуризации»</v>
      </c>
      <c r="M510" s="16">
        <f t="shared" si="31"/>
        <v>1</v>
      </c>
    </row>
    <row r="511" spans="1:13" s="29" customFormat="1" ht="15.75">
      <c r="A511" s="28"/>
      <c r="B511" s="127" t="s">
        <v>367</v>
      </c>
      <c r="C511" s="109" t="s">
        <v>332</v>
      </c>
      <c r="D511" s="108" t="s">
        <v>51</v>
      </c>
      <c r="E511" s="108" t="s">
        <v>11</v>
      </c>
      <c r="F511" s="108" t="s">
        <v>368</v>
      </c>
      <c r="G511" s="108" t="s">
        <v>9</v>
      </c>
      <c r="H511" s="126">
        <v>93000000</v>
      </c>
      <c r="I511" s="108" t="s">
        <v>1197</v>
      </c>
      <c r="J511" s="108" t="str">
        <f t="shared" si="30"/>
        <v>10Б0220010</v>
      </c>
      <c r="K511" s="304" t="str">
        <f t="shared" si="29"/>
        <v>604130110Б0220010000</v>
      </c>
      <c r="L511" s="17" t="str">
        <f>INDEX('реш СГД № 265'!$A:$N,MATCH('БА расх 2018 31 12 2018'!$K511,'реш СГД № 265'!$N:$N,0),3)</f>
        <v>Обслуживание муниципального долга города Ставрополя</v>
      </c>
      <c r="M511" s="16">
        <f t="shared" si="31"/>
        <v>1</v>
      </c>
    </row>
    <row r="512" spans="1:13" s="29" customFormat="1" ht="15.75">
      <c r="A512" s="28"/>
      <c r="B512" s="127" t="s">
        <v>369</v>
      </c>
      <c r="C512" s="109" t="s">
        <v>332</v>
      </c>
      <c r="D512" s="108" t="s">
        <v>51</v>
      </c>
      <c r="E512" s="108" t="s">
        <v>11</v>
      </c>
      <c r="F512" s="108" t="s">
        <v>368</v>
      </c>
      <c r="G512" s="108" t="s">
        <v>370</v>
      </c>
      <c r="H512" s="126">
        <v>93000000</v>
      </c>
      <c r="I512" s="108" t="s">
        <v>1197</v>
      </c>
      <c r="J512" s="108" t="str">
        <f t="shared" si="30"/>
        <v>10Б0220010</v>
      </c>
      <c r="K512" s="304" t="str">
        <f t="shared" si="29"/>
        <v>604130110Б0220010730</v>
      </c>
      <c r="L512" s="17"/>
      <c r="M512" s="16"/>
    </row>
    <row r="513" spans="1:13" s="29" customFormat="1" ht="15.75">
      <c r="A513" s="28"/>
      <c r="B513" s="127"/>
      <c r="C513" s="109"/>
      <c r="D513" s="108"/>
      <c r="E513" s="108"/>
      <c r="F513" s="108"/>
      <c r="G513" s="108"/>
      <c r="H513" s="126"/>
      <c r="I513" s="108"/>
      <c r="J513" s="108" t="str">
        <f t="shared" si="30"/>
        <v>0000000000</v>
      </c>
      <c r="K513" s="304" t="str">
        <f t="shared" si="29"/>
        <v>0000000000</v>
      </c>
      <c r="L513" s="17">
        <f>INDEX('реш СГД № 265'!$A:$N,MATCH('БА расх 2018 31 12 2018'!$K513,'реш СГД № 265'!$N:$N,0),3)</f>
        <v>0</v>
      </c>
      <c r="M513" s="16">
        <f t="shared" si="31"/>
        <v>1</v>
      </c>
    </row>
    <row r="514" spans="1:13" s="16" customFormat="1" ht="31.5">
      <c r="A514" s="14"/>
      <c r="B514" s="67" t="s">
        <v>371</v>
      </c>
      <c r="C514" s="116" t="s">
        <v>372</v>
      </c>
      <c r="D514" s="69" t="s">
        <v>7</v>
      </c>
      <c r="E514" s="69" t="s">
        <v>7</v>
      </c>
      <c r="F514" s="69" t="s">
        <v>8</v>
      </c>
      <c r="G514" s="69" t="s">
        <v>9</v>
      </c>
      <c r="H514" s="70">
        <v>33184368.669999998</v>
      </c>
      <c r="I514" s="69">
        <v>0</v>
      </c>
      <c r="J514" s="69" t="str">
        <f t="shared" si="30"/>
        <v>0000000000</v>
      </c>
      <c r="K514" s="304" t="str">
        <f t="shared" si="29"/>
        <v>60500000000000000000</v>
      </c>
      <c r="L514" s="17" t="str">
        <f>INDEX('реш СГД № 265'!$A:$N,MATCH('БА расх 2018 31 12 2018'!$K514,'реш СГД № 265'!$N:$N,0),3)</f>
        <v>Комитет муниципального заказа и торговли администрации города Ставрополя</v>
      </c>
      <c r="M514" s="16">
        <f t="shared" si="31"/>
        <v>1</v>
      </c>
    </row>
    <row r="515" spans="1:13" s="34" customFormat="1" ht="15.75">
      <c r="A515" s="33"/>
      <c r="B515" s="117" t="s">
        <v>10</v>
      </c>
      <c r="C515" s="118" t="s">
        <v>372</v>
      </c>
      <c r="D515" s="119" t="s">
        <v>11</v>
      </c>
      <c r="E515" s="119" t="s">
        <v>7</v>
      </c>
      <c r="F515" s="119" t="s">
        <v>8</v>
      </c>
      <c r="G515" s="119" t="s">
        <v>9</v>
      </c>
      <c r="H515" s="120">
        <v>30052701.669999998</v>
      </c>
      <c r="I515" s="119">
        <v>0</v>
      </c>
      <c r="J515" s="119" t="str">
        <f t="shared" si="30"/>
        <v>0000000000</v>
      </c>
      <c r="K515" s="304" t="str">
        <f t="shared" si="29"/>
        <v>60501000000000000000</v>
      </c>
      <c r="L515" s="17" t="str">
        <f>INDEX('реш СГД № 265'!$A:$N,MATCH('БА расх 2018 31 12 2018'!$K515,'реш СГД № 265'!$N:$N,0),3)</f>
        <v>Общегосударственные вопросы</v>
      </c>
      <c r="M515" s="16">
        <f t="shared" si="31"/>
        <v>1</v>
      </c>
    </row>
    <row r="516" spans="1:13" s="23" customFormat="1" ht="15.75">
      <c r="A516" s="21"/>
      <c r="B516" s="121" t="s">
        <v>50</v>
      </c>
      <c r="C516" s="122" t="s">
        <v>372</v>
      </c>
      <c r="D516" s="123" t="s">
        <v>11</v>
      </c>
      <c r="E516" s="123" t="s">
        <v>51</v>
      </c>
      <c r="F516" s="123" t="s">
        <v>8</v>
      </c>
      <c r="G516" s="123" t="s">
        <v>9</v>
      </c>
      <c r="H516" s="124">
        <v>30052701.669999998</v>
      </c>
      <c r="I516" s="123">
        <v>0</v>
      </c>
      <c r="J516" s="123" t="str">
        <f t="shared" si="30"/>
        <v>0000000000</v>
      </c>
      <c r="K516" s="304" t="str">
        <f t="shared" si="29"/>
        <v>60501130000000000000</v>
      </c>
      <c r="L516" s="17" t="str">
        <f>INDEX('реш СГД № 265'!$A:$N,MATCH('БА расх 2018 31 12 2018'!$K516,'реш СГД № 265'!$N:$N,0),3)</f>
        <v>Другие общегосударственные вопросы</v>
      </c>
      <c r="M516" s="16">
        <f t="shared" si="31"/>
        <v>1</v>
      </c>
    </row>
    <row r="517" spans="1:13" s="16" customFormat="1" ht="47.25">
      <c r="A517" s="14"/>
      <c r="B517" s="125" t="s">
        <v>146</v>
      </c>
      <c r="C517" s="109" t="s">
        <v>372</v>
      </c>
      <c r="D517" s="108" t="s">
        <v>11</v>
      </c>
      <c r="E517" s="108" t="s">
        <v>51</v>
      </c>
      <c r="F517" s="108" t="s">
        <v>147</v>
      </c>
      <c r="G517" s="108" t="s">
        <v>9</v>
      </c>
      <c r="H517" s="126">
        <v>7650</v>
      </c>
      <c r="I517" s="108">
        <v>1500000000</v>
      </c>
      <c r="J517" s="108" t="str">
        <f t="shared" si="30"/>
        <v>1500000000</v>
      </c>
      <c r="K517" s="304" t="str">
        <f t="shared" si="29"/>
        <v>60501131500000000000</v>
      </c>
      <c r="L517" s="17" t="str">
        <f>INDEX('реш СГД № 265'!$A:$N,MATCH('БА расх 2018 31 12 2018'!$K517,'реш СГД № 265'!$N:$N,0),3)</f>
        <v>Муниципальная программа «Обеспечение безопасности, общественного порядка и профилактика правонарушений в городе Ставрополе»</v>
      </c>
      <c r="M517" s="16">
        <f t="shared" si="31"/>
        <v>1</v>
      </c>
    </row>
    <row r="518" spans="1:13" s="16" customFormat="1" ht="31.5">
      <c r="A518" s="14"/>
      <c r="B518" s="125" t="s">
        <v>373</v>
      </c>
      <c r="C518" s="109" t="s">
        <v>372</v>
      </c>
      <c r="D518" s="108" t="s">
        <v>11</v>
      </c>
      <c r="E518" s="108" t="s">
        <v>51</v>
      </c>
      <c r="F518" s="108" t="s">
        <v>169</v>
      </c>
      <c r="G518" s="108" t="s">
        <v>9</v>
      </c>
      <c r="H518" s="126">
        <v>7650</v>
      </c>
      <c r="I518" s="108">
        <v>1530000000</v>
      </c>
      <c r="J518" s="108" t="str">
        <f t="shared" si="30"/>
        <v>1530000000</v>
      </c>
      <c r="K518" s="304" t="str">
        <f t="shared" si="29"/>
        <v>60501131530000000000</v>
      </c>
      <c r="L518" s="17" t="str">
        <f>INDEX('реш СГД № 265'!$A:$N,MATCH('БА расх 2018 31 12 2018'!$K518,'реш СГД № 265'!$N:$N,0),3)</f>
        <v>Подпрограмма «Профилактика правонарушений в городе Ставрополе»</v>
      </c>
      <c r="M518" s="16">
        <f t="shared" si="31"/>
        <v>1</v>
      </c>
    </row>
    <row r="519" spans="1:13" s="16" customFormat="1" ht="31.5">
      <c r="A519" s="14"/>
      <c r="B519" s="125" t="s">
        <v>374</v>
      </c>
      <c r="C519" s="109" t="s">
        <v>372</v>
      </c>
      <c r="D519" s="108" t="s">
        <v>11</v>
      </c>
      <c r="E519" s="108" t="s">
        <v>51</v>
      </c>
      <c r="F519" s="108" t="s">
        <v>375</v>
      </c>
      <c r="G519" s="108" t="s">
        <v>9</v>
      </c>
      <c r="H519" s="126">
        <v>7650</v>
      </c>
      <c r="I519" s="108">
        <v>1530100000</v>
      </c>
      <c r="J519" s="108" t="str">
        <f t="shared" si="30"/>
        <v>1530100000</v>
      </c>
      <c r="K519" s="304" t="str">
        <f t="shared" si="29"/>
        <v>60501131530100000000</v>
      </c>
      <c r="L519" s="17" t="str">
        <f>INDEX('реш СГД № 265'!$A:$N,MATCH('БА расх 2018 31 12 2018'!$K519,'реш СГД № 265'!$N:$N,0),3)</f>
        <v>Основное мероприятие «Профилактика правонарушений несовершеннолетних»</v>
      </c>
      <c r="M519" s="16">
        <f t="shared" si="31"/>
        <v>1</v>
      </c>
    </row>
    <row r="520" spans="1:13" s="16" customFormat="1" ht="31.5">
      <c r="A520" s="14"/>
      <c r="B520" s="125" t="s">
        <v>376</v>
      </c>
      <c r="C520" s="109" t="s">
        <v>372</v>
      </c>
      <c r="D520" s="108" t="s">
        <v>11</v>
      </c>
      <c r="E520" s="108" t="s">
        <v>51</v>
      </c>
      <c r="F520" s="108" t="s">
        <v>377</v>
      </c>
      <c r="G520" s="108" t="s">
        <v>9</v>
      </c>
      <c r="H520" s="126">
        <v>7650</v>
      </c>
      <c r="I520" s="108">
        <v>1530120660</v>
      </c>
      <c r="J520" s="108" t="str">
        <f t="shared" si="30"/>
        <v>1530120660</v>
      </c>
      <c r="K520" s="304" t="str">
        <f t="shared" si="29"/>
        <v>60501131530120660000</v>
      </c>
      <c r="L520" s="17" t="str">
        <f>INDEX('реш СГД № 265'!$A:$N,MATCH('БА расх 2018 31 12 2018'!$K520,'реш СГД № 265'!$N:$N,0),3)</f>
        <v>Расходы на реализацию мероприятий, направленных на профилактику правонарушений в городе Ставрополе</v>
      </c>
      <c r="M520" s="16">
        <f t="shared" si="31"/>
        <v>1</v>
      </c>
    </row>
    <row r="521" spans="1:13" s="16" customFormat="1" ht="31.5">
      <c r="A521" s="14"/>
      <c r="B521" s="125" t="s">
        <v>28</v>
      </c>
      <c r="C521" s="109" t="s">
        <v>372</v>
      </c>
      <c r="D521" s="108" t="s">
        <v>11</v>
      </c>
      <c r="E521" s="108" t="s">
        <v>51</v>
      </c>
      <c r="F521" s="108" t="s">
        <v>377</v>
      </c>
      <c r="G521" s="108" t="s">
        <v>29</v>
      </c>
      <c r="H521" s="126">
        <v>7650</v>
      </c>
      <c r="I521" s="108">
        <v>1530120660</v>
      </c>
      <c r="J521" s="108" t="str">
        <f t="shared" si="30"/>
        <v>1530120660</v>
      </c>
      <c r="K521" s="304" t="str">
        <f t="shared" si="29"/>
        <v>60501131530120660240</v>
      </c>
      <c r="L521" s="17" t="str">
        <f>INDEX('реш СГД № 265'!$A:$N,MATCH('БА расх 2018 31 12 2018'!$K521,'реш СГД № 265'!$N:$N,0),3)</f>
        <v>Иные закупки товаров, работ и услуг для обеспечения государственных (муниципальных) нужд</v>
      </c>
      <c r="M521" s="16">
        <f t="shared" si="31"/>
        <v>1</v>
      </c>
    </row>
    <row r="522" spans="1:13" s="16" customFormat="1" ht="15.75">
      <c r="A522" s="14"/>
      <c r="B522" s="125" t="s">
        <v>30</v>
      </c>
      <c r="C522" s="109" t="s">
        <v>372</v>
      </c>
      <c r="D522" s="108" t="s">
        <v>11</v>
      </c>
      <c r="E522" s="108" t="s">
        <v>51</v>
      </c>
      <c r="F522" s="108" t="s">
        <v>377</v>
      </c>
      <c r="G522" s="108" t="s">
        <v>31</v>
      </c>
      <c r="H522" s="126">
        <v>7650</v>
      </c>
      <c r="I522" s="108">
        <v>1530120660</v>
      </c>
      <c r="J522" s="108" t="str">
        <f t="shared" si="30"/>
        <v>1530120660</v>
      </c>
      <c r="K522" s="304" t="str">
        <f t="shared" si="29"/>
        <v>60501131530120660244</v>
      </c>
      <c r="L522" s="17"/>
    </row>
    <row r="523" spans="1:13" s="16" customFormat="1" ht="31.5">
      <c r="A523" s="14"/>
      <c r="B523" s="125" t="s">
        <v>378</v>
      </c>
      <c r="C523" s="109" t="s">
        <v>372</v>
      </c>
      <c r="D523" s="108" t="s">
        <v>11</v>
      </c>
      <c r="E523" s="108" t="s">
        <v>51</v>
      </c>
      <c r="F523" s="108" t="s">
        <v>379</v>
      </c>
      <c r="G523" s="108" t="s">
        <v>9</v>
      </c>
      <c r="H523" s="126">
        <v>30045051.669999998</v>
      </c>
      <c r="I523" s="108">
        <v>7400000000</v>
      </c>
      <c r="J523" s="108" t="str">
        <f t="shared" si="30"/>
        <v>7400000000</v>
      </c>
      <c r="K523" s="304" t="str">
        <f t="shared" si="29"/>
        <v>60501137400000000000</v>
      </c>
      <c r="L523" s="17" t="str">
        <f>INDEX('реш СГД № 265'!$A:$N,MATCH('БА расх 2018 31 12 2018'!$K523,'реш СГД № 265'!$N:$N,0),3)</f>
        <v>Обеспечение деятельности комитета муниципального заказа и торговли администрации города Ставрополя</v>
      </c>
      <c r="M523" s="16">
        <f t="shared" si="31"/>
        <v>1</v>
      </c>
    </row>
    <row r="524" spans="1:13" s="16" customFormat="1" ht="47.25">
      <c r="A524" s="14"/>
      <c r="B524" s="125" t="s">
        <v>380</v>
      </c>
      <c r="C524" s="109" t="s">
        <v>372</v>
      </c>
      <c r="D524" s="108" t="s">
        <v>11</v>
      </c>
      <c r="E524" s="108" t="s">
        <v>51</v>
      </c>
      <c r="F524" s="108" t="s">
        <v>381</v>
      </c>
      <c r="G524" s="108" t="s">
        <v>9</v>
      </c>
      <c r="H524" s="126">
        <v>30045051.669999998</v>
      </c>
      <c r="I524" s="108">
        <v>7410000000</v>
      </c>
      <c r="J524" s="108" t="str">
        <f t="shared" si="30"/>
        <v>7410000000</v>
      </c>
      <c r="K524" s="304" t="str">
        <f t="shared" si="29"/>
        <v>60501137410000000000</v>
      </c>
      <c r="L524" s="17" t="str">
        <f>INDEX('реш СГД № 265'!$A:$N,MATCH('БА расх 2018 31 12 2018'!$K524,'реш СГД № 265'!$N:$N,0),3)</f>
        <v>Непрограммные расходы в рамках обеспечения деятельности комитета муниципального заказа и торговли администрации города Ставрополя</v>
      </c>
      <c r="M524" s="16">
        <f t="shared" si="31"/>
        <v>1</v>
      </c>
    </row>
    <row r="525" spans="1:13" s="16" customFormat="1" ht="31.5">
      <c r="A525" s="14"/>
      <c r="B525" s="125" t="s">
        <v>18</v>
      </c>
      <c r="C525" s="109" t="s">
        <v>372</v>
      </c>
      <c r="D525" s="108" t="s">
        <v>11</v>
      </c>
      <c r="E525" s="108" t="s">
        <v>51</v>
      </c>
      <c r="F525" s="108" t="s">
        <v>382</v>
      </c>
      <c r="G525" s="108" t="s">
        <v>9</v>
      </c>
      <c r="H525" s="126">
        <v>3352498.82</v>
      </c>
      <c r="I525" s="108">
        <v>7410010010</v>
      </c>
      <c r="J525" s="108" t="str">
        <f t="shared" si="30"/>
        <v>7410010010</v>
      </c>
      <c r="K525" s="304" t="str">
        <f t="shared" si="29"/>
        <v>60501137410010010000</v>
      </c>
      <c r="L525" s="17" t="str">
        <f>INDEX('реш СГД № 265'!$A:$N,MATCH('БА расх 2018 31 12 2018'!$K525,'реш СГД № 265'!$N:$N,0),3)</f>
        <v>Расходы на обеспечение функций органов местного самоуправления города Ставрополя</v>
      </c>
      <c r="M525" s="16">
        <f t="shared" si="31"/>
        <v>1</v>
      </c>
    </row>
    <row r="526" spans="1:13" s="16" customFormat="1" ht="31.5">
      <c r="A526" s="14"/>
      <c r="B526" s="127" t="s">
        <v>20</v>
      </c>
      <c r="C526" s="109" t="s">
        <v>372</v>
      </c>
      <c r="D526" s="108" t="s">
        <v>11</v>
      </c>
      <c r="E526" s="108" t="s">
        <v>51</v>
      </c>
      <c r="F526" s="108" t="s">
        <v>382</v>
      </c>
      <c r="G526" s="108" t="s">
        <v>21</v>
      </c>
      <c r="H526" s="126">
        <v>746526.23</v>
      </c>
      <c r="I526" s="108">
        <v>7410010010</v>
      </c>
      <c r="J526" s="108" t="str">
        <f t="shared" si="30"/>
        <v>7410010010</v>
      </c>
      <c r="K526" s="304" t="str">
        <f t="shared" si="29"/>
        <v>60501137410010010120</v>
      </c>
      <c r="L526" s="17" t="str">
        <f>INDEX('реш СГД № 265'!$A:$N,MATCH('БА расх 2018 31 12 2018'!$K526,'реш СГД № 265'!$N:$N,0),3)</f>
        <v>Расходы на выплаты персоналу государственных (муниципальных) органов</v>
      </c>
      <c r="M526" s="16">
        <f t="shared" si="31"/>
        <v>1</v>
      </c>
    </row>
    <row r="527" spans="1:13" s="23" customFormat="1" ht="31.5">
      <c r="A527" s="21"/>
      <c r="B527" s="127" t="s">
        <v>22</v>
      </c>
      <c r="C527" s="109" t="s">
        <v>372</v>
      </c>
      <c r="D527" s="108" t="s">
        <v>11</v>
      </c>
      <c r="E527" s="108" t="s">
        <v>51</v>
      </c>
      <c r="F527" s="108" t="s">
        <v>382</v>
      </c>
      <c r="G527" s="108" t="s">
        <v>23</v>
      </c>
      <c r="H527" s="126">
        <v>575928.27</v>
      </c>
      <c r="I527" s="108">
        <v>7410010010</v>
      </c>
      <c r="J527" s="108" t="str">
        <f t="shared" si="30"/>
        <v>7410010010</v>
      </c>
      <c r="K527" s="304" t="str">
        <f t="shared" si="29"/>
        <v>60501137410010010122</v>
      </c>
      <c r="L527" s="17"/>
      <c r="M527" s="16"/>
    </row>
    <row r="528" spans="1:13" s="23" customFormat="1" ht="47.25">
      <c r="A528" s="21"/>
      <c r="B528" s="127" t="s">
        <v>26</v>
      </c>
      <c r="C528" s="109" t="s">
        <v>372</v>
      </c>
      <c r="D528" s="108" t="s">
        <v>11</v>
      </c>
      <c r="E528" s="108" t="s">
        <v>51</v>
      </c>
      <c r="F528" s="108" t="s">
        <v>382</v>
      </c>
      <c r="G528" s="108" t="s">
        <v>27</v>
      </c>
      <c r="H528" s="126">
        <v>170597.96</v>
      </c>
      <c r="I528" s="108">
        <v>7410010010</v>
      </c>
      <c r="J528" s="108" t="str">
        <f t="shared" si="30"/>
        <v>7410010010</v>
      </c>
      <c r="K528" s="304" t="str">
        <f t="shared" si="29"/>
        <v>60501137410010010129</v>
      </c>
      <c r="L528" s="17"/>
      <c r="M528" s="16"/>
    </row>
    <row r="529" spans="1:13" s="16" customFormat="1" ht="31.5">
      <c r="A529" s="14"/>
      <c r="B529" s="125" t="s">
        <v>28</v>
      </c>
      <c r="C529" s="109" t="s">
        <v>372</v>
      </c>
      <c r="D529" s="108" t="s">
        <v>11</v>
      </c>
      <c r="E529" s="108" t="s">
        <v>51</v>
      </c>
      <c r="F529" s="108" t="s">
        <v>382</v>
      </c>
      <c r="G529" s="108" t="s">
        <v>29</v>
      </c>
      <c r="H529" s="126">
        <v>2593012.59</v>
      </c>
      <c r="I529" s="108">
        <v>7410010010</v>
      </c>
      <c r="J529" s="108" t="str">
        <f t="shared" si="30"/>
        <v>7410010010</v>
      </c>
      <c r="K529" s="304" t="str">
        <f t="shared" si="29"/>
        <v>60501137410010010240</v>
      </c>
      <c r="L529" s="17" t="str">
        <f>INDEX('реш СГД № 265'!$A:$N,MATCH('БА расх 2018 31 12 2018'!$K529,'реш СГД № 265'!$N:$N,0),3)</f>
        <v>Иные закупки товаров, работ и услуг для обеспечения государственных (муниципальных) нужд</v>
      </c>
      <c r="M529" s="16">
        <f t="shared" si="31"/>
        <v>1</v>
      </c>
    </row>
    <row r="530" spans="1:13" s="16" customFormat="1" ht="15.75">
      <c r="A530" s="14"/>
      <c r="B530" s="125" t="s">
        <v>30</v>
      </c>
      <c r="C530" s="109" t="s">
        <v>372</v>
      </c>
      <c r="D530" s="108" t="s">
        <v>11</v>
      </c>
      <c r="E530" s="108" t="s">
        <v>51</v>
      </c>
      <c r="F530" s="108" t="s">
        <v>382</v>
      </c>
      <c r="G530" s="108" t="s">
        <v>31</v>
      </c>
      <c r="H530" s="126">
        <v>2593012.59</v>
      </c>
      <c r="I530" s="108">
        <v>7410010010</v>
      </c>
      <c r="J530" s="108" t="str">
        <f t="shared" si="30"/>
        <v>7410010010</v>
      </c>
      <c r="K530" s="304" t="str">
        <f t="shared" si="29"/>
        <v>60501137410010010244</v>
      </c>
      <c r="L530" s="17"/>
    </row>
    <row r="531" spans="1:13" s="16" customFormat="1" ht="15.75">
      <c r="A531" s="14"/>
      <c r="B531" s="125" t="s">
        <v>32</v>
      </c>
      <c r="C531" s="109" t="s">
        <v>372</v>
      </c>
      <c r="D531" s="108" t="s">
        <v>11</v>
      </c>
      <c r="E531" s="108" t="s">
        <v>51</v>
      </c>
      <c r="F531" s="108" t="s">
        <v>382</v>
      </c>
      <c r="G531" s="108" t="s">
        <v>33</v>
      </c>
      <c r="H531" s="126">
        <v>12960</v>
      </c>
      <c r="I531" s="108">
        <v>7410010010</v>
      </c>
      <c r="J531" s="108" t="str">
        <f t="shared" si="30"/>
        <v>7410010010</v>
      </c>
      <c r="K531" s="304" t="str">
        <f t="shared" si="29"/>
        <v>60501137410010010850</v>
      </c>
      <c r="L531" s="17" t="str">
        <f>INDEX('реш СГД № 265'!$A:$N,MATCH('БА расх 2018 31 12 2018'!$K531,'реш СГД № 265'!$N:$N,0),3)</f>
        <v>Уплата налогов, сборов и иных платежей</v>
      </c>
      <c r="M531" s="16">
        <f t="shared" si="31"/>
        <v>1</v>
      </c>
    </row>
    <row r="532" spans="1:13" s="23" customFormat="1" ht="15.75">
      <c r="A532" s="21"/>
      <c r="B532" s="127" t="s">
        <v>36</v>
      </c>
      <c r="C532" s="109" t="s">
        <v>372</v>
      </c>
      <c r="D532" s="108" t="s">
        <v>11</v>
      </c>
      <c r="E532" s="108" t="s">
        <v>51</v>
      </c>
      <c r="F532" s="108" t="s">
        <v>382</v>
      </c>
      <c r="G532" s="108" t="s">
        <v>37</v>
      </c>
      <c r="H532" s="126">
        <v>12960</v>
      </c>
      <c r="I532" s="108">
        <v>7410010010</v>
      </c>
      <c r="J532" s="108" t="str">
        <f t="shared" si="30"/>
        <v>7410010010</v>
      </c>
      <c r="K532" s="304" t="str">
        <f t="shared" si="29"/>
        <v>60501137410010010852</v>
      </c>
      <c r="L532" s="17"/>
      <c r="M532" s="16"/>
    </row>
    <row r="533" spans="1:13" s="16" customFormat="1" ht="31.5">
      <c r="A533" s="14"/>
      <c r="B533" s="125" t="s">
        <v>38</v>
      </c>
      <c r="C533" s="109" t="s">
        <v>372</v>
      </c>
      <c r="D533" s="108" t="s">
        <v>11</v>
      </c>
      <c r="E533" s="108" t="s">
        <v>51</v>
      </c>
      <c r="F533" s="108" t="s">
        <v>383</v>
      </c>
      <c r="G533" s="108" t="s">
        <v>9</v>
      </c>
      <c r="H533" s="126">
        <v>25554672.649999999</v>
      </c>
      <c r="I533" s="108">
        <v>7410010020</v>
      </c>
      <c r="J533" s="108" t="str">
        <f t="shared" si="30"/>
        <v>7410010020</v>
      </c>
      <c r="K533" s="304" t="str">
        <f t="shared" si="29"/>
        <v>60501137410010020000</v>
      </c>
      <c r="L533" s="17" t="str">
        <f>INDEX('реш СГД № 265'!$A:$N,MATCH('БА расх 2018 31 12 2018'!$K533,'реш СГД № 265'!$N:$N,0),3)</f>
        <v>Расходы на выплаты по оплате труда работников органов местного самоуправления города Ставрополя</v>
      </c>
      <c r="M533" s="16">
        <f t="shared" si="31"/>
        <v>1</v>
      </c>
    </row>
    <row r="534" spans="1:13" s="16" customFormat="1" ht="31.5">
      <c r="A534" s="14"/>
      <c r="B534" s="127" t="s">
        <v>20</v>
      </c>
      <c r="C534" s="109" t="s">
        <v>372</v>
      </c>
      <c r="D534" s="108" t="s">
        <v>11</v>
      </c>
      <c r="E534" s="108" t="s">
        <v>51</v>
      </c>
      <c r="F534" s="108" t="s">
        <v>383</v>
      </c>
      <c r="G534" s="108" t="s">
        <v>21</v>
      </c>
      <c r="H534" s="126">
        <v>25554672.649999999</v>
      </c>
      <c r="I534" s="108">
        <v>7410010020</v>
      </c>
      <c r="J534" s="108" t="str">
        <f t="shared" si="30"/>
        <v>7410010020</v>
      </c>
      <c r="K534" s="304" t="str">
        <f t="shared" si="29"/>
        <v>60501137410010020120</v>
      </c>
      <c r="L534" s="17" t="str">
        <f>INDEX('реш СГД № 265'!$A:$N,MATCH('БА расх 2018 31 12 2018'!$K534,'реш СГД № 265'!$N:$N,0),3)</f>
        <v>Расходы на выплаты персоналу государственных (муниципальных) органов</v>
      </c>
      <c r="M534" s="16">
        <f t="shared" si="31"/>
        <v>1</v>
      </c>
    </row>
    <row r="535" spans="1:13" s="23" customFormat="1" ht="31.5">
      <c r="A535" s="21"/>
      <c r="B535" s="127" t="s">
        <v>40</v>
      </c>
      <c r="C535" s="109" t="s">
        <v>372</v>
      </c>
      <c r="D535" s="108" t="s">
        <v>11</v>
      </c>
      <c r="E535" s="108" t="s">
        <v>51</v>
      </c>
      <c r="F535" s="108" t="s">
        <v>383</v>
      </c>
      <c r="G535" s="108" t="s">
        <v>41</v>
      </c>
      <c r="H535" s="126">
        <v>19645176.379999999</v>
      </c>
      <c r="I535" s="108">
        <v>7410010020</v>
      </c>
      <c r="J535" s="108" t="str">
        <f t="shared" si="30"/>
        <v>7410010020</v>
      </c>
      <c r="K535" s="304" t="str">
        <f t="shared" si="29"/>
        <v>60501137410010020121</v>
      </c>
      <c r="L535" s="17"/>
      <c r="M535" s="16"/>
    </row>
    <row r="536" spans="1:13" s="23" customFormat="1" ht="47.25">
      <c r="A536" s="21"/>
      <c r="B536" s="127" t="s">
        <v>26</v>
      </c>
      <c r="C536" s="109" t="s">
        <v>372</v>
      </c>
      <c r="D536" s="108" t="s">
        <v>11</v>
      </c>
      <c r="E536" s="108" t="s">
        <v>51</v>
      </c>
      <c r="F536" s="108" t="s">
        <v>383</v>
      </c>
      <c r="G536" s="108" t="s">
        <v>27</v>
      </c>
      <c r="H536" s="126">
        <v>5909496.2699999996</v>
      </c>
      <c r="I536" s="108">
        <v>7410010020</v>
      </c>
      <c r="J536" s="108" t="str">
        <f t="shared" si="30"/>
        <v>7410010020</v>
      </c>
      <c r="K536" s="304" t="str">
        <f t="shared" si="29"/>
        <v>60501137410010020129</v>
      </c>
      <c r="L536" s="17"/>
      <c r="M536" s="16"/>
    </row>
    <row r="537" spans="1:13" s="23" customFormat="1" ht="31.5">
      <c r="A537" s="21"/>
      <c r="B537" s="125" t="s">
        <v>355</v>
      </c>
      <c r="C537" s="109" t="s">
        <v>372</v>
      </c>
      <c r="D537" s="108" t="s">
        <v>11</v>
      </c>
      <c r="E537" s="108" t="s">
        <v>51</v>
      </c>
      <c r="F537" s="108" t="s">
        <v>2257</v>
      </c>
      <c r="G537" s="108" t="s">
        <v>9</v>
      </c>
      <c r="H537" s="126">
        <v>255869.04</v>
      </c>
      <c r="I537" s="108">
        <v>7410010050</v>
      </c>
      <c r="J537" s="108" t="str">
        <f t="shared" si="30"/>
        <v>7410010050</v>
      </c>
      <c r="K537" s="304" t="str">
        <f t="shared" si="29"/>
        <v>60501137410010050000</v>
      </c>
      <c r="L537" s="400" t="e">
        <f>INDEX('реш СГД № 265'!$A:$N,MATCH('БА расх 2018 31 12 2018'!$K537,'реш СГД № 265'!$N:$N,0),3)</f>
        <v>#N/A</v>
      </c>
      <c r="M537" s="248" t="e">
        <f t="shared" si="31"/>
        <v>#N/A</v>
      </c>
    </row>
    <row r="538" spans="1:13" s="23" customFormat="1" ht="31.5">
      <c r="A538" s="21"/>
      <c r="B538" s="125" t="s">
        <v>20</v>
      </c>
      <c r="C538" s="109" t="s">
        <v>372</v>
      </c>
      <c r="D538" s="108" t="s">
        <v>11</v>
      </c>
      <c r="E538" s="108" t="s">
        <v>51</v>
      </c>
      <c r="F538" s="108" t="s">
        <v>2257</v>
      </c>
      <c r="G538" s="305" t="s">
        <v>21</v>
      </c>
      <c r="H538" s="126">
        <v>255869.04</v>
      </c>
      <c r="I538" s="108">
        <v>7410010050</v>
      </c>
      <c r="J538" s="108" t="str">
        <f t="shared" si="30"/>
        <v>7410010050</v>
      </c>
      <c r="K538" s="304" t="str">
        <f t="shared" si="29"/>
        <v>60501137410010050120</v>
      </c>
      <c r="L538" s="400" t="e">
        <f>INDEX('реш СГД № 265'!$A:$N,MATCH('БА расх 2018 31 12 2018'!$K538,'реш СГД № 265'!$N:$N,0),3)</f>
        <v>#N/A</v>
      </c>
      <c r="M538" s="248" t="e">
        <f t="shared" si="31"/>
        <v>#N/A</v>
      </c>
    </row>
    <row r="539" spans="1:13" s="23" customFormat="1" ht="31.5">
      <c r="A539" s="21"/>
      <c r="B539" s="127" t="s">
        <v>40</v>
      </c>
      <c r="C539" s="109" t="s">
        <v>372</v>
      </c>
      <c r="D539" s="108" t="s">
        <v>11</v>
      </c>
      <c r="E539" s="108" t="s">
        <v>51</v>
      </c>
      <c r="F539" s="108" t="s">
        <v>2257</v>
      </c>
      <c r="G539" s="305" t="s">
        <v>41</v>
      </c>
      <c r="H539" s="126">
        <v>196520</v>
      </c>
      <c r="I539" s="108">
        <v>7410010050</v>
      </c>
      <c r="J539" s="108" t="str">
        <f t="shared" si="30"/>
        <v>7410010050</v>
      </c>
      <c r="K539" s="304" t="str">
        <f t="shared" si="29"/>
        <v>60501137410010050121</v>
      </c>
      <c r="L539" s="17"/>
      <c r="M539" s="16"/>
    </row>
    <row r="540" spans="1:13" s="23" customFormat="1" ht="47.25">
      <c r="A540" s="21"/>
      <c r="B540" s="125" t="s">
        <v>26</v>
      </c>
      <c r="C540" s="109" t="s">
        <v>372</v>
      </c>
      <c r="D540" s="108" t="s">
        <v>11</v>
      </c>
      <c r="E540" s="108" t="s">
        <v>51</v>
      </c>
      <c r="F540" s="108" t="s">
        <v>2257</v>
      </c>
      <c r="G540" s="305" t="s">
        <v>27</v>
      </c>
      <c r="H540" s="126">
        <v>59349.04</v>
      </c>
      <c r="I540" s="108">
        <v>7410010050</v>
      </c>
      <c r="J540" s="108" t="str">
        <f t="shared" si="30"/>
        <v>7410010050</v>
      </c>
      <c r="K540" s="304" t="str">
        <f t="shared" si="29"/>
        <v>60501137410010050129</v>
      </c>
      <c r="L540" s="17"/>
      <c r="M540" s="16"/>
    </row>
    <row r="541" spans="1:13" s="23" customFormat="1" ht="267.75">
      <c r="A541" s="21"/>
      <c r="B541" s="132" t="s">
        <v>2269</v>
      </c>
      <c r="C541" s="109" t="s">
        <v>372</v>
      </c>
      <c r="D541" s="108" t="s">
        <v>11</v>
      </c>
      <c r="E541" s="108" t="s">
        <v>51</v>
      </c>
      <c r="F541" s="108" t="s">
        <v>1276</v>
      </c>
      <c r="G541" s="108" t="s">
        <v>9</v>
      </c>
      <c r="H541" s="126">
        <v>831217.53</v>
      </c>
      <c r="I541" s="108">
        <v>7410077460</v>
      </c>
      <c r="J541" s="108" t="str">
        <f t="shared" si="30"/>
        <v>7410077460</v>
      </c>
      <c r="K541" s="304" t="str">
        <f t="shared" si="29"/>
        <v>60501137410077460000</v>
      </c>
      <c r="L541" s="132" t="str">
        <f>INDEX('реш СГД № 265'!$A:$N,MATCH('БА расх 2018 31 12 2018'!$K541,'реш СГД № 265'!$N:$N,0),3)</f>
        <v>Субсидии на компенсацию расходов по повышению заработной платы муниципальных служащих муниципальной службы и лиц, не замещающих должности муниципальной службы и исполняющих обязанности по техническому обеспечению деятельности органов местного самоуправления муниципальных образований, а также работников муниципальных учреждений, за исключением отдельных категорий работников муниципальных учреждений, которым повышение заработной платы осуществляется в соответствии с указами Президента Российской Федерации от 7 мая 2012 года № 597 «О мероприятиях по реализации государственной социальной политики», от 1 июня 2012 года № 761 «О Национальной стратегии действий в интересах детей на 2012 - 2017 годы» и от 28 декабря 2012 года № 1688 «О некоторых мерах по реализации государственной политики в сфере защиты детей-сирот и детей, оставшихся без попечения родителей»</v>
      </c>
      <c r="M541" s="17">
        <f t="shared" si="31"/>
        <v>1</v>
      </c>
    </row>
    <row r="542" spans="1:13" s="23" customFormat="1" ht="31.5">
      <c r="A542" s="21"/>
      <c r="B542" s="164" t="s">
        <v>20</v>
      </c>
      <c r="C542" s="109" t="s">
        <v>372</v>
      </c>
      <c r="D542" s="108" t="s">
        <v>11</v>
      </c>
      <c r="E542" s="108" t="s">
        <v>51</v>
      </c>
      <c r="F542" s="108" t="s">
        <v>1276</v>
      </c>
      <c r="G542" s="108" t="s">
        <v>21</v>
      </c>
      <c r="H542" s="126">
        <v>831217.53</v>
      </c>
      <c r="I542" s="108">
        <v>7410077460</v>
      </c>
      <c r="J542" s="108" t="str">
        <f t="shared" si="30"/>
        <v>7410077460</v>
      </c>
      <c r="K542" s="304" t="str">
        <f t="shared" si="29"/>
        <v>60501137410077460120</v>
      </c>
      <c r="L542" s="17" t="str">
        <f>INDEX('реш СГД № 265'!$A:$N,MATCH('БА расх 2018 31 12 2018'!$K542,'реш СГД № 265'!$N:$N,0),3)</f>
        <v>Расходы на выплаты персоналу государственных (муниципальных) органов</v>
      </c>
      <c r="M542" s="16">
        <f t="shared" si="31"/>
        <v>1</v>
      </c>
    </row>
    <row r="543" spans="1:13" s="23" customFormat="1" ht="31.5">
      <c r="A543" s="21"/>
      <c r="B543" s="127" t="s">
        <v>40</v>
      </c>
      <c r="C543" s="109" t="s">
        <v>372</v>
      </c>
      <c r="D543" s="108" t="s">
        <v>11</v>
      </c>
      <c r="E543" s="108" t="s">
        <v>51</v>
      </c>
      <c r="F543" s="108" t="s">
        <v>1276</v>
      </c>
      <c r="G543" s="108" t="s">
        <v>41</v>
      </c>
      <c r="H543" s="126">
        <v>638415.92000000004</v>
      </c>
      <c r="I543" s="108">
        <v>7410077460</v>
      </c>
      <c r="J543" s="108" t="str">
        <f t="shared" si="30"/>
        <v>7410077460</v>
      </c>
      <c r="K543" s="304" t="str">
        <f t="shared" si="29"/>
        <v>60501137410077460121</v>
      </c>
      <c r="L543" s="17"/>
      <c r="M543" s="16"/>
    </row>
    <row r="544" spans="1:13" s="23" customFormat="1" ht="47.25">
      <c r="A544" s="21"/>
      <c r="B544" s="127" t="s">
        <v>26</v>
      </c>
      <c r="C544" s="109" t="s">
        <v>372</v>
      </c>
      <c r="D544" s="108" t="s">
        <v>11</v>
      </c>
      <c r="E544" s="108" t="s">
        <v>51</v>
      </c>
      <c r="F544" s="108" t="s">
        <v>1276</v>
      </c>
      <c r="G544" s="108" t="s">
        <v>27</v>
      </c>
      <c r="H544" s="126">
        <v>192801.61</v>
      </c>
      <c r="I544" s="108">
        <v>7410077460</v>
      </c>
      <c r="J544" s="108" t="str">
        <f t="shared" si="30"/>
        <v>7410077460</v>
      </c>
      <c r="K544" s="304" t="str">
        <f t="shared" si="29"/>
        <v>60501137410077460129</v>
      </c>
      <c r="L544" s="17"/>
      <c r="M544" s="16"/>
    </row>
    <row r="545" spans="1:13" s="23" customFormat="1" ht="236.25">
      <c r="A545" s="21"/>
      <c r="B545" s="164" t="s">
        <v>2247</v>
      </c>
      <c r="C545" s="109" t="s">
        <v>372</v>
      </c>
      <c r="D545" s="108" t="s">
        <v>11</v>
      </c>
      <c r="E545" s="108" t="s">
        <v>51</v>
      </c>
      <c r="F545" s="108" t="s">
        <v>2249</v>
      </c>
      <c r="G545" s="108" t="s">
        <v>9</v>
      </c>
      <c r="H545" s="126">
        <v>50793.63</v>
      </c>
      <c r="I545" s="108">
        <v>7410077580</v>
      </c>
      <c r="J545" s="108" t="str">
        <f t="shared" si="30"/>
        <v>7410077580</v>
      </c>
      <c r="K545" s="304" t="str">
        <f t="shared" si="29"/>
        <v>60501137410077580000</v>
      </c>
      <c r="L545" s="17" t="str">
        <f>INDEX('реш СГД № 265'!$A:$N,MATCH('БА расх 2018 31 12 2018'!$K545,'реш СГД № 265'!$N:$N,0),3)</f>
        <v>Субсидии на компенсацию расходов на обеспечение выплаты лицам, не замещающим муниципальные должности муниципальной службы и исполняющим обязанности по техническому обеспечению деятельности органов местного самоуправления муниципальных образований, работникам органов местного самоуправления муниципальных образований, осуществляющим профессиональную деятельность по профессиям рабочих, и работникам муниципальных учреждений заработной платы не ниже установленного с 01 мая 2018 года федеральным законом минимального размера оплаты труда, а также компенсацию расходов на обеспечение выплаты работникам муниципальных учреждений с 01 января 2018 года коэффициента к заработной плате за работу в пустынных и безводных местностях</v>
      </c>
      <c r="M545" s="16">
        <f t="shared" si="31"/>
        <v>1</v>
      </c>
    </row>
    <row r="546" spans="1:13" s="23" customFormat="1" ht="31.5">
      <c r="A546" s="21"/>
      <c r="B546" s="164" t="s">
        <v>20</v>
      </c>
      <c r="C546" s="109" t="s">
        <v>372</v>
      </c>
      <c r="D546" s="108" t="s">
        <v>11</v>
      </c>
      <c r="E546" s="108" t="s">
        <v>51</v>
      </c>
      <c r="F546" s="108" t="s">
        <v>2249</v>
      </c>
      <c r="G546" s="108" t="s">
        <v>21</v>
      </c>
      <c r="H546" s="126">
        <v>50793.63</v>
      </c>
      <c r="I546" s="108">
        <v>7410077580</v>
      </c>
      <c r="J546" s="108" t="str">
        <f t="shared" si="30"/>
        <v>7410077580</v>
      </c>
      <c r="K546" s="304" t="str">
        <f t="shared" si="29"/>
        <v>60501137410077580120</v>
      </c>
      <c r="L546" s="17" t="str">
        <f>INDEX('реш СГД № 265'!$A:$N,MATCH('БА расх 2018 31 12 2018'!$K546,'реш СГД № 265'!$N:$N,0),3)</f>
        <v>Расходы на выплаты персоналу государственных (муниципальных) органов</v>
      </c>
      <c r="M546" s="16">
        <f t="shared" si="31"/>
        <v>1</v>
      </c>
    </row>
    <row r="547" spans="1:13" s="23" customFormat="1" ht="31.5">
      <c r="A547" s="21"/>
      <c r="B547" s="127" t="s">
        <v>40</v>
      </c>
      <c r="C547" s="109" t="s">
        <v>372</v>
      </c>
      <c r="D547" s="108" t="s">
        <v>11</v>
      </c>
      <c r="E547" s="108" t="s">
        <v>51</v>
      </c>
      <c r="F547" s="108" t="s">
        <v>2249</v>
      </c>
      <c r="G547" s="108" t="s">
        <v>41</v>
      </c>
      <c r="H547" s="126">
        <v>39012</v>
      </c>
      <c r="I547" s="108">
        <v>7410077580</v>
      </c>
      <c r="J547" s="108" t="str">
        <f t="shared" si="30"/>
        <v>7410077580</v>
      </c>
      <c r="K547" s="304" t="str">
        <f t="shared" si="29"/>
        <v>60501137410077580121</v>
      </c>
      <c r="L547" s="17"/>
      <c r="M547" s="16"/>
    </row>
    <row r="548" spans="1:13" s="23" customFormat="1" ht="47.25">
      <c r="A548" s="21"/>
      <c r="B548" s="127" t="s">
        <v>26</v>
      </c>
      <c r="C548" s="109" t="s">
        <v>372</v>
      </c>
      <c r="D548" s="108" t="s">
        <v>11</v>
      </c>
      <c r="E548" s="108" t="s">
        <v>51</v>
      </c>
      <c r="F548" s="108" t="s">
        <v>2249</v>
      </c>
      <c r="G548" s="108" t="s">
        <v>27</v>
      </c>
      <c r="H548" s="126">
        <v>11781.63</v>
      </c>
      <c r="I548" s="108">
        <v>7410077580</v>
      </c>
      <c r="J548" s="108" t="str">
        <f t="shared" si="30"/>
        <v>7410077580</v>
      </c>
      <c r="K548" s="304" t="str">
        <f t="shared" si="29"/>
        <v>60501137410077580129</v>
      </c>
      <c r="L548" s="17"/>
      <c r="M548" s="16"/>
    </row>
    <row r="549" spans="1:13" s="16" customFormat="1" ht="15.75">
      <c r="A549" s="14"/>
      <c r="B549" s="117" t="s">
        <v>237</v>
      </c>
      <c r="C549" s="118" t="s">
        <v>372</v>
      </c>
      <c r="D549" s="119" t="s">
        <v>238</v>
      </c>
      <c r="E549" s="119" t="s">
        <v>7</v>
      </c>
      <c r="F549" s="119" t="s">
        <v>8</v>
      </c>
      <c r="G549" s="119" t="s">
        <v>9</v>
      </c>
      <c r="H549" s="120">
        <v>881440</v>
      </c>
      <c r="I549" s="119">
        <v>0</v>
      </c>
      <c r="J549" s="119" t="str">
        <f t="shared" si="30"/>
        <v>0000000000</v>
      </c>
      <c r="K549" s="304" t="str">
        <f t="shared" ref="K549:K612" si="32">C549&amp;D549&amp;E549&amp;J549&amp;G549</f>
        <v>60508000000000000000</v>
      </c>
      <c r="L549" s="17" t="str">
        <f>INDEX('реш СГД № 265'!$A:$N,MATCH('БА расх 2018 31 12 2018'!$K549,'реш СГД № 265'!$N:$N,0),3)</f>
        <v xml:space="preserve">Культура, кинематография </v>
      </c>
      <c r="M549" s="16">
        <f t="shared" si="31"/>
        <v>1</v>
      </c>
    </row>
    <row r="550" spans="1:13" s="16" customFormat="1" ht="15.75">
      <c r="A550" s="14"/>
      <c r="B550" s="121" t="s">
        <v>239</v>
      </c>
      <c r="C550" s="122" t="s">
        <v>372</v>
      </c>
      <c r="D550" s="123" t="s">
        <v>238</v>
      </c>
      <c r="E550" s="123" t="s">
        <v>11</v>
      </c>
      <c r="F550" s="123" t="s">
        <v>8</v>
      </c>
      <c r="G550" s="123" t="s">
        <v>9</v>
      </c>
      <c r="H550" s="124">
        <v>881440</v>
      </c>
      <c r="I550" s="123">
        <v>0</v>
      </c>
      <c r="J550" s="123" t="str">
        <f t="shared" ref="J550:J613" si="33">TEXT(I550,"0000000000")</f>
        <v>0000000000</v>
      </c>
      <c r="K550" s="304" t="str">
        <f t="shared" si="32"/>
        <v>60508010000000000000</v>
      </c>
      <c r="L550" s="17" t="str">
        <f>INDEX('реш СГД № 265'!$A:$N,MATCH('БА расх 2018 31 12 2018'!$K550,'реш СГД № 265'!$N:$N,0),3)</f>
        <v>Культура</v>
      </c>
      <c r="M550" s="16">
        <f t="shared" ref="M550:M613" si="34">IF(B550=L550,1,0)</f>
        <v>1</v>
      </c>
    </row>
    <row r="551" spans="1:13" s="16" customFormat="1" ht="15.75">
      <c r="A551" s="14"/>
      <c r="B551" s="125" t="s">
        <v>240</v>
      </c>
      <c r="C551" s="130" t="s">
        <v>372</v>
      </c>
      <c r="D551" s="131" t="s">
        <v>238</v>
      </c>
      <c r="E551" s="131" t="s">
        <v>11</v>
      </c>
      <c r="F551" s="131" t="s">
        <v>241</v>
      </c>
      <c r="G551" s="131" t="s">
        <v>9</v>
      </c>
      <c r="H551" s="105">
        <v>881440</v>
      </c>
      <c r="I551" s="131">
        <v>700000000</v>
      </c>
      <c r="J551" s="131" t="str">
        <f t="shared" si="33"/>
        <v>0700000000</v>
      </c>
      <c r="K551" s="304" t="str">
        <f t="shared" si="32"/>
        <v>60508010700000000000</v>
      </c>
      <c r="L551" s="17" t="str">
        <f>INDEX('реш СГД № 265'!$A:$N,MATCH('БА расх 2018 31 12 2018'!$K551,'реш СГД № 265'!$N:$N,0),3)</f>
        <v>Муниципальная программа «Культура города Ставрополя»</v>
      </c>
      <c r="M551" s="16">
        <f t="shared" si="34"/>
        <v>1</v>
      </c>
    </row>
    <row r="552" spans="1:13" s="16" customFormat="1" ht="63">
      <c r="A552" s="14"/>
      <c r="B552" s="125" t="s">
        <v>384</v>
      </c>
      <c r="C552" s="130" t="s">
        <v>372</v>
      </c>
      <c r="D552" s="131" t="s">
        <v>238</v>
      </c>
      <c r="E552" s="131" t="s">
        <v>11</v>
      </c>
      <c r="F552" s="131" t="s">
        <v>243</v>
      </c>
      <c r="G552" s="131" t="s">
        <v>9</v>
      </c>
      <c r="H552" s="105">
        <v>881440</v>
      </c>
      <c r="I552" s="131">
        <v>710000000</v>
      </c>
      <c r="J552" s="131" t="str">
        <f t="shared" si="33"/>
        <v>0710000000</v>
      </c>
      <c r="K552" s="304" t="str">
        <f t="shared" si="32"/>
        <v>60508010710000000000</v>
      </c>
      <c r="L552" s="17" t="str">
        <f>INDEX('реш СГД № 265'!$A:$N,MATCH('БА расх 2018 31 12 2018'!$K552,'реш СГД № 265'!$N:$N,0),3)</f>
        <v>Подпрограмма «Проведение городских и краевых культурно-массовых мероприятий, посвященных памятным, знаменательным и юбилейным датам в истории России, Ставропольского края, города Ставрополя»</v>
      </c>
      <c r="M552" s="16">
        <f t="shared" si="34"/>
        <v>1</v>
      </c>
    </row>
    <row r="553" spans="1:13" s="16" customFormat="1" ht="94.5">
      <c r="A553" s="14"/>
      <c r="B553" s="125" t="s">
        <v>244</v>
      </c>
      <c r="C553" s="130" t="s">
        <v>372</v>
      </c>
      <c r="D553" s="131" t="s">
        <v>238</v>
      </c>
      <c r="E553" s="131" t="s">
        <v>11</v>
      </c>
      <c r="F553" s="131" t="s">
        <v>245</v>
      </c>
      <c r="G553" s="131" t="s">
        <v>9</v>
      </c>
      <c r="H553" s="105">
        <v>881440</v>
      </c>
      <c r="I553" s="131">
        <v>710100000</v>
      </c>
      <c r="J553" s="131" t="str">
        <f t="shared" si="33"/>
        <v>0710100000</v>
      </c>
      <c r="K553" s="304" t="str">
        <f t="shared" si="32"/>
        <v>60508010710100000000</v>
      </c>
      <c r="L553" s="17" t="str">
        <f>INDEX('реш СГД № 265'!$A:$N,MATCH('БА расх 2018 31 12 2018'!$K553,'реш СГД № 265'!$N:$N,0),3)</f>
        <v>Основное мероприятие «Обеспечение доступности к культурным ценностям и права на участие в культурной жизни для всех групп населения города Ставрополя, популяризация объектов культурного наследия города Ставрополя, формирование имиджа города Ставрополя как культурного центра Ставропольского края»</v>
      </c>
      <c r="M553" s="16">
        <f t="shared" si="34"/>
        <v>1</v>
      </c>
    </row>
    <row r="554" spans="1:13" s="16" customFormat="1" ht="31.5">
      <c r="A554" s="14"/>
      <c r="B554" s="125" t="s">
        <v>246</v>
      </c>
      <c r="C554" s="130" t="s">
        <v>372</v>
      </c>
      <c r="D554" s="131" t="s">
        <v>238</v>
      </c>
      <c r="E554" s="131" t="s">
        <v>11</v>
      </c>
      <c r="F554" s="131" t="s">
        <v>247</v>
      </c>
      <c r="G554" s="131" t="s">
        <v>9</v>
      </c>
      <c r="H554" s="105">
        <v>881440</v>
      </c>
      <c r="I554" s="131">
        <v>710120060</v>
      </c>
      <c r="J554" s="131" t="str">
        <f t="shared" si="33"/>
        <v>0710120060</v>
      </c>
      <c r="K554" s="304" t="str">
        <f t="shared" si="32"/>
        <v>60508010710120060000</v>
      </c>
      <c r="L554" s="17" t="str">
        <f>INDEX('реш СГД № 265'!$A:$N,MATCH('БА расх 2018 31 12 2018'!$K554,'реш СГД № 265'!$N:$N,0),3)</f>
        <v>Расходы на проведение культурно-массовых мероприятий в городе Ставрополе</v>
      </c>
      <c r="M554" s="16">
        <f t="shared" si="34"/>
        <v>1</v>
      </c>
    </row>
    <row r="555" spans="1:13" s="16" customFormat="1" ht="31.5">
      <c r="A555" s="14"/>
      <c r="B555" s="125" t="s">
        <v>28</v>
      </c>
      <c r="C555" s="130" t="s">
        <v>372</v>
      </c>
      <c r="D555" s="131" t="s">
        <v>238</v>
      </c>
      <c r="E555" s="131" t="s">
        <v>11</v>
      </c>
      <c r="F555" s="131" t="s">
        <v>247</v>
      </c>
      <c r="G555" s="131" t="s">
        <v>29</v>
      </c>
      <c r="H555" s="126">
        <v>881440</v>
      </c>
      <c r="I555" s="131">
        <v>710120060</v>
      </c>
      <c r="J555" s="131" t="str">
        <f t="shared" si="33"/>
        <v>0710120060</v>
      </c>
      <c r="K555" s="304" t="str">
        <f t="shared" si="32"/>
        <v>60508010710120060240</v>
      </c>
      <c r="L555" s="17" t="str">
        <f>INDEX('реш СГД № 265'!$A:$N,MATCH('БА расх 2018 31 12 2018'!$K555,'реш СГД № 265'!$N:$N,0),3)</f>
        <v>Иные закупки товаров, работ и услуг для обеспечения государственных (муниципальных) нужд</v>
      </c>
      <c r="M555" s="16">
        <f t="shared" si="34"/>
        <v>1</v>
      </c>
    </row>
    <row r="556" spans="1:13" s="16" customFormat="1" ht="15.75">
      <c r="A556" s="14"/>
      <c r="B556" s="125" t="s">
        <v>30</v>
      </c>
      <c r="C556" s="130" t="s">
        <v>372</v>
      </c>
      <c r="D556" s="131" t="s">
        <v>238</v>
      </c>
      <c r="E556" s="131" t="s">
        <v>11</v>
      </c>
      <c r="F556" s="131" t="s">
        <v>247</v>
      </c>
      <c r="G556" s="131" t="s">
        <v>31</v>
      </c>
      <c r="H556" s="126">
        <v>881440</v>
      </c>
      <c r="I556" s="131">
        <v>710120060</v>
      </c>
      <c r="J556" s="131" t="str">
        <f t="shared" si="33"/>
        <v>0710120060</v>
      </c>
      <c r="K556" s="304" t="str">
        <f t="shared" si="32"/>
        <v>60508010710120060244</v>
      </c>
      <c r="L556" s="17"/>
    </row>
    <row r="557" spans="1:13" s="34" customFormat="1" ht="15.75">
      <c r="A557" s="33"/>
      <c r="B557" s="117" t="s">
        <v>316</v>
      </c>
      <c r="C557" s="118" t="s">
        <v>372</v>
      </c>
      <c r="D557" s="119" t="s">
        <v>317</v>
      </c>
      <c r="E557" s="119" t="s">
        <v>7</v>
      </c>
      <c r="F557" s="119" t="s">
        <v>8</v>
      </c>
      <c r="G557" s="119" t="s">
        <v>9</v>
      </c>
      <c r="H557" s="120">
        <v>2250227</v>
      </c>
      <c r="I557" s="119">
        <v>0</v>
      </c>
      <c r="J557" s="119" t="str">
        <f t="shared" si="33"/>
        <v>0000000000</v>
      </c>
      <c r="K557" s="304" t="str">
        <f t="shared" si="32"/>
        <v>60510000000000000000</v>
      </c>
      <c r="L557" s="17" t="str">
        <f>INDEX('реш СГД № 265'!$A:$N,MATCH('БА расх 2018 31 12 2018'!$K557,'реш СГД № 265'!$N:$N,0),3)</f>
        <v>Социальная политика</v>
      </c>
      <c r="M557" s="16">
        <f t="shared" si="34"/>
        <v>1</v>
      </c>
    </row>
    <row r="558" spans="1:13" s="23" customFormat="1" ht="15.75">
      <c r="A558" s="21"/>
      <c r="B558" s="121" t="s">
        <v>318</v>
      </c>
      <c r="C558" s="122" t="s">
        <v>372</v>
      </c>
      <c r="D558" s="123" t="s">
        <v>317</v>
      </c>
      <c r="E558" s="123" t="s">
        <v>13</v>
      </c>
      <c r="F558" s="123" t="s">
        <v>8</v>
      </c>
      <c r="G558" s="123" t="s">
        <v>9</v>
      </c>
      <c r="H558" s="124">
        <v>2250227</v>
      </c>
      <c r="I558" s="123">
        <v>0</v>
      </c>
      <c r="J558" s="123" t="str">
        <f t="shared" si="33"/>
        <v>0000000000</v>
      </c>
      <c r="K558" s="304" t="str">
        <f t="shared" si="32"/>
        <v>60510030000000000000</v>
      </c>
      <c r="L558" s="17" t="str">
        <f>INDEX('реш СГД № 265'!$A:$N,MATCH('БА расх 2018 31 12 2018'!$K558,'реш СГД № 265'!$N:$N,0),3)</f>
        <v>Социальное обеспечение населения</v>
      </c>
      <c r="M558" s="16">
        <f t="shared" si="34"/>
        <v>1</v>
      </c>
    </row>
    <row r="559" spans="1:13" s="16" customFormat="1" ht="31.5">
      <c r="A559" s="14"/>
      <c r="B559" s="135" t="s">
        <v>385</v>
      </c>
      <c r="C559" s="109" t="s">
        <v>372</v>
      </c>
      <c r="D559" s="108" t="s">
        <v>317</v>
      </c>
      <c r="E559" s="108" t="s">
        <v>13</v>
      </c>
      <c r="F559" s="108" t="s">
        <v>386</v>
      </c>
      <c r="G559" s="108" t="s">
        <v>9</v>
      </c>
      <c r="H559" s="126">
        <v>2250227</v>
      </c>
      <c r="I559" s="108">
        <v>300000000</v>
      </c>
      <c r="J559" s="108" t="str">
        <f t="shared" si="33"/>
        <v>0300000000</v>
      </c>
      <c r="K559" s="304" t="str">
        <f t="shared" si="32"/>
        <v>60510030300000000000</v>
      </c>
      <c r="L559" s="17" t="str">
        <f>INDEX('реш СГД № 265'!$A:$N,MATCH('БА расх 2018 31 12 2018'!$K559,'реш СГД № 265'!$N:$N,0),3)</f>
        <v>Муниципальная программа «Социальная поддержка населения города Ставрополя»</v>
      </c>
      <c r="M559" s="16">
        <f t="shared" si="34"/>
        <v>1</v>
      </c>
    </row>
    <row r="560" spans="1:13" s="16" customFormat="1" ht="47.25">
      <c r="A560" s="14"/>
      <c r="B560" s="135" t="s">
        <v>387</v>
      </c>
      <c r="C560" s="109" t="s">
        <v>372</v>
      </c>
      <c r="D560" s="108" t="s">
        <v>317</v>
      </c>
      <c r="E560" s="108" t="s">
        <v>13</v>
      </c>
      <c r="F560" s="108" t="s">
        <v>388</v>
      </c>
      <c r="G560" s="108" t="s">
        <v>9</v>
      </c>
      <c r="H560" s="126">
        <v>2250227</v>
      </c>
      <c r="I560" s="108">
        <v>320000000</v>
      </c>
      <c r="J560" s="108" t="str">
        <f t="shared" si="33"/>
        <v>0320000000</v>
      </c>
      <c r="K560" s="304" t="str">
        <f t="shared" si="32"/>
        <v>60510030320000000000</v>
      </c>
      <c r="L560" s="17" t="str">
        <f>INDEX('реш СГД № 265'!$A:$N,MATCH('БА расх 2018 31 12 2018'!$K560,'реш СГД № 265'!$N:$N,0),3)</f>
        <v>Подпрограмма «Дополнительные меры социальной поддержки для отдельных категорий граждан, поддержка социально ориентированных некоммерческих организаций»</v>
      </c>
      <c r="M560" s="16">
        <f t="shared" si="34"/>
        <v>1</v>
      </c>
    </row>
    <row r="561" spans="1:13" s="16" customFormat="1" ht="47.25">
      <c r="A561" s="14"/>
      <c r="B561" s="125" t="s">
        <v>389</v>
      </c>
      <c r="C561" s="109" t="s">
        <v>372</v>
      </c>
      <c r="D561" s="108" t="s">
        <v>317</v>
      </c>
      <c r="E561" s="108" t="s">
        <v>13</v>
      </c>
      <c r="F561" s="108" t="s">
        <v>390</v>
      </c>
      <c r="G561" s="108" t="s">
        <v>9</v>
      </c>
      <c r="H561" s="126">
        <v>2250227</v>
      </c>
      <c r="I561" s="108">
        <v>320200000</v>
      </c>
      <c r="J561" s="108" t="str">
        <f t="shared" si="33"/>
        <v>0320200000</v>
      </c>
      <c r="K561" s="304" t="str">
        <f t="shared" si="32"/>
        <v>60510030320200000000</v>
      </c>
      <c r="L561" s="17" t="str">
        <f>INDEX('реш СГД № 265'!$A:$N,MATCH('БА расх 2018 31 12 2018'!$K561,'реш СГД № 265'!$N:$N,0),3)</f>
        <v>Основное мероприятие «Предоставление льгот на бытовые услуги по помывке в общем отделении бань отдельным категориям граждан»</v>
      </c>
      <c r="M561" s="16">
        <f t="shared" si="34"/>
        <v>1</v>
      </c>
    </row>
    <row r="562" spans="1:13" s="16" customFormat="1" ht="31.5">
      <c r="A562" s="14"/>
      <c r="B562" s="125" t="s">
        <v>391</v>
      </c>
      <c r="C562" s="109" t="s">
        <v>372</v>
      </c>
      <c r="D562" s="108" t="s">
        <v>317</v>
      </c>
      <c r="E562" s="108" t="s">
        <v>13</v>
      </c>
      <c r="F562" s="108" t="s">
        <v>392</v>
      </c>
      <c r="G562" s="108" t="s">
        <v>9</v>
      </c>
      <c r="H562" s="126">
        <v>2250227</v>
      </c>
      <c r="I562" s="108">
        <v>320280240</v>
      </c>
      <c r="J562" s="108" t="str">
        <f t="shared" si="33"/>
        <v>0320280240</v>
      </c>
      <c r="K562" s="304" t="str">
        <f t="shared" si="32"/>
        <v>60510030320280240000</v>
      </c>
      <c r="L562" s="17" t="str">
        <f>INDEX('реш СГД № 265'!$A:$N,MATCH('БА расх 2018 31 12 2018'!$K562,'реш СГД № 265'!$N:$N,0),3)</f>
        <v>Предоставление льгот на бытовые услуги по помывке в общем отделении бань отдельным категориям граждан</v>
      </c>
      <c r="M562" s="16">
        <f t="shared" si="34"/>
        <v>1</v>
      </c>
    </row>
    <row r="563" spans="1:13" s="16" customFormat="1" ht="47.25">
      <c r="A563" s="14"/>
      <c r="B563" s="129" t="s">
        <v>203</v>
      </c>
      <c r="C563" s="109" t="s">
        <v>372</v>
      </c>
      <c r="D563" s="108" t="s">
        <v>317</v>
      </c>
      <c r="E563" s="108" t="s">
        <v>13</v>
      </c>
      <c r="F563" s="108" t="s">
        <v>392</v>
      </c>
      <c r="G563" s="108" t="s">
        <v>204</v>
      </c>
      <c r="H563" s="126">
        <v>2250227</v>
      </c>
      <c r="I563" s="108">
        <v>320280240</v>
      </c>
      <c r="J563" s="108" t="str">
        <f t="shared" si="33"/>
        <v>0320280240</v>
      </c>
      <c r="K563" s="304" t="str">
        <f t="shared" si="32"/>
        <v>60510030320280240810</v>
      </c>
      <c r="L563" s="17" t="str">
        <f>INDEX('реш СГД № 265'!$A:$N,MATCH('БА расх 2018 31 12 2018'!$K563,'реш СГД № 265'!$N:$N,0),3)</f>
        <v>Субсидии юридическим лицам (кроме некоммерческих организаций), индивидуальным предпринимателям, физическим лицам - производителям товаров, работ, услуг</v>
      </c>
      <c r="M563" s="16">
        <f t="shared" si="34"/>
        <v>1</v>
      </c>
    </row>
    <row r="564" spans="1:13" s="16" customFormat="1" ht="63">
      <c r="A564" s="14"/>
      <c r="B564" s="125" t="s">
        <v>205</v>
      </c>
      <c r="C564" s="109" t="s">
        <v>372</v>
      </c>
      <c r="D564" s="108" t="s">
        <v>317</v>
      </c>
      <c r="E564" s="108" t="s">
        <v>13</v>
      </c>
      <c r="F564" s="108" t="s">
        <v>392</v>
      </c>
      <c r="G564" s="108" t="s">
        <v>206</v>
      </c>
      <c r="H564" s="126">
        <v>2250227</v>
      </c>
      <c r="I564" s="108">
        <v>320280240</v>
      </c>
      <c r="J564" s="108" t="str">
        <f t="shared" si="33"/>
        <v>0320280240</v>
      </c>
      <c r="K564" s="304" t="str">
        <f t="shared" si="32"/>
        <v>60510030320280240811</v>
      </c>
      <c r="L564" s="17"/>
    </row>
    <row r="565" spans="1:13" s="16" customFormat="1" ht="15.75">
      <c r="A565" s="14"/>
      <c r="B565" s="129"/>
      <c r="C565" s="109"/>
      <c r="D565" s="108"/>
      <c r="E565" s="108"/>
      <c r="F565" s="108"/>
      <c r="G565" s="108"/>
      <c r="H565" s="126"/>
      <c r="I565" s="108"/>
      <c r="J565" s="108" t="str">
        <f t="shared" si="33"/>
        <v>0000000000</v>
      </c>
      <c r="K565" s="304" t="str">
        <f t="shared" si="32"/>
        <v>0000000000</v>
      </c>
      <c r="L565" s="17">
        <f>INDEX('реш СГД № 265'!$A:$N,MATCH('БА расх 2018 31 12 2018'!$K565,'реш СГД № 265'!$N:$N,0),3)</f>
        <v>0</v>
      </c>
      <c r="M565" s="16">
        <f t="shared" si="34"/>
        <v>1</v>
      </c>
    </row>
    <row r="566" spans="1:13" s="17" customFormat="1" ht="15.75">
      <c r="A566" s="14"/>
      <c r="B566" s="67" t="s">
        <v>393</v>
      </c>
      <c r="C566" s="116" t="s">
        <v>394</v>
      </c>
      <c r="D566" s="69" t="s">
        <v>7</v>
      </c>
      <c r="E566" s="69" t="s">
        <v>7</v>
      </c>
      <c r="F566" s="69" t="s">
        <v>8</v>
      </c>
      <c r="G566" s="69" t="s">
        <v>9</v>
      </c>
      <c r="H566" s="70">
        <v>4012219302.2800002</v>
      </c>
      <c r="I566" s="69">
        <v>0</v>
      </c>
      <c r="J566" s="69" t="str">
        <f t="shared" si="33"/>
        <v>0000000000</v>
      </c>
      <c r="K566" s="304" t="str">
        <f t="shared" si="32"/>
        <v>60600000000000000000</v>
      </c>
      <c r="L566" s="17" t="str">
        <f>INDEX('реш СГД № 265'!$A:$N,MATCH('БА расх 2018 31 12 2018'!$K566,'реш СГД № 265'!$N:$N,0),3)</f>
        <v>Комитет образования администрации города Ставрополя</v>
      </c>
      <c r="M566" s="16">
        <f t="shared" si="34"/>
        <v>1</v>
      </c>
    </row>
    <row r="567" spans="1:13" s="17" customFormat="1" ht="15.75">
      <c r="A567" s="14"/>
      <c r="B567" s="117" t="s">
        <v>10</v>
      </c>
      <c r="C567" s="118" t="s">
        <v>394</v>
      </c>
      <c r="D567" s="119" t="s">
        <v>11</v>
      </c>
      <c r="E567" s="119" t="s">
        <v>7</v>
      </c>
      <c r="F567" s="119" t="s">
        <v>8</v>
      </c>
      <c r="G567" s="119" t="s">
        <v>9</v>
      </c>
      <c r="H567" s="120">
        <v>137334.96</v>
      </c>
      <c r="I567" s="69">
        <v>0</v>
      </c>
      <c r="J567" s="69" t="str">
        <f t="shared" si="33"/>
        <v>0000000000</v>
      </c>
      <c r="K567" s="304" t="str">
        <f t="shared" si="32"/>
        <v>60601000000000000000</v>
      </c>
      <c r="L567" s="400" t="e">
        <f>INDEX('реш СГД № 265'!$A:$N,MATCH('БА расх 2018 31 12 2018'!$K567,'реш СГД № 265'!$N:$N,0),3)</f>
        <v>#N/A</v>
      </c>
      <c r="M567" s="17" t="e">
        <f t="shared" si="34"/>
        <v>#N/A</v>
      </c>
    </row>
    <row r="568" spans="1:13" s="17" customFormat="1" ht="15.75">
      <c r="A568" s="14"/>
      <c r="B568" s="121" t="s">
        <v>50</v>
      </c>
      <c r="C568" s="122" t="s">
        <v>394</v>
      </c>
      <c r="D568" s="123" t="s">
        <v>11</v>
      </c>
      <c r="E568" s="123" t="s">
        <v>51</v>
      </c>
      <c r="F568" s="123" t="s">
        <v>8</v>
      </c>
      <c r="G568" s="123" t="s">
        <v>9</v>
      </c>
      <c r="H568" s="124">
        <v>137334.96</v>
      </c>
      <c r="I568" s="69">
        <v>0</v>
      </c>
      <c r="J568" s="69" t="str">
        <f t="shared" si="33"/>
        <v>0000000000</v>
      </c>
      <c r="K568" s="304" t="str">
        <f t="shared" si="32"/>
        <v>60601130000000000000</v>
      </c>
      <c r="L568" s="400" t="e">
        <f>INDEX('реш СГД № 265'!$A:$N,MATCH('БА расх 2018 31 12 2018'!$K568,'реш СГД № 265'!$N:$N,0),3)</f>
        <v>#N/A</v>
      </c>
      <c r="M568" s="17" t="e">
        <f t="shared" si="34"/>
        <v>#N/A</v>
      </c>
    </row>
    <row r="569" spans="1:13" s="17" customFormat="1" ht="31.5">
      <c r="A569" s="14"/>
      <c r="B569" s="125" t="s">
        <v>479</v>
      </c>
      <c r="C569" s="109" t="s">
        <v>394</v>
      </c>
      <c r="D569" s="108" t="s">
        <v>11</v>
      </c>
      <c r="E569" s="108" t="s">
        <v>51</v>
      </c>
      <c r="F569" s="108" t="s">
        <v>480</v>
      </c>
      <c r="G569" s="108" t="s">
        <v>9</v>
      </c>
      <c r="H569" s="126">
        <v>137334.96</v>
      </c>
      <c r="I569" s="108">
        <v>7500000000</v>
      </c>
      <c r="J569" s="108" t="str">
        <f t="shared" si="33"/>
        <v>7500000000</v>
      </c>
      <c r="K569" s="304" t="str">
        <f t="shared" si="32"/>
        <v>60601137500000000000</v>
      </c>
      <c r="L569" s="400" t="e">
        <f>INDEX('реш СГД № 265'!$A:$N,MATCH('БА расх 2018 31 12 2018'!$K569,'реш СГД № 265'!$N:$N,0),3)</f>
        <v>#N/A</v>
      </c>
      <c r="M569" s="17" t="e">
        <f t="shared" si="34"/>
        <v>#N/A</v>
      </c>
    </row>
    <row r="570" spans="1:13" s="17" customFormat="1" ht="31.5">
      <c r="A570" s="14"/>
      <c r="B570" s="125" t="s">
        <v>481</v>
      </c>
      <c r="C570" s="109" t="s">
        <v>394</v>
      </c>
      <c r="D570" s="108" t="s">
        <v>11</v>
      </c>
      <c r="E570" s="108" t="s">
        <v>51</v>
      </c>
      <c r="F570" s="108" t="s">
        <v>482</v>
      </c>
      <c r="G570" s="108" t="s">
        <v>9</v>
      </c>
      <c r="H570" s="126">
        <v>137334.96</v>
      </c>
      <c r="I570" s="108">
        <v>7510000000</v>
      </c>
      <c r="J570" s="108" t="str">
        <f t="shared" si="33"/>
        <v>7510000000</v>
      </c>
      <c r="K570" s="304" t="str">
        <f t="shared" si="32"/>
        <v>60601137510000000000</v>
      </c>
      <c r="L570" s="400" t="e">
        <f>INDEX('реш СГД № 265'!$A:$N,MATCH('БА расх 2018 31 12 2018'!$K570,'реш СГД № 265'!$N:$N,0),3)</f>
        <v>#N/A</v>
      </c>
      <c r="M570" s="17" t="e">
        <f t="shared" si="34"/>
        <v>#N/A</v>
      </c>
    </row>
    <row r="571" spans="1:13" s="17" customFormat="1" ht="31.5">
      <c r="A571" s="14"/>
      <c r="B571" s="125" t="s">
        <v>355</v>
      </c>
      <c r="C571" s="109" t="s">
        <v>394</v>
      </c>
      <c r="D571" s="108" t="s">
        <v>11</v>
      </c>
      <c r="E571" s="108" t="s">
        <v>51</v>
      </c>
      <c r="F571" s="108" t="s">
        <v>1884</v>
      </c>
      <c r="G571" s="108" t="s">
        <v>9</v>
      </c>
      <c r="H571" s="126">
        <v>137334.96</v>
      </c>
      <c r="I571" s="108">
        <v>7510010050</v>
      </c>
      <c r="J571" s="108" t="str">
        <f t="shared" si="33"/>
        <v>7510010050</v>
      </c>
      <c r="K571" s="304" t="str">
        <f t="shared" si="32"/>
        <v>60601137510010050000</v>
      </c>
      <c r="L571" s="400" t="e">
        <f>INDEX('реш СГД № 265'!$A:$N,MATCH('БА расх 2018 31 12 2018'!$K571,'реш СГД № 265'!$N:$N,0),3)</f>
        <v>#N/A</v>
      </c>
      <c r="M571" s="17" t="e">
        <f t="shared" si="34"/>
        <v>#N/A</v>
      </c>
    </row>
    <row r="572" spans="1:13" s="17" customFormat="1" ht="31.5">
      <c r="A572" s="14"/>
      <c r="B572" s="127" t="s">
        <v>20</v>
      </c>
      <c r="C572" s="109" t="s">
        <v>394</v>
      </c>
      <c r="D572" s="108" t="s">
        <v>11</v>
      </c>
      <c r="E572" s="108" t="s">
        <v>51</v>
      </c>
      <c r="F572" s="108" t="s">
        <v>1884</v>
      </c>
      <c r="G572" s="305" t="s">
        <v>21</v>
      </c>
      <c r="H572" s="126">
        <v>137334.96</v>
      </c>
      <c r="I572" s="108">
        <v>7510010050</v>
      </c>
      <c r="J572" s="108" t="str">
        <f t="shared" si="33"/>
        <v>7510010050</v>
      </c>
      <c r="K572" s="304" t="str">
        <f t="shared" si="32"/>
        <v>60601137510010050120</v>
      </c>
      <c r="L572" s="400" t="e">
        <f>INDEX('реш СГД № 265'!$A:$N,MATCH('БА расх 2018 31 12 2018'!$K572,'реш СГД № 265'!$N:$N,0),3)</f>
        <v>#N/A</v>
      </c>
      <c r="M572" s="17" t="e">
        <f t="shared" si="34"/>
        <v>#N/A</v>
      </c>
    </row>
    <row r="573" spans="1:13" s="17" customFormat="1" ht="31.5">
      <c r="A573" s="14"/>
      <c r="B573" s="127" t="s">
        <v>40</v>
      </c>
      <c r="C573" s="109" t="s">
        <v>394</v>
      </c>
      <c r="D573" s="108" t="s">
        <v>11</v>
      </c>
      <c r="E573" s="108" t="s">
        <v>51</v>
      </c>
      <c r="F573" s="108" t="s">
        <v>1884</v>
      </c>
      <c r="G573" s="305" t="s">
        <v>41</v>
      </c>
      <c r="H573" s="126">
        <v>105480</v>
      </c>
      <c r="I573" s="108">
        <v>7510010050</v>
      </c>
      <c r="J573" s="108" t="str">
        <f t="shared" si="33"/>
        <v>7510010050</v>
      </c>
      <c r="K573" s="304" t="str">
        <f t="shared" si="32"/>
        <v>60601137510010050121</v>
      </c>
      <c r="M573" s="16"/>
    </row>
    <row r="574" spans="1:13" s="17" customFormat="1" ht="47.25">
      <c r="A574" s="14"/>
      <c r="B574" s="127" t="s">
        <v>26</v>
      </c>
      <c r="C574" s="109" t="s">
        <v>394</v>
      </c>
      <c r="D574" s="108" t="s">
        <v>11</v>
      </c>
      <c r="E574" s="108" t="s">
        <v>51</v>
      </c>
      <c r="F574" s="108" t="s">
        <v>1884</v>
      </c>
      <c r="G574" s="305" t="s">
        <v>27</v>
      </c>
      <c r="H574" s="126">
        <v>31854.959999999999</v>
      </c>
      <c r="I574" s="108">
        <v>7510010050</v>
      </c>
      <c r="J574" s="108" t="str">
        <f t="shared" si="33"/>
        <v>7510010050</v>
      </c>
      <c r="K574" s="304" t="str">
        <f t="shared" si="32"/>
        <v>60601137510010050129</v>
      </c>
      <c r="M574" s="16"/>
    </row>
    <row r="575" spans="1:13" s="17" customFormat="1" ht="15.75">
      <c r="A575" s="14"/>
      <c r="B575" s="117" t="s">
        <v>228</v>
      </c>
      <c r="C575" s="118" t="s">
        <v>394</v>
      </c>
      <c r="D575" s="119" t="s">
        <v>229</v>
      </c>
      <c r="E575" s="119" t="s">
        <v>7</v>
      </c>
      <c r="F575" s="119" t="s">
        <v>8</v>
      </c>
      <c r="G575" s="119" t="s">
        <v>9</v>
      </c>
      <c r="H575" s="120">
        <v>3886608317.71</v>
      </c>
      <c r="I575" s="119">
        <v>0</v>
      </c>
      <c r="J575" s="119" t="str">
        <f t="shared" si="33"/>
        <v>0000000000</v>
      </c>
      <c r="K575" s="304" t="str">
        <f t="shared" si="32"/>
        <v>60607000000000000000</v>
      </c>
      <c r="L575" s="17" t="str">
        <f>INDEX('реш СГД № 265'!$A:$N,MATCH('БА расх 2018 31 12 2018'!$K575,'реш СГД № 265'!$N:$N,0),3)</f>
        <v>Образование</v>
      </c>
      <c r="M575" s="16">
        <f t="shared" si="34"/>
        <v>1</v>
      </c>
    </row>
    <row r="576" spans="1:13" s="17" customFormat="1" ht="15.75">
      <c r="A576" s="14"/>
      <c r="B576" s="121" t="s">
        <v>395</v>
      </c>
      <c r="C576" s="122" t="s">
        <v>394</v>
      </c>
      <c r="D576" s="123" t="s">
        <v>229</v>
      </c>
      <c r="E576" s="123" t="s">
        <v>11</v>
      </c>
      <c r="F576" s="123" t="s">
        <v>8</v>
      </c>
      <c r="G576" s="123" t="s">
        <v>9</v>
      </c>
      <c r="H576" s="124">
        <v>1645022566.99</v>
      </c>
      <c r="I576" s="123">
        <v>0</v>
      </c>
      <c r="J576" s="123" t="str">
        <f t="shared" si="33"/>
        <v>0000000000</v>
      </c>
      <c r="K576" s="304" t="str">
        <f t="shared" si="32"/>
        <v>60607010000000000000</v>
      </c>
      <c r="L576" s="17" t="str">
        <f>INDEX('реш СГД № 265'!$A:$N,MATCH('БА расх 2018 31 12 2018'!$K576,'реш СГД № 265'!$N:$N,0),3)</f>
        <v>Дошкольное образование</v>
      </c>
      <c r="M576" s="16">
        <f t="shared" si="34"/>
        <v>1</v>
      </c>
    </row>
    <row r="577" spans="1:13" s="17" customFormat="1" ht="31.5">
      <c r="A577" s="14"/>
      <c r="B577" s="132" t="s">
        <v>396</v>
      </c>
      <c r="C577" s="109" t="s">
        <v>394</v>
      </c>
      <c r="D577" s="108" t="s">
        <v>229</v>
      </c>
      <c r="E577" s="108" t="s">
        <v>11</v>
      </c>
      <c r="F577" s="108" t="s">
        <v>397</v>
      </c>
      <c r="G577" s="108" t="s">
        <v>9</v>
      </c>
      <c r="H577" s="126">
        <v>1635329401.6399999</v>
      </c>
      <c r="I577" s="108">
        <v>100000000</v>
      </c>
      <c r="J577" s="108" t="str">
        <f t="shared" si="33"/>
        <v>0100000000</v>
      </c>
      <c r="K577" s="304" t="str">
        <f t="shared" si="32"/>
        <v>60607010100000000000</v>
      </c>
      <c r="L577" s="17" t="str">
        <f>INDEX('реш СГД № 265'!$A:$N,MATCH('БА расх 2018 31 12 2018'!$K577,'реш СГД № 265'!$N:$N,0),3)</f>
        <v>Муниципальная программа «Развитие образования в городе Ставрополе»</v>
      </c>
      <c r="M577" s="16">
        <f t="shared" si="34"/>
        <v>1</v>
      </c>
    </row>
    <row r="578" spans="1:13" s="17" customFormat="1" ht="31.5">
      <c r="A578" s="14"/>
      <c r="B578" s="132" t="s">
        <v>398</v>
      </c>
      <c r="C578" s="109" t="s">
        <v>394</v>
      </c>
      <c r="D578" s="108" t="s">
        <v>229</v>
      </c>
      <c r="E578" s="108" t="s">
        <v>11</v>
      </c>
      <c r="F578" s="108" t="s">
        <v>399</v>
      </c>
      <c r="G578" s="108" t="s">
        <v>9</v>
      </c>
      <c r="H578" s="126">
        <v>1635329401.6399999</v>
      </c>
      <c r="I578" s="108">
        <v>110000000</v>
      </c>
      <c r="J578" s="108" t="str">
        <f t="shared" si="33"/>
        <v>0110000000</v>
      </c>
      <c r="K578" s="304" t="str">
        <f t="shared" si="32"/>
        <v>60607010110000000000</v>
      </c>
      <c r="L578" s="17" t="str">
        <f>INDEX('реш СГД № 265'!$A:$N,MATCH('БА расх 2018 31 12 2018'!$K578,'реш СГД № 265'!$N:$N,0),3)</f>
        <v>Подпрограмма «Организация дошкольного, общего и дополнительного образования»</v>
      </c>
      <c r="M578" s="16">
        <f t="shared" si="34"/>
        <v>1</v>
      </c>
    </row>
    <row r="579" spans="1:13" s="17" customFormat="1" ht="31.5">
      <c r="A579" s="14"/>
      <c r="B579" s="132" t="s">
        <v>400</v>
      </c>
      <c r="C579" s="109" t="s">
        <v>394</v>
      </c>
      <c r="D579" s="108" t="s">
        <v>229</v>
      </c>
      <c r="E579" s="108" t="s">
        <v>11</v>
      </c>
      <c r="F579" s="108" t="s">
        <v>401</v>
      </c>
      <c r="G579" s="108" t="s">
        <v>9</v>
      </c>
      <c r="H579" s="126">
        <v>1601447251.9199998</v>
      </c>
      <c r="I579" s="108">
        <v>110100000</v>
      </c>
      <c r="J579" s="108" t="str">
        <f t="shared" si="33"/>
        <v>0110100000</v>
      </c>
      <c r="K579" s="304" t="str">
        <f t="shared" si="32"/>
        <v>60607010110100000000</v>
      </c>
      <c r="L579" s="17" t="str">
        <f>INDEX('реш СГД № 265'!$A:$N,MATCH('БА расх 2018 31 12 2018'!$K579,'реш СГД № 265'!$N:$N,0),3)</f>
        <v>Основное мероприятие «Организация предоставления общедоступного и бесплатного дошкольного образования»</v>
      </c>
      <c r="M579" s="16">
        <f t="shared" si="34"/>
        <v>1</v>
      </c>
    </row>
    <row r="580" spans="1:13" s="17" customFormat="1" ht="31.5">
      <c r="A580" s="14"/>
      <c r="B580" s="132" t="s">
        <v>136</v>
      </c>
      <c r="C580" s="109" t="s">
        <v>394</v>
      </c>
      <c r="D580" s="108" t="s">
        <v>229</v>
      </c>
      <c r="E580" s="108" t="s">
        <v>11</v>
      </c>
      <c r="F580" s="108" t="s">
        <v>402</v>
      </c>
      <c r="G580" s="108" t="s">
        <v>9</v>
      </c>
      <c r="H580" s="126">
        <v>728303043.57999992</v>
      </c>
      <c r="I580" s="108">
        <v>110111010</v>
      </c>
      <c r="J580" s="108" t="str">
        <f t="shared" si="33"/>
        <v>0110111010</v>
      </c>
      <c r="K580" s="304" t="str">
        <f t="shared" si="32"/>
        <v>60607010110111010000</v>
      </c>
      <c r="L580" s="17" t="str">
        <f>INDEX('реш СГД № 265'!$A:$N,MATCH('БА расх 2018 31 12 2018'!$K580,'реш СГД № 265'!$N:$N,0),3)</f>
        <v>Расходы на обеспечение деятельности (оказание услуг) муниципальных учреждений</v>
      </c>
      <c r="M580" s="16">
        <f t="shared" si="34"/>
        <v>1</v>
      </c>
    </row>
    <row r="581" spans="1:13" s="17" customFormat="1" ht="15.75">
      <c r="A581" s="14"/>
      <c r="B581" s="132" t="s">
        <v>403</v>
      </c>
      <c r="C581" s="109" t="s">
        <v>394</v>
      </c>
      <c r="D581" s="108" t="s">
        <v>229</v>
      </c>
      <c r="E581" s="108" t="s">
        <v>11</v>
      </c>
      <c r="F581" s="108" t="s">
        <v>402</v>
      </c>
      <c r="G581" s="108" t="s">
        <v>404</v>
      </c>
      <c r="H581" s="126">
        <v>695750042.76999998</v>
      </c>
      <c r="I581" s="108">
        <v>110111010</v>
      </c>
      <c r="J581" s="108" t="str">
        <f t="shared" si="33"/>
        <v>0110111010</v>
      </c>
      <c r="K581" s="304" t="str">
        <f t="shared" si="32"/>
        <v>60607010110111010610</v>
      </c>
      <c r="L581" s="17" t="str">
        <f>INDEX('реш СГД № 265'!$A:$N,MATCH('БА расх 2018 31 12 2018'!$K581,'реш СГД № 265'!$N:$N,0),3)</f>
        <v>Субсидии бюджетным учреждениям</v>
      </c>
      <c r="M581" s="16">
        <f t="shared" si="34"/>
        <v>1</v>
      </c>
    </row>
    <row r="582" spans="1:13" s="24" customFormat="1" ht="63">
      <c r="A582" s="21"/>
      <c r="B582" s="127" t="s">
        <v>405</v>
      </c>
      <c r="C582" s="109" t="s">
        <v>394</v>
      </c>
      <c r="D582" s="108" t="s">
        <v>229</v>
      </c>
      <c r="E582" s="108" t="s">
        <v>11</v>
      </c>
      <c r="F582" s="108" t="s">
        <v>402</v>
      </c>
      <c r="G582" s="108" t="s">
        <v>406</v>
      </c>
      <c r="H582" s="126">
        <v>692399964.76999998</v>
      </c>
      <c r="I582" s="108">
        <v>110111010</v>
      </c>
      <c r="J582" s="108" t="str">
        <f t="shared" si="33"/>
        <v>0110111010</v>
      </c>
      <c r="K582" s="304" t="str">
        <f t="shared" si="32"/>
        <v>60607010110111010611</v>
      </c>
      <c r="L582" s="17"/>
      <c r="M582" s="16"/>
    </row>
    <row r="583" spans="1:13" s="24" customFormat="1" ht="15.75">
      <c r="A583" s="21"/>
      <c r="B583" s="127" t="s">
        <v>407</v>
      </c>
      <c r="C583" s="109" t="s">
        <v>394</v>
      </c>
      <c r="D583" s="108" t="s">
        <v>229</v>
      </c>
      <c r="E583" s="108" t="s">
        <v>11</v>
      </c>
      <c r="F583" s="108" t="s">
        <v>402</v>
      </c>
      <c r="G583" s="108" t="s">
        <v>408</v>
      </c>
      <c r="H583" s="126">
        <v>3350078</v>
      </c>
      <c r="I583" s="108">
        <v>110111010</v>
      </c>
      <c r="J583" s="108" t="str">
        <f t="shared" si="33"/>
        <v>0110111010</v>
      </c>
      <c r="K583" s="304" t="str">
        <f t="shared" si="32"/>
        <v>60607010110111010612</v>
      </c>
      <c r="L583" s="17"/>
      <c r="M583" s="16"/>
    </row>
    <row r="584" spans="1:13" s="17" customFormat="1" ht="15.75">
      <c r="A584" s="14"/>
      <c r="B584" s="132" t="s">
        <v>409</v>
      </c>
      <c r="C584" s="109" t="s">
        <v>394</v>
      </c>
      <c r="D584" s="108" t="s">
        <v>229</v>
      </c>
      <c r="E584" s="108" t="s">
        <v>11</v>
      </c>
      <c r="F584" s="108" t="s">
        <v>402</v>
      </c>
      <c r="G584" s="108" t="s">
        <v>410</v>
      </c>
      <c r="H584" s="126">
        <v>32553000.809999999</v>
      </c>
      <c r="I584" s="108">
        <v>110111010</v>
      </c>
      <c r="J584" s="108" t="str">
        <f t="shared" si="33"/>
        <v>0110111010</v>
      </c>
      <c r="K584" s="304" t="str">
        <f t="shared" si="32"/>
        <v>60607010110111010620</v>
      </c>
      <c r="L584" s="17" t="str">
        <f>INDEX('реш СГД № 265'!$A:$N,MATCH('БА расх 2018 31 12 2018'!$K584,'реш СГД № 265'!$N:$N,0),3)</f>
        <v>Субсидии автономным учреждениям</v>
      </c>
      <c r="M584" s="16">
        <f t="shared" si="34"/>
        <v>1</v>
      </c>
    </row>
    <row r="585" spans="1:13" s="24" customFormat="1" ht="63">
      <c r="A585" s="21"/>
      <c r="B585" s="127" t="s">
        <v>411</v>
      </c>
      <c r="C585" s="109" t="s">
        <v>394</v>
      </c>
      <c r="D585" s="108" t="s">
        <v>229</v>
      </c>
      <c r="E585" s="108" t="s">
        <v>11</v>
      </c>
      <c r="F585" s="108" t="s">
        <v>402</v>
      </c>
      <c r="G585" s="108" t="s">
        <v>412</v>
      </c>
      <c r="H585" s="126">
        <v>32203000.809999999</v>
      </c>
      <c r="I585" s="108">
        <v>110111010</v>
      </c>
      <c r="J585" s="108" t="str">
        <f t="shared" si="33"/>
        <v>0110111010</v>
      </c>
      <c r="K585" s="304" t="str">
        <f t="shared" si="32"/>
        <v>60607010110111010621</v>
      </c>
      <c r="L585" s="17"/>
      <c r="M585" s="16"/>
    </row>
    <row r="586" spans="1:13" s="24" customFormat="1" ht="15.75">
      <c r="A586" s="21"/>
      <c r="B586" s="127" t="s">
        <v>428</v>
      </c>
      <c r="C586" s="109" t="s">
        <v>394</v>
      </c>
      <c r="D586" s="108" t="s">
        <v>229</v>
      </c>
      <c r="E586" s="108" t="s">
        <v>11</v>
      </c>
      <c r="F586" s="108" t="s">
        <v>402</v>
      </c>
      <c r="G586" s="108" t="s">
        <v>429</v>
      </c>
      <c r="H586" s="126">
        <v>350000</v>
      </c>
      <c r="I586" s="108">
        <v>110111010</v>
      </c>
      <c r="J586" s="108" t="str">
        <f t="shared" si="33"/>
        <v>0110111010</v>
      </c>
      <c r="K586" s="304" t="str">
        <f t="shared" si="32"/>
        <v>60607010110111010622</v>
      </c>
      <c r="L586" s="17"/>
      <c r="M586" s="16"/>
    </row>
    <row r="587" spans="1:13" s="17" customFormat="1" ht="110.25">
      <c r="A587" s="14" t="s">
        <v>80</v>
      </c>
      <c r="B587" s="125" t="s">
        <v>413</v>
      </c>
      <c r="C587" s="109" t="s">
        <v>394</v>
      </c>
      <c r="D587" s="108" t="s">
        <v>229</v>
      </c>
      <c r="E587" s="108" t="s">
        <v>11</v>
      </c>
      <c r="F587" s="108" t="s">
        <v>414</v>
      </c>
      <c r="G587" s="108" t="s">
        <v>9</v>
      </c>
      <c r="H587" s="126">
        <v>816213217</v>
      </c>
      <c r="I587" s="108">
        <v>110177170</v>
      </c>
      <c r="J587" s="108" t="str">
        <f t="shared" si="33"/>
        <v>0110177170</v>
      </c>
      <c r="K587" s="304" t="str">
        <f t="shared" si="32"/>
        <v>60607010110177170000</v>
      </c>
      <c r="L587" s="17" t="str">
        <f>INDEX('реш СГД № 265'!$A:$N,MATCH('БА расх 2018 31 12 2018'!$K587,'реш СГД № 265'!$N:$N,0),3)</f>
        <v>Расходы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и общеобразовательных организациях и на финансовое обеспечение получения дошкольного образования в частных дошкольных и частных общеобразовательных организациях</v>
      </c>
      <c r="M587" s="16">
        <f t="shared" si="34"/>
        <v>1</v>
      </c>
    </row>
    <row r="588" spans="1:13" s="17" customFormat="1" ht="31.9" customHeight="1">
      <c r="A588" s="14"/>
      <c r="B588" s="127" t="s">
        <v>327</v>
      </c>
      <c r="C588" s="109" t="s">
        <v>394</v>
      </c>
      <c r="D588" s="108" t="s">
        <v>229</v>
      </c>
      <c r="E588" s="108" t="s">
        <v>11</v>
      </c>
      <c r="F588" s="108" t="s">
        <v>414</v>
      </c>
      <c r="G588" s="108" t="s">
        <v>328</v>
      </c>
      <c r="H588" s="126">
        <v>8237.14</v>
      </c>
      <c r="I588" s="108">
        <v>110177170</v>
      </c>
      <c r="J588" s="108" t="str">
        <f t="shared" si="33"/>
        <v>0110177170</v>
      </c>
      <c r="K588" s="304" t="str">
        <f t="shared" ref="K588:K589" si="35">C588&amp;D588&amp;E588&amp;J588&amp;G588</f>
        <v>60607010110177170320</v>
      </c>
      <c r="M588" s="16"/>
    </row>
    <row r="589" spans="1:13" s="17" customFormat="1" ht="31.5">
      <c r="A589" s="14"/>
      <c r="B589" s="125" t="s">
        <v>2248</v>
      </c>
      <c r="C589" s="109" t="s">
        <v>394</v>
      </c>
      <c r="D589" s="108" t="s">
        <v>229</v>
      </c>
      <c r="E589" s="108" t="s">
        <v>11</v>
      </c>
      <c r="F589" s="108" t="s">
        <v>414</v>
      </c>
      <c r="G589" s="108" t="s">
        <v>1856</v>
      </c>
      <c r="H589" s="126">
        <v>8237.14</v>
      </c>
      <c r="I589" s="108">
        <v>110177170</v>
      </c>
      <c r="J589" s="108" t="str">
        <f t="shared" si="33"/>
        <v>0110177170</v>
      </c>
      <c r="K589" s="344" t="str">
        <f t="shared" si="35"/>
        <v>60607010110177170321</v>
      </c>
      <c r="M589" s="16"/>
    </row>
    <row r="590" spans="1:13" s="17" customFormat="1" ht="15.75">
      <c r="A590" s="14"/>
      <c r="B590" s="132" t="s">
        <v>403</v>
      </c>
      <c r="C590" s="109" t="s">
        <v>394</v>
      </c>
      <c r="D590" s="108" t="s">
        <v>229</v>
      </c>
      <c r="E590" s="108" t="s">
        <v>11</v>
      </c>
      <c r="F590" s="108" t="s">
        <v>414</v>
      </c>
      <c r="G590" s="108" t="s">
        <v>404</v>
      </c>
      <c r="H590" s="126">
        <v>777240535.86000001</v>
      </c>
      <c r="I590" s="108">
        <v>110177170</v>
      </c>
      <c r="J590" s="108" t="str">
        <f t="shared" si="33"/>
        <v>0110177170</v>
      </c>
      <c r="K590" s="304" t="str">
        <f t="shared" si="32"/>
        <v>60607010110177170610</v>
      </c>
      <c r="L590" s="17" t="str">
        <f>INDEX('реш СГД № 265'!$A:$N,MATCH('БА расх 2018 31 12 2018'!$K590,'реш СГД № 265'!$N:$N,0),3)</f>
        <v>Субсидии бюджетным учреждениям</v>
      </c>
      <c r="M590" s="16">
        <f t="shared" si="34"/>
        <v>1</v>
      </c>
    </row>
    <row r="591" spans="1:13" s="24" customFormat="1" ht="63">
      <c r="A591" s="21"/>
      <c r="B591" s="127" t="s">
        <v>405</v>
      </c>
      <c r="C591" s="109" t="s">
        <v>394</v>
      </c>
      <c r="D591" s="108" t="s">
        <v>229</v>
      </c>
      <c r="E591" s="108" t="s">
        <v>11</v>
      </c>
      <c r="F591" s="108" t="s">
        <v>414</v>
      </c>
      <c r="G591" s="108" t="s">
        <v>406</v>
      </c>
      <c r="H591" s="126">
        <v>777240535.86000001</v>
      </c>
      <c r="I591" s="108">
        <v>110177170</v>
      </c>
      <c r="J591" s="108" t="str">
        <f t="shared" si="33"/>
        <v>0110177170</v>
      </c>
      <c r="K591" s="304" t="str">
        <f t="shared" si="32"/>
        <v>60607010110177170611</v>
      </c>
      <c r="L591" s="17"/>
      <c r="M591" s="16"/>
    </row>
    <row r="592" spans="1:13" s="17" customFormat="1" ht="15.75">
      <c r="A592" s="14"/>
      <c r="B592" s="132" t="s">
        <v>409</v>
      </c>
      <c r="C592" s="109" t="s">
        <v>394</v>
      </c>
      <c r="D592" s="108" t="s">
        <v>229</v>
      </c>
      <c r="E592" s="108" t="s">
        <v>11</v>
      </c>
      <c r="F592" s="108" t="s">
        <v>414</v>
      </c>
      <c r="G592" s="108" t="s">
        <v>410</v>
      </c>
      <c r="H592" s="126">
        <v>34124541</v>
      </c>
      <c r="I592" s="108">
        <v>110177170</v>
      </c>
      <c r="J592" s="108" t="str">
        <f t="shared" si="33"/>
        <v>0110177170</v>
      </c>
      <c r="K592" s="304" t="str">
        <f t="shared" si="32"/>
        <v>60607010110177170620</v>
      </c>
      <c r="L592" s="17" t="str">
        <f>INDEX('реш СГД № 265'!$A:$N,MATCH('БА расх 2018 31 12 2018'!$K592,'реш СГД № 265'!$N:$N,0),3)</f>
        <v>Субсидии автономным учреждениям</v>
      </c>
      <c r="M592" s="16">
        <f t="shared" si="34"/>
        <v>1</v>
      </c>
    </row>
    <row r="593" spans="1:13" s="24" customFormat="1" ht="63">
      <c r="A593" s="21"/>
      <c r="B593" s="127" t="s">
        <v>411</v>
      </c>
      <c r="C593" s="109" t="s">
        <v>394</v>
      </c>
      <c r="D593" s="108" t="s">
        <v>229</v>
      </c>
      <c r="E593" s="108" t="s">
        <v>11</v>
      </c>
      <c r="F593" s="108" t="s">
        <v>414</v>
      </c>
      <c r="G593" s="108" t="s">
        <v>412</v>
      </c>
      <c r="H593" s="126">
        <v>34124541</v>
      </c>
      <c r="I593" s="108">
        <v>110177170</v>
      </c>
      <c r="J593" s="108" t="str">
        <f t="shared" si="33"/>
        <v>0110177170</v>
      </c>
      <c r="K593" s="304" t="str">
        <f t="shared" si="32"/>
        <v>60607010110177170621</v>
      </c>
      <c r="L593" s="17"/>
      <c r="M593" s="16"/>
    </row>
    <row r="594" spans="1:13" s="17" customFormat="1" ht="31.5">
      <c r="A594" s="14"/>
      <c r="B594" s="125" t="s">
        <v>182</v>
      </c>
      <c r="C594" s="109" t="s">
        <v>394</v>
      </c>
      <c r="D594" s="108" t="s">
        <v>229</v>
      </c>
      <c r="E594" s="108" t="s">
        <v>11</v>
      </c>
      <c r="F594" s="108" t="s">
        <v>414</v>
      </c>
      <c r="G594" s="108" t="s">
        <v>183</v>
      </c>
      <c r="H594" s="126">
        <v>4839903</v>
      </c>
      <c r="I594" s="108">
        <v>110177170</v>
      </c>
      <c r="J594" s="108" t="str">
        <f t="shared" si="33"/>
        <v>0110177170</v>
      </c>
      <c r="K594" s="304" t="str">
        <f t="shared" si="32"/>
        <v>60607010110177170630</v>
      </c>
      <c r="L594" s="17" t="str">
        <f>INDEX('реш СГД № 265'!$A:$N,MATCH('БА расх 2018 31 12 2018'!$K594,'реш СГД № 265'!$N:$N,0),3)</f>
        <v>Субсидии некоммерческим организациям (за исключением государственных (муниципальных) учреждений)</v>
      </c>
      <c r="M594" s="16">
        <f t="shared" si="34"/>
        <v>1</v>
      </c>
    </row>
    <row r="595" spans="1:13" s="24" customFormat="1" ht="78.75">
      <c r="A595" s="21"/>
      <c r="B595" s="127" t="s">
        <v>1038</v>
      </c>
      <c r="C595" s="109" t="s">
        <v>394</v>
      </c>
      <c r="D595" s="108" t="s">
        <v>229</v>
      </c>
      <c r="E595" s="108" t="s">
        <v>11</v>
      </c>
      <c r="F595" s="108" t="s">
        <v>414</v>
      </c>
      <c r="G595" s="108" t="s">
        <v>416</v>
      </c>
      <c r="H595" s="126">
        <v>4839903</v>
      </c>
      <c r="I595" s="108">
        <v>110177170</v>
      </c>
      <c r="J595" s="108" t="str">
        <f t="shared" si="33"/>
        <v>0110177170</v>
      </c>
      <c r="K595" s="304" t="str">
        <f t="shared" si="32"/>
        <v>60607010110177170632</v>
      </c>
      <c r="L595" s="17"/>
      <c r="M595" s="16"/>
    </row>
    <row r="596" spans="1:13" s="24" customFormat="1" ht="267.75">
      <c r="A596" s="21"/>
      <c r="B596" s="132" t="s">
        <v>2269</v>
      </c>
      <c r="C596" s="109" t="s">
        <v>394</v>
      </c>
      <c r="D596" s="108" t="s">
        <v>229</v>
      </c>
      <c r="E596" s="108" t="s">
        <v>11</v>
      </c>
      <c r="F596" s="108" t="s">
        <v>1277</v>
      </c>
      <c r="G596" s="108" t="s">
        <v>9</v>
      </c>
      <c r="H596" s="126">
        <v>12722689.34</v>
      </c>
      <c r="I596" s="108">
        <v>110177460</v>
      </c>
      <c r="J596" s="108" t="str">
        <f t="shared" si="33"/>
        <v>0110177460</v>
      </c>
      <c r="K596" s="304" t="str">
        <f t="shared" si="32"/>
        <v>60607010110177460000</v>
      </c>
      <c r="L596" s="132" t="str">
        <f>INDEX('реш СГД № 265'!$A:$N,MATCH('БА расх 2018 31 12 2018'!$K596,'реш СГД № 265'!$N:$N,0),3)</f>
        <v>Субсидии на компенсацию расходов по повышению заработной платы муниципальных служащих муниципальной службы и лиц, не замещающих должности муниципальной службы и исполняющих обязанности по техническому обеспечению деятельности органов местного самоуправления муниципальных образований, а также работников муниципальных учреждений, за исключением отдельных категорий работников муниципальных учреждений, которым повышение заработной платы осуществляется в соответствии с указами Президента Российской Федерации от 7 мая 2012 года № 597 «О мероприятиях по реализации государственной социальной политики», от 1 июня 2012 года № 761 «О Национальной стратегии действий в интересах детей на 2012 - 2017 годы» и от 28 декабря 2012 года № 1688 «О некоторых мерах по реализации государственной политики в сфере защиты детей-сирот и детей, оставшихся без попечения родителей»</v>
      </c>
      <c r="M596" s="17">
        <f t="shared" si="34"/>
        <v>1</v>
      </c>
    </row>
    <row r="597" spans="1:13" s="24" customFormat="1" ht="15.75">
      <c r="A597" s="21"/>
      <c r="B597" s="132" t="s">
        <v>403</v>
      </c>
      <c r="C597" s="109" t="s">
        <v>394</v>
      </c>
      <c r="D597" s="108" t="s">
        <v>229</v>
      </c>
      <c r="E597" s="108" t="s">
        <v>11</v>
      </c>
      <c r="F597" s="108" t="s">
        <v>1277</v>
      </c>
      <c r="G597" s="108" t="s">
        <v>404</v>
      </c>
      <c r="H597" s="126">
        <v>12215674.34</v>
      </c>
      <c r="I597" s="108">
        <v>110177460</v>
      </c>
      <c r="J597" s="108" t="str">
        <f t="shared" si="33"/>
        <v>0110177460</v>
      </c>
      <c r="K597" s="304" t="str">
        <f t="shared" si="32"/>
        <v>60607010110177460610</v>
      </c>
      <c r="L597" s="17" t="str">
        <f>INDEX('реш СГД № 265'!$A:$N,MATCH('БА расх 2018 31 12 2018'!$K597,'реш СГД № 265'!$N:$N,0),3)</f>
        <v>Субсидии бюджетным учреждениям</v>
      </c>
      <c r="M597" s="16">
        <f t="shared" si="34"/>
        <v>1</v>
      </c>
    </row>
    <row r="598" spans="1:13" s="24" customFormat="1" ht="63">
      <c r="A598" s="21"/>
      <c r="B598" s="127" t="s">
        <v>405</v>
      </c>
      <c r="C598" s="109" t="s">
        <v>394</v>
      </c>
      <c r="D598" s="108" t="s">
        <v>229</v>
      </c>
      <c r="E598" s="108" t="s">
        <v>11</v>
      </c>
      <c r="F598" s="108" t="s">
        <v>1277</v>
      </c>
      <c r="G598" s="108" t="s">
        <v>406</v>
      </c>
      <c r="H598" s="126">
        <v>12215674.34</v>
      </c>
      <c r="I598" s="108">
        <v>110177460</v>
      </c>
      <c r="J598" s="108" t="str">
        <f t="shared" si="33"/>
        <v>0110177460</v>
      </c>
      <c r="K598" s="304" t="str">
        <f t="shared" si="32"/>
        <v>60607010110177460611</v>
      </c>
      <c r="L598" s="17"/>
      <c r="M598" s="16"/>
    </row>
    <row r="599" spans="1:13" s="24" customFormat="1" ht="15.75">
      <c r="A599" s="21"/>
      <c r="B599" s="132" t="s">
        <v>409</v>
      </c>
      <c r="C599" s="109" t="s">
        <v>394</v>
      </c>
      <c r="D599" s="108" t="s">
        <v>229</v>
      </c>
      <c r="E599" s="108" t="s">
        <v>11</v>
      </c>
      <c r="F599" s="108" t="s">
        <v>1277</v>
      </c>
      <c r="G599" s="108" t="s">
        <v>410</v>
      </c>
      <c r="H599" s="126">
        <v>507015</v>
      </c>
      <c r="I599" s="108">
        <v>110177460</v>
      </c>
      <c r="J599" s="108" t="str">
        <f t="shared" si="33"/>
        <v>0110177460</v>
      </c>
      <c r="K599" s="304" t="str">
        <f t="shared" si="32"/>
        <v>60607010110177460620</v>
      </c>
      <c r="L599" s="17" t="str">
        <f>INDEX('реш СГД № 265'!$A:$N,MATCH('БА расх 2018 31 12 2018'!$K599,'реш СГД № 265'!$N:$N,0),3)</f>
        <v>Субсидии автономным учреждениям</v>
      </c>
      <c r="M599" s="16">
        <f t="shared" si="34"/>
        <v>1</v>
      </c>
    </row>
    <row r="600" spans="1:13" s="24" customFormat="1" ht="63">
      <c r="A600" s="21"/>
      <c r="B600" s="127" t="s">
        <v>411</v>
      </c>
      <c r="C600" s="109" t="s">
        <v>394</v>
      </c>
      <c r="D600" s="108" t="s">
        <v>229</v>
      </c>
      <c r="E600" s="108" t="s">
        <v>11</v>
      </c>
      <c r="F600" s="108" t="s">
        <v>1277</v>
      </c>
      <c r="G600" s="108" t="s">
        <v>412</v>
      </c>
      <c r="H600" s="126">
        <v>507015</v>
      </c>
      <c r="I600" s="108">
        <v>110177460</v>
      </c>
      <c r="J600" s="108" t="str">
        <f t="shared" si="33"/>
        <v>0110177460</v>
      </c>
      <c r="K600" s="304" t="str">
        <f t="shared" si="32"/>
        <v>60607010110177460621</v>
      </c>
      <c r="L600" s="17"/>
      <c r="M600" s="16"/>
    </row>
    <row r="601" spans="1:13" s="24" customFormat="1" ht="236.25">
      <c r="A601" s="21"/>
      <c r="B601" s="164" t="s">
        <v>2247</v>
      </c>
      <c r="C601" s="109" t="s">
        <v>394</v>
      </c>
      <c r="D601" s="108" t="s">
        <v>229</v>
      </c>
      <c r="E601" s="108" t="s">
        <v>11</v>
      </c>
      <c r="F601" s="108" t="s">
        <v>2259</v>
      </c>
      <c r="G601" s="108" t="s">
        <v>9</v>
      </c>
      <c r="H601" s="126">
        <v>44208302</v>
      </c>
      <c r="I601" s="108">
        <v>110177580</v>
      </c>
      <c r="J601" s="108" t="str">
        <f t="shared" si="33"/>
        <v>0110177580</v>
      </c>
      <c r="K601" s="304" t="str">
        <f t="shared" si="32"/>
        <v>60607010110177580000</v>
      </c>
      <c r="L601" s="17" t="str">
        <f>INDEX('реш СГД № 265'!$A:$N,MATCH('БА расх 2018 31 12 2018'!$K601,'реш СГД № 265'!$N:$N,0),3)</f>
        <v>Субсидии на компенсацию расходов на обеспечение выплаты лицам, не замещающим муниципальные должности муниципальной службы и исполняющим обязанности по техническому обеспечению деятельности органов местного самоуправления муниципальных образований, работникам органов местного самоуправления муниципальных образований, осуществляющим профессиональную деятельность по профессиям рабочих, и работникам муниципальных учреждений заработной платы не ниже установленного с 01 мая 2018 года федеральным законом минимального размера оплаты труда, а также компенсацию расходов на обеспечение выплаты работникам муниципальных учреждений с 01 января 2018 года коэффициента к заработной плате за работу в пустынных и безводных местностях</v>
      </c>
      <c r="M601" s="16">
        <f t="shared" si="34"/>
        <v>1</v>
      </c>
    </row>
    <row r="602" spans="1:13" s="24" customFormat="1" ht="15.75">
      <c r="A602" s="21"/>
      <c r="B602" s="132" t="s">
        <v>403</v>
      </c>
      <c r="C602" s="109" t="s">
        <v>394</v>
      </c>
      <c r="D602" s="108" t="s">
        <v>229</v>
      </c>
      <c r="E602" s="108" t="s">
        <v>11</v>
      </c>
      <c r="F602" s="108" t="s">
        <v>2259</v>
      </c>
      <c r="G602" s="108" t="s">
        <v>404</v>
      </c>
      <c r="H602" s="126">
        <v>42600528</v>
      </c>
      <c r="I602" s="108">
        <v>110177580</v>
      </c>
      <c r="J602" s="108" t="str">
        <f t="shared" si="33"/>
        <v>0110177580</v>
      </c>
      <c r="K602" s="304" t="str">
        <f t="shared" si="32"/>
        <v>60607010110177580610</v>
      </c>
      <c r="L602" s="17" t="str">
        <f>INDEX('реш СГД № 265'!$A:$N,MATCH('БА расх 2018 31 12 2018'!$K602,'реш СГД № 265'!$N:$N,0),3)</f>
        <v>Субсидии бюджетным учреждениям</v>
      </c>
      <c r="M602" s="16">
        <f t="shared" si="34"/>
        <v>1</v>
      </c>
    </row>
    <row r="603" spans="1:13" s="24" customFormat="1" ht="63">
      <c r="A603" s="21"/>
      <c r="B603" s="127" t="s">
        <v>405</v>
      </c>
      <c r="C603" s="109" t="s">
        <v>394</v>
      </c>
      <c r="D603" s="108" t="s">
        <v>229</v>
      </c>
      <c r="E603" s="108" t="s">
        <v>11</v>
      </c>
      <c r="F603" s="108" t="s">
        <v>2259</v>
      </c>
      <c r="G603" s="108" t="s">
        <v>406</v>
      </c>
      <c r="H603" s="126">
        <v>42600528</v>
      </c>
      <c r="I603" s="108">
        <v>110177580</v>
      </c>
      <c r="J603" s="108" t="str">
        <f t="shared" si="33"/>
        <v>0110177580</v>
      </c>
      <c r="K603" s="304" t="str">
        <f t="shared" si="32"/>
        <v>60607010110177580611</v>
      </c>
      <c r="L603" s="17"/>
      <c r="M603" s="16"/>
    </row>
    <row r="604" spans="1:13" s="24" customFormat="1" ht="15.75">
      <c r="A604" s="21"/>
      <c r="B604" s="132" t="s">
        <v>409</v>
      </c>
      <c r="C604" s="109" t="s">
        <v>394</v>
      </c>
      <c r="D604" s="108" t="s">
        <v>229</v>
      </c>
      <c r="E604" s="108" t="s">
        <v>11</v>
      </c>
      <c r="F604" s="108" t="s">
        <v>2259</v>
      </c>
      <c r="G604" s="108" t="s">
        <v>410</v>
      </c>
      <c r="H604" s="126">
        <v>1607774</v>
      </c>
      <c r="I604" s="108">
        <v>110177580</v>
      </c>
      <c r="J604" s="108" t="str">
        <f t="shared" si="33"/>
        <v>0110177580</v>
      </c>
      <c r="K604" s="304" t="str">
        <f t="shared" si="32"/>
        <v>60607010110177580620</v>
      </c>
      <c r="L604" s="17" t="str">
        <f>INDEX('реш СГД № 265'!$A:$N,MATCH('БА расх 2018 31 12 2018'!$K604,'реш СГД № 265'!$N:$N,0),3)</f>
        <v>Субсидии автономным учреждениям</v>
      </c>
      <c r="M604" s="16">
        <f t="shared" si="34"/>
        <v>1</v>
      </c>
    </row>
    <row r="605" spans="1:13" s="24" customFormat="1" ht="63">
      <c r="A605" s="21"/>
      <c r="B605" s="127" t="s">
        <v>411</v>
      </c>
      <c r="C605" s="109" t="s">
        <v>394</v>
      </c>
      <c r="D605" s="108" t="s">
        <v>229</v>
      </c>
      <c r="E605" s="108" t="s">
        <v>11</v>
      </c>
      <c r="F605" s="108" t="s">
        <v>2259</v>
      </c>
      <c r="G605" s="108" t="s">
        <v>412</v>
      </c>
      <c r="H605" s="126">
        <v>1607774</v>
      </c>
      <c r="I605" s="108">
        <v>110177580</v>
      </c>
      <c r="J605" s="108" t="str">
        <f t="shared" si="33"/>
        <v>0110177580</v>
      </c>
      <c r="K605" s="304" t="str">
        <f t="shared" si="32"/>
        <v>60607010110177580621</v>
      </c>
      <c r="L605" s="17"/>
      <c r="M605" s="16"/>
    </row>
    <row r="606" spans="1:13" s="17" customFormat="1" ht="63">
      <c r="A606" s="14"/>
      <c r="B606" s="125" t="s">
        <v>417</v>
      </c>
      <c r="C606" s="109" t="s">
        <v>394</v>
      </c>
      <c r="D606" s="108" t="s">
        <v>229</v>
      </c>
      <c r="E606" s="108" t="s">
        <v>11</v>
      </c>
      <c r="F606" s="108" t="s">
        <v>418</v>
      </c>
      <c r="G606" s="108" t="s">
        <v>9</v>
      </c>
      <c r="H606" s="126">
        <v>33882149.719999999</v>
      </c>
      <c r="I606" s="108">
        <v>110600000</v>
      </c>
      <c r="J606" s="108" t="str">
        <f t="shared" si="33"/>
        <v>0110600000</v>
      </c>
      <c r="K606" s="304" t="str">
        <f t="shared" si="32"/>
        <v>60607010110600000000</v>
      </c>
      <c r="L606" s="17" t="str">
        <f>INDEX('реш СГД № 265'!$A:$N,MATCH('БА расх 2018 31 12 2018'!$K606,'реш СГД № 265'!$N:$N,0),3)</f>
        <v>Основное мероприятие «Модернизация образовательных организаций, совершенствование материально-технической базы, проведение ремонтных работ, создание условий для повышения качества образовательного процесса»</v>
      </c>
      <c r="M606" s="16">
        <f t="shared" si="34"/>
        <v>1</v>
      </c>
    </row>
    <row r="607" spans="1:13" s="17" customFormat="1" ht="31.5">
      <c r="A607" s="14"/>
      <c r="B607" s="132" t="s">
        <v>136</v>
      </c>
      <c r="C607" s="109" t="s">
        <v>394</v>
      </c>
      <c r="D607" s="108" t="s">
        <v>229</v>
      </c>
      <c r="E607" s="108" t="s">
        <v>11</v>
      </c>
      <c r="F607" s="108" t="s">
        <v>419</v>
      </c>
      <c r="G607" s="108" t="s">
        <v>9</v>
      </c>
      <c r="H607" s="126">
        <v>33882149.719999999</v>
      </c>
      <c r="I607" s="108">
        <v>110611010</v>
      </c>
      <c r="J607" s="108" t="str">
        <f t="shared" si="33"/>
        <v>0110611010</v>
      </c>
      <c r="K607" s="304" t="str">
        <f t="shared" si="32"/>
        <v>60607010110611010000</v>
      </c>
      <c r="L607" s="17" t="str">
        <f>INDEX('реш СГД № 265'!$A:$N,MATCH('БА расх 2018 31 12 2018'!$K607,'реш СГД № 265'!$N:$N,0),3)</f>
        <v>Расходы на обеспечение деятельности (оказание услуг) муниципальных учреждений</v>
      </c>
      <c r="M607" s="16">
        <f t="shared" si="34"/>
        <v>1</v>
      </c>
    </row>
    <row r="608" spans="1:13" s="17" customFormat="1" ht="15.75">
      <c r="A608" s="14"/>
      <c r="B608" s="132" t="s">
        <v>403</v>
      </c>
      <c r="C608" s="109" t="s">
        <v>394</v>
      </c>
      <c r="D608" s="108" t="s">
        <v>229</v>
      </c>
      <c r="E608" s="108" t="s">
        <v>11</v>
      </c>
      <c r="F608" s="108" t="s">
        <v>419</v>
      </c>
      <c r="G608" s="108" t="s">
        <v>404</v>
      </c>
      <c r="H608" s="126">
        <v>33782149.719999999</v>
      </c>
      <c r="I608" s="108">
        <v>110611010</v>
      </c>
      <c r="J608" s="108" t="str">
        <f t="shared" si="33"/>
        <v>0110611010</v>
      </c>
      <c r="K608" s="304" t="str">
        <f t="shared" si="32"/>
        <v>60607010110611010610</v>
      </c>
      <c r="L608" s="17" t="str">
        <f>INDEX('реш СГД № 265'!$A:$N,MATCH('БА расх 2018 31 12 2018'!$K608,'реш СГД № 265'!$N:$N,0),3)</f>
        <v>Субсидии бюджетным учреждениям</v>
      </c>
      <c r="M608" s="16">
        <f t="shared" si="34"/>
        <v>1</v>
      </c>
    </row>
    <row r="609" spans="1:13" s="24" customFormat="1" ht="15.75">
      <c r="A609" s="21"/>
      <c r="B609" s="127" t="s">
        <v>407</v>
      </c>
      <c r="C609" s="109" t="s">
        <v>394</v>
      </c>
      <c r="D609" s="108" t="s">
        <v>229</v>
      </c>
      <c r="E609" s="108" t="s">
        <v>11</v>
      </c>
      <c r="F609" s="108" t="s">
        <v>419</v>
      </c>
      <c r="G609" s="108" t="s">
        <v>408</v>
      </c>
      <c r="H609" s="126">
        <v>33782149.719999999</v>
      </c>
      <c r="I609" s="108">
        <v>110611010</v>
      </c>
      <c r="J609" s="108" t="str">
        <f t="shared" si="33"/>
        <v>0110611010</v>
      </c>
      <c r="K609" s="304" t="str">
        <f t="shared" si="32"/>
        <v>60607010110611010612</v>
      </c>
      <c r="L609" s="17"/>
      <c r="M609" s="16"/>
    </row>
    <row r="610" spans="1:13" s="24" customFormat="1" ht="15.75">
      <c r="A610" s="21"/>
      <c r="B610" s="132" t="s">
        <v>409</v>
      </c>
      <c r="C610" s="109" t="s">
        <v>394</v>
      </c>
      <c r="D610" s="108" t="s">
        <v>229</v>
      </c>
      <c r="E610" s="108" t="s">
        <v>11</v>
      </c>
      <c r="F610" s="108" t="s">
        <v>419</v>
      </c>
      <c r="G610" s="108" t="s">
        <v>410</v>
      </c>
      <c r="H610" s="126">
        <v>100000</v>
      </c>
      <c r="I610" s="108">
        <v>110611010</v>
      </c>
      <c r="J610" s="108" t="str">
        <f t="shared" si="33"/>
        <v>0110611010</v>
      </c>
      <c r="K610" s="304" t="str">
        <f t="shared" si="32"/>
        <v>60607010110611010620</v>
      </c>
      <c r="L610" s="400" t="e">
        <f>INDEX('реш СГД № 265'!$A:$N,MATCH('БА расх 2018 31 12 2018'!$K610,'реш СГД № 265'!$N:$N,0),3)</f>
        <v>#N/A</v>
      </c>
      <c r="M610" s="17" t="e">
        <f t="shared" si="34"/>
        <v>#N/A</v>
      </c>
    </row>
    <row r="611" spans="1:13" s="24" customFormat="1" ht="15.75">
      <c r="A611" s="21"/>
      <c r="B611" s="127" t="s">
        <v>428</v>
      </c>
      <c r="C611" s="109" t="s">
        <v>394</v>
      </c>
      <c r="D611" s="108" t="s">
        <v>229</v>
      </c>
      <c r="E611" s="108" t="s">
        <v>11</v>
      </c>
      <c r="F611" s="108" t="s">
        <v>419</v>
      </c>
      <c r="G611" s="108" t="s">
        <v>429</v>
      </c>
      <c r="H611" s="126">
        <v>100000</v>
      </c>
      <c r="I611" s="108">
        <v>110611010</v>
      </c>
      <c r="J611" s="108" t="str">
        <f t="shared" si="33"/>
        <v>0110611010</v>
      </c>
      <c r="K611" s="304" t="str">
        <f t="shared" si="32"/>
        <v>60607010110611010622</v>
      </c>
      <c r="L611" s="17"/>
      <c r="M611" s="16"/>
    </row>
    <row r="612" spans="1:13" s="17" customFormat="1" ht="47.25">
      <c r="A612" s="14"/>
      <c r="B612" s="132" t="s">
        <v>146</v>
      </c>
      <c r="C612" s="109" t="s">
        <v>394</v>
      </c>
      <c r="D612" s="108" t="s">
        <v>229</v>
      </c>
      <c r="E612" s="108" t="s">
        <v>11</v>
      </c>
      <c r="F612" s="108" t="s">
        <v>147</v>
      </c>
      <c r="G612" s="108" t="s">
        <v>9</v>
      </c>
      <c r="H612" s="126">
        <v>5166917.18</v>
      </c>
      <c r="I612" s="108">
        <v>1500000000</v>
      </c>
      <c r="J612" s="108" t="str">
        <f t="shared" si="33"/>
        <v>1500000000</v>
      </c>
      <c r="K612" s="304" t="str">
        <f t="shared" si="32"/>
        <v>60607011500000000000</v>
      </c>
      <c r="L612" s="17" t="str">
        <f>INDEX('реш СГД № 265'!$A:$N,MATCH('БА расх 2018 31 12 2018'!$K612,'реш СГД № 265'!$N:$N,0),3)</f>
        <v>Муниципальная программа «Обеспечение безопасности, общественного порядка и профилактика правонарушений в городе Ставрополе»</v>
      </c>
      <c r="M612" s="16">
        <f t="shared" si="34"/>
        <v>1</v>
      </c>
    </row>
    <row r="613" spans="1:13" s="17" customFormat="1" ht="47.25">
      <c r="A613" s="14"/>
      <c r="B613" s="125" t="s">
        <v>1065</v>
      </c>
      <c r="C613" s="109" t="s">
        <v>394</v>
      </c>
      <c r="D613" s="108" t="s">
        <v>229</v>
      </c>
      <c r="E613" s="108" t="s">
        <v>11</v>
      </c>
      <c r="F613" s="108" t="s">
        <v>149</v>
      </c>
      <c r="G613" s="108" t="s">
        <v>9</v>
      </c>
      <c r="H613" s="126">
        <v>5166917.18</v>
      </c>
      <c r="I613" s="108">
        <v>1510000000</v>
      </c>
      <c r="J613" s="108" t="str">
        <f t="shared" si="33"/>
        <v>1510000000</v>
      </c>
      <c r="K613" s="304" t="str">
        <f t="shared" ref="K613:K676" si="36">C613&amp;D613&amp;E613&amp;J613&amp;G613</f>
        <v>60607011510000000000</v>
      </c>
      <c r="L613" s="17" t="str">
        <f>INDEX('реш СГД № 265'!$A:$N,MATCH('БА расх 2018 31 12 2018'!$K613,'реш СГД № 265'!$N:$N,0),3)</f>
        <v>Подпрограмма «Профилактика терроризма, экстремизма, межнациональных (межэтнических) конфликтов в городе Ставрополе»</v>
      </c>
      <c r="M613" s="16">
        <f t="shared" si="34"/>
        <v>1</v>
      </c>
    </row>
    <row r="614" spans="1:13" s="17" customFormat="1" ht="63">
      <c r="A614" s="14"/>
      <c r="B614" s="132" t="s">
        <v>1068</v>
      </c>
      <c r="C614" s="109" t="s">
        <v>394</v>
      </c>
      <c r="D614" s="108" t="s">
        <v>229</v>
      </c>
      <c r="E614" s="108" t="s">
        <v>11</v>
      </c>
      <c r="F614" s="108" t="s">
        <v>1069</v>
      </c>
      <c r="G614" s="108" t="s">
        <v>9</v>
      </c>
      <c r="H614" s="126">
        <v>5166917.18</v>
      </c>
      <c r="I614" s="108">
        <v>1510400000</v>
      </c>
      <c r="J614" s="108" t="str">
        <f t="shared" ref="J614:J677" si="37">TEXT(I614,"0000000000")</f>
        <v>1510400000</v>
      </c>
      <c r="K614" s="304" t="str">
        <f t="shared" si="36"/>
        <v>60607011510400000000</v>
      </c>
      <c r="L614" s="17" t="str">
        <f>INDEX('реш СГД № 265'!$A:$N,MATCH('БА расх 2018 31 12 2018'!$K614,'реш СГД № 265'!$N:$N,0),3)</f>
        <v>Основное мероприятие «Повышение уровня антитеррористической защищенности мест массового пребывания людей на территории города Ставрополя и муниципальных учреждений города Ставрополя»</v>
      </c>
      <c r="M614" s="16">
        <f t="shared" ref="M614:M677" si="38">IF(B614=L614,1,0)</f>
        <v>1</v>
      </c>
    </row>
    <row r="615" spans="1:13" s="17" customFormat="1" ht="47.25">
      <c r="A615" s="14"/>
      <c r="B615" s="132" t="s">
        <v>152</v>
      </c>
      <c r="C615" s="109" t="s">
        <v>394</v>
      </c>
      <c r="D615" s="108" t="s">
        <v>229</v>
      </c>
      <c r="E615" s="108" t="s">
        <v>11</v>
      </c>
      <c r="F615" s="108" t="s">
        <v>1070</v>
      </c>
      <c r="G615" s="108" t="s">
        <v>9</v>
      </c>
      <c r="H615" s="126">
        <v>5166917.18</v>
      </c>
      <c r="I615" s="108">
        <v>1510420350</v>
      </c>
      <c r="J615" s="108" t="str">
        <f t="shared" si="37"/>
        <v>1510420350</v>
      </c>
      <c r="K615" s="304" t="str">
        <f t="shared" si="36"/>
        <v>60607011510420350000</v>
      </c>
      <c r="L615" s="17" t="str">
        <f>INDEX('реш СГД № 265'!$A:$N,MATCH('БА расх 2018 31 12 2018'!$K615,'реш СГД № 265'!$N:$N,0),3)</f>
        <v>Расходы на реализацию мероприятий, направленных на повышение уровня безопасности жизнедеятельности города Ставрополя</v>
      </c>
      <c r="M615" s="16">
        <f t="shared" si="38"/>
        <v>1</v>
      </c>
    </row>
    <row r="616" spans="1:13" s="17" customFormat="1" ht="15.75">
      <c r="A616" s="14"/>
      <c r="B616" s="132" t="s">
        <v>403</v>
      </c>
      <c r="C616" s="109" t="s">
        <v>394</v>
      </c>
      <c r="D616" s="108" t="s">
        <v>229</v>
      </c>
      <c r="E616" s="108" t="s">
        <v>11</v>
      </c>
      <c r="F616" s="108" t="s">
        <v>1070</v>
      </c>
      <c r="G616" s="108" t="s">
        <v>404</v>
      </c>
      <c r="H616" s="126">
        <v>5166917.18</v>
      </c>
      <c r="I616" s="108">
        <v>1510420350</v>
      </c>
      <c r="J616" s="108" t="str">
        <f t="shared" si="37"/>
        <v>1510420350</v>
      </c>
      <c r="K616" s="304" t="str">
        <f t="shared" si="36"/>
        <v>60607011510420350610</v>
      </c>
      <c r="L616" s="17" t="str">
        <f>INDEX('реш СГД № 265'!$A:$N,MATCH('БА расх 2018 31 12 2018'!$K616,'реш СГД № 265'!$N:$N,0),3)</f>
        <v>Субсидии бюджетным учреждениям</v>
      </c>
      <c r="M616" s="16">
        <f t="shared" si="38"/>
        <v>1</v>
      </c>
    </row>
    <row r="617" spans="1:13" s="24" customFormat="1" ht="15.75">
      <c r="A617" s="21"/>
      <c r="B617" s="127" t="s">
        <v>407</v>
      </c>
      <c r="C617" s="109" t="s">
        <v>394</v>
      </c>
      <c r="D617" s="108" t="s">
        <v>229</v>
      </c>
      <c r="E617" s="108" t="s">
        <v>11</v>
      </c>
      <c r="F617" s="108" t="s">
        <v>1070</v>
      </c>
      <c r="G617" s="108" t="s">
        <v>408</v>
      </c>
      <c r="H617" s="126">
        <v>5166917.18</v>
      </c>
      <c r="I617" s="108">
        <v>1510420350</v>
      </c>
      <c r="J617" s="108" t="str">
        <f t="shared" si="37"/>
        <v>1510420350</v>
      </c>
      <c r="K617" s="304" t="str">
        <f t="shared" si="36"/>
        <v>60607011510420350612</v>
      </c>
      <c r="L617" s="17"/>
      <c r="M617" s="16"/>
    </row>
    <row r="618" spans="1:13" s="17" customFormat="1" ht="78.75">
      <c r="A618" s="14"/>
      <c r="B618" s="125" t="s">
        <v>420</v>
      </c>
      <c r="C618" s="109" t="s">
        <v>394</v>
      </c>
      <c r="D618" s="108" t="s">
        <v>229</v>
      </c>
      <c r="E618" s="108" t="s">
        <v>11</v>
      </c>
      <c r="F618" s="108" t="s">
        <v>421</v>
      </c>
      <c r="G618" s="108" t="s">
        <v>9</v>
      </c>
      <c r="H618" s="126">
        <v>4103438.64</v>
      </c>
      <c r="I618" s="108">
        <v>1600000000</v>
      </c>
      <c r="J618" s="108" t="str">
        <f t="shared" si="37"/>
        <v>1600000000</v>
      </c>
      <c r="K618" s="304" t="str">
        <f t="shared" si="36"/>
        <v>60607011600000000000</v>
      </c>
      <c r="L618" s="17" t="str">
        <f>INDEX('реш СГД № 265'!$A:$N,MATCH('БА расх 2018 31 12 2018'!$K618,'реш СГД № 265'!$N:$N,0),3)</f>
        <v>Муниципальная программа «Обеспечение гражданской обороны, пожарной безопасности, безопасности людей на водных объектах, организация деятельности аварийно-спасательных служб, защита населения и территории города Ставрополя от чрезвычайных ситуаций»</v>
      </c>
      <c r="M618" s="16">
        <f t="shared" si="38"/>
        <v>1</v>
      </c>
    </row>
    <row r="619" spans="1:13" s="17" customFormat="1" ht="31.5">
      <c r="A619" s="14"/>
      <c r="B619" s="125" t="s">
        <v>422</v>
      </c>
      <c r="C619" s="109" t="s">
        <v>394</v>
      </c>
      <c r="D619" s="108" t="s">
        <v>229</v>
      </c>
      <c r="E619" s="108" t="s">
        <v>11</v>
      </c>
      <c r="F619" s="108" t="s">
        <v>423</v>
      </c>
      <c r="G619" s="108" t="s">
        <v>9</v>
      </c>
      <c r="H619" s="126">
        <v>4103438.64</v>
      </c>
      <c r="I619" s="108">
        <v>1620000000</v>
      </c>
      <c r="J619" s="108" t="str">
        <f t="shared" si="37"/>
        <v>1620000000</v>
      </c>
      <c r="K619" s="304" t="str">
        <f t="shared" si="36"/>
        <v>60607011620000000000</v>
      </c>
      <c r="L619" s="17" t="str">
        <f>INDEX('реш СГД № 265'!$A:$N,MATCH('БА расх 2018 31 12 2018'!$K619,'реш СГД № 265'!$N:$N,0),3)</f>
        <v>Подпрограмма «Обеспечение пожарной безопасности в границах города Ставрополя»</v>
      </c>
      <c r="M619" s="16">
        <f t="shared" si="38"/>
        <v>1</v>
      </c>
    </row>
    <row r="620" spans="1:13" s="17" customFormat="1" ht="47.25">
      <c r="A620" s="14"/>
      <c r="B620" s="125" t="s">
        <v>424</v>
      </c>
      <c r="C620" s="109" t="s">
        <v>394</v>
      </c>
      <c r="D620" s="108" t="s">
        <v>229</v>
      </c>
      <c r="E620" s="108" t="s">
        <v>11</v>
      </c>
      <c r="F620" s="108" t="s">
        <v>425</v>
      </c>
      <c r="G620" s="108" t="s">
        <v>9</v>
      </c>
      <c r="H620" s="126">
        <v>4103438.64</v>
      </c>
      <c r="I620" s="108">
        <v>1620200000</v>
      </c>
      <c r="J620" s="108" t="str">
        <f t="shared" si="37"/>
        <v>1620200000</v>
      </c>
      <c r="K620" s="304" t="str">
        <f t="shared" si="36"/>
        <v>60607011620200000000</v>
      </c>
      <c r="L620" s="17" t="str">
        <f>INDEX('реш СГД № 265'!$A:$N,MATCH('БА расх 2018 31 12 2018'!$K620,'реш СГД № 265'!$N:$N,0),3)</f>
        <v>Основное мероприятие «Выполнение противопожарных мероприятий в муниципальных учреждениях города Ставрополя»</v>
      </c>
      <c r="M620" s="16">
        <f t="shared" si="38"/>
        <v>1</v>
      </c>
    </row>
    <row r="621" spans="1:13" s="17" customFormat="1" ht="47.25">
      <c r="A621" s="14"/>
      <c r="B621" s="125" t="s">
        <v>426</v>
      </c>
      <c r="C621" s="109" t="s">
        <v>394</v>
      </c>
      <c r="D621" s="108" t="s">
        <v>229</v>
      </c>
      <c r="E621" s="108" t="s">
        <v>11</v>
      </c>
      <c r="F621" s="108" t="s">
        <v>427</v>
      </c>
      <c r="G621" s="108" t="s">
        <v>9</v>
      </c>
      <c r="H621" s="126">
        <v>4103438.64</v>
      </c>
      <c r="I621" s="108">
        <v>1620220550</v>
      </c>
      <c r="J621" s="108" t="str">
        <f t="shared" si="37"/>
        <v>1620220550</v>
      </c>
      <c r="K621" s="304" t="str">
        <f t="shared" si="36"/>
        <v>60607011620220550000</v>
      </c>
      <c r="L621" s="17" t="str">
        <f>INDEX('реш СГД № 265'!$A:$N,MATCH('БА расх 2018 31 12 2018'!$K621,'реш СГД № 265'!$N:$N,0),3)</f>
        <v>Обеспечение пожарной безопасности в муниципальных учреждениях образования, культуры, физической культуры и спорта города Ставрополя</v>
      </c>
      <c r="M621" s="16">
        <f t="shared" si="38"/>
        <v>1</v>
      </c>
    </row>
    <row r="622" spans="1:13" s="17" customFormat="1" ht="15.75">
      <c r="A622" s="14"/>
      <c r="B622" s="132" t="s">
        <v>403</v>
      </c>
      <c r="C622" s="109" t="s">
        <v>394</v>
      </c>
      <c r="D622" s="108" t="s">
        <v>229</v>
      </c>
      <c r="E622" s="108" t="s">
        <v>11</v>
      </c>
      <c r="F622" s="108" t="s">
        <v>427</v>
      </c>
      <c r="G622" s="108" t="s">
        <v>404</v>
      </c>
      <c r="H622" s="126">
        <v>3969663.64</v>
      </c>
      <c r="I622" s="108">
        <v>1620220550</v>
      </c>
      <c r="J622" s="108" t="str">
        <f t="shared" si="37"/>
        <v>1620220550</v>
      </c>
      <c r="K622" s="304" t="str">
        <f t="shared" si="36"/>
        <v>60607011620220550610</v>
      </c>
      <c r="L622" s="17" t="str">
        <f>INDEX('реш СГД № 265'!$A:$N,MATCH('БА расх 2018 31 12 2018'!$K622,'реш СГД № 265'!$N:$N,0),3)</f>
        <v>Субсидии бюджетным учреждениям</v>
      </c>
      <c r="M622" s="16">
        <f t="shared" si="38"/>
        <v>1</v>
      </c>
    </row>
    <row r="623" spans="1:13" s="24" customFormat="1" ht="15.75">
      <c r="A623" s="21"/>
      <c r="B623" s="127" t="s">
        <v>407</v>
      </c>
      <c r="C623" s="109" t="s">
        <v>394</v>
      </c>
      <c r="D623" s="108" t="s">
        <v>229</v>
      </c>
      <c r="E623" s="108" t="s">
        <v>11</v>
      </c>
      <c r="F623" s="108" t="s">
        <v>427</v>
      </c>
      <c r="G623" s="108" t="s">
        <v>408</v>
      </c>
      <c r="H623" s="126">
        <v>3969663.64</v>
      </c>
      <c r="I623" s="108">
        <v>1620220550</v>
      </c>
      <c r="J623" s="108" t="str">
        <f t="shared" si="37"/>
        <v>1620220550</v>
      </c>
      <c r="K623" s="304" t="str">
        <f t="shared" si="36"/>
        <v>60607011620220550612</v>
      </c>
      <c r="L623" s="17"/>
      <c r="M623" s="16"/>
    </row>
    <row r="624" spans="1:13" s="17" customFormat="1" ht="15.75">
      <c r="A624" s="14"/>
      <c r="B624" s="132" t="s">
        <v>409</v>
      </c>
      <c r="C624" s="109" t="s">
        <v>394</v>
      </c>
      <c r="D624" s="108" t="s">
        <v>229</v>
      </c>
      <c r="E624" s="108" t="s">
        <v>11</v>
      </c>
      <c r="F624" s="108" t="s">
        <v>427</v>
      </c>
      <c r="G624" s="108" t="s">
        <v>410</v>
      </c>
      <c r="H624" s="126">
        <v>133775</v>
      </c>
      <c r="I624" s="108">
        <v>1620220550</v>
      </c>
      <c r="J624" s="108" t="str">
        <f t="shared" si="37"/>
        <v>1620220550</v>
      </c>
      <c r="K624" s="304" t="str">
        <f t="shared" si="36"/>
        <v>60607011620220550620</v>
      </c>
      <c r="L624" s="17" t="str">
        <f>INDEX('реш СГД № 265'!$A:$N,MATCH('БА расх 2018 31 12 2018'!$K624,'реш СГД № 265'!$N:$N,0),3)</f>
        <v>Субсидии автономным учреждениям</v>
      </c>
      <c r="M624" s="16">
        <f t="shared" si="38"/>
        <v>1</v>
      </c>
    </row>
    <row r="625" spans="1:13" s="24" customFormat="1" ht="15.75">
      <c r="A625" s="21"/>
      <c r="B625" s="127" t="s">
        <v>428</v>
      </c>
      <c r="C625" s="109" t="s">
        <v>394</v>
      </c>
      <c r="D625" s="108" t="s">
        <v>229</v>
      </c>
      <c r="E625" s="108" t="s">
        <v>11</v>
      </c>
      <c r="F625" s="108" t="s">
        <v>427</v>
      </c>
      <c r="G625" s="108" t="s">
        <v>429</v>
      </c>
      <c r="H625" s="126">
        <v>133775</v>
      </c>
      <c r="I625" s="108">
        <v>1620220550</v>
      </c>
      <c r="J625" s="108" t="str">
        <f t="shared" si="37"/>
        <v>1620220550</v>
      </c>
      <c r="K625" s="304" t="str">
        <f t="shared" si="36"/>
        <v>60607011620220550622</v>
      </c>
      <c r="L625" s="17"/>
      <c r="M625" s="16"/>
    </row>
    <row r="626" spans="1:13" s="17" customFormat="1" ht="47.25">
      <c r="A626" s="14"/>
      <c r="B626" s="125" t="s">
        <v>430</v>
      </c>
      <c r="C626" s="109" t="s">
        <v>394</v>
      </c>
      <c r="D626" s="108" t="s">
        <v>229</v>
      </c>
      <c r="E626" s="108" t="s">
        <v>11</v>
      </c>
      <c r="F626" s="108" t="s">
        <v>431</v>
      </c>
      <c r="G626" s="108" t="s">
        <v>9</v>
      </c>
      <c r="H626" s="126">
        <v>422809.53</v>
      </c>
      <c r="I626" s="108">
        <v>1700000000</v>
      </c>
      <c r="J626" s="108" t="str">
        <f t="shared" si="37"/>
        <v>1700000000</v>
      </c>
      <c r="K626" s="304" t="str">
        <f t="shared" si="36"/>
        <v>60607011700000000000</v>
      </c>
      <c r="L626" s="17" t="str">
        <f>INDEX('реш СГД № 265'!$A:$N,MATCH('БА расх 2018 31 12 2018'!$K626,'реш СГД № 265'!$N:$N,0),3)</f>
        <v>Муниципальная программа «Энергосбережение и повышение энергетической эффективности в городе Ставрополе»</v>
      </c>
      <c r="M626" s="16">
        <f t="shared" si="38"/>
        <v>1</v>
      </c>
    </row>
    <row r="627" spans="1:13" s="17" customFormat="1" ht="47.25">
      <c r="A627" s="14"/>
      <c r="B627" s="129" t="s">
        <v>432</v>
      </c>
      <c r="C627" s="109" t="s">
        <v>394</v>
      </c>
      <c r="D627" s="108" t="s">
        <v>229</v>
      </c>
      <c r="E627" s="108" t="s">
        <v>11</v>
      </c>
      <c r="F627" s="108" t="s">
        <v>433</v>
      </c>
      <c r="G627" s="108" t="s">
        <v>9</v>
      </c>
      <c r="H627" s="126">
        <v>422809.53</v>
      </c>
      <c r="I627" s="108" t="s">
        <v>1198</v>
      </c>
      <c r="J627" s="108" t="str">
        <f t="shared" si="37"/>
        <v>17Б0000000</v>
      </c>
      <c r="K627" s="304" t="str">
        <f t="shared" si="36"/>
        <v>606070117Б0000000000</v>
      </c>
      <c r="L627" s="17" t="str">
        <f>INDEX('реш СГД № 265'!$A:$N,MATCH('БА расх 2018 31 12 2018'!$K627,'реш СГД № 265'!$N:$N,0),3)</f>
        <v>Расходы в рамках реализации муниципальной программы «Энергосбережение и повышение энергетической эффективности в городе Ставрополе»</v>
      </c>
      <c r="M627" s="16">
        <f t="shared" si="38"/>
        <v>1</v>
      </c>
    </row>
    <row r="628" spans="1:13" s="17" customFormat="1" ht="31.5">
      <c r="A628" s="14"/>
      <c r="B628" s="125" t="s">
        <v>434</v>
      </c>
      <c r="C628" s="109" t="s">
        <v>394</v>
      </c>
      <c r="D628" s="108" t="s">
        <v>229</v>
      </c>
      <c r="E628" s="108" t="s">
        <v>11</v>
      </c>
      <c r="F628" s="108" t="s">
        <v>435</v>
      </c>
      <c r="G628" s="108" t="s">
        <v>9</v>
      </c>
      <c r="H628" s="126">
        <v>422809.53</v>
      </c>
      <c r="I628" s="108" t="s">
        <v>1199</v>
      </c>
      <c r="J628" s="108" t="str">
        <f t="shared" si="37"/>
        <v>17Б0100000</v>
      </c>
      <c r="K628" s="304" t="str">
        <f t="shared" si="36"/>
        <v>606070117Б0100000000</v>
      </c>
      <c r="L628" s="17" t="str">
        <f>INDEX('реш СГД № 265'!$A:$N,MATCH('БА расх 2018 31 12 2018'!$K628,'реш СГД № 265'!$N:$N,0),3)</f>
        <v>Основное мероприятие «Энергосбережение и энергоэффективность в бюджетном секторе»</v>
      </c>
      <c r="M628" s="16">
        <f t="shared" si="38"/>
        <v>1</v>
      </c>
    </row>
    <row r="629" spans="1:13" s="17" customFormat="1" ht="31.5">
      <c r="A629" s="14"/>
      <c r="B629" s="132" t="s">
        <v>436</v>
      </c>
      <c r="C629" s="109" t="s">
        <v>394</v>
      </c>
      <c r="D629" s="108" t="s">
        <v>229</v>
      </c>
      <c r="E629" s="108" t="s">
        <v>11</v>
      </c>
      <c r="F629" s="108" t="s">
        <v>437</v>
      </c>
      <c r="G629" s="108" t="s">
        <v>9</v>
      </c>
      <c r="H629" s="126">
        <v>422809.53</v>
      </c>
      <c r="I629" s="108" t="s">
        <v>1200</v>
      </c>
      <c r="J629" s="108" t="str">
        <f t="shared" si="37"/>
        <v>17Б0120490</v>
      </c>
      <c r="K629" s="304" t="str">
        <f t="shared" si="36"/>
        <v>606070117Б0120490000</v>
      </c>
      <c r="L629" s="17" t="str">
        <f>INDEX('реш СГД № 265'!$A:$N,MATCH('БА расх 2018 31 12 2018'!$K629,'реш СГД № 265'!$N:$N,0),3)</f>
        <v>Расходы на проведение мероприятий по энергосбережению и повышению энергетической эффективности</v>
      </c>
      <c r="M629" s="16">
        <f t="shared" si="38"/>
        <v>1</v>
      </c>
    </row>
    <row r="630" spans="1:13" s="17" customFormat="1" ht="15.75">
      <c r="A630" s="14"/>
      <c r="B630" s="132" t="s">
        <v>403</v>
      </c>
      <c r="C630" s="109" t="s">
        <v>394</v>
      </c>
      <c r="D630" s="108" t="s">
        <v>229</v>
      </c>
      <c r="E630" s="108" t="s">
        <v>11</v>
      </c>
      <c r="F630" s="108" t="s">
        <v>437</v>
      </c>
      <c r="G630" s="108" t="s">
        <v>404</v>
      </c>
      <c r="H630" s="126">
        <v>422809.53</v>
      </c>
      <c r="I630" s="108" t="s">
        <v>1200</v>
      </c>
      <c r="J630" s="108" t="str">
        <f t="shared" si="37"/>
        <v>17Б0120490</v>
      </c>
      <c r="K630" s="304" t="str">
        <f t="shared" si="36"/>
        <v>606070117Б0120490610</v>
      </c>
      <c r="L630" s="17" t="str">
        <f>INDEX('реш СГД № 265'!$A:$N,MATCH('БА расх 2018 31 12 2018'!$K630,'реш СГД № 265'!$N:$N,0),3)</f>
        <v>Субсидии бюджетным учреждениям</v>
      </c>
      <c r="M630" s="16">
        <f t="shared" si="38"/>
        <v>1</v>
      </c>
    </row>
    <row r="631" spans="1:13" s="24" customFormat="1" ht="15.75">
      <c r="A631" s="21"/>
      <c r="B631" s="127" t="s">
        <v>407</v>
      </c>
      <c r="C631" s="109" t="s">
        <v>394</v>
      </c>
      <c r="D631" s="108" t="s">
        <v>229</v>
      </c>
      <c r="E631" s="108" t="s">
        <v>11</v>
      </c>
      <c r="F631" s="108" t="s">
        <v>437</v>
      </c>
      <c r="G631" s="108" t="s">
        <v>408</v>
      </c>
      <c r="H631" s="126">
        <v>422809.53</v>
      </c>
      <c r="I631" s="108" t="s">
        <v>1200</v>
      </c>
      <c r="J631" s="108" t="str">
        <f t="shared" si="37"/>
        <v>17Б0120490</v>
      </c>
      <c r="K631" s="304" t="str">
        <f t="shared" si="36"/>
        <v>606070117Б0120490612</v>
      </c>
      <c r="L631" s="17"/>
      <c r="M631" s="16"/>
    </row>
    <row r="632" spans="1:13" s="17" customFormat="1" ht="15.75">
      <c r="A632" s="14"/>
      <c r="B632" s="121" t="s">
        <v>438</v>
      </c>
      <c r="C632" s="122" t="s">
        <v>394</v>
      </c>
      <c r="D632" s="123" t="s">
        <v>229</v>
      </c>
      <c r="E632" s="123" t="s">
        <v>62</v>
      </c>
      <c r="F632" s="123" t="s">
        <v>8</v>
      </c>
      <c r="G632" s="123" t="s">
        <v>9</v>
      </c>
      <c r="H632" s="124">
        <v>1925409472.3400002</v>
      </c>
      <c r="I632" s="123">
        <v>0</v>
      </c>
      <c r="J632" s="123" t="str">
        <f t="shared" si="37"/>
        <v>0000000000</v>
      </c>
      <c r="K632" s="304" t="str">
        <f t="shared" si="36"/>
        <v>60607020000000000000</v>
      </c>
      <c r="L632" s="17" t="str">
        <f>INDEX('реш СГД № 265'!$A:$N,MATCH('БА расх 2018 31 12 2018'!$K632,'реш СГД № 265'!$N:$N,0),3)</f>
        <v>Общее образование</v>
      </c>
      <c r="M632" s="16">
        <f t="shared" si="38"/>
        <v>1</v>
      </c>
    </row>
    <row r="633" spans="1:13" s="17" customFormat="1" ht="31.5">
      <c r="A633" s="14"/>
      <c r="B633" s="132" t="s">
        <v>396</v>
      </c>
      <c r="C633" s="109" t="s">
        <v>394</v>
      </c>
      <c r="D633" s="108" t="s">
        <v>229</v>
      </c>
      <c r="E633" s="108" t="s">
        <v>62</v>
      </c>
      <c r="F633" s="108" t="s">
        <v>397</v>
      </c>
      <c r="G633" s="108" t="s">
        <v>9</v>
      </c>
      <c r="H633" s="126">
        <v>1891679644.5600002</v>
      </c>
      <c r="I633" s="108">
        <v>100000000</v>
      </c>
      <c r="J633" s="108" t="str">
        <f t="shared" si="37"/>
        <v>0100000000</v>
      </c>
      <c r="K633" s="304" t="str">
        <f t="shared" si="36"/>
        <v>60607020100000000000</v>
      </c>
      <c r="L633" s="17" t="str">
        <f>INDEX('реш СГД № 265'!$A:$N,MATCH('БА расх 2018 31 12 2018'!$K633,'реш СГД № 265'!$N:$N,0),3)</f>
        <v>Муниципальная программа «Развитие образования в городе Ставрополе»</v>
      </c>
      <c r="M633" s="16">
        <f t="shared" si="38"/>
        <v>1</v>
      </c>
    </row>
    <row r="634" spans="1:13" s="17" customFormat="1" ht="31.5">
      <c r="A634" s="14"/>
      <c r="B634" s="132" t="s">
        <v>398</v>
      </c>
      <c r="C634" s="109" t="s">
        <v>394</v>
      </c>
      <c r="D634" s="108" t="s">
        <v>229</v>
      </c>
      <c r="E634" s="108" t="s">
        <v>62</v>
      </c>
      <c r="F634" s="108" t="s">
        <v>399</v>
      </c>
      <c r="G634" s="108" t="s">
        <v>9</v>
      </c>
      <c r="H634" s="126">
        <v>1891679644.5600002</v>
      </c>
      <c r="I634" s="108">
        <v>110000000</v>
      </c>
      <c r="J634" s="108" t="str">
        <f t="shared" si="37"/>
        <v>0110000000</v>
      </c>
      <c r="K634" s="304" t="str">
        <f t="shared" si="36"/>
        <v>60607020110000000000</v>
      </c>
      <c r="L634" s="17" t="str">
        <f>INDEX('реш СГД № 265'!$A:$N,MATCH('БА расх 2018 31 12 2018'!$K634,'реш СГД № 265'!$N:$N,0),3)</f>
        <v>Подпрограмма «Организация дошкольного, общего и дополнительного образования»</v>
      </c>
      <c r="M634" s="16">
        <f t="shared" si="38"/>
        <v>1</v>
      </c>
    </row>
    <row r="635" spans="1:13" s="17" customFormat="1" ht="63">
      <c r="A635" s="14"/>
      <c r="B635" s="132" t="s">
        <v>439</v>
      </c>
      <c r="C635" s="109" t="s">
        <v>394</v>
      </c>
      <c r="D635" s="108" t="s">
        <v>229</v>
      </c>
      <c r="E635" s="108" t="s">
        <v>62</v>
      </c>
      <c r="F635" s="108" t="s">
        <v>440</v>
      </c>
      <c r="G635" s="108" t="s">
        <v>9</v>
      </c>
      <c r="H635" s="126">
        <v>1804205280.6100001</v>
      </c>
      <c r="I635" s="108">
        <v>110200000</v>
      </c>
      <c r="J635" s="108" t="str">
        <f t="shared" si="37"/>
        <v>0110200000</v>
      </c>
      <c r="K635" s="304" t="str">
        <f t="shared" si="36"/>
        <v>60607020110200000000</v>
      </c>
      <c r="L635" s="17" t="str">
        <f>INDEX('реш СГД № 265'!$A:$N,MATCH('БА расх 2018 31 12 2018'!$K635,'реш СГД № 265'!$N:$N,0),3)</f>
        <v>Основное мероприятие «Организация предоставления общедоступного и бесплатного общего образования и организация предоставления дополнительного образования детей»</v>
      </c>
      <c r="M635" s="16">
        <f t="shared" si="38"/>
        <v>1</v>
      </c>
    </row>
    <row r="636" spans="1:13" s="17" customFormat="1" ht="31.5">
      <c r="A636" s="14"/>
      <c r="B636" s="132" t="s">
        <v>136</v>
      </c>
      <c r="C636" s="109" t="s">
        <v>394</v>
      </c>
      <c r="D636" s="108" t="s">
        <v>229</v>
      </c>
      <c r="E636" s="108" t="s">
        <v>62</v>
      </c>
      <c r="F636" s="108" t="s">
        <v>441</v>
      </c>
      <c r="G636" s="108" t="s">
        <v>9</v>
      </c>
      <c r="H636" s="126">
        <v>598031296.63</v>
      </c>
      <c r="I636" s="108">
        <v>110211010</v>
      </c>
      <c r="J636" s="108" t="str">
        <f t="shared" si="37"/>
        <v>0110211010</v>
      </c>
      <c r="K636" s="304" t="str">
        <f t="shared" si="36"/>
        <v>60607020110211010000</v>
      </c>
      <c r="L636" s="17" t="str">
        <f>INDEX('реш СГД № 265'!$A:$N,MATCH('БА расх 2018 31 12 2018'!$K636,'реш СГД № 265'!$N:$N,0),3)</f>
        <v>Расходы на обеспечение деятельности (оказание услуг) муниципальных учреждений</v>
      </c>
      <c r="M636" s="16">
        <f t="shared" si="38"/>
        <v>1</v>
      </c>
    </row>
    <row r="637" spans="1:13" s="17" customFormat="1" ht="15.75">
      <c r="A637" s="14"/>
      <c r="B637" s="309" t="s">
        <v>138</v>
      </c>
      <c r="C637" s="109" t="s">
        <v>394</v>
      </c>
      <c r="D637" s="108" t="s">
        <v>229</v>
      </c>
      <c r="E637" s="108" t="s">
        <v>62</v>
      </c>
      <c r="F637" s="108" t="s">
        <v>441</v>
      </c>
      <c r="G637" s="108" t="s">
        <v>139</v>
      </c>
      <c r="H637" s="126">
        <v>395389.22</v>
      </c>
      <c r="I637" s="108">
        <v>110211010</v>
      </c>
      <c r="J637" s="108" t="str">
        <f t="shared" si="37"/>
        <v>0110211010</v>
      </c>
      <c r="K637" s="304" t="str">
        <f t="shared" si="36"/>
        <v>60607020110211010110</v>
      </c>
      <c r="L637" s="17" t="str">
        <f>INDEX('реш СГД № 265'!$A:$N,MATCH('БА расх 2018 31 12 2018'!$K637,'реш СГД № 265'!$N:$N,0),3)</f>
        <v>Расходы на выплаты персоналу казенных учреждений</v>
      </c>
      <c r="M637" s="16">
        <f t="shared" si="38"/>
        <v>1</v>
      </c>
    </row>
    <row r="638" spans="1:13" s="17" customFormat="1" ht="15.75">
      <c r="A638" s="14"/>
      <c r="B638" s="127" t="s">
        <v>140</v>
      </c>
      <c r="C638" s="109" t="s">
        <v>394</v>
      </c>
      <c r="D638" s="108" t="s">
        <v>229</v>
      </c>
      <c r="E638" s="108" t="s">
        <v>62</v>
      </c>
      <c r="F638" s="108" t="s">
        <v>441</v>
      </c>
      <c r="G638" s="108" t="s">
        <v>141</v>
      </c>
      <c r="H638" s="126">
        <v>303678.36</v>
      </c>
      <c r="I638" s="108">
        <v>110211010</v>
      </c>
      <c r="J638" s="108" t="str">
        <f t="shared" si="37"/>
        <v>0110211010</v>
      </c>
      <c r="K638" s="304" t="str">
        <f t="shared" si="36"/>
        <v>60607020110211010111</v>
      </c>
      <c r="M638" s="16"/>
    </row>
    <row r="639" spans="1:13" s="17" customFormat="1" ht="47.25">
      <c r="A639" s="14"/>
      <c r="B639" s="127" t="s">
        <v>487</v>
      </c>
      <c r="C639" s="109" t="s">
        <v>394</v>
      </c>
      <c r="D639" s="108" t="s">
        <v>229</v>
      </c>
      <c r="E639" s="108" t="s">
        <v>62</v>
      </c>
      <c r="F639" s="108" t="s">
        <v>441</v>
      </c>
      <c r="G639" s="108" t="s">
        <v>145</v>
      </c>
      <c r="H639" s="126">
        <v>91710.86</v>
      </c>
      <c r="I639" s="108">
        <v>110211010</v>
      </c>
      <c r="J639" s="108" t="str">
        <f t="shared" si="37"/>
        <v>0110211010</v>
      </c>
      <c r="K639" s="304" t="str">
        <f t="shared" si="36"/>
        <v>60607020110211010119</v>
      </c>
      <c r="M639" s="16"/>
    </row>
    <row r="640" spans="1:13" s="17" customFormat="1" ht="15.75">
      <c r="A640" s="14"/>
      <c r="B640" s="132" t="s">
        <v>403</v>
      </c>
      <c r="C640" s="109" t="s">
        <v>394</v>
      </c>
      <c r="D640" s="108" t="s">
        <v>229</v>
      </c>
      <c r="E640" s="108" t="s">
        <v>62</v>
      </c>
      <c r="F640" s="108" t="s">
        <v>441</v>
      </c>
      <c r="G640" s="108" t="s">
        <v>404</v>
      </c>
      <c r="H640" s="126">
        <v>551031608.92999995</v>
      </c>
      <c r="I640" s="108">
        <v>110211010</v>
      </c>
      <c r="J640" s="108" t="str">
        <f t="shared" si="37"/>
        <v>0110211010</v>
      </c>
      <c r="K640" s="304" t="str">
        <f t="shared" si="36"/>
        <v>60607020110211010610</v>
      </c>
      <c r="L640" s="17" t="str">
        <f>INDEX('реш СГД № 265'!$A:$N,MATCH('БА расх 2018 31 12 2018'!$K640,'реш СГД № 265'!$N:$N,0),3)</f>
        <v>Субсидии бюджетным учреждениям</v>
      </c>
      <c r="M640" s="16">
        <f t="shared" si="38"/>
        <v>1</v>
      </c>
    </row>
    <row r="641" spans="1:13" s="24" customFormat="1" ht="63">
      <c r="A641" s="21"/>
      <c r="B641" s="127" t="s">
        <v>405</v>
      </c>
      <c r="C641" s="109" t="s">
        <v>394</v>
      </c>
      <c r="D641" s="108" t="s">
        <v>229</v>
      </c>
      <c r="E641" s="108" t="s">
        <v>62</v>
      </c>
      <c r="F641" s="108" t="s">
        <v>441</v>
      </c>
      <c r="G641" s="108" t="s">
        <v>406</v>
      </c>
      <c r="H641" s="126">
        <v>545546009.55999994</v>
      </c>
      <c r="I641" s="108">
        <v>110211010</v>
      </c>
      <c r="J641" s="108" t="str">
        <f t="shared" si="37"/>
        <v>0110211010</v>
      </c>
      <c r="K641" s="304" t="str">
        <f t="shared" si="36"/>
        <v>60607020110211010611</v>
      </c>
      <c r="L641" s="17"/>
      <c r="M641" s="16"/>
    </row>
    <row r="642" spans="1:13" s="24" customFormat="1" ht="15.75">
      <c r="A642" s="21"/>
      <c r="B642" s="127" t="s">
        <v>407</v>
      </c>
      <c r="C642" s="109" t="s">
        <v>394</v>
      </c>
      <c r="D642" s="108" t="s">
        <v>229</v>
      </c>
      <c r="E642" s="108" t="s">
        <v>62</v>
      </c>
      <c r="F642" s="108" t="s">
        <v>441</v>
      </c>
      <c r="G642" s="108" t="s">
        <v>408</v>
      </c>
      <c r="H642" s="126">
        <v>5485599.3700000001</v>
      </c>
      <c r="I642" s="108">
        <v>110211010</v>
      </c>
      <c r="J642" s="108" t="str">
        <f t="shared" si="37"/>
        <v>0110211010</v>
      </c>
      <c r="K642" s="304" t="str">
        <f t="shared" si="36"/>
        <v>60607020110211010612</v>
      </c>
      <c r="L642" s="17"/>
      <c r="M642" s="16"/>
    </row>
    <row r="643" spans="1:13" s="17" customFormat="1" ht="15.75">
      <c r="A643" s="14"/>
      <c r="B643" s="132" t="s">
        <v>409</v>
      </c>
      <c r="C643" s="109" t="s">
        <v>394</v>
      </c>
      <c r="D643" s="108" t="s">
        <v>229</v>
      </c>
      <c r="E643" s="108" t="s">
        <v>62</v>
      </c>
      <c r="F643" s="108" t="s">
        <v>441</v>
      </c>
      <c r="G643" s="108" t="s">
        <v>410</v>
      </c>
      <c r="H643" s="126">
        <v>43157616.079999998</v>
      </c>
      <c r="I643" s="108">
        <v>110211010</v>
      </c>
      <c r="J643" s="108" t="str">
        <f t="shared" si="37"/>
        <v>0110211010</v>
      </c>
      <c r="K643" s="304" t="str">
        <f t="shared" si="36"/>
        <v>60607020110211010620</v>
      </c>
      <c r="L643" s="17" t="str">
        <f>INDEX('реш СГД № 265'!$A:$N,MATCH('БА расх 2018 31 12 2018'!$K643,'реш СГД № 265'!$N:$N,0),3)</f>
        <v>Субсидии автономным учреждениям</v>
      </c>
      <c r="M643" s="16">
        <f t="shared" si="38"/>
        <v>1</v>
      </c>
    </row>
    <row r="644" spans="1:13" s="24" customFormat="1" ht="63">
      <c r="A644" s="21"/>
      <c r="B644" s="127" t="s">
        <v>411</v>
      </c>
      <c r="C644" s="109" t="s">
        <v>394</v>
      </c>
      <c r="D644" s="108" t="s">
        <v>229</v>
      </c>
      <c r="E644" s="108" t="s">
        <v>62</v>
      </c>
      <c r="F644" s="108" t="s">
        <v>441</v>
      </c>
      <c r="G644" s="108" t="s">
        <v>412</v>
      </c>
      <c r="H644" s="126">
        <v>41222496.079999998</v>
      </c>
      <c r="I644" s="108">
        <v>110211010</v>
      </c>
      <c r="J644" s="108" t="str">
        <f t="shared" si="37"/>
        <v>0110211010</v>
      </c>
      <c r="K644" s="304" t="str">
        <f t="shared" si="36"/>
        <v>60607020110211010621</v>
      </c>
      <c r="L644" s="17"/>
      <c r="M644" s="16"/>
    </row>
    <row r="645" spans="1:13" s="24" customFormat="1" ht="15.75">
      <c r="A645" s="21"/>
      <c r="B645" s="127" t="s">
        <v>428</v>
      </c>
      <c r="C645" s="109" t="s">
        <v>394</v>
      </c>
      <c r="D645" s="108" t="s">
        <v>229</v>
      </c>
      <c r="E645" s="108" t="s">
        <v>62</v>
      </c>
      <c r="F645" s="108" t="s">
        <v>441</v>
      </c>
      <c r="G645" s="108" t="s">
        <v>429</v>
      </c>
      <c r="H645" s="126">
        <v>1935120</v>
      </c>
      <c r="I645" s="108">
        <v>110211010</v>
      </c>
      <c r="J645" s="108" t="str">
        <f t="shared" si="37"/>
        <v>0110211010</v>
      </c>
      <c r="K645" s="304" t="str">
        <f t="shared" si="36"/>
        <v>60607020110211010622</v>
      </c>
      <c r="L645" s="17"/>
      <c r="M645" s="16"/>
    </row>
    <row r="646" spans="1:13" s="17" customFormat="1" ht="31.5">
      <c r="A646" s="14"/>
      <c r="B646" s="125" t="s">
        <v>182</v>
      </c>
      <c r="C646" s="109" t="s">
        <v>394</v>
      </c>
      <c r="D646" s="108" t="s">
        <v>229</v>
      </c>
      <c r="E646" s="108" t="s">
        <v>62</v>
      </c>
      <c r="F646" s="108" t="s">
        <v>441</v>
      </c>
      <c r="G646" s="108" t="s">
        <v>183</v>
      </c>
      <c r="H646" s="126">
        <v>3446682.4</v>
      </c>
      <c r="I646" s="108">
        <v>110211010</v>
      </c>
      <c r="J646" s="108" t="str">
        <f t="shared" si="37"/>
        <v>0110211010</v>
      </c>
      <c r="K646" s="304" t="str">
        <f t="shared" si="36"/>
        <v>60607020110211010630</v>
      </c>
      <c r="L646" s="17" t="str">
        <f>INDEX('реш СГД № 265'!$A:$N,MATCH('БА расх 2018 31 12 2018'!$K646,'реш СГД № 265'!$N:$N,0),3)</f>
        <v>Субсидии некоммерческим организациям (за исключением государственных (муниципальных) учреждений)</v>
      </c>
      <c r="M646" s="16">
        <f t="shared" si="38"/>
        <v>1</v>
      </c>
    </row>
    <row r="647" spans="1:13" s="24" customFormat="1" ht="78.75">
      <c r="A647" s="21"/>
      <c r="B647" s="127" t="s">
        <v>1038</v>
      </c>
      <c r="C647" s="109" t="s">
        <v>394</v>
      </c>
      <c r="D647" s="108" t="s">
        <v>229</v>
      </c>
      <c r="E647" s="108" t="s">
        <v>62</v>
      </c>
      <c r="F647" s="108" t="s">
        <v>441</v>
      </c>
      <c r="G647" s="108" t="s">
        <v>416</v>
      </c>
      <c r="H647" s="126">
        <v>3446682.4</v>
      </c>
      <c r="I647" s="108">
        <v>110211010</v>
      </c>
      <c r="J647" s="108" t="str">
        <f t="shared" si="37"/>
        <v>0110211010</v>
      </c>
      <c r="K647" s="304" t="str">
        <f t="shared" si="36"/>
        <v>60607020110211010632</v>
      </c>
      <c r="L647" s="17"/>
      <c r="M647" s="16"/>
    </row>
    <row r="648" spans="1:13" s="17" customFormat="1" ht="141.75">
      <c r="A648" s="14" t="s">
        <v>80</v>
      </c>
      <c r="B648" s="127" t="s">
        <v>442</v>
      </c>
      <c r="C648" s="109" t="s">
        <v>394</v>
      </c>
      <c r="D648" s="108" t="s">
        <v>229</v>
      </c>
      <c r="E648" s="108" t="s">
        <v>62</v>
      </c>
      <c r="F648" s="108" t="s">
        <v>443</v>
      </c>
      <c r="G648" s="108" t="s">
        <v>9</v>
      </c>
      <c r="H648" s="126">
        <v>1157495865</v>
      </c>
      <c r="I648" s="108">
        <v>110277160</v>
      </c>
      <c r="J648" s="108" t="str">
        <f t="shared" si="37"/>
        <v>0110277160</v>
      </c>
      <c r="K648" s="304" t="str">
        <f t="shared" si="36"/>
        <v>60607020110277160000</v>
      </c>
      <c r="L648" s="17" t="str">
        <f>INDEX('реш СГД № 265'!$A:$N,MATCH('БА расх 2018 31 12 2018'!$K648,'реш СГД № 265'!$N:$N,0),3)</f>
        <v>Расходы на обеспечение государственных гарантий реализации прав на получение общедоступного и бесплатного начального общего, основного общего, среднего общего образования в муниципальных общеобразовательных организациях, а также обеспечение дополнительного образования детей в муниципальных общеобразовательных организациях и на финансовое обеспечение получения начального общего, основного общего, среднего общего образования в частных общеобразовательных организациях</v>
      </c>
      <c r="M648" s="16">
        <f t="shared" si="38"/>
        <v>1</v>
      </c>
    </row>
    <row r="649" spans="1:13" s="17" customFormat="1" ht="15.75">
      <c r="A649" s="14"/>
      <c r="B649" s="309" t="s">
        <v>138</v>
      </c>
      <c r="C649" s="109" t="s">
        <v>394</v>
      </c>
      <c r="D649" s="108" t="s">
        <v>229</v>
      </c>
      <c r="E649" s="108" t="s">
        <v>62</v>
      </c>
      <c r="F649" s="108" t="s">
        <v>443</v>
      </c>
      <c r="G649" s="108" t="s">
        <v>139</v>
      </c>
      <c r="H649" s="126">
        <v>3114868.15</v>
      </c>
      <c r="I649" s="108">
        <v>110277160</v>
      </c>
      <c r="J649" s="108" t="str">
        <f t="shared" si="37"/>
        <v>0110277160</v>
      </c>
      <c r="K649" s="304" t="str">
        <f t="shared" si="36"/>
        <v>60607020110277160110</v>
      </c>
      <c r="L649" s="17" t="str">
        <f>INDEX('реш СГД № 265'!$A:$N,MATCH('БА расх 2018 31 12 2018'!$K649,'реш СГД № 265'!$N:$N,0),3)</f>
        <v>Расходы на выплаты персоналу казенных учреждений</v>
      </c>
      <c r="M649" s="16">
        <f t="shared" si="38"/>
        <v>1</v>
      </c>
    </row>
    <row r="650" spans="1:13" s="17" customFormat="1" ht="15.75">
      <c r="A650" s="14"/>
      <c r="B650" s="127" t="s">
        <v>140</v>
      </c>
      <c r="C650" s="109" t="s">
        <v>394</v>
      </c>
      <c r="D650" s="108" t="s">
        <v>229</v>
      </c>
      <c r="E650" s="108" t="s">
        <v>62</v>
      </c>
      <c r="F650" s="108" t="s">
        <v>443</v>
      </c>
      <c r="G650" s="108" t="s">
        <v>141</v>
      </c>
      <c r="H650" s="126">
        <v>2213335.02</v>
      </c>
      <c r="I650" s="108">
        <v>110277160</v>
      </c>
      <c r="J650" s="108" t="str">
        <f t="shared" si="37"/>
        <v>0110277160</v>
      </c>
      <c r="K650" s="304" t="str">
        <f t="shared" si="36"/>
        <v>60607020110277160111</v>
      </c>
      <c r="M650" s="16"/>
    </row>
    <row r="651" spans="1:13" s="17" customFormat="1" ht="47.25">
      <c r="A651" s="14"/>
      <c r="B651" s="127" t="s">
        <v>487</v>
      </c>
      <c r="C651" s="109" t="s">
        <v>394</v>
      </c>
      <c r="D651" s="108" t="s">
        <v>229</v>
      </c>
      <c r="E651" s="108" t="s">
        <v>62</v>
      </c>
      <c r="F651" s="108" t="s">
        <v>443</v>
      </c>
      <c r="G651" s="108" t="s">
        <v>145</v>
      </c>
      <c r="H651" s="126">
        <v>901533.13</v>
      </c>
      <c r="I651" s="108">
        <v>110277160</v>
      </c>
      <c r="J651" s="108" t="str">
        <f t="shared" si="37"/>
        <v>0110277160</v>
      </c>
      <c r="K651" s="304" t="str">
        <f t="shared" si="36"/>
        <v>60607020110277160119</v>
      </c>
      <c r="M651" s="16"/>
    </row>
    <row r="652" spans="1:13" s="17" customFormat="1" ht="15.75">
      <c r="A652" s="14"/>
      <c r="B652" s="132" t="s">
        <v>403</v>
      </c>
      <c r="C652" s="109" t="s">
        <v>394</v>
      </c>
      <c r="D652" s="108" t="s">
        <v>229</v>
      </c>
      <c r="E652" s="108" t="s">
        <v>62</v>
      </c>
      <c r="F652" s="108" t="s">
        <v>443</v>
      </c>
      <c r="G652" s="108" t="s">
        <v>404</v>
      </c>
      <c r="H652" s="126">
        <v>1047135573.72</v>
      </c>
      <c r="I652" s="108">
        <v>110277160</v>
      </c>
      <c r="J652" s="108" t="str">
        <f t="shared" si="37"/>
        <v>0110277160</v>
      </c>
      <c r="K652" s="304" t="str">
        <f t="shared" si="36"/>
        <v>60607020110277160610</v>
      </c>
      <c r="L652" s="17" t="str">
        <f>INDEX('реш СГД № 265'!$A:$N,MATCH('БА расх 2018 31 12 2018'!$K652,'реш СГД № 265'!$N:$N,0),3)</f>
        <v>Субсидии бюджетным учреждениям</v>
      </c>
      <c r="M652" s="16">
        <f t="shared" si="38"/>
        <v>1</v>
      </c>
    </row>
    <row r="653" spans="1:13" s="24" customFormat="1" ht="63">
      <c r="A653" s="21"/>
      <c r="B653" s="127" t="s">
        <v>405</v>
      </c>
      <c r="C653" s="109" t="s">
        <v>394</v>
      </c>
      <c r="D653" s="108" t="s">
        <v>229</v>
      </c>
      <c r="E653" s="108" t="s">
        <v>62</v>
      </c>
      <c r="F653" s="108" t="s">
        <v>443</v>
      </c>
      <c r="G653" s="108" t="s">
        <v>406</v>
      </c>
      <c r="H653" s="126">
        <v>1047135573.72</v>
      </c>
      <c r="I653" s="108">
        <v>110277160</v>
      </c>
      <c r="J653" s="108" t="str">
        <f t="shared" si="37"/>
        <v>0110277160</v>
      </c>
      <c r="K653" s="304" t="str">
        <f t="shared" si="36"/>
        <v>60607020110277160611</v>
      </c>
      <c r="L653" s="17"/>
      <c r="M653" s="16"/>
    </row>
    <row r="654" spans="1:13" s="17" customFormat="1" ht="15.75">
      <c r="A654" s="14"/>
      <c r="B654" s="132" t="s">
        <v>409</v>
      </c>
      <c r="C654" s="109" t="s">
        <v>394</v>
      </c>
      <c r="D654" s="108" t="s">
        <v>229</v>
      </c>
      <c r="E654" s="108" t="s">
        <v>62</v>
      </c>
      <c r="F654" s="108" t="s">
        <v>443</v>
      </c>
      <c r="G654" s="108" t="s">
        <v>410</v>
      </c>
      <c r="H654" s="126">
        <v>102714569.13</v>
      </c>
      <c r="I654" s="108">
        <v>110277160</v>
      </c>
      <c r="J654" s="108" t="str">
        <f t="shared" si="37"/>
        <v>0110277160</v>
      </c>
      <c r="K654" s="304" t="str">
        <f t="shared" si="36"/>
        <v>60607020110277160620</v>
      </c>
      <c r="L654" s="17" t="str">
        <f>INDEX('реш СГД № 265'!$A:$N,MATCH('БА расх 2018 31 12 2018'!$K654,'реш СГД № 265'!$N:$N,0),3)</f>
        <v>Субсидии автономным учреждениям</v>
      </c>
      <c r="M654" s="16">
        <f t="shared" si="38"/>
        <v>1</v>
      </c>
    </row>
    <row r="655" spans="1:13" s="24" customFormat="1" ht="63">
      <c r="A655" s="21"/>
      <c r="B655" s="127" t="s">
        <v>411</v>
      </c>
      <c r="C655" s="109" t="s">
        <v>394</v>
      </c>
      <c r="D655" s="108" t="s">
        <v>229</v>
      </c>
      <c r="E655" s="108" t="s">
        <v>62</v>
      </c>
      <c r="F655" s="108" t="s">
        <v>443</v>
      </c>
      <c r="G655" s="108" t="s">
        <v>412</v>
      </c>
      <c r="H655" s="126">
        <v>102714569.13</v>
      </c>
      <c r="I655" s="108">
        <v>110277160</v>
      </c>
      <c r="J655" s="108" t="str">
        <f t="shared" si="37"/>
        <v>0110277160</v>
      </c>
      <c r="K655" s="304" t="str">
        <f t="shared" si="36"/>
        <v>60607020110277160621</v>
      </c>
      <c r="L655" s="17"/>
      <c r="M655" s="16"/>
    </row>
    <row r="656" spans="1:13" s="17" customFormat="1" ht="31.5">
      <c r="A656" s="14"/>
      <c r="B656" s="125" t="s">
        <v>182</v>
      </c>
      <c r="C656" s="109" t="s">
        <v>394</v>
      </c>
      <c r="D656" s="108" t="s">
        <v>229</v>
      </c>
      <c r="E656" s="108" t="s">
        <v>62</v>
      </c>
      <c r="F656" s="108" t="s">
        <v>443</v>
      </c>
      <c r="G656" s="108" t="s">
        <v>183</v>
      </c>
      <c r="H656" s="126">
        <v>4530854</v>
      </c>
      <c r="I656" s="108">
        <v>110277160</v>
      </c>
      <c r="J656" s="108" t="str">
        <f t="shared" si="37"/>
        <v>0110277160</v>
      </c>
      <c r="K656" s="304" t="str">
        <f t="shared" si="36"/>
        <v>60607020110277160630</v>
      </c>
      <c r="L656" s="17" t="str">
        <f>INDEX('реш СГД № 265'!$A:$N,MATCH('БА расх 2018 31 12 2018'!$K656,'реш СГД № 265'!$N:$N,0),3)</f>
        <v>Субсидии некоммерческим организациям (за исключением государственных (муниципальных) учреждений)</v>
      </c>
      <c r="M656" s="16">
        <f t="shared" si="38"/>
        <v>1</v>
      </c>
    </row>
    <row r="657" spans="1:13" s="24" customFormat="1" ht="78.75">
      <c r="A657" s="21"/>
      <c r="B657" s="127" t="s">
        <v>1038</v>
      </c>
      <c r="C657" s="109" t="s">
        <v>394</v>
      </c>
      <c r="D657" s="108" t="s">
        <v>229</v>
      </c>
      <c r="E657" s="108" t="s">
        <v>62</v>
      </c>
      <c r="F657" s="108" t="s">
        <v>443</v>
      </c>
      <c r="G657" s="108" t="s">
        <v>416</v>
      </c>
      <c r="H657" s="126">
        <v>4530854</v>
      </c>
      <c r="I657" s="108">
        <v>110277160</v>
      </c>
      <c r="J657" s="108" t="str">
        <f t="shared" si="37"/>
        <v>0110277160</v>
      </c>
      <c r="K657" s="304" t="str">
        <f t="shared" si="36"/>
        <v>60607020110277160632</v>
      </c>
      <c r="L657" s="17"/>
      <c r="M657" s="16"/>
    </row>
    <row r="658" spans="1:13" s="24" customFormat="1" ht="267.75">
      <c r="A658" s="21"/>
      <c r="B658" s="132" t="s">
        <v>2269</v>
      </c>
      <c r="C658" s="109" t="s">
        <v>394</v>
      </c>
      <c r="D658" s="108" t="s">
        <v>229</v>
      </c>
      <c r="E658" s="108" t="s">
        <v>62</v>
      </c>
      <c r="F658" s="108" t="s">
        <v>1278</v>
      </c>
      <c r="G658" s="108" t="s">
        <v>9</v>
      </c>
      <c r="H658" s="126">
        <v>7756449.4100000001</v>
      </c>
      <c r="I658" s="108">
        <v>110277460</v>
      </c>
      <c r="J658" s="108" t="str">
        <f t="shared" si="37"/>
        <v>0110277460</v>
      </c>
      <c r="K658" s="304" t="str">
        <f t="shared" si="36"/>
        <v>60607020110277460000</v>
      </c>
      <c r="L658" s="132" t="str">
        <f>INDEX('реш СГД № 265'!$A:$N,MATCH('БА расх 2018 31 12 2018'!$K658,'реш СГД № 265'!$N:$N,0),3)</f>
        <v>Субсидии на компенсацию расходов по повышению заработной платы муниципальных служащих муниципальной службы и лиц, не замещающих должности муниципальной службы и исполняющих обязанности по техническому обеспечению деятельности органов местного самоуправления муниципальных образований, а также работников муниципальных учреждений, за исключением отдельных категорий работников муниципальных учреждений, которым повышение заработной платы осуществляется в соответствии с указами Президента Российской Федерации от 7 мая 2012 года № 597 «О мероприятиях по реализации государственной социальной политики», от 1 июня 2012 года № 761 «О Национальной стратегии действий в интересах детей на 2012 - 2017 годы» и от 28 декабря 2012 года № 1688 «О некоторых мерах по реализации государственной политики в сфере защиты детей-сирот и детей, оставшихся без попечения родителей»</v>
      </c>
      <c r="M658" s="17">
        <f t="shared" si="38"/>
        <v>1</v>
      </c>
    </row>
    <row r="659" spans="1:13" s="24" customFormat="1" ht="15.75">
      <c r="A659" s="21"/>
      <c r="B659" s="132" t="s">
        <v>403</v>
      </c>
      <c r="C659" s="109" t="s">
        <v>394</v>
      </c>
      <c r="D659" s="108" t="s">
        <v>229</v>
      </c>
      <c r="E659" s="108" t="s">
        <v>62</v>
      </c>
      <c r="F659" s="108" t="s">
        <v>1278</v>
      </c>
      <c r="G659" s="108" t="s">
        <v>404</v>
      </c>
      <c r="H659" s="126">
        <v>6991675.3899999997</v>
      </c>
      <c r="I659" s="108">
        <v>110277460</v>
      </c>
      <c r="J659" s="108" t="str">
        <f t="shared" si="37"/>
        <v>0110277460</v>
      </c>
      <c r="K659" s="304" t="str">
        <f t="shared" si="36"/>
        <v>60607020110277460610</v>
      </c>
      <c r="L659" s="17" t="str">
        <f>INDEX('реш СГД № 265'!$A:$N,MATCH('БА расх 2018 31 12 2018'!$K659,'реш СГД № 265'!$N:$N,0),3)</f>
        <v>Субсидии бюджетным учреждениям</v>
      </c>
      <c r="M659" s="16">
        <f t="shared" si="38"/>
        <v>1</v>
      </c>
    </row>
    <row r="660" spans="1:13" s="24" customFormat="1" ht="63">
      <c r="A660" s="21"/>
      <c r="B660" s="127" t="s">
        <v>405</v>
      </c>
      <c r="C660" s="109" t="s">
        <v>394</v>
      </c>
      <c r="D660" s="108" t="s">
        <v>229</v>
      </c>
      <c r="E660" s="108" t="s">
        <v>62</v>
      </c>
      <c r="F660" s="108" t="s">
        <v>1278</v>
      </c>
      <c r="G660" s="108" t="s">
        <v>406</v>
      </c>
      <c r="H660" s="126">
        <v>6991675.3899999997</v>
      </c>
      <c r="I660" s="108">
        <v>110277460</v>
      </c>
      <c r="J660" s="108" t="str">
        <f t="shared" si="37"/>
        <v>0110277460</v>
      </c>
      <c r="K660" s="304" t="str">
        <f t="shared" si="36"/>
        <v>60607020110277460611</v>
      </c>
      <c r="L660" s="17"/>
      <c r="M660" s="16"/>
    </row>
    <row r="661" spans="1:13" s="24" customFormat="1" ht="15.75">
      <c r="A661" s="21"/>
      <c r="B661" s="132" t="s">
        <v>409</v>
      </c>
      <c r="C661" s="109" t="s">
        <v>394</v>
      </c>
      <c r="D661" s="108" t="s">
        <v>229</v>
      </c>
      <c r="E661" s="108" t="s">
        <v>62</v>
      </c>
      <c r="F661" s="108" t="s">
        <v>1278</v>
      </c>
      <c r="G661" s="108" t="s">
        <v>410</v>
      </c>
      <c r="H661" s="126">
        <v>764774.02</v>
      </c>
      <c r="I661" s="108">
        <v>110277460</v>
      </c>
      <c r="J661" s="108" t="str">
        <f t="shared" si="37"/>
        <v>0110277460</v>
      </c>
      <c r="K661" s="304" t="str">
        <f t="shared" si="36"/>
        <v>60607020110277460620</v>
      </c>
      <c r="L661" s="17" t="str">
        <f>INDEX('реш СГД № 265'!$A:$N,MATCH('БА расх 2018 31 12 2018'!$K661,'реш СГД № 265'!$N:$N,0),3)</f>
        <v>Субсидии автономным учреждениям</v>
      </c>
      <c r="M661" s="16">
        <f t="shared" si="38"/>
        <v>1</v>
      </c>
    </row>
    <row r="662" spans="1:13" s="24" customFormat="1" ht="63">
      <c r="A662" s="21"/>
      <c r="B662" s="127" t="s">
        <v>411</v>
      </c>
      <c r="C662" s="109" t="s">
        <v>394</v>
      </c>
      <c r="D662" s="108" t="s">
        <v>229</v>
      </c>
      <c r="E662" s="108" t="s">
        <v>62</v>
      </c>
      <c r="F662" s="108" t="s">
        <v>1278</v>
      </c>
      <c r="G662" s="108" t="s">
        <v>412</v>
      </c>
      <c r="H662" s="126">
        <v>764774.02</v>
      </c>
      <c r="I662" s="108">
        <v>110277460</v>
      </c>
      <c r="J662" s="108" t="str">
        <f t="shared" si="37"/>
        <v>0110277460</v>
      </c>
      <c r="K662" s="304" t="str">
        <f t="shared" si="36"/>
        <v>60607020110277460621</v>
      </c>
      <c r="L662" s="17"/>
      <c r="M662" s="16"/>
    </row>
    <row r="663" spans="1:13" s="24" customFormat="1" ht="236.25">
      <c r="A663" s="21"/>
      <c r="B663" s="164" t="s">
        <v>2247</v>
      </c>
      <c r="C663" s="109" t="s">
        <v>394</v>
      </c>
      <c r="D663" s="108" t="s">
        <v>229</v>
      </c>
      <c r="E663" s="108" t="s">
        <v>62</v>
      </c>
      <c r="F663" s="108" t="s">
        <v>2260</v>
      </c>
      <c r="G663" s="108" t="s">
        <v>9</v>
      </c>
      <c r="H663" s="126">
        <v>40921669.57</v>
      </c>
      <c r="I663" s="108">
        <v>110277580</v>
      </c>
      <c r="J663" s="108" t="str">
        <f t="shared" si="37"/>
        <v>0110277580</v>
      </c>
      <c r="K663" s="304" t="str">
        <f t="shared" si="36"/>
        <v>60607020110277580000</v>
      </c>
      <c r="L663" s="17" t="str">
        <f>INDEX('реш СГД № 265'!$A:$N,MATCH('БА расх 2018 31 12 2018'!$K663,'реш СГД № 265'!$N:$N,0),3)</f>
        <v>Субсидии на компенсацию расходов на обеспечение выплаты лицам, не замещающим муниципальные должности муниципальной службы и исполняющим обязанности по техническому обеспечению деятельности органов местного самоуправления муниципальных образований, работникам органов местного самоуправления муниципальных образований, осуществляющим профессиональную деятельность по профессиям рабочих, и работникам муниципальных учреждений заработной платы не ниже установленного с 01 мая 2018 года федеральным законом минимального размера оплаты труда, а также компенсацию расходов на обеспечение выплаты работникам муниципальных учреждений с 01 января 2018 года коэффициента к заработной плате за работу в пустынных и безводных местностях</v>
      </c>
      <c r="M663" s="16">
        <f t="shared" si="38"/>
        <v>1</v>
      </c>
    </row>
    <row r="664" spans="1:13" s="24" customFormat="1" ht="15.75">
      <c r="A664" s="21"/>
      <c r="B664" s="132" t="s">
        <v>403</v>
      </c>
      <c r="C664" s="109" t="s">
        <v>394</v>
      </c>
      <c r="D664" s="108" t="s">
        <v>229</v>
      </c>
      <c r="E664" s="108" t="s">
        <v>62</v>
      </c>
      <c r="F664" s="108" t="s">
        <v>2260</v>
      </c>
      <c r="G664" s="108" t="s">
        <v>404</v>
      </c>
      <c r="H664" s="126">
        <v>37726129.57</v>
      </c>
      <c r="I664" s="108">
        <v>110277580</v>
      </c>
      <c r="J664" s="108" t="str">
        <f t="shared" si="37"/>
        <v>0110277580</v>
      </c>
      <c r="K664" s="304" t="str">
        <f t="shared" si="36"/>
        <v>60607020110277580610</v>
      </c>
      <c r="L664" s="17" t="str">
        <f>INDEX('реш СГД № 265'!$A:$N,MATCH('БА расх 2018 31 12 2018'!$K664,'реш СГД № 265'!$N:$N,0),3)</f>
        <v>Субсидии бюджетным учреждениям</v>
      </c>
      <c r="M664" s="16">
        <f t="shared" si="38"/>
        <v>1</v>
      </c>
    </row>
    <row r="665" spans="1:13" s="24" customFormat="1" ht="63">
      <c r="A665" s="21"/>
      <c r="B665" s="127" t="s">
        <v>405</v>
      </c>
      <c r="C665" s="109" t="s">
        <v>394</v>
      </c>
      <c r="D665" s="108" t="s">
        <v>229</v>
      </c>
      <c r="E665" s="108" t="s">
        <v>62</v>
      </c>
      <c r="F665" s="108" t="s">
        <v>2260</v>
      </c>
      <c r="G665" s="108" t="s">
        <v>406</v>
      </c>
      <c r="H665" s="126">
        <v>37726129.57</v>
      </c>
      <c r="I665" s="108">
        <v>110277580</v>
      </c>
      <c r="J665" s="108" t="str">
        <f t="shared" si="37"/>
        <v>0110277580</v>
      </c>
      <c r="K665" s="304" t="str">
        <f t="shared" si="36"/>
        <v>60607020110277580611</v>
      </c>
      <c r="L665" s="17"/>
      <c r="M665" s="16"/>
    </row>
    <row r="666" spans="1:13" s="24" customFormat="1" ht="15.75">
      <c r="A666" s="21"/>
      <c r="B666" s="132" t="s">
        <v>409</v>
      </c>
      <c r="C666" s="109" t="s">
        <v>394</v>
      </c>
      <c r="D666" s="108" t="s">
        <v>229</v>
      </c>
      <c r="E666" s="108" t="s">
        <v>62</v>
      </c>
      <c r="F666" s="108" t="s">
        <v>2260</v>
      </c>
      <c r="G666" s="108" t="s">
        <v>410</v>
      </c>
      <c r="H666" s="126">
        <v>3195540</v>
      </c>
      <c r="I666" s="108">
        <v>110277580</v>
      </c>
      <c r="J666" s="108" t="str">
        <f t="shared" si="37"/>
        <v>0110277580</v>
      </c>
      <c r="K666" s="304" t="str">
        <f t="shared" si="36"/>
        <v>60607020110277580620</v>
      </c>
      <c r="L666" s="17" t="str">
        <f>INDEX('реш СГД № 265'!$A:$N,MATCH('БА расх 2018 31 12 2018'!$K666,'реш СГД № 265'!$N:$N,0),3)</f>
        <v>Субсидии автономным учреждениям</v>
      </c>
      <c r="M666" s="16">
        <f t="shared" si="38"/>
        <v>1</v>
      </c>
    </row>
    <row r="667" spans="1:13" s="24" customFormat="1" ht="63">
      <c r="A667" s="21"/>
      <c r="B667" s="127" t="s">
        <v>411</v>
      </c>
      <c r="C667" s="109" t="s">
        <v>394</v>
      </c>
      <c r="D667" s="108" t="s">
        <v>229</v>
      </c>
      <c r="E667" s="108" t="s">
        <v>62</v>
      </c>
      <c r="F667" s="108" t="s">
        <v>2260</v>
      </c>
      <c r="G667" s="108" t="s">
        <v>412</v>
      </c>
      <c r="H667" s="126">
        <v>3195540</v>
      </c>
      <c r="I667" s="108">
        <v>110277580</v>
      </c>
      <c r="J667" s="108" t="str">
        <f t="shared" si="37"/>
        <v>0110277580</v>
      </c>
      <c r="K667" s="304" t="str">
        <f t="shared" si="36"/>
        <v>60607020110277580621</v>
      </c>
      <c r="L667" s="17"/>
      <c r="M667" s="16"/>
    </row>
    <row r="668" spans="1:13" s="17" customFormat="1" ht="63">
      <c r="A668" s="14"/>
      <c r="B668" s="125" t="s">
        <v>417</v>
      </c>
      <c r="C668" s="109" t="s">
        <v>394</v>
      </c>
      <c r="D668" s="108" t="s">
        <v>229</v>
      </c>
      <c r="E668" s="108" t="s">
        <v>62</v>
      </c>
      <c r="F668" s="108" t="s">
        <v>418</v>
      </c>
      <c r="G668" s="108" t="s">
        <v>9</v>
      </c>
      <c r="H668" s="126">
        <v>87474363.949999988</v>
      </c>
      <c r="I668" s="108">
        <v>110600000</v>
      </c>
      <c r="J668" s="108" t="str">
        <f t="shared" si="37"/>
        <v>0110600000</v>
      </c>
      <c r="K668" s="304" t="str">
        <f t="shared" si="36"/>
        <v>60607020110600000000</v>
      </c>
      <c r="L668" s="17" t="str">
        <f>INDEX('реш СГД № 265'!$A:$N,MATCH('БА расх 2018 31 12 2018'!$K668,'реш СГД № 265'!$N:$N,0),3)</f>
        <v>Основное мероприятие «Модернизация образовательных организаций, совершенствование материально-технической базы, проведение ремонтных работ, создание условий для повышения качества образовательного процесса»</v>
      </c>
      <c r="M668" s="16">
        <f t="shared" si="38"/>
        <v>1</v>
      </c>
    </row>
    <row r="669" spans="1:13" s="17" customFormat="1" ht="31.5">
      <c r="A669" s="14"/>
      <c r="B669" s="132" t="s">
        <v>136</v>
      </c>
      <c r="C669" s="109" t="s">
        <v>394</v>
      </c>
      <c r="D669" s="108" t="s">
        <v>229</v>
      </c>
      <c r="E669" s="108" t="s">
        <v>62</v>
      </c>
      <c r="F669" s="108" t="s">
        <v>419</v>
      </c>
      <c r="G669" s="108" t="s">
        <v>9</v>
      </c>
      <c r="H669" s="126">
        <v>65712548.759999998</v>
      </c>
      <c r="I669" s="108">
        <v>110611010</v>
      </c>
      <c r="J669" s="108" t="str">
        <f t="shared" si="37"/>
        <v>0110611010</v>
      </c>
      <c r="K669" s="304" t="str">
        <f t="shared" si="36"/>
        <v>60607020110611010000</v>
      </c>
      <c r="L669" s="17" t="str">
        <f>INDEX('реш СГД № 265'!$A:$N,MATCH('БА расх 2018 31 12 2018'!$K669,'реш СГД № 265'!$N:$N,0),3)</f>
        <v>Расходы на обеспечение деятельности (оказание услуг) муниципальных учреждений</v>
      </c>
      <c r="M669" s="16">
        <f t="shared" si="38"/>
        <v>1</v>
      </c>
    </row>
    <row r="670" spans="1:13" s="17" customFormat="1" ht="15.75">
      <c r="A670" s="14"/>
      <c r="B670" s="132" t="s">
        <v>403</v>
      </c>
      <c r="C670" s="109" t="s">
        <v>394</v>
      </c>
      <c r="D670" s="108" t="s">
        <v>229</v>
      </c>
      <c r="E670" s="108" t="s">
        <v>62</v>
      </c>
      <c r="F670" s="108" t="s">
        <v>419</v>
      </c>
      <c r="G670" s="108" t="s">
        <v>404</v>
      </c>
      <c r="H670" s="126">
        <v>51244357.82</v>
      </c>
      <c r="I670" s="108">
        <v>110611010</v>
      </c>
      <c r="J670" s="108" t="str">
        <f t="shared" si="37"/>
        <v>0110611010</v>
      </c>
      <c r="K670" s="304" t="str">
        <f t="shared" si="36"/>
        <v>60607020110611010610</v>
      </c>
      <c r="L670" s="17" t="str">
        <f>INDEX('реш СГД № 265'!$A:$N,MATCH('БА расх 2018 31 12 2018'!$K670,'реш СГД № 265'!$N:$N,0),3)</f>
        <v>Субсидии бюджетным учреждениям</v>
      </c>
      <c r="M670" s="16">
        <f t="shared" si="38"/>
        <v>1</v>
      </c>
    </row>
    <row r="671" spans="1:13" s="24" customFormat="1" ht="15.75">
      <c r="A671" s="21"/>
      <c r="B671" s="127" t="s">
        <v>407</v>
      </c>
      <c r="C671" s="109" t="s">
        <v>394</v>
      </c>
      <c r="D671" s="108" t="s">
        <v>229</v>
      </c>
      <c r="E671" s="108" t="s">
        <v>62</v>
      </c>
      <c r="F671" s="108" t="s">
        <v>419</v>
      </c>
      <c r="G671" s="108" t="s">
        <v>408</v>
      </c>
      <c r="H671" s="126">
        <v>51244357.82</v>
      </c>
      <c r="I671" s="108">
        <v>110611010</v>
      </c>
      <c r="J671" s="108" t="str">
        <f t="shared" si="37"/>
        <v>0110611010</v>
      </c>
      <c r="K671" s="304" t="str">
        <f t="shared" si="36"/>
        <v>60607020110611010612</v>
      </c>
      <c r="L671" s="17"/>
      <c r="M671" s="16"/>
    </row>
    <row r="672" spans="1:13" s="17" customFormat="1" ht="15.75">
      <c r="A672" s="14"/>
      <c r="B672" s="132" t="s">
        <v>409</v>
      </c>
      <c r="C672" s="109" t="s">
        <v>394</v>
      </c>
      <c r="D672" s="108" t="s">
        <v>229</v>
      </c>
      <c r="E672" s="108" t="s">
        <v>62</v>
      </c>
      <c r="F672" s="108" t="s">
        <v>419</v>
      </c>
      <c r="G672" s="108" t="s">
        <v>410</v>
      </c>
      <c r="H672" s="126">
        <v>14468190.939999999</v>
      </c>
      <c r="I672" s="108">
        <v>110611010</v>
      </c>
      <c r="J672" s="108" t="str">
        <f t="shared" si="37"/>
        <v>0110611010</v>
      </c>
      <c r="K672" s="304" t="str">
        <f t="shared" si="36"/>
        <v>60607020110611010620</v>
      </c>
      <c r="L672" s="17" t="str">
        <f>INDEX('реш СГД № 265'!$A:$N,MATCH('БА расх 2018 31 12 2018'!$K672,'реш СГД № 265'!$N:$N,0),3)</f>
        <v>Субсидии автономным учреждениям</v>
      </c>
      <c r="M672" s="16">
        <f t="shared" si="38"/>
        <v>1</v>
      </c>
    </row>
    <row r="673" spans="1:13" s="24" customFormat="1" ht="15.75">
      <c r="A673" s="21"/>
      <c r="B673" s="127" t="s">
        <v>428</v>
      </c>
      <c r="C673" s="109" t="s">
        <v>394</v>
      </c>
      <c r="D673" s="108" t="s">
        <v>229</v>
      </c>
      <c r="E673" s="108" t="s">
        <v>62</v>
      </c>
      <c r="F673" s="108" t="s">
        <v>419</v>
      </c>
      <c r="G673" s="108" t="s">
        <v>429</v>
      </c>
      <c r="H673" s="126">
        <v>14468190.939999999</v>
      </c>
      <c r="I673" s="108">
        <v>110611010</v>
      </c>
      <c r="J673" s="108" t="str">
        <f t="shared" si="37"/>
        <v>0110611010</v>
      </c>
      <c r="K673" s="304" t="str">
        <f t="shared" si="36"/>
        <v>60607020110611010622</v>
      </c>
      <c r="L673" s="17"/>
      <c r="M673" s="16"/>
    </row>
    <row r="674" spans="1:13" s="24" customFormat="1" ht="47.25">
      <c r="A674" s="21"/>
      <c r="B674" s="132" t="s">
        <v>1281</v>
      </c>
      <c r="C674" s="109" t="s">
        <v>394</v>
      </c>
      <c r="D674" s="108" t="s">
        <v>229</v>
      </c>
      <c r="E674" s="108" t="s">
        <v>62</v>
      </c>
      <c r="F674" s="108" t="s">
        <v>1202</v>
      </c>
      <c r="G674" s="108" t="s">
        <v>9</v>
      </c>
      <c r="H674" s="105">
        <v>8797170.0500000007</v>
      </c>
      <c r="I674" s="108">
        <v>110677300</v>
      </c>
      <c r="J674" s="108" t="str">
        <f t="shared" si="37"/>
        <v>0110677300</v>
      </c>
      <c r="K674" s="304" t="str">
        <f t="shared" si="36"/>
        <v>60607020110677300000</v>
      </c>
      <c r="L674" s="132" t="str">
        <f>INDEX('реш СГД № 265'!$A:$N,MATCH('БА расх 2018 31 12 2018'!$K674,'реш СГД № 265'!$N:$N,0),3)</f>
        <v>Проведение работ по капитальному ремонту кровель в муниципальных общеобразовательных организациях  за счет средств бюджета Старвопольского края</v>
      </c>
      <c r="M674" s="17">
        <f t="shared" si="38"/>
        <v>1</v>
      </c>
    </row>
    <row r="675" spans="1:13" s="24" customFormat="1" ht="15.75">
      <c r="A675" s="21"/>
      <c r="B675" s="132" t="s">
        <v>403</v>
      </c>
      <c r="C675" s="109" t="s">
        <v>394</v>
      </c>
      <c r="D675" s="108" t="s">
        <v>229</v>
      </c>
      <c r="E675" s="108" t="s">
        <v>62</v>
      </c>
      <c r="F675" s="108" t="s">
        <v>1202</v>
      </c>
      <c r="G675" s="108" t="s">
        <v>404</v>
      </c>
      <c r="H675" s="105">
        <v>8797170.0500000007</v>
      </c>
      <c r="I675" s="108">
        <v>110677300</v>
      </c>
      <c r="J675" s="108" t="str">
        <f t="shared" si="37"/>
        <v>0110677300</v>
      </c>
      <c r="K675" s="304" t="str">
        <f t="shared" si="36"/>
        <v>60607020110677300610</v>
      </c>
      <c r="L675" s="17" t="str">
        <f>INDEX('реш СГД № 265'!$A:$N,MATCH('БА расх 2018 31 12 2018'!$K675,'реш СГД № 265'!$N:$N,0),3)</f>
        <v>Субсидии бюджетным учреждениям</v>
      </c>
      <c r="M675" s="16">
        <f t="shared" si="38"/>
        <v>1</v>
      </c>
    </row>
    <row r="676" spans="1:13" s="24" customFormat="1" ht="15.75">
      <c r="A676" s="21"/>
      <c r="B676" s="127" t="s">
        <v>407</v>
      </c>
      <c r="C676" s="109" t="s">
        <v>394</v>
      </c>
      <c r="D676" s="108" t="s">
        <v>229</v>
      </c>
      <c r="E676" s="108" t="s">
        <v>62</v>
      </c>
      <c r="F676" s="108" t="s">
        <v>1202</v>
      </c>
      <c r="G676" s="108" t="s">
        <v>408</v>
      </c>
      <c r="H676" s="126">
        <v>8797170.0500000007</v>
      </c>
      <c r="I676" s="108">
        <v>110677300</v>
      </c>
      <c r="J676" s="108" t="str">
        <f t="shared" si="37"/>
        <v>0110677300</v>
      </c>
      <c r="K676" s="304" t="str">
        <f t="shared" si="36"/>
        <v>60607020110677300612</v>
      </c>
      <c r="L676" s="17"/>
      <c r="M676" s="16"/>
    </row>
    <row r="677" spans="1:13" s="24" customFormat="1" ht="47.25">
      <c r="A677" s="21"/>
      <c r="B677" s="125" t="s">
        <v>1279</v>
      </c>
      <c r="C677" s="109" t="s">
        <v>394</v>
      </c>
      <c r="D677" s="108" t="s">
        <v>229</v>
      </c>
      <c r="E677" s="108" t="s">
        <v>62</v>
      </c>
      <c r="F677" s="108" t="s">
        <v>463</v>
      </c>
      <c r="G677" s="108" t="s">
        <v>9</v>
      </c>
      <c r="H677" s="105">
        <v>2182427.21</v>
      </c>
      <c r="I677" s="108" t="s">
        <v>1206</v>
      </c>
      <c r="J677" s="108" t="str">
        <f t="shared" si="37"/>
        <v>01106S6690</v>
      </c>
      <c r="K677" s="304" t="str">
        <f t="shared" ref="K677:K742" si="39">C677&amp;D677&amp;E677&amp;J677&amp;G677</f>
        <v>606070201106S6690000</v>
      </c>
      <c r="L677" s="17" t="str">
        <f>INDEX('реш СГД № 265'!$A:$N,MATCH('БА расх 2018 31 12 2018'!$K677,'реш СГД № 265'!$N:$N,0),3)</f>
        <v>Проведение работ по замене оконных блоков в муниципальных образовательных организациях Ставропольского края</v>
      </c>
      <c r="M677" s="16">
        <f t="shared" si="38"/>
        <v>1</v>
      </c>
    </row>
    <row r="678" spans="1:13" s="17" customFormat="1" ht="15.75">
      <c r="A678" s="14"/>
      <c r="B678" s="125" t="s">
        <v>1045</v>
      </c>
      <c r="C678" s="109"/>
      <c r="D678" s="108"/>
      <c r="E678" s="108"/>
      <c r="F678" s="108"/>
      <c r="G678" s="108"/>
      <c r="H678" s="126"/>
      <c r="I678" s="108"/>
      <c r="J678" s="108" t="str">
        <f t="shared" ref="J678:J753" si="40">TEXT(I678,"0000000000")</f>
        <v>0000000000</v>
      </c>
      <c r="K678" s="344" t="str">
        <f t="shared" si="39"/>
        <v>0000000000</v>
      </c>
      <c r="L678" s="132">
        <f>INDEX('реш СГД № 265'!$A:$N,MATCH('БА расх 2018 31 12 2018'!$K678,'реш СГД № 265'!$N:$N,0),3)</f>
        <v>0</v>
      </c>
      <c r="M678" s="17">
        <f t="shared" ref="M678:M753" si="41">IF(B678=L678,1,0)</f>
        <v>0</v>
      </c>
    </row>
    <row r="679" spans="1:13" s="17" customFormat="1" ht="15.75">
      <c r="A679" s="14"/>
      <c r="B679" s="125" t="s">
        <v>1050</v>
      </c>
      <c r="C679" s="109" t="s">
        <v>394</v>
      </c>
      <c r="D679" s="108" t="s">
        <v>229</v>
      </c>
      <c r="E679" s="108" t="s">
        <v>62</v>
      </c>
      <c r="F679" s="108" t="s">
        <v>463</v>
      </c>
      <c r="G679" s="108" t="s">
        <v>9</v>
      </c>
      <c r="H679" s="126">
        <v>371012.63</v>
      </c>
      <c r="I679" s="108" t="s">
        <v>1206</v>
      </c>
      <c r="J679" s="108" t="str">
        <f t="shared" si="40"/>
        <v>01106S6690</v>
      </c>
      <c r="K679" s="344" t="str">
        <f t="shared" si="39"/>
        <v>606070201106S6690000</v>
      </c>
      <c r="L679" s="132"/>
      <c r="M679" s="17">
        <f t="shared" si="41"/>
        <v>0</v>
      </c>
    </row>
    <row r="680" spans="1:13" s="17" customFormat="1" ht="15.75">
      <c r="A680" s="14"/>
      <c r="B680" s="125" t="s">
        <v>1051</v>
      </c>
      <c r="C680" s="109" t="s">
        <v>394</v>
      </c>
      <c r="D680" s="108" t="s">
        <v>229</v>
      </c>
      <c r="E680" s="108" t="s">
        <v>62</v>
      </c>
      <c r="F680" s="108" t="s">
        <v>463</v>
      </c>
      <c r="G680" s="108" t="s">
        <v>9</v>
      </c>
      <c r="H680" s="126">
        <v>1811414.58</v>
      </c>
      <c r="I680" s="108" t="s">
        <v>1206</v>
      </c>
      <c r="J680" s="108" t="str">
        <f t="shared" si="40"/>
        <v>01106S6690</v>
      </c>
      <c r="K680" s="344" t="str">
        <f t="shared" si="39"/>
        <v>606070201106S6690000</v>
      </c>
      <c r="L680" s="132"/>
      <c r="M680" s="17">
        <f t="shared" si="41"/>
        <v>0</v>
      </c>
    </row>
    <row r="681" spans="1:13" s="24" customFormat="1" ht="15.75">
      <c r="A681" s="21"/>
      <c r="B681" s="125" t="s">
        <v>409</v>
      </c>
      <c r="C681" s="109" t="s">
        <v>394</v>
      </c>
      <c r="D681" s="108" t="s">
        <v>229</v>
      </c>
      <c r="E681" s="108" t="s">
        <v>62</v>
      </c>
      <c r="F681" s="108" t="s">
        <v>463</v>
      </c>
      <c r="G681" s="108" t="s">
        <v>410</v>
      </c>
      <c r="H681" s="105">
        <v>2182427.21</v>
      </c>
      <c r="I681" s="108" t="s">
        <v>1206</v>
      </c>
      <c r="J681" s="108" t="str">
        <f t="shared" si="40"/>
        <v>01106S6690</v>
      </c>
      <c r="K681" s="304" t="str">
        <f t="shared" si="39"/>
        <v>606070201106S6690620</v>
      </c>
      <c r="L681" s="17" t="str">
        <f>INDEX('реш СГД № 265'!$A:$N,MATCH('БА расх 2018 31 12 2018'!$K681,'реш СГД № 265'!$N:$N,0),3)</f>
        <v>Субсидии автономным учреждениям</v>
      </c>
      <c r="M681" s="16">
        <f t="shared" si="41"/>
        <v>1</v>
      </c>
    </row>
    <row r="682" spans="1:13" s="24" customFormat="1" ht="15.75">
      <c r="A682" s="21"/>
      <c r="B682" s="127" t="s">
        <v>428</v>
      </c>
      <c r="C682" s="109" t="s">
        <v>394</v>
      </c>
      <c r="D682" s="108" t="s">
        <v>229</v>
      </c>
      <c r="E682" s="108" t="s">
        <v>62</v>
      </c>
      <c r="F682" s="108" t="s">
        <v>463</v>
      </c>
      <c r="G682" s="108" t="s">
        <v>429</v>
      </c>
      <c r="H682" s="126">
        <v>2182427.21</v>
      </c>
      <c r="I682" s="108" t="s">
        <v>1206</v>
      </c>
      <c r="J682" s="108" t="str">
        <f t="shared" si="40"/>
        <v>01106S6690</v>
      </c>
      <c r="K682" s="304" t="str">
        <f t="shared" si="39"/>
        <v>606070201106S6690622</v>
      </c>
      <c r="L682" s="17"/>
      <c r="M682" s="16"/>
    </row>
    <row r="683" spans="1:13" s="24" customFormat="1" ht="45.6" customHeight="1">
      <c r="A683" s="21"/>
      <c r="B683" s="132" t="s">
        <v>1280</v>
      </c>
      <c r="C683" s="109" t="s">
        <v>394</v>
      </c>
      <c r="D683" s="108" t="s">
        <v>229</v>
      </c>
      <c r="E683" s="108" t="s">
        <v>62</v>
      </c>
      <c r="F683" s="108" t="s">
        <v>1119</v>
      </c>
      <c r="G683" s="108" t="s">
        <v>9</v>
      </c>
      <c r="H683" s="126">
        <v>10782217.93</v>
      </c>
      <c r="I683" s="108" t="s">
        <v>1203</v>
      </c>
      <c r="J683" s="108" t="str">
        <f t="shared" si="40"/>
        <v>01106S7300</v>
      </c>
      <c r="K683" s="304" t="str">
        <f t="shared" si="39"/>
        <v>606070201106S7300000</v>
      </c>
      <c r="L683" s="132" t="str">
        <f>INDEX('реш СГД № 265'!$A:$N,MATCH('БА расх 2018 31 12 2018'!$K683,'реш СГД № 265'!$N:$N,0),3)</f>
        <v xml:space="preserve">Проведение работ по капитальному ремонту кровель в муниципальных общеобразовательных организациях </v>
      </c>
      <c r="M683" s="17">
        <f t="shared" si="41"/>
        <v>1</v>
      </c>
    </row>
    <row r="684" spans="1:13" s="24" customFormat="1" ht="15.75">
      <c r="A684" s="21"/>
      <c r="B684" s="132" t="s">
        <v>403</v>
      </c>
      <c r="C684" s="109" t="s">
        <v>394</v>
      </c>
      <c r="D684" s="108" t="s">
        <v>229</v>
      </c>
      <c r="E684" s="108" t="s">
        <v>62</v>
      </c>
      <c r="F684" s="108" t="s">
        <v>1119</v>
      </c>
      <c r="G684" s="108" t="s">
        <v>404</v>
      </c>
      <c r="H684" s="126">
        <v>10782217.93</v>
      </c>
      <c r="I684" s="108" t="s">
        <v>1203</v>
      </c>
      <c r="J684" s="108" t="str">
        <f t="shared" si="40"/>
        <v>01106S7300</v>
      </c>
      <c r="K684" s="304" t="str">
        <f t="shared" si="39"/>
        <v>606070201106S7300610</v>
      </c>
      <c r="L684" s="17" t="str">
        <f>INDEX('реш СГД № 265'!$A:$N,MATCH('БА расх 2018 31 12 2018'!$K684,'реш СГД № 265'!$N:$N,0),3)</f>
        <v>Субсидии бюджетным учреждениям</v>
      </c>
      <c r="M684" s="16">
        <f t="shared" si="41"/>
        <v>1</v>
      </c>
    </row>
    <row r="685" spans="1:13" s="24" customFormat="1" ht="15.75">
      <c r="A685" s="21"/>
      <c r="B685" s="127" t="s">
        <v>407</v>
      </c>
      <c r="C685" s="109" t="s">
        <v>394</v>
      </c>
      <c r="D685" s="108" t="s">
        <v>229</v>
      </c>
      <c r="E685" s="108" t="s">
        <v>62</v>
      </c>
      <c r="F685" s="108" t="s">
        <v>1119</v>
      </c>
      <c r="G685" s="108" t="s">
        <v>408</v>
      </c>
      <c r="H685" s="126">
        <v>10782217.93</v>
      </c>
      <c r="I685" s="108" t="s">
        <v>1203</v>
      </c>
      <c r="J685" s="108" t="str">
        <f t="shared" si="40"/>
        <v>01106S7300</v>
      </c>
      <c r="K685" s="304" t="str">
        <f t="shared" si="39"/>
        <v>606070201106S7300612</v>
      </c>
      <c r="L685" s="17"/>
      <c r="M685" s="16"/>
    </row>
    <row r="686" spans="1:13" s="17" customFormat="1" ht="47.25">
      <c r="A686" s="14"/>
      <c r="B686" s="127" t="s">
        <v>146</v>
      </c>
      <c r="C686" s="109" t="s">
        <v>394</v>
      </c>
      <c r="D686" s="108" t="s">
        <v>229</v>
      </c>
      <c r="E686" s="108" t="s">
        <v>62</v>
      </c>
      <c r="F686" s="108" t="s">
        <v>147</v>
      </c>
      <c r="G686" s="108" t="s">
        <v>9</v>
      </c>
      <c r="H686" s="126">
        <v>11979001.02</v>
      </c>
      <c r="I686" s="108">
        <v>1500000000</v>
      </c>
      <c r="J686" s="108" t="str">
        <f t="shared" si="40"/>
        <v>1500000000</v>
      </c>
      <c r="K686" s="304" t="str">
        <f t="shared" si="39"/>
        <v>60607021500000000000</v>
      </c>
      <c r="L686" s="17" t="str">
        <f>INDEX('реш СГД № 265'!$A:$N,MATCH('БА расх 2018 31 12 2018'!$K686,'реш СГД № 265'!$N:$N,0),3)</f>
        <v>Муниципальная программа «Обеспечение безопасности, общественного порядка и профилактика правонарушений в городе Ставрополе»</v>
      </c>
      <c r="M686" s="16">
        <f t="shared" si="41"/>
        <v>1</v>
      </c>
    </row>
    <row r="687" spans="1:13" s="17" customFormat="1" ht="47.25">
      <c r="A687" s="14"/>
      <c r="B687" s="125" t="s">
        <v>1065</v>
      </c>
      <c r="C687" s="109" t="s">
        <v>394</v>
      </c>
      <c r="D687" s="108" t="s">
        <v>229</v>
      </c>
      <c r="E687" s="108" t="s">
        <v>62</v>
      </c>
      <c r="F687" s="108" t="s">
        <v>149</v>
      </c>
      <c r="G687" s="108" t="s">
        <v>9</v>
      </c>
      <c r="H687" s="126">
        <v>10083066</v>
      </c>
      <c r="I687" s="108">
        <v>1510000000</v>
      </c>
      <c r="J687" s="108" t="str">
        <f t="shared" si="40"/>
        <v>1510000000</v>
      </c>
      <c r="K687" s="304" t="str">
        <f t="shared" si="39"/>
        <v>60607021510000000000</v>
      </c>
      <c r="L687" s="17" t="str">
        <f>INDEX('реш СГД № 265'!$A:$N,MATCH('БА расх 2018 31 12 2018'!$K687,'реш СГД № 265'!$N:$N,0),3)</f>
        <v>Подпрограмма «Профилактика терроризма, экстремизма, межнациональных (межэтнических) конфликтов в городе Ставрополе»</v>
      </c>
      <c r="M687" s="16">
        <f t="shared" si="41"/>
        <v>1</v>
      </c>
    </row>
    <row r="688" spans="1:13" s="17" customFormat="1" ht="63">
      <c r="A688" s="14"/>
      <c r="B688" s="132" t="s">
        <v>1068</v>
      </c>
      <c r="C688" s="109" t="s">
        <v>394</v>
      </c>
      <c r="D688" s="108" t="s">
        <v>229</v>
      </c>
      <c r="E688" s="108" t="s">
        <v>62</v>
      </c>
      <c r="F688" s="108" t="s">
        <v>1069</v>
      </c>
      <c r="G688" s="108" t="s">
        <v>9</v>
      </c>
      <c r="H688" s="126">
        <v>10083066</v>
      </c>
      <c r="I688" s="108">
        <v>1510400000</v>
      </c>
      <c r="J688" s="108" t="str">
        <f t="shared" si="40"/>
        <v>1510400000</v>
      </c>
      <c r="K688" s="304" t="str">
        <f t="shared" si="39"/>
        <v>60607021510400000000</v>
      </c>
      <c r="L688" s="17" t="str">
        <f>INDEX('реш СГД № 265'!$A:$N,MATCH('БА расх 2018 31 12 2018'!$K688,'реш СГД № 265'!$N:$N,0),3)</f>
        <v>Основное мероприятие «Повышение уровня антитеррористической защищенности мест массового пребывания людей на территории города Ставрополя и муниципальных учреждений города Ставрополя»</v>
      </c>
      <c r="M688" s="16">
        <f t="shared" si="41"/>
        <v>1</v>
      </c>
    </row>
    <row r="689" spans="1:13" s="17" customFormat="1" ht="47.25">
      <c r="A689" s="14"/>
      <c r="B689" s="132" t="s">
        <v>152</v>
      </c>
      <c r="C689" s="109" t="s">
        <v>394</v>
      </c>
      <c r="D689" s="108" t="s">
        <v>229</v>
      </c>
      <c r="E689" s="108" t="s">
        <v>62</v>
      </c>
      <c r="F689" s="108" t="s">
        <v>1070</v>
      </c>
      <c r="G689" s="108" t="s">
        <v>9</v>
      </c>
      <c r="H689" s="126">
        <v>10083066</v>
      </c>
      <c r="I689" s="108">
        <v>1510420350</v>
      </c>
      <c r="J689" s="108" t="str">
        <f t="shared" si="40"/>
        <v>1510420350</v>
      </c>
      <c r="K689" s="304" t="str">
        <f t="shared" si="39"/>
        <v>60607021510420350000</v>
      </c>
      <c r="L689" s="17" t="str">
        <f>INDEX('реш СГД № 265'!$A:$N,MATCH('БА расх 2018 31 12 2018'!$K689,'реш СГД № 265'!$N:$N,0),3)</f>
        <v>Расходы на реализацию мероприятий, направленных на повышение уровня безопасности жизнедеятельности города Ставрополя</v>
      </c>
      <c r="M689" s="16">
        <f t="shared" si="41"/>
        <v>1</v>
      </c>
    </row>
    <row r="690" spans="1:13" s="17" customFormat="1" ht="15.75">
      <c r="A690" s="14"/>
      <c r="B690" s="132" t="s">
        <v>403</v>
      </c>
      <c r="C690" s="109" t="s">
        <v>394</v>
      </c>
      <c r="D690" s="108" t="s">
        <v>229</v>
      </c>
      <c r="E690" s="108" t="s">
        <v>62</v>
      </c>
      <c r="F690" s="108" t="s">
        <v>1070</v>
      </c>
      <c r="G690" s="108" t="s">
        <v>404</v>
      </c>
      <c r="H690" s="126">
        <v>10083066</v>
      </c>
      <c r="I690" s="108">
        <v>1510420350</v>
      </c>
      <c r="J690" s="108" t="str">
        <f t="shared" si="40"/>
        <v>1510420350</v>
      </c>
      <c r="K690" s="304" t="str">
        <f t="shared" si="39"/>
        <v>60607021510420350610</v>
      </c>
      <c r="L690" s="17" t="str">
        <f>INDEX('реш СГД № 265'!$A:$N,MATCH('БА расх 2018 31 12 2018'!$K690,'реш СГД № 265'!$N:$N,0),3)</f>
        <v>Субсидии бюджетным учреждениям</v>
      </c>
      <c r="M690" s="16">
        <f t="shared" si="41"/>
        <v>1</v>
      </c>
    </row>
    <row r="691" spans="1:13" s="24" customFormat="1" ht="15.75">
      <c r="A691" s="21"/>
      <c r="B691" s="125" t="s">
        <v>407</v>
      </c>
      <c r="C691" s="109" t="s">
        <v>394</v>
      </c>
      <c r="D691" s="108" t="s">
        <v>229</v>
      </c>
      <c r="E691" s="108" t="s">
        <v>62</v>
      </c>
      <c r="F691" s="108" t="s">
        <v>1070</v>
      </c>
      <c r="G691" s="108" t="s">
        <v>408</v>
      </c>
      <c r="H691" s="126">
        <v>10083066</v>
      </c>
      <c r="I691" s="108">
        <v>1510420350</v>
      </c>
      <c r="J691" s="108" t="str">
        <f t="shared" si="40"/>
        <v>1510420350</v>
      </c>
      <c r="K691" s="304" t="str">
        <f t="shared" si="39"/>
        <v>60607021510420350612</v>
      </c>
      <c r="L691" s="17"/>
      <c r="M691" s="16"/>
    </row>
    <row r="692" spans="1:13" s="17" customFormat="1" ht="15.75">
      <c r="A692" s="14"/>
      <c r="B692" s="127" t="s">
        <v>154</v>
      </c>
      <c r="C692" s="109" t="s">
        <v>394</v>
      </c>
      <c r="D692" s="108" t="s">
        <v>229</v>
      </c>
      <c r="E692" s="108" t="s">
        <v>62</v>
      </c>
      <c r="F692" s="108" t="s">
        <v>155</v>
      </c>
      <c r="G692" s="108" t="s">
        <v>9</v>
      </c>
      <c r="H692" s="126">
        <v>223816.66</v>
      </c>
      <c r="I692" s="108">
        <v>1520000000</v>
      </c>
      <c r="J692" s="108" t="str">
        <f t="shared" si="40"/>
        <v>1520000000</v>
      </c>
      <c r="K692" s="304" t="str">
        <f t="shared" si="39"/>
        <v>60607021520000000000</v>
      </c>
      <c r="L692" s="17" t="str">
        <f>INDEX('реш СГД № 265'!$A:$N,MATCH('БА расх 2018 31 12 2018'!$K692,'реш СГД № 265'!$N:$N,0),3)</f>
        <v xml:space="preserve">Подпрограмма «НЕзависимость» </v>
      </c>
      <c r="M692" s="16">
        <f t="shared" si="41"/>
        <v>1</v>
      </c>
    </row>
    <row r="693" spans="1:13" s="17" customFormat="1" ht="47.25">
      <c r="A693" s="14"/>
      <c r="B693" s="127" t="s">
        <v>160</v>
      </c>
      <c r="C693" s="109" t="s">
        <v>394</v>
      </c>
      <c r="D693" s="108" t="s">
        <v>229</v>
      </c>
      <c r="E693" s="108" t="s">
        <v>62</v>
      </c>
      <c r="F693" s="108" t="s">
        <v>161</v>
      </c>
      <c r="G693" s="108" t="s">
        <v>9</v>
      </c>
      <c r="H693" s="126">
        <v>223816.66</v>
      </c>
      <c r="I693" s="108">
        <v>1520200000</v>
      </c>
      <c r="J693" s="108" t="str">
        <f t="shared" si="40"/>
        <v>1520200000</v>
      </c>
      <c r="K693" s="304" t="str">
        <f t="shared" si="39"/>
        <v>60607021520200000000</v>
      </c>
      <c r="L693" s="17" t="str">
        <f>INDEX('реш СГД № 265'!$A:$N,MATCH('БА расх 2018 31 12 2018'!$K693,'реш СГД № 265'!$N:$N,0),3)</f>
        <v>Основное мероприятие «Профилактика зависимости от наркотических и других психоактивных веществ среди детей и молодежи»</v>
      </c>
      <c r="M693" s="16">
        <f t="shared" si="41"/>
        <v>1</v>
      </c>
    </row>
    <row r="694" spans="1:13" s="17" customFormat="1" ht="78.75">
      <c r="A694" s="14"/>
      <c r="B694" s="129" t="s">
        <v>158</v>
      </c>
      <c r="C694" s="109" t="s">
        <v>394</v>
      </c>
      <c r="D694" s="108" t="s">
        <v>229</v>
      </c>
      <c r="E694" s="108" t="s">
        <v>62</v>
      </c>
      <c r="F694" s="108" t="s">
        <v>162</v>
      </c>
      <c r="G694" s="108" t="s">
        <v>9</v>
      </c>
      <c r="H694" s="126">
        <v>223816.66</v>
      </c>
      <c r="I694" s="108">
        <v>1520220370</v>
      </c>
      <c r="J694" s="108" t="str">
        <f t="shared" si="40"/>
        <v>1520220370</v>
      </c>
      <c r="K694" s="304" t="str">
        <f t="shared" si="39"/>
        <v>60607021520220370000</v>
      </c>
      <c r="L694" s="17" t="str">
        <f>INDEX('реш СГД № 265'!$A:$N,MATCH('БА расх 2018 31 12 2018'!$K694,'реш СГД № 265'!$N:$N,0),3)</f>
        <v>Расходы на реализацию мероприятий по профилактике незаконного потребления наркотических средств и психотропных веществ, наркомании и снижение их потребления среди подростков и молодежи города Ставрополя</v>
      </c>
      <c r="M694" s="16">
        <f t="shared" si="41"/>
        <v>1</v>
      </c>
    </row>
    <row r="695" spans="1:13" s="17" customFormat="1" ht="15.75">
      <c r="A695" s="14"/>
      <c r="B695" s="132" t="s">
        <v>403</v>
      </c>
      <c r="C695" s="109" t="s">
        <v>394</v>
      </c>
      <c r="D695" s="108" t="s">
        <v>229</v>
      </c>
      <c r="E695" s="108" t="s">
        <v>62</v>
      </c>
      <c r="F695" s="108" t="s">
        <v>162</v>
      </c>
      <c r="G695" s="108" t="s">
        <v>404</v>
      </c>
      <c r="H695" s="126">
        <v>223816.66</v>
      </c>
      <c r="I695" s="108">
        <v>1520220370</v>
      </c>
      <c r="J695" s="108" t="str">
        <f t="shared" si="40"/>
        <v>1520220370</v>
      </c>
      <c r="K695" s="304" t="str">
        <f t="shared" si="39"/>
        <v>60607021520220370610</v>
      </c>
      <c r="L695" s="17" t="str">
        <f>INDEX('реш СГД № 265'!$A:$N,MATCH('БА расх 2018 31 12 2018'!$K695,'реш СГД № 265'!$N:$N,0),3)</f>
        <v>Субсидии бюджетным учреждениям</v>
      </c>
      <c r="M695" s="16">
        <f t="shared" si="41"/>
        <v>1</v>
      </c>
    </row>
    <row r="696" spans="1:13" s="24" customFormat="1" ht="15.75">
      <c r="A696" s="21"/>
      <c r="B696" s="127" t="s">
        <v>407</v>
      </c>
      <c r="C696" s="109" t="s">
        <v>394</v>
      </c>
      <c r="D696" s="108" t="s">
        <v>229</v>
      </c>
      <c r="E696" s="108" t="s">
        <v>62</v>
      </c>
      <c r="F696" s="108" t="s">
        <v>162</v>
      </c>
      <c r="G696" s="108" t="s">
        <v>408</v>
      </c>
      <c r="H696" s="126">
        <v>223816.66</v>
      </c>
      <c r="I696" s="108">
        <v>1520220370</v>
      </c>
      <c r="J696" s="108" t="str">
        <f t="shared" si="40"/>
        <v>1520220370</v>
      </c>
      <c r="K696" s="304" t="str">
        <f t="shared" si="39"/>
        <v>60607021520220370612</v>
      </c>
      <c r="L696" s="17"/>
      <c r="M696" s="16"/>
    </row>
    <row r="697" spans="1:13" s="17" customFormat="1" ht="31.5">
      <c r="A697" s="14"/>
      <c r="B697" s="125" t="s">
        <v>168</v>
      </c>
      <c r="C697" s="109" t="s">
        <v>394</v>
      </c>
      <c r="D697" s="108" t="s">
        <v>229</v>
      </c>
      <c r="E697" s="108" t="s">
        <v>62</v>
      </c>
      <c r="F697" s="108" t="s">
        <v>169</v>
      </c>
      <c r="G697" s="108" t="s">
        <v>9</v>
      </c>
      <c r="H697" s="126">
        <v>1672118.36</v>
      </c>
      <c r="I697" s="108">
        <v>1530000000</v>
      </c>
      <c r="J697" s="108" t="str">
        <f t="shared" si="40"/>
        <v>1530000000</v>
      </c>
      <c r="K697" s="304" t="str">
        <f t="shared" si="39"/>
        <v>60607021530000000000</v>
      </c>
      <c r="L697" s="17" t="str">
        <f>INDEX('реш СГД № 265'!$A:$N,MATCH('БА расх 2018 31 12 2018'!$K697,'реш СГД № 265'!$N:$N,0),3)</f>
        <v xml:space="preserve">Подпрограмма «Профилактика правонарушений в городе Ставрополе» </v>
      </c>
      <c r="M697" s="16">
        <f t="shared" si="41"/>
        <v>1</v>
      </c>
    </row>
    <row r="698" spans="1:13" s="17" customFormat="1" ht="31.5">
      <c r="A698" s="14"/>
      <c r="B698" s="125" t="s">
        <v>374</v>
      </c>
      <c r="C698" s="109" t="s">
        <v>394</v>
      </c>
      <c r="D698" s="108" t="s">
        <v>229</v>
      </c>
      <c r="E698" s="108" t="s">
        <v>62</v>
      </c>
      <c r="F698" s="108" t="s">
        <v>375</v>
      </c>
      <c r="G698" s="108" t="s">
        <v>9</v>
      </c>
      <c r="H698" s="126">
        <v>1672118.36</v>
      </c>
      <c r="I698" s="108">
        <v>1530100000</v>
      </c>
      <c r="J698" s="108" t="str">
        <f t="shared" si="40"/>
        <v>1530100000</v>
      </c>
      <c r="K698" s="304" t="str">
        <f t="shared" si="39"/>
        <v>60607021530100000000</v>
      </c>
      <c r="L698" s="17" t="str">
        <f>INDEX('реш СГД № 265'!$A:$N,MATCH('БА расх 2018 31 12 2018'!$K698,'реш СГД № 265'!$N:$N,0),3)</f>
        <v>Основное мероприятие «Профилактика правонарушений несовершеннолетних»</v>
      </c>
      <c r="M698" s="16">
        <f t="shared" si="41"/>
        <v>1</v>
      </c>
    </row>
    <row r="699" spans="1:13" s="17" customFormat="1" ht="31.5">
      <c r="A699" s="14"/>
      <c r="B699" s="125" t="s">
        <v>376</v>
      </c>
      <c r="C699" s="109" t="s">
        <v>394</v>
      </c>
      <c r="D699" s="108" t="s">
        <v>229</v>
      </c>
      <c r="E699" s="108" t="s">
        <v>62</v>
      </c>
      <c r="F699" s="108" t="s">
        <v>377</v>
      </c>
      <c r="G699" s="108" t="s">
        <v>9</v>
      </c>
      <c r="H699" s="126">
        <v>1672118.36</v>
      </c>
      <c r="I699" s="108">
        <v>1530120660</v>
      </c>
      <c r="J699" s="108" t="str">
        <f t="shared" si="40"/>
        <v>1530120660</v>
      </c>
      <c r="K699" s="304" t="str">
        <f t="shared" si="39"/>
        <v>60607021530120660000</v>
      </c>
      <c r="L699" s="17" t="str">
        <f>INDEX('реш СГД № 265'!$A:$N,MATCH('БА расх 2018 31 12 2018'!$K699,'реш СГД № 265'!$N:$N,0),3)</f>
        <v>Расходы на реализацию мероприятий, направленных на профилактику правонарушений в городе Ставрополе</v>
      </c>
      <c r="M699" s="16">
        <f t="shared" si="41"/>
        <v>1</v>
      </c>
    </row>
    <row r="700" spans="1:13" s="17" customFormat="1" ht="15.75">
      <c r="A700" s="14"/>
      <c r="B700" s="132" t="s">
        <v>403</v>
      </c>
      <c r="C700" s="109" t="s">
        <v>394</v>
      </c>
      <c r="D700" s="108" t="s">
        <v>229</v>
      </c>
      <c r="E700" s="108" t="s">
        <v>62</v>
      </c>
      <c r="F700" s="108" t="s">
        <v>377</v>
      </c>
      <c r="G700" s="108" t="s">
        <v>404</v>
      </c>
      <c r="H700" s="126">
        <v>1581229.52</v>
      </c>
      <c r="I700" s="108">
        <v>1530120660</v>
      </c>
      <c r="J700" s="108" t="str">
        <f t="shared" si="40"/>
        <v>1530120660</v>
      </c>
      <c r="K700" s="304" t="str">
        <f t="shared" si="39"/>
        <v>60607021530120660610</v>
      </c>
      <c r="L700" s="17" t="str">
        <f>INDEX('реш СГД № 265'!$A:$N,MATCH('БА расх 2018 31 12 2018'!$K700,'реш СГД № 265'!$N:$N,0),3)</f>
        <v>Субсидии бюджетным учреждениям</v>
      </c>
      <c r="M700" s="16">
        <f t="shared" si="41"/>
        <v>1</v>
      </c>
    </row>
    <row r="701" spans="1:13" s="24" customFormat="1" ht="15.75">
      <c r="A701" s="21"/>
      <c r="B701" s="127" t="s">
        <v>407</v>
      </c>
      <c r="C701" s="109" t="s">
        <v>394</v>
      </c>
      <c r="D701" s="108" t="s">
        <v>229</v>
      </c>
      <c r="E701" s="108" t="s">
        <v>62</v>
      </c>
      <c r="F701" s="108" t="s">
        <v>377</v>
      </c>
      <c r="G701" s="108" t="s">
        <v>408</v>
      </c>
      <c r="H701" s="126">
        <v>1581229.52</v>
      </c>
      <c r="I701" s="108">
        <v>1530120660</v>
      </c>
      <c r="J701" s="108" t="str">
        <f t="shared" si="40"/>
        <v>1530120660</v>
      </c>
      <c r="K701" s="304" t="str">
        <f t="shared" si="39"/>
        <v>60607021530120660612</v>
      </c>
      <c r="L701" s="17"/>
      <c r="M701" s="16"/>
    </row>
    <row r="702" spans="1:13" s="24" customFormat="1" ht="15.75">
      <c r="A702" s="21"/>
      <c r="B702" s="132" t="s">
        <v>409</v>
      </c>
      <c r="C702" s="109" t="s">
        <v>394</v>
      </c>
      <c r="D702" s="108" t="s">
        <v>229</v>
      </c>
      <c r="E702" s="108" t="s">
        <v>62</v>
      </c>
      <c r="F702" s="108" t="s">
        <v>377</v>
      </c>
      <c r="G702" s="108" t="s">
        <v>410</v>
      </c>
      <c r="H702" s="126">
        <v>90888.84</v>
      </c>
      <c r="I702" s="108">
        <v>1530120660</v>
      </c>
      <c r="J702" s="108" t="str">
        <f t="shared" si="40"/>
        <v>1530120660</v>
      </c>
      <c r="K702" s="304" t="str">
        <f t="shared" si="39"/>
        <v>60607021530120660620</v>
      </c>
      <c r="L702" s="400" t="e">
        <f>INDEX('реш СГД № 265'!$A:$N,MATCH('БА расх 2018 31 12 2018'!$K702,'реш СГД № 265'!$N:$N,0),3)</f>
        <v>#N/A</v>
      </c>
      <c r="M702" s="17" t="e">
        <f t="shared" si="41"/>
        <v>#N/A</v>
      </c>
    </row>
    <row r="703" spans="1:13" s="24" customFormat="1" ht="15.75">
      <c r="A703" s="21"/>
      <c r="B703" s="127" t="s">
        <v>428</v>
      </c>
      <c r="C703" s="109" t="s">
        <v>394</v>
      </c>
      <c r="D703" s="108" t="s">
        <v>229</v>
      </c>
      <c r="E703" s="108" t="s">
        <v>62</v>
      </c>
      <c r="F703" s="108" t="s">
        <v>377</v>
      </c>
      <c r="G703" s="108" t="s">
        <v>429</v>
      </c>
      <c r="H703" s="126">
        <v>90888.84</v>
      </c>
      <c r="I703" s="108">
        <v>1530120660</v>
      </c>
      <c r="J703" s="108" t="str">
        <f t="shared" si="40"/>
        <v>1530120660</v>
      </c>
      <c r="K703" s="304" t="str">
        <f t="shared" si="39"/>
        <v>60607021530120660622</v>
      </c>
      <c r="L703" s="17"/>
      <c r="M703" s="16"/>
    </row>
    <row r="704" spans="1:13" s="17" customFormat="1" ht="78.75">
      <c r="A704" s="14"/>
      <c r="B704" s="125" t="s">
        <v>420</v>
      </c>
      <c r="C704" s="109" t="s">
        <v>394</v>
      </c>
      <c r="D704" s="108" t="s">
        <v>229</v>
      </c>
      <c r="E704" s="108" t="s">
        <v>62</v>
      </c>
      <c r="F704" s="108" t="s">
        <v>421</v>
      </c>
      <c r="G704" s="108" t="s">
        <v>9</v>
      </c>
      <c r="H704" s="126">
        <v>5970596.29</v>
      </c>
      <c r="I704" s="108">
        <v>1600000000</v>
      </c>
      <c r="J704" s="108" t="str">
        <f t="shared" si="40"/>
        <v>1600000000</v>
      </c>
      <c r="K704" s="304" t="str">
        <f t="shared" si="39"/>
        <v>60607021600000000000</v>
      </c>
      <c r="L704" s="17" t="str">
        <f>INDEX('реш СГД № 265'!$A:$N,MATCH('БА расх 2018 31 12 2018'!$K704,'реш СГД № 265'!$N:$N,0),3)</f>
        <v>Муниципальная программа «Обеспечение гражданской обороны, пожарной безопасности, безопасности людей на водных объектах, организация деятельности аварийно-спасательных служб, защита населения и территории города Ставрополя от чрезвычайных ситуаций»</v>
      </c>
      <c r="M704" s="16">
        <f t="shared" si="41"/>
        <v>1</v>
      </c>
    </row>
    <row r="705" spans="1:13" s="17" customFormat="1" ht="31.5">
      <c r="A705" s="14"/>
      <c r="B705" s="125" t="s">
        <v>422</v>
      </c>
      <c r="C705" s="109" t="s">
        <v>394</v>
      </c>
      <c r="D705" s="108" t="s">
        <v>229</v>
      </c>
      <c r="E705" s="108" t="s">
        <v>62</v>
      </c>
      <c r="F705" s="108" t="s">
        <v>423</v>
      </c>
      <c r="G705" s="108" t="s">
        <v>9</v>
      </c>
      <c r="H705" s="126">
        <v>5970596.29</v>
      </c>
      <c r="I705" s="108">
        <v>1620000000</v>
      </c>
      <c r="J705" s="108" t="str">
        <f t="shared" si="40"/>
        <v>1620000000</v>
      </c>
      <c r="K705" s="304" t="str">
        <f t="shared" si="39"/>
        <v>60607021620000000000</v>
      </c>
      <c r="L705" s="17" t="str">
        <f>INDEX('реш СГД № 265'!$A:$N,MATCH('БА расх 2018 31 12 2018'!$K705,'реш СГД № 265'!$N:$N,0),3)</f>
        <v>Подпрограмма «Обеспечение пожарной безопасности в границах города Ставрополя»</v>
      </c>
      <c r="M705" s="16">
        <f t="shared" si="41"/>
        <v>1</v>
      </c>
    </row>
    <row r="706" spans="1:13" s="17" customFormat="1" ht="47.25">
      <c r="A706" s="14"/>
      <c r="B706" s="125" t="s">
        <v>424</v>
      </c>
      <c r="C706" s="109" t="s">
        <v>394</v>
      </c>
      <c r="D706" s="108" t="s">
        <v>229</v>
      </c>
      <c r="E706" s="108" t="s">
        <v>62</v>
      </c>
      <c r="F706" s="108" t="s">
        <v>425</v>
      </c>
      <c r="G706" s="108" t="s">
        <v>9</v>
      </c>
      <c r="H706" s="126">
        <v>5970596.29</v>
      </c>
      <c r="I706" s="108">
        <v>1620200000</v>
      </c>
      <c r="J706" s="108" t="str">
        <f t="shared" si="40"/>
        <v>1620200000</v>
      </c>
      <c r="K706" s="304" t="str">
        <f t="shared" si="39"/>
        <v>60607021620200000000</v>
      </c>
      <c r="L706" s="17" t="str">
        <f>INDEX('реш СГД № 265'!$A:$N,MATCH('БА расх 2018 31 12 2018'!$K706,'реш СГД № 265'!$N:$N,0),3)</f>
        <v>Основное мероприятие «Выполнение противопожарных мероприятий в муниципальных учреждениях города Ставрополя»</v>
      </c>
      <c r="M706" s="16">
        <f t="shared" si="41"/>
        <v>1</v>
      </c>
    </row>
    <row r="707" spans="1:13" s="17" customFormat="1" ht="47.25">
      <c r="A707" s="14"/>
      <c r="B707" s="125" t="s">
        <v>426</v>
      </c>
      <c r="C707" s="109" t="s">
        <v>394</v>
      </c>
      <c r="D707" s="108" t="s">
        <v>229</v>
      </c>
      <c r="E707" s="108" t="s">
        <v>62</v>
      </c>
      <c r="F707" s="108" t="s">
        <v>427</v>
      </c>
      <c r="G707" s="108" t="s">
        <v>9</v>
      </c>
      <c r="H707" s="126">
        <v>5970596.29</v>
      </c>
      <c r="I707" s="108">
        <v>1620220550</v>
      </c>
      <c r="J707" s="108" t="str">
        <f t="shared" si="40"/>
        <v>1620220550</v>
      </c>
      <c r="K707" s="304" t="str">
        <f t="shared" si="39"/>
        <v>60607021620220550000</v>
      </c>
      <c r="L707" s="17" t="str">
        <f>INDEX('реш СГД № 265'!$A:$N,MATCH('БА расх 2018 31 12 2018'!$K707,'реш СГД № 265'!$N:$N,0),3)</f>
        <v>Обеспечение пожарной безопасности в муниципальных учреждениях образования, культуры, физической культуры и спорта города Ставрополя</v>
      </c>
      <c r="M707" s="16">
        <f t="shared" si="41"/>
        <v>1</v>
      </c>
    </row>
    <row r="708" spans="1:13" s="17" customFormat="1" ht="15.75">
      <c r="A708" s="14"/>
      <c r="B708" s="132" t="s">
        <v>403</v>
      </c>
      <c r="C708" s="109" t="s">
        <v>394</v>
      </c>
      <c r="D708" s="108" t="s">
        <v>229</v>
      </c>
      <c r="E708" s="108" t="s">
        <v>62</v>
      </c>
      <c r="F708" s="108" t="s">
        <v>427</v>
      </c>
      <c r="G708" s="108" t="s">
        <v>404</v>
      </c>
      <c r="H708" s="126">
        <v>5350926.29</v>
      </c>
      <c r="I708" s="108">
        <v>1620220550</v>
      </c>
      <c r="J708" s="108" t="str">
        <f t="shared" si="40"/>
        <v>1620220550</v>
      </c>
      <c r="K708" s="304" t="str">
        <f t="shared" si="39"/>
        <v>60607021620220550610</v>
      </c>
      <c r="L708" s="17" t="str">
        <f>INDEX('реш СГД № 265'!$A:$N,MATCH('БА расх 2018 31 12 2018'!$K708,'реш СГД № 265'!$N:$N,0),3)</f>
        <v>Субсидии бюджетным учреждениям</v>
      </c>
      <c r="M708" s="16">
        <f t="shared" si="41"/>
        <v>1</v>
      </c>
    </row>
    <row r="709" spans="1:13" s="24" customFormat="1" ht="15.75">
      <c r="A709" s="21"/>
      <c r="B709" s="127" t="s">
        <v>407</v>
      </c>
      <c r="C709" s="109" t="s">
        <v>394</v>
      </c>
      <c r="D709" s="108" t="s">
        <v>229</v>
      </c>
      <c r="E709" s="108" t="s">
        <v>62</v>
      </c>
      <c r="F709" s="108" t="s">
        <v>427</v>
      </c>
      <c r="G709" s="108" t="s">
        <v>408</v>
      </c>
      <c r="H709" s="126">
        <v>5350926.29</v>
      </c>
      <c r="I709" s="108">
        <v>1620220550</v>
      </c>
      <c r="J709" s="108" t="str">
        <f t="shared" si="40"/>
        <v>1620220550</v>
      </c>
      <c r="K709" s="304" t="str">
        <f t="shared" si="39"/>
        <v>60607021620220550612</v>
      </c>
      <c r="L709" s="17"/>
      <c r="M709" s="16"/>
    </row>
    <row r="710" spans="1:13" s="17" customFormat="1" ht="15.75">
      <c r="A710" s="14"/>
      <c r="B710" s="132" t="s">
        <v>409</v>
      </c>
      <c r="C710" s="109" t="s">
        <v>394</v>
      </c>
      <c r="D710" s="108" t="s">
        <v>229</v>
      </c>
      <c r="E710" s="108" t="s">
        <v>62</v>
      </c>
      <c r="F710" s="108" t="s">
        <v>427</v>
      </c>
      <c r="G710" s="108" t="s">
        <v>410</v>
      </c>
      <c r="H710" s="126">
        <v>619670</v>
      </c>
      <c r="I710" s="108">
        <v>1620220550</v>
      </c>
      <c r="J710" s="108" t="str">
        <f t="shared" si="40"/>
        <v>1620220550</v>
      </c>
      <c r="K710" s="304" t="str">
        <f t="shared" si="39"/>
        <v>60607021620220550620</v>
      </c>
      <c r="L710" s="17" t="str">
        <f>INDEX('реш СГД № 265'!$A:$N,MATCH('БА расх 2018 31 12 2018'!$K710,'реш СГД № 265'!$N:$N,0),3)</f>
        <v>Субсидии автономным учреждениям</v>
      </c>
      <c r="M710" s="16">
        <f t="shared" si="41"/>
        <v>1</v>
      </c>
    </row>
    <row r="711" spans="1:13" s="24" customFormat="1" ht="15.75">
      <c r="A711" s="21"/>
      <c r="B711" s="127" t="s">
        <v>428</v>
      </c>
      <c r="C711" s="109" t="s">
        <v>394</v>
      </c>
      <c r="D711" s="108" t="s">
        <v>229</v>
      </c>
      <c r="E711" s="108" t="s">
        <v>62</v>
      </c>
      <c r="F711" s="108" t="s">
        <v>427</v>
      </c>
      <c r="G711" s="108" t="s">
        <v>429</v>
      </c>
      <c r="H711" s="126">
        <v>619670</v>
      </c>
      <c r="I711" s="108">
        <v>1620220550</v>
      </c>
      <c r="J711" s="108" t="str">
        <f t="shared" si="40"/>
        <v>1620220550</v>
      </c>
      <c r="K711" s="304" t="str">
        <f t="shared" si="39"/>
        <v>60607021620220550622</v>
      </c>
      <c r="L711" s="17"/>
      <c r="M711" s="16"/>
    </row>
    <row r="712" spans="1:13" s="17" customFormat="1" ht="47.25">
      <c r="A712" s="14"/>
      <c r="B712" s="125" t="s">
        <v>430</v>
      </c>
      <c r="C712" s="109" t="s">
        <v>394</v>
      </c>
      <c r="D712" s="108" t="s">
        <v>229</v>
      </c>
      <c r="E712" s="108" t="s">
        <v>62</v>
      </c>
      <c r="F712" s="108" t="s">
        <v>431</v>
      </c>
      <c r="G712" s="108" t="s">
        <v>9</v>
      </c>
      <c r="H712" s="126">
        <v>4654930.47</v>
      </c>
      <c r="I712" s="108">
        <v>1700000000</v>
      </c>
      <c r="J712" s="108" t="str">
        <f t="shared" si="40"/>
        <v>1700000000</v>
      </c>
      <c r="K712" s="304" t="str">
        <f t="shared" si="39"/>
        <v>60607021700000000000</v>
      </c>
      <c r="L712" s="17" t="str">
        <f>INDEX('реш СГД № 265'!$A:$N,MATCH('БА расх 2018 31 12 2018'!$K712,'реш СГД № 265'!$N:$N,0),3)</f>
        <v>Муниципальная программа «Энергосбережение и повышение энергетической эффективности в городе Ставрополе»</v>
      </c>
      <c r="M712" s="16">
        <f t="shared" si="41"/>
        <v>1</v>
      </c>
    </row>
    <row r="713" spans="1:13" s="17" customFormat="1" ht="47.25">
      <c r="A713" s="14"/>
      <c r="B713" s="129" t="s">
        <v>432</v>
      </c>
      <c r="C713" s="109" t="s">
        <v>394</v>
      </c>
      <c r="D713" s="108" t="s">
        <v>229</v>
      </c>
      <c r="E713" s="108" t="s">
        <v>62</v>
      </c>
      <c r="F713" s="108" t="s">
        <v>433</v>
      </c>
      <c r="G713" s="108" t="s">
        <v>9</v>
      </c>
      <c r="H713" s="126">
        <v>4654930.47</v>
      </c>
      <c r="I713" s="108" t="s">
        <v>1198</v>
      </c>
      <c r="J713" s="108" t="str">
        <f t="shared" si="40"/>
        <v>17Б0000000</v>
      </c>
      <c r="K713" s="304" t="str">
        <f t="shared" si="39"/>
        <v>606070217Б0000000000</v>
      </c>
      <c r="L713" s="17" t="str">
        <f>INDEX('реш СГД № 265'!$A:$N,MATCH('БА расх 2018 31 12 2018'!$K713,'реш СГД № 265'!$N:$N,0),3)</f>
        <v>Расходы в рамках реализации муниципальной программы «Энергосбережение и повышение энергетической эффективности в городе Ставрополе»</v>
      </c>
      <c r="M713" s="16">
        <f t="shared" si="41"/>
        <v>1</v>
      </c>
    </row>
    <row r="714" spans="1:13" s="17" customFormat="1" ht="31.5">
      <c r="A714" s="14"/>
      <c r="B714" s="125" t="s">
        <v>434</v>
      </c>
      <c r="C714" s="109" t="s">
        <v>394</v>
      </c>
      <c r="D714" s="108" t="s">
        <v>229</v>
      </c>
      <c r="E714" s="108" t="s">
        <v>62</v>
      </c>
      <c r="F714" s="108" t="s">
        <v>435</v>
      </c>
      <c r="G714" s="108" t="s">
        <v>9</v>
      </c>
      <c r="H714" s="126">
        <v>4654930.47</v>
      </c>
      <c r="I714" s="108" t="s">
        <v>1199</v>
      </c>
      <c r="J714" s="108" t="str">
        <f t="shared" si="40"/>
        <v>17Б0100000</v>
      </c>
      <c r="K714" s="304" t="str">
        <f t="shared" si="39"/>
        <v>606070217Б0100000000</v>
      </c>
      <c r="L714" s="17" t="str">
        <f>INDEX('реш СГД № 265'!$A:$N,MATCH('БА расх 2018 31 12 2018'!$K714,'реш СГД № 265'!$N:$N,0),3)</f>
        <v>Основное мероприятие «Энергосбережение и энергоэффективность в бюджетном секторе»</v>
      </c>
      <c r="M714" s="16">
        <f t="shared" si="41"/>
        <v>1</v>
      </c>
    </row>
    <row r="715" spans="1:13" s="17" customFormat="1" ht="31.5">
      <c r="A715" s="14"/>
      <c r="B715" s="132" t="s">
        <v>436</v>
      </c>
      <c r="C715" s="109" t="s">
        <v>394</v>
      </c>
      <c r="D715" s="108" t="s">
        <v>229</v>
      </c>
      <c r="E715" s="108" t="s">
        <v>62</v>
      </c>
      <c r="F715" s="108" t="s">
        <v>437</v>
      </c>
      <c r="G715" s="108" t="s">
        <v>9</v>
      </c>
      <c r="H715" s="126">
        <v>4654930.47</v>
      </c>
      <c r="I715" s="108" t="s">
        <v>1200</v>
      </c>
      <c r="J715" s="108" t="str">
        <f t="shared" si="40"/>
        <v>17Б0120490</v>
      </c>
      <c r="K715" s="304" t="str">
        <f t="shared" si="39"/>
        <v>606070217Б0120490000</v>
      </c>
      <c r="L715" s="17" t="str">
        <f>INDEX('реш СГД № 265'!$A:$N,MATCH('БА расх 2018 31 12 2018'!$K715,'реш СГД № 265'!$N:$N,0),3)</f>
        <v>Расходы на проведение мероприятий по энергосбережению и повышению энергетической эффективности</v>
      </c>
      <c r="M715" s="16">
        <f t="shared" si="41"/>
        <v>1</v>
      </c>
    </row>
    <row r="716" spans="1:13" s="17" customFormat="1" ht="15.75">
      <c r="A716" s="14"/>
      <c r="B716" s="132" t="s">
        <v>403</v>
      </c>
      <c r="C716" s="109" t="s">
        <v>394</v>
      </c>
      <c r="D716" s="108" t="s">
        <v>229</v>
      </c>
      <c r="E716" s="108" t="s">
        <v>62</v>
      </c>
      <c r="F716" s="108" t="s">
        <v>437</v>
      </c>
      <c r="G716" s="108" t="s">
        <v>404</v>
      </c>
      <c r="H716" s="126">
        <v>4021319.56</v>
      </c>
      <c r="I716" s="108" t="s">
        <v>1200</v>
      </c>
      <c r="J716" s="108" t="str">
        <f t="shared" si="40"/>
        <v>17Б0120490</v>
      </c>
      <c r="K716" s="304" t="str">
        <f t="shared" si="39"/>
        <v>606070217Б0120490610</v>
      </c>
      <c r="L716" s="17" t="str">
        <f>INDEX('реш СГД № 265'!$A:$N,MATCH('БА расх 2018 31 12 2018'!$K716,'реш СГД № 265'!$N:$N,0),3)</f>
        <v>Субсидии бюджетным учреждениям</v>
      </c>
      <c r="M716" s="16">
        <f t="shared" si="41"/>
        <v>1</v>
      </c>
    </row>
    <row r="717" spans="1:13" s="24" customFormat="1" ht="15.75">
      <c r="A717" s="21"/>
      <c r="B717" s="127" t="s">
        <v>407</v>
      </c>
      <c r="C717" s="109" t="s">
        <v>394</v>
      </c>
      <c r="D717" s="108" t="s">
        <v>229</v>
      </c>
      <c r="E717" s="108" t="s">
        <v>62</v>
      </c>
      <c r="F717" s="108" t="s">
        <v>437</v>
      </c>
      <c r="G717" s="108" t="s">
        <v>408</v>
      </c>
      <c r="H717" s="126">
        <v>4021319.56</v>
      </c>
      <c r="I717" s="108" t="s">
        <v>1200</v>
      </c>
      <c r="J717" s="108" t="str">
        <f t="shared" si="40"/>
        <v>17Б0120490</v>
      </c>
      <c r="K717" s="304" t="str">
        <f t="shared" si="39"/>
        <v>606070217Б0120490612</v>
      </c>
      <c r="L717" s="17"/>
      <c r="M717" s="16"/>
    </row>
    <row r="718" spans="1:13" s="24" customFormat="1" ht="15.75">
      <c r="A718" s="21"/>
      <c r="B718" s="132" t="s">
        <v>409</v>
      </c>
      <c r="C718" s="109" t="s">
        <v>394</v>
      </c>
      <c r="D718" s="108" t="s">
        <v>229</v>
      </c>
      <c r="E718" s="108" t="s">
        <v>62</v>
      </c>
      <c r="F718" s="108" t="s">
        <v>437</v>
      </c>
      <c r="G718" s="108" t="s">
        <v>410</v>
      </c>
      <c r="H718" s="126">
        <v>633610.91</v>
      </c>
      <c r="I718" s="108" t="s">
        <v>1200</v>
      </c>
      <c r="J718" s="108" t="str">
        <f t="shared" si="40"/>
        <v>17Б0120490</v>
      </c>
      <c r="K718" s="304" t="str">
        <f t="shared" si="39"/>
        <v>606070217Б0120490620</v>
      </c>
      <c r="L718" s="17" t="str">
        <f>INDEX('реш СГД № 265'!$A:$N,MATCH('БА расх 2018 31 12 2018'!$K718,'реш СГД № 265'!$N:$N,0),3)</f>
        <v>Субсидии автономным учреждениям</v>
      </c>
      <c r="M718" s="16">
        <f t="shared" si="41"/>
        <v>1</v>
      </c>
    </row>
    <row r="719" spans="1:13" s="24" customFormat="1" ht="15.75">
      <c r="A719" s="21"/>
      <c r="B719" s="127" t="s">
        <v>428</v>
      </c>
      <c r="C719" s="109" t="s">
        <v>394</v>
      </c>
      <c r="D719" s="108" t="s">
        <v>229</v>
      </c>
      <c r="E719" s="108" t="s">
        <v>62</v>
      </c>
      <c r="F719" s="108" t="s">
        <v>437</v>
      </c>
      <c r="G719" s="108" t="s">
        <v>429</v>
      </c>
      <c r="H719" s="126">
        <v>633610.91</v>
      </c>
      <c r="I719" s="108" t="s">
        <v>1200</v>
      </c>
      <c r="J719" s="108" t="str">
        <f t="shared" si="40"/>
        <v>17Б0120490</v>
      </c>
      <c r="K719" s="304" t="str">
        <f t="shared" si="39"/>
        <v>606070217Б0120490622</v>
      </c>
      <c r="L719" s="17"/>
      <c r="M719" s="16"/>
    </row>
    <row r="720" spans="1:13" s="17" customFormat="1" ht="31.5">
      <c r="A720" s="14"/>
      <c r="B720" s="132" t="s">
        <v>174</v>
      </c>
      <c r="C720" s="109" t="s">
        <v>394</v>
      </c>
      <c r="D720" s="108" t="s">
        <v>229</v>
      </c>
      <c r="E720" s="108" t="s">
        <v>62</v>
      </c>
      <c r="F720" s="108" t="s">
        <v>175</v>
      </c>
      <c r="G720" s="108" t="s">
        <v>9</v>
      </c>
      <c r="H720" s="126">
        <v>91800</v>
      </c>
      <c r="I720" s="108">
        <v>1800000000</v>
      </c>
      <c r="J720" s="108" t="str">
        <f t="shared" si="40"/>
        <v>1800000000</v>
      </c>
      <c r="K720" s="304" t="str">
        <f t="shared" si="39"/>
        <v>60607021800000000000</v>
      </c>
      <c r="L720" s="17" t="str">
        <f>INDEX('реш СГД № 265'!$A:$N,MATCH('БА расх 2018 31 12 2018'!$K720,'реш СГД № 265'!$N:$N,0),3)</f>
        <v>Муниципальная программа «Развитие казачества в городе Ставрополе»</v>
      </c>
      <c r="M720" s="16">
        <f t="shared" si="41"/>
        <v>1</v>
      </c>
    </row>
    <row r="721" spans="1:13" s="17" customFormat="1" ht="31.5">
      <c r="A721" s="14"/>
      <c r="B721" s="132" t="s">
        <v>176</v>
      </c>
      <c r="C721" s="109" t="s">
        <v>394</v>
      </c>
      <c r="D721" s="108" t="s">
        <v>229</v>
      </c>
      <c r="E721" s="108" t="s">
        <v>62</v>
      </c>
      <c r="F721" s="108" t="s">
        <v>177</v>
      </c>
      <c r="G721" s="108" t="s">
        <v>9</v>
      </c>
      <c r="H721" s="126">
        <v>91800</v>
      </c>
      <c r="I721" s="108" t="s">
        <v>1167</v>
      </c>
      <c r="J721" s="108" t="str">
        <f t="shared" si="40"/>
        <v>18Б0000000</v>
      </c>
      <c r="K721" s="304" t="str">
        <f t="shared" si="39"/>
        <v>606070218Б0000000000</v>
      </c>
      <c r="L721" s="17" t="str">
        <f>INDEX('реш СГД № 265'!$A:$N,MATCH('БА расх 2018 31 12 2018'!$K721,'реш СГД № 265'!$N:$N,0),3)</f>
        <v>Расходы в рамках реализации муниципальной программы «Развитие казачества в городе Ставрополе»</v>
      </c>
      <c r="M721" s="16">
        <f t="shared" si="41"/>
        <v>1</v>
      </c>
    </row>
    <row r="722" spans="1:13" s="17" customFormat="1" ht="78.75">
      <c r="A722" s="14"/>
      <c r="B722" s="125" t="s">
        <v>454</v>
      </c>
      <c r="C722" s="109" t="s">
        <v>394</v>
      </c>
      <c r="D722" s="108" t="s">
        <v>229</v>
      </c>
      <c r="E722" s="108" t="s">
        <v>62</v>
      </c>
      <c r="F722" s="108" t="s">
        <v>455</v>
      </c>
      <c r="G722" s="108" t="s">
        <v>9</v>
      </c>
      <c r="H722" s="126">
        <v>91800</v>
      </c>
      <c r="I722" s="108" t="s">
        <v>1204</v>
      </c>
      <c r="J722" s="108" t="str">
        <f t="shared" si="40"/>
        <v>18Б0200000</v>
      </c>
      <c r="K722" s="304" t="str">
        <f t="shared" si="39"/>
        <v>606070218Б0200000000</v>
      </c>
      <c r="L722" s="17" t="str">
        <f>INDEX('реш СГД № 265'!$A:$N,MATCH('БА расх 2018 31 12 2018'!$K722,'реш СГД № 265'!$N:$N,0),3)</f>
        <v>Основное мероприятие «Развитие духовно-культурных основ казачества, использование в образовательном процессе культурно-исторических традиций казачества, военно-патриотического воспитания казачьей молодежи в городе Ставрополе»</v>
      </c>
      <c r="M722" s="16">
        <f t="shared" si="41"/>
        <v>1</v>
      </c>
    </row>
    <row r="723" spans="1:13" s="17" customFormat="1" ht="47.25">
      <c r="A723" s="14"/>
      <c r="B723" s="125" t="s">
        <v>456</v>
      </c>
      <c r="C723" s="109" t="s">
        <v>394</v>
      </c>
      <c r="D723" s="108" t="s">
        <v>229</v>
      </c>
      <c r="E723" s="108" t="s">
        <v>62</v>
      </c>
      <c r="F723" s="108" t="s">
        <v>457</v>
      </c>
      <c r="G723" s="108" t="s">
        <v>9</v>
      </c>
      <c r="H723" s="126">
        <v>91800</v>
      </c>
      <c r="I723" s="108" t="s">
        <v>1205</v>
      </c>
      <c r="J723" s="108" t="str">
        <f t="shared" si="40"/>
        <v>18Б0220360</v>
      </c>
      <c r="K723" s="304" t="str">
        <f t="shared" si="39"/>
        <v>606070218Б0220360000</v>
      </c>
      <c r="L723" s="17" t="str">
        <f>INDEX('реш СГД № 265'!$A:$N,MATCH('БА расх 2018 31 12 2018'!$K723,'реш СГД № 265'!$N:$N,0),3)</f>
        <v xml:space="preserve">Расходы на реализацию мероприятий, направленных на создание условий для развития казачества на территории города Ставрополя </v>
      </c>
      <c r="M723" s="16">
        <f t="shared" si="41"/>
        <v>1</v>
      </c>
    </row>
    <row r="724" spans="1:13" s="17" customFormat="1" ht="15.75">
      <c r="A724" s="14"/>
      <c r="B724" s="132" t="s">
        <v>403</v>
      </c>
      <c r="C724" s="109" t="s">
        <v>394</v>
      </c>
      <c r="D724" s="108" t="s">
        <v>229</v>
      </c>
      <c r="E724" s="108" t="s">
        <v>62</v>
      </c>
      <c r="F724" s="108" t="s">
        <v>457</v>
      </c>
      <c r="G724" s="108" t="s">
        <v>404</v>
      </c>
      <c r="H724" s="126">
        <v>91800</v>
      </c>
      <c r="I724" s="108" t="s">
        <v>1205</v>
      </c>
      <c r="J724" s="108" t="str">
        <f t="shared" si="40"/>
        <v>18Б0220360</v>
      </c>
      <c r="K724" s="304" t="str">
        <f t="shared" si="39"/>
        <v>606070218Б0220360610</v>
      </c>
      <c r="L724" s="17" t="str">
        <f>INDEX('реш СГД № 265'!$A:$N,MATCH('БА расх 2018 31 12 2018'!$K724,'реш СГД № 265'!$N:$N,0),3)</f>
        <v>Субсидии бюджетным учреждениям</v>
      </c>
      <c r="M724" s="16">
        <f t="shared" si="41"/>
        <v>1</v>
      </c>
    </row>
    <row r="725" spans="1:13" s="24" customFormat="1" ht="15.75">
      <c r="A725" s="21"/>
      <c r="B725" s="127" t="s">
        <v>407</v>
      </c>
      <c r="C725" s="109" t="s">
        <v>394</v>
      </c>
      <c r="D725" s="108" t="s">
        <v>229</v>
      </c>
      <c r="E725" s="108" t="s">
        <v>62</v>
      </c>
      <c r="F725" s="108" t="s">
        <v>457</v>
      </c>
      <c r="G725" s="108" t="s">
        <v>408</v>
      </c>
      <c r="H725" s="105">
        <v>91800</v>
      </c>
      <c r="I725" s="108" t="s">
        <v>1205</v>
      </c>
      <c r="J725" s="108" t="str">
        <f t="shared" si="40"/>
        <v>18Б0220360</v>
      </c>
      <c r="K725" s="304" t="str">
        <f t="shared" si="39"/>
        <v>606070218Б0220360612</v>
      </c>
      <c r="L725" s="17"/>
      <c r="M725" s="16"/>
    </row>
    <row r="726" spans="1:13" s="24" customFormat="1" ht="48" customHeight="1">
      <c r="A726" s="21"/>
      <c r="B726" s="125" t="s">
        <v>2426</v>
      </c>
      <c r="C726" s="109" t="s">
        <v>394</v>
      </c>
      <c r="D726" s="108" t="s">
        <v>229</v>
      </c>
      <c r="E726" s="108" t="s">
        <v>62</v>
      </c>
      <c r="F726" s="108" t="s">
        <v>88</v>
      </c>
      <c r="G726" s="108" t="s">
        <v>9</v>
      </c>
      <c r="H726" s="126">
        <v>11033500</v>
      </c>
      <c r="I726" s="108" t="s">
        <v>2378</v>
      </c>
      <c r="J726" s="108" t="str">
        <f t="shared" ref="J726:J732" si="42">TEXT(I726,"0000000000")</f>
        <v>9800000000</v>
      </c>
      <c r="K726" s="304" t="str">
        <f t="shared" ref="K726:K732" si="43">C726&amp;D726&amp;E726&amp;J726&amp;G726</f>
        <v>60607029800000000000</v>
      </c>
      <c r="L726" s="17" t="e">
        <f>INDEX('реш СГД № 265'!$A:$N,MATCH('БА расх 2018 31 12 2018'!$K726,'реш СГД № 265'!$N:$N,0),3)</f>
        <v>#N/A</v>
      </c>
      <c r="M726" s="16"/>
    </row>
    <row r="727" spans="1:13" s="24" customFormat="1" ht="24.75" customHeight="1">
      <c r="A727" s="21"/>
      <c r="B727" s="125" t="s">
        <v>2427</v>
      </c>
      <c r="C727" s="109" t="s">
        <v>394</v>
      </c>
      <c r="D727" s="108" t="s">
        <v>229</v>
      </c>
      <c r="E727" s="108" t="s">
        <v>62</v>
      </c>
      <c r="F727" s="108" t="s">
        <v>90</v>
      </c>
      <c r="G727" s="108" t="s">
        <v>9</v>
      </c>
      <c r="H727" s="126">
        <v>11033500</v>
      </c>
      <c r="I727" s="108" t="s">
        <v>2379</v>
      </c>
      <c r="J727" s="108" t="str">
        <f t="shared" si="42"/>
        <v>9810000000</v>
      </c>
      <c r="K727" s="304" t="str">
        <f t="shared" si="43"/>
        <v>60607029810000000000</v>
      </c>
      <c r="L727" s="17" t="e">
        <f>INDEX('реш СГД № 265'!$A:$N,MATCH('БА расх 2018 31 12 2018'!$K727,'реш СГД № 265'!$N:$N,0),3)</f>
        <v>#N/A</v>
      </c>
      <c r="M727" s="16"/>
    </row>
    <row r="728" spans="1:13" s="24" customFormat="1" ht="35.25" customHeight="1">
      <c r="A728" s="21"/>
      <c r="B728" s="125" t="s">
        <v>2425</v>
      </c>
      <c r="C728" s="109" t="s">
        <v>394</v>
      </c>
      <c r="D728" s="108" t="s">
        <v>229</v>
      </c>
      <c r="E728" s="108" t="s">
        <v>62</v>
      </c>
      <c r="F728" s="108" t="s">
        <v>2377</v>
      </c>
      <c r="G728" s="108" t="s">
        <v>9</v>
      </c>
      <c r="H728" s="126">
        <v>11033500</v>
      </c>
      <c r="I728" s="108" t="s">
        <v>2338</v>
      </c>
      <c r="J728" s="108" t="str">
        <f t="shared" si="42"/>
        <v>9810076900</v>
      </c>
      <c r="K728" s="304" t="str">
        <f t="shared" si="43"/>
        <v>60607029810076900000</v>
      </c>
      <c r="L728" s="17" t="e">
        <f>INDEX('реш СГД № 265'!$A:$N,MATCH('БА расх 2018 31 12 2018'!$K728,'реш СГД № 265'!$N:$N,0),3)</f>
        <v>#N/A</v>
      </c>
      <c r="M728" s="16"/>
    </row>
    <row r="729" spans="1:13" s="24" customFormat="1" ht="15.75">
      <c r="A729" s="21"/>
      <c r="B729" s="132" t="s">
        <v>403</v>
      </c>
      <c r="C729" s="109" t="s">
        <v>394</v>
      </c>
      <c r="D729" s="108" t="s">
        <v>229</v>
      </c>
      <c r="E729" s="108" t="s">
        <v>62</v>
      </c>
      <c r="F729" s="108" t="s">
        <v>2377</v>
      </c>
      <c r="G729" s="108" t="s">
        <v>404</v>
      </c>
      <c r="H729" s="126">
        <v>10231000</v>
      </c>
      <c r="I729" s="108" t="s">
        <v>2338</v>
      </c>
      <c r="J729" s="108" t="str">
        <f t="shared" si="42"/>
        <v>9810076900</v>
      </c>
      <c r="K729" s="304" t="str">
        <f t="shared" si="43"/>
        <v>60607029810076900610</v>
      </c>
      <c r="L729" s="17" t="e">
        <f>INDEX('реш СГД № 265'!$A:$N,MATCH('БА расх 2018 31 12 2018'!$K729,'реш СГД № 265'!$N:$N,0),3)</f>
        <v>#N/A</v>
      </c>
      <c r="M729" s="16"/>
    </row>
    <row r="730" spans="1:13" s="24" customFormat="1" ht="15.75">
      <c r="A730" s="21"/>
      <c r="B730" s="125" t="s">
        <v>407</v>
      </c>
      <c r="C730" s="109" t="s">
        <v>394</v>
      </c>
      <c r="D730" s="108" t="s">
        <v>229</v>
      </c>
      <c r="E730" s="108" t="s">
        <v>62</v>
      </c>
      <c r="F730" s="108" t="s">
        <v>2377</v>
      </c>
      <c r="G730" s="108" t="s">
        <v>408</v>
      </c>
      <c r="H730" s="126">
        <v>10231000</v>
      </c>
      <c r="I730" s="108" t="s">
        <v>2338</v>
      </c>
      <c r="J730" s="108" t="str">
        <f t="shared" si="42"/>
        <v>9810076900</v>
      </c>
      <c r="K730" s="304" t="str">
        <f t="shared" si="43"/>
        <v>60607029810076900612</v>
      </c>
      <c r="L730" s="17"/>
      <c r="M730" s="16"/>
    </row>
    <row r="731" spans="1:13" s="24" customFormat="1" ht="15.75">
      <c r="A731" s="21"/>
      <c r="B731" s="132" t="s">
        <v>409</v>
      </c>
      <c r="C731" s="109" t="s">
        <v>394</v>
      </c>
      <c r="D731" s="108" t="s">
        <v>229</v>
      </c>
      <c r="E731" s="108" t="s">
        <v>62</v>
      </c>
      <c r="F731" s="108" t="s">
        <v>2377</v>
      </c>
      <c r="G731" s="108" t="s">
        <v>410</v>
      </c>
      <c r="H731" s="126">
        <v>802500</v>
      </c>
      <c r="I731" s="108" t="s">
        <v>2338</v>
      </c>
      <c r="J731" s="108" t="str">
        <f t="shared" si="42"/>
        <v>9810076900</v>
      </c>
      <c r="K731" s="304" t="str">
        <f t="shared" si="43"/>
        <v>60607029810076900620</v>
      </c>
      <c r="L731" s="17" t="e">
        <f>INDEX('реш СГД № 265'!$A:$N,MATCH('БА расх 2018 31 12 2018'!$K731,'реш СГД № 265'!$N:$N,0),3)</f>
        <v>#N/A</v>
      </c>
      <c r="M731" s="16"/>
    </row>
    <row r="732" spans="1:13" s="24" customFormat="1" ht="15.75">
      <c r="A732" s="21"/>
      <c r="B732" s="125" t="s">
        <v>428</v>
      </c>
      <c r="C732" s="109" t="s">
        <v>394</v>
      </c>
      <c r="D732" s="108" t="s">
        <v>229</v>
      </c>
      <c r="E732" s="108" t="s">
        <v>62</v>
      </c>
      <c r="F732" s="108" t="s">
        <v>2377</v>
      </c>
      <c r="G732" s="108" t="s">
        <v>429</v>
      </c>
      <c r="H732" s="126">
        <v>802500</v>
      </c>
      <c r="I732" s="108" t="s">
        <v>2338</v>
      </c>
      <c r="J732" s="108" t="str">
        <f t="shared" si="42"/>
        <v>9810076900</v>
      </c>
      <c r="K732" s="304" t="str">
        <f t="shared" si="43"/>
        <v>60607029810076900622</v>
      </c>
      <c r="L732" s="17"/>
      <c r="M732" s="16"/>
    </row>
    <row r="733" spans="1:13" s="17" customFormat="1" ht="15.75">
      <c r="A733" s="14"/>
      <c r="B733" s="121" t="s">
        <v>458</v>
      </c>
      <c r="C733" s="122" t="s">
        <v>394</v>
      </c>
      <c r="D733" s="123" t="s">
        <v>229</v>
      </c>
      <c r="E733" s="123" t="s">
        <v>13</v>
      </c>
      <c r="F733" s="123" t="s">
        <v>8</v>
      </c>
      <c r="G733" s="123" t="s">
        <v>9</v>
      </c>
      <c r="H733" s="124">
        <v>240279950.24999997</v>
      </c>
      <c r="I733" s="123">
        <v>0</v>
      </c>
      <c r="J733" s="123" t="str">
        <f t="shared" si="40"/>
        <v>0000000000</v>
      </c>
      <c r="K733" s="304" t="str">
        <f t="shared" si="39"/>
        <v>60607030000000000000</v>
      </c>
      <c r="L733" s="17" t="str">
        <f>INDEX('реш СГД № 265'!$A:$N,MATCH('БА расх 2018 31 12 2018'!$K733,'реш СГД № 265'!$N:$N,0),3)</f>
        <v>Дополнительное образование детей</v>
      </c>
      <c r="M733" s="16">
        <f t="shared" si="41"/>
        <v>1</v>
      </c>
    </row>
    <row r="734" spans="1:13" s="17" customFormat="1" ht="31.5">
      <c r="A734" s="14"/>
      <c r="B734" s="132" t="s">
        <v>396</v>
      </c>
      <c r="C734" s="109" t="s">
        <v>394</v>
      </c>
      <c r="D734" s="108" t="s">
        <v>229</v>
      </c>
      <c r="E734" s="108" t="s">
        <v>13</v>
      </c>
      <c r="F734" s="108" t="s">
        <v>397</v>
      </c>
      <c r="G734" s="108" t="s">
        <v>9</v>
      </c>
      <c r="H734" s="126">
        <v>238450156.61999997</v>
      </c>
      <c r="I734" s="108">
        <v>100000000</v>
      </c>
      <c r="J734" s="108" t="str">
        <f t="shared" si="40"/>
        <v>0100000000</v>
      </c>
      <c r="K734" s="304" t="str">
        <f t="shared" si="39"/>
        <v>60607030100000000000</v>
      </c>
      <c r="L734" s="17" t="str">
        <f>INDEX('реш СГД № 265'!$A:$N,MATCH('БА расх 2018 31 12 2018'!$K734,'реш СГД № 265'!$N:$N,0),3)</f>
        <v>Муниципальная программа «Развитие образования в городе Ставрополе»</v>
      </c>
      <c r="M734" s="16">
        <f t="shared" si="41"/>
        <v>1</v>
      </c>
    </row>
    <row r="735" spans="1:13" s="17" customFormat="1" ht="31.5">
      <c r="A735" s="14"/>
      <c r="B735" s="132" t="s">
        <v>398</v>
      </c>
      <c r="C735" s="109" t="s">
        <v>394</v>
      </c>
      <c r="D735" s="108" t="s">
        <v>229</v>
      </c>
      <c r="E735" s="108" t="s">
        <v>13</v>
      </c>
      <c r="F735" s="108" t="s">
        <v>399</v>
      </c>
      <c r="G735" s="108" t="s">
        <v>9</v>
      </c>
      <c r="H735" s="126">
        <v>238450156.61999997</v>
      </c>
      <c r="I735" s="108">
        <v>110000000</v>
      </c>
      <c r="J735" s="108" t="str">
        <f t="shared" si="40"/>
        <v>0110000000</v>
      </c>
      <c r="K735" s="304" t="str">
        <f t="shared" si="39"/>
        <v>60607030110000000000</v>
      </c>
      <c r="L735" s="17" t="str">
        <f>INDEX('реш СГД № 265'!$A:$N,MATCH('БА расх 2018 31 12 2018'!$K735,'реш СГД № 265'!$N:$N,0),3)</f>
        <v>Подпрограмма «Организация дошкольного, общего и дополнительного образования»</v>
      </c>
      <c r="M735" s="16">
        <f t="shared" si="41"/>
        <v>1</v>
      </c>
    </row>
    <row r="736" spans="1:13" s="17" customFormat="1" ht="47.25">
      <c r="A736" s="14"/>
      <c r="B736" s="129" t="s">
        <v>459</v>
      </c>
      <c r="C736" s="130" t="s">
        <v>394</v>
      </c>
      <c r="D736" s="131" t="s">
        <v>229</v>
      </c>
      <c r="E736" s="131" t="s">
        <v>13</v>
      </c>
      <c r="F736" s="131" t="s">
        <v>460</v>
      </c>
      <c r="G736" s="131" t="s">
        <v>9</v>
      </c>
      <c r="H736" s="105">
        <v>232551838.61999997</v>
      </c>
      <c r="I736" s="131">
        <v>110300000</v>
      </c>
      <c r="J736" s="131" t="str">
        <f t="shared" si="40"/>
        <v>0110300000</v>
      </c>
      <c r="K736" s="304" t="str">
        <f t="shared" si="39"/>
        <v>60607030110300000000</v>
      </c>
      <c r="L736" s="17" t="str">
        <f>INDEX('реш СГД № 265'!$A:$N,MATCH('БА расх 2018 31 12 2018'!$K736,'реш СГД № 265'!$N:$N,0),3)</f>
        <v>Основное мероприятие «Организация предоставления дополнительного образования детей в муниципальных образовательных учреждениях»</v>
      </c>
      <c r="M736" s="16">
        <f t="shared" si="41"/>
        <v>1</v>
      </c>
    </row>
    <row r="737" spans="1:13" s="17" customFormat="1" ht="31.5">
      <c r="A737" s="14"/>
      <c r="B737" s="140" t="s">
        <v>136</v>
      </c>
      <c r="C737" s="130" t="s">
        <v>394</v>
      </c>
      <c r="D737" s="131" t="s">
        <v>229</v>
      </c>
      <c r="E737" s="131" t="s">
        <v>13</v>
      </c>
      <c r="F737" s="131" t="s">
        <v>461</v>
      </c>
      <c r="G737" s="131" t="s">
        <v>9</v>
      </c>
      <c r="H737" s="105">
        <v>202738063.45999998</v>
      </c>
      <c r="I737" s="131">
        <v>110311010</v>
      </c>
      <c r="J737" s="131" t="str">
        <f t="shared" si="40"/>
        <v>0110311010</v>
      </c>
      <c r="K737" s="304" t="str">
        <f t="shared" si="39"/>
        <v>60607030110311010000</v>
      </c>
      <c r="L737" s="17" t="str">
        <f>INDEX('реш СГД № 265'!$A:$N,MATCH('БА расх 2018 31 12 2018'!$K737,'реш СГД № 265'!$N:$N,0),3)</f>
        <v>Расходы на обеспечение деятельности (оказание услуг) муниципальных учреждений</v>
      </c>
      <c r="M737" s="16">
        <f t="shared" si="41"/>
        <v>1</v>
      </c>
    </row>
    <row r="738" spans="1:13" s="17" customFormat="1" ht="15.75">
      <c r="A738" s="14"/>
      <c r="B738" s="140" t="s">
        <v>403</v>
      </c>
      <c r="C738" s="130" t="s">
        <v>394</v>
      </c>
      <c r="D738" s="131" t="s">
        <v>229</v>
      </c>
      <c r="E738" s="131" t="s">
        <v>13</v>
      </c>
      <c r="F738" s="131" t="s">
        <v>461</v>
      </c>
      <c r="G738" s="131" t="s">
        <v>404</v>
      </c>
      <c r="H738" s="126">
        <v>127151673.81999999</v>
      </c>
      <c r="I738" s="131">
        <v>110311010</v>
      </c>
      <c r="J738" s="131" t="str">
        <f t="shared" si="40"/>
        <v>0110311010</v>
      </c>
      <c r="K738" s="304" t="str">
        <f t="shared" si="39"/>
        <v>60607030110311010610</v>
      </c>
      <c r="L738" s="17" t="str">
        <f>INDEX('реш СГД № 265'!$A:$N,MATCH('БА расх 2018 31 12 2018'!$K738,'реш СГД № 265'!$N:$N,0),3)</f>
        <v>Субсидии бюджетным учреждениям</v>
      </c>
      <c r="M738" s="16">
        <f t="shared" si="41"/>
        <v>1</v>
      </c>
    </row>
    <row r="739" spans="1:13" s="24" customFormat="1" ht="63">
      <c r="A739" s="21"/>
      <c r="B739" s="127" t="s">
        <v>405</v>
      </c>
      <c r="C739" s="130" t="s">
        <v>394</v>
      </c>
      <c r="D739" s="131" t="s">
        <v>229</v>
      </c>
      <c r="E739" s="131" t="s">
        <v>13</v>
      </c>
      <c r="F739" s="131" t="s">
        <v>461</v>
      </c>
      <c r="G739" s="108" t="s">
        <v>406</v>
      </c>
      <c r="H739" s="126">
        <v>127151673.81999999</v>
      </c>
      <c r="I739" s="131">
        <v>110311010</v>
      </c>
      <c r="J739" s="131" t="str">
        <f t="shared" si="40"/>
        <v>0110311010</v>
      </c>
      <c r="K739" s="304" t="str">
        <f t="shared" si="39"/>
        <v>60607030110311010611</v>
      </c>
      <c r="L739" s="17"/>
      <c r="M739" s="16"/>
    </row>
    <row r="740" spans="1:13" s="17" customFormat="1" ht="15.75">
      <c r="A740" s="14"/>
      <c r="B740" s="140" t="s">
        <v>409</v>
      </c>
      <c r="C740" s="130" t="s">
        <v>394</v>
      </c>
      <c r="D740" s="131" t="s">
        <v>229</v>
      </c>
      <c r="E740" s="131" t="s">
        <v>13</v>
      </c>
      <c r="F740" s="131" t="s">
        <v>461</v>
      </c>
      <c r="G740" s="131" t="s">
        <v>410</v>
      </c>
      <c r="H740" s="126">
        <v>75586389.640000001</v>
      </c>
      <c r="I740" s="131">
        <v>110311010</v>
      </c>
      <c r="J740" s="131" t="str">
        <f t="shared" si="40"/>
        <v>0110311010</v>
      </c>
      <c r="K740" s="304" t="str">
        <f t="shared" si="39"/>
        <v>60607030110311010620</v>
      </c>
      <c r="L740" s="17" t="str">
        <f>INDEX('реш СГД № 265'!$A:$N,MATCH('БА расх 2018 31 12 2018'!$K740,'реш СГД № 265'!$N:$N,0),3)</f>
        <v>Субсидии автономным учреждениям</v>
      </c>
      <c r="M740" s="16">
        <f t="shared" si="41"/>
        <v>1</v>
      </c>
    </row>
    <row r="741" spans="1:13" s="24" customFormat="1" ht="63">
      <c r="A741" s="21"/>
      <c r="B741" s="127" t="s">
        <v>411</v>
      </c>
      <c r="C741" s="130" t="s">
        <v>394</v>
      </c>
      <c r="D741" s="131" t="s">
        <v>229</v>
      </c>
      <c r="E741" s="131" t="s">
        <v>13</v>
      </c>
      <c r="F741" s="131" t="s">
        <v>461</v>
      </c>
      <c r="G741" s="108" t="s">
        <v>412</v>
      </c>
      <c r="H741" s="126">
        <v>74975389.640000001</v>
      </c>
      <c r="I741" s="131">
        <v>110311010</v>
      </c>
      <c r="J741" s="131" t="str">
        <f t="shared" si="40"/>
        <v>0110311010</v>
      </c>
      <c r="K741" s="304" t="str">
        <f t="shared" si="39"/>
        <v>60607030110311010621</v>
      </c>
      <c r="L741" s="17"/>
      <c r="M741" s="16"/>
    </row>
    <row r="742" spans="1:13" s="24" customFormat="1" ht="15.75">
      <c r="A742" s="21"/>
      <c r="B742" s="127" t="s">
        <v>428</v>
      </c>
      <c r="C742" s="130" t="s">
        <v>394</v>
      </c>
      <c r="D742" s="131" t="s">
        <v>229</v>
      </c>
      <c r="E742" s="131" t="s">
        <v>13</v>
      </c>
      <c r="F742" s="131" t="s">
        <v>461</v>
      </c>
      <c r="G742" s="108" t="s">
        <v>429</v>
      </c>
      <c r="H742" s="126">
        <v>611000</v>
      </c>
      <c r="I742" s="131">
        <v>110311010</v>
      </c>
      <c r="J742" s="131" t="str">
        <f t="shared" si="40"/>
        <v>0110311010</v>
      </c>
      <c r="K742" s="304" t="str">
        <f t="shared" si="39"/>
        <v>60607030110311010622</v>
      </c>
      <c r="L742" s="17"/>
      <c r="M742" s="16"/>
    </row>
    <row r="743" spans="1:13" s="24" customFormat="1" ht="67.5" customHeight="1">
      <c r="A743" s="21"/>
      <c r="B743" s="125" t="s">
        <v>2428</v>
      </c>
      <c r="C743" s="109" t="s">
        <v>394</v>
      </c>
      <c r="D743" s="108" t="s">
        <v>229</v>
      </c>
      <c r="E743" s="108" t="s">
        <v>13</v>
      </c>
      <c r="F743" s="108" t="s">
        <v>2380</v>
      </c>
      <c r="G743" s="108" t="s">
        <v>9</v>
      </c>
      <c r="H743" s="126">
        <v>4474560</v>
      </c>
      <c r="I743" s="131" t="s">
        <v>2382</v>
      </c>
      <c r="J743" s="131" t="str">
        <f t="shared" ref="J743:J747" si="44">TEXT(I743,"0000000000")</f>
        <v>0110377080</v>
      </c>
      <c r="K743" s="304" t="str">
        <f t="shared" ref="K743:K747" si="45">C743&amp;D743&amp;E743&amp;J743&amp;G743</f>
        <v>60607030110377080000</v>
      </c>
      <c r="L743" s="17" t="e">
        <f>INDEX('реш СГД № 265'!$A:$N,MATCH('БА расх 2018 31 12 2018'!$K743,'реш СГД № 265'!$N:$N,0),3)</f>
        <v>#N/A</v>
      </c>
      <c r="M743" s="16"/>
    </row>
    <row r="744" spans="1:13" s="24" customFormat="1" ht="15.75">
      <c r="A744" s="21"/>
      <c r="B744" s="132" t="s">
        <v>403</v>
      </c>
      <c r="C744" s="109" t="s">
        <v>394</v>
      </c>
      <c r="D744" s="108" t="s">
        <v>229</v>
      </c>
      <c r="E744" s="108" t="s">
        <v>13</v>
      </c>
      <c r="F744" s="108" t="s">
        <v>2380</v>
      </c>
      <c r="G744" s="108" t="s">
        <v>404</v>
      </c>
      <c r="H744" s="126">
        <v>1349760.92</v>
      </c>
      <c r="I744" s="131" t="s">
        <v>2382</v>
      </c>
      <c r="J744" s="131" t="str">
        <f t="shared" si="44"/>
        <v>0110377080</v>
      </c>
      <c r="K744" s="304" t="str">
        <f t="shared" si="45"/>
        <v>60607030110377080610</v>
      </c>
      <c r="L744" s="17" t="e">
        <f>INDEX('реш СГД № 265'!$A:$N,MATCH('БА расх 2018 31 12 2018'!$K744,'реш СГД № 265'!$N:$N,0),3)</f>
        <v>#N/A</v>
      </c>
      <c r="M744" s="16"/>
    </row>
    <row r="745" spans="1:13" s="24" customFormat="1" ht="63">
      <c r="A745" s="21"/>
      <c r="B745" s="125" t="s">
        <v>405</v>
      </c>
      <c r="C745" s="109" t="s">
        <v>394</v>
      </c>
      <c r="D745" s="108" t="s">
        <v>229</v>
      </c>
      <c r="E745" s="108" t="s">
        <v>13</v>
      </c>
      <c r="F745" s="108" t="s">
        <v>2380</v>
      </c>
      <c r="G745" s="108" t="s">
        <v>406</v>
      </c>
      <c r="H745" s="126">
        <v>1349760.92</v>
      </c>
      <c r="I745" s="131" t="s">
        <v>2382</v>
      </c>
      <c r="J745" s="131" t="str">
        <f t="shared" si="44"/>
        <v>0110377080</v>
      </c>
      <c r="K745" s="304" t="str">
        <f t="shared" si="45"/>
        <v>60607030110377080611</v>
      </c>
      <c r="L745" s="17"/>
      <c r="M745" s="16"/>
    </row>
    <row r="746" spans="1:13" s="24" customFormat="1" ht="15.75">
      <c r="A746" s="21"/>
      <c r="B746" s="132" t="s">
        <v>409</v>
      </c>
      <c r="C746" s="109" t="s">
        <v>394</v>
      </c>
      <c r="D746" s="108" t="s">
        <v>229</v>
      </c>
      <c r="E746" s="108" t="s">
        <v>13</v>
      </c>
      <c r="F746" s="108" t="s">
        <v>2380</v>
      </c>
      <c r="G746" s="108" t="s">
        <v>410</v>
      </c>
      <c r="H746" s="126">
        <v>3124799.08</v>
      </c>
      <c r="I746" s="131" t="s">
        <v>2382</v>
      </c>
      <c r="J746" s="131" t="str">
        <f t="shared" si="44"/>
        <v>0110377080</v>
      </c>
      <c r="K746" s="304" t="str">
        <f t="shared" si="45"/>
        <v>60607030110377080620</v>
      </c>
      <c r="L746" s="17" t="e">
        <f>INDEX('реш СГД № 265'!$A:$N,MATCH('БА расх 2018 31 12 2018'!$K746,'реш СГД № 265'!$N:$N,0),3)</f>
        <v>#N/A</v>
      </c>
      <c r="M746" s="16"/>
    </row>
    <row r="747" spans="1:13" s="24" customFormat="1" ht="63">
      <c r="A747" s="21"/>
      <c r="B747" s="125" t="s">
        <v>411</v>
      </c>
      <c r="C747" s="109" t="s">
        <v>394</v>
      </c>
      <c r="D747" s="108" t="s">
        <v>229</v>
      </c>
      <c r="E747" s="108" t="s">
        <v>13</v>
      </c>
      <c r="F747" s="108" t="s">
        <v>2380</v>
      </c>
      <c r="G747" s="108" t="s">
        <v>412</v>
      </c>
      <c r="H747" s="126">
        <v>3124799.08</v>
      </c>
      <c r="I747" s="131" t="s">
        <v>2382</v>
      </c>
      <c r="J747" s="131" t="str">
        <f t="shared" si="44"/>
        <v>0110377080</v>
      </c>
      <c r="K747" s="304" t="str">
        <f t="shared" si="45"/>
        <v>60607030110377080621</v>
      </c>
      <c r="L747" s="17"/>
      <c r="M747" s="16"/>
    </row>
    <row r="748" spans="1:13" s="24" customFormat="1" ht="66.75" customHeight="1">
      <c r="A748" s="21"/>
      <c r="B748" s="125" t="s">
        <v>2429</v>
      </c>
      <c r="C748" s="109" t="s">
        <v>394</v>
      </c>
      <c r="D748" s="108" t="s">
        <v>229</v>
      </c>
      <c r="E748" s="108" t="s">
        <v>13</v>
      </c>
      <c r="F748" s="108" t="s">
        <v>2381</v>
      </c>
      <c r="G748" s="108" t="s">
        <v>9</v>
      </c>
      <c r="H748" s="126">
        <v>442539</v>
      </c>
      <c r="I748" s="131" t="s">
        <v>2340</v>
      </c>
      <c r="J748" s="131" t="str">
        <f t="shared" ref="J748:J752" si="46">TEXT(I748,"0000000000")</f>
        <v>01103S7080</v>
      </c>
      <c r="K748" s="304" t="str">
        <f t="shared" ref="K748:K752" si="47">C748&amp;D748&amp;E748&amp;J748&amp;G748</f>
        <v>606070301103S7080000</v>
      </c>
      <c r="L748" s="17" t="e">
        <f>INDEX('реш СГД № 265'!$A:$N,MATCH('БА расх 2018 31 12 2018'!$K748,'реш СГД № 265'!$N:$N,0),3)</f>
        <v>#N/A</v>
      </c>
      <c r="M748" s="16"/>
    </row>
    <row r="749" spans="1:13" s="24" customFormat="1" ht="15.75">
      <c r="A749" s="21"/>
      <c r="B749" s="132" t="s">
        <v>403</v>
      </c>
      <c r="C749" s="109" t="s">
        <v>394</v>
      </c>
      <c r="D749" s="108" t="s">
        <v>229</v>
      </c>
      <c r="E749" s="108" t="s">
        <v>13</v>
      </c>
      <c r="F749" s="108" t="s">
        <v>2381</v>
      </c>
      <c r="G749" s="108" t="s">
        <v>404</v>
      </c>
      <c r="H749" s="126">
        <v>174532</v>
      </c>
      <c r="I749" s="131" t="s">
        <v>2340</v>
      </c>
      <c r="J749" s="131" t="str">
        <f t="shared" si="46"/>
        <v>01103S7080</v>
      </c>
      <c r="K749" s="304" t="str">
        <f t="shared" si="47"/>
        <v>606070301103S7080610</v>
      </c>
      <c r="L749" s="17" t="e">
        <f>INDEX('реш СГД № 265'!$A:$N,MATCH('БА расх 2018 31 12 2018'!$K749,'реш СГД № 265'!$N:$N,0),3)</f>
        <v>#N/A</v>
      </c>
      <c r="M749" s="16"/>
    </row>
    <row r="750" spans="1:13" s="24" customFormat="1" ht="63">
      <c r="A750" s="21"/>
      <c r="B750" s="125" t="s">
        <v>405</v>
      </c>
      <c r="C750" s="109" t="s">
        <v>394</v>
      </c>
      <c r="D750" s="108" t="s">
        <v>229</v>
      </c>
      <c r="E750" s="108" t="s">
        <v>13</v>
      </c>
      <c r="F750" s="108" t="s">
        <v>2381</v>
      </c>
      <c r="G750" s="108" t="s">
        <v>406</v>
      </c>
      <c r="H750" s="126">
        <v>174532</v>
      </c>
      <c r="I750" s="131" t="s">
        <v>2340</v>
      </c>
      <c r="J750" s="131" t="str">
        <f t="shared" si="46"/>
        <v>01103S7080</v>
      </c>
      <c r="K750" s="304" t="str">
        <f t="shared" si="47"/>
        <v>606070301103S7080611</v>
      </c>
      <c r="L750" s="17"/>
      <c r="M750" s="16"/>
    </row>
    <row r="751" spans="1:13" s="24" customFormat="1" ht="15.75">
      <c r="A751" s="21"/>
      <c r="B751" s="132" t="s">
        <v>409</v>
      </c>
      <c r="C751" s="109" t="s">
        <v>394</v>
      </c>
      <c r="D751" s="108" t="s">
        <v>229</v>
      </c>
      <c r="E751" s="108" t="s">
        <v>13</v>
      </c>
      <c r="F751" s="108" t="s">
        <v>2381</v>
      </c>
      <c r="G751" s="108" t="s">
        <v>410</v>
      </c>
      <c r="H751" s="126">
        <v>268007</v>
      </c>
      <c r="I751" s="131" t="s">
        <v>2340</v>
      </c>
      <c r="J751" s="131" t="str">
        <f t="shared" si="46"/>
        <v>01103S7080</v>
      </c>
      <c r="K751" s="304" t="str">
        <f t="shared" si="47"/>
        <v>606070301103S7080620</v>
      </c>
      <c r="L751" s="17" t="e">
        <f>INDEX('реш СГД № 265'!$A:$N,MATCH('БА расх 2018 31 12 2018'!$K751,'реш СГД № 265'!$N:$N,0),3)</f>
        <v>#N/A</v>
      </c>
      <c r="M751" s="16"/>
    </row>
    <row r="752" spans="1:13" s="24" customFormat="1" ht="63">
      <c r="A752" s="21"/>
      <c r="B752" s="125" t="s">
        <v>411</v>
      </c>
      <c r="C752" s="109" t="s">
        <v>394</v>
      </c>
      <c r="D752" s="108" t="s">
        <v>229</v>
      </c>
      <c r="E752" s="108" t="s">
        <v>13</v>
      </c>
      <c r="F752" s="108" t="s">
        <v>2381</v>
      </c>
      <c r="G752" s="108" t="s">
        <v>412</v>
      </c>
      <c r="H752" s="126">
        <v>268007</v>
      </c>
      <c r="I752" s="131" t="s">
        <v>2340</v>
      </c>
      <c r="J752" s="131" t="str">
        <f t="shared" si="46"/>
        <v>01103S7080</v>
      </c>
      <c r="K752" s="304" t="str">
        <f t="shared" si="47"/>
        <v>606070301103S7080621</v>
      </c>
      <c r="L752" s="17"/>
      <c r="M752" s="16"/>
    </row>
    <row r="753" spans="1:13" s="24" customFormat="1" ht="267.75">
      <c r="A753" s="21"/>
      <c r="B753" s="132" t="s">
        <v>2269</v>
      </c>
      <c r="C753" s="109" t="s">
        <v>394</v>
      </c>
      <c r="D753" s="108" t="s">
        <v>229</v>
      </c>
      <c r="E753" s="131" t="s">
        <v>13</v>
      </c>
      <c r="F753" s="108" t="s">
        <v>1282</v>
      </c>
      <c r="G753" s="108" t="s">
        <v>9</v>
      </c>
      <c r="H753" s="126">
        <v>1755167.1600000001</v>
      </c>
      <c r="I753" s="131">
        <v>110377460</v>
      </c>
      <c r="J753" s="131" t="str">
        <f t="shared" si="40"/>
        <v>0110377460</v>
      </c>
      <c r="K753" s="304" t="str">
        <f t="shared" ref="K753:K810" si="48">C753&amp;D753&amp;E753&amp;J753&amp;G753</f>
        <v>60607030110377460000</v>
      </c>
      <c r="L753" s="132" t="str">
        <f>INDEX('реш СГД № 265'!$A:$N,MATCH('БА расх 2018 31 12 2018'!$K753,'реш СГД № 265'!$N:$N,0),3)</f>
        <v>Субсидии на компенсацию расходов по повышению заработной платы муниципальных служащих муниципальной службы и лиц, не замещающих должности муниципальной службы и исполняющих обязанности по техническому обеспечению деятельности органов местного самоуправления муниципальных образований, а также работников муниципальных учреждений, за исключением отдельных категорий работников муниципальных учреждений, которым повышение заработной платы осуществляется в соответствии с указами Президента Российской Федерации от 7 мая 2012 года № 597 «О мероприятиях по реализации государственной социальной политики», от 1 июня 2012 года № 761 «О Национальной стратегии действий в интересах детей на 2012 - 2017 годы» и от 28 декабря 2012 года № 1688 «О некоторых мерах по реализации государственной политики в сфере защиты детей-сирот и детей, оставшихся без попечения родителей»</v>
      </c>
      <c r="M753" s="17">
        <f t="shared" si="41"/>
        <v>1</v>
      </c>
    </row>
    <row r="754" spans="1:13" s="24" customFormat="1" ht="15.75">
      <c r="A754" s="21"/>
      <c r="B754" s="132" t="s">
        <v>403</v>
      </c>
      <c r="C754" s="109" t="s">
        <v>394</v>
      </c>
      <c r="D754" s="108" t="s">
        <v>229</v>
      </c>
      <c r="E754" s="131" t="s">
        <v>13</v>
      </c>
      <c r="F754" s="108" t="s">
        <v>1282</v>
      </c>
      <c r="G754" s="108" t="s">
        <v>404</v>
      </c>
      <c r="H754" s="126">
        <v>1257782.51</v>
      </c>
      <c r="I754" s="131">
        <v>110377460</v>
      </c>
      <c r="J754" s="131" t="str">
        <f t="shared" ref="J754:J811" si="49">TEXT(I754,"0000000000")</f>
        <v>0110377460</v>
      </c>
      <c r="K754" s="304" t="str">
        <f t="shared" si="48"/>
        <v>60607030110377460610</v>
      </c>
      <c r="L754" s="17" t="str">
        <f>INDEX('реш СГД № 265'!$A:$N,MATCH('БА расх 2018 31 12 2018'!$K754,'реш СГД № 265'!$N:$N,0),3)</f>
        <v>Субсидии бюджетным учреждениям</v>
      </c>
      <c r="M754" s="16">
        <f t="shared" ref="M754:M811" si="50">IF(B754=L754,1,0)</f>
        <v>1</v>
      </c>
    </row>
    <row r="755" spans="1:13" s="24" customFormat="1" ht="63">
      <c r="A755" s="21"/>
      <c r="B755" s="127" t="s">
        <v>405</v>
      </c>
      <c r="C755" s="109" t="s">
        <v>394</v>
      </c>
      <c r="D755" s="108" t="s">
        <v>229</v>
      </c>
      <c r="E755" s="131" t="s">
        <v>13</v>
      </c>
      <c r="F755" s="108" t="s">
        <v>1282</v>
      </c>
      <c r="G755" s="108" t="s">
        <v>406</v>
      </c>
      <c r="H755" s="126">
        <v>1257782.51</v>
      </c>
      <c r="I755" s="131">
        <v>110377460</v>
      </c>
      <c r="J755" s="131" t="str">
        <f t="shared" si="49"/>
        <v>0110377460</v>
      </c>
      <c r="K755" s="304" t="str">
        <f t="shared" si="48"/>
        <v>60607030110377460611</v>
      </c>
      <c r="L755" s="17"/>
      <c r="M755" s="16"/>
    </row>
    <row r="756" spans="1:13" s="24" customFormat="1" ht="15.75">
      <c r="A756" s="21"/>
      <c r="B756" s="132" t="s">
        <v>409</v>
      </c>
      <c r="C756" s="109" t="s">
        <v>394</v>
      </c>
      <c r="D756" s="108" t="s">
        <v>229</v>
      </c>
      <c r="E756" s="131" t="s">
        <v>13</v>
      </c>
      <c r="F756" s="108" t="s">
        <v>1282</v>
      </c>
      <c r="G756" s="108" t="s">
        <v>410</v>
      </c>
      <c r="H756" s="126">
        <v>497384.65</v>
      </c>
      <c r="I756" s="131">
        <v>110377460</v>
      </c>
      <c r="J756" s="131" t="str">
        <f t="shared" si="49"/>
        <v>0110377460</v>
      </c>
      <c r="K756" s="304" t="str">
        <f t="shared" si="48"/>
        <v>60607030110377460620</v>
      </c>
      <c r="L756" s="17" t="str">
        <f>INDEX('реш СГД № 265'!$A:$N,MATCH('БА расх 2018 31 12 2018'!$K756,'реш СГД № 265'!$N:$N,0),3)</f>
        <v>Субсидии автономным учреждениям</v>
      </c>
      <c r="M756" s="16">
        <f t="shared" si="50"/>
        <v>1</v>
      </c>
    </row>
    <row r="757" spans="1:13" s="24" customFormat="1" ht="63">
      <c r="A757" s="21"/>
      <c r="B757" s="127" t="s">
        <v>411</v>
      </c>
      <c r="C757" s="109" t="s">
        <v>394</v>
      </c>
      <c r="D757" s="108" t="s">
        <v>229</v>
      </c>
      <c r="E757" s="131" t="s">
        <v>13</v>
      </c>
      <c r="F757" s="108" t="s">
        <v>1282</v>
      </c>
      <c r="G757" s="108" t="s">
        <v>412</v>
      </c>
      <c r="H757" s="126">
        <v>497384.65</v>
      </c>
      <c r="I757" s="131">
        <v>110377460</v>
      </c>
      <c r="J757" s="131" t="str">
        <f t="shared" si="49"/>
        <v>0110377460</v>
      </c>
      <c r="K757" s="304" t="str">
        <f t="shared" si="48"/>
        <v>60607030110377460621</v>
      </c>
      <c r="L757" s="17"/>
      <c r="M757" s="16"/>
    </row>
    <row r="758" spans="1:13" s="24" customFormat="1" ht="236.25">
      <c r="A758" s="21"/>
      <c r="B758" s="164" t="s">
        <v>2247</v>
      </c>
      <c r="C758" s="109" t="s">
        <v>394</v>
      </c>
      <c r="D758" s="108" t="s">
        <v>229</v>
      </c>
      <c r="E758" s="131" t="s">
        <v>13</v>
      </c>
      <c r="F758" s="108" t="s">
        <v>2261</v>
      </c>
      <c r="G758" s="108" t="s">
        <v>9</v>
      </c>
      <c r="H758" s="126">
        <v>7668780</v>
      </c>
      <c r="I758" s="131">
        <v>110377580</v>
      </c>
      <c r="J758" s="131" t="str">
        <f t="shared" si="49"/>
        <v>0110377580</v>
      </c>
      <c r="K758" s="304" t="str">
        <f t="shared" si="48"/>
        <v>60607030110377580000</v>
      </c>
      <c r="L758" s="17" t="str">
        <f>INDEX('реш СГД № 265'!$A:$N,MATCH('БА расх 2018 31 12 2018'!$K758,'реш СГД № 265'!$N:$N,0),3)</f>
        <v>Субсидии на компенсацию расходов на обеспечение выплаты лицам, не замещающим муниципальные должности муниципальной службы и исполняющим обязанности по техническому обеспечению деятельности органов местного самоуправления муниципальных образований, работникам органов местного самоуправления муниципальных образований, осуществляющим профессиональную деятельность по профессиям рабочих, и работникам муниципальных учреждений заработной платы не ниже установленного с 01 мая 2018 года федеральным законом минимального размера оплаты труда, а также компенсацию расходов на обеспечение выплаты работникам муниципальных учреждений с 01 января 2018 года коэффициента к заработной плате за работу в пустынных и безводных местностях</v>
      </c>
      <c r="M758" s="16">
        <f t="shared" si="50"/>
        <v>1</v>
      </c>
    </row>
    <row r="759" spans="1:13" s="24" customFormat="1" ht="15.75">
      <c r="A759" s="21"/>
      <c r="B759" s="132" t="s">
        <v>403</v>
      </c>
      <c r="C759" s="109" t="s">
        <v>394</v>
      </c>
      <c r="D759" s="108" t="s">
        <v>229</v>
      </c>
      <c r="E759" s="131" t="s">
        <v>13</v>
      </c>
      <c r="F759" s="108" t="s">
        <v>2261</v>
      </c>
      <c r="G759" s="108" t="s">
        <v>404</v>
      </c>
      <c r="H759" s="126">
        <v>4003650</v>
      </c>
      <c r="I759" s="131">
        <v>110377580</v>
      </c>
      <c r="J759" s="131" t="str">
        <f t="shared" si="49"/>
        <v>0110377580</v>
      </c>
      <c r="K759" s="304" t="str">
        <f t="shared" si="48"/>
        <v>60607030110377580610</v>
      </c>
      <c r="L759" s="17" t="str">
        <f>INDEX('реш СГД № 265'!$A:$N,MATCH('БА расх 2018 31 12 2018'!$K759,'реш СГД № 265'!$N:$N,0),3)</f>
        <v>Субсидии бюджетным учреждениям</v>
      </c>
      <c r="M759" s="16">
        <f t="shared" si="50"/>
        <v>1</v>
      </c>
    </row>
    <row r="760" spans="1:13" s="24" customFormat="1" ht="63">
      <c r="A760" s="21"/>
      <c r="B760" s="127" t="s">
        <v>405</v>
      </c>
      <c r="C760" s="109" t="s">
        <v>394</v>
      </c>
      <c r="D760" s="108" t="s">
        <v>229</v>
      </c>
      <c r="E760" s="131" t="s">
        <v>13</v>
      </c>
      <c r="F760" s="108" t="s">
        <v>2261</v>
      </c>
      <c r="G760" s="108" t="s">
        <v>406</v>
      </c>
      <c r="H760" s="126">
        <v>4003650</v>
      </c>
      <c r="I760" s="131">
        <v>110377580</v>
      </c>
      <c r="J760" s="131" t="str">
        <f t="shared" si="49"/>
        <v>0110377580</v>
      </c>
      <c r="K760" s="304" t="str">
        <f t="shared" si="48"/>
        <v>60607030110377580611</v>
      </c>
      <c r="L760" s="17"/>
      <c r="M760" s="16"/>
    </row>
    <row r="761" spans="1:13" s="24" customFormat="1" ht="15.75">
      <c r="A761" s="21"/>
      <c r="B761" s="132" t="s">
        <v>409</v>
      </c>
      <c r="C761" s="109" t="s">
        <v>394</v>
      </c>
      <c r="D761" s="108" t="s">
        <v>229</v>
      </c>
      <c r="E761" s="131" t="s">
        <v>13</v>
      </c>
      <c r="F761" s="108" t="s">
        <v>2261</v>
      </c>
      <c r="G761" s="108" t="s">
        <v>410</v>
      </c>
      <c r="H761" s="126">
        <v>3665130</v>
      </c>
      <c r="I761" s="131">
        <v>110377580</v>
      </c>
      <c r="J761" s="131" t="str">
        <f t="shared" si="49"/>
        <v>0110377580</v>
      </c>
      <c r="K761" s="304" t="str">
        <f t="shared" si="48"/>
        <v>60607030110377580620</v>
      </c>
      <c r="L761" s="17" t="str">
        <f>INDEX('реш СГД № 265'!$A:$N,MATCH('БА расх 2018 31 12 2018'!$K761,'реш СГД № 265'!$N:$N,0),3)</f>
        <v>Субсидии автономным учреждениям</v>
      </c>
      <c r="M761" s="16">
        <f t="shared" si="50"/>
        <v>1</v>
      </c>
    </row>
    <row r="762" spans="1:13" s="24" customFormat="1" ht="63">
      <c r="A762" s="21"/>
      <c r="B762" s="127" t="s">
        <v>411</v>
      </c>
      <c r="C762" s="109" t="s">
        <v>394</v>
      </c>
      <c r="D762" s="108" t="s">
        <v>229</v>
      </c>
      <c r="E762" s="131" t="s">
        <v>13</v>
      </c>
      <c r="F762" s="108" t="s">
        <v>2261</v>
      </c>
      <c r="G762" s="108" t="s">
        <v>412</v>
      </c>
      <c r="H762" s="126">
        <v>3665130</v>
      </c>
      <c r="I762" s="131">
        <v>110377580</v>
      </c>
      <c r="J762" s="131" t="str">
        <f t="shared" si="49"/>
        <v>0110377580</v>
      </c>
      <c r="K762" s="304" t="str">
        <f t="shared" si="48"/>
        <v>60607030110377580621</v>
      </c>
      <c r="L762" s="17"/>
      <c r="M762" s="16"/>
    </row>
    <row r="763" spans="1:13" s="24" customFormat="1" ht="47.25">
      <c r="A763" s="21"/>
      <c r="B763" s="125" t="s">
        <v>2262</v>
      </c>
      <c r="C763" s="130" t="s">
        <v>394</v>
      </c>
      <c r="D763" s="131" t="s">
        <v>229</v>
      </c>
      <c r="E763" s="131" t="s">
        <v>13</v>
      </c>
      <c r="F763" s="131" t="s">
        <v>2263</v>
      </c>
      <c r="G763" s="131" t="s">
        <v>9</v>
      </c>
      <c r="H763" s="126">
        <v>15915268</v>
      </c>
      <c r="I763" s="131">
        <v>110377620</v>
      </c>
      <c r="J763" s="131" t="str">
        <f t="shared" si="49"/>
        <v>0110377620</v>
      </c>
      <c r="K763" s="304" t="str">
        <f t="shared" si="48"/>
        <v>60607030110377620000</v>
      </c>
      <c r="L763" s="17" t="str">
        <f>INDEX('реш СГД № 265'!$A:$N,MATCH('БА расх 2018 31 12 2018'!$K763,'реш СГД № 265'!$N:$N,0),3)</f>
        <v>Иные межбюджетные трансферты на укрепление материально-технической базы организаций дополнительного образования</v>
      </c>
      <c r="M763" s="16">
        <f t="shared" si="50"/>
        <v>1</v>
      </c>
    </row>
    <row r="764" spans="1:13" s="24" customFormat="1" ht="15.75">
      <c r="A764" s="21"/>
      <c r="B764" s="132" t="s">
        <v>409</v>
      </c>
      <c r="C764" s="130" t="s">
        <v>394</v>
      </c>
      <c r="D764" s="131" t="s">
        <v>229</v>
      </c>
      <c r="E764" s="131" t="s">
        <v>13</v>
      </c>
      <c r="F764" s="131" t="s">
        <v>2263</v>
      </c>
      <c r="G764" s="131" t="s">
        <v>410</v>
      </c>
      <c r="H764" s="126">
        <v>15915268</v>
      </c>
      <c r="I764" s="131">
        <v>110377620</v>
      </c>
      <c r="J764" s="131" t="str">
        <f t="shared" si="49"/>
        <v>0110377620</v>
      </c>
      <c r="K764" s="304" t="str">
        <f t="shared" si="48"/>
        <v>60607030110377620620</v>
      </c>
      <c r="L764" s="17" t="str">
        <f>INDEX('реш СГД № 265'!$A:$N,MATCH('БА расх 2018 31 12 2018'!$K764,'реш СГД № 265'!$N:$N,0),3)</f>
        <v>Субсидии автономным учреждениям</v>
      </c>
      <c r="M764" s="16">
        <f t="shared" si="50"/>
        <v>1</v>
      </c>
    </row>
    <row r="765" spans="1:13" s="24" customFormat="1" ht="15.75">
      <c r="A765" s="21"/>
      <c r="B765" s="127" t="s">
        <v>428</v>
      </c>
      <c r="C765" s="130" t="s">
        <v>394</v>
      </c>
      <c r="D765" s="131" t="s">
        <v>229</v>
      </c>
      <c r="E765" s="131" t="s">
        <v>13</v>
      </c>
      <c r="F765" s="131" t="s">
        <v>2263</v>
      </c>
      <c r="G765" s="131" t="s">
        <v>429</v>
      </c>
      <c r="H765" s="126">
        <v>15915268</v>
      </c>
      <c r="I765" s="131">
        <v>110377620</v>
      </c>
      <c r="J765" s="131" t="str">
        <f t="shared" si="49"/>
        <v>0110377620</v>
      </c>
      <c r="K765" s="304" t="str">
        <f t="shared" si="48"/>
        <v>60607030110377620622</v>
      </c>
      <c r="L765" s="17"/>
      <c r="M765" s="16"/>
    </row>
    <row r="766" spans="1:13" s="17" customFormat="1" ht="63">
      <c r="A766" s="14"/>
      <c r="B766" s="125" t="s">
        <v>417</v>
      </c>
      <c r="C766" s="109" t="s">
        <v>394</v>
      </c>
      <c r="D766" s="108" t="s">
        <v>229</v>
      </c>
      <c r="E766" s="131" t="s">
        <v>13</v>
      </c>
      <c r="F766" s="108" t="s">
        <v>418</v>
      </c>
      <c r="G766" s="108" t="s">
        <v>9</v>
      </c>
      <c r="H766" s="126">
        <v>5898318</v>
      </c>
      <c r="I766" s="108">
        <v>110600000</v>
      </c>
      <c r="J766" s="108" t="str">
        <f t="shared" si="49"/>
        <v>0110600000</v>
      </c>
      <c r="K766" s="304" t="str">
        <f t="shared" si="48"/>
        <v>60607030110600000000</v>
      </c>
      <c r="L766" s="17" t="str">
        <f>INDEX('реш СГД № 265'!$A:$N,MATCH('БА расх 2018 31 12 2018'!$K766,'реш СГД № 265'!$N:$N,0),3)</f>
        <v>Основное мероприятие «Модернизация образовательных организаций, совершенствование материально-технической базы, проведение ремонтных работ, создание условий для повышения качества образовательного процесса»</v>
      </c>
      <c r="M766" s="16">
        <f t="shared" si="50"/>
        <v>1</v>
      </c>
    </row>
    <row r="767" spans="1:13" s="17" customFormat="1" ht="31.5">
      <c r="A767" s="14"/>
      <c r="B767" s="140" t="s">
        <v>136</v>
      </c>
      <c r="C767" s="109" t="s">
        <v>394</v>
      </c>
      <c r="D767" s="108" t="s">
        <v>229</v>
      </c>
      <c r="E767" s="131" t="s">
        <v>13</v>
      </c>
      <c r="F767" s="108" t="s">
        <v>419</v>
      </c>
      <c r="G767" s="108" t="s">
        <v>9</v>
      </c>
      <c r="H767" s="126">
        <v>1574636.4</v>
      </c>
      <c r="I767" s="108">
        <v>110611010</v>
      </c>
      <c r="J767" s="108" t="str">
        <f t="shared" si="49"/>
        <v>0110611010</v>
      </c>
      <c r="K767" s="304" t="str">
        <f t="shared" si="48"/>
        <v>60607030110611010000</v>
      </c>
      <c r="L767" s="17" t="str">
        <f>INDEX('реш СГД № 265'!$A:$N,MATCH('БА расх 2018 31 12 2018'!$K767,'реш СГД № 265'!$N:$N,0),3)</f>
        <v>Расходы на обеспечение деятельности (оказание услуг) муниципальных учреждений</v>
      </c>
      <c r="M767" s="16">
        <f t="shared" si="50"/>
        <v>1</v>
      </c>
    </row>
    <row r="768" spans="1:13" s="17" customFormat="1" ht="15.75">
      <c r="A768" s="14"/>
      <c r="B768" s="132" t="s">
        <v>409</v>
      </c>
      <c r="C768" s="109" t="s">
        <v>394</v>
      </c>
      <c r="D768" s="108" t="s">
        <v>229</v>
      </c>
      <c r="E768" s="131" t="s">
        <v>13</v>
      </c>
      <c r="F768" s="108" t="s">
        <v>419</v>
      </c>
      <c r="G768" s="108" t="s">
        <v>410</v>
      </c>
      <c r="H768" s="126">
        <v>1574636.4</v>
      </c>
      <c r="I768" s="108">
        <v>110611010</v>
      </c>
      <c r="J768" s="108" t="str">
        <f t="shared" si="49"/>
        <v>0110611010</v>
      </c>
      <c r="K768" s="304" t="str">
        <f t="shared" si="48"/>
        <v>60607030110611010620</v>
      </c>
      <c r="L768" s="17" t="str">
        <f>INDEX('реш СГД № 265'!$A:$N,MATCH('БА расх 2018 31 12 2018'!$K768,'реш СГД № 265'!$N:$N,0),3)</f>
        <v>Субсидии автономным учреждениям</v>
      </c>
      <c r="M768" s="16">
        <f t="shared" si="50"/>
        <v>1</v>
      </c>
    </row>
    <row r="769" spans="1:13" s="17" customFormat="1" ht="15.75">
      <c r="A769" s="14"/>
      <c r="B769" s="127" t="s">
        <v>428</v>
      </c>
      <c r="C769" s="109" t="s">
        <v>394</v>
      </c>
      <c r="D769" s="108" t="s">
        <v>229</v>
      </c>
      <c r="E769" s="131" t="s">
        <v>13</v>
      </c>
      <c r="F769" s="108" t="s">
        <v>419</v>
      </c>
      <c r="G769" s="108" t="s">
        <v>429</v>
      </c>
      <c r="H769" s="126">
        <v>1574636.4</v>
      </c>
      <c r="I769" s="108">
        <v>110611010</v>
      </c>
      <c r="J769" s="108" t="str">
        <f t="shared" si="49"/>
        <v>0110611010</v>
      </c>
      <c r="K769" s="304" t="str">
        <f t="shared" si="48"/>
        <v>60607030110611010622</v>
      </c>
      <c r="M769" s="16"/>
    </row>
    <row r="770" spans="1:13" s="17" customFormat="1" ht="47.25">
      <c r="A770" s="14"/>
      <c r="B770" s="132" t="s">
        <v>462</v>
      </c>
      <c r="C770" s="109" t="s">
        <v>394</v>
      </c>
      <c r="D770" s="108" t="s">
        <v>229</v>
      </c>
      <c r="E770" s="131" t="s">
        <v>13</v>
      </c>
      <c r="F770" s="108" t="s">
        <v>463</v>
      </c>
      <c r="G770" s="108" t="s">
        <v>9</v>
      </c>
      <c r="H770" s="126">
        <v>4323681.5999999996</v>
      </c>
      <c r="I770" s="108" t="s">
        <v>1206</v>
      </c>
      <c r="J770" s="108" t="str">
        <f t="shared" si="49"/>
        <v>01106S6690</v>
      </c>
      <c r="K770" s="304" t="str">
        <f t="shared" si="48"/>
        <v>606070301106S6690000</v>
      </c>
      <c r="L770" s="17" t="str">
        <f>INDEX('реш СГД № 265'!$A:$N,MATCH('БА расх 2018 31 12 2018'!$K770,'реш СГД № 265'!$N:$N,0),3)</f>
        <v>Проведение работ по замене оконных блоков в муниципальных образовательных организациях Ставропольского края за счет местного бюджета</v>
      </c>
      <c r="M770" s="16">
        <f t="shared" si="50"/>
        <v>1</v>
      </c>
    </row>
    <row r="771" spans="1:13" s="24" customFormat="1" ht="15.75">
      <c r="A771" s="21"/>
      <c r="B771" s="132" t="s">
        <v>409</v>
      </c>
      <c r="C771" s="109" t="s">
        <v>394</v>
      </c>
      <c r="D771" s="108" t="s">
        <v>229</v>
      </c>
      <c r="E771" s="131" t="s">
        <v>13</v>
      </c>
      <c r="F771" s="108" t="s">
        <v>463</v>
      </c>
      <c r="G771" s="108" t="s">
        <v>410</v>
      </c>
      <c r="H771" s="126">
        <v>4323681.5999999996</v>
      </c>
      <c r="I771" s="108" t="s">
        <v>1206</v>
      </c>
      <c r="J771" s="108" t="str">
        <f t="shared" si="49"/>
        <v>01106S6690</v>
      </c>
      <c r="K771" s="304" t="str">
        <f t="shared" si="48"/>
        <v>606070301106S6690620</v>
      </c>
      <c r="L771" s="17" t="str">
        <f>INDEX('реш СГД № 265'!$A:$N,MATCH('БА расх 2018 31 12 2018'!$K771,'реш СГД № 265'!$N:$N,0),3)</f>
        <v>Субсидии автономным учреждениям</v>
      </c>
      <c r="M771" s="16">
        <f t="shared" si="50"/>
        <v>1</v>
      </c>
    </row>
    <row r="772" spans="1:13" s="24" customFormat="1" ht="15.75">
      <c r="A772" s="21"/>
      <c r="B772" s="127" t="s">
        <v>428</v>
      </c>
      <c r="C772" s="109" t="s">
        <v>394</v>
      </c>
      <c r="D772" s="108" t="s">
        <v>229</v>
      </c>
      <c r="E772" s="131" t="s">
        <v>13</v>
      </c>
      <c r="F772" s="108" t="s">
        <v>463</v>
      </c>
      <c r="G772" s="108" t="s">
        <v>429</v>
      </c>
      <c r="H772" s="126">
        <v>4323681.5999999996</v>
      </c>
      <c r="I772" s="108" t="s">
        <v>1206</v>
      </c>
      <c r="J772" s="108" t="str">
        <f t="shared" si="49"/>
        <v>01106S6690</v>
      </c>
      <c r="K772" s="304" t="str">
        <f t="shared" si="48"/>
        <v>606070301106S6690622</v>
      </c>
      <c r="L772" s="17"/>
      <c r="M772" s="16"/>
    </row>
    <row r="773" spans="1:13" s="17" customFormat="1" ht="47.25">
      <c r="A773" s="14"/>
      <c r="B773" s="127" t="s">
        <v>146</v>
      </c>
      <c r="C773" s="109" t="s">
        <v>394</v>
      </c>
      <c r="D773" s="108" t="s">
        <v>229</v>
      </c>
      <c r="E773" s="131" t="s">
        <v>13</v>
      </c>
      <c r="F773" s="108" t="s">
        <v>147</v>
      </c>
      <c r="G773" s="108" t="s">
        <v>9</v>
      </c>
      <c r="H773" s="126">
        <v>1012354.63</v>
      </c>
      <c r="I773" s="108">
        <v>1500000000</v>
      </c>
      <c r="J773" s="108" t="str">
        <f t="shared" si="49"/>
        <v>1500000000</v>
      </c>
      <c r="K773" s="304" t="str">
        <f t="shared" si="48"/>
        <v>60607031500000000000</v>
      </c>
      <c r="L773" s="17" t="str">
        <f>INDEX('реш СГД № 265'!$A:$N,MATCH('БА расх 2018 31 12 2018'!$K773,'реш СГД № 265'!$N:$N,0),3)</f>
        <v>Муниципальная программа «Обеспечение безопасности, общественного порядка и профилактика правонарушений в городе Ставрополе»</v>
      </c>
      <c r="M773" s="16">
        <f t="shared" si="50"/>
        <v>1</v>
      </c>
    </row>
    <row r="774" spans="1:13" s="17" customFormat="1" ht="47.25">
      <c r="A774" s="14"/>
      <c r="B774" s="125" t="s">
        <v>1065</v>
      </c>
      <c r="C774" s="109" t="s">
        <v>394</v>
      </c>
      <c r="D774" s="108" t="s">
        <v>229</v>
      </c>
      <c r="E774" s="131" t="s">
        <v>13</v>
      </c>
      <c r="F774" s="108" t="s">
        <v>149</v>
      </c>
      <c r="G774" s="108" t="s">
        <v>9</v>
      </c>
      <c r="H774" s="126">
        <v>892354.67</v>
      </c>
      <c r="I774" s="108">
        <v>1510000000</v>
      </c>
      <c r="J774" s="108" t="str">
        <f t="shared" si="49"/>
        <v>1510000000</v>
      </c>
      <c r="K774" s="304" t="str">
        <f t="shared" si="48"/>
        <v>60607031510000000000</v>
      </c>
      <c r="L774" s="17" t="str">
        <f>INDEX('реш СГД № 265'!$A:$N,MATCH('БА расх 2018 31 12 2018'!$K774,'реш СГД № 265'!$N:$N,0),3)</f>
        <v>Подпрограмма «Профилактика терроризма, экстремизма, межнациональных (межэтнических) конфликтов в городе Ставрополе»</v>
      </c>
      <c r="M774" s="16">
        <f t="shared" si="50"/>
        <v>1</v>
      </c>
    </row>
    <row r="775" spans="1:13" s="17" customFormat="1" ht="63">
      <c r="A775" s="14"/>
      <c r="B775" s="132" t="s">
        <v>1068</v>
      </c>
      <c r="C775" s="109" t="s">
        <v>394</v>
      </c>
      <c r="D775" s="108" t="s">
        <v>229</v>
      </c>
      <c r="E775" s="131" t="s">
        <v>13</v>
      </c>
      <c r="F775" s="108" t="s">
        <v>1069</v>
      </c>
      <c r="G775" s="108" t="s">
        <v>9</v>
      </c>
      <c r="H775" s="126">
        <v>892354.67</v>
      </c>
      <c r="I775" s="108">
        <v>1510400000</v>
      </c>
      <c r="J775" s="108" t="str">
        <f t="shared" si="49"/>
        <v>1510400000</v>
      </c>
      <c r="K775" s="304" t="str">
        <f t="shared" si="48"/>
        <v>60607031510400000000</v>
      </c>
      <c r="L775" s="17" t="str">
        <f>INDEX('реш СГД № 265'!$A:$N,MATCH('БА расх 2018 31 12 2018'!$K775,'реш СГД № 265'!$N:$N,0),3)</f>
        <v>Основное мероприятие «Повышение уровня антитеррористической защищенности мест массового пребывания людей на территории города Ставрополя и муниципальных учреждений города Ставрополя»</v>
      </c>
      <c r="M775" s="16">
        <f t="shared" si="50"/>
        <v>1</v>
      </c>
    </row>
    <row r="776" spans="1:13" s="17" customFormat="1" ht="47.25">
      <c r="A776" s="14"/>
      <c r="B776" s="132" t="s">
        <v>152</v>
      </c>
      <c r="C776" s="109" t="s">
        <v>394</v>
      </c>
      <c r="D776" s="108" t="s">
        <v>229</v>
      </c>
      <c r="E776" s="131" t="s">
        <v>13</v>
      </c>
      <c r="F776" s="108" t="s">
        <v>1070</v>
      </c>
      <c r="G776" s="108" t="s">
        <v>9</v>
      </c>
      <c r="H776" s="126">
        <v>892354.67</v>
      </c>
      <c r="I776" s="108">
        <v>1510420350</v>
      </c>
      <c r="J776" s="108" t="str">
        <f t="shared" si="49"/>
        <v>1510420350</v>
      </c>
      <c r="K776" s="304" t="str">
        <f t="shared" si="48"/>
        <v>60607031510420350000</v>
      </c>
      <c r="L776" s="17" t="str">
        <f>INDEX('реш СГД № 265'!$A:$N,MATCH('БА расх 2018 31 12 2018'!$K776,'реш СГД № 265'!$N:$N,0),3)</f>
        <v>Расходы на реализацию мероприятий, направленных на повышение уровня безопасности жизнедеятельности города Ставрополя</v>
      </c>
      <c r="M776" s="16">
        <f t="shared" si="50"/>
        <v>1</v>
      </c>
    </row>
    <row r="777" spans="1:13" s="17" customFormat="1" ht="15.75">
      <c r="A777" s="14"/>
      <c r="B777" s="132" t="s">
        <v>403</v>
      </c>
      <c r="C777" s="109" t="s">
        <v>394</v>
      </c>
      <c r="D777" s="108" t="s">
        <v>229</v>
      </c>
      <c r="E777" s="131" t="s">
        <v>13</v>
      </c>
      <c r="F777" s="108" t="s">
        <v>1070</v>
      </c>
      <c r="G777" s="108" t="s">
        <v>404</v>
      </c>
      <c r="H777" s="126">
        <v>892354.67</v>
      </c>
      <c r="I777" s="108">
        <v>1510420350</v>
      </c>
      <c r="J777" s="108" t="str">
        <f t="shared" si="49"/>
        <v>1510420350</v>
      </c>
      <c r="K777" s="304" t="str">
        <f t="shared" si="48"/>
        <v>60607031510420350610</v>
      </c>
      <c r="L777" s="17" t="str">
        <f>INDEX('реш СГД № 265'!$A:$N,MATCH('БА расх 2018 31 12 2018'!$K777,'реш СГД № 265'!$N:$N,0),3)</f>
        <v>Субсидии бюджетным учреждениям</v>
      </c>
      <c r="M777" s="16">
        <f t="shared" si="50"/>
        <v>1</v>
      </c>
    </row>
    <row r="778" spans="1:13" s="24" customFormat="1" ht="15.75">
      <c r="A778" s="21"/>
      <c r="B778" s="125" t="s">
        <v>407</v>
      </c>
      <c r="C778" s="109" t="s">
        <v>394</v>
      </c>
      <c r="D778" s="108" t="s">
        <v>229</v>
      </c>
      <c r="E778" s="131" t="s">
        <v>13</v>
      </c>
      <c r="F778" s="108" t="s">
        <v>1070</v>
      </c>
      <c r="G778" s="108" t="s">
        <v>408</v>
      </c>
      <c r="H778" s="126">
        <v>892354.67</v>
      </c>
      <c r="I778" s="108">
        <v>1510420350</v>
      </c>
      <c r="J778" s="108" t="str">
        <f t="shared" si="49"/>
        <v>1510420350</v>
      </c>
      <c r="K778" s="304" t="str">
        <f t="shared" si="48"/>
        <v>60607031510420350612</v>
      </c>
      <c r="L778" s="17"/>
      <c r="M778" s="16"/>
    </row>
    <row r="779" spans="1:13" s="17" customFormat="1" ht="15.75">
      <c r="A779" s="14"/>
      <c r="B779" s="127" t="s">
        <v>154</v>
      </c>
      <c r="C779" s="109" t="s">
        <v>394</v>
      </c>
      <c r="D779" s="108" t="s">
        <v>229</v>
      </c>
      <c r="E779" s="131" t="s">
        <v>13</v>
      </c>
      <c r="F779" s="108" t="s">
        <v>155</v>
      </c>
      <c r="G779" s="108" t="s">
        <v>9</v>
      </c>
      <c r="H779" s="126">
        <v>20000</v>
      </c>
      <c r="I779" s="108">
        <v>1520000000</v>
      </c>
      <c r="J779" s="108" t="str">
        <f t="shared" si="49"/>
        <v>1520000000</v>
      </c>
      <c r="K779" s="304" t="str">
        <f t="shared" si="48"/>
        <v>60607031520000000000</v>
      </c>
      <c r="L779" s="17" t="str">
        <f>INDEX('реш СГД № 265'!$A:$N,MATCH('БА расх 2018 31 12 2018'!$K779,'реш СГД № 265'!$N:$N,0),3)</f>
        <v xml:space="preserve">Подпрограмма «НЕзависимость» </v>
      </c>
      <c r="M779" s="16">
        <f t="shared" si="50"/>
        <v>1</v>
      </c>
    </row>
    <row r="780" spans="1:13" s="17" customFormat="1" ht="47.25">
      <c r="A780" s="14"/>
      <c r="B780" s="127" t="s">
        <v>160</v>
      </c>
      <c r="C780" s="109" t="s">
        <v>394</v>
      </c>
      <c r="D780" s="108" t="s">
        <v>229</v>
      </c>
      <c r="E780" s="131" t="s">
        <v>13</v>
      </c>
      <c r="F780" s="108" t="s">
        <v>161</v>
      </c>
      <c r="G780" s="108" t="s">
        <v>9</v>
      </c>
      <c r="H780" s="126">
        <v>20000</v>
      </c>
      <c r="I780" s="108">
        <v>1520200000</v>
      </c>
      <c r="J780" s="108" t="str">
        <f t="shared" si="49"/>
        <v>1520200000</v>
      </c>
      <c r="K780" s="304" t="str">
        <f t="shared" si="48"/>
        <v>60607031520200000000</v>
      </c>
      <c r="L780" s="17" t="str">
        <f>INDEX('реш СГД № 265'!$A:$N,MATCH('БА расх 2018 31 12 2018'!$K780,'реш СГД № 265'!$N:$N,0),3)</f>
        <v>Основное мероприятие «Профилактика зависимости от наркотических и других психоактивных веществ среди детей и молодежи»</v>
      </c>
      <c r="M780" s="16">
        <f t="shared" si="50"/>
        <v>1</v>
      </c>
    </row>
    <row r="781" spans="1:13" s="17" customFormat="1" ht="78.75">
      <c r="A781" s="14"/>
      <c r="B781" s="129" t="s">
        <v>158</v>
      </c>
      <c r="C781" s="109" t="s">
        <v>394</v>
      </c>
      <c r="D781" s="108" t="s">
        <v>229</v>
      </c>
      <c r="E781" s="131" t="s">
        <v>13</v>
      </c>
      <c r="F781" s="108" t="s">
        <v>162</v>
      </c>
      <c r="G781" s="108" t="s">
        <v>9</v>
      </c>
      <c r="H781" s="126">
        <v>20000</v>
      </c>
      <c r="I781" s="108">
        <v>1520220370</v>
      </c>
      <c r="J781" s="108" t="str">
        <f t="shared" si="49"/>
        <v>1520220370</v>
      </c>
      <c r="K781" s="304" t="str">
        <f t="shared" si="48"/>
        <v>60607031520220370000</v>
      </c>
      <c r="L781" s="17" t="str">
        <f>INDEX('реш СГД № 265'!$A:$N,MATCH('БА расх 2018 31 12 2018'!$K781,'реш СГД № 265'!$N:$N,0),3)</f>
        <v>Расходы на реализацию мероприятий по профилактике незаконного потребления наркотических средств и психотропных веществ, наркомании и снижение их потребления среди подростков и молодежи города Ставрополя</v>
      </c>
      <c r="M781" s="16">
        <f t="shared" si="50"/>
        <v>1</v>
      </c>
    </row>
    <row r="782" spans="1:13" s="17" customFormat="1" ht="15.75">
      <c r="A782" s="14"/>
      <c r="B782" s="132" t="s">
        <v>403</v>
      </c>
      <c r="C782" s="109" t="s">
        <v>394</v>
      </c>
      <c r="D782" s="108" t="s">
        <v>229</v>
      </c>
      <c r="E782" s="131" t="s">
        <v>13</v>
      </c>
      <c r="F782" s="108" t="s">
        <v>162</v>
      </c>
      <c r="G782" s="108" t="s">
        <v>404</v>
      </c>
      <c r="H782" s="126">
        <v>10000</v>
      </c>
      <c r="I782" s="108">
        <v>1520220370</v>
      </c>
      <c r="J782" s="108" t="str">
        <f t="shared" si="49"/>
        <v>1520220370</v>
      </c>
      <c r="K782" s="304" t="str">
        <f t="shared" si="48"/>
        <v>60607031520220370610</v>
      </c>
      <c r="L782" s="17" t="str">
        <f>INDEX('реш СГД № 265'!$A:$N,MATCH('БА расх 2018 31 12 2018'!$K782,'реш СГД № 265'!$N:$N,0),3)</f>
        <v>Субсидии бюджетным учреждениям</v>
      </c>
      <c r="M782" s="16">
        <f t="shared" si="50"/>
        <v>1</v>
      </c>
    </row>
    <row r="783" spans="1:13" s="24" customFormat="1" ht="15.75">
      <c r="A783" s="21"/>
      <c r="B783" s="127" t="s">
        <v>407</v>
      </c>
      <c r="C783" s="109" t="s">
        <v>394</v>
      </c>
      <c r="D783" s="108" t="s">
        <v>229</v>
      </c>
      <c r="E783" s="131" t="s">
        <v>13</v>
      </c>
      <c r="F783" s="108" t="s">
        <v>162</v>
      </c>
      <c r="G783" s="108" t="s">
        <v>408</v>
      </c>
      <c r="H783" s="126">
        <v>10000</v>
      </c>
      <c r="I783" s="108">
        <v>1520220370</v>
      </c>
      <c r="J783" s="108" t="str">
        <f t="shared" si="49"/>
        <v>1520220370</v>
      </c>
      <c r="K783" s="304" t="str">
        <f t="shared" si="48"/>
        <v>60607031520220370612</v>
      </c>
      <c r="L783" s="17"/>
      <c r="M783" s="16"/>
    </row>
    <row r="784" spans="1:13" s="24" customFormat="1" ht="15.75">
      <c r="A784" s="21"/>
      <c r="B784" s="132" t="s">
        <v>409</v>
      </c>
      <c r="C784" s="109" t="s">
        <v>394</v>
      </c>
      <c r="D784" s="108" t="s">
        <v>229</v>
      </c>
      <c r="E784" s="131" t="s">
        <v>13</v>
      </c>
      <c r="F784" s="108" t="s">
        <v>162</v>
      </c>
      <c r="G784" s="108" t="s">
        <v>410</v>
      </c>
      <c r="H784" s="126">
        <v>10000</v>
      </c>
      <c r="I784" s="108">
        <v>1520220370</v>
      </c>
      <c r="J784" s="108" t="str">
        <f t="shared" si="49"/>
        <v>1520220370</v>
      </c>
      <c r="K784" s="304" t="str">
        <f t="shared" si="48"/>
        <v>60607031520220370620</v>
      </c>
      <c r="L784" s="400" t="e">
        <f>INDEX('реш СГД № 265'!$A:$N,MATCH('БА расх 2018 31 12 2018'!$K784,'реш СГД № 265'!$N:$N,0),3)</f>
        <v>#N/A</v>
      </c>
      <c r="M784" s="17" t="e">
        <f t="shared" si="50"/>
        <v>#N/A</v>
      </c>
    </row>
    <row r="785" spans="1:13" s="24" customFormat="1" ht="15.75">
      <c r="A785" s="21"/>
      <c r="B785" s="127" t="s">
        <v>428</v>
      </c>
      <c r="C785" s="109" t="s">
        <v>394</v>
      </c>
      <c r="D785" s="108" t="s">
        <v>229</v>
      </c>
      <c r="E785" s="131" t="s">
        <v>13</v>
      </c>
      <c r="F785" s="108" t="s">
        <v>162</v>
      </c>
      <c r="G785" s="108" t="s">
        <v>429</v>
      </c>
      <c r="H785" s="126">
        <v>10000</v>
      </c>
      <c r="I785" s="108">
        <v>1520220370</v>
      </c>
      <c r="J785" s="108" t="str">
        <f t="shared" si="49"/>
        <v>1520220370</v>
      </c>
      <c r="K785" s="304" t="str">
        <f t="shared" si="48"/>
        <v>60607031520220370622</v>
      </c>
      <c r="L785" s="17"/>
      <c r="M785" s="16"/>
    </row>
    <row r="786" spans="1:13" s="17" customFormat="1" ht="31.5">
      <c r="A786" s="14"/>
      <c r="B786" s="125" t="s">
        <v>168</v>
      </c>
      <c r="C786" s="109" t="s">
        <v>394</v>
      </c>
      <c r="D786" s="108" t="s">
        <v>229</v>
      </c>
      <c r="E786" s="131" t="s">
        <v>13</v>
      </c>
      <c r="F786" s="108" t="s">
        <v>169</v>
      </c>
      <c r="G786" s="108" t="s">
        <v>9</v>
      </c>
      <c r="H786" s="126">
        <v>99999.96</v>
      </c>
      <c r="I786" s="108">
        <v>1530000000</v>
      </c>
      <c r="J786" s="108" t="str">
        <f t="shared" si="49"/>
        <v>1530000000</v>
      </c>
      <c r="K786" s="304" t="str">
        <f t="shared" si="48"/>
        <v>60607031530000000000</v>
      </c>
      <c r="L786" s="17" t="str">
        <f>INDEX('реш СГД № 265'!$A:$N,MATCH('БА расх 2018 31 12 2018'!$K786,'реш СГД № 265'!$N:$N,0),3)</f>
        <v xml:space="preserve">Подпрограмма «Профилактика правонарушений в городе Ставрополе» </v>
      </c>
      <c r="M786" s="16">
        <f t="shared" si="50"/>
        <v>1</v>
      </c>
    </row>
    <row r="787" spans="1:13" s="17" customFormat="1" ht="31.5">
      <c r="A787" s="14"/>
      <c r="B787" s="125" t="s">
        <v>374</v>
      </c>
      <c r="C787" s="109" t="s">
        <v>394</v>
      </c>
      <c r="D787" s="108" t="s">
        <v>229</v>
      </c>
      <c r="E787" s="131" t="s">
        <v>13</v>
      </c>
      <c r="F787" s="108" t="s">
        <v>375</v>
      </c>
      <c r="G787" s="108" t="s">
        <v>9</v>
      </c>
      <c r="H787" s="126">
        <v>99999.96</v>
      </c>
      <c r="I787" s="108">
        <v>1530100000</v>
      </c>
      <c r="J787" s="108" t="str">
        <f t="shared" si="49"/>
        <v>1530100000</v>
      </c>
      <c r="K787" s="304" t="str">
        <f t="shared" si="48"/>
        <v>60607031530100000000</v>
      </c>
      <c r="L787" s="17" t="str">
        <f>INDEX('реш СГД № 265'!$A:$N,MATCH('БА расх 2018 31 12 2018'!$K787,'реш СГД № 265'!$N:$N,0),3)</f>
        <v>Основное мероприятие «Профилактика правонарушений несовершеннолетних»</v>
      </c>
      <c r="M787" s="16">
        <f t="shared" si="50"/>
        <v>1</v>
      </c>
    </row>
    <row r="788" spans="1:13" s="17" customFormat="1" ht="31.5">
      <c r="A788" s="14"/>
      <c r="B788" s="125" t="s">
        <v>376</v>
      </c>
      <c r="C788" s="109" t="s">
        <v>394</v>
      </c>
      <c r="D788" s="108" t="s">
        <v>229</v>
      </c>
      <c r="E788" s="131" t="s">
        <v>13</v>
      </c>
      <c r="F788" s="108" t="s">
        <v>377</v>
      </c>
      <c r="G788" s="108" t="s">
        <v>9</v>
      </c>
      <c r="H788" s="126">
        <v>99999.96</v>
      </c>
      <c r="I788" s="108">
        <v>1530120660</v>
      </c>
      <c r="J788" s="108" t="str">
        <f t="shared" si="49"/>
        <v>1530120660</v>
      </c>
      <c r="K788" s="304" t="str">
        <f t="shared" si="48"/>
        <v>60607031530120660000</v>
      </c>
      <c r="L788" s="17" t="str">
        <f>INDEX('реш СГД № 265'!$A:$N,MATCH('БА расх 2018 31 12 2018'!$K788,'реш СГД № 265'!$N:$N,0),3)</f>
        <v>Расходы на реализацию мероприятий, направленных на профилактику правонарушений в городе Ставрополе</v>
      </c>
      <c r="M788" s="16">
        <f t="shared" si="50"/>
        <v>1</v>
      </c>
    </row>
    <row r="789" spans="1:13" s="24" customFormat="1" ht="15.75">
      <c r="A789" s="21"/>
      <c r="B789" s="132" t="s">
        <v>409</v>
      </c>
      <c r="C789" s="109" t="s">
        <v>394</v>
      </c>
      <c r="D789" s="108" t="s">
        <v>229</v>
      </c>
      <c r="E789" s="131" t="s">
        <v>13</v>
      </c>
      <c r="F789" s="108" t="s">
        <v>377</v>
      </c>
      <c r="G789" s="108" t="s">
        <v>410</v>
      </c>
      <c r="H789" s="126">
        <v>99999.96</v>
      </c>
      <c r="I789" s="108">
        <v>1530120660</v>
      </c>
      <c r="J789" s="108" t="str">
        <f t="shared" si="49"/>
        <v>1530120660</v>
      </c>
      <c r="K789" s="304" t="str">
        <f t="shared" si="48"/>
        <v>60607031530120660620</v>
      </c>
      <c r="L789" s="400" t="e">
        <f>INDEX('реш СГД № 265'!$A:$N,MATCH('БА расх 2018 31 12 2018'!$K789,'реш СГД № 265'!$N:$N,0),3)</f>
        <v>#N/A</v>
      </c>
      <c r="M789" s="17" t="e">
        <f t="shared" si="50"/>
        <v>#N/A</v>
      </c>
    </row>
    <row r="790" spans="1:13" s="24" customFormat="1" ht="15.75">
      <c r="A790" s="21"/>
      <c r="B790" s="127" t="s">
        <v>428</v>
      </c>
      <c r="C790" s="109" t="s">
        <v>394</v>
      </c>
      <c r="D790" s="108" t="s">
        <v>229</v>
      </c>
      <c r="E790" s="131" t="s">
        <v>13</v>
      </c>
      <c r="F790" s="108" t="s">
        <v>377</v>
      </c>
      <c r="G790" s="108" t="s">
        <v>429</v>
      </c>
      <c r="H790" s="126">
        <v>99999.96</v>
      </c>
      <c r="I790" s="108">
        <v>1530120660</v>
      </c>
      <c r="J790" s="108" t="str">
        <f t="shared" si="49"/>
        <v>1530120660</v>
      </c>
      <c r="K790" s="304" t="str">
        <f t="shared" si="48"/>
        <v>60607031530120660622</v>
      </c>
      <c r="L790" s="17"/>
      <c r="M790" s="16"/>
    </row>
    <row r="791" spans="1:13" s="17" customFormat="1" ht="78.75">
      <c r="A791" s="14"/>
      <c r="B791" s="125" t="s">
        <v>420</v>
      </c>
      <c r="C791" s="109" t="s">
        <v>394</v>
      </c>
      <c r="D791" s="131" t="s">
        <v>229</v>
      </c>
      <c r="E791" s="131" t="s">
        <v>13</v>
      </c>
      <c r="F791" s="108" t="s">
        <v>421</v>
      </c>
      <c r="G791" s="108" t="s">
        <v>9</v>
      </c>
      <c r="H791" s="126">
        <v>374900</v>
      </c>
      <c r="I791" s="108">
        <v>1600000000</v>
      </c>
      <c r="J791" s="108" t="str">
        <f t="shared" si="49"/>
        <v>1600000000</v>
      </c>
      <c r="K791" s="304" t="str">
        <f t="shared" si="48"/>
        <v>60607031600000000000</v>
      </c>
      <c r="L791" s="17" t="str">
        <f>INDEX('реш СГД № 265'!$A:$N,MATCH('БА расх 2018 31 12 2018'!$K791,'реш СГД № 265'!$N:$N,0),3)</f>
        <v>Муниципальная программа «Обеспечение гражданской обороны, пожарной безопасности, безопасности людей на водных объектах, организация деятельности аварийно-спасательных служб, защита населения и территории города Ставрополя от чрезвычайных ситуаций»</v>
      </c>
      <c r="M791" s="16">
        <f t="shared" si="50"/>
        <v>1</v>
      </c>
    </row>
    <row r="792" spans="1:13" s="17" customFormat="1" ht="31.5">
      <c r="A792" s="14"/>
      <c r="B792" s="125" t="s">
        <v>422</v>
      </c>
      <c r="C792" s="109" t="s">
        <v>394</v>
      </c>
      <c r="D792" s="131" t="s">
        <v>229</v>
      </c>
      <c r="E792" s="131" t="s">
        <v>13</v>
      </c>
      <c r="F792" s="108" t="s">
        <v>423</v>
      </c>
      <c r="G792" s="108" t="s">
        <v>9</v>
      </c>
      <c r="H792" s="126">
        <v>374900</v>
      </c>
      <c r="I792" s="108">
        <v>1620000000</v>
      </c>
      <c r="J792" s="108" t="str">
        <f t="shared" si="49"/>
        <v>1620000000</v>
      </c>
      <c r="K792" s="304" t="str">
        <f t="shared" si="48"/>
        <v>60607031620000000000</v>
      </c>
      <c r="L792" s="17" t="str">
        <f>INDEX('реш СГД № 265'!$A:$N,MATCH('БА расх 2018 31 12 2018'!$K792,'реш СГД № 265'!$N:$N,0),3)</f>
        <v>Подпрограмма «Обеспечение пожарной безопасности в границах города Ставрополя»</v>
      </c>
      <c r="M792" s="16">
        <f t="shared" si="50"/>
        <v>1</v>
      </c>
    </row>
    <row r="793" spans="1:13" s="17" customFormat="1" ht="47.25">
      <c r="A793" s="14"/>
      <c r="B793" s="125" t="s">
        <v>424</v>
      </c>
      <c r="C793" s="109" t="s">
        <v>394</v>
      </c>
      <c r="D793" s="131" t="s">
        <v>229</v>
      </c>
      <c r="E793" s="131" t="s">
        <v>13</v>
      </c>
      <c r="F793" s="108" t="s">
        <v>425</v>
      </c>
      <c r="G793" s="108" t="s">
        <v>9</v>
      </c>
      <c r="H793" s="126">
        <v>374900</v>
      </c>
      <c r="I793" s="108">
        <v>1620200000</v>
      </c>
      <c r="J793" s="108" t="str">
        <f t="shared" si="49"/>
        <v>1620200000</v>
      </c>
      <c r="K793" s="304" t="str">
        <f t="shared" si="48"/>
        <v>60607031620200000000</v>
      </c>
      <c r="L793" s="17" t="str">
        <f>INDEX('реш СГД № 265'!$A:$N,MATCH('БА расх 2018 31 12 2018'!$K793,'реш СГД № 265'!$N:$N,0),3)</f>
        <v>Основное мероприятие «Выполнение противопожарных мероприятий в муниципальных учреждениях города Ставрополя»</v>
      </c>
      <c r="M793" s="16">
        <f t="shared" si="50"/>
        <v>1</v>
      </c>
    </row>
    <row r="794" spans="1:13" s="17" customFormat="1" ht="47.25">
      <c r="A794" s="14"/>
      <c r="B794" s="125" t="s">
        <v>426</v>
      </c>
      <c r="C794" s="109" t="s">
        <v>394</v>
      </c>
      <c r="D794" s="131" t="s">
        <v>229</v>
      </c>
      <c r="E794" s="131" t="s">
        <v>13</v>
      </c>
      <c r="F794" s="108" t="s">
        <v>427</v>
      </c>
      <c r="G794" s="108" t="s">
        <v>9</v>
      </c>
      <c r="H794" s="126">
        <v>374900</v>
      </c>
      <c r="I794" s="108">
        <v>1620220550</v>
      </c>
      <c r="J794" s="108" t="str">
        <f t="shared" si="49"/>
        <v>1620220550</v>
      </c>
      <c r="K794" s="304" t="str">
        <f t="shared" si="48"/>
        <v>60607031620220550000</v>
      </c>
      <c r="L794" s="17" t="str">
        <f>INDEX('реш СГД № 265'!$A:$N,MATCH('БА расх 2018 31 12 2018'!$K794,'реш СГД № 265'!$N:$N,0),3)</f>
        <v>Обеспечение пожарной безопасности в муниципальных учреждениях образования, культуры, физической культуры и спорта города Ставрополя</v>
      </c>
      <c r="M794" s="16">
        <f t="shared" si="50"/>
        <v>1</v>
      </c>
    </row>
    <row r="795" spans="1:13" s="17" customFormat="1" ht="15.75">
      <c r="A795" s="14"/>
      <c r="B795" s="140" t="s">
        <v>403</v>
      </c>
      <c r="C795" s="109" t="s">
        <v>394</v>
      </c>
      <c r="D795" s="131" t="s">
        <v>229</v>
      </c>
      <c r="E795" s="131" t="s">
        <v>13</v>
      </c>
      <c r="F795" s="108" t="s">
        <v>427</v>
      </c>
      <c r="G795" s="108" t="s">
        <v>404</v>
      </c>
      <c r="H795" s="126">
        <v>295100</v>
      </c>
      <c r="I795" s="108">
        <v>1620220550</v>
      </c>
      <c r="J795" s="108" t="str">
        <f t="shared" si="49"/>
        <v>1620220550</v>
      </c>
      <c r="K795" s="304" t="str">
        <f t="shared" si="48"/>
        <v>60607031620220550610</v>
      </c>
      <c r="L795" s="17" t="str">
        <f>INDEX('реш СГД № 265'!$A:$N,MATCH('БА расх 2018 31 12 2018'!$K795,'реш СГД № 265'!$N:$N,0),3)</f>
        <v>Субсидии бюджетным учреждениям</v>
      </c>
      <c r="M795" s="16">
        <f t="shared" si="50"/>
        <v>1</v>
      </c>
    </row>
    <row r="796" spans="1:13" s="24" customFormat="1" ht="15.75">
      <c r="A796" s="21"/>
      <c r="B796" s="127" t="s">
        <v>407</v>
      </c>
      <c r="C796" s="109" t="s">
        <v>394</v>
      </c>
      <c r="D796" s="131" t="s">
        <v>229</v>
      </c>
      <c r="E796" s="131" t="s">
        <v>13</v>
      </c>
      <c r="F796" s="108" t="s">
        <v>427</v>
      </c>
      <c r="G796" s="108" t="s">
        <v>408</v>
      </c>
      <c r="H796" s="126">
        <v>295100</v>
      </c>
      <c r="I796" s="108">
        <v>1620220550</v>
      </c>
      <c r="J796" s="108" t="str">
        <f t="shared" si="49"/>
        <v>1620220550</v>
      </c>
      <c r="K796" s="304" t="str">
        <f t="shared" si="48"/>
        <v>60607031620220550612</v>
      </c>
      <c r="L796" s="17"/>
      <c r="M796" s="16"/>
    </row>
    <row r="797" spans="1:13" s="17" customFormat="1" ht="15.75">
      <c r="A797" s="14"/>
      <c r="B797" s="132" t="s">
        <v>409</v>
      </c>
      <c r="C797" s="109" t="s">
        <v>394</v>
      </c>
      <c r="D797" s="131" t="s">
        <v>229</v>
      </c>
      <c r="E797" s="131" t="s">
        <v>13</v>
      </c>
      <c r="F797" s="108" t="s">
        <v>427</v>
      </c>
      <c r="G797" s="108" t="s">
        <v>410</v>
      </c>
      <c r="H797" s="126">
        <v>79800</v>
      </c>
      <c r="I797" s="108">
        <v>1620220550</v>
      </c>
      <c r="J797" s="108" t="str">
        <f t="shared" si="49"/>
        <v>1620220550</v>
      </c>
      <c r="K797" s="304" t="str">
        <f t="shared" si="48"/>
        <v>60607031620220550620</v>
      </c>
      <c r="L797" s="17" t="str">
        <f>INDEX('реш СГД № 265'!$A:$N,MATCH('БА расх 2018 31 12 2018'!$K797,'реш СГД № 265'!$N:$N,0),3)</f>
        <v>Субсидии автономным учреждениям</v>
      </c>
      <c r="M797" s="16">
        <f t="shared" si="50"/>
        <v>1</v>
      </c>
    </row>
    <row r="798" spans="1:13" s="24" customFormat="1" ht="15.75">
      <c r="A798" s="21"/>
      <c r="B798" s="127" t="s">
        <v>428</v>
      </c>
      <c r="C798" s="109" t="s">
        <v>394</v>
      </c>
      <c r="D798" s="131" t="s">
        <v>229</v>
      </c>
      <c r="E798" s="131" t="s">
        <v>13</v>
      </c>
      <c r="F798" s="108" t="s">
        <v>427</v>
      </c>
      <c r="G798" s="108" t="s">
        <v>429</v>
      </c>
      <c r="H798" s="126">
        <v>79800</v>
      </c>
      <c r="I798" s="108">
        <v>1620220550</v>
      </c>
      <c r="J798" s="108" t="str">
        <f t="shared" si="49"/>
        <v>1620220550</v>
      </c>
      <c r="K798" s="304" t="str">
        <f t="shared" si="48"/>
        <v>60607031620220550622</v>
      </c>
      <c r="L798" s="17"/>
      <c r="M798" s="16"/>
    </row>
    <row r="799" spans="1:13" s="17" customFormat="1" ht="15.75">
      <c r="A799" s="14"/>
      <c r="B799" s="121" t="s">
        <v>464</v>
      </c>
      <c r="C799" s="122" t="s">
        <v>394</v>
      </c>
      <c r="D799" s="123" t="s">
        <v>229</v>
      </c>
      <c r="E799" s="123" t="s">
        <v>229</v>
      </c>
      <c r="F799" s="123" t="s">
        <v>8</v>
      </c>
      <c r="G799" s="123" t="s">
        <v>9</v>
      </c>
      <c r="H799" s="124">
        <v>28384689.689999998</v>
      </c>
      <c r="I799" s="123">
        <v>0</v>
      </c>
      <c r="J799" s="123" t="str">
        <f t="shared" si="49"/>
        <v>0000000000</v>
      </c>
      <c r="K799" s="304" t="str">
        <f t="shared" si="48"/>
        <v>60607070000000000000</v>
      </c>
      <c r="L799" s="17" t="str">
        <f>INDEX('реш СГД № 265'!$A:$N,MATCH('БА расх 2018 31 12 2018'!$K799,'реш СГД № 265'!$N:$N,0),3)</f>
        <v>Молодежная политика</v>
      </c>
      <c r="M799" s="16">
        <f t="shared" si="50"/>
        <v>1</v>
      </c>
    </row>
    <row r="800" spans="1:13" s="17" customFormat="1" ht="31.5">
      <c r="A800" s="14"/>
      <c r="B800" s="132" t="s">
        <v>396</v>
      </c>
      <c r="C800" s="109" t="s">
        <v>394</v>
      </c>
      <c r="D800" s="108" t="s">
        <v>229</v>
      </c>
      <c r="E800" s="108" t="s">
        <v>229</v>
      </c>
      <c r="F800" s="108" t="s">
        <v>397</v>
      </c>
      <c r="G800" s="108" t="s">
        <v>9</v>
      </c>
      <c r="H800" s="126">
        <v>28339489.689999998</v>
      </c>
      <c r="I800" s="108">
        <v>100000000</v>
      </c>
      <c r="J800" s="108" t="str">
        <f t="shared" si="49"/>
        <v>0100000000</v>
      </c>
      <c r="K800" s="304" t="str">
        <f t="shared" si="48"/>
        <v>60607070100000000000</v>
      </c>
      <c r="L800" s="17" t="str">
        <f>INDEX('реш СГД № 265'!$A:$N,MATCH('БА расх 2018 31 12 2018'!$K800,'реш СГД № 265'!$N:$N,0),3)</f>
        <v>Муниципальная программа «Развитие образования в городе Ставрополе»</v>
      </c>
      <c r="M800" s="16">
        <f t="shared" si="50"/>
        <v>1</v>
      </c>
    </row>
    <row r="801" spans="1:13" s="17" customFormat="1" ht="31.5">
      <c r="A801" s="14"/>
      <c r="B801" s="132" t="s">
        <v>398</v>
      </c>
      <c r="C801" s="109" t="s">
        <v>394</v>
      </c>
      <c r="D801" s="108" t="s">
        <v>229</v>
      </c>
      <c r="E801" s="108" t="s">
        <v>229</v>
      </c>
      <c r="F801" s="108" t="s">
        <v>399</v>
      </c>
      <c r="G801" s="108" t="s">
        <v>9</v>
      </c>
      <c r="H801" s="126">
        <v>28339489.689999998</v>
      </c>
      <c r="I801" s="108">
        <v>110000000</v>
      </c>
      <c r="J801" s="108" t="str">
        <f t="shared" si="49"/>
        <v>0110000000</v>
      </c>
      <c r="K801" s="304" t="str">
        <f t="shared" si="48"/>
        <v>60607070110000000000</v>
      </c>
      <c r="L801" s="17" t="str">
        <f>INDEX('реш СГД № 265'!$A:$N,MATCH('БА расх 2018 31 12 2018'!$K801,'реш СГД № 265'!$N:$N,0),3)</f>
        <v>Подпрограмма «Организация дошкольного, общего и дополнительного образования»</v>
      </c>
      <c r="M801" s="16">
        <f t="shared" si="50"/>
        <v>1</v>
      </c>
    </row>
    <row r="802" spans="1:13" s="17" customFormat="1" ht="31.5">
      <c r="A802" s="14"/>
      <c r="B802" s="132" t="s">
        <v>465</v>
      </c>
      <c r="C802" s="109" t="s">
        <v>394</v>
      </c>
      <c r="D802" s="108" t="s">
        <v>229</v>
      </c>
      <c r="E802" s="108" t="s">
        <v>229</v>
      </c>
      <c r="F802" s="108" t="s">
        <v>466</v>
      </c>
      <c r="G802" s="108" t="s">
        <v>9</v>
      </c>
      <c r="H802" s="126">
        <v>28339489.689999998</v>
      </c>
      <c r="I802" s="108">
        <v>110400000</v>
      </c>
      <c r="J802" s="108" t="str">
        <f t="shared" si="49"/>
        <v>0110400000</v>
      </c>
      <c r="K802" s="304" t="str">
        <f t="shared" si="48"/>
        <v>60607070110400000000</v>
      </c>
      <c r="L802" s="17" t="str">
        <f>INDEX('реш СГД № 265'!$A:$N,MATCH('БА расх 2018 31 12 2018'!$K802,'реш СГД № 265'!$N:$N,0),3)</f>
        <v>Основное мероприятие «Организация отдыха детей в каникулярное время»</v>
      </c>
      <c r="M802" s="16">
        <f t="shared" si="50"/>
        <v>1</v>
      </c>
    </row>
    <row r="803" spans="1:13" s="17" customFormat="1" ht="31.5">
      <c r="A803" s="14"/>
      <c r="B803" s="132" t="s">
        <v>136</v>
      </c>
      <c r="C803" s="109" t="s">
        <v>394</v>
      </c>
      <c r="D803" s="108" t="s">
        <v>229</v>
      </c>
      <c r="E803" s="108" t="s">
        <v>229</v>
      </c>
      <c r="F803" s="108" t="s">
        <v>467</v>
      </c>
      <c r="G803" s="108" t="s">
        <v>9</v>
      </c>
      <c r="H803" s="126">
        <v>9101893.2899999991</v>
      </c>
      <c r="I803" s="108">
        <v>110411010</v>
      </c>
      <c r="J803" s="108" t="str">
        <f t="shared" si="49"/>
        <v>0110411010</v>
      </c>
      <c r="K803" s="304" t="str">
        <f t="shared" si="48"/>
        <v>60607070110411010000</v>
      </c>
      <c r="L803" s="17" t="str">
        <f>INDEX('реш СГД № 265'!$A:$N,MATCH('БА расх 2018 31 12 2018'!$K803,'реш СГД № 265'!$N:$N,0),3)</f>
        <v>Расходы на обеспечение деятельности (оказание услуг) муниципальных учреждений</v>
      </c>
      <c r="M803" s="16">
        <f t="shared" si="50"/>
        <v>1</v>
      </c>
    </row>
    <row r="804" spans="1:13" s="17" customFormat="1" ht="15.75">
      <c r="A804" s="14"/>
      <c r="B804" s="132" t="s">
        <v>409</v>
      </c>
      <c r="C804" s="109" t="s">
        <v>394</v>
      </c>
      <c r="D804" s="108" t="s">
        <v>229</v>
      </c>
      <c r="E804" s="108" t="s">
        <v>229</v>
      </c>
      <c r="F804" s="108" t="s">
        <v>467</v>
      </c>
      <c r="G804" s="108" t="s">
        <v>410</v>
      </c>
      <c r="H804" s="126">
        <v>9101893.2899999991</v>
      </c>
      <c r="I804" s="108">
        <v>110411010</v>
      </c>
      <c r="J804" s="108" t="str">
        <f t="shared" si="49"/>
        <v>0110411010</v>
      </c>
      <c r="K804" s="304" t="str">
        <f t="shared" si="48"/>
        <v>60607070110411010620</v>
      </c>
      <c r="L804" s="17" t="str">
        <f>INDEX('реш СГД № 265'!$A:$N,MATCH('БА расх 2018 31 12 2018'!$K804,'реш СГД № 265'!$N:$N,0),3)</f>
        <v>Субсидии автономным учреждениям</v>
      </c>
      <c r="M804" s="16">
        <f t="shared" si="50"/>
        <v>1</v>
      </c>
    </row>
    <row r="805" spans="1:13" s="24" customFormat="1" ht="63">
      <c r="A805" s="21"/>
      <c r="B805" s="127" t="s">
        <v>411</v>
      </c>
      <c r="C805" s="109" t="s">
        <v>394</v>
      </c>
      <c r="D805" s="108" t="s">
        <v>229</v>
      </c>
      <c r="E805" s="108" t="s">
        <v>229</v>
      </c>
      <c r="F805" s="108" t="s">
        <v>467</v>
      </c>
      <c r="G805" s="108" t="s">
        <v>412</v>
      </c>
      <c r="H805" s="126">
        <v>9101893.2899999991</v>
      </c>
      <c r="I805" s="108">
        <v>110411010</v>
      </c>
      <c r="J805" s="108" t="str">
        <f t="shared" si="49"/>
        <v>0110411010</v>
      </c>
      <c r="K805" s="304" t="str">
        <f t="shared" si="48"/>
        <v>60607070110411010621</v>
      </c>
      <c r="L805" s="17"/>
      <c r="M805" s="16"/>
    </row>
    <row r="806" spans="1:13" s="17" customFormat="1" ht="15.75">
      <c r="A806" s="14"/>
      <c r="B806" s="125" t="s">
        <v>468</v>
      </c>
      <c r="C806" s="109" t="s">
        <v>394</v>
      </c>
      <c r="D806" s="108" t="s">
        <v>229</v>
      </c>
      <c r="E806" s="108" t="s">
        <v>229</v>
      </c>
      <c r="F806" s="108" t="s">
        <v>469</v>
      </c>
      <c r="G806" s="108" t="s">
        <v>9</v>
      </c>
      <c r="H806" s="126">
        <v>17867370</v>
      </c>
      <c r="I806" s="108">
        <v>110420330</v>
      </c>
      <c r="J806" s="108" t="str">
        <f t="shared" si="49"/>
        <v>0110420330</v>
      </c>
      <c r="K806" s="304" t="str">
        <f t="shared" si="48"/>
        <v>60607070110420330000</v>
      </c>
      <c r="L806" s="17" t="str">
        <f>INDEX('реш СГД № 265'!$A:$N,MATCH('БА расх 2018 31 12 2018'!$K806,'реш СГД № 265'!$N:$N,0),3)</f>
        <v>Расходы на проведение мероприятий по оздоровлению детей</v>
      </c>
      <c r="M806" s="16">
        <f t="shared" si="50"/>
        <v>1</v>
      </c>
    </row>
    <row r="807" spans="1:13" s="17" customFormat="1" ht="15.75">
      <c r="A807" s="14"/>
      <c r="B807" s="132" t="s">
        <v>403</v>
      </c>
      <c r="C807" s="109" t="s">
        <v>394</v>
      </c>
      <c r="D807" s="108" t="s">
        <v>229</v>
      </c>
      <c r="E807" s="108" t="s">
        <v>229</v>
      </c>
      <c r="F807" s="108" t="s">
        <v>469</v>
      </c>
      <c r="G807" s="108" t="s">
        <v>404</v>
      </c>
      <c r="H807" s="126">
        <v>15557242.27</v>
      </c>
      <c r="I807" s="108">
        <v>110420330</v>
      </c>
      <c r="J807" s="108" t="str">
        <f t="shared" si="49"/>
        <v>0110420330</v>
      </c>
      <c r="K807" s="304" t="str">
        <f t="shared" si="48"/>
        <v>60607070110420330610</v>
      </c>
      <c r="L807" s="17" t="str">
        <f>INDEX('реш СГД № 265'!$A:$N,MATCH('БА расх 2018 31 12 2018'!$K807,'реш СГД № 265'!$N:$N,0),3)</f>
        <v>Субсидии бюджетным учреждениям</v>
      </c>
      <c r="M807" s="16">
        <f t="shared" si="50"/>
        <v>1</v>
      </c>
    </row>
    <row r="808" spans="1:13" s="24" customFormat="1" ht="15.75">
      <c r="A808" s="21"/>
      <c r="B808" s="127" t="s">
        <v>407</v>
      </c>
      <c r="C808" s="109" t="s">
        <v>394</v>
      </c>
      <c r="D808" s="108" t="s">
        <v>229</v>
      </c>
      <c r="E808" s="108" t="s">
        <v>229</v>
      </c>
      <c r="F808" s="108" t="s">
        <v>469</v>
      </c>
      <c r="G808" s="108" t="s">
        <v>408</v>
      </c>
      <c r="H808" s="126">
        <v>15557242.27</v>
      </c>
      <c r="I808" s="108">
        <v>110420330</v>
      </c>
      <c r="J808" s="108" t="str">
        <f t="shared" si="49"/>
        <v>0110420330</v>
      </c>
      <c r="K808" s="304" t="str">
        <f t="shared" si="48"/>
        <v>60607070110420330612</v>
      </c>
      <c r="L808" s="17"/>
      <c r="M808" s="16"/>
    </row>
    <row r="809" spans="1:13" s="24" customFormat="1" ht="15.75">
      <c r="A809" s="21"/>
      <c r="B809" s="132" t="s">
        <v>409</v>
      </c>
      <c r="C809" s="109" t="s">
        <v>394</v>
      </c>
      <c r="D809" s="108" t="s">
        <v>229</v>
      </c>
      <c r="E809" s="108" t="s">
        <v>229</v>
      </c>
      <c r="F809" s="108" t="s">
        <v>469</v>
      </c>
      <c r="G809" s="108" t="s">
        <v>410</v>
      </c>
      <c r="H809" s="126">
        <v>2310127.73</v>
      </c>
      <c r="I809" s="108">
        <v>110420330</v>
      </c>
      <c r="J809" s="108" t="str">
        <f t="shared" si="49"/>
        <v>0110420330</v>
      </c>
      <c r="K809" s="304" t="str">
        <f t="shared" si="48"/>
        <v>60607070110420330620</v>
      </c>
      <c r="L809" s="400" t="e">
        <f>INDEX('реш СГД № 265'!$A:$N,MATCH('БА расх 2018 31 12 2018'!$K809,'реш СГД № 265'!$N:$N,0),3)</f>
        <v>#N/A</v>
      </c>
      <c r="M809" s="17" t="e">
        <f t="shared" si="50"/>
        <v>#N/A</v>
      </c>
    </row>
    <row r="810" spans="1:13" s="24" customFormat="1" ht="15.75">
      <c r="A810" s="21"/>
      <c r="B810" s="127" t="s">
        <v>428</v>
      </c>
      <c r="C810" s="109" t="s">
        <v>394</v>
      </c>
      <c r="D810" s="108" t="s">
        <v>229</v>
      </c>
      <c r="E810" s="108" t="s">
        <v>229</v>
      </c>
      <c r="F810" s="108" t="s">
        <v>469</v>
      </c>
      <c r="G810" s="108" t="s">
        <v>429</v>
      </c>
      <c r="H810" s="126">
        <v>2310127.73</v>
      </c>
      <c r="I810" s="108">
        <v>110420330</v>
      </c>
      <c r="J810" s="108" t="str">
        <f t="shared" si="49"/>
        <v>0110420330</v>
      </c>
      <c r="K810" s="304" t="str">
        <f t="shared" si="48"/>
        <v>60607070110420330622</v>
      </c>
      <c r="L810" s="17"/>
      <c r="M810" s="16"/>
    </row>
    <row r="811" spans="1:13" s="24" customFormat="1" ht="267.75">
      <c r="A811" s="21"/>
      <c r="B811" s="132" t="s">
        <v>2269</v>
      </c>
      <c r="C811" s="109" t="s">
        <v>394</v>
      </c>
      <c r="D811" s="108" t="s">
        <v>229</v>
      </c>
      <c r="E811" s="108" t="s">
        <v>229</v>
      </c>
      <c r="F811" s="108" t="s">
        <v>1283</v>
      </c>
      <c r="G811" s="108" t="s">
        <v>9</v>
      </c>
      <c r="H811" s="126">
        <v>165876.4</v>
      </c>
      <c r="I811" s="108">
        <v>110477460</v>
      </c>
      <c r="J811" s="108" t="str">
        <f t="shared" si="49"/>
        <v>0110477460</v>
      </c>
      <c r="K811" s="304" t="str">
        <f t="shared" ref="K811:K877" si="51">C811&amp;D811&amp;E811&amp;J811&amp;G811</f>
        <v>60607070110477460000</v>
      </c>
      <c r="L811" s="132" t="str">
        <f>INDEX('реш СГД № 265'!$A:$N,MATCH('БА расх 2018 31 12 2018'!$K811,'реш СГД № 265'!$N:$N,0),3)</f>
        <v>Субсидии на компенсацию расходов по повышению заработной платы муниципальных служащих муниципальной службы и лиц, не замещающих должности муниципальной службы и исполняющих обязанности по техническому обеспечению деятельности органов местного самоуправления муниципальных образований, а также работников муниципальных учреждений, за исключением отдельных категорий работников муниципальных учреждений, которым повышение заработной платы осуществляется в соответствии с указами Президента Российской Федерации от 7 мая 2012 года № 597 «О мероприятиях по реализации государственной социальной политики», от 1 июня 2012 года № 761 «О Национальной стратегии действий в интересах детей на 2012 - 2017 годы» и от 28 декабря 2012 года № 1688 «О некоторых мерах по реализации государственной политики в сфере защиты детей-сирот и детей, оставшихся без попечения родителей»</v>
      </c>
      <c r="M811" s="17">
        <f t="shared" si="50"/>
        <v>1</v>
      </c>
    </row>
    <row r="812" spans="1:13" s="24" customFormat="1" ht="15.75">
      <c r="A812" s="21"/>
      <c r="B812" s="132" t="s">
        <v>409</v>
      </c>
      <c r="C812" s="109" t="s">
        <v>394</v>
      </c>
      <c r="D812" s="108" t="s">
        <v>229</v>
      </c>
      <c r="E812" s="108" t="s">
        <v>229</v>
      </c>
      <c r="F812" s="108" t="s">
        <v>1283</v>
      </c>
      <c r="G812" s="108" t="s">
        <v>410</v>
      </c>
      <c r="H812" s="126">
        <v>165876.4</v>
      </c>
      <c r="I812" s="108">
        <v>110477460</v>
      </c>
      <c r="J812" s="108" t="str">
        <f t="shared" ref="J812:J878" si="52">TEXT(I812,"0000000000")</f>
        <v>0110477460</v>
      </c>
      <c r="K812" s="304" t="str">
        <f t="shared" si="51"/>
        <v>60607070110477460620</v>
      </c>
      <c r="L812" s="17" t="str">
        <f>INDEX('реш СГД № 265'!$A:$N,MATCH('БА расх 2018 31 12 2018'!$K812,'реш СГД № 265'!$N:$N,0),3)</f>
        <v>Субсидии автономным учреждениям</v>
      </c>
      <c r="M812" s="16">
        <f t="shared" ref="M812:M878" si="53">IF(B812=L812,1,0)</f>
        <v>1</v>
      </c>
    </row>
    <row r="813" spans="1:13" s="24" customFormat="1" ht="63">
      <c r="A813" s="21"/>
      <c r="B813" s="127" t="s">
        <v>411</v>
      </c>
      <c r="C813" s="109" t="s">
        <v>394</v>
      </c>
      <c r="D813" s="108" t="s">
        <v>229</v>
      </c>
      <c r="E813" s="108" t="s">
        <v>229</v>
      </c>
      <c r="F813" s="108" t="s">
        <v>1283</v>
      </c>
      <c r="G813" s="108" t="s">
        <v>412</v>
      </c>
      <c r="H813" s="126">
        <v>165876.4</v>
      </c>
      <c r="I813" s="108">
        <v>110477460</v>
      </c>
      <c r="J813" s="108" t="str">
        <f t="shared" si="52"/>
        <v>0110477460</v>
      </c>
      <c r="K813" s="304" t="str">
        <f t="shared" si="51"/>
        <v>60607070110477460621</v>
      </c>
      <c r="L813" s="17"/>
      <c r="M813" s="16"/>
    </row>
    <row r="814" spans="1:13" s="24" customFormat="1" ht="236.25">
      <c r="A814" s="21"/>
      <c r="B814" s="164" t="s">
        <v>2247</v>
      </c>
      <c r="C814" s="109" t="s">
        <v>394</v>
      </c>
      <c r="D814" s="108" t="s">
        <v>229</v>
      </c>
      <c r="E814" s="108" t="s">
        <v>229</v>
      </c>
      <c r="F814" s="108" t="s">
        <v>2264</v>
      </c>
      <c r="G814" s="108" t="s">
        <v>9</v>
      </c>
      <c r="H814" s="126">
        <v>1204350</v>
      </c>
      <c r="I814" s="108">
        <v>110477580</v>
      </c>
      <c r="J814" s="108" t="str">
        <f t="shared" si="52"/>
        <v>0110477580</v>
      </c>
      <c r="K814" s="304" t="str">
        <f t="shared" si="51"/>
        <v>60607070110477580000</v>
      </c>
      <c r="L814" s="17" t="str">
        <f>INDEX('реш СГД № 265'!$A:$N,MATCH('БА расх 2018 31 12 2018'!$K814,'реш СГД № 265'!$N:$N,0),3)</f>
        <v>Субсидии на компенсацию расходов на обеспечение выплаты лицам, не замещающим муниципальные должности муниципальной службы и исполняющим обязанности по техническому обеспечению деятельности органов местного самоуправления муниципальных образований, работникам органов местного самоуправления муниципальных образований, осуществляющим профессиональную деятельность по профессиям рабочих, и работникам муниципальных учреждений заработной платы не ниже установленного с 01 мая 2018 года федеральным законом минимального размера оплаты труда, а также компенсацию расходов на обеспечение выплаты работникам муниципальных учреждений с 01 января 2018 года коэффициента к заработной плате за работу в пустынных и безводных местностях</v>
      </c>
      <c r="M814" s="16">
        <f t="shared" si="53"/>
        <v>1</v>
      </c>
    </row>
    <row r="815" spans="1:13" s="24" customFormat="1" ht="15.75">
      <c r="A815" s="21"/>
      <c r="B815" s="132" t="s">
        <v>409</v>
      </c>
      <c r="C815" s="109" t="s">
        <v>394</v>
      </c>
      <c r="D815" s="108" t="s">
        <v>229</v>
      </c>
      <c r="E815" s="108" t="s">
        <v>229</v>
      </c>
      <c r="F815" s="108" t="s">
        <v>2264</v>
      </c>
      <c r="G815" s="108" t="s">
        <v>410</v>
      </c>
      <c r="H815" s="126">
        <v>1204350</v>
      </c>
      <c r="I815" s="108">
        <v>110477580</v>
      </c>
      <c r="J815" s="108" t="str">
        <f t="shared" si="52"/>
        <v>0110477580</v>
      </c>
      <c r="K815" s="304" t="str">
        <f t="shared" si="51"/>
        <v>60607070110477580620</v>
      </c>
      <c r="L815" s="17" t="str">
        <f>INDEX('реш СГД № 265'!$A:$N,MATCH('БА расх 2018 31 12 2018'!$K815,'реш СГД № 265'!$N:$N,0),3)</f>
        <v>Субсидии автономным учреждениям</v>
      </c>
      <c r="M815" s="16">
        <f t="shared" si="53"/>
        <v>1</v>
      </c>
    </row>
    <row r="816" spans="1:13" s="24" customFormat="1" ht="63">
      <c r="A816" s="21"/>
      <c r="B816" s="127" t="s">
        <v>411</v>
      </c>
      <c r="C816" s="109" t="s">
        <v>394</v>
      </c>
      <c r="D816" s="108" t="s">
        <v>229</v>
      </c>
      <c r="E816" s="108" t="s">
        <v>229</v>
      </c>
      <c r="F816" s="108" t="s">
        <v>2264</v>
      </c>
      <c r="G816" s="108" t="s">
        <v>412</v>
      </c>
      <c r="H816" s="126">
        <v>1204350</v>
      </c>
      <c r="I816" s="108">
        <v>110477580</v>
      </c>
      <c r="J816" s="108" t="str">
        <f t="shared" si="52"/>
        <v>0110477580</v>
      </c>
      <c r="K816" s="304" t="str">
        <f t="shared" si="51"/>
        <v>60607070110477580621</v>
      </c>
      <c r="L816" s="17"/>
      <c r="M816" s="16"/>
    </row>
    <row r="817" spans="1:13" s="17" customFormat="1" ht="78.75">
      <c r="A817" s="14"/>
      <c r="B817" s="125" t="s">
        <v>420</v>
      </c>
      <c r="C817" s="109" t="s">
        <v>394</v>
      </c>
      <c r="D817" s="108" t="s">
        <v>229</v>
      </c>
      <c r="E817" s="108" t="s">
        <v>229</v>
      </c>
      <c r="F817" s="108" t="s">
        <v>421</v>
      </c>
      <c r="G817" s="108" t="s">
        <v>9</v>
      </c>
      <c r="H817" s="126">
        <v>45200</v>
      </c>
      <c r="I817" s="108">
        <v>1600000000</v>
      </c>
      <c r="J817" s="108" t="str">
        <f t="shared" si="52"/>
        <v>1600000000</v>
      </c>
      <c r="K817" s="304" t="str">
        <f t="shared" si="51"/>
        <v>60607071600000000000</v>
      </c>
      <c r="L817" s="17" t="str">
        <f>INDEX('реш СГД № 265'!$A:$N,MATCH('БА расх 2018 31 12 2018'!$K817,'реш СГД № 265'!$N:$N,0),3)</f>
        <v>Муниципальная программа «Обеспечение гражданской обороны, пожарной безопасности, безопасности людей на водных объектах, организация деятельности аварийно-спасательных служб, защита населения и территории города Ставрополя от чрезвычайных ситуаций»</v>
      </c>
      <c r="M817" s="16">
        <f t="shared" si="53"/>
        <v>1</v>
      </c>
    </row>
    <row r="818" spans="1:13" s="17" customFormat="1" ht="31.5">
      <c r="A818" s="14"/>
      <c r="B818" s="125" t="s">
        <v>422</v>
      </c>
      <c r="C818" s="109" t="s">
        <v>394</v>
      </c>
      <c r="D818" s="108" t="s">
        <v>229</v>
      </c>
      <c r="E818" s="108" t="s">
        <v>229</v>
      </c>
      <c r="F818" s="108" t="s">
        <v>423</v>
      </c>
      <c r="G818" s="108" t="s">
        <v>9</v>
      </c>
      <c r="H818" s="126">
        <v>45200</v>
      </c>
      <c r="I818" s="108">
        <v>1620000000</v>
      </c>
      <c r="J818" s="108" t="str">
        <f t="shared" si="52"/>
        <v>1620000000</v>
      </c>
      <c r="K818" s="304" t="str">
        <f t="shared" si="51"/>
        <v>60607071620000000000</v>
      </c>
      <c r="L818" s="17" t="str">
        <f>INDEX('реш СГД № 265'!$A:$N,MATCH('БА расх 2018 31 12 2018'!$K818,'реш СГД № 265'!$N:$N,0),3)</f>
        <v>Подпрограмма «Обеспечение пожарной безопасности в границах города Ставрополя»</v>
      </c>
      <c r="M818" s="16">
        <f t="shared" si="53"/>
        <v>1</v>
      </c>
    </row>
    <row r="819" spans="1:13" s="17" customFormat="1" ht="47.25">
      <c r="A819" s="14"/>
      <c r="B819" s="125" t="s">
        <v>424</v>
      </c>
      <c r="C819" s="109" t="s">
        <v>394</v>
      </c>
      <c r="D819" s="108" t="s">
        <v>229</v>
      </c>
      <c r="E819" s="108" t="s">
        <v>229</v>
      </c>
      <c r="F819" s="108" t="s">
        <v>425</v>
      </c>
      <c r="G819" s="108" t="s">
        <v>9</v>
      </c>
      <c r="H819" s="126">
        <v>45200</v>
      </c>
      <c r="I819" s="108">
        <v>1620200000</v>
      </c>
      <c r="J819" s="108" t="str">
        <f t="shared" si="52"/>
        <v>1620200000</v>
      </c>
      <c r="K819" s="304" t="str">
        <f t="shared" si="51"/>
        <v>60607071620200000000</v>
      </c>
      <c r="L819" s="17" t="str">
        <f>INDEX('реш СГД № 265'!$A:$N,MATCH('БА расх 2018 31 12 2018'!$K819,'реш СГД № 265'!$N:$N,0),3)</f>
        <v>Основное мероприятие «Выполнение противопожарных мероприятий в муниципальных учреждениях города Ставрополя»</v>
      </c>
      <c r="M819" s="16">
        <f t="shared" si="53"/>
        <v>1</v>
      </c>
    </row>
    <row r="820" spans="1:13" s="17" customFormat="1" ht="47.25">
      <c r="A820" s="14"/>
      <c r="B820" s="125" t="s">
        <v>426</v>
      </c>
      <c r="C820" s="109" t="s">
        <v>394</v>
      </c>
      <c r="D820" s="108" t="s">
        <v>229</v>
      </c>
      <c r="E820" s="108" t="s">
        <v>229</v>
      </c>
      <c r="F820" s="108" t="s">
        <v>427</v>
      </c>
      <c r="G820" s="108" t="s">
        <v>9</v>
      </c>
      <c r="H820" s="126">
        <v>45200</v>
      </c>
      <c r="I820" s="108">
        <v>1620220550</v>
      </c>
      <c r="J820" s="108" t="str">
        <f t="shared" si="52"/>
        <v>1620220550</v>
      </c>
      <c r="K820" s="304" t="str">
        <f t="shared" si="51"/>
        <v>60607071620220550000</v>
      </c>
      <c r="L820" s="17" t="str">
        <f>INDEX('реш СГД № 265'!$A:$N,MATCH('БА расх 2018 31 12 2018'!$K820,'реш СГД № 265'!$N:$N,0),3)</f>
        <v>Обеспечение пожарной безопасности в муниципальных учреждениях образования, культуры, физической культуры и спорта города Ставрополя</v>
      </c>
      <c r="M820" s="16">
        <f t="shared" si="53"/>
        <v>1</v>
      </c>
    </row>
    <row r="821" spans="1:13" s="17" customFormat="1" ht="15.75">
      <c r="A821" s="14"/>
      <c r="B821" s="132" t="s">
        <v>409</v>
      </c>
      <c r="C821" s="109" t="s">
        <v>394</v>
      </c>
      <c r="D821" s="108" t="s">
        <v>229</v>
      </c>
      <c r="E821" s="108" t="s">
        <v>229</v>
      </c>
      <c r="F821" s="108" t="s">
        <v>427</v>
      </c>
      <c r="G821" s="108" t="s">
        <v>410</v>
      </c>
      <c r="H821" s="126">
        <v>45200</v>
      </c>
      <c r="I821" s="108">
        <v>1620220550</v>
      </c>
      <c r="J821" s="108" t="str">
        <f t="shared" si="52"/>
        <v>1620220550</v>
      </c>
      <c r="K821" s="304" t="str">
        <f t="shared" si="51"/>
        <v>60607071620220550620</v>
      </c>
      <c r="L821" s="17" t="str">
        <f>INDEX('реш СГД № 265'!$A:$N,MATCH('БА расх 2018 31 12 2018'!$K821,'реш СГД № 265'!$N:$N,0),3)</f>
        <v>Субсидии автономным учреждениям</v>
      </c>
      <c r="M821" s="16">
        <f t="shared" si="53"/>
        <v>1</v>
      </c>
    </row>
    <row r="822" spans="1:13" s="24" customFormat="1" ht="15.75">
      <c r="A822" s="21"/>
      <c r="B822" s="127" t="s">
        <v>428</v>
      </c>
      <c r="C822" s="109" t="s">
        <v>394</v>
      </c>
      <c r="D822" s="108" t="s">
        <v>229</v>
      </c>
      <c r="E822" s="108" t="s">
        <v>229</v>
      </c>
      <c r="F822" s="108" t="s">
        <v>427</v>
      </c>
      <c r="G822" s="108" t="s">
        <v>429</v>
      </c>
      <c r="H822" s="126">
        <v>45200</v>
      </c>
      <c r="I822" s="108">
        <v>1620220550</v>
      </c>
      <c r="J822" s="108" t="str">
        <f t="shared" si="52"/>
        <v>1620220550</v>
      </c>
      <c r="K822" s="304" t="str">
        <f t="shared" si="51"/>
        <v>60607071620220550622</v>
      </c>
      <c r="L822" s="17"/>
      <c r="M822" s="16"/>
    </row>
    <row r="823" spans="1:13" s="17" customFormat="1" ht="15.75">
      <c r="A823" s="14"/>
      <c r="B823" s="121" t="s">
        <v>470</v>
      </c>
      <c r="C823" s="122" t="s">
        <v>394</v>
      </c>
      <c r="D823" s="123" t="s">
        <v>229</v>
      </c>
      <c r="E823" s="123" t="s">
        <v>471</v>
      </c>
      <c r="F823" s="123" t="s">
        <v>8</v>
      </c>
      <c r="G823" s="123" t="s">
        <v>9</v>
      </c>
      <c r="H823" s="124">
        <v>47511638.440000005</v>
      </c>
      <c r="I823" s="123">
        <v>0</v>
      </c>
      <c r="J823" s="123" t="str">
        <f t="shared" si="52"/>
        <v>0000000000</v>
      </c>
      <c r="K823" s="304" t="str">
        <f t="shared" si="51"/>
        <v>60607090000000000000</v>
      </c>
      <c r="L823" s="17" t="str">
        <f>INDEX('реш СГД № 265'!$A:$N,MATCH('БА расх 2018 31 12 2018'!$K823,'реш СГД № 265'!$N:$N,0),3)</f>
        <v>Другие вопросы в области образования</v>
      </c>
      <c r="M823" s="16">
        <f t="shared" si="53"/>
        <v>1</v>
      </c>
    </row>
    <row r="824" spans="1:13" s="17" customFormat="1" ht="31.5">
      <c r="A824" s="14"/>
      <c r="B824" s="132" t="s">
        <v>396</v>
      </c>
      <c r="C824" s="109" t="s">
        <v>394</v>
      </c>
      <c r="D824" s="108" t="s">
        <v>229</v>
      </c>
      <c r="E824" s="108" t="s">
        <v>471</v>
      </c>
      <c r="F824" s="108" t="s">
        <v>397</v>
      </c>
      <c r="G824" s="108" t="s">
        <v>9</v>
      </c>
      <c r="H824" s="126">
        <v>12526784.280000001</v>
      </c>
      <c r="I824" s="108">
        <v>100000000</v>
      </c>
      <c r="J824" s="108" t="str">
        <f t="shared" si="52"/>
        <v>0100000000</v>
      </c>
      <c r="K824" s="304" t="str">
        <f t="shared" si="51"/>
        <v>60607090100000000000</v>
      </c>
      <c r="L824" s="17" t="str">
        <f>INDEX('реш СГД № 265'!$A:$N,MATCH('БА расх 2018 31 12 2018'!$K824,'реш СГД № 265'!$N:$N,0),3)</f>
        <v>Муниципальная программа «Развитие образования в городе Ставрополе»</v>
      </c>
      <c r="M824" s="16">
        <f t="shared" si="53"/>
        <v>1</v>
      </c>
    </row>
    <row r="825" spans="1:13" s="17" customFormat="1" ht="31.5">
      <c r="A825" s="14"/>
      <c r="B825" s="132" t="s">
        <v>398</v>
      </c>
      <c r="C825" s="109" t="s">
        <v>394</v>
      </c>
      <c r="D825" s="108" t="s">
        <v>229</v>
      </c>
      <c r="E825" s="108" t="s">
        <v>471</v>
      </c>
      <c r="F825" s="108" t="s">
        <v>399</v>
      </c>
      <c r="G825" s="108" t="s">
        <v>9</v>
      </c>
      <c r="H825" s="126">
        <v>12526784.280000001</v>
      </c>
      <c r="I825" s="108">
        <v>110000000</v>
      </c>
      <c r="J825" s="108" t="str">
        <f t="shared" si="52"/>
        <v>0110000000</v>
      </c>
      <c r="K825" s="304" t="str">
        <f t="shared" si="51"/>
        <v>60607090110000000000</v>
      </c>
      <c r="L825" s="17" t="str">
        <f>INDEX('реш СГД № 265'!$A:$N,MATCH('БА расх 2018 31 12 2018'!$K825,'реш СГД № 265'!$N:$N,0),3)</f>
        <v>Подпрограмма «Организация дошкольного, общего и дополнительного образования»</v>
      </c>
      <c r="M825" s="16">
        <f t="shared" si="53"/>
        <v>1</v>
      </c>
    </row>
    <row r="826" spans="1:13" s="17" customFormat="1" ht="63">
      <c r="A826" s="14"/>
      <c r="B826" s="132" t="s">
        <v>472</v>
      </c>
      <c r="C826" s="109" t="s">
        <v>394</v>
      </c>
      <c r="D826" s="108" t="s">
        <v>229</v>
      </c>
      <c r="E826" s="108" t="s">
        <v>471</v>
      </c>
      <c r="F826" s="108" t="s">
        <v>473</v>
      </c>
      <c r="G826" s="108" t="s">
        <v>9</v>
      </c>
      <c r="H826" s="126">
        <v>5158790</v>
      </c>
      <c r="I826" s="108">
        <v>110500000</v>
      </c>
      <c r="J826" s="108" t="str">
        <f t="shared" si="52"/>
        <v>0110500000</v>
      </c>
      <c r="K826" s="304" t="str">
        <f t="shared" si="51"/>
        <v>60607090110500000000</v>
      </c>
      <c r="L826" s="17" t="str">
        <f>INDEX('реш СГД № 265'!$A:$N,MATCH('БА расх 2018 31 12 2018'!$K826,'реш СГД № 265'!$N:$N,0),3)</f>
        <v>Основное мероприятие «Проведение мероприятий с обучающимися и воспитанниками муниципальных бюджетных и автономных образовательных учреждений города Ставрополя»</v>
      </c>
      <c r="M826" s="16">
        <f t="shared" si="53"/>
        <v>1</v>
      </c>
    </row>
    <row r="827" spans="1:13" s="17" customFormat="1" ht="15.75">
      <c r="A827" s="14"/>
      <c r="B827" s="132" t="s">
        <v>474</v>
      </c>
      <c r="C827" s="109" t="s">
        <v>394</v>
      </c>
      <c r="D827" s="108" t="s">
        <v>229</v>
      </c>
      <c r="E827" s="108" t="s">
        <v>471</v>
      </c>
      <c r="F827" s="108" t="s">
        <v>475</v>
      </c>
      <c r="G827" s="108" t="s">
        <v>9</v>
      </c>
      <c r="H827" s="126">
        <v>5158790</v>
      </c>
      <c r="I827" s="108">
        <v>110520240</v>
      </c>
      <c r="J827" s="108" t="str">
        <f t="shared" ref="J827" si="54">TEXT(I827,"0000000000")</f>
        <v>0110520240</v>
      </c>
      <c r="K827" s="304" t="str">
        <f t="shared" ref="K827" si="55">C827&amp;D827&amp;E827&amp;J827&amp;G827</f>
        <v>60607090110520240000</v>
      </c>
      <c r="L827" s="17" t="str">
        <f>INDEX('реш СГД № 265'!$A:$N,MATCH('БА расх 2018 31 12 2018'!$K827,'реш СГД № 265'!$N:$N,0),3)</f>
        <v>Расходы на проведение мероприятий для детей и молодежи</v>
      </c>
      <c r="M827" s="16"/>
    </row>
    <row r="828" spans="1:13" s="17" customFormat="1" ht="31.5">
      <c r="A828" s="14"/>
      <c r="B828" s="125" t="s">
        <v>484</v>
      </c>
      <c r="C828" s="109" t="s">
        <v>394</v>
      </c>
      <c r="D828" s="108" t="s">
        <v>229</v>
      </c>
      <c r="E828" s="108" t="s">
        <v>471</v>
      </c>
      <c r="F828" s="108" t="s">
        <v>475</v>
      </c>
      <c r="G828" s="108" t="s">
        <v>21</v>
      </c>
      <c r="H828" s="126">
        <v>25532</v>
      </c>
      <c r="I828" s="108" t="s">
        <v>2006</v>
      </c>
      <c r="J828" s="108" t="str">
        <f t="shared" ref="J828:J830" si="56">TEXT(I828,"0000000000")</f>
        <v>0110520240</v>
      </c>
      <c r="K828" s="304" t="str">
        <f t="shared" ref="K828:K830" si="57">C828&amp;D828&amp;E828&amp;J828&amp;G828</f>
        <v>60607090110520240120</v>
      </c>
      <c r="L828" s="17" t="e">
        <f>INDEX('реш СГД № 265'!$A:$N,MATCH('БА расх 2018 31 12 2018'!$K828,'реш СГД № 265'!$N:$N,0),3)</f>
        <v>#N/A</v>
      </c>
      <c r="M828" s="16"/>
    </row>
    <row r="829" spans="1:13" s="17" customFormat="1" ht="31.5">
      <c r="A829" s="14"/>
      <c r="B829" s="125" t="s">
        <v>22</v>
      </c>
      <c r="C829" s="109" t="s">
        <v>394</v>
      </c>
      <c r="D829" s="108" t="s">
        <v>229</v>
      </c>
      <c r="E829" s="108" t="s">
        <v>471</v>
      </c>
      <c r="F829" s="108" t="s">
        <v>475</v>
      </c>
      <c r="G829" s="108" t="s">
        <v>23</v>
      </c>
      <c r="H829" s="126">
        <v>22512</v>
      </c>
      <c r="I829" s="108" t="s">
        <v>2006</v>
      </c>
      <c r="J829" s="108" t="str">
        <f t="shared" si="56"/>
        <v>0110520240</v>
      </c>
      <c r="K829" s="304" t="str">
        <f t="shared" si="57"/>
        <v>60607090110520240122</v>
      </c>
      <c r="M829" s="16"/>
    </row>
    <row r="830" spans="1:13" s="17" customFormat="1" ht="47.25">
      <c r="A830" s="14"/>
      <c r="B830" s="125" t="s">
        <v>26</v>
      </c>
      <c r="C830" s="109" t="s">
        <v>394</v>
      </c>
      <c r="D830" s="108" t="s">
        <v>229</v>
      </c>
      <c r="E830" s="108" t="s">
        <v>471</v>
      </c>
      <c r="F830" s="108" t="s">
        <v>475</v>
      </c>
      <c r="G830" s="108" t="s">
        <v>27</v>
      </c>
      <c r="H830" s="126">
        <v>3020</v>
      </c>
      <c r="I830" s="108" t="s">
        <v>2006</v>
      </c>
      <c r="J830" s="108" t="str">
        <f t="shared" si="56"/>
        <v>0110520240</v>
      </c>
      <c r="K830" s="304" t="str">
        <f t="shared" si="57"/>
        <v>60607090110520240129</v>
      </c>
      <c r="M830" s="16"/>
    </row>
    <row r="831" spans="1:13" s="17" customFormat="1" ht="31.5">
      <c r="A831" s="14"/>
      <c r="B831" s="125" t="s">
        <v>28</v>
      </c>
      <c r="C831" s="109" t="s">
        <v>394</v>
      </c>
      <c r="D831" s="108" t="s">
        <v>229</v>
      </c>
      <c r="E831" s="108" t="s">
        <v>471</v>
      </c>
      <c r="F831" s="108" t="s">
        <v>475</v>
      </c>
      <c r="G831" s="108" t="s">
        <v>29</v>
      </c>
      <c r="H831" s="126">
        <v>174468</v>
      </c>
      <c r="I831" s="108">
        <v>110520240</v>
      </c>
      <c r="J831" s="108" t="str">
        <f t="shared" si="52"/>
        <v>0110520240</v>
      </c>
      <c r="K831" s="304" t="str">
        <f t="shared" si="51"/>
        <v>60607090110520240240</v>
      </c>
      <c r="L831" s="17" t="str">
        <f>INDEX('реш СГД № 265'!$A:$N,MATCH('БА расх 2018 31 12 2018'!$K831,'реш СГД № 265'!$N:$N,0),3)</f>
        <v>Иные закупки товаров, работ и услуг для обеспечения государственных (муниципальных) нужд</v>
      </c>
      <c r="M831" s="16">
        <f t="shared" si="53"/>
        <v>1</v>
      </c>
    </row>
    <row r="832" spans="1:13" s="17" customFormat="1" ht="15.75">
      <c r="A832" s="14"/>
      <c r="B832" s="125" t="s">
        <v>30</v>
      </c>
      <c r="C832" s="109" t="s">
        <v>394</v>
      </c>
      <c r="D832" s="108" t="s">
        <v>229</v>
      </c>
      <c r="E832" s="108" t="s">
        <v>471</v>
      </c>
      <c r="F832" s="108" t="s">
        <v>475</v>
      </c>
      <c r="G832" s="108" t="s">
        <v>31</v>
      </c>
      <c r="H832" s="126">
        <v>174468</v>
      </c>
      <c r="I832" s="108">
        <v>110520240</v>
      </c>
      <c r="J832" s="108" t="str">
        <f t="shared" si="52"/>
        <v>0110520240</v>
      </c>
      <c r="K832" s="304" t="str">
        <f t="shared" si="51"/>
        <v>60607090110520240244</v>
      </c>
      <c r="M832" s="16"/>
    </row>
    <row r="833" spans="1:13" s="17" customFormat="1" ht="15.75">
      <c r="A833" s="14"/>
      <c r="B833" s="132" t="s">
        <v>403</v>
      </c>
      <c r="C833" s="109" t="s">
        <v>394</v>
      </c>
      <c r="D833" s="108" t="s">
        <v>229</v>
      </c>
      <c r="E833" s="108" t="s">
        <v>471</v>
      </c>
      <c r="F833" s="108" t="s">
        <v>475</v>
      </c>
      <c r="G833" s="108" t="s">
        <v>404</v>
      </c>
      <c r="H833" s="126">
        <v>4250017.3</v>
      </c>
      <c r="I833" s="108">
        <v>110520240</v>
      </c>
      <c r="J833" s="108" t="str">
        <f t="shared" si="52"/>
        <v>0110520240</v>
      </c>
      <c r="K833" s="304" t="str">
        <f t="shared" si="51"/>
        <v>60607090110520240610</v>
      </c>
      <c r="L833" s="17" t="str">
        <f>INDEX('реш СГД № 265'!$A:$N,MATCH('БА расх 2018 31 12 2018'!$K833,'реш СГД № 265'!$N:$N,0),3)</f>
        <v>Субсидии бюджетным учреждениям</v>
      </c>
      <c r="M833" s="16">
        <f t="shared" si="53"/>
        <v>1</v>
      </c>
    </row>
    <row r="834" spans="1:13" s="24" customFormat="1" ht="15.75">
      <c r="A834" s="21"/>
      <c r="B834" s="127" t="s">
        <v>407</v>
      </c>
      <c r="C834" s="109" t="s">
        <v>394</v>
      </c>
      <c r="D834" s="108" t="s">
        <v>229</v>
      </c>
      <c r="E834" s="108" t="s">
        <v>471</v>
      </c>
      <c r="F834" s="108" t="s">
        <v>475</v>
      </c>
      <c r="G834" s="108" t="s">
        <v>408</v>
      </c>
      <c r="H834" s="126">
        <v>4250017.3</v>
      </c>
      <c r="I834" s="108">
        <v>110520240</v>
      </c>
      <c r="J834" s="108" t="str">
        <f t="shared" si="52"/>
        <v>0110520240</v>
      </c>
      <c r="K834" s="304" t="str">
        <f t="shared" si="51"/>
        <v>60607090110520240612</v>
      </c>
      <c r="L834" s="17"/>
      <c r="M834" s="16"/>
    </row>
    <row r="835" spans="1:13" s="17" customFormat="1" ht="15.75">
      <c r="A835" s="14"/>
      <c r="B835" s="132" t="s">
        <v>409</v>
      </c>
      <c r="C835" s="109" t="s">
        <v>394</v>
      </c>
      <c r="D835" s="108" t="s">
        <v>229</v>
      </c>
      <c r="E835" s="108" t="s">
        <v>471</v>
      </c>
      <c r="F835" s="108" t="s">
        <v>475</v>
      </c>
      <c r="G835" s="108" t="s">
        <v>410</v>
      </c>
      <c r="H835" s="126">
        <v>708772.7</v>
      </c>
      <c r="I835" s="108">
        <v>110520240</v>
      </c>
      <c r="J835" s="108" t="str">
        <f t="shared" si="52"/>
        <v>0110520240</v>
      </c>
      <c r="K835" s="304" t="str">
        <f t="shared" si="51"/>
        <v>60607090110520240620</v>
      </c>
      <c r="L835" s="17" t="str">
        <f>INDEX('реш СГД № 265'!$A:$N,MATCH('БА расх 2018 31 12 2018'!$K835,'реш СГД № 265'!$N:$N,0),3)</f>
        <v>Субсидии автономным учреждениям</v>
      </c>
      <c r="M835" s="16">
        <f t="shared" si="53"/>
        <v>1</v>
      </c>
    </row>
    <row r="836" spans="1:13" s="24" customFormat="1" ht="15.75">
      <c r="A836" s="21"/>
      <c r="B836" s="127" t="s">
        <v>428</v>
      </c>
      <c r="C836" s="109" t="s">
        <v>394</v>
      </c>
      <c r="D836" s="108" t="s">
        <v>229</v>
      </c>
      <c r="E836" s="108" t="s">
        <v>471</v>
      </c>
      <c r="F836" s="108" t="s">
        <v>475</v>
      </c>
      <c r="G836" s="108" t="s">
        <v>429</v>
      </c>
      <c r="H836" s="126">
        <v>708772.7</v>
      </c>
      <c r="I836" s="108">
        <v>110520240</v>
      </c>
      <c r="J836" s="108" t="str">
        <f t="shared" si="52"/>
        <v>0110520240</v>
      </c>
      <c r="K836" s="304" t="str">
        <f t="shared" si="51"/>
        <v>60607090110520240622</v>
      </c>
      <c r="L836" s="17"/>
      <c r="M836" s="16"/>
    </row>
    <row r="837" spans="1:13" s="17" customFormat="1" ht="31.5">
      <c r="A837" s="14"/>
      <c r="B837" s="129" t="s">
        <v>476</v>
      </c>
      <c r="C837" s="130" t="s">
        <v>394</v>
      </c>
      <c r="D837" s="131" t="s">
        <v>229</v>
      </c>
      <c r="E837" s="131" t="s">
        <v>471</v>
      </c>
      <c r="F837" s="131" t="s">
        <v>477</v>
      </c>
      <c r="G837" s="131" t="s">
        <v>9</v>
      </c>
      <c r="H837" s="105">
        <v>7367994.2800000003</v>
      </c>
      <c r="I837" s="131">
        <v>110800000</v>
      </c>
      <c r="J837" s="131" t="str">
        <f t="shared" si="52"/>
        <v>0110800000</v>
      </c>
      <c r="K837" s="304" t="str">
        <f t="shared" si="51"/>
        <v>60607090110800000000</v>
      </c>
      <c r="L837" s="17" t="str">
        <f>INDEX('реш СГД № 265'!$A:$N,MATCH('БА расх 2018 31 12 2018'!$K837,'реш СГД № 265'!$N:$N,0),3)</f>
        <v>Основное мероприятие «Обеспечение образовательной деятельности, оценки качества образования»</v>
      </c>
      <c r="M837" s="16">
        <f t="shared" si="53"/>
        <v>1</v>
      </c>
    </row>
    <row r="838" spans="1:13" s="17" customFormat="1" ht="31.5">
      <c r="A838" s="14"/>
      <c r="B838" s="140" t="s">
        <v>136</v>
      </c>
      <c r="C838" s="130" t="s">
        <v>394</v>
      </c>
      <c r="D838" s="131" t="s">
        <v>229</v>
      </c>
      <c r="E838" s="131" t="s">
        <v>471</v>
      </c>
      <c r="F838" s="131" t="s">
        <v>478</v>
      </c>
      <c r="G838" s="131" t="s">
        <v>9</v>
      </c>
      <c r="H838" s="105">
        <v>7064221</v>
      </c>
      <c r="I838" s="131">
        <v>110811010</v>
      </c>
      <c r="J838" s="131" t="str">
        <f t="shared" si="52"/>
        <v>0110811010</v>
      </c>
      <c r="K838" s="304" t="str">
        <f t="shared" si="51"/>
        <v>60607090110811010000</v>
      </c>
      <c r="L838" s="17" t="str">
        <f>INDEX('реш СГД № 265'!$A:$N,MATCH('БА расх 2018 31 12 2018'!$K838,'реш СГД № 265'!$N:$N,0),3)</f>
        <v>Расходы на обеспечение деятельности (оказание услуг) муниципальных учреждений</v>
      </c>
      <c r="M838" s="16">
        <f t="shared" si="53"/>
        <v>1</v>
      </c>
    </row>
    <row r="839" spans="1:13" s="17" customFormat="1" ht="15.75">
      <c r="A839" s="14"/>
      <c r="B839" s="140" t="s">
        <v>403</v>
      </c>
      <c r="C839" s="130" t="s">
        <v>394</v>
      </c>
      <c r="D839" s="131" t="s">
        <v>229</v>
      </c>
      <c r="E839" s="131" t="s">
        <v>471</v>
      </c>
      <c r="F839" s="131" t="s">
        <v>478</v>
      </c>
      <c r="G839" s="131" t="s">
        <v>404</v>
      </c>
      <c r="H839" s="126">
        <v>7064221</v>
      </c>
      <c r="I839" s="131">
        <v>110811010</v>
      </c>
      <c r="J839" s="131" t="str">
        <f t="shared" si="52"/>
        <v>0110811010</v>
      </c>
      <c r="K839" s="304" t="str">
        <f t="shared" si="51"/>
        <v>60607090110811010610</v>
      </c>
      <c r="L839" s="17" t="str">
        <f>INDEX('реш СГД № 265'!$A:$N,MATCH('БА расх 2018 31 12 2018'!$K839,'реш СГД № 265'!$N:$N,0),3)</f>
        <v>Субсидии бюджетным учреждениям</v>
      </c>
      <c r="M839" s="16">
        <f t="shared" si="53"/>
        <v>1</v>
      </c>
    </row>
    <row r="840" spans="1:13" s="24" customFormat="1" ht="63">
      <c r="A840" s="21"/>
      <c r="B840" s="127" t="s">
        <v>405</v>
      </c>
      <c r="C840" s="130" t="s">
        <v>394</v>
      </c>
      <c r="D840" s="131" t="s">
        <v>229</v>
      </c>
      <c r="E840" s="131" t="s">
        <v>471</v>
      </c>
      <c r="F840" s="131" t="s">
        <v>478</v>
      </c>
      <c r="G840" s="108" t="s">
        <v>406</v>
      </c>
      <c r="H840" s="126">
        <v>7064221</v>
      </c>
      <c r="I840" s="131">
        <v>110811010</v>
      </c>
      <c r="J840" s="131" t="str">
        <f t="shared" si="52"/>
        <v>0110811010</v>
      </c>
      <c r="K840" s="304" t="str">
        <f t="shared" si="51"/>
        <v>60607090110811010611</v>
      </c>
      <c r="L840" s="17"/>
      <c r="M840" s="16"/>
    </row>
    <row r="841" spans="1:13" s="24" customFormat="1" ht="267.75">
      <c r="A841" s="21"/>
      <c r="B841" s="132" t="s">
        <v>2269</v>
      </c>
      <c r="C841" s="109" t="s">
        <v>394</v>
      </c>
      <c r="D841" s="108" t="s">
        <v>229</v>
      </c>
      <c r="E841" s="131" t="s">
        <v>471</v>
      </c>
      <c r="F841" s="108" t="s">
        <v>1284</v>
      </c>
      <c r="G841" s="108" t="s">
        <v>9</v>
      </c>
      <c r="H841" s="126">
        <v>228324.98</v>
      </c>
      <c r="I841" s="131">
        <v>110877460</v>
      </c>
      <c r="J841" s="131" t="str">
        <f t="shared" si="52"/>
        <v>0110877460</v>
      </c>
      <c r="K841" s="304" t="str">
        <f t="shared" si="51"/>
        <v>60607090110877460000</v>
      </c>
      <c r="L841" s="132" t="str">
        <f>INDEX('реш СГД № 265'!$A:$N,MATCH('БА расх 2018 31 12 2018'!$K841,'реш СГД № 265'!$N:$N,0),3)</f>
        <v>Субсидии на компенсацию расходов по повышению заработной платы муниципальных служащих муниципальной службы и лиц, не замещающих должности муниципальной службы и исполняющих обязанности по техническому обеспечению деятельности органов местного самоуправления муниципальных образований, а также работников муниципальных учреждений, за исключением отдельных категорий работников муниципальных учреждений, которым повышение заработной платы осуществляется в соответствии с указами Президента Российской Федерации от 7 мая 2012 года № 597 «О мероприятиях по реализации государственной социальной политики», от 1 июня 2012 года № 761 «О Национальной стратегии действий в интересах детей на 2012 - 2017 годы» и от 28 декабря 2012 года № 1688 «О некоторых мерах по реализации государственной политики в сфере защиты детей-сирот и детей, оставшихся без попечения родителей»</v>
      </c>
      <c r="M841" s="17">
        <f t="shared" si="53"/>
        <v>1</v>
      </c>
    </row>
    <row r="842" spans="1:13" s="24" customFormat="1" ht="15.75">
      <c r="A842" s="21"/>
      <c r="B842" s="140" t="s">
        <v>403</v>
      </c>
      <c r="C842" s="109" t="s">
        <v>394</v>
      </c>
      <c r="D842" s="108" t="s">
        <v>229</v>
      </c>
      <c r="E842" s="131" t="s">
        <v>471</v>
      </c>
      <c r="F842" s="108" t="s">
        <v>1284</v>
      </c>
      <c r="G842" s="131" t="s">
        <v>404</v>
      </c>
      <c r="H842" s="126">
        <v>228324.98</v>
      </c>
      <c r="I842" s="131">
        <v>110877460</v>
      </c>
      <c r="J842" s="131" t="str">
        <f t="shared" si="52"/>
        <v>0110877460</v>
      </c>
      <c r="K842" s="304" t="str">
        <f t="shared" si="51"/>
        <v>60607090110877460610</v>
      </c>
      <c r="L842" s="17" t="str">
        <f>INDEX('реш СГД № 265'!$A:$N,MATCH('БА расх 2018 31 12 2018'!$K842,'реш СГД № 265'!$N:$N,0),3)</f>
        <v>Субсидии бюджетным учреждениям</v>
      </c>
      <c r="M842" s="16">
        <f t="shared" si="53"/>
        <v>1</v>
      </c>
    </row>
    <row r="843" spans="1:13" s="24" customFormat="1" ht="63">
      <c r="A843" s="21"/>
      <c r="B843" s="127" t="s">
        <v>405</v>
      </c>
      <c r="C843" s="109" t="s">
        <v>394</v>
      </c>
      <c r="D843" s="108" t="s">
        <v>229</v>
      </c>
      <c r="E843" s="131" t="s">
        <v>471</v>
      </c>
      <c r="F843" s="108" t="s">
        <v>1284</v>
      </c>
      <c r="G843" s="108" t="s">
        <v>406</v>
      </c>
      <c r="H843" s="126">
        <v>228324.98</v>
      </c>
      <c r="I843" s="131">
        <v>110877460</v>
      </c>
      <c r="J843" s="131" t="str">
        <f t="shared" si="52"/>
        <v>0110877460</v>
      </c>
      <c r="K843" s="304" t="str">
        <f t="shared" si="51"/>
        <v>60607090110877460611</v>
      </c>
      <c r="L843" s="17"/>
      <c r="M843" s="16"/>
    </row>
    <row r="844" spans="1:13" s="24" customFormat="1" ht="236.25">
      <c r="A844" s="21"/>
      <c r="B844" s="164" t="s">
        <v>2247</v>
      </c>
      <c r="C844" s="109" t="s">
        <v>394</v>
      </c>
      <c r="D844" s="108" t="s">
        <v>229</v>
      </c>
      <c r="E844" s="131" t="s">
        <v>471</v>
      </c>
      <c r="F844" s="108" t="s">
        <v>2265</v>
      </c>
      <c r="G844" s="108" t="s">
        <v>9</v>
      </c>
      <c r="H844" s="126">
        <v>75448.3</v>
      </c>
      <c r="I844" s="131">
        <v>110877580</v>
      </c>
      <c r="J844" s="131" t="str">
        <f t="shared" si="52"/>
        <v>0110877580</v>
      </c>
      <c r="K844" s="304" t="str">
        <f t="shared" si="51"/>
        <v>60607090110877580000</v>
      </c>
      <c r="L844" s="17" t="str">
        <f>INDEX('реш СГД № 265'!$A:$N,MATCH('БА расх 2018 31 12 2018'!$K844,'реш СГД № 265'!$N:$N,0),3)</f>
        <v>Субсидии на компенсацию расходов на обеспечение выплаты лицам, не замещающим муниципальные должности муниципальной службы и исполняющим обязанности по техническому обеспечению деятельности органов местного самоуправления муниципальных образований, работникам органов местного самоуправления муниципальных образований, осуществляющим профессиональную деятельность по профессиям рабочих, и работникам муниципальных учреждений заработной платы не ниже установленного с 01 мая 2018 года федеральным законом минимального размера оплаты труда, а также компенсацию расходов на обеспечение выплаты работникам муниципальных учреждений с 01 января 2018 года коэффициента к заработной плате за работу в пустынных и безводных местностях</v>
      </c>
      <c r="M844" s="16">
        <f t="shared" si="53"/>
        <v>1</v>
      </c>
    </row>
    <row r="845" spans="1:13" s="24" customFormat="1" ht="15.75">
      <c r="A845" s="21"/>
      <c r="B845" s="140" t="s">
        <v>403</v>
      </c>
      <c r="C845" s="109" t="s">
        <v>394</v>
      </c>
      <c r="D845" s="108" t="s">
        <v>229</v>
      </c>
      <c r="E845" s="131" t="s">
        <v>471</v>
      </c>
      <c r="F845" s="108" t="s">
        <v>2265</v>
      </c>
      <c r="G845" s="131" t="s">
        <v>404</v>
      </c>
      <c r="H845" s="126">
        <v>75448.3</v>
      </c>
      <c r="I845" s="131">
        <v>110877580</v>
      </c>
      <c r="J845" s="131" t="str">
        <f t="shared" si="52"/>
        <v>0110877580</v>
      </c>
      <c r="K845" s="304" t="str">
        <f t="shared" si="51"/>
        <v>60607090110877580610</v>
      </c>
      <c r="L845" s="17" t="str">
        <f>INDEX('реш СГД № 265'!$A:$N,MATCH('БА расх 2018 31 12 2018'!$K845,'реш СГД № 265'!$N:$N,0),3)</f>
        <v>Субсидии бюджетным учреждениям</v>
      </c>
      <c r="M845" s="16">
        <f t="shared" si="53"/>
        <v>1</v>
      </c>
    </row>
    <row r="846" spans="1:13" s="24" customFormat="1" ht="63">
      <c r="A846" s="21"/>
      <c r="B846" s="127" t="s">
        <v>405</v>
      </c>
      <c r="C846" s="109" t="s">
        <v>394</v>
      </c>
      <c r="D846" s="108" t="s">
        <v>229</v>
      </c>
      <c r="E846" s="131" t="s">
        <v>471</v>
      </c>
      <c r="F846" s="108" t="s">
        <v>2265</v>
      </c>
      <c r="G846" s="108" t="s">
        <v>406</v>
      </c>
      <c r="H846" s="126">
        <v>75448.3</v>
      </c>
      <c r="I846" s="131">
        <v>110877580</v>
      </c>
      <c r="J846" s="131" t="str">
        <f t="shared" si="52"/>
        <v>0110877580</v>
      </c>
      <c r="K846" s="304" t="str">
        <f t="shared" si="51"/>
        <v>60607090110877580611</v>
      </c>
      <c r="L846" s="17"/>
      <c r="M846" s="16"/>
    </row>
    <row r="847" spans="1:13" s="17" customFormat="1" ht="78.75">
      <c r="A847" s="14"/>
      <c r="B847" s="125" t="s">
        <v>420</v>
      </c>
      <c r="C847" s="109" t="s">
        <v>394</v>
      </c>
      <c r="D847" s="108" t="s">
        <v>229</v>
      </c>
      <c r="E847" s="108" t="s">
        <v>471</v>
      </c>
      <c r="F847" s="108" t="s">
        <v>421</v>
      </c>
      <c r="G847" s="108" t="s">
        <v>9</v>
      </c>
      <c r="H847" s="126">
        <v>58600</v>
      </c>
      <c r="I847" s="108">
        <v>1600000000</v>
      </c>
      <c r="J847" s="108" t="str">
        <f t="shared" si="52"/>
        <v>1600000000</v>
      </c>
      <c r="K847" s="304" t="str">
        <f t="shared" si="51"/>
        <v>60607091600000000000</v>
      </c>
      <c r="L847" s="17" t="str">
        <f>INDEX('реш СГД № 265'!$A:$N,MATCH('БА расх 2018 31 12 2018'!$K847,'реш СГД № 265'!$N:$N,0),3)</f>
        <v>Муниципальная программа «Обеспечение гражданской обороны, пожарной безопасности, безопасности людей на водных объектах, организация деятельности аварийно-спасательных служб, защита населения и территории города Ставрополя от чрезвычайных ситуаций»</v>
      </c>
      <c r="M847" s="16">
        <f t="shared" si="53"/>
        <v>1</v>
      </c>
    </row>
    <row r="848" spans="1:13" s="17" customFormat="1" ht="31.5">
      <c r="A848" s="14"/>
      <c r="B848" s="125" t="s">
        <v>422</v>
      </c>
      <c r="C848" s="109" t="s">
        <v>394</v>
      </c>
      <c r="D848" s="108" t="s">
        <v>229</v>
      </c>
      <c r="E848" s="108" t="s">
        <v>471</v>
      </c>
      <c r="F848" s="108" t="s">
        <v>423</v>
      </c>
      <c r="G848" s="108" t="s">
        <v>9</v>
      </c>
      <c r="H848" s="126">
        <v>58600</v>
      </c>
      <c r="I848" s="108">
        <v>1620000000</v>
      </c>
      <c r="J848" s="108" t="str">
        <f t="shared" si="52"/>
        <v>1620000000</v>
      </c>
      <c r="K848" s="304" t="str">
        <f t="shared" si="51"/>
        <v>60607091620000000000</v>
      </c>
      <c r="L848" s="17" t="str">
        <f>INDEX('реш СГД № 265'!$A:$N,MATCH('БА расх 2018 31 12 2018'!$K848,'реш СГД № 265'!$N:$N,0),3)</f>
        <v>Подпрограмма «Обеспечение пожарной безопасности в границах города Ставрополя»</v>
      </c>
      <c r="M848" s="16">
        <f t="shared" si="53"/>
        <v>1</v>
      </c>
    </row>
    <row r="849" spans="1:13" s="17" customFormat="1" ht="47.25">
      <c r="A849" s="14"/>
      <c r="B849" s="125" t="s">
        <v>424</v>
      </c>
      <c r="C849" s="109" t="s">
        <v>394</v>
      </c>
      <c r="D849" s="108" t="s">
        <v>229</v>
      </c>
      <c r="E849" s="108" t="s">
        <v>471</v>
      </c>
      <c r="F849" s="108" t="s">
        <v>425</v>
      </c>
      <c r="G849" s="108" t="s">
        <v>9</v>
      </c>
      <c r="H849" s="126">
        <v>58600</v>
      </c>
      <c r="I849" s="108">
        <v>1620200000</v>
      </c>
      <c r="J849" s="108" t="str">
        <f t="shared" si="52"/>
        <v>1620200000</v>
      </c>
      <c r="K849" s="304" t="str">
        <f t="shared" si="51"/>
        <v>60607091620200000000</v>
      </c>
      <c r="L849" s="17" t="str">
        <f>INDEX('реш СГД № 265'!$A:$N,MATCH('БА расх 2018 31 12 2018'!$K849,'реш СГД № 265'!$N:$N,0),3)</f>
        <v>Основное мероприятие «Выполнение противопожарных мероприятий в муниципальных учреждениях города Ставрополя»</v>
      </c>
      <c r="M849" s="16">
        <f t="shared" si="53"/>
        <v>1</v>
      </c>
    </row>
    <row r="850" spans="1:13" s="17" customFormat="1" ht="47.25">
      <c r="A850" s="14"/>
      <c r="B850" s="125" t="s">
        <v>426</v>
      </c>
      <c r="C850" s="109" t="s">
        <v>394</v>
      </c>
      <c r="D850" s="108" t="s">
        <v>229</v>
      </c>
      <c r="E850" s="108" t="s">
        <v>471</v>
      </c>
      <c r="F850" s="108" t="s">
        <v>427</v>
      </c>
      <c r="G850" s="108" t="s">
        <v>9</v>
      </c>
      <c r="H850" s="126">
        <v>58600</v>
      </c>
      <c r="I850" s="108">
        <v>1620220550</v>
      </c>
      <c r="J850" s="108" t="str">
        <f t="shared" si="52"/>
        <v>1620220550</v>
      </c>
      <c r="K850" s="304" t="str">
        <f t="shared" si="51"/>
        <v>60607091620220550000</v>
      </c>
      <c r="L850" s="17" t="str">
        <f>INDEX('реш СГД № 265'!$A:$N,MATCH('БА расх 2018 31 12 2018'!$K850,'реш СГД № 265'!$N:$N,0),3)</f>
        <v>Обеспечение пожарной безопасности в муниципальных учреждениях образования, культуры, физической культуры и спорта города Ставрополя</v>
      </c>
      <c r="M850" s="16">
        <f t="shared" si="53"/>
        <v>1</v>
      </c>
    </row>
    <row r="851" spans="1:13" s="17" customFormat="1" ht="15.75">
      <c r="A851" s="14"/>
      <c r="B851" s="132" t="s">
        <v>403</v>
      </c>
      <c r="C851" s="109" t="s">
        <v>394</v>
      </c>
      <c r="D851" s="108" t="s">
        <v>229</v>
      </c>
      <c r="E851" s="108" t="s">
        <v>471</v>
      </c>
      <c r="F851" s="108" t="s">
        <v>427</v>
      </c>
      <c r="G851" s="108" t="s">
        <v>404</v>
      </c>
      <c r="H851" s="126">
        <v>58600</v>
      </c>
      <c r="I851" s="108">
        <v>1620220550</v>
      </c>
      <c r="J851" s="108" t="str">
        <f t="shared" si="52"/>
        <v>1620220550</v>
      </c>
      <c r="K851" s="304" t="str">
        <f t="shared" si="51"/>
        <v>60607091620220550610</v>
      </c>
      <c r="L851" s="17" t="str">
        <f>INDEX('реш СГД № 265'!$A:$N,MATCH('БА расх 2018 31 12 2018'!$K851,'реш СГД № 265'!$N:$N,0),3)</f>
        <v>Субсидии бюджетным учреждениям</v>
      </c>
      <c r="M851" s="16">
        <f t="shared" si="53"/>
        <v>1</v>
      </c>
    </row>
    <row r="852" spans="1:13" s="24" customFormat="1" ht="15.75">
      <c r="A852" s="21"/>
      <c r="B852" s="127" t="s">
        <v>407</v>
      </c>
      <c r="C852" s="109" t="s">
        <v>394</v>
      </c>
      <c r="D852" s="108" t="s">
        <v>229</v>
      </c>
      <c r="E852" s="108" t="s">
        <v>471</v>
      </c>
      <c r="F852" s="108" t="s">
        <v>427</v>
      </c>
      <c r="G852" s="108" t="s">
        <v>408</v>
      </c>
      <c r="H852" s="126">
        <v>58600</v>
      </c>
      <c r="I852" s="108">
        <v>1620220550</v>
      </c>
      <c r="J852" s="108" t="str">
        <f t="shared" si="52"/>
        <v>1620220550</v>
      </c>
      <c r="K852" s="304" t="str">
        <f t="shared" si="51"/>
        <v>60607091620220550612</v>
      </c>
      <c r="L852" s="17"/>
      <c r="M852" s="16"/>
    </row>
    <row r="853" spans="1:13" s="17" customFormat="1" ht="31.5">
      <c r="A853" s="14"/>
      <c r="B853" s="125" t="s">
        <v>479</v>
      </c>
      <c r="C853" s="109" t="s">
        <v>394</v>
      </c>
      <c r="D853" s="108" t="s">
        <v>229</v>
      </c>
      <c r="E853" s="108" t="s">
        <v>471</v>
      </c>
      <c r="F853" s="108" t="s">
        <v>480</v>
      </c>
      <c r="G853" s="108" t="s">
        <v>9</v>
      </c>
      <c r="H853" s="126">
        <v>34926254.160000004</v>
      </c>
      <c r="I853" s="108">
        <v>7500000000</v>
      </c>
      <c r="J853" s="108" t="str">
        <f t="shared" si="52"/>
        <v>7500000000</v>
      </c>
      <c r="K853" s="304" t="str">
        <f t="shared" si="51"/>
        <v>60607097500000000000</v>
      </c>
      <c r="L853" s="17" t="str">
        <f>INDEX('реш СГД № 265'!$A:$N,MATCH('БА расх 2018 31 12 2018'!$K853,'реш СГД № 265'!$N:$N,0),3)</f>
        <v>Обеспечение деятельности комитета образования администрации города Ставрополя</v>
      </c>
      <c r="M853" s="16">
        <f t="shared" si="53"/>
        <v>1</v>
      </c>
    </row>
    <row r="854" spans="1:13" s="17" customFormat="1" ht="31.5">
      <c r="A854" s="14"/>
      <c r="B854" s="125" t="s">
        <v>481</v>
      </c>
      <c r="C854" s="109" t="s">
        <v>394</v>
      </c>
      <c r="D854" s="108" t="s">
        <v>229</v>
      </c>
      <c r="E854" s="108" t="s">
        <v>471</v>
      </c>
      <c r="F854" s="108" t="s">
        <v>482</v>
      </c>
      <c r="G854" s="108" t="s">
        <v>9</v>
      </c>
      <c r="H854" s="126">
        <v>34926254.160000004</v>
      </c>
      <c r="I854" s="108">
        <v>7510000000</v>
      </c>
      <c r="J854" s="108" t="str">
        <f t="shared" si="52"/>
        <v>7510000000</v>
      </c>
      <c r="K854" s="304" t="str">
        <f t="shared" si="51"/>
        <v>60607097510000000000</v>
      </c>
      <c r="L854" s="17" t="str">
        <f>INDEX('реш СГД № 265'!$A:$N,MATCH('БА расх 2018 31 12 2018'!$K854,'реш СГД № 265'!$N:$N,0),3)</f>
        <v>Непрограммные расходы в рамках обеспечения деятельности комитета образования администрации города Ставрополя</v>
      </c>
      <c r="M854" s="16">
        <f t="shared" si="53"/>
        <v>1</v>
      </c>
    </row>
    <row r="855" spans="1:13" s="17" customFormat="1" ht="31.5">
      <c r="A855" s="14"/>
      <c r="B855" s="125" t="s">
        <v>18</v>
      </c>
      <c r="C855" s="109" t="s">
        <v>394</v>
      </c>
      <c r="D855" s="108" t="s">
        <v>229</v>
      </c>
      <c r="E855" s="108" t="s">
        <v>471</v>
      </c>
      <c r="F855" s="108" t="s">
        <v>483</v>
      </c>
      <c r="G855" s="108" t="s">
        <v>9</v>
      </c>
      <c r="H855" s="126">
        <v>3396628.3000000003</v>
      </c>
      <c r="I855" s="108">
        <v>7510010010</v>
      </c>
      <c r="J855" s="108" t="str">
        <f t="shared" si="52"/>
        <v>7510010010</v>
      </c>
      <c r="K855" s="304" t="str">
        <f t="shared" si="51"/>
        <v>60607097510010010000</v>
      </c>
      <c r="L855" s="17" t="str">
        <f>INDEX('реш СГД № 265'!$A:$N,MATCH('БА расх 2018 31 12 2018'!$K855,'реш СГД № 265'!$N:$N,0),3)</f>
        <v>Расходы на обеспечение функций органов местного самоуправления города Ставрополя</v>
      </c>
      <c r="M855" s="16">
        <f t="shared" si="53"/>
        <v>1</v>
      </c>
    </row>
    <row r="856" spans="1:13" s="17" customFormat="1" ht="31.5">
      <c r="A856" s="14"/>
      <c r="B856" s="125" t="s">
        <v>484</v>
      </c>
      <c r="C856" s="109" t="s">
        <v>394</v>
      </c>
      <c r="D856" s="108" t="s">
        <v>229</v>
      </c>
      <c r="E856" s="108" t="s">
        <v>471</v>
      </c>
      <c r="F856" s="108" t="s">
        <v>483</v>
      </c>
      <c r="G856" s="108" t="s">
        <v>21</v>
      </c>
      <c r="H856" s="126">
        <v>636072.85</v>
      </c>
      <c r="I856" s="108">
        <v>7510010010</v>
      </c>
      <c r="J856" s="108" t="str">
        <f t="shared" si="52"/>
        <v>7510010010</v>
      </c>
      <c r="K856" s="304" t="str">
        <f t="shared" si="51"/>
        <v>60607097510010010120</v>
      </c>
      <c r="L856" s="17" t="str">
        <f>INDEX('реш СГД № 265'!$A:$N,MATCH('БА расх 2018 31 12 2018'!$K856,'реш СГД № 265'!$N:$N,0),3)</f>
        <v>Расходы на выплаты персоналу  государственных (муниципальных) органов</v>
      </c>
      <c r="M856" s="16">
        <f t="shared" si="53"/>
        <v>1</v>
      </c>
    </row>
    <row r="857" spans="1:13" s="24" customFormat="1" ht="31.5">
      <c r="A857" s="21"/>
      <c r="B857" s="127" t="s">
        <v>22</v>
      </c>
      <c r="C857" s="109" t="s">
        <v>394</v>
      </c>
      <c r="D857" s="108" t="s">
        <v>229</v>
      </c>
      <c r="E857" s="108" t="s">
        <v>471</v>
      </c>
      <c r="F857" s="108" t="s">
        <v>483</v>
      </c>
      <c r="G857" s="108" t="s">
        <v>23</v>
      </c>
      <c r="H857" s="126">
        <v>489217.26</v>
      </c>
      <c r="I857" s="108">
        <v>7510010010</v>
      </c>
      <c r="J857" s="108" t="str">
        <f t="shared" si="52"/>
        <v>7510010010</v>
      </c>
      <c r="K857" s="304" t="str">
        <f t="shared" si="51"/>
        <v>60607097510010010122</v>
      </c>
      <c r="L857" s="17"/>
      <c r="M857" s="16"/>
    </row>
    <row r="858" spans="1:13" s="24" customFormat="1" ht="47.25">
      <c r="A858" s="21"/>
      <c r="B858" s="127" t="s">
        <v>26</v>
      </c>
      <c r="C858" s="109" t="s">
        <v>394</v>
      </c>
      <c r="D858" s="108" t="s">
        <v>229</v>
      </c>
      <c r="E858" s="108" t="s">
        <v>471</v>
      </c>
      <c r="F858" s="108" t="s">
        <v>483</v>
      </c>
      <c r="G858" s="108" t="s">
        <v>27</v>
      </c>
      <c r="H858" s="126">
        <v>146855.59</v>
      </c>
      <c r="I858" s="108">
        <v>7510010010</v>
      </c>
      <c r="J858" s="108" t="str">
        <f t="shared" si="52"/>
        <v>7510010010</v>
      </c>
      <c r="K858" s="304" t="str">
        <f t="shared" si="51"/>
        <v>60607097510010010129</v>
      </c>
      <c r="L858" s="17"/>
      <c r="M858" s="16"/>
    </row>
    <row r="859" spans="1:13" s="17" customFormat="1" ht="31.5">
      <c r="A859" s="14"/>
      <c r="B859" s="125" t="s">
        <v>28</v>
      </c>
      <c r="C859" s="109" t="s">
        <v>394</v>
      </c>
      <c r="D859" s="108" t="s">
        <v>229</v>
      </c>
      <c r="E859" s="108" t="s">
        <v>471</v>
      </c>
      <c r="F859" s="108" t="s">
        <v>483</v>
      </c>
      <c r="G859" s="108" t="s">
        <v>29</v>
      </c>
      <c r="H859" s="126">
        <v>2716297.49</v>
      </c>
      <c r="I859" s="108">
        <v>7510010010</v>
      </c>
      <c r="J859" s="108" t="str">
        <f t="shared" si="52"/>
        <v>7510010010</v>
      </c>
      <c r="K859" s="304" t="str">
        <f t="shared" si="51"/>
        <v>60607097510010010240</v>
      </c>
      <c r="L859" s="17" t="str">
        <f>INDEX('реш СГД № 265'!$A:$N,MATCH('БА расх 2018 31 12 2018'!$K859,'реш СГД № 265'!$N:$N,0),3)</f>
        <v>Иные закупки товаров, работ и услуг для обеспечения государственных (муниципальных) нужд</v>
      </c>
      <c r="M859" s="16">
        <f t="shared" si="53"/>
        <v>1</v>
      </c>
    </row>
    <row r="860" spans="1:13" s="17" customFormat="1" ht="15.75">
      <c r="A860" s="14"/>
      <c r="B860" s="125" t="s">
        <v>30</v>
      </c>
      <c r="C860" s="109" t="s">
        <v>394</v>
      </c>
      <c r="D860" s="108" t="s">
        <v>229</v>
      </c>
      <c r="E860" s="108" t="s">
        <v>471</v>
      </c>
      <c r="F860" s="108" t="s">
        <v>483</v>
      </c>
      <c r="G860" s="108" t="s">
        <v>31</v>
      </c>
      <c r="H860" s="126">
        <v>2716297.49</v>
      </c>
      <c r="I860" s="108">
        <v>7510010010</v>
      </c>
      <c r="J860" s="108" t="str">
        <f t="shared" si="52"/>
        <v>7510010010</v>
      </c>
      <c r="K860" s="304" t="str">
        <f t="shared" si="51"/>
        <v>60607097510010010244</v>
      </c>
      <c r="M860" s="16"/>
    </row>
    <row r="861" spans="1:13" s="17" customFormat="1" ht="15.75">
      <c r="A861" s="14"/>
      <c r="B861" s="125" t="s">
        <v>32</v>
      </c>
      <c r="C861" s="109" t="s">
        <v>394</v>
      </c>
      <c r="D861" s="108" t="s">
        <v>229</v>
      </c>
      <c r="E861" s="108" t="s">
        <v>471</v>
      </c>
      <c r="F861" s="108" t="s">
        <v>483</v>
      </c>
      <c r="G861" s="108" t="s">
        <v>33</v>
      </c>
      <c r="H861" s="126">
        <v>44257.96</v>
      </c>
      <c r="I861" s="108">
        <v>7510010010</v>
      </c>
      <c r="J861" s="108" t="str">
        <f t="shared" si="52"/>
        <v>7510010010</v>
      </c>
      <c r="K861" s="304" t="str">
        <f t="shared" si="51"/>
        <v>60607097510010010850</v>
      </c>
      <c r="L861" s="17" t="str">
        <f>INDEX('реш СГД № 265'!$A:$N,MATCH('БА расх 2018 31 12 2018'!$K861,'реш СГД № 265'!$N:$N,0),3)</f>
        <v>Уплата налогов, сборов и иных платежей</v>
      </c>
      <c r="M861" s="16">
        <f t="shared" si="53"/>
        <v>1</v>
      </c>
    </row>
    <row r="862" spans="1:13" s="24" customFormat="1" ht="31.5">
      <c r="A862" s="21"/>
      <c r="B862" s="127" t="s">
        <v>34</v>
      </c>
      <c r="C862" s="109" t="s">
        <v>394</v>
      </c>
      <c r="D862" s="108" t="s">
        <v>229</v>
      </c>
      <c r="E862" s="108" t="s">
        <v>471</v>
      </c>
      <c r="F862" s="108" t="s">
        <v>483</v>
      </c>
      <c r="G862" s="108" t="s">
        <v>35</v>
      </c>
      <c r="H862" s="126">
        <v>39576</v>
      </c>
      <c r="I862" s="108">
        <v>7510010010</v>
      </c>
      <c r="J862" s="108" t="str">
        <f t="shared" si="52"/>
        <v>7510010010</v>
      </c>
      <c r="K862" s="304" t="str">
        <f t="shared" si="51"/>
        <v>60607097510010010851</v>
      </c>
      <c r="L862" s="17"/>
      <c r="M862" s="16"/>
    </row>
    <row r="863" spans="1:13" s="24" customFormat="1" ht="15.75">
      <c r="A863" s="21"/>
      <c r="B863" s="127" t="s">
        <v>36</v>
      </c>
      <c r="C863" s="109" t="s">
        <v>394</v>
      </c>
      <c r="D863" s="108" t="s">
        <v>229</v>
      </c>
      <c r="E863" s="108" t="s">
        <v>471</v>
      </c>
      <c r="F863" s="108" t="s">
        <v>483</v>
      </c>
      <c r="G863" s="108" t="s">
        <v>37</v>
      </c>
      <c r="H863" s="126">
        <v>1878</v>
      </c>
      <c r="I863" s="108">
        <v>7510010010</v>
      </c>
      <c r="J863" s="108" t="str">
        <f t="shared" si="52"/>
        <v>7510010010</v>
      </c>
      <c r="K863" s="304" t="str">
        <f t="shared" si="51"/>
        <v>60607097510010010852</v>
      </c>
      <c r="L863" s="17"/>
      <c r="M863" s="16"/>
    </row>
    <row r="864" spans="1:13" s="24" customFormat="1" ht="15.75">
      <c r="A864" s="21"/>
      <c r="B864" s="127" t="s">
        <v>77</v>
      </c>
      <c r="C864" s="109" t="s">
        <v>394</v>
      </c>
      <c r="D864" s="108" t="s">
        <v>229</v>
      </c>
      <c r="E864" s="108" t="s">
        <v>471</v>
      </c>
      <c r="F864" s="108" t="s">
        <v>483</v>
      </c>
      <c r="G864" s="108" t="s">
        <v>78</v>
      </c>
      <c r="H864" s="126">
        <v>2803.96</v>
      </c>
      <c r="I864" s="108">
        <v>7510010010</v>
      </c>
      <c r="J864" s="108" t="str">
        <f t="shared" si="52"/>
        <v>7510010010</v>
      </c>
      <c r="K864" s="304" t="str">
        <f t="shared" si="51"/>
        <v>60607097510010010853</v>
      </c>
      <c r="L864" s="17"/>
      <c r="M864" s="16"/>
    </row>
    <row r="865" spans="1:13" s="17" customFormat="1" ht="31.5">
      <c r="A865" s="14"/>
      <c r="B865" s="125" t="s">
        <v>38</v>
      </c>
      <c r="C865" s="109" t="s">
        <v>394</v>
      </c>
      <c r="D865" s="108" t="s">
        <v>229</v>
      </c>
      <c r="E865" s="108" t="s">
        <v>471</v>
      </c>
      <c r="F865" s="108" t="s">
        <v>485</v>
      </c>
      <c r="G865" s="108" t="s">
        <v>9</v>
      </c>
      <c r="H865" s="126">
        <v>21706784.780000001</v>
      </c>
      <c r="I865" s="108">
        <v>7510010020</v>
      </c>
      <c r="J865" s="108" t="str">
        <f t="shared" si="52"/>
        <v>7510010020</v>
      </c>
      <c r="K865" s="304" t="str">
        <f t="shared" si="51"/>
        <v>60607097510010020000</v>
      </c>
      <c r="L865" s="17" t="str">
        <f>INDEX('реш СГД № 265'!$A:$N,MATCH('БА расх 2018 31 12 2018'!$K865,'реш СГД № 265'!$N:$N,0),3)</f>
        <v>Расходы на выплаты по оплате труда работников органов местного самоуправления города Ставрополя</v>
      </c>
      <c r="M865" s="16">
        <f t="shared" si="53"/>
        <v>1</v>
      </c>
    </row>
    <row r="866" spans="1:13" s="17" customFormat="1" ht="31.5">
      <c r="A866" s="14"/>
      <c r="B866" s="125" t="s">
        <v>484</v>
      </c>
      <c r="C866" s="109" t="s">
        <v>394</v>
      </c>
      <c r="D866" s="108" t="s">
        <v>229</v>
      </c>
      <c r="E866" s="108" t="s">
        <v>471</v>
      </c>
      <c r="F866" s="108" t="s">
        <v>485</v>
      </c>
      <c r="G866" s="108" t="s">
        <v>21</v>
      </c>
      <c r="H866" s="126">
        <v>21706784.780000001</v>
      </c>
      <c r="I866" s="108">
        <v>7510010020</v>
      </c>
      <c r="J866" s="108" t="str">
        <f t="shared" si="52"/>
        <v>7510010020</v>
      </c>
      <c r="K866" s="304" t="str">
        <f t="shared" si="51"/>
        <v>60607097510010020120</v>
      </c>
      <c r="L866" s="17" t="str">
        <f>INDEX('реш СГД № 265'!$A:$N,MATCH('БА расх 2018 31 12 2018'!$K866,'реш СГД № 265'!$N:$N,0),3)</f>
        <v>Расходы на выплаты персоналу  государственных (муниципальных) органов</v>
      </c>
      <c r="M866" s="16">
        <f t="shared" si="53"/>
        <v>1</v>
      </c>
    </row>
    <row r="867" spans="1:13" s="24" customFormat="1" ht="31.5">
      <c r="A867" s="21"/>
      <c r="B867" s="127" t="s">
        <v>40</v>
      </c>
      <c r="C867" s="109" t="s">
        <v>394</v>
      </c>
      <c r="D867" s="108" t="s">
        <v>229</v>
      </c>
      <c r="E867" s="108" t="s">
        <v>471</v>
      </c>
      <c r="F867" s="108" t="s">
        <v>485</v>
      </c>
      <c r="G867" s="108" t="s">
        <v>41</v>
      </c>
      <c r="H867" s="126">
        <v>16764176.34</v>
      </c>
      <c r="I867" s="108">
        <v>7510010020</v>
      </c>
      <c r="J867" s="108" t="str">
        <f t="shared" si="52"/>
        <v>7510010020</v>
      </c>
      <c r="K867" s="304" t="str">
        <f t="shared" si="51"/>
        <v>60607097510010020121</v>
      </c>
      <c r="L867" s="17"/>
      <c r="M867" s="16"/>
    </row>
    <row r="868" spans="1:13" s="24" customFormat="1" ht="47.25">
      <c r="A868" s="21"/>
      <c r="B868" s="127" t="s">
        <v>26</v>
      </c>
      <c r="C868" s="109" t="s">
        <v>394</v>
      </c>
      <c r="D868" s="108" t="s">
        <v>229</v>
      </c>
      <c r="E868" s="108" t="s">
        <v>471</v>
      </c>
      <c r="F868" s="108" t="s">
        <v>485</v>
      </c>
      <c r="G868" s="108" t="s">
        <v>27</v>
      </c>
      <c r="H868" s="126">
        <v>4942608.4400000004</v>
      </c>
      <c r="I868" s="108">
        <v>7510010020</v>
      </c>
      <c r="J868" s="108" t="str">
        <f t="shared" si="52"/>
        <v>7510010020</v>
      </c>
      <c r="K868" s="304" t="str">
        <f t="shared" si="51"/>
        <v>60607097510010020129</v>
      </c>
      <c r="L868" s="17"/>
      <c r="M868" s="16"/>
    </row>
    <row r="869" spans="1:13" s="17" customFormat="1" ht="31.5">
      <c r="A869" s="14"/>
      <c r="B869" s="307" t="s">
        <v>136</v>
      </c>
      <c r="C869" s="109" t="s">
        <v>394</v>
      </c>
      <c r="D869" s="108" t="s">
        <v>229</v>
      </c>
      <c r="E869" s="108" t="s">
        <v>471</v>
      </c>
      <c r="F869" s="108" t="s">
        <v>486</v>
      </c>
      <c r="G869" s="108" t="s">
        <v>9</v>
      </c>
      <c r="H869" s="126">
        <v>7057656.3599999994</v>
      </c>
      <c r="I869" s="108">
        <v>7510011010</v>
      </c>
      <c r="J869" s="108" t="str">
        <f t="shared" si="52"/>
        <v>7510011010</v>
      </c>
      <c r="K869" s="304" t="str">
        <f t="shared" si="51"/>
        <v>60607097510011010000</v>
      </c>
      <c r="L869" s="17" t="str">
        <f>INDEX('реш СГД № 265'!$A:$N,MATCH('БА расх 2018 31 12 2018'!$K869,'реш СГД № 265'!$N:$N,0),3)</f>
        <v>Расходы на обеспечение деятельности (оказание услуг) муниципальных учреждений</v>
      </c>
      <c r="M869" s="16">
        <f t="shared" si="53"/>
        <v>1</v>
      </c>
    </row>
    <row r="870" spans="1:13" s="17" customFormat="1" ht="15.75">
      <c r="A870" s="14"/>
      <c r="B870" s="306" t="s">
        <v>138</v>
      </c>
      <c r="C870" s="109" t="s">
        <v>394</v>
      </c>
      <c r="D870" s="108" t="s">
        <v>229</v>
      </c>
      <c r="E870" s="108" t="s">
        <v>471</v>
      </c>
      <c r="F870" s="108" t="s">
        <v>486</v>
      </c>
      <c r="G870" s="108" t="s">
        <v>139</v>
      </c>
      <c r="H870" s="126">
        <v>6180761.5999999996</v>
      </c>
      <c r="I870" s="108">
        <v>7510011010</v>
      </c>
      <c r="J870" s="108" t="str">
        <f t="shared" si="52"/>
        <v>7510011010</v>
      </c>
      <c r="K870" s="304" t="str">
        <f t="shared" si="51"/>
        <v>60607097510011010110</v>
      </c>
      <c r="L870" s="17" t="str">
        <f>INDEX('реш СГД № 265'!$A:$N,MATCH('БА расх 2018 31 12 2018'!$K870,'реш СГД № 265'!$N:$N,0),3)</f>
        <v>Расходы на выплаты персоналу казенных учреждений</v>
      </c>
      <c r="M870" s="16">
        <f t="shared" si="53"/>
        <v>1</v>
      </c>
    </row>
    <row r="871" spans="1:13" s="24" customFormat="1" ht="15.75">
      <c r="A871" s="21"/>
      <c r="B871" s="127" t="s">
        <v>140</v>
      </c>
      <c r="C871" s="109" t="s">
        <v>394</v>
      </c>
      <c r="D871" s="108" t="s">
        <v>229</v>
      </c>
      <c r="E871" s="108" t="s">
        <v>471</v>
      </c>
      <c r="F871" s="108" t="s">
        <v>486</v>
      </c>
      <c r="G871" s="108" t="s">
        <v>141</v>
      </c>
      <c r="H871" s="126">
        <v>4747132</v>
      </c>
      <c r="I871" s="108">
        <v>7510011010</v>
      </c>
      <c r="J871" s="108" t="str">
        <f t="shared" si="52"/>
        <v>7510011010</v>
      </c>
      <c r="K871" s="304" t="str">
        <f t="shared" si="51"/>
        <v>60607097510011010111</v>
      </c>
      <c r="L871" s="17"/>
      <c r="M871" s="16"/>
    </row>
    <row r="872" spans="1:13" s="24" customFormat="1" ht="47.25">
      <c r="A872" s="21"/>
      <c r="B872" s="127" t="s">
        <v>487</v>
      </c>
      <c r="C872" s="109" t="s">
        <v>394</v>
      </c>
      <c r="D872" s="108" t="s">
        <v>229</v>
      </c>
      <c r="E872" s="108" t="s">
        <v>471</v>
      </c>
      <c r="F872" s="108" t="s">
        <v>486</v>
      </c>
      <c r="G872" s="108" t="s">
        <v>145</v>
      </c>
      <c r="H872" s="126">
        <v>1433629.6</v>
      </c>
      <c r="I872" s="108">
        <v>7510011010</v>
      </c>
      <c r="J872" s="108" t="str">
        <f t="shared" si="52"/>
        <v>7510011010</v>
      </c>
      <c r="K872" s="304" t="str">
        <f t="shared" si="51"/>
        <v>60607097510011010119</v>
      </c>
      <c r="L872" s="17"/>
      <c r="M872" s="16"/>
    </row>
    <row r="873" spans="1:13" s="17" customFormat="1" ht="31.5">
      <c r="A873" s="14"/>
      <c r="B873" s="125" t="s">
        <v>28</v>
      </c>
      <c r="C873" s="109" t="s">
        <v>394</v>
      </c>
      <c r="D873" s="108" t="s">
        <v>229</v>
      </c>
      <c r="E873" s="108" t="s">
        <v>471</v>
      </c>
      <c r="F873" s="108" t="s">
        <v>486</v>
      </c>
      <c r="G873" s="108" t="s">
        <v>29</v>
      </c>
      <c r="H873" s="126">
        <v>875946.76</v>
      </c>
      <c r="I873" s="108">
        <v>7510011010</v>
      </c>
      <c r="J873" s="108" t="str">
        <f t="shared" si="52"/>
        <v>7510011010</v>
      </c>
      <c r="K873" s="304" t="str">
        <f t="shared" si="51"/>
        <v>60607097510011010240</v>
      </c>
      <c r="L873" s="17" t="str">
        <f>INDEX('реш СГД № 265'!$A:$N,MATCH('БА расх 2018 31 12 2018'!$K873,'реш СГД № 265'!$N:$N,0),3)</f>
        <v>Иные закупки товаров, работ и услуг для обеспечения государственных (муниципальных) нужд</v>
      </c>
      <c r="M873" s="16">
        <f t="shared" si="53"/>
        <v>1</v>
      </c>
    </row>
    <row r="874" spans="1:13" s="17" customFormat="1" ht="15.75">
      <c r="A874" s="14"/>
      <c r="B874" s="125" t="s">
        <v>30</v>
      </c>
      <c r="C874" s="109" t="s">
        <v>394</v>
      </c>
      <c r="D874" s="108" t="s">
        <v>229</v>
      </c>
      <c r="E874" s="108" t="s">
        <v>471</v>
      </c>
      <c r="F874" s="108" t="s">
        <v>486</v>
      </c>
      <c r="G874" s="108" t="s">
        <v>31</v>
      </c>
      <c r="H874" s="126">
        <v>875946.76</v>
      </c>
      <c r="I874" s="108">
        <v>7510011010</v>
      </c>
      <c r="J874" s="108" t="str">
        <f t="shared" si="52"/>
        <v>7510011010</v>
      </c>
      <c r="K874" s="304" t="str">
        <f t="shared" si="51"/>
        <v>60607097510011010244</v>
      </c>
      <c r="M874" s="16"/>
    </row>
    <row r="875" spans="1:13" s="17" customFormat="1" ht="15.75">
      <c r="A875" s="14"/>
      <c r="B875" s="125" t="s">
        <v>32</v>
      </c>
      <c r="C875" s="109" t="s">
        <v>394</v>
      </c>
      <c r="D875" s="108" t="s">
        <v>229</v>
      </c>
      <c r="E875" s="108" t="s">
        <v>471</v>
      </c>
      <c r="F875" s="108" t="s">
        <v>486</v>
      </c>
      <c r="G875" s="108" t="s">
        <v>33</v>
      </c>
      <c r="H875" s="126">
        <v>948</v>
      </c>
      <c r="I875" s="108">
        <v>7510011010</v>
      </c>
      <c r="J875" s="108" t="str">
        <f t="shared" si="52"/>
        <v>7510011010</v>
      </c>
      <c r="K875" s="304" t="str">
        <f t="shared" si="51"/>
        <v>60607097510011010850</v>
      </c>
      <c r="L875" s="17" t="str">
        <f>INDEX('реш СГД № 265'!$A:$N,MATCH('БА расх 2018 31 12 2018'!$K875,'реш СГД № 265'!$N:$N,0),3)</f>
        <v>Уплата налогов, сборов и иных платежей</v>
      </c>
      <c r="M875" s="16">
        <f t="shared" si="53"/>
        <v>1</v>
      </c>
    </row>
    <row r="876" spans="1:13" s="17" customFormat="1" ht="31.5">
      <c r="A876" s="14"/>
      <c r="B876" s="127" t="s">
        <v>34</v>
      </c>
      <c r="C876" s="109" t="s">
        <v>394</v>
      </c>
      <c r="D876" s="108" t="s">
        <v>229</v>
      </c>
      <c r="E876" s="108" t="s">
        <v>471</v>
      </c>
      <c r="F876" s="108" t="s">
        <v>486</v>
      </c>
      <c r="G876" s="108" t="s">
        <v>35</v>
      </c>
      <c r="H876" s="126">
        <v>948</v>
      </c>
      <c r="I876" s="108">
        <v>7510011010</v>
      </c>
      <c r="J876" s="108" t="str">
        <f t="shared" si="52"/>
        <v>7510011010</v>
      </c>
      <c r="K876" s="304" t="str">
        <f t="shared" si="51"/>
        <v>60607097510011010851</v>
      </c>
      <c r="M876" s="16"/>
    </row>
    <row r="877" spans="1:13" s="17" customFormat="1" ht="63">
      <c r="A877" s="14" t="s">
        <v>80</v>
      </c>
      <c r="B877" s="125" t="s">
        <v>488</v>
      </c>
      <c r="C877" s="109" t="s">
        <v>394</v>
      </c>
      <c r="D877" s="108" t="s">
        <v>229</v>
      </c>
      <c r="E877" s="108" t="s">
        <v>471</v>
      </c>
      <c r="F877" s="108" t="s">
        <v>489</v>
      </c>
      <c r="G877" s="108" t="s">
        <v>9</v>
      </c>
      <c r="H877" s="126">
        <v>2038992.9500000002</v>
      </c>
      <c r="I877" s="108">
        <v>7510076200</v>
      </c>
      <c r="J877" s="108" t="str">
        <f t="shared" si="52"/>
        <v>7510076200</v>
      </c>
      <c r="K877" s="304" t="str">
        <f t="shared" si="51"/>
        <v>60607097510076200000</v>
      </c>
      <c r="L877" s="17" t="str">
        <f>INDEX('реш СГД № 265'!$A:$N,MATCH('БА расх 2018 31 12 2018'!$K877,'реш СГД № 265'!$N:$N,0),3)</f>
        <v>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v>
      </c>
      <c r="M877" s="16">
        <f t="shared" si="53"/>
        <v>1</v>
      </c>
    </row>
    <row r="878" spans="1:13" s="17" customFormat="1" ht="31.5">
      <c r="A878" s="14"/>
      <c r="B878" s="125" t="s">
        <v>484</v>
      </c>
      <c r="C878" s="109" t="s">
        <v>394</v>
      </c>
      <c r="D878" s="108" t="s">
        <v>229</v>
      </c>
      <c r="E878" s="108" t="s">
        <v>471</v>
      </c>
      <c r="F878" s="108" t="s">
        <v>489</v>
      </c>
      <c r="G878" s="108" t="s">
        <v>21</v>
      </c>
      <c r="H878" s="126">
        <v>2019502.9500000002</v>
      </c>
      <c r="I878" s="108">
        <v>7510076200</v>
      </c>
      <c r="J878" s="108" t="str">
        <f t="shared" si="52"/>
        <v>7510076200</v>
      </c>
      <c r="K878" s="304" t="str">
        <f t="shared" ref="K878:K934" si="58">C878&amp;D878&amp;E878&amp;J878&amp;G878</f>
        <v>60607097510076200120</v>
      </c>
      <c r="L878" s="17" t="str">
        <f>INDEX('реш СГД № 265'!$A:$N,MATCH('БА расх 2018 31 12 2018'!$K878,'реш СГД № 265'!$N:$N,0),3)</f>
        <v>Расходы на выплаты персоналу  государственных (муниципальных) органов</v>
      </c>
      <c r="M878" s="16">
        <f t="shared" si="53"/>
        <v>1</v>
      </c>
    </row>
    <row r="879" spans="1:13" s="17" customFormat="1" ht="31.5">
      <c r="A879" s="14"/>
      <c r="B879" s="127" t="s">
        <v>40</v>
      </c>
      <c r="C879" s="109" t="s">
        <v>394</v>
      </c>
      <c r="D879" s="108" t="s">
        <v>229</v>
      </c>
      <c r="E879" s="108" t="s">
        <v>471</v>
      </c>
      <c r="F879" s="108" t="s">
        <v>489</v>
      </c>
      <c r="G879" s="108" t="s">
        <v>41</v>
      </c>
      <c r="H879" s="126">
        <v>1495774.59</v>
      </c>
      <c r="I879" s="108">
        <v>7510076200</v>
      </c>
      <c r="J879" s="108" t="str">
        <f t="shared" ref="J879:J935" si="59">TEXT(I879,"0000000000")</f>
        <v>7510076200</v>
      </c>
      <c r="K879" s="304" t="str">
        <f t="shared" si="58"/>
        <v>60607097510076200121</v>
      </c>
      <c r="M879" s="16"/>
    </row>
    <row r="880" spans="1:13" s="24" customFormat="1" ht="31.5">
      <c r="A880" s="21"/>
      <c r="B880" s="127" t="s">
        <v>22</v>
      </c>
      <c r="C880" s="109" t="s">
        <v>394</v>
      </c>
      <c r="D880" s="108" t="s">
        <v>229</v>
      </c>
      <c r="E880" s="108" t="s">
        <v>471</v>
      </c>
      <c r="F880" s="108" t="s">
        <v>489</v>
      </c>
      <c r="G880" s="108" t="s">
        <v>23</v>
      </c>
      <c r="H880" s="126">
        <v>51660</v>
      </c>
      <c r="I880" s="108">
        <v>7510076200</v>
      </c>
      <c r="J880" s="108" t="str">
        <f t="shared" si="59"/>
        <v>7510076200</v>
      </c>
      <c r="K880" s="304" t="str">
        <f t="shared" si="58"/>
        <v>60607097510076200122</v>
      </c>
      <c r="L880" s="17"/>
      <c r="M880" s="16"/>
    </row>
    <row r="881" spans="1:13" s="24" customFormat="1" ht="47.25">
      <c r="A881" s="21"/>
      <c r="B881" s="127" t="s">
        <v>26</v>
      </c>
      <c r="C881" s="109" t="s">
        <v>394</v>
      </c>
      <c r="D881" s="108" t="s">
        <v>229</v>
      </c>
      <c r="E881" s="108" t="s">
        <v>471</v>
      </c>
      <c r="F881" s="108" t="s">
        <v>489</v>
      </c>
      <c r="G881" s="108" t="s">
        <v>27</v>
      </c>
      <c r="H881" s="126">
        <v>472068.36</v>
      </c>
      <c r="I881" s="108">
        <v>7510076200</v>
      </c>
      <c r="J881" s="108" t="str">
        <f t="shared" si="59"/>
        <v>7510076200</v>
      </c>
      <c r="K881" s="304" t="str">
        <f t="shared" si="58"/>
        <v>60607097510076200129</v>
      </c>
      <c r="L881" s="17"/>
      <c r="M881" s="16"/>
    </row>
    <row r="882" spans="1:13" s="17" customFormat="1" ht="31.5">
      <c r="A882" s="14"/>
      <c r="B882" s="125" t="s">
        <v>28</v>
      </c>
      <c r="C882" s="109" t="s">
        <v>394</v>
      </c>
      <c r="D882" s="108" t="s">
        <v>229</v>
      </c>
      <c r="E882" s="108" t="s">
        <v>471</v>
      </c>
      <c r="F882" s="108" t="s">
        <v>489</v>
      </c>
      <c r="G882" s="108" t="s">
        <v>29</v>
      </c>
      <c r="H882" s="126">
        <v>19490</v>
      </c>
      <c r="I882" s="108">
        <v>7510076200</v>
      </c>
      <c r="J882" s="108" t="str">
        <f t="shared" si="59"/>
        <v>7510076200</v>
      </c>
      <c r="K882" s="304" t="str">
        <f t="shared" si="58"/>
        <v>60607097510076200240</v>
      </c>
      <c r="L882" s="17" t="str">
        <f>INDEX('реш СГД № 265'!$A:$N,MATCH('БА расх 2018 31 12 2018'!$K882,'реш СГД № 265'!$N:$N,0),3)</f>
        <v>Иные закупки товаров, работ и услуг для обеспечения государственных (муниципальных) нужд</v>
      </c>
      <c r="M882" s="16">
        <f t="shared" ref="M882:M935" si="60">IF(B882=L882,1,0)</f>
        <v>1</v>
      </c>
    </row>
    <row r="883" spans="1:13" s="17" customFormat="1" ht="15.75">
      <c r="A883" s="14"/>
      <c r="B883" s="125" t="s">
        <v>30</v>
      </c>
      <c r="C883" s="109" t="s">
        <v>394</v>
      </c>
      <c r="D883" s="108" t="s">
        <v>229</v>
      </c>
      <c r="E883" s="108" t="s">
        <v>471</v>
      </c>
      <c r="F883" s="108" t="s">
        <v>489</v>
      </c>
      <c r="G883" s="108" t="s">
        <v>31</v>
      </c>
      <c r="H883" s="126">
        <v>19490</v>
      </c>
      <c r="I883" s="108">
        <v>7510076200</v>
      </c>
      <c r="J883" s="108" t="str">
        <f t="shared" si="59"/>
        <v>7510076200</v>
      </c>
      <c r="K883" s="304" t="str">
        <f t="shared" si="58"/>
        <v>60607097510076200244</v>
      </c>
      <c r="M883" s="16"/>
    </row>
    <row r="884" spans="1:13" s="17" customFormat="1" ht="267.75">
      <c r="A884" s="14"/>
      <c r="B884" s="132" t="s">
        <v>2269</v>
      </c>
      <c r="C884" s="109" t="s">
        <v>394</v>
      </c>
      <c r="D884" s="108" t="s">
        <v>229</v>
      </c>
      <c r="E884" s="108" t="s">
        <v>471</v>
      </c>
      <c r="F884" s="108" t="s">
        <v>1285</v>
      </c>
      <c r="G884" s="108" t="s">
        <v>9</v>
      </c>
      <c r="H884" s="126">
        <v>726191.77</v>
      </c>
      <c r="I884" s="108">
        <v>7510077460</v>
      </c>
      <c r="J884" s="108" t="str">
        <f t="shared" si="59"/>
        <v>7510077460</v>
      </c>
      <c r="K884" s="304" t="str">
        <f t="shared" si="58"/>
        <v>60607097510077460000</v>
      </c>
      <c r="L884" s="132" t="str">
        <f>INDEX('реш СГД № 265'!$A:$N,MATCH('БА расх 2018 31 12 2018'!$K884,'реш СГД № 265'!$N:$N,0),3)</f>
        <v>Субсидии на компенсацию расходов по повышению заработной платы муниципальных служащих муниципальной службы и лиц, не замещающих должности муниципальной службы и исполняющих обязанности по техническому обеспечению деятельности органов местного самоуправления муниципальных образований, а также работников муниципальных учреждений, за исключением отдельных категорий работников муниципальных учреждений, которым повышение заработной платы осуществляется в соответствии с указами Президента Российской Федерации от 7 мая 2012 года № 597 «О мероприятиях по реализации государственной социальной политики», от 1 июня 2012 года № 761 «О Национальной стратегии действий в интересах детей на 2012 - 2017 годы» и от 28 декабря 2012 года № 1688 «О некоторых мерах по реализации государственной политики в сфере защиты детей-сирот и детей, оставшихся без попечения родителей»</v>
      </c>
      <c r="M884" s="17">
        <f t="shared" si="60"/>
        <v>1</v>
      </c>
    </row>
    <row r="885" spans="1:13" s="17" customFormat="1" ht="31.5">
      <c r="A885" s="14"/>
      <c r="B885" s="164" t="s">
        <v>20</v>
      </c>
      <c r="C885" s="109" t="s">
        <v>394</v>
      </c>
      <c r="D885" s="108" t="s">
        <v>229</v>
      </c>
      <c r="E885" s="108" t="s">
        <v>471</v>
      </c>
      <c r="F885" s="108" t="s">
        <v>1285</v>
      </c>
      <c r="G885" s="108" t="s">
        <v>21</v>
      </c>
      <c r="H885" s="126">
        <v>726191.77</v>
      </c>
      <c r="I885" s="108">
        <v>7510077460</v>
      </c>
      <c r="J885" s="108" t="str">
        <f t="shared" si="59"/>
        <v>7510077460</v>
      </c>
      <c r="K885" s="304" t="str">
        <f t="shared" si="58"/>
        <v>60607097510077460120</v>
      </c>
      <c r="L885" s="132" t="str">
        <f>INDEX('реш СГД № 265'!$A:$N,MATCH('БА расх 2018 31 12 2018'!$K885,'реш СГД № 265'!$N:$N,0),3)</f>
        <v>Расходы на выплаты персоналу  государственных (муниципальных) органов</v>
      </c>
      <c r="M885" s="17">
        <f t="shared" si="60"/>
        <v>0</v>
      </c>
    </row>
    <row r="886" spans="1:13" s="17" customFormat="1" ht="31.5">
      <c r="A886" s="14"/>
      <c r="B886" s="127" t="s">
        <v>40</v>
      </c>
      <c r="C886" s="109" t="s">
        <v>394</v>
      </c>
      <c r="D886" s="108" t="s">
        <v>229</v>
      </c>
      <c r="E886" s="108" t="s">
        <v>471</v>
      </c>
      <c r="F886" s="108" t="s">
        <v>1285</v>
      </c>
      <c r="G886" s="108" t="s">
        <v>41</v>
      </c>
      <c r="H886" s="126">
        <v>557750.98</v>
      </c>
      <c r="I886" s="108">
        <v>7510077460</v>
      </c>
      <c r="J886" s="108" t="str">
        <f t="shared" si="59"/>
        <v>7510077460</v>
      </c>
      <c r="K886" s="304" t="str">
        <f t="shared" si="58"/>
        <v>60607097510077460121</v>
      </c>
      <c r="M886" s="16"/>
    </row>
    <row r="887" spans="1:13" s="17" customFormat="1" ht="47.25">
      <c r="A887" s="14"/>
      <c r="B887" s="127" t="s">
        <v>26</v>
      </c>
      <c r="C887" s="109" t="s">
        <v>394</v>
      </c>
      <c r="D887" s="108" t="s">
        <v>229</v>
      </c>
      <c r="E887" s="108" t="s">
        <v>471</v>
      </c>
      <c r="F887" s="108" t="s">
        <v>1285</v>
      </c>
      <c r="G887" s="108" t="s">
        <v>27</v>
      </c>
      <c r="H887" s="126">
        <v>168440.79</v>
      </c>
      <c r="I887" s="108">
        <v>7510077460</v>
      </c>
      <c r="J887" s="108" t="str">
        <f t="shared" si="59"/>
        <v>7510077460</v>
      </c>
      <c r="K887" s="304" t="str">
        <f t="shared" si="58"/>
        <v>60607097510077460129</v>
      </c>
      <c r="M887" s="16"/>
    </row>
    <row r="888" spans="1:13" s="17" customFormat="1" ht="15.75">
      <c r="A888" s="14"/>
      <c r="B888" s="117" t="s">
        <v>316</v>
      </c>
      <c r="C888" s="118" t="s">
        <v>394</v>
      </c>
      <c r="D888" s="119" t="s">
        <v>317</v>
      </c>
      <c r="E888" s="119" t="s">
        <v>7</v>
      </c>
      <c r="F888" s="119" t="s">
        <v>8</v>
      </c>
      <c r="G888" s="119" t="s">
        <v>9</v>
      </c>
      <c r="H888" s="120">
        <v>125473649.61</v>
      </c>
      <c r="I888" s="119">
        <v>0</v>
      </c>
      <c r="J888" s="119" t="str">
        <f t="shared" si="59"/>
        <v>0000000000</v>
      </c>
      <c r="K888" s="304" t="str">
        <f t="shared" si="58"/>
        <v>60610000000000000000</v>
      </c>
      <c r="L888" s="17" t="str">
        <f>INDEX('реш СГД № 265'!$A:$N,MATCH('БА расх 2018 31 12 2018'!$K888,'реш СГД № 265'!$N:$N,0),3)</f>
        <v>Социальная политика</v>
      </c>
      <c r="M888" s="16">
        <f t="shared" si="60"/>
        <v>1</v>
      </c>
    </row>
    <row r="889" spans="1:13" s="17" customFormat="1" ht="15.75">
      <c r="A889" s="14"/>
      <c r="B889" s="121" t="s">
        <v>490</v>
      </c>
      <c r="C889" s="122" t="s">
        <v>394</v>
      </c>
      <c r="D889" s="123" t="s">
        <v>317</v>
      </c>
      <c r="E889" s="123" t="s">
        <v>73</v>
      </c>
      <c r="F889" s="123" t="s">
        <v>8</v>
      </c>
      <c r="G889" s="123" t="s">
        <v>9</v>
      </c>
      <c r="H889" s="124">
        <v>125473649.61</v>
      </c>
      <c r="I889" s="123">
        <v>0</v>
      </c>
      <c r="J889" s="123" t="str">
        <f t="shared" si="59"/>
        <v>0000000000</v>
      </c>
      <c r="K889" s="304" t="str">
        <f t="shared" si="58"/>
        <v>60610040000000000000</v>
      </c>
      <c r="L889" s="17" t="str">
        <f>INDEX('реш СГД № 265'!$A:$N,MATCH('БА расх 2018 31 12 2018'!$K889,'реш СГД № 265'!$N:$N,0),3)</f>
        <v>Охрана семьи и детства</v>
      </c>
      <c r="M889" s="16">
        <f t="shared" si="60"/>
        <v>1</v>
      </c>
    </row>
    <row r="890" spans="1:13" s="17" customFormat="1" ht="31.5">
      <c r="A890" s="14"/>
      <c r="B890" s="132" t="s">
        <v>396</v>
      </c>
      <c r="C890" s="109" t="s">
        <v>394</v>
      </c>
      <c r="D890" s="108" t="s">
        <v>317</v>
      </c>
      <c r="E890" s="108" t="s">
        <v>73</v>
      </c>
      <c r="F890" s="108" t="s">
        <v>397</v>
      </c>
      <c r="G890" s="108" t="s">
        <v>9</v>
      </c>
      <c r="H890" s="126">
        <v>125473649.61</v>
      </c>
      <c r="I890" s="108">
        <v>100000000</v>
      </c>
      <c r="J890" s="108" t="str">
        <f t="shared" si="59"/>
        <v>0100000000</v>
      </c>
      <c r="K890" s="304" t="str">
        <f t="shared" si="58"/>
        <v>60610040100000000000</v>
      </c>
      <c r="L890" s="17" t="str">
        <f>INDEX('реш СГД № 265'!$A:$N,MATCH('БА расх 2018 31 12 2018'!$K890,'реш СГД № 265'!$N:$N,0),3)</f>
        <v>Муниципальная программа «Развитие образования в городе Ставрополе»</v>
      </c>
      <c r="M890" s="16">
        <f t="shared" si="60"/>
        <v>1</v>
      </c>
    </row>
    <row r="891" spans="1:13" s="17" customFormat="1" ht="31.5">
      <c r="A891" s="14"/>
      <c r="B891" s="132" t="s">
        <v>398</v>
      </c>
      <c r="C891" s="109" t="s">
        <v>394</v>
      </c>
      <c r="D891" s="108" t="s">
        <v>317</v>
      </c>
      <c r="E891" s="108" t="s">
        <v>73</v>
      </c>
      <c r="F891" s="108" t="s">
        <v>399</v>
      </c>
      <c r="G891" s="108" t="s">
        <v>9</v>
      </c>
      <c r="H891" s="126">
        <v>125473649.61</v>
      </c>
      <c r="I891" s="108">
        <v>110000000</v>
      </c>
      <c r="J891" s="108" t="str">
        <f t="shared" si="59"/>
        <v>0110000000</v>
      </c>
      <c r="K891" s="304" t="str">
        <f t="shared" si="58"/>
        <v>60610040110000000000</v>
      </c>
      <c r="L891" s="17" t="str">
        <f>INDEX('реш СГД № 265'!$A:$N,MATCH('БА расх 2018 31 12 2018'!$K891,'реш СГД № 265'!$N:$N,0),3)</f>
        <v>Подпрограмма «Организация дошкольного, общего и дополнительного образования»</v>
      </c>
      <c r="M891" s="16">
        <f t="shared" si="60"/>
        <v>1</v>
      </c>
    </row>
    <row r="892" spans="1:13" s="17" customFormat="1" ht="31.5">
      <c r="A892" s="14"/>
      <c r="B892" s="132" t="s">
        <v>400</v>
      </c>
      <c r="C892" s="109" t="s">
        <v>394</v>
      </c>
      <c r="D892" s="108" t="s">
        <v>317</v>
      </c>
      <c r="E892" s="108" t="s">
        <v>73</v>
      </c>
      <c r="F892" s="108" t="s">
        <v>401</v>
      </c>
      <c r="G892" s="108" t="s">
        <v>9</v>
      </c>
      <c r="H892" s="126">
        <v>84986720</v>
      </c>
      <c r="I892" s="108">
        <v>110100000</v>
      </c>
      <c r="J892" s="108" t="str">
        <f t="shared" si="59"/>
        <v>0110100000</v>
      </c>
      <c r="K892" s="304" t="str">
        <f t="shared" si="58"/>
        <v>60610040110100000000</v>
      </c>
      <c r="L892" s="17" t="str">
        <f>INDEX('реш СГД № 265'!$A:$N,MATCH('БА расх 2018 31 12 2018'!$K892,'реш СГД № 265'!$N:$N,0),3)</f>
        <v>Основное мероприятие «Организация предоставления общедоступного и бесплатного дошкольного образования»</v>
      </c>
      <c r="M892" s="16">
        <f t="shared" si="60"/>
        <v>1</v>
      </c>
    </row>
    <row r="893" spans="1:13" s="17" customFormat="1" ht="78.75">
      <c r="A893" s="14" t="s">
        <v>80</v>
      </c>
      <c r="B893" s="132" t="s">
        <v>491</v>
      </c>
      <c r="C893" s="109" t="s">
        <v>394</v>
      </c>
      <c r="D893" s="108" t="s">
        <v>317</v>
      </c>
      <c r="E893" s="108" t="s">
        <v>73</v>
      </c>
      <c r="F893" s="108" t="s">
        <v>492</v>
      </c>
      <c r="G893" s="108" t="s">
        <v>9</v>
      </c>
      <c r="H893" s="126">
        <v>84986720</v>
      </c>
      <c r="I893" s="108">
        <v>110176140</v>
      </c>
      <c r="J893" s="108" t="str">
        <f t="shared" si="59"/>
        <v>0110176140</v>
      </c>
      <c r="K893" s="304" t="str">
        <f t="shared" si="58"/>
        <v>60610040110176140000</v>
      </c>
      <c r="L893" s="17" t="str">
        <f>INDEX('реш СГД № 265'!$A:$N,MATCH('БА расх 2018 31 12 2018'!$K893,'реш СГД № 265'!$N:$N,0),3)</f>
        <v>Расходы на компенсацию части платы, взимаемой с родителей (законных представителей) за присмотр и уход за детьми, посещающими образовательные организации, реализующие образовательные программы дошкольного образования</v>
      </c>
      <c r="M893" s="16">
        <f t="shared" si="60"/>
        <v>1</v>
      </c>
    </row>
    <row r="894" spans="1:13" s="17" customFormat="1" ht="31.5">
      <c r="A894" s="14"/>
      <c r="B894" s="125" t="s">
        <v>28</v>
      </c>
      <c r="C894" s="109" t="s">
        <v>394</v>
      </c>
      <c r="D894" s="108" t="s">
        <v>317</v>
      </c>
      <c r="E894" s="108" t="s">
        <v>73</v>
      </c>
      <c r="F894" s="108" t="s">
        <v>492</v>
      </c>
      <c r="G894" s="108" t="s">
        <v>29</v>
      </c>
      <c r="H894" s="126">
        <v>1271827</v>
      </c>
      <c r="I894" s="108">
        <v>110176140</v>
      </c>
      <c r="J894" s="108" t="str">
        <f t="shared" si="59"/>
        <v>0110176140</v>
      </c>
      <c r="K894" s="304" t="str">
        <f t="shared" si="58"/>
        <v>60610040110176140240</v>
      </c>
      <c r="L894" s="17" t="str">
        <f>INDEX('реш СГД № 265'!$A:$N,MATCH('БА расх 2018 31 12 2018'!$K894,'реш СГД № 265'!$N:$N,0),3)</f>
        <v>Иные закупки товаров, работ и услуг для обеспечения государственных (муниципальных) нужд</v>
      </c>
      <c r="M894" s="16">
        <f t="shared" si="60"/>
        <v>1</v>
      </c>
    </row>
    <row r="895" spans="1:13" s="17" customFormat="1" ht="15.75">
      <c r="A895" s="14"/>
      <c r="B895" s="125" t="s">
        <v>30</v>
      </c>
      <c r="C895" s="109" t="s">
        <v>394</v>
      </c>
      <c r="D895" s="108" t="s">
        <v>317</v>
      </c>
      <c r="E895" s="108" t="s">
        <v>73</v>
      </c>
      <c r="F895" s="108" t="s">
        <v>492</v>
      </c>
      <c r="G895" s="108" t="s">
        <v>31</v>
      </c>
      <c r="H895" s="126">
        <v>1271827</v>
      </c>
      <c r="I895" s="108">
        <v>110176140</v>
      </c>
      <c r="J895" s="108" t="str">
        <f t="shared" si="59"/>
        <v>0110176140</v>
      </c>
      <c r="K895" s="304" t="str">
        <f t="shared" si="58"/>
        <v>60610040110176140244</v>
      </c>
      <c r="M895" s="16"/>
    </row>
    <row r="896" spans="1:13" s="17" customFormat="1" ht="15.75">
      <c r="A896" s="14"/>
      <c r="B896" s="132" t="s">
        <v>493</v>
      </c>
      <c r="C896" s="109" t="s">
        <v>394</v>
      </c>
      <c r="D896" s="108" t="s">
        <v>317</v>
      </c>
      <c r="E896" s="108" t="s">
        <v>73</v>
      </c>
      <c r="F896" s="108" t="s">
        <v>492</v>
      </c>
      <c r="G896" s="108" t="s">
        <v>494</v>
      </c>
      <c r="H896" s="126">
        <v>83714893</v>
      </c>
      <c r="I896" s="108">
        <v>110176140</v>
      </c>
      <c r="J896" s="108" t="str">
        <f t="shared" si="59"/>
        <v>0110176140</v>
      </c>
      <c r="K896" s="304" t="str">
        <f t="shared" si="58"/>
        <v>60610040110176140310</v>
      </c>
      <c r="L896" s="17" t="str">
        <f>INDEX('реш СГД № 265'!$A:$N,MATCH('БА расх 2018 31 12 2018'!$K896,'реш СГД № 265'!$N:$N,0),3)</f>
        <v>Публичные нормативные социальные выплаты гражданам</v>
      </c>
      <c r="M896" s="16">
        <f t="shared" si="60"/>
        <v>1</v>
      </c>
    </row>
    <row r="897" spans="1:13" s="17" customFormat="1" ht="31.5">
      <c r="A897" s="14"/>
      <c r="B897" s="127" t="s">
        <v>495</v>
      </c>
      <c r="C897" s="109" t="s">
        <v>394</v>
      </c>
      <c r="D897" s="108" t="s">
        <v>317</v>
      </c>
      <c r="E897" s="108" t="s">
        <v>73</v>
      </c>
      <c r="F897" s="108" t="s">
        <v>492</v>
      </c>
      <c r="G897" s="108" t="s">
        <v>496</v>
      </c>
      <c r="H897" s="126">
        <v>83714893</v>
      </c>
      <c r="I897" s="108">
        <v>110176140</v>
      </c>
      <c r="J897" s="108" t="str">
        <f t="shared" si="59"/>
        <v>0110176140</v>
      </c>
      <c r="K897" s="304" t="str">
        <f t="shared" si="58"/>
        <v>60610040110176140313</v>
      </c>
      <c r="M897" s="16"/>
    </row>
    <row r="898" spans="1:13" s="17" customFormat="1" ht="31.5">
      <c r="A898" s="14" t="s">
        <v>80</v>
      </c>
      <c r="B898" s="132" t="s">
        <v>497</v>
      </c>
      <c r="C898" s="109" t="s">
        <v>394</v>
      </c>
      <c r="D898" s="108" t="s">
        <v>317</v>
      </c>
      <c r="E898" s="108" t="s">
        <v>73</v>
      </c>
      <c r="F898" s="108" t="s">
        <v>498</v>
      </c>
      <c r="G898" s="108" t="s">
        <v>9</v>
      </c>
      <c r="H898" s="126">
        <v>40486929.609999999</v>
      </c>
      <c r="I898" s="108">
        <v>110700000</v>
      </c>
      <c r="J898" s="108" t="str">
        <f t="shared" si="59"/>
        <v>0110700000</v>
      </c>
      <c r="K898" s="304" t="str">
        <f t="shared" si="58"/>
        <v>60610040110700000000</v>
      </c>
      <c r="L898" s="17" t="str">
        <f>INDEX('реш СГД № 265'!$A:$N,MATCH('БА расх 2018 31 12 2018'!$K898,'реш СГД № 265'!$N:$N,0),3)</f>
        <v>Основное мероприятие «Защита прав и законных интересов детей-сирот и детей, оставшихся без попечения родителей»</v>
      </c>
      <c r="M898" s="16">
        <f t="shared" si="60"/>
        <v>1</v>
      </c>
    </row>
    <row r="899" spans="1:13" s="17" customFormat="1" ht="31.5">
      <c r="A899" s="14"/>
      <c r="B899" s="132" t="s">
        <v>499</v>
      </c>
      <c r="C899" s="109" t="s">
        <v>394</v>
      </c>
      <c r="D899" s="108" t="s">
        <v>317</v>
      </c>
      <c r="E899" s="108" t="s">
        <v>73</v>
      </c>
      <c r="F899" s="108" t="s">
        <v>500</v>
      </c>
      <c r="G899" s="108" t="s">
        <v>9</v>
      </c>
      <c r="H899" s="126">
        <v>21802251.969999999</v>
      </c>
      <c r="I899" s="108">
        <v>110778110</v>
      </c>
      <c r="J899" s="108" t="str">
        <f t="shared" si="59"/>
        <v>0110778110</v>
      </c>
      <c r="K899" s="304" t="str">
        <f t="shared" si="58"/>
        <v>60610040110778110000</v>
      </c>
      <c r="L899" s="17" t="str">
        <f>INDEX('реш СГД № 265'!$A:$N,MATCH('БА расх 2018 31 12 2018'!$K899,'реш СГД № 265'!$N:$N,0),3)</f>
        <v>Расходы на выплату денежных средств на содержание ребенка опекуну (попечителю)</v>
      </c>
      <c r="M899" s="16">
        <f t="shared" si="60"/>
        <v>1</v>
      </c>
    </row>
    <row r="900" spans="1:13" s="17" customFormat="1" ht="31.5">
      <c r="A900" s="14"/>
      <c r="B900" s="132" t="s">
        <v>327</v>
      </c>
      <c r="C900" s="109" t="s">
        <v>394</v>
      </c>
      <c r="D900" s="108" t="s">
        <v>317</v>
      </c>
      <c r="E900" s="108" t="s">
        <v>73</v>
      </c>
      <c r="F900" s="108" t="s">
        <v>500</v>
      </c>
      <c r="G900" s="108" t="s">
        <v>328</v>
      </c>
      <c r="H900" s="126">
        <v>21802251.969999999</v>
      </c>
      <c r="I900" s="108">
        <v>110778110</v>
      </c>
      <c r="J900" s="108" t="str">
        <f t="shared" si="59"/>
        <v>0110778110</v>
      </c>
      <c r="K900" s="304" t="str">
        <f t="shared" si="58"/>
        <v>60610040110778110320</v>
      </c>
      <c r="L900" s="17" t="str">
        <f>INDEX('реш СГД № 265'!$A:$N,MATCH('БА расх 2018 31 12 2018'!$K900,'реш СГД № 265'!$N:$N,0),3)</f>
        <v>Социальные выплаты гражданам, кроме публичных нормативных социальных выплат</v>
      </c>
      <c r="M900" s="16">
        <f t="shared" si="60"/>
        <v>1</v>
      </c>
    </row>
    <row r="901" spans="1:13" s="17" customFormat="1" ht="31.5">
      <c r="A901" s="14"/>
      <c r="B901" s="127" t="s">
        <v>2248</v>
      </c>
      <c r="C901" s="109" t="s">
        <v>394</v>
      </c>
      <c r="D901" s="108" t="s">
        <v>317</v>
      </c>
      <c r="E901" s="108" t="s">
        <v>73</v>
      </c>
      <c r="F901" s="108" t="s">
        <v>500</v>
      </c>
      <c r="G901" s="108" t="s">
        <v>1856</v>
      </c>
      <c r="H901" s="126">
        <v>21802251.969999999</v>
      </c>
      <c r="I901" s="108">
        <v>110778110</v>
      </c>
      <c r="J901" s="108" t="str">
        <f t="shared" si="59"/>
        <v>0110778110</v>
      </c>
      <c r="K901" s="304" t="str">
        <f t="shared" si="58"/>
        <v>60610040110778110321</v>
      </c>
      <c r="M901" s="16"/>
    </row>
    <row r="902" spans="1:13" s="17" customFormat="1" ht="63">
      <c r="A902" s="14"/>
      <c r="B902" s="125" t="s">
        <v>503</v>
      </c>
      <c r="C902" s="109" t="s">
        <v>394</v>
      </c>
      <c r="D902" s="108" t="s">
        <v>317</v>
      </c>
      <c r="E902" s="108" t="s">
        <v>73</v>
      </c>
      <c r="F902" s="108" t="s">
        <v>504</v>
      </c>
      <c r="G902" s="108" t="s">
        <v>9</v>
      </c>
      <c r="H902" s="126">
        <v>1825365.48</v>
      </c>
      <c r="I902" s="108">
        <v>110778120</v>
      </c>
      <c r="J902" s="108" t="str">
        <f t="shared" si="59"/>
        <v>0110778120</v>
      </c>
      <c r="K902" s="304" t="str">
        <f t="shared" si="58"/>
        <v>60610040110778120000</v>
      </c>
      <c r="L902" s="17" t="str">
        <f>INDEX('реш СГД № 265'!$A:$N,MATCH('БА расх 2018 31 12 2018'!$K902,'реш СГД № 265'!$N:$N,0),3)</f>
        <v>Расходы на обеспечение бесплатного проезда детей-сирот и детей, оставшихся без попечения родителей, находящихся под опекой (попечительством), обучающихся в муниципальных образовательных учреждениях</v>
      </c>
      <c r="M902" s="16">
        <f t="shared" si="60"/>
        <v>1</v>
      </c>
    </row>
    <row r="903" spans="1:13" s="17" customFormat="1" ht="31.5">
      <c r="A903" s="14"/>
      <c r="B903" s="132" t="s">
        <v>327</v>
      </c>
      <c r="C903" s="109" t="s">
        <v>394</v>
      </c>
      <c r="D903" s="108" t="s">
        <v>317</v>
      </c>
      <c r="E903" s="108" t="s">
        <v>73</v>
      </c>
      <c r="F903" s="108" t="s">
        <v>504</v>
      </c>
      <c r="G903" s="108" t="s">
        <v>328</v>
      </c>
      <c r="H903" s="126">
        <v>1825365.48</v>
      </c>
      <c r="I903" s="108">
        <v>110778120</v>
      </c>
      <c r="J903" s="108" t="str">
        <f t="shared" si="59"/>
        <v>0110778120</v>
      </c>
      <c r="K903" s="304" t="str">
        <f t="shared" si="58"/>
        <v>60610040110778120320</v>
      </c>
      <c r="L903" s="17" t="str">
        <f>INDEX('реш СГД № 265'!$A:$N,MATCH('БА расх 2018 31 12 2018'!$K903,'реш СГД № 265'!$N:$N,0),3)</f>
        <v>Социальные выплаты гражданам, кроме публичных нормативных социальных выплат</v>
      </c>
      <c r="M903" s="16">
        <f t="shared" si="60"/>
        <v>1</v>
      </c>
    </row>
    <row r="904" spans="1:13" s="17" customFormat="1" ht="31.5">
      <c r="A904" s="14"/>
      <c r="B904" s="125" t="s">
        <v>501</v>
      </c>
      <c r="C904" s="109" t="s">
        <v>394</v>
      </c>
      <c r="D904" s="108" t="s">
        <v>317</v>
      </c>
      <c r="E904" s="108" t="s">
        <v>73</v>
      </c>
      <c r="F904" s="108" t="s">
        <v>504</v>
      </c>
      <c r="G904" s="108" t="s">
        <v>502</v>
      </c>
      <c r="H904" s="126">
        <v>1825365.48</v>
      </c>
      <c r="I904" s="108">
        <v>110778120</v>
      </c>
      <c r="J904" s="108" t="str">
        <f t="shared" si="59"/>
        <v>0110778120</v>
      </c>
      <c r="K904" s="304" t="str">
        <f t="shared" si="58"/>
        <v>60610040110778120323</v>
      </c>
      <c r="M904" s="16"/>
    </row>
    <row r="905" spans="1:13" s="17" customFormat="1" ht="63">
      <c r="A905" s="14"/>
      <c r="B905" s="125" t="s">
        <v>505</v>
      </c>
      <c r="C905" s="109" t="s">
        <v>394</v>
      </c>
      <c r="D905" s="108" t="s">
        <v>317</v>
      </c>
      <c r="E905" s="108" t="s">
        <v>73</v>
      </c>
      <c r="F905" s="108" t="s">
        <v>506</v>
      </c>
      <c r="G905" s="108" t="s">
        <v>9</v>
      </c>
      <c r="H905" s="126">
        <v>13709312.16</v>
      </c>
      <c r="I905" s="108">
        <v>110778130</v>
      </c>
      <c r="J905" s="108" t="str">
        <f t="shared" si="59"/>
        <v>0110778130</v>
      </c>
      <c r="K905" s="304" t="str">
        <f t="shared" si="58"/>
        <v>60610040110778130000</v>
      </c>
      <c r="L905" s="17" t="str">
        <f>INDEX('реш СГД № 265'!$A:$N,MATCH('БА расх 2018 31 12 2018'!$K905,'реш СГД № 265'!$N:$N,0),3)</f>
        <v>Расходы на выплату на содержание детей-сирот и детей, оставшихся без попечения родителей, в приемных семьях, а также на вознаграждение, причитающееся приемным родителям</v>
      </c>
      <c r="M905" s="16">
        <f t="shared" si="60"/>
        <v>1</v>
      </c>
    </row>
    <row r="906" spans="1:13" s="17" customFormat="1" ht="31.5">
      <c r="A906" s="14"/>
      <c r="B906" s="132" t="s">
        <v>327</v>
      </c>
      <c r="C906" s="109" t="s">
        <v>394</v>
      </c>
      <c r="D906" s="108" t="s">
        <v>317</v>
      </c>
      <c r="E906" s="108" t="s">
        <v>73</v>
      </c>
      <c r="F906" s="108" t="s">
        <v>506</v>
      </c>
      <c r="G906" s="108" t="s">
        <v>328</v>
      </c>
      <c r="H906" s="126">
        <v>13709312.16</v>
      </c>
      <c r="I906" s="108">
        <v>110778130</v>
      </c>
      <c r="J906" s="108" t="str">
        <f t="shared" si="59"/>
        <v>0110778130</v>
      </c>
      <c r="K906" s="304" t="str">
        <f t="shared" si="58"/>
        <v>60610040110778130320</v>
      </c>
      <c r="L906" s="17" t="str">
        <f>INDEX('реш СГД № 265'!$A:$N,MATCH('БА расх 2018 31 12 2018'!$K906,'реш СГД № 265'!$N:$N,0),3)</f>
        <v>Социальные выплаты гражданам, кроме публичных нормативных социальных выплат</v>
      </c>
      <c r="M906" s="16">
        <f t="shared" si="60"/>
        <v>1</v>
      </c>
    </row>
    <row r="907" spans="1:13" s="17" customFormat="1" ht="31.5">
      <c r="A907" s="14"/>
      <c r="B907" s="125" t="s">
        <v>501</v>
      </c>
      <c r="C907" s="109" t="s">
        <v>394</v>
      </c>
      <c r="D907" s="108" t="s">
        <v>317</v>
      </c>
      <c r="E907" s="108" t="s">
        <v>73</v>
      </c>
      <c r="F907" s="108" t="s">
        <v>506</v>
      </c>
      <c r="G907" s="108" t="s">
        <v>502</v>
      </c>
      <c r="H907" s="126">
        <v>13709312.16</v>
      </c>
      <c r="I907" s="108">
        <v>110778130</v>
      </c>
      <c r="J907" s="108" t="str">
        <f t="shared" si="59"/>
        <v>0110778130</v>
      </c>
      <c r="K907" s="304" t="str">
        <f t="shared" si="58"/>
        <v>60610040110778130323</v>
      </c>
      <c r="M907" s="16"/>
    </row>
    <row r="908" spans="1:13" s="17" customFormat="1" ht="31.5">
      <c r="A908" s="14"/>
      <c r="B908" s="125" t="s">
        <v>507</v>
      </c>
      <c r="C908" s="109" t="s">
        <v>394</v>
      </c>
      <c r="D908" s="108" t="s">
        <v>317</v>
      </c>
      <c r="E908" s="108" t="s">
        <v>73</v>
      </c>
      <c r="F908" s="108" t="s">
        <v>508</v>
      </c>
      <c r="G908" s="108" t="s">
        <v>9</v>
      </c>
      <c r="H908" s="126">
        <v>3150000</v>
      </c>
      <c r="I908" s="108">
        <v>110778140</v>
      </c>
      <c r="J908" s="108" t="str">
        <f t="shared" si="59"/>
        <v>0110778140</v>
      </c>
      <c r="K908" s="304" t="str">
        <f t="shared" si="58"/>
        <v>60610040110778140000</v>
      </c>
      <c r="L908" s="17" t="str">
        <f>INDEX('реш СГД № 265'!$A:$N,MATCH('БА расх 2018 31 12 2018'!$K908,'реш СГД № 265'!$N:$N,0),3)</f>
        <v>Расходы на выплату единовременного пособия усыновителям</v>
      </c>
      <c r="M908" s="16">
        <f t="shared" si="60"/>
        <v>1</v>
      </c>
    </row>
    <row r="909" spans="1:13" s="17" customFormat="1" ht="31.5">
      <c r="A909" s="14"/>
      <c r="B909" s="132" t="s">
        <v>327</v>
      </c>
      <c r="C909" s="109" t="s">
        <v>394</v>
      </c>
      <c r="D909" s="108" t="s">
        <v>317</v>
      </c>
      <c r="E909" s="108" t="s">
        <v>73</v>
      </c>
      <c r="F909" s="108" t="s">
        <v>508</v>
      </c>
      <c r="G909" s="108" t="s">
        <v>328</v>
      </c>
      <c r="H909" s="126">
        <v>3150000</v>
      </c>
      <c r="I909" s="108">
        <v>110778140</v>
      </c>
      <c r="J909" s="108" t="str">
        <f t="shared" si="59"/>
        <v>0110778140</v>
      </c>
      <c r="K909" s="304" t="str">
        <f t="shared" si="58"/>
        <v>60610040110778140320</v>
      </c>
      <c r="L909" s="17" t="str">
        <f>INDEX('реш СГД № 265'!$A:$N,MATCH('БА расх 2018 31 12 2018'!$K909,'реш СГД № 265'!$N:$N,0),3)</f>
        <v>Социальные выплаты гражданам, кроме публичных нормативных социальных выплат</v>
      </c>
      <c r="M909" s="16">
        <f t="shared" si="60"/>
        <v>1</v>
      </c>
    </row>
    <row r="910" spans="1:13" s="24" customFormat="1" ht="31.5">
      <c r="A910" s="21"/>
      <c r="B910" s="125" t="s">
        <v>501</v>
      </c>
      <c r="C910" s="109" t="s">
        <v>394</v>
      </c>
      <c r="D910" s="108" t="s">
        <v>317</v>
      </c>
      <c r="E910" s="108" t="s">
        <v>73</v>
      </c>
      <c r="F910" s="108" t="s">
        <v>508</v>
      </c>
      <c r="G910" s="108" t="s">
        <v>502</v>
      </c>
      <c r="H910" s="126">
        <v>3150000</v>
      </c>
      <c r="I910" s="108">
        <v>110778140</v>
      </c>
      <c r="J910" s="108" t="str">
        <f t="shared" si="59"/>
        <v>0110778140</v>
      </c>
      <c r="K910" s="304" t="str">
        <f t="shared" si="58"/>
        <v>60610040110778140323</v>
      </c>
      <c r="L910" s="17"/>
      <c r="M910" s="16"/>
    </row>
    <row r="911" spans="1:13" s="17" customFormat="1" ht="15.75">
      <c r="A911" s="14"/>
      <c r="B911" s="132"/>
      <c r="C911" s="109"/>
      <c r="D911" s="108"/>
      <c r="E911" s="108"/>
      <c r="F911" s="108"/>
      <c r="G911" s="108"/>
      <c r="H911" s="126"/>
      <c r="I911" s="108"/>
      <c r="J911" s="108" t="str">
        <f t="shared" si="59"/>
        <v>0000000000</v>
      </c>
      <c r="K911" s="304" t="str">
        <f t="shared" si="58"/>
        <v>0000000000</v>
      </c>
      <c r="L911" s="17">
        <f>INDEX('реш СГД № 265'!$A:$N,MATCH('БА расх 2018 31 12 2018'!$K911,'реш СГД № 265'!$N:$N,0),3)</f>
        <v>0</v>
      </c>
      <c r="M911" s="16">
        <f t="shared" si="60"/>
        <v>1</v>
      </c>
    </row>
    <row r="912" spans="1:13" s="16" customFormat="1" ht="31.5">
      <c r="A912" s="14"/>
      <c r="B912" s="67" t="s">
        <v>509</v>
      </c>
      <c r="C912" s="116" t="s">
        <v>510</v>
      </c>
      <c r="D912" s="69" t="s">
        <v>7</v>
      </c>
      <c r="E912" s="69" t="s">
        <v>7</v>
      </c>
      <c r="F912" s="69" t="s">
        <v>8</v>
      </c>
      <c r="G912" s="69" t="s">
        <v>9</v>
      </c>
      <c r="H912" s="70">
        <v>419927036.53000009</v>
      </c>
      <c r="I912" s="69">
        <v>0</v>
      </c>
      <c r="J912" s="69" t="str">
        <f t="shared" si="59"/>
        <v>0000000000</v>
      </c>
      <c r="K912" s="304" t="str">
        <f t="shared" si="58"/>
        <v>60700000000000000000</v>
      </c>
      <c r="L912" s="132" t="str">
        <f>INDEX('реш СГД № 265'!$A:$N,MATCH('БА расх 2018 31 12 2018'!$K912,'реш СГД № 265'!$N:$N,0),3)</f>
        <v xml:space="preserve">Комитет культуры и молодежной политики администрации города Ставрополя
</v>
      </c>
      <c r="M912" s="17">
        <f t="shared" si="60"/>
        <v>0</v>
      </c>
    </row>
    <row r="913" spans="1:13" s="16" customFormat="1" ht="15.75">
      <c r="A913" s="14"/>
      <c r="B913" s="117" t="s">
        <v>10</v>
      </c>
      <c r="C913" s="118" t="s">
        <v>510</v>
      </c>
      <c r="D913" s="119" t="s">
        <v>11</v>
      </c>
      <c r="E913" s="119" t="s">
        <v>7</v>
      </c>
      <c r="F913" s="119" t="s">
        <v>8</v>
      </c>
      <c r="G913" s="119" t="s">
        <v>9</v>
      </c>
      <c r="H913" s="120">
        <v>287230</v>
      </c>
      <c r="I913" s="119">
        <v>0</v>
      </c>
      <c r="J913" s="119" t="str">
        <f t="shared" si="59"/>
        <v>0000000000</v>
      </c>
      <c r="K913" s="304" t="str">
        <f t="shared" si="58"/>
        <v>60701000000000000000</v>
      </c>
      <c r="L913" s="17" t="str">
        <f>INDEX('реш СГД № 265'!$A:$N,MATCH('БА расх 2018 31 12 2018'!$K913,'реш СГД № 265'!$N:$N,0),3)</f>
        <v>Общегосударственные вопросы</v>
      </c>
      <c r="M913" s="16">
        <f t="shared" si="60"/>
        <v>1</v>
      </c>
    </row>
    <row r="914" spans="1:13" s="16" customFormat="1" ht="15.75">
      <c r="A914" s="14"/>
      <c r="B914" s="121" t="s">
        <v>50</v>
      </c>
      <c r="C914" s="122" t="s">
        <v>510</v>
      </c>
      <c r="D914" s="123" t="s">
        <v>11</v>
      </c>
      <c r="E914" s="123" t="s">
        <v>51</v>
      </c>
      <c r="F914" s="123" t="s">
        <v>8</v>
      </c>
      <c r="G914" s="123" t="s">
        <v>9</v>
      </c>
      <c r="H914" s="124">
        <v>287230</v>
      </c>
      <c r="I914" s="123">
        <v>0</v>
      </c>
      <c r="J914" s="123" t="str">
        <f t="shared" si="59"/>
        <v>0000000000</v>
      </c>
      <c r="K914" s="304" t="str">
        <f t="shared" si="58"/>
        <v>60701130000000000000</v>
      </c>
      <c r="L914" s="17" t="str">
        <f>INDEX('реш СГД № 265'!$A:$N,MATCH('БА расх 2018 31 12 2018'!$K914,'реш СГД № 265'!$N:$N,0),3)</f>
        <v>Другие общегосударственные вопросы</v>
      </c>
      <c r="M914" s="16">
        <f t="shared" si="60"/>
        <v>1</v>
      </c>
    </row>
    <row r="915" spans="1:13" s="16" customFormat="1" ht="47.25">
      <c r="A915" s="14"/>
      <c r="B915" s="125" t="s">
        <v>87</v>
      </c>
      <c r="C915" s="109" t="s">
        <v>510</v>
      </c>
      <c r="D915" s="108" t="s">
        <v>11</v>
      </c>
      <c r="E915" s="108" t="s">
        <v>51</v>
      </c>
      <c r="F915" s="108" t="s">
        <v>88</v>
      </c>
      <c r="G915" s="108" t="s">
        <v>9</v>
      </c>
      <c r="H915" s="126">
        <v>287230</v>
      </c>
      <c r="I915" s="108">
        <v>9800000000</v>
      </c>
      <c r="J915" s="108" t="str">
        <f t="shared" si="59"/>
        <v>9800000000</v>
      </c>
      <c r="K915" s="304" t="str">
        <f t="shared" si="58"/>
        <v>60701139800000000000</v>
      </c>
      <c r="L915" s="17" t="str">
        <f>INDEX('реш СГД № 265'!$A:$N,MATCH('БА расх 2018 31 12 2018'!$K915,'реш СГД № 265'!$N:$N,0),3)</f>
        <v>Реализация иных функций Ставропольской городской Думы, администрации города Ставрополя, ее отраслевых (функциональных) и территориальных органов</v>
      </c>
      <c r="M915" s="16">
        <f t="shared" si="60"/>
        <v>1</v>
      </c>
    </row>
    <row r="916" spans="1:13" s="16" customFormat="1" ht="15.75">
      <c r="A916" s="14"/>
      <c r="B916" s="125" t="s">
        <v>89</v>
      </c>
      <c r="C916" s="109" t="s">
        <v>510</v>
      </c>
      <c r="D916" s="108" t="s">
        <v>11</v>
      </c>
      <c r="E916" s="108" t="s">
        <v>51</v>
      </c>
      <c r="F916" s="108" t="s">
        <v>90</v>
      </c>
      <c r="G916" s="108" t="s">
        <v>9</v>
      </c>
      <c r="H916" s="126">
        <v>287230</v>
      </c>
      <c r="I916" s="108">
        <v>9810000000</v>
      </c>
      <c r="J916" s="108" t="str">
        <f t="shared" si="59"/>
        <v>9810000000</v>
      </c>
      <c r="K916" s="304" t="str">
        <f t="shared" si="58"/>
        <v>60701139810000000000</v>
      </c>
      <c r="L916" s="17" t="str">
        <f>INDEX('реш СГД № 265'!$A:$N,MATCH('БА расх 2018 31 12 2018'!$K916,'реш СГД № 265'!$N:$N,0),3)</f>
        <v>Иные непрограммные мероприятия</v>
      </c>
      <c r="M916" s="16">
        <f t="shared" si="60"/>
        <v>1</v>
      </c>
    </row>
    <row r="917" spans="1:13" s="16" customFormat="1" ht="31.5">
      <c r="A917" s="14"/>
      <c r="B917" s="125" t="s">
        <v>511</v>
      </c>
      <c r="C917" s="109" t="s">
        <v>510</v>
      </c>
      <c r="D917" s="108" t="s">
        <v>11</v>
      </c>
      <c r="E917" s="108" t="s">
        <v>51</v>
      </c>
      <c r="F917" s="108" t="s">
        <v>512</v>
      </c>
      <c r="G917" s="108" t="s">
        <v>9</v>
      </c>
      <c r="H917" s="126">
        <v>287230</v>
      </c>
      <c r="I917" s="108">
        <v>9810020110</v>
      </c>
      <c r="J917" s="108" t="str">
        <f t="shared" si="59"/>
        <v>9810020110</v>
      </c>
      <c r="K917" s="304" t="str">
        <f t="shared" si="58"/>
        <v>60701139810020110000</v>
      </c>
      <c r="L917" s="17" t="str">
        <f>INDEX('реш СГД № 265'!$A:$N,MATCH('БА расх 2018 31 12 2018'!$K917,'реш СГД № 265'!$N:$N,0),3)</f>
        <v>Расходы на реализацию проекта «Здоровые города» в городе Ставрополе</v>
      </c>
      <c r="M917" s="16">
        <f t="shared" si="60"/>
        <v>1</v>
      </c>
    </row>
    <row r="918" spans="1:13" s="16" customFormat="1" ht="15.75">
      <c r="A918" s="14"/>
      <c r="B918" s="125" t="s">
        <v>513</v>
      </c>
      <c r="C918" s="109" t="s">
        <v>510</v>
      </c>
      <c r="D918" s="108" t="s">
        <v>11</v>
      </c>
      <c r="E918" s="108" t="s">
        <v>51</v>
      </c>
      <c r="F918" s="108" t="s">
        <v>512</v>
      </c>
      <c r="G918" s="108" t="s">
        <v>514</v>
      </c>
      <c r="H918" s="126">
        <v>26400</v>
      </c>
      <c r="I918" s="108">
        <v>9810020110</v>
      </c>
      <c r="J918" s="108" t="str">
        <f t="shared" si="59"/>
        <v>9810020110</v>
      </c>
      <c r="K918" s="304" t="str">
        <f t="shared" si="58"/>
        <v>60701139810020110360</v>
      </c>
      <c r="L918" s="17"/>
    </row>
    <row r="919" spans="1:13" s="16" customFormat="1" ht="15.75">
      <c r="A919" s="14"/>
      <c r="B919" s="125" t="s">
        <v>32</v>
      </c>
      <c r="C919" s="109" t="s">
        <v>510</v>
      </c>
      <c r="D919" s="108" t="s">
        <v>11</v>
      </c>
      <c r="E919" s="108" t="s">
        <v>51</v>
      </c>
      <c r="F919" s="108" t="s">
        <v>512</v>
      </c>
      <c r="G919" s="108" t="s">
        <v>33</v>
      </c>
      <c r="H919" s="126">
        <v>42000</v>
      </c>
      <c r="I919" s="108">
        <v>9810020110</v>
      </c>
      <c r="J919" s="108" t="str">
        <f t="shared" si="59"/>
        <v>9810020110</v>
      </c>
      <c r="K919" s="304" t="str">
        <f t="shared" si="58"/>
        <v>60701139810020110850</v>
      </c>
      <c r="L919" s="17" t="str">
        <f>INDEX('реш СГД № 265'!$A:$N,MATCH('БА расх 2018 31 12 2018'!$K919,'реш СГД № 265'!$N:$N,0),3)</f>
        <v>Уплата налогов, сборов и иных платежей</v>
      </c>
      <c r="M919" s="16">
        <f t="shared" si="60"/>
        <v>1</v>
      </c>
    </row>
    <row r="920" spans="1:13" s="23" customFormat="1" ht="15.75">
      <c r="A920" s="21"/>
      <c r="B920" s="127" t="s">
        <v>77</v>
      </c>
      <c r="C920" s="109" t="s">
        <v>510</v>
      </c>
      <c r="D920" s="108" t="s">
        <v>11</v>
      </c>
      <c r="E920" s="108" t="s">
        <v>51</v>
      </c>
      <c r="F920" s="108" t="s">
        <v>512</v>
      </c>
      <c r="G920" s="108" t="s">
        <v>78</v>
      </c>
      <c r="H920" s="126">
        <v>42000</v>
      </c>
      <c r="I920" s="108">
        <v>9810020110</v>
      </c>
      <c r="J920" s="108" t="str">
        <f t="shared" si="59"/>
        <v>9810020110</v>
      </c>
      <c r="K920" s="304" t="str">
        <f t="shared" si="58"/>
        <v>60701139810020110853</v>
      </c>
      <c r="L920" s="17"/>
      <c r="M920" s="16"/>
    </row>
    <row r="921" spans="1:13" s="16" customFormat="1" ht="31.5">
      <c r="A921" s="14"/>
      <c r="B921" s="125" t="s">
        <v>515</v>
      </c>
      <c r="C921" s="109" t="s">
        <v>510</v>
      </c>
      <c r="D921" s="108" t="s">
        <v>11</v>
      </c>
      <c r="E921" s="108" t="s">
        <v>51</v>
      </c>
      <c r="F921" s="108" t="s">
        <v>512</v>
      </c>
      <c r="G921" s="108" t="s">
        <v>516</v>
      </c>
      <c r="H921" s="126">
        <v>218830</v>
      </c>
      <c r="I921" s="108">
        <v>9810020110</v>
      </c>
      <c r="J921" s="108" t="str">
        <f t="shared" si="59"/>
        <v>9810020110</v>
      </c>
      <c r="K921" s="304" t="str">
        <f t="shared" si="58"/>
        <v>60701139810020110860</v>
      </c>
      <c r="L921" s="17" t="str">
        <f>INDEX('реш СГД № 265'!$A:$N,MATCH('БА расх 2018 31 12 2018'!$K921,'реш СГД № 265'!$N:$N,0),3)</f>
        <v>Предоставление платежей, взносов, безвозмездных перечислений субъектам международного права</v>
      </c>
      <c r="M921" s="16">
        <f t="shared" si="60"/>
        <v>1</v>
      </c>
    </row>
    <row r="922" spans="1:13" s="16" customFormat="1" ht="15.75">
      <c r="A922" s="14"/>
      <c r="B922" s="127" t="s">
        <v>517</v>
      </c>
      <c r="C922" s="109" t="s">
        <v>510</v>
      </c>
      <c r="D922" s="108" t="s">
        <v>11</v>
      </c>
      <c r="E922" s="108" t="s">
        <v>51</v>
      </c>
      <c r="F922" s="108" t="s">
        <v>512</v>
      </c>
      <c r="G922" s="108" t="s">
        <v>518</v>
      </c>
      <c r="H922" s="126">
        <v>218830</v>
      </c>
      <c r="I922" s="108">
        <v>9810020110</v>
      </c>
      <c r="J922" s="108" t="str">
        <f t="shared" si="59"/>
        <v>9810020110</v>
      </c>
      <c r="K922" s="304" t="str">
        <f t="shared" si="58"/>
        <v>60701139810020110862</v>
      </c>
      <c r="L922" s="17"/>
    </row>
    <row r="923" spans="1:13" s="16" customFormat="1" ht="15.75">
      <c r="A923" s="14"/>
      <c r="B923" s="117" t="s">
        <v>228</v>
      </c>
      <c r="C923" s="118" t="s">
        <v>510</v>
      </c>
      <c r="D923" s="119" t="s">
        <v>229</v>
      </c>
      <c r="E923" s="119" t="s">
        <v>7</v>
      </c>
      <c r="F923" s="119" t="s">
        <v>8</v>
      </c>
      <c r="G923" s="119" t="s">
        <v>9</v>
      </c>
      <c r="H923" s="120">
        <v>183010054.71000004</v>
      </c>
      <c r="I923" s="119">
        <v>0</v>
      </c>
      <c r="J923" s="119" t="str">
        <f t="shared" si="59"/>
        <v>0000000000</v>
      </c>
      <c r="K923" s="304" t="str">
        <f t="shared" si="58"/>
        <v>60707000000000000000</v>
      </c>
      <c r="L923" s="17" t="str">
        <f>INDEX('реш СГД № 265'!$A:$N,MATCH('БА расх 2018 31 12 2018'!$K923,'реш СГД № 265'!$N:$N,0),3)</f>
        <v>Образование</v>
      </c>
      <c r="M923" s="16">
        <f t="shared" si="60"/>
        <v>1</v>
      </c>
    </row>
    <row r="924" spans="1:13" s="16" customFormat="1" ht="15.75">
      <c r="A924" s="14"/>
      <c r="B924" s="121" t="s">
        <v>458</v>
      </c>
      <c r="C924" s="122" t="s">
        <v>510</v>
      </c>
      <c r="D924" s="123" t="s">
        <v>229</v>
      </c>
      <c r="E924" s="123" t="s">
        <v>13</v>
      </c>
      <c r="F924" s="123" t="s">
        <v>8</v>
      </c>
      <c r="G924" s="123" t="s">
        <v>9</v>
      </c>
      <c r="H924" s="124">
        <v>148813259.07000002</v>
      </c>
      <c r="I924" s="123">
        <v>0</v>
      </c>
      <c r="J924" s="123" t="str">
        <f t="shared" si="59"/>
        <v>0000000000</v>
      </c>
      <c r="K924" s="304" t="str">
        <f t="shared" si="58"/>
        <v>60707030000000000000</v>
      </c>
      <c r="L924" s="17" t="str">
        <f>INDEX('реш СГД № 265'!$A:$N,MATCH('БА расх 2018 31 12 2018'!$K924,'реш СГД № 265'!$N:$N,0),3)</f>
        <v>Дополнительное образование детей</v>
      </c>
      <c r="M924" s="16">
        <f t="shared" si="60"/>
        <v>1</v>
      </c>
    </row>
    <row r="925" spans="1:13" s="16" customFormat="1" ht="15.75">
      <c r="A925" s="14"/>
      <c r="B925" s="125" t="s">
        <v>240</v>
      </c>
      <c r="C925" s="109" t="s">
        <v>510</v>
      </c>
      <c r="D925" s="108" t="s">
        <v>229</v>
      </c>
      <c r="E925" s="108" t="s">
        <v>13</v>
      </c>
      <c r="F925" s="108" t="s">
        <v>241</v>
      </c>
      <c r="G925" s="108" t="s">
        <v>9</v>
      </c>
      <c r="H925" s="126">
        <v>139859139.35000002</v>
      </c>
      <c r="I925" s="108">
        <v>700000000</v>
      </c>
      <c r="J925" s="108" t="str">
        <f t="shared" si="59"/>
        <v>0700000000</v>
      </c>
      <c r="K925" s="304" t="str">
        <f t="shared" si="58"/>
        <v>60707030700000000000</v>
      </c>
      <c r="L925" s="17" t="str">
        <f>INDEX('реш СГД № 265'!$A:$N,MATCH('БА расх 2018 31 12 2018'!$K925,'реш СГД № 265'!$N:$N,0),3)</f>
        <v>Муниципальная программа «Культура города Ставрополя»</v>
      </c>
      <c r="M925" s="16">
        <f t="shared" si="60"/>
        <v>1</v>
      </c>
    </row>
    <row r="926" spans="1:13" s="16" customFormat="1" ht="63">
      <c r="A926" s="14"/>
      <c r="B926" s="125" t="s">
        <v>242</v>
      </c>
      <c r="C926" s="109" t="s">
        <v>510</v>
      </c>
      <c r="D926" s="108" t="s">
        <v>229</v>
      </c>
      <c r="E926" s="108" t="s">
        <v>13</v>
      </c>
      <c r="F926" s="108" t="s">
        <v>243</v>
      </c>
      <c r="G926" s="108" t="s">
        <v>9</v>
      </c>
      <c r="H926" s="126">
        <v>361500</v>
      </c>
      <c r="I926" s="108">
        <v>710000000</v>
      </c>
      <c r="J926" s="108" t="str">
        <f t="shared" si="59"/>
        <v>0710000000</v>
      </c>
      <c r="K926" s="304" t="str">
        <f t="shared" si="58"/>
        <v>60707030710000000000</v>
      </c>
      <c r="L926" s="17" t="str">
        <f>INDEX('реш СГД № 265'!$A:$N,MATCH('БА расх 2018 31 12 2018'!$K926,'реш СГД № 265'!$N:$N,0),3)</f>
        <v xml:space="preserve">Подпрограмма «Проведение городских и краевых культурно-массовых мероприятий, посвященных памятным, знаменательным и юбилейным датам в истории России, Ставропольского края, города Ставрополя» </v>
      </c>
      <c r="M926" s="16">
        <f t="shared" si="60"/>
        <v>1</v>
      </c>
    </row>
    <row r="927" spans="1:13" s="16" customFormat="1" ht="94.5">
      <c r="A927" s="14"/>
      <c r="B927" s="125" t="s">
        <v>244</v>
      </c>
      <c r="C927" s="109" t="s">
        <v>510</v>
      </c>
      <c r="D927" s="108" t="s">
        <v>229</v>
      </c>
      <c r="E927" s="108" t="s">
        <v>13</v>
      </c>
      <c r="F927" s="108" t="s">
        <v>245</v>
      </c>
      <c r="G927" s="108" t="s">
        <v>9</v>
      </c>
      <c r="H927" s="126">
        <v>361500</v>
      </c>
      <c r="I927" s="108">
        <v>710100000</v>
      </c>
      <c r="J927" s="108" t="str">
        <f t="shared" si="59"/>
        <v>0710100000</v>
      </c>
      <c r="K927" s="304" t="str">
        <f t="shared" si="58"/>
        <v>60707030710100000000</v>
      </c>
      <c r="L927" s="17" t="str">
        <f>INDEX('реш СГД № 265'!$A:$N,MATCH('БА расх 2018 31 12 2018'!$K927,'реш СГД № 265'!$N:$N,0),3)</f>
        <v>Основное мероприятие «Обеспечение доступности к культурным ценностям и права на участие в культурной жизни для всех групп населения города Ставрополя, популяризация объектов культурного наследия города Ставрополя, формирование имиджа города Ставрополя как культурного центра Ставропольского края»</v>
      </c>
      <c r="M927" s="16">
        <f t="shared" si="60"/>
        <v>1</v>
      </c>
    </row>
    <row r="928" spans="1:13" s="16" customFormat="1" ht="31.5">
      <c r="A928" s="14"/>
      <c r="B928" s="125" t="s">
        <v>246</v>
      </c>
      <c r="C928" s="109" t="s">
        <v>510</v>
      </c>
      <c r="D928" s="108" t="s">
        <v>229</v>
      </c>
      <c r="E928" s="108" t="s">
        <v>13</v>
      </c>
      <c r="F928" s="108" t="s">
        <v>247</v>
      </c>
      <c r="G928" s="108" t="s">
        <v>9</v>
      </c>
      <c r="H928" s="126">
        <v>361500</v>
      </c>
      <c r="I928" s="108">
        <v>710120060</v>
      </c>
      <c r="J928" s="108" t="str">
        <f t="shared" si="59"/>
        <v>0710120060</v>
      </c>
      <c r="K928" s="304" t="str">
        <f t="shared" si="58"/>
        <v>60707030710120060000</v>
      </c>
      <c r="L928" s="17" t="str">
        <f>INDEX('реш СГД № 265'!$A:$N,MATCH('БА расх 2018 31 12 2018'!$K928,'реш СГД № 265'!$N:$N,0),3)</f>
        <v>Расходы на проведение культурно-массовых мероприятий в городе Ставрополе</v>
      </c>
      <c r="M928" s="16">
        <f t="shared" si="60"/>
        <v>1</v>
      </c>
    </row>
    <row r="929" spans="1:13" s="16" customFormat="1" ht="15.75">
      <c r="A929" s="14"/>
      <c r="B929" s="132" t="s">
        <v>403</v>
      </c>
      <c r="C929" s="109" t="s">
        <v>510</v>
      </c>
      <c r="D929" s="108" t="s">
        <v>229</v>
      </c>
      <c r="E929" s="108" t="s">
        <v>13</v>
      </c>
      <c r="F929" s="108" t="s">
        <v>247</v>
      </c>
      <c r="G929" s="108" t="s">
        <v>404</v>
      </c>
      <c r="H929" s="126">
        <v>296500</v>
      </c>
      <c r="I929" s="108">
        <v>710120060</v>
      </c>
      <c r="J929" s="108" t="str">
        <f t="shared" si="59"/>
        <v>0710120060</v>
      </c>
      <c r="K929" s="304" t="str">
        <f t="shared" si="58"/>
        <v>60707030710120060610</v>
      </c>
      <c r="L929" s="17" t="str">
        <f>INDEX('реш СГД № 265'!$A:$N,MATCH('БА расх 2018 31 12 2018'!$K929,'реш СГД № 265'!$N:$N,0),3)</f>
        <v>Субсидии бюджетным учреждениям</v>
      </c>
      <c r="M929" s="16">
        <f t="shared" si="60"/>
        <v>1</v>
      </c>
    </row>
    <row r="930" spans="1:13" s="23" customFormat="1" ht="63">
      <c r="A930" s="21"/>
      <c r="B930" s="127" t="s">
        <v>405</v>
      </c>
      <c r="C930" s="109" t="s">
        <v>510</v>
      </c>
      <c r="D930" s="108" t="s">
        <v>229</v>
      </c>
      <c r="E930" s="108" t="s">
        <v>13</v>
      </c>
      <c r="F930" s="108" t="s">
        <v>247</v>
      </c>
      <c r="G930" s="108" t="s">
        <v>406</v>
      </c>
      <c r="H930" s="126">
        <v>296500</v>
      </c>
      <c r="I930" s="108">
        <v>710120060</v>
      </c>
      <c r="J930" s="108" t="str">
        <f t="shared" si="59"/>
        <v>0710120060</v>
      </c>
      <c r="K930" s="304" t="str">
        <f t="shared" si="58"/>
        <v>60707030710120060611</v>
      </c>
      <c r="L930" s="17"/>
      <c r="M930" s="16"/>
    </row>
    <row r="931" spans="1:13" s="16" customFormat="1" ht="15.75">
      <c r="A931" s="14"/>
      <c r="B931" s="140" t="s">
        <v>409</v>
      </c>
      <c r="C931" s="109" t="s">
        <v>510</v>
      </c>
      <c r="D931" s="108" t="s">
        <v>229</v>
      </c>
      <c r="E931" s="108" t="s">
        <v>13</v>
      </c>
      <c r="F931" s="108" t="s">
        <v>247</v>
      </c>
      <c r="G931" s="108" t="s">
        <v>410</v>
      </c>
      <c r="H931" s="126">
        <v>65000</v>
      </c>
      <c r="I931" s="108">
        <v>710120060</v>
      </c>
      <c r="J931" s="108" t="str">
        <f t="shared" si="59"/>
        <v>0710120060</v>
      </c>
      <c r="K931" s="304" t="str">
        <f t="shared" si="58"/>
        <v>60707030710120060620</v>
      </c>
      <c r="L931" s="17" t="str">
        <f>INDEX('реш СГД № 265'!$A:$N,MATCH('БА расх 2018 31 12 2018'!$K931,'реш СГД № 265'!$N:$N,0),3)</f>
        <v>Субсидии автономным учреждениям</v>
      </c>
      <c r="M931" s="16">
        <f t="shared" si="60"/>
        <v>1</v>
      </c>
    </row>
    <row r="932" spans="1:13" s="23" customFormat="1" ht="63">
      <c r="A932" s="21"/>
      <c r="B932" s="127" t="s">
        <v>411</v>
      </c>
      <c r="C932" s="109" t="s">
        <v>510</v>
      </c>
      <c r="D932" s="108" t="s">
        <v>229</v>
      </c>
      <c r="E932" s="108" t="s">
        <v>13</v>
      </c>
      <c r="F932" s="108" t="s">
        <v>247</v>
      </c>
      <c r="G932" s="108" t="s">
        <v>412</v>
      </c>
      <c r="H932" s="126">
        <v>65000</v>
      </c>
      <c r="I932" s="108">
        <v>710120060</v>
      </c>
      <c r="J932" s="108" t="str">
        <f t="shared" si="59"/>
        <v>0710120060</v>
      </c>
      <c r="K932" s="304" t="str">
        <f t="shared" si="58"/>
        <v>60707030710120060621</v>
      </c>
      <c r="L932" s="17"/>
      <c r="M932" s="16"/>
    </row>
    <row r="933" spans="1:13" s="16" customFormat="1" ht="15.75">
      <c r="A933" s="14"/>
      <c r="B933" s="125" t="s">
        <v>519</v>
      </c>
      <c r="C933" s="109" t="s">
        <v>510</v>
      </c>
      <c r="D933" s="108" t="s">
        <v>229</v>
      </c>
      <c r="E933" s="108" t="s">
        <v>13</v>
      </c>
      <c r="F933" s="108" t="s">
        <v>520</v>
      </c>
      <c r="G933" s="108" t="s">
        <v>9</v>
      </c>
      <c r="H933" s="126">
        <v>139497639.35000002</v>
      </c>
      <c r="I933" s="108">
        <v>720000000</v>
      </c>
      <c r="J933" s="108" t="str">
        <f t="shared" si="59"/>
        <v>0720000000</v>
      </c>
      <c r="K933" s="304" t="str">
        <f t="shared" si="58"/>
        <v>60707030720000000000</v>
      </c>
      <c r="L933" s="17" t="str">
        <f>INDEX('реш СГД № 265'!$A:$N,MATCH('БА расх 2018 31 12 2018'!$K933,'реш СГД № 265'!$N:$N,0),3)</f>
        <v>Подпрограмма «Развитие культуры города Ставрополя»</v>
      </c>
      <c r="M933" s="16">
        <f t="shared" si="60"/>
        <v>1</v>
      </c>
    </row>
    <row r="934" spans="1:13" s="16" customFormat="1" ht="47.25">
      <c r="A934" s="14"/>
      <c r="B934" s="125" t="s">
        <v>521</v>
      </c>
      <c r="C934" s="109" t="s">
        <v>510</v>
      </c>
      <c r="D934" s="108" t="s">
        <v>229</v>
      </c>
      <c r="E934" s="108" t="s">
        <v>13</v>
      </c>
      <c r="F934" s="108" t="s">
        <v>522</v>
      </c>
      <c r="G934" s="108" t="s">
        <v>9</v>
      </c>
      <c r="H934" s="126">
        <v>137161594.35000002</v>
      </c>
      <c r="I934" s="108">
        <v>720100000</v>
      </c>
      <c r="J934" s="108" t="str">
        <f t="shared" si="59"/>
        <v>0720100000</v>
      </c>
      <c r="K934" s="304" t="str">
        <f t="shared" si="58"/>
        <v>60707030720100000000</v>
      </c>
      <c r="L934" s="17" t="str">
        <f>INDEX('реш СГД № 265'!$A:$N,MATCH('БА расх 2018 31 12 2018'!$K934,'реш СГД № 265'!$N:$N,0),3)</f>
        <v xml:space="preserve">Основное мероприятие «Обеспечение деятельности муниципальных учреждений  дополнительного образования детей в отрасли «Культура» города Ставрополя» </v>
      </c>
      <c r="M934" s="16">
        <f t="shared" si="60"/>
        <v>1</v>
      </c>
    </row>
    <row r="935" spans="1:13" s="16" customFormat="1" ht="31.5">
      <c r="A935" s="14"/>
      <c r="B935" s="125" t="s">
        <v>136</v>
      </c>
      <c r="C935" s="109" t="s">
        <v>510</v>
      </c>
      <c r="D935" s="108" t="s">
        <v>229</v>
      </c>
      <c r="E935" s="108" t="s">
        <v>13</v>
      </c>
      <c r="F935" s="108" t="s">
        <v>523</v>
      </c>
      <c r="G935" s="108" t="s">
        <v>9</v>
      </c>
      <c r="H935" s="126">
        <v>131620297.92</v>
      </c>
      <c r="I935" s="108">
        <v>720111010</v>
      </c>
      <c r="J935" s="108" t="str">
        <f t="shared" si="59"/>
        <v>0720111010</v>
      </c>
      <c r="K935" s="304" t="str">
        <f t="shared" ref="K935:K1002" si="61">C935&amp;D935&amp;E935&amp;J935&amp;G935</f>
        <v>60707030720111010000</v>
      </c>
      <c r="L935" s="17" t="str">
        <f>INDEX('реш СГД № 265'!$A:$N,MATCH('БА расх 2018 31 12 2018'!$K935,'реш СГД № 265'!$N:$N,0),3)</f>
        <v>Расходы на обеспечение деятельности (оказание услуг) муниципальных учреждений</v>
      </c>
      <c r="M935" s="16">
        <f t="shared" si="60"/>
        <v>1</v>
      </c>
    </row>
    <row r="936" spans="1:13" s="16" customFormat="1" ht="15.75">
      <c r="A936" s="14"/>
      <c r="B936" s="125" t="s">
        <v>403</v>
      </c>
      <c r="C936" s="109" t="s">
        <v>510</v>
      </c>
      <c r="D936" s="108" t="s">
        <v>229</v>
      </c>
      <c r="E936" s="108" t="s">
        <v>13</v>
      </c>
      <c r="F936" s="108" t="s">
        <v>523</v>
      </c>
      <c r="G936" s="108" t="s">
        <v>404</v>
      </c>
      <c r="H936" s="126">
        <v>116805129.01000001</v>
      </c>
      <c r="I936" s="108">
        <v>720111010</v>
      </c>
      <c r="J936" s="108" t="str">
        <f t="shared" ref="J936:J1003" si="62">TEXT(I936,"0000000000")</f>
        <v>0720111010</v>
      </c>
      <c r="K936" s="304" t="str">
        <f t="shared" si="61"/>
        <v>60707030720111010610</v>
      </c>
      <c r="L936" s="17" t="str">
        <f>INDEX('реш СГД № 265'!$A:$N,MATCH('БА расх 2018 31 12 2018'!$K936,'реш СГД № 265'!$N:$N,0),3)</f>
        <v>Субсидии бюджетным учреждениям</v>
      </c>
      <c r="M936" s="16">
        <f t="shared" ref="M936:M1003" si="63">IF(B936=L936,1,0)</f>
        <v>1</v>
      </c>
    </row>
    <row r="937" spans="1:13" s="23" customFormat="1" ht="63">
      <c r="A937" s="21"/>
      <c r="B937" s="127" t="s">
        <v>405</v>
      </c>
      <c r="C937" s="109" t="s">
        <v>510</v>
      </c>
      <c r="D937" s="108" t="s">
        <v>229</v>
      </c>
      <c r="E937" s="108" t="s">
        <v>13</v>
      </c>
      <c r="F937" s="108" t="s">
        <v>523</v>
      </c>
      <c r="G937" s="108" t="s">
        <v>406</v>
      </c>
      <c r="H937" s="126">
        <v>116805129.01000001</v>
      </c>
      <c r="I937" s="108">
        <v>720111010</v>
      </c>
      <c r="J937" s="108" t="str">
        <f t="shared" si="62"/>
        <v>0720111010</v>
      </c>
      <c r="K937" s="304" t="str">
        <f t="shared" si="61"/>
        <v>60707030720111010611</v>
      </c>
      <c r="L937" s="17"/>
      <c r="M937" s="16"/>
    </row>
    <row r="938" spans="1:13" s="17" customFormat="1" ht="15.75">
      <c r="A938" s="14"/>
      <c r="B938" s="125" t="s">
        <v>409</v>
      </c>
      <c r="C938" s="109" t="s">
        <v>510</v>
      </c>
      <c r="D938" s="108" t="s">
        <v>229</v>
      </c>
      <c r="E938" s="108" t="s">
        <v>13</v>
      </c>
      <c r="F938" s="108" t="s">
        <v>523</v>
      </c>
      <c r="G938" s="108" t="s">
        <v>410</v>
      </c>
      <c r="H938" s="126">
        <v>14815168.91</v>
      </c>
      <c r="I938" s="108">
        <v>720111010</v>
      </c>
      <c r="J938" s="108" t="str">
        <f t="shared" si="62"/>
        <v>0720111010</v>
      </c>
      <c r="K938" s="304" t="str">
        <f t="shared" si="61"/>
        <v>60707030720111010620</v>
      </c>
      <c r="L938" s="17" t="str">
        <f>INDEX('реш СГД № 265'!$A:$N,MATCH('БА расх 2018 31 12 2018'!$K938,'реш СГД № 265'!$N:$N,0),3)</f>
        <v>Субсидии автономным учреждениям</v>
      </c>
      <c r="M938" s="16">
        <f t="shared" si="63"/>
        <v>1</v>
      </c>
    </row>
    <row r="939" spans="1:13" s="24" customFormat="1" ht="63">
      <c r="A939" s="21"/>
      <c r="B939" s="127" t="s">
        <v>411</v>
      </c>
      <c r="C939" s="109" t="s">
        <v>510</v>
      </c>
      <c r="D939" s="108" t="s">
        <v>229</v>
      </c>
      <c r="E939" s="108" t="s">
        <v>13</v>
      </c>
      <c r="F939" s="108" t="s">
        <v>523</v>
      </c>
      <c r="G939" s="108" t="s">
        <v>412</v>
      </c>
      <c r="H939" s="126">
        <v>14815168.91</v>
      </c>
      <c r="I939" s="108">
        <v>720111010</v>
      </c>
      <c r="J939" s="108" t="str">
        <f t="shared" si="62"/>
        <v>0720111010</v>
      </c>
      <c r="K939" s="304" t="str">
        <f t="shared" si="61"/>
        <v>60707030720111010621</v>
      </c>
      <c r="L939" s="17"/>
      <c r="M939" s="16"/>
    </row>
    <row r="940" spans="1:13" s="24" customFormat="1" ht="78.75">
      <c r="A940" s="21"/>
      <c r="B940" s="125" t="s">
        <v>2428</v>
      </c>
      <c r="C940" s="109" t="s">
        <v>510</v>
      </c>
      <c r="D940" s="108" t="s">
        <v>229</v>
      </c>
      <c r="E940" s="108" t="s">
        <v>13</v>
      </c>
      <c r="F940" s="108" t="s">
        <v>2373</v>
      </c>
      <c r="G940" s="108" t="s">
        <v>9</v>
      </c>
      <c r="H940" s="126">
        <v>2876730</v>
      </c>
      <c r="I940" s="108" t="s">
        <v>2374</v>
      </c>
      <c r="J940" s="108" t="str">
        <f t="shared" si="62"/>
        <v>0720177080</v>
      </c>
      <c r="K940" s="304" t="str">
        <f t="shared" ref="K940" si="64">C940&amp;D940&amp;E940&amp;J940&amp;G940</f>
        <v>60707030720177080000</v>
      </c>
      <c r="L940" s="17"/>
      <c r="M940" s="16"/>
    </row>
    <row r="941" spans="1:13" s="24" customFormat="1" ht="15.75">
      <c r="A941" s="21"/>
      <c r="B941" s="125" t="s">
        <v>403</v>
      </c>
      <c r="C941" s="109" t="s">
        <v>510</v>
      </c>
      <c r="D941" s="108" t="s">
        <v>229</v>
      </c>
      <c r="E941" s="108" t="s">
        <v>13</v>
      </c>
      <c r="F941" s="108" t="s">
        <v>2373</v>
      </c>
      <c r="G941" s="108" t="s">
        <v>404</v>
      </c>
      <c r="H941" s="126">
        <v>2446700</v>
      </c>
      <c r="I941" s="108" t="s">
        <v>2374</v>
      </c>
      <c r="J941" s="108" t="str">
        <f t="shared" ref="J941:J945" si="65">TEXT(I941,"0000000000")</f>
        <v>0720177080</v>
      </c>
      <c r="K941" s="304" t="str">
        <f t="shared" ref="K941:K945" si="66">C941&amp;D941&amp;E941&amp;J941&amp;G941</f>
        <v>60707030720177080610</v>
      </c>
      <c r="L941" s="17"/>
      <c r="M941" s="16"/>
    </row>
    <row r="942" spans="1:13" s="24" customFormat="1" ht="63">
      <c r="A942" s="21"/>
      <c r="B942" s="125" t="s">
        <v>405</v>
      </c>
      <c r="C942" s="109" t="s">
        <v>510</v>
      </c>
      <c r="D942" s="108" t="s">
        <v>229</v>
      </c>
      <c r="E942" s="108" t="s">
        <v>13</v>
      </c>
      <c r="F942" s="108" t="s">
        <v>2373</v>
      </c>
      <c r="G942" s="108" t="s">
        <v>406</v>
      </c>
      <c r="H942" s="126">
        <v>2446700</v>
      </c>
      <c r="I942" s="108" t="s">
        <v>2374</v>
      </c>
      <c r="J942" s="108" t="str">
        <f t="shared" si="65"/>
        <v>0720177080</v>
      </c>
      <c r="K942" s="304" t="str">
        <f t="shared" si="66"/>
        <v>60707030720177080611</v>
      </c>
      <c r="L942" s="17"/>
      <c r="M942" s="16"/>
    </row>
    <row r="943" spans="1:13" s="24" customFormat="1" ht="15.75">
      <c r="A943" s="21"/>
      <c r="B943" s="125" t="s">
        <v>409</v>
      </c>
      <c r="C943" s="109" t="s">
        <v>510</v>
      </c>
      <c r="D943" s="108" t="s">
        <v>229</v>
      </c>
      <c r="E943" s="108" t="s">
        <v>13</v>
      </c>
      <c r="F943" s="108" t="s">
        <v>2373</v>
      </c>
      <c r="G943" s="108" t="s">
        <v>410</v>
      </c>
      <c r="H943" s="126">
        <v>430030</v>
      </c>
      <c r="I943" s="108" t="s">
        <v>2374</v>
      </c>
      <c r="J943" s="108" t="str">
        <f t="shared" si="65"/>
        <v>0720177080</v>
      </c>
      <c r="K943" s="304" t="str">
        <f t="shared" si="66"/>
        <v>60707030720177080620</v>
      </c>
      <c r="L943" s="17"/>
      <c r="M943" s="16"/>
    </row>
    <row r="944" spans="1:13" s="24" customFormat="1" ht="63">
      <c r="A944" s="21"/>
      <c r="B944" s="125" t="s">
        <v>411</v>
      </c>
      <c r="C944" s="109" t="s">
        <v>510</v>
      </c>
      <c r="D944" s="108" t="s">
        <v>229</v>
      </c>
      <c r="E944" s="108" t="s">
        <v>13</v>
      </c>
      <c r="F944" s="108" t="s">
        <v>2373</v>
      </c>
      <c r="G944" s="108" t="s">
        <v>412</v>
      </c>
      <c r="H944" s="126">
        <v>430030</v>
      </c>
      <c r="I944" s="108" t="s">
        <v>2374</v>
      </c>
      <c r="J944" s="108" t="str">
        <f t="shared" si="65"/>
        <v>0720177080</v>
      </c>
      <c r="K944" s="304" t="str">
        <f t="shared" si="66"/>
        <v>60707030720177080621</v>
      </c>
      <c r="L944" s="17"/>
      <c r="M944" s="16"/>
    </row>
    <row r="945" spans="1:13" s="24" customFormat="1" ht="63" customHeight="1">
      <c r="A945" s="21"/>
      <c r="B945" s="125" t="s">
        <v>2429</v>
      </c>
      <c r="C945" s="109" t="s">
        <v>510</v>
      </c>
      <c r="D945" s="108" t="s">
        <v>229</v>
      </c>
      <c r="E945" s="108" t="s">
        <v>13</v>
      </c>
      <c r="F945" s="108" t="s">
        <v>2375</v>
      </c>
      <c r="G945" s="108" t="s">
        <v>9</v>
      </c>
      <c r="H945" s="126">
        <v>284512</v>
      </c>
      <c r="I945" s="474" t="s">
        <v>2342</v>
      </c>
      <c r="J945" s="108" t="str">
        <f t="shared" si="65"/>
        <v>07201S7080</v>
      </c>
      <c r="K945" s="304" t="str">
        <f t="shared" si="66"/>
        <v>607070307201S7080000</v>
      </c>
      <c r="L945" s="17"/>
      <c r="M945" s="16"/>
    </row>
    <row r="946" spans="1:13" s="24" customFormat="1" ht="15.75">
      <c r="A946" s="21"/>
      <c r="B946" s="125" t="s">
        <v>403</v>
      </c>
      <c r="C946" s="109" t="s">
        <v>510</v>
      </c>
      <c r="D946" s="108" t="s">
        <v>229</v>
      </c>
      <c r="E946" s="108" t="s">
        <v>13</v>
      </c>
      <c r="F946" s="108" t="s">
        <v>2375</v>
      </c>
      <c r="G946" s="108" t="s">
        <v>404</v>
      </c>
      <c r="H946" s="126">
        <v>261372</v>
      </c>
      <c r="I946" s="474" t="s">
        <v>2342</v>
      </c>
      <c r="J946" s="108" t="str">
        <f t="shared" ref="J946:J949" si="67">TEXT(I946,"0000000000")</f>
        <v>07201S7080</v>
      </c>
      <c r="K946" s="304" t="str">
        <f t="shared" ref="K946:K949" si="68">C946&amp;D946&amp;E946&amp;J946&amp;G946</f>
        <v>607070307201S7080610</v>
      </c>
      <c r="L946" s="17"/>
      <c r="M946" s="16"/>
    </row>
    <row r="947" spans="1:13" s="24" customFormat="1" ht="63">
      <c r="A947" s="21"/>
      <c r="B947" s="125" t="s">
        <v>405</v>
      </c>
      <c r="C947" s="109" t="s">
        <v>510</v>
      </c>
      <c r="D947" s="108" t="s">
        <v>229</v>
      </c>
      <c r="E947" s="108" t="s">
        <v>13</v>
      </c>
      <c r="F947" s="108" t="s">
        <v>2375</v>
      </c>
      <c r="G947" s="108" t="s">
        <v>406</v>
      </c>
      <c r="H947" s="126">
        <v>261372</v>
      </c>
      <c r="I947" s="474" t="s">
        <v>2342</v>
      </c>
      <c r="J947" s="108" t="str">
        <f t="shared" si="67"/>
        <v>07201S7080</v>
      </c>
      <c r="K947" s="304" t="str">
        <f t="shared" si="68"/>
        <v>607070307201S7080611</v>
      </c>
      <c r="L947" s="17"/>
      <c r="M947" s="16"/>
    </row>
    <row r="948" spans="1:13" s="24" customFormat="1" ht="15.75">
      <c r="A948" s="21"/>
      <c r="B948" s="125" t="s">
        <v>409</v>
      </c>
      <c r="C948" s="109" t="s">
        <v>510</v>
      </c>
      <c r="D948" s="108" t="s">
        <v>229</v>
      </c>
      <c r="E948" s="108" t="s">
        <v>13</v>
      </c>
      <c r="F948" s="108" t="s">
        <v>2375</v>
      </c>
      <c r="G948" s="108" t="s">
        <v>410</v>
      </c>
      <c r="H948" s="126">
        <v>23140</v>
      </c>
      <c r="I948" s="474" t="s">
        <v>2342</v>
      </c>
      <c r="J948" s="108" t="str">
        <f t="shared" si="67"/>
        <v>07201S7080</v>
      </c>
      <c r="K948" s="304" t="str">
        <f t="shared" si="68"/>
        <v>607070307201S7080620</v>
      </c>
      <c r="L948" s="17"/>
      <c r="M948" s="16"/>
    </row>
    <row r="949" spans="1:13" s="24" customFormat="1" ht="63">
      <c r="A949" s="21"/>
      <c r="B949" s="125" t="s">
        <v>411</v>
      </c>
      <c r="C949" s="109" t="s">
        <v>510</v>
      </c>
      <c r="D949" s="108" t="s">
        <v>229</v>
      </c>
      <c r="E949" s="108" t="s">
        <v>13</v>
      </c>
      <c r="F949" s="108" t="s">
        <v>2375</v>
      </c>
      <c r="G949" s="108" t="s">
        <v>412</v>
      </c>
      <c r="H949" s="126">
        <v>23140</v>
      </c>
      <c r="I949" s="474" t="s">
        <v>2342</v>
      </c>
      <c r="J949" s="108" t="str">
        <f t="shared" si="67"/>
        <v>07201S7080</v>
      </c>
      <c r="K949" s="304" t="str">
        <f t="shared" si="68"/>
        <v>607070307201S7080621</v>
      </c>
      <c r="L949" s="17"/>
      <c r="M949" s="16"/>
    </row>
    <row r="950" spans="1:13" s="24" customFormat="1" ht="267.75">
      <c r="A950" s="21"/>
      <c r="B950" s="132" t="s">
        <v>2269</v>
      </c>
      <c r="C950" s="109" t="s">
        <v>510</v>
      </c>
      <c r="D950" s="108" t="s">
        <v>229</v>
      </c>
      <c r="E950" s="131" t="s">
        <v>13</v>
      </c>
      <c r="F950" s="108" t="s">
        <v>1288</v>
      </c>
      <c r="G950" s="108" t="s">
        <v>9</v>
      </c>
      <c r="H950" s="126">
        <v>1176571.3399999999</v>
      </c>
      <c r="I950" s="108">
        <v>720177460</v>
      </c>
      <c r="J950" s="108" t="str">
        <f t="shared" si="62"/>
        <v>0720177460</v>
      </c>
      <c r="K950" s="304" t="str">
        <f t="shared" si="61"/>
        <v>60707030720177460000</v>
      </c>
      <c r="L950" s="132" t="str">
        <f>INDEX('реш СГД № 265'!$A:$N,MATCH('БА расх 2018 31 12 2018'!$K950,'реш СГД № 265'!$N:$N,0),3)</f>
        <v>Субсидии на компенсацию расходов по повышению заработной платы муниципальных служащих муниципальной службы и лиц, не замещающих должности муниципальной службы и исполняющих обязанности по техническому обеспечению деятельности органов местного самоуправления муниципальных образований, а также работников муниципальных учреждений, за исключением отдельных категорий работников муниципальных учреждений, которым повышение заработной платы осуществляется в соответствии с указами Президента Российской Федерации от 7 мая 2012 года № 597 «О мероприятиях по реализации государственной социальной политики», от 1 июня 2012 года № 761 «О Национальной стратегии действий в интересах детей на 2012 - 2017 годы» и от 28 декабря 2012 года № 1688 «О некоторых мерах по реализации государственной политики в сфере защиты детей-сирот и детей, оставшихся без попечения родителей»</v>
      </c>
      <c r="M950" s="17">
        <f t="shared" si="63"/>
        <v>1</v>
      </c>
    </row>
    <row r="951" spans="1:13" s="24" customFormat="1" ht="15.75">
      <c r="A951" s="21"/>
      <c r="B951" s="132" t="s">
        <v>403</v>
      </c>
      <c r="C951" s="109" t="s">
        <v>510</v>
      </c>
      <c r="D951" s="108" t="s">
        <v>229</v>
      </c>
      <c r="E951" s="131" t="s">
        <v>13</v>
      </c>
      <c r="F951" s="108" t="s">
        <v>1288</v>
      </c>
      <c r="G951" s="108" t="s">
        <v>404</v>
      </c>
      <c r="H951" s="126">
        <v>1061756.93</v>
      </c>
      <c r="I951" s="108">
        <v>720177460</v>
      </c>
      <c r="J951" s="108" t="str">
        <f t="shared" si="62"/>
        <v>0720177460</v>
      </c>
      <c r="K951" s="304" t="str">
        <f t="shared" si="61"/>
        <v>60707030720177460610</v>
      </c>
      <c r="L951" s="17" t="str">
        <f>INDEX('реш СГД № 265'!$A:$N,MATCH('БА расх 2018 31 12 2018'!$K951,'реш СГД № 265'!$N:$N,0),3)</f>
        <v>Субсидии бюджетным учреждениям</v>
      </c>
      <c r="M951" s="16">
        <f t="shared" si="63"/>
        <v>1</v>
      </c>
    </row>
    <row r="952" spans="1:13" s="24" customFormat="1" ht="63">
      <c r="A952" s="21"/>
      <c r="B952" s="127" t="s">
        <v>405</v>
      </c>
      <c r="C952" s="109" t="s">
        <v>510</v>
      </c>
      <c r="D952" s="108" t="s">
        <v>229</v>
      </c>
      <c r="E952" s="131" t="s">
        <v>13</v>
      </c>
      <c r="F952" s="108" t="s">
        <v>1288</v>
      </c>
      <c r="G952" s="108" t="s">
        <v>406</v>
      </c>
      <c r="H952" s="126">
        <v>1061756.93</v>
      </c>
      <c r="I952" s="108">
        <v>720177460</v>
      </c>
      <c r="J952" s="108" t="str">
        <f t="shared" si="62"/>
        <v>0720177460</v>
      </c>
      <c r="K952" s="304" t="str">
        <f t="shared" si="61"/>
        <v>60707030720177460611</v>
      </c>
      <c r="L952" s="17"/>
      <c r="M952" s="16"/>
    </row>
    <row r="953" spans="1:13" s="24" customFormat="1" ht="15.75">
      <c r="A953" s="21"/>
      <c r="B953" s="132" t="s">
        <v>409</v>
      </c>
      <c r="C953" s="109" t="s">
        <v>510</v>
      </c>
      <c r="D953" s="108" t="s">
        <v>229</v>
      </c>
      <c r="E953" s="131" t="s">
        <v>13</v>
      </c>
      <c r="F953" s="108" t="s">
        <v>1288</v>
      </c>
      <c r="G953" s="108" t="s">
        <v>410</v>
      </c>
      <c r="H953" s="126">
        <v>114814.41</v>
      </c>
      <c r="I953" s="108">
        <v>720177460</v>
      </c>
      <c r="J953" s="108" t="str">
        <f t="shared" si="62"/>
        <v>0720177460</v>
      </c>
      <c r="K953" s="304" t="str">
        <f t="shared" si="61"/>
        <v>60707030720177460620</v>
      </c>
      <c r="L953" s="17" t="str">
        <f>INDEX('реш СГД № 265'!$A:$N,MATCH('БА расх 2018 31 12 2018'!$K953,'реш СГД № 265'!$N:$N,0),3)</f>
        <v>Субсидии автономным учреждениям</v>
      </c>
      <c r="M953" s="16">
        <f t="shared" si="63"/>
        <v>1</v>
      </c>
    </row>
    <row r="954" spans="1:13" s="24" customFormat="1" ht="63">
      <c r="A954" s="21"/>
      <c r="B954" s="127" t="s">
        <v>411</v>
      </c>
      <c r="C954" s="109" t="s">
        <v>510</v>
      </c>
      <c r="D954" s="108" t="s">
        <v>229</v>
      </c>
      <c r="E954" s="131" t="s">
        <v>13</v>
      </c>
      <c r="F954" s="108" t="s">
        <v>1288</v>
      </c>
      <c r="G954" s="108" t="s">
        <v>412</v>
      </c>
      <c r="H954" s="126">
        <v>114814.41</v>
      </c>
      <c r="I954" s="108">
        <v>720177460</v>
      </c>
      <c r="J954" s="108" t="str">
        <f t="shared" si="62"/>
        <v>0720177460</v>
      </c>
      <c r="K954" s="304" t="str">
        <f t="shared" si="61"/>
        <v>60707030720177460621</v>
      </c>
      <c r="L954" s="17"/>
      <c r="M954" s="16"/>
    </row>
    <row r="955" spans="1:13" s="24" customFormat="1" ht="236.25">
      <c r="A955" s="21"/>
      <c r="B955" s="164" t="s">
        <v>2247</v>
      </c>
      <c r="C955" s="109" t="s">
        <v>510</v>
      </c>
      <c r="D955" s="108" t="s">
        <v>229</v>
      </c>
      <c r="E955" s="131" t="s">
        <v>13</v>
      </c>
      <c r="F955" s="108" t="s">
        <v>2266</v>
      </c>
      <c r="G955" s="108" t="s">
        <v>9</v>
      </c>
      <c r="H955" s="126">
        <v>1203483.0900000001</v>
      </c>
      <c r="I955" s="108">
        <v>720177580</v>
      </c>
      <c r="J955" s="108" t="str">
        <f t="shared" si="62"/>
        <v>0720177580</v>
      </c>
      <c r="K955" s="304" t="str">
        <f t="shared" si="61"/>
        <v>60707030720177580000</v>
      </c>
      <c r="L955" s="17" t="str">
        <f>INDEX('реш СГД № 265'!$A:$N,MATCH('БА расх 2018 31 12 2018'!$K955,'реш СГД № 265'!$N:$N,0),3)</f>
        <v>Субсидии на компенсацию расходов на обеспечение выплаты лицам, не замещающим муниципальные должности муниципальной службы и исполняющим обязанности по техническому обеспечению деятельности органов местного самоуправления муниципальных образований, работникам органов местного самоуправления муниципальных образований, осуществляющим профессиональную деятельность по профессиям рабочих, и работникам муниципальных учреждений заработной платы не ниже установленного с 01 мая 2018 года федеральным законом минимального размера оплаты труда, а также компенсацию расходов на обеспечение выплаты работникам муниципальных учреждений с 01 января 2018 года коэффициента к заработной плате за работу в пустынных и безводных местностях</v>
      </c>
      <c r="M955" s="16">
        <f t="shared" si="63"/>
        <v>1</v>
      </c>
    </row>
    <row r="956" spans="1:13" s="24" customFormat="1" ht="15.75">
      <c r="A956" s="21"/>
      <c r="B956" s="132" t="s">
        <v>403</v>
      </c>
      <c r="C956" s="109" t="s">
        <v>510</v>
      </c>
      <c r="D956" s="108" t="s">
        <v>229</v>
      </c>
      <c r="E956" s="131" t="s">
        <v>13</v>
      </c>
      <c r="F956" s="108" t="s">
        <v>2266</v>
      </c>
      <c r="G956" s="108" t="s">
        <v>404</v>
      </c>
      <c r="H956" s="126">
        <v>1133315.75</v>
      </c>
      <c r="I956" s="108">
        <v>720177580</v>
      </c>
      <c r="J956" s="108" t="str">
        <f t="shared" si="62"/>
        <v>0720177580</v>
      </c>
      <c r="K956" s="304" t="str">
        <f t="shared" si="61"/>
        <v>60707030720177580610</v>
      </c>
      <c r="L956" s="17" t="str">
        <f>INDEX('реш СГД № 265'!$A:$N,MATCH('БА расх 2018 31 12 2018'!$K956,'реш СГД № 265'!$N:$N,0),3)</f>
        <v>Субсидии бюджетным учреждениям</v>
      </c>
      <c r="M956" s="16">
        <f t="shared" si="63"/>
        <v>1</v>
      </c>
    </row>
    <row r="957" spans="1:13" s="24" customFormat="1" ht="63">
      <c r="A957" s="21"/>
      <c r="B957" s="127" t="s">
        <v>405</v>
      </c>
      <c r="C957" s="109" t="s">
        <v>510</v>
      </c>
      <c r="D957" s="108" t="s">
        <v>229</v>
      </c>
      <c r="E957" s="131" t="s">
        <v>13</v>
      </c>
      <c r="F957" s="108" t="s">
        <v>2266</v>
      </c>
      <c r="G957" s="108" t="s">
        <v>406</v>
      </c>
      <c r="H957" s="126">
        <v>1133315.75</v>
      </c>
      <c r="I957" s="108">
        <v>720177580</v>
      </c>
      <c r="J957" s="108" t="str">
        <f t="shared" si="62"/>
        <v>0720177580</v>
      </c>
      <c r="K957" s="304" t="str">
        <f t="shared" si="61"/>
        <v>60707030720177580611</v>
      </c>
      <c r="L957" s="17"/>
      <c r="M957" s="16"/>
    </row>
    <row r="958" spans="1:13" s="24" customFormat="1" ht="15.75">
      <c r="A958" s="21"/>
      <c r="B958" s="132" t="s">
        <v>409</v>
      </c>
      <c r="C958" s="109" t="s">
        <v>510</v>
      </c>
      <c r="D958" s="108" t="s">
        <v>229</v>
      </c>
      <c r="E958" s="131" t="s">
        <v>13</v>
      </c>
      <c r="F958" s="108" t="s">
        <v>2266</v>
      </c>
      <c r="G958" s="108" t="s">
        <v>410</v>
      </c>
      <c r="H958" s="126">
        <v>70167.34</v>
      </c>
      <c r="I958" s="108">
        <v>720177580</v>
      </c>
      <c r="J958" s="108" t="str">
        <f t="shared" si="62"/>
        <v>0720177580</v>
      </c>
      <c r="K958" s="304" t="str">
        <f t="shared" si="61"/>
        <v>60707030720177580620</v>
      </c>
      <c r="L958" s="17" t="str">
        <f>INDEX('реш СГД № 265'!$A:$N,MATCH('БА расх 2018 31 12 2018'!$K958,'реш СГД № 265'!$N:$N,0),3)</f>
        <v>Субсидии автономным учреждениям</v>
      </c>
      <c r="M958" s="16">
        <f t="shared" si="63"/>
        <v>1</v>
      </c>
    </row>
    <row r="959" spans="1:13" s="24" customFormat="1" ht="63">
      <c r="A959" s="21"/>
      <c r="B959" s="127" t="s">
        <v>411</v>
      </c>
      <c r="C959" s="109" t="s">
        <v>510</v>
      </c>
      <c r="D959" s="108" t="s">
        <v>229</v>
      </c>
      <c r="E959" s="131" t="s">
        <v>13</v>
      </c>
      <c r="F959" s="108" t="s">
        <v>2266</v>
      </c>
      <c r="G959" s="108" t="s">
        <v>412</v>
      </c>
      <c r="H959" s="126">
        <v>70167.34</v>
      </c>
      <c r="I959" s="108">
        <v>720177580</v>
      </c>
      <c r="J959" s="108" t="str">
        <f t="shared" si="62"/>
        <v>0720177580</v>
      </c>
      <c r="K959" s="304" t="str">
        <f t="shared" si="61"/>
        <v>60707030720177580621</v>
      </c>
      <c r="L959" s="17"/>
      <c r="M959" s="16"/>
    </row>
    <row r="960" spans="1:13" s="16" customFormat="1" ht="110.25">
      <c r="A960" s="14"/>
      <c r="B960" s="132" t="s">
        <v>528</v>
      </c>
      <c r="C960" s="109" t="s">
        <v>510</v>
      </c>
      <c r="D960" s="108" t="s">
        <v>229</v>
      </c>
      <c r="E960" s="108" t="s">
        <v>13</v>
      </c>
      <c r="F960" s="108" t="s">
        <v>529</v>
      </c>
      <c r="G960" s="108" t="s">
        <v>9</v>
      </c>
      <c r="H960" s="126">
        <v>955200</v>
      </c>
      <c r="I960" s="108">
        <v>720800000</v>
      </c>
      <c r="J960" s="108" t="str">
        <f t="shared" si="62"/>
        <v>0720800000</v>
      </c>
      <c r="K960" s="304" t="str">
        <f t="shared" si="61"/>
        <v>60707030720800000000</v>
      </c>
      <c r="L960" s="17" t="str">
        <f>INDEX('реш СГД № 265'!$A:$N,MATCH('БА расх 2018 31 12 2018'!$K960,'реш СГД № 265'!$N:$N,0),3)</f>
        <v>Основное мероприятие «Участие учащихся муниципальных учреждений дополнительного образования детей в отрасли «Культура» города Ставрополя и профессиональных творческих коллективов, концертных исполнителей муниципальных учреждений культуры в фестивалях и конкурсах исполнительского мастерства, проведение фестивалей и конкурсов исполнительского мастерства»</v>
      </c>
      <c r="M960" s="16">
        <f t="shared" si="63"/>
        <v>1</v>
      </c>
    </row>
    <row r="961" spans="1:13" s="16" customFormat="1" ht="110.25">
      <c r="A961" s="14"/>
      <c r="B961" s="125" t="s">
        <v>530</v>
      </c>
      <c r="C961" s="109" t="s">
        <v>510</v>
      </c>
      <c r="D961" s="108" t="s">
        <v>229</v>
      </c>
      <c r="E961" s="108" t="s">
        <v>13</v>
      </c>
      <c r="F961" s="108" t="s">
        <v>531</v>
      </c>
      <c r="G961" s="108" t="s">
        <v>9</v>
      </c>
      <c r="H961" s="126">
        <v>955200</v>
      </c>
      <c r="I961" s="108">
        <v>720821230</v>
      </c>
      <c r="J961" s="108" t="str">
        <f t="shared" si="62"/>
        <v>0720821230</v>
      </c>
      <c r="K961" s="304" t="str">
        <f t="shared" si="61"/>
        <v>60707030720821230000</v>
      </c>
      <c r="L961" s="17" t="str">
        <f>INDEX('реш СГД № 265'!$A:$N,MATCH('БА расх 2018 31 12 2018'!$K961,'реш СГД № 265'!$N:$N,0),3)</f>
        <v>Расходы на участие учащихся муниципальных учреждений дополнительного образования детей в отрасли «Культура» города Ставрополя и профессиональных творческих коллективов, концертных исполнителей муниципальных учреждений культуры в фестивалях и конкурсах исполнительского мастерства, проведение фестивалей и конкурсов исполнительского мастерства</v>
      </c>
      <c r="M961" s="16">
        <f t="shared" si="63"/>
        <v>1</v>
      </c>
    </row>
    <row r="962" spans="1:13" s="16" customFormat="1" ht="15.75">
      <c r="A962" s="14"/>
      <c r="B962" s="132" t="s">
        <v>403</v>
      </c>
      <c r="C962" s="109" t="s">
        <v>510</v>
      </c>
      <c r="D962" s="108" t="s">
        <v>229</v>
      </c>
      <c r="E962" s="108" t="s">
        <v>13</v>
      </c>
      <c r="F962" s="108" t="s">
        <v>531</v>
      </c>
      <c r="G962" s="108" t="s">
        <v>404</v>
      </c>
      <c r="H962" s="126">
        <v>955200</v>
      </c>
      <c r="I962" s="108">
        <v>720821230</v>
      </c>
      <c r="J962" s="108" t="str">
        <f t="shared" si="62"/>
        <v>0720821230</v>
      </c>
      <c r="K962" s="304" t="str">
        <f t="shared" si="61"/>
        <v>60707030720821230610</v>
      </c>
      <c r="L962" s="17" t="str">
        <f>INDEX('реш СГД № 265'!$A:$N,MATCH('БА расх 2018 31 12 2018'!$K962,'реш СГД № 265'!$N:$N,0),3)</f>
        <v>Субсидии бюджетным учреждениям</v>
      </c>
      <c r="M962" s="16">
        <f t="shared" si="63"/>
        <v>1</v>
      </c>
    </row>
    <row r="963" spans="1:13" s="23" customFormat="1" ht="15.75">
      <c r="A963" s="21"/>
      <c r="B963" s="127" t="s">
        <v>407</v>
      </c>
      <c r="C963" s="109" t="s">
        <v>510</v>
      </c>
      <c r="D963" s="108" t="s">
        <v>229</v>
      </c>
      <c r="E963" s="108" t="s">
        <v>13</v>
      </c>
      <c r="F963" s="108" t="s">
        <v>531</v>
      </c>
      <c r="G963" s="108" t="s">
        <v>408</v>
      </c>
      <c r="H963" s="126">
        <v>955200</v>
      </c>
      <c r="I963" s="108">
        <v>720821230</v>
      </c>
      <c r="J963" s="108" t="str">
        <f t="shared" si="62"/>
        <v>0720821230</v>
      </c>
      <c r="K963" s="304" t="str">
        <f t="shared" si="61"/>
        <v>60707030720821230612</v>
      </c>
      <c r="L963" s="17"/>
      <c r="M963" s="16"/>
    </row>
    <row r="964" spans="1:13" s="16" customFormat="1" ht="47.25">
      <c r="A964" s="14"/>
      <c r="B964" s="132" t="s">
        <v>532</v>
      </c>
      <c r="C964" s="109" t="s">
        <v>510</v>
      </c>
      <c r="D964" s="108" t="s">
        <v>229</v>
      </c>
      <c r="E964" s="108" t="s">
        <v>13</v>
      </c>
      <c r="F964" s="108" t="s">
        <v>533</v>
      </c>
      <c r="G964" s="108" t="s">
        <v>9</v>
      </c>
      <c r="H964" s="126">
        <v>218400</v>
      </c>
      <c r="I964" s="108">
        <v>720900000</v>
      </c>
      <c r="J964" s="108" t="str">
        <f t="shared" si="62"/>
        <v>0720900000</v>
      </c>
      <c r="K964" s="304" t="str">
        <f t="shared" si="61"/>
        <v>60707030720900000000</v>
      </c>
      <c r="L964" s="17" t="str">
        <f>INDEX('реш СГД № 265'!$A:$N,MATCH('БА расх 2018 31 12 2018'!$K964,'реш СГД № 265'!$N:$N,0),3)</f>
        <v>Основное мероприятие «Модернизация материально-технической базы муниципальных учреждений отрасли «Культура» города Ставрополя»</v>
      </c>
      <c r="M964" s="16">
        <f t="shared" si="63"/>
        <v>1</v>
      </c>
    </row>
    <row r="965" spans="1:13" s="16" customFormat="1" ht="47.25">
      <c r="A965" s="14"/>
      <c r="B965" s="132" t="s">
        <v>534</v>
      </c>
      <c r="C965" s="109" t="s">
        <v>510</v>
      </c>
      <c r="D965" s="108" t="s">
        <v>229</v>
      </c>
      <c r="E965" s="108" t="s">
        <v>13</v>
      </c>
      <c r="F965" s="108" t="s">
        <v>535</v>
      </c>
      <c r="G965" s="108" t="s">
        <v>9</v>
      </c>
      <c r="H965" s="126">
        <v>218400</v>
      </c>
      <c r="I965" s="108">
        <v>720921280</v>
      </c>
      <c r="J965" s="108" t="str">
        <f t="shared" si="62"/>
        <v>0720921280</v>
      </c>
      <c r="K965" s="304" t="str">
        <f t="shared" si="61"/>
        <v>60707030720921280000</v>
      </c>
      <c r="L965" s="17" t="str">
        <f>INDEX('реш СГД № 265'!$A:$N,MATCH('БА расх 2018 31 12 2018'!$K965,'реш СГД № 265'!$N:$N,0),3)</f>
        <v>Расходы на модернизацию материально-технической базы муниципальных учреждений отрасли «Культура» города Ставрополя</v>
      </c>
      <c r="M965" s="16">
        <f t="shared" si="63"/>
        <v>1</v>
      </c>
    </row>
    <row r="966" spans="1:13" s="16" customFormat="1" ht="15.75">
      <c r="A966" s="14"/>
      <c r="B966" s="132" t="s">
        <v>403</v>
      </c>
      <c r="C966" s="109" t="s">
        <v>510</v>
      </c>
      <c r="D966" s="108" t="s">
        <v>229</v>
      </c>
      <c r="E966" s="108" t="s">
        <v>13</v>
      </c>
      <c r="F966" s="108" t="s">
        <v>535</v>
      </c>
      <c r="G966" s="108" t="s">
        <v>404</v>
      </c>
      <c r="H966" s="126">
        <v>163800</v>
      </c>
      <c r="I966" s="108">
        <v>720921280</v>
      </c>
      <c r="J966" s="108" t="str">
        <f t="shared" si="62"/>
        <v>0720921280</v>
      </c>
      <c r="K966" s="304" t="str">
        <f t="shared" si="61"/>
        <v>60707030720921280610</v>
      </c>
      <c r="L966" s="17" t="str">
        <f>INDEX('реш СГД № 265'!$A:$N,MATCH('БА расх 2018 31 12 2018'!$K966,'реш СГД № 265'!$N:$N,0),3)</f>
        <v>Субсидии бюджетным учреждениям</v>
      </c>
      <c r="M966" s="16">
        <f t="shared" si="63"/>
        <v>1</v>
      </c>
    </row>
    <row r="967" spans="1:13" s="23" customFormat="1" ht="15.75">
      <c r="A967" s="21"/>
      <c r="B967" s="127" t="s">
        <v>407</v>
      </c>
      <c r="C967" s="109" t="s">
        <v>510</v>
      </c>
      <c r="D967" s="108" t="s">
        <v>229</v>
      </c>
      <c r="E967" s="108" t="s">
        <v>13</v>
      </c>
      <c r="F967" s="108" t="s">
        <v>535</v>
      </c>
      <c r="G967" s="108" t="s">
        <v>408</v>
      </c>
      <c r="H967" s="126">
        <v>163800</v>
      </c>
      <c r="I967" s="108">
        <v>720921280</v>
      </c>
      <c r="J967" s="108" t="str">
        <f t="shared" si="62"/>
        <v>0720921280</v>
      </c>
      <c r="K967" s="304" t="str">
        <f t="shared" si="61"/>
        <v>60707030720921280612</v>
      </c>
      <c r="L967" s="17"/>
      <c r="M967" s="16"/>
    </row>
    <row r="968" spans="1:13" s="16" customFormat="1" ht="15.75">
      <c r="A968" s="14"/>
      <c r="B968" s="132" t="s">
        <v>409</v>
      </c>
      <c r="C968" s="109" t="s">
        <v>510</v>
      </c>
      <c r="D968" s="108" t="s">
        <v>229</v>
      </c>
      <c r="E968" s="108" t="s">
        <v>13</v>
      </c>
      <c r="F968" s="108" t="s">
        <v>535</v>
      </c>
      <c r="G968" s="108" t="s">
        <v>410</v>
      </c>
      <c r="H968" s="126">
        <v>54600</v>
      </c>
      <c r="I968" s="108">
        <v>720921280</v>
      </c>
      <c r="J968" s="108" t="str">
        <f t="shared" si="62"/>
        <v>0720921280</v>
      </c>
      <c r="K968" s="304" t="str">
        <f t="shared" si="61"/>
        <v>60707030720921280620</v>
      </c>
      <c r="L968" s="17" t="str">
        <f>INDEX('реш СГД № 265'!$A:$N,MATCH('БА расх 2018 31 12 2018'!$K968,'реш СГД № 265'!$N:$N,0),3)</f>
        <v>Субсидии автономным учреждениям</v>
      </c>
      <c r="M968" s="16">
        <f t="shared" si="63"/>
        <v>1</v>
      </c>
    </row>
    <row r="969" spans="1:13" s="23" customFormat="1" ht="15.75">
      <c r="A969" s="21"/>
      <c r="B969" s="127" t="s">
        <v>428</v>
      </c>
      <c r="C969" s="109" t="s">
        <v>510</v>
      </c>
      <c r="D969" s="108" t="s">
        <v>229</v>
      </c>
      <c r="E969" s="108" t="s">
        <v>13</v>
      </c>
      <c r="F969" s="108" t="s">
        <v>535</v>
      </c>
      <c r="G969" s="108" t="s">
        <v>429</v>
      </c>
      <c r="H969" s="126">
        <v>54600</v>
      </c>
      <c r="I969" s="108">
        <v>720921280</v>
      </c>
      <c r="J969" s="108" t="str">
        <f t="shared" si="62"/>
        <v>0720921280</v>
      </c>
      <c r="K969" s="304" t="str">
        <f t="shared" si="61"/>
        <v>60707030720921280622</v>
      </c>
      <c r="L969" s="17"/>
      <c r="M969" s="16"/>
    </row>
    <row r="970" spans="1:13" s="16" customFormat="1" ht="63">
      <c r="A970" s="14"/>
      <c r="B970" s="132" t="s">
        <v>536</v>
      </c>
      <c r="C970" s="109" t="s">
        <v>510</v>
      </c>
      <c r="D970" s="108" t="s">
        <v>229</v>
      </c>
      <c r="E970" s="108" t="s">
        <v>13</v>
      </c>
      <c r="F970" s="108" t="s">
        <v>537</v>
      </c>
      <c r="G970" s="108" t="s">
        <v>9</v>
      </c>
      <c r="H970" s="126">
        <v>1162445</v>
      </c>
      <c r="I970" s="108">
        <v>721200000</v>
      </c>
      <c r="J970" s="108" t="str">
        <f t="shared" si="62"/>
        <v>0721200000</v>
      </c>
      <c r="K970" s="304" t="str">
        <f t="shared" si="61"/>
        <v>60707030721200000000</v>
      </c>
      <c r="L970" s="17" t="str">
        <f>INDEX('реш СГД № 265'!$A:$N,MATCH('БА расх 2018 31 12 2018'!$K970,'реш СГД № 265'!$N:$N,0),3)</f>
        <v>Основное мероприятие «Проведение работ по капитальному ремонту зданий и сооружений, благоустройству территорий в муниципальных бюджетных (автономных) учреждениях отрасли «Культура» города Ставрополя»</v>
      </c>
      <c r="M970" s="16">
        <f t="shared" si="63"/>
        <v>1</v>
      </c>
    </row>
    <row r="971" spans="1:13" s="16" customFormat="1" ht="47.25">
      <c r="A971" s="14"/>
      <c r="B971" s="307" t="s">
        <v>538</v>
      </c>
      <c r="C971" s="109" t="s">
        <v>510</v>
      </c>
      <c r="D971" s="108" t="s">
        <v>229</v>
      </c>
      <c r="E971" s="108" t="s">
        <v>13</v>
      </c>
      <c r="F971" s="108" t="s">
        <v>539</v>
      </c>
      <c r="G971" s="108" t="s">
        <v>9</v>
      </c>
      <c r="H971" s="126">
        <v>1162445</v>
      </c>
      <c r="I971" s="108">
        <v>721221430</v>
      </c>
      <c r="J971" s="108" t="str">
        <f t="shared" si="62"/>
        <v>0721221430</v>
      </c>
      <c r="K971" s="304" t="str">
        <f t="shared" si="61"/>
        <v>60707030721221430000</v>
      </c>
      <c r="L971" s="17" t="str">
        <f>INDEX('реш СГД № 265'!$A:$N,MATCH('БА расх 2018 31 12 2018'!$K971,'реш СГД № 265'!$N:$N,0),3)</f>
        <v>Расходы на проведение капитального ремонта зданий и сооружений муниципальных бюджетных (автономных) учреждений в сфере культуры</v>
      </c>
      <c r="M971" s="16">
        <f t="shared" si="63"/>
        <v>1</v>
      </c>
    </row>
    <row r="972" spans="1:13" s="16" customFormat="1" ht="15.75">
      <c r="A972" s="14"/>
      <c r="B972" s="132" t="s">
        <v>409</v>
      </c>
      <c r="C972" s="109" t="s">
        <v>510</v>
      </c>
      <c r="D972" s="108" t="s">
        <v>229</v>
      </c>
      <c r="E972" s="108" t="s">
        <v>13</v>
      </c>
      <c r="F972" s="108" t="s">
        <v>539</v>
      </c>
      <c r="G972" s="108" t="s">
        <v>410</v>
      </c>
      <c r="H972" s="126">
        <v>1162445</v>
      </c>
      <c r="I972" s="108">
        <v>721221430</v>
      </c>
      <c r="J972" s="108" t="str">
        <f t="shared" si="62"/>
        <v>0721221430</v>
      </c>
      <c r="K972" s="304" t="str">
        <f t="shared" si="61"/>
        <v>60707030721221430620</v>
      </c>
      <c r="L972" s="17" t="str">
        <f>INDEX('реш СГД № 265'!$A:$N,MATCH('БА расх 2018 31 12 2018'!$K972,'реш СГД № 265'!$N:$N,0),3)</f>
        <v>Субсидии автономным учреждениям</v>
      </c>
      <c r="M972" s="16">
        <f t="shared" si="63"/>
        <v>1</v>
      </c>
    </row>
    <row r="973" spans="1:13" s="23" customFormat="1" ht="15.75">
      <c r="A973" s="21"/>
      <c r="B973" s="127" t="s">
        <v>428</v>
      </c>
      <c r="C973" s="109" t="s">
        <v>510</v>
      </c>
      <c r="D973" s="108" t="s">
        <v>229</v>
      </c>
      <c r="E973" s="108" t="s">
        <v>13</v>
      </c>
      <c r="F973" s="108" t="s">
        <v>539</v>
      </c>
      <c r="G973" s="108" t="s">
        <v>429</v>
      </c>
      <c r="H973" s="126">
        <v>1162445</v>
      </c>
      <c r="I973" s="108">
        <v>721221430</v>
      </c>
      <c r="J973" s="108" t="str">
        <f t="shared" si="62"/>
        <v>0721221430</v>
      </c>
      <c r="K973" s="304" t="str">
        <f t="shared" si="61"/>
        <v>60707030721221430622</v>
      </c>
      <c r="L973" s="17"/>
      <c r="M973" s="16"/>
    </row>
    <row r="974" spans="1:13" s="16" customFormat="1" ht="78.75">
      <c r="A974" s="14"/>
      <c r="B974" s="125" t="s">
        <v>420</v>
      </c>
      <c r="C974" s="109" t="s">
        <v>510</v>
      </c>
      <c r="D974" s="108" t="s">
        <v>229</v>
      </c>
      <c r="E974" s="108" t="s">
        <v>13</v>
      </c>
      <c r="F974" s="108" t="s">
        <v>421</v>
      </c>
      <c r="G974" s="108" t="s">
        <v>9</v>
      </c>
      <c r="H974" s="126">
        <v>392800</v>
      </c>
      <c r="I974" s="108">
        <v>1600000000</v>
      </c>
      <c r="J974" s="108" t="str">
        <f t="shared" si="62"/>
        <v>1600000000</v>
      </c>
      <c r="K974" s="304" t="str">
        <f t="shared" si="61"/>
        <v>60707031600000000000</v>
      </c>
      <c r="L974" s="17" t="str">
        <f>INDEX('реш СГД № 265'!$A:$N,MATCH('БА расх 2018 31 12 2018'!$K974,'реш СГД № 265'!$N:$N,0),3)</f>
        <v>Муниципальная программа «Обеспечение гражданской обороны, пожарной безопасности, безопасности людей на водных объектах, организация деятельности аварийно-спасательных служб, защита населения и территории города Ставрополя от чрезвычайных ситуаций»</v>
      </c>
      <c r="M974" s="16">
        <f t="shared" si="63"/>
        <v>1</v>
      </c>
    </row>
    <row r="975" spans="1:13" s="16" customFormat="1" ht="31.5">
      <c r="A975" s="14"/>
      <c r="B975" s="125" t="s">
        <v>422</v>
      </c>
      <c r="C975" s="109" t="s">
        <v>510</v>
      </c>
      <c r="D975" s="108" t="s">
        <v>229</v>
      </c>
      <c r="E975" s="108" t="s">
        <v>13</v>
      </c>
      <c r="F975" s="108" t="s">
        <v>423</v>
      </c>
      <c r="G975" s="108" t="s">
        <v>9</v>
      </c>
      <c r="H975" s="126">
        <v>392800</v>
      </c>
      <c r="I975" s="108">
        <v>1620000000</v>
      </c>
      <c r="J975" s="108" t="str">
        <f t="shared" si="62"/>
        <v>1620000000</v>
      </c>
      <c r="K975" s="304" t="str">
        <f t="shared" si="61"/>
        <v>60707031620000000000</v>
      </c>
      <c r="L975" s="17" t="str">
        <f>INDEX('реш СГД № 265'!$A:$N,MATCH('БА расх 2018 31 12 2018'!$K975,'реш СГД № 265'!$N:$N,0),3)</f>
        <v>Подпрограмма «Обеспечение пожарной безопасности в границах города Ставрополя»</v>
      </c>
      <c r="M975" s="16">
        <f t="shared" si="63"/>
        <v>1</v>
      </c>
    </row>
    <row r="976" spans="1:13" s="16" customFormat="1" ht="47.25">
      <c r="A976" s="14"/>
      <c r="B976" s="125" t="s">
        <v>424</v>
      </c>
      <c r="C976" s="109" t="s">
        <v>510</v>
      </c>
      <c r="D976" s="108" t="s">
        <v>229</v>
      </c>
      <c r="E976" s="108" t="s">
        <v>13</v>
      </c>
      <c r="F976" s="108" t="s">
        <v>425</v>
      </c>
      <c r="G976" s="108" t="s">
        <v>9</v>
      </c>
      <c r="H976" s="126">
        <v>392800</v>
      </c>
      <c r="I976" s="108">
        <v>1620200000</v>
      </c>
      <c r="J976" s="108" t="str">
        <f t="shared" si="62"/>
        <v>1620200000</v>
      </c>
      <c r="K976" s="304" t="str">
        <f t="shared" si="61"/>
        <v>60707031620200000000</v>
      </c>
      <c r="L976" s="17" t="str">
        <f>INDEX('реш СГД № 265'!$A:$N,MATCH('БА расх 2018 31 12 2018'!$K976,'реш СГД № 265'!$N:$N,0),3)</f>
        <v>Основное мероприятие «Выполнение противопожарных мероприятий в муниципальных учреждениях города Ставрополя»</v>
      </c>
      <c r="M976" s="16">
        <f t="shared" si="63"/>
        <v>1</v>
      </c>
    </row>
    <row r="977" spans="1:13" s="16" customFormat="1" ht="47.25">
      <c r="A977" s="14"/>
      <c r="B977" s="125" t="s">
        <v>426</v>
      </c>
      <c r="C977" s="109" t="s">
        <v>510</v>
      </c>
      <c r="D977" s="108" t="s">
        <v>229</v>
      </c>
      <c r="E977" s="108" t="s">
        <v>13</v>
      </c>
      <c r="F977" s="108" t="s">
        <v>427</v>
      </c>
      <c r="G977" s="108" t="s">
        <v>9</v>
      </c>
      <c r="H977" s="126">
        <v>392800</v>
      </c>
      <c r="I977" s="108">
        <v>1620220550</v>
      </c>
      <c r="J977" s="108" t="str">
        <f t="shared" si="62"/>
        <v>1620220550</v>
      </c>
      <c r="K977" s="304" t="str">
        <f t="shared" si="61"/>
        <v>60707031620220550000</v>
      </c>
      <c r="L977" s="17" t="str">
        <f>INDEX('реш СГД № 265'!$A:$N,MATCH('БА расх 2018 31 12 2018'!$K977,'реш СГД № 265'!$N:$N,0),3)</f>
        <v>Обеспечение пожарной безопасности в муниципальных учреждениях образования, культуры, физической культуры и спорта города Ставрополя</v>
      </c>
      <c r="M977" s="16">
        <f t="shared" si="63"/>
        <v>1</v>
      </c>
    </row>
    <row r="978" spans="1:13" s="16" customFormat="1" ht="15.75">
      <c r="A978" s="14"/>
      <c r="B978" s="132" t="s">
        <v>403</v>
      </c>
      <c r="C978" s="109" t="s">
        <v>510</v>
      </c>
      <c r="D978" s="108" t="s">
        <v>229</v>
      </c>
      <c r="E978" s="108" t="s">
        <v>13</v>
      </c>
      <c r="F978" s="108" t="s">
        <v>427</v>
      </c>
      <c r="G978" s="108" t="s">
        <v>404</v>
      </c>
      <c r="H978" s="126">
        <v>344800</v>
      </c>
      <c r="I978" s="108">
        <v>1620220550</v>
      </c>
      <c r="J978" s="108" t="str">
        <f t="shared" si="62"/>
        <v>1620220550</v>
      </c>
      <c r="K978" s="304" t="str">
        <f t="shared" si="61"/>
        <v>60707031620220550610</v>
      </c>
      <c r="L978" s="17" t="str">
        <f>INDEX('реш СГД № 265'!$A:$N,MATCH('БА расх 2018 31 12 2018'!$K978,'реш СГД № 265'!$N:$N,0),3)</f>
        <v>Субсидии бюджетным учреждениям</v>
      </c>
      <c r="M978" s="16">
        <f t="shared" si="63"/>
        <v>1</v>
      </c>
    </row>
    <row r="979" spans="1:13" s="16" customFormat="1" ht="15.75">
      <c r="A979" s="14"/>
      <c r="B979" s="127" t="s">
        <v>407</v>
      </c>
      <c r="C979" s="109" t="s">
        <v>510</v>
      </c>
      <c r="D979" s="108" t="s">
        <v>229</v>
      </c>
      <c r="E979" s="108" t="s">
        <v>13</v>
      </c>
      <c r="F979" s="108" t="s">
        <v>427</v>
      </c>
      <c r="G979" s="108" t="s">
        <v>408</v>
      </c>
      <c r="H979" s="126">
        <v>344800</v>
      </c>
      <c r="I979" s="108">
        <v>1620220550</v>
      </c>
      <c r="J979" s="108" t="str">
        <f t="shared" si="62"/>
        <v>1620220550</v>
      </c>
      <c r="K979" s="304" t="str">
        <f t="shared" si="61"/>
        <v>60707031620220550612</v>
      </c>
      <c r="L979" s="17"/>
    </row>
    <row r="980" spans="1:13" s="17" customFormat="1" ht="15.75">
      <c r="A980" s="14"/>
      <c r="B980" s="132" t="s">
        <v>409</v>
      </c>
      <c r="C980" s="109" t="s">
        <v>510</v>
      </c>
      <c r="D980" s="108" t="s">
        <v>229</v>
      </c>
      <c r="E980" s="108" t="s">
        <v>13</v>
      </c>
      <c r="F980" s="108" t="s">
        <v>427</v>
      </c>
      <c r="G980" s="108" t="s">
        <v>410</v>
      </c>
      <c r="H980" s="126">
        <v>48000</v>
      </c>
      <c r="I980" s="108">
        <v>1620220550</v>
      </c>
      <c r="J980" s="108" t="str">
        <f t="shared" si="62"/>
        <v>1620220550</v>
      </c>
      <c r="K980" s="304" t="str">
        <f t="shared" si="61"/>
        <v>60707031620220550620</v>
      </c>
      <c r="L980" s="17" t="str">
        <f>INDEX('реш СГД № 265'!$A:$N,MATCH('БА расх 2018 31 12 2018'!$K980,'реш СГД № 265'!$N:$N,0),3)</f>
        <v>Субсидии автономным учреждениям</v>
      </c>
      <c r="M980" s="16">
        <f t="shared" si="63"/>
        <v>1</v>
      </c>
    </row>
    <row r="981" spans="1:13" s="24" customFormat="1" ht="15.75">
      <c r="A981" s="21"/>
      <c r="B981" s="127" t="s">
        <v>428</v>
      </c>
      <c r="C981" s="109" t="s">
        <v>510</v>
      </c>
      <c r="D981" s="108" t="s">
        <v>229</v>
      </c>
      <c r="E981" s="108" t="s">
        <v>13</v>
      </c>
      <c r="F981" s="108" t="s">
        <v>427</v>
      </c>
      <c r="G981" s="108" t="s">
        <v>429</v>
      </c>
      <c r="H981" s="126">
        <v>48000</v>
      </c>
      <c r="I981" s="108">
        <v>1620220550</v>
      </c>
      <c r="J981" s="108" t="str">
        <f t="shared" si="62"/>
        <v>1620220550</v>
      </c>
      <c r="K981" s="304" t="str">
        <f t="shared" si="61"/>
        <v>60707031620220550622</v>
      </c>
      <c r="L981" s="17"/>
      <c r="M981" s="16"/>
    </row>
    <row r="982" spans="1:13" s="17" customFormat="1" ht="47.25">
      <c r="A982" s="14"/>
      <c r="B982" s="125" t="s">
        <v>430</v>
      </c>
      <c r="C982" s="109" t="s">
        <v>510</v>
      </c>
      <c r="D982" s="108" t="s">
        <v>229</v>
      </c>
      <c r="E982" s="108" t="s">
        <v>13</v>
      </c>
      <c r="F982" s="108" t="s">
        <v>431</v>
      </c>
      <c r="G982" s="108" t="s">
        <v>9</v>
      </c>
      <c r="H982" s="126">
        <v>692250</v>
      </c>
      <c r="I982" s="108">
        <v>1700000000</v>
      </c>
      <c r="J982" s="108" t="str">
        <f t="shared" si="62"/>
        <v>1700000000</v>
      </c>
      <c r="K982" s="304" t="str">
        <f t="shared" si="61"/>
        <v>60707031700000000000</v>
      </c>
      <c r="L982" s="17" t="str">
        <f>INDEX('реш СГД № 265'!$A:$N,MATCH('БА расх 2018 31 12 2018'!$K982,'реш СГД № 265'!$N:$N,0),3)</f>
        <v>Муниципальная программа «Энергосбережение и повышение энергетической эффективности в городе Ставрополе»</v>
      </c>
      <c r="M982" s="16">
        <f t="shared" si="63"/>
        <v>1</v>
      </c>
    </row>
    <row r="983" spans="1:13" s="17" customFormat="1" ht="47.25">
      <c r="A983" s="14"/>
      <c r="B983" s="129" t="s">
        <v>432</v>
      </c>
      <c r="C983" s="109" t="s">
        <v>510</v>
      </c>
      <c r="D983" s="108" t="s">
        <v>229</v>
      </c>
      <c r="E983" s="108" t="s">
        <v>13</v>
      </c>
      <c r="F983" s="108" t="s">
        <v>433</v>
      </c>
      <c r="G983" s="108" t="s">
        <v>9</v>
      </c>
      <c r="H983" s="126">
        <v>692250</v>
      </c>
      <c r="I983" s="108" t="s">
        <v>1198</v>
      </c>
      <c r="J983" s="108" t="str">
        <f t="shared" si="62"/>
        <v>17Б0000000</v>
      </c>
      <c r="K983" s="304" t="str">
        <f t="shared" si="61"/>
        <v>607070317Б0000000000</v>
      </c>
      <c r="L983" s="17" t="str">
        <f>INDEX('реш СГД № 265'!$A:$N,MATCH('БА расх 2018 31 12 2018'!$K983,'реш СГД № 265'!$N:$N,0),3)</f>
        <v>Расходы в рамках реализации муниципальной программы «Энергосбережение и повышение энергетической эффективности в городе Ставрополе»</v>
      </c>
      <c r="M983" s="16">
        <f t="shared" si="63"/>
        <v>1</v>
      </c>
    </row>
    <row r="984" spans="1:13" s="17" customFormat="1" ht="31.5">
      <c r="A984" s="14"/>
      <c r="B984" s="125" t="s">
        <v>434</v>
      </c>
      <c r="C984" s="109" t="s">
        <v>510</v>
      </c>
      <c r="D984" s="108" t="s">
        <v>229</v>
      </c>
      <c r="E984" s="108" t="s">
        <v>13</v>
      </c>
      <c r="F984" s="108" t="s">
        <v>435</v>
      </c>
      <c r="G984" s="108" t="s">
        <v>9</v>
      </c>
      <c r="H984" s="126">
        <v>692250</v>
      </c>
      <c r="I984" s="108" t="s">
        <v>1199</v>
      </c>
      <c r="J984" s="108" t="str">
        <f t="shared" si="62"/>
        <v>17Б0100000</v>
      </c>
      <c r="K984" s="304" t="str">
        <f t="shared" si="61"/>
        <v>607070317Б0100000000</v>
      </c>
      <c r="L984" s="17" t="str">
        <f>INDEX('реш СГД № 265'!$A:$N,MATCH('БА расх 2018 31 12 2018'!$K984,'реш СГД № 265'!$N:$N,0),3)</f>
        <v>Основное мероприятие «Энергосбережение и энергоэффективность в бюджетном секторе»</v>
      </c>
      <c r="M984" s="16">
        <f t="shared" si="63"/>
        <v>1</v>
      </c>
    </row>
    <row r="985" spans="1:13" s="17" customFormat="1" ht="31.5">
      <c r="A985" s="14"/>
      <c r="B985" s="132" t="s">
        <v>436</v>
      </c>
      <c r="C985" s="109" t="s">
        <v>510</v>
      </c>
      <c r="D985" s="108" t="s">
        <v>229</v>
      </c>
      <c r="E985" s="108" t="s">
        <v>13</v>
      </c>
      <c r="F985" s="108" t="s">
        <v>437</v>
      </c>
      <c r="G985" s="108" t="s">
        <v>9</v>
      </c>
      <c r="H985" s="126">
        <v>692250</v>
      </c>
      <c r="I985" s="108" t="s">
        <v>1200</v>
      </c>
      <c r="J985" s="108" t="str">
        <f t="shared" si="62"/>
        <v>17Б0120490</v>
      </c>
      <c r="K985" s="304" t="str">
        <f t="shared" si="61"/>
        <v>607070317Б0120490000</v>
      </c>
      <c r="L985" s="17" t="str">
        <f>INDEX('реш СГД № 265'!$A:$N,MATCH('БА расх 2018 31 12 2018'!$K985,'реш СГД № 265'!$N:$N,0),3)</f>
        <v>Расходы на проведение мероприятий по энергосбережению и повышению энергетической эффективности</v>
      </c>
      <c r="M985" s="16">
        <f t="shared" si="63"/>
        <v>1</v>
      </c>
    </row>
    <row r="986" spans="1:13" s="17" customFormat="1" ht="15.75">
      <c r="A986" s="14"/>
      <c r="B986" s="132" t="s">
        <v>403</v>
      </c>
      <c r="C986" s="109" t="s">
        <v>510</v>
      </c>
      <c r="D986" s="108" t="s">
        <v>229</v>
      </c>
      <c r="E986" s="108" t="s">
        <v>13</v>
      </c>
      <c r="F986" s="108" t="s">
        <v>437</v>
      </c>
      <c r="G986" s="108" t="s">
        <v>404</v>
      </c>
      <c r="H986" s="126">
        <v>692250</v>
      </c>
      <c r="I986" s="108" t="s">
        <v>1200</v>
      </c>
      <c r="J986" s="108" t="str">
        <f t="shared" si="62"/>
        <v>17Б0120490</v>
      </c>
      <c r="K986" s="304" t="str">
        <f t="shared" si="61"/>
        <v>607070317Б0120490610</v>
      </c>
      <c r="L986" s="400" t="e">
        <f>INDEX('реш СГД № 265'!$A:$N,MATCH('БА расх 2018 31 12 2018'!$K986,'реш СГД № 265'!$N:$N,0),3)</f>
        <v>#N/A</v>
      </c>
      <c r="M986" s="17" t="e">
        <f t="shared" si="63"/>
        <v>#N/A</v>
      </c>
    </row>
    <row r="987" spans="1:13" s="24" customFormat="1" ht="15.75">
      <c r="A987" s="21"/>
      <c r="B987" s="127" t="s">
        <v>407</v>
      </c>
      <c r="C987" s="109" t="s">
        <v>510</v>
      </c>
      <c r="D987" s="108" t="s">
        <v>229</v>
      </c>
      <c r="E987" s="108" t="s">
        <v>13</v>
      </c>
      <c r="F987" s="108" t="s">
        <v>437</v>
      </c>
      <c r="G987" s="108" t="s">
        <v>408</v>
      </c>
      <c r="H987" s="126">
        <v>692250</v>
      </c>
      <c r="I987" s="108" t="s">
        <v>1200</v>
      </c>
      <c r="J987" s="108" t="str">
        <f t="shared" si="62"/>
        <v>17Б0120490</v>
      </c>
      <c r="K987" s="304" t="str">
        <f t="shared" si="61"/>
        <v>607070317Б0120490612</v>
      </c>
      <c r="L987" s="17"/>
      <c r="M987" s="16"/>
    </row>
    <row r="988" spans="1:13" s="17" customFormat="1" ht="47.25">
      <c r="A988" s="14"/>
      <c r="B988" s="125" t="s">
        <v>87</v>
      </c>
      <c r="C988" s="109" t="s">
        <v>510</v>
      </c>
      <c r="D988" s="108" t="s">
        <v>229</v>
      </c>
      <c r="E988" s="108" t="s">
        <v>13</v>
      </c>
      <c r="F988" s="108" t="s">
        <v>88</v>
      </c>
      <c r="G988" s="108" t="s">
        <v>9</v>
      </c>
      <c r="H988" s="126">
        <v>7869069.7199999997</v>
      </c>
      <c r="I988" s="108">
        <v>9800000000</v>
      </c>
      <c r="J988" s="108" t="str">
        <f t="shared" si="62"/>
        <v>9800000000</v>
      </c>
      <c r="K988" s="304" t="str">
        <f t="shared" si="61"/>
        <v>60707039800000000000</v>
      </c>
      <c r="L988" s="17" t="str">
        <f>INDEX('реш СГД № 265'!$A:$N,MATCH('БА расх 2018 31 12 2018'!$K988,'реш СГД № 265'!$N:$N,0),3)</f>
        <v>Реализация иных функций Ставропольской городской Думы, администрации города Ставрополя, ее отраслевых (функциональных) и территориальных органов</v>
      </c>
      <c r="M988" s="16">
        <f t="shared" si="63"/>
        <v>1</v>
      </c>
    </row>
    <row r="989" spans="1:13" s="17" customFormat="1" ht="15.75">
      <c r="A989" s="14"/>
      <c r="B989" s="125" t="s">
        <v>89</v>
      </c>
      <c r="C989" s="109" t="s">
        <v>510</v>
      </c>
      <c r="D989" s="108" t="s">
        <v>229</v>
      </c>
      <c r="E989" s="108" t="s">
        <v>13</v>
      </c>
      <c r="F989" s="108" t="s">
        <v>90</v>
      </c>
      <c r="G989" s="108" t="s">
        <v>9</v>
      </c>
      <c r="H989" s="126">
        <v>7869069.7199999997</v>
      </c>
      <c r="I989" s="108">
        <v>9810000000</v>
      </c>
      <c r="J989" s="108" t="str">
        <f t="shared" si="62"/>
        <v>9810000000</v>
      </c>
      <c r="K989" s="304" t="str">
        <f t="shared" si="61"/>
        <v>60707039810000000000</v>
      </c>
      <c r="L989" s="17" t="str">
        <f>INDEX('реш СГД № 265'!$A:$N,MATCH('БА расх 2018 31 12 2018'!$K989,'реш СГД № 265'!$N:$N,0),3)</f>
        <v>Иные непрограммные мероприятия</v>
      </c>
      <c r="M989" s="16">
        <f t="shared" si="63"/>
        <v>1</v>
      </c>
    </row>
    <row r="990" spans="1:13" s="17" customFormat="1" ht="141.75">
      <c r="A990" s="14"/>
      <c r="B990" s="125" t="s">
        <v>540</v>
      </c>
      <c r="C990" s="109" t="s">
        <v>510</v>
      </c>
      <c r="D990" s="108" t="s">
        <v>229</v>
      </c>
      <c r="E990" s="108" t="s">
        <v>13</v>
      </c>
      <c r="F990" s="108" t="s">
        <v>541</v>
      </c>
      <c r="G990" s="108" t="s">
        <v>9</v>
      </c>
      <c r="H990" s="126">
        <v>7869069.7199999997</v>
      </c>
      <c r="I990" s="108">
        <v>9810021530</v>
      </c>
      <c r="J990" s="108" t="str">
        <f t="shared" si="62"/>
        <v>9810021530</v>
      </c>
      <c r="K990" s="304" t="str">
        <f t="shared" si="61"/>
        <v>60707039810021530000</v>
      </c>
      <c r="L990" s="17" t="str">
        <f>INDEX('реш СГД № 265'!$A:$N,MATCH('БА расх 2018 31 12 2018'!$K990,'реш СГД № 265'!$N:$N,0),3)</f>
        <v>Расходы на перерасчет заработной платы педагогическим работникам учреждений дополнительного образования  детей в сфере культуры в соответствии с приказом Министерства образования и науки Российской Федерации от 22 декабря 2014 г. № 1601 «О продолжительности рабочего времени (нормах часов педагогической работы за ставку заработной платы) педагогических работников и о Порядке определения учебной нагрузки педагогических работников, оговариваемой в трудовом договоре»</v>
      </c>
      <c r="M990" s="16">
        <f t="shared" si="63"/>
        <v>1</v>
      </c>
    </row>
    <row r="991" spans="1:13" s="17" customFormat="1" ht="15.75">
      <c r="A991" s="14"/>
      <c r="B991" s="132" t="s">
        <v>403</v>
      </c>
      <c r="C991" s="109" t="s">
        <v>510</v>
      </c>
      <c r="D991" s="108" t="s">
        <v>229</v>
      </c>
      <c r="E991" s="108" t="s">
        <v>13</v>
      </c>
      <c r="F991" s="108" t="s">
        <v>541</v>
      </c>
      <c r="G991" s="108" t="s">
        <v>404</v>
      </c>
      <c r="H991" s="126">
        <v>6608176</v>
      </c>
      <c r="I991" s="108">
        <v>9810021530</v>
      </c>
      <c r="J991" s="108" t="str">
        <f t="shared" si="62"/>
        <v>9810021530</v>
      </c>
      <c r="K991" s="304" t="str">
        <f t="shared" si="61"/>
        <v>60707039810021530610</v>
      </c>
      <c r="L991" s="17" t="str">
        <f>INDEX('реш СГД № 265'!$A:$N,MATCH('БА расх 2018 31 12 2018'!$K991,'реш СГД № 265'!$N:$N,0),3)</f>
        <v>Субсидии бюджетным учреждениям</v>
      </c>
      <c r="M991" s="16">
        <f t="shared" si="63"/>
        <v>1</v>
      </c>
    </row>
    <row r="992" spans="1:13" s="24" customFormat="1" ht="15.75">
      <c r="A992" s="21"/>
      <c r="B992" s="127" t="s">
        <v>407</v>
      </c>
      <c r="C992" s="109" t="s">
        <v>510</v>
      </c>
      <c r="D992" s="108" t="s">
        <v>229</v>
      </c>
      <c r="E992" s="108" t="s">
        <v>13</v>
      </c>
      <c r="F992" s="108" t="s">
        <v>541</v>
      </c>
      <c r="G992" s="108" t="s">
        <v>408</v>
      </c>
      <c r="H992" s="126">
        <v>6608176</v>
      </c>
      <c r="I992" s="108">
        <v>9810021530</v>
      </c>
      <c r="J992" s="108" t="str">
        <f t="shared" si="62"/>
        <v>9810021530</v>
      </c>
      <c r="K992" s="304" t="str">
        <f t="shared" si="61"/>
        <v>60707039810021530612</v>
      </c>
      <c r="L992" s="17"/>
      <c r="M992" s="16"/>
    </row>
    <row r="993" spans="1:13" s="17" customFormat="1" ht="15.75">
      <c r="A993" s="14"/>
      <c r="B993" s="132" t="s">
        <v>409</v>
      </c>
      <c r="C993" s="109" t="s">
        <v>510</v>
      </c>
      <c r="D993" s="108" t="s">
        <v>229</v>
      </c>
      <c r="E993" s="108" t="s">
        <v>13</v>
      </c>
      <c r="F993" s="108" t="s">
        <v>541</v>
      </c>
      <c r="G993" s="108" t="s">
        <v>410</v>
      </c>
      <c r="H993" s="126">
        <v>1260893.72</v>
      </c>
      <c r="I993" s="108">
        <v>9810021530</v>
      </c>
      <c r="J993" s="108" t="str">
        <f t="shared" si="62"/>
        <v>9810021530</v>
      </c>
      <c r="K993" s="304" t="str">
        <f t="shared" si="61"/>
        <v>60707039810021530620</v>
      </c>
      <c r="L993" s="17" t="str">
        <f>INDEX('реш СГД № 265'!$A:$N,MATCH('БА расх 2018 31 12 2018'!$K993,'реш СГД № 265'!$N:$N,0),3)</f>
        <v>Субсидии автономным учреждениям</v>
      </c>
      <c r="M993" s="16">
        <f t="shared" si="63"/>
        <v>1</v>
      </c>
    </row>
    <row r="994" spans="1:13" s="24" customFormat="1" ht="15.75">
      <c r="A994" s="21"/>
      <c r="B994" s="127" t="s">
        <v>428</v>
      </c>
      <c r="C994" s="109" t="s">
        <v>510</v>
      </c>
      <c r="D994" s="108" t="s">
        <v>229</v>
      </c>
      <c r="E994" s="108" t="s">
        <v>13</v>
      </c>
      <c r="F994" s="108" t="s">
        <v>541</v>
      </c>
      <c r="G994" s="108" t="s">
        <v>429</v>
      </c>
      <c r="H994" s="126">
        <v>1260893.72</v>
      </c>
      <c r="I994" s="108">
        <v>9810021530</v>
      </c>
      <c r="J994" s="108" t="str">
        <f t="shared" si="62"/>
        <v>9810021530</v>
      </c>
      <c r="K994" s="304" t="str">
        <f t="shared" si="61"/>
        <v>60707039810021530622</v>
      </c>
      <c r="L994" s="17"/>
      <c r="M994" s="16"/>
    </row>
    <row r="995" spans="1:13" s="17" customFormat="1" ht="15.75">
      <c r="A995" s="14"/>
      <c r="B995" s="121" t="s">
        <v>464</v>
      </c>
      <c r="C995" s="122" t="s">
        <v>510</v>
      </c>
      <c r="D995" s="123" t="s">
        <v>229</v>
      </c>
      <c r="E995" s="123" t="s">
        <v>229</v>
      </c>
      <c r="F995" s="123" t="s">
        <v>8</v>
      </c>
      <c r="G995" s="123" t="s">
        <v>9</v>
      </c>
      <c r="H995" s="124">
        <v>34196795.640000001</v>
      </c>
      <c r="I995" s="123">
        <v>0</v>
      </c>
      <c r="J995" s="123" t="str">
        <f t="shared" si="62"/>
        <v>0000000000</v>
      </c>
      <c r="K995" s="304" t="str">
        <f t="shared" si="61"/>
        <v>60707070000000000000</v>
      </c>
      <c r="L995" s="17" t="str">
        <f>INDEX('реш СГД № 265'!$A:$N,MATCH('БА расх 2018 31 12 2018'!$K995,'реш СГД № 265'!$N:$N,0),3)</f>
        <v>Молодежная политика</v>
      </c>
      <c r="M995" s="16">
        <f t="shared" si="63"/>
        <v>1</v>
      </c>
    </row>
    <row r="996" spans="1:13" s="17" customFormat="1" ht="63">
      <c r="A996" s="14"/>
      <c r="B996" s="127" t="s">
        <v>293</v>
      </c>
      <c r="C996" s="109" t="s">
        <v>510</v>
      </c>
      <c r="D996" s="108" t="s">
        <v>229</v>
      </c>
      <c r="E996" s="108" t="s">
        <v>229</v>
      </c>
      <c r="F996" s="108" t="s">
        <v>294</v>
      </c>
      <c r="G996" s="108" t="s">
        <v>9</v>
      </c>
      <c r="H996" s="126">
        <v>187500</v>
      </c>
      <c r="I996" s="108">
        <v>400000000</v>
      </c>
      <c r="J996" s="108" t="str">
        <f t="shared" si="62"/>
        <v>0400000000</v>
      </c>
      <c r="K996" s="304" t="str">
        <f t="shared" si="61"/>
        <v>60707070400000000000</v>
      </c>
      <c r="L996" s="17" t="str">
        <f>INDEX('реш СГД № 265'!$A:$N,MATCH('БА расх 2018 31 12 2018'!$K996,'реш СГД № 265'!$N:$N,0),3)</f>
        <v>Муниципальная программа «Развитие жилищно-коммунального хозяйства, транспортной системы на территории города Ставрополя, благоустройство территории города Ставрополя»</v>
      </c>
      <c r="M996" s="16">
        <f t="shared" si="63"/>
        <v>1</v>
      </c>
    </row>
    <row r="997" spans="1:13" s="17" customFormat="1" ht="31.5">
      <c r="A997" s="14"/>
      <c r="B997" s="132" t="s">
        <v>2283</v>
      </c>
      <c r="C997" s="109" t="s">
        <v>510</v>
      </c>
      <c r="D997" s="108" t="s">
        <v>229</v>
      </c>
      <c r="E997" s="108" t="s">
        <v>229</v>
      </c>
      <c r="F997" s="108" t="s">
        <v>308</v>
      </c>
      <c r="G997" s="108" t="s">
        <v>9</v>
      </c>
      <c r="H997" s="126">
        <v>187500</v>
      </c>
      <c r="I997" s="108">
        <v>430000000</v>
      </c>
      <c r="J997" s="108" t="str">
        <f t="shared" si="62"/>
        <v>0430000000</v>
      </c>
      <c r="K997" s="304" t="str">
        <f t="shared" si="61"/>
        <v>60707070430000000000</v>
      </c>
      <c r="L997" s="132" t="str">
        <f>INDEX('реш СГД № 265'!$A:$N,MATCH('БА расх 2018 31 12 2018'!$K997,'реш СГД № 265'!$N:$N,0),3)</f>
        <v>Подпрограмма «Благоустройство территории города Ставрополя»</v>
      </c>
      <c r="M997" s="17">
        <f t="shared" si="63"/>
        <v>1</v>
      </c>
    </row>
    <row r="998" spans="1:13" s="17" customFormat="1" ht="31.5">
      <c r="A998" s="14"/>
      <c r="B998" s="307" t="s">
        <v>309</v>
      </c>
      <c r="C998" s="109" t="s">
        <v>510</v>
      </c>
      <c r="D998" s="108" t="s">
        <v>229</v>
      </c>
      <c r="E998" s="108" t="s">
        <v>229</v>
      </c>
      <c r="F998" s="108" t="s">
        <v>310</v>
      </c>
      <c r="G998" s="108" t="s">
        <v>9</v>
      </c>
      <c r="H998" s="126">
        <v>187500</v>
      </c>
      <c r="I998" s="108">
        <v>430400000</v>
      </c>
      <c r="J998" s="108" t="str">
        <f t="shared" si="62"/>
        <v>0430400000</v>
      </c>
      <c r="K998" s="304" t="str">
        <f t="shared" si="61"/>
        <v>60707070430400000000</v>
      </c>
      <c r="L998" s="17" t="str">
        <f>INDEX('реш СГД № 265'!$A:$N,MATCH('БА расх 2018 31 12 2018'!$K998,'реш СГД № 265'!$N:$N,0),3)</f>
        <v>Основное мероприятие «Благоустройство территории города Ставрополя»</v>
      </c>
      <c r="M998" s="16">
        <f t="shared" si="63"/>
        <v>1</v>
      </c>
    </row>
    <row r="999" spans="1:13" s="17" customFormat="1" ht="31.5">
      <c r="A999" s="14"/>
      <c r="B999" s="127" t="s">
        <v>542</v>
      </c>
      <c r="C999" s="109" t="s">
        <v>510</v>
      </c>
      <c r="D999" s="108" t="s">
        <v>229</v>
      </c>
      <c r="E999" s="108" t="s">
        <v>229</v>
      </c>
      <c r="F999" s="108" t="s">
        <v>543</v>
      </c>
      <c r="G999" s="108" t="s">
        <v>9</v>
      </c>
      <c r="H999" s="126">
        <v>187500</v>
      </c>
      <c r="I999" s="108">
        <v>430420300</v>
      </c>
      <c r="J999" s="108" t="str">
        <f t="shared" si="62"/>
        <v>0430420300</v>
      </c>
      <c r="K999" s="304" t="str">
        <f t="shared" si="61"/>
        <v>60707070430420300000</v>
      </c>
      <c r="L999" s="17" t="str">
        <f>INDEX('реш СГД № 265'!$A:$N,MATCH('БА расх 2018 31 12 2018'!$K999,'реш СГД № 265'!$N:$N,0),3)</f>
        <v>Расходы на прочие мероприятия по благоустройству территории города Ставрополя</v>
      </c>
      <c r="M999" s="16">
        <f t="shared" si="63"/>
        <v>1</v>
      </c>
    </row>
    <row r="1000" spans="1:13" s="17" customFormat="1" ht="31.5">
      <c r="A1000" s="14"/>
      <c r="B1000" s="125" t="s">
        <v>28</v>
      </c>
      <c r="C1000" s="109" t="s">
        <v>510</v>
      </c>
      <c r="D1000" s="108" t="s">
        <v>229</v>
      </c>
      <c r="E1000" s="108" t="s">
        <v>229</v>
      </c>
      <c r="F1000" s="108" t="s">
        <v>543</v>
      </c>
      <c r="G1000" s="108" t="s">
        <v>29</v>
      </c>
      <c r="H1000" s="126">
        <v>187500</v>
      </c>
      <c r="I1000" s="108">
        <v>430420300</v>
      </c>
      <c r="J1000" s="108" t="str">
        <f t="shared" si="62"/>
        <v>0430420300</v>
      </c>
      <c r="K1000" s="304" t="str">
        <f t="shared" si="61"/>
        <v>60707070430420300240</v>
      </c>
      <c r="L1000" s="17" t="str">
        <f>INDEX('реш СГД № 265'!$A:$N,MATCH('БА расх 2018 31 12 2018'!$K1000,'реш СГД № 265'!$N:$N,0),3)</f>
        <v>Иные закупки товаров, работ и услуг для обеспечения государственных (муниципальных) нужд</v>
      </c>
      <c r="M1000" s="16">
        <f t="shared" si="63"/>
        <v>1</v>
      </c>
    </row>
    <row r="1001" spans="1:13" s="17" customFormat="1" ht="15.75">
      <c r="A1001" s="14"/>
      <c r="B1001" s="125" t="s">
        <v>30</v>
      </c>
      <c r="C1001" s="109" t="s">
        <v>510</v>
      </c>
      <c r="D1001" s="108" t="s">
        <v>229</v>
      </c>
      <c r="E1001" s="108" t="s">
        <v>229</v>
      </c>
      <c r="F1001" s="108" t="s">
        <v>543</v>
      </c>
      <c r="G1001" s="108" t="s">
        <v>31</v>
      </c>
      <c r="H1001" s="126">
        <v>187500</v>
      </c>
      <c r="I1001" s="108">
        <v>430420300</v>
      </c>
      <c r="J1001" s="108" t="str">
        <f t="shared" si="62"/>
        <v>0430420300</v>
      </c>
      <c r="K1001" s="304" t="str">
        <f t="shared" si="61"/>
        <v>60707070430420300244</v>
      </c>
      <c r="M1001" s="16"/>
    </row>
    <row r="1002" spans="1:13" s="17" customFormat="1" ht="15.75">
      <c r="A1002" s="14"/>
      <c r="B1002" s="145" t="s">
        <v>544</v>
      </c>
      <c r="C1002" s="109" t="s">
        <v>510</v>
      </c>
      <c r="D1002" s="108" t="s">
        <v>229</v>
      </c>
      <c r="E1002" s="108" t="s">
        <v>229</v>
      </c>
      <c r="F1002" s="108" t="s">
        <v>545</v>
      </c>
      <c r="G1002" s="108" t="s">
        <v>9</v>
      </c>
      <c r="H1002" s="126">
        <v>33619295.640000001</v>
      </c>
      <c r="I1002" s="108">
        <v>900000000</v>
      </c>
      <c r="J1002" s="108" t="str">
        <f t="shared" si="62"/>
        <v>0900000000</v>
      </c>
      <c r="K1002" s="304" t="str">
        <f t="shared" si="61"/>
        <v>60707070900000000000</v>
      </c>
      <c r="L1002" s="17" t="str">
        <f>INDEX('реш СГД № 265'!$A:$N,MATCH('БА расх 2018 31 12 2018'!$K1002,'реш СГД № 265'!$N:$N,0),3)</f>
        <v>Муниципальная программа «Молодежь города Ставрополя»</v>
      </c>
      <c r="M1002" s="16">
        <f t="shared" si="63"/>
        <v>1</v>
      </c>
    </row>
    <row r="1003" spans="1:13" s="17" customFormat="1" ht="31.5">
      <c r="A1003" s="14"/>
      <c r="B1003" s="145" t="s">
        <v>546</v>
      </c>
      <c r="C1003" s="109" t="s">
        <v>510</v>
      </c>
      <c r="D1003" s="108" t="s">
        <v>229</v>
      </c>
      <c r="E1003" s="108" t="s">
        <v>229</v>
      </c>
      <c r="F1003" s="108" t="s">
        <v>547</v>
      </c>
      <c r="G1003" s="108" t="s">
        <v>9</v>
      </c>
      <c r="H1003" s="126">
        <v>33619295.640000001</v>
      </c>
      <c r="I1003" s="108" t="s">
        <v>1207</v>
      </c>
      <c r="J1003" s="108" t="str">
        <f t="shared" si="62"/>
        <v>09Б0000000</v>
      </c>
      <c r="K1003" s="304" t="str">
        <f t="shared" ref="K1003:K1066" si="69">C1003&amp;D1003&amp;E1003&amp;J1003&amp;G1003</f>
        <v>607070709Б0000000000</v>
      </c>
      <c r="L1003" s="17" t="str">
        <f>INDEX('реш СГД № 265'!$A:$N,MATCH('БА расх 2018 31 12 2018'!$K1003,'реш СГД № 265'!$N:$N,0),3)</f>
        <v>Расходы в рамках реализации муниципальной программы «Молодежь города Ставрополя»</v>
      </c>
      <c r="M1003" s="16">
        <f t="shared" si="63"/>
        <v>1</v>
      </c>
    </row>
    <row r="1004" spans="1:13" s="17" customFormat="1" ht="31.5">
      <c r="A1004" s="14"/>
      <c r="B1004" s="127" t="s">
        <v>548</v>
      </c>
      <c r="C1004" s="109" t="s">
        <v>510</v>
      </c>
      <c r="D1004" s="108" t="s">
        <v>229</v>
      </c>
      <c r="E1004" s="108" t="s">
        <v>229</v>
      </c>
      <c r="F1004" s="108" t="s">
        <v>549</v>
      </c>
      <c r="G1004" s="108" t="s">
        <v>9</v>
      </c>
      <c r="H1004" s="126">
        <v>779000</v>
      </c>
      <c r="I1004" s="108" t="s">
        <v>1208</v>
      </c>
      <c r="J1004" s="108" t="str">
        <f t="shared" ref="J1004:J1067" si="70">TEXT(I1004,"0000000000")</f>
        <v>09Б0100000</v>
      </c>
      <c r="K1004" s="304" t="str">
        <f t="shared" si="69"/>
        <v>607070709Б0100000000</v>
      </c>
      <c r="L1004" s="17" t="str">
        <f>INDEX('реш СГД № 265'!$A:$N,MATCH('БА расх 2018 31 12 2018'!$K1004,'реш СГД № 265'!$N:$N,0),3)</f>
        <v>Основное мероприятие «Проведение мероприятий по гражданскому и патриотическому воспитанию молодежи»</v>
      </c>
      <c r="M1004" s="16">
        <f t="shared" ref="M1004:M1067" si="71">IF(B1004=L1004,1,0)</f>
        <v>1</v>
      </c>
    </row>
    <row r="1005" spans="1:13" s="17" customFormat="1" ht="47.25">
      <c r="A1005" s="14"/>
      <c r="B1005" s="125" t="s">
        <v>550</v>
      </c>
      <c r="C1005" s="109" t="s">
        <v>510</v>
      </c>
      <c r="D1005" s="108" t="s">
        <v>229</v>
      </c>
      <c r="E1005" s="108" t="s">
        <v>229</v>
      </c>
      <c r="F1005" s="108" t="s">
        <v>551</v>
      </c>
      <c r="G1005" s="108" t="s">
        <v>9</v>
      </c>
      <c r="H1005" s="126">
        <v>779000</v>
      </c>
      <c r="I1005" s="108" t="s">
        <v>1209</v>
      </c>
      <c r="J1005" s="108" t="str">
        <f t="shared" si="70"/>
        <v>09Б0120460</v>
      </c>
      <c r="K1005" s="304" t="str">
        <f t="shared" si="69"/>
        <v>607070709Б0120460000</v>
      </c>
      <c r="L1005" s="17" t="str">
        <f>INDEX('реш СГД № 265'!$A:$N,MATCH('БА расх 2018 31 12 2018'!$K1005,'реш СГД № 265'!$N:$N,0),3)</f>
        <v>Расходы на создание условий для интеграции молодежи в процессы социально-экономического, общественно-политического, культурного развития города Ставрополя</v>
      </c>
      <c r="M1005" s="16">
        <f t="shared" si="71"/>
        <v>1</v>
      </c>
    </row>
    <row r="1006" spans="1:13" s="17" customFormat="1" ht="15.75">
      <c r="A1006" s="14"/>
      <c r="B1006" s="132" t="s">
        <v>403</v>
      </c>
      <c r="C1006" s="109" t="s">
        <v>510</v>
      </c>
      <c r="D1006" s="108" t="s">
        <v>229</v>
      </c>
      <c r="E1006" s="108" t="s">
        <v>229</v>
      </c>
      <c r="F1006" s="108" t="s">
        <v>551</v>
      </c>
      <c r="G1006" s="108" t="s">
        <v>404</v>
      </c>
      <c r="H1006" s="126">
        <v>779000</v>
      </c>
      <c r="I1006" s="108" t="s">
        <v>1209</v>
      </c>
      <c r="J1006" s="108" t="str">
        <f t="shared" si="70"/>
        <v>09Б0120460</v>
      </c>
      <c r="K1006" s="304" t="str">
        <f t="shared" si="69"/>
        <v>607070709Б0120460610</v>
      </c>
      <c r="L1006" s="17" t="str">
        <f>INDEX('реш СГД № 265'!$A:$N,MATCH('БА расх 2018 31 12 2018'!$K1006,'реш СГД № 265'!$N:$N,0),3)</f>
        <v>Субсидии бюджетным учреждениям</v>
      </c>
      <c r="M1006" s="16">
        <f t="shared" si="71"/>
        <v>1</v>
      </c>
    </row>
    <row r="1007" spans="1:13" s="24" customFormat="1" ht="63">
      <c r="A1007" s="21"/>
      <c r="B1007" s="127" t="s">
        <v>405</v>
      </c>
      <c r="C1007" s="109" t="s">
        <v>510</v>
      </c>
      <c r="D1007" s="108" t="s">
        <v>229</v>
      </c>
      <c r="E1007" s="108" t="s">
        <v>229</v>
      </c>
      <c r="F1007" s="108" t="s">
        <v>551</v>
      </c>
      <c r="G1007" s="108" t="s">
        <v>406</v>
      </c>
      <c r="H1007" s="126">
        <v>779000</v>
      </c>
      <c r="I1007" s="108" t="s">
        <v>1209</v>
      </c>
      <c r="J1007" s="108" t="str">
        <f t="shared" si="70"/>
        <v>09Б0120460</v>
      </c>
      <c r="K1007" s="304" t="str">
        <f t="shared" si="69"/>
        <v>607070709Б0120460611</v>
      </c>
      <c r="L1007" s="17"/>
      <c r="M1007" s="16"/>
    </row>
    <row r="1008" spans="1:13" s="17" customFormat="1" ht="47.25">
      <c r="A1008" s="14"/>
      <c r="B1008" s="127" t="s">
        <v>552</v>
      </c>
      <c r="C1008" s="109" t="s">
        <v>510</v>
      </c>
      <c r="D1008" s="108" t="s">
        <v>229</v>
      </c>
      <c r="E1008" s="108" t="s">
        <v>229</v>
      </c>
      <c r="F1008" s="108" t="s">
        <v>553</v>
      </c>
      <c r="G1008" s="108" t="s">
        <v>9</v>
      </c>
      <c r="H1008" s="126">
        <v>28379500</v>
      </c>
      <c r="I1008" s="108" t="s">
        <v>1210</v>
      </c>
      <c r="J1008" s="108" t="str">
        <f t="shared" si="70"/>
        <v>09Б0200000</v>
      </c>
      <c r="K1008" s="304" t="str">
        <f t="shared" si="69"/>
        <v>607070709Б0200000000</v>
      </c>
      <c r="L1008" s="17" t="str">
        <f>INDEX('реш СГД № 265'!$A:$N,MATCH('БА расх 2018 31 12 2018'!$K1008,'реш СГД № 265'!$N:$N,0),3)</f>
        <v>Основное мероприятие «Создание системы поддержки  и поощрения талантливой и успешной молодежи города Ставрополя»</v>
      </c>
      <c r="M1008" s="16">
        <f t="shared" si="71"/>
        <v>1</v>
      </c>
    </row>
    <row r="1009" spans="1:13" s="17" customFormat="1" ht="47.25">
      <c r="A1009" s="14"/>
      <c r="B1009" s="125" t="s">
        <v>550</v>
      </c>
      <c r="C1009" s="109" t="s">
        <v>510</v>
      </c>
      <c r="D1009" s="108" t="s">
        <v>229</v>
      </c>
      <c r="E1009" s="108" t="s">
        <v>229</v>
      </c>
      <c r="F1009" s="108" t="s">
        <v>554</v>
      </c>
      <c r="G1009" s="108" t="s">
        <v>9</v>
      </c>
      <c r="H1009" s="126">
        <v>5064500</v>
      </c>
      <c r="I1009" s="108" t="s">
        <v>1211</v>
      </c>
      <c r="J1009" s="108" t="str">
        <f t="shared" si="70"/>
        <v>09Б0220460</v>
      </c>
      <c r="K1009" s="304" t="str">
        <f t="shared" si="69"/>
        <v>607070709Б0220460000</v>
      </c>
      <c r="L1009" s="17" t="str">
        <f>INDEX('реш СГД № 265'!$A:$N,MATCH('БА расх 2018 31 12 2018'!$K1009,'реш СГД № 265'!$N:$N,0),3)</f>
        <v>Расходы на создание условий для интеграции молодежи в процессы социально-экономического, общественно-политического, культурного развития города Ставрополя</v>
      </c>
      <c r="M1009" s="16">
        <f t="shared" si="71"/>
        <v>1</v>
      </c>
    </row>
    <row r="1010" spans="1:13" s="17" customFormat="1" ht="31.5">
      <c r="A1010" s="14"/>
      <c r="B1010" s="125" t="s">
        <v>28</v>
      </c>
      <c r="C1010" s="109" t="s">
        <v>510</v>
      </c>
      <c r="D1010" s="108" t="s">
        <v>229</v>
      </c>
      <c r="E1010" s="108" t="s">
        <v>229</v>
      </c>
      <c r="F1010" s="108" t="s">
        <v>554</v>
      </c>
      <c r="G1010" s="108" t="s">
        <v>29</v>
      </c>
      <c r="H1010" s="126">
        <v>549500</v>
      </c>
      <c r="I1010" s="108" t="s">
        <v>1211</v>
      </c>
      <c r="J1010" s="108" t="str">
        <f t="shared" si="70"/>
        <v>09Б0220460</v>
      </c>
      <c r="K1010" s="304" t="str">
        <f t="shared" si="69"/>
        <v>607070709Б0220460240</v>
      </c>
      <c r="L1010" s="17" t="str">
        <f>INDEX('реш СГД № 265'!$A:$N,MATCH('БА расх 2018 31 12 2018'!$K1010,'реш СГД № 265'!$N:$N,0),3)</f>
        <v>Иные закупки товаров, работ и услуг для обеспечения государственных (муниципальных) нужд</v>
      </c>
      <c r="M1010" s="16">
        <f t="shared" si="71"/>
        <v>1</v>
      </c>
    </row>
    <row r="1011" spans="1:13" s="17" customFormat="1" ht="15.75">
      <c r="A1011" s="14"/>
      <c r="B1011" s="125" t="s">
        <v>30</v>
      </c>
      <c r="C1011" s="109" t="s">
        <v>510</v>
      </c>
      <c r="D1011" s="108" t="s">
        <v>229</v>
      </c>
      <c r="E1011" s="108" t="s">
        <v>229</v>
      </c>
      <c r="F1011" s="108" t="s">
        <v>554</v>
      </c>
      <c r="G1011" s="108" t="s">
        <v>31</v>
      </c>
      <c r="H1011" s="126">
        <v>549500</v>
      </c>
      <c r="I1011" s="108" t="s">
        <v>1211</v>
      </c>
      <c r="J1011" s="108" t="str">
        <f t="shared" si="70"/>
        <v>09Б0220460</v>
      </c>
      <c r="K1011" s="304" t="str">
        <f t="shared" si="69"/>
        <v>607070709Б0220460244</v>
      </c>
      <c r="M1011" s="16"/>
    </row>
    <row r="1012" spans="1:13" s="17" customFormat="1" ht="15.75">
      <c r="A1012" s="14"/>
      <c r="B1012" s="125" t="s">
        <v>555</v>
      </c>
      <c r="C1012" s="109" t="s">
        <v>510</v>
      </c>
      <c r="D1012" s="108" t="s">
        <v>229</v>
      </c>
      <c r="E1012" s="108" t="s">
        <v>229</v>
      </c>
      <c r="F1012" s="108" t="s">
        <v>554</v>
      </c>
      <c r="G1012" s="108" t="s">
        <v>556</v>
      </c>
      <c r="H1012" s="126">
        <v>2835000</v>
      </c>
      <c r="I1012" s="108" t="s">
        <v>1211</v>
      </c>
      <c r="J1012" s="108" t="str">
        <f t="shared" si="70"/>
        <v>09Б0220460</v>
      </c>
      <c r="K1012" s="304" t="str">
        <f t="shared" si="69"/>
        <v>607070709Б0220460340</v>
      </c>
      <c r="M1012" s="16"/>
    </row>
    <row r="1013" spans="1:13" s="17" customFormat="1" ht="15.75">
      <c r="A1013" s="14"/>
      <c r="B1013" s="125" t="s">
        <v>163</v>
      </c>
      <c r="C1013" s="109" t="s">
        <v>510</v>
      </c>
      <c r="D1013" s="108" t="s">
        <v>229</v>
      </c>
      <c r="E1013" s="108" t="s">
        <v>229</v>
      </c>
      <c r="F1013" s="108" t="s">
        <v>554</v>
      </c>
      <c r="G1013" s="108" t="s">
        <v>164</v>
      </c>
      <c r="H1013" s="126">
        <v>250000</v>
      </c>
      <c r="I1013" s="108" t="s">
        <v>1211</v>
      </c>
      <c r="J1013" s="108" t="str">
        <f t="shared" si="70"/>
        <v>09Б0220460</v>
      </c>
      <c r="K1013" s="304" t="str">
        <f t="shared" si="69"/>
        <v>607070709Б0220460350</v>
      </c>
      <c r="M1013" s="16"/>
    </row>
    <row r="1014" spans="1:13" s="17" customFormat="1" ht="15.75">
      <c r="A1014" s="14"/>
      <c r="B1014" s="132" t="s">
        <v>403</v>
      </c>
      <c r="C1014" s="109" t="s">
        <v>510</v>
      </c>
      <c r="D1014" s="108" t="s">
        <v>229</v>
      </c>
      <c r="E1014" s="108" t="s">
        <v>229</v>
      </c>
      <c r="F1014" s="108" t="s">
        <v>554</v>
      </c>
      <c r="G1014" s="108" t="s">
        <v>404</v>
      </c>
      <c r="H1014" s="126">
        <v>1430000</v>
      </c>
      <c r="I1014" s="108" t="s">
        <v>1211</v>
      </c>
      <c r="J1014" s="108" t="str">
        <f t="shared" si="70"/>
        <v>09Б0220460</v>
      </c>
      <c r="K1014" s="304" t="str">
        <f t="shared" si="69"/>
        <v>607070709Б0220460610</v>
      </c>
      <c r="L1014" s="17" t="str">
        <f>INDEX('реш СГД № 265'!$A:$N,MATCH('БА расх 2018 31 12 2018'!$K1014,'реш СГД № 265'!$N:$N,0),3)</f>
        <v>Субсидии бюджетным учреждениям</v>
      </c>
      <c r="M1014" s="16">
        <f t="shared" si="71"/>
        <v>1</v>
      </c>
    </row>
    <row r="1015" spans="1:13" s="24" customFormat="1" ht="63">
      <c r="A1015" s="21"/>
      <c r="B1015" s="127" t="s">
        <v>405</v>
      </c>
      <c r="C1015" s="109" t="s">
        <v>510</v>
      </c>
      <c r="D1015" s="108" t="s">
        <v>229</v>
      </c>
      <c r="E1015" s="108" t="s">
        <v>229</v>
      </c>
      <c r="F1015" s="108" t="s">
        <v>554</v>
      </c>
      <c r="G1015" s="108" t="s">
        <v>406</v>
      </c>
      <c r="H1015" s="126">
        <v>1430000</v>
      </c>
      <c r="I1015" s="108" t="s">
        <v>1211</v>
      </c>
      <c r="J1015" s="108" t="str">
        <f t="shared" si="70"/>
        <v>09Б0220460</v>
      </c>
      <c r="K1015" s="304" t="str">
        <f t="shared" si="69"/>
        <v>607070709Б0220460611</v>
      </c>
      <c r="L1015" s="17"/>
      <c r="M1015" s="16"/>
    </row>
    <row r="1016" spans="1:13" s="24" customFormat="1" ht="31.5">
      <c r="A1016" s="21"/>
      <c r="B1016" s="132" t="s">
        <v>1041</v>
      </c>
      <c r="C1016" s="109" t="s">
        <v>510</v>
      </c>
      <c r="D1016" s="108" t="s">
        <v>229</v>
      </c>
      <c r="E1016" s="108" t="s">
        <v>229</v>
      </c>
      <c r="F1016" s="108" t="s">
        <v>1042</v>
      </c>
      <c r="G1016" s="108" t="s">
        <v>9</v>
      </c>
      <c r="H1016" s="126">
        <v>23315000</v>
      </c>
      <c r="I1016" s="108" t="s">
        <v>1212</v>
      </c>
      <c r="J1016" s="108" t="str">
        <f t="shared" si="70"/>
        <v>09Б0277430</v>
      </c>
      <c r="K1016" s="304" t="str">
        <f t="shared" si="69"/>
        <v>607070709Б0277430000</v>
      </c>
      <c r="L1016" s="17" t="str">
        <f>INDEX('реш СГД № 265'!$A:$N,MATCH('БА расх 2018 31 12 2018'!$K1016,'реш СГД № 265'!$N:$N,0),3)</f>
        <v>Мероприятия по подготовке и проведению XXVI Всероссийского фестиваля «Российская студенческая весна»</v>
      </c>
      <c r="M1016" s="16">
        <f t="shared" si="71"/>
        <v>1</v>
      </c>
    </row>
    <row r="1017" spans="1:13" s="24" customFormat="1" ht="15.75">
      <c r="A1017" s="21"/>
      <c r="B1017" s="306" t="s">
        <v>409</v>
      </c>
      <c r="C1017" s="109" t="s">
        <v>510</v>
      </c>
      <c r="D1017" s="108" t="s">
        <v>229</v>
      </c>
      <c r="E1017" s="108" t="s">
        <v>229</v>
      </c>
      <c r="F1017" s="108" t="s">
        <v>1042</v>
      </c>
      <c r="G1017" s="108" t="s">
        <v>410</v>
      </c>
      <c r="H1017" s="126">
        <v>23315000</v>
      </c>
      <c r="I1017" s="108" t="s">
        <v>1212</v>
      </c>
      <c r="J1017" s="108" t="str">
        <f t="shared" si="70"/>
        <v>09Б0277430</v>
      </c>
      <c r="K1017" s="304" t="str">
        <f t="shared" si="69"/>
        <v>607070709Б0277430620</v>
      </c>
      <c r="L1017" s="17" t="str">
        <f>INDEX('реш СГД № 265'!$A:$N,MATCH('БА расх 2018 31 12 2018'!$K1017,'реш СГД № 265'!$N:$N,0),3)</f>
        <v>Субсидии автономным учреждениям</v>
      </c>
      <c r="M1017" s="16">
        <f t="shared" si="71"/>
        <v>1</v>
      </c>
    </row>
    <row r="1018" spans="1:13" s="24" customFormat="1" ht="15.75">
      <c r="A1018" s="21"/>
      <c r="B1018" s="127" t="s">
        <v>428</v>
      </c>
      <c r="C1018" s="109" t="s">
        <v>510</v>
      </c>
      <c r="D1018" s="108" t="s">
        <v>229</v>
      </c>
      <c r="E1018" s="108" t="s">
        <v>229</v>
      </c>
      <c r="F1018" s="108" t="s">
        <v>1042</v>
      </c>
      <c r="G1018" s="108" t="s">
        <v>429</v>
      </c>
      <c r="H1018" s="126">
        <v>23315000</v>
      </c>
      <c r="I1018" s="108" t="s">
        <v>1212</v>
      </c>
      <c r="J1018" s="108" t="str">
        <f t="shared" si="70"/>
        <v>09Б0277430</v>
      </c>
      <c r="K1018" s="304" t="str">
        <f t="shared" si="69"/>
        <v>607070709Б0277430622</v>
      </c>
      <c r="L1018" s="17"/>
      <c r="M1018" s="16"/>
    </row>
    <row r="1019" spans="1:13" s="17" customFormat="1" ht="31.5">
      <c r="A1019" s="14"/>
      <c r="B1019" s="127" t="s">
        <v>557</v>
      </c>
      <c r="C1019" s="109" t="s">
        <v>510</v>
      </c>
      <c r="D1019" s="108" t="s">
        <v>229</v>
      </c>
      <c r="E1019" s="108" t="s">
        <v>229</v>
      </c>
      <c r="F1019" s="108" t="s">
        <v>558</v>
      </c>
      <c r="G1019" s="108" t="s">
        <v>9</v>
      </c>
      <c r="H1019" s="126">
        <v>180000</v>
      </c>
      <c r="I1019" s="108" t="s">
        <v>1213</v>
      </c>
      <c r="J1019" s="108" t="str">
        <f t="shared" si="70"/>
        <v>09Б0300000</v>
      </c>
      <c r="K1019" s="304" t="str">
        <f t="shared" si="69"/>
        <v>607070709Б0300000000</v>
      </c>
      <c r="L1019" s="17" t="str">
        <f>INDEX('реш СГД № 265'!$A:$N,MATCH('БА расх 2018 31 12 2018'!$K1019,'реш СГД № 265'!$N:$N,0),3)</f>
        <v>Основное мероприятие «Поддержка интеллектуальной и инновационной деятельности молодежи»</v>
      </c>
      <c r="M1019" s="16">
        <f t="shared" si="71"/>
        <v>1</v>
      </c>
    </row>
    <row r="1020" spans="1:13" s="17" customFormat="1" ht="47.25">
      <c r="A1020" s="14"/>
      <c r="B1020" s="125" t="s">
        <v>550</v>
      </c>
      <c r="C1020" s="109" t="s">
        <v>510</v>
      </c>
      <c r="D1020" s="108" t="s">
        <v>229</v>
      </c>
      <c r="E1020" s="108" t="s">
        <v>229</v>
      </c>
      <c r="F1020" s="108" t="s">
        <v>559</v>
      </c>
      <c r="G1020" s="108" t="s">
        <v>9</v>
      </c>
      <c r="H1020" s="126">
        <v>180000</v>
      </c>
      <c r="I1020" s="108" t="s">
        <v>1214</v>
      </c>
      <c r="J1020" s="108" t="str">
        <f t="shared" si="70"/>
        <v>09Б0320460</v>
      </c>
      <c r="K1020" s="304" t="str">
        <f t="shared" si="69"/>
        <v>607070709Б0320460000</v>
      </c>
      <c r="L1020" s="17" t="str">
        <f>INDEX('реш СГД № 265'!$A:$N,MATCH('БА расх 2018 31 12 2018'!$K1020,'реш СГД № 265'!$N:$N,0),3)</f>
        <v>Расходы на создание условий для интеграции молодежи в процессы социально-экономического, общественно-политического, культурного развития города Ставрополя</v>
      </c>
      <c r="M1020" s="16">
        <f t="shared" si="71"/>
        <v>1</v>
      </c>
    </row>
    <row r="1021" spans="1:13" s="17" customFormat="1" ht="15.75">
      <c r="A1021" s="14"/>
      <c r="B1021" s="132" t="s">
        <v>403</v>
      </c>
      <c r="C1021" s="109" t="s">
        <v>510</v>
      </c>
      <c r="D1021" s="108" t="s">
        <v>229</v>
      </c>
      <c r="E1021" s="108" t="s">
        <v>229</v>
      </c>
      <c r="F1021" s="108" t="s">
        <v>559</v>
      </c>
      <c r="G1021" s="108" t="s">
        <v>404</v>
      </c>
      <c r="H1021" s="126">
        <v>180000</v>
      </c>
      <c r="I1021" s="108" t="s">
        <v>1214</v>
      </c>
      <c r="J1021" s="108" t="str">
        <f t="shared" si="70"/>
        <v>09Б0320460</v>
      </c>
      <c r="K1021" s="304" t="str">
        <f t="shared" si="69"/>
        <v>607070709Б0320460610</v>
      </c>
      <c r="L1021" s="17" t="str">
        <f>INDEX('реш СГД № 265'!$A:$N,MATCH('БА расх 2018 31 12 2018'!$K1021,'реш СГД № 265'!$N:$N,0),3)</f>
        <v>Субсидии бюджетным учреждениям</v>
      </c>
      <c r="M1021" s="16">
        <f t="shared" si="71"/>
        <v>1</v>
      </c>
    </row>
    <row r="1022" spans="1:13" s="24" customFormat="1" ht="63">
      <c r="A1022" s="21"/>
      <c r="B1022" s="127" t="s">
        <v>405</v>
      </c>
      <c r="C1022" s="109" t="s">
        <v>510</v>
      </c>
      <c r="D1022" s="108" t="s">
        <v>229</v>
      </c>
      <c r="E1022" s="108" t="s">
        <v>229</v>
      </c>
      <c r="F1022" s="108" t="s">
        <v>559</v>
      </c>
      <c r="G1022" s="108" t="s">
        <v>406</v>
      </c>
      <c r="H1022" s="126">
        <v>180000</v>
      </c>
      <c r="I1022" s="108" t="s">
        <v>1214</v>
      </c>
      <c r="J1022" s="108" t="str">
        <f t="shared" si="70"/>
        <v>09Б0320460</v>
      </c>
      <c r="K1022" s="304" t="str">
        <f t="shared" si="69"/>
        <v>607070709Б0320460611</v>
      </c>
      <c r="L1022" s="17"/>
      <c r="M1022" s="16"/>
    </row>
    <row r="1023" spans="1:13" s="17" customFormat="1" ht="47.25">
      <c r="A1023" s="14"/>
      <c r="B1023" s="127" t="s">
        <v>560</v>
      </c>
      <c r="C1023" s="109" t="s">
        <v>510</v>
      </c>
      <c r="D1023" s="108" t="s">
        <v>229</v>
      </c>
      <c r="E1023" s="108" t="s">
        <v>229</v>
      </c>
      <c r="F1023" s="108" t="s">
        <v>561</v>
      </c>
      <c r="G1023" s="108" t="s">
        <v>9</v>
      </c>
      <c r="H1023" s="126">
        <v>310000</v>
      </c>
      <c r="I1023" s="108" t="s">
        <v>1215</v>
      </c>
      <c r="J1023" s="108" t="str">
        <f t="shared" si="70"/>
        <v>09Б0400000</v>
      </c>
      <c r="K1023" s="304" t="str">
        <f t="shared" si="69"/>
        <v>607070709Б0400000000</v>
      </c>
      <c r="L1023" s="17" t="str">
        <f>INDEX('реш СГД № 265'!$A:$N,MATCH('БА расх 2018 31 12 2018'!$K1023,'реш СГД № 265'!$N:$N,0),3)</f>
        <v>Основное мероприятие «Формирование условий для реализации молодежных инициатив и развития деятельности молодежных объединений»</v>
      </c>
      <c r="M1023" s="16">
        <f t="shared" si="71"/>
        <v>1</v>
      </c>
    </row>
    <row r="1024" spans="1:13" s="17" customFormat="1" ht="47.25">
      <c r="A1024" s="14"/>
      <c r="B1024" s="125" t="s">
        <v>550</v>
      </c>
      <c r="C1024" s="109" t="s">
        <v>510</v>
      </c>
      <c r="D1024" s="108" t="s">
        <v>229</v>
      </c>
      <c r="E1024" s="108" t="s">
        <v>229</v>
      </c>
      <c r="F1024" s="108" t="s">
        <v>562</v>
      </c>
      <c r="G1024" s="108" t="s">
        <v>9</v>
      </c>
      <c r="H1024" s="126">
        <v>310000</v>
      </c>
      <c r="I1024" s="108" t="s">
        <v>1216</v>
      </c>
      <c r="J1024" s="108" t="str">
        <f t="shared" si="70"/>
        <v>09Б0420460</v>
      </c>
      <c r="K1024" s="304" t="str">
        <f t="shared" si="69"/>
        <v>607070709Б0420460000</v>
      </c>
      <c r="L1024" s="17" t="str">
        <f>INDEX('реш СГД № 265'!$A:$N,MATCH('БА расх 2018 31 12 2018'!$K1024,'реш СГД № 265'!$N:$N,0),3)</f>
        <v>Расходы на создание условий для интеграции молодежи в процессы социально-экономического, общественно-политического, культурного развития города Ставрополя</v>
      </c>
      <c r="M1024" s="16">
        <f t="shared" si="71"/>
        <v>1</v>
      </c>
    </row>
    <row r="1025" spans="1:13" s="17" customFormat="1" ht="15.75">
      <c r="A1025" s="14"/>
      <c r="B1025" s="132" t="s">
        <v>403</v>
      </c>
      <c r="C1025" s="109" t="s">
        <v>510</v>
      </c>
      <c r="D1025" s="108" t="s">
        <v>229</v>
      </c>
      <c r="E1025" s="108" t="s">
        <v>229</v>
      </c>
      <c r="F1025" s="108" t="s">
        <v>562</v>
      </c>
      <c r="G1025" s="108" t="s">
        <v>404</v>
      </c>
      <c r="H1025" s="126">
        <v>310000</v>
      </c>
      <c r="I1025" s="108" t="s">
        <v>1216</v>
      </c>
      <c r="J1025" s="108" t="str">
        <f t="shared" si="70"/>
        <v>09Б0420460</v>
      </c>
      <c r="K1025" s="304" t="str">
        <f t="shared" si="69"/>
        <v>607070709Б0420460610</v>
      </c>
      <c r="L1025" s="17" t="str">
        <f>INDEX('реш СГД № 265'!$A:$N,MATCH('БА расх 2018 31 12 2018'!$K1025,'реш СГД № 265'!$N:$N,0),3)</f>
        <v>Субсидии бюджетным учреждениям</v>
      </c>
      <c r="M1025" s="16">
        <f t="shared" si="71"/>
        <v>1</v>
      </c>
    </row>
    <row r="1026" spans="1:13" s="24" customFormat="1" ht="63">
      <c r="A1026" s="21"/>
      <c r="B1026" s="127" t="s">
        <v>405</v>
      </c>
      <c r="C1026" s="109" t="s">
        <v>510</v>
      </c>
      <c r="D1026" s="108" t="s">
        <v>229</v>
      </c>
      <c r="E1026" s="108" t="s">
        <v>229</v>
      </c>
      <c r="F1026" s="108" t="s">
        <v>562</v>
      </c>
      <c r="G1026" s="108" t="s">
        <v>406</v>
      </c>
      <c r="H1026" s="126">
        <v>310000</v>
      </c>
      <c r="I1026" s="108" t="s">
        <v>1216</v>
      </c>
      <c r="J1026" s="108" t="str">
        <f t="shared" si="70"/>
        <v>09Б0420460</v>
      </c>
      <c r="K1026" s="304" t="str">
        <f t="shared" si="69"/>
        <v>607070709Б0420460611</v>
      </c>
      <c r="L1026" s="17"/>
      <c r="M1026" s="16"/>
    </row>
    <row r="1027" spans="1:13" s="17" customFormat="1" ht="47.25">
      <c r="A1027" s="14"/>
      <c r="B1027" s="127" t="s">
        <v>563</v>
      </c>
      <c r="C1027" s="109" t="s">
        <v>510</v>
      </c>
      <c r="D1027" s="108" t="s">
        <v>229</v>
      </c>
      <c r="E1027" s="108" t="s">
        <v>229</v>
      </c>
      <c r="F1027" s="108" t="s">
        <v>564</v>
      </c>
      <c r="G1027" s="108" t="s">
        <v>9</v>
      </c>
      <c r="H1027" s="126">
        <v>25540</v>
      </c>
      <c r="I1027" s="108" t="s">
        <v>1217</v>
      </c>
      <c r="J1027" s="108" t="str">
        <f t="shared" si="70"/>
        <v>09Б0500000</v>
      </c>
      <c r="K1027" s="304" t="str">
        <f t="shared" si="69"/>
        <v>607070709Б0500000000</v>
      </c>
      <c r="L1027" s="17" t="str">
        <f>INDEX('реш СГД № 265'!$A:$N,MATCH('БА расх 2018 31 12 2018'!$K1027,'реш СГД № 265'!$N:$N,0),3)</f>
        <v>Основное мероприятие «Методическое и информационное сопровождение реализации молодежной политики в городе Ставрополе»</v>
      </c>
      <c r="M1027" s="16">
        <f t="shared" si="71"/>
        <v>1</v>
      </c>
    </row>
    <row r="1028" spans="1:13" s="17" customFormat="1" ht="47.25">
      <c r="A1028" s="14"/>
      <c r="B1028" s="125" t="s">
        <v>550</v>
      </c>
      <c r="C1028" s="109" t="s">
        <v>510</v>
      </c>
      <c r="D1028" s="108" t="s">
        <v>229</v>
      </c>
      <c r="E1028" s="108" t="s">
        <v>229</v>
      </c>
      <c r="F1028" s="108" t="s">
        <v>565</v>
      </c>
      <c r="G1028" s="108" t="s">
        <v>9</v>
      </c>
      <c r="H1028" s="126">
        <v>25540</v>
      </c>
      <c r="I1028" s="108" t="s">
        <v>1218</v>
      </c>
      <c r="J1028" s="108" t="str">
        <f t="shared" si="70"/>
        <v>09Б0520460</v>
      </c>
      <c r="K1028" s="304" t="str">
        <f t="shared" si="69"/>
        <v>607070709Б0520460000</v>
      </c>
      <c r="L1028" s="17" t="str">
        <f>INDEX('реш СГД № 265'!$A:$N,MATCH('БА расх 2018 31 12 2018'!$K1028,'реш СГД № 265'!$N:$N,0),3)</f>
        <v>Расходы на создание условий для интеграции молодежи в процессы социально-экономического, общественно-политического, культурного развития города Ставрополя</v>
      </c>
      <c r="M1028" s="16">
        <f t="shared" si="71"/>
        <v>1</v>
      </c>
    </row>
    <row r="1029" spans="1:13" s="17" customFormat="1" ht="15.75">
      <c r="A1029" s="14"/>
      <c r="B1029" s="132" t="s">
        <v>403</v>
      </c>
      <c r="C1029" s="109" t="s">
        <v>510</v>
      </c>
      <c r="D1029" s="108" t="s">
        <v>229</v>
      </c>
      <c r="E1029" s="108" t="s">
        <v>229</v>
      </c>
      <c r="F1029" s="108" t="s">
        <v>565</v>
      </c>
      <c r="G1029" s="108" t="s">
        <v>404</v>
      </c>
      <c r="H1029" s="126">
        <v>25540</v>
      </c>
      <c r="I1029" s="108" t="s">
        <v>1218</v>
      </c>
      <c r="J1029" s="108" t="str">
        <f t="shared" si="70"/>
        <v>09Б0520460</v>
      </c>
      <c r="K1029" s="304" t="str">
        <f t="shared" si="69"/>
        <v>607070709Б0520460610</v>
      </c>
      <c r="L1029" s="17" t="str">
        <f>INDEX('реш СГД № 265'!$A:$N,MATCH('БА расх 2018 31 12 2018'!$K1029,'реш СГД № 265'!$N:$N,0),3)</f>
        <v>Субсидии бюджетным учреждениям</v>
      </c>
      <c r="M1029" s="16">
        <f t="shared" si="71"/>
        <v>1</v>
      </c>
    </row>
    <row r="1030" spans="1:13" s="24" customFormat="1" ht="63">
      <c r="A1030" s="21"/>
      <c r="B1030" s="127" t="s">
        <v>405</v>
      </c>
      <c r="C1030" s="109" t="s">
        <v>510</v>
      </c>
      <c r="D1030" s="108" t="s">
        <v>229</v>
      </c>
      <c r="E1030" s="108" t="s">
        <v>229</v>
      </c>
      <c r="F1030" s="108" t="s">
        <v>565</v>
      </c>
      <c r="G1030" s="108" t="s">
        <v>406</v>
      </c>
      <c r="H1030" s="126">
        <v>25540</v>
      </c>
      <c r="I1030" s="108" t="s">
        <v>1218</v>
      </c>
      <c r="J1030" s="108" t="str">
        <f t="shared" si="70"/>
        <v>09Б0520460</v>
      </c>
      <c r="K1030" s="304" t="str">
        <f t="shared" si="69"/>
        <v>607070709Б0520460611</v>
      </c>
      <c r="L1030" s="17"/>
      <c r="M1030" s="16"/>
    </row>
    <row r="1031" spans="1:13" s="17" customFormat="1" ht="31.5">
      <c r="A1031" s="14"/>
      <c r="B1031" s="127" t="s">
        <v>566</v>
      </c>
      <c r="C1031" s="109" t="s">
        <v>510</v>
      </c>
      <c r="D1031" s="108" t="s">
        <v>229</v>
      </c>
      <c r="E1031" s="108" t="s">
        <v>229</v>
      </c>
      <c r="F1031" s="108" t="s">
        <v>567</v>
      </c>
      <c r="G1031" s="108" t="s">
        <v>9</v>
      </c>
      <c r="H1031" s="126">
        <v>3945255.64</v>
      </c>
      <c r="I1031" s="108" t="s">
        <v>1219</v>
      </c>
      <c r="J1031" s="108" t="str">
        <f t="shared" si="70"/>
        <v>09Б0600000</v>
      </c>
      <c r="K1031" s="304" t="str">
        <f t="shared" si="69"/>
        <v>607070709Б0600000000</v>
      </c>
      <c r="L1031" s="17" t="str">
        <f>INDEX('реш СГД № 265'!$A:$N,MATCH('БА расх 2018 31 12 2018'!$K1031,'реш СГД № 265'!$N:$N,0),3)</f>
        <v>Основное мероприятие «Обеспечение деятельности муниципальных бюджетных учреждений города Ставрополя»</v>
      </c>
      <c r="M1031" s="16">
        <f t="shared" si="71"/>
        <v>1</v>
      </c>
    </row>
    <row r="1032" spans="1:13" s="17" customFormat="1" ht="31.5">
      <c r="A1032" s="14"/>
      <c r="B1032" s="127" t="s">
        <v>136</v>
      </c>
      <c r="C1032" s="109" t="s">
        <v>510</v>
      </c>
      <c r="D1032" s="108" t="s">
        <v>229</v>
      </c>
      <c r="E1032" s="108" t="s">
        <v>229</v>
      </c>
      <c r="F1032" s="108" t="s">
        <v>568</v>
      </c>
      <c r="G1032" s="108" t="s">
        <v>9</v>
      </c>
      <c r="H1032" s="126">
        <v>3832530.64</v>
      </c>
      <c r="I1032" s="108" t="s">
        <v>1220</v>
      </c>
      <c r="J1032" s="108" t="str">
        <f t="shared" si="70"/>
        <v>09Б0611010</v>
      </c>
      <c r="K1032" s="304" t="str">
        <f t="shared" si="69"/>
        <v>607070709Б0611010000</v>
      </c>
      <c r="L1032" s="17" t="str">
        <f>INDEX('реш СГД № 265'!$A:$N,MATCH('БА расх 2018 31 12 2018'!$K1032,'реш СГД № 265'!$N:$N,0),3)</f>
        <v>Расходы на обеспечение деятельности (оказание услуг) муниципальных учреждений</v>
      </c>
      <c r="M1032" s="16">
        <f t="shared" si="71"/>
        <v>1</v>
      </c>
    </row>
    <row r="1033" spans="1:13" s="17" customFormat="1" ht="15.75">
      <c r="A1033" s="14"/>
      <c r="B1033" s="132" t="s">
        <v>403</v>
      </c>
      <c r="C1033" s="109" t="s">
        <v>510</v>
      </c>
      <c r="D1033" s="108" t="s">
        <v>229</v>
      </c>
      <c r="E1033" s="108" t="s">
        <v>229</v>
      </c>
      <c r="F1033" s="108" t="s">
        <v>568</v>
      </c>
      <c r="G1033" s="108" t="s">
        <v>404</v>
      </c>
      <c r="H1033" s="126">
        <v>3832530.64</v>
      </c>
      <c r="I1033" s="108" t="s">
        <v>1220</v>
      </c>
      <c r="J1033" s="108" t="str">
        <f t="shared" si="70"/>
        <v>09Б0611010</v>
      </c>
      <c r="K1033" s="304" t="str">
        <f t="shared" si="69"/>
        <v>607070709Б0611010610</v>
      </c>
      <c r="L1033" s="17" t="str">
        <f>INDEX('реш СГД № 265'!$A:$N,MATCH('БА расх 2018 31 12 2018'!$K1033,'реш СГД № 265'!$N:$N,0),3)</f>
        <v>Субсидии бюджетным учреждениям</v>
      </c>
      <c r="M1033" s="16">
        <f t="shared" si="71"/>
        <v>1</v>
      </c>
    </row>
    <row r="1034" spans="1:13" s="24" customFormat="1" ht="63">
      <c r="A1034" s="21"/>
      <c r="B1034" s="127" t="s">
        <v>405</v>
      </c>
      <c r="C1034" s="109" t="s">
        <v>510</v>
      </c>
      <c r="D1034" s="108" t="s">
        <v>229</v>
      </c>
      <c r="E1034" s="108" t="s">
        <v>229</v>
      </c>
      <c r="F1034" s="108" t="s">
        <v>568</v>
      </c>
      <c r="G1034" s="108" t="s">
        <v>406</v>
      </c>
      <c r="H1034" s="126">
        <v>3832530.64</v>
      </c>
      <c r="I1034" s="108" t="s">
        <v>1220</v>
      </c>
      <c r="J1034" s="108" t="str">
        <f t="shared" si="70"/>
        <v>09Б0611010</v>
      </c>
      <c r="K1034" s="304" t="str">
        <f t="shared" si="69"/>
        <v>607070709Б0611010611</v>
      </c>
      <c r="L1034" s="17"/>
      <c r="M1034" s="16"/>
    </row>
    <row r="1035" spans="1:13" s="24" customFormat="1" ht="267.75">
      <c r="A1035" s="21"/>
      <c r="B1035" s="132" t="s">
        <v>2269</v>
      </c>
      <c r="C1035" s="109" t="s">
        <v>510</v>
      </c>
      <c r="D1035" s="108" t="s">
        <v>229</v>
      </c>
      <c r="E1035" s="108" t="s">
        <v>229</v>
      </c>
      <c r="F1035" s="108" t="s">
        <v>1289</v>
      </c>
      <c r="G1035" s="108" t="s">
        <v>9</v>
      </c>
      <c r="H1035" s="126">
        <v>112725</v>
      </c>
      <c r="I1035" s="108" t="s">
        <v>2031</v>
      </c>
      <c r="J1035" s="108" t="str">
        <f t="shared" si="70"/>
        <v>09Б0677460</v>
      </c>
      <c r="K1035" s="304" t="str">
        <f t="shared" si="69"/>
        <v>607070709Б0677460000</v>
      </c>
      <c r="L1035" s="132" t="str">
        <f>INDEX('реш СГД № 265'!$A:$N,MATCH('БА расх 2018 31 12 2018'!$K1035,'реш СГД № 265'!$N:$N,0),3)</f>
        <v>Субсидии на компенсацию расходов по повышению заработной платы муниципальных служащих муниципальной службы и лиц, не замещающих должности муниципальной службы и исполняющих обязанности по техническому обеспечению деятельности органов местного самоуправления муниципальных образований, а также работников муниципальных учреждений, за исключением отдельных категорий работников муниципальных учреждений, которым повышение заработной платы осуществляется в соответствии с указами Президента Российской Федерации от 7 мая 2012 года № 597 «О мероприятиях по реализации государственной социальной политики», от 1 июня 2012 года № 761 «О Национальной стратегии действий в интересах детей на 2012 - 2017 годы» и от 28 декабря 2012 года № 1688 «О некоторых мерах по реализации государственной политики в сфере защиты детей-сирот и детей, оставшихся без попечения родителей»</v>
      </c>
      <c r="M1035" s="17">
        <f t="shared" si="71"/>
        <v>1</v>
      </c>
    </row>
    <row r="1036" spans="1:13" s="24" customFormat="1" ht="15.75">
      <c r="A1036" s="21"/>
      <c r="B1036" s="132" t="s">
        <v>403</v>
      </c>
      <c r="C1036" s="109" t="s">
        <v>510</v>
      </c>
      <c r="D1036" s="108" t="s">
        <v>229</v>
      </c>
      <c r="E1036" s="108" t="s">
        <v>229</v>
      </c>
      <c r="F1036" s="108" t="s">
        <v>1289</v>
      </c>
      <c r="G1036" s="108" t="s">
        <v>404</v>
      </c>
      <c r="H1036" s="126">
        <v>112725</v>
      </c>
      <c r="I1036" s="108" t="s">
        <v>2031</v>
      </c>
      <c r="J1036" s="108" t="str">
        <f t="shared" si="70"/>
        <v>09Б0677460</v>
      </c>
      <c r="K1036" s="304" t="str">
        <f t="shared" si="69"/>
        <v>607070709Б0677460610</v>
      </c>
      <c r="L1036" s="17" t="str">
        <f>INDEX('реш СГД № 265'!$A:$N,MATCH('БА расх 2018 31 12 2018'!$K1036,'реш СГД № 265'!$N:$N,0),3)</f>
        <v>Субсидии бюджетным учреждениям</v>
      </c>
      <c r="M1036" s="16">
        <f t="shared" si="71"/>
        <v>1</v>
      </c>
    </row>
    <row r="1037" spans="1:13" s="24" customFormat="1" ht="63">
      <c r="A1037" s="21"/>
      <c r="B1037" s="127" t="s">
        <v>405</v>
      </c>
      <c r="C1037" s="109" t="s">
        <v>510</v>
      </c>
      <c r="D1037" s="108" t="s">
        <v>229</v>
      </c>
      <c r="E1037" s="108" t="s">
        <v>229</v>
      </c>
      <c r="F1037" s="108" t="s">
        <v>1289</v>
      </c>
      <c r="G1037" s="108" t="s">
        <v>406</v>
      </c>
      <c r="H1037" s="126">
        <v>112725</v>
      </c>
      <c r="I1037" s="108" t="s">
        <v>2031</v>
      </c>
      <c r="J1037" s="108" t="str">
        <f t="shared" si="70"/>
        <v>09Б0677460</v>
      </c>
      <c r="K1037" s="304" t="str">
        <f t="shared" si="69"/>
        <v>607070709Б0677460611</v>
      </c>
      <c r="L1037" s="17"/>
      <c r="M1037" s="16"/>
    </row>
    <row r="1038" spans="1:13" s="16" customFormat="1" ht="47.25">
      <c r="A1038" s="14"/>
      <c r="B1038" s="127" t="s">
        <v>146</v>
      </c>
      <c r="C1038" s="109" t="s">
        <v>510</v>
      </c>
      <c r="D1038" s="108" t="s">
        <v>229</v>
      </c>
      <c r="E1038" s="108" t="s">
        <v>229</v>
      </c>
      <c r="F1038" s="130" t="s">
        <v>147</v>
      </c>
      <c r="G1038" s="130" t="s">
        <v>9</v>
      </c>
      <c r="H1038" s="134">
        <v>390000</v>
      </c>
      <c r="I1038" s="130">
        <v>1500000000</v>
      </c>
      <c r="J1038" s="130" t="str">
        <f t="shared" si="70"/>
        <v>1500000000</v>
      </c>
      <c r="K1038" s="304" t="str">
        <f t="shared" si="69"/>
        <v>60707071500000000000</v>
      </c>
      <c r="L1038" s="17" t="str">
        <f>INDEX('реш СГД № 265'!$A:$N,MATCH('БА расх 2018 31 12 2018'!$K1038,'реш СГД № 265'!$N:$N,0),3)</f>
        <v>Муниципальная программа «Обеспечение безопасности, общественного порядка и профилактика правонарушений в городе Ставрополе»</v>
      </c>
      <c r="M1038" s="16">
        <f t="shared" si="71"/>
        <v>1</v>
      </c>
    </row>
    <row r="1039" spans="1:13" s="16" customFormat="1" ht="47.25">
      <c r="A1039" s="14"/>
      <c r="B1039" s="125" t="s">
        <v>1065</v>
      </c>
      <c r="C1039" s="109" t="s">
        <v>510</v>
      </c>
      <c r="D1039" s="108" t="s">
        <v>229</v>
      </c>
      <c r="E1039" s="108" t="s">
        <v>229</v>
      </c>
      <c r="F1039" s="130" t="s">
        <v>149</v>
      </c>
      <c r="G1039" s="130" t="s">
        <v>9</v>
      </c>
      <c r="H1039" s="134">
        <v>390000</v>
      </c>
      <c r="I1039" s="130">
        <v>1510000000</v>
      </c>
      <c r="J1039" s="130" t="str">
        <f t="shared" si="70"/>
        <v>1510000000</v>
      </c>
      <c r="K1039" s="304" t="str">
        <f t="shared" si="69"/>
        <v>60707071510000000000</v>
      </c>
      <c r="L1039" s="17" t="str">
        <f>INDEX('реш СГД № 265'!$A:$N,MATCH('БА расх 2018 31 12 2018'!$K1039,'реш СГД № 265'!$N:$N,0),3)</f>
        <v>Подпрограмма «Профилактика терроризма, экстремизма, межнациональных (межэтнических) конфликтов в городе Ставрополе»</v>
      </c>
      <c r="M1039" s="16">
        <f t="shared" si="71"/>
        <v>1</v>
      </c>
    </row>
    <row r="1040" spans="1:13" s="16" customFormat="1" ht="63">
      <c r="A1040" s="14"/>
      <c r="B1040" s="129" t="s">
        <v>1071</v>
      </c>
      <c r="C1040" s="109" t="s">
        <v>510</v>
      </c>
      <c r="D1040" s="108" t="s">
        <v>229</v>
      </c>
      <c r="E1040" s="108" t="s">
        <v>229</v>
      </c>
      <c r="F1040" s="109" t="s">
        <v>274</v>
      </c>
      <c r="G1040" s="130" t="s">
        <v>9</v>
      </c>
      <c r="H1040" s="134">
        <v>390000</v>
      </c>
      <c r="I1040" s="109">
        <v>1510200000</v>
      </c>
      <c r="J1040" s="109" t="str">
        <f t="shared" si="70"/>
        <v>1510200000</v>
      </c>
      <c r="K1040" s="304" t="str">
        <f t="shared" si="69"/>
        <v>60707071510200000000</v>
      </c>
      <c r="L1040" s="17" t="str">
        <f>INDEX('реш СГД № 265'!$A:$N,MATCH('БА расх 2018 31 12 2018'!$K1040,'реш СГД № 265'!$N:$N,0),3)</f>
        <v>Основное мероприятие «Организация и проведение информационно-пропагандистских мероприятий по разъяснению сущности терроризма и экстремизма, их общественной опасности»</v>
      </c>
      <c r="M1040" s="16">
        <f t="shared" si="71"/>
        <v>1</v>
      </c>
    </row>
    <row r="1041" spans="1:13" s="16" customFormat="1" ht="47.25">
      <c r="A1041" s="14"/>
      <c r="B1041" s="129" t="s">
        <v>152</v>
      </c>
      <c r="C1041" s="109" t="s">
        <v>510</v>
      </c>
      <c r="D1041" s="108" t="s">
        <v>229</v>
      </c>
      <c r="E1041" s="108" t="s">
        <v>229</v>
      </c>
      <c r="F1041" s="109" t="s">
        <v>275</v>
      </c>
      <c r="G1041" s="130" t="s">
        <v>9</v>
      </c>
      <c r="H1041" s="134">
        <v>390000</v>
      </c>
      <c r="I1041" s="109">
        <v>1510220350</v>
      </c>
      <c r="J1041" s="109" t="str">
        <f t="shared" si="70"/>
        <v>1510220350</v>
      </c>
      <c r="K1041" s="304" t="str">
        <f t="shared" si="69"/>
        <v>60707071510220350000</v>
      </c>
      <c r="L1041" s="17" t="str">
        <f>INDEX('реш СГД № 265'!$A:$N,MATCH('БА расх 2018 31 12 2018'!$K1041,'реш СГД № 265'!$N:$N,0),3)</f>
        <v>Расходы на реализацию мероприятий, направленных на повышение уровня безопасности жизнедеятельности города Ставрополя</v>
      </c>
      <c r="M1041" s="16">
        <f t="shared" si="71"/>
        <v>1</v>
      </c>
    </row>
    <row r="1042" spans="1:13" s="16" customFormat="1" ht="15.75">
      <c r="A1042" s="14"/>
      <c r="B1042" s="132" t="s">
        <v>403</v>
      </c>
      <c r="C1042" s="109" t="s">
        <v>510</v>
      </c>
      <c r="D1042" s="108" t="s">
        <v>229</v>
      </c>
      <c r="E1042" s="108" t="s">
        <v>229</v>
      </c>
      <c r="F1042" s="109" t="s">
        <v>275</v>
      </c>
      <c r="G1042" s="130" t="s">
        <v>404</v>
      </c>
      <c r="H1042" s="126">
        <v>390000</v>
      </c>
      <c r="I1042" s="109">
        <v>1510220350</v>
      </c>
      <c r="J1042" s="109" t="str">
        <f t="shared" si="70"/>
        <v>1510220350</v>
      </c>
      <c r="K1042" s="304" t="str">
        <f t="shared" si="69"/>
        <v>60707071510220350610</v>
      </c>
      <c r="L1042" s="17" t="str">
        <f>INDEX('реш СГД № 265'!$A:$N,MATCH('БА расх 2018 31 12 2018'!$K1042,'реш СГД № 265'!$N:$N,0),3)</f>
        <v>Субсидии бюджетным учреждениям</v>
      </c>
      <c r="M1042" s="16">
        <f t="shared" si="71"/>
        <v>1</v>
      </c>
    </row>
    <row r="1043" spans="1:13" s="23" customFormat="1" ht="15.75">
      <c r="A1043" s="21"/>
      <c r="B1043" s="127" t="s">
        <v>407</v>
      </c>
      <c r="C1043" s="109" t="s">
        <v>510</v>
      </c>
      <c r="D1043" s="108" t="s">
        <v>229</v>
      </c>
      <c r="E1043" s="108" t="s">
        <v>229</v>
      </c>
      <c r="F1043" s="109" t="s">
        <v>275</v>
      </c>
      <c r="G1043" s="109" t="s">
        <v>408</v>
      </c>
      <c r="H1043" s="126">
        <v>390000</v>
      </c>
      <c r="I1043" s="109">
        <v>1510220350</v>
      </c>
      <c r="J1043" s="109" t="str">
        <f t="shared" si="70"/>
        <v>1510220350</v>
      </c>
      <c r="K1043" s="304" t="str">
        <f t="shared" si="69"/>
        <v>60707071510220350612</v>
      </c>
      <c r="L1043" s="17"/>
      <c r="M1043" s="16"/>
    </row>
    <row r="1044" spans="1:13" s="16" customFormat="1" ht="15.75">
      <c r="A1044" s="14"/>
      <c r="B1044" s="117" t="s">
        <v>569</v>
      </c>
      <c r="C1044" s="118" t="s">
        <v>510</v>
      </c>
      <c r="D1044" s="119" t="s">
        <v>238</v>
      </c>
      <c r="E1044" s="119" t="s">
        <v>7</v>
      </c>
      <c r="F1044" s="119" t="s">
        <v>8</v>
      </c>
      <c r="G1044" s="119" t="s">
        <v>9</v>
      </c>
      <c r="H1044" s="120">
        <v>236629751.82000002</v>
      </c>
      <c r="I1044" s="119">
        <v>0</v>
      </c>
      <c r="J1044" s="119" t="str">
        <f t="shared" si="70"/>
        <v>0000000000</v>
      </c>
      <c r="K1044" s="304" t="str">
        <f t="shared" si="69"/>
        <v>60708000000000000000</v>
      </c>
      <c r="L1044" s="17" t="str">
        <f>INDEX('реш СГД № 265'!$A:$N,MATCH('БА расх 2018 31 12 2018'!$K1044,'реш СГД № 265'!$N:$N,0),3)</f>
        <v>Культура, кинематография</v>
      </c>
      <c r="M1044" s="16">
        <f t="shared" si="71"/>
        <v>1</v>
      </c>
    </row>
    <row r="1045" spans="1:13" s="16" customFormat="1" ht="15.75">
      <c r="A1045" s="14"/>
      <c r="B1045" s="121" t="s">
        <v>239</v>
      </c>
      <c r="C1045" s="122" t="s">
        <v>510</v>
      </c>
      <c r="D1045" s="123" t="s">
        <v>238</v>
      </c>
      <c r="E1045" s="123" t="s">
        <v>11</v>
      </c>
      <c r="F1045" s="123" t="s">
        <v>8</v>
      </c>
      <c r="G1045" s="123" t="s">
        <v>9</v>
      </c>
      <c r="H1045" s="124">
        <v>221037038.26000002</v>
      </c>
      <c r="I1045" s="123">
        <v>0</v>
      </c>
      <c r="J1045" s="123" t="str">
        <f t="shared" si="70"/>
        <v>0000000000</v>
      </c>
      <c r="K1045" s="304" t="str">
        <f t="shared" si="69"/>
        <v>60708010000000000000</v>
      </c>
      <c r="L1045" s="17" t="str">
        <f>INDEX('реш СГД № 265'!$A:$N,MATCH('БА расх 2018 31 12 2018'!$K1045,'реш СГД № 265'!$N:$N,0),3)</f>
        <v>Культура</v>
      </c>
      <c r="M1045" s="16">
        <f t="shared" si="71"/>
        <v>1</v>
      </c>
    </row>
    <row r="1046" spans="1:13" s="16" customFormat="1" ht="15.75">
      <c r="A1046" s="14"/>
      <c r="B1046" s="125" t="s">
        <v>240</v>
      </c>
      <c r="C1046" s="109" t="s">
        <v>510</v>
      </c>
      <c r="D1046" s="108" t="s">
        <v>238</v>
      </c>
      <c r="E1046" s="108" t="s">
        <v>11</v>
      </c>
      <c r="F1046" s="108" t="s">
        <v>241</v>
      </c>
      <c r="G1046" s="108" t="s">
        <v>9</v>
      </c>
      <c r="H1046" s="126">
        <v>215151846.49000001</v>
      </c>
      <c r="I1046" s="108">
        <v>700000000</v>
      </c>
      <c r="J1046" s="108" t="str">
        <f t="shared" si="70"/>
        <v>0700000000</v>
      </c>
      <c r="K1046" s="304" t="str">
        <f t="shared" si="69"/>
        <v>60708010700000000000</v>
      </c>
      <c r="L1046" s="17" t="str">
        <f>INDEX('реш СГД № 265'!$A:$N,MATCH('БА расх 2018 31 12 2018'!$K1046,'реш СГД № 265'!$N:$N,0),3)</f>
        <v>Муниципальная программа «Культура города Ставрополя»</v>
      </c>
      <c r="M1046" s="16">
        <f t="shared" si="71"/>
        <v>1</v>
      </c>
    </row>
    <row r="1047" spans="1:13" s="16" customFormat="1" ht="63">
      <c r="A1047" s="14"/>
      <c r="B1047" s="125" t="s">
        <v>242</v>
      </c>
      <c r="C1047" s="109" t="s">
        <v>510</v>
      </c>
      <c r="D1047" s="108" t="s">
        <v>238</v>
      </c>
      <c r="E1047" s="108" t="s">
        <v>11</v>
      </c>
      <c r="F1047" s="108" t="s">
        <v>243</v>
      </c>
      <c r="G1047" s="108" t="s">
        <v>9</v>
      </c>
      <c r="H1047" s="126">
        <v>5644000</v>
      </c>
      <c r="I1047" s="108">
        <v>710000000</v>
      </c>
      <c r="J1047" s="108" t="str">
        <f t="shared" si="70"/>
        <v>0710000000</v>
      </c>
      <c r="K1047" s="304" t="str">
        <f t="shared" si="69"/>
        <v>60708010710000000000</v>
      </c>
      <c r="L1047" s="17" t="str">
        <f>INDEX('реш СГД № 265'!$A:$N,MATCH('БА расх 2018 31 12 2018'!$K1047,'реш СГД № 265'!$N:$N,0),3)</f>
        <v xml:space="preserve">Подпрограмма «Проведение городских и краевых культурно-массовых мероприятий, посвященных памятным, знаменательным и юбилейным датам в истории России, Ставропольского края, города Ставрополя» </v>
      </c>
      <c r="M1047" s="16">
        <f t="shared" si="71"/>
        <v>1</v>
      </c>
    </row>
    <row r="1048" spans="1:13" s="16" customFormat="1" ht="94.5">
      <c r="A1048" s="14"/>
      <c r="B1048" s="125" t="s">
        <v>244</v>
      </c>
      <c r="C1048" s="109" t="s">
        <v>510</v>
      </c>
      <c r="D1048" s="108" t="s">
        <v>238</v>
      </c>
      <c r="E1048" s="108" t="s">
        <v>11</v>
      </c>
      <c r="F1048" s="108" t="s">
        <v>245</v>
      </c>
      <c r="G1048" s="108" t="s">
        <v>9</v>
      </c>
      <c r="H1048" s="126">
        <v>5644000</v>
      </c>
      <c r="I1048" s="108">
        <v>710100000</v>
      </c>
      <c r="J1048" s="108" t="str">
        <f t="shared" si="70"/>
        <v>0710100000</v>
      </c>
      <c r="K1048" s="304" t="str">
        <f t="shared" si="69"/>
        <v>60708010710100000000</v>
      </c>
      <c r="L1048" s="17" t="str">
        <f>INDEX('реш СГД № 265'!$A:$N,MATCH('БА расх 2018 31 12 2018'!$K1048,'реш СГД № 265'!$N:$N,0),3)</f>
        <v>Основное мероприятие «Обеспечение доступности к культурным ценностям и права на участие в культурной жизни для всех групп населения города Ставрополя, популяризация объектов культурного наследия города Ставрополя, формирование имиджа города Ставрополя как культурного центра Ставропольского края»</v>
      </c>
      <c r="M1048" s="16">
        <f t="shared" si="71"/>
        <v>1</v>
      </c>
    </row>
    <row r="1049" spans="1:13" s="16" customFormat="1" ht="31.5">
      <c r="A1049" s="14"/>
      <c r="B1049" s="125" t="s">
        <v>246</v>
      </c>
      <c r="C1049" s="109" t="s">
        <v>510</v>
      </c>
      <c r="D1049" s="108" t="s">
        <v>238</v>
      </c>
      <c r="E1049" s="108" t="s">
        <v>11</v>
      </c>
      <c r="F1049" s="108" t="s">
        <v>247</v>
      </c>
      <c r="G1049" s="108" t="s">
        <v>9</v>
      </c>
      <c r="H1049" s="126">
        <v>5644000</v>
      </c>
      <c r="I1049" s="108">
        <v>710120060</v>
      </c>
      <c r="J1049" s="108" t="str">
        <f t="shared" si="70"/>
        <v>0710120060</v>
      </c>
      <c r="K1049" s="304" t="str">
        <f t="shared" si="69"/>
        <v>60708010710120060000</v>
      </c>
      <c r="L1049" s="17" t="str">
        <f>INDEX('реш СГД № 265'!$A:$N,MATCH('БА расх 2018 31 12 2018'!$K1049,'реш СГД № 265'!$N:$N,0),3)</f>
        <v>Расходы на проведение культурно-массовых мероприятий в городе Ставрополе</v>
      </c>
      <c r="M1049" s="16">
        <f t="shared" si="71"/>
        <v>1</v>
      </c>
    </row>
    <row r="1050" spans="1:13" s="16" customFormat="1" ht="15.75">
      <c r="A1050" s="14"/>
      <c r="B1050" s="132" t="s">
        <v>403</v>
      </c>
      <c r="C1050" s="109" t="s">
        <v>510</v>
      </c>
      <c r="D1050" s="108" t="s">
        <v>238</v>
      </c>
      <c r="E1050" s="108" t="s">
        <v>11</v>
      </c>
      <c r="F1050" s="108" t="s">
        <v>247</v>
      </c>
      <c r="G1050" s="108" t="s">
        <v>404</v>
      </c>
      <c r="H1050" s="126">
        <v>3172500</v>
      </c>
      <c r="I1050" s="108">
        <v>710120060</v>
      </c>
      <c r="J1050" s="108" t="str">
        <f t="shared" si="70"/>
        <v>0710120060</v>
      </c>
      <c r="K1050" s="304" t="str">
        <f t="shared" si="69"/>
        <v>60708010710120060610</v>
      </c>
      <c r="L1050" s="17" t="str">
        <f>INDEX('реш СГД № 265'!$A:$N,MATCH('БА расх 2018 31 12 2018'!$K1050,'реш СГД № 265'!$N:$N,0),3)</f>
        <v>Субсидии бюджетным учреждениям</v>
      </c>
      <c r="M1050" s="16">
        <f t="shared" si="71"/>
        <v>1</v>
      </c>
    </row>
    <row r="1051" spans="1:13" s="23" customFormat="1" ht="63">
      <c r="A1051" s="21"/>
      <c r="B1051" s="127" t="s">
        <v>405</v>
      </c>
      <c r="C1051" s="109" t="s">
        <v>510</v>
      </c>
      <c r="D1051" s="108" t="s">
        <v>238</v>
      </c>
      <c r="E1051" s="108" t="s">
        <v>11</v>
      </c>
      <c r="F1051" s="108" t="s">
        <v>247</v>
      </c>
      <c r="G1051" s="108" t="s">
        <v>406</v>
      </c>
      <c r="H1051" s="126">
        <v>3172500</v>
      </c>
      <c r="I1051" s="108">
        <v>710120060</v>
      </c>
      <c r="J1051" s="108" t="str">
        <f t="shared" si="70"/>
        <v>0710120060</v>
      </c>
      <c r="K1051" s="304" t="str">
        <f t="shared" si="69"/>
        <v>60708010710120060611</v>
      </c>
      <c r="L1051" s="17"/>
      <c r="M1051" s="16"/>
    </row>
    <row r="1052" spans="1:13" s="16" customFormat="1" ht="15.75">
      <c r="A1052" s="14"/>
      <c r="B1052" s="132" t="s">
        <v>409</v>
      </c>
      <c r="C1052" s="109" t="s">
        <v>510</v>
      </c>
      <c r="D1052" s="108" t="s">
        <v>238</v>
      </c>
      <c r="E1052" s="108" t="s">
        <v>11</v>
      </c>
      <c r="F1052" s="108" t="s">
        <v>247</v>
      </c>
      <c r="G1052" s="108" t="s">
        <v>410</v>
      </c>
      <c r="H1052" s="126">
        <v>2471500</v>
      </c>
      <c r="I1052" s="108">
        <v>710120060</v>
      </c>
      <c r="J1052" s="108" t="str">
        <f t="shared" si="70"/>
        <v>0710120060</v>
      </c>
      <c r="K1052" s="304" t="str">
        <f t="shared" si="69"/>
        <v>60708010710120060620</v>
      </c>
      <c r="L1052" s="17" t="str">
        <f>INDEX('реш СГД № 265'!$A:$N,MATCH('БА расх 2018 31 12 2018'!$K1052,'реш СГД № 265'!$N:$N,0),3)</f>
        <v>Субсидии автономным учреждениям</v>
      </c>
      <c r="M1052" s="16">
        <f t="shared" si="71"/>
        <v>1</v>
      </c>
    </row>
    <row r="1053" spans="1:13" s="23" customFormat="1" ht="63">
      <c r="A1053" s="21"/>
      <c r="B1053" s="127" t="s">
        <v>411</v>
      </c>
      <c r="C1053" s="109" t="s">
        <v>510</v>
      </c>
      <c r="D1053" s="108" t="s">
        <v>238</v>
      </c>
      <c r="E1053" s="108" t="s">
        <v>11</v>
      </c>
      <c r="F1053" s="108" t="s">
        <v>247</v>
      </c>
      <c r="G1053" s="108" t="s">
        <v>412</v>
      </c>
      <c r="H1053" s="126">
        <v>2471500</v>
      </c>
      <c r="I1053" s="108">
        <v>710120060</v>
      </c>
      <c r="J1053" s="108" t="str">
        <f t="shared" si="70"/>
        <v>0710120060</v>
      </c>
      <c r="K1053" s="304" t="str">
        <f t="shared" si="69"/>
        <v>60708010710120060621</v>
      </c>
      <c r="L1053" s="17"/>
      <c r="M1053" s="16"/>
    </row>
    <row r="1054" spans="1:13" s="16" customFormat="1" ht="15.75">
      <c r="A1054" s="14"/>
      <c r="B1054" s="125" t="s">
        <v>519</v>
      </c>
      <c r="C1054" s="109" t="s">
        <v>510</v>
      </c>
      <c r="D1054" s="108" t="s">
        <v>238</v>
      </c>
      <c r="E1054" s="108" t="s">
        <v>11</v>
      </c>
      <c r="F1054" s="108" t="s">
        <v>520</v>
      </c>
      <c r="G1054" s="108" t="s">
        <v>9</v>
      </c>
      <c r="H1054" s="126">
        <v>209507846.49000001</v>
      </c>
      <c r="I1054" s="108">
        <v>720000000</v>
      </c>
      <c r="J1054" s="108" t="str">
        <f t="shared" si="70"/>
        <v>0720000000</v>
      </c>
      <c r="K1054" s="304" t="str">
        <f t="shared" si="69"/>
        <v>60708010720000000000</v>
      </c>
      <c r="L1054" s="17" t="str">
        <f>INDEX('реш СГД № 265'!$A:$N,MATCH('БА расх 2018 31 12 2018'!$K1054,'реш СГД № 265'!$N:$N,0),3)</f>
        <v>Подпрограмма «Развитие культуры города Ставрополя»</v>
      </c>
      <c r="M1054" s="16">
        <f t="shared" si="71"/>
        <v>1</v>
      </c>
    </row>
    <row r="1055" spans="1:13" s="16" customFormat="1" ht="31.5">
      <c r="A1055" s="14"/>
      <c r="B1055" s="125" t="s">
        <v>570</v>
      </c>
      <c r="C1055" s="109" t="s">
        <v>510</v>
      </c>
      <c r="D1055" s="108" t="s">
        <v>238</v>
      </c>
      <c r="E1055" s="108" t="s">
        <v>11</v>
      </c>
      <c r="F1055" s="108" t="s">
        <v>571</v>
      </c>
      <c r="G1055" s="108" t="s">
        <v>9</v>
      </c>
      <c r="H1055" s="126">
        <v>70835618</v>
      </c>
      <c r="I1055" s="108">
        <v>720200000</v>
      </c>
      <c r="J1055" s="108" t="str">
        <f t="shared" si="70"/>
        <v>0720200000</v>
      </c>
      <c r="K1055" s="304" t="str">
        <f t="shared" si="69"/>
        <v>60708010720200000000</v>
      </c>
      <c r="L1055" s="17" t="str">
        <f>INDEX('реш СГД № 265'!$A:$N,MATCH('БА расх 2018 31 12 2018'!$K1055,'реш СГД № 265'!$N:$N,0),3)</f>
        <v>Основное мероприятие «Обеспечение деятельности муниципальных учреждений  культурно-досугового типа»</v>
      </c>
      <c r="M1055" s="16">
        <f t="shared" si="71"/>
        <v>1</v>
      </c>
    </row>
    <row r="1056" spans="1:13" s="16" customFormat="1" ht="31.5">
      <c r="A1056" s="14"/>
      <c r="B1056" s="125" t="s">
        <v>136</v>
      </c>
      <c r="C1056" s="109" t="s">
        <v>510</v>
      </c>
      <c r="D1056" s="108" t="s">
        <v>238</v>
      </c>
      <c r="E1056" s="108" t="s">
        <v>11</v>
      </c>
      <c r="F1056" s="108" t="s">
        <v>572</v>
      </c>
      <c r="G1056" s="108" t="s">
        <v>9</v>
      </c>
      <c r="H1056" s="126">
        <v>64095914</v>
      </c>
      <c r="I1056" s="108">
        <v>720211010</v>
      </c>
      <c r="J1056" s="108" t="str">
        <f t="shared" si="70"/>
        <v>0720211010</v>
      </c>
      <c r="K1056" s="304" t="str">
        <f t="shared" si="69"/>
        <v>60708010720211010000</v>
      </c>
      <c r="L1056" s="17" t="str">
        <f>INDEX('реш СГД № 265'!$A:$N,MATCH('БА расх 2018 31 12 2018'!$K1056,'реш СГД № 265'!$N:$N,0),3)</f>
        <v>Расходы на обеспечение деятельности (оказание услуг) муниципальных учреждений</v>
      </c>
      <c r="M1056" s="16">
        <f t="shared" si="71"/>
        <v>1</v>
      </c>
    </row>
    <row r="1057" spans="1:13" s="16" customFormat="1" ht="15.75">
      <c r="A1057" s="14"/>
      <c r="B1057" s="132" t="s">
        <v>403</v>
      </c>
      <c r="C1057" s="109" t="s">
        <v>510</v>
      </c>
      <c r="D1057" s="108" t="s">
        <v>238</v>
      </c>
      <c r="E1057" s="108" t="s">
        <v>11</v>
      </c>
      <c r="F1057" s="108" t="s">
        <v>572</v>
      </c>
      <c r="G1057" s="108" t="s">
        <v>404</v>
      </c>
      <c r="H1057" s="126">
        <v>40971296</v>
      </c>
      <c r="I1057" s="108">
        <v>720211010</v>
      </c>
      <c r="J1057" s="108" t="str">
        <f t="shared" si="70"/>
        <v>0720211010</v>
      </c>
      <c r="K1057" s="304" t="str">
        <f t="shared" si="69"/>
        <v>60708010720211010610</v>
      </c>
      <c r="L1057" s="17" t="str">
        <f>INDEX('реш СГД № 265'!$A:$N,MATCH('БА расх 2018 31 12 2018'!$K1057,'реш СГД № 265'!$N:$N,0),3)</f>
        <v>Субсидии бюджетным учреждениям</v>
      </c>
      <c r="M1057" s="16">
        <f t="shared" si="71"/>
        <v>1</v>
      </c>
    </row>
    <row r="1058" spans="1:13" s="23" customFormat="1" ht="63">
      <c r="A1058" s="21"/>
      <c r="B1058" s="127" t="s">
        <v>405</v>
      </c>
      <c r="C1058" s="109" t="s">
        <v>510</v>
      </c>
      <c r="D1058" s="108" t="s">
        <v>238</v>
      </c>
      <c r="E1058" s="108" t="s">
        <v>11</v>
      </c>
      <c r="F1058" s="108" t="s">
        <v>572</v>
      </c>
      <c r="G1058" s="108" t="s">
        <v>406</v>
      </c>
      <c r="H1058" s="126">
        <v>40971296</v>
      </c>
      <c r="I1058" s="108">
        <v>720211010</v>
      </c>
      <c r="J1058" s="108" t="str">
        <f t="shared" si="70"/>
        <v>0720211010</v>
      </c>
      <c r="K1058" s="304" t="str">
        <f t="shared" si="69"/>
        <v>60708010720211010611</v>
      </c>
      <c r="L1058" s="17"/>
      <c r="M1058" s="16"/>
    </row>
    <row r="1059" spans="1:13" s="16" customFormat="1" ht="15.75">
      <c r="A1059" s="14"/>
      <c r="B1059" s="132" t="s">
        <v>409</v>
      </c>
      <c r="C1059" s="109" t="s">
        <v>510</v>
      </c>
      <c r="D1059" s="108" t="s">
        <v>238</v>
      </c>
      <c r="E1059" s="108" t="s">
        <v>11</v>
      </c>
      <c r="F1059" s="108" t="s">
        <v>572</v>
      </c>
      <c r="G1059" s="108" t="s">
        <v>410</v>
      </c>
      <c r="H1059" s="126">
        <v>23124618</v>
      </c>
      <c r="I1059" s="108">
        <v>720211010</v>
      </c>
      <c r="J1059" s="108" t="str">
        <f t="shared" si="70"/>
        <v>0720211010</v>
      </c>
      <c r="K1059" s="304" t="str">
        <f t="shared" si="69"/>
        <v>60708010720211010620</v>
      </c>
      <c r="L1059" s="17" t="str">
        <f>INDEX('реш СГД № 265'!$A:$N,MATCH('БА расх 2018 31 12 2018'!$K1059,'реш СГД № 265'!$N:$N,0),3)</f>
        <v>Субсидии автономным учреждениям</v>
      </c>
      <c r="M1059" s="16">
        <f t="shared" si="71"/>
        <v>1</v>
      </c>
    </row>
    <row r="1060" spans="1:13" s="23" customFormat="1" ht="63">
      <c r="A1060" s="21"/>
      <c r="B1060" s="127" t="s">
        <v>411</v>
      </c>
      <c r="C1060" s="109" t="s">
        <v>510</v>
      </c>
      <c r="D1060" s="108" t="s">
        <v>238</v>
      </c>
      <c r="E1060" s="108" t="s">
        <v>11</v>
      </c>
      <c r="F1060" s="108" t="s">
        <v>572</v>
      </c>
      <c r="G1060" s="108" t="s">
        <v>412</v>
      </c>
      <c r="H1060" s="126">
        <v>22229198</v>
      </c>
      <c r="I1060" s="108">
        <v>720211010</v>
      </c>
      <c r="J1060" s="108" t="str">
        <f t="shared" si="70"/>
        <v>0720211010</v>
      </c>
      <c r="K1060" s="304" t="str">
        <f t="shared" si="69"/>
        <v>60708010720211010621</v>
      </c>
      <c r="L1060" s="17"/>
      <c r="M1060" s="16"/>
    </row>
    <row r="1061" spans="1:13" s="23" customFormat="1" ht="15.75">
      <c r="A1061" s="21"/>
      <c r="B1061" s="127" t="s">
        <v>428</v>
      </c>
      <c r="C1061" s="109" t="s">
        <v>510</v>
      </c>
      <c r="D1061" s="108" t="s">
        <v>238</v>
      </c>
      <c r="E1061" s="108" t="s">
        <v>11</v>
      </c>
      <c r="F1061" s="108" t="s">
        <v>572</v>
      </c>
      <c r="G1061" s="108" t="s">
        <v>429</v>
      </c>
      <c r="H1061" s="126">
        <v>895420</v>
      </c>
      <c r="I1061" s="108">
        <v>720211010</v>
      </c>
      <c r="J1061" s="108" t="str">
        <f t="shared" si="70"/>
        <v>0720211010</v>
      </c>
      <c r="K1061" s="304" t="str">
        <f t="shared" si="69"/>
        <v>60708010720211010622</v>
      </c>
      <c r="L1061" s="17"/>
      <c r="M1061" s="16"/>
    </row>
    <row r="1062" spans="1:13" s="23" customFormat="1" ht="47.25">
      <c r="A1062" s="21"/>
      <c r="B1062" s="132" t="s">
        <v>1290</v>
      </c>
      <c r="C1062" s="109" t="s">
        <v>510</v>
      </c>
      <c r="D1062" s="108" t="s">
        <v>238</v>
      </c>
      <c r="E1062" s="108" t="s">
        <v>11</v>
      </c>
      <c r="F1062" s="108" t="s">
        <v>1291</v>
      </c>
      <c r="G1062" s="108" t="s">
        <v>9</v>
      </c>
      <c r="H1062" s="126">
        <v>6472630</v>
      </c>
      <c r="I1062" s="108">
        <v>720277090</v>
      </c>
      <c r="J1062" s="108" t="str">
        <f t="shared" si="70"/>
        <v>0720277090</v>
      </c>
      <c r="K1062" s="304" t="str">
        <f t="shared" si="69"/>
        <v>60708010720277090000</v>
      </c>
      <c r="L1062" s="17" t="str">
        <f>INDEX('реш СГД № 265'!$A:$N,MATCH('БА расх 2018 31 12 2018'!$K1062,'реш СГД № 265'!$N:$N,0),3)</f>
        <v>Повышение заработной платы работников муниципальных учреждений культуры за счет средств бюджета Ставропольского края</v>
      </c>
      <c r="M1062" s="16">
        <f t="shared" si="71"/>
        <v>1</v>
      </c>
    </row>
    <row r="1063" spans="1:13" s="23" customFormat="1" ht="15.75">
      <c r="A1063" s="21"/>
      <c r="B1063" s="132" t="s">
        <v>403</v>
      </c>
      <c r="C1063" s="109" t="s">
        <v>510</v>
      </c>
      <c r="D1063" s="108" t="s">
        <v>238</v>
      </c>
      <c r="E1063" s="108" t="s">
        <v>11</v>
      </c>
      <c r="F1063" s="108" t="s">
        <v>1291</v>
      </c>
      <c r="G1063" s="108" t="s">
        <v>404</v>
      </c>
      <c r="H1063" s="126">
        <v>4867590</v>
      </c>
      <c r="I1063" s="108">
        <v>720277090</v>
      </c>
      <c r="J1063" s="108" t="str">
        <f t="shared" si="70"/>
        <v>0720277090</v>
      </c>
      <c r="K1063" s="304" t="str">
        <f t="shared" si="69"/>
        <v>60708010720277090610</v>
      </c>
      <c r="L1063" s="17" t="str">
        <f>INDEX('реш СГД № 265'!$A:$N,MATCH('БА расх 2018 31 12 2018'!$K1063,'реш СГД № 265'!$N:$N,0),3)</f>
        <v>Субсидии бюджетным учреждениям</v>
      </c>
      <c r="M1063" s="16">
        <f t="shared" si="71"/>
        <v>1</v>
      </c>
    </row>
    <row r="1064" spans="1:13" s="23" customFormat="1" ht="63">
      <c r="A1064" s="21"/>
      <c r="B1064" s="127" t="s">
        <v>405</v>
      </c>
      <c r="C1064" s="109" t="s">
        <v>510</v>
      </c>
      <c r="D1064" s="108" t="s">
        <v>238</v>
      </c>
      <c r="E1064" s="108" t="s">
        <v>11</v>
      </c>
      <c r="F1064" s="108" t="s">
        <v>1291</v>
      </c>
      <c r="G1064" s="108" t="s">
        <v>406</v>
      </c>
      <c r="H1064" s="126">
        <v>4867590</v>
      </c>
      <c r="I1064" s="108">
        <v>720277090</v>
      </c>
      <c r="J1064" s="108" t="str">
        <f t="shared" si="70"/>
        <v>0720277090</v>
      </c>
      <c r="K1064" s="304" t="str">
        <f t="shared" si="69"/>
        <v>60708010720277090611</v>
      </c>
      <c r="L1064" s="17"/>
      <c r="M1064" s="16"/>
    </row>
    <row r="1065" spans="1:13" s="23" customFormat="1" ht="15.75">
      <c r="A1065" s="21"/>
      <c r="B1065" s="132" t="s">
        <v>409</v>
      </c>
      <c r="C1065" s="109" t="s">
        <v>510</v>
      </c>
      <c r="D1065" s="108" t="s">
        <v>238</v>
      </c>
      <c r="E1065" s="108" t="s">
        <v>11</v>
      </c>
      <c r="F1065" s="108" t="s">
        <v>1291</v>
      </c>
      <c r="G1065" s="108" t="s">
        <v>410</v>
      </c>
      <c r="H1065" s="126">
        <v>1605040</v>
      </c>
      <c r="I1065" s="108">
        <v>720277090</v>
      </c>
      <c r="J1065" s="108" t="str">
        <f t="shared" si="70"/>
        <v>0720277090</v>
      </c>
      <c r="K1065" s="304" t="str">
        <f t="shared" si="69"/>
        <v>60708010720277090620</v>
      </c>
      <c r="L1065" s="17" t="str">
        <f>INDEX('реш СГД № 265'!$A:$N,MATCH('БА расх 2018 31 12 2018'!$K1065,'реш СГД № 265'!$N:$N,0),3)</f>
        <v>Субсидии автономным учреждениям</v>
      </c>
      <c r="M1065" s="16">
        <f t="shared" si="71"/>
        <v>1</v>
      </c>
    </row>
    <row r="1066" spans="1:13" s="23" customFormat="1" ht="63">
      <c r="A1066" s="21"/>
      <c r="B1066" s="127" t="s">
        <v>411</v>
      </c>
      <c r="C1066" s="109" t="s">
        <v>510</v>
      </c>
      <c r="D1066" s="108" t="s">
        <v>238</v>
      </c>
      <c r="E1066" s="108" t="s">
        <v>11</v>
      </c>
      <c r="F1066" s="108" t="s">
        <v>1291</v>
      </c>
      <c r="G1066" s="108" t="s">
        <v>412</v>
      </c>
      <c r="H1066" s="126">
        <v>1605040</v>
      </c>
      <c r="I1066" s="108">
        <v>720277090</v>
      </c>
      <c r="J1066" s="108" t="str">
        <f t="shared" si="70"/>
        <v>0720277090</v>
      </c>
      <c r="K1066" s="304" t="str">
        <f t="shared" si="69"/>
        <v>60708010720277090621</v>
      </c>
      <c r="L1066" s="17"/>
      <c r="M1066" s="16"/>
    </row>
    <row r="1067" spans="1:13" s="23" customFormat="1" ht="31.5">
      <c r="A1067" s="21"/>
      <c r="B1067" s="132" t="s">
        <v>1292</v>
      </c>
      <c r="C1067" s="109" t="s">
        <v>510</v>
      </c>
      <c r="D1067" s="108" t="s">
        <v>238</v>
      </c>
      <c r="E1067" s="108" t="s">
        <v>11</v>
      </c>
      <c r="F1067" s="108" t="s">
        <v>1293</v>
      </c>
      <c r="G1067" s="108" t="s">
        <v>9</v>
      </c>
      <c r="H1067" s="126">
        <v>267074</v>
      </c>
      <c r="I1067" s="108" t="s">
        <v>2034</v>
      </c>
      <c r="J1067" s="108" t="str">
        <f t="shared" si="70"/>
        <v>07202S7090</v>
      </c>
      <c r="K1067" s="304" t="str">
        <f t="shared" ref="K1067:K1129" si="72">C1067&amp;D1067&amp;E1067&amp;J1067&amp;G1067</f>
        <v>607080107202S7090000</v>
      </c>
      <c r="L1067" s="17" t="str">
        <f>INDEX('реш СГД № 265'!$A:$N,MATCH('БА расх 2018 31 12 2018'!$K1067,'реш СГД № 265'!$N:$N,0),3)</f>
        <v>Повышение заработной платы работников муниципальных учреждений культуры за счет средств местного бюджета</v>
      </c>
      <c r="M1067" s="16">
        <f t="shared" si="71"/>
        <v>1</v>
      </c>
    </row>
    <row r="1068" spans="1:13" s="23" customFormat="1" ht="15.75">
      <c r="A1068" s="21"/>
      <c r="B1068" s="132" t="s">
        <v>403</v>
      </c>
      <c r="C1068" s="109" t="s">
        <v>510</v>
      </c>
      <c r="D1068" s="108" t="s">
        <v>238</v>
      </c>
      <c r="E1068" s="108" t="s">
        <v>11</v>
      </c>
      <c r="F1068" s="108" t="s">
        <v>1293</v>
      </c>
      <c r="G1068" s="108" t="s">
        <v>404</v>
      </c>
      <c r="H1068" s="126">
        <v>189887</v>
      </c>
      <c r="I1068" s="108" t="s">
        <v>2034</v>
      </c>
      <c r="J1068" s="108" t="str">
        <f t="shared" ref="J1068:J1130" si="73">TEXT(I1068,"0000000000")</f>
        <v>07202S7090</v>
      </c>
      <c r="K1068" s="304" t="str">
        <f t="shared" si="72"/>
        <v>607080107202S7090610</v>
      </c>
      <c r="L1068" s="17" t="str">
        <f>INDEX('реш СГД № 265'!$A:$N,MATCH('БА расх 2018 31 12 2018'!$K1068,'реш СГД № 265'!$N:$N,0),3)</f>
        <v>Субсидии бюджетным учреждениям</v>
      </c>
      <c r="M1068" s="16">
        <f t="shared" ref="M1068:M1130" si="74">IF(B1068=L1068,1,0)</f>
        <v>1</v>
      </c>
    </row>
    <row r="1069" spans="1:13" s="23" customFormat="1" ht="63">
      <c r="A1069" s="21"/>
      <c r="B1069" s="127" t="s">
        <v>405</v>
      </c>
      <c r="C1069" s="109" t="s">
        <v>510</v>
      </c>
      <c r="D1069" s="108" t="s">
        <v>238</v>
      </c>
      <c r="E1069" s="108" t="s">
        <v>11</v>
      </c>
      <c r="F1069" s="108" t="s">
        <v>1293</v>
      </c>
      <c r="G1069" s="108" t="s">
        <v>406</v>
      </c>
      <c r="H1069" s="126">
        <v>189887</v>
      </c>
      <c r="I1069" s="108" t="s">
        <v>2034</v>
      </c>
      <c r="J1069" s="108" t="str">
        <f t="shared" si="73"/>
        <v>07202S7090</v>
      </c>
      <c r="K1069" s="304" t="str">
        <f t="shared" si="72"/>
        <v>607080107202S7090611</v>
      </c>
      <c r="L1069" s="17"/>
      <c r="M1069" s="16"/>
    </row>
    <row r="1070" spans="1:13" s="23" customFormat="1" ht="15.75">
      <c r="A1070" s="21"/>
      <c r="B1070" s="132" t="s">
        <v>409</v>
      </c>
      <c r="C1070" s="109" t="s">
        <v>510</v>
      </c>
      <c r="D1070" s="108" t="s">
        <v>238</v>
      </c>
      <c r="E1070" s="108" t="s">
        <v>11</v>
      </c>
      <c r="F1070" s="108" t="s">
        <v>1293</v>
      </c>
      <c r="G1070" s="108" t="s">
        <v>410</v>
      </c>
      <c r="H1070" s="126">
        <v>77187</v>
      </c>
      <c r="I1070" s="108" t="s">
        <v>2034</v>
      </c>
      <c r="J1070" s="108" t="str">
        <f t="shared" si="73"/>
        <v>07202S7090</v>
      </c>
      <c r="K1070" s="304" t="str">
        <f t="shared" si="72"/>
        <v>607080107202S7090620</v>
      </c>
      <c r="L1070" s="17" t="str">
        <f>INDEX('реш СГД № 265'!$A:$N,MATCH('БА расх 2018 31 12 2018'!$K1070,'реш СГД № 265'!$N:$N,0),3)</f>
        <v>Субсидии автономным учреждениям</v>
      </c>
      <c r="M1070" s="16">
        <f t="shared" si="74"/>
        <v>1</v>
      </c>
    </row>
    <row r="1071" spans="1:13" s="23" customFormat="1" ht="63">
      <c r="A1071" s="21"/>
      <c r="B1071" s="127" t="s">
        <v>411</v>
      </c>
      <c r="C1071" s="109" t="s">
        <v>510</v>
      </c>
      <c r="D1071" s="108" t="s">
        <v>238</v>
      </c>
      <c r="E1071" s="108" t="s">
        <v>11</v>
      </c>
      <c r="F1071" s="108" t="s">
        <v>1293</v>
      </c>
      <c r="G1071" s="108" t="s">
        <v>412</v>
      </c>
      <c r="H1071" s="126">
        <v>77187</v>
      </c>
      <c r="I1071" s="108" t="s">
        <v>2034</v>
      </c>
      <c r="J1071" s="108" t="str">
        <f t="shared" si="73"/>
        <v>07202S7090</v>
      </c>
      <c r="K1071" s="304" t="str">
        <f t="shared" si="72"/>
        <v>607080107202S7090621</v>
      </c>
      <c r="L1071" s="17"/>
      <c r="M1071" s="16"/>
    </row>
    <row r="1072" spans="1:13" s="16" customFormat="1" ht="47.25">
      <c r="A1072" s="14"/>
      <c r="B1072" s="125" t="s">
        <v>573</v>
      </c>
      <c r="C1072" s="109" t="s">
        <v>510</v>
      </c>
      <c r="D1072" s="108" t="s">
        <v>238</v>
      </c>
      <c r="E1072" s="108" t="s">
        <v>11</v>
      </c>
      <c r="F1072" s="108" t="s">
        <v>574</v>
      </c>
      <c r="G1072" s="108" t="s">
        <v>9</v>
      </c>
      <c r="H1072" s="126">
        <v>3885976</v>
      </c>
      <c r="I1072" s="108">
        <v>720300000</v>
      </c>
      <c r="J1072" s="108" t="str">
        <f t="shared" si="73"/>
        <v>0720300000</v>
      </c>
      <c r="K1072" s="304" t="str">
        <f t="shared" si="72"/>
        <v>60708010720300000000</v>
      </c>
      <c r="L1072" s="17" t="str">
        <f>INDEX('реш СГД № 265'!$A:$N,MATCH('БА расх 2018 31 12 2018'!$K1072,'реш СГД № 265'!$N:$N,0),3)</f>
        <v>Основное мероприятие «Обеспечение деятельности муниципальных учреждений, осуществляющих музейное дело»</v>
      </c>
      <c r="M1072" s="16">
        <f t="shared" si="74"/>
        <v>1</v>
      </c>
    </row>
    <row r="1073" spans="1:13" s="16" customFormat="1" ht="31.5">
      <c r="A1073" s="14"/>
      <c r="B1073" s="125" t="s">
        <v>136</v>
      </c>
      <c r="C1073" s="109" t="s">
        <v>510</v>
      </c>
      <c r="D1073" s="108" t="s">
        <v>238</v>
      </c>
      <c r="E1073" s="108" t="s">
        <v>11</v>
      </c>
      <c r="F1073" s="108" t="s">
        <v>575</v>
      </c>
      <c r="G1073" s="108" t="s">
        <v>9</v>
      </c>
      <c r="H1073" s="126">
        <v>3647322</v>
      </c>
      <c r="I1073" s="108">
        <v>720311010</v>
      </c>
      <c r="J1073" s="108" t="str">
        <f t="shared" si="73"/>
        <v>0720311010</v>
      </c>
      <c r="K1073" s="304" t="str">
        <f t="shared" si="72"/>
        <v>60708010720311010000</v>
      </c>
      <c r="L1073" s="17" t="str">
        <f>INDEX('реш СГД № 265'!$A:$N,MATCH('БА расх 2018 31 12 2018'!$K1073,'реш СГД № 265'!$N:$N,0),3)</f>
        <v>Расходы на обеспечение деятельности (оказание услуг) муниципальных учреждений</v>
      </c>
      <c r="M1073" s="16">
        <f t="shared" si="74"/>
        <v>1</v>
      </c>
    </row>
    <row r="1074" spans="1:13" s="16" customFormat="1" ht="15.75">
      <c r="A1074" s="14"/>
      <c r="B1074" s="132" t="s">
        <v>403</v>
      </c>
      <c r="C1074" s="109" t="s">
        <v>510</v>
      </c>
      <c r="D1074" s="108" t="s">
        <v>238</v>
      </c>
      <c r="E1074" s="108" t="s">
        <v>11</v>
      </c>
      <c r="F1074" s="108" t="s">
        <v>575</v>
      </c>
      <c r="G1074" s="108" t="s">
        <v>404</v>
      </c>
      <c r="H1074" s="126">
        <v>3647322</v>
      </c>
      <c r="I1074" s="108">
        <v>720311010</v>
      </c>
      <c r="J1074" s="108" t="str">
        <f t="shared" si="73"/>
        <v>0720311010</v>
      </c>
      <c r="K1074" s="304" t="str">
        <f t="shared" si="72"/>
        <v>60708010720311010610</v>
      </c>
      <c r="L1074" s="17" t="str">
        <f>INDEX('реш СГД № 265'!$A:$N,MATCH('БА расх 2018 31 12 2018'!$K1074,'реш СГД № 265'!$N:$N,0),3)</f>
        <v>Субсидии бюджетным учреждениям</v>
      </c>
      <c r="M1074" s="16">
        <f t="shared" si="74"/>
        <v>1</v>
      </c>
    </row>
    <row r="1075" spans="1:13" s="23" customFormat="1" ht="63">
      <c r="A1075" s="21"/>
      <c r="B1075" s="127" t="s">
        <v>405</v>
      </c>
      <c r="C1075" s="109" t="s">
        <v>510</v>
      </c>
      <c r="D1075" s="108" t="s">
        <v>238</v>
      </c>
      <c r="E1075" s="108" t="s">
        <v>11</v>
      </c>
      <c r="F1075" s="108" t="s">
        <v>575</v>
      </c>
      <c r="G1075" s="108" t="s">
        <v>406</v>
      </c>
      <c r="H1075" s="126">
        <v>3647322</v>
      </c>
      <c r="I1075" s="108">
        <v>720311010</v>
      </c>
      <c r="J1075" s="108" t="str">
        <f t="shared" si="73"/>
        <v>0720311010</v>
      </c>
      <c r="K1075" s="304" t="str">
        <f t="shared" si="72"/>
        <v>60708010720311010611</v>
      </c>
      <c r="L1075" s="17"/>
      <c r="M1075" s="16"/>
    </row>
    <row r="1076" spans="1:13" s="23" customFormat="1" ht="47.25">
      <c r="A1076" s="21"/>
      <c r="B1076" s="132" t="s">
        <v>1290</v>
      </c>
      <c r="C1076" s="109" t="s">
        <v>510</v>
      </c>
      <c r="D1076" s="108" t="s">
        <v>238</v>
      </c>
      <c r="E1076" s="108" t="s">
        <v>11</v>
      </c>
      <c r="F1076" s="108" t="s">
        <v>1294</v>
      </c>
      <c r="G1076" s="108" t="s">
        <v>9</v>
      </c>
      <c r="H1076" s="126">
        <v>207220</v>
      </c>
      <c r="I1076" s="108">
        <v>720377090</v>
      </c>
      <c r="J1076" s="108" t="str">
        <f t="shared" si="73"/>
        <v>0720377090</v>
      </c>
      <c r="K1076" s="304" t="str">
        <f t="shared" si="72"/>
        <v>60708010720377090000</v>
      </c>
      <c r="L1076" s="17" t="str">
        <f>INDEX('реш СГД № 265'!$A:$N,MATCH('БА расх 2018 31 12 2018'!$K1076,'реш СГД № 265'!$N:$N,0),3)</f>
        <v>Повышение заработной платы работников муниципальных учреждений культуры за счет средств бюджета Ставропольского края</v>
      </c>
      <c r="M1076" s="16">
        <f t="shared" si="74"/>
        <v>1</v>
      </c>
    </row>
    <row r="1077" spans="1:13" s="23" customFormat="1" ht="15.75">
      <c r="A1077" s="21"/>
      <c r="B1077" s="132" t="s">
        <v>403</v>
      </c>
      <c r="C1077" s="109" t="s">
        <v>510</v>
      </c>
      <c r="D1077" s="108" t="s">
        <v>238</v>
      </c>
      <c r="E1077" s="108" t="s">
        <v>11</v>
      </c>
      <c r="F1077" s="108" t="s">
        <v>1294</v>
      </c>
      <c r="G1077" s="108" t="s">
        <v>404</v>
      </c>
      <c r="H1077" s="126">
        <v>207220</v>
      </c>
      <c r="I1077" s="108">
        <v>720377090</v>
      </c>
      <c r="J1077" s="108" t="str">
        <f t="shared" si="73"/>
        <v>0720377090</v>
      </c>
      <c r="K1077" s="304" t="str">
        <f t="shared" si="72"/>
        <v>60708010720377090610</v>
      </c>
      <c r="L1077" s="17" t="str">
        <f>INDEX('реш СГД № 265'!$A:$N,MATCH('БА расх 2018 31 12 2018'!$K1077,'реш СГД № 265'!$N:$N,0),3)</f>
        <v>Субсидии бюджетным учреждениям</v>
      </c>
      <c r="M1077" s="16">
        <f t="shared" si="74"/>
        <v>1</v>
      </c>
    </row>
    <row r="1078" spans="1:13" s="23" customFormat="1" ht="63">
      <c r="A1078" s="21"/>
      <c r="B1078" s="127" t="s">
        <v>405</v>
      </c>
      <c r="C1078" s="109" t="s">
        <v>510</v>
      </c>
      <c r="D1078" s="108" t="s">
        <v>238</v>
      </c>
      <c r="E1078" s="108" t="s">
        <v>11</v>
      </c>
      <c r="F1078" s="108" t="s">
        <v>1294</v>
      </c>
      <c r="G1078" s="108" t="s">
        <v>406</v>
      </c>
      <c r="H1078" s="126">
        <v>207220</v>
      </c>
      <c r="I1078" s="108">
        <v>720377090</v>
      </c>
      <c r="J1078" s="108" t="str">
        <f t="shared" si="73"/>
        <v>0720377090</v>
      </c>
      <c r="K1078" s="304" t="str">
        <f t="shared" si="72"/>
        <v>60708010720377090611</v>
      </c>
      <c r="L1078" s="17"/>
      <c r="M1078" s="16"/>
    </row>
    <row r="1079" spans="1:13" s="23" customFormat="1" ht="31.5">
      <c r="A1079" s="21"/>
      <c r="B1079" s="132" t="s">
        <v>1292</v>
      </c>
      <c r="C1079" s="109" t="s">
        <v>510</v>
      </c>
      <c r="D1079" s="108" t="s">
        <v>238</v>
      </c>
      <c r="E1079" s="108" t="s">
        <v>11</v>
      </c>
      <c r="F1079" s="108" t="s">
        <v>1295</v>
      </c>
      <c r="G1079" s="108" t="s">
        <v>9</v>
      </c>
      <c r="H1079" s="126">
        <v>31434</v>
      </c>
      <c r="I1079" s="108" t="s">
        <v>2037</v>
      </c>
      <c r="J1079" s="108" t="str">
        <f t="shared" si="73"/>
        <v>07203S7090</v>
      </c>
      <c r="K1079" s="304" t="str">
        <f t="shared" si="72"/>
        <v>607080107203S7090000</v>
      </c>
      <c r="L1079" s="17" t="str">
        <f>INDEX('реш СГД № 265'!$A:$N,MATCH('БА расх 2018 31 12 2018'!$K1079,'реш СГД № 265'!$N:$N,0),3)</f>
        <v>Повышение заработной платы работников муниципальных учреждений культуры за счет средств местного бюджета</v>
      </c>
      <c r="M1079" s="16">
        <f t="shared" si="74"/>
        <v>1</v>
      </c>
    </row>
    <row r="1080" spans="1:13" s="23" customFormat="1" ht="15.75">
      <c r="A1080" s="21"/>
      <c r="B1080" s="132" t="s">
        <v>403</v>
      </c>
      <c r="C1080" s="109" t="s">
        <v>510</v>
      </c>
      <c r="D1080" s="108" t="s">
        <v>238</v>
      </c>
      <c r="E1080" s="108" t="s">
        <v>11</v>
      </c>
      <c r="F1080" s="108" t="s">
        <v>1295</v>
      </c>
      <c r="G1080" s="108" t="s">
        <v>404</v>
      </c>
      <c r="H1080" s="126">
        <v>31434</v>
      </c>
      <c r="I1080" s="108" t="s">
        <v>2037</v>
      </c>
      <c r="J1080" s="108" t="str">
        <f t="shared" si="73"/>
        <v>07203S7090</v>
      </c>
      <c r="K1080" s="304" t="str">
        <f t="shared" si="72"/>
        <v>607080107203S7090610</v>
      </c>
      <c r="L1080" s="17" t="str">
        <f>INDEX('реш СГД № 265'!$A:$N,MATCH('БА расх 2018 31 12 2018'!$K1080,'реш СГД № 265'!$N:$N,0),3)</f>
        <v>Субсидии бюджетным учреждениям</v>
      </c>
      <c r="M1080" s="16">
        <f t="shared" si="74"/>
        <v>1</v>
      </c>
    </row>
    <row r="1081" spans="1:13" s="23" customFormat="1" ht="63">
      <c r="A1081" s="21"/>
      <c r="B1081" s="127" t="s">
        <v>405</v>
      </c>
      <c r="C1081" s="109" t="s">
        <v>510</v>
      </c>
      <c r="D1081" s="108" t="s">
        <v>238</v>
      </c>
      <c r="E1081" s="108" t="s">
        <v>11</v>
      </c>
      <c r="F1081" s="108" t="s">
        <v>1295</v>
      </c>
      <c r="G1081" s="108" t="s">
        <v>406</v>
      </c>
      <c r="H1081" s="126">
        <v>31434</v>
      </c>
      <c r="I1081" s="108" t="s">
        <v>2037</v>
      </c>
      <c r="J1081" s="108" t="str">
        <f t="shared" si="73"/>
        <v>07203S7090</v>
      </c>
      <c r="K1081" s="304" t="str">
        <f t="shared" si="72"/>
        <v>607080107203S7090611</v>
      </c>
      <c r="L1081" s="17"/>
      <c r="M1081" s="16"/>
    </row>
    <row r="1082" spans="1:13" s="16" customFormat="1" ht="47.25">
      <c r="A1082" s="14"/>
      <c r="B1082" s="125" t="s">
        <v>576</v>
      </c>
      <c r="C1082" s="109" t="s">
        <v>510</v>
      </c>
      <c r="D1082" s="108" t="s">
        <v>238</v>
      </c>
      <c r="E1082" s="108" t="s">
        <v>11</v>
      </c>
      <c r="F1082" s="108" t="s">
        <v>577</v>
      </c>
      <c r="G1082" s="108" t="s">
        <v>9</v>
      </c>
      <c r="H1082" s="126">
        <v>57768784.490000002</v>
      </c>
      <c r="I1082" s="108">
        <v>720400000</v>
      </c>
      <c r="J1082" s="108" t="str">
        <f t="shared" si="73"/>
        <v>0720400000</v>
      </c>
      <c r="K1082" s="304" t="str">
        <f t="shared" si="72"/>
        <v>60708010720400000000</v>
      </c>
      <c r="L1082" s="17" t="str">
        <f>INDEX('реш СГД № 265'!$A:$N,MATCH('БА расх 2018 31 12 2018'!$K1082,'реш СГД № 265'!$N:$N,0),3)</f>
        <v>Основное мероприятие «Обеспечение деятельности муниципальных учреждений, осуществляющих библиотечное обслуживание»</v>
      </c>
      <c r="M1082" s="16">
        <f t="shared" si="74"/>
        <v>1</v>
      </c>
    </row>
    <row r="1083" spans="1:13" s="16" customFormat="1" ht="31.5">
      <c r="A1083" s="14"/>
      <c r="B1083" s="125" t="s">
        <v>136</v>
      </c>
      <c r="C1083" s="109" t="s">
        <v>510</v>
      </c>
      <c r="D1083" s="108" t="s">
        <v>238</v>
      </c>
      <c r="E1083" s="108" t="s">
        <v>11</v>
      </c>
      <c r="F1083" s="108" t="s">
        <v>578</v>
      </c>
      <c r="G1083" s="108" t="s">
        <v>9</v>
      </c>
      <c r="H1083" s="126">
        <v>49710862</v>
      </c>
      <c r="I1083" s="108">
        <v>720411010</v>
      </c>
      <c r="J1083" s="108" t="str">
        <f t="shared" si="73"/>
        <v>0720411010</v>
      </c>
      <c r="K1083" s="304" t="str">
        <f t="shared" si="72"/>
        <v>60708010720411010000</v>
      </c>
      <c r="L1083" s="17" t="str">
        <f>INDEX('реш СГД № 265'!$A:$N,MATCH('БА расх 2018 31 12 2018'!$K1083,'реш СГД № 265'!$N:$N,0),3)</f>
        <v>Расходы на обеспечение деятельности (оказание услуг) муниципальных учреждений</v>
      </c>
      <c r="M1083" s="16">
        <f t="shared" si="74"/>
        <v>1</v>
      </c>
    </row>
    <row r="1084" spans="1:13" s="16" customFormat="1" ht="15.75">
      <c r="A1084" s="14"/>
      <c r="B1084" s="132" t="s">
        <v>403</v>
      </c>
      <c r="C1084" s="109" t="s">
        <v>510</v>
      </c>
      <c r="D1084" s="108" t="s">
        <v>238</v>
      </c>
      <c r="E1084" s="108" t="s">
        <v>11</v>
      </c>
      <c r="F1084" s="108" t="s">
        <v>578</v>
      </c>
      <c r="G1084" s="108" t="s">
        <v>404</v>
      </c>
      <c r="H1084" s="126">
        <v>49710862</v>
      </c>
      <c r="I1084" s="108">
        <v>720411010</v>
      </c>
      <c r="J1084" s="108" t="str">
        <f t="shared" si="73"/>
        <v>0720411010</v>
      </c>
      <c r="K1084" s="304" t="str">
        <f t="shared" si="72"/>
        <v>60708010720411010610</v>
      </c>
      <c r="L1084" s="17" t="str">
        <f>INDEX('реш СГД № 265'!$A:$N,MATCH('БА расх 2018 31 12 2018'!$K1084,'реш СГД № 265'!$N:$N,0),3)</f>
        <v>Субсидии бюджетным учреждениям</v>
      </c>
      <c r="M1084" s="16">
        <f t="shared" si="74"/>
        <v>1</v>
      </c>
    </row>
    <row r="1085" spans="1:13" s="23" customFormat="1" ht="63">
      <c r="A1085" s="21"/>
      <c r="B1085" s="127" t="s">
        <v>405</v>
      </c>
      <c r="C1085" s="109" t="s">
        <v>510</v>
      </c>
      <c r="D1085" s="108" t="s">
        <v>238</v>
      </c>
      <c r="E1085" s="108" t="s">
        <v>11</v>
      </c>
      <c r="F1085" s="108" t="s">
        <v>578</v>
      </c>
      <c r="G1085" s="108" t="s">
        <v>406</v>
      </c>
      <c r="H1085" s="126">
        <v>49710862</v>
      </c>
      <c r="I1085" s="108">
        <v>720411010</v>
      </c>
      <c r="J1085" s="108" t="str">
        <f t="shared" si="73"/>
        <v>0720411010</v>
      </c>
      <c r="K1085" s="304" t="str">
        <f t="shared" si="72"/>
        <v>60708010720411010611</v>
      </c>
      <c r="L1085" s="17"/>
      <c r="M1085" s="16"/>
    </row>
    <row r="1086" spans="1:13" s="23" customFormat="1" ht="47.25">
      <c r="A1086" s="21"/>
      <c r="B1086" s="132" t="s">
        <v>1290</v>
      </c>
      <c r="C1086" s="109" t="s">
        <v>510</v>
      </c>
      <c r="D1086" s="108" t="s">
        <v>238</v>
      </c>
      <c r="E1086" s="108" t="s">
        <v>11</v>
      </c>
      <c r="F1086" s="108" t="s">
        <v>1296</v>
      </c>
      <c r="G1086" s="108" t="s">
        <v>9</v>
      </c>
      <c r="H1086" s="126">
        <v>5524910</v>
      </c>
      <c r="I1086" s="108">
        <v>720477090</v>
      </c>
      <c r="J1086" s="108" t="str">
        <f t="shared" si="73"/>
        <v>0720477090</v>
      </c>
      <c r="K1086" s="304" t="str">
        <f t="shared" si="72"/>
        <v>60708010720477090000</v>
      </c>
      <c r="L1086" s="17" t="str">
        <f>INDEX('реш СГД № 265'!$A:$N,MATCH('БА расх 2018 31 12 2018'!$K1086,'реш СГД № 265'!$N:$N,0),3)</f>
        <v>Повышение заработной платы работников муниципальных учреждений культуры за счет средств бюджета Ставропольского края</v>
      </c>
      <c r="M1086" s="16">
        <f t="shared" si="74"/>
        <v>1</v>
      </c>
    </row>
    <row r="1087" spans="1:13" s="23" customFormat="1" ht="15.75">
      <c r="A1087" s="21"/>
      <c r="B1087" s="132" t="s">
        <v>403</v>
      </c>
      <c r="C1087" s="109" t="s">
        <v>510</v>
      </c>
      <c r="D1087" s="108" t="s">
        <v>238</v>
      </c>
      <c r="E1087" s="108" t="s">
        <v>11</v>
      </c>
      <c r="F1087" s="108" t="s">
        <v>1296</v>
      </c>
      <c r="G1087" s="108" t="s">
        <v>404</v>
      </c>
      <c r="H1087" s="126">
        <v>5524910</v>
      </c>
      <c r="I1087" s="108">
        <v>720477090</v>
      </c>
      <c r="J1087" s="108" t="str">
        <f t="shared" si="73"/>
        <v>0720477090</v>
      </c>
      <c r="K1087" s="304" t="str">
        <f t="shared" si="72"/>
        <v>60708010720477090610</v>
      </c>
      <c r="L1087" s="17" t="str">
        <f>INDEX('реш СГД № 265'!$A:$N,MATCH('БА расх 2018 31 12 2018'!$K1087,'реш СГД № 265'!$N:$N,0),3)</f>
        <v>Субсидии бюджетным учреждениям</v>
      </c>
      <c r="M1087" s="16">
        <f t="shared" si="74"/>
        <v>1</v>
      </c>
    </row>
    <row r="1088" spans="1:13" s="23" customFormat="1" ht="63">
      <c r="A1088" s="21"/>
      <c r="B1088" s="127" t="s">
        <v>405</v>
      </c>
      <c r="C1088" s="109" t="s">
        <v>510</v>
      </c>
      <c r="D1088" s="108" t="s">
        <v>238</v>
      </c>
      <c r="E1088" s="108" t="s">
        <v>11</v>
      </c>
      <c r="F1088" s="108" t="s">
        <v>1296</v>
      </c>
      <c r="G1088" s="108" t="s">
        <v>406</v>
      </c>
      <c r="H1088" s="126">
        <v>5524910</v>
      </c>
      <c r="I1088" s="108">
        <v>720477090</v>
      </c>
      <c r="J1088" s="108" t="str">
        <f t="shared" si="73"/>
        <v>0720477090</v>
      </c>
      <c r="K1088" s="304" t="str">
        <f t="shared" si="72"/>
        <v>60708010720477090611</v>
      </c>
      <c r="L1088" s="17"/>
      <c r="M1088" s="16"/>
    </row>
    <row r="1089" spans="1:13" s="16" customFormat="1" ht="31.5">
      <c r="A1089" s="14"/>
      <c r="B1089" s="132" t="s">
        <v>1297</v>
      </c>
      <c r="C1089" s="109" t="s">
        <v>510</v>
      </c>
      <c r="D1089" s="108" t="s">
        <v>238</v>
      </c>
      <c r="E1089" s="108" t="s">
        <v>11</v>
      </c>
      <c r="F1089" s="108" t="s">
        <v>580</v>
      </c>
      <c r="G1089" s="108" t="s">
        <v>9</v>
      </c>
      <c r="H1089" s="126">
        <v>2174766.4900000002</v>
      </c>
      <c r="I1089" s="108" t="s">
        <v>1221</v>
      </c>
      <c r="J1089" s="108" t="str">
        <f t="shared" si="73"/>
        <v>07204L5194</v>
      </c>
      <c r="K1089" s="304" t="str">
        <f t="shared" si="72"/>
        <v>607080107204L5194000</v>
      </c>
      <c r="L1089" s="132" t="str">
        <f>INDEX('реш СГД № 265'!$A:$N,MATCH('БА расх 2018 31 12 2018'!$K1089,'реш СГД № 265'!$N:$N,0),3)</f>
        <v>Поддержка отрасли культура (комплектование книжных фондов библиотек муниципальных образований)</v>
      </c>
      <c r="M1089" s="17">
        <f t="shared" si="74"/>
        <v>1</v>
      </c>
    </row>
    <row r="1090" spans="1:13" s="16" customFormat="1" ht="15.75">
      <c r="A1090" s="14"/>
      <c r="B1090" s="132" t="s">
        <v>403</v>
      </c>
      <c r="C1090" s="109" t="s">
        <v>510</v>
      </c>
      <c r="D1090" s="108" t="s">
        <v>238</v>
      </c>
      <c r="E1090" s="108" t="s">
        <v>11</v>
      </c>
      <c r="F1090" s="108" t="s">
        <v>580</v>
      </c>
      <c r="G1090" s="108" t="s">
        <v>404</v>
      </c>
      <c r="H1090" s="126">
        <v>2174766.4900000002</v>
      </c>
      <c r="I1090" s="108" t="s">
        <v>1221</v>
      </c>
      <c r="J1090" s="108" t="str">
        <f t="shared" si="73"/>
        <v>07204L5194</v>
      </c>
      <c r="K1090" s="304" t="str">
        <f t="shared" si="72"/>
        <v>607080107204L5194610</v>
      </c>
      <c r="L1090" s="17" t="str">
        <f>INDEX('реш СГД № 265'!$A:$N,MATCH('БА расх 2018 31 12 2018'!$K1090,'реш СГД № 265'!$N:$N,0),3)</f>
        <v>Субсидии бюджетным учреждениям</v>
      </c>
      <c r="M1090" s="16">
        <f t="shared" si="74"/>
        <v>1</v>
      </c>
    </row>
    <row r="1091" spans="1:13" s="16" customFormat="1" ht="63">
      <c r="A1091" s="14"/>
      <c r="B1091" s="127" t="s">
        <v>405</v>
      </c>
      <c r="C1091" s="109" t="s">
        <v>510</v>
      </c>
      <c r="D1091" s="108" t="s">
        <v>238</v>
      </c>
      <c r="E1091" s="108" t="s">
        <v>11</v>
      </c>
      <c r="F1091" s="108" t="s">
        <v>580</v>
      </c>
      <c r="G1091" s="108" t="s">
        <v>406</v>
      </c>
      <c r="H1091" s="126">
        <v>2174766.4900000002</v>
      </c>
      <c r="I1091" s="108" t="s">
        <v>1221</v>
      </c>
      <c r="J1091" s="108" t="str">
        <f t="shared" si="73"/>
        <v>07204L5194</v>
      </c>
      <c r="K1091" s="304" t="str">
        <f t="shared" si="72"/>
        <v>607080107204L5194611</v>
      </c>
      <c r="L1091" s="17"/>
    </row>
    <row r="1092" spans="1:13" s="16" customFormat="1" ht="31.5">
      <c r="A1092" s="14"/>
      <c r="B1092" s="132" t="s">
        <v>1292</v>
      </c>
      <c r="C1092" s="109" t="s">
        <v>510</v>
      </c>
      <c r="D1092" s="108" t="s">
        <v>238</v>
      </c>
      <c r="E1092" s="108" t="s">
        <v>11</v>
      </c>
      <c r="F1092" s="108" t="s">
        <v>1299</v>
      </c>
      <c r="G1092" s="108" t="s">
        <v>9</v>
      </c>
      <c r="H1092" s="126">
        <v>358246</v>
      </c>
      <c r="I1092" s="108" t="s">
        <v>2040</v>
      </c>
      <c r="J1092" s="108" t="str">
        <f t="shared" si="73"/>
        <v>07204S7090</v>
      </c>
      <c r="K1092" s="304" t="str">
        <f t="shared" si="72"/>
        <v>607080107204S7090000</v>
      </c>
      <c r="L1092" s="17" t="str">
        <f>INDEX('реш СГД № 265'!$A:$N,MATCH('БА расх 2018 31 12 2018'!$K1092,'реш СГД № 265'!$N:$N,0),3)</f>
        <v>Повышение заработной платы работников муниципальных учреждений культуры за счет средств местного бюджета</v>
      </c>
      <c r="M1092" s="16">
        <f t="shared" si="74"/>
        <v>1</v>
      </c>
    </row>
    <row r="1093" spans="1:13" s="16" customFormat="1" ht="15.75">
      <c r="A1093" s="14"/>
      <c r="B1093" s="132" t="s">
        <v>403</v>
      </c>
      <c r="C1093" s="109" t="s">
        <v>510</v>
      </c>
      <c r="D1093" s="108" t="s">
        <v>238</v>
      </c>
      <c r="E1093" s="108" t="s">
        <v>11</v>
      </c>
      <c r="F1093" s="108" t="s">
        <v>1299</v>
      </c>
      <c r="G1093" s="108" t="s">
        <v>404</v>
      </c>
      <c r="H1093" s="126">
        <v>358246</v>
      </c>
      <c r="I1093" s="108" t="s">
        <v>2040</v>
      </c>
      <c r="J1093" s="108" t="str">
        <f t="shared" si="73"/>
        <v>07204S7090</v>
      </c>
      <c r="K1093" s="304" t="str">
        <f t="shared" si="72"/>
        <v>607080107204S7090610</v>
      </c>
      <c r="L1093" s="17" t="str">
        <f>INDEX('реш СГД № 265'!$A:$N,MATCH('БА расх 2018 31 12 2018'!$K1093,'реш СГД № 265'!$N:$N,0),3)</f>
        <v>Субсидии бюджетным учреждениям</v>
      </c>
      <c r="M1093" s="16">
        <f t="shared" si="74"/>
        <v>1</v>
      </c>
    </row>
    <row r="1094" spans="1:13" s="16" customFormat="1" ht="63">
      <c r="A1094" s="14"/>
      <c r="B1094" s="127" t="s">
        <v>405</v>
      </c>
      <c r="C1094" s="109" t="s">
        <v>510</v>
      </c>
      <c r="D1094" s="108" t="s">
        <v>238</v>
      </c>
      <c r="E1094" s="108" t="s">
        <v>11</v>
      </c>
      <c r="F1094" s="108" t="s">
        <v>1299</v>
      </c>
      <c r="G1094" s="108" t="s">
        <v>406</v>
      </c>
      <c r="H1094" s="126">
        <v>358246</v>
      </c>
      <c r="I1094" s="108" t="s">
        <v>2040</v>
      </c>
      <c r="J1094" s="108" t="str">
        <f t="shared" si="73"/>
        <v>07204S7090</v>
      </c>
      <c r="K1094" s="304" t="str">
        <f t="shared" si="72"/>
        <v>607080107204S7090611</v>
      </c>
      <c r="L1094" s="17"/>
    </row>
    <row r="1095" spans="1:13" s="16" customFormat="1" ht="47.25">
      <c r="A1095" s="14"/>
      <c r="B1095" s="125" t="s">
        <v>581</v>
      </c>
      <c r="C1095" s="109" t="s">
        <v>510</v>
      </c>
      <c r="D1095" s="108" t="s">
        <v>238</v>
      </c>
      <c r="E1095" s="108" t="s">
        <v>11</v>
      </c>
      <c r="F1095" s="108" t="s">
        <v>582</v>
      </c>
      <c r="G1095" s="108" t="s">
        <v>9</v>
      </c>
      <c r="H1095" s="126">
        <v>63540496</v>
      </c>
      <c r="I1095" s="108">
        <v>720500000</v>
      </c>
      <c r="J1095" s="108" t="str">
        <f t="shared" si="73"/>
        <v>0720500000</v>
      </c>
      <c r="K1095" s="304" t="str">
        <f t="shared" si="72"/>
        <v>60708010720500000000</v>
      </c>
      <c r="L1095" s="17" t="str">
        <f>INDEX('реш СГД № 265'!$A:$N,MATCH('БА расх 2018 31 12 2018'!$K1095,'реш СГД № 265'!$N:$N,0),3)</f>
        <v>Основное мероприятие «Обеспечение деятельности муниципальных учреждений, осуществляющих театрально-концертную деятельность»</v>
      </c>
      <c r="M1095" s="16">
        <f t="shared" si="74"/>
        <v>1</v>
      </c>
    </row>
    <row r="1096" spans="1:13" s="16" customFormat="1" ht="31.5">
      <c r="A1096" s="14"/>
      <c r="B1096" s="125" t="s">
        <v>136</v>
      </c>
      <c r="C1096" s="109" t="s">
        <v>510</v>
      </c>
      <c r="D1096" s="108" t="s">
        <v>238</v>
      </c>
      <c r="E1096" s="108" t="s">
        <v>11</v>
      </c>
      <c r="F1096" s="108" t="s">
        <v>583</v>
      </c>
      <c r="G1096" s="108" t="s">
        <v>9</v>
      </c>
      <c r="H1096" s="126">
        <v>58352925</v>
      </c>
      <c r="I1096" s="108">
        <v>720511010</v>
      </c>
      <c r="J1096" s="108" t="str">
        <f t="shared" si="73"/>
        <v>0720511010</v>
      </c>
      <c r="K1096" s="304" t="str">
        <f t="shared" si="72"/>
        <v>60708010720511010000</v>
      </c>
      <c r="L1096" s="17" t="str">
        <f>INDEX('реш СГД № 265'!$A:$N,MATCH('БА расх 2018 31 12 2018'!$K1096,'реш СГД № 265'!$N:$N,0),3)</f>
        <v>Расходы на обеспечение деятельности (оказание услуг) муниципальных учреждений</v>
      </c>
      <c r="M1096" s="16">
        <f t="shared" si="74"/>
        <v>1</v>
      </c>
    </row>
    <row r="1097" spans="1:13" s="16" customFormat="1" ht="15.75">
      <c r="A1097" s="14"/>
      <c r="B1097" s="132" t="s">
        <v>403</v>
      </c>
      <c r="C1097" s="109" t="s">
        <v>510</v>
      </c>
      <c r="D1097" s="108" t="s">
        <v>238</v>
      </c>
      <c r="E1097" s="108" t="s">
        <v>11</v>
      </c>
      <c r="F1097" s="108" t="s">
        <v>583</v>
      </c>
      <c r="G1097" s="108" t="s">
        <v>404</v>
      </c>
      <c r="H1097" s="126">
        <v>47737215</v>
      </c>
      <c r="I1097" s="108">
        <v>720511010</v>
      </c>
      <c r="J1097" s="108" t="str">
        <f t="shared" si="73"/>
        <v>0720511010</v>
      </c>
      <c r="K1097" s="304" t="str">
        <f t="shared" si="72"/>
        <v>60708010720511010610</v>
      </c>
      <c r="L1097" s="17" t="str">
        <f>INDEX('реш СГД № 265'!$A:$N,MATCH('БА расх 2018 31 12 2018'!$K1097,'реш СГД № 265'!$N:$N,0),3)</f>
        <v>Субсидии бюджетным учреждениям</v>
      </c>
      <c r="M1097" s="16">
        <f t="shared" si="74"/>
        <v>1</v>
      </c>
    </row>
    <row r="1098" spans="1:13" s="23" customFormat="1" ht="63">
      <c r="A1098" s="21"/>
      <c r="B1098" s="127" t="s">
        <v>405</v>
      </c>
      <c r="C1098" s="109" t="s">
        <v>510</v>
      </c>
      <c r="D1098" s="108" t="s">
        <v>238</v>
      </c>
      <c r="E1098" s="108" t="s">
        <v>11</v>
      </c>
      <c r="F1098" s="108" t="s">
        <v>583</v>
      </c>
      <c r="G1098" s="108" t="s">
        <v>406</v>
      </c>
      <c r="H1098" s="126">
        <v>47197215</v>
      </c>
      <c r="I1098" s="108">
        <v>720511010</v>
      </c>
      <c r="J1098" s="108" t="str">
        <f t="shared" si="73"/>
        <v>0720511010</v>
      </c>
      <c r="K1098" s="304" t="str">
        <f t="shared" si="72"/>
        <v>60708010720511010611</v>
      </c>
      <c r="L1098" s="17"/>
      <c r="M1098" s="16"/>
    </row>
    <row r="1099" spans="1:13" s="23" customFormat="1" ht="15.75">
      <c r="A1099" s="21"/>
      <c r="B1099" s="125" t="s">
        <v>407</v>
      </c>
      <c r="C1099" s="109" t="s">
        <v>510</v>
      </c>
      <c r="D1099" s="108" t="s">
        <v>238</v>
      </c>
      <c r="E1099" s="108" t="s">
        <v>11</v>
      </c>
      <c r="F1099" s="108" t="s">
        <v>583</v>
      </c>
      <c r="G1099" s="108" t="s">
        <v>408</v>
      </c>
      <c r="H1099" s="126">
        <v>540000</v>
      </c>
      <c r="I1099" s="108" t="s">
        <v>2376</v>
      </c>
      <c r="J1099" s="108" t="str">
        <f t="shared" ref="J1099" si="75">TEXT(I1099,"0000000000")</f>
        <v>0720511010</v>
      </c>
      <c r="K1099" s="304" t="str">
        <f t="shared" ref="K1099" si="76">C1099&amp;D1099&amp;E1099&amp;J1099&amp;G1099</f>
        <v>60708010720511010612</v>
      </c>
      <c r="L1099" s="17"/>
      <c r="M1099" s="16"/>
    </row>
    <row r="1100" spans="1:13" s="16" customFormat="1" ht="15.75">
      <c r="A1100" s="14"/>
      <c r="B1100" s="132" t="s">
        <v>409</v>
      </c>
      <c r="C1100" s="109" t="s">
        <v>510</v>
      </c>
      <c r="D1100" s="108" t="s">
        <v>238</v>
      </c>
      <c r="E1100" s="108" t="s">
        <v>11</v>
      </c>
      <c r="F1100" s="108" t="s">
        <v>583</v>
      </c>
      <c r="G1100" s="108" t="s">
        <v>410</v>
      </c>
      <c r="H1100" s="126">
        <v>10615710</v>
      </c>
      <c r="I1100" s="108">
        <v>720511010</v>
      </c>
      <c r="J1100" s="108" t="str">
        <f t="shared" si="73"/>
        <v>0720511010</v>
      </c>
      <c r="K1100" s="304" t="str">
        <f t="shared" si="72"/>
        <v>60708010720511010620</v>
      </c>
      <c r="L1100" s="17" t="str">
        <f>INDEX('реш СГД № 265'!$A:$N,MATCH('БА расх 2018 31 12 2018'!$K1100,'реш СГД № 265'!$N:$N,0),3)</f>
        <v>Субсидии автономным учреждениям</v>
      </c>
      <c r="M1100" s="16">
        <f t="shared" si="74"/>
        <v>1</v>
      </c>
    </row>
    <row r="1101" spans="1:13" s="23" customFormat="1" ht="63">
      <c r="A1101" s="21"/>
      <c r="B1101" s="127" t="s">
        <v>411</v>
      </c>
      <c r="C1101" s="109" t="s">
        <v>510</v>
      </c>
      <c r="D1101" s="108" t="s">
        <v>238</v>
      </c>
      <c r="E1101" s="108" t="s">
        <v>11</v>
      </c>
      <c r="F1101" s="108" t="s">
        <v>583</v>
      </c>
      <c r="G1101" s="108" t="s">
        <v>412</v>
      </c>
      <c r="H1101" s="126">
        <v>10615710</v>
      </c>
      <c r="I1101" s="108">
        <v>720511010</v>
      </c>
      <c r="J1101" s="108" t="str">
        <f t="shared" si="73"/>
        <v>0720511010</v>
      </c>
      <c r="K1101" s="304" t="str">
        <f t="shared" si="72"/>
        <v>60708010720511010621</v>
      </c>
      <c r="L1101" s="17"/>
      <c r="M1101" s="16"/>
    </row>
    <row r="1102" spans="1:13" s="23" customFormat="1" ht="47.25">
      <c r="A1102" s="21"/>
      <c r="B1102" s="132" t="s">
        <v>1290</v>
      </c>
      <c r="C1102" s="109" t="s">
        <v>510</v>
      </c>
      <c r="D1102" s="108" t="s">
        <v>238</v>
      </c>
      <c r="E1102" s="108" t="s">
        <v>11</v>
      </c>
      <c r="F1102" s="108" t="s">
        <v>1300</v>
      </c>
      <c r="G1102" s="108" t="s">
        <v>9</v>
      </c>
      <c r="H1102" s="126">
        <v>4941870</v>
      </c>
      <c r="I1102" s="108">
        <v>720577090</v>
      </c>
      <c r="J1102" s="108" t="str">
        <f t="shared" si="73"/>
        <v>0720577090</v>
      </c>
      <c r="K1102" s="304" t="str">
        <f t="shared" si="72"/>
        <v>60708010720577090000</v>
      </c>
      <c r="L1102" s="17" t="str">
        <f>INDEX('реш СГД № 265'!$A:$N,MATCH('БА расх 2018 31 12 2018'!$K1102,'реш СГД № 265'!$N:$N,0),3)</f>
        <v>Повышение заработной платы работников муниципальных учреждений культуры за счет средств бюджета Ставропольского края</v>
      </c>
      <c r="M1102" s="16">
        <f t="shared" si="74"/>
        <v>1</v>
      </c>
    </row>
    <row r="1103" spans="1:13" s="23" customFormat="1" ht="15.75">
      <c r="A1103" s="21"/>
      <c r="B1103" s="132" t="s">
        <v>403</v>
      </c>
      <c r="C1103" s="109" t="s">
        <v>510</v>
      </c>
      <c r="D1103" s="108" t="s">
        <v>238</v>
      </c>
      <c r="E1103" s="108" t="s">
        <v>11</v>
      </c>
      <c r="F1103" s="108" t="s">
        <v>1300</v>
      </c>
      <c r="G1103" s="108" t="s">
        <v>404</v>
      </c>
      <c r="H1103" s="126">
        <v>4342470</v>
      </c>
      <c r="I1103" s="108">
        <v>720577090</v>
      </c>
      <c r="J1103" s="108" t="str">
        <f t="shared" si="73"/>
        <v>0720577090</v>
      </c>
      <c r="K1103" s="304" t="str">
        <f t="shared" si="72"/>
        <v>60708010720577090610</v>
      </c>
      <c r="L1103" s="17" t="str">
        <f>INDEX('реш СГД № 265'!$A:$N,MATCH('БА расх 2018 31 12 2018'!$K1103,'реш СГД № 265'!$N:$N,0),3)</f>
        <v>Субсидии бюджетным учреждениям</v>
      </c>
      <c r="M1103" s="16">
        <f t="shared" si="74"/>
        <v>1</v>
      </c>
    </row>
    <row r="1104" spans="1:13" s="23" customFormat="1" ht="63">
      <c r="A1104" s="21"/>
      <c r="B1104" s="127" t="s">
        <v>405</v>
      </c>
      <c r="C1104" s="109" t="s">
        <v>510</v>
      </c>
      <c r="D1104" s="108" t="s">
        <v>238</v>
      </c>
      <c r="E1104" s="108" t="s">
        <v>11</v>
      </c>
      <c r="F1104" s="108" t="s">
        <v>1300</v>
      </c>
      <c r="G1104" s="108" t="s">
        <v>406</v>
      </c>
      <c r="H1104" s="126">
        <v>4342470</v>
      </c>
      <c r="I1104" s="108">
        <v>720577090</v>
      </c>
      <c r="J1104" s="108" t="str">
        <f t="shared" si="73"/>
        <v>0720577090</v>
      </c>
      <c r="K1104" s="304" t="str">
        <f t="shared" si="72"/>
        <v>60708010720577090611</v>
      </c>
      <c r="L1104" s="17"/>
      <c r="M1104" s="16"/>
    </row>
    <row r="1105" spans="1:13" s="23" customFormat="1" ht="15.75">
      <c r="A1105" s="21"/>
      <c r="B1105" s="132" t="s">
        <v>409</v>
      </c>
      <c r="C1105" s="109" t="s">
        <v>510</v>
      </c>
      <c r="D1105" s="108" t="s">
        <v>238</v>
      </c>
      <c r="E1105" s="108" t="s">
        <v>11</v>
      </c>
      <c r="F1105" s="108" t="s">
        <v>1300</v>
      </c>
      <c r="G1105" s="108" t="s">
        <v>410</v>
      </c>
      <c r="H1105" s="126">
        <v>599400</v>
      </c>
      <c r="I1105" s="108">
        <v>720577090</v>
      </c>
      <c r="J1105" s="108" t="str">
        <f t="shared" si="73"/>
        <v>0720577090</v>
      </c>
      <c r="K1105" s="304" t="str">
        <f t="shared" si="72"/>
        <v>60708010720577090620</v>
      </c>
      <c r="L1105" s="17" t="str">
        <f>INDEX('реш СГД № 265'!$A:$N,MATCH('БА расх 2018 31 12 2018'!$K1105,'реш СГД № 265'!$N:$N,0),3)</f>
        <v>Субсидии автономным учреждениям</v>
      </c>
      <c r="M1105" s="16">
        <f t="shared" si="74"/>
        <v>1</v>
      </c>
    </row>
    <row r="1106" spans="1:13" s="23" customFormat="1" ht="63">
      <c r="A1106" s="21"/>
      <c r="B1106" s="127" t="s">
        <v>411</v>
      </c>
      <c r="C1106" s="109" t="s">
        <v>510</v>
      </c>
      <c r="D1106" s="108" t="s">
        <v>238</v>
      </c>
      <c r="E1106" s="108" t="s">
        <v>11</v>
      </c>
      <c r="F1106" s="108" t="s">
        <v>1300</v>
      </c>
      <c r="G1106" s="108" t="s">
        <v>412</v>
      </c>
      <c r="H1106" s="126">
        <v>599400</v>
      </c>
      <c r="I1106" s="108">
        <v>720577090</v>
      </c>
      <c r="J1106" s="108" t="str">
        <f t="shared" si="73"/>
        <v>0720577090</v>
      </c>
      <c r="K1106" s="304" t="str">
        <f t="shared" si="72"/>
        <v>60708010720577090621</v>
      </c>
      <c r="L1106" s="17"/>
      <c r="M1106" s="16"/>
    </row>
    <row r="1107" spans="1:13" s="23" customFormat="1" ht="31.5">
      <c r="A1107" s="21"/>
      <c r="B1107" s="132" t="s">
        <v>1292</v>
      </c>
      <c r="C1107" s="109" t="s">
        <v>510</v>
      </c>
      <c r="D1107" s="108" t="s">
        <v>238</v>
      </c>
      <c r="E1107" s="108" t="s">
        <v>11</v>
      </c>
      <c r="F1107" s="108" t="s">
        <v>1301</v>
      </c>
      <c r="G1107" s="108" t="s">
        <v>9</v>
      </c>
      <c r="H1107" s="126">
        <v>245701</v>
      </c>
      <c r="I1107" s="108" t="s">
        <v>2043</v>
      </c>
      <c r="J1107" s="108" t="str">
        <f t="shared" si="73"/>
        <v>07205S7090</v>
      </c>
      <c r="K1107" s="304" t="str">
        <f t="shared" si="72"/>
        <v>607080107205S7090000</v>
      </c>
      <c r="L1107" s="17" t="str">
        <f>INDEX('реш СГД № 265'!$A:$N,MATCH('БА расх 2018 31 12 2018'!$K1107,'реш СГД № 265'!$N:$N,0),3)</f>
        <v>Повышение заработной платы работников муниципальных учреждений культуры за счет средств местного бюджета</v>
      </c>
      <c r="M1107" s="16">
        <f t="shared" si="74"/>
        <v>1</v>
      </c>
    </row>
    <row r="1108" spans="1:13" s="23" customFormat="1" ht="15.75">
      <c r="A1108" s="21"/>
      <c r="B1108" s="132" t="s">
        <v>403</v>
      </c>
      <c r="C1108" s="109" t="s">
        <v>510</v>
      </c>
      <c r="D1108" s="108" t="s">
        <v>238</v>
      </c>
      <c r="E1108" s="108" t="s">
        <v>11</v>
      </c>
      <c r="F1108" s="108" t="s">
        <v>1301</v>
      </c>
      <c r="G1108" s="108" t="s">
        <v>404</v>
      </c>
      <c r="H1108" s="126">
        <v>217921</v>
      </c>
      <c r="I1108" s="108" t="s">
        <v>2043</v>
      </c>
      <c r="J1108" s="108" t="str">
        <f t="shared" si="73"/>
        <v>07205S7090</v>
      </c>
      <c r="K1108" s="304" t="str">
        <f t="shared" si="72"/>
        <v>607080107205S7090610</v>
      </c>
      <c r="L1108" s="17" t="str">
        <f>INDEX('реш СГД № 265'!$A:$N,MATCH('БА расх 2018 31 12 2018'!$K1108,'реш СГД № 265'!$N:$N,0),3)</f>
        <v>Субсидии бюджетным учреждениям</v>
      </c>
      <c r="M1108" s="16">
        <f t="shared" si="74"/>
        <v>1</v>
      </c>
    </row>
    <row r="1109" spans="1:13" s="23" customFormat="1" ht="63">
      <c r="A1109" s="21"/>
      <c r="B1109" s="127" t="s">
        <v>405</v>
      </c>
      <c r="C1109" s="109" t="s">
        <v>510</v>
      </c>
      <c r="D1109" s="108" t="s">
        <v>238</v>
      </c>
      <c r="E1109" s="108" t="s">
        <v>11</v>
      </c>
      <c r="F1109" s="108" t="s">
        <v>1301</v>
      </c>
      <c r="G1109" s="108" t="s">
        <v>406</v>
      </c>
      <c r="H1109" s="126">
        <v>217921</v>
      </c>
      <c r="I1109" s="108" t="s">
        <v>2043</v>
      </c>
      <c r="J1109" s="108" t="str">
        <f t="shared" si="73"/>
        <v>07205S7090</v>
      </c>
      <c r="K1109" s="304" t="str">
        <f t="shared" si="72"/>
        <v>607080107205S7090611</v>
      </c>
      <c r="L1109" s="17"/>
      <c r="M1109" s="16"/>
    </row>
    <row r="1110" spans="1:13" s="23" customFormat="1" ht="15.75">
      <c r="A1110" s="21"/>
      <c r="B1110" s="132" t="s">
        <v>409</v>
      </c>
      <c r="C1110" s="109" t="s">
        <v>510</v>
      </c>
      <c r="D1110" s="108" t="s">
        <v>238</v>
      </c>
      <c r="E1110" s="108" t="s">
        <v>11</v>
      </c>
      <c r="F1110" s="108" t="s">
        <v>1301</v>
      </c>
      <c r="G1110" s="108" t="s">
        <v>410</v>
      </c>
      <c r="H1110" s="126">
        <v>27780</v>
      </c>
      <c r="I1110" s="108" t="s">
        <v>2043</v>
      </c>
      <c r="J1110" s="108" t="str">
        <f t="shared" si="73"/>
        <v>07205S7090</v>
      </c>
      <c r="K1110" s="304" t="str">
        <f t="shared" si="72"/>
        <v>607080107205S7090620</v>
      </c>
      <c r="L1110" s="17"/>
      <c r="M1110" s="16"/>
    </row>
    <row r="1111" spans="1:13" s="23" customFormat="1" ht="63">
      <c r="A1111" s="21"/>
      <c r="B1111" s="127" t="s">
        <v>411</v>
      </c>
      <c r="C1111" s="109" t="s">
        <v>510</v>
      </c>
      <c r="D1111" s="108" t="s">
        <v>238</v>
      </c>
      <c r="E1111" s="108" t="s">
        <v>11</v>
      </c>
      <c r="F1111" s="108" t="s">
        <v>1301</v>
      </c>
      <c r="G1111" s="108" t="s">
        <v>412</v>
      </c>
      <c r="H1111" s="126">
        <v>27780</v>
      </c>
      <c r="I1111" s="108" t="s">
        <v>2043</v>
      </c>
      <c r="J1111" s="108" t="str">
        <f t="shared" si="73"/>
        <v>07205S7090</v>
      </c>
      <c r="K1111" s="304" t="str">
        <f t="shared" si="72"/>
        <v>607080107205S7090621</v>
      </c>
      <c r="L1111" s="17"/>
      <c r="M1111" s="16"/>
    </row>
    <row r="1112" spans="1:13" s="16" customFormat="1" ht="47.25">
      <c r="A1112" s="14"/>
      <c r="B1112" s="125" t="s">
        <v>524</v>
      </c>
      <c r="C1112" s="109" t="s">
        <v>510</v>
      </c>
      <c r="D1112" s="108" t="s">
        <v>238</v>
      </c>
      <c r="E1112" s="108" t="s">
        <v>11</v>
      </c>
      <c r="F1112" s="108" t="s">
        <v>525</v>
      </c>
      <c r="G1112" s="108" t="s">
        <v>9</v>
      </c>
      <c r="H1112" s="126">
        <v>1034079</v>
      </c>
      <c r="I1112" s="108">
        <v>720600000</v>
      </c>
      <c r="J1112" s="108" t="str">
        <f t="shared" si="73"/>
        <v>0720600000</v>
      </c>
      <c r="K1112" s="304" t="str">
        <f t="shared" si="72"/>
        <v>60708010720600000000</v>
      </c>
      <c r="L1112" s="17" t="str">
        <f>INDEX('реш СГД № 265'!$A:$N,MATCH('БА расх 2018 31 12 2018'!$K1112,'реш СГД № 265'!$N:$N,0),3)</f>
        <v>Основное мероприятие «Сохранение объектов культурного наследия (памятников истории и культуры), находящихся в муниципальной собственности города Ставрополя»</v>
      </c>
      <c r="M1112" s="16">
        <f t="shared" si="74"/>
        <v>1</v>
      </c>
    </row>
    <row r="1113" spans="1:13" s="16" customFormat="1" ht="47.25">
      <c r="A1113" s="14"/>
      <c r="B1113" s="125" t="s">
        <v>526</v>
      </c>
      <c r="C1113" s="109" t="s">
        <v>510</v>
      </c>
      <c r="D1113" s="108" t="s">
        <v>238</v>
      </c>
      <c r="E1113" s="108" t="s">
        <v>11</v>
      </c>
      <c r="F1113" s="108" t="s">
        <v>527</v>
      </c>
      <c r="G1113" s="108" t="s">
        <v>9</v>
      </c>
      <c r="H1113" s="126">
        <v>1034079</v>
      </c>
      <c r="I1113" s="108">
        <v>720620400</v>
      </c>
      <c r="J1113" s="108" t="str">
        <f t="shared" si="73"/>
        <v>0720620400</v>
      </c>
      <c r="K1113" s="304" t="str">
        <f t="shared" si="72"/>
        <v>60708010720620400000</v>
      </c>
      <c r="L1113" s="17" t="str">
        <f>INDEX('реш СГД № 265'!$A:$N,MATCH('БА расх 2018 31 12 2018'!$K1113,'реш СГД № 265'!$N:$N,0),3)</f>
        <v>Расходы на реализацию мероприятий, направленных на сохранение историко-культурного наследия города Ставрополя</v>
      </c>
      <c r="M1113" s="16">
        <f t="shared" si="74"/>
        <v>1</v>
      </c>
    </row>
    <row r="1114" spans="1:13" s="16" customFormat="1" ht="15.75">
      <c r="A1114" s="14"/>
      <c r="B1114" s="132" t="s">
        <v>403</v>
      </c>
      <c r="C1114" s="109" t="s">
        <v>510</v>
      </c>
      <c r="D1114" s="108" t="s">
        <v>238</v>
      </c>
      <c r="E1114" s="108" t="s">
        <v>11</v>
      </c>
      <c r="F1114" s="108" t="s">
        <v>527</v>
      </c>
      <c r="G1114" s="108" t="s">
        <v>404</v>
      </c>
      <c r="H1114" s="126">
        <v>1034079</v>
      </c>
      <c r="I1114" s="108">
        <v>720620400</v>
      </c>
      <c r="J1114" s="108" t="str">
        <f t="shared" si="73"/>
        <v>0720620400</v>
      </c>
      <c r="K1114" s="304" t="str">
        <f t="shared" si="72"/>
        <v>60708010720620400610</v>
      </c>
      <c r="L1114" s="17" t="str">
        <f>INDEX('реш СГД № 265'!$A:$N,MATCH('БА расх 2018 31 12 2018'!$K1114,'реш СГД № 265'!$N:$N,0),3)</f>
        <v>Субсидии бюджетным учреждениям</v>
      </c>
      <c r="M1114" s="16">
        <f t="shared" si="74"/>
        <v>1</v>
      </c>
    </row>
    <row r="1115" spans="1:13" s="23" customFormat="1" ht="15.75">
      <c r="A1115" s="21"/>
      <c r="B1115" s="127" t="s">
        <v>407</v>
      </c>
      <c r="C1115" s="109" t="s">
        <v>510</v>
      </c>
      <c r="D1115" s="108" t="s">
        <v>238</v>
      </c>
      <c r="E1115" s="108" t="s">
        <v>11</v>
      </c>
      <c r="F1115" s="108" t="s">
        <v>527</v>
      </c>
      <c r="G1115" s="108" t="s">
        <v>408</v>
      </c>
      <c r="H1115" s="126">
        <v>1034079</v>
      </c>
      <c r="I1115" s="108">
        <v>720620400</v>
      </c>
      <c r="J1115" s="108" t="str">
        <f t="shared" si="73"/>
        <v>0720620400</v>
      </c>
      <c r="K1115" s="304" t="str">
        <f t="shared" si="72"/>
        <v>60708010720620400612</v>
      </c>
      <c r="L1115" s="17"/>
      <c r="M1115" s="16"/>
    </row>
    <row r="1116" spans="1:13" s="23" customFormat="1" ht="63">
      <c r="A1116" s="21"/>
      <c r="B1116" s="125" t="s">
        <v>1052</v>
      </c>
      <c r="C1116" s="109" t="s">
        <v>510</v>
      </c>
      <c r="D1116" s="108" t="s">
        <v>238</v>
      </c>
      <c r="E1116" s="108" t="s">
        <v>11</v>
      </c>
      <c r="F1116" s="108" t="s">
        <v>1053</v>
      </c>
      <c r="G1116" s="108" t="s">
        <v>9</v>
      </c>
      <c r="H1116" s="126">
        <v>10220020</v>
      </c>
      <c r="I1116" s="108">
        <v>720700000</v>
      </c>
      <c r="J1116" s="108" t="str">
        <f t="shared" si="73"/>
        <v>0720700000</v>
      </c>
      <c r="K1116" s="304" t="str">
        <f t="shared" si="72"/>
        <v>60708010720700000000</v>
      </c>
      <c r="L1116" s="17" t="str">
        <f>INDEX('реш СГД № 265'!$A:$N,MATCH('БА расх 2018 31 12 2018'!$K1116,'реш СГД № 265'!$N:$N,0),3)</f>
        <v>Основное мероприятие «Создание центра «Молодежное пространство «Лофт» на базе муниципального автономного учреждения культуры «Ставропольский Дворец культуры и спорта» города Ставрополя»</v>
      </c>
      <c r="M1116" s="16">
        <f t="shared" si="74"/>
        <v>1</v>
      </c>
    </row>
    <row r="1117" spans="1:13" s="23" customFormat="1" ht="47.25">
      <c r="A1117" s="21"/>
      <c r="B1117" s="125" t="s">
        <v>1043</v>
      </c>
      <c r="C1117" s="109" t="s">
        <v>510</v>
      </c>
      <c r="D1117" s="108" t="s">
        <v>238</v>
      </c>
      <c r="E1117" s="108" t="s">
        <v>11</v>
      </c>
      <c r="F1117" s="108" t="s">
        <v>1044</v>
      </c>
      <c r="G1117" s="108" t="s">
        <v>9</v>
      </c>
      <c r="H1117" s="126">
        <v>1521000</v>
      </c>
      <c r="I1117" s="108" t="s">
        <v>1222</v>
      </c>
      <c r="J1117" s="108" t="str">
        <f t="shared" si="73"/>
        <v>07207G6420</v>
      </c>
      <c r="K1117" s="304" t="str">
        <f t="shared" si="72"/>
        <v>607080107207G6420000</v>
      </c>
      <c r="L1117" s="17" t="str">
        <f>INDEX('реш СГД № 265'!$A:$N,MATCH('БА расх 2018 31 12 2018'!$K1117,'реш СГД № 265'!$N:$N,0),3)</f>
        <v>Реализация проектов развития территорий муниципальных образований, основанных на местных инициативах, за счет внебюджетных источников</v>
      </c>
      <c r="M1117" s="16">
        <f t="shared" si="74"/>
        <v>1</v>
      </c>
    </row>
    <row r="1118" spans="1:13" s="23" customFormat="1" ht="15.75">
      <c r="A1118" s="21"/>
      <c r="B1118" s="132" t="s">
        <v>1045</v>
      </c>
      <c r="C1118" s="109"/>
      <c r="D1118" s="108"/>
      <c r="E1118" s="108"/>
      <c r="F1118" s="108"/>
      <c r="G1118" s="108"/>
      <c r="H1118" s="126"/>
      <c r="I1118" s="108"/>
      <c r="J1118" s="108" t="str">
        <f t="shared" si="73"/>
        <v>0000000000</v>
      </c>
      <c r="K1118" s="304" t="str">
        <f t="shared" si="72"/>
        <v>0000000000</v>
      </c>
      <c r="L1118" s="132"/>
      <c r="M1118" s="17">
        <f t="shared" si="74"/>
        <v>0</v>
      </c>
    </row>
    <row r="1119" spans="1:13" s="23" customFormat="1" ht="15.75">
      <c r="A1119" s="21"/>
      <c r="B1119" s="125" t="s">
        <v>1046</v>
      </c>
      <c r="C1119" s="109" t="s">
        <v>510</v>
      </c>
      <c r="D1119" s="108" t="s">
        <v>238</v>
      </c>
      <c r="E1119" s="108" t="s">
        <v>11</v>
      </c>
      <c r="F1119" s="108" t="s">
        <v>1044</v>
      </c>
      <c r="G1119" s="108" t="s">
        <v>9</v>
      </c>
      <c r="H1119" s="126">
        <v>301000</v>
      </c>
      <c r="I1119" s="108" t="s">
        <v>1222</v>
      </c>
      <c r="J1119" s="108" t="str">
        <f t="shared" si="73"/>
        <v>07207G6420</v>
      </c>
      <c r="K1119" s="304" t="str">
        <f t="shared" si="72"/>
        <v>607080107207G6420000</v>
      </c>
      <c r="L1119" s="132"/>
      <c r="M1119" s="17">
        <f t="shared" si="74"/>
        <v>0</v>
      </c>
    </row>
    <row r="1120" spans="1:13" s="23" customFormat="1" ht="15.75">
      <c r="A1120" s="21"/>
      <c r="B1120" s="125" t="s">
        <v>1047</v>
      </c>
      <c r="C1120" s="109" t="s">
        <v>510</v>
      </c>
      <c r="D1120" s="108" t="s">
        <v>238</v>
      </c>
      <c r="E1120" s="108" t="s">
        <v>11</v>
      </c>
      <c r="F1120" s="108" t="s">
        <v>1044</v>
      </c>
      <c r="G1120" s="108" t="s">
        <v>9</v>
      </c>
      <c r="H1120" s="126">
        <v>1220000</v>
      </c>
      <c r="I1120" s="108" t="s">
        <v>1222</v>
      </c>
      <c r="J1120" s="108" t="str">
        <f t="shared" si="73"/>
        <v>07207G6420</v>
      </c>
      <c r="K1120" s="304" t="str">
        <f t="shared" si="72"/>
        <v>607080107207G6420000</v>
      </c>
      <c r="L1120" s="132"/>
      <c r="M1120" s="17">
        <f t="shared" si="74"/>
        <v>0</v>
      </c>
    </row>
    <row r="1121" spans="1:13" s="23" customFormat="1" ht="15.75">
      <c r="A1121" s="21"/>
      <c r="B1121" s="132" t="s">
        <v>409</v>
      </c>
      <c r="C1121" s="109" t="s">
        <v>510</v>
      </c>
      <c r="D1121" s="108" t="s">
        <v>238</v>
      </c>
      <c r="E1121" s="108" t="s">
        <v>11</v>
      </c>
      <c r="F1121" s="108" t="s">
        <v>1044</v>
      </c>
      <c r="G1121" s="108" t="s">
        <v>410</v>
      </c>
      <c r="H1121" s="126">
        <v>1521000</v>
      </c>
      <c r="I1121" s="108" t="s">
        <v>1222</v>
      </c>
      <c r="J1121" s="108" t="str">
        <f t="shared" si="73"/>
        <v>07207G6420</v>
      </c>
      <c r="K1121" s="304" t="str">
        <f t="shared" si="72"/>
        <v>607080107207G6420620</v>
      </c>
      <c r="L1121" s="17" t="str">
        <f>INDEX('реш СГД № 265'!$A:$N,MATCH('БА расх 2018 31 12 2018'!$K1121,'реш СГД № 265'!$N:$N,0),3)</f>
        <v>Субсидии автономным учреждениям</v>
      </c>
      <c r="M1121" s="16">
        <f t="shared" si="74"/>
        <v>1</v>
      </c>
    </row>
    <row r="1122" spans="1:13" s="23" customFormat="1" ht="15.75">
      <c r="A1122" s="21"/>
      <c r="B1122" s="127" t="s">
        <v>428</v>
      </c>
      <c r="C1122" s="109" t="s">
        <v>510</v>
      </c>
      <c r="D1122" s="108" t="s">
        <v>238</v>
      </c>
      <c r="E1122" s="108" t="s">
        <v>11</v>
      </c>
      <c r="F1122" s="108" t="s">
        <v>1044</v>
      </c>
      <c r="G1122" s="108" t="s">
        <v>429</v>
      </c>
      <c r="H1122" s="126">
        <v>1521000</v>
      </c>
      <c r="I1122" s="108" t="s">
        <v>1222</v>
      </c>
      <c r="J1122" s="108" t="str">
        <f t="shared" si="73"/>
        <v>07207G6420</v>
      </c>
      <c r="K1122" s="304" t="str">
        <f t="shared" si="72"/>
        <v>607080107207G6420622</v>
      </c>
      <c r="L1122" s="17"/>
      <c r="M1122" s="16"/>
    </row>
    <row r="1123" spans="1:13" s="23" customFormat="1" ht="31.5">
      <c r="A1123" s="21"/>
      <c r="B1123" s="127" t="s">
        <v>1048</v>
      </c>
      <c r="C1123" s="109" t="s">
        <v>510</v>
      </c>
      <c r="D1123" s="108" t="s">
        <v>238</v>
      </c>
      <c r="E1123" s="108" t="s">
        <v>11</v>
      </c>
      <c r="F1123" s="108" t="s">
        <v>1049</v>
      </c>
      <c r="G1123" s="108" t="s">
        <v>9</v>
      </c>
      <c r="H1123" s="126">
        <v>8699020</v>
      </c>
      <c r="I1123" s="108" t="s">
        <v>1223</v>
      </c>
      <c r="J1123" s="108" t="str">
        <f t="shared" si="73"/>
        <v>07207S6420</v>
      </c>
      <c r="K1123" s="304" t="str">
        <f t="shared" si="72"/>
        <v>607080107207S6420000</v>
      </c>
      <c r="L1123" s="17" t="str">
        <f>INDEX('реш СГД № 265'!$A:$N,MATCH('БА расх 2018 31 12 2018'!$K1123,'реш СГД № 265'!$N:$N,0),3)</f>
        <v>Реализация проектов развития территорий муниципальных образований, основанных на местных инициативах</v>
      </c>
      <c r="M1123" s="16">
        <f t="shared" si="74"/>
        <v>1</v>
      </c>
    </row>
    <row r="1124" spans="1:13" s="23" customFormat="1" ht="15.75">
      <c r="A1124" s="21"/>
      <c r="B1124" s="132" t="s">
        <v>1045</v>
      </c>
      <c r="C1124" s="109"/>
      <c r="D1124" s="108"/>
      <c r="E1124" s="108"/>
      <c r="F1124" s="108"/>
      <c r="G1124" s="108"/>
      <c r="H1124" s="126"/>
      <c r="I1124" s="108"/>
      <c r="J1124" s="108" t="str">
        <f t="shared" si="73"/>
        <v>0000000000</v>
      </c>
      <c r="K1124" s="304" t="str">
        <f t="shared" si="72"/>
        <v>0000000000</v>
      </c>
      <c r="L1124" s="132"/>
      <c r="M1124" s="17">
        <f t="shared" si="74"/>
        <v>0</v>
      </c>
    </row>
    <row r="1125" spans="1:13" s="23" customFormat="1" ht="15.75">
      <c r="A1125" s="21"/>
      <c r="B1125" s="125" t="s">
        <v>1050</v>
      </c>
      <c r="C1125" s="109" t="s">
        <v>510</v>
      </c>
      <c r="D1125" s="108" t="s">
        <v>238</v>
      </c>
      <c r="E1125" s="108" t="s">
        <v>11</v>
      </c>
      <c r="F1125" s="108" t="s">
        <v>1049</v>
      </c>
      <c r="G1125" s="108" t="s">
        <v>9</v>
      </c>
      <c r="H1125" s="126">
        <v>2700020</v>
      </c>
      <c r="I1125" s="108" t="s">
        <v>1223</v>
      </c>
      <c r="J1125" s="108" t="str">
        <f t="shared" si="73"/>
        <v>07207S6420</v>
      </c>
      <c r="K1125" s="304" t="str">
        <f t="shared" si="72"/>
        <v>607080107207S6420000</v>
      </c>
      <c r="L1125" s="132"/>
      <c r="M1125" s="17">
        <f t="shared" si="74"/>
        <v>0</v>
      </c>
    </row>
    <row r="1126" spans="1:13" s="23" customFormat="1" ht="15.75">
      <c r="A1126" s="21"/>
      <c r="B1126" s="125" t="s">
        <v>1051</v>
      </c>
      <c r="C1126" s="109" t="s">
        <v>510</v>
      </c>
      <c r="D1126" s="108" t="s">
        <v>238</v>
      </c>
      <c r="E1126" s="108" t="s">
        <v>11</v>
      </c>
      <c r="F1126" s="108" t="s">
        <v>1049</v>
      </c>
      <c r="G1126" s="108" t="s">
        <v>9</v>
      </c>
      <c r="H1126" s="126">
        <v>5999000</v>
      </c>
      <c r="I1126" s="108" t="s">
        <v>1223</v>
      </c>
      <c r="J1126" s="108" t="str">
        <f t="shared" si="73"/>
        <v>07207S6420</v>
      </c>
      <c r="K1126" s="304" t="str">
        <f t="shared" si="72"/>
        <v>607080107207S6420000</v>
      </c>
      <c r="L1126" s="132"/>
      <c r="M1126" s="17">
        <f t="shared" si="74"/>
        <v>0</v>
      </c>
    </row>
    <row r="1127" spans="1:13" s="23" customFormat="1" ht="15.75">
      <c r="A1127" s="21"/>
      <c r="B1127" s="132" t="s">
        <v>409</v>
      </c>
      <c r="C1127" s="109" t="s">
        <v>510</v>
      </c>
      <c r="D1127" s="108" t="s">
        <v>238</v>
      </c>
      <c r="E1127" s="108" t="s">
        <v>11</v>
      </c>
      <c r="F1127" s="108" t="s">
        <v>1049</v>
      </c>
      <c r="G1127" s="108" t="s">
        <v>410</v>
      </c>
      <c r="H1127" s="126">
        <v>8699020</v>
      </c>
      <c r="I1127" s="108" t="s">
        <v>1223</v>
      </c>
      <c r="J1127" s="108" t="str">
        <f t="shared" si="73"/>
        <v>07207S6420</v>
      </c>
      <c r="K1127" s="304" t="str">
        <f t="shared" si="72"/>
        <v>607080107207S6420620</v>
      </c>
      <c r="L1127" s="17" t="str">
        <f>INDEX('реш СГД № 265'!$A:$N,MATCH('БА расх 2018 31 12 2018'!$K1127,'реш СГД № 265'!$N:$N,0),3)</f>
        <v>Субсидии автономным учреждениям</v>
      </c>
      <c r="M1127" s="16">
        <f t="shared" si="74"/>
        <v>1</v>
      </c>
    </row>
    <row r="1128" spans="1:13" s="23" customFormat="1" ht="15.75">
      <c r="A1128" s="21"/>
      <c r="B1128" s="127" t="s">
        <v>428</v>
      </c>
      <c r="C1128" s="109" t="s">
        <v>510</v>
      </c>
      <c r="D1128" s="108" t="s">
        <v>238</v>
      </c>
      <c r="E1128" s="108" t="s">
        <v>11</v>
      </c>
      <c r="F1128" s="108" t="s">
        <v>1049</v>
      </c>
      <c r="G1128" s="108" t="s">
        <v>429</v>
      </c>
      <c r="H1128" s="126">
        <v>8699020</v>
      </c>
      <c r="I1128" s="108" t="s">
        <v>1223</v>
      </c>
      <c r="J1128" s="108" t="str">
        <f t="shared" si="73"/>
        <v>07207S6420</v>
      </c>
      <c r="K1128" s="304" t="str">
        <f t="shared" si="72"/>
        <v>607080107207S6420622</v>
      </c>
      <c r="L1128" s="17"/>
      <c r="M1128" s="16"/>
    </row>
    <row r="1129" spans="1:13" s="16" customFormat="1" ht="47.25">
      <c r="A1129" s="14"/>
      <c r="B1129" s="132" t="s">
        <v>532</v>
      </c>
      <c r="C1129" s="109" t="s">
        <v>510</v>
      </c>
      <c r="D1129" s="108" t="s">
        <v>238</v>
      </c>
      <c r="E1129" s="108" t="s">
        <v>11</v>
      </c>
      <c r="F1129" s="108" t="s">
        <v>533</v>
      </c>
      <c r="G1129" s="108" t="s">
        <v>9</v>
      </c>
      <c r="H1129" s="126">
        <v>817509</v>
      </c>
      <c r="I1129" s="108">
        <v>720900000</v>
      </c>
      <c r="J1129" s="108" t="str">
        <f t="shared" si="73"/>
        <v>0720900000</v>
      </c>
      <c r="K1129" s="304" t="str">
        <f t="shared" si="72"/>
        <v>60708010720900000000</v>
      </c>
      <c r="L1129" s="17" t="str">
        <f>INDEX('реш СГД № 265'!$A:$N,MATCH('БА расх 2018 31 12 2018'!$K1129,'реш СГД № 265'!$N:$N,0),3)</f>
        <v>Основное мероприятие «Модернизация материально-технической базы муниципальных учреждений отрасли «Культура» города Ставрополя»</v>
      </c>
      <c r="M1129" s="16">
        <f t="shared" si="74"/>
        <v>1</v>
      </c>
    </row>
    <row r="1130" spans="1:13" s="16" customFormat="1" ht="47.25">
      <c r="A1130" s="14"/>
      <c r="B1130" s="132" t="s">
        <v>534</v>
      </c>
      <c r="C1130" s="109" t="s">
        <v>510</v>
      </c>
      <c r="D1130" s="108" t="s">
        <v>238</v>
      </c>
      <c r="E1130" s="108" t="s">
        <v>11</v>
      </c>
      <c r="F1130" s="108" t="s">
        <v>535</v>
      </c>
      <c r="G1130" s="108" t="s">
        <v>9</v>
      </c>
      <c r="H1130" s="126">
        <v>817509</v>
      </c>
      <c r="I1130" s="108">
        <v>720921280</v>
      </c>
      <c r="J1130" s="108" t="str">
        <f t="shared" si="73"/>
        <v>0720921280</v>
      </c>
      <c r="K1130" s="304" t="str">
        <f t="shared" ref="K1130:K1193" si="77">C1130&amp;D1130&amp;E1130&amp;J1130&amp;G1130</f>
        <v>60708010720921280000</v>
      </c>
      <c r="L1130" s="17" t="str">
        <f>INDEX('реш СГД № 265'!$A:$N,MATCH('БА расх 2018 31 12 2018'!$K1130,'реш СГД № 265'!$N:$N,0),3)</f>
        <v>Расходы на модернизацию материально-технической базы муниципальных учреждений отрасли «Культура» города Ставрополя</v>
      </c>
      <c r="M1130" s="16">
        <f t="shared" si="74"/>
        <v>1</v>
      </c>
    </row>
    <row r="1131" spans="1:13" s="16" customFormat="1" ht="15.75">
      <c r="A1131" s="14"/>
      <c r="B1131" s="132" t="s">
        <v>403</v>
      </c>
      <c r="C1131" s="109" t="s">
        <v>510</v>
      </c>
      <c r="D1131" s="108" t="s">
        <v>238</v>
      </c>
      <c r="E1131" s="108" t="s">
        <v>11</v>
      </c>
      <c r="F1131" s="108" t="s">
        <v>535</v>
      </c>
      <c r="G1131" s="108" t="s">
        <v>404</v>
      </c>
      <c r="H1131" s="126">
        <v>817509</v>
      </c>
      <c r="I1131" s="108">
        <v>720921280</v>
      </c>
      <c r="J1131" s="108" t="str">
        <f t="shared" ref="J1131:J1194" si="78">TEXT(I1131,"0000000000")</f>
        <v>0720921280</v>
      </c>
      <c r="K1131" s="304" t="str">
        <f t="shared" si="77"/>
        <v>60708010720921280610</v>
      </c>
      <c r="L1131" s="17" t="str">
        <f>INDEX('реш СГД № 265'!$A:$N,MATCH('БА расх 2018 31 12 2018'!$K1131,'реш СГД № 265'!$N:$N,0),3)</f>
        <v>Субсидии бюджетным учреждениям</v>
      </c>
      <c r="M1131" s="16">
        <f t="shared" ref="M1131:M1194" si="79">IF(B1131=L1131,1,0)</f>
        <v>1</v>
      </c>
    </row>
    <row r="1132" spans="1:13" s="23" customFormat="1" ht="15.75">
      <c r="A1132" s="21"/>
      <c r="B1132" s="127" t="s">
        <v>407</v>
      </c>
      <c r="C1132" s="109" t="s">
        <v>510</v>
      </c>
      <c r="D1132" s="108" t="s">
        <v>238</v>
      </c>
      <c r="E1132" s="108" t="s">
        <v>11</v>
      </c>
      <c r="F1132" s="108" t="s">
        <v>535</v>
      </c>
      <c r="G1132" s="108" t="s">
        <v>408</v>
      </c>
      <c r="H1132" s="126">
        <v>817509</v>
      </c>
      <c r="I1132" s="108">
        <v>720921280</v>
      </c>
      <c r="J1132" s="108" t="str">
        <f t="shared" si="78"/>
        <v>0720921280</v>
      </c>
      <c r="K1132" s="304" t="str">
        <f t="shared" si="77"/>
        <v>60708010720921280612</v>
      </c>
      <c r="L1132" s="17"/>
      <c r="M1132" s="16"/>
    </row>
    <row r="1133" spans="1:13" s="16" customFormat="1" ht="63">
      <c r="A1133" s="14"/>
      <c r="B1133" s="132" t="s">
        <v>536</v>
      </c>
      <c r="C1133" s="109" t="s">
        <v>510</v>
      </c>
      <c r="D1133" s="108" t="s">
        <v>238</v>
      </c>
      <c r="E1133" s="108" t="s">
        <v>11</v>
      </c>
      <c r="F1133" s="108" t="s">
        <v>537</v>
      </c>
      <c r="G1133" s="108" t="s">
        <v>9</v>
      </c>
      <c r="H1133" s="126">
        <v>1405364</v>
      </c>
      <c r="I1133" s="108">
        <v>721200000</v>
      </c>
      <c r="J1133" s="108" t="str">
        <f t="shared" si="78"/>
        <v>0721200000</v>
      </c>
      <c r="K1133" s="304" t="str">
        <f t="shared" si="77"/>
        <v>60708010721200000000</v>
      </c>
      <c r="L1133" s="17" t="str">
        <f>INDEX('реш СГД № 265'!$A:$N,MATCH('БА расх 2018 31 12 2018'!$K1133,'реш СГД № 265'!$N:$N,0),3)</f>
        <v>Основное мероприятие «Проведение работ по капитальному ремонту зданий и сооружений, благоустройству территорий в муниципальных бюджетных (автономных) учреждениях отрасли «Культура» города Ставрополя»</v>
      </c>
      <c r="M1133" s="16">
        <f t="shared" si="79"/>
        <v>1</v>
      </c>
    </row>
    <row r="1134" spans="1:13" s="16" customFormat="1" ht="47.25">
      <c r="A1134" s="14"/>
      <c r="B1134" s="307" t="s">
        <v>538</v>
      </c>
      <c r="C1134" s="109" t="s">
        <v>510</v>
      </c>
      <c r="D1134" s="108" t="s">
        <v>238</v>
      </c>
      <c r="E1134" s="108" t="s">
        <v>11</v>
      </c>
      <c r="F1134" s="108" t="s">
        <v>539</v>
      </c>
      <c r="G1134" s="108" t="s">
        <v>9</v>
      </c>
      <c r="H1134" s="126">
        <v>1405364</v>
      </c>
      <c r="I1134" s="108">
        <v>721221430</v>
      </c>
      <c r="J1134" s="108" t="str">
        <f t="shared" si="78"/>
        <v>0721221430</v>
      </c>
      <c r="K1134" s="304" t="str">
        <f t="shared" si="77"/>
        <v>60708010721221430000</v>
      </c>
      <c r="L1134" s="17" t="str">
        <f>INDEX('реш СГД № 265'!$A:$N,MATCH('БА расх 2018 31 12 2018'!$K1134,'реш СГД № 265'!$N:$N,0),3)</f>
        <v>Расходы на проведение капитального ремонта зданий и сооружений муниципальных бюджетных (автономных) учреждений в сфере культуры</v>
      </c>
      <c r="M1134" s="16">
        <f t="shared" si="79"/>
        <v>1</v>
      </c>
    </row>
    <row r="1135" spans="1:13" s="16" customFormat="1" ht="15.75">
      <c r="A1135" s="14"/>
      <c r="B1135" s="132" t="s">
        <v>403</v>
      </c>
      <c r="C1135" s="109" t="s">
        <v>510</v>
      </c>
      <c r="D1135" s="108" t="s">
        <v>238</v>
      </c>
      <c r="E1135" s="108" t="s">
        <v>11</v>
      </c>
      <c r="F1135" s="108" t="s">
        <v>539</v>
      </c>
      <c r="G1135" s="108" t="s">
        <v>404</v>
      </c>
      <c r="H1135" s="126">
        <v>1099436</v>
      </c>
      <c r="I1135" s="108">
        <v>721221430</v>
      </c>
      <c r="J1135" s="108" t="str">
        <f t="shared" si="78"/>
        <v>0721221430</v>
      </c>
      <c r="K1135" s="304" t="str">
        <f t="shared" si="77"/>
        <v>60708010721221430610</v>
      </c>
      <c r="L1135" s="17" t="str">
        <f>INDEX('реш СГД № 265'!$A:$N,MATCH('БА расх 2018 31 12 2018'!$K1135,'реш СГД № 265'!$N:$N,0),3)</f>
        <v>Субсидии бюджетным учреждениям</v>
      </c>
      <c r="M1135" s="16">
        <f t="shared" si="79"/>
        <v>1</v>
      </c>
    </row>
    <row r="1136" spans="1:13" s="23" customFormat="1" ht="15.75">
      <c r="A1136" s="21"/>
      <c r="B1136" s="127" t="s">
        <v>407</v>
      </c>
      <c r="C1136" s="109" t="s">
        <v>510</v>
      </c>
      <c r="D1136" s="108" t="s">
        <v>238</v>
      </c>
      <c r="E1136" s="108" t="s">
        <v>11</v>
      </c>
      <c r="F1136" s="108" t="s">
        <v>539</v>
      </c>
      <c r="G1136" s="108" t="s">
        <v>408</v>
      </c>
      <c r="H1136" s="126">
        <v>1099436</v>
      </c>
      <c r="I1136" s="108">
        <v>721221430</v>
      </c>
      <c r="J1136" s="108" t="str">
        <f t="shared" si="78"/>
        <v>0721221430</v>
      </c>
      <c r="K1136" s="304" t="str">
        <f t="shared" si="77"/>
        <v>60708010721221430612</v>
      </c>
      <c r="L1136" s="17"/>
      <c r="M1136" s="16"/>
    </row>
    <row r="1137" spans="1:13" s="23" customFormat="1" ht="15.75">
      <c r="A1137" s="21"/>
      <c r="B1137" s="132" t="s">
        <v>409</v>
      </c>
      <c r="C1137" s="109" t="s">
        <v>510</v>
      </c>
      <c r="D1137" s="108" t="s">
        <v>238</v>
      </c>
      <c r="E1137" s="108" t="s">
        <v>11</v>
      </c>
      <c r="F1137" s="108" t="s">
        <v>539</v>
      </c>
      <c r="G1137" s="108" t="s">
        <v>410</v>
      </c>
      <c r="H1137" s="126">
        <v>305928</v>
      </c>
      <c r="I1137" s="108">
        <v>721221430</v>
      </c>
      <c r="J1137" s="108" t="str">
        <f t="shared" si="78"/>
        <v>0721221430</v>
      </c>
      <c r="K1137" s="304" t="str">
        <f t="shared" si="77"/>
        <v>60708010721221430620</v>
      </c>
      <c r="L1137" s="17" t="str">
        <f>INDEX('реш СГД № 265'!$A:$N,MATCH('БА расх 2018 31 12 2018'!$K1137,'реш СГД № 265'!$N:$N,0),3)</f>
        <v>Субсидии автономным учреждениям</v>
      </c>
      <c r="M1137" s="16">
        <f t="shared" si="79"/>
        <v>1</v>
      </c>
    </row>
    <row r="1138" spans="1:13" s="23" customFormat="1" ht="15.75">
      <c r="A1138" s="21"/>
      <c r="B1138" s="127" t="s">
        <v>428</v>
      </c>
      <c r="C1138" s="109" t="s">
        <v>510</v>
      </c>
      <c r="D1138" s="108" t="s">
        <v>238</v>
      </c>
      <c r="E1138" s="108" t="s">
        <v>11</v>
      </c>
      <c r="F1138" s="108" t="s">
        <v>539</v>
      </c>
      <c r="G1138" s="108" t="s">
        <v>429</v>
      </c>
      <c r="H1138" s="126">
        <v>305928</v>
      </c>
      <c r="I1138" s="108">
        <v>721221430</v>
      </c>
      <c r="J1138" s="108" t="str">
        <f t="shared" si="78"/>
        <v>0721221430</v>
      </c>
      <c r="K1138" s="304" t="str">
        <f t="shared" si="77"/>
        <v>60708010721221430622</v>
      </c>
      <c r="L1138" s="17"/>
      <c r="M1138" s="16"/>
    </row>
    <row r="1139" spans="1:13" s="16" customFormat="1" ht="47.25">
      <c r="A1139" s="14"/>
      <c r="B1139" s="127" t="s">
        <v>146</v>
      </c>
      <c r="C1139" s="109" t="s">
        <v>510</v>
      </c>
      <c r="D1139" s="108" t="s">
        <v>238</v>
      </c>
      <c r="E1139" s="108" t="s">
        <v>11</v>
      </c>
      <c r="F1139" s="130" t="s">
        <v>147</v>
      </c>
      <c r="G1139" s="130" t="s">
        <v>9</v>
      </c>
      <c r="H1139" s="134">
        <v>76500</v>
      </c>
      <c r="I1139" s="130">
        <v>1500000000</v>
      </c>
      <c r="J1139" s="130" t="str">
        <f t="shared" si="78"/>
        <v>1500000000</v>
      </c>
      <c r="K1139" s="304" t="str">
        <f t="shared" si="77"/>
        <v>60708011500000000000</v>
      </c>
      <c r="L1139" s="17" t="str">
        <f>INDEX('реш СГД № 265'!$A:$N,MATCH('БА расх 2018 31 12 2018'!$K1139,'реш СГД № 265'!$N:$N,0),3)</f>
        <v>Муниципальная программа «Обеспечение безопасности, общественного порядка и профилактика правонарушений в городе Ставрополе»</v>
      </c>
      <c r="M1139" s="16">
        <f t="shared" si="79"/>
        <v>1</v>
      </c>
    </row>
    <row r="1140" spans="1:13" s="16" customFormat="1" ht="47.25">
      <c r="A1140" s="14"/>
      <c r="B1140" s="125" t="s">
        <v>1065</v>
      </c>
      <c r="C1140" s="109" t="s">
        <v>510</v>
      </c>
      <c r="D1140" s="108" t="s">
        <v>238</v>
      </c>
      <c r="E1140" s="108" t="s">
        <v>11</v>
      </c>
      <c r="F1140" s="130" t="s">
        <v>149</v>
      </c>
      <c r="G1140" s="130" t="s">
        <v>9</v>
      </c>
      <c r="H1140" s="134">
        <v>76500</v>
      </c>
      <c r="I1140" s="130">
        <v>1510000000</v>
      </c>
      <c r="J1140" s="130" t="str">
        <f t="shared" si="78"/>
        <v>1510000000</v>
      </c>
      <c r="K1140" s="304" t="str">
        <f t="shared" si="77"/>
        <v>60708011510000000000</v>
      </c>
      <c r="L1140" s="17" t="str">
        <f>INDEX('реш СГД № 265'!$A:$N,MATCH('БА расх 2018 31 12 2018'!$K1140,'реш СГД № 265'!$N:$N,0),3)</f>
        <v>Подпрограмма «Профилактика терроризма, экстремизма, межнациональных (межэтнических) конфликтов в городе Ставрополе»</v>
      </c>
      <c r="M1140" s="16">
        <f t="shared" si="79"/>
        <v>1</v>
      </c>
    </row>
    <row r="1141" spans="1:13" s="16" customFormat="1" ht="47.25">
      <c r="A1141" s="14"/>
      <c r="B1141" s="125" t="s">
        <v>1072</v>
      </c>
      <c r="C1141" s="109" t="s">
        <v>510</v>
      </c>
      <c r="D1141" s="108" t="s">
        <v>238</v>
      </c>
      <c r="E1141" s="108" t="s">
        <v>11</v>
      </c>
      <c r="F1141" s="109" t="s">
        <v>1073</v>
      </c>
      <c r="G1141" s="130" t="s">
        <v>9</v>
      </c>
      <c r="H1141" s="134">
        <v>76500</v>
      </c>
      <c r="I1141" s="109">
        <v>1510300000</v>
      </c>
      <c r="J1141" s="109" t="str">
        <f t="shared" si="78"/>
        <v>1510300000</v>
      </c>
      <c r="K1141" s="304" t="str">
        <f t="shared" si="77"/>
        <v>60708011510300000000</v>
      </c>
      <c r="L1141" s="17" t="str">
        <f>INDEX('реш СГД № 265'!$A:$N,MATCH('БА расх 2018 31 12 2018'!$K1141,'реш СГД № 265'!$N:$N,0),3)</f>
        <v>Основное мероприятие «Реализация профилактических мер, направленных на предупреждение экстремистской деятельности»</v>
      </c>
      <c r="M1141" s="16">
        <f t="shared" si="79"/>
        <v>1</v>
      </c>
    </row>
    <row r="1142" spans="1:13" s="16" customFormat="1" ht="47.25">
      <c r="A1142" s="14"/>
      <c r="B1142" s="129" t="s">
        <v>152</v>
      </c>
      <c r="C1142" s="109" t="s">
        <v>510</v>
      </c>
      <c r="D1142" s="108" t="s">
        <v>238</v>
      </c>
      <c r="E1142" s="108" t="s">
        <v>11</v>
      </c>
      <c r="F1142" s="109" t="s">
        <v>1074</v>
      </c>
      <c r="G1142" s="130" t="s">
        <v>9</v>
      </c>
      <c r="H1142" s="134">
        <v>76500</v>
      </c>
      <c r="I1142" s="109">
        <v>1510320350</v>
      </c>
      <c r="J1142" s="109" t="str">
        <f t="shared" si="78"/>
        <v>1510320350</v>
      </c>
      <c r="K1142" s="304" t="str">
        <f t="shared" si="77"/>
        <v>60708011510320350000</v>
      </c>
      <c r="L1142" s="17" t="str">
        <f>INDEX('реш СГД № 265'!$A:$N,MATCH('БА расх 2018 31 12 2018'!$K1142,'реш СГД № 265'!$N:$N,0),3)</f>
        <v>Расходы на реализацию мероприятий, направленных на повышение уровня безопасности жизнедеятельности города Ставрополя</v>
      </c>
      <c r="M1142" s="16">
        <f t="shared" si="79"/>
        <v>1</v>
      </c>
    </row>
    <row r="1143" spans="1:13" s="16" customFormat="1" ht="15.75">
      <c r="A1143" s="14"/>
      <c r="B1143" s="132" t="s">
        <v>403</v>
      </c>
      <c r="C1143" s="109" t="s">
        <v>510</v>
      </c>
      <c r="D1143" s="108" t="s">
        <v>238</v>
      </c>
      <c r="E1143" s="108" t="s">
        <v>11</v>
      </c>
      <c r="F1143" s="109" t="s">
        <v>1074</v>
      </c>
      <c r="G1143" s="130" t="s">
        <v>404</v>
      </c>
      <c r="H1143" s="126">
        <v>76500</v>
      </c>
      <c r="I1143" s="109">
        <v>1510320350</v>
      </c>
      <c r="J1143" s="109" t="str">
        <f t="shared" si="78"/>
        <v>1510320350</v>
      </c>
      <c r="K1143" s="304" t="str">
        <f t="shared" si="77"/>
        <v>60708011510320350610</v>
      </c>
      <c r="L1143" s="17" t="str">
        <f>INDEX('реш СГД № 265'!$A:$N,MATCH('БА расх 2018 31 12 2018'!$K1143,'реш СГД № 265'!$N:$N,0),3)</f>
        <v>Субсидии бюджетным учреждениям</v>
      </c>
      <c r="M1143" s="16">
        <f t="shared" si="79"/>
        <v>1</v>
      </c>
    </row>
    <row r="1144" spans="1:13" s="23" customFormat="1" ht="15.75">
      <c r="A1144" s="21"/>
      <c r="B1144" s="127" t="s">
        <v>407</v>
      </c>
      <c r="C1144" s="109" t="s">
        <v>510</v>
      </c>
      <c r="D1144" s="108" t="s">
        <v>238</v>
      </c>
      <c r="E1144" s="108" t="s">
        <v>11</v>
      </c>
      <c r="F1144" s="109" t="s">
        <v>1074</v>
      </c>
      <c r="G1144" s="109" t="s">
        <v>408</v>
      </c>
      <c r="H1144" s="126">
        <v>76500</v>
      </c>
      <c r="I1144" s="109">
        <v>1510320350</v>
      </c>
      <c r="J1144" s="109" t="str">
        <f t="shared" si="78"/>
        <v>1510320350</v>
      </c>
      <c r="K1144" s="304" t="str">
        <f t="shared" si="77"/>
        <v>60708011510320350612</v>
      </c>
      <c r="L1144" s="17"/>
      <c r="M1144" s="16"/>
    </row>
    <row r="1145" spans="1:13" s="16" customFormat="1" ht="78.75">
      <c r="A1145" s="14"/>
      <c r="B1145" s="125" t="s">
        <v>420</v>
      </c>
      <c r="C1145" s="109" t="s">
        <v>510</v>
      </c>
      <c r="D1145" s="108" t="s">
        <v>238</v>
      </c>
      <c r="E1145" s="108" t="s">
        <v>11</v>
      </c>
      <c r="F1145" s="108" t="s">
        <v>421</v>
      </c>
      <c r="G1145" s="108" t="s">
        <v>9</v>
      </c>
      <c r="H1145" s="126">
        <v>547838</v>
      </c>
      <c r="I1145" s="108">
        <v>1600000000</v>
      </c>
      <c r="J1145" s="108" t="str">
        <f t="shared" si="78"/>
        <v>1600000000</v>
      </c>
      <c r="K1145" s="304" t="str">
        <f t="shared" si="77"/>
        <v>60708011600000000000</v>
      </c>
      <c r="L1145" s="17" t="str">
        <f>INDEX('реш СГД № 265'!$A:$N,MATCH('БА расх 2018 31 12 2018'!$K1145,'реш СГД № 265'!$N:$N,0),3)</f>
        <v>Муниципальная программа «Обеспечение гражданской обороны, пожарной безопасности, безопасности людей на водных объектах, организация деятельности аварийно-спасательных служб, защита населения и территории города Ставрополя от чрезвычайных ситуаций»</v>
      </c>
      <c r="M1145" s="16">
        <f t="shared" si="79"/>
        <v>1</v>
      </c>
    </row>
    <row r="1146" spans="1:13" s="16" customFormat="1" ht="31.5">
      <c r="A1146" s="14"/>
      <c r="B1146" s="125" t="s">
        <v>422</v>
      </c>
      <c r="C1146" s="109" t="s">
        <v>510</v>
      </c>
      <c r="D1146" s="108" t="s">
        <v>238</v>
      </c>
      <c r="E1146" s="108" t="s">
        <v>11</v>
      </c>
      <c r="F1146" s="108" t="s">
        <v>423</v>
      </c>
      <c r="G1146" s="108" t="s">
        <v>9</v>
      </c>
      <c r="H1146" s="126">
        <v>547838</v>
      </c>
      <c r="I1146" s="108">
        <v>1620000000</v>
      </c>
      <c r="J1146" s="108" t="str">
        <f t="shared" si="78"/>
        <v>1620000000</v>
      </c>
      <c r="K1146" s="304" t="str">
        <f t="shared" si="77"/>
        <v>60708011620000000000</v>
      </c>
      <c r="L1146" s="17" t="str">
        <f>INDEX('реш СГД № 265'!$A:$N,MATCH('БА расх 2018 31 12 2018'!$K1146,'реш СГД № 265'!$N:$N,0),3)</f>
        <v>Подпрограмма «Обеспечение пожарной безопасности в границах города Ставрополя»</v>
      </c>
      <c r="M1146" s="16">
        <f t="shared" si="79"/>
        <v>1</v>
      </c>
    </row>
    <row r="1147" spans="1:13" s="16" customFormat="1" ht="47.25">
      <c r="A1147" s="14"/>
      <c r="B1147" s="125" t="s">
        <v>424</v>
      </c>
      <c r="C1147" s="109" t="s">
        <v>510</v>
      </c>
      <c r="D1147" s="108" t="s">
        <v>238</v>
      </c>
      <c r="E1147" s="108" t="s">
        <v>11</v>
      </c>
      <c r="F1147" s="108" t="s">
        <v>425</v>
      </c>
      <c r="G1147" s="108" t="s">
        <v>9</v>
      </c>
      <c r="H1147" s="126">
        <v>547838</v>
      </c>
      <c r="I1147" s="108">
        <v>1620200000</v>
      </c>
      <c r="J1147" s="108" t="str">
        <f t="shared" si="78"/>
        <v>1620200000</v>
      </c>
      <c r="K1147" s="304" t="str">
        <f t="shared" si="77"/>
        <v>60708011620200000000</v>
      </c>
      <c r="L1147" s="17" t="str">
        <f>INDEX('реш СГД № 265'!$A:$N,MATCH('БА расх 2018 31 12 2018'!$K1147,'реш СГД № 265'!$N:$N,0),3)</f>
        <v>Основное мероприятие «Выполнение противопожарных мероприятий в муниципальных учреждениях города Ставрополя»</v>
      </c>
      <c r="M1147" s="16">
        <f t="shared" si="79"/>
        <v>1</v>
      </c>
    </row>
    <row r="1148" spans="1:13" s="16" customFormat="1" ht="47.25">
      <c r="A1148" s="14"/>
      <c r="B1148" s="125" t="s">
        <v>426</v>
      </c>
      <c r="C1148" s="109" t="s">
        <v>510</v>
      </c>
      <c r="D1148" s="108" t="s">
        <v>238</v>
      </c>
      <c r="E1148" s="108" t="s">
        <v>11</v>
      </c>
      <c r="F1148" s="108" t="s">
        <v>427</v>
      </c>
      <c r="G1148" s="108" t="s">
        <v>9</v>
      </c>
      <c r="H1148" s="126">
        <v>547838</v>
      </c>
      <c r="I1148" s="108">
        <v>1620220550</v>
      </c>
      <c r="J1148" s="108" t="str">
        <f t="shared" si="78"/>
        <v>1620220550</v>
      </c>
      <c r="K1148" s="304" t="str">
        <f t="shared" si="77"/>
        <v>60708011620220550000</v>
      </c>
      <c r="L1148" s="17" t="str">
        <f>INDEX('реш СГД № 265'!$A:$N,MATCH('БА расх 2018 31 12 2018'!$K1148,'реш СГД № 265'!$N:$N,0),3)</f>
        <v>Обеспечение пожарной безопасности в муниципальных учреждениях образования, культуры, физической культуры и спорта города Ставрополя</v>
      </c>
      <c r="M1148" s="16">
        <f t="shared" si="79"/>
        <v>1</v>
      </c>
    </row>
    <row r="1149" spans="1:13" s="16" customFormat="1" ht="15.75">
      <c r="A1149" s="14"/>
      <c r="B1149" s="132" t="s">
        <v>403</v>
      </c>
      <c r="C1149" s="109" t="s">
        <v>510</v>
      </c>
      <c r="D1149" s="108" t="s">
        <v>238</v>
      </c>
      <c r="E1149" s="108" t="s">
        <v>11</v>
      </c>
      <c r="F1149" s="108" t="s">
        <v>427</v>
      </c>
      <c r="G1149" s="108" t="s">
        <v>404</v>
      </c>
      <c r="H1149" s="126">
        <v>547838</v>
      </c>
      <c r="I1149" s="108">
        <v>1620220550</v>
      </c>
      <c r="J1149" s="108" t="str">
        <f t="shared" si="78"/>
        <v>1620220550</v>
      </c>
      <c r="K1149" s="304" t="str">
        <f t="shared" si="77"/>
        <v>60708011620220550610</v>
      </c>
      <c r="L1149" s="17" t="str">
        <f>INDEX('реш СГД № 265'!$A:$N,MATCH('БА расх 2018 31 12 2018'!$K1149,'реш СГД № 265'!$N:$N,0),3)</f>
        <v>Субсидии бюджетным учреждениям</v>
      </c>
      <c r="M1149" s="16">
        <f t="shared" si="79"/>
        <v>1</v>
      </c>
    </row>
    <row r="1150" spans="1:13" s="23" customFormat="1" ht="15.75">
      <c r="A1150" s="21"/>
      <c r="B1150" s="127" t="s">
        <v>407</v>
      </c>
      <c r="C1150" s="109" t="s">
        <v>510</v>
      </c>
      <c r="D1150" s="108" t="s">
        <v>238</v>
      </c>
      <c r="E1150" s="108" t="s">
        <v>11</v>
      </c>
      <c r="F1150" s="108" t="s">
        <v>427</v>
      </c>
      <c r="G1150" s="108" t="s">
        <v>408</v>
      </c>
      <c r="H1150" s="126">
        <v>547838</v>
      </c>
      <c r="I1150" s="108">
        <v>1620220550</v>
      </c>
      <c r="J1150" s="108" t="str">
        <f t="shared" si="78"/>
        <v>1620220550</v>
      </c>
      <c r="K1150" s="304" t="str">
        <f t="shared" si="77"/>
        <v>60708011620220550612</v>
      </c>
      <c r="L1150" s="17"/>
      <c r="M1150" s="16"/>
    </row>
    <row r="1151" spans="1:13" s="16" customFormat="1" ht="47.25">
      <c r="A1151" s="14"/>
      <c r="B1151" s="125" t="s">
        <v>430</v>
      </c>
      <c r="C1151" s="109" t="s">
        <v>510</v>
      </c>
      <c r="D1151" s="108" t="s">
        <v>238</v>
      </c>
      <c r="E1151" s="108" t="s">
        <v>11</v>
      </c>
      <c r="F1151" s="108" t="s">
        <v>431</v>
      </c>
      <c r="G1151" s="108" t="s">
        <v>9</v>
      </c>
      <c r="H1151" s="126">
        <v>203830</v>
      </c>
      <c r="I1151" s="108">
        <v>1700000000</v>
      </c>
      <c r="J1151" s="108" t="str">
        <f t="shared" si="78"/>
        <v>1700000000</v>
      </c>
      <c r="K1151" s="304" t="str">
        <f t="shared" si="77"/>
        <v>60708011700000000000</v>
      </c>
      <c r="L1151" s="17" t="str">
        <f>INDEX('реш СГД № 265'!$A:$N,MATCH('БА расх 2018 31 12 2018'!$K1151,'реш СГД № 265'!$N:$N,0),3)</f>
        <v>Муниципальная программа «Энергосбережение и повышение энергетической эффективности в городе Ставрополе»</v>
      </c>
      <c r="M1151" s="16">
        <f t="shared" si="79"/>
        <v>1</v>
      </c>
    </row>
    <row r="1152" spans="1:13" s="16" customFormat="1" ht="47.25">
      <c r="A1152" s="14"/>
      <c r="B1152" s="125" t="s">
        <v>432</v>
      </c>
      <c r="C1152" s="109" t="s">
        <v>510</v>
      </c>
      <c r="D1152" s="108" t="s">
        <v>238</v>
      </c>
      <c r="E1152" s="108" t="s">
        <v>11</v>
      </c>
      <c r="F1152" s="108" t="s">
        <v>433</v>
      </c>
      <c r="G1152" s="108" t="s">
        <v>9</v>
      </c>
      <c r="H1152" s="126">
        <v>203830</v>
      </c>
      <c r="I1152" s="108" t="s">
        <v>1198</v>
      </c>
      <c r="J1152" s="108" t="str">
        <f t="shared" si="78"/>
        <v>17Б0000000</v>
      </c>
      <c r="K1152" s="304" t="str">
        <f t="shared" si="77"/>
        <v>607080117Б0000000000</v>
      </c>
      <c r="L1152" s="17" t="str">
        <f>INDEX('реш СГД № 265'!$A:$N,MATCH('БА расх 2018 31 12 2018'!$K1152,'реш СГД № 265'!$N:$N,0),3)</f>
        <v>Расходы в рамках реализации муниципальной программы «Энергосбережение и повышение энергетической эффективности в городе Ставрополе»</v>
      </c>
      <c r="M1152" s="16">
        <f t="shared" si="79"/>
        <v>1</v>
      </c>
    </row>
    <row r="1153" spans="1:13" s="16" customFormat="1" ht="31.5">
      <c r="A1153" s="14"/>
      <c r="B1153" s="125" t="s">
        <v>434</v>
      </c>
      <c r="C1153" s="109" t="s">
        <v>510</v>
      </c>
      <c r="D1153" s="108" t="s">
        <v>238</v>
      </c>
      <c r="E1153" s="108" t="s">
        <v>11</v>
      </c>
      <c r="F1153" s="108" t="s">
        <v>435</v>
      </c>
      <c r="G1153" s="108" t="s">
        <v>9</v>
      </c>
      <c r="H1153" s="126">
        <v>203830</v>
      </c>
      <c r="I1153" s="108" t="s">
        <v>1199</v>
      </c>
      <c r="J1153" s="108" t="str">
        <f t="shared" si="78"/>
        <v>17Б0100000</v>
      </c>
      <c r="K1153" s="304" t="str">
        <f t="shared" si="77"/>
        <v>607080117Б0100000000</v>
      </c>
      <c r="L1153" s="17" t="str">
        <f>INDEX('реш СГД № 265'!$A:$N,MATCH('БА расх 2018 31 12 2018'!$K1153,'реш СГД № 265'!$N:$N,0),3)</f>
        <v>Основное мероприятие «Энергосбережение и энергоэффективность в бюджетном секторе»</v>
      </c>
      <c r="M1153" s="16">
        <f t="shared" si="79"/>
        <v>1</v>
      </c>
    </row>
    <row r="1154" spans="1:13" s="16" customFormat="1" ht="31.5">
      <c r="A1154" s="14"/>
      <c r="B1154" s="132" t="s">
        <v>436</v>
      </c>
      <c r="C1154" s="109" t="s">
        <v>510</v>
      </c>
      <c r="D1154" s="108" t="s">
        <v>238</v>
      </c>
      <c r="E1154" s="108" t="s">
        <v>11</v>
      </c>
      <c r="F1154" s="108" t="s">
        <v>437</v>
      </c>
      <c r="G1154" s="108" t="s">
        <v>9</v>
      </c>
      <c r="H1154" s="126">
        <v>203830</v>
      </c>
      <c r="I1154" s="108" t="s">
        <v>1200</v>
      </c>
      <c r="J1154" s="108" t="str">
        <f t="shared" si="78"/>
        <v>17Б0120490</v>
      </c>
      <c r="K1154" s="304" t="str">
        <f t="shared" si="77"/>
        <v>607080117Б0120490000</v>
      </c>
      <c r="L1154" s="17" t="str">
        <f>INDEX('реш СГД № 265'!$A:$N,MATCH('БА расх 2018 31 12 2018'!$K1154,'реш СГД № 265'!$N:$N,0),3)</f>
        <v>Расходы на проведение мероприятий по энергосбережению и повышению энергетической эффективности</v>
      </c>
      <c r="M1154" s="16">
        <f t="shared" si="79"/>
        <v>1</v>
      </c>
    </row>
    <row r="1155" spans="1:13" s="16" customFormat="1" ht="15.75">
      <c r="A1155" s="14"/>
      <c r="B1155" s="125" t="s">
        <v>403</v>
      </c>
      <c r="C1155" s="109" t="s">
        <v>510</v>
      </c>
      <c r="D1155" s="108" t="s">
        <v>238</v>
      </c>
      <c r="E1155" s="108" t="s">
        <v>11</v>
      </c>
      <c r="F1155" s="108" t="s">
        <v>437</v>
      </c>
      <c r="G1155" s="108" t="s">
        <v>404</v>
      </c>
      <c r="H1155" s="126">
        <v>203830</v>
      </c>
      <c r="I1155" s="108" t="s">
        <v>1200</v>
      </c>
      <c r="J1155" s="108" t="str">
        <f t="shared" si="78"/>
        <v>17Б0120490</v>
      </c>
      <c r="K1155" s="304" t="str">
        <f t="shared" si="77"/>
        <v>607080117Б0120490610</v>
      </c>
      <c r="L1155" s="17" t="str">
        <f>INDEX('реш СГД № 265'!$A:$N,MATCH('БА расх 2018 31 12 2018'!$K1155,'реш СГД № 265'!$N:$N,0),3)</f>
        <v>Субсидии бюджетным учреждениям</v>
      </c>
      <c r="M1155" s="16">
        <f t="shared" si="79"/>
        <v>1</v>
      </c>
    </row>
    <row r="1156" spans="1:13" s="23" customFormat="1" ht="15.75">
      <c r="A1156" s="21"/>
      <c r="B1156" s="127" t="s">
        <v>407</v>
      </c>
      <c r="C1156" s="109" t="s">
        <v>510</v>
      </c>
      <c r="D1156" s="108" t="s">
        <v>238</v>
      </c>
      <c r="E1156" s="108" t="s">
        <v>11</v>
      </c>
      <c r="F1156" s="108" t="s">
        <v>437</v>
      </c>
      <c r="G1156" s="108" t="s">
        <v>408</v>
      </c>
      <c r="H1156" s="126">
        <v>203830</v>
      </c>
      <c r="I1156" s="108" t="s">
        <v>1200</v>
      </c>
      <c r="J1156" s="108" t="str">
        <f t="shared" si="78"/>
        <v>17Б0120490</v>
      </c>
      <c r="K1156" s="304" t="str">
        <f t="shared" si="77"/>
        <v>607080117Б0120490612</v>
      </c>
      <c r="L1156" s="17"/>
      <c r="M1156" s="16"/>
    </row>
    <row r="1157" spans="1:13" s="23" customFormat="1" ht="47.25">
      <c r="A1157" s="21"/>
      <c r="B1157" s="125" t="s">
        <v>87</v>
      </c>
      <c r="C1157" s="109" t="s">
        <v>510</v>
      </c>
      <c r="D1157" s="108" t="s">
        <v>238</v>
      </c>
      <c r="E1157" s="108" t="s">
        <v>11</v>
      </c>
      <c r="F1157" s="108" t="s">
        <v>88</v>
      </c>
      <c r="G1157" s="108" t="s">
        <v>9</v>
      </c>
      <c r="H1157" s="126">
        <v>5057023.7699999996</v>
      </c>
      <c r="I1157" s="108">
        <v>9800000000</v>
      </c>
      <c r="J1157" s="108" t="str">
        <f t="shared" si="78"/>
        <v>9800000000</v>
      </c>
      <c r="K1157" s="304" t="str">
        <f t="shared" si="77"/>
        <v>60708019800000000000</v>
      </c>
      <c r="L1157" s="17" t="str">
        <f>INDEX('реш СГД № 265'!$A:$N,MATCH('БА расх 2018 31 12 2018'!$K1157,'реш СГД № 265'!$N:$N,0),3)</f>
        <v>Реализация иных функций Ставропольской городской Думы, администрации города Ставрополя, ее отраслевых (функциональных) и территориальных органов</v>
      </c>
      <c r="M1157" s="16">
        <f t="shared" si="79"/>
        <v>1</v>
      </c>
    </row>
    <row r="1158" spans="1:13" s="23" customFormat="1" ht="15.75">
      <c r="A1158" s="21"/>
      <c r="B1158" s="125" t="s">
        <v>89</v>
      </c>
      <c r="C1158" s="109" t="s">
        <v>510</v>
      </c>
      <c r="D1158" s="108" t="s">
        <v>238</v>
      </c>
      <c r="E1158" s="108" t="s">
        <v>11</v>
      </c>
      <c r="F1158" s="108" t="s">
        <v>90</v>
      </c>
      <c r="G1158" s="108" t="s">
        <v>9</v>
      </c>
      <c r="H1158" s="126">
        <v>5057023.7699999996</v>
      </c>
      <c r="I1158" s="108">
        <v>9810000000</v>
      </c>
      <c r="J1158" s="108" t="str">
        <f t="shared" si="78"/>
        <v>9810000000</v>
      </c>
      <c r="K1158" s="304" t="str">
        <f t="shared" si="77"/>
        <v>60708019810000000000</v>
      </c>
      <c r="L1158" s="17" t="str">
        <f>INDEX('реш СГД № 265'!$A:$N,MATCH('БА расх 2018 31 12 2018'!$K1158,'реш СГД № 265'!$N:$N,0),3)</f>
        <v>Иные непрограммные мероприятия</v>
      </c>
      <c r="M1158" s="16">
        <f t="shared" si="79"/>
        <v>1</v>
      </c>
    </row>
    <row r="1159" spans="1:13" s="23" customFormat="1" ht="63">
      <c r="A1159" s="21"/>
      <c r="B1159" s="125" t="s">
        <v>1054</v>
      </c>
      <c r="C1159" s="109" t="s">
        <v>510</v>
      </c>
      <c r="D1159" s="108" t="s">
        <v>238</v>
      </c>
      <c r="E1159" s="108" t="s">
        <v>11</v>
      </c>
      <c r="F1159" s="108" t="s">
        <v>1055</v>
      </c>
      <c r="G1159" s="108" t="s">
        <v>9</v>
      </c>
      <c r="H1159" s="126">
        <v>57023.77</v>
      </c>
      <c r="I1159" s="108">
        <v>9810021570</v>
      </c>
      <c r="J1159" s="108" t="str">
        <f t="shared" si="78"/>
        <v>9810021570</v>
      </c>
      <c r="K1159" s="304" t="str">
        <f t="shared" si="77"/>
        <v>60708019810021570000</v>
      </c>
      <c r="L1159" s="17" t="str">
        <f>INDEX('реш СГД № 265'!$A:$N,MATCH('БА расх 2018 31 12 2018'!$K1159,'реш СГД № 265'!$N:$N,0),3)</f>
        <v>Расходы на проведение мероприятий, связанных с ликвидацией муниципального бюджетного учреждения культуры «Музейно-выставочный комплекс «Моя страна. Моя история»</v>
      </c>
      <c r="M1159" s="16">
        <f t="shared" si="79"/>
        <v>1</v>
      </c>
    </row>
    <row r="1160" spans="1:13" s="23" customFormat="1" ht="15.75">
      <c r="A1160" s="21"/>
      <c r="B1160" s="125" t="s">
        <v>403</v>
      </c>
      <c r="C1160" s="109" t="s">
        <v>510</v>
      </c>
      <c r="D1160" s="108" t="s">
        <v>238</v>
      </c>
      <c r="E1160" s="108" t="s">
        <v>11</v>
      </c>
      <c r="F1160" s="108" t="s">
        <v>1055</v>
      </c>
      <c r="G1160" s="108" t="s">
        <v>404</v>
      </c>
      <c r="H1160" s="126">
        <v>57023.77</v>
      </c>
      <c r="I1160" s="108">
        <v>9810021570</v>
      </c>
      <c r="J1160" s="108" t="str">
        <f t="shared" si="78"/>
        <v>9810021570</v>
      </c>
      <c r="K1160" s="304" t="str">
        <f t="shared" si="77"/>
        <v>60708019810021570610</v>
      </c>
      <c r="L1160" s="17" t="str">
        <f>INDEX('реш СГД № 265'!$A:$N,MATCH('БА расх 2018 31 12 2018'!$K1160,'реш СГД № 265'!$N:$N,0),3)</f>
        <v>Субсидии бюджетным учреждениям</v>
      </c>
      <c r="M1160" s="16">
        <f t="shared" si="79"/>
        <v>1</v>
      </c>
    </row>
    <row r="1161" spans="1:13" s="23" customFormat="1" ht="15.75">
      <c r="A1161" s="21"/>
      <c r="B1161" s="127" t="s">
        <v>407</v>
      </c>
      <c r="C1161" s="109" t="s">
        <v>510</v>
      </c>
      <c r="D1161" s="108" t="s">
        <v>238</v>
      </c>
      <c r="E1161" s="108" t="s">
        <v>11</v>
      </c>
      <c r="F1161" s="108" t="s">
        <v>1055</v>
      </c>
      <c r="G1161" s="108" t="s">
        <v>408</v>
      </c>
      <c r="H1161" s="126">
        <v>57023.77</v>
      </c>
      <c r="I1161" s="108">
        <v>9810021570</v>
      </c>
      <c r="J1161" s="108" t="str">
        <f t="shared" si="78"/>
        <v>9810021570</v>
      </c>
      <c r="K1161" s="304" t="str">
        <f t="shared" si="77"/>
        <v>60708019810021570612</v>
      </c>
      <c r="L1161" s="17"/>
      <c r="M1161" s="16"/>
    </row>
    <row r="1162" spans="1:13" s="23" customFormat="1" ht="110.25">
      <c r="A1162" s="21"/>
      <c r="B1162" s="125" t="s">
        <v>1302</v>
      </c>
      <c r="C1162" s="109" t="s">
        <v>510</v>
      </c>
      <c r="D1162" s="108" t="s">
        <v>238</v>
      </c>
      <c r="E1162" s="108" t="s">
        <v>11</v>
      </c>
      <c r="F1162" s="108" t="s">
        <v>1303</v>
      </c>
      <c r="G1162" s="108" t="s">
        <v>9</v>
      </c>
      <c r="H1162" s="126">
        <v>5000000</v>
      </c>
      <c r="I1162" s="108">
        <v>9810021590</v>
      </c>
      <c r="J1162" s="108" t="str">
        <f t="shared" si="78"/>
        <v>9810021590</v>
      </c>
      <c r="K1162" s="304" t="str">
        <f t="shared" si="77"/>
        <v>60708019810021590000</v>
      </c>
      <c r="L1162" s="17" t="str">
        <f>INDEX('реш СГД № 265'!$A:$N,MATCH('БА расх 2018 31 12 2018'!$K1162,'реш СГД № 265'!$N:$N,0),3)</f>
        <v>Субсидия муниципальному автономному учреждению культуры «Ставропольский Дворец культуры и спорта» города Ставрополя на приобретение комплектов оборудования для установки на многоуровневой парковке рядом с объектом здравоохранения «Ставропольский клинический перинатальный центр» (в том числе монтаж, пуско-наладочные работы)</v>
      </c>
      <c r="M1162" s="16">
        <f t="shared" si="79"/>
        <v>1</v>
      </c>
    </row>
    <row r="1163" spans="1:13" s="23" customFormat="1" ht="15.75">
      <c r="A1163" s="21"/>
      <c r="B1163" s="137" t="s">
        <v>409</v>
      </c>
      <c r="C1163" s="109" t="s">
        <v>510</v>
      </c>
      <c r="D1163" s="108" t="s">
        <v>238</v>
      </c>
      <c r="E1163" s="108" t="s">
        <v>11</v>
      </c>
      <c r="F1163" s="108" t="s">
        <v>1303</v>
      </c>
      <c r="G1163" s="108" t="s">
        <v>410</v>
      </c>
      <c r="H1163" s="126">
        <v>5000000</v>
      </c>
      <c r="I1163" s="108">
        <v>9810021590</v>
      </c>
      <c r="J1163" s="108" t="str">
        <f t="shared" si="78"/>
        <v>9810021590</v>
      </c>
      <c r="K1163" s="304" t="str">
        <f t="shared" si="77"/>
        <v>60708019810021590620</v>
      </c>
      <c r="L1163" s="17" t="str">
        <f>INDEX('реш СГД № 265'!$A:$N,MATCH('БА расх 2018 31 12 2018'!$K1163,'реш СГД № 265'!$N:$N,0),3)</f>
        <v>Субсидии автономным учреждениям</v>
      </c>
      <c r="M1163" s="16">
        <f t="shared" si="79"/>
        <v>1</v>
      </c>
    </row>
    <row r="1164" spans="1:13" s="23" customFormat="1" ht="15.75">
      <c r="A1164" s="21"/>
      <c r="B1164" s="127" t="s">
        <v>428</v>
      </c>
      <c r="C1164" s="109" t="s">
        <v>510</v>
      </c>
      <c r="D1164" s="108" t="s">
        <v>238</v>
      </c>
      <c r="E1164" s="108" t="s">
        <v>11</v>
      </c>
      <c r="F1164" s="108" t="s">
        <v>1303</v>
      </c>
      <c r="G1164" s="108" t="s">
        <v>429</v>
      </c>
      <c r="H1164" s="126">
        <v>5000000</v>
      </c>
      <c r="I1164" s="108">
        <v>9810021590</v>
      </c>
      <c r="J1164" s="108" t="str">
        <f t="shared" si="78"/>
        <v>9810021590</v>
      </c>
      <c r="K1164" s="304" t="str">
        <f t="shared" si="77"/>
        <v>60708019810021590622</v>
      </c>
      <c r="L1164" s="17"/>
      <c r="M1164" s="16"/>
    </row>
    <row r="1165" spans="1:13" s="16" customFormat="1" ht="15.75">
      <c r="A1165" s="14"/>
      <c r="B1165" s="121" t="s">
        <v>584</v>
      </c>
      <c r="C1165" s="122" t="s">
        <v>510</v>
      </c>
      <c r="D1165" s="123" t="s">
        <v>238</v>
      </c>
      <c r="E1165" s="123" t="s">
        <v>73</v>
      </c>
      <c r="F1165" s="123" t="s">
        <v>8</v>
      </c>
      <c r="G1165" s="123" t="s">
        <v>9</v>
      </c>
      <c r="H1165" s="124">
        <v>15592713.560000001</v>
      </c>
      <c r="I1165" s="123">
        <v>0</v>
      </c>
      <c r="J1165" s="123" t="str">
        <f t="shared" si="78"/>
        <v>0000000000</v>
      </c>
      <c r="K1165" s="304" t="str">
        <f t="shared" si="77"/>
        <v>60708040000000000000</v>
      </c>
      <c r="L1165" s="17" t="str">
        <f>INDEX('реш СГД № 265'!$A:$N,MATCH('БА расх 2018 31 12 2018'!$K1165,'реш СГД № 265'!$N:$N,0),3)</f>
        <v>Другие вопросы в области культуры, кинематографии</v>
      </c>
      <c r="M1165" s="16">
        <f t="shared" si="79"/>
        <v>1</v>
      </c>
    </row>
    <row r="1166" spans="1:13" s="16" customFormat="1" ht="31.5">
      <c r="A1166" s="14"/>
      <c r="B1166" s="125" t="s">
        <v>585</v>
      </c>
      <c r="C1166" s="109" t="s">
        <v>510</v>
      </c>
      <c r="D1166" s="108" t="s">
        <v>238</v>
      </c>
      <c r="E1166" s="108" t="s">
        <v>73</v>
      </c>
      <c r="F1166" s="108" t="s">
        <v>586</v>
      </c>
      <c r="G1166" s="108" t="s">
        <v>9</v>
      </c>
      <c r="H1166" s="126">
        <v>15592713.560000001</v>
      </c>
      <c r="I1166" s="108">
        <v>7600000000</v>
      </c>
      <c r="J1166" s="108" t="str">
        <f t="shared" si="78"/>
        <v>7600000000</v>
      </c>
      <c r="K1166" s="304" t="str">
        <f t="shared" si="77"/>
        <v>60708047600000000000</v>
      </c>
      <c r="L1166" s="17" t="str">
        <f>INDEX('реш СГД № 265'!$A:$N,MATCH('БА расх 2018 31 12 2018'!$K1166,'реш СГД № 265'!$N:$N,0),3)</f>
        <v>Обеспечение деятельности комитета культуры и молодежной политики администрации города Ставрополя</v>
      </c>
      <c r="M1166" s="16">
        <f t="shared" si="79"/>
        <v>1</v>
      </c>
    </row>
    <row r="1167" spans="1:13" s="16" customFormat="1" ht="47.25">
      <c r="A1167" s="14"/>
      <c r="B1167" s="125" t="s">
        <v>587</v>
      </c>
      <c r="C1167" s="109" t="s">
        <v>510</v>
      </c>
      <c r="D1167" s="108" t="s">
        <v>238</v>
      </c>
      <c r="E1167" s="108" t="s">
        <v>73</v>
      </c>
      <c r="F1167" s="108" t="s">
        <v>588</v>
      </c>
      <c r="G1167" s="108" t="s">
        <v>9</v>
      </c>
      <c r="H1167" s="126">
        <v>15432713.560000001</v>
      </c>
      <c r="I1167" s="108">
        <v>7610000000</v>
      </c>
      <c r="J1167" s="108" t="str">
        <f t="shared" si="78"/>
        <v>7610000000</v>
      </c>
      <c r="K1167" s="304" t="str">
        <f t="shared" si="77"/>
        <v>60708047610000000000</v>
      </c>
      <c r="L1167" s="17" t="str">
        <f>INDEX('реш СГД № 265'!$A:$N,MATCH('БА расх 2018 31 12 2018'!$K1167,'реш СГД № 265'!$N:$N,0),3)</f>
        <v>Непрограммные расходы в рамках обеспечения деятельности комитета культуры и молодежной политики администрации города Ставрополя</v>
      </c>
      <c r="M1167" s="16">
        <f t="shared" si="79"/>
        <v>1</v>
      </c>
    </row>
    <row r="1168" spans="1:13" s="16" customFormat="1" ht="31.5">
      <c r="A1168" s="14"/>
      <c r="B1168" s="125" t="s">
        <v>18</v>
      </c>
      <c r="C1168" s="109" t="s">
        <v>510</v>
      </c>
      <c r="D1168" s="108" t="s">
        <v>238</v>
      </c>
      <c r="E1168" s="108" t="s">
        <v>73</v>
      </c>
      <c r="F1168" s="108" t="s">
        <v>589</v>
      </c>
      <c r="G1168" s="108" t="s">
        <v>9</v>
      </c>
      <c r="H1168" s="126">
        <v>2905590</v>
      </c>
      <c r="I1168" s="108">
        <v>7610010010</v>
      </c>
      <c r="J1168" s="108" t="str">
        <f t="shared" si="78"/>
        <v>7610010010</v>
      </c>
      <c r="K1168" s="304" t="str">
        <f t="shared" si="77"/>
        <v>60708047610010010000</v>
      </c>
      <c r="L1168" s="17" t="str">
        <f>INDEX('реш СГД № 265'!$A:$N,MATCH('БА расх 2018 31 12 2018'!$K1168,'реш СГД № 265'!$N:$N,0),3)</f>
        <v>Расходы на обеспечение функций органов местного самоуправления города Ставрополя</v>
      </c>
      <c r="M1168" s="16">
        <f t="shared" si="79"/>
        <v>1</v>
      </c>
    </row>
    <row r="1169" spans="1:13" s="16" customFormat="1" ht="31.5">
      <c r="A1169" s="14"/>
      <c r="B1169" s="127" t="s">
        <v>20</v>
      </c>
      <c r="C1169" s="109" t="s">
        <v>510</v>
      </c>
      <c r="D1169" s="108" t="s">
        <v>238</v>
      </c>
      <c r="E1169" s="108" t="s">
        <v>73</v>
      </c>
      <c r="F1169" s="108" t="s">
        <v>589</v>
      </c>
      <c r="G1169" s="108" t="s">
        <v>21</v>
      </c>
      <c r="H1169" s="126">
        <v>357330</v>
      </c>
      <c r="I1169" s="108">
        <v>7610010010</v>
      </c>
      <c r="J1169" s="108" t="str">
        <f t="shared" si="78"/>
        <v>7610010010</v>
      </c>
      <c r="K1169" s="304" t="str">
        <f t="shared" si="77"/>
        <v>60708047610010010120</v>
      </c>
      <c r="L1169" s="17" t="str">
        <f>INDEX('реш СГД № 265'!$A:$N,MATCH('БА расх 2018 31 12 2018'!$K1169,'реш СГД № 265'!$N:$N,0),3)</f>
        <v>Расходы на выплаты персоналу государственных (муниципальных) органов</v>
      </c>
      <c r="M1169" s="16">
        <f t="shared" si="79"/>
        <v>1</v>
      </c>
    </row>
    <row r="1170" spans="1:13" s="23" customFormat="1" ht="31.5">
      <c r="A1170" s="21"/>
      <c r="B1170" s="127" t="s">
        <v>22</v>
      </c>
      <c r="C1170" s="109" t="s">
        <v>510</v>
      </c>
      <c r="D1170" s="108" t="s">
        <v>238</v>
      </c>
      <c r="E1170" s="108" t="s">
        <v>73</v>
      </c>
      <c r="F1170" s="108" t="s">
        <v>589</v>
      </c>
      <c r="G1170" s="108" t="s">
        <v>23</v>
      </c>
      <c r="H1170" s="126">
        <v>276287.82</v>
      </c>
      <c r="I1170" s="108">
        <v>7610010010</v>
      </c>
      <c r="J1170" s="108" t="str">
        <f t="shared" si="78"/>
        <v>7610010010</v>
      </c>
      <c r="K1170" s="304" t="str">
        <f t="shared" si="77"/>
        <v>60708047610010010122</v>
      </c>
      <c r="L1170" s="17"/>
      <c r="M1170" s="16"/>
    </row>
    <row r="1171" spans="1:13" s="23" customFormat="1" ht="47.25">
      <c r="A1171" s="21"/>
      <c r="B1171" s="127" t="s">
        <v>26</v>
      </c>
      <c r="C1171" s="109" t="s">
        <v>510</v>
      </c>
      <c r="D1171" s="108" t="s">
        <v>238</v>
      </c>
      <c r="E1171" s="108" t="s">
        <v>73</v>
      </c>
      <c r="F1171" s="108" t="s">
        <v>589</v>
      </c>
      <c r="G1171" s="108" t="s">
        <v>27</v>
      </c>
      <c r="H1171" s="126">
        <v>81042.179999999993</v>
      </c>
      <c r="I1171" s="108">
        <v>7610010010</v>
      </c>
      <c r="J1171" s="108" t="str">
        <f t="shared" si="78"/>
        <v>7610010010</v>
      </c>
      <c r="K1171" s="304" t="str">
        <f t="shared" si="77"/>
        <v>60708047610010010129</v>
      </c>
      <c r="L1171" s="17"/>
      <c r="M1171" s="16"/>
    </row>
    <row r="1172" spans="1:13" s="16" customFormat="1" ht="31.5">
      <c r="A1172" s="14"/>
      <c r="B1172" s="125" t="s">
        <v>28</v>
      </c>
      <c r="C1172" s="109" t="s">
        <v>510</v>
      </c>
      <c r="D1172" s="108" t="s">
        <v>238</v>
      </c>
      <c r="E1172" s="108" t="s">
        <v>73</v>
      </c>
      <c r="F1172" s="108" t="s">
        <v>589</v>
      </c>
      <c r="G1172" s="108" t="s">
        <v>29</v>
      </c>
      <c r="H1172" s="126">
        <v>2367060</v>
      </c>
      <c r="I1172" s="108">
        <v>7610010010</v>
      </c>
      <c r="J1172" s="108" t="str">
        <f t="shared" si="78"/>
        <v>7610010010</v>
      </c>
      <c r="K1172" s="304" t="str">
        <f t="shared" si="77"/>
        <v>60708047610010010240</v>
      </c>
      <c r="L1172" s="17" t="str">
        <f>INDEX('реш СГД № 265'!$A:$N,MATCH('БА расх 2018 31 12 2018'!$K1172,'реш СГД № 265'!$N:$N,0),3)</f>
        <v>Иные закупки товаров, работ и услуг для обеспечения государственных (муниципальных) нужд</v>
      </c>
      <c r="M1172" s="16">
        <f t="shared" si="79"/>
        <v>1</v>
      </c>
    </row>
    <row r="1173" spans="1:13" s="16" customFormat="1" ht="15.75">
      <c r="A1173" s="14"/>
      <c r="B1173" s="125" t="s">
        <v>30</v>
      </c>
      <c r="C1173" s="109" t="s">
        <v>510</v>
      </c>
      <c r="D1173" s="108" t="s">
        <v>238</v>
      </c>
      <c r="E1173" s="108" t="s">
        <v>73</v>
      </c>
      <c r="F1173" s="108" t="s">
        <v>589</v>
      </c>
      <c r="G1173" s="108" t="s">
        <v>31</v>
      </c>
      <c r="H1173" s="126">
        <v>2367060</v>
      </c>
      <c r="I1173" s="108">
        <v>7610010010</v>
      </c>
      <c r="J1173" s="108" t="str">
        <f t="shared" si="78"/>
        <v>7610010010</v>
      </c>
      <c r="K1173" s="304" t="str">
        <f t="shared" si="77"/>
        <v>60708047610010010244</v>
      </c>
      <c r="L1173" s="17"/>
    </row>
    <row r="1174" spans="1:13" s="16" customFormat="1" ht="15.75">
      <c r="A1174" s="14"/>
      <c r="B1174" s="125" t="s">
        <v>32</v>
      </c>
      <c r="C1174" s="109" t="s">
        <v>510</v>
      </c>
      <c r="D1174" s="108" t="s">
        <v>238</v>
      </c>
      <c r="E1174" s="108" t="s">
        <v>73</v>
      </c>
      <c r="F1174" s="108" t="s">
        <v>589</v>
      </c>
      <c r="G1174" s="108" t="s">
        <v>33</v>
      </c>
      <c r="H1174" s="126">
        <v>181200</v>
      </c>
      <c r="I1174" s="108">
        <v>7610010010</v>
      </c>
      <c r="J1174" s="108" t="str">
        <f t="shared" si="78"/>
        <v>7610010010</v>
      </c>
      <c r="K1174" s="304" t="str">
        <f t="shared" si="77"/>
        <v>60708047610010010850</v>
      </c>
      <c r="L1174" s="17" t="str">
        <f>INDEX('реш СГД № 265'!$A:$N,MATCH('БА расх 2018 31 12 2018'!$K1174,'реш СГД № 265'!$N:$N,0),3)</f>
        <v>Уплата налогов, сборов и иных платежей</v>
      </c>
      <c r="M1174" s="16">
        <f t="shared" si="79"/>
        <v>1</v>
      </c>
    </row>
    <row r="1175" spans="1:13" s="23" customFormat="1" ht="31.5">
      <c r="A1175" s="21"/>
      <c r="B1175" s="127" t="s">
        <v>34</v>
      </c>
      <c r="C1175" s="109" t="s">
        <v>510</v>
      </c>
      <c r="D1175" s="108" t="s">
        <v>238</v>
      </c>
      <c r="E1175" s="108" t="s">
        <v>73</v>
      </c>
      <c r="F1175" s="108" t="s">
        <v>589</v>
      </c>
      <c r="G1175" s="108" t="s">
        <v>35</v>
      </c>
      <c r="H1175" s="126">
        <v>174200</v>
      </c>
      <c r="I1175" s="108">
        <v>7610010010</v>
      </c>
      <c r="J1175" s="108" t="str">
        <f t="shared" si="78"/>
        <v>7610010010</v>
      </c>
      <c r="K1175" s="304" t="str">
        <f t="shared" si="77"/>
        <v>60708047610010010851</v>
      </c>
      <c r="L1175" s="17"/>
      <c r="M1175" s="16"/>
    </row>
    <row r="1176" spans="1:13" s="23" customFormat="1" ht="15.75">
      <c r="A1176" s="21"/>
      <c r="B1176" s="127" t="s">
        <v>36</v>
      </c>
      <c r="C1176" s="109" t="s">
        <v>510</v>
      </c>
      <c r="D1176" s="108" t="s">
        <v>238</v>
      </c>
      <c r="E1176" s="108" t="s">
        <v>73</v>
      </c>
      <c r="F1176" s="108" t="s">
        <v>589</v>
      </c>
      <c r="G1176" s="108" t="s">
        <v>37</v>
      </c>
      <c r="H1176" s="126">
        <v>6072</v>
      </c>
      <c r="I1176" s="108">
        <v>7610010010</v>
      </c>
      <c r="J1176" s="108" t="str">
        <f t="shared" si="78"/>
        <v>7610010010</v>
      </c>
      <c r="K1176" s="304" t="str">
        <f t="shared" si="77"/>
        <v>60708047610010010852</v>
      </c>
      <c r="L1176" s="17"/>
      <c r="M1176" s="16"/>
    </row>
    <row r="1177" spans="1:13" s="23" customFormat="1" ht="15.75">
      <c r="A1177" s="21"/>
      <c r="B1177" s="127" t="s">
        <v>77</v>
      </c>
      <c r="C1177" s="109" t="s">
        <v>510</v>
      </c>
      <c r="D1177" s="108" t="s">
        <v>238</v>
      </c>
      <c r="E1177" s="108" t="s">
        <v>73</v>
      </c>
      <c r="F1177" s="108" t="s">
        <v>589</v>
      </c>
      <c r="G1177" s="108" t="s">
        <v>78</v>
      </c>
      <c r="H1177" s="126">
        <v>928</v>
      </c>
      <c r="I1177" s="108">
        <v>7610010010</v>
      </c>
      <c r="J1177" s="108" t="str">
        <f t="shared" si="78"/>
        <v>7610010010</v>
      </c>
      <c r="K1177" s="304" t="str">
        <f t="shared" si="77"/>
        <v>60708047610010010853</v>
      </c>
      <c r="L1177" s="17"/>
      <c r="M1177" s="16"/>
    </row>
    <row r="1178" spans="1:13" s="16" customFormat="1" ht="31.5">
      <c r="A1178" s="14"/>
      <c r="B1178" s="125" t="s">
        <v>38</v>
      </c>
      <c r="C1178" s="109" t="s">
        <v>510</v>
      </c>
      <c r="D1178" s="108" t="s">
        <v>238</v>
      </c>
      <c r="E1178" s="108" t="s">
        <v>73</v>
      </c>
      <c r="F1178" s="108" t="s">
        <v>590</v>
      </c>
      <c r="G1178" s="108" t="s">
        <v>9</v>
      </c>
      <c r="H1178" s="126">
        <v>12116632.76</v>
      </c>
      <c r="I1178" s="108">
        <v>7610010020</v>
      </c>
      <c r="J1178" s="108" t="str">
        <f t="shared" si="78"/>
        <v>7610010020</v>
      </c>
      <c r="K1178" s="304" t="str">
        <f t="shared" si="77"/>
        <v>60708047610010020000</v>
      </c>
      <c r="L1178" s="17" t="str">
        <f>INDEX('реш СГД № 265'!$A:$N,MATCH('БА расх 2018 31 12 2018'!$K1178,'реш СГД № 265'!$N:$N,0),3)</f>
        <v>Расходы на выплаты по оплате труда работников органов местного самоуправления города Ставрополя</v>
      </c>
      <c r="M1178" s="16">
        <f t="shared" si="79"/>
        <v>1</v>
      </c>
    </row>
    <row r="1179" spans="1:13" s="16" customFormat="1" ht="31.5">
      <c r="A1179" s="14"/>
      <c r="B1179" s="127" t="s">
        <v>20</v>
      </c>
      <c r="C1179" s="109" t="s">
        <v>510</v>
      </c>
      <c r="D1179" s="108" t="s">
        <v>238</v>
      </c>
      <c r="E1179" s="108" t="s">
        <v>73</v>
      </c>
      <c r="F1179" s="108" t="s">
        <v>590</v>
      </c>
      <c r="G1179" s="108" t="s">
        <v>21</v>
      </c>
      <c r="H1179" s="126">
        <v>12116632.76</v>
      </c>
      <c r="I1179" s="108">
        <v>7610010020</v>
      </c>
      <c r="J1179" s="108" t="str">
        <f t="shared" si="78"/>
        <v>7610010020</v>
      </c>
      <c r="K1179" s="304" t="str">
        <f t="shared" si="77"/>
        <v>60708047610010020120</v>
      </c>
      <c r="L1179" s="17" t="str">
        <f>INDEX('реш СГД № 265'!$A:$N,MATCH('БА расх 2018 31 12 2018'!$K1179,'реш СГД № 265'!$N:$N,0),3)</f>
        <v>Расходы на выплаты персоналу государственных (муниципальных) органов</v>
      </c>
      <c r="M1179" s="16">
        <f t="shared" si="79"/>
        <v>1</v>
      </c>
    </row>
    <row r="1180" spans="1:13" s="23" customFormat="1" ht="31.5">
      <c r="A1180" s="21"/>
      <c r="B1180" s="127" t="s">
        <v>40</v>
      </c>
      <c r="C1180" s="109" t="s">
        <v>510</v>
      </c>
      <c r="D1180" s="108" t="s">
        <v>238</v>
      </c>
      <c r="E1180" s="108" t="s">
        <v>73</v>
      </c>
      <c r="F1180" s="108" t="s">
        <v>590</v>
      </c>
      <c r="G1180" s="108" t="s">
        <v>41</v>
      </c>
      <c r="H1180" s="126">
        <v>9295696.5700000003</v>
      </c>
      <c r="I1180" s="108">
        <v>7610010020</v>
      </c>
      <c r="J1180" s="108" t="str">
        <f t="shared" si="78"/>
        <v>7610010020</v>
      </c>
      <c r="K1180" s="304" t="str">
        <f t="shared" si="77"/>
        <v>60708047610010020121</v>
      </c>
      <c r="L1180" s="17"/>
      <c r="M1180" s="16"/>
    </row>
    <row r="1181" spans="1:13" s="23" customFormat="1" ht="47.25">
      <c r="A1181" s="21"/>
      <c r="B1181" s="127" t="s">
        <v>26</v>
      </c>
      <c r="C1181" s="109" t="s">
        <v>510</v>
      </c>
      <c r="D1181" s="108" t="s">
        <v>238</v>
      </c>
      <c r="E1181" s="108" t="s">
        <v>73</v>
      </c>
      <c r="F1181" s="108" t="s">
        <v>590</v>
      </c>
      <c r="G1181" s="108" t="s">
        <v>27</v>
      </c>
      <c r="H1181" s="126">
        <v>2820936.19</v>
      </c>
      <c r="I1181" s="108">
        <v>7610010020</v>
      </c>
      <c r="J1181" s="108" t="str">
        <f t="shared" si="78"/>
        <v>7610010020</v>
      </c>
      <c r="K1181" s="304" t="str">
        <f t="shared" si="77"/>
        <v>60708047610010020129</v>
      </c>
      <c r="L1181" s="17"/>
      <c r="M1181" s="16"/>
    </row>
    <row r="1182" spans="1:13" s="23" customFormat="1" ht="267.75">
      <c r="A1182" s="21"/>
      <c r="B1182" s="132" t="s">
        <v>2269</v>
      </c>
      <c r="C1182" s="109" t="s">
        <v>510</v>
      </c>
      <c r="D1182" s="108" t="s">
        <v>238</v>
      </c>
      <c r="E1182" s="108" t="s">
        <v>73</v>
      </c>
      <c r="F1182" s="108" t="s">
        <v>1304</v>
      </c>
      <c r="G1182" s="108" t="s">
        <v>9</v>
      </c>
      <c r="H1182" s="126">
        <v>397137.49</v>
      </c>
      <c r="I1182" s="108">
        <v>7610077460</v>
      </c>
      <c r="J1182" s="108" t="str">
        <f t="shared" si="78"/>
        <v>7610077460</v>
      </c>
      <c r="K1182" s="304" t="str">
        <f t="shared" si="77"/>
        <v>60708047610077460000</v>
      </c>
      <c r="L1182" s="132" t="str">
        <f>INDEX('реш СГД № 265'!$A:$N,MATCH('БА расх 2018 31 12 2018'!$K1182,'реш СГД № 265'!$N:$N,0),3)</f>
        <v>Субсидии на компенсацию расходов по повышению заработной платы муниципальных служащих муниципальной службы и лиц, не замещающих должности муниципальной службы и исполняющих обязанности по техническому обеспечению деятельности органов местного самоуправления муниципальных образований, а также работников муниципальных учреждений, за исключением отдельных категорий работников муниципальных учреждений, которым повышение заработной платы осуществляется в соответствии с указами Президента Российской Федерации от 7 мая 2012 года № 597 «О мероприятиях по реализации государственной социальной политики», от 1 июня 2012 года № 761 «О Национальной стратегии действий в интересах детей на 2012 - 2017 годы» и от 28 декабря 2012 года № 1688 «О некоторых мерах по реализации государственной политики в сфере защиты детей-сирот и детей, оставшихся без попечения родителей»</v>
      </c>
      <c r="M1182" s="17">
        <f t="shared" si="79"/>
        <v>1</v>
      </c>
    </row>
    <row r="1183" spans="1:13" s="23" customFormat="1" ht="31.5">
      <c r="A1183" s="21"/>
      <c r="B1183" s="164" t="s">
        <v>20</v>
      </c>
      <c r="C1183" s="109" t="s">
        <v>510</v>
      </c>
      <c r="D1183" s="108" t="s">
        <v>238</v>
      </c>
      <c r="E1183" s="108" t="s">
        <v>73</v>
      </c>
      <c r="F1183" s="108" t="s">
        <v>1304</v>
      </c>
      <c r="G1183" s="108" t="s">
        <v>21</v>
      </c>
      <c r="H1183" s="126">
        <v>397137.49</v>
      </c>
      <c r="I1183" s="108">
        <v>7610077460</v>
      </c>
      <c r="J1183" s="108" t="str">
        <f t="shared" si="78"/>
        <v>7610077460</v>
      </c>
      <c r="K1183" s="304" t="str">
        <f t="shared" si="77"/>
        <v>60708047610077460120</v>
      </c>
      <c r="L1183" s="17" t="str">
        <f>INDEX('реш СГД № 265'!$A:$N,MATCH('БА расх 2018 31 12 2018'!$K1183,'реш СГД № 265'!$N:$N,0),3)</f>
        <v>Расходы на выплаты персоналу государственных (муниципальных) органов</v>
      </c>
      <c r="M1183" s="16">
        <f t="shared" si="79"/>
        <v>1</v>
      </c>
    </row>
    <row r="1184" spans="1:13" s="23" customFormat="1" ht="31.5">
      <c r="A1184" s="21"/>
      <c r="B1184" s="127" t="s">
        <v>40</v>
      </c>
      <c r="C1184" s="109" t="s">
        <v>510</v>
      </c>
      <c r="D1184" s="108" t="s">
        <v>238</v>
      </c>
      <c r="E1184" s="108" t="s">
        <v>73</v>
      </c>
      <c r="F1184" s="108" t="s">
        <v>1304</v>
      </c>
      <c r="G1184" s="108" t="s">
        <v>41</v>
      </c>
      <c r="H1184" s="126">
        <v>305021.12</v>
      </c>
      <c r="I1184" s="108">
        <v>7610077460</v>
      </c>
      <c r="J1184" s="108" t="str">
        <f t="shared" si="78"/>
        <v>7610077460</v>
      </c>
      <c r="K1184" s="304" t="str">
        <f t="shared" si="77"/>
        <v>60708047610077460121</v>
      </c>
      <c r="L1184" s="17"/>
      <c r="M1184" s="16"/>
    </row>
    <row r="1185" spans="1:13" s="23" customFormat="1" ht="47.25">
      <c r="A1185" s="21"/>
      <c r="B1185" s="127" t="s">
        <v>26</v>
      </c>
      <c r="C1185" s="109" t="s">
        <v>510</v>
      </c>
      <c r="D1185" s="108" t="s">
        <v>238</v>
      </c>
      <c r="E1185" s="108" t="s">
        <v>73</v>
      </c>
      <c r="F1185" s="108" t="s">
        <v>1304</v>
      </c>
      <c r="G1185" s="108" t="s">
        <v>27</v>
      </c>
      <c r="H1185" s="126">
        <v>92116.37</v>
      </c>
      <c r="I1185" s="108">
        <v>7610077460</v>
      </c>
      <c r="J1185" s="108" t="str">
        <f t="shared" si="78"/>
        <v>7610077460</v>
      </c>
      <c r="K1185" s="304" t="str">
        <f t="shared" si="77"/>
        <v>60708047610077460129</v>
      </c>
      <c r="L1185" s="17"/>
      <c r="M1185" s="16"/>
    </row>
    <row r="1186" spans="1:13" s="23" customFormat="1" ht="236.25">
      <c r="A1186" s="21"/>
      <c r="B1186" s="164" t="s">
        <v>2247</v>
      </c>
      <c r="C1186" s="109" t="s">
        <v>510</v>
      </c>
      <c r="D1186" s="108" t="s">
        <v>238</v>
      </c>
      <c r="E1186" s="108" t="s">
        <v>73</v>
      </c>
      <c r="F1186" s="108" t="s">
        <v>2258</v>
      </c>
      <c r="G1186" s="108" t="s">
        <v>9</v>
      </c>
      <c r="H1186" s="126">
        <v>13353.31</v>
      </c>
      <c r="I1186" s="108">
        <v>7610077580</v>
      </c>
      <c r="J1186" s="108" t="str">
        <f t="shared" si="78"/>
        <v>7610077580</v>
      </c>
      <c r="K1186" s="304" t="str">
        <f t="shared" si="77"/>
        <v>60708047610077580000</v>
      </c>
      <c r="L1186" s="17" t="str">
        <f>INDEX('реш СГД № 265'!$A:$N,MATCH('БА расх 2018 31 12 2018'!$K1186,'реш СГД № 265'!$N:$N,0),3)</f>
        <v>Субсидии на компенсацию расходов на обеспечение выплаты лицам, не замещающим муниципальные должности муниципальной службы и исполняющим обязанности по техническому обеспечению деятельности органов местного самоуправления муниципальных образований, работникам органов местного самоуправления муниципальных образований, осуществляющим профессиональную деятельность по профессиям рабочих, и работникам муниципальных учреждений заработной платы не ниже установленного с 01 мая 2018 года федеральным законом минимального размера оплаты труда, а также компенсацию расходов на обеспечение выплаты работникам муниципальных учреждений с 01 января 2018 года коэффициента к заработной плате за работу в пустынных и безводных местностях</v>
      </c>
      <c r="M1186" s="16">
        <f t="shared" si="79"/>
        <v>1</v>
      </c>
    </row>
    <row r="1187" spans="1:13" s="23" customFormat="1" ht="31.5">
      <c r="A1187" s="21"/>
      <c r="B1187" s="164" t="s">
        <v>20</v>
      </c>
      <c r="C1187" s="109" t="s">
        <v>510</v>
      </c>
      <c r="D1187" s="108" t="s">
        <v>238</v>
      </c>
      <c r="E1187" s="108" t="s">
        <v>73</v>
      </c>
      <c r="F1187" s="108" t="s">
        <v>2258</v>
      </c>
      <c r="G1187" s="108" t="s">
        <v>21</v>
      </c>
      <c r="H1187" s="126">
        <v>13353.31</v>
      </c>
      <c r="I1187" s="108">
        <v>7610077580</v>
      </c>
      <c r="J1187" s="108" t="str">
        <f t="shared" si="78"/>
        <v>7610077580</v>
      </c>
      <c r="K1187" s="304" t="str">
        <f t="shared" si="77"/>
        <v>60708047610077580120</v>
      </c>
      <c r="L1187" s="17" t="str">
        <f>INDEX('реш СГД № 265'!$A:$N,MATCH('БА расх 2018 31 12 2018'!$K1187,'реш СГД № 265'!$N:$N,0),3)</f>
        <v>Расходы на выплаты персоналу государственных (муниципальных) органов</v>
      </c>
      <c r="M1187" s="16">
        <f t="shared" si="79"/>
        <v>1</v>
      </c>
    </row>
    <row r="1188" spans="1:13" s="23" customFormat="1" ht="31.5">
      <c r="A1188" s="21"/>
      <c r="B1188" s="127" t="s">
        <v>40</v>
      </c>
      <c r="C1188" s="109" t="s">
        <v>510</v>
      </c>
      <c r="D1188" s="108" t="s">
        <v>238</v>
      </c>
      <c r="E1188" s="108" t="s">
        <v>73</v>
      </c>
      <c r="F1188" s="108" t="s">
        <v>2258</v>
      </c>
      <c r="G1188" s="108" t="s">
        <v>41</v>
      </c>
      <c r="H1188" s="126">
        <v>10256</v>
      </c>
      <c r="I1188" s="108">
        <v>7610077580</v>
      </c>
      <c r="J1188" s="108" t="str">
        <f t="shared" si="78"/>
        <v>7610077580</v>
      </c>
      <c r="K1188" s="304" t="str">
        <f t="shared" si="77"/>
        <v>60708047610077580121</v>
      </c>
      <c r="L1188" s="17"/>
      <c r="M1188" s="16"/>
    </row>
    <row r="1189" spans="1:13" s="23" customFormat="1" ht="47.25">
      <c r="A1189" s="21"/>
      <c r="B1189" s="127" t="s">
        <v>26</v>
      </c>
      <c r="C1189" s="109" t="s">
        <v>510</v>
      </c>
      <c r="D1189" s="108" t="s">
        <v>238</v>
      </c>
      <c r="E1189" s="108" t="s">
        <v>73</v>
      </c>
      <c r="F1189" s="108" t="s">
        <v>2258</v>
      </c>
      <c r="G1189" s="108" t="s">
        <v>27</v>
      </c>
      <c r="H1189" s="126">
        <v>3097.31</v>
      </c>
      <c r="I1189" s="108">
        <v>7610077580</v>
      </c>
      <c r="J1189" s="108" t="str">
        <f t="shared" si="78"/>
        <v>7610077580</v>
      </c>
      <c r="K1189" s="304" t="str">
        <f t="shared" si="77"/>
        <v>60708047610077580129</v>
      </c>
      <c r="L1189" s="17"/>
      <c r="M1189" s="16"/>
    </row>
    <row r="1190" spans="1:13" s="16" customFormat="1" ht="15.75">
      <c r="A1190" s="14"/>
      <c r="B1190" s="127" t="s">
        <v>52</v>
      </c>
      <c r="C1190" s="109" t="s">
        <v>510</v>
      </c>
      <c r="D1190" s="108" t="s">
        <v>238</v>
      </c>
      <c r="E1190" s="108" t="s">
        <v>73</v>
      </c>
      <c r="F1190" s="108" t="s">
        <v>591</v>
      </c>
      <c r="G1190" s="108" t="s">
        <v>9</v>
      </c>
      <c r="H1190" s="126">
        <v>160000</v>
      </c>
      <c r="I1190" s="108">
        <v>7620000000</v>
      </c>
      <c r="J1190" s="108" t="str">
        <f t="shared" si="78"/>
        <v>7620000000</v>
      </c>
      <c r="K1190" s="304" t="str">
        <f t="shared" si="77"/>
        <v>60708047620000000000</v>
      </c>
      <c r="L1190" s="17" t="str">
        <f>INDEX('реш СГД № 265'!$A:$N,MATCH('БА расх 2018 31 12 2018'!$K1190,'реш СГД № 265'!$N:$N,0),3)</f>
        <v>Расходы, предусмотренные на иные цели</v>
      </c>
      <c r="M1190" s="16">
        <f t="shared" si="79"/>
        <v>1</v>
      </c>
    </row>
    <row r="1191" spans="1:13" s="16" customFormat="1" ht="47.25">
      <c r="A1191" s="14"/>
      <c r="B1191" s="125" t="s">
        <v>592</v>
      </c>
      <c r="C1191" s="109" t="s">
        <v>510</v>
      </c>
      <c r="D1191" s="108" t="s">
        <v>238</v>
      </c>
      <c r="E1191" s="108" t="s">
        <v>73</v>
      </c>
      <c r="F1191" s="108" t="s">
        <v>593</v>
      </c>
      <c r="G1191" s="108" t="s">
        <v>9</v>
      </c>
      <c r="H1191" s="126">
        <v>160000</v>
      </c>
      <c r="I1191" s="108">
        <v>7620020250</v>
      </c>
      <c r="J1191" s="108" t="str">
        <f t="shared" si="78"/>
        <v>7620020250</v>
      </c>
      <c r="K1191" s="304" t="str">
        <f t="shared" si="77"/>
        <v>60708047620020250000</v>
      </c>
      <c r="L1191" s="17" t="str">
        <f>INDEX('реш СГД № 265'!$A:$N,MATCH('БА расх 2018 31 12 2018'!$K1191,'реш СГД № 265'!$N:$N,0),3)</f>
        <v>Расходы на выполнение мероприятий в сфере культуры и кинематографии комитета культуры и молодежной политики администрации города Ставрополя</v>
      </c>
      <c r="M1191" s="16">
        <f t="shared" si="79"/>
        <v>1</v>
      </c>
    </row>
    <row r="1192" spans="1:13" s="16" customFormat="1" ht="31.5">
      <c r="A1192" s="14"/>
      <c r="B1192" s="125" t="s">
        <v>28</v>
      </c>
      <c r="C1192" s="109" t="s">
        <v>510</v>
      </c>
      <c r="D1192" s="108" t="s">
        <v>238</v>
      </c>
      <c r="E1192" s="108" t="s">
        <v>73</v>
      </c>
      <c r="F1192" s="108" t="s">
        <v>593</v>
      </c>
      <c r="G1192" s="108" t="s">
        <v>29</v>
      </c>
      <c r="H1192" s="126">
        <v>160000</v>
      </c>
      <c r="I1192" s="108">
        <v>7620020250</v>
      </c>
      <c r="J1192" s="108" t="str">
        <f t="shared" si="78"/>
        <v>7620020250</v>
      </c>
      <c r="K1192" s="304" t="str">
        <f t="shared" si="77"/>
        <v>60708047620020250240</v>
      </c>
      <c r="L1192" s="17" t="str">
        <f>INDEX('реш СГД № 265'!$A:$N,MATCH('БА расх 2018 31 12 2018'!$K1192,'реш СГД № 265'!$N:$N,0),3)</f>
        <v>Иные закупки товаров, работ и услуг для обеспечения государственных (муниципальных) нужд</v>
      </c>
      <c r="M1192" s="16">
        <f t="shared" si="79"/>
        <v>1</v>
      </c>
    </row>
    <row r="1193" spans="1:13" s="16" customFormat="1" ht="15.75">
      <c r="A1193" s="14"/>
      <c r="B1193" s="125" t="s">
        <v>30</v>
      </c>
      <c r="C1193" s="109" t="s">
        <v>510</v>
      </c>
      <c r="D1193" s="108" t="s">
        <v>238</v>
      </c>
      <c r="E1193" s="108" t="s">
        <v>73</v>
      </c>
      <c r="F1193" s="108" t="s">
        <v>593</v>
      </c>
      <c r="G1193" s="108" t="s">
        <v>31</v>
      </c>
      <c r="H1193" s="126">
        <v>160000</v>
      </c>
      <c r="I1193" s="108">
        <v>7620020250</v>
      </c>
      <c r="J1193" s="108" t="str">
        <f t="shared" si="78"/>
        <v>7620020250</v>
      </c>
      <c r="K1193" s="304" t="str">
        <f t="shared" si="77"/>
        <v>60708047620020250244</v>
      </c>
      <c r="L1193" s="17"/>
    </row>
    <row r="1194" spans="1:13" s="16" customFormat="1" ht="15.75">
      <c r="A1194" s="14"/>
      <c r="B1194" s="125"/>
      <c r="C1194" s="109"/>
      <c r="D1194" s="108"/>
      <c r="E1194" s="108"/>
      <c r="F1194" s="108"/>
      <c r="G1194" s="108"/>
      <c r="H1194" s="126"/>
      <c r="I1194" s="108"/>
      <c r="J1194" s="108" t="str">
        <f t="shared" si="78"/>
        <v>0000000000</v>
      </c>
      <c r="K1194" s="304" t="str">
        <f t="shared" ref="K1194:K1257" si="80">C1194&amp;D1194&amp;E1194&amp;J1194&amp;G1194</f>
        <v>0000000000</v>
      </c>
      <c r="L1194" s="17">
        <f>INDEX('реш СГД № 265'!$A:$N,MATCH('БА расх 2018 31 12 2018'!$K1194,'реш СГД № 265'!$N:$N,0),3)</f>
        <v>0</v>
      </c>
      <c r="M1194" s="16">
        <f t="shared" si="79"/>
        <v>1</v>
      </c>
    </row>
    <row r="1195" spans="1:13" s="13" customFormat="1" ht="31.5">
      <c r="A1195" s="1"/>
      <c r="B1195" s="67" t="s">
        <v>594</v>
      </c>
      <c r="C1195" s="116" t="s">
        <v>595</v>
      </c>
      <c r="D1195" s="69" t="s">
        <v>7</v>
      </c>
      <c r="E1195" s="69" t="s">
        <v>7</v>
      </c>
      <c r="F1195" s="69" t="s">
        <v>8</v>
      </c>
      <c r="G1195" s="69" t="s">
        <v>9</v>
      </c>
      <c r="H1195" s="146">
        <v>1971390139.3199999</v>
      </c>
      <c r="I1195" s="69">
        <v>0</v>
      </c>
      <c r="J1195" s="69" t="str">
        <f t="shared" ref="J1195:J1258" si="81">TEXT(I1195,"0000000000")</f>
        <v>0000000000</v>
      </c>
      <c r="K1195" s="304" t="str">
        <f t="shared" si="80"/>
        <v>60900000000000000000</v>
      </c>
      <c r="L1195" s="17" t="str">
        <f>INDEX('реш СГД № 265'!$A:$N,MATCH('БА расх 2018 31 12 2018'!$K1195,'реш СГД № 265'!$N:$N,0),3)</f>
        <v>Комитет труда и социальной защиты населения администрации города Ставрополя</v>
      </c>
      <c r="M1195" s="16">
        <f t="shared" ref="M1195:M1257" si="82">IF(B1195=L1195,1,0)</f>
        <v>1</v>
      </c>
    </row>
    <row r="1196" spans="1:13" s="29" customFormat="1" ht="15.75">
      <c r="A1196" s="28"/>
      <c r="B1196" s="117" t="s">
        <v>10</v>
      </c>
      <c r="C1196" s="118" t="s">
        <v>595</v>
      </c>
      <c r="D1196" s="119" t="s">
        <v>11</v>
      </c>
      <c r="E1196" s="119" t="s">
        <v>7</v>
      </c>
      <c r="F1196" s="119" t="s">
        <v>8</v>
      </c>
      <c r="G1196" s="119" t="s">
        <v>9</v>
      </c>
      <c r="H1196" s="120">
        <v>991673.76</v>
      </c>
      <c r="I1196" s="119">
        <v>0</v>
      </c>
      <c r="J1196" s="119" t="str">
        <f t="shared" si="81"/>
        <v>0000000000</v>
      </c>
      <c r="K1196" s="304" t="str">
        <f t="shared" si="80"/>
        <v>60901000000000000000</v>
      </c>
      <c r="L1196" s="17" t="str">
        <f>INDEX('реш СГД № 265'!$A:$N,MATCH('БА расх 2018 31 12 2018'!$K1196,'реш СГД № 265'!$N:$N,0),3)</f>
        <v>Общегосударственные вопросы</v>
      </c>
      <c r="M1196" s="16">
        <f t="shared" si="82"/>
        <v>1</v>
      </c>
    </row>
    <row r="1197" spans="1:13" s="29" customFormat="1" ht="15.75">
      <c r="A1197" s="28"/>
      <c r="B1197" s="121" t="s">
        <v>50</v>
      </c>
      <c r="C1197" s="122" t="s">
        <v>595</v>
      </c>
      <c r="D1197" s="123" t="s">
        <v>11</v>
      </c>
      <c r="E1197" s="123" t="s">
        <v>51</v>
      </c>
      <c r="F1197" s="123" t="s">
        <v>8</v>
      </c>
      <c r="G1197" s="123" t="s">
        <v>9</v>
      </c>
      <c r="H1197" s="124">
        <v>991673.76</v>
      </c>
      <c r="I1197" s="123">
        <v>0</v>
      </c>
      <c r="J1197" s="123" t="str">
        <f t="shared" si="81"/>
        <v>0000000000</v>
      </c>
      <c r="K1197" s="304" t="str">
        <f t="shared" si="80"/>
        <v>60901130000000000000</v>
      </c>
      <c r="L1197" s="17" t="str">
        <f>INDEX('реш СГД № 265'!$A:$N,MATCH('БА расх 2018 31 12 2018'!$K1197,'реш СГД № 265'!$N:$N,0),3)</f>
        <v>Другие общегосударственные вопросы</v>
      </c>
      <c r="M1197" s="16">
        <f t="shared" si="82"/>
        <v>1</v>
      </c>
    </row>
    <row r="1198" spans="1:13" s="29" customFormat="1" ht="47.25">
      <c r="A1198" s="28"/>
      <c r="B1198" s="132" t="s">
        <v>257</v>
      </c>
      <c r="C1198" s="109" t="s">
        <v>595</v>
      </c>
      <c r="D1198" s="108" t="s">
        <v>11</v>
      </c>
      <c r="E1198" s="108" t="s">
        <v>51</v>
      </c>
      <c r="F1198" s="108" t="s">
        <v>258</v>
      </c>
      <c r="G1198" s="108" t="s">
        <v>9</v>
      </c>
      <c r="H1198" s="126">
        <v>6982.8</v>
      </c>
      <c r="I1198" s="108">
        <v>1100000000</v>
      </c>
      <c r="J1198" s="108" t="str">
        <f t="shared" si="81"/>
        <v>1100000000</v>
      </c>
      <c r="K1198" s="304" t="str">
        <f t="shared" si="80"/>
        <v>60901131100000000000</v>
      </c>
      <c r="L1198" s="17" t="str">
        <f>INDEX('реш СГД № 265'!$A:$N,MATCH('БА расх 2018 31 12 2018'!$K1198,'реш СГД № 265'!$N:$N,0),3)</f>
        <v>Муниципальная программа  «Управление и распоряжение имуществом, находящимся в муниципальной собственности города Ставрополя, в том числе земельными ресурсами»</v>
      </c>
      <c r="M1198" s="16">
        <f t="shared" si="82"/>
        <v>1</v>
      </c>
    </row>
    <row r="1199" spans="1:13" s="29" customFormat="1" ht="63">
      <c r="A1199" s="28"/>
      <c r="B1199" s="132" t="s">
        <v>259</v>
      </c>
      <c r="C1199" s="109" t="s">
        <v>595</v>
      </c>
      <c r="D1199" s="108" t="s">
        <v>11</v>
      </c>
      <c r="E1199" s="108" t="s">
        <v>51</v>
      </c>
      <c r="F1199" s="108" t="s">
        <v>260</v>
      </c>
      <c r="G1199" s="108" t="s">
        <v>9</v>
      </c>
      <c r="H1199" s="126">
        <v>6982.8</v>
      </c>
      <c r="I1199" s="108" t="s">
        <v>1171</v>
      </c>
      <c r="J1199" s="108" t="str">
        <f t="shared" si="81"/>
        <v>11Б0000000</v>
      </c>
      <c r="K1199" s="304" t="str">
        <f t="shared" si="80"/>
        <v>609011311Б0000000000</v>
      </c>
      <c r="L1199" s="17" t="str">
        <f>INDEX('реш СГД № 265'!$A:$N,MATCH('БА расх 2018 31 12 2018'!$K1199,'реш СГД № 265'!$N:$N,0),3)</f>
        <v>Расходы в рамках реализации муниципальной программы «Управление и распоряжение  имуществом, находящимся в муниципальной собственности города Ставрополя, в том числе земельными ресурсами»</v>
      </c>
      <c r="M1199" s="16">
        <f t="shared" si="82"/>
        <v>1</v>
      </c>
    </row>
    <row r="1200" spans="1:13" s="29" customFormat="1" ht="47.25">
      <c r="A1200" s="28"/>
      <c r="B1200" s="125" t="s">
        <v>261</v>
      </c>
      <c r="C1200" s="109" t="s">
        <v>595</v>
      </c>
      <c r="D1200" s="108" t="s">
        <v>11</v>
      </c>
      <c r="E1200" s="108" t="s">
        <v>51</v>
      </c>
      <c r="F1200" s="108" t="s">
        <v>262</v>
      </c>
      <c r="G1200" s="108" t="s">
        <v>9</v>
      </c>
      <c r="H1200" s="126">
        <v>6982.8</v>
      </c>
      <c r="I1200" s="108" t="s">
        <v>1172</v>
      </c>
      <c r="J1200" s="108" t="str">
        <f t="shared" si="81"/>
        <v>11Б0100000</v>
      </c>
      <c r="K1200" s="304" t="str">
        <f t="shared" si="80"/>
        <v>609011311Б0100000000</v>
      </c>
      <c r="L1200" s="17" t="str">
        <f>INDEX('реш СГД № 265'!$A:$N,MATCH('БА расх 2018 31 12 2018'!$K1200,'реш СГД № 265'!$N:$N,0),3)</f>
        <v>Основное мероприятие «Управление и распоряжение объектами недвижимого имущества, находящимися в муниципальной собственности города Ставрополя»</v>
      </c>
      <c r="M1200" s="16">
        <f t="shared" si="82"/>
        <v>1</v>
      </c>
    </row>
    <row r="1201" spans="1:13" s="13" customFormat="1" ht="31.5">
      <c r="A1201" s="1"/>
      <c r="B1201" s="125" t="s">
        <v>267</v>
      </c>
      <c r="C1201" s="109" t="s">
        <v>595</v>
      </c>
      <c r="D1201" s="108" t="s">
        <v>11</v>
      </c>
      <c r="E1201" s="108" t="s">
        <v>51</v>
      </c>
      <c r="F1201" s="108" t="s">
        <v>268</v>
      </c>
      <c r="G1201" s="108" t="s">
        <v>9</v>
      </c>
      <c r="H1201" s="126">
        <v>6982.8</v>
      </c>
      <c r="I1201" s="108" t="s">
        <v>1175</v>
      </c>
      <c r="J1201" s="108" t="str">
        <f t="shared" si="81"/>
        <v>11Б0121120</v>
      </c>
      <c r="K1201" s="304" t="str">
        <f t="shared" si="80"/>
        <v>609011311Б0121120000</v>
      </c>
      <c r="L1201" s="17" t="str">
        <f>INDEX('реш СГД № 265'!$A:$N,MATCH('БА расх 2018 31 12 2018'!$K1201,'реш СГД № 265'!$N:$N,0),3)</f>
        <v>Расходы на уплату взносов на капитальный ремонт общего имущества в многоквартирных домах</v>
      </c>
      <c r="M1201" s="16">
        <f t="shared" si="82"/>
        <v>1</v>
      </c>
    </row>
    <row r="1202" spans="1:13" s="13" customFormat="1" ht="31.5">
      <c r="A1202" s="1"/>
      <c r="B1202" s="125" t="s">
        <v>28</v>
      </c>
      <c r="C1202" s="109" t="s">
        <v>595</v>
      </c>
      <c r="D1202" s="108" t="s">
        <v>11</v>
      </c>
      <c r="E1202" s="108" t="s">
        <v>51</v>
      </c>
      <c r="F1202" s="108" t="s">
        <v>268</v>
      </c>
      <c r="G1202" s="108" t="s">
        <v>29</v>
      </c>
      <c r="H1202" s="126">
        <v>6982.8</v>
      </c>
      <c r="I1202" s="108" t="s">
        <v>1175</v>
      </c>
      <c r="J1202" s="108" t="str">
        <f t="shared" si="81"/>
        <v>11Б0121120</v>
      </c>
      <c r="K1202" s="304" t="str">
        <f t="shared" si="80"/>
        <v>609011311Б0121120240</v>
      </c>
      <c r="L1202" s="17" t="str">
        <f>INDEX('реш СГД № 265'!$A:$N,MATCH('БА расх 2018 31 12 2018'!$K1202,'реш СГД № 265'!$N:$N,0),3)</f>
        <v>Иные закупки товаров, работ и услуг для обеспечения государственных (муниципальных) нужд</v>
      </c>
      <c r="M1202" s="16">
        <f t="shared" si="82"/>
        <v>1</v>
      </c>
    </row>
    <row r="1203" spans="1:13" s="13" customFormat="1" ht="15.75">
      <c r="A1203" s="1"/>
      <c r="B1203" s="125" t="s">
        <v>30</v>
      </c>
      <c r="C1203" s="109" t="s">
        <v>595</v>
      </c>
      <c r="D1203" s="108" t="s">
        <v>11</v>
      </c>
      <c r="E1203" s="108" t="s">
        <v>51</v>
      </c>
      <c r="F1203" s="108" t="s">
        <v>268</v>
      </c>
      <c r="G1203" s="108" t="s">
        <v>31</v>
      </c>
      <c r="H1203" s="126">
        <v>6982.8</v>
      </c>
      <c r="I1203" s="108" t="s">
        <v>1175</v>
      </c>
      <c r="J1203" s="108" t="str">
        <f t="shared" si="81"/>
        <v>11Б0121120</v>
      </c>
      <c r="K1203" s="304" t="str">
        <f t="shared" si="80"/>
        <v>609011311Б0121120244</v>
      </c>
      <c r="L1203" s="17"/>
      <c r="M1203" s="16"/>
    </row>
    <row r="1204" spans="1:13" s="13" customFormat="1" ht="31.5">
      <c r="A1204" s="1"/>
      <c r="B1204" s="147" t="s">
        <v>689</v>
      </c>
      <c r="C1204" s="109" t="s">
        <v>595</v>
      </c>
      <c r="D1204" s="108" t="s">
        <v>11</v>
      </c>
      <c r="E1204" s="108" t="s">
        <v>51</v>
      </c>
      <c r="F1204" s="109" t="s">
        <v>690</v>
      </c>
      <c r="G1204" s="108" t="s">
        <v>9</v>
      </c>
      <c r="H1204" s="126">
        <v>984690.96</v>
      </c>
      <c r="I1204" s="109">
        <v>7700000000</v>
      </c>
      <c r="J1204" s="109" t="str">
        <f t="shared" si="81"/>
        <v>7700000000</v>
      </c>
      <c r="K1204" s="304" t="str">
        <f t="shared" si="80"/>
        <v>60901137700000000000</v>
      </c>
      <c r="L1204" s="400" t="e">
        <f>INDEX('реш СГД № 265'!$A:$N,MATCH('БА расх 2018 31 12 2018'!$K1204,'реш СГД № 265'!$N:$N,0),3)</f>
        <v>#N/A</v>
      </c>
      <c r="M1204" s="17" t="e">
        <f t="shared" si="82"/>
        <v>#N/A</v>
      </c>
    </row>
    <row r="1205" spans="1:13" s="13" customFormat="1" ht="47.25">
      <c r="A1205" s="1"/>
      <c r="B1205" s="147" t="s">
        <v>691</v>
      </c>
      <c r="C1205" s="109" t="s">
        <v>595</v>
      </c>
      <c r="D1205" s="108" t="s">
        <v>11</v>
      </c>
      <c r="E1205" s="108" t="s">
        <v>51</v>
      </c>
      <c r="F1205" s="109" t="s">
        <v>692</v>
      </c>
      <c r="G1205" s="108" t="s">
        <v>9</v>
      </c>
      <c r="H1205" s="126">
        <v>984690.96</v>
      </c>
      <c r="I1205" s="109">
        <v>7710000000</v>
      </c>
      <c r="J1205" s="109" t="str">
        <f t="shared" si="81"/>
        <v>7710000000</v>
      </c>
      <c r="K1205" s="304" t="str">
        <f t="shared" si="80"/>
        <v>60901137710000000000</v>
      </c>
      <c r="L1205" s="400" t="e">
        <f>INDEX('реш СГД № 265'!$A:$N,MATCH('БА расх 2018 31 12 2018'!$K1205,'реш СГД № 265'!$N:$N,0),3)</f>
        <v>#N/A</v>
      </c>
      <c r="M1205" s="17" t="e">
        <f t="shared" si="82"/>
        <v>#N/A</v>
      </c>
    </row>
    <row r="1206" spans="1:13" s="13" customFormat="1" ht="31.5">
      <c r="A1206" s="1"/>
      <c r="B1206" s="125" t="s">
        <v>355</v>
      </c>
      <c r="C1206" s="109" t="s">
        <v>595</v>
      </c>
      <c r="D1206" s="131" t="s">
        <v>11</v>
      </c>
      <c r="E1206" s="131" t="s">
        <v>51</v>
      </c>
      <c r="F1206" s="131" t="s">
        <v>1224</v>
      </c>
      <c r="G1206" s="131" t="s">
        <v>9</v>
      </c>
      <c r="H1206" s="126">
        <v>984690.96</v>
      </c>
      <c r="I1206" s="131">
        <v>7710010050</v>
      </c>
      <c r="J1206" s="131" t="str">
        <f t="shared" si="81"/>
        <v>7710010050</v>
      </c>
      <c r="K1206" s="304" t="str">
        <f t="shared" si="80"/>
        <v>60901137710010050000</v>
      </c>
      <c r="L1206" s="400" t="e">
        <f>INDEX('реш СГД № 265'!$A:$N,MATCH('БА расх 2018 31 12 2018'!$K1206,'реш СГД № 265'!$N:$N,0),3)</f>
        <v>#N/A</v>
      </c>
      <c r="M1206" s="17" t="e">
        <f t="shared" si="82"/>
        <v>#N/A</v>
      </c>
    </row>
    <row r="1207" spans="1:13" s="13" customFormat="1" ht="31.5">
      <c r="A1207" s="1"/>
      <c r="B1207" s="127" t="s">
        <v>20</v>
      </c>
      <c r="C1207" s="109" t="s">
        <v>595</v>
      </c>
      <c r="D1207" s="131" t="s">
        <v>11</v>
      </c>
      <c r="E1207" s="131" t="s">
        <v>51</v>
      </c>
      <c r="F1207" s="131" t="s">
        <v>1224</v>
      </c>
      <c r="G1207" s="305" t="s">
        <v>21</v>
      </c>
      <c r="H1207" s="126">
        <v>984690.96</v>
      </c>
      <c r="I1207" s="131">
        <v>7710010050</v>
      </c>
      <c r="J1207" s="131" t="str">
        <f t="shared" si="81"/>
        <v>7710010050</v>
      </c>
      <c r="K1207" s="304" t="str">
        <f t="shared" si="80"/>
        <v>60901137710010050120</v>
      </c>
      <c r="L1207" s="400" t="e">
        <f>INDEX('реш СГД № 265'!$A:$N,MATCH('БА расх 2018 31 12 2018'!$K1207,'реш СГД № 265'!$N:$N,0),3)</f>
        <v>#N/A</v>
      </c>
      <c r="M1207" s="17" t="e">
        <f t="shared" si="82"/>
        <v>#N/A</v>
      </c>
    </row>
    <row r="1208" spans="1:13" s="13" customFormat="1" ht="31.5">
      <c r="A1208" s="1"/>
      <c r="B1208" s="127" t="s">
        <v>40</v>
      </c>
      <c r="C1208" s="109" t="s">
        <v>595</v>
      </c>
      <c r="D1208" s="131" t="s">
        <v>11</v>
      </c>
      <c r="E1208" s="131" t="s">
        <v>51</v>
      </c>
      <c r="F1208" s="131" t="s">
        <v>1224</v>
      </c>
      <c r="G1208" s="305" t="s">
        <v>41</v>
      </c>
      <c r="H1208" s="126">
        <v>773520</v>
      </c>
      <c r="I1208" s="131">
        <v>7710010050</v>
      </c>
      <c r="J1208" s="131" t="str">
        <f t="shared" si="81"/>
        <v>7710010050</v>
      </c>
      <c r="K1208" s="304" t="str">
        <f t="shared" si="80"/>
        <v>60901137710010050121</v>
      </c>
      <c r="L1208" s="17"/>
      <c r="M1208" s="16"/>
    </row>
    <row r="1209" spans="1:13" s="13" customFormat="1" ht="47.25">
      <c r="A1209" s="1"/>
      <c r="B1209" s="127" t="s">
        <v>26</v>
      </c>
      <c r="C1209" s="109" t="s">
        <v>595</v>
      </c>
      <c r="D1209" s="131" t="s">
        <v>11</v>
      </c>
      <c r="E1209" s="131" t="s">
        <v>51</v>
      </c>
      <c r="F1209" s="131" t="s">
        <v>1224</v>
      </c>
      <c r="G1209" s="305" t="s">
        <v>27</v>
      </c>
      <c r="H1209" s="126">
        <v>211170.96</v>
      </c>
      <c r="I1209" s="131">
        <v>7710010050</v>
      </c>
      <c r="J1209" s="131" t="str">
        <f t="shared" si="81"/>
        <v>7710010050</v>
      </c>
      <c r="K1209" s="304" t="str">
        <f t="shared" si="80"/>
        <v>60901137710010050129</v>
      </c>
      <c r="L1209" s="17"/>
      <c r="M1209" s="16"/>
    </row>
    <row r="1210" spans="1:13" s="13" customFormat="1" ht="15.75">
      <c r="A1210" s="1"/>
      <c r="B1210" s="117" t="s">
        <v>569</v>
      </c>
      <c r="C1210" s="118" t="s">
        <v>595</v>
      </c>
      <c r="D1210" s="119" t="s">
        <v>238</v>
      </c>
      <c r="E1210" s="119" t="s">
        <v>7</v>
      </c>
      <c r="F1210" s="119" t="s">
        <v>8</v>
      </c>
      <c r="G1210" s="119" t="s">
        <v>9</v>
      </c>
      <c r="H1210" s="120">
        <v>2226457.1</v>
      </c>
      <c r="I1210" s="119">
        <v>0</v>
      </c>
      <c r="J1210" s="119" t="str">
        <f t="shared" si="81"/>
        <v>0000000000</v>
      </c>
      <c r="K1210" s="304" t="str">
        <f t="shared" si="80"/>
        <v>60908000000000000000</v>
      </c>
      <c r="L1210" s="17" t="str">
        <f>INDEX('реш СГД № 265'!$A:$N,MATCH('БА расх 2018 31 12 2018'!$K1210,'реш СГД № 265'!$N:$N,0),3)</f>
        <v>Культура, кинематография</v>
      </c>
      <c r="M1210" s="16">
        <f t="shared" si="82"/>
        <v>1</v>
      </c>
    </row>
    <row r="1211" spans="1:13" s="13" customFormat="1" ht="15.75">
      <c r="A1211" s="1"/>
      <c r="B1211" s="121" t="s">
        <v>239</v>
      </c>
      <c r="C1211" s="122" t="s">
        <v>595</v>
      </c>
      <c r="D1211" s="123" t="s">
        <v>238</v>
      </c>
      <c r="E1211" s="123" t="s">
        <v>11</v>
      </c>
      <c r="F1211" s="123" t="s">
        <v>8</v>
      </c>
      <c r="G1211" s="123" t="s">
        <v>9</v>
      </c>
      <c r="H1211" s="124">
        <v>2226457.1</v>
      </c>
      <c r="I1211" s="123">
        <v>0</v>
      </c>
      <c r="J1211" s="123" t="str">
        <f t="shared" si="81"/>
        <v>0000000000</v>
      </c>
      <c r="K1211" s="304" t="str">
        <f t="shared" si="80"/>
        <v>60908010000000000000</v>
      </c>
      <c r="L1211" s="17" t="str">
        <f>INDEX('реш СГД № 265'!$A:$N,MATCH('БА расх 2018 31 12 2018'!$K1211,'реш СГД № 265'!$N:$N,0),3)</f>
        <v>Культура</v>
      </c>
      <c r="M1211" s="16">
        <f t="shared" si="82"/>
        <v>1</v>
      </c>
    </row>
    <row r="1212" spans="1:13" s="13" customFormat="1" ht="15.75">
      <c r="A1212" s="1"/>
      <c r="B1212" s="125" t="s">
        <v>240</v>
      </c>
      <c r="C1212" s="109" t="s">
        <v>595</v>
      </c>
      <c r="D1212" s="108" t="s">
        <v>238</v>
      </c>
      <c r="E1212" s="108" t="s">
        <v>11</v>
      </c>
      <c r="F1212" s="131" t="s">
        <v>241</v>
      </c>
      <c r="G1212" s="108" t="s">
        <v>9</v>
      </c>
      <c r="H1212" s="126">
        <v>2226457.1</v>
      </c>
      <c r="I1212" s="131">
        <v>700000000</v>
      </c>
      <c r="J1212" s="131" t="str">
        <f t="shared" si="81"/>
        <v>0700000000</v>
      </c>
      <c r="K1212" s="304" t="str">
        <f t="shared" si="80"/>
        <v>60908010700000000000</v>
      </c>
      <c r="L1212" s="17" t="str">
        <f>INDEX('реш СГД № 265'!$A:$N,MATCH('БА расх 2018 31 12 2018'!$K1212,'реш СГД № 265'!$N:$N,0),3)</f>
        <v>Муниципальная программа «Культура города Ставрополя»</v>
      </c>
      <c r="M1212" s="16">
        <f t="shared" si="82"/>
        <v>1</v>
      </c>
    </row>
    <row r="1213" spans="1:13" s="13" customFormat="1" ht="63">
      <c r="A1213" s="1"/>
      <c r="B1213" s="125" t="s">
        <v>384</v>
      </c>
      <c r="C1213" s="109" t="s">
        <v>595</v>
      </c>
      <c r="D1213" s="108" t="s">
        <v>238</v>
      </c>
      <c r="E1213" s="108" t="s">
        <v>11</v>
      </c>
      <c r="F1213" s="131" t="s">
        <v>243</v>
      </c>
      <c r="G1213" s="108" t="s">
        <v>9</v>
      </c>
      <c r="H1213" s="126">
        <v>2226457.1</v>
      </c>
      <c r="I1213" s="131">
        <v>710000000</v>
      </c>
      <c r="J1213" s="131" t="str">
        <f t="shared" si="81"/>
        <v>0710000000</v>
      </c>
      <c r="K1213" s="304" t="str">
        <f t="shared" si="80"/>
        <v>60908010710000000000</v>
      </c>
      <c r="L1213" s="17" t="str">
        <f>INDEX('реш СГД № 265'!$A:$N,MATCH('БА расх 2018 31 12 2018'!$K1213,'реш СГД № 265'!$N:$N,0),3)</f>
        <v>Подпрограмма «Проведение городских и краевых культурно-массовых мероприятий, посвященных памятным, знаменательным и юбилейным датам в истории России, Ставропольского края, города Ставрополя»</v>
      </c>
      <c r="M1213" s="16">
        <f t="shared" si="82"/>
        <v>1</v>
      </c>
    </row>
    <row r="1214" spans="1:13" s="13" customFormat="1" ht="94.5">
      <c r="A1214" s="1"/>
      <c r="B1214" s="125" t="s">
        <v>244</v>
      </c>
      <c r="C1214" s="109" t="s">
        <v>595</v>
      </c>
      <c r="D1214" s="108" t="s">
        <v>238</v>
      </c>
      <c r="E1214" s="108" t="s">
        <v>11</v>
      </c>
      <c r="F1214" s="131" t="s">
        <v>245</v>
      </c>
      <c r="G1214" s="108" t="s">
        <v>9</v>
      </c>
      <c r="H1214" s="126">
        <v>2226457.1</v>
      </c>
      <c r="I1214" s="131">
        <v>710100000</v>
      </c>
      <c r="J1214" s="131" t="str">
        <f t="shared" si="81"/>
        <v>0710100000</v>
      </c>
      <c r="K1214" s="304" t="str">
        <f t="shared" si="80"/>
        <v>60908010710100000000</v>
      </c>
      <c r="L1214" s="17" t="str">
        <f>INDEX('реш СГД № 265'!$A:$N,MATCH('БА расх 2018 31 12 2018'!$K1214,'реш СГД № 265'!$N:$N,0),3)</f>
        <v>Основное мероприятие «Обеспечение доступности к культурным ценностям и права на участие в культурной жизни для всех групп населения города Ставрополя, популяризация объектов культурного наследия города Ставрополя, формирование имиджа города Ставрополя как культурного центра Ставропольского края»</v>
      </c>
      <c r="M1214" s="16">
        <f t="shared" si="82"/>
        <v>1</v>
      </c>
    </row>
    <row r="1215" spans="1:13" s="13" customFormat="1" ht="31.5">
      <c r="A1215" s="1"/>
      <c r="B1215" s="125" t="s">
        <v>246</v>
      </c>
      <c r="C1215" s="109" t="s">
        <v>595</v>
      </c>
      <c r="D1215" s="108" t="s">
        <v>238</v>
      </c>
      <c r="E1215" s="108" t="s">
        <v>11</v>
      </c>
      <c r="F1215" s="131" t="s">
        <v>247</v>
      </c>
      <c r="G1215" s="108" t="s">
        <v>9</v>
      </c>
      <c r="H1215" s="126">
        <v>2226457.1</v>
      </c>
      <c r="I1215" s="131">
        <v>710120060</v>
      </c>
      <c r="J1215" s="131" t="str">
        <f t="shared" si="81"/>
        <v>0710120060</v>
      </c>
      <c r="K1215" s="304" t="str">
        <f t="shared" si="80"/>
        <v>60908010710120060000</v>
      </c>
      <c r="L1215" s="17" t="str">
        <f>INDEX('реш СГД № 265'!$A:$N,MATCH('БА расх 2018 31 12 2018'!$K1215,'реш СГД № 265'!$N:$N,0),3)</f>
        <v>Расходы на проведение культурно-массовых мероприятий в городе Ставрополе</v>
      </c>
      <c r="M1215" s="16">
        <f t="shared" si="82"/>
        <v>1</v>
      </c>
    </row>
    <row r="1216" spans="1:13" s="13" customFormat="1" ht="31.5">
      <c r="A1216" s="1"/>
      <c r="B1216" s="127" t="s">
        <v>28</v>
      </c>
      <c r="C1216" s="109" t="s">
        <v>595</v>
      </c>
      <c r="D1216" s="108" t="s">
        <v>238</v>
      </c>
      <c r="E1216" s="108" t="s">
        <v>11</v>
      </c>
      <c r="F1216" s="131" t="s">
        <v>247</v>
      </c>
      <c r="G1216" s="108" t="s">
        <v>29</v>
      </c>
      <c r="H1216" s="126">
        <v>2226457.1</v>
      </c>
      <c r="I1216" s="131">
        <v>710120060</v>
      </c>
      <c r="J1216" s="131" t="str">
        <f t="shared" si="81"/>
        <v>0710120060</v>
      </c>
      <c r="K1216" s="304" t="str">
        <f t="shared" si="80"/>
        <v>60908010710120060240</v>
      </c>
      <c r="L1216" s="17" t="str">
        <f>INDEX('реш СГД № 265'!$A:$N,MATCH('БА расх 2018 31 12 2018'!$K1216,'реш СГД № 265'!$N:$N,0),3)</f>
        <v>Иные закупки товаров, работ и услуг для обеспечения государственных (муниципальных) нужд</v>
      </c>
      <c r="M1216" s="16">
        <f t="shared" si="82"/>
        <v>1</v>
      </c>
    </row>
    <row r="1217" spans="1:13" s="13" customFormat="1" ht="15.75">
      <c r="A1217" s="1"/>
      <c r="B1217" s="125" t="s">
        <v>30</v>
      </c>
      <c r="C1217" s="109" t="s">
        <v>595</v>
      </c>
      <c r="D1217" s="108" t="s">
        <v>238</v>
      </c>
      <c r="E1217" s="108" t="s">
        <v>11</v>
      </c>
      <c r="F1217" s="131" t="s">
        <v>247</v>
      </c>
      <c r="G1217" s="108" t="s">
        <v>31</v>
      </c>
      <c r="H1217" s="126">
        <v>2226457.1</v>
      </c>
      <c r="I1217" s="131">
        <v>710120060</v>
      </c>
      <c r="J1217" s="131" t="str">
        <f t="shared" si="81"/>
        <v>0710120060</v>
      </c>
      <c r="K1217" s="304" t="str">
        <f t="shared" si="80"/>
        <v>60908010710120060244</v>
      </c>
      <c r="L1217" s="17"/>
      <c r="M1217" s="16"/>
    </row>
    <row r="1218" spans="1:13" s="17" customFormat="1" ht="15.75">
      <c r="A1218" s="14"/>
      <c r="B1218" s="117" t="s">
        <v>316</v>
      </c>
      <c r="C1218" s="118" t="s">
        <v>595</v>
      </c>
      <c r="D1218" s="119" t="s">
        <v>317</v>
      </c>
      <c r="E1218" s="119" t="s">
        <v>7</v>
      </c>
      <c r="F1218" s="119" t="s">
        <v>8</v>
      </c>
      <c r="G1218" s="119" t="s">
        <v>9</v>
      </c>
      <c r="H1218" s="120">
        <v>1968172008.46</v>
      </c>
      <c r="I1218" s="119">
        <v>0</v>
      </c>
      <c r="J1218" s="119" t="str">
        <f t="shared" si="81"/>
        <v>0000000000</v>
      </c>
      <c r="K1218" s="304" t="str">
        <f t="shared" si="80"/>
        <v>60910000000000000000</v>
      </c>
      <c r="L1218" s="17" t="str">
        <f>INDEX('реш СГД № 265'!$A:$N,MATCH('БА расх 2018 31 12 2018'!$K1218,'реш СГД № 265'!$N:$N,0),3)</f>
        <v>Социальная политика</v>
      </c>
      <c r="M1218" s="16">
        <f t="shared" si="82"/>
        <v>1</v>
      </c>
    </row>
    <row r="1219" spans="1:13" s="17" customFormat="1" ht="15.75">
      <c r="A1219" s="14"/>
      <c r="B1219" s="121" t="s">
        <v>318</v>
      </c>
      <c r="C1219" s="122" t="s">
        <v>595</v>
      </c>
      <c r="D1219" s="123" t="s">
        <v>317</v>
      </c>
      <c r="E1219" s="123" t="s">
        <v>13</v>
      </c>
      <c r="F1219" s="123" t="s">
        <v>8</v>
      </c>
      <c r="G1219" s="123" t="s">
        <v>9</v>
      </c>
      <c r="H1219" s="124">
        <v>1649879317.28</v>
      </c>
      <c r="I1219" s="123">
        <v>0</v>
      </c>
      <c r="J1219" s="123" t="str">
        <f t="shared" si="81"/>
        <v>0000000000</v>
      </c>
      <c r="K1219" s="304" t="str">
        <f t="shared" si="80"/>
        <v>60910030000000000000</v>
      </c>
      <c r="L1219" s="17" t="str">
        <f>INDEX('реш СГД № 265'!$A:$N,MATCH('БА расх 2018 31 12 2018'!$K1219,'реш СГД № 265'!$N:$N,0),3)</f>
        <v>Социальное обеспечение населения</v>
      </c>
      <c r="M1219" s="16">
        <f t="shared" si="82"/>
        <v>1</v>
      </c>
    </row>
    <row r="1220" spans="1:13" s="17" customFormat="1" ht="31.5">
      <c r="A1220" s="14"/>
      <c r="B1220" s="135" t="s">
        <v>385</v>
      </c>
      <c r="C1220" s="109" t="s">
        <v>595</v>
      </c>
      <c r="D1220" s="108" t="s">
        <v>317</v>
      </c>
      <c r="E1220" s="108" t="s">
        <v>13</v>
      </c>
      <c r="F1220" s="108" t="s">
        <v>386</v>
      </c>
      <c r="G1220" s="108" t="s">
        <v>9</v>
      </c>
      <c r="H1220" s="126">
        <v>1649879317.28</v>
      </c>
      <c r="I1220" s="108">
        <v>300000000</v>
      </c>
      <c r="J1220" s="108" t="str">
        <f t="shared" si="81"/>
        <v>0300000000</v>
      </c>
      <c r="K1220" s="304" t="str">
        <f t="shared" si="80"/>
        <v>60910030300000000000</v>
      </c>
      <c r="L1220" s="17" t="str">
        <f>INDEX('реш СГД № 265'!$A:$N,MATCH('БА расх 2018 31 12 2018'!$K1220,'реш СГД № 265'!$N:$N,0),3)</f>
        <v>Муниципальная программа «Социальная поддержка населения города Ставрополя»</v>
      </c>
      <c r="M1220" s="16">
        <f t="shared" si="82"/>
        <v>1</v>
      </c>
    </row>
    <row r="1221" spans="1:13" s="17" customFormat="1" ht="47.25">
      <c r="A1221" s="14"/>
      <c r="B1221" s="147" t="s">
        <v>596</v>
      </c>
      <c r="C1221" s="109" t="s">
        <v>595</v>
      </c>
      <c r="D1221" s="108" t="s">
        <v>317</v>
      </c>
      <c r="E1221" s="108" t="s">
        <v>13</v>
      </c>
      <c r="F1221" s="108" t="s">
        <v>597</v>
      </c>
      <c r="G1221" s="108" t="s">
        <v>9</v>
      </c>
      <c r="H1221" s="126">
        <v>1628527317.1400001</v>
      </c>
      <c r="I1221" s="108">
        <v>310000000</v>
      </c>
      <c r="J1221" s="108" t="str">
        <f t="shared" si="81"/>
        <v>0310000000</v>
      </c>
      <c r="K1221" s="304" t="str">
        <f t="shared" si="80"/>
        <v>60910030310000000000</v>
      </c>
      <c r="L1221" s="17" t="str">
        <f>INDEX('реш СГД № 265'!$A:$N,MATCH('БА расх 2018 31 12 2018'!$K1221,'реш СГД № 265'!$N:$N,0),3)</f>
        <v>Подпрограмма «Осуществление отдельных государственных полномочий в области социальной поддержки отдельных категорий граждан»</v>
      </c>
      <c r="M1221" s="16">
        <f t="shared" si="82"/>
        <v>1</v>
      </c>
    </row>
    <row r="1222" spans="1:13" s="17" customFormat="1" ht="31.5">
      <c r="A1222" s="14" t="s">
        <v>598</v>
      </c>
      <c r="B1222" s="148" t="s">
        <v>599</v>
      </c>
      <c r="C1222" s="109" t="s">
        <v>595</v>
      </c>
      <c r="D1222" s="108" t="s">
        <v>317</v>
      </c>
      <c r="E1222" s="108" t="s">
        <v>13</v>
      </c>
      <c r="F1222" s="108" t="s">
        <v>600</v>
      </c>
      <c r="G1222" s="108" t="s">
        <v>9</v>
      </c>
      <c r="H1222" s="126">
        <v>1395972935.1400001</v>
      </c>
      <c r="I1222" s="108">
        <v>310100000</v>
      </c>
      <c r="J1222" s="108" t="str">
        <f t="shared" si="81"/>
        <v>0310100000</v>
      </c>
      <c r="K1222" s="304" t="str">
        <f t="shared" si="80"/>
        <v>60910030310100000000</v>
      </c>
      <c r="L1222" s="17" t="str">
        <f>INDEX('реш СГД № 265'!$A:$N,MATCH('БА расх 2018 31 12 2018'!$K1222,'реш СГД № 265'!$N:$N,0),3)</f>
        <v>Основное мероприятие «Предоставление мер социальной поддержки отдельным категориям граждан»</v>
      </c>
      <c r="M1222" s="16">
        <f t="shared" si="82"/>
        <v>1</v>
      </c>
    </row>
    <row r="1223" spans="1:13" s="17" customFormat="1" ht="31.5">
      <c r="A1223" s="14"/>
      <c r="B1223" s="135" t="s">
        <v>601</v>
      </c>
      <c r="C1223" s="109" t="s">
        <v>595</v>
      </c>
      <c r="D1223" s="108" t="s">
        <v>317</v>
      </c>
      <c r="E1223" s="108" t="s">
        <v>13</v>
      </c>
      <c r="F1223" s="108" t="s">
        <v>602</v>
      </c>
      <c r="G1223" s="108" t="s">
        <v>9</v>
      </c>
      <c r="H1223" s="126">
        <v>17457418.400000002</v>
      </c>
      <c r="I1223" s="108">
        <v>310152200</v>
      </c>
      <c r="J1223" s="108" t="str">
        <f t="shared" si="81"/>
        <v>0310152200</v>
      </c>
      <c r="K1223" s="304" t="str">
        <f t="shared" si="80"/>
        <v>60910030310152200000</v>
      </c>
      <c r="L1223" s="17" t="str">
        <f>INDEX('реш СГД № 265'!$A:$N,MATCH('БА расх 2018 31 12 2018'!$K1223,'реш СГД № 265'!$N:$N,0),3)</f>
        <v>Ежегодная денежная выплата лицам, награжденным нагрудным знаком «Почетный донор России»</v>
      </c>
      <c r="M1223" s="16">
        <f t="shared" si="82"/>
        <v>1</v>
      </c>
    </row>
    <row r="1224" spans="1:13" s="17" customFormat="1" ht="31.5">
      <c r="A1224" s="14"/>
      <c r="B1224" s="125" t="s">
        <v>28</v>
      </c>
      <c r="C1224" s="109" t="s">
        <v>595</v>
      </c>
      <c r="D1224" s="108" t="s">
        <v>317</v>
      </c>
      <c r="E1224" s="108" t="s">
        <v>13</v>
      </c>
      <c r="F1224" s="108" t="s">
        <v>602</v>
      </c>
      <c r="G1224" s="108" t="s">
        <v>29</v>
      </c>
      <c r="H1224" s="126">
        <v>257991.37</v>
      </c>
      <c r="I1224" s="108">
        <v>310152200</v>
      </c>
      <c r="J1224" s="108" t="str">
        <f t="shared" si="81"/>
        <v>0310152200</v>
      </c>
      <c r="K1224" s="304" t="str">
        <f t="shared" si="80"/>
        <v>60910030310152200240</v>
      </c>
      <c r="L1224" s="17" t="str">
        <f>INDEX('реш СГД № 265'!$A:$N,MATCH('БА расх 2018 31 12 2018'!$K1224,'реш СГД № 265'!$N:$N,0),3)</f>
        <v>Иные закупки товаров, работ и услуг для обеспечения государственных (муниципальных) нужд</v>
      </c>
      <c r="M1224" s="16">
        <f t="shared" si="82"/>
        <v>1</v>
      </c>
    </row>
    <row r="1225" spans="1:13" s="17" customFormat="1" ht="15.75">
      <c r="A1225" s="14"/>
      <c r="B1225" s="125" t="s">
        <v>30</v>
      </c>
      <c r="C1225" s="109" t="s">
        <v>595</v>
      </c>
      <c r="D1225" s="108" t="s">
        <v>317</v>
      </c>
      <c r="E1225" s="108" t="s">
        <v>13</v>
      </c>
      <c r="F1225" s="108" t="s">
        <v>602</v>
      </c>
      <c r="G1225" s="108" t="s">
        <v>31</v>
      </c>
      <c r="H1225" s="126">
        <v>257991.37</v>
      </c>
      <c r="I1225" s="108">
        <v>310152200</v>
      </c>
      <c r="J1225" s="108" t="str">
        <f t="shared" si="81"/>
        <v>0310152200</v>
      </c>
      <c r="K1225" s="304" t="str">
        <f t="shared" si="80"/>
        <v>60910030310152200244</v>
      </c>
      <c r="M1225" s="16"/>
    </row>
    <row r="1226" spans="1:13" s="17" customFormat="1" ht="15.75">
      <c r="A1226" s="14"/>
      <c r="B1226" s="132" t="s">
        <v>493</v>
      </c>
      <c r="C1226" s="109" t="s">
        <v>595</v>
      </c>
      <c r="D1226" s="108" t="s">
        <v>317</v>
      </c>
      <c r="E1226" s="108" t="s">
        <v>13</v>
      </c>
      <c r="F1226" s="108" t="s">
        <v>602</v>
      </c>
      <c r="G1226" s="108" t="s">
        <v>494</v>
      </c>
      <c r="H1226" s="126">
        <v>17199427.030000001</v>
      </c>
      <c r="I1226" s="108">
        <v>310152200</v>
      </c>
      <c r="J1226" s="108" t="str">
        <f t="shared" si="81"/>
        <v>0310152200</v>
      </c>
      <c r="K1226" s="304" t="str">
        <f t="shared" si="80"/>
        <v>60910030310152200310</v>
      </c>
      <c r="L1226" s="17" t="str">
        <f>INDEX('реш СГД № 265'!$A:$N,MATCH('БА расх 2018 31 12 2018'!$K1226,'реш СГД № 265'!$N:$N,0),3)</f>
        <v>Публичные нормативные социальные выплаты гражданам</v>
      </c>
      <c r="M1226" s="16">
        <f t="shared" si="82"/>
        <v>1</v>
      </c>
    </row>
    <row r="1227" spans="1:13" s="24" customFormat="1" ht="31.5">
      <c r="A1227" s="21"/>
      <c r="B1227" s="127" t="s">
        <v>495</v>
      </c>
      <c r="C1227" s="109" t="s">
        <v>595</v>
      </c>
      <c r="D1227" s="108" t="s">
        <v>317</v>
      </c>
      <c r="E1227" s="108" t="s">
        <v>13</v>
      </c>
      <c r="F1227" s="108" t="s">
        <v>602</v>
      </c>
      <c r="G1227" s="108" t="s">
        <v>496</v>
      </c>
      <c r="H1227" s="126">
        <v>17199427.030000001</v>
      </c>
      <c r="I1227" s="108">
        <v>310152200</v>
      </c>
      <c r="J1227" s="108" t="str">
        <f t="shared" si="81"/>
        <v>0310152200</v>
      </c>
      <c r="K1227" s="304" t="str">
        <f t="shared" si="80"/>
        <v>60910030310152200313</v>
      </c>
      <c r="L1227" s="17"/>
      <c r="M1227" s="16"/>
    </row>
    <row r="1228" spans="1:13" s="17" customFormat="1" ht="31.5">
      <c r="A1228" s="14"/>
      <c r="B1228" s="135" t="s">
        <v>603</v>
      </c>
      <c r="C1228" s="109" t="s">
        <v>595</v>
      </c>
      <c r="D1228" s="108" t="s">
        <v>317</v>
      </c>
      <c r="E1228" s="108" t="s">
        <v>13</v>
      </c>
      <c r="F1228" s="108" t="s">
        <v>604</v>
      </c>
      <c r="G1228" s="108" t="s">
        <v>9</v>
      </c>
      <c r="H1228" s="126">
        <v>384224576.75999999</v>
      </c>
      <c r="I1228" s="108">
        <v>310152500</v>
      </c>
      <c r="J1228" s="108" t="str">
        <f t="shared" si="81"/>
        <v>0310152500</v>
      </c>
      <c r="K1228" s="304" t="str">
        <f t="shared" si="80"/>
        <v>60910030310152500000</v>
      </c>
      <c r="L1228" s="17" t="str">
        <f>INDEX('реш СГД № 265'!$A:$N,MATCH('БА расх 2018 31 12 2018'!$K1228,'реш СГД № 265'!$N:$N,0),3)</f>
        <v xml:space="preserve">Выплата компенсации расходов на оплату жилых помещений и коммунальных услуг отдельным категориям граждан </v>
      </c>
      <c r="M1228" s="16">
        <f t="shared" si="82"/>
        <v>1</v>
      </c>
    </row>
    <row r="1229" spans="1:13" s="17" customFormat="1" ht="31.5">
      <c r="A1229" s="14"/>
      <c r="B1229" s="125" t="s">
        <v>28</v>
      </c>
      <c r="C1229" s="109" t="s">
        <v>595</v>
      </c>
      <c r="D1229" s="108" t="s">
        <v>317</v>
      </c>
      <c r="E1229" s="108" t="s">
        <v>13</v>
      </c>
      <c r="F1229" s="108" t="s">
        <v>604</v>
      </c>
      <c r="G1229" s="108" t="s">
        <v>29</v>
      </c>
      <c r="H1229" s="126">
        <v>2254131.7599999998</v>
      </c>
      <c r="I1229" s="108">
        <v>310152500</v>
      </c>
      <c r="J1229" s="108" t="str">
        <f t="shared" si="81"/>
        <v>0310152500</v>
      </c>
      <c r="K1229" s="304" t="str">
        <f t="shared" si="80"/>
        <v>60910030310152500240</v>
      </c>
      <c r="L1229" s="17" t="str">
        <f>INDEX('реш СГД № 265'!$A:$N,MATCH('БА расх 2018 31 12 2018'!$K1229,'реш СГД № 265'!$N:$N,0),3)</f>
        <v>Иные закупки товаров, работ и услуг для обеспечения государственных (муниципальных) нужд</v>
      </c>
      <c r="M1229" s="16">
        <f t="shared" si="82"/>
        <v>1</v>
      </c>
    </row>
    <row r="1230" spans="1:13" s="17" customFormat="1" ht="15.75">
      <c r="A1230" s="14"/>
      <c r="B1230" s="125" t="s">
        <v>30</v>
      </c>
      <c r="C1230" s="109" t="s">
        <v>595</v>
      </c>
      <c r="D1230" s="108" t="s">
        <v>317</v>
      </c>
      <c r="E1230" s="108" t="s">
        <v>13</v>
      </c>
      <c r="F1230" s="108" t="s">
        <v>604</v>
      </c>
      <c r="G1230" s="108" t="s">
        <v>31</v>
      </c>
      <c r="H1230" s="126">
        <v>2254131.7599999998</v>
      </c>
      <c r="I1230" s="108">
        <v>310152500</v>
      </c>
      <c r="J1230" s="108" t="str">
        <f t="shared" si="81"/>
        <v>0310152500</v>
      </c>
      <c r="K1230" s="304" t="str">
        <f t="shared" si="80"/>
        <v>60910030310152500244</v>
      </c>
      <c r="M1230" s="16"/>
    </row>
    <row r="1231" spans="1:13" s="17" customFormat="1" ht="15.75">
      <c r="A1231" s="14"/>
      <c r="B1231" s="132" t="s">
        <v>493</v>
      </c>
      <c r="C1231" s="109" t="s">
        <v>595</v>
      </c>
      <c r="D1231" s="108" t="s">
        <v>317</v>
      </c>
      <c r="E1231" s="108" t="s">
        <v>13</v>
      </c>
      <c r="F1231" s="108" t="s">
        <v>604</v>
      </c>
      <c r="G1231" s="108" t="s">
        <v>494</v>
      </c>
      <c r="H1231" s="126">
        <v>381970445</v>
      </c>
      <c r="I1231" s="108">
        <v>310152500</v>
      </c>
      <c r="J1231" s="108" t="str">
        <f t="shared" si="81"/>
        <v>0310152500</v>
      </c>
      <c r="K1231" s="304" t="str">
        <f t="shared" si="80"/>
        <v>60910030310152500310</v>
      </c>
      <c r="L1231" s="17" t="str">
        <f>INDEX('реш СГД № 265'!$A:$N,MATCH('БА расх 2018 31 12 2018'!$K1231,'реш СГД № 265'!$N:$N,0),3)</f>
        <v>Публичные нормативные социальные выплаты гражданам</v>
      </c>
      <c r="M1231" s="16">
        <f t="shared" si="82"/>
        <v>1</v>
      </c>
    </row>
    <row r="1232" spans="1:13" s="17" customFormat="1" ht="31.5">
      <c r="A1232" s="14"/>
      <c r="B1232" s="127" t="s">
        <v>495</v>
      </c>
      <c r="C1232" s="109" t="s">
        <v>595</v>
      </c>
      <c r="D1232" s="108" t="s">
        <v>317</v>
      </c>
      <c r="E1232" s="108" t="s">
        <v>13</v>
      </c>
      <c r="F1232" s="108" t="s">
        <v>604</v>
      </c>
      <c r="G1232" s="108" t="s">
        <v>496</v>
      </c>
      <c r="H1232" s="126">
        <v>381970445</v>
      </c>
      <c r="I1232" s="108">
        <v>310152500</v>
      </c>
      <c r="J1232" s="108" t="str">
        <f t="shared" si="81"/>
        <v>0310152500</v>
      </c>
      <c r="K1232" s="304" t="str">
        <f t="shared" si="80"/>
        <v>60910030310152500313</v>
      </c>
      <c r="M1232" s="16"/>
    </row>
    <row r="1233" spans="1:13" s="17" customFormat="1" ht="157.5">
      <c r="A1233" s="14"/>
      <c r="B1233" s="306" t="s">
        <v>605</v>
      </c>
      <c r="C1233" s="109" t="s">
        <v>595</v>
      </c>
      <c r="D1233" s="108" t="s">
        <v>317</v>
      </c>
      <c r="E1233" s="108" t="s">
        <v>13</v>
      </c>
      <c r="F1233" s="108" t="s">
        <v>606</v>
      </c>
      <c r="G1233" s="108" t="s">
        <v>9</v>
      </c>
      <c r="H1233" s="126">
        <v>107800</v>
      </c>
      <c r="I1233" s="108">
        <v>310152800</v>
      </c>
      <c r="J1233" s="108" t="str">
        <f t="shared" si="81"/>
        <v>0310152800</v>
      </c>
      <c r="K1233" s="304" t="str">
        <f t="shared" si="80"/>
        <v>60910030310152800000</v>
      </c>
      <c r="L1233" s="17" t="str">
        <f>INDEX('реш СГД № 265'!$A:$N,MATCH('БА расх 2018 31 12 2018'!$K1233,'реш СГД № 265'!$N:$N,0),3)</f>
        <v>Выплата компенсации страховых премий по договору обязательного страхования гражданской ответственности владельцев транспортных средств в соответствии с Федеральным законом от 25 апреля 2002 года № 40-ФЗ «Об обязательном страховании гражданской ответственности владельцев транспортных средств» инвалидам (в том числе детям-инвалидам), имеющим транспортные средства в соответствии с медицинскими показаниями, или их законным представителям за счет средств федерального бюджета</v>
      </c>
      <c r="M1233" s="16">
        <f t="shared" si="82"/>
        <v>1</v>
      </c>
    </row>
    <row r="1234" spans="1:13" s="17" customFormat="1" ht="31.5">
      <c r="A1234" s="14"/>
      <c r="B1234" s="125" t="s">
        <v>28</v>
      </c>
      <c r="C1234" s="109" t="s">
        <v>595</v>
      </c>
      <c r="D1234" s="108" t="s">
        <v>317</v>
      </c>
      <c r="E1234" s="108" t="s">
        <v>13</v>
      </c>
      <c r="F1234" s="108" t="s">
        <v>606</v>
      </c>
      <c r="G1234" s="108" t="s">
        <v>29</v>
      </c>
      <c r="H1234" s="126">
        <v>1433.29</v>
      </c>
      <c r="I1234" s="108">
        <v>310152800</v>
      </c>
      <c r="J1234" s="108" t="str">
        <f t="shared" si="81"/>
        <v>0310152800</v>
      </c>
      <c r="K1234" s="304" t="str">
        <f t="shared" si="80"/>
        <v>60910030310152800240</v>
      </c>
      <c r="L1234" s="17" t="str">
        <f>INDEX('реш СГД № 265'!$A:$N,MATCH('БА расх 2018 31 12 2018'!$K1234,'реш СГД № 265'!$N:$N,0),3)</f>
        <v>Иные закупки товаров, работ и услуг для обеспечения государственных (муниципальных) нужд</v>
      </c>
      <c r="M1234" s="16">
        <f t="shared" si="82"/>
        <v>1</v>
      </c>
    </row>
    <row r="1235" spans="1:13" s="17" customFormat="1" ht="15.75">
      <c r="A1235" s="14"/>
      <c r="B1235" s="125" t="s">
        <v>30</v>
      </c>
      <c r="C1235" s="109" t="s">
        <v>595</v>
      </c>
      <c r="D1235" s="108" t="s">
        <v>317</v>
      </c>
      <c r="E1235" s="108" t="s">
        <v>13</v>
      </c>
      <c r="F1235" s="108" t="s">
        <v>606</v>
      </c>
      <c r="G1235" s="108" t="s">
        <v>31</v>
      </c>
      <c r="H1235" s="126">
        <v>1433.29</v>
      </c>
      <c r="I1235" s="108">
        <v>310152800</v>
      </c>
      <c r="J1235" s="108" t="str">
        <f t="shared" si="81"/>
        <v>0310152800</v>
      </c>
      <c r="K1235" s="304" t="str">
        <f t="shared" si="80"/>
        <v>60910030310152800244</v>
      </c>
      <c r="M1235" s="16"/>
    </row>
    <row r="1236" spans="1:13" s="17" customFormat="1" ht="15.75">
      <c r="A1236" s="14"/>
      <c r="B1236" s="132" t="s">
        <v>493</v>
      </c>
      <c r="C1236" s="109" t="s">
        <v>595</v>
      </c>
      <c r="D1236" s="108" t="s">
        <v>317</v>
      </c>
      <c r="E1236" s="108" t="s">
        <v>13</v>
      </c>
      <c r="F1236" s="108" t="s">
        <v>606</v>
      </c>
      <c r="G1236" s="108" t="s">
        <v>494</v>
      </c>
      <c r="H1236" s="126">
        <v>106366.71</v>
      </c>
      <c r="I1236" s="108">
        <v>310152800</v>
      </c>
      <c r="J1236" s="108" t="str">
        <f t="shared" si="81"/>
        <v>0310152800</v>
      </c>
      <c r="K1236" s="304" t="str">
        <f t="shared" si="80"/>
        <v>60910030310152800310</v>
      </c>
      <c r="L1236" s="17" t="str">
        <f>INDEX('реш СГД № 265'!$A:$N,MATCH('БА расх 2018 31 12 2018'!$K1236,'реш СГД № 265'!$N:$N,0),3)</f>
        <v>Публичные нормативные социальные выплаты гражданам</v>
      </c>
      <c r="M1236" s="16">
        <f t="shared" si="82"/>
        <v>1</v>
      </c>
    </row>
    <row r="1237" spans="1:13" s="17" customFormat="1" ht="31.5">
      <c r="A1237" s="14"/>
      <c r="B1237" s="127" t="s">
        <v>495</v>
      </c>
      <c r="C1237" s="109" t="s">
        <v>595</v>
      </c>
      <c r="D1237" s="108" t="s">
        <v>317</v>
      </c>
      <c r="E1237" s="108" t="s">
        <v>13</v>
      </c>
      <c r="F1237" s="108" t="s">
        <v>606</v>
      </c>
      <c r="G1237" s="108" t="s">
        <v>496</v>
      </c>
      <c r="H1237" s="126">
        <v>106366.71</v>
      </c>
      <c r="I1237" s="108">
        <v>310152800</v>
      </c>
      <c r="J1237" s="108" t="str">
        <f t="shared" si="81"/>
        <v>0310152800</v>
      </c>
      <c r="K1237" s="304" t="str">
        <f t="shared" si="80"/>
        <v>60910030310152800313</v>
      </c>
      <c r="M1237" s="16"/>
    </row>
    <row r="1238" spans="1:13" s="17" customFormat="1" ht="31.5">
      <c r="A1238" s="14"/>
      <c r="B1238" s="149" t="s">
        <v>607</v>
      </c>
      <c r="C1238" s="109" t="s">
        <v>595</v>
      </c>
      <c r="D1238" s="108" t="s">
        <v>317</v>
      </c>
      <c r="E1238" s="108" t="s">
        <v>13</v>
      </c>
      <c r="F1238" s="108" t="s">
        <v>608</v>
      </c>
      <c r="G1238" s="108" t="s">
        <v>9</v>
      </c>
      <c r="H1238" s="126">
        <v>13120360</v>
      </c>
      <c r="I1238" s="108">
        <v>310176240</v>
      </c>
      <c r="J1238" s="108" t="str">
        <f t="shared" si="81"/>
        <v>0310176240</v>
      </c>
      <c r="K1238" s="304" t="str">
        <f t="shared" si="80"/>
        <v>60910030310176240000</v>
      </c>
      <c r="L1238" s="17" t="str">
        <f>INDEX('реш СГД № 265'!$A:$N,MATCH('БА расх 2018 31 12 2018'!$K1238,'реш СГД № 265'!$N:$N,0),3)</f>
        <v>Оказание государственной социальной помощи малоимущим семьям и малоимущим одиноко проживающим гражданам</v>
      </c>
      <c r="M1238" s="16">
        <f t="shared" si="82"/>
        <v>1</v>
      </c>
    </row>
    <row r="1239" spans="1:13" s="17" customFormat="1" ht="15.75">
      <c r="A1239" s="14"/>
      <c r="B1239" s="132" t="s">
        <v>493</v>
      </c>
      <c r="C1239" s="109" t="s">
        <v>595</v>
      </c>
      <c r="D1239" s="108" t="s">
        <v>317</v>
      </c>
      <c r="E1239" s="108" t="s">
        <v>13</v>
      </c>
      <c r="F1239" s="108" t="s">
        <v>608</v>
      </c>
      <c r="G1239" s="108" t="s">
        <v>494</v>
      </c>
      <c r="H1239" s="126">
        <v>13120360</v>
      </c>
      <c r="I1239" s="108">
        <v>310176240</v>
      </c>
      <c r="J1239" s="108" t="str">
        <f t="shared" si="81"/>
        <v>0310176240</v>
      </c>
      <c r="K1239" s="304" t="str">
        <f t="shared" si="80"/>
        <v>60910030310176240310</v>
      </c>
      <c r="L1239" s="17" t="str">
        <f>INDEX('реш СГД № 265'!$A:$N,MATCH('БА расх 2018 31 12 2018'!$K1239,'реш СГД № 265'!$N:$N,0),3)</f>
        <v>Публичные нормативные социальные выплаты гражданам</v>
      </c>
      <c r="M1239" s="16">
        <f t="shared" si="82"/>
        <v>1</v>
      </c>
    </row>
    <row r="1240" spans="1:13" s="17" customFormat="1" ht="31.5">
      <c r="A1240" s="14"/>
      <c r="B1240" s="127" t="s">
        <v>495</v>
      </c>
      <c r="C1240" s="109" t="s">
        <v>595</v>
      </c>
      <c r="D1240" s="108" t="s">
        <v>317</v>
      </c>
      <c r="E1240" s="108" t="s">
        <v>13</v>
      </c>
      <c r="F1240" s="108" t="s">
        <v>608</v>
      </c>
      <c r="G1240" s="108" t="s">
        <v>496</v>
      </c>
      <c r="H1240" s="126">
        <v>13120360</v>
      </c>
      <c r="I1240" s="108">
        <v>310176240</v>
      </c>
      <c r="J1240" s="108" t="str">
        <f t="shared" si="81"/>
        <v>0310176240</v>
      </c>
      <c r="K1240" s="304" t="str">
        <f t="shared" si="80"/>
        <v>60910030310176240313</v>
      </c>
      <c r="M1240" s="16"/>
    </row>
    <row r="1241" spans="1:13" s="17" customFormat="1" ht="15.75">
      <c r="A1241" s="14"/>
      <c r="B1241" s="148" t="s">
        <v>1225</v>
      </c>
      <c r="C1241" s="109" t="s">
        <v>595</v>
      </c>
      <c r="D1241" s="108" t="s">
        <v>317</v>
      </c>
      <c r="E1241" s="108" t="s">
        <v>13</v>
      </c>
      <c r="F1241" s="108" t="s">
        <v>1226</v>
      </c>
      <c r="G1241" s="108" t="s">
        <v>9</v>
      </c>
      <c r="H1241" s="126">
        <v>1810930.68</v>
      </c>
      <c r="I1241" s="108">
        <v>310176250</v>
      </c>
      <c r="J1241" s="108" t="str">
        <f t="shared" si="81"/>
        <v>0310176250</v>
      </c>
      <c r="K1241" s="304" t="str">
        <f t="shared" si="80"/>
        <v>60910030310176250000</v>
      </c>
      <c r="L1241" s="17" t="str">
        <f>INDEX('реш СГД № 265'!$A:$N,MATCH('БА расх 2018 31 12 2018'!$K1241,'реш СГД № 265'!$N:$N,0),3)</f>
        <v>Выплата социального пособия на погребение</v>
      </c>
      <c r="M1241" s="16">
        <f t="shared" si="82"/>
        <v>1</v>
      </c>
    </row>
    <row r="1242" spans="1:13" s="17" customFormat="1" ht="15.75">
      <c r="A1242" s="14"/>
      <c r="B1242" s="148" t="s">
        <v>493</v>
      </c>
      <c r="C1242" s="109" t="s">
        <v>595</v>
      </c>
      <c r="D1242" s="108" t="s">
        <v>317</v>
      </c>
      <c r="E1242" s="108" t="s">
        <v>13</v>
      </c>
      <c r="F1242" s="108" t="s">
        <v>1226</v>
      </c>
      <c r="G1242" s="108" t="s">
        <v>494</v>
      </c>
      <c r="H1242" s="126">
        <v>1810930.68</v>
      </c>
      <c r="I1242" s="108">
        <v>310176250</v>
      </c>
      <c r="J1242" s="108" t="str">
        <f t="shared" si="81"/>
        <v>0310176250</v>
      </c>
      <c r="K1242" s="304" t="str">
        <f t="shared" si="80"/>
        <v>60910030310176250310</v>
      </c>
      <c r="L1242" s="17" t="str">
        <f>INDEX('реш СГД № 265'!$A:$N,MATCH('БА расх 2018 31 12 2018'!$K1242,'реш СГД № 265'!$N:$N,0),3)</f>
        <v>Публичные нормативные социальные выплаты гражданам</v>
      </c>
      <c r="M1242" s="16">
        <f t="shared" si="82"/>
        <v>1</v>
      </c>
    </row>
    <row r="1243" spans="1:13" s="17" customFormat="1" ht="31.5">
      <c r="A1243" s="14"/>
      <c r="B1243" s="148" t="s">
        <v>495</v>
      </c>
      <c r="C1243" s="109" t="s">
        <v>595</v>
      </c>
      <c r="D1243" s="108" t="s">
        <v>317</v>
      </c>
      <c r="E1243" s="108" t="s">
        <v>13</v>
      </c>
      <c r="F1243" s="108" t="s">
        <v>1226</v>
      </c>
      <c r="G1243" s="108" t="s">
        <v>496</v>
      </c>
      <c r="H1243" s="126">
        <v>1810930.68</v>
      </c>
      <c r="I1243" s="108">
        <v>310176250</v>
      </c>
      <c r="J1243" s="108" t="str">
        <f t="shared" si="81"/>
        <v>0310176250</v>
      </c>
      <c r="K1243" s="304" t="str">
        <f t="shared" si="80"/>
        <v>60910030310176250313</v>
      </c>
      <c r="M1243" s="16"/>
    </row>
    <row r="1244" spans="1:13" s="17" customFormat="1" ht="47.25">
      <c r="A1244" s="14"/>
      <c r="B1244" s="132" t="s">
        <v>609</v>
      </c>
      <c r="C1244" s="109" t="s">
        <v>595</v>
      </c>
      <c r="D1244" s="108" t="s">
        <v>317</v>
      </c>
      <c r="E1244" s="108" t="s">
        <v>13</v>
      </c>
      <c r="F1244" s="108" t="s">
        <v>1164</v>
      </c>
      <c r="G1244" s="108" t="s">
        <v>9</v>
      </c>
      <c r="H1244" s="126">
        <v>1756418</v>
      </c>
      <c r="I1244" s="108">
        <v>310177220</v>
      </c>
      <c r="J1244" s="108" t="str">
        <f t="shared" si="81"/>
        <v>0310177220</v>
      </c>
      <c r="K1244" s="304" t="str">
        <f t="shared" si="80"/>
        <v>60910030310177220000</v>
      </c>
      <c r="L1244" s="17" t="str">
        <f>INDEX('реш СГД № 265'!$A:$N,MATCH('БА расх 2018 31 12 2018'!$K1244,'реш СГД № 265'!$N:$N,0),3)</f>
        <v>Компенсация отдельным категориям граждан оплаты взноса на капитальный ремонт общего имущества в многоквартирном доме за счет средств краевого бюджета</v>
      </c>
      <c r="M1244" s="16">
        <f t="shared" si="82"/>
        <v>1</v>
      </c>
    </row>
    <row r="1245" spans="1:13" s="17" customFormat="1" ht="31.5">
      <c r="A1245" s="14"/>
      <c r="B1245" s="132" t="s">
        <v>28</v>
      </c>
      <c r="C1245" s="109" t="s">
        <v>595</v>
      </c>
      <c r="D1245" s="108" t="s">
        <v>317</v>
      </c>
      <c r="E1245" s="108" t="s">
        <v>13</v>
      </c>
      <c r="F1245" s="108" t="s">
        <v>1164</v>
      </c>
      <c r="G1245" s="108" t="s">
        <v>29</v>
      </c>
      <c r="H1245" s="126">
        <v>54277.83</v>
      </c>
      <c r="I1245" s="108">
        <v>310177220</v>
      </c>
      <c r="J1245" s="108" t="str">
        <f t="shared" si="81"/>
        <v>0310177220</v>
      </c>
      <c r="K1245" s="304" t="str">
        <f t="shared" si="80"/>
        <v>60910030310177220240</v>
      </c>
      <c r="L1245" s="17" t="str">
        <f>INDEX('реш СГД № 265'!$A:$N,MATCH('БА расх 2018 31 12 2018'!$K1245,'реш СГД № 265'!$N:$N,0),3)</f>
        <v>Иные закупки товаров, работ и услуг для обеспечения государственных (муниципальных) нужд</v>
      </c>
      <c r="M1245" s="16">
        <f t="shared" si="82"/>
        <v>1</v>
      </c>
    </row>
    <row r="1246" spans="1:13" s="17" customFormat="1" ht="15.75">
      <c r="A1246" s="14"/>
      <c r="B1246" s="125" t="s">
        <v>30</v>
      </c>
      <c r="C1246" s="109" t="s">
        <v>595</v>
      </c>
      <c r="D1246" s="108" t="s">
        <v>317</v>
      </c>
      <c r="E1246" s="108" t="s">
        <v>13</v>
      </c>
      <c r="F1246" s="108" t="s">
        <v>1164</v>
      </c>
      <c r="G1246" s="108" t="s">
        <v>31</v>
      </c>
      <c r="H1246" s="126">
        <v>54277.83</v>
      </c>
      <c r="I1246" s="108">
        <v>310177220</v>
      </c>
      <c r="J1246" s="108" t="str">
        <f t="shared" si="81"/>
        <v>0310177220</v>
      </c>
      <c r="K1246" s="304" t="str">
        <f t="shared" si="80"/>
        <v>60910030310177220244</v>
      </c>
      <c r="M1246" s="16"/>
    </row>
    <row r="1247" spans="1:13" s="17" customFormat="1" ht="15.75">
      <c r="A1247" s="14"/>
      <c r="B1247" s="132" t="s">
        <v>493</v>
      </c>
      <c r="C1247" s="109" t="s">
        <v>595</v>
      </c>
      <c r="D1247" s="108" t="s">
        <v>317</v>
      </c>
      <c r="E1247" s="108" t="s">
        <v>13</v>
      </c>
      <c r="F1247" s="108" t="s">
        <v>1164</v>
      </c>
      <c r="G1247" s="108" t="s">
        <v>494</v>
      </c>
      <c r="H1247" s="126">
        <v>1702140.17</v>
      </c>
      <c r="I1247" s="108">
        <v>310177220</v>
      </c>
      <c r="J1247" s="108" t="str">
        <f t="shared" si="81"/>
        <v>0310177220</v>
      </c>
      <c r="K1247" s="304" t="str">
        <f t="shared" si="80"/>
        <v>60910030310177220310</v>
      </c>
      <c r="L1247" s="17" t="str">
        <f>INDEX('реш СГД № 265'!$A:$N,MATCH('БА расх 2018 31 12 2018'!$K1247,'реш СГД № 265'!$N:$N,0),3)</f>
        <v>Публичные нормативные социальные выплаты гражданам</v>
      </c>
      <c r="M1247" s="16">
        <f t="shared" si="82"/>
        <v>1</v>
      </c>
    </row>
    <row r="1248" spans="1:13" s="17" customFormat="1" ht="31.5">
      <c r="A1248" s="14"/>
      <c r="B1248" s="127" t="s">
        <v>495</v>
      </c>
      <c r="C1248" s="109" t="s">
        <v>595</v>
      </c>
      <c r="D1248" s="108" t="s">
        <v>317</v>
      </c>
      <c r="E1248" s="108" t="s">
        <v>13</v>
      </c>
      <c r="F1248" s="108" t="s">
        <v>1164</v>
      </c>
      <c r="G1248" s="108" t="s">
        <v>496</v>
      </c>
      <c r="H1248" s="126">
        <v>1702140.17</v>
      </c>
      <c r="I1248" s="108">
        <v>310177220</v>
      </c>
      <c r="J1248" s="108" t="str">
        <f t="shared" si="81"/>
        <v>0310177220</v>
      </c>
      <c r="K1248" s="304" t="str">
        <f t="shared" si="80"/>
        <v>60910030310177220313</v>
      </c>
      <c r="M1248" s="16"/>
    </row>
    <row r="1249" spans="1:13" s="17" customFormat="1" ht="110.25">
      <c r="A1249" s="14"/>
      <c r="B1249" s="149" t="s">
        <v>611</v>
      </c>
      <c r="C1249" s="109" t="s">
        <v>595</v>
      </c>
      <c r="D1249" s="108" t="s">
        <v>317</v>
      </c>
      <c r="E1249" s="108" t="s">
        <v>13</v>
      </c>
      <c r="F1249" s="108" t="s">
        <v>612</v>
      </c>
      <c r="G1249" s="108" t="s">
        <v>9</v>
      </c>
      <c r="H1249" s="126">
        <v>383287776.82999998</v>
      </c>
      <c r="I1249" s="108">
        <v>310178210</v>
      </c>
      <c r="J1249" s="108" t="str">
        <f t="shared" si="81"/>
        <v>0310178210</v>
      </c>
      <c r="K1249" s="304" t="str">
        <f t="shared" si="80"/>
        <v>60910030310178210000</v>
      </c>
      <c r="L1249" s="17" t="str">
        <f>INDEX('реш СГД № 265'!$A:$N,MATCH('БА расх 2018 31 12 2018'!$K1249,'реш СГД № 265'!$N:$N,0),3)</f>
        <v>Ежемесячные денежные выплаты ветеранам труда и лицам, проработавшим в тылу в период с 22 июня 1941 года по 9 мая 1945 года не менее шести месяцев, исключая период работы на временно оккупированных территориях СССР, либо награжденным орденами или медалями СССР за самоотверженный труд в период Великой Отечественной войны</v>
      </c>
      <c r="M1249" s="16">
        <f t="shared" si="82"/>
        <v>1</v>
      </c>
    </row>
    <row r="1250" spans="1:13" s="17" customFormat="1" ht="31.5">
      <c r="A1250" s="14"/>
      <c r="B1250" s="125" t="s">
        <v>28</v>
      </c>
      <c r="C1250" s="109" t="s">
        <v>595</v>
      </c>
      <c r="D1250" s="108" t="s">
        <v>317</v>
      </c>
      <c r="E1250" s="108" t="s">
        <v>13</v>
      </c>
      <c r="F1250" s="108" t="s">
        <v>612</v>
      </c>
      <c r="G1250" s="108" t="s">
        <v>29</v>
      </c>
      <c r="H1250" s="126">
        <v>5315035.58</v>
      </c>
      <c r="I1250" s="108">
        <v>310178210</v>
      </c>
      <c r="J1250" s="108" t="str">
        <f t="shared" si="81"/>
        <v>0310178210</v>
      </c>
      <c r="K1250" s="304" t="str">
        <f t="shared" si="80"/>
        <v>60910030310178210240</v>
      </c>
      <c r="L1250" s="17" t="str">
        <f>INDEX('реш СГД № 265'!$A:$N,MATCH('БА расх 2018 31 12 2018'!$K1250,'реш СГД № 265'!$N:$N,0),3)</f>
        <v>Иные закупки товаров, работ и услуг для обеспечения государственных (муниципальных) нужд</v>
      </c>
      <c r="M1250" s="16">
        <f t="shared" si="82"/>
        <v>1</v>
      </c>
    </row>
    <row r="1251" spans="1:13" s="17" customFormat="1" ht="15.75">
      <c r="A1251" s="14"/>
      <c r="B1251" s="125" t="s">
        <v>30</v>
      </c>
      <c r="C1251" s="109" t="s">
        <v>595</v>
      </c>
      <c r="D1251" s="108" t="s">
        <v>317</v>
      </c>
      <c r="E1251" s="108" t="s">
        <v>13</v>
      </c>
      <c r="F1251" s="108" t="s">
        <v>612</v>
      </c>
      <c r="G1251" s="108" t="s">
        <v>31</v>
      </c>
      <c r="H1251" s="126">
        <v>5315035.58</v>
      </c>
      <c r="I1251" s="108">
        <v>310178210</v>
      </c>
      <c r="J1251" s="108" t="str">
        <f t="shared" si="81"/>
        <v>0310178210</v>
      </c>
      <c r="K1251" s="304" t="str">
        <f t="shared" si="80"/>
        <v>60910030310178210244</v>
      </c>
      <c r="M1251" s="16"/>
    </row>
    <row r="1252" spans="1:13" s="17" customFormat="1" ht="15.75">
      <c r="A1252" s="14"/>
      <c r="B1252" s="132" t="s">
        <v>493</v>
      </c>
      <c r="C1252" s="109" t="s">
        <v>595</v>
      </c>
      <c r="D1252" s="108" t="s">
        <v>317</v>
      </c>
      <c r="E1252" s="108" t="s">
        <v>13</v>
      </c>
      <c r="F1252" s="108" t="s">
        <v>612</v>
      </c>
      <c r="G1252" s="108" t="s">
        <v>494</v>
      </c>
      <c r="H1252" s="126">
        <v>377972741.25</v>
      </c>
      <c r="I1252" s="108">
        <v>310178210</v>
      </c>
      <c r="J1252" s="108" t="str">
        <f t="shared" si="81"/>
        <v>0310178210</v>
      </c>
      <c r="K1252" s="304" t="str">
        <f t="shared" si="80"/>
        <v>60910030310178210310</v>
      </c>
      <c r="L1252" s="17" t="str">
        <f>INDEX('реш СГД № 265'!$A:$N,MATCH('БА расх 2018 31 12 2018'!$K1252,'реш СГД № 265'!$N:$N,0),3)</f>
        <v>Публичные нормативные социальные выплаты гражданам</v>
      </c>
      <c r="M1252" s="16">
        <f t="shared" si="82"/>
        <v>1</v>
      </c>
    </row>
    <row r="1253" spans="1:13" s="17" customFormat="1" ht="31.5">
      <c r="A1253" s="14"/>
      <c r="B1253" s="127" t="s">
        <v>495</v>
      </c>
      <c r="C1253" s="109" t="s">
        <v>595</v>
      </c>
      <c r="D1253" s="108" t="s">
        <v>317</v>
      </c>
      <c r="E1253" s="108" t="s">
        <v>13</v>
      </c>
      <c r="F1253" s="108" t="s">
        <v>612</v>
      </c>
      <c r="G1253" s="108" t="s">
        <v>496</v>
      </c>
      <c r="H1253" s="126">
        <v>377972741.25</v>
      </c>
      <c r="I1253" s="108">
        <v>310178210</v>
      </c>
      <c r="J1253" s="108" t="str">
        <f t="shared" si="81"/>
        <v>0310178210</v>
      </c>
      <c r="K1253" s="304" t="str">
        <f t="shared" si="80"/>
        <v>60910030310178210313</v>
      </c>
      <c r="M1253" s="16"/>
    </row>
    <row r="1254" spans="1:13" s="17" customFormat="1" ht="47.25">
      <c r="A1254" s="14"/>
      <c r="B1254" s="132" t="s">
        <v>613</v>
      </c>
      <c r="C1254" s="109" t="s">
        <v>595</v>
      </c>
      <c r="D1254" s="108" t="s">
        <v>317</v>
      </c>
      <c r="E1254" s="108" t="s">
        <v>13</v>
      </c>
      <c r="F1254" s="108" t="s">
        <v>614</v>
      </c>
      <c r="G1254" s="108" t="s">
        <v>9</v>
      </c>
      <c r="H1254" s="126">
        <v>280064132.12</v>
      </c>
      <c r="I1254" s="108">
        <v>310178220</v>
      </c>
      <c r="J1254" s="108" t="str">
        <f t="shared" si="81"/>
        <v>0310178220</v>
      </c>
      <c r="K1254" s="304" t="str">
        <f t="shared" si="80"/>
        <v>60910030310178220000</v>
      </c>
      <c r="L1254" s="17" t="str">
        <f>INDEX('реш СГД № 265'!$A:$N,MATCH('БА расх 2018 31 12 2018'!$K1254,'реш СГД № 265'!$N:$N,0),3)</f>
        <v>Предоставление мер социальной поддержки ветеранам труда Ставропольского края и лицам, награжденным медалью «Герой труда Ставрополья»</v>
      </c>
      <c r="M1254" s="16">
        <f t="shared" si="82"/>
        <v>1</v>
      </c>
    </row>
    <row r="1255" spans="1:13" s="17" customFormat="1" ht="31.5">
      <c r="A1255" s="14"/>
      <c r="B1255" s="132" t="s">
        <v>28</v>
      </c>
      <c r="C1255" s="109" t="s">
        <v>595</v>
      </c>
      <c r="D1255" s="108" t="s">
        <v>317</v>
      </c>
      <c r="E1255" s="108" t="s">
        <v>13</v>
      </c>
      <c r="F1255" s="108" t="s">
        <v>614</v>
      </c>
      <c r="G1255" s="108" t="s">
        <v>29</v>
      </c>
      <c r="H1255" s="126">
        <v>3812772.9</v>
      </c>
      <c r="I1255" s="108">
        <v>310178220</v>
      </c>
      <c r="J1255" s="108" t="str">
        <f t="shared" si="81"/>
        <v>0310178220</v>
      </c>
      <c r="K1255" s="304" t="str">
        <f t="shared" si="80"/>
        <v>60910030310178220240</v>
      </c>
      <c r="L1255" s="17" t="str">
        <f>INDEX('реш СГД № 265'!$A:$N,MATCH('БА расх 2018 31 12 2018'!$K1255,'реш СГД № 265'!$N:$N,0),3)</f>
        <v>Иные закупки товаров, работ и услуг для обеспечения государственных (муниципальных) нужд</v>
      </c>
      <c r="M1255" s="16">
        <f t="shared" si="82"/>
        <v>1</v>
      </c>
    </row>
    <row r="1256" spans="1:13" s="17" customFormat="1" ht="15.75">
      <c r="A1256" s="14"/>
      <c r="B1256" s="125" t="s">
        <v>30</v>
      </c>
      <c r="C1256" s="109" t="s">
        <v>595</v>
      </c>
      <c r="D1256" s="108" t="s">
        <v>317</v>
      </c>
      <c r="E1256" s="108" t="s">
        <v>13</v>
      </c>
      <c r="F1256" s="108" t="s">
        <v>614</v>
      </c>
      <c r="G1256" s="108" t="s">
        <v>31</v>
      </c>
      <c r="H1256" s="126">
        <v>3812772.9</v>
      </c>
      <c r="I1256" s="108">
        <v>310178220</v>
      </c>
      <c r="J1256" s="108" t="str">
        <f t="shared" si="81"/>
        <v>0310178220</v>
      </c>
      <c r="K1256" s="304" t="str">
        <f t="shared" si="80"/>
        <v>60910030310178220244</v>
      </c>
      <c r="M1256" s="16"/>
    </row>
    <row r="1257" spans="1:13" s="17" customFormat="1" ht="15.75">
      <c r="A1257" s="14"/>
      <c r="B1257" s="132" t="s">
        <v>493</v>
      </c>
      <c r="C1257" s="109" t="s">
        <v>595</v>
      </c>
      <c r="D1257" s="108" t="s">
        <v>317</v>
      </c>
      <c r="E1257" s="108" t="s">
        <v>13</v>
      </c>
      <c r="F1257" s="108" t="s">
        <v>614</v>
      </c>
      <c r="G1257" s="108" t="s">
        <v>494</v>
      </c>
      <c r="H1257" s="126">
        <v>276251359.22000003</v>
      </c>
      <c r="I1257" s="108">
        <v>310178220</v>
      </c>
      <c r="J1257" s="108" t="str">
        <f t="shared" si="81"/>
        <v>0310178220</v>
      </c>
      <c r="K1257" s="304" t="str">
        <f t="shared" si="80"/>
        <v>60910030310178220310</v>
      </c>
      <c r="L1257" s="17" t="str">
        <f>INDEX('реш СГД № 265'!$A:$N,MATCH('БА расх 2018 31 12 2018'!$K1257,'реш СГД № 265'!$N:$N,0),3)</f>
        <v>Публичные нормативные социальные выплаты гражданам</v>
      </c>
      <c r="M1257" s="16">
        <f t="shared" si="82"/>
        <v>1</v>
      </c>
    </row>
    <row r="1258" spans="1:13" s="17" customFormat="1" ht="31.5">
      <c r="A1258" s="14"/>
      <c r="B1258" s="127" t="s">
        <v>495</v>
      </c>
      <c r="C1258" s="109" t="s">
        <v>595</v>
      </c>
      <c r="D1258" s="108" t="s">
        <v>317</v>
      </c>
      <c r="E1258" s="108" t="s">
        <v>13</v>
      </c>
      <c r="F1258" s="108" t="s">
        <v>614</v>
      </c>
      <c r="G1258" s="108" t="s">
        <v>496</v>
      </c>
      <c r="H1258" s="126">
        <v>276251359.22000003</v>
      </c>
      <c r="I1258" s="108">
        <v>310178220</v>
      </c>
      <c r="J1258" s="108" t="str">
        <f t="shared" si="81"/>
        <v>0310178220</v>
      </c>
      <c r="K1258" s="304" t="str">
        <f t="shared" ref="K1258" si="83">C1258&amp;D1258&amp;E1258&amp;J1258&amp;G1258</f>
        <v>60910030310178220313</v>
      </c>
      <c r="M1258" s="16"/>
    </row>
    <row r="1259" spans="1:13" s="17" customFormat="1" ht="47.25">
      <c r="A1259" s="14"/>
      <c r="B1259" s="149" t="s">
        <v>615</v>
      </c>
      <c r="C1259" s="109" t="s">
        <v>595</v>
      </c>
      <c r="D1259" s="108" t="s">
        <v>317</v>
      </c>
      <c r="E1259" s="108" t="s">
        <v>13</v>
      </c>
      <c r="F1259" s="108" t="s">
        <v>616</v>
      </c>
      <c r="G1259" s="108" t="s">
        <v>9</v>
      </c>
      <c r="H1259" s="126">
        <v>6621054.5200000005</v>
      </c>
      <c r="I1259" s="108">
        <v>310178230</v>
      </c>
      <c r="J1259" s="108" t="str">
        <f t="shared" ref="J1259:J1320" si="84">TEXT(I1259,"0000000000")</f>
        <v>0310178230</v>
      </c>
      <c r="K1259" s="304" t="str">
        <f t="shared" ref="K1259:K1319" si="85">C1259&amp;D1259&amp;E1259&amp;J1259&amp;G1259</f>
        <v>60910030310178230000</v>
      </c>
      <c r="L1259" s="17" t="str">
        <f>INDEX('реш СГД № 265'!$A:$N,MATCH('БА расх 2018 31 12 2018'!$K1259,'реш СГД № 265'!$N:$N,0),3)</f>
        <v>Предоставление мер социальной поддержки  реабилитированным лицам и лицам, признанным пострадавшими от политических репрессий</v>
      </c>
      <c r="M1259" s="16">
        <f t="shared" ref="M1259:M1320" si="86">IF(B1259=L1259,1,0)</f>
        <v>1</v>
      </c>
    </row>
    <row r="1260" spans="1:13" s="17" customFormat="1" ht="31.5">
      <c r="A1260" s="14"/>
      <c r="B1260" s="125" t="s">
        <v>28</v>
      </c>
      <c r="C1260" s="109" t="s">
        <v>595</v>
      </c>
      <c r="D1260" s="108" t="s">
        <v>317</v>
      </c>
      <c r="E1260" s="108" t="s">
        <v>13</v>
      </c>
      <c r="F1260" s="108" t="s">
        <v>616</v>
      </c>
      <c r="G1260" s="108" t="s">
        <v>29</v>
      </c>
      <c r="H1260" s="126">
        <v>92467.49</v>
      </c>
      <c r="I1260" s="108">
        <v>310178230</v>
      </c>
      <c r="J1260" s="108" t="str">
        <f t="shared" si="84"/>
        <v>0310178230</v>
      </c>
      <c r="K1260" s="304" t="str">
        <f t="shared" si="85"/>
        <v>60910030310178230240</v>
      </c>
      <c r="L1260" s="17" t="str">
        <f>INDEX('реш СГД № 265'!$A:$N,MATCH('БА расх 2018 31 12 2018'!$K1260,'реш СГД № 265'!$N:$N,0),3)</f>
        <v>Иные закупки товаров, работ и услуг для обеспечения государственных (муниципальных) нужд</v>
      </c>
      <c r="M1260" s="16">
        <f t="shared" si="86"/>
        <v>1</v>
      </c>
    </row>
    <row r="1261" spans="1:13" s="17" customFormat="1" ht="15.75">
      <c r="A1261" s="14"/>
      <c r="B1261" s="125" t="s">
        <v>30</v>
      </c>
      <c r="C1261" s="109" t="s">
        <v>595</v>
      </c>
      <c r="D1261" s="108" t="s">
        <v>317</v>
      </c>
      <c r="E1261" s="108" t="s">
        <v>13</v>
      </c>
      <c r="F1261" s="108" t="s">
        <v>616</v>
      </c>
      <c r="G1261" s="108" t="s">
        <v>31</v>
      </c>
      <c r="H1261" s="126">
        <v>92467.49</v>
      </c>
      <c r="I1261" s="108">
        <v>310178230</v>
      </c>
      <c r="J1261" s="108" t="str">
        <f t="shared" si="84"/>
        <v>0310178230</v>
      </c>
      <c r="K1261" s="304" t="str">
        <f t="shared" si="85"/>
        <v>60910030310178230244</v>
      </c>
      <c r="M1261" s="16"/>
    </row>
    <row r="1262" spans="1:13" s="17" customFormat="1" ht="15.75">
      <c r="A1262" s="14"/>
      <c r="B1262" s="132" t="s">
        <v>493</v>
      </c>
      <c r="C1262" s="109" t="s">
        <v>595</v>
      </c>
      <c r="D1262" s="108" t="s">
        <v>317</v>
      </c>
      <c r="E1262" s="108" t="s">
        <v>13</v>
      </c>
      <c r="F1262" s="108" t="s">
        <v>616</v>
      </c>
      <c r="G1262" s="108" t="s">
        <v>494</v>
      </c>
      <c r="H1262" s="126">
        <v>6528587.0300000003</v>
      </c>
      <c r="I1262" s="108">
        <v>310178230</v>
      </c>
      <c r="J1262" s="108" t="str">
        <f t="shared" si="84"/>
        <v>0310178230</v>
      </c>
      <c r="K1262" s="304" t="str">
        <f t="shared" si="85"/>
        <v>60910030310178230310</v>
      </c>
      <c r="L1262" s="17" t="str">
        <f>INDEX('реш СГД № 265'!$A:$N,MATCH('БА расх 2018 31 12 2018'!$K1262,'реш СГД № 265'!$N:$N,0),3)</f>
        <v>Публичные нормативные социальные выплаты гражданам</v>
      </c>
      <c r="M1262" s="16">
        <f t="shared" si="86"/>
        <v>1</v>
      </c>
    </row>
    <row r="1263" spans="1:13" s="17" customFormat="1" ht="31.5">
      <c r="A1263" s="14"/>
      <c r="B1263" s="127" t="s">
        <v>495</v>
      </c>
      <c r="C1263" s="109" t="s">
        <v>595</v>
      </c>
      <c r="D1263" s="108" t="s">
        <v>317</v>
      </c>
      <c r="E1263" s="108" t="s">
        <v>13</v>
      </c>
      <c r="F1263" s="108" t="s">
        <v>616</v>
      </c>
      <c r="G1263" s="108" t="s">
        <v>496</v>
      </c>
      <c r="H1263" s="126">
        <v>6528587.0300000003</v>
      </c>
      <c r="I1263" s="108">
        <v>310178230</v>
      </c>
      <c r="J1263" s="108" t="str">
        <f t="shared" si="84"/>
        <v>0310178230</v>
      </c>
      <c r="K1263" s="304" t="str">
        <f t="shared" si="85"/>
        <v>60910030310178230313</v>
      </c>
      <c r="M1263" s="16"/>
    </row>
    <row r="1264" spans="1:13" s="17" customFormat="1" ht="47.25">
      <c r="A1264" s="14"/>
      <c r="B1264" s="149" t="s">
        <v>617</v>
      </c>
      <c r="C1264" s="109" t="s">
        <v>595</v>
      </c>
      <c r="D1264" s="108" t="s">
        <v>317</v>
      </c>
      <c r="E1264" s="108" t="s">
        <v>13</v>
      </c>
      <c r="F1264" s="108" t="s">
        <v>618</v>
      </c>
      <c r="G1264" s="108" t="s">
        <v>9</v>
      </c>
      <c r="H1264" s="126">
        <v>162824.31000000003</v>
      </c>
      <c r="I1264" s="108">
        <v>310178240</v>
      </c>
      <c r="J1264" s="108" t="str">
        <f t="shared" si="84"/>
        <v>0310178240</v>
      </c>
      <c r="K1264" s="304" t="str">
        <f t="shared" si="85"/>
        <v>60910030310178240000</v>
      </c>
      <c r="L1264" s="17" t="str">
        <f>INDEX('реш СГД № 265'!$A:$N,MATCH('БА расх 2018 31 12 2018'!$K1264,'реш СГД № 265'!$N:$N,0),3)</f>
        <v xml:space="preserve">Ежемесячная доплата к пенсии гражданам, ставшим инвалидами при исполнении служебных обязанностей в районах боевых действий </v>
      </c>
      <c r="M1264" s="16">
        <f t="shared" si="86"/>
        <v>1</v>
      </c>
    </row>
    <row r="1265" spans="1:13" s="17" customFormat="1" ht="31.5">
      <c r="A1265" s="14"/>
      <c r="B1265" s="125" t="s">
        <v>28</v>
      </c>
      <c r="C1265" s="109" t="s">
        <v>595</v>
      </c>
      <c r="D1265" s="108" t="s">
        <v>317</v>
      </c>
      <c r="E1265" s="108" t="s">
        <v>13</v>
      </c>
      <c r="F1265" s="108" t="s">
        <v>618</v>
      </c>
      <c r="G1265" s="108" t="s">
        <v>29</v>
      </c>
      <c r="H1265" s="126">
        <v>870.42</v>
      </c>
      <c r="I1265" s="108">
        <v>310178240</v>
      </c>
      <c r="J1265" s="108" t="str">
        <f t="shared" si="84"/>
        <v>0310178240</v>
      </c>
      <c r="K1265" s="304" t="str">
        <f t="shared" si="85"/>
        <v>60910030310178240240</v>
      </c>
      <c r="L1265" s="17" t="str">
        <f>INDEX('реш СГД № 265'!$A:$N,MATCH('БА расх 2018 31 12 2018'!$K1265,'реш СГД № 265'!$N:$N,0),3)</f>
        <v>Иные закупки товаров, работ и услуг для обеспечения государственных (муниципальных) нужд</v>
      </c>
      <c r="M1265" s="16">
        <f t="shared" si="86"/>
        <v>1</v>
      </c>
    </row>
    <row r="1266" spans="1:13" s="17" customFormat="1" ht="15.75">
      <c r="A1266" s="14"/>
      <c r="B1266" s="125" t="s">
        <v>30</v>
      </c>
      <c r="C1266" s="109" t="s">
        <v>595</v>
      </c>
      <c r="D1266" s="108" t="s">
        <v>317</v>
      </c>
      <c r="E1266" s="108" t="s">
        <v>13</v>
      </c>
      <c r="F1266" s="108" t="s">
        <v>618</v>
      </c>
      <c r="G1266" s="108" t="s">
        <v>31</v>
      </c>
      <c r="H1266" s="126">
        <v>870.42</v>
      </c>
      <c r="I1266" s="108">
        <v>310178240</v>
      </c>
      <c r="J1266" s="108" t="str">
        <f t="shared" si="84"/>
        <v>0310178240</v>
      </c>
      <c r="K1266" s="304" t="str">
        <f t="shared" si="85"/>
        <v>60910030310178240244</v>
      </c>
      <c r="M1266" s="16"/>
    </row>
    <row r="1267" spans="1:13" s="17" customFormat="1" ht="15.75">
      <c r="A1267" s="14"/>
      <c r="B1267" s="132" t="s">
        <v>493</v>
      </c>
      <c r="C1267" s="109" t="s">
        <v>595</v>
      </c>
      <c r="D1267" s="108" t="s">
        <v>317</v>
      </c>
      <c r="E1267" s="108" t="s">
        <v>13</v>
      </c>
      <c r="F1267" s="108" t="s">
        <v>618</v>
      </c>
      <c r="G1267" s="108" t="s">
        <v>494</v>
      </c>
      <c r="H1267" s="126">
        <v>161953.89000000001</v>
      </c>
      <c r="I1267" s="108">
        <v>310178240</v>
      </c>
      <c r="J1267" s="108" t="str">
        <f t="shared" si="84"/>
        <v>0310178240</v>
      </c>
      <c r="K1267" s="304" t="str">
        <f t="shared" si="85"/>
        <v>60910030310178240310</v>
      </c>
      <c r="L1267" s="17" t="str">
        <f>INDEX('реш СГД № 265'!$A:$N,MATCH('БА расх 2018 31 12 2018'!$K1267,'реш СГД № 265'!$N:$N,0),3)</f>
        <v>Публичные нормативные социальные выплаты гражданам</v>
      </c>
      <c r="M1267" s="16">
        <f t="shared" si="86"/>
        <v>1</v>
      </c>
    </row>
    <row r="1268" spans="1:13" s="17" customFormat="1" ht="31.5">
      <c r="A1268" s="14"/>
      <c r="B1268" s="127" t="s">
        <v>495</v>
      </c>
      <c r="C1268" s="109" t="s">
        <v>595</v>
      </c>
      <c r="D1268" s="108" t="s">
        <v>317</v>
      </c>
      <c r="E1268" s="108" t="s">
        <v>13</v>
      </c>
      <c r="F1268" s="108" t="s">
        <v>618</v>
      </c>
      <c r="G1268" s="108" t="s">
        <v>496</v>
      </c>
      <c r="H1268" s="126">
        <v>161953.89000000001</v>
      </c>
      <c r="I1268" s="108">
        <v>310178240</v>
      </c>
      <c r="J1268" s="108" t="str">
        <f t="shared" si="84"/>
        <v>0310178240</v>
      </c>
      <c r="K1268" s="304" t="str">
        <f t="shared" si="85"/>
        <v>60910030310178240313</v>
      </c>
      <c r="M1268" s="16"/>
    </row>
    <row r="1269" spans="1:13" s="17" customFormat="1" ht="31.5">
      <c r="A1269" s="14"/>
      <c r="B1269" s="149" t="s">
        <v>619</v>
      </c>
      <c r="C1269" s="109" t="s">
        <v>595</v>
      </c>
      <c r="D1269" s="108" t="s">
        <v>317</v>
      </c>
      <c r="E1269" s="108" t="s">
        <v>13</v>
      </c>
      <c r="F1269" s="108" t="s">
        <v>620</v>
      </c>
      <c r="G1269" s="108" t="s">
        <v>9</v>
      </c>
      <c r="H1269" s="126">
        <v>609961.52</v>
      </c>
      <c r="I1269" s="108">
        <v>310178250</v>
      </c>
      <c r="J1269" s="108" t="str">
        <f t="shared" si="84"/>
        <v>0310178250</v>
      </c>
      <c r="K1269" s="304" t="str">
        <f t="shared" si="85"/>
        <v>60910030310178250000</v>
      </c>
      <c r="L1269" s="17" t="str">
        <f>INDEX('реш СГД № 265'!$A:$N,MATCH('БА расх 2018 31 12 2018'!$K1269,'реш СГД № 265'!$N:$N,0),3)</f>
        <v>Ежемесячные денежные выплаты семьям погибших ветеранов боевых действий</v>
      </c>
      <c r="M1269" s="16">
        <f t="shared" si="86"/>
        <v>1</v>
      </c>
    </row>
    <row r="1270" spans="1:13" s="17" customFormat="1" ht="31.5">
      <c r="A1270" s="14"/>
      <c r="B1270" s="125" t="s">
        <v>28</v>
      </c>
      <c r="C1270" s="109" t="s">
        <v>595</v>
      </c>
      <c r="D1270" s="108" t="s">
        <v>317</v>
      </c>
      <c r="E1270" s="108" t="s">
        <v>13</v>
      </c>
      <c r="F1270" s="108" t="s">
        <v>620</v>
      </c>
      <c r="G1270" s="108" t="s">
        <v>29</v>
      </c>
      <c r="H1270" s="126">
        <v>8124.8</v>
      </c>
      <c r="I1270" s="108">
        <v>310178250</v>
      </c>
      <c r="J1270" s="108" t="str">
        <f t="shared" si="84"/>
        <v>0310178250</v>
      </c>
      <c r="K1270" s="304" t="str">
        <f t="shared" si="85"/>
        <v>60910030310178250240</v>
      </c>
      <c r="L1270" s="17" t="str">
        <f>INDEX('реш СГД № 265'!$A:$N,MATCH('БА расх 2018 31 12 2018'!$K1270,'реш СГД № 265'!$N:$N,0),3)</f>
        <v>Иные закупки товаров, работ и услуг для обеспечения государственных (муниципальных) нужд</v>
      </c>
      <c r="M1270" s="16">
        <f t="shared" si="86"/>
        <v>1</v>
      </c>
    </row>
    <row r="1271" spans="1:13" s="17" customFormat="1" ht="15.75">
      <c r="A1271" s="14"/>
      <c r="B1271" s="125" t="s">
        <v>30</v>
      </c>
      <c r="C1271" s="109" t="s">
        <v>595</v>
      </c>
      <c r="D1271" s="108" t="s">
        <v>317</v>
      </c>
      <c r="E1271" s="108" t="s">
        <v>13</v>
      </c>
      <c r="F1271" s="108" t="s">
        <v>620</v>
      </c>
      <c r="G1271" s="108" t="s">
        <v>31</v>
      </c>
      <c r="H1271" s="126">
        <v>8124.8</v>
      </c>
      <c r="I1271" s="108">
        <v>310178250</v>
      </c>
      <c r="J1271" s="108" t="str">
        <f t="shared" si="84"/>
        <v>0310178250</v>
      </c>
      <c r="K1271" s="304" t="str">
        <f t="shared" si="85"/>
        <v>60910030310178250244</v>
      </c>
      <c r="M1271" s="16"/>
    </row>
    <row r="1272" spans="1:13" s="17" customFormat="1" ht="15.75">
      <c r="A1272" s="14"/>
      <c r="B1272" s="132" t="s">
        <v>493</v>
      </c>
      <c r="C1272" s="109" t="s">
        <v>595</v>
      </c>
      <c r="D1272" s="108" t="s">
        <v>317</v>
      </c>
      <c r="E1272" s="108" t="s">
        <v>13</v>
      </c>
      <c r="F1272" s="108" t="s">
        <v>620</v>
      </c>
      <c r="G1272" s="108" t="s">
        <v>494</v>
      </c>
      <c r="H1272" s="126">
        <v>601836.72</v>
      </c>
      <c r="I1272" s="108">
        <v>310178250</v>
      </c>
      <c r="J1272" s="108" t="str">
        <f t="shared" si="84"/>
        <v>0310178250</v>
      </c>
      <c r="K1272" s="304" t="str">
        <f t="shared" si="85"/>
        <v>60910030310178250310</v>
      </c>
      <c r="L1272" s="17" t="str">
        <f>INDEX('реш СГД № 265'!$A:$N,MATCH('БА расх 2018 31 12 2018'!$K1272,'реш СГД № 265'!$N:$N,0),3)</f>
        <v>Публичные нормативные социальные выплаты гражданам</v>
      </c>
      <c r="M1272" s="16">
        <f t="shared" si="86"/>
        <v>1</v>
      </c>
    </row>
    <row r="1273" spans="1:13" s="17" customFormat="1" ht="31.5">
      <c r="A1273" s="14"/>
      <c r="B1273" s="127" t="s">
        <v>495</v>
      </c>
      <c r="C1273" s="109" t="s">
        <v>595</v>
      </c>
      <c r="D1273" s="108" t="s">
        <v>317</v>
      </c>
      <c r="E1273" s="108" t="s">
        <v>13</v>
      </c>
      <c r="F1273" s="108" t="s">
        <v>620</v>
      </c>
      <c r="G1273" s="108" t="s">
        <v>496</v>
      </c>
      <c r="H1273" s="126">
        <v>601836.72</v>
      </c>
      <c r="I1273" s="108">
        <v>310178250</v>
      </c>
      <c r="J1273" s="108" t="str">
        <f t="shared" si="84"/>
        <v>0310178250</v>
      </c>
      <c r="K1273" s="304" t="str">
        <f t="shared" si="85"/>
        <v>60910030310178250313</v>
      </c>
      <c r="M1273" s="16"/>
    </row>
    <row r="1274" spans="1:13" s="17" customFormat="1" ht="31.5">
      <c r="A1274" s="14"/>
      <c r="B1274" s="149" t="s">
        <v>621</v>
      </c>
      <c r="C1274" s="109" t="s">
        <v>595</v>
      </c>
      <c r="D1274" s="108" t="s">
        <v>317</v>
      </c>
      <c r="E1274" s="108" t="s">
        <v>13</v>
      </c>
      <c r="F1274" s="108" t="s">
        <v>622</v>
      </c>
      <c r="G1274" s="108" t="s">
        <v>9</v>
      </c>
      <c r="H1274" s="126">
        <v>303299100</v>
      </c>
      <c r="I1274" s="108">
        <v>310178260</v>
      </c>
      <c r="J1274" s="108" t="str">
        <f t="shared" si="84"/>
        <v>0310178260</v>
      </c>
      <c r="K1274" s="304" t="str">
        <f t="shared" si="85"/>
        <v>60910030310178260000</v>
      </c>
      <c r="L1274" s="17" t="str">
        <f>INDEX('реш СГД № 265'!$A:$N,MATCH('БА расх 2018 31 12 2018'!$K1274,'реш СГД № 265'!$N:$N,0),3)</f>
        <v>Предоставление субсидий на оплату жилого помещения и коммунальных услуг гражданам</v>
      </c>
      <c r="M1274" s="16">
        <f t="shared" si="86"/>
        <v>1</v>
      </c>
    </row>
    <row r="1275" spans="1:13" s="17" customFormat="1" ht="31.5">
      <c r="A1275" s="14"/>
      <c r="B1275" s="125" t="s">
        <v>28</v>
      </c>
      <c r="C1275" s="109" t="s">
        <v>595</v>
      </c>
      <c r="D1275" s="108" t="s">
        <v>317</v>
      </c>
      <c r="E1275" s="108" t="s">
        <v>13</v>
      </c>
      <c r="F1275" s="108" t="s">
        <v>622</v>
      </c>
      <c r="G1275" s="108" t="s">
        <v>29</v>
      </c>
      <c r="H1275" s="126">
        <v>4036185.1</v>
      </c>
      <c r="I1275" s="108">
        <v>310178260</v>
      </c>
      <c r="J1275" s="108" t="str">
        <f t="shared" si="84"/>
        <v>0310178260</v>
      </c>
      <c r="K1275" s="304" t="str">
        <f t="shared" si="85"/>
        <v>60910030310178260240</v>
      </c>
      <c r="L1275" s="17" t="str">
        <f>INDEX('реш СГД № 265'!$A:$N,MATCH('БА расх 2018 31 12 2018'!$K1275,'реш СГД № 265'!$N:$N,0),3)</f>
        <v>Иные закупки товаров, работ и услуг для обеспечения государственных (муниципальных) нужд</v>
      </c>
      <c r="M1275" s="16">
        <f t="shared" si="86"/>
        <v>1</v>
      </c>
    </row>
    <row r="1276" spans="1:13" s="17" customFormat="1" ht="15.75">
      <c r="A1276" s="14"/>
      <c r="B1276" s="125" t="s">
        <v>30</v>
      </c>
      <c r="C1276" s="109" t="s">
        <v>595</v>
      </c>
      <c r="D1276" s="108" t="s">
        <v>317</v>
      </c>
      <c r="E1276" s="108" t="s">
        <v>13</v>
      </c>
      <c r="F1276" s="108" t="s">
        <v>622</v>
      </c>
      <c r="G1276" s="108" t="s">
        <v>31</v>
      </c>
      <c r="H1276" s="126">
        <v>4036185.1</v>
      </c>
      <c r="I1276" s="108">
        <v>310178260</v>
      </c>
      <c r="J1276" s="108" t="str">
        <f t="shared" si="84"/>
        <v>0310178260</v>
      </c>
      <c r="K1276" s="304" t="str">
        <f t="shared" si="85"/>
        <v>60910030310178260244</v>
      </c>
      <c r="M1276" s="16"/>
    </row>
    <row r="1277" spans="1:13" s="17" customFormat="1" ht="15.75">
      <c r="A1277" s="14"/>
      <c r="B1277" s="132" t="s">
        <v>493</v>
      </c>
      <c r="C1277" s="109" t="s">
        <v>595</v>
      </c>
      <c r="D1277" s="108" t="s">
        <v>317</v>
      </c>
      <c r="E1277" s="108" t="s">
        <v>13</v>
      </c>
      <c r="F1277" s="108" t="s">
        <v>622</v>
      </c>
      <c r="G1277" s="108" t="s">
        <v>494</v>
      </c>
      <c r="H1277" s="126">
        <v>299262914.89999998</v>
      </c>
      <c r="I1277" s="108">
        <v>310178260</v>
      </c>
      <c r="J1277" s="108" t="str">
        <f t="shared" si="84"/>
        <v>0310178260</v>
      </c>
      <c r="K1277" s="304" t="str">
        <f t="shared" si="85"/>
        <v>60910030310178260310</v>
      </c>
      <c r="L1277" s="17" t="str">
        <f>INDEX('реш СГД № 265'!$A:$N,MATCH('БА расх 2018 31 12 2018'!$K1277,'реш СГД № 265'!$N:$N,0),3)</f>
        <v>Публичные нормативные социальные выплаты гражданам</v>
      </c>
      <c r="M1277" s="16">
        <f t="shared" si="86"/>
        <v>1</v>
      </c>
    </row>
    <row r="1278" spans="1:13" s="17" customFormat="1" ht="31.5">
      <c r="A1278" s="14"/>
      <c r="B1278" s="127" t="s">
        <v>495</v>
      </c>
      <c r="C1278" s="109" t="s">
        <v>595</v>
      </c>
      <c r="D1278" s="108" t="s">
        <v>317</v>
      </c>
      <c r="E1278" s="108" t="s">
        <v>13</v>
      </c>
      <c r="F1278" s="108" t="s">
        <v>622</v>
      </c>
      <c r="G1278" s="108" t="s">
        <v>496</v>
      </c>
      <c r="H1278" s="126">
        <v>299262914.89999998</v>
      </c>
      <c r="I1278" s="108">
        <v>310178260</v>
      </c>
      <c r="J1278" s="108" t="str">
        <f t="shared" si="84"/>
        <v>0310178260</v>
      </c>
      <c r="K1278" s="304" t="str">
        <f t="shared" si="85"/>
        <v>60910030310178260313</v>
      </c>
      <c r="M1278" s="16"/>
    </row>
    <row r="1279" spans="1:13" s="17" customFormat="1" ht="47.25">
      <c r="A1279" s="14"/>
      <c r="B1279" s="132" t="s">
        <v>1122</v>
      </c>
      <c r="C1279" s="109" t="s">
        <v>595</v>
      </c>
      <c r="D1279" s="108" t="s">
        <v>317</v>
      </c>
      <c r="E1279" s="108" t="s">
        <v>13</v>
      </c>
      <c r="F1279" s="108" t="s">
        <v>1123</v>
      </c>
      <c r="G1279" s="108" t="s">
        <v>9</v>
      </c>
      <c r="H1279" s="126">
        <v>3450582</v>
      </c>
      <c r="I1279" s="108" t="s">
        <v>1227</v>
      </c>
      <c r="J1279" s="108" t="str">
        <f t="shared" si="84"/>
        <v>03101R4620</v>
      </c>
      <c r="K1279" s="304" t="str">
        <f t="shared" si="85"/>
        <v>609100303101R4620000</v>
      </c>
      <c r="L1279" s="17" t="str">
        <f>INDEX('реш СГД № 265'!$A:$N,MATCH('БА расх 2018 31 12 2018'!$K1279,'реш СГД № 265'!$N:$N,0),3)</f>
        <v xml:space="preserve">Предоставление компенсации расходов на уплату взноса на капитальный ремонт общего имущества в многоквартирном доме отдельным категориям граждан </v>
      </c>
      <c r="M1279" s="16">
        <f t="shared" si="86"/>
        <v>1</v>
      </c>
    </row>
    <row r="1280" spans="1:13" s="17" customFormat="1" ht="15.75">
      <c r="A1280" s="14"/>
      <c r="B1280" s="132" t="s">
        <v>493</v>
      </c>
      <c r="C1280" s="109" t="s">
        <v>595</v>
      </c>
      <c r="D1280" s="108" t="s">
        <v>317</v>
      </c>
      <c r="E1280" s="108" t="s">
        <v>13</v>
      </c>
      <c r="F1280" s="108" t="s">
        <v>1123</v>
      </c>
      <c r="G1280" s="108" t="s">
        <v>494</v>
      </c>
      <c r="H1280" s="126">
        <v>3450582</v>
      </c>
      <c r="I1280" s="108" t="s">
        <v>1227</v>
      </c>
      <c r="J1280" s="108" t="str">
        <f t="shared" si="84"/>
        <v>03101R4620</v>
      </c>
      <c r="K1280" s="304" t="str">
        <f t="shared" si="85"/>
        <v>609100303101R4620310</v>
      </c>
      <c r="L1280" s="17" t="str">
        <f>INDEX('реш СГД № 265'!$A:$N,MATCH('БА расх 2018 31 12 2018'!$K1280,'реш СГД № 265'!$N:$N,0),3)</f>
        <v>Публичные нормативные социальные выплаты гражданам</v>
      </c>
      <c r="M1280" s="16">
        <f t="shared" si="86"/>
        <v>1</v>
      </c>
    </row>
    <row r="1281" spans="1:13" s="17" customFormat="1" ht="31.5">
      <c r="A1281" s="14"/>
      <c r="B1281" s="127" t="s">
        <v>495</v>
      </c>
      <c r="C1281" s="109" t="s">
        <v>595</v>
      </c>
      <c r="D1281" s="108" t="s">
        <v>317</v>
      </c>
      <c r="E1281" s="108" t="s">
        <v>13</v>
      </c>
      <c r="F1281" s="108" t="s">
        <v>1123</v>
      </c>
      <c r="G1281" s="108" t="s">
        <v>496</v>
      </c>
      <c r="H1281" s="126">
        <v>3450582</v>
      </c>
      <c r="I1281" s="108" t="s">
        <v>1227</v>
      </c>
      <c r="J1281" s="108" t="str">
        <f t="shared" si="84"/>
        <v>03101R4620</v>
      </c>
      <c r="K1281" s="304" t="str">
        <f t="shared" si="85"/>
        <v>609100303101R4620313</v>
      </c>
      <c r="M1281" s="16"/>
    </row>
    <row r="1282" spans="1:13" s="17" customFormat="1" ht="31.5">
      <c r="A1282" s="14" t="s">
        <v>598</v>
      </c>
      <c r="B1282" s="148" t="s">
        <v>623</v>
      </c>
      <c r="C1282" s="109" t="s">
        <v>595</v>
      </c>
      <c r="D1282" s="108" t="s">
        <v>317</v>
      </c>
      <c r="E1282" s="108" t="s">
        <v>13</v>
      </c>
      <c r="F1282" s="108" t="s">
        <v>624</v>
      </c>
      <c r="G1282" s="108" t="s">
        <v>9</v>
      </c>
      <c r="H1282" s="126">
        <v>232554382</v>
      </c>
      <c r="I1282" s="108">
        <v>310200000</v>
      </c>
      <c r="J1282" s="108" t="str">
        <f t="shared" si="84"/>
        <v>0310200000</v>
      </c>
      <c r="K1282" s="304" t="str">
        <f t="shared" si="85"/>
        <v>60910030310200000000</v>
      </c>
      <c r="L1282" s="17" t="str">
        <f>INDEX('реш СГД № 265'!$A:$N,MATCH('БА расх 2018 31 12 2018'!$K1282,'реш СГД № 265'!$N:$N,0),3)</f>
        <v>Основное мероприятие «Предоставление мер социальной поддержки семьям и детям»</v>
      </c>
      <c r="M1282" s="16">
        <f t="shared" si="86"/>
        <v>1</v>
      </c>
    </row>
    <row r="1283" spans="1:13" s="17" customFormat="1" ht="78.75">
      <c r="A1283" s="14"/>
      <c r="B1283" s="149" t="s">
        <v>625</v>
      </c>
      <c r="C1283" s="109" t="s">
        <v>595</v>
      </c>
      <c r="D1283" s="108" t="s">
        <v>317</v>
      </c>
      <c r="E1283" s="108" t="s">
        <v>13</v>
      </c>
      <c r="F1283" s="108" t="s">
        <v>626</v>
      </c>
      <c r="G1283" s="108" t="s">
        <v>9</v>
      </c>
      <c r="H1283" s="126">
        <v>184179509.71000001</v>
      </c>
      <c r="I1283" s="108">
        <v>310253800</v>
      </c>
      <c r="J1283" s="108" t="str">
        <f t="shared" si="84"/>
        <v>0310253800</v>
      </c>
      <c r="K1283" s="304" t="str">
        <f t="shared" si="85"/>
        <v>60910030310253800000</v>
      </c>
      <c r="L1283" s="17" t="str">
        <f>INDEX('реш СГД № 265'!$A:$N,MATCH('БА расх 2018 31 12 2018'!$K1283,'реш СГД № 265'!$N:$N,0),3)</f>
        <v>Выплата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v>
      </c>
      <c r="M1283" s="16">
        <f t="shared" si="86"/>
        <v>1</v>
      </c>
    </row>
    <row r="1284" spans="1:13" s="17" customFormat="1" ht="31.5">
      <c r="A1284" s="14"/>
      <c r="B1284" s="125" t="s">
        <v>28</v>
      </c>
      <c r="C1284" s="109" t="s">
        <v>595</v>
      </c>
      <c r="D1284" s="108" t="s">
        <v>317</v>
      </c>
      <c r="E1284" s="108" t="s">
        <v>13</v>
      </c>
      <c r="F1284" s="108" t="s">
        <v>626</v>
      </c>
      <c r="G1284" s="108" t="s">
        <v>29</v>
      </c>
      <c r="H1284" s="126">
        <v>2227713.13</v>
      </c>
      <c r="I1284" s="108">
        <v>310253800</v>
      </c>
      <c r="J1284" s="108" t="str">
        <f t="shared" si="84"/>
        <v>0310253800</v>
      </c>
      <c r="K1284" s="304" t="str">
        <f t="shared" si="85"/>
        <v>60910030310253800240</v>
      </c>
      <c r="L1284" s="17" t="str">
        <f>INDEX('реш СГД № 265'!$A:$N,MATCH('БА расх 2018 31 12 2018'!$K1284,'реш СГД № 265'!$N:$N,0),3)</f>
        <v>Иные закупки товаров, работ и услуг для обеспечения государственных (муниципальных) нужд</v>
      </c>
      <c r="M1284" s="16">
        <f t="shared" si="86"/>
        <v>1</v>
      </c>
    </row>
    <row r="1285" spans="1:13" s="17" customFormat="1" ht="15.75">
      <c r="A1285" s="14"/>
      <c r="B1285" s="125" t="s">
        <v>30</v>
      </c>
      <c r="C1285" s="109" t="s">
        <v>595</v>
      </c>
      <c r="D1285" s="108" t="s">
        <v>317</v>
      </c>
      <c r="E1285" s="108" t="s">
        <v>13</v>
      </c>
      <c r="F1285" s="108" t="s">
        <v>626</v>
      </c>
      <c r="G1285" s="108" t="s">
        <v>31</v>
      </c>
      <c r="H1285" s="126">
        <v>2227713.13</v>
      </c>
      <c r="I1285" s="108">
        <v>310253800</v>
      </c>
      <c r="J1285" s="108" t="str">
        <f t="shared" si="84"/>
        <v>0310253800</v>
      </c>
      <c r="K1285" s="304" t="str">
        <f t="shared" si="85"/>
        <v>60910030310253800244</v>
      </c>
      <c r="M1285" s="16"/>
    </row>
    <row r="1286" spans="1:13" s="17" customFormat="1" ht="15.75">
      <c r="A1286" s="14"/>
      <c r="B1286" s="132" t="s">
        <v>493</v>
      </c>
      <c r="C1286" s="109" t="s">
        <v>595</v>
      </c>
      <c r="D1286" s="108" t="s">
        <v>317</v>
      </c>
      <c r="E1286" s="108" t="s">
        <v>13</v>
      </c>
      <c r="F1286" s="108" t="s">
        <v>626</v>
      </c>
      <c r="G1286" s="108" t="s">
        <v>494</v>
      </c>
      <c r="H1286" s="126">
        <v>181951796.58000001</v>
      </c>
      <c r="I1286" s="108">
        <v>310253800</v>
      </c>
      <c r="J1286" s="108" t="str">
        <f t="shared" si="84"/>
        <v>0310253800</v>
      </c>
      <c r="K1286" s="304" t="str">
        <f t="shared" si="85"/>
        <v>60910030310253800310</v>
      </c>
      <c r="L1286" s="17" t="str">
        <f>INDEX('реш СГД № 265'!$A:$N,MATCH('БА расх 2018 31 12 2018'!$K1286,'реш СГД № 265'!$N:$N,0),3)</f>
        <v>Публичные нормативные социальные выплаты гражданам</v>
      </c>
      <c r="M1286" s="16">
        <f t="shared" si="86"/>
        <v>1</v>
      </c>
    </row>
    <row r="1287" spans="1:13" s="17" customFormat="1" ht="31.5">
      <c r="A1287" s="14"/>
      <c r="B1287" s="127" t="s">
        <v>495</v>
      </c>
      <c r="C1287" s="109" t="s">
        <v>595</v>
      </c>
      <c r="D1287" s="108" t="s">
        <v>317</v>
      </c>
      <c r="E1287" s="108" t="s">
        <v>13</v>
      </c>
      <c r="F1287" s="108" t="s">
        <v>626</v>
      </c>
      <c r="G1287" s="108" t="s">
        <v>496</v>
      </c>
      <c r="H1287" s="126">
        <v>181951796.58000001</v>
      </c>
      <c r="I1287" s="108">
        <v>310253800</v>
      </c>
      <c r="J1287" s="108" t="str">
        <f t="shared" si="84"/>
        <v>0310253800</v>
      </c>
      <c r="K1287" s="304" t="str">
        <f t="shared" si="85"/>
        <v>60910030310253800313</v>
      </c>
      <c r="M1287" s="16"/>
    </row>
    <row r="1288" spans="1:13" s="17" customFormat="1" ht="31.5">
      <c r="A1288" s="14"/>
      <c r="B1288" s="149" t="s">
        <v>627</v>
      </c>
      <c r="C1288" s="109" t="s">
        <v>595</v>
      </c>
      <c r="D1288" s="108" t="s">
        <v>317</v>
      </c>
      <c r="E1288" s="108" t="s">
        <v>13</v>
      </c>
      <c r="F1288" s="108" t="s">
        <v>628</v>
      </c>
      <c r="G1288" s="108" t="s">
        <v>9</v>
      </c>
      <c r="H1288" s="126">
        <v>380168.6</v>
      </c>
      <c r="I1288" s="108">
        <v>310276260</v>
      </c>
      <c r="J1288" s="108" t="str">
        <f t="shared" si="84"/>
        <v>0310276260</v>
      </c>
      <c r="K1288" s="304" t="str">
        <f t="shared" si="85"/>
        <v>60910030310276260000</v>
      </c>
      <c r="L1288" s="17" t="str">
        <f>INDEX('реш СГД № 265'!$A:$N,MATCH('БА расх 2018 31 12 2018'!$K1288,'реш СГД № 265'!$N:$N,0),3)</f>
        <v>Выплата ежегодного социального пособия на проезд студентам</v>
      </c>
      <c r="M1288" s="16">
        <f t="shared" si="86"/>
        <v>1</v>
      </c>
    </row>
    <row r="1289" spans="1:13" s="17" customFormat="1" ht="31.5">
      <c r="A1289" s="14"/>
      <c r="B1289" s="125" t="s">
        <v>28</v>
      </c>
      <c r="C1289" s="109" t="s">
        <v>595</v>
      </c>
      <c r="D1289" s="108" t="s">
        <v>317</v>
      </c>
      <c r="E1289" s="108" t="s">
        <v>13</v>
      </c>
      <c r="F1289" s="108" t="s">
        <v>628</v>
      </c>
      <c r="G1289" s="108" t="s">
        <v>29</v>
      </c>
      <c r="H1289" s="126">
        <v>5030.6000000000004</v>
      </c>
      <c r="I1289" s="108">
        <v>310276260</v>
      </c>
      <c r="J1289" s="108" t="str">
        <f t="shared" si="84"/>
        <v>0310276260</v>
      </c>
      <c r="K1289" s="304" t="str">
        <f t="shared" si="85"/>
        <v>60910030310276260240</v>
      </c>
      <c r="L1289" s="17" t="str">
        <f>INDEX('реш СГД № 265'!$A:$N,MATCH('БА расх 2018 31 12 2018'!$K1289,'реш СГД № 265'!$N:$N,0),3)</f>
        <v>Иные закупки товаров, работ и услуг для обеспечения государственных (муниципальных) нужд</v>
      </c>
      <c r="M1289" s="16">
        <f t="shared" si="86"/>
        <v>1</v>
      </c>
    </row>
    <row r="1290" spans="1:13" s="17" customFormat="1" ht="15.75">
      <c r="A1290" s="14"/>
      <c r="B1290" s="125" t="s">
        <v>30</v>
      </c>
      <c r="C1290" s="109" t="s">
        <v>595</v>
      </c>
      <c r="D1290" s="108" t="s">
        <v>317</v>
      </c>
      <c r="E1290" s="108" t="s">
        <v>13</v>
      </c>
      <c r="F1290" s="108" t="s">
        <v>628</v>
      </c>
      <c r="G1290" s="108" t="s">
        <v>31</v>
      </c>
      <c r="H1290" s="126">
        <v>5030.6000000000004</v>
      </c>
      <c r="I1290" s="108">
        <v>310276260</v>
      </c>
      <c r="J1290" s="108" t="str">
        <f t="shared" si="84"/>
        <v>0310276260</v>
      </c>
      <c r="K1290" s="304" t="str">
        <f t="shared" si="85"/>
        <v>60910030310276260244</v>
      </c>
      <c r="M1290" s="16"/>
    </row>
    <row r="1291" spans="1:13" s="17" customFormat="1" ht="15.75">
      <c r="A1291" s="14"/>
      <c r="B1291" s="132" t="s">
        <v>493</v>
      </c>
      <c r="C1291" s="109" t="s">
        <v>595</v>
      </c>
      <c r="D1291" s="108" t="s">
        <v>317</v>
      </c>
      <c r="E1291" s="108" t="s">
        <v>13</v>
      </c>
      <c r="F1291" s="108" t="s">
        <v>628</v>
      </c>
      <c r="G1291" s="108" t="s">
        <v>494</v>
      </c>
      <c r="H1291" s="126">
        <v>375138</v>
      </c>
      <c r="I1291" s="108">
        <v>310276260</v>
      </c>
      <c r="J1291" s="108" t="str">
        <f t="shared" si="84"/>
        <v>0310276260</v>
      </c>
      <c r="K1291" s="304" t="str">
        <f t="shared" si="85"/>
        <v>60910030310276260310</v>
      </c>
      <c r="L1291" s="17" t="str">
        <f>INDEX('реш СГД № 265'!$A:$N,MATCH('БА расх 2018 31 12 2018'!$K1291,'реш СГД № 265'!$N:$N,0),3)</f>
        <v>Публичные нормативные социальные выплаты гражданам</v>
      </c>
      <c r="M1291" s="16">
        <f t="shared" si="86"/>
        <v>1</v>
      </c>
    </row>
    <row r="1292" spans="1:13" s="17" customFormat="1" ht="31.5">
      <c r="A1292" s="14"/>
      <c r="B1292" s="127" t="s">
        <v>495</v>
      </c>
      <c r="C1292" s="109" t="s">
        <v>595</v>
      </c>
      <c r="D1292" s="108" t="s">
        <v>317</v>
      </c>
      <c r="E1292" s="108" t="s">
        <v>13</v>
      </c>
      <c r="F1292" s="108" t="s">
        <v>628</v>
      </c>
      <c r="G1292" s="108" t="s">
        <v>496</v>
      </c>
      <c r="H1292" s="126">
        <v>375138</v>
      </c>
      <c r="I1292" s="108">
        <v>310276260</v>
      </c>
      <c r="J1292" s="108" t="str">
        <f t="shared" si="84"/>
        <v>0310276260</v>
      </c>
      <c r="K1292" s="304" t="str">
        <f t="shared" si="85"/>
        <v>60910030310276260313</v>
      </c>
      <c r="M1292" s="16"/>
    </row>
    <row r="1293" spans="1:13" s="17" customFormat="1" ht="78.75">
      <c r="A1293" s="14"/>
      <c r="B1293" s="150" t="s">
        <v>629</v>
      </c>
      <c r="C1293" s="130" t="s">
        <v>595</v>
      </c>
      <c r="D1293" s="131" t="s">
        <v>317</v>
      </c>
      <c r="E1293" s="131" t="s">
        <v>13</v>
      </c>
      <c r="F1293" s="131" t="s">
        <v>630</v>
      </c>
      <c r="G1293" s="131" t="s">
        <v>9</v>
      </c>
      <c r="H1293" s="126">
        <v>3694862.99</v>
      </c>
      <c r="I1293" s="131">
        <v>310277190</v>
      </c>
      <c r="J1293" s="131" t="str">
        <f t="shared" si="84"/>
        <v>0310277190</v>
      </c>
      <c r="K1293" s="304" t="str">
        <f t="shared" si="85"/>
        <v>60910030310277190000</v>
      </c>
      <c r="L1293" s="17" t="str">
        <f>INDEX('реш СГД № 265'!$A:$N,MATCH('БА расх 2018 31 12 2018'!$K1293,'реш СГД № 265'!$N:$N,0),3)</f>
        <v>Выплата ежегодной денежной компенсации многодетным семьям на каждого из детей не старше 18 лет, обучающихся в общеобразовательных организациях, на приобретение комплекта школьной одежды, спортивной одежды и обуви и школьных письменных принадлежностей</v>
      </c>
      <c r="M1293" s="16">
        <f t="shared" si="86"/>
        <v>1</v>
      </c>
    </row>
    <row r="1294" spans="1:13" s="17" customFormat="1" ht="31.5">
      <c r="A1294" s="14"/>
      <c r="B1294" s="125" t="s">
        <v>28</v>
      </c>
      <c r="C1294" s="130" t="s">
        <v>595</v>
      </c>
      <c r="D1294" s="131" t="s">
        <v>317</v>
      </c>
      <c r="E1294" s="131" t="s">
        <v>13</v>
      </c>
      <c r="F1294" s="131" t="s">
        <v>630</v>
      </c>
      <c r="G1294" s="131" t="s">
        <v>29</v>
      </c>
      <c r="H1294" s="126">
        <v>36051.47</v>
      </c>
      <c r="I1294" s="131">
        <v>310277190</v>
      </c>
      <c r="J1294" s="131" t="str">
        <f t="shared" si="84"/>
        <v>0310277190</v>
      </c>
      <c r="K1294" s="304" t="str">
        <f t="shared" si="85"/>
        <v>60910030310277190240</v>
      </c>
      <c r="L1294" s="17" t="str">
        <f>INDEX('реш СГД № 265'!$A:$N,MATCH('БА расх 2018 31 12 2018'!$K1294,'реш СГД № 265'!$N:$N,0),3)</f>
        <v>Иные закупки товаров, работ и услуг для обеспечения государственных (муниципальных) нужд</v>
      </c>
      <c r="M1294" s="16">
        <f t="shared" si="86"/>
        <v>1</v>
      </c>
    </row>
    <row r="1295" spans="1:13" s="17" customFormat="1" ht="15.75">
      <c r="A1295" s="14"/>
      <c r="B1295" s="125" t="s">
        <v>30</v>
      </c>
      <c r="C1295" s="130" t="s">
        <v>595</v>
      </c>
      <c r="D1295" s="131" t="s">
        <v>317</v>
      </c>
      <c r="E1295" s="131" t="s">
        <v>13</v>
      </c>
      <c r="F1295" s="131" t="s">
        <v>630</v>
      </c>
      <c r="G1295" s="131" t="s">
        <v>31</v>
      </c>
      <c r="H1295" s="126">
        <v>36051.47</v>
      </c>
      <c r="I1295" s="131">
        <v>310277190</v>
      </c>
      <c r="J1295" s="131" t="str">
        <f t="shared" si="84"/>
        <v>0310277190</v>
      </c>
      <c r="K1295" s="304" t="str">
        <f t="shared" si="85"/>
        <v>60910030310277190244</v>
      </c>
      <c r="M1295" s="16"/>
    </row>
    <row r="1296" spans="1:13" s="17" customFormat="1" ht="15.75">
      <c r="A1296" s="14"/>
      <c r="B1296" s="140" t="s">
        <v>493</v>
      </c>
      <c r="C1296" s="130" t="s">
        <v>595</v>
      </c>
      <c r="D1296" s="131" t="s">
        <v>317</v>
      </c>
      <c r="E1296" s="131" t="s">
        <v>13</v>
      </c>
      <c r="F1296" s="131" t="s">
        <v>630</v>
      </c>
      <c r="G1296" s="131" t="s">
        <v>494</v>
      </c>
      <c r="H1296" s="126">
        <v>3658811.52</v>
      </c>
      <c r="I1296" s="131">
        <v>310277190</v>
      </c>
      <c r="J1296" s="131" t="str">
        <f t="shared" si="84"/>
        <v>0310277190</v>
      </c>
      <c r="K1296" s="304" t="str">
        <f t="shared" si="85"/>
        <v>60910030310277190310</v>
      </c>
      <c r="L1296" s="17" t="str">
        <f>INDEX('реш СГД № 265'!$A:$N,MATCH('БА расх 2018 31 12 2018'!$K1296,'реш СГД № 265'!$N:$N,0),3)</f>
        <v>Публичные нормативные социальные выплаты гражданам</v>
      </c>
      <c r="M1296" s="16">
        <f t="shared" si="86"/>
        <v>1</v>
      </c>
    </row>
    <row r="1297" spans="1:13" s="17" customFormat="1" ht="31.5">
      <c r="A1297" s="14"/>
      <c r="B1297" s="127" t="s">
        <v>495</v>
      </c>
      <c r="C1297" s="130" t="s">
        <v>595</v>
      </c>
      <c r="D1297" s="131" t="s">
        <v>317</v>
      </c>
      <c r="E1297" s="131" t="s">
        <v>13</v>
      </c>
      <c r="F1297" s="131" t="s">
        <v>630</v>
      </c>
      <c r="G1297" s="131" t="s">
        <v>496</v>
      </c>
      <c r="H1297" s="126">
        <v>3658811.52</v>
      </c>
      <c r="I1297" s="131">
        <v>310277190</v>
      </c>
      <c r="J1297" s="131" t="str">
        <f t="shared" si="84"/>
        <v>0310277190</v>
      </c>
      <c r="K1297" s="304" t="str">
        <f t="shared" si="85"/>
        <v>60910030310277190313</v>
      </c>
      <c r="M1297" s="16"/>
    </row>
    <row r="1298" spans="1:13" s="17" customFormat="1" ht="31.5">
      <c r="A1298" s="14"/>
      <c r="B1298" s="150" t="s">
        <v>631</v>
      </c>
      <c r="C1298" s="109" t="s">
        <v>595</v>
      </c>
      <c r="D1298" s="108" t="s">
        <v>317</v>
      </c>
      <c r="E1298" s="108" t="s">
        <v>13</v>
      </c>
      <c r="F1298" s="108" t="s">
        <v>632</v>
      </c>
      <c r="G1298" s="108" t="s">
        <v>9</v>
      </c>
      <c r="H1298" s="126">
        <v>44299840.699999996</v>
      </c>
      <c r="I1298" s="108">
        <v>310278280</v>
      </c>
      <c r="J1298" s="108" t="str">
        <f t="shared" si="84"/>
        <v>0310278280</v>
      </c>
      <c r="K1298" s="304" t="str">
        <f t="shared" si="85"/>
        <v>60910030310278280000</v>
      </c>
      <c r="L1298" s="17" t="str">
        <f>INDEX('реш СГД № 265'!$A:$N,MATCH('БА расх 2018 31 12 2018'!$K1298,'реш СГД № 265'!$N:$N,0),3)</f>
        <v xml:space="preserve">Выплата ежемесячной денежной компенсации на каждого ребенка в возрасте до 18 лет многодетным семьям </v>
      </c>
      <c r="M1298" s="16">
        <f t="shared" si="86"/>
        <v>1</v>
      </c>
    </row>
    <row r="1299" spans="1:13" s="17" customFormat="1" ht="31.5">
      <c r="A1299" s="14"/>
      <c r="B1299" s="125" t="s">
        <v>28</v>
      </c>
      <c r="C1299" s="109" t="s">
        <v>595</v>
      </c>
      <c r="D1299" s="108" t="s">
        <v>317</v>
      </c>
      <c r="E1299" s="108" t="s">
        <v>13</v>
      </c>
      <c r="F1299" s="108" t="s">
        <v>632</v>
      </c>
      <c r="G1299" s="108" t="s">
        <v>29</v>
      </c>
      <c r="H1299" s="126">
        <v>537704.30000000005</v>
      </c>
      <c r="I1299" s="108">
        <v>310278280</v>
      </c>
      <c r="J1299" s="108" t="str">
        <f t="shared" si="84"/>
        <v>0310278280</v>
      </c>
      <c r="K1299" s="304" t="str">
        <f t="shared" si="85"/>
        <v>60910030310278280240</v>
      </c>
      <c r="L1299" s="17" t="str">
        <f>INDEX('реш СГД № 265'!$A:$N,MATCH('БА расх 2018 31 12 2018'!$K1299,'реш СГД № 265'!$N:$N,0),3)</f>
        <v>Иные закупки товаров, работ и услуг для обеспечения государственных (муниципальных) нужд</v>
      </c>
      <c r="M1299" s="16">
        <f t="shared" si="86"/>
        <v>1</v>
      </c>
    </row>
    <row r="1300" spans="1:13" s="17" customFormat="1" ht="15.75">
      <c r="A1300" s="14"/>
      <c r="B1300" s="125" t="s">
        <v>30</v>
      </c>
      <c r="C1300" s="109" t="s">
        <v>595</v>
      </c>
      <c r="D1300" s="108" t="s">
        <v>317</v>
      </c>
      <c r="E1300" s="108" t="s">
        <v>13</v>
      </c>
      <c r="F1300" s="108" t="s">
        <v>632</v>
      </c>
      <c r="G1300" s="108" t="s">
        <v>31</v>
      </c>
      <c r="H1300" s="126">
        <v>537704.30000000005</v>
      </c>
      <c r="I1300" s="108">
        <v>310278280</v>
      </c>
      <c r="J1300" s="108" t="str">
        <f t="shared" si="84"/>
        <v>0310278280</v>
      </c>
      <c r="K1300" s="304" t="str">
        <f t="shared" si="85"/>
        <v>60910030310278280244</v>
      </c>
      <c r="M1300" s="16"/>
    </row>
    <row r="1301" spans="1:13" s="17" customFormat="1" ht="15.75">
      <c r="A1301" s="14"/>
      <c r="B1301" s="132" t="s">
        <v>493</v>
      </c>
      <c r="C1301" s="109" t="s">
        <v>595</v>
      </c>
      <c r="D1301" s="108" t="s">
        <v>317</v>
      </c>
      <c r="E1301" s="108" t="s">
        <v>13</v>
      </c>
      <c r="F1301" s="108" t="s">
        <v>632</v>
      </c>
      <c r="G1301" s="108" t="s">
        <v>494</v>
      </c>
      <c r="H1301" s="126">
        <v>43762136.399999999</v>
      </c>
      <c r="I1301" s="108">
        <v>310278280</v>
      </c>
      <c r="J1301" s="108" t="str">
        <f t="shared" si="84"/>
        <v>0310278280</v>
      </c>
      <c r="K1301" s="304" t="str">
        <f t="shared" si="85"/>
        <v>60910030310278280310</v>
      </c>
      <c r="L1301" s="17" t="str">
        <f>INDEX('реш СГД № 265'!$A:$N,MATCH('БА расх 2018 31 12 2018'!$K1301,'реш СГД № 265'!$N:$N,0),3)</f>
        <v>Публичные нормативные социальные выплаты гражданам</v>
      </c>
      <c r="M1301" s="16">
        <f t="shared" si="86"/>
        <v>1</v>
      </c>
    </row>
    <row r="1302" spans="1:13" s="17" customFormat="1" ht="31.5">
      <c r="A1302" s="14"/>
      <c r="B1302" s="127" t="s">
        <v>495</v>
      </c>
      <c r="C1302" s="109" t="s">
        <v>595</v>
      </c>
      <c r="D1302" s="108" t="s">
        <v>317</v>
      </c>
      <c r="E1302" s="108" t="s">
        <v>13</v>
      </c>
      <c r="F1302" s="108" t="s">
        <v>632</v>
      </c>
      <c r="G1302" s="108" t="s">
        <v>496</v>
      </c>
      <c r="H1302" s="126">
        <v>43762136.399999999</v>
      </c>
      <c r="I1302" s="108">
        <v>310278280</v>
      </c>
      <c r="J1302" s="108" t="str">
        <f t="shared" si="84"/>
        <v>0310278280</v>
      </c>
      <c r="K1302" s="304" t="str">
        <f t="shared" si="85"/>
        <v>60910030310278280313</v>
      </c>
      <c r="M1302" s="16"/>
    </row>
    <row r="1303" spans="1:13" s="17" customFormat="1" ht="47.25">
      <c r="A1303" s="14"/>
      <c r="B1303" s="132" t="s">
        <v>387</v>
      </c>
      <c r="C1303" s="109" t="s">
        <v>595</v>
      </c>
      <c r="D1303" s="108" t="s">
        <v>317</v>
      </c>
      <c r="E1303" s="108" t="s">
        <v>13</v>
      </c>
      <c r="F1303" s="108" t="s">
        <v>388</v>
      </c>
      <c r="G1303" s="108" t="s">
        <v>9</v>
      </c>
      <c r="H1303" s="126">
        <v>19177634.539999999</v>
      </c>
      <c r="I1303" s="108">
        <v>320000000</v>
      </c>
      <c r="J1303" s="108" t="str">
        <f t="shared" si="84"/>
        <v>0320000000</v>
      </c>
      <c r="K1303" s="304" t="str">
        <f t="shared" si="85"/>
        <v>60910030320000000000</v>
      </c>
      <c r="L1303" s="17" t="str">
        <f>INDEX('реш СГД № 265'!$A:$N,MATCH('БА расх 2018 31 12 2018'!$K1303,'реш СГД № 265'!$N:$N,0),3)</f>
        <v>Подпрограмма «Дополнительные меры социальной поддержки для отдельных категорий граждан, поддержка социально ориентированных некоммерческих организаций»</v>
      </c>
      <c r="M1303" s="16">
        <f t="shared" si="86"/>
        <v>1</v>
      </c>
    </row>
    <row r="1304" spans="1:13" s="17" customFormat="1" ht="31.5">
      <c r="A1304" s="14"/>
      <c r="B1304" s="148" t="s">
        <v>633</v>
      </c>
      <c r="C1304" s="109" t="s">
        <v>595</v>
      </c>
      <c r="D1304" s="108" t="s">
        <v>317</v>
      </c>
      <c r="E1304" s="108" t="s">
        <v>13</v>
      </c>
      <c r="F1304" s="108" t="s">
        <v>634</v>
      </c>
      <c r="G1304" s="108" t="s">
        <v>9</v>
      </c>
      <c r="H1304" s="126">
        <v>18998146.539999999</v>
      </c>
      <c r="I1304" s="108">
        <v>320100000</v>
      </c>
      <c r="J1304" s="108" t="str">
        <f t="shared" si="84"/>
        <v>0320100000</v>
      </c>
      <c r="K1304" s="304" t="str">
        <f t="shared" si="85"/>
        <v>60910030320100000000</v>
      </c>
      <c r="L1304" s="17" t="str">
        <f>INDEX('реш СГД № 265'!$A:$N,MATCH('БА расх 2018 31 12 2018'!$K1304,'реш СГД № 265'!$N:$N,0),3)</f>
        <v>Основное мероприятие «Предоставление дополнительных мер социальной поддержки отдельным категориям граждан»</v>
      </c>
      <c r="M1304" s="16">
        <f t="shared" si="86"/>
        <v>1</v>
      </c>
    </row>
    <row r="1305" spans="1:13" s="17" customFormat="1" ht="63">
      <c r="A1305" s="14"/>
      <c r="B1305" s="149" t="s">
        <v>635</v>
      </c>
      <c r="C1305" s="109" t="s">
        <v>595</v>
      </c>
      <c r="D1305" s="108" t="s">
        <v>317</v>
      </c>
      <c r="E1305" s="108" t="s">
        <v>13</v>
      </c>
      <c r="F1305" s="108" t="s">
        <v>636</v>
      </c>
      <c r="G1305" s="108" t="s">
        <v>9</v>
      </c>
      <c r="H1305" s="126">
        <v>4978500</v>
      </c>
      <c r="I1305" s="108">
        <v>320180030</v>
      </c>
      <c r="J1305" s="108" t="str">
        <f t="shared" si="84"/>
        <v>0320180030</v>
      </c>
      <c r="K1305" s="304" t="str">
        <f t="shared" si="85"/>
        <v>60910030320180030000</v>
      </c>
      <c r="L1305" s="17" t="str">
        <f>INDEX('реш СГД № 265'!$A:$N,MATCH('БА расх 2018 31 12 2018'!$K1305,'реш СГД № 265'!$N:$N,0),3)</f>
        <v>Выплата ежемесячного пособия малообеспеченной многодетной семье, имеющей детей в возрасте до 3 лет, и малообеспеченной одинокой матери, имеющей детей в возрасте от 1,5 до 3 лет</v>
      </c>
      <c r="M1305" s="16">
        <f t="shared" si="86"/>
        <v>1</v>
      </c>
    </row>
    <row r="1306" spans="1:13" s="17" customFormat="1" ht="15.75">
      <c r="A1306" s="14"/>
      <c r="B1306" s="132" t="s">
        <v>493</v>
      </c>
      <c r="C1306" s="109" t="s">
        <v>595</v>
      </c>
      <c r="D1306" s="108" t="s">
        <v>317</v>
      </c>
      <c r="E1306" s="108" t="s">
        <v>13</v>
      </c>
      <c r="F1306" s="108" t="s">
        <v>636</v>
      </c>
      <c r="G1306" s="108" t="s">
        <v>494</v>
      </c>
      <c r="H1306" s="126">
        <v>4978500</v>
      </c>
      <c r="I1306" s="108">
        <v>320180030</v>
      </c>
      <c r="J1306" s="108" t="str">
        <f t="shared" si="84"/>
        <v>0320180030</v>
      </c>
      <c r="K1306" s="304" t="str">
        <f t="shared" si="85"/>
        <v>60910030320180030310</v>
      </c>
      <c r="L1306" s="17" t="str">
        <f>INDEX('реш СГД № 265'!$A:$N,MATCH('БА расх 2018 31 12 2018'!$K1306,'реш СГД № 265'!$N:$N,0),3)</f>
        <v>Публичные нормативные социальные выплаты гражданам</v>
      </c>
      <c r="M1306" s="16">
        <f t="shared" si="86"/>
        <v>1</v>
      </c>
    </row>
    <row r="1307" spans="1:13" s="17" customFormat="1" ht="31.5">
      <c r="A1307" s="14"/>
      <c r="B1307" s="127" t="s">
        <v>495</v>
      </c>
      <c r="C1307" s="109" t="s">
        <v>595</v>
      </c>
      <c r="D1307" s="108" t="s">
        <v>317</v>
      </c>
      <c r="E1307" s="108" t="s">
        <v>13</v>
      </c>
      <c r="F1307" s="108" t="s">
        <v>636</v>
      </c>
      <c r="G1307" s="108" t="s">
        <v>496</v>
      </c>
      <c r="H1307" s="126">
        <v>4978500</v>
      </c>
      <c r="I1307" s="108">
        <v>320180030</v>
      </c>
      <c r="J1307" s="108" t="str">
        <f t="shared" si="84"/>
        <v>0320180030</v>
      </c>
      <c r="K1307" s="304" t="str">
        <f t="shared" si="85"/>
        <v>60910030320180030313</v>
      </c>
      <c r="M1307" s="16"/>
    </row>
    <row r="1308" spans="1:13" s="17" customFormat="1" ht="47.25">
      <c r="A1308" s="14"/>
      <c r="B1308" s="149" t="s">
        <v>637</v>
      </c>
      <c r="C1308" s="109" t="s">
        <v>595</v>
      </c>
      <c r="D1308" s="108" t="s">
        <v>317</v>
      </c>
      <c r="E1308" s="108" t="s">
        <v>13</v>
      </c>
      <c r="F1308" s="108" t="s">
        <v>638</v>
      </c>
      <c r="G1308" s="108" t="s">
        <v>9</v>
      </c>
      <c r="H1308" s="126">
        <v>715057.05</v>
      </c>
      <c r="I1308" s="108">
        <v>320180070</v>
      </c>
      <c r="J1308" s="108" t="str">
        <f t="shared" si="84"/>
        <v>0320180070</v>
      </c>
      <c r="K1308" s="304" t="str">
        <f t="shared" si="85"/>
        <v>60910030320180070000</v>
      </c>
      <c r="L1308" s="17" t="str">
        <f>INDEX('реш СГД № 265'!$A:$N,MATCH('БА расх 2018 31 12 2018'!$K1308,'реш СГД № 265'!$N:$N,0),3)</f>
        <v>Осуществление ежемесячной денежной выплаты ветеранам боевых действий из числа лиц, принимавших участие в боевых действиях на территориях других государств</v>
      </c>
      <c r="M1308" s="16">
        <f t="shared" si="86"/>
        <v>1</v>
      </c>
    </row>
    <row r="1309" spans="1:13" s="17" customFormat="1" ht="15.75">
      <c r="A1309" s="14"/>
      <c r="B1309" s="132" t="s">
        <v>493</v>
      </c>
      <c r="C1309" s="109" t="s">
        <v>595</v>
      </c>
      <c r="D1309" s="108" t="s">
        <v>317</v>
      </c>
      <c r="E1309" s="108" t="s">
        <v>13</v>
      </c>
      <c r="F1309" s="108" t="s">
        <v>638</v>
      </c>
      <c r="G1309" s="108" t="s">
        <v>494</v>
      </c>
      <c r="H1309" s="126">
        <v>715057.05</v>
      </c>
      <c r="I1309" s="108">
        <v>320180070</v>
      </c>
      <c r="J1309" s="108" t="str">
        <f t="shared" si="84"/>
        <v>0320180070</v>
      </c>
      <c r="K1309" s="304" t="str">
        <f t="shared" si="85"/>
        <v>60910030320180070310</v>
      </c>
      <c r="L1309" s="17" t="str">
        <f>INDEX('реш СГД № 265'!$A:$N,MATCH('БА расх 2018 31 12 2018'!$K1309,'реш СГД № 265'!$N:$N,0),3)</f>
        <v>Публичные нормативные социальные выплаты гражданам</v>
      </c>
      <c r="M1309" s="16">
        <f t="shared" si="86"/>
        <v>1</v>
      </c>
    </row>
    <row r="1310" spans="1:13" s="17" customFormat="1" ht="31.5">
      <c r="A1310" s="14"/>
      <c r="B1310" s="127" t="s">
        <v>495</v>
      </c>
      <c r="C1310" s="109" t="s">
        <v>595</v>
      </c>
      <c r="D1310" s="108" t="s">
        <v>317</v>
      </c>
      <c r="E1310" s="108" t="s">
        <v>13</v>
      </c>
      <c r="F1310" s="108" t="s">
        <v>638</v>
      </c>
      <c r="G1310" s="108" t="s">
        <v>496</v>
      </c>
      <c r="H1310" s="126">
        <v>715057.05</v>
      </c>
      <c r="I1310" s="108">
        <v>320180070</v>
      </c>
      <c r="J1310" s="108" t="str">
        <f t="shared" si="84"/>
        <v>0320180070</v>
      </c>
      <c r="K1310" s="304" t="str">
        <f t="shared" si="85"/>
        <v>60910030320180070313</v>
      </c>
      <c r="M1310" s="16"/>
    </row>
    <row r="1311" spans="1:13" s="17" customFormat="1" ht="31.5">
      <c r="A1311" s="14"/>
      <c r="B1311" s="149" t="s">
        <v>639</v>
      </c>
      <c r="C1311" s="109" t="s">
        <v>595</v>
      </c>
      <c r="D1311" s="108" t="s">
        <v>317</v>
      </c>
      <c r="E1311" s="108" t="s">
        <v>13</v>
      </c>
      <c r="F1311" s="108" t="s">
        <v>640</v>
      </c>
      <c r="G1311" s="108" t="s">
        <v>9</v>
      </c>
      <c r="H1311" s="126">
        <v>1435389.49</v>
      </c>
      <c r="I1311" s="108">
        <v>320180080</v>
      </c>
      <c r="J1311" s="108" t="str">
        <f t="shared" si="84"/>
        <v>0320180080</v>
      </c>
      <c r="K1311" s="304" t="str">
        <f t="shared" si="85"/>
        <v>60910030320180080000</v>
      </c>
      <c r="L1311" s="17" t="str">
        <f>INDEX('реш СГД № 265'!$A:$N,MATCH('БА расх 2018 31 12 2018'!$K1311,'реш СГД № 265'!$N:$N,0),3)</f>
        <v>Предоставление мер социальной поддержки Почетным гражданам города Ставрополя</v>
      </c>
      <c r="M1311" s="16">
        <f t="shared" si="86"/>
        <v>1</v>
      </c>
    </row>
    <row r="1312" spans="1:13" s="17" customFormat="1" ht="15.75">
      <c r="A1312" s="14"/>
      <c r="B1312" s="132" t="s">
        <v>493</v>
      </c>
      <c r="C1312" s="109" t="s">
        <v>595</v>
      </c>
      <c r="D1312" s="108" t="s">
        <v>317</v>
      </c>
      <c r="E1312" s="108" t="s">
        <v>13</v>
      </c>
      <c r="F1312" s="108" t="s">
        <v>640</v>
      </c>
      <c r="G1312" s="108" t="s">
        <v>494</v>
      </c>
      <c r="H1312" s="126">
        <v>1435389.49</v>
      </c>
      <c r="I1312" s="108">
        <v>320180080</v>
      </c>
      <c r="J1312" s="108" t="str">
        <f t="shared" si="84"/>
        <v>0320180080</v>
      </c>
      <c r="K1312" s="304" t="str">
        <f t="shared" si="85"/>
        <v>60910030320180080310</v>
      </c>
      <c r="L1312" s="17" t="str">
        <f>INDEX('реш СГД № 265'!$A:$N,MATCH('БА расх 2018 31 12 2018'!$K1312,'реш СГД № 265'!$N:$N,0),3)</f>
        <v>Публичные нормативные социальные выплаты гражданам</v>
      </c>
      <c r="M1312" s="16">
        <f t="shared" si="86"/>
        <v>1</v>
      </c>
    </row>
    <row r="1313" spans="1:13" s="17" customFormat="1" ht="31.5">
      <c r="A1313" s="14"/>
      <c r="B1313" s="127" t="s">
        <v>495</v>
      </c>
      <c r="C1313" s="109" t="s">
        <v>595</v>
      </c>
      <c r="D1313" s="108" t="s">
        <v>317</v>
      </c>
      <c r="E1313" s="108" t="s">
        <v>13</v>
      </c>
      <c r="F1313" s="108" t="s">
        <v>640</v>
      </c>
      <c r="G1313" s="108" t="s">
        <v>496</v>
      </c>
      <c r="H1313" s="126">
        <v>1435389.49</v>
      </c>
      <c r="I1313" s="108">
        <v>320180080</v>
      </c>
      <c r="J1313" s="108" t="str">
        <f t="shared" si="84"/>
        <v>0320180080</v>
      </c>
      <c r="K1313" s="304" t="str">
        <f t="shared" si="85"/>
        <v>60910030320180080313</v>
      </c>
      <c r="M1313" s="16"/>
    </row>
    <row r="1314" spans="1:13" s="17" customFormat="1" ht="31.5">
      <c r="A1314" s="14"/>
      <c r="B1314" s="149" t="s">
        <v>641</v>
      </c>
      <c r="C1314" s="109" t="s">
        <v>595</v>
      </c>
      <c r="D1314" s="108" t="s">
        <v>317</v>
      </c>
      <c r="E1314" s="108" t="s">
        <v>13</v>
      </c>
      <c r="F1314" s="108" t="s">
        <v>642</v>
      </c>
      <c r="G1314" s="108" t="s">
        <v>9</v>
      </c>
      <c r="H1314" s="126">
        <v>5914500</v>
      </c>
      <c r="I1314" s="108">
        <v>320180100</v>
      </c>
      <c r="J1314" s="108" t="str">
        <f t="shared" si="84"/>
        <v>0320180100</v>
      </c>
      <c r="K1314" s="304" t="str">
        <f t="shared" si="85"/>
        <v>60910030320180100000</v>
      </c>
      <c r="L1314" s="17" t="str">
        <f>INDEX('реш СГД № 265'!$A:$N,MATCH('БА расх 2018 31 12 2018'!$K1314,'реш СГД № 265'!$N:$N,0),3)</f>
        <v>Осуществление ежемесячной дополнительной выплаты семьям, воспитывающим детей-инвалидов</v>
      </c>
      <c r="M1314" s="16">
        <f t="shared" si="86"/>
        <v>1</v>
      </c>
    </row>
    <row r="1315" spans="1:13" s="17" customFormat="1" ht="15.75">
      <c r="A1315" s="14"/>
      <c r="B1315" s="132" t="s">
        <v>493</v>
      </c>
      <c r="C1315" s="109" t="s">
        <v>595</v>
      </c>
      <c r="D1315" s="108" t="s">
        <v>317</v>
      </c>
      <c r="E1315" s="108" t="s">
        <v>13</v>
      </c>
      <c r="F1315" s="108" t="s">
        <v>642</v>
      </c>
      <c r="G1315" s="108" t="s">
        <v>494</v>
      </c>
      <c r="H1315" s="126">
        <v>5914500</v>
      </c>
      <c r="I1315" s="108">
        <v>320180100</v>
      </c>
      <c r="J1315" s="108" t="str">
        <f t="shared" si="84"/>
        <v>0320180100</v>
      </c>
      <c r="K1315" s="304" t="str">
        <f t="shared" si="85"/>
        <v>60910030320180100310</v>
      </c>
      <c r="L1315" s="17" t="str">
        <f>INDEX('реш СГД № 265'!$A:$N,MATCH('БА расх 2018 31 12 2018'!$K1315,'реш СГД № 265'!$N:$N,0),3)</f>
        <v>Публичные нормативные социальные выплаты гражданам</v>
      </c>
      <c r="M1315" s="16">
        <f t="shared" si="86"/>
        <v>1</v>
      </c>
    </row>
    <row r="1316" spans="1:13" s="17" customFormat="1" ht="31.5">
      <c r="A1316" s="14"/>
      <c r="B1316" s="127" t="s">
        <v>495</v>
      </c>
      <c r="C1316" s="109" t="s">
        <v>595</v>
      </c>
      <c r="D1316" s="108" t="s">
        <v>317</v>
      </c>
      <c r="E1316" s="108" t="s">
        <v>13</v>
      </c>
      <c r="F1316" s="108" t="s">
        <v>642</v>
      </c>
      <c r="G1316" s="108" t="s">
        <v>496</v>
      </c>
      <c r="H1316" s="126">
        <v>5914500</v>
      </c>
      <c r="I1316" s="108">
        <v>320180100</v>
      </c>
      <c r="J1316" s="108" t="str">
        <f t="shared" si="84"/>
        <v>0320180100</v>
      </c>
      <c r="K1316" s="304" t="str">
        <f t="shared" si="85"/>
        <v>60910030320180100313</v>
      </c>
      <c r="M1316" s="16"/>
    </row>
    <row r="1317" spans="1:13" s="17" customFormat="1" ht="47.25">
      <c r="A1317" s="14"/>
      <c r="B1317" s="149" t="s">
        <v>643</v>
      </c>
      <c r="C1317" s="109" t="s">
        <v>595</v>
      </c>
      <c r="D1317" s="108" t="s">
        <v>317</v>
      </c>
      <c r="E1317" s="108" t="s">
        <v>13</v>
      </c>
      <c r="F1317" s="108" t="s">
        <v>644</v>
      </c>
      <c r="G1317" s="108" t="s">
        <v>9</v>
      </c>
      <c r="H1317" s="126">
        <v>1131480</v>
      </c>
      <c r="I1317" s="108">
        <v>320180110</v>
      </c>
      <c r="J1317" s="108" t="str">
        <f t="shared" si="84"/>
        <v>0320180110</v>
      </c>
      <c r="K1317" s="304" t="str">
        <f t="shared" si="85"/>
        <v>60910030320180110000</v>
      </c>
      <c r="L1317" s="17" t="str">
        <f>INDEX('реш СГД № 265'!$A:$N,MATCH('БА расх 2018 31 12 2018'!$K1317,'реш СГД № 265'!$N:$N,0),3)</f>
        <v>Выплата ежемесячного социального пособия на проезд в пассажирском транспорте общего пользования детям-инвалидам</v>
      </c>
      <c r="M1317" s="16">
        <f t="shared" si="86"/>
        <v>1</v>
      </c>
    </row>
    <row r="1318" spans="1:13" s="17" customFormat="1" ht="15.75">
      <c r="A1318" s="14"/>
      <c r="B1318" s="132" t="s">
        <v>493</v>
      </c>
      <c r="C1318" s="109" t="s">
        <v>595</v>
      </c>
      <c r="D1318" s="108" t="s">
        <v>317</v>
      </c>
      <c r="E1318" s="108" t="s">
        <v>13</v>
      </c>
      <c r="F1318" s="108" t="s">
        <v>644</v>
      </c>
      <c r="G1318" s="108" t="s">
        <v>494</v>
      </c>
      <c r="H1318" s="126">
        <v>1131480</v>
      </c>
      <c r="I1318" s="108">
        <v>320180110</v>
      </c>
      <c r="J1318" s="108" t="str">
        <f t="shared" si="84"/>
        <v>0320180110</v>
      </c>
      <c r="K1318" s="304" t="str">
        <f t="shared" si="85"/>
        <v>60910030320180110310</v>
      </c>
      <c r="L1318" s="17" t="str">
        <f>INDEX('реш СГД № 265'!$A:$N,MATCH('БА расх 2018 31 12 2018'!$K1318,'реш СГД № 265'!$N:$N,0),3)</f>
        <v>Публичные нормативные социальные выплаты гражданам</v>
      </c>
      <c r="M1318" s="16">
        <f t="shared" si="86"/>
        <v>1</v>
      </c>
    </row>
    <row r="1319" spans="1:13" s="17" customFormat="1" ht="31.5">
      <c r="A1319" s="14"/>
      <c r="B1319" s="127" t="s">
        <v>495</v>
      </c>
      <c r="C1319" s="109" t="s">
        <v>595</v>
      </c>
      <c r="D1319" s="108" t="s">
        <v>317</v>
      </c>
      <c r="E1319" s="108" t="s">
        <v>13</v>
      </c>
      <c r="F1319" s="108" t="s">
        <v>644</v>
      </c>
      <c r="G1319" s="108" t="s">
        <v>496</v>
      </c>
      <c r="H1319" s="126">
        <v>1131480</v>
      </c>
      <c r="I1319" s="108">
        <v>320180110</v>
      </c>
      <c r="J1319" s="108" t="str">
        <f t="shared" si="84"/>
        <v>0320180110</v>
      </c>
      <c r="K1319" s="304" t="str">
        <f t="shared" si="85"/>
        <v>60910030320180110313</v>
      </c>
      <c r="M1319" s="16"/>
    </row>
    <row r="1320" spans="1:13" s="17" customFormat="1" ht="141.75">
      <c r="A1320" s="14"/>
      <c r="B1320" s="149" t="s">
        <v>645</v>
      </c>
      <c r="C1320" s="109" t="s">
        <v>595</v>
      </c>
      <c r="D1320" s="108" t="s">
        <v>317</v>
      </c>
      <c r="E1320" s="108" t="s">
        <v>13</v>
      </c>
      <c r="F1320" s="108" t="s">
        <v>646</v>
      </c>
      <c r="G1320" s="108" t="s">
        <v>9</v>
      </c>
      <c r="H1320" s="126">
        <v>1022220</v>
      </c>
      <c r="I1320" s="108">
        <v>320180120</v>
      </c>
      <c r="J1320" s="108" t="str">
        <f t="shared" si="84"/>
        <v>0320180120</v>
      </c>
      <c r="K1320" s="304" t="str">
        <f t="shared" ref="K1320:K1380" si="87">C1320&amp;D1320&amp;E1320&amp;J1320&amp;G1320</f>
        <v>60910030320180120000</v>
      </c>
      <c r="L1320" s="17" t="str">
        <f>INDEX('реш СГД № 265'!$A:$N,MATCH('БА расх 2018 31 12 2018'!$K1320,'реш СГД № 265'!$N:$N,0),3)</f>
        <v>Выплата ежемесячного социального пособия на проезд в муниципальном транспорте общего пользования членам семей погибших военнослужащих, лиц рядового и начальствующего состава органов внутренних дел и сотрудников учреждений и органов уголовно-исполнительной системы, а также членам руководящих органов отдельных городских общественных организаций ветеранов, инвалидов и лиц, пострадавших от политических репрессий, чья деятельность связана с разъездами</v>
      </c>
      <c r="M1320" s="16">
        <f t="shared" si="86"/>
        <v>1</v>
      </c>
    </row>
    <row r="1321" spans="1:13" s="17" customFormat="1" ht="15.75">
      <c r="A1321" s="14"/>
      <c r="B1321" s="132" t="s">
        <v>493</v>
      </c>
      <c r="C1321" s="109" t="s">
        <v>595</v>
      </c>
      <c r="D1321" s="108" t="s">
        <v>317</v>
      </c>
      <c r="E1321" s="108" t="s">
        <v>13</v>
      </c>
      <c r="F1321" s="108" t="s">
        <v>646</v>
      </c>
      <c r="G1321" s="108" t="s">
        <v>494</v>
      </c>
      <c r="H1321" s="126">
        <v>1022220</v>
      </c>
      <c r="I1321" s="108">
        <v>320180120</v>
      </c>
      <c r="J1321" s="108" t="str">
        <f t="shared" ref="J1321:J1381" si="88">TEXT(I1321,"0000000000")</f>
        <v>0320180120</v>
      </c>
      <c r="K1321" s="304" t="str">
        <f t="shared" si="87"/>
        <v>60910030320180120310</v>
      </c>
      <c r="L1321" s="17" t="str">
        <f>INDEX('реш СГД № 265'!$A:$N,MATCH('БА расх 2018 31 12 2018'!$K1321,'реш СГД № 265'!$N:$N,0),3)</f>
        <v>Публичные нормативные социальные выплаты гражданам</v>
      </c>
      <c r="M1321" s="16">
        <f t="shared" ref="M1321:M1381" si="89">IF(B1321=L1321,1,0)</f>
        <v>1</v>
      </c>
    </row>
    <row r="1322" spans="1:13" s="17" customFormat="1" ht="31.5">
      <c r="A1322" s="14"/>
      <c r="B1322" s="127" t="s">
        <v>495</v>
      </c>
      <c r="C1322" s="109" t="s">
        <v>595</v>
      </c>
      <c r="D1322" s="108" t="s">
        <v>317</v>
      </c>
      <c r="E1322" s="108" t="s">
        <v>13</v>
      </c>
      <c r="F1322" s="108" t="s">
        <v>646</v>
      </c>
      <c r="G1322" s="108" t="s">
        <v>496</v>
      </c>
      <c r="H1322" s="126">
        <v>1022220</v>
      </c>
      <c r="I1322" s="108">
        <v>320180120</v>
      </c>
      <c r="J1322" s="108" t="str">
        <f t="shared" si="88"/>
        <v>0320180120</v>
      </c>
      <c r="K1322" s="304" t="str">
        <f t="shared" si="87"/>
        <v>60910030320180120313</v>
      </c>
      <c r="M1322" s="16"/>
    </row>
    <row r="1323" spans="1:13" s="17" customFormat="1" ht="47.25">
      <c r="A1323" s="14"/>
      <c r="B1323" s="149" t="s">
        <v>647</v>
      </c>
      <c r="C1323" s="109" t="s">
        <v>595</v>
      </c>
      <c r="D1323" s="108" t="s">
        <v>317</v>
      </c>
      <c r="E1323" s="108" t="s">
        <v>13</v>
      </c>
      <c r="F1323" s="108" t="s">
        <v>648</v>
      </c>
      <c r="G1323" s="108" t="s">
        <v>9</v>
      </c>
      <c r="H1323" s="126">
        <v>587000</v>
      </c>
      <c r="I1323" s="108">
        <v>320180140</v>
      </c>
      <c r="J1323" s="108" t="str">
        <f t="shared" si="88"/>
        <v>0320180140</v>
      </c>
      <c r="K1323" s="304" t="str">
        <f t="shared" si="87"/>
        <v>60910030320180140000</v>
      </c>
      <c r="L1323" s="17" t="str">
        <f>INDEX('реш СГД № 265'!$A:$N,MATCH('БА расх 2018 31 12 2018'!$K1323,'реш СГД № 265'!$N:$N,0),3)</f>
        <v>Выплата ежемесячного пособия семьям, воспитывающим детей в возрасте до 18 лет, больных целиакией или сахарным диабетом</v>
      </c>
      <c r="M1323" s="16">
        <f t="shared" si="89"/>
        <v>1</v>
      </c>
    </row>
    <row r="1324" spans="1:13" s="17" customFormat="1" ht="15.75">
      <c r="A1324" s="14"/>
      <c r="B1324" s="132" t="s">
        <v>493</v>
      </c>
      <c r="C1324" s="109" t="s">
        <v>595</v>
      </c>
      <c r="D1324" s="108" t="s">
        <v>317</v>
      </c>
      <c r="E1324" s="108" t="s">
        <v>13</v>
      </c>
      <c r="F1324" s="108" t="s">
        <v>648</v>
      </c>
      <c r="G1324" s="108" t="s">
        <v>494</v>
      </c>
      <c r="H1324" s="126">
        <v>587000</v>
      </c>
      <c r="I1324" s="108">
        <v>320180140</v>
      </c>
      <c r="J1324" s="108" t="str">
        <f t="shared" si="88"/>
        <v>0320180140</v>
      </c>
      <c r="K1324" s="304" t="str">
        <f t="shared" si="87"/>
        <v>60910030320180140310</v>
      </c>
      <c r="L1324" s="17" t="str">
        <f>INDEX('реш СГД № 265'!$A:$N,MATCH('БА расх 2018 31 12 2018'!$K1324,'реш СГД № 265'!$N:$N,0),3)</f>
        <v>Публичные нормативные социальные выплаты гражданам</v>
      </c>
      <c r="M1324" s="16">
        <f t="shared" si="89"/>
        <v>1</v>
      </c>
    </row>
    <row r="1325" spans="1:13" s="17" customFormat="1" ht="31.5">
      <c r="A1325" s="14"/>
      <c r="B1325" s="127" t="s">
        <v>495</v>
      </c>
      <c r="C1325" s="109" t="s">
        <v>595</v>
      </c>
      <c r="D1325" s="108" t="s">
        <v>317</v>
      </c>
      <c r="E1325" s="108" t="s">
        <v>13</v>
      </c>
      <c r="F1325" s="108" t="s">
        <v>648</v>
      </c>
      <c r="G1325" s="108" t="s">
        <v>496</v>
      </c>
      <c r="H1325" s="126">
        <v>587000</v>
      </c>
      <c r="I1325" s="108">
        <v>320180140</v>
      </c>
      <c r="J1325" s="108" t="str">
        <f t="shared" si="88"/>
        <v>0320180140</v>
      </c>
      <c r="K1325" s="304" t="str">
        <f t="shared" si="87"/>
        <v>60910030320180140313</v>
      </c>
      <c r="M1325" s="16"/>
    </row>
    <row r="1326" spans="1:13" s="17" customFormat="1" ht="78.75">
      <c r="A1326" s="14"/>
      <c r="B1326" s="149" t="s">
        <v>649</v>
      </c>
      <c r="C1326" s="109" t="s">
        <v>595</v>
      </c>
      <c r="D1326" s="108" t="s">
        <v>317</v>
      </c>
      <c r="E1326" s="108" t="s">
        <v>13</v>
      </c>
      <c r="F1326" s="108" t="s">
        <v>650</v>
      </c>
      <c r="G1326" s="108" t="s">
        <v>9</v>
      </c>
      <c r="H1326" s="126">
        <v>300000</v>
      </c>
      <c r="I1326" s="108">
        <v>320180150</v>
      </c>
      <c r="J1326" s="108" t="str">
        <f t="shared" si="88"/>
        <v>0320180150</v>
      </c>
      <c r="K1326" s="304" t="str">
        <f t="shared" si="87"/>
        <v>60910030320180150000</v>
      </c>
      <c r="L1326" s="17" t="str">
        <f>INDEX('реш СГД № 265'!$A:$N,MATCH('БА расх 2018 31 12 2018'!$K1326,'реш СГД № 265'!$N:$N,0),3)</f>
        <v>Выплата единовременного пособия на ремонт жилых помещений одиноким и одиноко проживающим участникам и инвалидам Великой Отечественной войны, труженикам тыла, вдовам погибших (умерших) участников Великой Отечественной войны</v>
      </c>
      <c r="M1326" s="16">
        <f t="shared" si="89"/>
        <v>1</v>
      </c>
    </row>
    <row r="1327" spans="1:13" s="17" customFormat="1" ht="15.75">
      <c r="A1327" s="14"/>
      <c r="B1327" s="132" t="s">
        <v>493</v>
      </c>
      <c r="C1327" s="109" t="s">
        <v>595</v>
      </c>
      <c r="D1327" s="108" t="s">
        <v>317</v>
      </c>
      <c r="E1327" s="108" t="s">
        <v>13</v>
      </c>
      <c r="F1327" s="108" t="s">
        <v>650</v>
      </c>
      <c r="G1327" s="108" t="s">
        <v>494</v>
      </c>
      <c r="H1327" s="126">
        <v>300000</v>
      </c>
      <c r="I1327" s="108">
        <v>320180150</v>
      </c>
      <c r="J1327" s="108" t="str">
        <f t="shared" si="88"/>
        <v>0320180150</v>
      </c>
      <c r="K1327" s="304" t="str">
        <f t="shared" si="87"/>
        <v>60910030320180150310</v>
      </c>
      <c r="L1327" s="17" t="str">
        <f>INDEX('реш СГД № 265'!$A:$N,MATCH('БА расх 2018 31 12 2018'!$K1327,'реш СГД № 265'!$N:$N,0),3)</f>
        <v>Публичные нормативные социальные выплаты гражданам</v>
      </c>
      <c r="M1327" s="16">
        <f t="shared" si="89"/>
        <v>1</v>
      </c>
    </row>
    <row r="1328" spans="1:13" s="17" customFormat="1" ht="31.5">
      <c r="A1328" s="14"/>
      <c r="B1328" s="127" t="s">
        <v>495</v>
      </c>
      <c r="C1328" s="109" t="s">
        <v>595</v>
      </c>
      <c r="D1328" s="108" t="s">
        <v>317</v>
      </c>
      <c r="E1328" s="108" t="s">
        <v>13</v>
      </c>
      <c r="F1328" s="108" t="s">
        <v>650</v>
      </c>
      <c r="G1328" s="108" t="s">
        <v>496</v>
      </c>
      <c r="H1328" s="126">
        <v>300000</v>
      </c>
      <c r="I1328" s="108">
        <v>320180150</v>
      </c>
      <c r="J1328" s="108" t="str">
        <f t="shared" si="88"/>
        <v>0320180150</v>
      </c>
      <c r="K1328" s="304" t="str">
        <f t="shared" si="87"/>
        <v>60910030320180150313</v>
      </c>
      <c r="M1328" s="16"/>
    </row>
    <row r="1329" spans="1:13" s="17" customFormat="1" ht="31.5">
      <c r="A1329" s="14"/>
      <c r="B1329" s="149" t="s">
        <v>651</v>
      </c>
      <c r="C1329" s="109" t="s">
        <v>595</v>
      </c>
      <c r="D1329" s="108" t="s">
        <v>317</v>
      </c>
      <c r="E1329" s="108" t="s">
        <v>13</v>
      </c>
      <c r="F1329" s="108" t="s">
        <v>652</v>
      </c>
      <c r="G1329" s="108" t="s">
        <v>9</v>
      </c>
      <c r="H1329" s="126">
        <v>1020000</v>
      </c>
      <c r="I1329" s="108">
        <v>320180160</v>
      </c>
      <c r="J1329" s="108" t="str">
        <f t="shared" si="88"/>
        <v>0320180160</v>
      </c>
      <c r="K1329" s="304" t="str">
        <f t="shared" si="87"/>
        <v>60910030320180160000</v>
      </c>
      <c r="L1329" s="17" t="str">
        <f>INDEX('реш СГД № 265'!$A:$N,MATCH('БА расх 2018 31 12 2018'!$K1329,'реш СГД № 265'!$N:$N,0),3)</f>
        <v>Выплата единовременного пособия гражданам, оказавшимся в трудной жизненной ситуации</v>
      </c>
      <c r="M1329" s="16">
        <f t="shared" si="89"/>
        <v>1</v>
      </c>
    </row>
    <row r="1330" spans="1:13" s="17" customFormat="1" ht="15.75">
      <c r="A1330" s="14"/>
      <c r="B1330" s="132" t="s">
        <v>493</v>
      </c>
      <c r="C1330" s="109" t="s">
        <v>595</v>
      </c>
      <c r="D1330" s="108" t="s">
        <v>317</v>
      </c>
      <c r="E1330" s="108" t="s">
        <v>13</v>
      </c>
      <c r="F1330" s="108" t="s">
        <v>652</v>
      </c>
      <c r="G1330" s="108" t="s">
        <v>494</v>
      </c>
      <c r="H1330" s="126">
        <v>1020000</v>
      </c>
      <c r="I1330" s="108">
        <v>320180160</v>
      </c>
      <c r="J1330" s="108" t="str">
        <f t="shared" si="88"/>
        <v>0320180160</v>
      </c>
      <c r="K1330" s="304" t="str">
        <f t="shared" si="87"/>
        <v>60910030320180160310</v>
      </c>
      <c r="L1330" s="17" t="str">
        <f>INDEX('реш СГД № 265'!$A:$N,MATCH('БА расх 2018 31 12 2018'!$K1330,'реш СГД № 265'!$N:$N,0),3)</f>
        <v>Публичные нормативные социальные выплаты гражданам</v>
      </c>
      <c r="M1330" s="16">
        <f t="shared" si="89"/>
        <v>1</v>
      </c>
    </row>
    <row r="1331" spans="1:13" s="17" customFormat="1" ht="31.5">
      <c r="A1331" s="14"/>
      <c r="B1331" s="127" t="s">
        <v>495</v>
      </c>
      <c r="C1331" s="109" t="s">
        <v>595</v>
      </c>
      <c r="D1331" s="108" t="s">
        <v>317</v>
      </c>
      <c r="E1331" s="108" t="s">
        <v>13</v>
      </c>
      <c r="F1331" s="108" t="s">
        <v>652</v>
      </c>
      <c r="G1331" s="108" t="s">
        <v>496</v>
      </c>
      <c r="H1331" s="126">
        <v>1020000</v>
      </c>
      <c r="I1331" s="108">
        <v>320180160</v>
      </c>
      <c r="J1331" s="108" t="str">
        <f t="shared" si="88"/>
        <v>0320180160</v>
      </c>
      <c r="K1331" s="304" t="str">
        <f t="shared" si="87"/>
        <v>60910030320180160313</v>
      </c>
      <c r="M1331" s="16"/>
    </row>
    <row r="1332" spans="1:13" s="4" customFormat="1" ht="31.5">
      <c r="A1332" s="1"/>
      <c r="B1332" s="149" t="s">
        <v>653</v>
      </c>
      <c r="C1332" s="109" t="s">
        <v>595</v>
      </c>
      <c r="D1332" s="108" t="s">
        <v>317</v>
      </c>
      <c r="E1332" s="108" t="s">
        <v>13</v>
      </c>
      <c r="F1332" s="108" t="s">
        <v>654</v>
      </c>
      <c r="G1332" s="108" t="s">
        <v>9</v>
      </c>
      <c r="H1332" s="126">
        <v>1854000</v>
      </c>
      <c r="I1332" s="108">
        <v>320180180</v>
      </c>
      <c r="J1332" s="108" t="str">
        <f t="shared" si="88"/>
        <v>0320180180</v>
      </c>
      <c r="K1332" s="304" t="str">
        <f t="shared" si="87"/>
        <v>60910030320180180000</v>
      </c>
      <c r="L1332" s="17" t="str">
        <f>INDEX('реш СГД № 265'!$A:$N,MATCH('БА расх 2018 31 12 2018'!$K1332,'реш СГД № 265'!$N:$N,0),3)</f>
        <v>Выплата семьям, воспитывающим детей-инвалидов в возрасте до 18 лет</v>
      </c>
      <c r="M1332" s="16">
        <f t="shared" si="89"/>
        <v>1</v>
      </c>
    </row>
    <row r="1333" spans="1:13" s="4" customFormat="1" ht="15.75">
      <c r="A1333" s="1"/>
      <c r="B1333" s="132" t="s">
        <v>493</v>
      </c>
      <c r="C1333" s="109" t="s">
        <v>595</v>
      </c>
      <c r="D1333" s="108" t="s">
        <v>317</v>
      </c>
      <c r="E1333" s="108" t="s">
        <v>13</v>
      </c>
      <c r="F1333" s="108" t="s">
        <v>654</v>
      </c>
      <c r="G1333" s="108" t="s">
        <v>494</v>
      </c>
      <c r="H1333" s="126">
        <v>1854000</v>
      </c>
      <c r="I1333" s="108">
        <v>320180180</v>
      </c>
      <c r="J1333" s="108" t="str">
        <f t="shared" si="88"/>
        <v>0320180180</v>
      </c>
      <c r="K1333" s="304" t="str">
        <f t="shared" si="87"/>
        <v>60910030320180180310</v>
      </c>
      <c r="L1333" s="17" t="str">
        <f>INDEX('реш СГД № 265'!$A:$N,MATCH('БА расх 2018 31 12 2018'!$K1333,'реш СГД № 265'!$N:$N,0),3)</f>
        <v>Публичные нормативные социальные выплаты гражданам</v>
      </c>
      <c r="M1333" s="16">
        <f t="shared" si="89"/>
        <v>1</v>
      </c>
    </row>
    <row r="1334" spans="1:13" s="4" customFormat="1" ht="31.5">
      <c r="A1334" s="1"/>
      <c r="B1334" s="127" t="s">
        <v>495</v>
      </c>
      <c r="C1334" s="109" t="s">
        <v>595</v>
      </c>
      <c r="D1334" s="108" t="s">
        <v>317</v>
      </c>
      <c r="E1334" s="108" t="s">
        <v>13</v>
      </c>
      <c r="F1334" s="108" t="s">
        <v>654</v>
      </c>
      <c r="G1334" s="108" t="s">
        <v>496</v>
      </c>
      <c r="H1334" s="126">
        <v>1854000</v>
      </c>
      <c r="I1334" s="108">
        <v>320180180</v>
      </c>
      <c r="J1334" s="108" t="str">
        <f t="shared" si="88"/>
        <v>0320180180</v>
      </c>
      <c r="K1334" s="304" t="str">
        <f t="shared" si="87"/>
        <v>60910030320180180313</v>
      </c>
      <c r="L1334" s="17"/>
      <c r="M1334" s="16"/>
    </row>
    <row r="1335" spans="1:13" s="4" customFormat="1" ht="78.75">
      <c r="A1335" s="1"/>
      <c r="B1335" s="149" t="s">
        <v>657</v>
      </c>
      <c r="C1335" s="109" t="s">
        <v>595</v>
      </c>
      <c r="D1335" s="108" t="s">
        <v>317</v>
      </c>
      <c r="E1335" s="108" t="s">
        <v>13</v>
      </c>
      <c r="F1335" s="108" t="s">
        <v>658</v>
      </c>
      <c r="G1335" s="108" t="s">
        <v>9</v>
      </c>
      <c r="H1335" s="126">
        <v>40000</v>
      </c>
      <c r="I1335" s="108">
        <v>320180210</v>
      </c>
      <c r="J1335" s="108" t="str">
        <f t="shared" si="88"/>
        <v>0320180210</v>
      </c>
      <c r="K1335" s="304" t="str">
        <f t="shared" si="87"/>
        <v>60910030320180210000</v>
      </c>
      <c r="L1335" s="17" t="str">
        <f>INDEX('реш СГД № 265'!$A:$N,MATCH('БА расх 2018 31 12 2018'!$K1335,'реш СГД № 265'!$N:$N,0),3)</f>
        <v>Выплата единовременного пособия ветеранам боевых действий, направленным на реабилитацию в Центр восстановительной терапии для воинов-интернационалистов 
им. М.А. Лиходея</v>
      </c>
      <c r="M1335" s="16">
        <f t="shared" si="89"/>
        <v>1</v>
      </c>
    </row>
    <row r="1336" spans="1:13" s="4" customFormat="1" ht="15.75">
      <c r="A1336" s="1"/>
      <c r="B1336" s="132" t="s">
        <v>493</v>
      </c>
      <c r="C1336" s="109" t="s">
        <v>595</v>
      </c>
      <c r="D1336" s="108" t="s">
        <v>317</v>
      </c>
      <c r="E1336" s="108" t="s">
        <v>13</v>
      </c>
      <c r="F1336" s="108" t="s">
        <v>658</v>
      </c>
      <c r="G1336" s="108" t="s">
        <v>494</v>
      </c>
      <c r="H1336" s="126">
        <v>40000</v>
      </c>
      <c r="I1336" s="108">
        <v>320180210</v>
      </c>
      <c r="J1336" s="108" t="str">
        <f t="shared" si="88"/>
        <v>0320180210</v>
      </c>
      <c r="K1336" s="304" t="str">
        <f t="shared" si="87"/>
        <v>60910030320180210310</v>
      </c>
      <c r="L1336" s="17" t="str">
        <f>INDEX('реш СГД № 265'!$A:$N,MATCH('БА расх 2018 31 12 2018'!$K1336,'реш СГД № 265'!$N:$N,0),3)</f>
        <v>Публичные нормативные социальные выплаты гражданам</v>
      </c>
      <c r="M1336" s="16">
        <f t="shared" si="89"/>
        <v>1</v>
      </c>
    </row>
    <row r="1337" spans="1:13" s="4" customFormat="1" ht="31.5">
      <c r="A1337" s="1"/>
      <c r="B1337" s="127" t="s">
        <v>495</v>
      </c>
      <c r="C1337" s="109" t="s">
        <v>595</v>
      </c>
      <c r="D1337" s="108" t="s">
        <v>317</v>
      </c>
      <c r="E1337" s="108" t="s">
        <v>13</v>
      </c>
      <c r="F1337" s="108" t="s">
        <v>658</v>
      </c>
      <c r="G1337" s="108" t="s">
        <v>496</v>
      </c>
      <c r="H1337" s="126">
        <v>40000</v>
      </c>
      <c r="I1337" s="108">
        <v>320180210</v>
      </c>
      <c r="J1337" s="108" t="str">
        <f t="shared" si="88"/>
        <v>0320180210</v>
      </c>
      <c r="K1337" s="304" t="str">
        <f t="shared" si="87"/>
        <v>60910030320180210313</v>
      </c>
      <c r="L1337" s="17"/>
      <c r="M1337" s="16"/>
    </row>
    <row r="1338" spans="1:13" s="4" customFormat="1" ht="31.5">
      <c r="A1338" s="1"/>
      <c r="B1338" s="149" t="s">
        <v>659</v>
      </c>
      <c r="C1338" s="109" t="s">
        <v>595</v>
      </c>
      <c r="D1338" s="108" t="s">
        <v>317</v>
      </c>
      <c r="E1338" s="108" t="s">
        <v>13</v>
      </c>
      <c r="F1338" s="108" t="s">
        <v>660</v>
      </c>
      <c r="G1338" s="108" t="s">
        <v>9</v>
      </c>
      <c r="H1338" s="126">
        <v>79488</v>
      </c>
      <c r="I1338" s="108">
        <v>320500000</v>
      </c>
      <c r="J1338" s="108" t="str">
        <f t="shared" si="88"/>
        <v>0320500000</v>
      </c>
      <c r="K1338" s="304" t="str">
        <f t="shared" si="87"/>
        <v>60910030320500000000</v>
      </c>
      <c r="L1338" s="17" t="str">
        <f>INDEX('реш СГД № 265'!$A:$N,MATCH('БА расх 2018 31 12 2018'!$K1338,'реш СГД № 265'!$N:$N,0),3)</f>
        <v>Основное мероприятие «Совершенствование социальной поддержки семьи и детей»</v>
      </c>
      <c r="M1338" s="16">
        <f t="shared" si="89"/>
        <v>1</v>
      </c>
    </row>
    <row r="1339" spans="1:13" s="4" customFormat="1" ht="31.5">
      <c r="A1339" s="1"/>
      <c r="B1339" s="135" t="s">
        <v>661</v>
      </c>
      <c r="C1339" s="109" t="s">
        <v>595</v>
      </c>
      <c r="D1339" s="108" t="s">
        <v>317</v>
      </c>
      <c r="E1339" s="108" t="s">
        <v>13</v>
      </c>
      <c r="F1339" s="108" t="s">
        <v>662</v>
      </c>
      <c r="G1339" s="108" t="s">
        <v>9</v>
      </c>
      <c r="H1339" s="126">
        <v>79488</v>
      </c>
      <c r="I1339" s="108">
        <v>320520500</v>
      </c>
      <c r="J1339" s="108" t="str">
        <f t="shared" si="88"/>
        <v>0320520500</v>
      </c>
      <c r="K1339" s="304" t="str">
        <f t="shared" si="87"/>
        <v>60910030320520500000</v>
      </c>
      <c r="L1339" s="17" t="str">
        <f>INDEX('реш СГД № 265'!$A:$N,MATCH('БА расх 2018 31 12 2018'!$K1339,'реш СГД № 265'!$N:$N,0),3)</f>
        <v>Расходы на реализацию мероприятий, направленных на социальную поддержку семьи и детей</v>
      </c>
      <c r="M1339" s="16">
        <f t="shared" si="89"/>
        <v>1</v>
      </c>
    </row>
    <row r="1340" spans="1:13" s="4" customFormat="1" ht="31.5">
      <c r="A1340" s="1"/>
      <c r="B1340" s="132" t="s">
        <v>327</v>
      </c>
      <c r="C1340" s="109" t="s">
        <v>595</v>
      </c>
      <c r="D1340" s="108" t="s">
        <v>317</v>
      </c>
      <c r="E1340" s="108" t="s">
        <v>13</v>
      </c>
      <c r="F1340" s="108" t="s">
        <v>662</v>
      </c>
      <c r="G1340" s="108" t="s">
        <v>328</v>
      </c>
      <c r="H1340" s="126">
        <v>79488</v>
      </c>
      <c r="I1340" s="108">
        <v>320520500</v>
      </c>
      <c r="J1340" s="108" t="str">
        <f t="shared" si="88"/>
        <v>0320520500</v>
      </c>
      <c r="K1340" s="304" t="str">
        <f t="shared" si="87"/>
        <v>60910030320520500320</v>
      </c>
      <c r="L1340" s="17" t="str">
        <f>INDEX('реш СГД № 265'!$A:$N,MATCH('БА расх 2018 31 12 2018'!$K1340,'реш СГД № 265'!$N:$N,0),3)</f>
        <v>Социальные выплаты гражданам, кроме публичных нормативных социальных выплат</v>
      </c>
      <c r="M1340" s="16">
        <f t="shared" si="89"/>
        <v>1</v>
      </c>
    </row>
    <row r="1341" spans="1:13" s="41" customFormat="1" ht="31.5">
      <c r="A1341" s="40"/>
      <c r="B1341" s="127" t="s">
        <v>501</v>
      </c>
      <c r="C1341" s="109" t="s">
        <v>595</v>
      </c>
      <c r="D1341" s="108" t="s">
        <v>317</v>
      </c>
      <c r="E1341" s="108" t="s">
        <v>13</v>
      </c>
      <c r="F1341" s="108" t="s">
        <v>662</v>
      </c>
      <c r="G1341" s="108" t="s">
        <v>502</v>
      </c>
      <c r="H1341" s="126">
        <v>79488</v>
      </c>
      <c r="I1341" s="108">
        <v>320520500</v>
      </c>
      <c r="J1341" s="108" t="str">
        <f t="shared" si="88"/>
        <v>0320520500</v>
      </c>
      <c r="K1341" s="304" t="str">
        <f t="shared" si="87"/>
        <v>60910030320520500323</v>
      </c>
      <c r="L1341" s="17"/>
      <c r="M1341" s="16"/>
    </row>
    <row r="1342" spans="1:13" s="4" customFormat="1" ht="31.5">
      <c r="A1342" s="1"/>
      <c r="B1342" s="149" t="s">
        <v>663</v>
      </c>
      <c r="C1342" s="109" t="s">
        <v>595</v>
      </c>
      <c r="D1342" s="108" t="s">
        <v>317</v>
      </c>
      <c r="E1342" s="108" t="s">
        <v>13</v>
      </c>
      <c r="F1342" s="108" t="s">
        <v>664</v>
      </c>
      <c r="G1342" s="108" t="s">
        <v>9</v>
      </c>
      <c r="H1342" s="126">
        <v>25000</v>
      </c>
      <c r="I1342" s="108">
        <v>320600000</v>
      </c>
      <c r="J1342" s="108" t="str">
        <f t="shared" si="88"/>
        <v>0320600000</v>
      </c>
      <c r="K1342" s="304" t="str">
        <f t="shared" si="87"/>
        <v>60910030320600000000</v>
      </c>
      <c r="L1342" s="17" t="str">
        <f>INDEX('реш СГД № 265'!$A:$N,MATCH('БА расх 2018 31 12 2018'!$K1342,'реш СГД № 265'!$N:$N,0),3)</f>
        <v>Основное мероприятие «Поддержка людей с ограниченными возможностями и пожилых людей»</v>
      </c>
      <c r="M1342" s="16">
        <f t="shared" si="89"/>
        <v>1</v>
      </c>
    </row>
    <row r="1343" spans="1:13" s="4" customFormat="1" ht="63">
      <c r="A1343" s="1"/>
      <c r="B1343" s="135" t="s">
        <v>665</v>
      </c>
      <c r="C1343" s="109" t="s">
        <v>595</v>
      </c>
      <c r="D1343" s="108" t="s">
        <v>317</v>
      </c>
      <c r="E1343" s="108" t="s">
        <v>13</v>
      </c>
      <c r="F1343" s="108" t="s">
        <v>666</v>
      </c>
      <c r="G1343" s="108" t="s">
        <v>9</v>
      </c>
      <c r="H1343" s="126">
        <v>25000</v>
      </c>
      <c r="I1343" s="108">
        <v>320620520</v>
      </c>
      <c r="J1343" s="108" t="str">
        <f t="shared" si="88"/>
        <v>0320620520</v>
      </c>
      <c r="K1343" s="304" t="str">
        <f t="shared" si="87"/>
        <v>60910030320620520000</v>
      </c>
      <c r="L1343" s="17" t="str">
        <f>INDEX('реш СГД № 265'!$A:$N,MATCH('БА расх 2018 31 12 2018'!$K1343,'реш СГД № 265'!$N:$N,0),3)</f>
        <v>Расходы на реализацию мероприятий, направленных на сохранение устойчивого роста уровня и качества жизни людей с ограниченными возможностями здоровья и пожилых людей</v>
      </c>
      <c r="M1343" s="16">
        <f t="shared" si="89"/>
        <v>1</v>
      </c>
    </row>
    <row r="1344" spans="1:13" s="4" customFormat="1" ht="31.5">
      <c r="A1344" s="1"/>
      <c r="B1344" s="125" t="s">
        <v>28</v>
      </c>
      <c r="C1344" s="109" t="s">
        <v>595</v>
      </c>
      <c r="D1344" s="108" t="s">
        <v>317</v>
      </c>
      <c r="E1344" s="108" t="s">
        <v>13</v>
      </c>
      <c r="F1344" s="108" t="s">
        <v>666</v>
      </c>
      <c r="G1344" s="108" t="s">
        <v>29</v>
      </c>
      <c r="H1344" s="126">
        <v>25000</v>
      </c>
      <c r="I1344" s="108">
        <v>320620520</v>
      </c>
      <c r="J1344" s="108" t="str">
        <f t="shared" si="88"/>
        <v>0320620520</v>
      </c>
      <c r="K1344" s="304" t="str">
        <f t="shared" si="87"/>
        <v>60910030320620520240</v>
      </c>
      <c r="L1344" s="17" t="str">
        <f>INDEX('реш СГД № 265'!$A:$N,MATCH('БА расх 2018 31 12 2018'!$K1344,'реш СГД № 265'!$N:$N,0),3)</f>
        <v>Иные закупки товаров, работ и услуг для обеспечения государственных (муниципальных) нужд</v>
      </c>
      <c r="M1344" s="16">
        <f t="shared" si="89"/>
        <v>1</v>
      </c>
    </row>
    <row r="1345" spans="1:13" s="4" customFormat="1" ht="15.75">
      <c r="A1345" s="1"/>
      <c r="B1345" s="125" t="s">
        <v>30</v>
      </c>
      <c r="C1345" s="109" t="s">
        <v>595</v>
      </c>
      <c r="D1345" s="108" t="s">
        <v>317</v>
      </c>
      <c r="E1345" s="108" t="s">
        <v>13</v>
      </c>
      <c r="F1345" s="108" t="s">
        <v>666</v>
      </c>
      <c r="G1345" s="108" t="s">
        <v>31</v>
      </c>
      <c r="H1345" s="126">
        <v>25000</v>
      </c>
      <c r="I1345" s="108">
        <v>320620520</v>
      </c>
      <c r="J1345" s="108" t="str">
        <f t="shared" si="88"/>
        <v>0320620520</v>
      </c>
      <c r="K1345" s="304" t="str">
        <f t="shared" si="87"/>
        <v>60910030320620520244</v>
      </c>
      <c r="L1345" s="17"/>
      <c r="M1345" s="16"/>
    </row>
    <row r="1346" spans="1:13" s="4" customFormat="1" ht="31.5">
      <c r="A1346" s="1"/>
      <c r="B1346" s="125" t="s">
        <v>667</v>
      </c>
      <c r="C1346" s="109" t="s">
        <v>595</v>
      </c>
      <c r="D1346" s="108" t="s">
        <v>317</v>
      </c>
      <c r="E1346" s="108" t="s">
        <v>13</v>
      </c>
      <c r="F1346" s="108" t="s">
        <v>668</v>
      </c>
      <c r="G1346" s="108" t="s">
        <v>9</v>
      </c>
      <c r="H1346" s="126">
        <v>75000</v>
      </c>
      <c r="I1346" s="108">
        <v>320800000</v>
      </c>
      <c r="J1346" s="108" t="str">
        <f t="shared" si="88"/>
        <v>0320800000</v>
      </c>
      <c r="K1346" s="304" t="str">
        <f t="shared" si="87"/>
        <v>60910030320800000000</v>
      </c>
      <c r="L1346" s="17" t="str">
        <f>INDEX('реш СГД № 265'!$A:$N,MATCH('БА расх 2018 31 12 2018'!$K1346,'реш СГД № 265'!$N:$N,0),3)</f>
        <v>Основное мероприятие «Проведение мероприятий для отдельных категорий граждан»</v>
      </c>
      <c r="M1346" s="16">
        <f t="shared" si="89"/>
        <v>1</v>
      </c>
    </row>
    <row r="1347" spans="1:13" s="4" customFormat="1" ht="31.5">
      <c r="A1347" s="1"/>
      <c r="B1347" s="135" t="s">
        <v>669</v>
      </c>
      <c r="C1347" s="109" t="s">
        <v>595</v>
      </c>
      <c r="D1347" s="108" t="s">
        <v>317</v>
      </c>
      <c r="E1347" s="108" t="s">
        <v>13</v>
      </c>
      <c r="F1347" s="108" t="s">
        <v>670</v>
      </c>
      <c r="G1347" s="108" t="s">
        <v>9</v>
      </c>
      <c r="H1347" s="126">
        <v>75000</v>
      </c>
      <c r="I1347" s="108">
        <v>320820510</v>
      </c>
      <c r="J1347" s="108" t="str">
        <f t="shared" si="88"/>
        <v>0320820510</v>
      </c>
      <c r="K1347" s="304" t="str">
        <f t="shared" si="87"/>
        <v>60910030320820510000</v>
      </c>
      <c r="L1347" s="17" t="str">
        <f>INDEX('реш СГД № 265'!$A:$N,MATCH('БА расх 2018 31 12 2018'!$K1347,'реш СГД № 265'!$N:$N,0),3)</f>
        <v>Расходы на повышение социальной активности жителей города Ставрополя</v>
      </c>
      <c r="M1347" s="16">
        <f t="shared" si="89"/>
        <v>1</v>
      </c>
    </row>
    <row r="1348" spans="1:13" s="4" customFormat="1" ht="31.5">
      <c r="A1348" s="1"/>
      <c r="B1348" s="125" t="s">
        <v>28</v>
      </c>
      <c r="C1348" s="109" t="s">
        <v>595</v>
      </c>
      <c r="D1348" s="108" t="s">
        <v>317</v>
      </c>
      <c r="E1348" s="108" t="s">
        <v>13</v>
      </c>
      <c r="F1348" s="108" t="s">
        <v>670</v>
      </c>
      <c r="G1348" s="108" t="s">
        <v>29</v>
      </c>
      <c r="H1348" s="126">
        <v>75000</v>
      </c>
      <c r="I1348" s="108">
        <v>320820510</v>
      </c>
      <c r="J1348" s="108" t="str">
        <f t="shared" si="88"/>
        <v>0320820510</v>
      </c>
      <c r="K1348" s="304" t="str">
        <f t="shared" si="87"/>
        <v>60910030320820510240</v>
      </c>
      <c r="L1348" s="17" t="str">
        <f>INDEX('реш СГД № 265'!$A:$N,MATCH('БА расх 2018 31 12 2018'!$K1348,'реш СГД № 265'!$N:$N,0),3)</f>
        <v>Иные закупки товаров, работ и услуг для обеспечения государственных (муниципальных) нужд</v>
      </c>
      <c r="M1348" s="16">
        <f t="shared" si="89"/>
        <v>1</v>
      </c>
    </row>
    <row r="1349" spans="1:13" s="4" customFormat="1" ht="15.75">
      <c r="A1349" s="1"/>
      <c r="B1349" s="125" t="s">
        <v>30</v>
      </c>
      <c r="C1349" s="109" t="s">
        <v>595</v>
      </c>
      <c r="D1349" s="108" t="s">
        <v>317</v>
      </c>
      <c r="E1349" s="108" t="s">
        <v>13</v>
      </c>
      <c r="F1349" s="108" t="s">
        <v>670</v>
      </c>
      <c r="G1349" s="108" t="s">
        <v>31</v>
      </c>
      <c r="H1349" s="126">
        <v>75000</v>
      </c>
      <c r="I1349" s="108">
        <v>320820510</v>
      </c>
      <c r="J1349" s="108" t="str">
        <f t="shared" si="88"/>
        <v>0320820510</v>
      </c>
      <c r="K1349" s="304" t="str">
        <f t="shared" si="87"/>
        <v>60910030320820510244</v>
      </c>
      <c r="L1349" s="17"/>
      <c r="M1349" s="16"/>
    </row>
    <row r="1350" spans="1:13" s="4" customFormat="1" ht="15.75">
      <c r="A1350" s="1"/>
      <c r="B1350" s="135" t="s">
        <v>671</v>
      </c>
      <c r="C1350" s="109" t="s">
        <v>595</v>
      </c>
      <c r="D1350" s="108" t="s">
        <v>317</v>
      </c>
      <c r="E1350" s="108" t="s">
        <v>13</v>
      </c>
      <c r="F1350" s="108" t="s">
        <v>672</v>
      </c>
      <c r="G1350" s="108" t="s">
        <v>9</v>
      </c>
      <c r="H1350" s="126">
        <v>2174365.6</v>
      </c>
      <c r="I1350" s="108">
        <v>330000000</v>
      </c>
      <c r="J1350" s="108" t="str">
        <f t="shared" si="88"/>
        <v>0330000000</v>
      </c>
      <c r="K1350" s="304" t="str">
        <f t="shared" si="87"/>
        <v>60910030330000000000</v>
      </c>
      <c r="L1350" s="17" t="str">
        <f>INDEX('реш СГД № 265'!$A:$N,MATCH('БА расх 2018 31 12 2018'!$K1350,'реш СГД № 265'!$N:$N,0),3)</f>
        <v>Подпрограмма «Доступная среда»</v>
      </c>
      <c r="M1350" s="16">
        <f t="shared" si="89"/>
        <v>1</v>
      </c>
    </row>
    <row r="1351" spans="1:13" s="4" customFormat="1" ht="47.25">
      <c r="A1351" s="1"/>
      <c r="B1351" s="147" t="s">
        <v>673</v>
      </c>
      <c r="C1351" s="109" t="s">
        <v>595</v>
      </c>
      <c r="D1351" s="108" t="s">
        <v>317</v>
      </c>
      <c r="E1351" s="108" t="s">
        <v>13</v>
      </c>
      <c r="F1351" s="108" t="s">
        <v>674</v>
      </c>
      <c r="G1351" s="108" t="s">
        <v>9</v>
      </c>
      <c r="H1351" s="126">
        <v>2174365.6</v>
      </c>
      <c r="I1351" s="108">
        <v>330100000</v>
      </c>
      <c r="J1351" s="108" t="str">
        <f t="shared" si="88"/>
        <v>0330100000</v>
      </c>
      <c r="K1351" s="304" t="str">
        <f t="shared" si="87"/>
        <v>60910030330100000000</v>
      </c>
      <c r="L1351" s="17" t="str">
        <f>INDEX('реш СГД № 265'!$A:$N,MATCH('БА расх 2018 31 12 2018'!$K1351,'реш СГД № 265'!$N:$N,0),3)</f>
        <v>Основное мероприятие «Создание условий для беспрепятственного доступа маломобильных групп населения к объектам городской инфраструктуры»</v>
      </c>
      <c r="M1351" s="16">
        <f t="shared" si="89"/>
        <v>1</v>
      </c>
    </row>
    <row r="1352" spans="1:13" s="4" customFormat="1" ht="47.25">
      <c r="A1352" s="1"/>
      <c r="B1352" s="135" t="s">
        <v>675</v>
      </c>
      <c r="C1352" s="109" t="s">
        <v>595</v>
      </c>
      <c r="D1352" s="108" t="s">
        <v>317</v>
      </c>
      <c r="E1352" s="108" t="s">
        <v>13</v>
      </c>
      <c r="F1352" s="108" t="s">
        <v>676</v>
      </c>
      <c r="G1352" s="108" t="s">
        <v>9</v>
      </c>
      <c r="H1352" s="126">
        <v>2174365.6</v>
      </c>
      <c r="I1352" s="108">
        <v>330120530</v>
      </c>
      <c r="J1352" s="108" t="str">
        <f t="shared" si="88"/>
        <v>0330120530</v>
      </c>
      <c r="K1352" s="304" t="str">
        <f t="shared" si="87"/>
        <v>60910030330120530000</v>
      </c>
      <c r="L1352" s="17" t="str">
        <f>INDEX('реш СГД № 265'!$A:$N,MATCH('БА расх 2018 31 12 2018'!$K1352,'реш СГД № 265'!$N:$N,0),3)</f>
        <v>Расходы на создание условий для беспрепятственного доступа маломобильных групп населения к объектам городской инфраструктуры</v>
      </c>
      <c r="M1352" s="16">
        <f t="shared" si="89"/>
        <v>1</v>
      </c>
    </row>
    <row r="1353" spans="1:13" s="4" customFormat="1" ht="31.5">
      <c r="A1353" s="1"/>
      <c r="B1353" s="132" t="s">
        <v>327</v>
      </c>
      <c r="C1353" s="109" t="s">
        <v>595</v>
      </c>
      <c r="D1353" s="108" t="s">
        <v>317</v>
      </c>
      <c r="E1353" s="108" t="s">
        <v>13</v>
      </c>
      <c r="F1353" s="108" t="s">
        <v>676</v>
      </c>
      <c r="G1353" s="108" t="s">
        <v>328</v>
      </c>
      <c r="H1353" s="126">
        <v>2174365.6</v>
      </c>
      <c r="I1353" s="108">
        <v>330120530</v>
      </c>
      <c r="J1353" s="108" t="str">
        <f t="shared" si="88"/>
        <v>0330120530</v>
      </c>
      <c r="K1353" s="304" t="str">
        <f t="shared" si="87"/>
        <v>60910030330120530320</v>
      </c>
      <c r="L1353" s="17" t="str">
        <f>INDEX('реш СГД № 265'!$A:$N,MATCH('БА расх 2018 31 12 2018'!$K1353,'реш СГД № 265'!$N:$N,0),3)</f>
        <v>Социальные выплаты гражданам, кроме публичных нормативных социальных выплат</v>
      </c>
      <c r="M1353" s="16">
        <f t="shared" si="89"/>
        <v>1</v>
      </c>
    </row>
    <row r="1354" spans="1:13" s="4" customFormat="1" ht="31.5">
      <c r="A1354" s="1"/>
      <c r="B1354" s="125" t="s">
        <v>501</v>
      </c>
      <c r="C1354" s="109" t="s">
        <v>595</v>
      </c>
      <c r="D1354" s="108" t="s">
        <v>317</v>
      </c>
      <c r="E1354" s="108" t="s">
        <v>13</v>
      </c>
      <c r="F1354" s="108" t="s">
        <v>676</v>
      </c>
      <c r="G1354" s="108" t="s">
        <v>502</v>
      </c>
      <c r="H1354" s="126">
        <v>2174365.6</v>
      </c>
      <c r="I1354" s="108">
        <v>330120530</v>
      </c>
      <c r="J1354" s="108" t="str">
        <f t="shared" si="88"/>
        <v>0330120530</v>
      </c>
      <c r="K1354" s="304" t="str">
        <f t="shared" si="87"/>
        <v>60910030330120530323</v>
      </c>
      <c r="L1354" s="17"/>
      <c r="M1354" s="16"/>
    </row>
    <row r="1355" spans="1:13" s="43" customFormat="1" ht="15.75">
      <c r="A1355" s="42"/>
      <c r="B1355" s="121" t="s">
        <v>490</v>
      </c>
      <c r="C1355" s="122" t="s">
        <v>595</v>
      </c>
      <c r="D1355" s="123" t="s">
        <v>317</v>
      </c>
      <c r="E1355" s="123" t="s">
        <v>73</v>
      </c>
      <c r="F1355" s="123" t="s">
        <v>8</v>
      </c>
      <c r="G1355" s="123" t="s">
        <v>9</v>
      </c>
      <c r="H1355" s="124">
        <v>247800000</v>
      </c>
      <c r="I1355" s="123">
        <v>0</v>
      </c>
      <c r="J1355" s="123" t="str">
        <f t="shared" si="88"/>
        <v>0000000000</v>
      </c>
      <c r="K1355" s="304" t="str">
        <f t="shared" si="87"/>
        <v>60910040000000000000</v>
      </c>
      <c r="L1355" s="17" t="str">
        <f>INDEX('реш СГД № 265'!$A:$N,MATCH('БА расх 2018 31 12 2018'!$K1355,'реш СГД № 265'!$N:$N,0),3)</f>
        <v>Охрана семьи и детства</v>
      </c>
      <c r="M1355" s="16">
        <f t="shared" si="89"/>
        <v>1</v>
      </c>
    </row>
    <row r="1356" spans="1:13" s="43" customFormat="1" ht="31.5">
      <c r="A1356" s="42"/>
      <c r="B1356" s="135" t="s">
        <v>385</v>
      </c>
      <c r="C1356" s="109" t="s">
        <v>595</v>
      </c>
      <c r="D1356" s="108" t="s">
        <v>317</v>
      </c>
      <c r="E1356" s="108" t="s">
        <v>73</v>
      </c>
      <c r="F1356" s="108" t="s">
        <v>386</v>
      </c>
      <c r="G1356" s="108" t="s">
        <v>9</v>
      </c>
      <c r="H1356" s="151">
        <v>247800000</v>
      </c>
      <c r="I1356" s="108">
        <v>300000000</v>
      </c>
      <c r="J1356" s="108" t="str">
        <f t="shared" si="88"/>
        <v>0300000000</v>
      </c>
      <c r="K1356" s="304" t="str">
        <f t="shared" si="87"/>
        <v>60910040300000000000</v>
      </c>
      <c r="L1356" s="17" t="str">
        <f>INDEX('реш СГД № 265'!$A:$N,MATCH('БА расх 2018 31 12 2018'!$K1356,'реш СГД № 265'!$N:$N,0),3)</f>
        <v>Муниципальная программа «Социальная поддержка населения города Ставрополя»</v>
      </c>
      <c r="M1356" s="16">
        <f t="shared" si="89"/>
        <v>1</v>
      </c>
    </row>
    <row r="1357" spans="1:13" s="43" customFormat="1" ht="47.25">
      <c r="A1357" s="42"/>
      <c r="B1357" s="147" t="s">
        <v>596</v>
      </c>
      <c r="C1357" s="109" t="s">
        <v>595</v>
      </c>
      <c r="D1357" s="108" t="s">
        <v>317</v>
      </c>
      <c r="E1357" s="108" t="s">
        <v>73</v>
      </c>
      <c r="F1357" s="108" t="s">
        <v>597</v>
      </c>
      <c r="G1357" s="108" t="s">
        <v>9</v>
      </c>
      <c r="H1357" s="151">
        <v>247800000</v>
      </c>
      <c r="I1357" s="108">
        <v>310000000</v>
      </c>
      <c r="J1357" s="108" t="str">
        <f t="shared" si="88"/>
        <v>0310000000</v>
      </c>
      <c r="K1357" s="304" t="str">
        <f t="shared" si="87"/>
        <v>60910040310000000000</v>
      </c>
      <c r="L1357" s="17" t="str">
        <f>INDEX('реш СГД № 265'!$A:$N,MATCH('БА расх 2018 31 12 2018'!$K1357,'реш СГД № 265'!$N:$N,0),3)</f>
        <v>Подпрограмма «Осуществление отдельных государственных полномочий в области социальной поддержки отдельных категорий граждан»</v>
      </c>
      <c r="M1357" s="16">
        <f t="shared" si="89"/>
        <v>1</v>
      </c>
    </row>
    <row r="1358" spans="1:13" s="17" customFormat="1" ht="31.5">
      <c r="A1358" s="14"/>
      <c r="B1358" s="148" t="s">
        <v>623</v>
      </c>
      <c r="C1358" s="109" t="s">
        <v>595</v>
      </c>
      <c r="D1358" s="108" t="s">
        <v>317</v>
      </c>
      <c r="E1358" s="108" t="s">
        <v>73</v>
      </c>
      <c r="F1358" s="108" t="s">
        <v>624</v>
      </c>
      <c r="G1358" s="108" t="s">
        <v>9</v>
      </c>
      <c r="H1358" s="152">
        <v>247800000</v>
      </c>
      <c r="I1358" s="108">
        <v>310200000</v>
      </c>
      <c r="J1358" s="108" t="str">
        <f t="shared" si="88"/>
        <v>0310200000</v>
      </c>
      <c r="K1358" s="304" t="str">
        <f t="shared" si="87"/>
        <v>60910040310200000000</v>
      </c>
      <c r="L1358" s="17" t="str">
        <f>INDEX('реш СГД № 265'!$A:$N,MATCH('БА расх 2018 31 12 2018'!$K1358,'реш СГД № 265'!$N:$N,0),3)</f>
        <v>Основное мероприятие «Предоставление мер социальной поддержки семьям и детям»</v>
      </c>
      <c r="M1358" s="16">
        <f t="shared" si="89"/>
        <v>1</v>
      </c>
    </row>
    <row r="1359" spans="1:13" s="17" customFormat="1" ht="15.75">
      <c r="A1359" s="14"/>
      <c r="B1359" s="149" t="s">
        <v>677</v>
      </c>
      <c r="C1359" s="109" t="s">
        <v>595</v>
      </c>
      <c r="D1359" s="108" t="s">
        <v>317</v>
      </c>
      <c r="E1359" s="108" t="s">
        <v>73</v>
      </c>
      <c r="F1359" s="108" t="s">
        <v>678</v>
      </c>
      <c r="G1359" s="108" t="s">
        <v>9</v>
      </c>
      <c r="H1359" s="152">
        <v>114600000</v>
      </c>
      <c r="I1359" s="108">
        <v>310276270</v>
      </c>
      <c r="J1359" s="108" t="str">
        <f t="shared" si="88"/>
        <v>0310276270</v>
      </c>
      <c r="K1359" s="304" t="str">
        <f t="shared" si="87"/>
        <v>60910040310276270000</v>
      </c>
      <c r="L1359" s="17" t="str">
        <f>INDEX('реш СГД № 265'!$A:$N,MATCH('БА расх 2018 31 12 2018'!$K1359,'реш СГД № 265'!$N:$N,0),3)</f>
        <v>Выплата ежемесячного пособия на ребенка</v>
      </c>
      <c r="M1359" s="16">
        <f t="shared" si="89"/>
        <v>1</v>
      </c>
    </row>
    <row r="1360" spans="1:13" s="17" customFormat="1" ht="15.75">
      <c r="A1360" s="14"/>
      <c r="B1360" s="132" t="s">
        <v>493</v>
      </c>
      <c r="C1360" s="109" t="s">
        <v>595</v>
      </c>
      <c r="D1360" s="108" t="s">
        <v>317</v>
      </c>
      <c r="E1360" s="108" t="s">
        <v>73</v>
      </c>
      <c r="F1360" s="108" t="s">
        <v>678</v>
      </c>
      <c r="G1360" s="108" t="s">
        <v>494</v>
      </c>
      <c r="H1360" s="126">
        <v>114600000</v>
      </c>
      <c r="I1360" s="108">
        <v>310276270</v>
      </c>
      <c r="J1360" s="108" t="str">
        <f t="shared" si="88"/>
        <v>0310276270</v>
      </c>
      <c r="K1360" s="304" t="str">
        <f t="shared" si="87"/>
        <v>60910040310276270310</v>
      </c>
      <c r="L1360" s="17" t="str">
        <f>INDEX('реш СГД № 265'!$A:$N,MATCH('БА расх 2018 31 12 2018'!$K1360,'реш СГД № 265'!$N:$N,0),3)</f>
        <v>Публичные нормативные социальные выплаты гражданам</v>
      </c>
      <c r="M1360" s="16">
        <f t="shared" si="89"/>
        <v>1</v>
      </c>
    </row>
    <row r="1361" spans="1:13" s="17" customFormat="1" ht="31.5">
      <c r="A1361" s="14"/>
      <c r="B1361" s="127" t="s">
        <v>495</v>
      </c>
      <c r="C1361" s="109" t="s">
        <v>595</v>
      </c>
      <c r="D1361" s="108" t="s">
        <v>317</v>
      </c>
      <c r="E1361" s="108" t="s">
        <v>73</v>
      </c>
      <c r="F1361" s="108" t="s">
        <v>678</v>
      </c>
      <c r="G1361" s="108" t="s">
        <v>496</v>
      </c>
      <c r="H1361" s="126">
        <v>114600000</v>
      </c>
      <c r="I1361" s="108">
        <v>310276270</v>
      </c>
      <c r="J1361" s="108" t="str">
        <f t="shared" si="88"/>
        <v>0310276270</v>
      </c>
      <c r="K1361" s="304" t="str">
        <f t="shared" si="87"/>
        <v>60910040310276270313</v>
      </c>
      <c r="M1361" s="16"/>
    </row>
    <row r="1362" spans="1:13" s="17" customFormat="1" ht="63">
      <c r="A1362" s="14" t="s">
        <v>80</v>
      </c>
      <c r="B1362" s="149" t="s">
        <v>679</v>
      </c>
      <c r="C1362" s="109" t="s">
        <v>595</v>
      </c>
      <c r="D1362" s="108" t="s">
        <v>317</v>
      </c>
      <c r="E1362" s="108" t="s">
        <v>73</v>
      </c>
      <c r="F1362" s="108" t="s">
        <v>680</v>
      </c>
      <c r="G1362" s="108" t="s">
        <v>9</v>
      </c>
      <c r="H1362" s="152">
        <v>133200000</v>
      </c>
      <c r="I1362" s="108" t="s">
        <v>1228</v>
      </c>
      <c r="J1362" s="108" t="str">
        <f t="shared" si="88"/>
        <v>03102R0840</v>
      </c>
      <c r="K1362" s="304" t="str">
        <f t="shared" si="87"/>
        <v>609100403102R0840000</v>
      </c>
      <c r="L1362" s="17" t="str">
        <f>INDEX('реш СГД № 265'!$A:$N,MATCH('БА расх 2018 31 12 2018'!$K1362,'реш СГД № 265'!$N:$N,0),3)</f>
        <v>Ежемесячная денежная выплата нуждающимся в поддержке семьям, назначаемая в случае рождения в них после 31 декабря 2012 года третьего ребенка или последующих детей до достижения ребенком возраста трех лет</v>
      </c>
      <c r="M1362" s="16">
        <f t="shared" si="89"/>
        <v>1</v>
      </c>
    </row>
    <row r="1363" spans="1:13" s="17" customFormat="1" ht="15.75">
      <c r="A1363" s="14"/>
      <c r="B1363" s="132" t="s">
        <v>493</v>
      </c>
      <c r="C1363" s="109" t="s">
        <v>595</v>
      </c>
      <c r="D1363" s="108" t="s">
        <v>317</v>
      </c>
      <c r="E1363" s="108" t="s">
        <v>73</v>
      </c>
      <c r="F1363" s="108" t="s">
        <v>680</v>
      </c>
      <c r="G1363" s="108" t="s">
        <v>494</v>
      </c>
      <c r="H1363" s="126">
        <v>133200000</v>
      </c>
      <c r="I1363" s="108" t="s">
        <v>1228</v>
      </c>
      <c r="J1363" s="108" t="str">
        <f t="shared" si="88"/>
        <v>03102R0840</v>
      </c>
      <c r="K1363" s="304" t="str">
        <f t="shared" si="87"/>
        <v>609100403102R0840310</v>
      </c>
      <c r="L1363" s="17" t="str">
        <f>INDEX('реш СГД № 265'!$A:$N,MATCH('БА расх 2018 31 12 2018'!$K1363,'реш СГД № 265'!$N:$N,0),3)</f>
        <v>Публичные нормативные социальные выплаты гражданам</v>
      </c>
      <c r="M1363" s="16">
        <f t="shared" si="89"/>
        <v>1</v>
      </c>
    </row>
    <row r="1364" spans="1:13" s="17" customFormat="1" ht="31.5">
      <c r="A1364" s="14"/>
      <c r="B1364" s="127" t="s">
        <v>495</v>
      </c>
      <c r="C1364" s="109" t="s">
        <v>595</v>
      </c>
      <c r="D1364" s="108" t="s">
        <v>317</v>
      </c>
      <c r="E1364" s="108" t="s">
        <v>73</v>
      </c>
      <c r="F1364" s="108" t="s">
        <v>680</v>
      </c>
      <c r="G1364" s="108" t="s">
        <v>496</v>
      </c>
      <c r="H1364" s="126">
        <v>133200000</v>
      </c>
      <c r="I1364" s="108" t="s">
        <v>1228</v>
      </c>
      <c r="J1364" s="108" t="str">
        <f t="shared" si="88"/>
        <v>03102R0840</v>
      </c>
      <c r="K1364" s="304" t="str">
        <f t="shared" si="87"/>
        <v>609100403102R0840313</v>
      </c>
      <c r="M1364" s="16"/>
    </row>
    <row r="1365" spans="1:13" s="45" customFormat="1" ht="15.75">
      <c r="A1365" s="44"/>
      <c r="B1365" s="121" t="s">
        <v>681</v>
      </c>
      <c r="C1365" s="122" t="s">
        <v>595</v>
      </c>
      <c r="D1365" s="123" t="s">
        <v>317</v>
      </c>
      <c r="E1365" s="123" t="s">
        <v>334</v>
      </c>
      <c r="F1365" s="123" t="s">
        <v>8</v>
      </c>
      <c r="G1365" s="123" t="s">
        <v>9</v>
      </c>
      <c r="H1365" s="124">
        <v>70492691.180000007</v>
      </c>
      <c r="I1365" s="123">
        <v>0</v>
      </c>
      <c r="J1365" s="123" t="str">
        <f t="shared" si="88"/>
        <v>0000000000</v>
      </c>
      <c r="K1365" s="304" t="str">
        <f t="shared" si="87"/>
        <v>60910060000000000000</v>
      </c>
      <c r="L1365" s="17" t="str">
        <f>INDEX('реш СГД № 265'!$A:$N,MATCH('БА расх 2018 31 12 2018'!$K1365,'реш СГД № 265'!$N:$N,0),3)</f>
        <v>Другие вопросы в области социальной политики</v>
      </c>
      <c r="M1365" s="16">
        <f t="shared" si="89"/>
        <v>1</v>
      </c>
    </row>
    <row r="1366" spans="1:13" s="17" customFormat="1" ht="31.5">
      <c r="A1366" s="14"/>
      <c r="B1366" s="135" t="s">
        <v>385</v>
      </c>
      <c r="C1366" s="109" t="s">
        <v>595</v>
      </c>
      <c r="D1366" s="108" t="s">
        <v>317</v>
      </c>
      <c r="E1366" s="108" t="s">
        <v>334</v>
      </c>
      <c r="F1366" s="108" t="s">
        <v>386</v>
      </c>
      <c r="G1366" s="108" t="s">
        <v>9</v>
      </c>
      <c r="H1366" s="152">
        <v>5626282</v>
      </c>
      <c r="I1366" s="108">
        <v>300000000</v>
      </c>
      <c r="J1366" s="108" t="str">
        <f t="shared" si="88"/>
        <v>0300000000</v>
      </c>
      <c r="K1366" s="304" t="str">
        <f t="shared" si="87"/>
        <v>60910060300000000000</v>
      </c>
      <c r="L1366" s="17" t="str">
        <f>INDEX('реш СГД № 265'!$A:$N,MATCH('БА расх 2018 31 12 2018'!$K1366,'реш СГД № 265'!$N:$N,0),3)</f>
        <v>Муниципальная программа «Социальная поддержка населения города Ставрополя»</v>
      </c>
      <c r="M1366" s="16">
        <f t="shared" si="89"/>
        <v>1</v>
      </c>
    </row>
    <row r="1367" spans="1:13" s="4" customFormat="1" ht="47.25">
      <c r="A1367" s="1" t="s">
        <v>682</v>
      </c>
      <c r="B1367" s="147" t="s">
        <v>596</v>
      </c>
      <c r="C1367" s="109" t="s">
        <v>595</v>
      </c>
      <c r="D1367" s="108" t="s">
        <v>317</v>
      </c>
      <c r="E1367" s="108" t="s">
        <v>334</v>
      </c>
      <c r="F1367" s="108" t="s">
        <v>597</v>
      </c>
      <c r="G1367" s="108" t="s">
        <v>9</v>
      </c>
      <c r="H1367" s="152">
        <v>3931048.24</v>
      </c>
      <c r="I1367" s="108">
        <v>310000000</v>
      </c>
      <c r="J1367" s="108" t="str">
        <f t="shared" si="88"/>
        <v>0310000000</v>
      </c>
      <c r="K1367" s="304" t="str">
        <f t="shared" si="87"/>
        <v>60910060310000000000</v>
      </c>
      <c r="L1367" s="17" t="str">
        <f>INDEX('реш СГД № 265'!$A:$N,MATCH('БА расх 2018 31 12 2018'!$K1367,'реш СГД № 265'!$N:$N,0),3)</f>
        <v>Подпрограмма «Осуществление отдельных государственных полномочий в области социальной поддержки отдельных категорий граждан»</v>
      </c>
      <c r="M1367" s="16">
        <f t="shared" si="89"/>
        <v>1</v>
      </c>
    </row>
    <row r="1368" spans="1:13" s="4" customFormat="1" ht="31.5">
      <c r="A1368" s="1"/>
      <c r="B1368" s="148" t="s">
        <v>599</v>
      </c>
      <c r="C1368" s="109" t="s">
        <v>595</v>
      </c>
      <c r="D1368" s="108" t="s">
        <v>317</v>
      </c>
      <c r="E1368" s="108" t="s">
        <v>334</v>
      </c>
      <c r="F1368" s="108" t="s">
        <v>600</v>
      </c>
      <c r="G1368" s="108" t="s">
        <v>9</v>
      </c>
      <c r="H1368" s="152">
        <v>3475423.24</v>
      </c>
      <c r="I1368" s="108">
        <v>310100000</v>
      </c>
      <c r="J1368" s="108" t="str">
        <f t="shared" si="88"/>
        <v>0310100000</v>
      </c>
      <c r="K1368" s="304" t="str">
        <f t="shared" si="87"/>
        <v>60910060310100000000</v>
      </c>
      <c r="L1368" s="17" t="str">
        <f>INDEX('реш СГД № 265'!$A:$N,MATCH('БА расх 2018 31 12 2018'!$K1368,'реш СГД № 265'!$N:$N,0),3)</f>
        <v>Основное мероприятие «Предоставление мер социальной поддержки отдельным категориям граждан»</v>
      </c>
      <c r="M1368" s="16">
        <f t="shared" si="89"/>
        <v>1</v>
      </c>
    </row>
    <row r="1369" spans="1:13" s="4" customFormat="1" ht="31.5">
      <c r="A1369" s="1"/>
      <c r="B1369" s="135" t="s">
        <v>603</v>
      </c>
      <c r="C1369" s="109" t="s">
        <v>595</v>
      </c>
      <c r="D1369" s="108" t="s">
        <v>317</v>
      </c>
      <c r="E1369" s="108" t="s">
        <v>334</v>
      </c>
      <c r="F1369" s="108" t="s">
        <v>604</v>
      </c>
      <c r="G1369" s="108" t="s">
        <v>9</v>
      </c>
      <c r="H1369" s="152">
        <v>3475423.24</v>
      </c>
      <c r="I1369" s="108">
        <v>310152500</v>
      </c>
      <c r="J1369" s="108" t="str">
        <f t="shared" si="88"/>
        <v>0310152500</v>
      </c>
      <c r="K1369" s="304" t="str">
        <f t="shared" si="87"/>
        <v>60910060310152500000</v>
      </c>
      <c r="L1369" s="17" t="str">
        <f>INDEX('реш СГД № 265'!$A:$N,MATCH('БА расх 2018 31 12 2018'!$K1369,'реш СГД № 265'!$N:$N,0),3)</f>
        <v xml:space="preserve">Выплата компенсации расходов на оплату жилых помещений и коммунальных услуг отдельным категориям граждан </v>
      </c>
      <c r="M1369" s="16">
        <f t="shared" si="89"/>
        <v>1</v>
      </c>
    </row>
    <row r="1370" spans="1:13" s="4" customFormat="1" ht="31.5">
      <c r="A1370" s="1"/>
      <c r="B1370" s="125" t="s">
        <v>20</v>
      </c>
      <c r="C1370" s="109" t="s">
        <v>595</v>
      </c>
      <c r="D1370" s="108" t="s">
        <v>317</v>
      </c>
      <c r="E1370" s="108" t="s">
        <v>334</v>
      </c>
      <c r="F1370" s="108" t="s">
        <v>604</v>
      </c>
      <c r="G1370" s="108" t="s">
        <v>21</v>
      </c>
      <c r="H1370" s="126">
        <v>3475423.24</v>
      </c>
      <c r="I1370" s="108">
        <v>310152500</v>
      </c>
      <c r="J1370" s="108" t="str">
        <f t="shared" si="88"/>
        <v>0310152500</v>
      </c>
      <c r="K1370" s="304" t="str">
        <f t="shared" si="87"/>
        <v>60910060310152500120</v>
      </c>
      <c r="L1370" s="17" t="str">
        <f>INDEX('реш СГД № 265'!$A:$N,MATCH('БА расх 2018 31 12 2018'!$K1370,'реш СГД № 265'!$N:$N,0),3)</f>
        <v>Расходы на выплаты персоналу государственных (муниципальных) органов</v>
      </c>
      <c r="M1370" s="16">
        <f t="shared" si="89"/>
        <v>1</v>
      </c>
    </row>
    <row r="1371" spans="1:13" s="41" customFormat="1" ht="31.5">
      <c r="A1371" s="40"/>
      <c r="B1371" s="127" t="s">
        <v>40</v>
      </c>
      <c r="C1371" s="109" t="s">
        <v>595</v>
      </c>
      <c r="D1371" s="108" t="s">
        <v>317</v>
      </c>
      <c r="E1371" s="108" t="s">
        <v>334</v>
      </c>
      <c r="F1371" s="108" t="s">
        <v>604</v>
      </c>
      <c r="G1371" s="108" t="s">
        <v>41</v>
      </c>
      <c r="H1371" s="126">
        <v>2730105</v>
      </c>
      <c r="I1371" s="108">
        <v>310152500</v>
      </c>
      <c r="J1371" s="108" t="str">
        <f t="shared" si="88"/>
        <v>0310152500</v>
      </c>
      <c r="K1371" s="304" t="str">
        <f t="shared" si="87"/>
        <v>60910060310152500121</v>
      </c>
      <c r="L1371" s="17"/>
      <c r="M1371" s="16"/>
    </row>
    <row r="1372" spans="1:13" s="41" customFormat="1" ht="47.25">
      <c r="A1372" s="40"/>
      <c r="B1372" s="127" t="s">
        <v>26</v>
      </c>
      <c r="C1372" s="109" t="s">
        <v>595</v>
      </c>
      <c r="D1372" s="108" t="s">
        <v>317</v>
      </c>
      <c r="E1372" s="108" t="s">
        <v>334</v>
      </c>
      <c r="F1372" s="108" t="s">
        <v>604</v>
      </c>
      <c r="G1372" s="108" t="s">
        <v>27</v>
      </c>
      <c r="H1372" s="126">
        <v>745318.24</v>
      </c>
      <c r="I1372" s="108">
        <v>310152500</v>
      </c>
      <c r="J1372" s="108" t="str">
        <f t="shared" si="88"/>
        <v>0310152500</v>
      </c>
      <c r="K1372" s="304" t="str">
        <f t="shared" si="87"/>
        <v>60910060310152500129</v>
      </c>
      <c r="L1372" s="17"/>
      <c r="M1372" s="16"/>
    </row>
    <row r="1373" spans="1:13" s="41" customFormat="1" ht="31.5">
      <c r="A1373" s="40"/>
      <c r="B1373" s="148" t="s">
        <v>623</v>
      </c>
      <c r="C1373" s="109" t="s">
        <v>595</v>
      </c>
      <c r="D1373" s="108" t="s">
        <v>317</v>
      </c>
      <c r="E1373" s="108" t="s">
        <v>334</v>
      </c>
      <c r="F1373" s="108" t="s">
        <v>624</v>
      </c>
      <c r="G1373" s="108" t="s">
        <v>9</v>
      </c>
      <c r="H1373" s="126">
        <v>455625</v>
      </c>
      <c r="I1373" s="108">
        <v>310200000</v>
      </c>
      <c r="J1373" s="108" t="str">
        <f t="shared" si="88"/>
        <v>0310200000</v>
      </c>
      <c r="K1373" s="304" t="str">
        <f t="shared" si="87"/>
        <v>60910060310200000000</v>
      </c>
      <c r="L1373" s="17" t="str">
        <f>INDEX('реш СГД № 265'!$A:$N,MATCH('БА расх 2018 31 12 2018'!$K1373,'реш СГД № 265'!$N:$N,0),3)</f>
        <v>Основное мероприятие «Предоставление мер социальной поддержки семьям и детям»</v>
      </c>
      <c r="M1373" s="16">
        <f t="shared" si="89"/>
        <v>1</v>
      </c>
    </row>
    <row r="1374" spans="1:13" s="41" customFormat="1" ht="78.75">
      <c r="A1374" s="40"/>
      <c r="B1374" s="149" t="s">
        <v>625</v>
      </c>
      <c r="C1374" s="109" t="s">
        <v>595</v>
      </c>
      <c r="D1374" s="108" t="s">
        <v>317</v>
      </c>
      <c r="E1374" s="108" t="s">
        <v>334</v>
      </c>
      <c r="F1374" s="108" t="s">
        <v>626</v>
      </c>
      <c r="G1374" s="108" t="s">
        <v>9</v>
      </c>
      <c r="H1374" s="126">
        <v>455625</v>
      </c>
      <c r="I1374" s="108">
        <v>310253800</v>
      </c>
      <c r="J1374" s="108" t="str">
        <f t="shared" si="88"/>
        <v>0310253800</v>
      </c>
      <c r="K1374" s="304" t="str">
        <f t="shared" si="87"/>
        <v>60910060310253800000</v>
      </c>
      <c r="L1374" s="17" t="str">
        <f>INDEX('реш СГД № 265'!$A:$N,MATCH('БА расх 2018 31 12 2018'!$K1374,'реш СГД № 265'!$N:$N,0),3)</f>
        <v>Выплата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v>
      </c>
      <c r="M1374" s="16">
        <f t="shared" si="89"/>
        <v>1</v>
      </c>
    </row>
    <row r="1375" spans="1:13" s="41" customFormat="1" ht="31.5">
      <c r="A1375" s="40"/>
      <c r="B1375" s="125" t="s">
        <v>20</v>
      </c>
      <c r="C1375" s="109" t="s">
        <v>595</v>
      </c>
      <c r="D1375" s="108" t="s">
        <v>317</v>
      </c>
      <c r="E1375" s="108" t="s">
        <v>334</v>
      </c>
      <c r="F1375" s="108" t="s">
        <v>626</v>
      </c>
      <c r="G1375" s="108" t="s">
        <v>21</v>
      </c>
      <c r="H1375" s="126">
        <v>455625</v>
      </c>
      <c r="I1375" s="108">
        <v>310253800</v>
      </c>
      <c r="J1375" s="108" t="str">
        <f t="shared" si="88"/>
        <v>0310253800</v>
      </c>
      <c r="K1375" s="304" t="str">
        <f t="shared" si="87"/>
        <v>60910060310253800120</v>
      </c>
      <c r="L1375" s="17" t="str">
        <f>INDEX('реш СГД № 265'!$A:$N,MATCH('БА расх 2018 31 12 2018'!$K1375,'реш СГД № 265'!$N:$N,0),3)</f>
        <v>Расходы на выплаты персоналу государственных (муниципальных) органов</v>
      </c>
      <c r="M1375" s="16">
        <f t="shared" si="89"/>
        <v>1</v>
      </c>
    </row>
    <row r="1376" spans="1:13" s="41" customFormat="1" ht="31.5">
      <c r="A1376" s="40"/>
      <c r="B1376" s="127" t="s">
        <v>40</v>
      </c>
      <c r="C1376" s="109" t="s">
        <v>595</v>
      </c>
      <c r="D1376" s="108" t="s">
        <v>317</v>
      </c>
      <c r="E1376" s="108" t="s">
        <v>334</v>
      </c>
      <c r="F1376" s="108" t="s">
        <v>626</v>
      </c>
      <c r="G1376" s="108" t="s">
        <v>41</v>
      </c>
      <c r="H1376" s="126">
        <v>357914</v>
      </c>
      <c r="I1376" s="108">
        <v>310253800</v>
      </c>
      <c r="J1376" s="108" t="str">
        <f t="shared" si="88"/>
        <v>0310253800</v>
      </c>
      <c r="K1376" s="304" t="str">
        <f t="shared" si="87"/>
        <v>60910060310253800121</v>
      </c>
      <c r="L1376" s="17"/>
      <c r="M1376" s="16"/>
    </row>
    <row r="1377" spans="1:13" s="41" customFormat="1" ht="47.25">
      <c r="A1377" s="40"/>
      <c r="B1377" s="127" t="s">
        <v>26</v>
      </c>
      <c r="C1377" s="109" t="s">
        <v>595</v>
      </c>
      <c r="D1377" s="108" t="s">
        <v>317</v>
      </c>
      <c r="E1377" s="108" t="s">
        <v>334</v>
      </c>
      <c r="F1377" s="108" t="s">
        <v>626</v>
      </c>
      <c r="G1377" s="108" t="s">
        <v>27</v>
      </c>
      <c r="H1377" s="126">
        <v>97711</v>
      </c>
      <c r="I1377" s="108">
        <v>310253800</v>
      </c>
      <c r="J1377" s="108" t="str">
        <f t="shared" si="88"/>
        <v>0310253800</v>
      </c>
      <c r="K1377" s="304" t="str">
        <f t="shared" si="87"/>
        <v>60910060310253800129</v>
      </c>
      <c r="L1377" s="17"/>
      <c r="M1377" s="16"/>
    </row>
    <row r="1378" spans="1:13" s="4" customFormat="1" ht="47.25">
      <c r="A1378" s="1"/>
      <c r="B1378" s="135" t="s">
        <v>387</v>
      </c>
      <c r="C1378" s="109" t="s">
        <v>595</v>
      </c>
      <c r="D1378" s="108" t="s">
        <v>317</v>
      </c>
      <c r="E1378" s="108" t="s">
        <v>334</v>
      </c>
      <c r="F1378" s="108" t="s">
        <v>388</v>
      </c>
      <c r="G1378" s="108" t="s">
        <v>9</v>
      </c>
      <c r="H1378" s="151">
        <v>1232510</v>
      </c>
      <c r="I1378" s="108">
        <v>320000000</v>
      </c>
      <c r="J1378" s="108" t="str">
        <f t="shared" si="88"/>
        <v>0320000000</v>
      </c>
      <c r="K1378" s="304" t="str">
        <f t="shared" si="87"/>
        <v>60910060320000000000</v>
      </c>
      <c r="L1378" s="17" t="str">
        <f>INDEX('реш СГД № 265'!$A:$N,MATCH('БА расх 2018 31 12 2018'!$K1378,'реш СГД № 265'!$N:$N,0),3)</f>
        <v>Подпрограмма «Дополнительные меры социальной поддержки для отдельных категорий граждан, поддержка социально ориентированных некоммерческих организаций»</v>
      </c>
      <c r="M1378" s="16">
        <f t="shared" si="89"/>
        <v>1</v>
      </c>
    </row>
    <row r="1379" spans="1:13" s="4" customFormat="1" ht="31.5">
      <c r="A1379" s="1"/>
      <c r="B1379" s="135" t="s">
        <v>683</v>
      </c>
      <c r="C1379" s="109" t="s">
        <v>595</v>
      </c>
      <c r="D1379" s="108" t="s">
        <v>317</v>
      </c>
      <c r="E1379" s="108" t="s">
        <v>334</v>
      </c>
      <c r="F1379" s="108" t="s">
        <v>684</v>
      </c>
      <c r="G1379" s="108" t="s">
        <v>9</v>
      </c>
      <c r="H1379" s="151">
        <v>1232510</v>
      </c>
      <c r="I1379" s="108">
        <v>320700000</v>
      </c>
      <c r="J1379" s="108" t="str">
        <f t="shared" si="88"/>
        <v>0320700000</v>
      </c>
      <c r="K1379" s="304" t="str">
        <f t="shared" si="87"/>
        <v>60910060320700000000</v>
      </c>
      <c r="L1379" s="17" t="str">
        <f>INDEX('реш СГД № 265'!$A:$N,MATCH('БА расх 2018 31 12 2018'!$K1379,'реш СГД № 265'!$N:$N,0),3)</f>
        <v>Основное мероприятие «Поддержка социально ориентированных некоммерческих организаций»</v>
      </c>
      <c r="M1379" s="16">
        <f t="shared" si="89"/>
        <v>1</v>
      </c>
    </row>
    <row r="1380" spans="1:13" s="4" customFormat="1" ht="31.5">
      <c r="A1380" s="1"/>
      <c r="B1380" s="135" t="s">
        <v>685</v>
      </c>
      <c r="C1380" s="109" t="s">
        <v>595</v>
      </c>
      <c r="D1380" s="108" t="s">
        <v>317</v>
      </c>
      <c r="E1380" s="108" t="s">
        <v>334</v>
      </c>
      <c r="F1380" s="108" t="s">
        <v>686</v>
      </c>
      <c r="G1380" s="108" t="s">
        <v>9</v>
      </c>
      <c r="H1380" s="151">
        <v>1232510</v>
      </c>
      <c r="I1380" s="108">
        <v>320760040</v>
      </c>
      <c r="J1380" s="108" t="str">
        <f t="shared" si="88"/>
        <v>0320760040</v>
      </c>
      <c r="K1380" s="304" t="str">
        <f t="shared" si="87"/>
        <v>60910060320760040000</v>
      </c>
      <c r="L1380" s="17" t="str">
        <f>INDEX('реш СГД № 265'!$A:$N,MATCH('БА расх 2018 31 12 2018'!$K1380,'реш СГД № 265'!$N:$N,0),3)</f>
        <v>Субсидии на поддержку социально ориентированных некоммерческих организаций</v>
      </c>
      <c r="M1380" s="16">
        <f t="shared" si="89"/>
        <v>1</v>
      </c>
    </row>
    <row r="1381" spans="1:13" s="4" customFormat="1" ht="31.5">
      <c r="A1381" s="1"/>
      <c r="B1381" s="135" t="s">
        <v>182</v>
      </c>
      <c r="C1381" s="109" t="s">
        <v>595</v>
      </c>
      <c r="D1381" s="108" t="s">
        <v>317</v>
      </c>
      <c r="E1381" s="108" t="s">
        <v>334</v>
      </c>
      <c r="F1381" s="108" t="s">
        <v>686</v>
      </c>
      <c r="G1381" s="108" t="s">
        <v>183</v>
      </c>
      <c r="H1381" s="126">
        <v>1232510</v>
      </c>
      <c r="I1381" s="108">
        <v>320760040</v>
      </c>
      <c r="J1381" s="108" t="str">
        <f t="shared" si="88"/>
        <v>0320760040</v>
      </c>
      <c r="K1381" s="304" t="str">
        <f t="shared" ref="K1381:K1441" si="90">C1381&amp;D1381&amp;E1381&amp;J1381&amp;G1381</f>
        <v>60910060320760040630</v>
      </c>
      <c r="L1381" s="17" t="str">
        <f>INDEX('реш СГД № 265'!$A:$N,MATCH('БА расх 2018 31 12 2018'!$K1381,'реш СГД № 265'!$N:$N,0),3)</f>
        <v>Субсидии некоммерческим организациям (за исключением государственных (муниципальных) учреждений)</v>
      </c>
      <c r="M1381" s="16">
        <f t="shared" si="89"/>
        <v>1</v>
      </c>
    </row>
    <row r="1382" spans="1:13" s="4" customFormat="1" ht="78.75">
      <c r="A1382" s="1"/>
      <c r="B1382" s="127" t="s">
        <v>1038</v>
      </c>
      <c r="C1382" s="109" t="s">
        <v>595</v>
      </c>
      <c r="D1382" s="108" t="s">
        <v>317</v>
      </c>
      <c r="E1382" s="108" t="s">
        <v>334</v>
      </c>
      <c r="F1382" s="108" t="s">
        <v>686</v>
      </c>
      <c r="G1382" s="108" t="s">
        <v>416</v>
      </c>
      <c r="H1382" s="126">
        <v>1232510</v>
      </c>
      <c r="I1382" s="108">
        <v>320760040</v>
      </c>
      <c r="J1382" s="108" t="str">
        <f t="shared" ref="J1382:J1442" si="91">TEXT(I1382,"0000000000")</f>
        <v>0320760040</v>
      </c>
      <c r="K1382" s="304" t="str">
        <f t="shared" si="90"/>
        <v>60910060320760040632</v>
      </c>
      <c r="L1382" s="17"/>
      <c r="M1382" s="16"/>
    </row>
    <row r="1383" spans="1:13" s="4" customFormat="1" ht="15.75">
      <c r="A1383" s="1"/>
      <c r="B1383" s="135" t="s">
        <v>671</v>
      </c>
      <c r="C1383" s="109" t="s">
        <v>595</v>
      </c>
      <c r="D1383" s="108" t="s">
        <v>317</v>
      </c>
      <c r="E1383" s="108" t="s">
        <v>334</v>
      </c>
      <c r="F1383" s="108" t="s">
        <v>672</v>
      </c>
      <c r="G1383" s="108" t="s">
        <v>9</v>
      </c>
      <c r="H1383" s="152">
        <v>462723.76</v>
      </c>
      <c r="I1383" s="108">
        <v>330000000</v>
      </c>
      <c r="J1383" s="108" t="str">
        <f t="shared" si="91"/>
        <v>0330000000</v>
      </c>
      <c r="K1383" s="304" t="str">
        <f t="shared" si="90"/>
        <v>60910060330000000000</v>
      </c>
      <c r="L1383" s="17" t="str">
        <f>INDEX('реш СГД № 265'!$A:$N,MATCH('БА расх 2018 31 12 2018'!$K1383,'реш СГД № 265'!$N:$N,0),3)</f>
        <v>Подпрограмма «Доступная среда»</v>
      </c>
      <c r="M1383" s="16">
        <f t="shared" ref="M1383:M1441" si="92">IF(B1383=L1383,1,0)</f>
        <v>1</v>
      </c>
    </row>
    <row r="1384" spans="1:13" s="4" customFormat="1" ht="47.25">
      <c r="A1384" s="1"/>
      <c r="B1384" s="135" t="s">
        <v>673</v>
      </c>
      <c r="C1384" s="109" t="s">
        <v>595</v>
      </c>
      <c r="D1384" s="108" t="s">
        <v>317</v>
      </c>
      <c r="E1384" s="108" t="s">
        <v>334</v>
      </c>
      <c r="F1384" s="108" t="s">
        <v>674</v>
      </c>
      <c r="G1384" s="108" t="s">
        <v>9</v>
      </c>
      <c r="H1384" s="152">
        <v>462723.76</v>
      </c>
      <c r="I1384" s="108">
        <v>330100000</v>
      </c>
      <c r="J1384" s="108" t="str">
        <f t="shared" si="91"/>
        <v>0330100000</v>
      </c>
      <c r="K1384" s="304" t="str">
        <f t="shared" si="90"/>
        <v>60910060330100000000</v>
      </c>
      <c r="L1384" s="17" t="str">
        <f>INDEX('реш СГД № 265'!$A:$N,MATCH('БА расх 2018 31 12 2018'!$K1384,'реш СГД № 265'!$N:$N,0),3)</f>
        <v>Основное мероприятие «Создание условий для беспрепятственного доступа маломобильных групп населения к объектам городской инфраструктуры»</v>
      </c>
      <c r="M1384" s="16">
        <f t="shared" si="92"/>
        <v>1</v>
      </c>
    </row>
    <row r="1385" spans="1:13" s="4" customFormat="1" ht="47.25">
      <c r="A1385" s="1"/>
      <c r="B1385" s="135" t="s">
        <v>675</v>
      </c>
      <c r="C1385" s="109" t="s">
        <v>595</v>
      </c>
      <c r="D1385" s="108" t="s">
        <v>317</v>
      </c>
      <c r="E1385" s="108" t="s">
        <v>334</v>
      </c>
      <c r="F1385" s="108" t="s">
        <v>676</v>
      </c>
      <c r="G1385" s="108" t="s">
        <v>9</v>
      </c>
      <c r="H1385" s="152">
        <v>462723.76</v>
      </c>
      <c r="I1385" s="108">
        <v>330120530</v>
      </c>
      <c r="J1385" s="108" t="str">
        <f t="shared" si="91"/>
        <v>0330120530</v>
      </c>
      <c r="K1385" s="304" t="str">
        <f t="shared" si="90"/>
        <v>60910060330120530000</v>
      </c>
      <c r="L1385" s="17" t="str">
        <f>INDEX('реш СГД № 265'!$A:$N,MATCH('БА расх 2018 31 12 2018'!$K1385,'реш СГД № 265'!$N:$N,0),3)</f>
        <v>Расходы на создание условий для беспрепятственного доступа маломобильных групп населения к объектам городской инфраструктуры</v>
      </c>
      <c r="M1385" s="16">
        <f t="shared" si="92"/>
        <v>1</v>
      </c>
    </row>
    <row r="1386" spans="1:13" s="4" customFormat="1" ht="31.5">
      <c r="A1386" s="1"/>
      <c r="B1386" s="125" t="s">
        <v>28</v>
      </c>
      <c r="C1386" s="109" t="s">
        <v>595</v>
      </c>
      <c r="D1386" s="108" t="s">
        <v>317</v>
      </c>
      <c r="E1386" s="108" t="s">
        <v>334</v>
      </c>
      <c r="F1386" s="108" t="s">
        <v>676</v>
      </c>
      <c r="G1386" s="108" t="s">
        <v>29</v>
      </c>
      <c r="H1386" s="126">
        <v>432414.76</v>
      </c>
      <c r="I1386" s="108">
        <v>330120530</v>
      </c>
      <c r="J1386" s="108" t="str">
        <f t="shared" si="91"/>
        <v>0330120530</v>
      </c>
      <c r="K1386" s="304" t="str">
        <f t="shared" si="90"/>
        <v>60910060330120530240</v>
      </c>
      <c r="L1386" s="17" t="str">
        <f>INDEX('реш СГД № 265'!$A:$N,MATCH('БА расх 2018 31 12 2018'!$K1386,'реш СГД № 265'!$N:$N,0),3)</f>
        <v>Иные закупки товаров, работ и услуг для обеспечения государственных (муниципальных) нужд</v>
      </c>
      <c r="M1386" s="16">
        <f t="shared" si="92"/>
        <v>1</v>
      </c>
    </row>
    <row r="1387" spans="1:13" s="4" customFormat="1" ht="15.75">
      <c r="A1387" s="1"/>
      <c r="B1387" s="125" t="s">
        <v>30</v>
      </c>
      <c r="C1387" s="109" t="s">
        <v>595</v>
      </c>
      <c r="D1387" s="108" t="s">
        <v>317</v>
      </c>
      <c r="E1387" s="108" t="s">
        <v>334</v>
      </c>
      <c r="F1387" s="108" t="s">
        <v>676</v>
      </c>
      <c r="G1387" s="108" t="s">
        <v>31</v>
      </c>
      <c r="H1387" s="126">
        <v>432414.76</v>
      </c>
      <c r="I1387" s="108">
        <v>330120530</v>
      </c>
      <c r="J1387" s="108" t="str">
        <f t="shared" si="91"/>
        <v>0330120530</v>
      </c>
      <c r="K1387" s="304" t="str">
        <f t="shared" si="90"/>
        <v>60910060330120530244</v>
      </c>
      <c r="L1387" s="17"/>
      <c r="M1387" s="16"/>
    </row>
    <row r="1388" spans="1:13" s="4" customFormat="1" ht="15.75">
      <c r="A1388" s="1"/>
      <c r="B1388" s="125" t="s">
        <v>32</v>
      </c>
      <c r="C1388" s="109" t="s">
        <v>595</v>
      </c>
      <c r="D1388" s="108" t="s">
        <v>317</v>
      </c>
      <c r="E1388" s="108" t="s">
        <v>334</v>
      </c>
      <c r="F1388" s="108" t="s">
        <v>676</v>
      </c>
      <c r="G1388" s="108" t="s">
        <v>33</v>
      </c>
      <c r="H1388" s="126">
        <v>30309</v>
      </c>
      <c r="I1388" s="108">
        <v>330120530</v>
      </c>
      <c r="J1388" s="108" t="str">
        <f t="shared" si="91"/>
        <v>0330120530</v>
      </c>
      <c r="K1388" s="304" t="str">
        <f t="shared" si="90"/>
        <v>60910060330120530850</v>
      </c>
      <c r="L1388" s="17" t="str">
        <f>INDEX('реш СГД № 265'!$A:$N,MATCH('БА расх 2018 31 12 2018'!$K1388,'реш СГД № 265'!$N:$N,0),3)</f>
        <v>Уплата налогов, сборов и иных платежей</v>
      </c>
      <c r="M1388" s="16">
        <f t="shared" si="92"/>
        <v>1</v>
      </c>
    </row>
    <row r="1389" spans="1:13" s="4" customFormat="1" ht="31.5">
      <c r="A1389" s="1"/>
      <c r="B1389" s="127" t="s">
        <v>34</v>
      </c>
      <c r="C1389" s="109" t="s">
        <v>595</v>
      </c>
      <c r="D1389" s="108" t="s">
        <v>317</v>
      </c>
      <c r="E1389" s="108" t="s">
        <v>334</v>
      </c>
      <c r="F1389" s="108" t="s">
        <v>676</v>
      </c>
      <c r="G1389" s="108" t="s">
        <v>35</v>
      </c>
      <c r="H1389" s="126">
        <v>27552</v>
      </c>
      <c r="I1389" s="108">
        <v>330120530</v>
      </c>
      <c r="J1389" s="108" t="str">
        <f t="shared" si="91"/>
        <v>0330120530</v>
      </c>
      <c r="K1389" s="304" t="str">
        <f t="shared" si="90"/>
        <v>60910060330120530851</v>
      </c>
      <c r="L1389" s="17"/>
      <c r="M1389" s="16"/>
    </row>
    <row r="1390" spans="1:13" s="4" customFormat="1" ht="15.75">
      <c r="A1390" s="1"/>
      <c r="B1390" s="127" t="s">
        <v>36</v>
      </c>
      <c r="C1390" s="109" t="s">
        <v>595</v>
      </c>
      <c r="D1390" s="108" t="s">
        <v>317</v>
      </c>
      <c r="E1390" s="108" t="s">
        <v>334</v>
      </c>
      <c r="F1390" s="108" t="s">
        <v>676</v>
      </c>
      <c r="G1390" s="108" t="s">
        <v>37</v>
      </c>
      <c r="H1390" s="126">
        <v>2757</v>
      </c>
      <c r="I1390" s="108">
        <v>330120530</v>
      </c>
      <c r="J1390" s="108" t="str">
        <f t="shared" si="91"/>
        <v>0330120530</v>
      </c>
      <c r="K1390" s="304" t="str">
        <f t="shared" si="90"/>
        <v>60910060330120530852</v>
      </c>
      <c r="L1390" s="17"/>
      <c r="M1390" s="16"/>
    </row>
    <row r="1391" spans="1:13" s="4" customFormat="1" ht="31.5">
      <c r="A1391" s="1"/>
      <c r="B1391" s="147" t="s">
        <v>689</v>
      </c>
      <c r="C1391" s="109" t="s">
        <v>595</v>
      </c>
      <c r="D1391" s="108" t="s">
        <v>317</v>
      </c>
      <c r="E1391" s="108" t="s">
        <v>334</v>
      </c>
      <c r="F1391" s="109" t="s">
        <v>690</v>
      </c>
      <c r="G1391" s="108" t="s">
        <v>9</v>
      </c>
      <c r="H1391" s="151">
        <v>64866409.18</v>
      </c>
      <c r="I1391" s="109">
        <v>7700000000</v>
      </c>
      <c r="J1391" s="109" t="str">
        <f t="shared" si="91"/>
        <v>7700000000</v>
      </c>
      <c r="K1391" s="304" t="str">
        <f t="shared" si="90"/>
        <v>60910067700000000000</v>
      </c>
      <c r="L1391" s="17" t="str">
        <f>INDEX('реш СГД № 265'!$A:$N,MATCH('БА расх 2018 31 12 2018'!$K1391,'реш СГД № 265'!$N:$N,0),3)</f>
        <v>Обеспечение деятельности комитета труда и социальной защиты населения администрации города Ставрополя</v>
      </c>
      <c r="M1391" s="16">
        <f t="shared" si="92"/>
        <v>1</v>
      </c>
    </row>
    <row r="1392" spans="1:13" s="4" customFormat="1" ht="47.25">
      <c r="A1392" s="1"/>
      <c r="B1392" s="147" t="s">
        <v>691</v>
      </c>
      <c r="C1392" s="109" t="s">
        <v>595</v>
      </c>
      <c r="D1392" s="108" t="s">
        <v>317</v>
      </c>
      <c r="E1392" s="108" t="s">
        <v>334</v>
      </c>
      <c r="F1392" s="109" t="s">
        <v>692</v>
      </c>
      <c r="G1392" s="108" t="s">
        <v>9</v>
      </c>
      <c r="H1392" s="151">
        <v>64866409.18</v>
      </c>
      <c r="I1392" s="109">
        <v>7710000000</v>
      </c>
      <c r="J1392" s="109" t="str">
        <f t="shared" si="91"/>
        <v>7710000000</v>
      </c>
      <c r="K1392" s="304" t="str">
        <f t="shared" si="90"/>
        <v>60910067710000000000</v>
      </c>
      <c r="L1392" s="17" t="str">
        <f>INDEX('реш СГД № 265'!$A:$N,MATCH('БА расх 2018 31 12 2018'!$K1392,'реш СГД № 265'!$N:$N,0),3)</f>
        <v>Непрограммные расходы в рамках обеспечения деятельности комитета труда и социальной защиты населения администрации города Ставрополя</v>
      </c>
      <c r="M1392" s="16">
        <f t="shared" si="92"/>
        <v>1</v>
      </c>
    </row>
    <row r="1393" spans="1:13" s="4" customFormat="1" ht="31.5">
      <c r="A1393" s="1"/>
      <c r="B1393" s="153" t="s">
        <v>18</v>
      </c>
      <c r="C1393" s="109" t="s">
        <v>595</v>
      </c>
      <c r="D1393" s="108" t="s">
        <v>317</v>
      </c>
      <c r="E1393" s="108" t="s">
        <v>334</v>
      </c>
      <c r="F1393" s="154" t="s">
        <v>693</v>
      </c>
      <c r="G1393" s="108" t="s">
        <v>9</v>
      </c>
      <c r="H1393" s="151">
        <v>1372271.53</v>
      </c>
      <c r="I1393" s="154">
        <v>7710010010</v>
      </c>
      <c r="J1393" s="154" t="str">
        <f t="shared" si="91"/>
        <v>7710010010</v>
      </c>
      <c r="K1393" s="304" t="str">
        <f t="shared" si="90"/>
        <v>60910067710010010000</v>
      </c>
      <c r="L1393" s="17" t="str">
        <f>INDEX('реш СГД № 265'!$A:$N,MATCH('БА расх 2018 31 12 2018'!$K1393,'реш СГД № 265'!$N:$N,0),3)</f>
        <v>Расходы на обеспечение функций органов местного самоуправления города Ставрополя</v>
      </c>
      <c r="M1393" s="16">
        <f t="shared" si="92"/>
        <v>1</v>
      </c>
    </row>
    <row r="1394" spans="1:13" s="4" customFormat="1" ht="31.5">
      <c r="A1394" s="1"/>
      <c r="B1394" s="127" t="s">
        <v>20</v>
      </c>
      <c r="C1394" s="109" t="s">
        <v>595</v>
      </c>
      <c r="D1394" s="108" t="s">
        <v>317</v>
      </c>
      <c r="E1394" s="108" t="s">
        <v>334</v>
      </c>
      <c r="F1394" s="154" t="s">
        <v>693</v>
      </c>
      <c r="G1394" s="108" t="s">
        <v>21</v>
      </c>
      <c r="H1394" s="126">
        <v>144040</v>
      </c>
      <c r="I1394" s="154">
        <v>7710010010</v>
      </c>
      <c r="J1394" s="154" t="str">
        <f t="shared" si="91"/>
        <v>7710010010</v>
      </c>
      <c r="K1394" s="304" t="str">
        <f t="shared" si="90"/>
        <v>60910067710010010120</v>
      </c>
      <c r="L1394" s="17" t="str">
        <f>INDEX('реш СГД № 265'!$A:$N,MATCH('БА расх 2018 31 12 2018'!$K1394,'реш СГД № 265'!$N:$N,0),3)</f>
        <v>Расходы на выплаты персоналу государственных (муниципальных) органов</v>
      </c>
      <c r="M1394" s="16">
        <f t="shared" si="92"/>
        <v>1</v>
      </c>
    </row>
    <row r="1395" spans="1:13" s="41" customFormat="1" ht="31.5">
      <c r="A1395" s="40"/>
      <c r="B1395" s="127" t="s">
        <v>22</v>
      </c>
      <c r="C1395" s="109" t="s">
        <v>595</v>
      </c>
      <c r="D1395" s="108" t="s">
        <v>317</v>
      </c>
      <c r="E1395" s="108" t="s">
        <v>334</v>
      </c>
      <c r="F1395" s="154" t="s">
        <v>693</v>
      </c>
      <c r="G1395" s="108" t="s">
        <v>23</v>
      </c>
      <c r="H1395" s="126">
        <v>110630</v>
      </c>
      <c r="I1395" s="154">
        <v>7710010010</v>
      </c>
      <c r="J1395" s="154" t="str">
        <f t="shared" si="91"/>
        <v>7710010010</v>
      </c>
      <c r="K1395" s="304" t="str">
        <f t="shared" si="90"/>
        <v>60910067710010010122</v>
      </c>
      <c r="L1395" s="17"/>
      <c r="M1395" s="16"/>
    </row>
    <row r="1396" spans="1:13" s="41" customFormat="1" ht="47.25">
      <c r="A1396" s="40"/>
      <c r="B1396" s="127" t="s">
        <v>26</v>
      </c>
      <c r="C1396" s="109" t="s">
        <v>595</v>
      </c>
      <c r="D1396" s="108" t="s">
        <v>317</v>
      </c>
      <c r="E1396" s="108" t="s">
        <v>334</v>
      </c>
      <c r="F1396" s="154" t="s">
        <v>693</v>
      </c>
      <c r="G1396" s="108" t="s">
        <v>27</v>
      </c>
      <c r="H1396" s="126">
        <v>33410</v>
      </c>
      <c r="I1396" s="154">
        <v>7710010010</v>
      </c>
      <c r="J1396" s="154" t="str">
        <f t="shared" si="91"/>
        <v>7710010010</v>
      </c>
      <c r="K1396" s="304" t="str">
        <f t="shared" si="90"/>
        <v>60910067710010010129</v>
      </c>
      <c r="L1396" s="17"/>
      <c r="M1396" s="16"/>
    </row>
    <row r="1397" spans="1:13" s="4" customFormat="1" ht="31.5">
      <c r="A1397" s="1"/>
      <c r="B1397" s="125" t="s">
        <v>28</v>
      </c>
      <c r="C1397" s="109" t="s">
        <v>595</v>
      </c>
      <c r="D1397" s="108" t="s">
        <v>317</v>
      </c>
      <c r="E1397" s="108" t="s">
        <v>334</v>
      </c>
      <c r="F1397" s="154" t="s">
        <v>693</v>
      </c>
      <c r="G1397" s="108" t="s">
        <v>29</v>
      </c>
      <c r="H1397" s="126">
        <v>1226291.53</v>
      </c>
      <c r="I1397" s="154">
        <v>7710010010</v>
      </c>
      <c r="J1397" s="154" t="str">
        <f t="shared" si="91"/>
        <v>7710010010</v>
      </c>
      <c r="K1397" s="304" t="str">
        <f t="shared" si="90"/>
        <v>60910067710010010240</v>
      </c>
      <c r="L1397" s="17" t="str">
        <f>INDEX('реш СГД № 265'!$A:$N,MATCH('БА расх 2018 31 12 2018'!$K1397,'реш СГД № 265'!$N:$N,0),3)</f>
        <v>Иные закупки товаров, работ и услуг для обеспечения государственных (муниципальных) нужд</v>
      </c>
      <c r="M1397" s="16">
        <f t="shared" si="92"/>
        <v>1</v>
      </c>
    </row>
    <row r="1398" spans="1:13" s="4" customFormat="1" ht="15.75">
      <c r="A1398" s="1"/>
      <c r="B1398" s="125" t="s">
        <v>30</v>
      </c>
      <c r="C1398" s="109" t="s">
        <v>595</v>
      </c>
      <c r="D1398" s="108" t="s">
        <v>317</v>
      </c>
      <c r="E1398" s="108" t="s">
        <v>334</v>
      </c>
      <c r="F1398" s="154" t="s">
        <v>693</v>
      </c>
      <c r="G1398" s="108" t="s">
        <v>31</v>
      </c>
      <c r="H1398" s="126">
        <v>1226291.53</v>
      </c>
      <c r="I1398" s="154">
        <v>7710010010</v>
      </c>
      <c r="J1398" s="154" t="str">
        <f t="shared" si="91"/>
        <v>7710010010</v>
      </c>
      <c r="K1398" s="304" t="str">
        <f t="shared" si="90"/>
        <v>60910067710010010244</v>
      </c>
      <c r="L1398" s="17"/>
      <c r="M1398" s="16"/>
    </row>
    <row r="1399" spans="1:13" s="4" customFormat="1" ht="15.75">
      <c r="A1399" s="1"/>
      <c r="B1399" s="125" t="s">
        <v>32</v>
      </c>
      <c r="C1399" s="109" t="s">
        <v>595</v>
      </c>
      <c r="D1399" s="108" t="s">
        <v>317</v>
      </c>
      <c r="E1399" s="108" t="s">
        <v>334</v>
      </c>
      <c r="F1399" s="154" t="s">
        <v>693</v>
      </c>
      <c r="G1399" s="108" t="s">
        <v>33</v>
      </c>
      <c r="H1399" s="126">
        <v>1940</v>
      </c>
      <c r="I1399" s="154">
        <v>7710010010</v>
      </c>
      <c r="J1399" s="154" t="str">
        <f t="shared" si="91"/>
        <v>7710010010</v>
      </c>
      <c r="K1399" s="304" t="str">
        <f t="shared" si="90"/>
        <v>60910067710010010850</v>
      </c>
      <c r="L1399" s="17" t="str">
        <f>INDEX('реш СГД № 265'!$A:$N,MATCH('БА расх 2018 31 12 2018'!$K1399,'реш СГД № 265'!$N:$N,0),3)</f>
        <v>Уплата налогов, сборов и иных платежей</v>
      </c>
      <c r="M1399" s="16">
        <f t="shared" si="92"/>
        <v>1</v>
      </c>
    </row>
    <row r="1400" spans="1:13" s="41" customFormat="1" ht="15.75">
      <c r="A1400" s="40"/>
      <c r="B1400" s="127" t="s">
        <v>36</v>
      </c>
      <c r="C1400" s="109" t="s">
        <v>595</v>
      </c>
      <c r="D1400" s="108" t="s">
        <v>317</v>
      </c>
      <c r="E1400" s="108" t="s">
        <v>334</v>
      </c>
      <c r="F1400" s="154" t="s">
        <v>693</v>
      </c>
      <c r="G1400" s="108" t="s">
        <v>37</v>
      </c>
      <c r="H1400" s="126">
        <v>1940</v>
      </c>
      <c r="I1400" s="154">
        <v>7710010010</v>
      </c>
      <c r="J1400" s="154" t="str">
        <f t="shared" si="91"/>
        <v>7710010010</v>
      </c>
      <c r="K1400" s="304" t="str">
        <f t="shared" si="90"/>
        <v>60910067710010010852</v>
      </c>
      <c r="L1400" s="17"/>
      <c r="M1400" s="16"/>
    </row>
    <row r="1401" spans="1:13" s="4" customFormat="1" ht="31.5">
      <c r="A1401" s="1"/>
      <c r="B1401" s="153" t="s">
        <v>38</v>
      </c>
      <c r="C1401" s="109" t="s">
        <v>595</v>
      </c>
      <c r="D1401" s="108" t="s">
        <v>317</v>
      </c>
      <c r="E1401" s="108" t="s">
        <v>334</v>
      </c>
      <c r="F1401" s="154" t="s">
        <v>694</v>
      </c>
      <c r="G1401" s="108" t="s">
        <v>9</v>
      </c>
      <c r="H1401" s="151">
        <v>6163631.8099999996</v>
      </c>
      <c r="I1401" s="154">
        <v>7710010020</v>
      </c>
      <c r="J1401" s="154" t="str">
        <f t="shared" si="91"/>
        <v>7710010020</v>
      </c>
      <c r="K1401" s="304" t="str">
        <f t="shared" si="90"/>
        <v>60910067710010020000</v>
      </c>
      <c r="L1401" s="17" t="str">
        <f>INDEX('реш СГД № 265'!$A:$N,MATCH('БА расх 2018 31 12 2018'!$K1401,'реш СГД № 265'!$N:$N,0),3)</f>
        <v>Расходы на выплаты по оплате труда работников органов местного самоуправления города Ставрополя</v>
      </c>
      <c r="M1401" s="16">
        <f t="shared" si="92"/>
        <v>1</v>
      </c>
    </row>
    <row r="1402" spans="1:13" s="4" customFormat="1" ht="31.5">
      <c r="A1402" s="1"/>
      <c r="B1402" s="127" t="s">
        <v>20</v>
      </c>
      <c r="C1402" s="109" t="s">
        <v>595</v>
      </c>
      <c r="D1402" s="108" t="s">
        <v>317</v>
      </c>
      <c r="E1402" s="108" t="s">
        <v>334</v>
      </c>
      <c r="F1402" s="154" t="s">
        <v>694</v>
      </c>
      <c r="G1402" s="108" t="s">
        <v>21</v>
      </c>
      <c r="H1402" s="126">
        <v>6163631.8099999996</v>
      </c>
      <c r="I1402" s="154">
        <v>7710010020</v>
      </c>
      <c r="J1402" s="154" t="str">
        <f t="shared" si="91"/>
        <v>7710010020</v>
      </c>
      <c r="K1402" s="304" t="str">
        <f t="shared" si="90"/>
        <v>60910067710010020120</v>
      </c>
      <c r="L1402" s="17" t="str">
        <f>INDEX('реш СГД № 265'!$A:$N,MATCH('БА расх 2018 31 12 2018'!$K1402,'реш СГД № 265'!$N:$N,0),3)</f>
        <v>Расходы на выплаты персоналу государственных (муниципальных) органов</v>
      </c>
      <c r="M1402" s="16">
        <f t="shared" si="92"/>
        <v>1</v>
      </c>
    </row>
    <row r="1403" spans="1:13" s="41" customFormat="1" ht="31.5">
      <c r="A1403" s="40"/>
      <c r="B1403" s="127" t="s">
        <v>40</v>
      </c>
      <c r="C1403" s="109" t="s">
        <v>595</v>
      </c>
      <c r="D1403" s="108" t="s">
        <v>317</v>
      </c>
      <c r="E1403" s="108" t="s">
        <v>334</v>
      </c>
      <c r="F1403" s="154" t="s">
        <v>694</v>
      </c>
      <c r="G1403" s="108" t="s">
        <v>41</v>
      </c>
      <c r="H1403" s="126">
        <v>4733973.43</v>
      </c>
      <c r="I1403" s="154">
        <v>7710010020</v>
      </c>
      <c r="J1403" s="154" t="str">
        <f t="shared" si="91"/>
        <v>7710010020</v>
      </c>
      <c r="K1403" s="304" t="str">
        <f t="shared" si="90"/>
        <v>60910067710010020121</v>
      </c>
      <c r="L1403" s="17"/>
      <c r="M1403" s="16"/>
    </row>
    <row r="1404" spans="1:13" s="41" customFormat="1" ht="47.25">
      <c r="A1404" s="40"/>
      <c r="B1404" s="127" t="s">
        <v>26</v>
      </c>
      <c r="C1404" s="109" t="s">
        <v>595</v>
      </c>
      <c r="D1404" s="108" t="s">
        <v>317</v>
      </c>
      <c r="E1404" s="108" t="s">
        <v>334</v>
      </c>
      <c r="F1404" s="154" t="s">
        <v>694</v>
      </c>
      <c r="G1404" s="108" t="s">
        <v>27</v>
      </c>
      <c r="H1404" s="126">
        <v>1429658.38</v>
      </c>
      <c r="I1404" s="154">
        <v>7710010020</v>
      </c>
      <c r="J1404" s="154" t="str">
        <f t="shared" si="91"/>
        <v>7710010020</v>
      </c>
      <c r="K1404" s="304" t="str">
        <f t="shared" si="90"/>
        <v>60910067710010020129</v>
      </c>
      <c r="L1404" s="17"/>
      <c r="M1404" s="16"/>
    </row>
    <row r="1405" spans="1:13" s="4" customFormat="1" ht="63">
      <c r="A1405" s="1" t="s">
        <v>80</v>
      </c>
      <c r="B1405" s="153" t="s">
        <v>695</v>
      </c>
      <c r="C1405" s="109" t="s">
        <v>595</v>
      </c>
      <c r="D1405" s="108" t="s">
        <v>317</v>
      </c>
      <c r="E1405" s="108" t="s">
        <v>334</v>
      </c>
      <c r="F1405" s="154" t="s">
        <v>696</v>
      </c>
      <c r="G1405" s="108" t="s">
        <v>9</v>
      </c>
      <c r="H1405" s="151">
        <v>1448933.2</v>
      </c>
      <c r="I1405" s="154">
        <v>7710076100</v>
      </c>
      <c r="J1405" s="154" t="str">
        <f t="shared" si="91"/>
        <v>7710076100</v>
      </c>
      <c r="K1405" s="304" t="str">
        <f t="shared" si="90"/>
        <v>60910067710076100000</v>
      </c>
      <c r="L1405" s="17" t="str">
        <f>INDEX('реш СГД № 265'!$A:$N,MATCH('БА расх 2018 31 12 2018'!$K1405,'реш СГД № 265'!$N:$N,0),3)</f>
        <v>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здравоохранения</v>
      </c>
      <c r="M1405" s="16">
        <f t="shared" si="92"/>
        <v>1</v>
      </c>
    </row>
    <row r="1406" spans="1:13" s="4" customFormat="1" ht="31.5">
      <c r="A1406" s="1"/>
      <c r="B1406" s="127" t="s">
        <v>20</v>
      </c>
      <c r="C1406" s="109" t="s">
        <v>595</v>
      </c>
      <c r="D1406" s="108" t="s">
        <v>317</v>
      </c>
      <c r="E1406" s="108" t="s">
        <v>334</v>
      </c>
      <c r="F1406" s="154" t="s">
        <v>696</v>
      </c>
      <c r="G1406" s="108" t="s">
        <v>21</v>
      </c>
      <c r="H1406" s="126">
        <v>1238405.2</v>
      </c>
      <c r="I1406" s="154">
        <v>7710076100</v>
      </c>
      <c r="J1406" s="154" t="str">
        <f t="shared" si="91"/>
        <v>7710076100</v>
      </c>
      <c r="K1406" s="304" t="str">
        <f t="shared" si="90"/>
        <v>60910067710076100120</v>
      </c>
      <c r="L1406" s="17" t="str">
        <f>INDEX('реш СГД № 265'!$A:$N,MATCH('БА расх 2018 31 12 2018'!$K1406,'реш СГД № 265'!$N:$N,0),3)</f>
        <v>Расходы на выплаты персоналу государственных (муниципальных) органов</v>
      </c>
      <c r="M1406" s="16">
        <f t="shared" si="92"/>
        <v>1</v>
      </c>
    </row>
    <row r="1407" spans="1:13" s="41" customFormat="1" ht="31.5">
      <c r="A1407" s="40"/>
      <c r="B1407" s="127" t="s">
        <v>40</v>
      </c>
      <c r="C1407" s="109" t="s">
        <v>595</v>
      </c>
      <c r="D1407" s="108" t="s">
        <v>317</v>
      </c>
      <c r="E1407" s="108" t="s">
        <v>334</v>
      </c>
      <c r="F1407" s="154" t="s">
        <v>696</v>
      </c>
      <c r="G1407" s="108" t="s">
        <v>41</v>
      </c>
      <c r="H1407" s="126">
        <v>912861</v>
      </c>
      <c r="I1407" s="154">
        <v>7710076100</v>
      </c>
      <c r="J1407" s="154" t="str">
        <f t="shared" si="91"/>
        <v>7710076100</v>
      </c>
      <c r="K1407" s="304" t="str">
        <f t="shared" si="90"/>
        <v>60910067710076100121</v>
      </c>
      <c r="L1407" s="17"/>
      <c r="M1407" s="16"/>
    </row>
    <row r="1408" spans="1:13" s="41" customFormat="1" ht="31.5">
      <c r="A1408" s="40"/>
      <c r="B1408" s="127" t="s">
        <v>22</v>
      </c>
      <c r="C1408" s="109" t="s">
        <v>595</v>
      </c>
      <c r="D1408" s="108" t="s">
        <v>317</v>
      </c>
      <c r="E1408" s="108" t="s">
        <v>334</v>
      </c>
      <c r="F1408" s="154" t="s">
        <v>696</v>
      </c>
      <c r="G1408" s="108" t="s">
        <v>23</v>
      </c>
      <c r="H1408" s="126">
        <v>38295</v>
      </c>
      <c r="I1408" s="154">
        <v>7710076100</v>
      </c>
      <c r="J1408" s="154" t="str">
        <f t="shared" si="91"/>
        <v>7710076100</v>
      </c>
      <c r="K1408" s="304" t="str">
        <f t="shared" si="90"/>
        <v>60910067710076100122</v>
      </c>
      <c r="L1408" s="17"/>
      <c r="M1408" s="16"/>
    </row>
    <row r="1409" spans="1:13" s="41" customFormat="1" ht="47.25">
      <c r="A1409" s="40"/>
      <c r="B1409" s="127" t="s">
        <v>26</v>
      </c>
      <c r="C1409" s="109" t="s">
        <v>595</v>
      </c>
      <c r="D1409" s="108" t="s">
        <v>317</v>
      </c>
      <c r="E1409" s="108" t="s">
        <v>334</v>
      </c>
      <c r="F1409" s="154" t="s">
        <v>696</v>
      </c>
      <c r="G1409" s="108" t="s">
        <v>27</v>
      </c>
      <c r="H1409" s="126">
        <v>287249.2</v>
      </c>
      <c r="I1409" s="154">
        <v>7710076100</v>
      </c>
      <c r="J1409" s="154" t="str">
        <f t="shared" si="91"/>
        <v>7710076100</v>
      </c>
      <c r="K1409" s="304" t="str">
        <f t="shared" si="90"/>
        <v>60910067710076100129</v>
      </c>
      <c r="L1409" s="17"/>
      <c r="M1409" s="16"/>
    </row>
    <row r="1410" spans="1:13" s="4" customFormat="1" ht="31.5">
      <c r="A1410" s="1"/>
      <c r="B1410" s="125" t="s">
        <v>28</v>
      </c>
      <c r="C1410" s="109" t="s">
        <v>595</v>
      </c>
      <c r="D1410" s="108" t="s">
        <v>317</v>
      </c>
      <c r="E1410" s="108" t="s">
        <v>334</v>
      </c>
      <c r="F1410" s="154" t="s">
        <v>696</v>
      </c>
      <c r="G1410" s="108" t="s">
        <v>29</v>
      </c>
      <c r="H1410" s="126">
        <v>210528</v>
      </c>
      <c r="I1410" s="154">
        <v>7710076100</v>
      </c>
      <c r="J1410" s="154" t="str">
        <f t="shared" si="91"/>
        <v>7710076100</v>
      </c>
      <c r="K1410" s="304" t="str">
        <f t="shared" si="90"/>
        <v>60910067710076100240</v>
      </c>
      <c r="L1410" s="17" t="str">
        <f>INDEX('реш СГД № 265'!$A:$N,MATCH('БА расх 2018 31 12 2018'!$K1410,'реш СГД № 265'!$N:$N,0),3)</f>
        <v>Иные закупки товаров, работ и услуг для обеспечения государственных (муниципальных) нужд</v>
      </c>
      <c r="M1410" s="16">
        <f t="shared" si="92"/>
        <v>1</v>
      </c>
    </row>
    <row r="1411" spans="1:13" s="4" customFormat="1" ht="15.75">
      <c r="A1411" s="1"/>
      <c r="B1411" s="125" t="s">
        <v>30</v>
      </c>
      <c r="C1411" s="109" t="s">
        <v>595</v>
      </c>
      <c r="D1411" s="108" t="s">
        <v>317</v>
      </c>
      <c r="E1411" s="108" t="s">
        <v>334</v>
      </c>
      <c r="F1411" s="154" t="s">
        <v>696</v>
      </c>
      <c r="G1411" s="108" t="s">
        <v>31</v>
      </c>
      <c r="H1411" s="126">
        <v>210528</v>
      </c>
      <c r="I1411" s="154">
        <v>7710076100</v>
      </c>
      <c r="J1411" s="154" t="str">
        <f t="shared" si="91"/>
        <v>7710076100</v>
      </c>
      <c r="K1411" s="304" t="str">
        <f t="shared" si="90"/>
        <v>60910067710076100244</v>
      </c>
      <c r="L1411" s="17"/>
      <c r="M1411" s="16"/>
    </row>
    <row r="1412" spans="1:13" s="4" customFormat="1" ht="47.25">
      <c r="A1412" s="1" t="s">
        <v>80</v>
      </c>
      <c r="B1412" s="153" t="s">
        <v>697</v>
      </c>
      <c r="C1412" s="109" t="s">
        <v>595</v>
      </c>
      <c r="D1412" s="108" t="s">
        <v>317</v>
      </c>
      <c r="E1412" s="108" t="s">
        <v>334</v>
      </c>
      <c r="F1412" s="154" t="s">
        <v>698</v>
      </c>
      <c r="G1412" s="108" t="s">
        <v>9</v>
      </c>
      <c r="H1412" s="151">
        <v>55673176.390000001</v>
      </c>
      <c r="I1412" s="154">
        <v>7710076210</v>
      </c>
      <c r="J1412" s="154" t="str">
        <f t="shared" si="91"/>
        <v>7710076210</v>
      </c>
      <c r="K1412" s="304" t="str">
        <f t="shared" si="90"/>
        <v>60910067710076210000</v>
      </c>
      <c r="L1412" s="17" t="str">
        <f>INDEX('реш СГД № 265'!$A:$N,MATCH('БА расх 2018 31 12 2018'!$K1412,'реш СГД № 265'!$N:$N,0),3)</f>
        <v>Расходы на осуществление переданных государственных полномочий Ставропольского края в области труда и социальной защиты отдельных категорий граждан</v>
      </c>
      <c r="M1412" s="16">
        <f t="shared" si="92"/>
        <v>1</v>
      </c>
    </row>
    <row r="1413" spans="1:13" s="4" customFormat="1" ht="31.5">
      <c r="A1413" s="1"/>
      <c r="B1413" s="127" t="s">
        <v>20</v>
      </c>
      <c r="C1413" s="109" t="s">
        <v>595</v>
      </c>
      <c r="D1413" s="108" t="s">
        <v>317</v>
      </c>
      <c r="E1413" s="108" t="s">
        <v>334</v>
      </c>
      <c r="F1413" s="154" t="s">
        <v>698</v>
      </c>
      <c r="G1413" s="108" t="s">
        <v>21</v>
      </c>
      <c r="H1413" s="126">
        <v>54217819.109999999</v>
      </c>
      <c r="I1413" s="154">
        <v>7710076210</v>
      </c>
      <c r="J1413" s="154" t="str">
        <f t="shared" si="91"/>
        <v>7710076210</v>
      </c>
      <c r="K1413" s="304" t="str">
        <f t="shared" si="90"/>
        <v>60910067710076210120</v>
      </c>
      <c r="L1413" s="17" t="str">
        <f>INDEX('реш СГД № 265'!$A:$N,MATCH('БА расх 2018 31 12 2018'!$K1413,'реш СГД № 265'!$N:$N,0),3)</f>
        <v>Расходы на выплаты персоналу государственных (муниципальных) органов</v>
      </c>
      <c r="M1413" s="16">
        <f t="shared" si="92"/>
        <v>1</v>
      </c>
    </row>
    <row r="1414" spans="1:13" s="41" customFormat="1" ht="31.5">
      <c r="A1414" s="40"/>
      <c r="B1414" s="127" t="s">
        <v>40</v>
      </c>
      <c r="C1414" s="109" t="s">
        <v>595</v>
      </c>
      <c r="D1414" s="108" t="s">
        <v>317</v>
      </c>
      <c r="E1414" s="108" t="s">
        <v>334</v>
      </c>
      <c r="F1414" s="154" t="s">
        <v>698</v>
      </c>
      <c r="G1414" s="108" t="s">
        <v>41</v>
      </c>
      <c r="H1414" s="126">
        <v>40463903.060000002</v>
      </c>
      <c r="I1414" s="154">
        <v>7710076210</v>
      </c>
      <c r="J1414" s="154" t="str">
        <f t="shared" si="91"/>
        <v>7710076210</v>
      </c>
      <c r="K1414" s="304" t="str">
        <f t="shared" si="90"/>
        <v>60910067710076210121</v>
      </c>
      <c r="L1414" s="17"/>
      <c r="M1414" s="16"/>
    </row>
    <row r="1415" spans="1:13" s="41" customFormat="1" ht="31.5">
      <c r="A1415" s="40"/>
      <c r="B1415" s="127" t="s">
        <v>22</v>
      </c>
      <c r="C1415" s="109" t="s">
        <v>595</v>
      </c>
      <c r="D1415" s="108" t="s">
        <v>317</v>
      </c>
      <c r="E1415" s="108" t="s">
        <v>334</v>
      </c>
      <c r="F1415" s="154" t="s">
        <v>698</v>
      </c>
      <c r="G1415" s="108" t="s">
        <v>23</v>
      </c>
      <c r="H1415" s="126">
        <v>1309339.3999999999</v>
      </c>
      <c r="I1415" s="154">
        <v>7710076210</v>
      </c>
      <c r="J1415" s="154" t="str">
        <f t="shared" si="91"/>
        <v>7710076210</v>
      </c>
      <c r="K1415" s="304" t="str">
        <f t="shared" si="90"/>
        <v>60910067710076210122</v>
      </c>
      <c r="L1415" s="17"/>
      <c r="M1415" s="16"/>
    </row>
    <row r="1416" spans="1:13" s="41" customFormat="1" ht="47.25">
      <c r="A1416" s="40"/>
      <c r="B1416" s="127" t="s">
        <v>26</v>
      </c>
      <c r="C1416" s="109" t="s">
        <v>595</v>
      </c>
      <c r="D1416" s="108" t="s">
        <v>317</v>
      </c>
      <c r="E1416" s="108" t="s">
        <v>334</v>
      </c>
      <c r="F1416" s="154" t="s">
        <v>698</v>
      </c>
      <c r="G1416" s="108" t="s">
        <v>27</v>
      </c>
      <c r="H1416" s="126">
        <v>12444576.65</v>
      </c>
      <c r="I1416" s="154">
        <v>7710076210</v>
      </c>
      <c r="J1416" s="154" t="str">
        <f t="shared" si="91"/>
        <v>7710076210</v>
      </c>
      <c r="K1416" s="304" t="str">
        <f t="shared" si="90"/>
        <v>60910067710076210129</v>
      </c>
      <c r="L1416" s="17"/>
      <c r="M1416" s="16"/>
    </row>
    <row r="1417" spans="1:13" s="4" customFormat="1" ht="31.5">
      <c r="A1417" s="1"/>
      <c r="B1417" s="125" t="s">
        <v>28</v>
      </c>
      <c r="C1417" s="109" t="s">
        <v>595</v>
      </c>
      <c r="D1417" s="108" t="s">
        <v>317</v>
      </c>
      <c r="E1417" s="108" t="s">
        <v>334</v>
      </c>
      <c r="F1417" s="154" t="s">
        <v>698</v>
      </c>
      <c r="G1417" s="108" t="s">
        <v>29</v>
      </c>
      <c r="H1417" s="126">
        <v>1352857.28</v>
      </c>
      <c r="I1417" s="154">
        <v>7710076210</v>
      </c>
      <c r="J1417" s="154" t="str">
        <f t="shared" si="91"/>
        <v>7710076210</v>
      </c>
      <c r="K1417" s="304" t="str">
        <f t="shared" si="90"/>
        <v>60910067710076210240</v>
      </c>
      <c r="L1417" s="17" t="str">
        <f>INDEX('реш СГД № 265'!$A:$N,MATCH('БА расх 2018 31 12 2018'!$K1417,'реш СГД № 265'!$N:$N,0),3)</f>
        <v>Иные закупки товаров, работ и услуг для обеспечения государственных (муниципальных) нужд</v>
      </c>
      <c r="M1417" s="16">
        <f t="shared" si="92"/>
        <v>1</v>
      </c>
    </row>
    <row r="1418" spans="1:13" s="4" customFormat="1" ht="15.75">
      <c r="A1418" s="1"/>
      <c r="B1418" s="125" t="s">
        <v>30</v>
      </c>
      <c r="C1418" s="109" t="s">
        <v>595</v>
      </c>
      <c r="D1418" s="108" t="s">
        <v>317</v>
      </c>
      <c r="E1418" s="108" t="s">
        <v>334</v>
      </c>
      <c r="F1418" s="154" t="s">
        <v>698</v>
      </c>
      <c r="G1418" s="108" t="s">
        <v>31</v>
      </c>
      <c r="H1418" s="126">
        <v>1352857.28</v>
      </c>
      <c r="I1418" s="154">
        <v>7710076210</v>
      </c>
      <c r="J1418" s="154" t="str">
        <f t="shared" si="91"/>
        <v>7710076210</v>
      </c>
      <c r="K1418" s="304" t="str">
        <f t="shared" si="90"/>
        <v>60910067710076210244</v>
      </c>
      <c r="L1418" s="17"/>
      <c r="M1418" s="16"/>
    </row>
    <row r="1419" spans="1:13" s="4" customFormat="1" ht="15.75">
      <c r="A1419" s="1"/>
      <c r="B1419" s="125" t="s">
        <v>32</v>
      </c>
      <c r="C1419" s="109" t="s">
        <v>595</v>
      </c>
      <c r="D1419" s="108" t="s">
        <v>317</v>
      </c>
      <c r="E1419" s="108" t="s">
        <v>334</v>
      </c>
      <c r="F1419" s="154" t="s">
        <v>698</v>
      </c>
      <c r="G1419" s="108" t="s">
        <v>33</v>
      </c>
      <c r="H1419" s="126">
        <v>102500</v>
      </c>
      <c r="I1419" s="154">
        <v>7710076210</v>
      </c>
      <c r="J1419" s="154" t="str">
        <f t="shared" si="91"/>
        <v>7710076210</v>
      </c>
      <c r="K1419" s="304" t="str">
        <f t="shared" si="90"/>
        <v>60910067710076210850</v>
      </c>
      <c r="L1419" s="17" t="str">
        <f>INDEX('реш СГД № 265'!$A:$N,MATCH('БА расх 2018 31 12 2018'!$K1419,'реш СГД № 265'!$N:$N,0),3)</f>
        <v>Уплата налогов, сборов и иных платежей</v>
      </c>
      <c r="M1419" s="16">
        <f t="shared" si="92"/>
        <v>1</v>
      </c>
    </row>
    <row r="1420" spans="1:13" s="41" customFormat="1" ht="31.5">
      <c r="A1420" s="40"/>
      <c r="B1420" s="127" t="s">
        <v>34</v>
      </c>
      <c r="C1420" s="109" t="s">
        <v>595</v>
      </c>
      <c r="D1420" s="108" t="s">
        <v>317</v>
      </c>
      <c r="E1420" s="108" t="s">
        <v>334</v>
      </c>
      <c r="F1420" s="154" t="s">
        <v>698</v>
      </c>
      <c r="G1420" s="108" t="s">
        <v>35</v>
      </c>
      <c r="H1420" s="126">
        <v>100000</v>
      </c>
      <c r="I1420" s="154">
        <v>7710076210</v>
      </c>
      <c r="J1420" s="154" t="str">
        <f t="shared" si="91"/>
        <v>7710076210</v>
      </c>
      <c r="K1420" s="304" t="str">
        <f t="shared" si="90"/>
        <v>60910067710076210851</v>
      </c>
      <c r="L1420" s="17"/>
      <c r="M1420" s="16"/>
    </row>
    <row r="1421" spans="1:13" s="41" customFormat="1" ht="15.75">
      <c r="A1421" s="40"/>
      <c r="B1421" s="127" t="s">
        <v>36</v>
      </c>
      <c r="C1421" s="109" t="s">
        <v>595</v>
      </c>
      <c r="D1421" s="108" t="s">
        <v>317</v>
      </c>
      <c r="E1421" s="108" t="s">
        <v>334</v>
      </c>
      <c r="F1421" s="154" t="s">
        <v>698</v>
      </c>
      <c r="G1421" s="108" t="s">
        <v>37</v>
      </c>
      <c r="H1421" s="126">
        <v>2500</v>
      </c>
      <c r="I1421" s="154">
        <v>7710076210</v>
      </c>
      <c r="J1421" s="154" t="str">
        <f t="shared" si="91"/>
        <v>7710076210</v>
      </c>
      <c r="K1421" s="304" t="str">
        <f t="shared" si="90"/>
        <v>60910067710076210852</v>
      </c>
      <c r="L1421" s="17"/>
      <c r="M1421" s="16"/>
    </row>
    <row r="1422" spans="1:13" s="41" customFormat="1" ht="267.75">
      <c r="A1422" s="40"/>
      <c r="B1422" s="132" t="s">
        <v>2269</v>
      </c>
      <c r="C1422" s="109" t="s">
        <v>595</v>
      </c>
      <c r="D1422" s="108" t="s">
        <v>317</v>
      </c>
      <c r="E1422" s="108" t="s">
        <v>334</v>
      </c>
      <c r="F1422" s="108" t="s">
        <v>1305</v>
      </c>
      <c r="G1422" s="108" t="s">
        <v>9</v>
      </c>
      <c r="H1422" s="126">
        <v>208396.25</v>
      </c>
      <c r="I1422" s="154">
        <v>7710077460</v>
      </c>
      <c r="J1422" s="154" t="str">
        <f t="shared" si="91"/>
        <v>7710077460</v>
      </c>
      <c r="K1422" s="304" t="str">
        <f t="shared" si="90"/>
        <v>60910067710077460000</v>
      </c>
      <c r="L1422" s="132" t="str">
        <f>INDEX('реш СГД № 265'!$A:$N,MATCH('БА расх 2018 31 12 2018'!$K1422,'реш СГД № 265'!$N:$N,0),3)</f>
        <v>Субсидии на компенсацию расходов по повышению заработной платы муниципальных служащих муниципальной службы и лиц, не замещающих должности муниципальной службы и исполняющих обязанности по техническому обеспечению деятельности органов местного самоуправления муниципальных образований, а также работников муниципальных учреждений, за исключением отдельных категорий работников муниципальных учреждений, которым повышение заработной платы осуществляется в соответствии с указами Президента Российской Федерации от 7 мая 2012 года № 597 «О мероприятиях по реализации государственной социальной политики», от 1 июня 2012 года № 761 «О Национальной стратегии действий в интересах детей на 2012 - 2017 годы» и от 28 декабря 2012 года № 1688 «О некоторых мерах по реализации государственной политики в сфере защиты детей-сирот и детей, оставшихся без попечения родителей»</v>
      </c>
      <c r="M1422" s="17">
        <f t="shared" si="92"/>
        <v>1</v>
      </c>
    </row>
    <row r="1423" spans="1:13" s="41" customFormat="1" ht="31.5">
      <c r="A1423" s="40"/>
      <c r="B1423" s="164" t="s">
        <v>20</v>
      </c>
      <c r="C1423" s="109" t="s">
        <v>595</v>
      </c>
      <c r="D1423" s="108" t="s">
        <v>317</v>
      </c>
      <c r="E1423" s="108" t="s">
        <v>334</v>
      </c>
      <c r="F1423" s="108" t="s">
        <v>1305</v>
      </c>
      <c r="G1423" s="108" t="s">
        <v>21</v>
      </c>
      <c r="H1423" s="126">
        <v>208396.25</v>
      </c>
      <c r="I1423" s="154">
        <v>7710077460</v>
      </c>
      <c r="J1423" s="154" t="str">
        <f t="shared" si="91"/>
        <v>7710077460</v>
      </c>
      <c r="K1423" s="304" t="str">
        <f t="shared" si="90"/>
        <v>60910067710077460120</v>
      </c>
      <c r="L1423" s="17" t="str">
        <f>INDEX('реш СГД № 265'!$A:$N,MATCH('БА расх 2018 31 12 2018'!$K1423,'реш СГД № 265'!$N:$N,0),3)</f>
        <v>Расходы на выплаты персоналу государственных (муниципальных) органов</v>
      </c>
      <c r="M1423" s="16">
        <f t="shared" si="92"/>
        <v>1</v>
      </c>
    </row>
    <row r="1424" spans="1:13" s="41" customFormat="1" ht="31.5">
      <c r="A1424" s="40"/>
      <c r="B1424" s="127" t="s">
        <v>40</v>
      </c>
      <c r="C1424" s="109" t="s">
        <v>595</v>
      </c>
      <c r="D1424" s="108" t="s">
        <v>317</v>
      </c>
      <c r="E1424" s="108" t="s">
        <v>334</v>
      </c>
      <c r="F1424" s="108" t="s">
        <v>1305</v>
      </c>
      <c r="G1424" s="108" t="s">
        <v>41</v>
      </c>
      <c r="H1424" s="126">
        <v>160058.56</v>
      </c>
      <c r="I1424" s="154">
        <v>7710077460</v>
      </c>
      <c r="J1424" s="154" t="str">
        <f t="shared" si="91"/>
        <v>7710077460</v>
      </c>
      <c r="K1424" s="304" t="str">
        <f t="shared" si="90"/>
        <v>60910067710077460121</v>
      </c>
      <c r="L1424" s="17"/>
      <c r="M1424" s="16"/>
    </row>
    <row r="1425" spans="1:13" s="41" customFormat="1" ht="47.25">
      <c r="A1425" s="40"/>
      <c r="B1425" s="127" t="s">
        <v>26</v>
      </c>
      <c r="C1425" s="109" t="s">
        <v>595</v>
      </c>
      <c r="D1425" s="108" t="s">
        <v>317</v>
      </c>
      <c r="E1425" s="108" t="s">
        <v>334</v>
      </c>
      <c r="F1425" s="108" t="s">
        <v>1305</v>
      </c>
      <c r="G1425" s="108" t="s">
        <v>27</v>
      </c>
      <c r="H1425" s="126">
        <v>48337.69</v>
      </c>
      <c r="I1425" s="154">
        <v>7710077460</v>
      </c>
      <c r="J1425" s="154" t="str">
        <f t="shared" si="91"/>
        <v>7710077460</v>
      </c>
      <c r="K1425" s="304" t="str">
        <f t="shared" si="90"/>
        <v>60910067710077460129</v>
      </c>
      <c r="L1425" s="17"/>
      <c r="M1425" s="16"/>
    </row>
    <row r="1426" spans="1:13" s="4" customFormat="1" ht="15.75">
      <c r="A1426" s="1"/>
      <c r="B1426" s="125"/>
      <c r="C1426" s="109"/>
      <c r="D1426" s="108"/>
      <c r="E1426" s="108"/>
      <c r="F1426" s="154"/>
      <c r="G1426" s="108"/>
      <c r="H1426" s="152"/>
      <c r="I1426" s="154"/>
      <c r="J1426" s="154" t="str">
        <f t="shared" si="91"/>
        <v>0000000000</v>
      </c>
      <c r="K1426" s="304" t="str">
        <f t="shared" si="90"/>
        <v>0000000000</v>
      </c>
      <c r="L1426" s="17">
        <f>INDEX('реш СГД № 265'!$A:$N,MATCH('БА расх 2018 31 12 2018'!$K1426,'реш СГД № 265'!$N:$N,0),3)</f>
        <v>0</v>
      </c>
      <c r="M1426" s="16">
        <f t="shared" si="92"/>
        <v>1</v>
      </c>
    </row>
    <row r="1427" spans="1:13" s="16" customFormat="1" ht="31.5">
      <c r="A1427" s="14"/>
      <c r="B1427" s="67" t="s">
        <v>699</v>
      </c>
      <c r="C1427" s="116" t="s">
        <v>406</v>
      </c>
      <c r="D1427" s="69" t="s">
        <v>7</v>
      </c>
      <c r="E1427" s="69" t="s">
        <v>7</v>
      </c>
      <c r="F1427" s="69" t="s">
        <v>8</v>
      </c>
      <c r="G1427" s="69" t="s">
        <v>9</v>
      </c>
      <c r="H1427" s="70">
        <v>214815700.38</v>
      </c>
      <c r="I1427" s="69">
        <v>0</v>
      </c>
      <c r="J1427" s="69" t="str">
        <f t="shared" si="91"/>
        <v>0000000000</v>
      </c>
      <c r="K1427" s="304" t="str">
        <f t="shared" si="90"/>
        <v>61100000000000000000</v>
      </c>
      <c r="L1427" s="17" t="str">
        <f>INDEX('реш СГД № 265'!$A:$N,MATCH('БА расх 2018 31 12 2018'!$K1427,'реш СГД № 265'!$N:$N,0),3)</f>
        <v>Комитет физической культуры и спорта администрации города Ставрополя</v>
      </c>
      <c r="M1427" s="16">
        <f t="shared" si="92"/>
        <v>1</v>
      </c>
    </row>
    <row r="1428" spans="1:13" s="16" customFormat="1" ht="15.75">
      <c r="A1428" s="14"/>
      <c r="B1428" s="117" t="s">
        <v>228</v>
      </c>
      <c r="C1428" s="118" t="s">
        <v>406</v>
      </c>
      <c r="D1428" s="119" t="s">
        <v>229</v>
      </c>
      <c r="E1428" s="119" t="s">
        <v>7</v>
      </c>
      <c r="F1428" s="119" t="s">
        <v>8</v>
      </c>
      <c r="G1428" s="119" t="s">
        <v>9</v>
      </c>
      <c r="H1428" s="120">
        <v>157307445.25</v>
      </c>
      <c r="I1428" s="119">
        <v>0</v>
      </c>
      <c r="J1428" s="119" t="str">
        <f t="shared" si="91"/>
        <v>0000000000</v>
      </c>
      <c r="K1428" s="304" t="str">
        <f t="shared" si="90"/>
        <v>61107000000000000000</v>
      </c>
      <c r="L1428" s="17" t="str">
        <f>INDEX('реш СГД № 265'!$A:$N,MATCH('БА расх 2018 31 12 2018'!$K1428,'реш СГД № 265'!$N:$N,0),3)</f>
        <v>Образование</v>
      </c>
      <c r="M1428" s="16">
        <f t="shared" si="92"/>
        <v>1</v>
      </c>
    </row>
    <row r="1429" spans="1:13" s="16" customFormat="1" ht="15.75">
      <c r="A1429" s="14"/>
      <c r="B1429" s="121" t="s">
        <v>458</v>
      </c>
      <c r="C1429" s="122" t="s">
        <v>406</v>
      </c>
      <c r="D1429" s="123" t="s">
        <v>229</v>
      </c>
      <c r="E1429" s="123" t="s">
        <v>13</v>
      </c>
      <c r="F1429" s="123" t="s">
        <v>8</v>
      </c>
      <c r="G1429" s="123" t="s">
        <v>9</v>
      </c>
      <c r="H1429" s="124">
        <v>157307445.25</v>
      </c>
      <c r="I1429" s="123">
        <v>0</v>
      </c>
      <c r="J1429" s="123" t="str">
        <f t="shared" si="91"/>
        <v>0000000000</v>
      </c>
      <c r="K1429" s="304" t="str">
        <f t="shared" si="90"/>
        <v>61107030000000000000</v>
      </c>
      <c r="L1429" s="17" t="str">
        <f>INDEX('реш СГД № 265'!$A:$N,MATCH('БА расх 2018 31 12 2018'!$K1429,'реш СГД № 265'!$N:$N,0),3)</f>
        <v>Дополнительное образование детей</v>
      </c>
      <c r="M1429" s="16">
        <f t="shared" si="92"/>
        <v>1</v>
      </c>
    </row>
    <row r="1430" spans="1:13" s="16" customFormat="1" ht="31.5">
      <c r="A1430" s="14"/>
      <c r="B1430" s="125" t="s">
        <v>700</v>
      </c>
      <c r="C1430" s="109" t="s">
        <v>406</v>
      </c>
      <c r="D1430" s="108" t="s">
        <v>229</v>
      </c>
      <c r="E1430" s="108" t="s">
        <v>13</v>
      </c>
      <c r="F1430" s="108" t="s">
        <v>701</v>
      </c>
      <c r="G1430" s="108" t="s">
        <v>9</v>
      </c>
      <c r="H1430" s="126">
        <v>157073895.25</v>
      </c>
      <c r="I1430" s="108">
        <v>800000000</v>
      </c>
      <c r="J1430" s="108" t="str">
        <f t="shared" si="91"/>
        <v>0800000000</v>
      </c>
      <c r="K1430" s="304" t="str">
        <f t="shared" si="90"/>
        <v>61107030800000000000</v>
      </c>
      <c r="L1430" s="17" t="str">
        <f>INDEX('реш СГД № 265'!$A:$N,MATCH('БА расх 2018 31 12 2018'!$K1430,'реш СГД № 265'!$N:$N,0),3)</f>
        <v>Муниципальная программа «Развитие физической культуры и спорта в городе Ставрополе»</v>
      </c>
      <c r="M1430" s="16">
        <f t="shared" si="92"/>
        <v>1</v>
      </c>
    </row>
    <row r="1431" spans="1:13" s="16" customFormat="1" ht="47.25">
      <c r="A1431" s="14"/>
      <c r="B1431" s="125" t="s">
        <v>702</v>
      </c>
      <c r="C1431" s="109" t="s">
        <v>406</v>
      </c>
      <c r="D1431" s="108" t="s">
        <v>229</v>
      </c>
      <c r="E1431" s="108" t="s">
        <v>13</v>
      </c>
      <c r="F1431" s="108" t="s">
        <v>703</v>
      </c>
      <c r="G1431" s="108" t="s">
        <v>9</v>
      </c>
      <c r="H1431" s="126">
        <v>157073895.25</v>
      </c>
      <c r="I1431" s="108">
        <v>810000000</v>
      </c>
      <c r="J1431" s="108" t="str">
        <f t="shared" si="91"/>
        <v>0810000000</v>
      </c>
      <c r="K1431" s="304" t="str">
        <f t="shared" si="90"/>
        <v>61107030810000000000</v>
      </c>
      <c r="L1431" s="17" t="str">
        <f>INDEX('реш СГД № 265'!$A:$N,MATCH('БА расх 2018 31 12 2018'!$K1431,'реш СГД № 265'!$N:$N,0),3)</f>
        <v>Подпрограмма «Развитие системы дополнительного образования детей и подростков в области физической культуры и спорта и центров спортивной подготовки»</v>
      </c>
      <c r="M1431" s="16">
        <f t="shared" si="92"/>
        <v>1</v>
      </c>
    </row>
    <row r="1432" spans="1:13" s="16" customFormat="1" ht="63">
      <c r="A1432" s="14"/>
      <c r="B1432" s="125" t="s">
        <v>704</v>
      </c>
      <c r="C1432" s="109" t="s">
        <v>406</v>
      </c>
      <c r="D1432" s="108" t="s">
        <v>229</v>
      </c>
      <c r="E1432" s="108" t="s">
        <v>13</v>
      </c>
      <c r="F1432" s="108" t="s">
        <v>705</v>
      </c>
      <c r="G1432" s="108" t="s">
        <v>9</v>
      </c>
      <c r="H1432" s="126">
        <v>157073895.25</v>
      </c>
      <c r="I1432" s="108">
        <v>810100000</v>
      </c>
      <c r="J1432" s="108" t="str">
        <f t="shared" si="91"/>
        <v>0810100000</v>
      </c>
      <c r="K1432" s="304" t="str">
        <f t="shared" si="90"/>
        <v>61107030810100000000</v>
      </c>
      <c r="L1432" s="17" t="str">
        <f>INDEX('реш СГД № 265'!$A:$N,MATCH('БА расх 2018 31 12 2018'!$K1432,'реш СГД № 265'!$N:$N,0),3)</f>
        <v>Основное мероприятие «Обеспечение деятельности муниципальных учреждений дополнительного образования детей физкультурно-спортивной направленности города Ставрополя»</v>
      </c>
      <c r="M1432" s="16">
        <f t="shared" si="92"/>
        <v>1</v>
      </c>
    </row>
    <row r="1433" spans="1:13" s="16" customFormat="1" ht="31.5">
      <c r="A1433" s="14"/>
      <c r="B1433" s="127" t="s">
        <v>136</v>
      </c>
      <c r="C1433" s="109" t="s">
        <v>406</v>
      </c>
      <c r="D1433" s="108" t="s">
        <v>229</v>
      </c>
      <c r="E1433" s="108" t="s">
        <v>13</v>
      </c>
      <c r="F1433" s="108" t="s">
        <v>706</v>
      </c>
      <c r="G1433" s="108" t="s">
        <v>9</v>
      </c>
      <c r="H1433" s="126">
        <v>154024440.47</v>
      </c>
      <c r="I1433" s="108">
        <v>810111010</v>
      </c>
      <c r="J1433" s="108" t="str">
        <f t="shared" si="91"/>
        <v>0810111010</v>
      </c>
      <c r="K1433" s="304" t="str">
        <f t="shared" si="90"/>
        <v>61107030810111010000</v>
      </c>
      <c r="L1433" s="17" t="str">
        <f>INDEX('реш СГД № 265'!$A:$N,MATCH('БА расх 2018 31 12 2018'!$K1433,'реш СГД № 265'!$N:$N,0),3)</f>
        <v>Расходы на обеспечение деятельности (оказание услуг) муниципальных учреждений</v>
      </c>
      <c r="M1433" s="16">
        <f t="shared" si="92"/>
        <v>1</v>
      </c>
    </row>
    <row r="1434" spans="1:13" s="16" customFormat="1" ht="15.75">
      <c r="A1434" s="14"/>
      <c r="B1434" s="132" t="s">
        <v>403</v>
      </c>
      <c r="C1434" s="109" t="s">
        <v>406</v>
      </c>
      <c r="D1434" s="108" t="s">
        <v>229</v>
      </c>
      <c r="E1434" s="108" t="s">
        <v>13</v>
      </c>
      <c r="F1434" s="108" t="s">
        <v>706</v>
      </c>
      <c r="G1434" s="108" t="s">
        <v>404</v>
      </c>
      <c r="H1434" s="126">
        <v>154024440.47</v>
      </c>
      <c r="I1434" s="108">
        <v>810111010</v>
      </c>
      <c r="J1434" s="108" t="str">
        <f t="shared" si="91"/>
        <v>0810111010</v>
      </c>
      <c r="K1434" s="304" t="str">
        <f t="shared" si="90"/>
        <v>61107030810111010610</v>
      </c>
      <c r="L1434" s="17" t="str">
        <f>INDEX('реш СГД № 265'!$A:$N,MATCH('БА расх 2018 31 12 2018'!$K1434,'реш СГД № 265'!$N:$N,0),3)</f>
        <v>Субсидии бюджетным учреждениям</v>
      </c>
      <c r="M1434" s="16">
        <f t="shared" si="92"/>
        <v>1</v>
      </c>
    </row>
    <row r="1435" spans="1:13" s="23" customFormat="1" ht="63">
      <c r="A1435" s="21"/>
      <c r="B1435" s="127" t="s">
        <v>405</v>
      </c>
      <c r="C1435" s="109" t="s">
        <v>406</v>
      </c>
      <c r="D1435" s="108" t="s">
        <v>229</v>
      </c>
      <c r="E1435" s="108" t="s">
        <v>13</v>
      </c>
      <c r="F1435" s="108" t="s">
        <v>706</v>
      </c>
      <c r="G1435" s="108" t="s">
        <v>406</v>
      </c>
      <c r="H1435" s="126">
        <v>153774440.47</v>
      </c>
      <c r="I1435" s="108">
        <v>810111010</v>
      </c>
      <c r="J1435" s="108" t="str">
        <f t="shared" si="91"/>
        <v>0810111010</v>
      </c>
      <c r="K1435" s="304" t="str">
        <f t="shared" si="90"/>
        <v>61107030810111010611</v>
      </c>
      <c r="L1435" s="17"/>
      <c r="M1435" s="16"/>
    </row>
    <row r="1436" spans="1:13" s="23" customFormat="1" ht="15.75">
      <c r="A1436" s="21"/>
      <c r="B1436" s="127" t="s">
        <v>407</v>
      </c>
      <c r="C1436" s="109" t="s">
        <v>406</v>
      </c>
      <c r="D1436" s="108" t="s">
        <v>229</v>
      </c>
      <c r="E1436" s="108" t="s">
        <v>13</v>
      </c>
      <c r="F1436" s="108" t="s">
        <v>706</v>
      </c>
      <c r="G1436" s="108" t="s">
        <v>408</v>
      </c>
      <c r="H1436" s="126">
        <v>250000</v>
      </c>
      <c r="I1436" s="108">
        <v>810111010</v>
      </c>
      <c r="J1436" s="108" t="str">
        <f t="shared" si="91"/>
        <v>0810111010</v>
      </c>
      <c r="K1436" s="304" t="str">
        <f t="shared" si="90"/>
        <v>61107030810111010612</v>
      </c>
      <c r="L1436" s="17"/>
      <c r="M1436" s="16"/>
    </row>
    <row r="1437" spans="1:13" s="23" customFormat="1" ht="267.75">
      <c r="A1437" s="21"/>
      <c r="B1437" s="132" t="s">
        <v>2269</v>
      </c>
      <c r="C1437" s="109" t="s">
        <v>406</v>
      </c>
      <c r="D1437" s="108" t="s">
        <v>229</v>
      </c>
      <c r="E1437" s="108" t="s">
        <v>13</v>
      </c>
      <c r="F1437" s="108" t="s">
        <v>1306</v>
      </c>
      <c r="G1437" s="108" t="s">
        <v>9</v>
      </c>
      <c r="H1437" s="126">
        <v>1587907.77</v>
      </c>
      <c r="I1437" s="108">
        <v>810177460</v>
      </c>
      <c r="J1437" s="108" t="str">
        <f t="shared" si="91"/>
        <v>0810177460</v>
      </c>
      <c r="K1437" s="304" t="str">
        <f t="shared" si="90"/>
        <v>61107030810177460000</v>
      </c>
      <c r="L1437" s="132" t="str">
        <f>INDEX('реш СГД № 265'!$A:$N,MATCH('БА расх 2018 31 12 2018'!$K1437,'реш СГД № 265'!$N:$N,0),3)</f>
        <v>Субсидии на компенсацию расходов по повышению заработной платы муниципальных служащих муниципальной службы и лиц, не замещающих должности муниципальной службы и исполняющих обязанности по техническому обеспечению деятельности органов местного самоуправления муниципальных образований, а также работников муниципальных учреждений, за исключением отдельных категорий работников муниципальных учреждений, которым повышение заработной платы осуществляется в соответствии с указами Президента Российской Федерации от 7 мая 2012 года № 597 «О мероприятиях по реализации государственной социальной политики», от 1 июня 2012 года № 761 «О Национальной стратегии действий в интересах детей на 2012 - 2017 годы» и от 28 декабря 2012 года № 1688 «О некоторых мерах по реализации государственной политики в сфере защиты детей-сирот и детей, оставшихся без попечения родителей»</v>
      </c>
      <c r="M1437" s="17">
        <f t="shared" si="92"/>
        <v>1</v>
      </c>
    </row>
    <row r="1438" spans="1:13" s="23" customFormat="1" ht="15.75">
      <c r="A1438" s="21"/>
      <c r="B1438" s="132" t="s">
        <v>403</v>
      </c>
      <c r="C1438" s="109" t="s">
        <v>406</v>
      </c>
      <c r="D1438" s="108" t="s">
        <v>229</v>
      </c>
      <c r="E1438" s="108" t="s">
        <v>13</v>
      </c>
      <c r="F1438" s="108" t="s">
        <v>1306</v>
      </c>
      <c r="G1438" s="108" t="s">
        <v>404</v>
      </c>
      <c r="H1438" s="126">
        <v>1587907.77</v>
      </c>
      <c r="I1438" s="108">
        <v>810177460</v>
      </c>
      <c r="J1438" s="108" t="str">
        <f t="shared" si="91"/>
        <v>0810177460</v>
      </c>
      <c r="K1438" s="304" t="str">
        <f t="shared" si="90"/>
        <v>61107030810177460610</v>
      </c>
      <c r="L1438" s="17" t="str">
        <f>INDEX('реш СГД № 265'!$A:$N,MATCH('БА расх 2018 31 12 2018'!$K1438,'реш СГД № 265'!$N:$N,0),3)</f>
        <v>Субсидии бюджетным учреждениям</v>
      </c>
      <c r="M1438" s="16">
        <f t="shared" si="92"/>
        <v>1</v>
      </c>
    </row>
    <row r="1439" spans="1:13" s="23" customFormat="1" ht="63">
      <c r="A1439" s="21"/>
      <c r="B1439" s="127" t="s">
        <v>405</v>
      </c>
      <c r="C1439" s="109" t="s">
        <v>406</v>
      </c>
      <c r="D1439" s="108" t="s">
        <v>229</v>
      </c>
      <c r="E1439" s="108" t="s">
        <v>13</v>
      </c>
      <c r="F1439" s="108" t="s">
        <v>1306</v>
      </c>
      <c r="G1439" s="108" t="s">
        <v>406</v>
      </c>
      <c r="H1439" s="126">
        <v>1587907.77</v>
      </c>
      <c r="I1439" s="108">
        <v>810177460</v>
      </c>
      <c r="J1439" s="108" t="str">
        <f t="shared" si="91"/>
        <v>0810177460</v>
      </c>
      <c r="K1439" s="304" t="str">
        <f t="shared" si="90"/>
        <v>61107030810177460611</v>
      </c>
      <c r="L1439" s="17"/>
      <c r="M1439" s="16"/>
    </row>
    <row r="1440" spans="1:13" s="23" customFormat="1" ht="236.25">
      <c r="A1440" s="21"/>
      <c r="B1440" s="164" t="s">
        <v>2247</v>
      </c>
      <c r="C1440" s="109" t="s">
        <v>406</v>
      </c>
      <c r="D1440" s="108" t="s">
        <v>229</v>
      </c>
      <c r="E1440" s="108" t="s">
        <v>13</v>
      </c>
      <c r="F1440" s="108" t="s">
        <v>2267</v>
      </c>
      <c r="G1440" s="108" t="s">
        <v>9</v>
      </c>
      <c r="H1440" s="126">
        <v>1461547.01</v>
      </c>
      <c r="I1440" s="108">
        <v>810177580</v>
      </c>
      <c r="J1440" s="108" t="str">
        <f t="shared" si="91"/>
        <v>0810177580</v>
      </c>
      <c r="K1440" s="304" t="str">
        <f t="shared" si="90"/>
        <v>61107030810177580000</v>
      </c>
      <c r="L1440" s="17" t="str">
        <f>INDEX('реш СГД № 265'!$A:$N,MATCH('БА расх 2018 31 12 2018'!$K1440,'реш СГД № 265'!$N:$N,0),3)</f>
        <v>Субсидии на компенсацию расходов на обеспечение выплаты лицам, не замещающим муниципальные должности муниципальной службы и исполняющим обязанности по техническому обеспечению деятельности органов местного самоуправления муниципальных образований, работникам органов местного самоуправления муниципальных образований, осуществляющим профессиональную деятельность по профессиям рабочих, и работникам муниципальных учреждений заработной платы не ниже установленного с 01 мая 2018 года федеральным законом минимального размера оплаты труда, а также компенсацию расходов на обеспечение выплаты работникам муниципальных учреждений с 01 января 2018 года коэффициента к заработной плате за работу в пустынных и безводных местностях</v>
      </c>
      <c r="M1440" s="16">
        <f t="shared" si="92"/>
        <v>1</v>
      </c>
    </row>
    <row r="1441" spans="1:13" s="23" customFormat="1" ht="15.75">
      <c r="A1441" s="21"/>
      <c r="B1441" s="132" t="s">
        <v>403</v>
      </c>
      <c r="C1441" s="109" t="s">
        <v>406</v>
      </c>
      <c r="D1441" s="108" t="s">
        <v>229</v>
      </c>
      <c r="E1441" s="108" t="s">
        <v>13</v>
      </c>
      <c r="F1441" s="108" t="s">
        <v>2267</v>
      </c>
      <c r="G1441" s="108" t="s">
        <v>404</v>
      </c>
      <c r="H1441" s="126">
        <v>1461547.01</v>
      </c>
      <c r="I1441" s="108">
        <v>810177580</v>
      </c>
      <c r="J1441" s="108" t="str">
        <f t="shared" si="91"/>
        <v>0810177580</v>
      </c>
      <c r="K1441" s="304" t="str">
        <f t="shared" si="90"/>
        <v>61107030810177580610</v>
      </c>
      <c r="L1441" s="17" t="str">
        <f>INDEX('реш СГД № 265'!$A:$N,MATCH('БА расх 2018 31 12 2018'!$K1441,'реш СГД № 265'!$N:$N,0),3)</f>
        <v>Субсидии бюджетным учреждениям</v>
      </c>
      <c r="M1441" s="16">
        <f t="shared" si="92"/>
        <v>1</v>
      </c>
    </row>
    <row r="1442" spans="1:13" s="23" customFormat="1" ht="63">
      <c r="A1442" s="21"/>
      <c r="B1442" s="127" t="s">
        <v>405</v>
      </c>
      <c r="C1442" s="109" t="s">
        <v>406</v>
      </c>
      <c r="D1442" s="108" t="s">
        <v>229</v>
      </c>
      <c r="E1442" s="108" t="s">
        <v>13</v>
      </c>
      <c r="F1442" s="108" t="s">
        <v>2267</v>
      </c>
      <c r="G1442" s="108" t="s">
        <v>406</v>
      </c>
      <c r="H1442" s="126">
        <v>1461547.01</v>
      </c>
      <c r="I1442" s="108">
        <v>810177580</v>
      </c>
      <c r="J1442" s="108" t="str">
        <f t="shared" si="91"/>
        <v>0810177580</v>
      </c>
      <c r="K1442" s="304" t="str">
        <f t="shared" ref="K1442" si="93">C1442&amp;D1442&amp;E1442&amp;J1442&amp;G1442</f>
        <v>61107030810177580611</v>
      </c>
      <c r="L1442" s="17"/>
      <c r="M1442" s="16"/>
    </row>
    <row r="1443" spans="1:13" s="16" customFormat="1" ht="78.75">
      <c r="A1443" s="14"/>
      <c r="B1443" s="125" t="s">
        <v>420</v>
      </c>
      <c r="C1443" s="109" t="s">
        <v>406</v>
      </c>
      <c r="D1443" s="108" t="s">
        <v>229</v>
      </c>
      <c r="E1443" s="108" t="s">
        <v>13</v>
      </c>
      <c r="F1443" s="108" t="s">
        <v>421</v>
      </c>
      <c r="G1443" s="108" t="s">
        <v>9</v>
      </c>
      <c r="H1443" s="126">
        <v>233550</v>
      </c>
      <c r="I1443" s="108">
        <v>1600000000</v>
      </c>
      <c r="J1443" s="108" t="str">
        <f t="shared" ref="J1443:J1498" si="94">TEXT(I1443,"0000000000")</f>
        <v>1600000000</v>
      </c>
      <c r="K1443" s="304" t="str">
        <f t="shared" ref="K1443:K1497" si="95">C1443&amp;D1443&amp;E1443&amp;J1443&amp;G1443</f>
        <v>61107031600000000000</v>
      </c>
      <c r="L1443" s="17" t="str">
        <f>INDEX('реш СГД № 265'!$A:$N,MATCH('БА расх 2018 31 12 2018'!$K1443,'реш СГД № 265'!$N:$N,0),3)</f>
        <v>Муниципальная программа «Обеспечение гражданской обороны, пожарной безопасности, безопасности людей на водных объектах, организация деятельности аварийно-спасательных служб, защита населения и территории города Ставрополя от чрезвычайных ситуаций»</v>
      </c>
      <c r="M1443" s="16">
        <f t="shared" ref="M1443:M1496" si="96">IF(B1443=L1443,1,0)</f>
        <v>1</v>
      </c>
    </row>
    <row r="1444" spans="1:13" s="16" customFormat="1" ht="31.5">
      <c r="A1444" s="14"/>
      <c r="B1444" s="125" t="s">
        <v>422</v>
      </c>
      <c r="C1444" s="109" t="s">
        <v>406</v>
      </c>
      <c r="D1444" s="108" t="s">
        <v>229</v>
      </c>
      <c r="E1444" s="108" t="s">
        <v>13</v>
      </c>
      <c r="F1444" s="108" t="s">
        <v>423</v>
      </c>
      <c r="G1444" s="108" t="s">
        <v>9</v>
      </c>
      <c r="H1444" s="126">
        <v>233550</v>
      </c>
      <c r="I1444" s="108">
        <v>1620000000</v>
      </c>
      <c r="J1444" s="108" t="str">
        <f t="shared" si="94"/>
        <v>1620000000</v>
      </c>
      <c r="K1444" s="304" t="str">
        <f t="shared" si="95"/>
        <v>61107031620000000000</v>
      </c>
      <c r="L1444" s="17" t="str">
        <f>INDEX('реш СГД № 265'!$A:$N,MATCH('БА расх 2018 31 12 2018'!$K1444,'реш СГД № 265'!$N:$N,0),3)</f>
        <v>Подпрограмма «Обеспечение пожарной безопасности в границах города Ставрополя»</v>
      </c>
      <c r="M1444" s="16">
        <f t="shared" si="96"/>
        <v>1</v>
      </c>
    </row>
    <row r="1445" spans="1:13" s="16" customFormat="1" ht="47.25">
      <c r="A1445" s="14"/>
      <c r="B1445" s="125" t="s">
        <v>424</v>
      </c>
      <c r="C1445" s="109" t="s">
        <v>406</v>
      </c>
      <c r="D1445" s="108" t="s">
        <v>229</v>
      </c>
      <c r="E1445" s="108" t="s">
        <v>13</v>
      </c>
      <c r="F1445" s="108" t="s">
        <v>425</v>
      </c>
      <c r="G1445" s="108" t="s">
        <v>9</v>
      </c>
      <c r="H1445" s="126">
        <v>233550</v>
      </c>
      <c r="I1445" s="108">
        <v>1620200000</v>
      </c>
      <c r="J1445" s="108" t="str">
        <f t="shared" si="94"/>
        <v>1620200000</v>
      </c>
      <c r="K1445" s="304" t="str">
        <f t="shared" si="95"/>
        <v>61107031620200000000</v>
      </c>
      <c r="L1445" s="17" t="str">
        <f>INDEX('реш СГД № 265'!$A:$N,MATCH('БА расх 2018 31 12 2018'!$K1445,'реш СГД № 265'!$N:$N,0),3)</f>
        <v>Основное мероприятие «Выполнение противопожарных мероприятий в муниципальных учреждениях города Ставрополя»</v>
      </c>
      <c r="M1445" s="16">
        <f t="shared" si="96"/>
        <v>1</v>
      </c>
    </row>
    <row r="1446" spans="1:13" s="16" customFormat="1" ht="47.25">
      <c r="A1446" s="14"/>
      <c r="B1446" s="125" t="s">
        <v>426</v>
      </c>
      <c r="C1446" s="109" t="s">
        <v>406</v>
      </c>
      <c r="D1446" s="108" t="s">
        <v>229</v>
      </c>
      <c r="E1446" s="108" t="s">
        <v>13</v>
      </c>
      <c r="F1446" s="108" t="s">
        <v>427</v>
      </c>
      <c r="G1446" s="108" t="s">
        <v>9</v>
      </c>
      <c r="H1446" s="126">
        <v>233550</v>
      </c>
      <c r="I1446" s="108">
        <v>1620220550</v>
      </c>
      <c r="J1446" s="108" t="str">
        <f t="shared" si="94"/>
        <v>1620220550</v>
      </c>
      <c r="K1446" s="304" t="str">
        <f t="shared" si="95"/>
        <v>61107031620220550000</v>
      </c>
      <c r="L1446" s="17" t="str">
        <f>INDEX('реш СГД № 265'!$A:$N,MATCH('БА расх 2018 31 12 2018'!$K1446,'реш СГД № 265'!$N:$N,0),3)</f>
        <v>Обеспечение пожарной безопасности в муниципальных учреждениях образования, культуры, физической культуры и спорта города Ставрополя</v>
      </c>
      <c r="M1446" s="16">
        <f t="shared" si="96"/>
        <v>1</v>
      </c>
    </row>
    <row r="1447" spans="1:13" s="16" customFormat="1" ht="15.75">
      <c r="A1447" s="14"/>
      <c r="B1447" s="132" t="s">
        <v>403</v>
      </c>
      <c r="C1447" s="109" t="s">
        <v>406</v>
      </c>
      <c r="D1447" s="108" t="s">
        <v>229</v>
      </c>
      <c r="E1447" s="108" t="s">
        <v>13</v>
      </c>
      <c r="F1447" s="108" t="s">
        <v>427</v>
      </c>
      <c r="G1447" s="108" t="s">
        <v>404</v>
      </c>
      <c r="H1447" s="126">
        <v>233550</v>
      </c>
      <c r="I1447" s="108">
        <v>1620220550</v>
      </c>
      <c r="J1447" s="108" t="str">
        <f t="shared" si="94"/>
        <v>1620220550</v>
      </c>
      <c r="K1447" s="304" t="str">
        <f t="shared" si="95"/>
        <v>61107031620220550610</v>
      </c>
      <c r="L1447" s="17" t="str">
        <f>INDEX('реш СГД № 265'!$A:$N,MATCH('БА расх 2018 31 12 2018'!$K1447,'реш СГД № 265'!$N:$N,0),3)</f>
        <v>Субсидии бюджетным учреждениям</v>
      </c>
      <c r="M1447" s="16">
        <f t="shared" si="96"/>
        <v>1</v>
      </c>
    </row>
    <row r="1448" spans="1:13" s="16" customFormat="1" ht="15.75">
      <c r="A1448" s="14"/>
      <c r="B1448" s="127" t="s">
        <v>407</v>
      </c>
      <c r="C1448" s="109" t="s">
        <v>406</v>
      </c>
      <c r="D1448" s="108" t="s">
        <v>229</v>
      </c>
      <c r="E1448" s="108" t="s">
        <v>13</v>
      </c>
      <c r="F1448" s="108" t="s">
        <v>427</v>
      </c>
      <c r="G1448" s="108" t="s">
        <v>408</v>
      </c>
      <c r="H1448" s="126">
        <v>233550</v>
      </c>
      <c r="I1448" s="108">
        <v>1620220550</v>
      </c>
      <c r="J1448" s="108" t="str">
        <f t="shared" si="94"/>
        <v>1620220550</v>
      </c>
      <c r="K1448" s="304" t="str">
        <f t="shared" si="95"/>
        <v>61107031620220550612</v>
      </c>
      <c r="L1448" s="17"/>
    </row>
    <row r="1449" spans="1:13" s="16" customFormat="1" ht="15.75">
      <c r="A1449" s="14"/>
      <c r="B1449" s="117" t="s">
        <v>707</v>
      </c>
      <c r="C1449" s="118" t="s">
        <v>406</v>
      </c>
      <c r="D1449" s="119" t="s">
        <v>342</v>
      </c>
      <c r="E1449" s="119" t="s">
        <v>7</v>
      </c>
      <c r="F1449" s="119" t="s">
        <v>8</v>
      </c>
      <c r="G1449" s="119" t="s">
        <v>9</v>
      </c>
      <c r="H1449" s="120">
        <v>57508255.129999995</v>
      </c>
      <c r="I1449" s="119">
        <v>0</v>
      </c>
      <c r="J1449" s="119" t="str">
        <f t="shared" si="94"/>
        <v>0000000000</v>
      </c>
      <c r="K1449" s="304" t="str">
        <f t="shared" si="95"/>
        <v>61111000000000000000</v>
      </c>
      <c r="L1449" s="17" t="str">
        <f>INDEX('реш СГД № 265'!$A:$N,MATCH('БА расх 2018 31 12 2018'!$K1449,'реш СГД № 265'!$N:$N,0),3)</f>
        <v>Физическая культура и спорт</v>
      </c>
      <c r="M1449" s="16">
        <f t="shared" si="96"/>
        <v>1</v>
      </c>
    </row>
    <row r="1450" spans="1:13" s="16" customFormat="1" ht="15.75">
      <c r="A1450" s="14"/>
      <c r="B1450" s="121" t="s">
        <v>708</v>
      </c>
      <c r="C1450" s="122" t="s">
        <v>406</v>
      </c>
      <c r="D1450" s="123" t="s">
        <v>342</v>
      </c>
      <c r="E1450" s="123" t="s">
        <v>11</v>
      </c>
      <c r="F1450" s="123" t="s">
        <v>8</v>
      </c>
      <c r="G1450" s="123" t="s">
        <v>9</v>
      </c>
      <c r="H1450" s="124">
        <v>3101443.33</v>
      </c>
      <c r="I1450" s="123">
        <v>0</v>
      </c>
      <c r="J1450" s="123" t="str">
        <f t="shared" si="94"/>
        <v>0000000000</v>
      </c>
      <c r="K1450" s="304" t="str">
        <f t="shared" si="95"/>
        <v>61111010000000000000</v>
      </c>
      <c r="L1450" s="17" t="str">
        <f>INDEX('реш СГД № 265'!$A:$N,MATCH('БА расх 2018 31 12 2018'!$K1450,'реш СГД № 265'!$N:$N,0),3)</f>
        <v xml:space="preserve">Физическая культура </v>
      </c>
      <c r="M1450" s="16">
        <f t="shared" si="96"/>
        <v>1</v>
      </c>
    </row>
    <row r="1451" spans="1:13" s="16" customFormat="1" ht="31.5">
      <c r="A1451" s="14"/>
      <c r="B1451" s="125" t="s">
        <v>700</v>
      </c>
      <c r="C1451" s="109" t="s">
        <v>406</v>
      </c>
      <c r="D1451" s="108" t="s">
        <v>342</v>
      </c>
      <c r="E1451" s="108" t="s">
        <v>11</v>
      </c>
      <c r="F1451" s="108" t="s">
        <v>701</v>
      </c>
      <c r="G1451" s="108" t="s">
        <v>9</v>
      </c>
      <c r="H1451" s="126">
        <v>3101443.33</v>
      </c>
      <c r="I1451" s="108">
        <v>800000000</v>
      </c>
      <c r="J1451" s="108" t="str">
        <f t="shared" si="94"/>
        <v>0800000000</v>
      </c>
      <c r="K1451" s="304" t="str">
        <f t="shared" si="95"/>
        <v>61111010800000000000</v>
      </c>
      <c r="L1451" s="17" t="str">
        <f>INDEX('реш СГД № 265'!$A:$N,MATCH('БА расх 2018 31 12 2018'!$K1451,'реш СГД № 265'!$N:$N,0),3)</f>
        <v>Муниципальная программа «Развитие физической культуры и спорта в городе Ставрополе»</v>
      </c>
      <c r="M1451" s="16">
        <f t="shared" si="96"/>
        <v>1</v>
      </c>
    </row>
    <row r="1452" spans="1:13" s="16" customFormat="1" ht="47.25">
      <c r="A1452" s="14"/>
      <c r="B1452" s="125" t="s">
        <v>702</v>
      </c>
      <c r="C1452" s="109" t="s">
        <v>406</v>
      </c>
      <c r="D1452" s="108" t="s">
        <v>342</v>
      </c>
      <c r="E1452" s="108" t="s">
        <v>11</v>
      </c>
      <c r="F1452" s="108" t="s">
        <v>703</v>
      </c>
      <c r="G1452" s="108" t="s">
        <v>9</v>
      </c>
      <c r="H1452" s="126">
        <v>3101443.33</v>
      </c>
      <c r="I1452" s="108">
        <v>810000000</v>
      </c>
      <c r="J1452" s="108" t="str">
        <f t="shared" si="94"/>
        <v>0810000000</v>
      </c>
      <c r="K1452" s="304" t="str">
        <f t="shared" si="95"/>
        <v>61111010810000000000</v>
      </c>
      <c r="L1452" s="17" t="str">
        <f>INDEX('реш СГД № 265'!$A:$N,MATCH('БА расх 2018 31 12 2018'!$K1452,'реш СГД № 265'!$N:$N,0),3)</f>
        <v>Подпрограмма «Развитие системы дополнительного образования детей и подростков в области физической культуры и спорта и центров спортивной подготовки»</v>
      </c>
      <c r="M1452" s="16">
        <f t="shared" si="96"/>
        <v>1</v>
      </c>
    </row>
    <row r="1453" spans="1:13" s="16" customFormat="1" ht="31.5">
      <c r="A1453" s="14"/>
      <c r="B1453" s="129" t="s">
        <v>709</v>
      </c>
      <c r="C1453" s="130" t="s">
        <v>406</v>
      </c>
      <c r="D1453" s="131" t="s">
        <v>342</v>
      </c>
      <c r="E1453" s="131" t="s">
        <v>11</v>
      </c>
      <c r="F1453" s="131" t="s">
        <v>710</v>
      </c>
      <c r="G1453" s="131" t="s">
        <v>9</v>
      </c>
      <c r="H1453" s="105">
        <v>3101443.33</v>
      </c>
      <c r="I1453" s="131">
        <v>810200000</v>
      </c>
      <c r="J1453" s="131" t="str">
        <f t="shared" si="94"/>
        <v>0810200000</v>
      </c>
      <c r="K1453" s="304" t="str">
        <f t="shared" si="95"/>
        <v>61111010810200000000</v>
      </c>
      <c r="L1453" s="17" t="str">
        <f>INDEX('реш СГД № 265'!$A:$N,MATCH('БА расх 2018 31 12 2018'!$K1453,'реш СГД № 265'!$N:$N,0),3)</f>
        <v>Основное мероприятие «Обеспечение деятельности центров спортивной подготовки»</v>
      </c>
      <c r="M1453" s="16">
        <f t="shared" si="96"/>
        <v>1</v>
      </c>
    </row>
    <row r="1454" spans="1:13" s="16" customFormat="1" ht="31.5">
      <c r="A1454" s="14"/>
      <c r="B1454" s="127" t="s">
        <v>136</v>
      </c>
      <c r="C1454" s="130" t="s">
        <v>406</v>
      </c>
      <c r="D1454" s="131" t="s">
        <v>342</v>
      </c>
      <c r="E1454" s="131" t="s">
        <v>11</v>
      </c>
      <c r="F1454" s="131" t="s">
        <v>711</v>
      </c>
      <c r="G1454" s="131" t="s">
        <v>9</v>
      </c>
      <c r="H1454" s="105">
        <v>2962169.68</v>
      </c>
      <c r="I1454" s="131">
        <v>810211010</v>
      </c>
      <c r="J1454" s="131" t="str">
        <f t="shared" si="94"/>
        <v>0810211010</v>
      </c>
      <c r="K1454" s="304" t="str">
        <f t="shared" si="95"/>
        <v>61111010810211010000</v>
      </c>
      <c r="L1454" s="17" t="str">
        <f>INDEX('реш СГД № 265'!$A:$N,MATCH('БА расх 2018 31 12 2018'!$K1454,'реш СГД № 265'!$N:$N,0),3)</f>
        <v>Расходы на обеспечение деятельности (оказание услуг) муниципальных учреждений</v>
      </c>
      <c r="M1454" s="16">
        <f t="shared" si="96"/>
        <v>1</v>
      </c>
    </row>
    <row r="1455" spans="1:13" s="16" customFormat="1" ht="15.75">
      <c r="A1455" s="14"/>
      <c r="B1455" s="132" t="s">
        <v>403</v>
      </c>
      <c r="C1455" s="130" t="s">
        <v>406</v>
      </c>
      <c r="D1455" s="131" t="s">
        <v>342</v>
      </c>
      <c r="E1455" s="131" t="s">
        <v>11</v>
      </c>
      <c r="F1455" s="131" t="s">
        <v>711</v>
      </c>
      <c r="G1455" s="131" t="s">
        <v>404</v>
      </c>
      <c r="H1455" s="126">
        <v>2962169.68</v>
      </c>
      <c r="I1455" s="131">
        <v>810211010</v>
      </c>
      <c r="J1455" s="131" t="str">
        <f t="shared" si="94"/>
        <v>0810211010</v>
      </c>
      <c r="K1455" s="304" t="str">
        <f t="shared" si="95"/>
        <v>61111010810211010610</v>
      </c>
      <c r="L1455" s="17" t="str">
        <f>INDEX('реш СГД № 265'!$A:$N,MATCH('БА расх 2018 31 12 2018'!$K1455,'реш СГД № 265'!$N:$N,0),3)</f>
        <v>Субсидии бюджетным учреждениям</v>
      </c>
      <c r="M1455" s="16">
        <f t="shared" si="96"/>
        <v>1</v>
      </c>
    </row>
    <row r="1456" spans="1:13" s="23" customFormat="1" ht="63">
      <c r="A1456" s="21"/>
      <c r="B1456" s="127" t="s">
        <v>405</v>
      </c>
      <c r="C1456" s="130" t="s">
        <v>406</v>
      </c>
      <c r="D1456" s="131" t="s">
        <v>342</v>
      </c>
      <c r="E1456" s="131" t="s">
        <v>11</v>
      </c>
      <c r="F1456" s="131" t="s">
        <v>711</v>
      </c>
      <c r="G1456" s="108" t="s">
        <v>406</v>
      </c>
      <c r="H1456" s="126">
        <v>2962169.68</v>
      </c>
      <c r="I1456" s="131">
        <v>810211010</v>
      </c>
      <c r="J1456" s="131" t="str">
        <f t="shared" si="94"/>
        <v>0810211010</v>
      </c>
      <c r="K1456" s="304" t="str">
        <f t="shared" si="95"/>
        <v>61111010810211010611</v>
      </c>
      <c r="L1456" s="17"/>
      <c r="M1456" s="16"/>
    </row>
    <row r="1457" spans="1:13" s="23" customFormat="1" ht="267.75">
      <c r="A1457" s="21"/>
      <c r="B1457" s="132" t="s">
        <v>2269</v>
      </c>
      <c r="C1457" s="109" t="s">
        <v>406</v>
      </c>
      <c r="D1457" s="131" t="s">
        <v>342</v>
      </c>
      <c r="E1457" s="131" t="s">
        <v>11</v>
      </c>
      <c r="F1457" s="108" t="s">
        <v>1307</v>
      </c>
      <c r="G1457" s="108" t="s">
        <v>9</v>
      </c>
      <c r="H1457" s="126">
        <v>100534.65</v>
      </c>
      <c r="I1457" s="131">
        <v>810277460</v>
      </c>
      <c r="J1457" s="131" t="str">
        <f t="shared" si="94"/>
        <v>0810277460</v>
      </c>
      <c r="K1457" s="304" t="str">
        <f t="shared" si="95"/>
        <v>61111010810277460000</v>
      </c>
      <c r="L1457" s="132" t="str">
        <f>INDEX('реш СГД № 265'!$A:$N,MATCH('БА расх 2018 31 12 2018'!$K1457,'реш СГД № 265'!$N:$N,0),3)</f>
        <v>Субсидии на компенсацию расходов по повышению заработной платы муниципальных служащих муниципальной службы и лиц, не замещающих должности муниципальной службы и исполняющих обязанности по техническому обеспечению деятельности органов местного самоуправления муниципальных образований, а также работников муниципальных учреждений, за исключением отдельных категорий работников муниципальных учреждений, которым повышение заработной платы осуществляется в соответствии с указами Президента Российской Федерации от 7 мая 2012 года № 597 «О мероприятиях по реализации государственной социальной политики», от 1 июня 2012 года № 761 «О Национальной стратегии действий в интересах детей на 2012 - 2017 годы» и от 28 декабря 2012 года № 1688 «О некоторых мерах по реализации государственной политики в сфере защиты детей-сирот и детей, оставшихся без попечения родителей»</v>
      </c>
      <c r="M1457" s="17">
        <f t="shared" si="96"/>
        <v>1</v>
      </c>
    </row>
    <row r="1458" spans="1:13" s="23" customFormat="1" ht="15.75">
      <c r="A1458" s="21"/>
      <c r="B1458" s="132" t="s">
        <v>403</v>
      </c>
      <c r="C1458" s="109" t="s">
        <v>406</v>
      </c>
      <c r="D1458" s="131" t="s">
        <v>342</v>
      </c>
      <c r="E1458" s="131" t="s">
        <v>11</v>
      </c>
      <c r="F1458" s="108" t="s">
        <v>1307</v>
      </c>
      <c r="G1458" s="108" t="s">
        <v>404</v>
      </c>
      <c r="H1458" s="126">
        <v>100534.65</v>
      </c>
      <c r="I1458" s="131">
        <v>810277460</v>
      </c>
      <c r="J1458" s="131" t="str">
        <f t="shared" si="94"/>
        <v>0810277460</v>
      </c>
      <c r="K1458" s="304" t="str">
        <f t="shared" si="95"/>
        <v>61111010810277460610</v>
      </c>
      <c r="L1458" s="17" t="str">
        <f>INDEX('реш СГД № 265'!$A:$N,MATCH('БА расх 2018 31 12 2018'!$K1458,'реш СГД № 265'!$N:$N,0),3)</f>
        <v>Субсидии бюджетным учреждениям</v>
      </c>
      <c r="M1458" s="16">
        <f t="shared" si="96"/>
        <v>1</v>
      </c>
    </row>
    <row r="1459" spans="1:13" s="23" customFormat="1" ht="63">
      <c r="A1459" s="21"/>
      <c r="B1459" s="127" t="s">
        <v>405</v>
      </c>
      <c r="C1459" s="109" t="s">
        <v>406</v>
      </c>
      <c r="D1459" s="131" t="s">
        <v>342</v>
      </c>
      <c r="E1459" s="131" t="s">
        <v>11</v>
      </c>
      <c r="F1459" s="108" t="s">
        <v>1307</v>
      </c>
      <c r="G1459" s="108" t="s">
        <v>406</v>
      </c>
      <c r="H1459" s="126">
        <v>100534.65</v>
      </c>
      <c r="I1459" s="131">
        <v>810277460</v>
      </c>
      <c r="J1459" s="131" t="str">
        <f t="shared" si="94"/>
        <v>0810277460</v>
      </c>
      <c r="K1459" s="304" t="str">
        <f t="shared" si="95"/>
        <v>61111010810277460611</v>
      </c>
      <c r="L1459" s="17"/>
      <c r="M1459" s="16"/>
    </row>
    <row r="1460" spans="1:13" s="23" customFormat="1" ht="236.25">
      <c r="A1460" s="21"/>
      <c r="B1460" s="164" t="s">
        <v>2247</v>
      </c>
      <c r="C1460" s="109" t="s">
        <v>406</v>
      </c>
      <c r="D1460" s="131" t="s">
        <v>342</v>
      </c>
      <c r="E1460" s="131" t="s">
        <v>11</v>
      </c>
      <c r="F1460" s="108" t="s">
        <v>2268</v>
      </c>
      <c r="G1460" s="108" t="s">
        <v>9</v>
      </c>
      <c r="H1460" s="126">
        <v>38739</v>
      </c>
      <c r="I1460" s="131">
        <v>810277580</v>
      </c>
      <c r="J1460" s="131" t="str">
        <f t="shared" si="94"/>
        <v>0810277580</v>
      </c>
      <c r="K1460" s="304" t="str">
        <f t="shared" si="95"/>
        <v>61111010810277580000</v>
      </c>
      <c r="L1460" s="17" t="str">
        <f>INDEX('реш СГД № 265'!$A:$N,MATCH('БА расх 2018 31 12 2018'!$K1460,'реш СГД № 265'!$N:$N,0),3)</f>
        <v>Субсидии на компенсацию расходов на обеспечение выплаты лицам, не замещающим муниципальные должности муниципальной службы и исполняющим обязанности по техническому обеспечению деятельности органов местного самоуправления муниципальных образований, работникам органов местного самоуправления муниципальных образований, осуществляющим профессиональную деятельность по профессиям рабочих, и работникам муниципальных учреждений заработной платы не ниже установленного с 01 мая 2018 года федеральным законом минимального размера оплаты труда, а также компенсацию расходов на обеспечение выплаты работникам муниципальных учреждений с 01 января 2018 года коэффициента к заработной плате за работу в пустынных и безводных местностях</v>
      </c>
      <c r="M1460" s="16">
        <f t="shared" si="96"/>
        <v>1</v>
      </c>
    </row>
    <row r="1461" spans="1:13" s="23" customFormat="1" ht="15.75">
      <c r="A1461" s="21"/>
      <c r="B1461" s="132" t="s">
        <v>403</v>
      </c>
      <c r="C1461" s="109" t="s">
        <v>406</v>
      </c>
      <c r="D1461" s="131" t="s">
        <v>342</v>
      </c>
      <c r="E1461" s="131" t="s">
        <v>11</v>
      </c>
      <c r="F1461" s="108" t="s">
        <v>2268</v>
      </c>
      <c r="G1461" s="108" t="s">
        <v>404</v>
      </c>
      <c r="H1461" s="126">
        <v>38739</v>
      </c>
      <c r="I1461" s="131">
        <v>810277580</v>
      </c>
      <c r="J1461" s="131" t="str">
        <f t="shared" si="94"/>
        <v>0810277580</v>
      </c>
      <c r="K1461" s="304" t="str">
        <f t="shared" si="95"/>
        <v>61111010810277580610</v>
      </c>
      <c r="L1461" s="17" t="str">
        <f>INDEX('реш СГД № 265'!$A:$N,MATCH('БА расх 2018 31 12 2018'!$K1461,'реш СГД № 265'!$N:$N,0),3)</f>
        <v>Субсидии бюджетным учреждениям</v>
      </c>
      <c r="M1461" s="16">
        <f t="shared" si="96"/>
        <v>1</v>
      </c>
    </row>
    <row r="1462" spans="1:13" s="23" customFormat="1" ht="63">
      <c r="A1462" s="21"/>
      <c r="B1462" s="127" t="s">
        <v>405</v>
      </c>
      <c r="C1462" s="109" t="s">
        <v>406</v>
      </c>
      <c r="D1462" s="131" t="s">
        <v>342</v>
      </c>
      <c r="E1462" s="131" t="s">
        <v>11</v>
      </c>
      <c r="F1462" s="108" t="s">
        <v>2268</v>
      </c>
      <c r="G1462" s="108" t="s">
        <v>406</v>
      </c>
      <c r="H1462" s="126">
        <v>38739</v>
      </c>
      <c r="I1462" s="131">
        <v>810277580</v>
      </c>
      <c r="J1462" s="131" t="str">
        <f t="shared" si="94"/>
        <v>0810277580</v>
      </c>
      <c r="K1462" s="304" t="str">
        <f t="shared" si="95"/>
        <v>61111010810277580611</v>
      </c>
      <c r="L1462" s="17"/>
      <c r="M1462" s="16"/>
    </row>
    <row r="1463" spans="1:13" s="16" customFormat="1" ht="15.75">
      <c r="A1463" s="14"/>
      <c r="B1463" s="121" t="s">
        <v>712</v>
      </c>
      <c r="C1463" s="122" t="s">
        <v>406</v>
      </c>
      <c r="D1463" s="123" t="s">
        <v>342</v>
      </c>
      <c r="E1463" s="123" t="s">
        <v>62</v>
      </c>
      <c r="F1463" s="123" t="s">
        <v>8</v>
      </c>
      <c r="G1463" s="123" t="s">
        <v>9</v>
      </c>
      <c r="H1463" s="124">
        <v>14712351.25</v>
      </c>
      <c r="I1463" s="123">
        <v>0</v>
      </c>
      <c r="J1463" s="123" t="str">
        <f t="shared" si="94"/>
        <v>0000000000</v>
      </c>
      <c r="K1463" s="304" t="str">
        <f t="shared" si="95"/>
        <v>61111020000000000000</v>
      </c>
      <c r="L1463" s="17" t="str">
        <f>INDEX('реш СГД № 265'!$A:$N,MATCH('БА расх 2018 31 12 2018'!$K1463,'реш СГД № 265'!$N:$N,0),3)</f>
        <v>Массовый спорт</v>
      </c>
      <c r="M1463" s="16">
        <f t="shared" si="96"/>
        <v>1</v>
      </c>
    </row>
    <row r="1464" spans="1:13" s="16" customFormat="1" ht="31.5">
      <c r="A1464" s="14"/>
      <c r="B1464" s="125" t="s">
        <v>700</v>
      </c>
      <c r="C1464" s="109" t="s">
        <v>406</v>
      </c>
      <c r="D1464" s="108" t="s">
        <v>342</v>
      </c>
      <c r="E1464" s="108" t="s">
        <v>62</v>
      </c>
      <c r="F1464" s="108" t="s">
        <v>701</v>
      </c>
      <c r="G1464" s="108" t="s">
        <v>9</v>
      </c>
      <c r="H1464" s="126">
        <v>14712351.25</v>
      </c>
      <c r="I1464" s="108">
        <v>800000000</v>
      </c>
      <c r="J1464" s="108" t="str">
        <f t="shared" si="94"/>
        <v>0800000000</v>
      </c>
      <c r="K1464" s="304" t="str">
        <f t="shared" si="95"/>
        <v>61111020800000000000</v>
      </c>
      <c r="L1464" s="17" t="str">
        <f>INDEX('реш СГД № 265'!$A:$N,MATCH('БА расх 2018 31 12 2018'!$K1464,'реш СГД № 265'!$N:$N,0),3)</f>
        <v>Муниципальная программа «Развитие физической культуры и спорта в городе Ставрополе»</v>
      </c>
      <c r="M1464" s="16">
        <f t="shared" si="96"/>
        <v>1</v>
      </c>
    </row>
    <row r="1465" spans="1:13" s="16" customFormat="1" ht="47.25">
      <c r="A1465" s="14"/>
      <c r="B1465" s="125" t="s">
        <v>702</v>
      </c>
      <c r="C1465" s="109" t="s">
        <v>406</v>
      </c>
      <c r="D1465" s="108" t="s">
        <v>342</v>
      </c>
      <c r="E1465" s="108" t="s">
        <v>62</v>
      </c>
      <c r="F1465" s="108" t="s">
        <v>703</v>
      </c>
      <c r="G1465" s="108" t="s">
        <v>9</v>
      </c>
      <c r="H1465" s="126">
        <v>9806500</v>
      </c>
      <c r="I1465" s="108">
        <v>810000000</v>
      </c>
      <c r="J1465" s="108" t="str">
        <f t="shared" si="94"/>
        <v>0810000000</v>
      </c>
      <c r="K1465" s="304" t="str">
        <f t="shared" si="95"/>
        <v>61111020810000000000</v>
      </c>
      <c r="L1465" s="17" t="str">
        <f>INDEX('реш СГД № 265'!$A:$N,MATCH('БА расх 2018 31 12 2018'!$K1465,'реш СГД № 265'!$N:$N,0),3)</f>
        <v>Подпрограмма «Развитие системы дополнительного образования детей и подростков в области физической культуры и спорта и центров спортивной подготовки»</v>
      </c>
      <c r="M1465" s="16">
        <f t="shared" si="96"/>
        <v>1</v>
      </c>
    </row>
    <row r="1466" spans="1:13" s="16" customFormat="1" ht="94.5">
      <c r="A1466" s="14"/>
      <c r="B1466" s="125" t="s">
        <v>713</v>
      </c>
      <c r="C1466" s="109" t="s">
        <v>406</v>
      </c>
      <c r="D1466" s="108" t="s">
        <v>342</v>
      </c>
      <c r="E1466" s="108" t="s">
        <v>62</v>
      </c>
      <c r="F1466" s="108" t="s">
        <v>714</v>
      </c>
      <c r="G1466" s="108" t="s">
        <v>9</v>
      </c>
      <c r="H1466" s="126">
        <v>9806500</v>
      </c>
      <c r="I1466" s="108">
        <v>810300000</v>
      </c>
      <c r="J1466" s="108" t="str">
        <f t="shared" si="94"/>
        <v>0810300000</v>
      </c>
      <c r="K1466" s="304" t="str">
        <f t="shared" si="95"/>
        <v>61111020810300000000</v>
      </c>
      <c r="L1466" s="17" t="str">
        <f>INDEX('реш СГД № 265'!$A:$N,MATCH('БА расх 2018 31 12 2018'!$K1466,'реш СГД № 265'!$N:$N,0),3)</f>
        <v>Основное мероприятие «Обеспечение организации, проведения и участия в официальных физкультурных мероприятиях и спортивных мероприятиях муниципальных учреждений дополнительного образования детей физкультурно-спортивной направленности города Ставрополя»</v>
      </c>
      <c r="M1466" s="16">
        <f t="shared" si="96"/>
        <v>1</v>
      </c>
    </row>
    <row r="1467" spans="1:13" s="16" customFormat="1" ht="31.5">
      <c r="A1467" s="14"/>
      <c r="B1467" s="127" t="s">
        <v>136</v>
      </c>
      <c r="C1467" s="130" t="s">
        <v>406</v>
      </c>
      <c r="D1467" s="108" t="s">
        <v>342</v>
      </c>
      <c r="E1467" s="108" t="s">
        <v>62</v>
      </c>
      <c r="F1467" s="131" t="s">
        <v>715</v>
      </c>
      <c r="G1467" s="131" t="s">
        <v>9</v>
      </c>
      <c r="H1467" s="105">
        <v>9806500</v>
      </c>
      <c r="I1467" s="131">
        <v>810311010</v>
      </c>
      <c r="J1467" s="131" t="str">
        <f t="shared" si="94"/>
        <v>0810311010</v>
      </c>
      <c r="K1467" s="304" t="str">
        <f t="shared" si="95"/>
        <v>61111020810311010000</v>
      </c>
      <c r="L1467" s="17" t="str">
        <f>INDEX('реш СГД № 265'!$A:$N,MATCH('БА расх 2018 31 12 2018'!$K1467,'реш СГД № 265'!$N:$N,0),3)</f>
        <v>Расходы на обеспечение деятельности (оказание услуг) муниципальных учреждений</v>
      </c>
      <c r="M1467" s="16">
        <f t="shared" si="96"/>
        <v>1</v>
      </c>
    </row>
    <row r="1468" spans="1:13" s="16" customFormat="1" ht="15.75">
      <c r="A1468" s="14"/>
      <c r="B1468" s="132" t="s">
        <v>403</v>
      </c>
      <c r="C1468" s="130" t="s">
        <v>406</v>
      </c>
      <c r="D1468" s="108" t="s">
        <v>342</v>
      </c>
      <c r="E1468" s="108" t="s">
        <v>62</v>
      </c>
      <c r="F1468" s="131" t="s">
        <v>715</v>
      </c>
      <c r="G1468" s="131" t="s">
        <v>404</v>
      </c>
      <c r="H1468" s="126">
        <v>9806500</v>
      </c>
      <c r="I1468" s="131">
        <v>810311010</v>
      </c>
      <c r="J1468" s="131" t="str">
        <f t="shared" si="94"/>
        <v>0810311010</v>
      </c>
      <c r="K1468" s="304" t="str">
        <f t="shared" si="95"/>
        <v>61111020810311010610</v>
      </c>
      <c r="L1468" s="17" t="str">
        <f>INDEX('реш СГД № 265'!$A:$N,MATCH('БА расх 2018 31 12 2018'!$K1468,'реш СГД № 265'!$N:$N,0),3)</f>
        <v>Субсидии бюджетным учреждениям</v>
      </c>
      <c r="M1468" s="16">
        <f t="shared" si="96"/>
        <v>1</v>
      </c>
    </row>
    <row r="1469" spans="1:13" s="23" customFormat="1" ht="63">
      <c r="A1469" s="21"/>
      <c r="B1469" s="127" t="s">
        <v>405</v>
      </c>
      <c r="C1469" s="130" t="s">
        <v>406</v>
      </c>
      <c r="D1469" s="108" t="s">
        <v>342</v>
      </c>
      <c r="E1469" s="108" t="s">
        <v>62</v>
      </c>
      <c r="F1469" s="131" t="s">
        <v>715</v>
      </c>
      <c r="G1469" s="108" t="s">
        <v>406</v>
      </c>
      <c r="H1469" s="126">
        <v>9806500</v>
      </c>
      <c r="I1469" s="131">
        <v>810311010</v>
      </c>
      <c r="J1469" s="131" t="str">
        <f t="shared" si="94"/>
        <v>0810311010</v>
      </c>
      <c r="K1469" s="304" t="str">
        <f t="shared" si="95"/>
        <v>61111020810311010611</v>
      </c>
      <c r="L1469" s="17"/>
      <c r="M1469" s="16"/>
    </row>
    <row r="1470" spans="1:13" s="16" customFormat="1" ht="31.5">
      <c r="A1470" s="14"/>
      <c r="B1470" s="125" t="s">
        <v>716</v>
      </c>
      <c r="C1470" s="109" t="s">
        <v>406</v>
      </c>
      <c r="D1470" s="108" t="s">
        <v>342</v>
      </c>
      <c r="E1470" s="108" t="s">
        <v>62</v>
      </c>
      <c r="F1470" s="108" t="s">
        <v>717</v>
      </c>
      <c r="G1470" s="108" t="s">
        <v>9</v>
      </c>
      <c r="H1470" s="126">
        <v>4905851.25</v>
      </c>
      <c r="I1470" s="108">
        <v>820000000</v>
      </c>
      <c r="J1470" s="108" t="str">
        <f t="shared" si="94"/>
        <v>0820000000</v>
      </c>
      <c r="K1470" s="304" t="str">
        <f t="shared" si="95"/>
        <v>61111020820000000000</v>
      </c>
      <c r="L1470" s="17" t="str">
        <f>INDEX('реш СГД № 265'!$A:$N,MATCH('БА расх 2018 31 12 2018'!$K1470,'реш СГД № 265'!$N:$N,0),3)</f>
        <v>Подпрограмма «Организация и проведение физкультурных мероприятий и спортивных мероприятий»</v>
      </c>
      <c r="M1470" s="16">
        <f t="shared" si="96"/>
        <v>1</v>
      </c>
    </row>
    <row r="1471" spans="1:13" s="16" customFormat="1" ht="47.25">
      <c r="A1471" s="14"/>
      <c r="B1471" s="125" t="s">
        <v>718</v>
      </c>
      <c r="C1471" s="109" t="s">
        <v>406</v>
      </c>
      <c r="D1471" s="108" t="s">
        <v>342</v>
      </c>
      <c r="E1471" s="108" t="s">
        <v>62</v>
      </c>
      <c r="F1471" s="108" t="s">
        <v>719</v>
      </c>
      <c r="G1471" s="108" t="s">
        <v>9</v>
      </c>
      <c r="H1471" s="126">
        <v>4905851.25</v>
      </c>
      <c r="I1471" s="108">
        <v>820100000</v>
      </c>
      <c r="J1471" s="108" t="str">
        <f t="shared" si="94"/>
        <v>0820100000</v>
      </c>
      <c r="K1471" s="304" t="str">
        <f t="shared" si="95"/>
        <v>61111020820100000000</v>
      </c>
      <c r="L1471" s="17" t="str">
        <f>INDEX('реш СГД № 265'!$A:$N,MATCH('БА расх 2018 31 12 2018'!$K1471,'реш СГД № 265'!$N:$N,0),3)</f>
        <v>Основное мероприятие «Реализация мероприятий, направленных на развитие физической культуры и массового спорта»</v>
      </c>
      <c r="M1471" s="16">
        <f t="shared" si="96"/>
        <v>1</v>
      </c>
    </row>
    <row r="1472" spans="1:13" s="16" customFormat="1" ht="31.5">
      <c r="A1472" s="14"/>
      <c r="B1472" s="125" t="s">
        <v>720</v>
      </c>
      <c r="C1472" s="109" t="s">
        <v>406</v>
      </c>
      <c r="D1472" s="108" t="s">
        <v>342</v>
      </c>
      <c r="E1472" s="108" t="s">
        <v>62</v>
      </c>
      <c r="F1472" s="108" t="s">
        <v>721</v>
      </c>
      <c r="G1472" s="108" t="s">
        <v>9</v>
      </c>
      <c r="H1472" s="126">
        <v>4905851.25</v>
      </c>
      <c r="I1472" s="108">
        <v>820120420</v>
      </c>
      <c r="J1472" s="108" t="str">
        <f t="shared" si="94"/>
        <v>0820120420</v>
      </c>
      <c r="K1472" s="304" t="str">
        <f t="shared" si="95"/>
        <v>61111020820120420000</v>
      </c>
      <c r="L1472" s="17" t="str">
        <f>INDEX('реш СГД № 265'!$A:$N,MATCH('БА расх 2018 31 12 2018'!$K1472,'реш СГД № 265'!$N:$N,0),3)</f>
        <v>Расходы на реализацию мероприятий, направленных на развитие физической культуры и массового спорта</v>
      </c>
      <c r="M1472" s="16">
        <f t="shared" si="96"/>
        <v>1</v>
      </c>
    </row>
    <row r="1473" spans="1:13" s="16" customFormat="1" ht="15.75">
      <c r="A1473" s="14"/>
      <c r="B1473" s="125" t="s">
        <v>138</v>
      </c>
      <c r="C1473" s="109" t="s">
        <v>406</v>
      </c>
      <c r="D1473" s="108" t="s">
        <v>342</v>
      </c>
      <c r="E1473" s="108" t="s">
        <v>62</v>
      </c>
      <c r="F1473" s="108" t="s">
        <v>721</v>
      </c>
      <c r="G1473" s="108" t="s">
        <v>139</v>
      </c>
      <c r="H1473" s="126">
        <v>2817500</v>
      </c>
      <c r="I1473" s="108">
        <v>820120420</v>
      </c>
      <c r="J1473" s="108" t="str">
        <f t="shared" si="94"/>
        <v>0820120420</v>
      </c>
      <c r="K1473" s="304" t="str">
        <f t="shared" si="95"/>
        <v>61111020820120420110</v>
      </c>
      <c r="L1473" s="17" t="str">
        <f>INDEX('реш СГД № 265'!$A:$N,MATCH('БА расх 2018 31 12 2018'!$K1473,'реш СГД № 265'!$N:$N,0),3)</f>
        <v>Расходы на выплаты персоналу казенных учреждений</v>
      </c>
      <c r="M1473" s="16">
        <f t="shared" si="96"/>
        <v>1</v>
      </c>
    </row>
    <row r="1474" spans="1:13" s="23" customFormat="1" ht="47.25">
      <c r="A1474" s="21"/>
      <c r="B1474" s="127" t="s">
        <v>144</v>
      </c>
      <c r="C1474" s="109" t="s">
        <v>406</v>
      </c>
      <c r="D1474" s="108" t="s">
        <v>342</v>
      </c>
      <c r="E1474" s="108" t="s">
        <v>62</v>
      </c>
      <c r="F1474" s="108" t="s">
        <v>721</v>
      </c>
      <c r="G1474" s="108" t="s">
        <v>722</v>
      </c>
      <c r="H1474" s="126">
        <v>2817500</v>
      </c>
      <c r="I1474" s="108">
        <v>820120420</v>
      </c>
      <c r="J1474" s="108" t="str">
        <f t="shared" si="94"/>
        <v>0820120420</v>
      </c>
      <c r="K1474" s="304" t="str">
        <f t="shared" si="95"/>
        <v>61111020820120420113</v>
      </c>
      <c r="L1474" s="17"/>
      <c r="M1474" s="16"/>
    </row>
    <row r="1475" spans="1:13" s="16" customFormat="1" ht="31.5">
      <c r="A1475" s="14"/>
      <c r="B1475" s="125" t="s">
        <v>28</v>
      </c>
      <c r="C1475" s="109" t="s">
        <v>406</v>
      </c>
      <c r="D1475" s="108" t="s">
        <v>342</v>
      </c>
      <c r="E1475" s="108" t="s">
        <v>62</v>
      </c>
      <c r="F1475" s="108" t="s">
        <v>721</v>
      </c>
      <c r="G1475" s="108" t="s">
        <v>29</v>
      </c>
      <c r="H1475" s="126">
        <v>2088351.25</v>
      </c>
      <c r="I1475" s="108">
        <v>820120420</v>
      </c>
      <c r="J1475" s="108" t="str">
        <f t="shared" si="94"/>
        <v>0820120420</v>
      </c>
      <c r="K1475" s="304" t="str">
        <f t="shared" si="95"/>
        <v>61111020820120420240</v>
      </c>
      <c r="L1475" s="17" t="str">
        <f>INDEX('реш СГД № 265'!$A:$N,MATCH('БА расх 2018 31 12 2018'!$K1475,'реш СГД № 265'!$N:$N,0),3)</f>
        <v>Иные закупки товаров, работ и услуг для обеспечения государственных (муниципальных) нужд</v>
      </c>
      <c r="M1475" s="16">
        <f t="shared" si="96"/>
        <v>1</v>
      </c>
    </row>
    <row r="1476" spans="1:13" s="16" customFormat="1" ht="15.75">
      <c r="A1476" s="14"/>
      <c r="B1476" s="125" t="s">
        <v>30</v>
      </c>
      <c r="C1476" s="109" t="s">
        <v>406</v>
      </c>
      <c r="D1476" s="108" t="s">
        <v>342</v>
      </c>
      <c r="E1476" s="108" t="s">
        <v>62</v>
      </c>
      <c r="F1476" s="108" t="s">
        <v>721</v>
      </c>
      <c r="G1476" s="108" t="s">
        <v>31</v>
      </c>
      <c r="H1476" s="126">
        <v>2088351.25</v>
      </c>
      <c r="I1476" s="108">
        <v>820120420</v>
      </c>
      <c r="J1476" s="108" t="str">
        <f t="shared" si="94"/>
        <v>0820120420</v>
      </c>
      <c r="K1476" s="304" t="str">
        <f t="shared" si="95"/>
        <v>61111020820120420244</v>
      </c>
      <c r="L1476" s="17"/>
    </row>
    <row r="1477" spans="1:13" s="16" customFormat="1" ht="15.75">
      <c r="A1477" s="14"/>
      <c r="B1477" s="121" t="s">
        <v>731</v>
      </c>
      <c r="C1477" s="122" t="s">
        <v>406</v>
      </c>
      <c r="D1477" s="123" t="s">
        <v>342</v>
      </c>
      <c r="E1477" s="123" t="s">
        <v>13</v>
      </c>
      <c r="F1477" s="123" t="s">
        <v>8</v>
      </c>
      <c r="G1477" s="123" t="s">
        <v>9</v>
      </c>
      <c r="H1477" s="124">
        <v>21550000</v>
      </c>
      <c r="I1477" s="123">
        <v>0</v>
      </c>
      <c r="J1477" s="123" t="str">
        <f t="shared" si="94"/>
        <v>0000000000</v>
      </c>
      <c r="K1477" s="304" t="str">
        <f t="shared" si="95"/>
        <v>61111030000000000000</v>
      </c>
      <c r="L1477" s="17" t="str">
        <f>INDEX('реш СГД № 265'!$A:$N,MATCH('БА расх 2018 31 12 2018'!$K1477,'реш СГД № 265'!$N:$N,0),3)</f>
        <v>Спорт высших достижений</v>
      </c>
      <c r="M1477" s="16">
        <f t="shared" si="96"/>
        <v>1</v>
      </c>
    </row>
    <row r="1478" spans="1:13" s="16" customFormat="1" ht="31.5">
      <c r="A1478" s="14"/>
      <c r="B1478" s="125" t="s">
        <v>700</v>
      </c>
      <c r="C1478" s="109" t="s">
        <v>406</v>
      </c>
      <c r="D1478" s="108" t="s">
        <v>342</v>
      </c>
      <c r="E1478" s="108" t="s">
        <v>13</v>
      </c>
      <c r="F1478" s="108" t="s">
        <v>701</v>
      </c>
      <c r="G1478" s="108" t="s">
        <v>9</v>
      </c>
      <c r="H1478" s="126">
        <v>21550000</v>
      </c>
      <c r="I1478" s="108">
        <v>800000000</v>
      </c>
      <c r="J1478" s="108" t="str">
        <f t="shared" si="94"/>
        <v>0800000000</v>
      </c>
      <c r="K1478" s="304" t="str">
        <f t="shared" si="95"/>
        <v>61111030800000000000</v>
      </c>
      <c r="L1478" s="17" t="str">
        <f>INDEX('реш СГД № 265'!$A:$N,MATCH('БА расх 2018 31 12 2018'!$K1478,'реш СГД № 265'!$N:$N,0),3)</f>
        <v>Муниципальная программа «Развитие физической культуры и спорта в городе Ставрополе»</v>
      </c>
      <c r="M1478" s="16">
        <f t="shared" si="96"/>
        <v>1</v>
      </c>
    </row>
    <row r="1479" spans="1:13" s="16" customFormat="1" ht="31.5">
      <c r="A1479" s="14"/>
      <c r="B1479" s="125" t="s">
        <v>716</v>
      </c>
      <c r="C1479" s="109" t="s">
        <v>406</v>
      </c>
      <c r="D1479" s="108" t="s">
        <v>342</v>
      </c>
      <c r="E1479" s="108" t="s">
        <v>13</v>
      </c>
      <c r="F1479" s="108" t="s">
        <v>717</v>
      </c>
      <c r="G1479" s="108" t="s">
        <v>9</v>
      </c>
      <c r="H1479" s="126">
        <v>21550000</v>
      </c>
      <c r="I1479" s="108">
        <v>820000000</v>
      </c>
      <c r="J1479" s="108" t="str">
        <f t="shared" si="94"/>
        <v>0820000000</v>
      </c>
      <c r="K1479" s="304" t="str">
        <f t="shared" si="95"/>
        <v>61111030820000000000</v>
      </c>
      <c r="L1479" s="17" t="str">
        <f>INDEX('реш СГД № 265'!$A:$N,MATCH('БА расх 2018 31 12 2018'!$K1479,'реш СГД № 265'!$N:$N,0),3)</f>
        <v>Подпрограмма «Организация и проведение физкультурных мероприятий и спортивных мероприятий»</v>
      </c>
      <c r="M1479" s="16">
        <f t="shared" si="96"/>
        <v>1</v>
      </c>
    </row>
    <row r="1480" spans="1:13" s="16" customFormat="1" ht="63">
      <c r="A1480" s="14"/>
      <c r="B1480" s="125" t="s">
        <v>732</v>
      </c>
      <c r="C1480" s="109" t="s">
        <v>406</v>
      </c>
      <c r="D1480" s="108" t="s">
        <v>342</v>
      </c>
      <c r="E1480" s="108" t="s">
        <v>13</v>
      </c>
      <c r="F1480" s="108" t="s">
        <v>733</v>
      </c>
      <c r="G1480" s="108" t="s">
        <v>9</v>
      </c>
      <c r="H1480" s="126">
        <v>21550000</v>
      </c>
      <c r="I1480" s="108">
        <v>820400000</v>
      </c>
      <c r="J1480" s="108" t="str">
        <f t="shared" si="94"/>
        <v>0820400000</v>
      </c>
      <c r="K1480" s="304" t="str">
        <f t="shared" si="95"/>
        <v>61111030820400000000</v>
      </c>
      <c r="L1480" s="17" t="str">
        <f>INDEX('реш СГД № 265'!$A:$N,MATCH('БА расх 2018 31 12 2018'!$K1480,'реш СГД № 265'!$N:$N,0),3)</f>
        <v>Основное мероприятие «Предоставление финансовой поддержки некоммерческим организациям, осуществляющим деятельность в области физической культуры и спорта на территории города Ставрополя»</v>
      </c>
      <c r="M1480" s="16">
        <f t="shared" si="96"/>
        <v>1</v>
      </c>
    </row>
    <row r="1481" spans="1:13" s="16" customFormat="1" ht="78.75">
      <c r="A1481" s="14"/>
      <c r="B1481" s="125" t="s">
        <v>734</v>
      </c>
      <c r="C1481" s="109" t="s">
        <v>406</v>
      </c>
      <c r="D1481" s="108" t="s">
        <v>342</v>
      </c>
      <c r="E1481" s="108" t="s">
        <v>13</v>
      </c>
      <c r="F1481" s="108" t="s">
        <v>735</v>
      </c>
      <c r="G1481" s="108" t="s">
        <v>9</v>
      </c>
      <c r="H1481" s="126">
        <v>1550000</v>
      </c>
      <c r="I1481" s="108">
        <v>820460120</v>
      </c>
      <c r="J1481" s="108" t="str">
        <f t="shared" si="94"/>
        <v>0820460120</v>
      </c>
      <c r="K1481" s="304" t="str">
        <f t="shared" si="95"/>
        <v>61111030820460120000</v>
      </c>
      <c r="L1481" s="17" t="str">
        <f>INDEX('реш СГД № 265'!$A:$N,MATCH('БА расх 2018 31 12 2018'!$K1481,'реш СГД № 265'!$N:$N,0),3)</f>
        <v>Расходы на предоставление автономной некоммерческой организации «Ставропольский городской авиационный спортивный клуб» субсидии в виде имущественного взноса муниципального образования города Ставрополя  Ставропольского края</v>
      </c>
      <c r="M1481" s="16">
        <f t="shared" si="96"/>
        <v>1</v>
      </c>
    </row>
    <row r="1482" spans="1:13" s="16" customFormat="1" ht="31.5">
      <c r="A1482" s="14"/>
      <c r="B1482" s="125" t="s">
        <v>182</v>
      </c>
      <c r="C1482" s="109" t="s">
        <v>406</v>
      </c>
      <c r="D1482" s="108" t="s">
        <v>342</v>
      </c>
      <c r="E1482" s="108" t="s">
        <v>13</v>
      </c>
      <c r="F1482" s="108" t="s">
        <v>735</v>
      </c>
      <c r="G1482" s="108" t="s">
        <v>183</v>
      </c>
      <c r="H1482" s="126">
        <v>1550000</v>
      </c>
      <c r="I1482" s="108">
        <v>820460120</v>
      </c>
      <c r="J1482" s="108" t="str">
        <f t="shared" si="94"/>
        <v>0820460120</v>
      </c>
      <c r="K1482" s="304" t="str">
        <f t="shared" si="95"/>
        <v>61111030820460120630</v>
      </c>
      <c r="L1482" s="17" t="str">
        <f>INDEX('реш СГД № 265'!$A:$N,MATCH('БА расх 2018 31 12 2018'!$K1482,'реш СГД № 265'!$N:$N,0),3)</f>
        <v>Субсидии некоммерческим организациям (за исключением государственных (муниципальных) учреждений)</v>
      </c>
      <c r="M1482" s="16">
        <f t="shared" si="96"/>
        <v>1</v>
      </c>
    </row>
    <row r="1483" spans="1:13" s="16" customFormat="1" ht="47.25">
      <c r="A1483" s="14"/>
      <c r="B1483" s="125" t="s">
        <v>736</v>
      </c>
      <c r="C1483" s="109" t="s">
        <v>406</v>
      </c>
      <c r="D1483" s="108" t="s">
        <v>342</v>
      </c>
      <c r="E1483" s="108" t="s">
        <v>13</v>
      </c>
      <c r="F1483" s="108" t="s">
        <v>735</v>
      </c>
      <c r="G1483" s="108" t="s">
        <v>214</v>
      </c>
      <c r="H1483" s="126">
        <v>1550000</v>
      </c>
      <c r="I1483" s="108">
        <v>820460120</v>
      </c>
      <c r="J1483" s="108" t="str">
        <f t="shared" si="94"/>
        <v>0820460120</v>
      </c>
      <c r="K1483" s="304" t="str">
        <f t="shared" si="95"/>
        <v>61111030820460120634</v>
      </c>
      <c r="L1483" s="17"/>
    </row>
    <row r="1484" spans="1:13" s="16" customFormat="1" ht="63">
      <c r="A1484" s="14"/>
      <c r="B1484" s="125" t="s">
        <v>1138</v>
      </c>
      <c r="C1484" s="109" t="s">
        <v>406</v>
      </c>
      <c r="D1484" s="108" t="s">
        <v>342</v>
      </c>
      <c r="E1484" s="108" t="s">
        <v>13</v>
      </c>
      <c r="F1484" s="108" t="s">
        <v>1139</v>
      </c>
      <c r="G1484" s="108" t="s">
        <v>9</v>
      </c>
      <c r="H1484" s="126">
        <v>20000000</v>
      </c>
      <c r="I1484" s="108">
        <v>820460150</v>
      </c>
      <c r="J1484" s="108" t="str">
        <f t="shared" si="94"/>
        <v>0820460150</v>
      </c>
      <c r="K1484" s="304" t="str">
        <f t="shared" si="95"/>
        <v>61111030820460150000</v>
      </c>
      <c r="L1484" s="17" t="str">
        <f>INDEX('реш СГД № 265'!$A:$N,MATCH('БА расх 2018 31 12 2018'!$K1484,'реш СГД № 265'!$N:$N,0),3)</f>
        <v xml:space="preserve">Расходы на предоставление субсидий социально ориентированным некоммерческим организациям, осуществляющим деятельность в области физической культуры и спорта на территории города Ставрополя  </v>
      </c>
      <c r="M1484" s="16">
        <f t="shared" si="96"/>
        <v>1</v>
      </c>
    </row>
    <row r="1485" spans="1:13" s="16" customFormat="1" ht="31.5">
      <c r="A1485" s="14"/>
      <c r="B1485" s="125" t="s">
        <v>182</v>
      </c>
      <c r="C1485" s="109" t="s">
        <v>406</v>
      </c>
      <c r="D1485" s="108" t="s">
        <v>342</v>
      </c>
      <c r="E1485" s="108" t="s">
        <v>13</v>
      </c>
      <c r="F1485" s="108" t="s">
        <v>1139</v>
      </c>
      <c r="G1485" s="108" t="s">
        <v>183</v>
      </c>
      <c r="H1485" s="126">
        <v>20000000</v>
      </c>
      <c r="I1485" s="108">
        <v>820460150</v>
      </c>
      <c r="J1485" s="108" t="str">
        <f t="shared" si="94"/>
        <v>0820460150</v>
      </c>
      <c r="K1485" s="304" t="str">
        <f t="shared" si="95"/>
        <v>61111030820460150630</v>
      </c>
      <c r="L1485" s="17" t="str">
        <f>INDEX('реш СГД № 265'!$A:$N,MATCH('БА расх 2018 31 12 2018'!$K1485,'реш СГД № 265'!$N:$N,0),3)</f>
        <v>Субсидии некоммерческим организациям (за исключением государственных (муниципальных) учреждений)</v>
      </c>
      <c r="M1485" s="16">
        <f t="shared" si="96"/>
        <v>1</v>
      </c>
    </row>
    <row r="1486" spans="1:13" s="16" customFormat="1" ht="78.75">
      <c r="A1486" s="14"/>
      <c r="B1486" s="127" t="s">
        <v>1165</v>
      </c>
      <c r="C1486" s="109" t="s">
        <v>406</v>
      </c>
      <c r="D1486" s="108" t="s">
        <v>342</v>
      </c>
      <c r="E1486" s="108" t="s">
        <v>13</v>
      </c>
      <c r="F1486" s="108" t="s">
        <v>1139</v>
      </c>
      <c r="G1486" s="108" t="s">
        <v>416</v>
      </c>
      <c r="H1486" s="126">
        <v>20000000</v>
      </c>
      <c r="I1486" s="108">
        <v>820460150</v>
      </c>
      <c r="J1486" s="108" t="str">
        <f t="shared" si="94"/>
        <v>0820460150</v>
      </c>
      <c r="K1486" s="304" t="str">
        <f t="shared" si="95"/>
        <v>61111030820460150632</v>
      </c>
      <c r="L1486" s="17"/>
    </row>
    <row r="1487" spans="1:13" s="16" customFormat="1" ht="15.75">
      <c r="A1487" s="14"/>
      <c r="B1487" s="121" t="s">
        <v>737</v>
      </c>
      <c r="C1487" s="122" t="s">
        <v>406</v>
      </c>
      <c r="D1487" s="123" t="s">
        <v>342</v>
      </c>
      <c r="E1487" s="123" t="s">
        <v>86</v>
      </c>
      <c r="F1487" s="123" t="s">
        <v>8</v>
      </c>
      <c r="G1487" s="123" t="s">
        <v>9</v>
      </c>
      <c r="H1487" s="124">
        <v>18144460.550000001</v>
      </c>
      <c r="I1487" s="123">
        <v>0</v>
      </c>
      <c r="J1487" s="123" t="str">
        <f t="shared" si="94"/>
        <v>0000000000</v>
      </c>
      <c r="K1487" s="304" t="str">
        <f t="shared" si="95"/>
        <v>61111050000000000000</v>
      </c>
      <c r="L1487" s="17" t="str">
        <f>INDEX('реш СГД № 265'!$A:$N,MATCH('БА расх 2018 31 12 2018'!$K1487,'реш СГД № 265'!$N:$N,0),3)</f>
        <v>Другие вопросы в области физической культуры и спорта</v>
      </c>
      <c r="M1487" s="16">
        <f t="shared" si="96"/>
        <v>1</v>
      </c>
    </row>
    <row r="1488" spans="1:13" s="16" customFormat="1" ht="31.5">
      <c r="A1488" s="14"/>
      <c r="B1488" s="125" t="s">
        <v>738</v>
      </c>
      <c r="C1488" s="109" t="s">
        <v>406</v>
      </c>
      <c r="D1488" s="108" t="s">
        <v>342</v>
      </c>
      <c r="E1488" s="108" t="s">
        <v>86</v>
      </c>
      <c r="F1488" s="108" t="s">
        <v>739</v>
      </c>
      <c r="G1488" s="108" t="s">
        <v>9</v>
      </c>
      <c r="H1488" s="126">
        <v>18144460.550000001</v>
      </c>
      <c r="I1488" s="108">
        <v>7800000000</v>
      </c>
      <c r="J1488" s="108" t="str">
        <f t="shared" si="94"/>
        <v>7800000000</v>
      </c>
      <c r="K1488" s="304" t="str">
        <f t="shared" si="95"/>
        <v>61111057800000000000</v>
      </c>
      <c r="L1488" s="17" t="str">
        <f>INDEX('реш СГД № 265'!$A:$N,MATCH('БА расх 2018 31 12 2018'!$K1488,'реш СГД № 265'!$N:$N,0),3)</f>
        <v>Обеспечение деятельности комитета физической культуры и спорта администрации города Ставрополя</v>
      </c>
      <c r="M1488" s="16">
        <f t="shared" si="96"/>
        <v>1</v>
      </c>
    </row>
    <row r="1489" spans="1:13" s="16" customFormat="1" ht="47.25">
      <c r="A1489" s="14"/>
      <c r="B1489" s="125" t="s">
        <v>740</v>
      </c>
      <c r="C1489" s="109" t="s">
        <v>406</v>
      </c>
      <c r="D1489" s="108" t="s">
        <v>342</v>
      </c>
      <c r="E1489" s="108" t="s">
        <v>86</v>
      </c>
      <c r="F1489" s="108" t="s">
        <v>741</v>
      </c>
      <c r="G1489" s="108" t="s">
        <v>9</v>
      </c>
      <c r="H1489" s="126">
        <v>18144460.550000001</v>
      </c>
      <c r="I1489" s="108">
        <v>7810000000</v>
      </c>
      <c r="J1489" s="108" t="str">
        <f t="shared" si="94"/>
        <v>7810000000</v>
      </c>
      <c r="K1489" s="304" t="str">
        <f t="shared" si="95"/>
        <v>61111057810000000000</v>
      </c>
      <c r="L1489" s="17" t="str">
        <f>INDEX('реш СГД № 265'!$A:$N,MATCH('БА расх 2018 31 12 2018'!$K1489,'реш СГД № 265'!$N:$N,0),3)</f>
        <v>Непрограммные расходы в рамках обеспечения деятельности комитета физической культуры и спорта администрации города Ставрополя</v>
      </c>
      <c r="M1489" s="16">
        <f t="shared" si="96"/>
        <v>1</v>
      </c>
    </row>
    <row r="1490" spans="1:13" s="16" customFormat="1" ht="31.5">
      <c r="A1490" s="14"/>
      <c r="B1490" s="125" t="s">
        <v>18</v>
      </c>
      <c r="C1490" s="109" t="s">
        <v>406</v>
      </c>
      <c r="D1490" s="108" t="s">
        <v>342</v>
      </c>
      <c r="E1490" s="108" t="s">
        <v>86</v>
      </c>
      <c r="F1490" s="108" t="s">
        <v>742</v>
      </c>
      <c r="G1490" s="108" t="s">
        <v>9</v>
      </c>
      <c r="H1490" s="126">
        <v>778210</v>
      </c>
      <c r="I1490" s="108">
        <v>7810010010</v>
      </c>
      <c r="J1490" s="108" t="str">
        <f t="shared" si="94"/>
        <v>7810010010</v>
      </c>
      <c r="K1490" s="304" t="str">
        <f t="shared" si="95"/>
        <v>61111057810010010000</v>
      </c>
      <c r="L1490" s="17" t="str">
        <f>INDEX('реш СГД № 265'!$A:$N,MATCH('БА расх 2018 31 12 2018'!$K1490,'реш СГД № 265'!$N:$N,0),3)</f>
        <v>Расходы на обеспечение функций органов местного самоуправления города Ставрополя</v>
      </c>
      <c r="M1490" s="16">
        <f t="shared" si="96"/>
        <v>1</v>
      </c>
    </row>
    <row r="1491" spans="1:13" s="16" customFormat="1" ht="31.5">
      <c r="A1491" s="14"/>
      <c r="B1491" s="127" t="s">
        <v>20</v>
      </c>
      <c r="C1491" s="109" t="s">
        <v>406</v>
      </c>
      <c r="D1491" s="108" t="s">
        <v>342</v>
      </c>
      <c r="E1491" s="108" t="s">
        <v>86</v>
      </c>
      <c r="F1491" s="108" t="s">
        <v>742</v>
      </c>
      <c r="G1491" s="108" t="s">
        <v>21</v>
      </c>
      <c r="H1491" s="126">
        <v>198786.55</v>
      </c>
      <c r="I1491" s="108">
        <v>7810010010</v>
      </c>
      <c r="J1491" s="108" t="str">
        <f t="shared" si="94"/>
        <v>7810010010</v>
      </c>
      <c r="K1491" s="304" t="str">
        <f t="shared" si="95"/>
        <v>61111057810010010120</v>
      </c>
      <c r="L1491" s="17" t="str">
        <f>INDEX('реш СГД № 265'!$A:$N,MATCH('БА расх 2018 31 12 2018'!$K1491,'реш СГД № 265'!$N:$N,0),3)</f>
        <v>Расходы на выплаты персоналу государственных (муниципальных) органов</v>
      </c>
      <c r="M1491" s="16">
        <f t="shared" si="96"/>
        <v>1</v>
      </c>
    </row>
    <row r="1492" spans="1:13" s="23" customFormat="1" ht="31.5">
      <c r="A1492" s="21"/>
      <c r="B1492" s="127" t="s">
        <v>22</v>
      </c>
      <c r="C1492" s="109" t="s">
        <v>406</v>
      </c>
      <c r="D1492" s="108" t="s">
        <v>342</v>
      </c>
      <c r="E1492" s="108" t="s">
        <v>86</v>
      </c>
      <c r="F1492" s="108" t="s">
        <v>742</v>
      </c>
      <c r="G1492" s="108" t="s">
        <v>23</v>
      </c>
      <c r="H1492" s="126">
        <v>155477.25</v>
      </c>
      <c r="I1492" s="108">
        <v>7810010010</v>
      </c>
      <c r="J1492" s="108" t="str">
        <f t="shared" si="94"/>
        <v>7810010010</v>
      </c>
      <c r="K1492" s="304" t="str">
        <f t="shared" si="95"/>
        <v>61111057810010010122</v>
      </c>
      <c r="L1492" s="17"/>
      <c r="M1492" s="16"/>
    </row>
    <row r="1493" spans="1:13" s="23" customFormat="1" ht="47.25">
      <c r="A1493" s="21"/>
      <c r="B1493" s="127" t="s">
        <v>26</v>
      </c>
      <c r="C1493" s="109" t="s">
        <v>406</v>
      </c>
      <c r="D1493" s="108" t="s">
        <v>342</v>
      </c>
      <c r="E1493" s="108" t="s">
        <v>86</v>
      </c>
      <c r="F1493" s="108" t="s">
        <v>742</v>
      </c>
      <c r="G1493" s="108" t="s">
        <v>27</v>
      </c>
      <c r="H1493" s="126">
        <v>43309.3</v>
      </c>
      <c r="I1493" s="108">
        <v>7810010010</v>
      </c>
      <c r="J1493" s="108" t="str">
        <f t="shared" si="94"/>
        <v>7810010010</v>
      </c>
      <c r="K1493" s="304" t="str">
        <f t="shared" si="95"/>
        <v>61111057810010010129</v>
      </c>
      <c r="L1493" s="17"/>
      <c r="M1493" s="16"/>
    </row>
    <row r="1494" spans="1:13" s="16" customFormat="1" ht="31.5">
      <c r="A1494" s="14"/>
      <c r="B1494" s="125" t="s">
        <v>28</v>
      </c>
      <c r="C1494" s="109" t="s">
        <v>406</v>
      </c>
      <c r="D1494" s="108" t="s">
        <v>342</v>
      </c>
      <c r="E1494" s="108" t="s">
        <v>86</v>
      </c>
      <c r="F1494" s="108" t="s">
        <v>742</v>
      </c>
      <c r="G1494" s="108" t="s">
        <v>29</v>
      </c>
      <c r="H1494" s="126">
        <v>571423.44999999995</v>
      </c>
      <c r="I1494" s="108">
        <v>7810010010</v>
      </c>
      <c r="J1494" s="108" t="str">
        <f t="shared" si="94"/>
        <v>7810010010</v>
      </c>
      <c r="K1494" s="304" t="str">
        <f t="shared" si="95"/>
        <v>61111057810010010240</v>
      </c>
      <c r="L1494" s="17" t="str">
        <f>INDEX('реш СГД № 265'!$A:$N,MATCH('БА расх 2018 31 12 2018'!$K1494,'реш СГД № 265'!$N:$N,0),3)</f>
        <v>Иные закупки товаров, работ и услуг для обеспечения государственных (муниципальных) нужд</v>
      </c>
      <c r="M1494" s="16">
        <f t="shared" si="96"/>
        <v>1</v>
      </c>
    </row>
    <row r="1495" spans="1:13" s="16" customFormat="1" ht="15.75">
      <c r="A1495" s="14"/>
      <c r="B1495" s="125" t="s">
        <v>30</v>
      </c>
      <c r="C1495" s="109" t="s">
        <v>406</v>
      </c>
      <c r="D1495" s="108" t="s">
        <v>342</v>
      </c>
      <c r="E1495" s="108" t="s">
        <v>86</v>
      </c>
      <c r="F1495" s="108" t="s">
        <v>742</v>
      </c>
      <c r="G1495" s="108" t="s">
        <v>31</v>
      </c>
      <c r="H1495" s="126">
        <v>571423.44999999995</v>
      </c>
      <c r="I1495" s="108">
        <v>7810010010</v>
      </c>
      <c r="J1495" s="108" t="str">
        <f t="shared" si="94"/>
        <v>7810010010</v>
      </c>
      <c r="K1495" s="304" t="str">
        <f t="shared" si="95"/>
        <v>61111057810010010244</v>
      </c>
      <c r="L1495" s="17"/>
    </row>
    <row r="1496" spans="1:13" s="16" customFormat="1" ht="15.75">
      <c r="A1496" s="14"/>
      <c r="B1496" s="125" t="s">
        <v>32</v>
      </c>
      <c r="C1496" s="109" t="s">
        <v>406</v>
      </c>
      <c r="D1496" s="108" t="s">
        <v>342</v>
      </c>
      <c r="E1496" s="108" t="s">
        <v>86</v>
      </c>
      <c r="F1496" s="108" t="s">
        <v>742</v>
      </c>
      <c r="G1496" s="108" t="s">
        <v>33</v>
      </c>
      <c r="H1496" s="126">
        <v>8000</v>
      </c>
      <c r="I1496" s="108">
        <v>7810010010</v>
      </c>
      <c r="J1496" s="108" t="str">
        <f t="shared" si="94"/>
        <v>7810010010</v>
      </c>
      <c r="K1496" s="304" t="str">
        <f t="shared" si="95"/>
        <v>61111057810010010850</v>
      </c>
      <c r="L1496" s="17" t="str">
        <f>INDEX('реш СГД № 265'!$A:$N,MATCH('БА расх 2018 31 12 2018'!$K1496,'реш СГД № 265'!$N:$N,0),3)</f>
        <v>Уплата налогов, сборов и иных платежей</v>
      </c>
      <c r="M1496" s="16">
        <f t="shared" si="96"/>
        <v>1</v>
      </c>
    </row>
    <row r="1497" spans="1:13" s="23" customFormat="1" ht="31.5">
      <c r="A1497" s="21"/>
      <c r="B1497" s="127" t="s">
        <v>34</v>
      </c>
      <c r="C1497" s="109" t="s">
        <v>406</v>
      </c>
      <c r="D1497" s="108" t="s">
        <v>342</v>
      </c>
      <c r="E1497" s="108" t="s">
        <v>86</v>
      </c>
      <c r="F1497" s="108" t="s">
        <v>742</v>
      </c>
      <c r="G1497" s="108" t="s">
        <v>35</v>
      </c>
      <c r="H1497" s="126">
        <v>5000</v>
      </c>
      <c r="I1497" s="108">
        <v>7810010010</v>
      </c>
      <c r="J1497" s="108" t="str">
        <f t="shared" si="94"/>
        <v>7810010010</v>
      </c>
      <c r="K1497" s="304" t="str">
        <f t="shared" si="95"/>
        <v>61111057810010010851</v>
      </c>
      <c r="L1497" s="17"/>
      <c r="M1497" s="16"/>
    </row>
    <row r="1498" spans="1:13" s="23" customFormat="1" ht="15.75">
      <c r="A1498" s="21"/>
      <c r="B1498" s="127" t="s">
        <v>36</v>
      </c>
      <c r="C1498" s="109" t="s">
        <v>406</v>
      </c>
      <c r="D1498" s="108" t="s">
        <v>342</v>
      </c>
      <c r="E1498" s="108" t="s">
        <v>86</v>
      </c>
      <c r="F1498" s="108" t="s">
        <v>742</v>
      </c>
      <c r="G1498" s="108" t="s">
        <v>37</v>
      </c>
      <c r="H1498" s="126">
        <v>3000</v>
      </c>
      <c r="I1498" s="108">
        <v>7810010010</v>
      </c>
      <c r="J1498" s="108" t="str">
        <f t="shared" si="94"/>
        <v>7810010010</v>
      </c>
      <c r="K1498" s="304" t="str">
        <f t="shared" ref="K1498" si="97">C1498&amp;D1498&amp;E1498&amp;J1498&amp;G1498</f>
        <v>61111057810010010852</v>
      </c>
      <c r="L1498" s="17"/>
      <c r="M1498" s="16"/>
    </row>
    <row r="1499" spans="1:13" s="16" customFormat="1" ht="31.5">
      <c r="A1499" s="14"/>
      <c r="B1499" s="125" t="s">
        <v>38</v>
      </c>
      <c r="C1499" s="109" t="s">
        <v>406</v>
      </c>
      <c r="D1499" s="108" t="s">
        <v>342</v>
      </c>
      <c r="E1499" s="108" t="s">
        <v>86</v>
      </c>
      <c r="F1499" s="108" t="s">
        <v>743</v>
      </c>
      <c r="G1499" s="108" t="s">
        <v>9</v>
      </c>
      <c r="H1499" s="126">
        <v>7185962.8300000001</v>
      </c>
      <c r="I1499" s="108">
        <v>7810010020</v>
      </c>
      <c r="J1499" s="108" t="str">
        <f t="shared" ref="J1499:J1570" si="98">TEXT(I1499,"0000000000")</f>
        <v>7810010020</v>
      </c>
      <c r="K1499" s="304" t="str">
        <f t="shared" ref="K1499:K1569" si="99">C1499&amp;D1499&amp;E1499&amp;J1499&amp;G1499</f>
        <v>61111057810010020000</v>
      </c>
      <c r="L1499" s="17" t="str">
        <f>INDEX('реш СГД № 265'!$A:$N,MATCH('БА расх 2018 31 12 2018'!$K1499,'реш СГД № 265'!$N:$N,0),3)</f>
        <v>Расходы на выплаты по оплате труда работников органов местного самоуправления города Ставрополя</v>
      </c>
      <c r="M1499" s="16">
        <f t="shared" ref="M1499:M1570" si="100">IF(B1499=L1499,1,0)</f>
        <v>1</v>
      </c>
    </row>
    <row r="1500" spans="1:13" s="16" customFormat="1" ht="31.5">
      <c r="A1500" s="14"/>
      <c r="B1500" s="127" t="s">
        <v>20</v>
      </c>
      <c r="C1500" s="109" t="s">
        <v>406</v>
      </c>
      <c r="D1500" s="108" t="s">
        <v>342</v>
      </c>
      <c r="E1500" s="108" t="s">
        <v>86</v>
      </c>
      <c r="F1500" s="108" t="s">
        <v>743</v>
      </c>
      <c r="G1500" s="108" t="s">
        <v>21</v>
      </c>
      <c r="H1500" s="126">
        <v>7185962.8300000001</v>
      </c>
      <c r="I1500" s="108">
        <v>7810010020</v>
      </c>
      <c r="J1500" s="108" t="str">
        <f t="shared" si="98"/>
        <v>7810010020</v>
      </c>
      <c r="K1500" s="304" t="str">
        <f t="shared" si="99"/>
        <v>61111057810010020120</v>
      </c>
      <c r="L1500" s="17" t="str">
        <f>INDEX('реш СГД № 265'!$A:$N,MATCH('БА расх 2018 31 12 2018'!$K1500,'реш СГД № 265'!$N:$N,0),3)</f>
        <v>Расходы на выплаты персоналу государственных (муниципальных) органов</v>
      </c>
      <c r="M1500" s="16">
        <f t="shared" si="100"/>
        <v>1</v>
      </c>
    </row>
    <row r="1501" spans="1:13" s="23" customFormat="1" ht="31.5">
      <c r="A1501" s="21"/>
      <c r="B1501" s="127" t="s">
        <v>40</v>
      </c>
      <c r="C1501" s="109" t="s">
        <v>406</v>
      </c>
      <c r="D1501" s="108" t="s">
        <v>342</v>
      </c>
      <c r="E1501" s="108" t="s">
        <v>86</v>
      </c>
      <c r="F1501" s="108" t="s">
        <v>743</v>
      </c>
      <c r="G1501" s="108" t="s">
        <v>41</v>
      </c>
      <c r="H1501" s="126">
        <v>5542247.9100000001</v>
      </c>
      <c r="I1501" s="108">
        <v>7810010020</v>
      </c>
      <c r="J1501" s="108" t="str">
        <f t="shared" si="98"/>
        <v>7810010020</v>
      </c>
      <c r="K1501" s="304" t="str">
        <f t="shared" si="99"/>
        <v>61111057810010020121</v>
      </c>
      <c r="L1501" s="17"/>
      <c r="M1501" s="16"/>
    </row>
    <row r="1502" spans="1:13" s="23" customFormat="1" ht="47.25">
      <c r="A1502" s="21"/>
      <c r="B1502" s="127" t="s">
        <v>26</v>
      </c>
      <c r="C1502" s="109" t="s">
        <v>406</v>
      </c>
      <c r="D1502" s="108" t="s">
        <v>342</v>
      </c>
      <c r="E1502" s="108" t="s">
        <v>86</v>
      </c>
      <c r="F1502" s="108" t="s">
        <v>743</v>
      </c>
      <c r="G1502" s="108" t="s">
        <v>27</v>
      </c>
      <c r="H1502" s="126">
        <v>1643714.92</v>
      </c>
      <c r="I1502" s="108">
        <v>7810010020</v>
      </c>
      <c r="J1502" s="108" t="str">
        <f t="shared" si="98"/>
        <v>7810010020</v>
      </c>
      <c r="K1502" s="304" t="str">
        <f t="shared" si="99"/>
        <v>61111057810010020129</v>
      </c>
      <c r="L1502" s="17"/>
      <c r="M1502" s="16"/>
    </row>
    <row r="1503" spans="1:13" s="16" customFormat="1" ht="31.5">
      <c r="A1503" s="14"/>
      <c r="B1503" s="307" t="s">
        <v>136</v>
      </c>
      <c r="C1503" s="109" t="s">
        <v>406</v>
      </c>
      <c r="D1503" s="108" t="s">
        <v>342</v>
      </c>
      <c r="E1503" s="108" t="s">
        <v>86</v>
      </c>
      <c r="F1503" s="308" t="s">
        <v>744</v>
      </c>
      <c r="G1503" s="308" t="s">
        <v>9</v>
      </c>
      <c r="H1503" s="126">
        <v>9599876.1899999995</v>
      </c>
      <c r="I1503" s="308">
        <v>7810011010</v>
      </c>
      <c r="J1503" s="308" t="str">
        <f t="shared" si="98"/>
        <v>7810011010</v>
      </c>
      <c r="K1503" s="304" t="str">
        <f t="shared" si="99"/>
        <v>61111057810011010000</v>
      </c>
      <c r="L1503" s="17" t="str">
        <f>INDEX('реш СГД № 265'!$A:$N,MATCH('БА расх 2018 31 12 2018'!$K1503,'реш СГД № 265'!$N:$N,0),3)</f>
        <v>Расходы на обеспечение деятельности (оказание услуг) муниципальных учреждений</v>
      </c>
      <c r="M1503" s="16">
        <f t="shared" si="100"/>
        <v>1</v>
      </c>
    </row>
    <row r="1504" spans="1:13" s="16" customFormat="1" ht="15.75">
      <c r="A1504" s="14"/>
      <c r="B1504" s="306" t="s">
        <v>138</v>
      </c>
      <c r="C1504" s="109" t="s">
        <v>406</v>
      </c>
      <c r="D1504" s="108" t="s">
        <v>342</v>
      </c>
      <c r="E1504" s="108" t="s">
        <v>86</v>
      </c>
      <c r="F1504" s="308" t="s">
        <v>744</v>
      </c>
      <c r="G1504" s="308" t="s">
        <v>139</v>
      </c>
      <c r="H1504" s="126">
        <v>8459876.1899999995</v>
      </c>
      <c r="I1504" s="308">
        <v>7810011010</v>
      </c>
      <c r="J1504" s="308" t="str">
        <f t="shared" si="98"/>
        <v>7810011010</v>
      </c>
      <c r="K1504" s="304" t="str">
        <f t="shared" si="99"/>
        <v>61111057810011010110</v>
      </c>
      <c r="L1504" s="17" t="str">
        <f>INDEX('реш СГД № 265'!$A:$N,MATCH('БА расх 2018 31 12 2018'!$K1504,'реш СГД № 265'!$N:$N,0),3)</f>
        <v>Расходы на выплаты персоналу казенных учреждений</v>
      </c>
      <c r="M1504" s="16">
        <f t="shared" si="100"/>
        <v>1</v>
      </c>
    </row>
    <row r="1505" spans="1:13" s="23" customFormat="1" ht="15.75">
      <c r="A1505" s="21"/>
      <c r="B1505" s="127" t="s">
        <v>140</v>
      </c>
      <c r="C1505" s="109" t="s">
        <v>406</v>
      </c>
      <c r="D1505" s="108" t="s">
        <v>342</v>
      </c>
      <c r="E1505" s="108" t="s">
        <v>86</v>
      </c>
      <c r="F1505" s="308" t="s">
        <v>744</v>
      </c>
      <c r="G1505" s="308" t="s">
        <v>141</v>
      </c>
      <c r="H1505" s="126">
        <v>6531504.54</v>
      </c>
      <c r="I1505" s="308">
        <v>7810011010</v>
      </c>
      <c r="J1505" s="308" t="str">
        <f t="shared" si="98"/>
        <v>7810011010</v>
      </c>
      <c r="K1505" s="304" t="str">
        <f t="shared" si="99"/>
        <v>61111057810011010111</v>
      </c>
      <c r="L1505" s="17"/>
      <c r="M1505" s="16"/>
    </row>
    <row r="1506" spans="1:13" s="23" customFormat="1" ht="47.25">
      <c r="A1506" s="21"/>
      <c r="B1506" s="127" t="s">
        <v>487</v>
      </c>
      <c r="C1506" s="109" t="s">
        <v>406</v>
      </c>
      <c r="D1506" s="108" t="s">
        <v>342</v>
      </c>
      <c r="E1506" s="108" t="s">
        <v>86</v>
      </c>
      <c r="F1506" s="308" t="s">
        <v>744</v>
      </c>
      <c r="G1506" s="308" t="s">
        <v>145</v>
      </c>
      <c r="H1506" s="126">
        <v>1928371.65</v>
      </c>
      <c r="I1506" s="308">
        <v>7810011010</v>
      </c>
      <c r="J1506" s="308" t="str">
        <f t="shared" si="98"/>
        <v>7810011010</v>
      </c>
      <c r="K1506" s="304" t="str">
        <f t="shared" si="99"/>
        <v>61111057810011010119</v>
      </c>
      <c r="L1506" s="17"/>
      <c r="M1506" s="16"/>
    </row>
    <row r="1507" spans="1:13" s="16" customFormat="1" ht="31.5">
      <c r="A1507" s="14"/>
      <c r="B1507" s="125" t="s">
        <v>28</v>
      </c>
      <c r="C1507" s="109" t="s">
        <v>406</v>
      </c>
      <c r="D1507" s="108" t="s">
        <v>342</v>
      </c>
      <c r="E1507" s="108" t="s">
        <v>86</v>
      </c>
      <c r="F1507" s="308" t="s">
        <v>744</v>
      </c>
      <c r="G1507" s="308" t="s">
        <v>29</v>
      </c>
      <c r="H1507" s="126">
        <v>1140000</v>
      </c>
      <c r="I1507" s="308">
        <v>7810011010</v>
      </c>
      <c r="J1507" s="308" t="str">
        <f t="shared" si="98"/>
        <v>7810011010</v>
      </c>
      <c r="K1507" s="304" t="str">
        <f t="shared" si="99"/>
        <v>61111057810011010240</v>
      </c>
      <c r="L1507" s="17" t="str">
        <f>INDEX('реш СГД № 265'!$A:$N,MATCH('БА расх 2018 31 12 2018'!$K1507,'реш СГД № 265'!$N:$N,0),3)</f>
        <v>Иные закупки товаров, работ и услуг для обеспечения государственных (муниципальных) нужд</v>
      </c>
      <c r="M1507" s="16">
        <f t="shared" si="100"/>
        <v>1</v>
      </c>
    </row>
    <row r="1508" spans="1:13" s="16" customFormat="1" ht="15.75">
      <c r="A1508" s="14"/>
      <c r="B1508" s="125" t="s">
        <v>30</v>
      </c>
      <c r="C1508" s="109" t="s">
        <v>406</v>
      </c>
      <c r="D1508" s="108" t="s">
        <v>342</v>
      </c>
      <c r="E1508" s="108" t="s">
        <v>86</v>
      </c>
      <c r="F1508" s="308" t="s">
        <v>744</v>
      </c>
      <c r="G1508" s="308" t="s">
        <v>31</v>
      </c>
      <c r="H1508" s="126">
        <v>1140000</v>
      </c>
      <c r="I1508" s="308">
        <v>7810011010</v>
      </c>
      <c r="J1508" s="308" t="str">
        <f t="shared" si="98"/>
        <v>7810011010</v>
      </c>
      <c r="K1508" s="304" t="str">
        <f t="shared" si="99"/>
        <v>61111057810011010244</v>
      </c>
      <c r="L1508" s="17"/>
    </row>
    <row r="1509" spans="1:13" s="16" customFormat="1" ht="267.75">
      <c r="A1509" s="14"/>
      <c r="B1509" s="125" t="s">
        <v>2269</v>
      </c>
      <c r="C1509" s="109" t="s">
        <v>406</v>
      </c>
      <c r="D1509" s="131" t="s">
        <v>342</v>
      </c>
      <c r="E1509" s="131" t="s">
        <v>11</v>
      </c>
      <c r="F1509" s="108" t="s">
        <v>1308</v>
      </c>
      <c r="G1509" s="108" t="s">
        <v>9</v>
      </c>
      <c r="H1509" s="126">
        <v>563001.19000000006</v>
      </c>
      <c r="I1509" s="308">
        <v>7810077460</v>
      </c>
      <c r="J1509" s="308" t="str">
        <f t="shared" si="98"/>
        <v>7810077460</v>
      </c>
      <c r="K1509" s="304" t="str">
        <f t="shared" si="99"/>
        <v>61111017810077460000</v>
      </c>
      <c r="L1509" s="132" t="e">
        <f>INDEX('реш СГД № 265'!$A:$N,MATCH('БА расх 2018 31 12 2018'!$K1509,'реш СГД № 265'!$N:$N,0),3)</f>
        <v>#N/A</v>
      </c>
      <c r="M1509" s="17" t="e">
        <f t="shared" si="100"/>
        <v>#N/A</v>
      </c>
    </row>
    <row r="1510" spans="1:13" s="16" customFormat="1" ht="15.75">
      <c r="A1510" s="14"/>
      <c r="B1510" s="306" t="s">
        <v>138</v>
      </c>
      <c r="C1510" s="109" t="s">
        <v>406</v>
      </c>
      <c r="D1510" s="108" t="s">
        <v>342</v>
      </c>
      <c r="E1510" s="108" t="s">
        <v>86</v>
      </c>
      <c r="F1510" s="108" t="s">
        <v>1308</v>
      </c>
      <c r="G1510" s="308" t="s">
        <v>139</v>
      </c>
      <c r="H1510" s="126">
        <v>332199.14</v>
      </c>
      <c r="I1510" s="308">
        <v>7810077460</v>
      </c>
      <c r="J1510" s="308" t="str">
        <f t="shared" si="98"/>
        <v>7810077460</v>
      </c>
      <c r="K1510" s="304" t="str">
        <f t="shared" si="99"/>
        <v>61111057810077460110</v>
      </c>
      <c r="L1510" s="17" t="str">
        <f>INDEX('реш СГД № 265'!$A:$N,MATCH('БА расх 2018 31 12 2018'!$K1510,'реш СГД № 265'!$N:$N,0),3)</f>
        <v>Расходы на выплаты персоналу казенных учреждений</v>
      </c>
      <c r="M1510" s="16">
        <f t="shared" si="100"/>
        <v>1</v>
      </c>
    </row>
    <row r="1511" spans="1:13" s="16" customFormat="1" ht="15.75">
      <c r="A1511" s="14"/>
      <c r="B1511" s="127" t="s">
        <v>140</v>
      </c>
      <c r="C1511" s="109" t="s">
        <v>406</v>
      </c>
      <c r="D1511" s="108" t="s">
        <v>342</v>
      </c>
      <c r="E1511" s="108" t="s">
        <v>86</v>
      </c>
      <c r="F1511" s="108" t="s">
        <v>1308</v>
      </c>
      <c r="G1511" s="308" t="s">
        <v>141</v>
      </c>
      <c r="H1511" s="126">
        <v>255145.27</v>
      </c>
      <c r="I1511" s="308">
        <v>7810077460</v>
      </c>
      <c r="J1511" s="308" t="str">
        <f t="shared" si="98"/>
        <v>7810077460</v>
      </c>
      <c r="K1511" s="304" t="str">
        <f t="shared" si="99"/>
        <v>61111057810077460111</v>
      </c>
      <c r="L1511" s="17"/>
    </row>
    <row r="1512" spans="1:13" s="16" customFormat="1" ht="47.25">
      <c r="A1512" s="14"/>
      <c r="B1512" s="127" t="s">
        <v>487</v>
      </c>
      <c r="C1512" s="109" t="s">
        <v>406</v>
      </c>
      <c r="D1512" s="108" t="s">
        <v>342</v>
      </c>
      <c r="E1512" s="108" t="s">
        <v>86</v>
      </c>
      <c r="F1512" s="108" t="s">
        <v>1308</v>
      </c>
      <c r="G1512" s="308" t="s">
        <v>145</v>
      </c>
      <c r="H1512" s="126">
        <v>77053.87</v>
      </c>
      <c r="I1512" s="308">
        <v>7810077460</v>
      </c>
      <c r="J1512" s="308" t="str">
        <f t="shared" si="98"/>
        <v>7810077460</v>
      </c>
      <c r="K1512" s="304" t="str">
        <f t="shared" si="99"/>
        <v>61111057810077460119</v>
      </c>
      <c r="L1512" s="17"/>
    </row>
    <row r="1513" spans="1:13" s="16" customFormat="1" ht="31.5">
      <c r="A1513" s="14"/>
      <c r="B1513" s="127" t="s">
        <v>20</v>
      </c>
      <c r="C1513" s="109" t="s">
        <v>406</v>
      </c>
      <c r="D1513" s="108" t="s">
        <v>342</v>
      </c>
      <c r="E1513" s="108" t="s">
        <v>86</v>
      </c>
      <c r="F1513" s="108" t="s">
        <v>1308</v>
      </c>
      <c r="G1513" s="108" t="s">
        <v>21</v>
      </c>
      <c r="H1513" s="126">
        <v>230802.05000000002</v>
      </c>
      <c r="I1513" s="308">
        <v>7810077460</v>
      </c>
      <c r="J1513" s="308" t="str">
        <f t="shared" si="98"/>
        <v>7810077460</v>
      </c>
      <c r="K1513" s="304" t="str">
        <f t="shared" si="99"/>
        <v>61111057810077460120</v>
      </c>
      <c r="L1513" s="17" t="str">
        <f>INDEX('реш СГД № 265'!$A:$N,MATCH('БА расх 2018 31 12 2018'!$K1513,'реш СГД № 265'!$N:$N,0),3)</f>
        <v>Расходы на выплаты персоналу государственных (муниципальных) органов</v>
      </c>
      <c r="M1513" s="16">
        <f t="shared" si="100"/>
        <v>1</v>
      </c>
    </row>
    <row r="1514" spans="1:13" s="16" customFormat="1" ht="31.5">
      <c r="A1514" s="14"/>
      <c r="B1514" s="127" t="s">
        <v>40</v>
      </c>
      <c r="C1514" s="109" t="s">
        <v>406</v>
      </c>
      <c r="D1514" s="108" t="s">
        <v>342</v>
      </c>
      <c r="E1514" s="108" t="s">
        <v>86</v>
      </c>
      <c r="F1514" s="108" t="s">
        <v>1308</v>
      </c>
      <c r="G1514" s="108" t="s">
        <v>41</v>
      </c>
      <c r="H1514" s="126">
        <v>177267.32</v>
      </c>
      <c r="I1514" s="308">
        <v>7810077460</v>
      </c>
      <c r="J1514" s="308" t="str">
        <f t="shared" si="98"/>
        <v>7810077460</v>
      </c>
      <c r="K1514" s="304" t="str">
        <f t="shared" si="99"/>
        <v>61111057810077460121</v>
      </c>
      <c r="L1514" s="17"/>
    </row>
    <row r="1515" spans="1:13" s="16" customFormat="1" ht="47.25">
      <c r="A1515" s="14"/>
      <c r="B1515" s="127" t="s">
        <v>26</v>
      </c>
      <c r="C1515" s="109" t="s">
        <v>406</v>
      </c>
      <c r="D1515" s="108" t="s">
        <v>342</v>
      </c>
      <c r="E1515" s="108" t="s">
        <v>86</v>
      </c>
      <c r="F1515" s="108" t="s">
        <v>1308</v>
      </c>
      <c r="G1515" s="108" t="s">
        <v>27</v>
      </c>
      <c r="H1515" s="126">
        <v>53534.73</v>
      </c>
      <c r="I1515" s="308">
        <v>7810077460</v>
      </c>
      <c r="J1515" s="308" t="str">
        <f t="shared" si="98"/>
        <v>7810077460</v>
      </c>
      <c r="K1515" s="304" t="str">
        <f t="shared" si="99"/>
        <v>61111057810077460129</v>
      </c>
      <c r="L1515" s="17"/>
    </row>
    <row r="1516" spans="1:13" s="16" customFormat="1" ht="236.25">
      <c r="A1516" s="14"/>
      <c r="B1516" s="164" t="s">
        <v>2247</v>
      </c>
      <c r="C1516" s="109" t="s">
        <v>406</v>
      </c>
      <c r="D1516" s="108" t="s">
        <v>342</v>
      </c>
      <c r="E1516" s="108" t="s">
        <v>86</v>
      </c>
      <c r="F1516" s="108" t="s">
        <v>2288</v>
      </c>
      <c r="G1516" s="108" t="s">
        <v>9</v>
      </c>
      <c r="H1516" s="126">
        <v>17410.34</v>
      </c>
      <c r="I1516" s="308">
        <v>7810077580</v>
      </c>
      <c r="J1516" s="108" t="str">
        <f t="shared" si="98"/>
        <v>7810077580</v>
      </c>
      <c r="K1516" s="304" t="str">
        <f t="shared" si="99"/>
        <v>61111057810077580000</v>
      </c>
      <c r="L1516" s="17"/>
    </row>
    <row r="1517" spans="1:13" s="16" customFormat="1" ht="31.5">
      <c r="A1517" s="14"/>
      <c r="B1517" s="127" t="s">
        <v>20</v>
      </c>
      <c r="C1517" s="109" t="s">
        <v>406</v>
      </c>
      <c r="D1517" s="108" t="s">
        <v>342</v>
      </c>
      <c r="E1517" s="108" t="s">
        <v>86</v>
      </c>
      <c r="F1517" s="108" t="s">
        <v>2288</v>
      </c>
      <c r="G1517" s="108" t="s">
        <v>21</v>
      </c>
      <c r="H1517" s="126">
        <v>17410.34</v>
      </c>
      <c r="I1517" s="308">
        <v>7810077580</v>
      </c>
      <c r="J1517" s="108" t="str">
        <f t="shared" si="98"/>
        <v>7810077580</v>
      </c>
      <c r="K1517" s="304" t="str">
        <f t="shared" si="99"/>
        <v>61111057810077580120</v>
      </c>
      <c r="L1517" s="17"/>
    </row>
    <row r="1518" spans="1:13" s="16" customFormat="1" ht="31.5">
      <c r="A1518" s="14"/>
      <c r="B1518" s="125" t="s">
        <v>40</v>
      </c>
      <c r="C1518" s="109" t="s">
        <v>406</v>
      </c>
      <c r="D1518" s="108" t="s">
        <v>342</v>
      </c>
      <c r="E1518" s="108" t="s">
        <v>86</v>
      </c>
      <c r="F1518" s="108" t="s">
        <v>2288</v>
      </c>
      <c r="G1518" s="108" t="s">
        <v>41</v>
      </c>
      <c r="H1518" s="126">
        <v>13372</v>
      </c>
      <c r="I1518" s="308">
        <v>7810077580</v>
      </c>
      <c r="J1518" s="108" t="str">
        <f t="shared" si="98"/>
        <v>7810077580</v>
      </c>
      <c r="K1518" s="344" t="str">
        <f t="shared" si="99"/>
        <v>61111057810077580121</v>
      </c>
      <c r="L1518" s="17"/>
    </row>
    <row r="1519" spans="1:13" s="16" customFormat="1" ht="47.25">
      <c r="A1519" s="14"/>
      <c r="B1519" s="125" t="s">
        <v>26</v>
      </c>
      <c r="C1519" s="109" t="s">
        <v>406</v>
      </c>
      <c r="D1519" s="108" t="s">
        <v>342</v>
      </c>
      <c r="E1519" s="108" t="s">
        <v>86</v>
      </c>
      <c r="F1519" s="108" t="s">
        <v>2288</v>
      </c>
      <c r="G1519" s="108" t="s">
        <v>27</v>
      </c>
      <c r="H1519" s="126">
        <v>4038.34</v>
      </c>
      <c r="I1519" s="308">
        <v>7810077580</v>
      </c>
      <c r="J1519" s="108" t="str">
        <f t="shared" si="98"/>
        <v>7810077580</v>
      </c>
      <c r="K1519" s="344" t="str">
        <f t="shared" si="99"/>
        <v>61111057810077580129</v>
      </c>
      <c r="L1519" s="17"/>
    </row>
    <row r="1520" spans="1:13" s="16" customFormat="1" ht="15.75">
      <c r="A1520" s="14"/>
      <c r="B1520" s="127"/>
      <c r="C1520" s="109"/>
      <c r="D1520" s="108"/>
      <c r="E1520" s="108"/>
      <c r="F1520" s="108"/>
      <c r="G1520" s="108"/>
      <c r="H1520" s="126"/>
      <c r="I1520" s="108"/>
      <c r="J1520" s="108" t="str">
        <f t="shared" si="98"/>
        <v>0000000000</v>
      </c>
      <c r="K1520" s="304" t="str">
        <f t="shared" si="99"/>
        <v>0000000000</v>
      </c>
      <c r="L1520" s="17">
        <f>INDEX('реш СГД № 265'!$A:$N,MATCH('БА расх 2018 31 12 2018'!$K1520,'реш СГД № 265'!$N:$N,0),3)</f>
        <v>0</v>
      </c>
      <c r="M1520" s="16">
        <f t="shared" si="100"/>
        <v>1</v>
      </c>
    </row>
    <row r="1521" spans="1:13" s="16" customFormat="1" ht="15.75">
      <c r="A1521" s="14"/>
      <c r="B1521" s="67" t="s">
        <v>745</v>
      </c>
      <c r="C1521" s="116" t="s">
        <v>746</v>
      </c>
      <c r="D1521" s="69" t="s">
        <v>7</v>
      </c>
      <c r="E1521" s="69" t="s">
        <v>7</v>
      </c>
      <c r="F1521" s="69" t="s">
        <v>8</v>
      </c>
      <c r="G1521" s="69" t="s">
        <v>9</v>
      </c>
      <c r="H1521" s="70">
        <v>152885742.53</v>
      </c>
      <c r="I1521" s="69">
        <v>0</v>
      </c>
      <c r="J1521" s="108" t="str">
        <f t="shared" si="98"/>
        <v>0000000000</v>
      </c>
      <c r="K1521" s="304" t="str">
        <f t="shared" si="99"/>
        <v>61700000000000000000</v>
      </c>
      <c r="L1521" s="17" t="str">
        <f>INDEX('реш СГД № 265'!$A:$N,MATCH('БА расх 2018 31 12 2018'!$K1521,'реш СГД № 265'!$N:$N,0),3)</f>
        <v>Администрация Ленинского района города Ставрополя</v>
      </c>
      <c r="M1521" s="16">
        <f t="shared" si="100"/>
        <v>1</v>
      </c>
    </row>
    <row r="1522" spans="1:13" s="16" customFormat="1" ht="15.75">
      <c r="A1522" s="14"/>
      <c r="B1522" s="117" t="s">
        <v>10</v>
      </c>
      <c r="C1522" s="118" t="s">
        <v>746</v>
      </c>
      <c r="D1522" s="119" t="s">
        <v>11</v>
      </c>
      <c r="E1522" s="119" t="s">
        <v>7</v>
      </c>
      <c r="F1522" s="119" t="s">
        <v>8</v>
      </c>
      <c r="G1522" s="119" t="s">
        <v>9</v>
      </c>
      <c r="H1522" s="120">
        <v>36485622.710000008</v>
      </c>
      <c r="I1522" s="119">
        <v>0</v>
      </c>
      <c r="J1522" s="108" t="str">
        <f t="shared" si="98"/>
        <v>0000000000</v>
      </c>
      <c r="K1522" s="304" t="str">
        <f t="shared" si="99"/>
        <v>61701000000000000000</v>
      </c>
      <c r="L1522" s="17" t="str">
        <f>INDEX('реш СГД № 265'!$A:$N,MATCH('БА расх 2018 31 12 2018'!$K1522,'реш СГД № 265'!$N:$N,0),3)</f>
        <v>Общегосударственные вопросы</v>
      </c>
      <c r="M1522" s="16">
        <f t="shared" si="100"/>
        <v>1</v>
      </c>
    </row>
    <row r="1523" spans="1:13" s="16" customFormat="1" ht="47.25">
      <c r="A1523" s="14"/>
      <c r="B1523" s="121" t="s">
        <v>72</v>
      </c>
      <c r="C1523" s="122" t="s">
        <v>746</v>
      </c>
      <c r="D1523" s="123" t="s">
        <v>11</v>
      </c>
      <c r="E1523" s="123" t="s">
        <v>73</v>
      </c>
      <c r="F1523" s="123" t="s">
        <v>8</v>
      </c>
      <c r="G1523" s="123" t="s">
        <v>9</v>
      </c>
      <c r="H1523" s="124">
        <v>34675238.080000006</v>
      </c>
      <c r="I1523" s="123">
        <v>0</v>
      </c>
      <c r="J1523" s="108" t="str">
        <f t="shared" si="98"/>
        <v>0000000000</v>
      </c>
      <c r="K1523" s="304" t="str">
        <f t="shared" si="99"/>
        <v>61701040000000000000</v>
      </c>
      <c r="L1523" s="17" t="str">
        <f>INDEX('реш СГД № 265'!$A:$N,MATCH('БА расх 2018 31 12 2018'!$K1523,'реш СГД № 265'!$N:$N,0),3)</f>
        <v>Функционирование Правительства Российской Федерации, высших исполнительных органов государственной власти субъектов Российской Федерации, местных администраций</v>
      </c>
      <c r="M1523" s="16">
        <f t="shared" si="100"/>
        <v>1</v>
      </c>
    </row>
    <row r="1524" spans="1:13" s="16" customFormat="1" ht="31.5">
      <c r="A1524" s="14"/>
      <c r="B1524" s="140" t="s">
        <v>747</v>
      </c>
      <c r="C1524" s="130" t="s">
        <v>746</v>
      </c>
      <c r="D1524" s="131" t="s">
        <v>11</v>
      </c>
      <c r="E1524" s="131" t="s">
        <v>73</v>
      </c>
      <c r="F1524" s="131" t="s">
        <v>748</v>
      </c>
      <c r="G1524" s="131" t="s">
        <v>9</v>
      </c>
      <c r="H1524" s="105">
        <v>34675238.080000006</v>
      </c>
      <c r="I1524" s="131">
        <v>8000000000</v>
      </c>
      <c r="J1524" s="108" t="str">
        <f t="shared" si="98"/>
        <v>8000000000</v>
      </c>
      <c r="K1524" s="304" t="str">
        <f t="shared" si="99"/>
        <v>61701048000000000000</v>
      </c>
      <c r="L1524" s="17" t="str">
        <f>INDEX('реш СГД № 265'!$A:$N,MATCH('БА расх 2018 31 12 2018'!$K1524,'реш СГД № 265'!$N:$N,0),3)</f>
        <v>Обеспечение деятельности администрации Ленинского района города Ставрополя</v>
      </c>
      <c r="M1524" s="16">
        <f t="shared" si="100"/>
        <v>1</v>
      </c>
    </row>
    <row r="1525" spans="1:13" s="16" customFormat="1" ht="31.5">
      <c r="A1525" s="14"/>
      <c r="B1525" s="140" t="s">
        <v>749</v>
      </c>
      <c r="C1525" s="130" t="s">
        <v>746</v>
      </c>
      <c r="D1525" s="131" t="s">
        <v>11</v>
      </c>
      <c r="E1525" s="131" t="s">
        <v>73</v>
      </c>
      <c r="F1525" s="131" t="s">
        <v>750</v>
      </c>
      <c r="G1525" s="131" t="s">
        <v>9</v>
      </c>
      <c r="H1525" s="105">
        <v>34675238.080000006</v>
      </c>
      <c r="I1525" s="131">
        <v>8010000000</v>
      </c>
      <c r="J1525" s="108" t="str">
        <f t="shared" si="98"/>
        <v>8010000000</v>
      </c>
      <c r="K1525" s="304" t="str">
        <f t="shared" si="99"/>
        <v>61701048010000000000</v>
      </c>
      <c r="L1525" s="17" t="str">
        <f>INDEX('реш СГД № 265'!$A:$N,MATCH('БА расх 2018 31 12 2018'!$K1525,'реш СГД № 265'!$N:$N,0),3)</f>
        <v>Непрограммные расходы в рамках обеспечения деятельности администрации Ленинского района города Ставрополя</v>
      </c>
      <c r="M1525" s="16">
        <f t="shared" si="100"/>
        <v>1</v>
      </c>
    </row>
    <row r="1526" spans="1:13" s="16" customFormat="1" ht="31.5">
      <c r="A1526" s="14"/>
      <c r="B1526" s="125" t="s">
        <v>18</v>
      </c>
      <c r="C1526" s="130" t="s">
        <v>746</v>
      </c>
      <c r="D1526" s="131" t="s">
        <v>11</v>
      </c>
      <c r="E1526" s="131" t="s">
        <v>73</v>
      </c>
      <c r="F1526" s="131" t="s">
        <v>751</v>
      </c>
      <c r="G1526" s="131" t="s">
        <v>9</v>
      </c>
      <c r="H1526" s="105">
        <v>4101704.39</v>
      </c>
      <c r="I1526" s="131">
        <v>8010010010</v>
      </c>
      <c r="J1526" s="131" t="str">
        <f t="shared" si="98"/>
        <v>8010010010</v>
      </c>
      <c r="K1526" s="304" t="str">
        <f t="shared" si="99"/>
        <v>61701048010010010000</v>
      </c>
      <c r="L1526" s="17" t="str">
        <f>INDEX('реш СГД № 265'!$A:$N,MATCH('БА расх 2018 31 12 2018'!$K1526,'реш СГД № 265'!$N:$N,0),3)</f>
        <v>Расходы на обеспечение функций органов местного самоуправления города Ставрополя</v>
      </c>
      <c r="M1526" s="16">
        <f t="shared" si="100"/>
        <v>1</v>
      </c>
    </row>
    <row r="1527" spans="1:13" s="16" customFormat="1" ht="31.5">
      <c r="A1527" s="14"/>
      <c r="B1527" s="127" t="s">
        <v>20</v>
      </c>
      <c r="C1527" s="130" t="s">
        <v>746</v>
      </c>
      <c r="D1527" s="131" t="s">
        <v>11</v>
      </c>
      <c r="E1527" s="131" t="s">
        <v>73</v>
      </c>
      <c r="F1527" s="131" t="s">
        <v>751</v>
      </c>
      <c r="G1527" s="131" t="s">
        <v>21</v>
      </c>
      <c r="H1527" s="126">
        <v>575154.39</v>
      </c>
      <c r="I1527" s="131">
        <v>8010010010</v>
      </c>
      <c r="J1527" s="131" t="str">
        <f t="shared" si="98"/>
        <v>8010010010</v>
      </c>
      <c r="K1527" s="304" t="str">
        <f t="shared" si="99"/>
        <v>61701048010010010120</v>
      </c>
      <c r="L1527" s="17" t="str">
        <f>INDEX('реш СГД № 265'!$A:$N,MATCH('БА расх 2018 31 12 2018'!$K1527,'реш СГД № 265'!$N:$N,0),3)</f>
        <v>Расходы на выплаты персоналу государственных (муниципальных) органов</v>
      </c>
      <c r="M1527" s="16">
        <f t="shared" si="100"/>
        <v>1</v>
      </c>
    </row>
    <row r="1528" spans="1:13" s="23" customFormat="1" ht="31.5">
      <c r="A1528" s="21"/>
      <c r="B1528" s="127" t="s">
        <v>22</v>
      </c>
      <c r="C1528" s="130" t="s">
        <v>746</v>
      </c>
      <c r="D1528" s="131" t="s">
        <v>11</v>
      </c>
      <c r="E1528" s="131" t="s">
        <v>73</v>
      </c>
      <c r="F1528" s="131" t="s">
        <v>751</v>
      </c>
      <c r="G1528" s="108" t="s">
        <v>23</v>
      </c>
      <c r="H1528" s="126">
        <v>444154.56</v>
      </c>
      <c r="I1528" s="131">
        <v>8010010010</v>
      </c>
      <c r="J1528" s="131" t="str">
        <f t="shared" si="98"/>
        <v>8010010010</v>
      </c>
      <c r="K1528" s="304" t="str">
        <f t="shared" si="99"/>
        <v>61701048010010010122</v>
      </c>
      <c r="L1528" s="17"/>
      <c r="M1528" s="16"/>
    </row>
    <row r="1529" spans="1:13" s="23" customFormat="1" ht="47.25">
      <c r="A1529" s="21"/>
      <c r="B1529" s="127" t="s">
        <v>26</v>
      </c>
      <c r="C1529" s="130" t="s">
        <v>746</v>
      </c>
      <c r="D1529" s="131" t="s">
        <v>11</v>
      </c>
      <c r="E1529" s="131" t="s">
        <v>73</v>
      </c>
      <c r="F1529" s="131" t="s">
        <v>751</v>
      </c>
      <c r="G1529" s="108" t="s">
        <v>27</v>
      </c>
      <c r="H1529" s="126">
        <v>130999.83</v>
      </c>
      <c r="I1529" s="131">
        <v>8010010010</v>
      </c>
      <c r="J1529" s="131" t="str">
        <f t="shared" si="98"/>
        <v>8010010010</v>
      </c>
      <c r="K1529" s="304" t="str">
        <f t="shared" si="99"/>
        <v>61701048010010010129</v>
      </c>
      <c r="L1529" s="17"/>
      <c r="M1529" s="16"/>
    </row>
    <row r="1530" spans="1:13" s="16" customFormat="1" ht="31.5">
      <c r="A1530" s="14"/>
      <c r="B1530" s="125" t="s">
        <v>28</v>
      </c>
      <c r="C1530" s="130" t="s">
        <v>746</v>
      </c>
      <c r="D1530" s="131" t="s">
        <v>11</v>
      </c>
      <c r="E1530" s="131" t="s">
        <v>73</v>
      </c>
      <c r="F1530" s="131" t="s">
        <v>751</v>
      </c>
      <c r="G1530" s="131" t="s">
        <v>29</v>
      </c>
      <c r="H1530" s="126">
        <v>3418410.47</v>
      </c>
      <c r="I1530" s="131">
        <v>8010010010</v>
      </c>
      <c r="J1530" s="131" t="str">
        <f t="shared" si="98"/>
        <v>8010010010</v>
      </c>
      <c r="K1530" s="304" t="str">
        <f t="shared" si="99"/>
        <v>61701048010010010240</v>
      </c>
      <c r="L1530" s="17" t="str">
        <f>INDEX('реш СГД № 265'!$A:$N,MATCH('БА расх 2018 31 12 2018'!$K1530,'реш СГД № 265'!$N:$N,0),3)</f>
        <v>Иные закупки товаров, работ и услуг для обеспечения государственных (муниципальных) нужд</v>
      </c>
      <c r="M1530" s="16">
        <f t="shared" si="100"/>
        <v>1</v>
      </c>
    </row>
    <row r="1531" spans="1:13" s="16" customFormat="1" ht="15.75">
      <c r="A1531" s="14"/>
      <c r="B1531" s="125" t="s">
        <v>30</v>
      </c>
      <c r="C1531" s="130" t="s">
        <v>746</v>
      </c>
      <c r="D1531" s="131" t="s">
        <v>11</v>
      </c>
      <c r="E1531" s="131" t="s">
        <v>73</v>
      </c>
      <c r="F1531" s="131" t="s">
        <v>751</v>
      </c>
      <c r="G1531" s="131" t="s">
        <v>31</v>
      </c>
      <c r="H1531" s="126">
        <v>3418410.47</v>
      </c>
      <c r="I1531" s="131">
        <v>8010010010</v>
      </c>
      <c r="J1531" s="131" t="str">
        <f t="shared" si="98"/>
        <v>8010010010</v>
      </c>
      <c r="K1531" s="304" t="str">
        <f t="shared" si="99"/>
        <v>61701048010010010244</v>
      </c>
      <c r="L1531" s="17"/>
    </row>
    <row r="1532" spans="1:13" s="16" customFormat="1" ht="15.75">
      <c r="A1532" s="14"/>
      <c r="B1532" s="125" t="s">
        <v>32</v>
      </c>
      <c r="C1532" s="130" t="s">
        <v>746</v>
      </c>
      <c r="D1532" s="131" t="s">
        <v>11</v>
      </c>
      <c r="E1532" s="131" t="s">
        <v>73</v>
      </c>
      <c r="F1532" s="131" t="s">
        <v>751</v>
      </c>
      <c r="G1532" s="131" t="s">
        <v>33</v>
      </c>
      <c r="H1532" s="126">
        <v>108139.53</v>
      </c>
      <c r="I1532" s="131">
        <v>8010010010</v>
      </c>
      <c r="J1532" s="131" t="str">
        <f t="shared" si="98"/>
        <v>8010010010</v>
      </c>
      <c r="K1532" s="304" t="str">
        <f t="shared" si="99"/>
        <v>61701048010010010850</v>
      </c>
      <c r="L1532" s="17" t="str">
        <f>INDEX('реш СГД № 265'!$A:$N,MATCH('БА расх 2018 31 12 2018'!$K1532,'реш СГД № 265'!$N:$N,0),3)</f>
        <v>Уплата налогов, сборов и иных платежей</v>
      </c>
      <c r="M1532" s="16">
        <f t="shared" si="100"/>
        <v>1</v>
      </c>
    </row>
    <row r="1533" spans="1:13" s="23" customFormat="1" ht="31.5">
      <c r="A1533" s="21"/>
      <c r="B1533" s="127" t="s">
        <v>34</v>
      </c>
      <c r="C1533" s="130" t="s">
        <v>746</v>
      </c>
      <c r="D1533" s="131" t="s">
        <v>11</v>
      </c>
      <c r="E1533" s="131" t="s">
        <v>73</v>
      </c>
      <c r="F1533" s="131" t="s">
        <v>751</v>
      </c>
      <c r="G1533" s="108" t="s">
        <v>35</v>
      </c>
      <c r="H1533" s="126">
        <v>90459</v>
      </c>
      <c r="I1533" s="131">
        <v>8010010010</v>
      </c>
      <c r="J1533" s="131" t="str">
        <f t="shared" si="98"/>
        <v>8010010010</v>
      </c>
      <c r="K1533" s="304" t="str">
        <f t="shared" si="99"/>
        <v>61701048010010010851</v>
      </c>
      <c r="L1533" s="17"/>
      <c r="M1533" s="16"/>
    </row>
    <row r="1534" spans="1:13" s="23" customFormat="1" ht="15.75">
      <c r="A1534" s="21"/>
      <c r="B1534" s="127" t="s">
        <v>36</v>
      </c>
      <c r="C1534" s="130" t="s">
        <v>746</v>
      </c>
      <c r="D1534" s="131" t="s">
        <v>11</v>
      </c>
      <c r="E1534" s="131" t="s">
        <v>73</v>
      </c>
      <c r="F1534" s="131" t="s">
        <v>751</v>
      </c>
      <c r="G1534" s="108" t="s">
        <v>37</v>
      </c>
      <c r="H1534" s="126">
        <v>17449</v>
      </c>
      <c r="I1534" s="131">
        <v>8010010010</v>
      </c>
      <c r="J1534" s="131" t="str">
        <f t="shared" si="98"/>
        <v>8010010010</v>
      </c>
      <c r="K1534" s="304" t="str">
        <f t="shared" si="99"/>
        <v>61701048010010010852</v>
      </c>
      <c r="L1534" s="17"/>
      <c r="M1534" s="16"/>
    </row>
    <row r="1535" spans="1:13" s="23" customFormat="1" ht="15.75">
      <c r="A1535" s="21"/>
      <c r="B1535" s="127" t="s">
        <v>77</v>
      </c>
      <c r="C1535" s="130" t="s">
        <v>746</v>
      </c>
      <c r="D1535" s="131" t="s">
        <v>11</v>
      </c>
      <c r="E1535" s="131" t="s">
        <v>73</v>
      </c>
      <c r="F1535" s="131" t="s">
        <v>751</v>
      </c>
      <c r="G1535" s="108" t="s">
        <v>78</v>
      </c>
      <c r="H1535" s="126">
        <v>231.53</v>
      </c>
      <c r="I1535" s="131">
        <v>8010010010</v>
      </c>
      <c r="J1535" s="131" t="str">
        <f t="shared" si="98"/>
        <v>8010010010</v>
      </c>
      <c r="K1535" s="304" t="str">
        <f t="shared" si="99"/>
        <v>61701048010010010853</v>
      </c>
      <c r="L1535" s="17"/>
      <c r="M1535" s="16"/>
    </row>
    <row r="1536" spans="1:13" s="16" customFormat="1" ht="31.5">
      <c r="A1536" s="14"/>
      <c r="B1536" s="125" t="s">
        <v>38</v>
      </c>
      <c r="C1536" s="130" t="s">
        <v>746</v>
      </c>
      <c r="D1536" s="131" t="s">
        <v>11</v>
      </c>
      <c r="E1536" s="131" t="s">
        <v>73</v>
      </c>
      <c r="F1536" s="131" t="s">
        <v>752</v>
      </c>
      <c r="G1536" s="131" t="s">
        <v>9</v>
      </c>
      <c r="H1536" s="126">
        <v>28473712.91</v>
      </c>
      <c r="I1536" s="131">
        <v>8010010020</v>
      </c>
      <c r="J1536" s="131" t="str">
        <f t="shared" si="98"/>
        <v>8010010020</v>
      </c>
      <c r="K1536" s="304" t="str">
        <f t="shared" si="99"/>
        <v>61701048010010020000</v>
      </c>
      <c r="L1536" s="17" t="str">
        <f>INDEX('реш СГД № 265'!$A:$N,MATCH('БА расх 2018 31 12 2018'!$K1536,'реш СГД № 265'!$N:$N,0),3)</f>
        <v>Расходы на выплаты по оплате труда работников органов местного самоуправления города Ставрополя</v>
      </c>
      <c r="M1536" s="16">
        <f t="shared" si="100"/>
        <v>1</v>
      </c>
    </row>
    <row r="1537" spans="1:13" s="16" customFormat="1" ht="31.5">
      <c r="A1537" s="14"/>
      <c r="B1537" s="127" t="s">
        <v>20</v>
      </c>
      <c r="C1537" s="130" t="s">
        <v>746</v>
      </c>
      <c r="D1537" s="131" t="s">
        <v>11</v>
      </c>
      <c r="E1537" s="131" t="s">
        <v>73</v>
      </c>
      <c r="F1537" s="131" t="s">
        <v>752</v>
      </c>
      <c r="G1537" s="131" t="s">
        <v>21</v>
      </c>
      <c r="H1537" s="126">
        <v>28473712.91</v>
      </c>
      <c r="I1537" s="131">
        <v>8010010020</v>
      </c>
      <c r="J1537" s="131" t="str">
        <f t="shared" si="98"/>
        <v>8010010020</v>
      </c>
      <c r="K1537" s="304" t="str">
        <f t="shared" si="99"/>
        <v>61701048010010020120</v>
      </c>
      <c r="L1537" s="17" t="str">
        <f>INDEX('реш СГД № 265'!$A:$N,MATCH('БА расх 2018 31 12 2018'!$K1537,'реш СГД № 265'!$N:$N,0),3)</f>
        <v>Расходы на выплаты персоналу государственных (муниципальных) органов</v>
      </c>
      <c r="M1537" s="16">
        <f t="shared" si="100"/>
        <v>1</v>
      </c>
    </row>
    <row r="1538" spans="1:13" s="23" customFormat="1" ht="31.5">
      <c r="A1538" s="21"/>
      <c r="B1538" s="127" t="s">
        <v>40</v>
      </c>
      <c r="C1538" s="130" t="s">
        <v>746</v>
      </c>
      <c r="D1538" s="131" t="s">
        <v>11</v>
      </c>
      <c r="E1538" s="131" t="s">
        <v>73</v>
      </c>
      <c r="F1538" s="131" t="s">
        <v>752</v>
      </c>
      <c r="G1538" s="108" t="s">
        <v>41</v>
      </c>
      <c r="H1538" s="126">
        <v>21915419.350000001</v>
      </c>
      <c r="I1538" s="131">
        <v>8010010020</v>
      </c>
      <c r="J1538" s="131" t="str">
        <f t="shared" si="98"/>
        <v>8010010020</v>
      </c>
      <c r="K1538" s="304" t="str">
        <f t="shared" si="99"/>
        <v>61701048010010020121</v>
      </c>
      <c r="L1538" s="17"/>
      <c r="M1538" s="16"/>
    </row>
    <row r="1539" spans="1:13" s="23" customFormat="1" ht="47.25">
      <c r="A1539" s="21"/>
      <c r="B1539" s="127" t="s">
        <v>26</v>
      </c>
      <c r="C1539" s="130" t="s">
        <v>746</v>
      </c>
      <c r="D1539" s="131" t="s">
        <v>11</v>
      </c>
      <c r="E1539" s="131" t="s">
        <v>73</v>
      </c>
      <c r="F1539" s="131" t="s">
        <v>752</v>
      </c>
      <c r="G1539" s="108" t="s">
        <v>27</v>
      </c>
      <c r="H1539" s="126">
        <v>6558293.5599999996</v>
      </c>
      <c r="I1539" s="131">
        <v>8010010020</v>
      </c>
      <c r="J1539" s="131" t="str">
        <f t="shared" si="98"/>
        <v>8010010020</v>
      </c>
      <c r="K1539" s="304" t="str">
        <f t="shared" si="99"/>
        <v>61701048010010020129</v>
      </c>
      <c r="L1539" s="17"/>
      <c r="M1539" s="16"/>
    </row>
    <row r="1540" spans="1:13" s="16" customFormat="1" ht="63">
      <c r="A1540" s="14" t="s">
        <v>80</v>
      </c>
      <c r="B1540" s="150" t="s">
        <v>488</v>
      </c>
      <c r="C1540" s="130" t="s">
        <v>746</v>
      </c>
      <c r="D1540" s="131" t="s">
        <v>11</v>
      </c>
      <c r="E1540" s="131" t="s">
        <v>73</v>
      </c>
      <c r="F1540" s="131" t="s">
        <v>753</v>
      </c>
      <c r="G1540" s="131" t="s">
        <v>9</v>
      </c>
      <c r="H1540" s="126">
        <v>1083662.97</v>
      </c>
      <c r="I1540" s="131">
        <v>8010076200</v>
      </c>
      <c r="J1540" s="131" t="str">
        <f t="shared" si="98"/>
        <v>8010076200</v>
      </c>
      <c r="K1540" s="304" t="str">
        <f t="shared" si="99"/>
        <v>61701048010076200000</v>
      </c>
      <c r="L1540" s="17" t="str">
        <f>INDEX('реш СГД № 265'!$A:$N,MATCH('БА расх 2018 31 12 2018'!$K1540,'реш СГД № 265'!$N:$N,0),3)</f>
        <v>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v>
      </c>
      <c r="M1540" s="16">
        <f t="shared" si="100"/>
        <v>1</v>
      </c>
    </row>
    <row r="1541" spans="1:13" s="16" customFormat="1" ht="31.5">
      <c r="A1541" s="14"/>
      <c r="B1541" s="129" t="s">
        <v>20</v>
      </c>
      <c r="C1541" s="130" t="s">
        <v>746</v>
      </c>
      <c r="D1541" s="131" t="s">
        <v>11</v>
      </c>
      <c r="E1541" s="131" t="s">
        <v>73</v>
      </c>
      <c r="F1541" s="131" t="s">
        <v>753</v>
      </c>
      <c r="G1541" s="131" t="s">
        <v>21</v>
      </c>
      <c r="H1541" s="126">
        <v>974906.97</v>
      </c>
      <c r="I1541" s="131">
        <v>8010076200</v>
      </c>
      <c r="J1541" s="131" t="str">
        <f t="shared" si="98"/>
        <v>8010076200</v>
      </c>
      <c r="K1541" s="304" t="str">
        <f t="shared" si="99"/>
        <v>61701048010076200120</v>
      </c>
      <c r="L1541" s="17" t="str">
        <f>INDEX('реш СГД № 265'!$A:$N,MATCH('БА расх 2018 31 12 2018'!$K1541,'реш СГД № 265'!$N:$N,0),3)</f>
        <v>Расходы на выплаты персоналу государственных (муниципальных) органов</v>
      </c>
      <c r="M1541" s="16">
        <f t="shared" si="100"/>
        <v>1</v>
      </c>
    </row>
    <row r="1542" spans="1:13" s="23" customFormat="1" ht="31.5">
      <c r="A1542" s="21"/>
      <c r="B1542" s="127" t="s">
        <v>40</v>
      </c>
      <c r="C1542" s="130" t="s">
        <v>746</v>
      </c>
      <c r="D1542" s="131" t="s">
        <v>11</v>
      </c>
      <c r="E1542" s="131" t="s">
        <v>73</v>
      </c>
      <c r="F1542" s="131" t="s">
        <v>753</v>
      </c>
      <c r="G1542" s="108" t="s">
        <v>41</v>
      </c>
      <c r="H1542" s="126">
        <v>754275.49</v>
      </c>
      <c r="I1542" s="131">
        <v>8010076200</v>
      </c>
      <c r="J1542" s="131" t="str">
        <f t="shared" si="98"/>
        <v>8010076200</v>
      </c>
      <c r="K1542" s="304" t="str">
        <f t="shared" si="99"/>
        <v>61701048010076200121</v>
      </c>
      <c r="L1542" s="17"/>
      <c r="M1542" s="16"/>
    </row>
    <row r="1543" spans="1:13" s="23" customFormat="1" ht="31.5">
      <c r="A1543" s="21"/>
      <c r="B1543" s="127" t="s">
        <v>22</v>
      </c>
      <c r="C1543" s="130" t="s">
        <v>746</v>
      </c>
      <c r="D1543" s="131" t="s">
        <v>11</v>
      </c>
      <c r="E1543" s="131" t="s">
        <v>73</v>
      </c>
      <c r="F1543" s="131" t="s">
        <v>753</v>
      </c>
      <c r="G1543" s="108" t="s">
        <v>23</v>
      </c>
      <c r="H1543" s="126">
        <v>30374.14</v>
      </c>
      <c r="I1543" s="131">
        <v>8010076200</v>
      </c>
      <c r="J1543" s="131" t="str">
        <f t="shared" si="98"/>
        <v>8010076200</v>
      </c>
      <c r="K1543" s="304" t="str">
        <f t="shared" si="99"/>
        <v>61701048010076200122</v>
      </c>
      <c r="L1543" s="17"/>
      <c r="M1543" s="16"/>
    </row>
    <row r="1544" spans="1:13" s="23" customFormat="1" ht="47.25">
      <c r="A1544" s="21"/>
      <c r="B1544" s="127" t="s">
        <v>26</v>
      </c>
      <c r="C1544" s="130" t="s">
        <v>746</v>
      </c>
      <c r="D1544" s="131" t="s">
        <v>11</v>
      </c>
      <c r="E1544" s="131" t="s">
        <v>73</v>
      </c>
      <c r="F1544" s="131" t="s">
        <v>753</v>
      </c>
      <c r="G1544" s="108" t="s">
        <v>27</v>
      </c>
      <c r="H1544" s="126">
        <v>190257.34</v>
      </c>
      <c r="I1544" s="131">
        <v>8010076200</v>
      </c>
      <c r="J1544" s="131" t="str">
        <f t="shared" si="98"/>
        <v>8010076200</v>
      </c>
      <c r="K1544" s="304" t="str">
        <f t="shared" si="99"/>
        <v>61701048010076200129</v>
      </c>
      <c r="L1544" s="17"/>
      <c r="M1544" s="16"/>
    </row>
    <row r="1545" spans="1:13" s="16" customFormat="1" ht="31.5">
      <c r="A1545" s="14"/>
      <c r="B1545" s="125" t="s">
        <v>28</v>
      </c>
      <c r="C1545" s="130" t="s">
        <v>746</v>
      </c>
      <c r="D1545" s="131" t="s">
        <v>11</v>
      </c>
      <c r="E1545" s="131" t="s">
        <v>73</v>
      </c>
      <c r="F1545" s="131" t="s">
        <v>753</v>
      </c>
      <c r="G1545" s="131" t="s">
        <v>29</v>
      </c>
      <c r="H1545" s="126">
        <v>108756</v>
      </c>
      <c r="I1545" s="131">
        <v>8010076200</v>
      </c>
      <c r="J1545" s="131" t="str">
        <f t="shared" si="98"/>
        <v>8010076200</v>
      </c>
      <c r="K1545" s="304" t="str">
        <f t="shared" si="99"/>
        <v>61701048010076200240</v>
      </c>
      <c r="L1545" s="17" t="str">
        <f>INDEX('реш СГД № 265'!$A:$N,MATCH('БА расх 2018 31 12 2018'!$K1545,'реш СГД № 265'!$N:$N,0),3)</f>
        <v>Иные закупки товаров, работ и услуг для обеспечения государственных (муниципальных) нужд</v>
      </c>
      <c r="M1545" s="16">
        <f t="shared" si="100"/>
        <v>1</v>
      </c>
    </row>
    <row r="1546" spans="1:13" s="16" customFormat="1" ht="15.75">
      <c r="A1546" s="14"/>
      <c r="B1546" s="125" t="s">
        <v>30</v>
      </c>
      <c r="C1546" s="130" t="s">
        <v>746</v>
      </c>
      <c r="D1546" s="131" t="s">
        <v>11</v>
      </c>
      <c r="E1546" s="131" t="s">
        <v>73</v>
      </c>
      <c r="F1546" s="131" t="s">
        <v>753</v>
      </c>
      <c r="G1546" s="131" t="s">
        <v>31</v>
      </c>
      <c r="H1546" s="126">
        <v>108756</v>
      </c>
      <c r="I1546" s="131">
        <v>8010076200</v>
      </c>
      <c r="J1546" s="131" t="str">
        <f t="shared" si="98"/>
        <v>8010076200</v>
      </c>
      <c r="K1546" s="304" t="str">
        <f t="shared" si="99"/>
        <v>61701048010076200244</v>
      </c>
      <c r="L1546" s="17"/>
    </row>
    <row r="1547" spans="1:13" s="16" customFormat="1" ht="63">
      <c r="A1547" s="14" t="s">
        <v>80</v>
      </c>
      <c r="B1547" s="129" t="s">
        <v>754</v>
      </c>
      <c r="C1547" s="130" t="s">
        <v>746</v>
      </c>
      <c r="D1547" s="131" t="s">
        <v>11</v>
      </c>
      <c r="E1547" s="131" t="s">
        <v>73</v>
      </c>
      <c r="F1547" s="131" t="s">
        <v>755</v>
      </c>
      <c r="G1547" s="131" t="s">
        <v>9</v>
      </c>
      <c r="H1547" s="105">
        <v>70900</v>
      </c>
      <c r="I1547" s="131">
        <v>8010076360</v>
      </c>
      <c r="J1547" s="131" t="str">
        <f t="shared" si="98"/>
        <v>8010076360</v>
      </c>
      <c r="K1547" s="304" t="str">
        <f t="shared" si="99"/>
        <v>61701048010076360000</v>
      </c>
      <c r="L1547" s="17" t="str">
        <f>INDEX('реш СГД № 265'!$A:$N,MATCH('БА расх 2018 31 12 2018'!$K1547,'реш СГД № 265'!$N:$N,0),3)</f>
        <v>Расходы на осуществление переданных государственных полномочий Ставропольского края по созданию и организации деятельности комиссий по делам несовершеннолетних и защите их прав</v>
      </c>
      <c r="M1547" s="16">
        <f t="shared" si="100"/>
        <v>1</v>
      </c>
    </row>
    <row r="1548" spans="1:13" s="16" customFormat="1" ht="31.5">
      <c r="A1548" s="14"/>
      <c r="B1548" s="125" t="s">
        <v>28</v>
      </c>
      <c r="C1548" s="130" t="s">
        <v>746</v>
      </c>
      <c r="D1548" s="131" t="s">
        <v>11</v>
      </c>
      <c r="E1548" s="131" t="s">
        <v>73</v>
      </c>
      <c r="F1548" s="131" t="s">
        <v>755</v>
      </c>
      <c r="G1548" s="131" t="s">
        <v>29</v>
      </c>
      <c r="H1548" s="126">
        <v>70900</v>
      </c>
      <c r="I1548" s="131">
        <v>8010076360</v>
      </c>
      <c r="J1548" s="131" t="str">
        <f t="shared" si="98"/>
        <v>8010076360</v>
      </c>
      <c r="K1548" s="304" t="str">
        <f t="shared" si="99"/>
        <v>61701048010076360240</v>
      </c>
      <c r="L1548" s="17" t="str">
        <f>INDEX('реш СГД № 265'!$A:$N,MATCH('БА расх 2018 31 12 2018'!$K1548,'реш СГД № 265'!$N:$N,0),3)</f>
        <v>Иные закупки товаров, работ и услуг для обеспечения государственных (муниципальных) нужд</v>
      </c>
      <c r="M1548" s="16">
        <f t="shared" si="100"/>
        <v>1</v>
      </c>
    </row>
    <row r="1549" spans="1:13" s="16" customFormat="1" ht="15.75">
      <c r="A1549" s="14"/>
      <c r="B1549" s="125" t="s">
        <v>30</v>
      </c>
      <c r="C1549" s="130" t="s">
        <v>746</v>
      </c>
      <c r="D1549" s="131" t="s">
        <v>11</v>
      </c>
      <c r="E1549" s="131" t="s">
        <v>73</v>
      </c>
      <c r="F1549" s="131" t="s">
        <v>755</v>
      </c>
      <c r="G1549" s="131" t="s">
        <v>31</v>
      </c>
      <c r="H1549" s="126">
        <v>70900</v>
      </c>
      <c r="I1549" s="131">
        <v>8010076360</v>
      </c>
      <c r="J1549" s="131" t="str">
        <f t="shared" si="98"/>
        <v>8010076360</v>
      </c>
      <c r="K1549" s="304" t="str">
        <f t="shared" si="99"/>
        <v>61701048010076360244</v>
      </c>
      <c r="L1549" s="17"/>
    </row>
    <row r="1550" spans="1:13" s="16" customFormat="1" ht="267.75">
      <c r="A1550" s="14"/>
      <c r="B1550" s="132" t="s">
        <v>2269</v>
      </c>
      <c r="C1550" s="130" t="s">
        <v>746</v>
      </c>
      <c r="D1550" s="131" t="s">
        <v>11</v>
      </c>
      <c r="E1550" s="131" t="s">
        <v>73</v>
      </c>
      <c r="F1550" s="108" t="s">
        <v>1309</v>
      </c>
      <c r="G1550" s="108" t="s">
        <v>9</v>
      </c>
      <c r="H1550" s="126">
        <v>927847.47</v>
      </c>
      <c r="I1550" s="131">
        <v>8010077460</v>
      </c>
      <c r="J1550" s="131" t="str">
        <f t="shared" si="98"/>
        <v>8010077460</v>
      </c>
      <c r="K1550" s="304" t="str">
        <f t="shared" si="99"/>
        <v>61701048010077460000</v>
      </c>
      <c r="L1550" s="132" t="str">
        <f>INDEX('реш СГД № 265'!$A:$N,MATCH('БА расх 2018 31 12 2018'!$K1550,'реш СГД № 265'!$N:$N,0),3)</f>
        <v>Субсидии на компенсацию расходов по повышению заработной платы муниципальных служащих муниципальной службы и лиц, не замещающих должности муниципальной службы и исполняющих обязанности по техническому обеспечению деятельности органов местного самоуправления муниципальных образований, а также работников муниципальных учреждений, за исключением отдельных категорий работников муниципальных учреждений, которым повышение заработной платы осуществляется в соответствии с указами Президента Российской Федерации от 7 мая 2012 года № 597 «О мероприятиях по реализации государственной социальной политики», от 1 июня 2012 года № 761 «О Национальной стратегии действий в интересах детей на 2012 - 2017 годы» и от 28 декабря 2012 года № 1688 «О некоторых мерах по реализации государственной политики в сфере защиты детей-сирот и детей, оставшихся без попечения родителей»</v>
      </c>
      <c r="M1550" s="17">
        <f t="shared" si="100"/>
        <v>1</v>
      </c>
    </row>
    <row r="1551" spans="1:13" s="16" customFormat="1" ht="31.5">
      <c r="A1551" s="14"/>
      <c r="B1551" s="127" t="s">
        <v>20</v>
      </c>
      <c r="C1551" s="130" t="s">
        <v>746</v>
      </c>
      <c r="D1551" s="131" t="s">
        <v>11</v>
      </c>
      <c r="E1551" s="131" t="s">
        <v>73</v>
      </c>
      <c r="F1551" s="108" t="s">
        <v>1309</v>
      </c>
      <c r="G1551" s="108" t="s">
        <v>21</v>
      </c>
      <c r="H1551" s="126">
        <v>927847.47</v>
      </c>
      <c r="I1551" s="131">
        <v>8010077460</v>
      </c>
      <c r="J1551" s="131" t="str">
        <f t="shared" si="98"/>
        <v>8010077460</v>
      </c>
      <c r="K1551" s="304" t="str">
        <f t="shared" si="99"/>
        <v>61701048010077460120</v>
      </c>
      <c r="L1551" s="17" t="str">
        <f>INDEX('реш СГД № 265'!$A:$N,MATCH('БА расх 2018 31 12 2018'!$K1551,'реш СГД № 265'!$N:$N,0),3)</f>
        <v>Расходы на выплаты персоналу государственных (муниципальных) органов</v>
      </c>
      <c r="M1551" s="16">
        <f t="shared" si="100"/>
        <v>1</v>
      </c>
    </row>
    <row r="1552" spans="1:13" s="16" customFormat="1" ht="31.5">
      <c r="A1552" s="14"/>
      <c r="B1552" s="127" t="s">
        <v>40</v>
      </c>
      <c r="C1552" s="130" t="s">
        <v>746</v>
      </c>
      <c r="D1552" s="131" t="s">
        <v>11</v>
      </c>
      <c r="E1552" s="131" t="s">
        <v>73</v>
      </c>
      <c r="F1552" s="108" t="s">
        <v>1309</v>
      </c>
      <c r="G1552" s="108" t="s">
        <v>41</v>
      </c>
      <c r="H1552" s="126">
        <v>712632.47</v>
      </c>
      <c r="I1552" s="131">
        <v>8010077460</v>
      </c>
      <c r="J1552" s="131" t="str">
        <f t="shared" si="98"/>
        <v>8010077460</v>
      </c>
      <c r="K1552" s="304" t="str">
        <f t="shared" si="99"/>
        <v>61701048010077460121</v>
      </c>
      <c r="L1552" s="17"/>
    </row>
    <row r="1553" spans="1:13" s="16" customFormat="1" ht="47.25">
      <c r="A1553" s="14"/>
      <c r="B1553" s="127" t="s">
        <v>26</v>
      </c>
      <c r="C1553" s="130" t="s">
        <v>746</v>
      </c>
      <c r="D1553" s="131" t="s">
        <v>11</v>
      </c>
      <c r="E1553" s="131" t="s">
        <v>73</v>
      </c>
      <c r="F1553" s="108" t="s">
        <v>1309</v>
      </c>
      <c r="G1553" s="108" t="s">
        <v>27</v>
      </c>
      <c r="H1553" s="126">
        <v>215215</v>
      </c>
      <c r="I1553" s="131">
        <v>8010077460</v>
      </c>
      <c r="J1553" s="131" t="str">
        <f t="shared" si="98"/>
        <v>8010077460</v>
      </c>
      <c r="K1553" s="304" t="str">
        <f t="shared" si="99"/>
        <v>61701048010077460129</v>
      </c>
      <c r="L1553" s="17"/>
    </row>
    <row r="1554" spans="1:13" s="16" customFormat="1" ht="236.25">
      <c r="A1554" s="14"/>
      <c r="B1554" s="164" t="s">
        <v>2247</v>
      </c>
      <c r="C1554" s="130" t="s">
        <v>746</v>
      </c>
      <c r="D1554" s="131" t="s">
        <v>11</v>
      </c>
      <c r="E1554" s="131" t="s">
        <v>73</v>
      </c>
      <c r="F1554" s="108" t="s">
        <v>2289</v>
      </c>
      <c r="G1554" s="108" t="s">
        <v>9</v>
      </c>
      <c r="H1554" s="126">
        <v>17410.34</v>
      </c>
      <c r="I1554" s="131">
        <v>8010077580</v>
      </c>
      <c r="J1554" s="108" t="str">
        <f t="shared" si="98"/>
        <v>8010077580</v>
      </c>
      <c r="K1554" s="304" t="str">
        <f t="shared" si="99"/>
        <v>61701048010077580000</v>
      </c>
      <c r="L1554" s="17"/>
    </row>
    <row r="1555" spans="1:13" s="16" customFormat="1" ht="31.5">
      <c r="A1555" s="14"/>
      <c r="B1555" s="127" t="s">
        <v>20</v>
      </c>
      <c r="C1555" s="130" t="s">
        <v>746</v>
      </c>
      <c r="D1555" s="131" t="s">
        <v>11</v>
      </c>
      <c r="E1555" s="131" t="s">
        <v>73</v>
      </c>
      <c r="F1555" s="108" t="s">
        <v>2289</v>
      </c>
      <c r="G1555" s="108" t="s">
        <v>21</v>
      </c>
      <c r="H1555" s="126">
        <v>17410.34</v>
      </c>
      <c r="I1555" s="131">
        <v>8010077580</v>
      </c>
      <c r="J1555" s="108" t="str">
        <f t="shared" si="98"/>
        <v>8010077580</v>
      </c>
      <c r="K1555" s="304" t="str">
        <f t="shared" si="99"/>
        <v>61701048010077580120</v>
      </c>
      <c r="L1555" s="17"/>
    </row>
    <row r="1556" spans="1:13" s="16" customFormat="1" ht="31.5">
      <c r="A1556" s="14"/>
      <c r="B1556" s="127" t="s">
        <v>40</v>
      </c>
      <c r="C1556" s="130" t="s">
        <v>746</v>
      </c>
      <c r="D1556" s="131" t="s">
        <v>11</v>
      </c>
      <c r="E1556" s="131" t="s">
        <v>73</v>
      </c>
      <c r="F1556" s="108" t="s">
        <v>2289</v>
      </c>
      <c r="G1556" s="108" t="s">
        <v>41</v>
      </c>
      <c r="H1556" s="126">
        <v>13372</v>
      </c>
      <c r="I1556" s="131">
        <v>8010077580</v>
      </c>
      <c r="J1556" s="108" t="str">
        <f t="shared" si="98"/>
        <v>8010077580</v>
      </c>
      <c r="K1556" s="304" t="str">
        <f t="shared" si="99"/>
        <v>61701048010077580121</v>
      </c>
      <c r="L1556" s="17"/>
    </row>
    <row r="1557" spans="1:13" s="16" customFormat="1" ht="47.25">
      <c r="A1557" s="14"/>
      <c r="B1557" s="127" t="s">
        <v>26</v>
      </c>
      <c r="C1557" s="130" t="s">
        <v>746</v>
      </c>
      <c r="D1557" s="131" t="s">
        <v>11</v>
      </c>
      <c r="E1557" s="131" t="s">
        <v>73</v>
      </c>
      <c r="F1557" s="108" t="s">
        <v>2289</v>
      </c>
      <c r="G1557" s="108" t="s">
        <v>27</v>
      </c>
      <c r="H1557" s="126">
        <v>4038.34</v>
      </c>
      <c r="I1557" s="131">
        <v>8010077580</v>
      </c>
      <c r="J1557" s="108" t="str">
        <f t="shared" si="98"/>
        <v>8010077580</v>
      </c>
      <c r="K1557" s="304" t="str">
        <f t="shared" si="99"/>
        <v>61701048010077580129</v>
      </c>
      <c r="L1557" s="17"/>
    </row>
    <row r="1558" spans="1:13" s="16" customFormat="1" ht="15.75">
      <c r="A1558" s="14"/>
      <c r="B1558" s="121" t="s">
        <v>50</v>
      </c>
      <c r="C1558" s="122" t="s">
        <v>746</v>
      </c>
      <c r="D1558" s="123" t="s">
        <v>11</v>
      </c>
      <c r="E1558" s="123" t="s">
        <v>51</v>
      </c>
      <c r="F1558" s="123" t="s">
        <v>8</v>
      </c>
      <c r="G1558" s="123" t="s">
        <v>9</v>
      </c>
      <c r="H1558" s="124">
        <v>1810384.63</v>
      </c>
      <c r="I1558" s="123">
        <v>0</v>
      </c>
      <c r="J1558" s="123" t="str">
        <f t="shared" si="98"/>
        <v>0000000000</v>
      </c>
      <c r="K1558" s="304" t="str">
        <f t="shared" si="99"/>
        <v>61701130000000000000</v>
      </c>
      <c r="L1558" s="17" t="str">
        <f>INDEX('реш СГД № 265'!$A:$N,MATCH('БА расх 2018 31 12 2018'!$K1558,'реш СГД № 265'!$N:$N,0),3)</f>
        <v>Другие общегосударственные вопросы</v>
      </c>
      <c r="M1558" s="16">
        <f t="shared" si="100"/>
        <v>1</v>
      </c>
    </row>
    <row r="1559" spans="1:13" s="16" customFormat="1" ht="47.25">
      <c r="A1559" s="14"/>
      <c r="B1559" s="132" t="s">
        <v>257</v>
      </c>
      <c r="C1559" s="130" t="s">
        <v>746</v>
      </c>
      <c r="D1559" s="131" t="s">
        <v>11</v>
      </c>
      <c r="E1559" s="131" t="s">
        <v>51</v>
      </c>
      <c r="F1559" s="131" t="s">
        <v>258</v>
      </c>
      <c r="G1559" s="131" t="s">
        <v>9</v>
      </c>
      <c r="H1559" s="105">
        <v>375748.63</v>
      </c>
      <c r="I1559" s="131">
        <v>1100000000</v>
      </c>
      <c r="J1559" s="131" t="str">
        <f t="shared" si="98"/>
        <v>1100000000</v>
      </c>
      <c r="K1559" s="304" t="str">
        <f t="shared" si="99"/>
        <v>61701131100000000000</v>
      </c>
      <c r="L1559" s="17" t="str">
        <f>INDEX('реш СГД № 265'!$A:$N,MATCH('БА расх 2018 31 12 2018'!$K1559,'реш СГД № 265'!$N:$N,0),3)</f>
        <v>Муниципальная программа  «Управление и распоряжение имуществом, находящимся в муниципальной собственности города Ставрополя, в том числе земельными ресурсами»</v>
      </c>
      <c r="M1559" s="16">
        <f t="shared" si="100"/>
        <v>1</v>
      </c>
    </row>
    <row r="1560" spans="1:13" s="16" customFormat="1" ht="63">
      <c r="A1560" s="14"/>
      <c r="B1560" s="132" t="s">
        <v>259</v>
      </c>
      <c r="C1560" s="109" t="s">
        <v>746</v>
      </c>
      <c r="D1560" s="131" t="s">
        <v>11</v>
      </c>
      <c r="E1560" s="131" t="s">
        <v>51</v>
      </c>
      <c r="F1560" s="131" t="s">
        <v>260</v>
      </c>
      <c r="G1560" s="131" t="s">
        <v>9</v>
      </c>
      <c r="H1560" s="105">
        <v>375748.63</v>
      </c>
      <c r="I1560" s="131" t="s">
        <v>1171</v>
      </c>
      <c r="J1560" s="131" t="str">
        <f t="shared" si="98"/>
        <v>11Б0000000</v>
      </c>
      <c r="K1560" s="304" t="str">
        <f t="shared" si="99"/>
        <v>617011311Б0000000000</v>
      </c>
      <c r="L1560" s="17" t="str">
        <f>INDEX('реш СГД № 265'!$A:$N,MATCH('БА расх 2018 31 12 2018'!$K1560,'реш СГД № 265'!$N:$N,0),3)</f>
        <v>Расходы в рамках реализации муниципальной программы «Управление и распоряжение  имуществом, находящимся в муниципальной собственности города Ставрополя, в том числе земельными ресурсами»</v>
      </c>
      <c r="M1560" s="16">
        <f t="shared" si="100"/>
        <v>1</v>
      </c>
    </row>
    <row r="1561" spans="1:13" s="16" customFormat="1" ht="47.25">
      <c r="A1561" s="14"/>
      <c r="B1561" s="125" t="s">
        <v>261</v>
      </c>
      <c r="C1561" s="109" t="s">
        <v>746</v>
      </c>
      <c r="D1561" s="131" t="s">
        <v>11</v>
      </c>
      <c r="E1561" s="131" t="s">
        <v>51</v>
      </c>
      <c r="F1561" s="131" t="s">
        <v>262</v>
      </c>
      <c r="G1561" s="131" t="s">
        <v>9</v>
      </c>
      <c r="H1561" s="105">
        <v>375748.63</v>
      </c>
      <c r="I1561" s="131" t="s">
        <v>1172</v>
      </c>
      <c r="J1561" s="131" t="str">
        <f t="shared" si="98"/>
        <v>11Б0100000</v>
      </c>
      <c r="K1561" s="304" t="str">
        <f t="shared" si="99"/>
        <v>617011311Б0100000000</v>
      </c>
      <c r="L1561" s="17" t="str">
        <f>INDEX('реш СГД № 265'!$A:$N,MATCH('БА расх 2018 31 12 2018'!$K1561,'реш СГД № 265'!$N:$N,0),3)</f>
        <v>Основное мероприятие «Управление и распоряжение объектами недвижимого имущества, находящимися в муниципальной собственности города Ставрополя»</v>
      </c>
      <c r="M1561" s="16">
        <f t="shared" si="100"/>
        <v>1</v>
      </c>
    </row>
    <row r="1562" spans="1:13" s="16" customFormat="1" ht="31.5">
      <c r="A1562" s="14"/>
      <c r="B1562" s="125" t="s">
        <v>756</v>
      </c>
      <c r="C1562" s="109" t="s">
        <v>746</v>
      </c>
      <c r="D1562" s="131" t="s">
        <v>11</v>
      </c>
      <c r="E1562" s="131" t="s">
        <v>51</v>
      </c>
      <c r="F1562" s="131" t="s">
        <v>757</v>
      </c>
      <c r="G1562" s="131" t="s">
        <v>9</v>
      </c>
      <c r="H1562" s="105">
        <v>350000</v>
      </c>
      <c r="I1562" s="131" t="s">
        <v>1230</v>
      </c>
      <c r="J1562" s="131" t="str">
        <f t="shared" si="98"/>
        <v>11Б0120840</v>
      </c>
      <c r="K1562" s="304" t="str">
        <f t="shared" si="99"/>
        <v>617011311Б0120840000</v>
      </c>
      <c r="L1562" s="17" t="str">
        <f>INDEX('реш СГД № 265'!$A:$N,MATCH('БА расх 2018 31 12 2018'!$K1562,'реш СГД № 265'!$N:$N,0),3)</f>
        <v>Расходы на содержание объектов муниципальной казны города Ставрополя в части жилых помещений</v>
      </c>
      <c r="M1562" s="16">
        <f t="shared" si="100"/>
        <v>1</v>
      </c>
    </row>
    <row r="1563" spans="1:13" s="16" customFormat="1" ht="31.5">
      <c r="A1563" s="14"/>
      <c r="B1563" s="125" t="s">
        <v>28</v>
      </c>
      <c r="C1563" s="109" t="s">
        <v>746</v>
      </c>
      <c r="D1563" s="131" t="s">
        <v>11</v>
      </c>
      <c r="E1563" s="131" t="s">
        <v>51</v>
      </c>
      <c r="F1563" s="131" t="s">
        <v>757</v>
      </c>
      <c r="G1563" s="131" t="s">
        <v>29</v>
      </c>
      <c r="H1563" s="126">
        <v>350000</v>
      </c>
      <c r="I1563" s="131" t="s">
        <v>1230</v>
      </c>
      <c r="J1563" s="131" t="str">
        <f t="shared" si="98"/>
        <v>11Б0120840</v>
      </c>
      <c r="K1563" s="304" t="str">
        <f t="shared" si="99"/>
        <v>617011311Б0120840240</v>
      </c>
      <c r="L1563" s="17" t="str">
        <f>INDEX('реш СГД № 265'!$A:$N,MATCH('БА расх 2018 31 12 2018'!$K1563,'реш СГД № 265'!$N:$N,0),3)</f>
        <v>Иные закупки товаров, работ и услуг для обеспечения государственных (муниципальных) нужд</v>
      </c>
      <c r="M1563" s="16">
        <f t="shared" si="100"/>
        <v>1</v>
      </c>
    </row>
    <row r="1564" spans="1:13" s="16" customFormat="1" ht="15.75">
      <c r="A1564" s="14"/>
      <c r="B1564" s="125" t="s">
        <v>30</v>
      </c>
      <c r="C1564" s="109" t="s">
        <v>746</v>
      </c>
      <c r="D1564" s="131" t="s">
        <v>11</v>
      </c>
      <c r="E1564" s="131" t="s">
        <v>51</v>
      </c>
      <c r="F1564" s="131" t="s">
        <v>757</v>
      </c>
      <c r="G1564" s="131" t="s">
        <v>31</v>
      </c>
      <c r="H1564" s="126">
        <v>350000</v>
      </c>
      <c r="I1564" s="131" t="s">
        <v>1230</v>
      </c>
      <c r="J1564" s="131" t="str">
        <f t="shared" si="98"/>
        <v>11Б0120840</v>
      </c>
      <c r="K1564" s="304" t="str">
        <f t="shared" si="99"/>
        <v>617011311Б0120840244</v>
      </c>
      <c r="L1564" s="17"/>
    </row>
    <row r="1565" spans="1:13" s="16" customFormat="1" ht="31.5">
      <c r="A1565" s="14"/>
      <c r="B1565" s="125" t="s">
        <v>267</v>
      </c>
      <c r="C1565" s="109" t="s">
        <v>746</v>
      </c>
      <c r="D1565" s="108" t="s">
        <v>11</v>
      </c>
      <c r="E1565" s="108" t="s">
        <v>51</v>
      </c>
      <c r="F1565" s="14" t="s">
        <v>268</v>
      </c>
      <c r="G1565" s="108" t="s">
        <v>9</v>
      </c>
      <c r="H1565" s="126">
        <v>25748.63</v>
      </c>
      <c r="I1565" s="14" t="s">
        <v>1175</v>
      </c>
      <c r="J1565" s="14" t="str">
        <f t="shared" si="98"/>
        <v>11Б0121120</v>
      </c>
      <c r="K1565" s="304" t="str">
        <f t="shared" si="99"/>
        <v>617011311Б0121120000</v>
      </c>
      <c r="L1565" s="17" t="str">
        <f>INDEX('реш СГД № 265'!$A:$N,MATCH('БА расх 2018 31 12 2018'!$K1565,'реш СГД № 265'!$N:$N,0),3)</f>
        <v>Расходы на уплату взносов на капитальный ремонт общего имущества в многоквартирных домах</v>
      </c>
      <c r="M1565" s="16">
        <f t="shared" si="100"/>
        <v>1</v>
      </c>
    </row>
    <row r="1566" spans="1:13" s="16" customFormat="1" ht="31.5">
      <c r="A1566" s="14"/>
      <c r="B1566" s="125" t="s">
        <v>28</v>
      </c>
      <c r="C1566" s="109" t="s">
        <v>746</v>
      </c>
      <c r="D1566" s="108" t="s">
        <v>11</v>
      </c>
      <c r="E1566" s="108" t="s">
        <v>51</v>
      </c>
      <c r="F1566" s="14" t="s">
        <v>268</v>
      </c>
      <c r="G1566" s="108" t="s">
        <v>29</v>
      </c>
      <c r="H1566" s="126">
        <v>25748.63</v>
      </c>
      <c r="I1566" s="14" t="s">
        <v>1175</v>
      </c>
      <c r="J1566" s="14" t="str">
        <f t="shared" si="98"/>
        <v>11Б0121120</v>
      </c>
      <c r="K1566" s="304" t="str">
        <f t="shared" si="99"/>
        <v>617011311Б0121120240</v>
      </c>
      <c r="L1566" s="17" t="str">
        <f>INDEX('реш СГД № 265'!$A:$N,MATCH('БА расх 2018 31 12 2018'!$K1566,'реш СГД № 265'!$N:$N,0),3)</f>
        <v>Иные закупки товаров, работ и услуг для обеспечения государственных (муниципальных) нужд</v>
      </c>
      <c r="M1566" s="16">
        <f t="shared" si="100"/>
        <v>1</v>
      </c>
    </row>
    <row r="1567" spans="1:13" s="16" customFormat="1" ht="15.75">
      <c r="A1567" s="14"/>
      <c r="B1567" s="125" t="s">
        <v>30</v>
      </c>
      <c r="C1567" s="109" t="s">
        <v>746</v>
      </c>
      <c r="D1567" s="108" t="s">
        <v>11</v>
      </c>
      <c r="E1567" s="108" t="s">
        <v>51</v>
      </c>
      <c r="F1567" s="14" t="s">
        <v>268</v>
      </c>
      <c r="G1567" s="108" t="s">
        <v>31</v>
      </c>
      <c r="H1567" s="126">
        <v>25748.63</v>
      </c>
      <c r="I1567" s="14" t="s">
        <v>1175</v>
      </c>
      <c r="J1567" s="14" t="str">
        <f t="shared" si="98"/>
        <v>11Б0121120</v>
      </c>
      <c r="K1567" s="304" t="str">
        <f t="shared" si="99"/>
        <v>617011311Б0121120244</v>
      </c>
      <c r="L1567" s="17"/>
    </row>
    <row r="1568" spans="1:13" s="16" customFormat="1" ht="31.5">
      <c r="A1568" s="14"/>
      <c r="B1568" s="140" t="s">
        <v>747</v>
      </c>
      <c r="C1568" s="130" t="s">
        <v>746</v>
      </c>
      <c r="D1568" s="108" t="s">
        <v>11</v>
      </c>
      <c r="E1568" s="108" t="s">
        <v>51</v>
      </c>
      <c r="F1568" s="131" t="s">
        <v>748</v>
      </c>
      <c r="G1568" s="131" t="s">
        <v>9</v>
      </c>
      <c r="H1568" s="126">
        <v>153140</v>
      </c>
      <c r="I1568" s="14">
        <v>8000000000</v>
      </c>
      <c r="J1568" s="14" t="str">
        <f t="shared" si="98"/>
        <v>8000000000</v>
      </c>
      <c r="K1568" s="304" t="str">
        <f t="shared" si="99"/>
        <v>61701138000000000000</v>
      </c>
      <c r="L1568" s="17" t="str">
        <f>INDEX('реш СГД № 265'!$A:$N,MATCH('БА расх 2018 31 12 2018'!$K1568,'реш СГД № 265'!$N:$N,0),3)</f>
        <v>Обеспечение деятельности администрации Ленинского района города Ставрополя</v>
      </c>
      <c r="M1568" s="16">
        <f t="shared" si="100"/>
        <v>1</v>
      </c>
    </row>
    <row r="1569" spans="1:13" s="16" customFormat="1" ht="31.5">
      <c r="A1569" s="14"/>
      <c r="B1569" s="140" t="s">
        <v>749</v>
      </c>
      <c r="C1569" s="130" t="s">
        <v>746</v>
      </c>
      <c r="D1569" s="108" t="s">
        <v>11</v>
      </c>
      <c r="E1569" s="108" t="s">
        <v>51</v>
      </c>
      <c r="F1569" s="131" t="s">
        <v>750</v>
      </c>
      <c r="G1569" s="131" t="s">
        <v>9</v>
      </c>
      <c r="H1569" s="126">
        <v>153140</v>
      </c>
      <c r="I1569" s="14">
        <v>8010000000</v>
      </c>
      <c r="J1569" s="14" t="str">
        <f t="shared" si="98"/>
        <v>8010000000</v>
      </c>
      <c r="K1569" s="304" t="str">
        <f t="shared" si="99"/>
        <v>61701138010000000000</v>
      </c>
      <c r="L1569" s="17" t="str">
        <f>INDEX('реш СГД № 265'!$A:$N,MATCH('БА расх 2018 31 12 2018'!$K1569,'реш СГД № 265'!$N:$N,0),3)</f>
        <v>Непрограммные расходы в рамках обеспечения деятельности администрации Ленинского района города Ставрополя</v>
      </c>
      <c r="M1569" s="16">
        <f t="shared" si="100"/>
        <v>1</v>
      </c>
    </row>
    <row r="1570" spans="1:13" s="16" customFormat="1" ht="31.5">
      <c r="A1570" s="14"/>
      <c r="B1570" s="129" t="s">
        <v>187</v>
      </c>
      <c r="C1570" s="130" t="s">
        <v>746</v>
      </c>
      <c r="D1570" s="108" t="s">
        <v>11</v>
      </c>
      <c r="E1570" s="108" t="s">
        <v>51</v>
      </c>
      <c r="F1570" s="131" t="s">
        <v>1310</v>
      </c>
      <c r="G1570" s="131" t="s">
        <v>9</v>
      </c>
      <c r="H1570" s="126">
        <v>153140</v>
      </c>
      <c r="I1570" s="14">
        <v>8010020050</v>
      </c>
      <c r="J1570" s="14" t="str">
        <f t="shared" si="98"/>
        <v>8010020050</v>
      </c>
      <c r="K1570" s="304" t="str">
        <f t="shared" ref="K1570:K1644" si="101">C1570&amp;D1570&amp;E1570&amp;J1570&amp;G1570</f>
        <v>61701138010020050000</v>
      </c>
      <c r="L1570" s="17" t="str">
        <f>INDEX('реш СГД № 265'!$A:$N,MATCH('БА расх 2018 31 12 2018'!$K1570,'реш СГД № 265'!$N:$N,0),3)</f>
        <v>Расходы на выплаты на основании исполнительных листов судебных органов</v>
      </c>
      <c r="M1570" s="16">
        <f t="shared" si="100"/>
        <v>1</v>
      </c>
    </row>
    <row r="1571" spans="1:13" s="16" customFormat="1" ht="15.75">
      <c r="A1571" s="14"/>
      <c r="B1571" s="125" t="s">
        <v>189</v>
      </c>
      <c r="C1571" s="130" t="s">
        <v>746</v>
      </c>
      <c r="D1571" s="108" t="s">
        <v>11</v>
      </c>
      <c r="E1571" s="108" t="s">
        <v>51</v>
      </c>
      <c r="F1571" s="131" t="s">
        <v>1310</v>
      </c>
      <c r="G1571" s="131" t="s">
        <v>190</v>
      </c>
      <c r="H1571" s="126">
        <v>153140</v>
      </c>
      <c r="I1571" s="14">
        <v>8010020050</v>
      </c>
      <c r="J1571" s="14" t="str">
        <f t="shared" ref="J1571:J1645" si="102">TEXT(I1571,"0000000000")</f>
        <v>8010020050</v>
      </c>
      <c r="K1571" s="304" t="str">
        <f t="shared" si="101"/>
        <v>61701138010020050830</v>
      </c>
      <c r="L1571" s="17" t="str">
        <f>INDEX('реш СГД № 265'!$A:$N,MATCH('БА расх 2018 31 12 2018'!$K1571,'реш СГД № 265'!$N:$N,0),3)</f>
        <v>Исполнение судебных актов</v>
      </c>
      <c r="M1571" s="16">
        <f t="shared" ref="M1571:M1645" si="103">IF(B1571=L1571,1,0)</f>
        <v>1</v>
      </c>
    </row>
    <row r="1572" spans="1:13" s="16" customFormat="1" ht="31.5">
      <c r="A1572" s="14"/>
      <c r="B1572" s="125" t="s">
        <v>191</v>
      </c>
      <c r="C1572" s="130" t="s">
        <v>746</v>
      </c>
      <c r="D1572" s="108" t="s">
        <v>11</v>
      </c>
      <c r="E1572" s="108" t="s">
        <v>51</v>
      </c>
      <c r="F1572" s="131" t="s">
        <v>1310</v>
      </c>
      <c r="G1572" s="131" t="s">
        <v>192</v>
      </c>
      <c r="H1572" s="126">
        <v>153140</v>
      </c>
      <c r="I1572" s="14">
        <v>8010020050</v>
      </c>
      <c r="J1572" s="14" t="str">
        <f t="shared" si="102"/>
        <v>8010020050</v>
      </c>
      <c r="K1572" s="304" t="str">
        <f t="shared" si="101"/>
        <v>61701138010020050831</v>
      </c>
      <c r="L1572" s="17"/>
    </row>
    <row r="1573" spans="1:13" s="16" customFormat="1" ht="47.25">
      <c r="A1573" s="14"/>
      <c r="B1573" s="127" t="s">
        <v>87</v>
      </c>
      <c r="C1573" s="109" t="s">
        <v>746</v>
      </c>
      <c r="D1573" s="108" t="s">
        <v>11</v>
      </c>
      <c r="E1573" s="108" t="s">
        <v>51</v>
      </c>
      <c r="F1573" s="14" t="s">
        <v>88</v>
      </c>
      <c r="G1573" s="108" t="s">
        <v>9</v>
      </c>
      <c r="H1573" s="126">
        <v>1281496</v>
      </c>
      <c r="I1573" s="14">
        <v>9800000000</v>
      </c>
      <c r="J1573" s="14" t="str">
        <f t="shared" si="102"/>
        <v>9800000000</v>
      </c>
      <c r="K1573" s="304" t="str">
        <f t="shared" si="101"/>
        <v>61701139800000000000</v>
      </c>
      <c r="L1573" s="17" t="str">
        <f>INDEX('реш СГД № 265'!$A:$N,MATCH('БА расх 2018 31 12 2018'!$K1573,'реш СГД № 265'!$N:$N,0),3)</f>
        <v>Реализация иных функций Ставропольской городской Думы, администрации города Ставрополя, ее отраслевых (функциональных) и территориальных органов</v>
      </c>
      <c r="M1573" s="16">
        <f t="shared" si="103"/>
        <v>1</v>
      </c>
    </row>
    <row r="1574" spans="1:13" s="16" customFormat="1" ht="15.75">
      <c r="A1574" s="14"/>
      <c r="B1574" s="127" t="s">
        <v>89</v>
      </c>
      <c r="C1574" s="109" t="s">
        <v>746</v>
      </c>
      <c r="D1574" s="108" t="s">
        <v>11</v>
      </c>
      <c r="E1574" s="108" t="s">
        <v>51</v>
      </c>
      <c r="F1574" s="14" t="s">
        <v>90</v>
      </c>
      <c r="G1574" s="108" t="s">
        <v>9</v>
      </c>
      <c r="H1574" s="126">
        <v>1281496</v>
      </c>
      <c r="I1574" s="14">
        <v>9810000000</v>
      </c>
      <c r="J1574" s="14" t="str">
        <f t="shared" si="102"/>
        <v>9810000000</v>
      </c>
      <c r="K1574" s="304" t="str">
        <f t="shared" si="101"/>
        <v>61701139810000000000</v>
      </c>
      <c r="L1574" s="17" t="str">
        <f>INDEX('реш СГД № 265'!$A:$N,MATCH('БА расх 2018 31 12 2018'!$K1574,'реш СГД № 265'!$N:$N,0),3)</f>
        <v>Иные непрограммные мероприятия</v>
      </c>
      <c r="M1574" s="16">
        <f t="shared" si="103"/>
        <v>1</v>
      </c>
    </row>
    <row r="1575" spans="1:13" s="16" customFormat="1" ht="63">
      <c r="A1575" s="14"/>
      <c r="B1575" s="127" t="s">
        <v>758</v>
      </c>
      <c r="C1575" s="109" t="s">
        <v>746</v>
      </c>
      <c r="D1575" s="108" t="s">
        <v>11</v>
      </c>
      <c r="E1575" s="108" t="s">
        <v>51</v>
      </c>
      <c r="F1575" s="14" t="s">
        <v>759</v>
      </c>
      <c r="G1575" s="108" t="s">
        <v>9</v>
      </c>
      <c r="H1575" s="126">
        <v>1215210</v>
      </c>
      <c r="I1575" s="14">
        <v>9810021020</v>
      </c>
      <c r="J1575" s="14" t="str">
        <f t="shared" si="102"/>
        <v>9810021020</v>
      </c>
      <c r="K1575" s="304" t="str">
        <f t="shared" si="101"/>
        <v>61701139810021020000</v>
      </c>
      <c r="L1575" s="17" t="str">
        <f>INDEX('реш СГД № 265'!$A:$N,MATCH('БА расх 2018 31 12 2018'!$K1575,'реш СГД № 265'!$N:$N,0),3)</f>
        <v>Расходы на проведение ремонтных работ в помещениях для размещения участковых избирательных комиссий и для голосования, находящихся в муниципальной собственности города Ставрополя</v>
      </c>
      <c r="M1575" s="16">
        <f t="shared" si="103"/>
        <v>1</v>
      </c>
    </row>
    <row r="1576" spans="1:13" s="16" customFormat="1" ht="31.5">
      <c r="A1576" s="14"/>
      <c r="B1576" s="125" t="s">
        <v>28</v>
      </c>
      <c r="C1576" s="109" t="s">
        <v>746</v>
      </c>
      <c r="D1576" s="108" t="s">
        <v>11</v>
      </c>
      <c r="E1576" s="108" t="s">
        <v>51</v>
      </c>
      <c r="F1576" s="14" t="s">
        <v>759</v>
      </c>
      <c r="G1576" s="131" t="s">
        <v>29</v>
      </c>
      <c r="H1576" s="126">
        <v>1215210</v>
      </c>
      <c r="I1576" s="14">
        <v>9810021020</v>
      </c>
      <c r="J1576" s="14" t="str">
        <f t="shared" si="102"/>
        <v>9810021020</v>
      </c>
      <c r="K1576" s="304" t="str">
        <f t="shared" si="101"/>
        <v>61701139810021020240</v>
      </c>
      <c r="L1576" s="17" t="str">
        <f>INDEX('реш СГД № 265'!$A:$N,MATCH('БА расх 2018 31 12 2018'!$K1576,'реш СГД № 265'!$N:$N,0),3)</f>
        <v>Иные закупки товаров, работ и услуг для обеспечения государственных (муниципальных) нужд</v>
      </c>
      <c r="M1576" s="16">
        <f t="shared" si="103"/>
        <v>1</v>
      </c>
    </row>
    <row r="1577" spans="1:13" s="16" customFormat="1" ht="15.75">
      <c r="A1577" s="14"/>
      <c r="B1577" s="125" t="s">
        <v>30</v>
      </c>
      <c r="C1577" s="109" t="s">
        <v>746</v>
      </c>
      <c r="D1577" s="108" t="s">
        <v>11</v>
      </c>
      <c r="E1577" s="108" t="s">
        <v>51</v>
      </c>
      <c r="F1577" s="14" t="s">
        <v>759</v>
      </c>
      <c r="G1577" s="131" t="s">
        <v>31</v>
      </c>
      <c r="H1577" s="105">
        <v>1215210</v>
      </c>
      <c r="I1577" s="14">
        <v>9810021020</v>
      </c>
      <c r="J1577" s="14" t="str">
        <f t="shared" si="102"/>
        <v>9810021020</v>
      </c>
      <c r="K1577" s="304" t="str">
        <f t="shared" si="101"/>
        <v>61701139810021020244</v>
      </c>
      <c r="L1577" s="17"/>
    </row>
    <row r="1578" spans="1:13" s="16" customFormat="1" ht="30.75" customHeight="1">
      <c r="A1578" s="14"/>
      <c r="B1578" s="125" t="s">
        <v>2432</v>
      </c>
      <c r="C1578" s="109" t="s">
        <v>746</v>
      </c>
      <c r="D1578" s="108" t="s">
        <v>11</v>
      </c>
      <c r="E1578" s="108" t="s">
        <v>51</v>
      </c>
      <c r="F1578" s="14" t="s">
        <v>283</v>
      </c>
      <c r="G1578" s="108" t="s">
        <v>9</v>
      </c>
      <c r="H1578" s="126">
        <v>66286</v>
      </c>
      <c r="I1578" s="14">
        <v>9810021350</v>
      </c>
      <c r="J1578" s="14" t="str">
        <f>TEXT(I1578,"0000000000")</f>
        <v>9810021350</v>
      </c>
      <c r="K1578" s="304" t="str">
        <f>C1578&amp;D1578&amp;E1578&amp;J1578&amp;G1578</f>
        <v>61701139810021350000</v>
      </c>
      <c r="L1578" s="17" t="e">
        <f>INDEX('реш СГД № 265'!$A:$N,MATCH('БА расх 2018 31 12 2018'!$K1578,'реш СГД № 265'!$N:$N,0),3)</f>
        <v>#N/A</v>
      </c>
    </row>
    <row r="1579" spans="1:13" s="16" customFormat="1" ht="31.5" customHeight="1">
      <c r="A1579" s="14"/>
      <c r="B1579" s="125" t="s">
        <v>28</v>
      </c>
      <c r="C1579" s="109" t="s">
        <v>746</v>
      </c>
      <c r="D1579" s="108" t="s">
        <v>11</v>
      </c>
      <c r="E1579" s="108" t="s">
        <v>51</v>
      </c>
      <c r="F1579" s="14" t="s">
        <v>283</v>
      </c>
      <c r="G1579" s="108" t="s">
        <v>29</v>
      </c>
      <c r="H1579" s="126">
        <v>66286</v>
      </c>
      <c r="I1579" s="14">
        <v>9810021350</v>
      </c>
      <c r="J1579" s="14" t="str">
        <f>TEXT(I1579,"0000000000")</f>
        <v>9810021350</v>
      </c>
      <c r="K1579" s="304" t="str">
        <f>C1579&amp;D1579&amp;E1579&amp;J1579&amp;G1579</f>
        <v>61701139810021350240</v>
      </c>
      <c r="L1579" s="17" t="e">
        <f>INDEX('реш СГД № 265'!$A:$N,MATCH('БА расх 2018 31 12 2018'!$K1579,'реш СГД № 265'!$N:$N,0),3)</f>
        <v>#N/A</v>
      </c>
    </row>
    <row r="1580" spans="1:13" s="16" customFormat="1" ht="21.75" customHeight="1">
      <c r="A1580" s="14"/>
      <c r="B1580" s="125" t="s">
        <v>30</v>
      </c>
      <c r="C1580" s="109" t="s">
        <v>746</v>
      </c>
      <c r="D1580" s="108" t="s">
        <v>11</v>
      </c>
      <c r="E1580" s="108" t="s">
        <v>51</v>
      </c>
      <c r="F1580" s="14" t="s">
        <v>283</v>
      </c>
      <c r="G1580" s="108" t="s">
        <v>31</v>
      </c>
      <c r="H1580" s="126">
        <v>66286</v>
      </c>
      <c r="I1580" s="14">
        <v>9810021350</v>
      </c>
      <c r="J1580" s="14" t="str">
        <f>TEXT(I1580,"0000000000")</f>
        <v>9810021350</v>
      </c>
      <c r="K1580" s="304" t="str">
        <f>C1580&amp;D1580&amp;E1580&amp;J1580&amp;G1580</f>
        <v>61701139810021350244</v>
      </c>
      <c r="L1580" s="17"/>
    </row>
    <row r="1581" spans="1:13" s="16" customFormat="1" ht="15.75">
      <c r="A1581" s="14"/>
      <c r="B1581" s="117" t="s">
        <v>195</v>
      </c>
      <c r="C1581" s="118" t="s">
        <v>746</v>
      </c>
      <c r="D1581" s="119" t="s">
        <v>73</v>
      </c>
      <c r="E1581" s="119" t="s">
        <v>7</v>
      </c>
      <c r="F1581" s="119" t="s">
        <v>8</v>
      </c>
      <c r="G1581" s="119" t="s">
        <v>9</v>
      </c>
      <c r="H1581" s="120">
        <v>80090634.859999999</v>
      </c>
      <c r="I1581" s="119">
        <v>0</v>
      </c>
      <c r="J1581" s="108" t="str">
        <f t="shared" si="102"/>
        <v>0000000000</v>
      </c>
      <c r="K1581" s="304" t="str">
        <f t="shared" si="101"/>
        <v>61704000000000000000</v>
      </c>
      <c r="L1581" s="17" t="str">
        <f>INDEX('реш СГД № 265'!$A:$N,MATCH('БА расх 2018 31 12 2018'!$K1581,'реш СГД № 265'!$N:$N,0),3)</f>
        <v>Национальная экономика</v>
      </c>
      <c r="M1581" s="16">
        <f t="shared" si="103"/>
        <v>1</v>
      </c>
    </row>
    <row r="1582" spans="1:13" s="16" customFormat="1" ht="15.75">
      <c r="A1582" s="14"/>
      <c r="B1582" s="121" t="s">
        <v>760</v>
      </c>
      <c r="C1582" s="122" t="s">
        <v>746</v>
      </c>
      <c r="D1582" s="123" t="s">
        <v>73</v>
      </c>
      <c r="E1582" s="123" t="s">
        <v>471</v>
      </c>
      <c r="F1582" s="123" t="s">
        <v>8</v>
      </c>
      <c r="G1582" s="123" t="s">
        <v>9</v>
      </c>
      <c r="H1582" s="124">
        <v>80090634.859999999</v>
      </c>
      <c r="I1582" s="123">
        <v>0</v>
      </c>
      <c r="J1582" s="108" t="str">
        <f t="shared" si="102"/>
        <v>0000000000</v>
      </c>
      <c r="K1582" s="304" t="str">
        <f t="shared" si="101"/>
        <v>61704090000000000000</v>
      </c>
      <c r="L1582" s="17" t="str">
        <f>INDEX('реш СГД № 265'!$A:$N,MATCH('БА расх 2018 31 12 2018'!$K1582,'реш СГД № 265'!$N:$N,0),3)</f>
        <v>Дорожное хозяйство (дорожные фонды)</v>
      </c>
      <c r="M1582" s="16">
        <f t="shared" si="103"/>
        <v>1</v>
      </c>
    </row>
    <row r="1583" spans="1:13" s="16" customFormat="1" ht="63">
      <c r="A1583" s="14"/>
      <c r="B1583" s="127" t="s">
        <v>293</v>
      </c>
      <c r="C1583" s="130" t="s">
        <v>746</v>
      </c>
      <c r="D1583" s="131" t="s">
        <v>73</v>
      </c>
      <c r="E1583" s="131" t="s">
        <v>471</v>
      </c>
      <c r="F1583" s="131" t="s">
        <v>294</v>
      </c>
      <c r="G1583" s="131" t="s">
        <v>9</v>
      </c>
      <c r="H1583" s="105">
        <v>78272368.859999999</v>
      </c>
      <c r="I1583" s="131">
        <v>400000000</v>
      </c>
      <c r="J1583" s="131" t="str">
        <f t="shared" si="102"/>
        <v>0400000000</v>
      </c>
      <c r="K1583" s="304" t="str">
        <f t="shared" si="101"/>
        <v>61704090400000000000</v>
      </c>
      <c r="L1583" s="17" t="str">
        <f>INDEX('реш СГД № 265'!$A:$N,MATCH('БА расх 2018 31 12 2018'!$K1583,'реш СГД № 265'!$N:$N,0),3)</f>
        <v>Муниципальная программа «Развитие жилищно-коммунального хозяйства, транспортной системы на территории города Ставрополя, благоустройство территории города Ставрополя»</v>
      </c>
      <c r="M1583" s="16">
        <f t="shared" si="103"/>
        <v>1</v>
      </c>
    </row>
    <row r="1584" spans="1:13" s="16" customFormat="1" ht="63">
      <c r="A1584" s="14"/>
      <c r="B1584" s="140" t="s">
        <v>295</v>
      </c>
      <c r="C1584" s="130" t="s">
        <v>746</v>
      </c>
      <c r="D1584" s="131" t="s">
        <v>73</v>
      </c>
      <c r="E1584" s="131" t="s">
        <v>471</v>
      </c>
      <c r="F1584" s="131" t="s">
        <v>296</v>
      </c>
      <c r="G1584" s="131" t="s">
        <v>9</v>
      </c>
      <c r="H1584" s="105">
        <v>78272368.859999999</v>
      </c>
      <c r="I1584" s="131">
        <v>420000000</v>
      </c>
      <c r="J1584" s="131" t="str">
        <f t="shared" si="102"/>
        <v>0420000000</v>
      </c>
      <c r="K1584" s="304" t="str">
        <f t="shared" si="101"/>
        <v>61704090420000000000</v>
      </c>
      <c r="L1584" s="17" t="str">
        <f>INDEX('реш СГД № 265'!$A:$N,MATCH('БА расх 2018 31 12 2018'!$K1584,'реш СГД № 265'!$N:$N,0),3)</f>
        <v xml:space="preserve">Подпрограмма «Дорожная деятельность и обеспечение безопасности дорожного движения, организация транспортного обслуживания населения на территории города Ставрополя» </v>
      </c>
      <c r="M1584" s="16">
        <f t="shared" si="103"/>
        <v>1</v>
      </c>
    </row>
    <row r="1585" spans="1:13" s="16" customFormat="1" ht="63">
      <c r="A1585" s="14"/>
      <c r="B1585" s="140" t="s">
        <v>297</v>
      </c>
      <c r="C1585" s="130" t="s">
        <v>746</v>
      </c>
      <c r="D1585" s="131" t="s">
        <v>73</v>
      </c>
      <c r="E1585" s="131" t="s">
        <v>471</v>
      </c>
      <c r="F1585" s="131" t="s">
        <v>298</v>
      </c>
      <c r="G1585" s="131" t="s">
        <v>9</v>
      </c>
      <c r="H1585" s="105">
        <v>78272368.859999999</v>
      </c>
      <c r="I1585" s="131">
        <v>420200000</v>
      </c>
      <c r="J1585" s="131" t="str">
        <f t="shared" si="102"/>
        <v>0420200000</v>
      </c>
      <c r="K1585" s="304" t="str">
        <f t="shared" si="101"/>
        <v>61704090420200000000</v>
      </c>
      <c r="L1585" s="17" t="str">
        <f>INDEX('реш СГД № 265'!$A:$N,MATCH('БА расх 2018 31 12 2018'!$K1585,'реш СГД № 265'!$N:$N,0),3)</f>
        <v>Основное мероприятие «Организация дорожной деятельности в отношении автомобильных дорог общего пользования местного значения в границах города Ставрополя»</v>
      </c>
      <c r="M1585" s="16">
        <f t="shared" si="103"/>
        <v>1</v>
      </c>
    </row>
    <row r="1586" spans="1:13" s="47" customFormat="1" ht="31.5">
      <c r="A1586" s="46"/>
      <c r="B1586" s="125" t="s">
        <v>761</v>
      </c>
      <c r="C1586" s="109" t="s">
        <v>746</v>
      </c>
      <c r="D1586" s="108" t="s">
        <v>73</v>
      </c>
      <c r="E1586" s="108" t="s">
        <v>471</v>
      </c>
      <c r="F1586" s="108" t="s">
        <v>762</v>
      </c>
      <c r="G1586" s="108" t="s">
        <v>9</v>
      </c>
      <c r="H1586" s="126">
        <v>10882407.859999999</v>
      </c>
      <c r="I1586" s="108">
        <v>420220820</v>
      </c>
      <c r="J1586" s="108" t="str">
        <f t="shared" si="102"/>
        <v>0420220820</v>
      </c>
      <c r="K1586" s="304" t="str">
        <f t="shared" si="101"/>
        <v>61704090420220820000</v>
      </c>
      <c r="L1586" s="17" t="str">
        <f>INDEX('реш СГД № 265'!$A:$N,MATCH('БА расх 2018 31 12 2018'!$K1586,'реш СГД № 265'!$N:$N,0),3)</f>
        <v>Расходы на ремонт и содержание внутриквартальных автомобильных дорог общего пользования местного значения</v>
      </c>
      <c r="M1586" s="16">
        <f t="shared" si="103"/>
        <v>1</v>
      </c>
    </row>
    <row r="1587" spans="1:13" s="47" customFormat="1" ht="31.5">
      <c r="A1587" s="46"/>
      <c r="B1587" s="125" t="s">
        <v>28</v>
      </c>
      <c r="C1587" s="109" t="s">
        <v>746</v>
      </c>
      <c r="D1587" s="108" t="s">
        <v>73</v>
      </c>
      <c r="E1587" s="108" t="s">
        <v>471</v>
      </c>
      <c r="F1587" s="108" t="s">
        <v>762</v>
      </c>
      <c r="G1587" s="108" t="s">
        <v>29</v>
      </c>
      <c r="H1587" s="126">
        <v>10882407.859999999</v>
      </c>
      <c r="I1587" s="108">
        <v>420220820</v>
      </c>
      <c r="J1587" s="108" t="str">
        <f t="shared" si="102"/>
        <v>0420220820</v>
      </c>
      <c r="K1587" s="304" t="str">
        <f t="shared" si="101"/>
        <v>61704090420220820240</v>
      </c>
      <c r="L1587" s="17" t="str">
        <f>INDEX('реш СГД № 265'!$A:$N,MATCH('БА расх 2018 31 12 2018'!$K1587,'реш СГД № 265'!$N:$N,0),3)</f>
        <v>Иные закупки товаров, работ и услуг для обеспечения государственных (муниципальных) нужд</v>
      </c>
      <c r="M1587" s="16">
        <f t="shared" si="103"/>
        <v>1</v>
      </c>
    </row>
    <row r="1588" spans="1:13" s="47" customFormat="1" ht="15.75">
      <c r="A1588" s="46"/>
      <c r="B1588" s="125" t="s">
        <v>30</v>
      </c>
      <c r="C1588" s="109" t="s">
        <v>746</v>
      </c>
      <c r="D1588" s="108" t="s">
        <v>73</v>
      </c>
      <c r="E1588" s="108" t="s">
        <v>471</v>
      </c>
      <c r="F1588" s="108" t="s">
        <v>762</v>
      </c>
      <c r="G1588" s="108" t="s">
        <v>31</v>
      </c>
      <c r="H1588" s="126">
        <v>10882407.859999999</v>
      </c>
      <c r="I1588" s="108">
        <v>420220820</v>
      </c>
      <c r="J1588" s="108" t="str">
        <f t="shared" si="102"/>
        <v>0420220820</v>
      </c>
      <c r="K1588" s="304" t="str">
        <f t="shared" si="101"/>
        <v>61704090420220820244</v>
      </c>
      <c r="L1588" s="17"/>
      <c r="M1588" s="16"/>
    </row>
    <row r="1589" spans="1:13" s="16" customFormat="1" ht="31.5">
      <c r="A1589" s="14"/>
      <c r="B1589" s="125" t="s">
        <v>763</v>
      </c>
      <c r="C1589" s="109" t="s">
        <v>746</v>
      </c>
      <c r="D1589" s="108" t="s">
        <v>73</v>
      </c>
      <c r="E1589" s="108" t="s">
        <v>471</v>
      </c>
      <c r="F1589" s="108" t="s">
        <v>764</v>
      </c>
      <c r="G1589" s="108" t="s">
        <v>9</v>
      </c>
      <c r="H1589" s="126">
        <v>62925140</v>
      </c>
      <c r="I1589" s="108">
        <v>420221090</v>
      </c>
      <c r="J1589" s="108" t="str">
        <f t="shared" si="102"/>
        <v>0420221090</v>
      </c>
      <c r="K1589" s="304" t="str">
        <f t="shared" si="101"/>
        <v>61704090420221090000</v>
      </c>
      <c r="L1589" s="17" t="str">
        <f>INDEX('реш СГД № 265'!$A:$N,MATCH('БА расх 2018 31 12 2018'!$K1589,'реш СГД № 265'!$N:$N,0),3)</f>
        <v>Расходы на содержание автомобильных дорог общего пользования местного значения</v>
      </c>
      <c r="M1589" s="16">
        <f t="shared" si="103"/>
        <v>1</v>
      </c>
    </row>
    <row r="1590" spans="1:13" s="16" customFormat="1" ht="31.5">
      <c r="A1590" s="14"/>
      <c r="B1590" s="125" t="s">
        <v>28</v>
      </c>
      <c r="C1590" s="109" t="s">
        <v>746</v>
      </c>
      <c r="D1590" s="108" t="s">
        <v>73</v>
      </c>
      <c r="E1590" s="108" t="s">
        <v>471</v>
      </c>
      <c r="F1590" s="108" t="s">
        <v>764</v>
      </c>
      <c r="G1590" s="108" t="s">
        <v>29</v>
      </c>
      <c r="H1590" s="126">
        <v>62925140</v>
      </c>
      <c r="I1590" s="108">
        <v>420221090</v>
      </c>
      <c r="J1590" s="108" t="str">
        <f t="shared" si="102"/>
        <v>0420221090</v>
      </c>
      <c r="K1590" s="304" t="str">
        <f t="shared" si="101"/>
        <v>61704090420221090240</v>
      </c>
      <c r="L1590" s="17" t="str">
        <f>INDEX('реш СГД № 265'!$A:$N,MATCH('БА расх 2018 31 12 2018'!$K1590,'реш СГД № 265'!$N:$N,0),3)</f>
        <v>Иные закупки товаров, работ и услуг для обеспечения государственных (муниципальных) нужд</v>
      </c>
      <c r="M1590" s="16">
        <f t="shared" si="103"/>
        <v>1</v>
      </c>
    </row>
    <row r="1591" spans="1:13" s="16" customFormat="1" ht="15.75">
      <c r="A1591" s="14"/>
      <c r="B1591" s="125" t="s">
        <v>30</v>
      </c>
      <c r="C1591" s="109" t="s">
        <v>746</v>
      </c>
      <c r="D1591" s="108" t="s">
        <v>73</v>
      </c>
      <c r="E1591" s="108" t="s">
        <v>471</v>
      </c>
      <c r="F1591" s="108" t="s">
        <v>764</v>
      </c>
      <c r="G1591" s="108" t="s">
        <v>31</v>
      </c>
      <c r="H1591" s="126">
        <v>62925140</v>
      </c>
      <c r="I1591" s="108">
        <v>420221090</v>
      </c>
      <c r="J1591" s="108" t="str">
        <f t="shared" si="102"/>
        <v>0420221090</v>
      </c>
      <c r="K1591" s="304" t="str">
        <f t="shared" si="101"/>
        <v>61704090420221090244</v>
      </c>
      <c r="L1591" s="17"/>
    </row>
    <row r="1592" spans="1:13" s="16" customFormat="1" ht="78.75">
      <c r="A1592" s="14"/>
      <c r="B1592" s="125" t="s">
        <v>1075</v>
      </c>
      <c r="C1592" s="109" t="s">
        <v>746</v>
      </c>
      <c r="D1592" s="108" t="s">
        <v>73</v>
      </c>
      <c r="E1592" s="108" t="s">
        <v>471</v>
      </c>
      <c r="F1592" s="108" t="s">
        <v>1076</v>
      </c>
      <c r="G1592" s="108" t="s">
        <v>9</v>
      </c>
      <c r="H1592" s="126">
        <v>2000000</v>
      </c>
      <c r="I1592" s="108">
        <v>420221410</v>
      </c>
      <c r="J1592" s="108" t="str">
        <f t="shared" si="102"/>
        <v>0420221410</v>
      </c>
      <c r="K1592" s="304" t="str">
        <f t="shared" si="101"/>
        <v>61704090420221410000</v>
      </c>
      <c r="L1592" s="17" t="str">
        <f>INDEX('реш СГД № 265'!$A:$N,MATCH('БА расх 2018 31 12 2018'!$K1592,'реш СГД № 265'!$N:$N,0),3)</f>
        <v>Расходы за счет средств субсидии, выделяемой бюджету города Ставрополя из бюджета Ставропольского края на осуществление функций административного центра Ставропольского края, на ремонт автомобильных дорог общего пользования местного значения</v>
      </c>
      <c r="M1592" s="16">
        <f t="shared" si="103"/>
        <v>1</v>
      </c>
    </row>
    <row r="1593" spans="1:13" s="16" customFormat="1" ht="31.5">
      <c r="A1593" s="14"/>
      <c r="B1593" s="125" t="s">
        <v>28</v>
      </c>
      <c r="C1593" s="109" t="s">
        <v>746</v>
      </c>
      <c r="D1593" s="108" t="s">
        <v>73</v>
      </c>
      <c r="E1593" s="108" t="s">
        <v>471</v>
      </c>
      <c r="F1593" s="108" t="s">
        <v>1076</v>
      </c>
      <c r="G1593" s="108" t="s">
        <v>29</v>
      </c>
      <c r="H1593" s="126">
        <v>2000000</v>
      </c>
      <c r="I1593" s="108">
        <v>420221410</v>
      </c>
      <c r="J1593" s="108" t="str">
        <f t="shared" si="102"/>
        <v>0420221410</v>
      </c>
      <c r="K1593" s="304" t="str">
        <f t="shared" si="101"/>
        <v>61704090420221410240</v>
      </c>
      <c r="L1593" s="17" t="str">
        <f>INDEX('реш СГД № 265'!$A:$N,MATCH('БА расх 2018 31 12 2018'!$K1593,'реш СГД № 265'!$N:$N,0),3)</f>
        <v>Иные закупки товаров, работ и услуг для обеспечения государственных (муниципальных) нужд</v>
      </c>
      <c r="M1593" s="16">
        <f t="shared" si="103"/>
        <v>1</v>
      </c>
    </row>
    <row r="1594" spans="1:13" s="16" customFormat="1" ht="15.75">
      <c r="A1594" s="14"/>
      <c r="B1594" s="125" t="s">
        <v>30</v>
      </c>
      <c r="C1594" s="109" t="s">
        <v>746</v>
      </c>
      <c r="D1594" s="108" t="s">
        <v>73</v>
      </c>
      <c r="E1594" s="108" t="s">
        <v>471</v>
      </c>
      <c r="F1594" s="108" t="s">
        <v>1076</v>
      </c>
      <c r="G1594" s="108" t="s">
        <v>31</v>
      </c>
      <c r="H1594" s="126">
        <v>2000000</v>
      </c>
      <c r="I1594" s="108">
        <v>420221410</v>
      </c>
      <c r="J1594" s="108" t="str">
        <f t="shared" si="102"/>
        <v>0420221410</v>
      </c>
      <c r="K1594" s="304" t="str">
        <f t="shared" si="101"/>
        <v>61704090420221410244</v>
      </c>
      <c r="L1594" s="17"/>
    </row>
    <row r="1595" spans="1:13" s="16" customFormat="1" ht="55.5" customHeight="1">
      <c r="A1595" s="14"/>
      <c r="B1595" s="125" t="s">
        <v>2430</v>
      </c>
      <c r="C1595" s="109" t="s">
        <v>746</v>
      </c>
      <c r="D1595" s="108" t="s">
        <v>73</v>
      </c>
      <c r="E1595" s="108" t="s">
        <v>471</v>
      </c>
      <c r="F1595" s="108" t="s">
        <v>2383</v>
      </c>
      <c r="G1595" s="108" t="s">
        <v>9</v>
      </c>
      <c r="H1595" s="126">
        <v>1164821</v>
      </c>
      <c r="I1595" s="108" t="s">
        <v>2384</v>
      </c>
      <c r="J1595" s="108" t="str">
        <f t="shared" ref="J1595:J1597" si="104">TEXT(I1595,"0000000000")</f>
        <v>0420276416</v>
      </c>
      <c r="K1595" s="304" t="str">
        <f t="shared" ref="K1595:K1597" si="105">C1595&amp;D1595&amp;E1595&amp;J1595&amp;G1595</f>
        <v>61704090420276416000</v>
      </c>
      <c r="L1595" s="17" t="e">
        <f>INDEX('реш СГД № 265'!$A:$N,MATCH('БА расх 2018 31 12 2018'!$K1595,'реш СГД № 265'!$N:$N,0),3)</f>
        <v>#N/A</v>
      </c>
    </row>
    <row r="1596" spans="1:13" s="16" customFormat="1" ht="31.5">
      <c r="A1596" s="14"/>
      <c r="B1596" s="125" t="s">
        <v>28</v>
      </c>
      <c r="C1596" s="109" t="s">
        <v>746</v>
      </c>
      <c r="D1596" s="108" t="s">
        <v>73</v>
      </c>
      <c r="E1596" s="108" t="s">
        <v>471</v>
      </c>
      <c r="F1596" s="108" t="s">
        <v>2383</v>
      </c>
      <c r="G1596" s="108" t="s">
        <v>29</v>
      </c>
      <c r="H1596" s="126">
        <v>1164821</v>
      </c>
      <c r="I1596" s="108" t="s">
        <v>2384</v>
      </c>
      <c r="J1596" s="108" t="str">
        <f t="shared" si="104"/>
        <v>0420276416</v>
      </c>
      <c r="K1596" s="304" t="str">
        <f t="shared" si="105"/>
        <v>61704090420276416240</v>
      </c>
      <c r="L1596" s="17" t="e">
        <f>INDEX('реш СГД № 265'!$A:$N,MATCH('БА расх 2018 31 12 2018'!$K1596,'реш СГД № 265'!$N:$N,0),3)</f>
        <v>#N/A</v>
      </c>
    </row>
    <row r="1597" spans="1:13" s="16" customFormat="1" ht="15.75">
      <c r="A1597" s="14"/>
      <c r="B1597" s="125" t="s">
        <v>30</v>
      </c>
      <c r="C1597" s="109" t="s">
        <v>746</v>
      </c>
      <c r="D1597" s="108" t="s">
        <v>73</v>
      </c>
      <c r="E1597" s="108" t="s">
        <v>471</v>
      </c>
      <c r="F1597" s="108" t="s">
        <v>2383</v>
      </c>
      <c r="G1597" s="108" t="s">
        <v>31</v>
      </c>
      <c r="H1597" s="126">
        <v>1164821</v>
      </c>
      <c r="I1597" s="108" t="s">
        <v>2384</v>
      </c>
      <c r="J1597" s="108" t="str">
        <f t="shared" si="104"/>
        <v>0420276416</v>
      </c>
      <c r="K1597" s="304" t="str">
        <f t="shared" si="105"/>
        <v>61704090420276416244</v>
      </c>
      <c r="L1597" s="17"/>
    </row>
    <row r="1598" spans="1:13" s="16" customFormat="1" ht="64.5" customHeight="1">
      <c r="A1598" s="14"/>
      <c r="B1598" s="125" t="s">
        <v>2431</v>
      </c>
      <c r="C1598" s="109" t="s">
        <v>746</v>
      </c>
      <c r="D1598" s="108" t="s">
        <v>73</v>
      </c>
      <c r="E1598" s="108" t="s">
        <v>471</v>
      </c>
      <c r="F1598" s="108" t="s">
        <v>1319</v>
      </c>
      <c r="G1598" s="108" t="s">
        <v>9</v>
      </c>
      <c r="H1598" s="126">
        <v>1300000</v>
      </c>
      <c r="I1598" s="108" t="s">
        <v>2385</v>
      </c>
      <c r="J1598" s="108" t="str">
        <f t="shared" ref="J1598:J1600" si="106">TEXT(I1598,"0000000000")</f>
        <v>0420276417</v>
      </c>
      <c r="K1598" s="304" t="str">
        <f t="shared" ref="K1598:K1600" si="107">C1598&amp;D1598&amp;E1598&amp;J1598&amp;G1598</f>
        <v>61704090420276417000</v>
      </c>
      <c r="L1598" s="17" t="e">
        <f>INDEX('реш СГД № 265'!$A:$N,MATCH('БА расх 2018 31 12 2018'!$K1598,'реш СГД № 265'!$N:$N,0),3)</f>
        <v>#N/A</v>
      </c>
    </row>
    <row r="1599" spans="1:13" s="16" customFormat="1" ht="31.5">
      <c r="A1599" s="14"/>
      <c r="B1599" s="125" t="s">
        <v>28</v>
      </c>
      <c r="C1599" s="109" t="s">
        <v>746</v>
      </c>
      <c r="D1599" s="108" t="s">
        <v>73</v>
      </c>
      <c r="E1599" s="108" t="s">
        <v>471</v>
      </c>
      <c r="F1599" s="108" t="s">
        <v>1319</v>
      </c>
      <c r="G1599" s="108" t="s">
        <v>29</v>
      </c>
      <c r="H1599" s="126">
        <v>1300000</v>
      </c>
      <c r="I1599" s="108" t="s">
        <v>2385</v>
      </c>
      <c r="J1599" s="108" t="str">
        <f t="shared" si="106"/>
        <v>0420276417</v>
      </c>
      <c r="K1599" s="304" t="str">
        <f t="shared" si="107"/>
        <v>61704090420276417240</v>
      </c>
      <c r="L1599" s="17" t="e">
        <f>INDEX('реш СГД № 265'!$A:$N,MATCH('БА расх 2018 31 12 2018'!$K1599,'реш СГД № 265'!$N:$N,0),3)</f>
        <v>#N/A</v>
      </c>
    </row>
    <row r="1600" spans="1:13" s="16" customFormat="1" ht="15.75">
      <c r="A1600" s="14"/>
      <c r="B1600" s="125" t="s">
        <v>30</v>
      </c>
      <c r="C1600" s="109" t="s">
        <v>746</v>
      </c>
      <c r="D1600" s="108" t="s">
        <v>73</v>
      </c>
      <c r="E1600" s="108" t="s">
        <v>471</v>
      </c>
      <c r="F1600" s="108" t="s">
        <v>1319</v>
      </c>
      <c r="G1600" s="108" t="s">
        <v>31</v>
      </c>
      <c r="H1600" s="126">
        <v>1300000</v>
      </c>
      <c r="I1600" s="108" t="s">
        <v>2385</v>
      </c>
      <c r="J1600" s="108" t="str">
        <f t="shared" si="106"/>
        <v>0420276417</v>
      </c>
      <c r="K1600" s="304" t="str">
        <f t="shared" si="107"/>
        <v>61704090420276417244</v>
      </c>
      <c r="L1600" s="17"/>
    </row>
    <row r="1601" spans="1:13" s="16" customFormat="1" ht="47.25">
      <c r="A1601" s="14"/>
      <c r="B1601" s="140" t="s">
        <v>87</v>
      </c>
      <c r="C1601" s="109" t="s">
        <v>746</v>
      </c>
      <c r="D1601" s="108" t="s">
        <v>73</v>
      </c>
      <c r="E1601" s="108" t="s">
        <v>471</v>
      </c>
      <c r="F1601" s="131" t="s">
        <v>88</v>
      </c>
      <c r="G1601" s="131" t="s">
        <v>9</v>
      </c>
      <c r="H1601" s="105">
        <v>1818266</v>
      </c>
      <c r="I1601" s="108">
        <v>9800000000</v>
      </c>
      <c r="J1601" s="108" t="str">
        <f t="shared" si="102"/>
        <v>9800000000</v>
      </c>
      <c r="K1601" s="304" t="str">
        <f t="shared" si="101"/>
        <v>61704099800000000000</v>
      </c>
      <c r="L1601" s="17"/>
    </row>
    <row r="1602" spans="1:13" s="16" customFormat="1" ht="15.75">
      <c r="A1602" s="14"/>
      <c r="B1602" s="140" t="s">
        <v>89</v>
      </c>
      <c r="C1602" s="109" t="s">
        <v>746</v>
      </c>
      <c r="D1602" s="108" t="s">
        <v>73</v>
      </c>
      <c r="E1602" s="108" t="s">
        <v>471</v>
      </c>
      <c r="F1602" s="131" t="s">
        <v>90</v>
      </c>
      <c r="G1602" s="131" t="s">
        <v>9</v>
      </c>
      <c r="H1602" s="105">
        <v>1818266</v>
      </c>
      <c r="I1602" s="108">
        <v>9810000000</v>
      </c>
      <c r="J1602" s="108" t="str">
        <f t="shared" si="102"/>
        <v>9810000000</v>
      </c>
      <c r="K1602" s="304" t="str">
        <f t="shared" si="101"/>
        <v>61704099810000000000</v>
      </c>
      <c r="L1602" s="17"/>
    </row>
    <row r="1603" spans="1:13" s="16" customFormat="1" ht="15.75">
      <c r="A1603" s="14"/>
      <c r="B1603" s="125" t="s">
        <v>778</v>
      </c>
      <c r="C1603" s="109" t="s">
        <v>746</v>
      </c>
      <c r="D1603" s="108" t="s">
        <v>73</v>
      </c>
      <c r="E1603" s="108" t="s">
        <v>471</v>
      </c>
      <c r="F1603" s="131" t="s">
        <v>779</v>
      </c>
      <c r="G1603" s="131" t="s">
        <v>9</v>
      </c>
      <c r="H1603" s="105">
        <v>1818266</v>
      </c>
      <c r="I1603" s="108">
        <v>9810021450</v>
      </c>
      <c r="J1603" s="108" t="str">
        <f t="shared" si="102"/>
        <v>9810021450</v>
      </c>
      <c r="K1603" s="304" t="str">
        <f t="shared" si="101"/>
        <v>61704099810021450000</v>
      </c>
      <c r="L1603" s="17"/>
    </row>
    <row r="1604" spans="1:13" s="16" customFormat="1" ht="31.5">
      <c r="A1604" s="14"/>
      <c r="B1604" s="125" t="s">
        <v>28</v>
      </c>
      <c r="C1604" s="109" t="s">
        <v>746</v>
      </c>
      <c r="D1604" s="108" t="s">
        <v>73</v>
      </c>
      <c r="E1604" s="108" t="s">
        <v>471</v>
      </c>
      <c r="F1604" s="131" t="s">
        <v>779</v>
      </c>
      <c r="G1604" s="131" t="s">
        <v>29</v>
      </c>
      <c r="H1604" s="126">
        <v>1818266</v>
      </c>
      <c r="I1604" s="108">
        <v>9810021450</v>
      </c>
      <c r="J1604" s="108" t="str">
        <f t="shared" si="102"/>
        <v>9810021450</v>
      </c>
      <c r="K1604" s="304" t="str">
        <f t="shared" si="101"/>
        <v>61704099810021450240</v>
      </c>
      <c r="L1604" s="17"/>
    </row>
    <row r="1605" spans="1:13" s="16" customFormat="1" ht="15.75">
      <c r="A1605" s="14"/>
      <c r="B1605" s="125" t="s">
        <v>30</v>
      </c>
      <c r="C1605" s="109" t="s">
        <v>746</v>
      </c>
      <c r="D1605" s="108" t="s">
        <v>73</v>
      </c>
      <c r="E1605" s="108" t="s">
        <v>471</v>
      </c>
      <c r="F1605" s="131" t="s">
        <v>779</v>
      </c>
      <c r="G1605" s="131" t="s">
        <v>31</v>
      </c>
      <c r="H1605" s="126">
        <v>1818266</v>
      </c>
      <c r="I1605" s="108">
        <v>9810021450</v>
      </c>
      <c r="J1605" s="108" t="str">
        <f t="shared" si="102"/>
        <v>9810021450</v>
      </c>
      <c r="K1605" s="304" t="str">
        <f t="shared" si="101"/>
        <v>61704099810021450244</v>
      </c>
      <c r="L1605" s="17"/>
    </row>
    <row r="1606" spans="1:13" s="16" customFormat="1" ht="15.75">
      <c r="A1606" s="14"/>
      <c r="B1606" s="117" t="s">
        <v>305</v>
      </c>
      <c r="C1606" s="118" t="s">
        <v>746</v>
      </c>
      <c r="D1606" s="119" t="s">
        <v>86</v>
      </c>
      <c r="E1606" s="119" t="s">
        <v>7</v>
      </c>
      <c r="F1606" s="119" t="s">
        <v>8</v>
      </c>
      <c r="G1606" s="119" t="s">
        <v>9</v>
      </c>
      <c r="H1606" s="120">
        <v>34724034.960000001</v>
      </c>
      <c r="I1606" s="119">
        <v>0</v>
      </c>
      <c r="J1606" s="119" t="str">
        <f t="shared" si="102"/>
        <v>0000000000</v>
      </c>
      <c r="K1606" s="304" t="str">
        <f t="shared" si="101"/>
        <v>61705000000000000000</v>
      </c>
      <c r="L1606" s="17" t="str">
        <f>INDEX('реш СГД № 265'!$A:$N,MATCH('БА расх 2018 31 12 2018'!$K1606,'реш СГД № 265'!$N:$N,0),3)</f>
        <v>Жилищно-коммунальное хозяйство</v>
      </c>
      <c r="M1606" s="16">
        <f t="shared" si="103"/>
        <v>1</v>
      </c>
    </row>
    <row r="1607" spans="1:13" s="16" customFormat="1" ht="15.75">
      <c r="A1607" s="14"/>
      <c r="B1607" s="121" t="s">
        <v>765</v>
      </c>
      <c r="C1607" s="122" t="s">
        <v>746</v>
      </c>
      <c r="D1607" s="123" t="s">
        <v>86</v>
      </c>
      <c r="E1607" s="123" t="s">
        <v>11</v>
      </c>
      <c r="F1607" s="123" t="s">
        <v>8</v>
      </c>
      <c r="G1607" s="123" t="s">
        <v>9</v>
      </c>
      <c r="H1607" s="124">
        <v>1073857.21</v>
      </c>
      <c r="I1607" s="123">
        <v>0</v>
      </c>
      <c r="J1607" s="123" t="str">
        <f t="shared" si="102"/>
        <v>0000000000</v>
      </c>
      <c r="K1607" s="304" t="str">
        <f t="shared" si="101"/>
        <v>61705010000000000000</v>
      </c>
      <c r="L1607" s="17" t="str">
        <f>INDEX('реш СГД № 265'!$A:$N,MATCH('БА расх 2018 31 12 2018'!$K1607,'реш СГД № 265'!$N:$N,0),3)</f>
        <v>Жилищное хозяйство</v>
      </c>
      <c r="M1607" s="16">
        <f t="shared" si="103"/>
        <v>1</v>
      </c>
    </row>
    <row r="1608" spans="1:13" s="16" customFormat="1" ht="63">
      <c r="A1608" s="14"/>
      <c r="B1608" s="127" t="s">
        <v>293</v>
      </c>
      <c r="C1608" s="130" t="s">
        <v>746</v>
      </c>
      <c r="D1608" s="131" t="s">
        <v>86</v>
      </c>
      <c r="E1608" s="131" t="s">
        <v>11</v>
      </c>
      <c r="F1608" s="131" t="s">
        <v>294</v>
      </c>
      <c r="G1608" s="131" t="s">
        <v>9</v>
      </c>
      <c r="H1608" s="105">
        <v>1073857.21</v>
      </c>
      <c r="I1608" s="131">
        <v>400000000</v>
      </c>
      <c r="J1608" s="131" t="str">
        <f t="shared" si="102"/>
        <v>0400000000</v>
      </c>
      <c r="K1608" s="304" t="str">
        <f t="shared" si="101"/>
        <v>61705010400000000000</v>
      </c>
      <c r="L1608" s="17" t="str">
        <f>INDEX('реш СГД № 265'!$A:$N,MATCH('БА расх 2018 31 12 2018'!$K1608,'реш СГД № 265'!$N:$N,0),3)</f>
        <v>Муниципальная программа «Развитие жилищно-коммунального хозяйства, транспортной системы на территории города Ставрополя, благоустройство территории города Ставрополя»</v>
      </c>
      <c r="M1608" s="16">
        <f t="shared" si="103"/>
        <v>1</v>
      </c>
    </row>
    <row r="1609" spans="1:13" s="16" customFormat="1" ht="31.5">
      <c r="A1609" s="14"/>
      <c r="B1609" s="140" t="s">
        <v>766</v>
      </c>
      <c r="C1609" s="130" t="s">
        <v>746</v>
      </c>
      <c r="D1609" s="131" t="s">
        <v>86</v>
      </c>
      <c r="E1609" s="131" t="s">
        <v>11</v>
      </c>
      <c r="F1609" s="131" t="s">
        <v>767</v>
      </c>
      <c r="G1609" s="131" t="s">
        <v>9</v>
      </c>
      <c r="H1609" s="105">
        <v>1073857.21</v>
      </c>
      <c r="I1609" s="131">
        <v>410000000</v>
      </c>
      <c r="J1609" s="131" t="str">
        <f t="shared" si="102"/>
        <v>0410000000</v>
      </c>
      <c r="K1609" s="304" t="str">
        <f t="shared" si="101"/>
        <v>61705010410000000000</v>
      </c>
      <c r="L1609" s="17" t="str">
        <f>INDEX('реш СГД № 265'!$A:$N,MATCH('БА расх 2018 31 12 2018'!$K1609,'реш СГД № 265'!$N:$N,0),3)</f>
        <v>Подпрограмма «Развитие жилищно-коммунального хозяйства на территории города Ставрополя»</v>
      </c>
      <c r="M1609" s="16">
        <f t="shared" si="103"/>
        <v>1</v>
      </c>
    </row>
    <row r="1610" spans="1:13" s="16" customFormat="1" ht="47.25">
      <c r="A1610" s="14"/>
      <c r="B1610" s="140" t="s">
        <v>768</v>
      </c>
      <c r="C1610" s="130" t="s">
        <v>746</v>
      </c>
      <c r="D1610" s="131" t="s">
        <v>86</v>
      </c>
      <c r="E1610" s="131" t="s">
        <v>11</v>
      </c>
      <c r="F1610" s="131" t="s">
        <v>769</v>
      </c>
      <c r="G1610" s="131" t="s">
        <v>9</v>
      </c>
      <c r="H1610" s="105">
        <v>1073857.21</v>
      </c>
      <c r="I1610" s="131">
        <v>410100000</v>
      </c>
      <c r="J1610" s="131" t="str">
        <f t="shared" si="102"/>
        <v>0410100000</v>
      </c>
      <c r="K1610" s="304" t="str">
        <f t="shared" si="101"/>
        <v>61705010410100000000</v>
      </c>
      <c r="L1610" s="17" t="str">
        <f>INDEX('реш СГД № 265'!$A:$N,MATCH('БА расх 2018 31 12 2018'!$K1610,'реш СГД № 265'!$N:$N,0),3)</f>
        <v>Основное мероприятие  «Повышение уровня технического состояния многоквартирных домов и продление сроков их эксплуатации»</v>
      </c>
      <c r="M1610" s="16">
        <f t="shared" si="103"/>
        <v>1</v>
      </c>
    </row>
    <row r="1611" spans="1:13" s="16" customFormat="1" ht="31.5">
      <c r="A1611" s="14"/>
      <c r="B1611" s="125" t="s">
        <v>770</v>
      </c>
      <c r="C1611" s="130" t="s">
        <v>746</v>
      </c>
      <c r="D1611" s="131" t="s">
        <v>86</v>
      </c>
      <c r="E1611" s="131" t="s">
        <v>11</v>
      </c>
      <c r="F1611" s="131" t="s">
        <v>771</v>
      </c>
      <c r="G1611" s="131" t="s">
        <v>9</v>
      </c>
      <c r="H1611" s="105">
        <v>1073857.21</v>
      </c>
      <c r="I1611" s="131">
        <v>410120190</v>
      </c>
      <c r="J1611" s="131" t="str">
        <f t="shared" si="102"/>
        <v>0410120190</v>
      </c>
      <c r="K1611" s="304" t="str">
        <f t="shared" si="101"/>
        <v>61705010410120190000</v>
      </c>
      <c r="L1611" s="17" t="str">
        <f>INDEX('реш СГД № 265'!$A:$N,MATCH('БА расх 2018 31 12 2018'!$K1611,'реш СГД № 265'!$N:$N,0),3)</f>
        <v>Расходы на проведение капитального ремонта муниципального жилищного фонда</v>
      </c>
      <c r="M1611" s="16">
        <f t="shared" si="103"/>
        <v>1</v>
      </c>
    </row>
    <row r="1612" spans="1:13" s="16" customFormat="1" ht="31.5">
      <c r="A1612" s="14"/>
      <c r="B1612" s="125" t="s">
        <v>28</v>
      </c>
      <c r="C1612" s="130" t="s">
        <v>746</v>
      </c>
      <c r="D1612" s="131" t="s">
        <v>86</v>
      </c>
      <c r="E1612" s="131" t="s">
        <v>11</v>
      </c>
      <c r="F1612" s="131" t="s">
        <v>771</v>
      </c>
      <c r="G1612" s="131" t="s">
        <v>29</v>
      </c>
      <c r="H1612" s="126">
        <v>1073857.21</v>
      </c>
      <c r="I1612" s="131">
        <v>410120190</v>
      </c>
      <c r="J1612" s="131" t="str">
        <f t="shared" si="102"/>
        <v>0410120190</v>
      </c>
      <c r="K1612" s="304" t="str">
        <f t="shared" si="101"/>
        <v>61705010410120190240</v>
      </c>
      <c r="L1612" s="17" t="str">
        <f>INDEX('реш СГД № 265'!$A:$N,MATCH('БА расх 2018 31 12 2018'!$K1612,'реш СГД № 265'!$N:$N,0),3)</f>
        <v>Иные закупки товаров, работ и услуг для обеспечения государственных (муниципальных) нужд</v>
      </c>
      <c r="M1612" s="16">
        <f t="shared" si="103"/>
        <v>1</v>
      </c>
    </row>
    <row r="1613" spans="1:13" s="16" customFormat="1" ht="31.5">
      <c r="A1613" s="14"/>
      <c r="B1613" s="127" t="s">
        <v>772</v>
      </c>
      <c r="C1613" s="109" t="s">
        <v>746</v>
      </c>
      <c r="D1613" s="108" t="s">
        <v>86</v>
      </c>
      <c r="E1613" s="108" t="s">
        <v>11</v>
      </c>
      <c r="F1613" s="108" t="s">
        <v>771</v>
      </c>
      <c r="G1613" s="108" t="s">
        <v>773</v>
      </c>
      <c r="H1613" s="126">
        <v>443000</v>
      </c>
      <c r="I1613" s="108">
        <v>410120190</v>
      </c>
      <c r="J1613" s="108" t="str">
        <f t="shared" si="102"/>
        <v>0410120190</v>
      </c>
      <c r="K1613" s="304" t="str">
        <f t="shared" si="101"/>
        <v>61705010410120190243</v>
      </c>
      <c r="L1613" s="17"/>
    </row>
    <row r="1614" spans="1:13" s="16" customFormat="1" ht="15.75">
      <c r="A1614" s="14"/>
      <c r="B1614" s="125" t="s">
        <v>30</v>
      </c>
      <c r="C1614" s="109" t="s">
        <v>746</v>
      </c>
      <c r="D1614" s="108" t="s">
        <v>86</v>
      </c>
      <c r="E1614" s="108" t="s">
        <v>11</v>
      </c>
      <c r="F1614" s="108" t="s">
        <v>771</v>
      </c>
      <c r="G1614" s="108" t="s">
        <v>31</v>
      </c>
      <c r="H1614" s="126">
        <v>630857.21</v>
      </c>
      <c r="I1614" s="108">
        <v>410120190</v>
      </c>
      <c r="J1614" s="108" t="str">
        <f t="shared" si="102"/>
        <v>0410120190</v>
      </c>
      <c r="K1614" s="304" t="str">
        <f t="shared" si="101"/>
        <v>61705010410120190244</v>
      </c>
      <c r="L1614" s="17"/>
    </row>
    <row r="1615" spans="1:13" s="16" customFormat="1" ht="15.75">
      <c r="A1615" s="14"/>
      <c r="B1615" s="121" t="s">
        <v>306</v>
      </c>
      <c r="C1615" s="122" t="s">
        <v>746</v>
      </c>
      <c r="D1615" s="123" t="s">
        <v>86</v>
      </c>
      <c r="E1615" s="123" t="s">
        <v>13</v>
      </c>
      <c r="F1615" s="123" t="s">
        <v>8</v>
      </c>
      <c r="G1615" s="123" t="s">
        <v>9</v>
      </c>
      <c r="H1615" s="124">
        <v>33650177.75</v>
      </c>
      <c r="I1615" s="123">
        <v>0</v>
      </c>
      <c r="J1615" s="123" t="str">
        <f t="shared" si="102"/>
        <v>0000000000</v>
      </c>
      <c r="K1615" s="304" t="str">
        <f t="shared" si="101"/>
        <v>61705030000000000000</v>
      </c>
      <c r="L1615" s="17" t="str">
        <f>INDEX('реш СГД № 265'!$A:$N,MATCH('БА расх 2018 31 12 2018'!$K1615,'реш СГД № 265'!$N:$N,0),3)</f>
        <v>Благоустройство</v>
      </c>
      <c r="M1615" s="16">
        <f t="shared" si="103"/>
        <v>1</v>
      </c>
    </row>
    <row r="1616" spans="1:13" s="16" customFormat="1" ht="63">
      <c r="A1616" s="14"/>
      <c r="B1616" s="127" t="s">
        <v>293</v>
      </c>
      <c r="C1616" s="130" t="s">
        <v>746</v>
      </c>
      <c r="D1616" s="131" t="s">
        <v>86</v>
      </c>
      <c r="E1616" s="131" t="s">
        <v>13</v>
      </c>
      <c r="F1616" s="131" t="s">
        <v>294</v>
      </c>
      <c r="G1616" s="131" t="s">
        <v>9</v>
      </c>
      <c r="H1616" s="105">
        <v>33000657.75</v>
      </c>
      <c r="I1616" s="131">
        <v>400000000</v>
      </c>
      <c r="J1616" s="131" t="str">
        <f t="shared" si="102"/>
        <v>0400000000</v>
      </c>
      <c r="K1616" s="304" t="str">
        <f t="shared" si="101"/>
        <v>61705030400000000000</v>
      </c>
      <c r="L1616" s="17" t="str">
        <f>INDEX('реш СГД № 265'!$A:$N,MATCH('БА расх 2018 31 12 2018'!$K1616,'реш СГД № 265'!$N:$N,0),3)</f>
        <v>Муниципальная программа «Развитие жилищно-коммунального хозяйства, транспортной системы на территории города Ставрополя, благоустройство территории города Ставрополя»</v>
      </c>
      <c r="M1616" s="16">
        <f t="shared" si="103"/>
        <v>1</v>
      </c>
    </row>
    <row r="1617" spans="1:13" s="16" customFormat="1" ht="31.5">
      <c r="A1617" s="14"/>
      <c r="B1617" s="125" t="s">
        <v>2283</v>
      </c>
      <c r="C1617" s="130" t="s">
        <v>746</v>
      </c>
      <c r="D1617" s="131" t="s">
        <v>86</v>
      </c>
      <c r="E1617" s="131" t="s">
        <v>13</v>
      </c>
      <c r="F1617" s="131" t="s">
        <v>308</v>
      </c>
      <c r="G1617" s="131" t="s">
        <v>9</v>
      </c>
      <c r="H1617" s="105">
        <v>33000657.75</v>
      </c>
      <c r="I1617" s="131">
        <v>430000000</v>
      </c>
      <c r="J1617" s="131" t="str">
        <f t="shared" si="102"/>
        <v>0430000000</v>
      </c>
      <c r="K1617" s="304" t="str">
        <f t="shared" si="101"/>
        <v>61705030430000000000</v>
      </c>
      <c r="L1617" s="132" t="str">
        <f>INDEX('реш СГД № 265'!$A:$N,MATCH('БА расх 2018 31 12 2018'!$K1617,'реш СГД № 265'!$N:$N,0),3)</f>
        <v>Подпрограмма «Благоустройство территории города Ставрополя»</v>
      </c>
      <c r="M1617" s="17">
        <f t="shared" si="103"/>
        <v>1</v>
      </c>
    </row>
    <row r="1618" spans="1:13" s="16" customFormat="1" ht="31.5">
      <c r="A1618" s="14"/>
      <c r="B1618" s="307" t="s">
        <v>309</v>
      </c>
      <c r="C1618" s="130" t="s">
        <v>746</v>
      </c>
      <c r="D1618" s="131" t="s">
        <v>86</v>
      </c>
      <c r="E1618" s="131" t="s">
        <v>13</v>
      </c>
      <c r="F1618" s="108" t="s">
        <v>310</v>
      </c>
      <c r="G1618" s="131" t="s">
        <v>9</v>
      </c>
      <c r="H1618" s="105">
        <v>33000657.75</v>
      </c>
      <c r="I1618" s="108">
        <v>430400000</v>
      </c>
      <c r="J1618" s="108" t="str">
        <f t="shared" si="102"/>
        <v>0430400000</v>
      </c>
      <c r="K1618" s="304" t="str">
        <f t="shared" si="101"/>
        <v>61705030430400000000</v>
      </c>
      <c r="L1618" s="17" t="str">
        <f>INDEX('реш СГД № 265'!$A:$N,MATCH('БА расх 2018 31 12 2018'!$K1618,'реш СГД № 265'!$N:$N,0),3)</f>
        <v>Основное мероприятие «Благоустройство территории города Ставрополя»</v>
      </c>
      <c r="M1618" s="16">
        <f t="shared" si="103"/>
        <v>1</v>
      </c>
    </row>
    <row r="1619" spans="1:13" s="16" customFormat="1" ht="31.5">
      <c r="A1619" s="14"/>
      <c r="B1619" s="125" t="s">
        <v>542</v>
      </c>
      <c r="C1619" s="130" t="s">
        <v>746</v>
      </c>
      <c r="D1619" s="131" t="s">
        <v>86</v>
      </c>
      <c r="E1619" s="131" t="s">
        <v>13</v>
      </c>
      <c r="F1619" s="131" t="s">
        <v>543</v>
      </c>
      <c r="G1619" s="131" t="s">
        <v>9</v>
      </c>
      <c r="H1619" s="105">
        <v>11100054.050000001</v>
      </c>
      <c r="I1619" s="131">
        <v>430420300</v>
      </c>
      <c r="J1619" s="131" t="str">
        <f t="shared" si="102"/>
        <v>0430420300</v>
      </c>
      <c r="K1619" s="304" t="str">
        <f t="shared" si="101"/>
        <v>61705030430420300000</v>
      </c>
      <c r="L1619" s="17" t="str">
        <f>INDEX('реш СГД № 265'!$A:$N,MATCH('БА расх 2018 31 12 2018'!$K1619,'реш СГД № 265'!$N:$N,0),3)</f>
        <v>Расходы на прочие мероприятия по благоустройству территории города Ставрополя</v>
      </c>
      <c r="M1619" s="16">
        <f t="shared" si="103"/>
        <v>1</v>
      </c>
    </row>
    <row r="1620" spans="1:13" s="16" customFormat="1" ht="31.5">
      <c r="A1620" s="14"/>
      <c r="B1620" s="125" t="s">
        <v>28</v>
      </c>
      <c r="C1620" s="130" t="s">
        <v>746</v>
      </c>
      <c r="D1620" s="131" t="s">
        <v>86</v>
      </c>
      <c r="E1620" s="131" t="s">
        <v>13</v>
      </c>
      <c r="F1620" s="131" t="s">
        <v>543</v>
      </c>
      <c r="G1620" s="131" t="s">
        <v>29</v>
      </c>
      <c r="H1620" s="126">
        <v>11100054.050000001</v>
      </c>
      <c r="I1620" s="131">
        <v>430420300</v>
      </c>
      <c r="J1620" s="131" t="str">
        <f t="shared" si="102"/>
        <v>0430420300</v>
      </c>
      <c r="K1620" s="304" t="str">
        <f t="shared" si="101"/>
        <v>61705030430420300240</v>
      </c>
      <c r="L1620" s="17" t="str">
        <f>INDEX('реш СГД № 265'!$A:$N,MATCH('БА расх 2018 31 12 2018'!$K1620,'реш СГД № 265'!$N:$N,0),3)</f>
        <v>Иные закупки товаров, работ и услуг для обеспечения государственных (муниципальных) нужд</v>
      </c>
      <c r="M1620" s="16">
        <f t="shared" si="103"/>
        <v>1</v>
      </c>
    </row>
    <row r="1621" spans="1:13" s="16" customFormat="1" ht="15.75">
      <c r="A1621" s="14"/>
      <c r="B1621" s="125" t="s">
        <v>30</v>
      </c>
      <c r="C1621" s="130" t="s">
        <v>746</v>
      </c>
      <c r="D1621" s="131" t="s">
        <v>86</v>
      </c>
      <c r="E1621" s="131" t="s">
        <v>13</v>
      </c>
      <c r="F1621" s="131" t="s">
        <v>543</v>
      </c>
      <c r="G1621" s="131" t="s">
        <v>31</v>
      </c>
      <c r="H1621" s="126">
        <v>11100054.050000001</v>
      </c>
      <c r="I1621" s="131">
        <v>430420300</v>
      </c>
      <c r="J1621" s="131" t="str">
        <f t="shared" si="102"/>
        <v>0430420300</v>
      </c>
      <c r="K1621" s="304" t="str">
        <f t="shared" si="101"/>
        <v>61705030430420300244</v>
      </c>
      <c r="L1621" s="17"/>
    </row>
    <row r="1622" spans="1:13" s="16" customFormat="1" ht="31.5">
      <c r="A1622" s="14"/>
      <c r="B1622" s="127" t="s">
        <v>774</v>
      </c>
      <c r="C1622" s="130" t="s">
        <v>746</v>
      </c>
      <c r="D1622" s="131" t="s">
        <v>86</v>
      </c>
      <c r="E1622" s="131" t="s">
        <v>13</v>
      </c>
      <c r="F1622" s="131" t="s">
        <v>775</v>
      </c>
      <c r="G1622" s="131" t="s">
        <v>9</v>
      </c>
      <c r="H1622" s="105">
        <v>473000</v>
      </c>
      <c r="I1622" s="131">
        <v>430421070</v>
      </c>
      <c r="J1622" s="131" t="str">
        <f t="shared" si="102"/>
        <v>0430421070</v>
      </c>
      <c r="K1622" s="304" t="str">
        <f t="shared" si="101"/>
        <v>61705030430421070000</v>
      </c>
      <c r="L1622" s="17" t="str">
        <f>INDEX('реш СГД № 265'!$A:$N,MATCH('БА расх 2018 31 12 2018'!$K1622,'реш СГД № 265'!$N:$N,0),3)</f>
        <v>Расходы на проведение работ по уходу за зелеными насаждениями</v>
      </c>
      <c r="M1622" s="16">
        <f t="shared" si="103"/>
        <v>1</v>
      </c>
    </row>
    <row r="1623" spans="1:13" s="16" customFormat="1" ht="31.5">
      <c r="A1623" s="14"/>
      <c r="B1623" s="125" t="s">
        <v>28</v>
      </c>
      <c r="C1623" s="130" t="s">
        <v>746</v>
      </c>
      <c r="D1623" s="131" t="s">
        <v>86</v>
      </c>
      <c r="E1623" s="131" t="s">
        <v>13</v>
      </c>
      <c r="F1623" s="131" t="s">
        <v>775</v>
      </c>
      <c r="G1623" s="131" t="s">
        <v>29</v>
      </c>
      <c r="H1623" s="126">
        <v>473000</v>
      </c>
      <c r="I1623" s="131">
        <v>430421070</v>
      </c>
      <c r="J1623" s="131" t="str">
        <f t="shared" si="102"/>
        <v>0430421070</v>
      </c>
      <c r="K1623" s="304" t="str">
        <f t="shared" si="101"/>
        <v>61705030430421070240</v>
      </c>
      <c r="L1623" s="17" t="str">
        <f>INDEX('реш СГД № 265'!$A:$N,MATCH('БА расх 2018 31 12 2018'!$K1623,'реш СГД № 265'!$N:$N,0),3)</f>
        <v>Иные закупки товаров, работ и услуг для обеспечения государственных (муниципальных) нужд</v>
      </c>
      <c r="M1623" s="16">
        <f t="shared" si="103"/>
        <v>1</v>
      </c>
    </row>
    <row r="1624" spans="1:13" s="16" customFormat="1" ht="15.75">
      <c r="A1624" s="14"/>
      <c r="B1624" s="125" t="s">
        <v>30</v>
      </c>
      <c r="C1624" s="130" t="s">
        <v>746</v>
      </c>
      <c r="D1624" s="131" t="s">
        <v>86</v>
      </c>
      <c r="E1624" s="131" t="s">
        <v>13</v>
      </c>
      <c r="F1624" s="131" t="s">
        <v>775</v>
      </c>
      <c r="G1624" s="131" t="s">
        <v>31</v>
      </c>
      <c r="H1624" s="126">
        <v>473000</v>
      </c>
      <c r="I1624" s="131">
        <v>430421070</v>
      </c>
      <c r="J1624" s="131" t="str">
        <f t="shared" si="102"/>
        <v>0430421070</v>
      </c>
      <c r="K1624" s="304" t="str">
        <f t="shared" si="101"/>
        <v>61705030430421070244</v>
      </c>
      <c r="L1624" s="17"/>
    </row>
    <row r="1625" spans="1:13" s="16" customFormat="1" ht="63">
      <c r="A1625" s="14"/>
      <c r="B1625" s="125" t="s">
        <v>1311</v>
      </c>
      <c r="C1625" s="130" t="s">
        <v>746</v>
      </c>
      <c r="D1625" s="131" t="s">
        <v>86</v>
      </c>
      <c r="E1625" s="131" t="s">
        <v>13</v>
      </c>
      <c r="F1625" s="131" t="s">
        <v>1312</v>
      </c>
      <c r="G1625" s="131" t="s">
        <v>9</v>
      </c>
      <c r="H1625" s="126">
        <v>11311259</v>
      </c>
      <c r="I1625" s="131">
        <v>430476416</v>
      </c>
      <c r="J1625" s="131" t="str">
        <f t="shared" si="102"/>
        <v>0430476416</v>
      </c>
      <c r="K1625" s="304" t="str">
        <f t="shared" si="101"/>
        <v>61705030430476416000</v>
      </c>
      <c r="L1625" s="17" t="str">
        <f>INDEX('реш СГД № 265'!$A:$N,MATCH('БА расх 2018 31 12 2018'!$K1625,'реш СГД № 265'!$N:$N,0),3)</f>
        <v>Расходы  на осуществление функций административного центра Ставропольского края за счет средств  краевого бюджета на содержание центральной части города Ставрополя</v>
      </c>
      <c r="M1625" s="16">
        <f t="shared" si="103"/>
        <v>1</v>
      </c>
    </row>
    <row r="1626" spans="1:13" s="16" customFormat="1" ht="31.5">
      <c r="A1626" s="14"/>
      <c r="B1626" s="125" t="s">
        <v>28</v>
      </c>
      <c r="C1626" s="130" t="s">
        <v>746</v>
      </c>
      <c r="D1626" s="131" t="s">
        <v>86</v>
      </c>
      <c r="E1626" s="131" t="s">
        <v>13</v>
      </c>
      <c r="F1626" s="131" t="s">
        <v>1312</v>
      </c>
      <c r="G1626" s="131" t="s">
        <v>29</v>
      </c>
      <c r="H1626" s="126">
        <v>11311259</v>
      </c>
      <c r="I1626" s="131">
        <v>430476416</v>
      </c>
      <c r="J1626" s="131" t="str">
        <f t="shared" si="102"/>
        <v>0430476416</v>
      </c>
      <c r="K1626" s="304" t="str">
        <f t="shared" si="101"/>
        <v>61705030430476416240</v>
      </c>
      <c r="L1626" s="17" t="str">
        <f>INDEX('реш СГД № 265'!$A:$N,MATCH('БА расх 2018 31 12 2018'!$K1626,'реш СГД № 265'!$N:$N,0),3)</f>
        <v>Иные закупки товаров, работ и услуг для обеспечения государственных (муниципальных) нужд</v>
      </c>
      <c r="M1626" s="16">
        <f t="shared" si="103"/>
        <v>1</v>
      </c>
    </row>
    <row r="1627" spans="1:13" s="16" customFormat="1" ht="15.75">
      <c r="A1627" s="14"/>
      <c r="B1627" s="125" t="s">
        <v>30</v>
      </c>
      <c r="C1627" s="130" t="s">
        <v>746</v>
      </c>
      <c r="D1627" s="131" t="s">
        <v>86</v>
      </c>
      <c r="E1627" s="131" t="s">
        <v>13</v>
      </c>
      <c r="F1627" s="131" t="s">
        <v>1312</v>
      </c>
      <c r="G1627" s="131" t="s">
        <v>31</v>
      </c>
      <c r="H1627" s="126">
        <v>11311259</v>
      </c>
      <c r="I1627" s="131">
        <v>430476416</v>
      </c>
      <c r="J1627" s="131" t="str">
        <f t="shared" si="102"/>
        <v>0430476416</v>
      </c>
      <c r="K1627" s="304" t="str">
        <f t="shared" si="101"/>
        <v>61705030430476416244</v>
      </c>
      <c r="L1627" s="17"/>
    </row>
    <row r="1628" spans="1:13" s="16" customFormat="1" ht="47.25">
      <c r="A1628" s="14"/>
      <c r="B1628" s="125" t="s">
        <v>1043</v>
      </c>
      <c r="C1628" s="130" t="s">
        <v>746</v>
      </c>
      <c r="D1628" s="131" t="s">
        <v>86</v>
      </c>
      <c r="E1628" s="131" t="s">
        <v>13</v>
      </c>
      <c r="F1628" s="131" t="s">
        <v>1056</v>
      </c>
      <c r="G1628" s="131" t="s">
        <v>9</v>
      </c>
      <c r="H1628" s="105">
        <v>1508530</v>
      </c>
      <c r="I1628" s="131" t="s">
        <v>1231</v>
      </c>
      <c r="J1628" s="131" t="str">
        <f t="shared" si="102"/>
        <v>04304G6420</v>
      </c>
      <c r="K1628" s="304" t="str">
        <f t="shared" si="101"/>
        <v>617050304304G6420000</v>
      </c>
      <c r="L1628" s="17" t="str">
        <f>INDEX('реш СГД № 265'!$A:$N,MATCH('БА расх 2018 31 12 2018'!$K1628,'реш СГД № 265'!$N:$N,0),3)</f>
        <v>Реализация проектов развития территорий муниципальных образований, основанных на местных инициативах, за счет внебюджетных источников</v>
      </c>
      <c r="M1628" s="16">
        <f t="shared" si="103"/>
        <v>1</v>
      </c>
    </row>
    <row r="1629" spans="1:13" s="16" customFormat="1" ht="15.75">
      <c r="A1629" s="14"/>
      <c r="B1629" s="132" t="s">
        <v>1045</v>
      </c>
      <c r="C1629" s="130"/>
      <c r="D1629" s="131"/>
      <c r="E1629" s="131"/>
      <c r="F1629" s="131"/>
      <c r="G1629" s="131"/>
      <c r="H1629" s="105"/>
      <c r="I1629" s="131"/>
      <c r="J1629" s="131" t="str">
        <f t="shared" si="102"/>
        <v>0000000000</v>
      </c>
      <c r="K1629" s="304" t="str">
        <f t="shared" si="101"/>
        <v>0000000000</v>
      </c>
      <c r="L1629" s="400">
        <f>INDEX('реш СГД № 265'!$A:$N,MATCH('БА расх 2018 31 12 2018'!$K1629,'реш СГД № 265'!$N:$N,0),3)</f>
        <v>0</v>
      </c>
      <c r="M1629" s="248">
        <f t="shared" si="103"/>
        <v>0</v>
      </c>
    </row>
    <row r="1630" spans="1:13" s="16" customFormat="1" ht="15.75">
      <c r="A1630" s="14"/>
      <c r="B1630" s="125" t="s">
        <v>1046</v>
      </c>
      <c r="C1630" s="130" t="s">
        <v>746</v>
      </c>
      <c r="D1630" s="131" t="s">
        <v>86</v>
      </c>
      <c r="E1630" s="131" t="s">
        <v>13</v>
      </c>
      <c r="F1630" s="131" t="s">
        <v>1056</v>
      </c>
      <c r="G1630" s="131" t="s">
        <v>9</v>
      </c>
      <c r="H1630" s="105">
        <v>305000</v>
      </c>
      <c r="I1630" s="131" t="s">
        <v>1231</v>
      </c>
      <c r="J1630" s="131" t="str">
        <f t="shared" si="102"/>
        <v>04304G6420</v>
      </c>
      <c r="K1630" s="304" t="str">
        <f t="shared" si="101"/>
        <v>617050304304G6420000</v>
      </c>
      <c r="L1630" s="400"/>
      <c r="M1630" s="248">
        <f t="shared" si="103"/>
        <v>0</v>
      </c>
    </row>
    <row r="1631" spans="1:13" s="16" customFormat="1" ht="15.75">
      <c r="A1631" s="14"/>
      <c r="B1631" s="125" t="s">
        <v>1047</v>
      </c>
      <c r="C1631" s="130" t="s">
        <v>746</v>
      </c>
      <c r="D1631" s="131" t="s">
        <v>86</v>
      </c>
      <c r="E1631" s="131" t="s">
        <v>13</v>
      </c>
      <c r="F1631" s="131" t="s">
        <v>1056</v>
      </c>
      <c r="G1631" s="131" t="s">
        <v>9</v>
      </c>
      <c r="H1631" s="105">
        <v>1203530</v>
      </c>
      <c r="I1631" s="131" t="s">
        <v>1231</v>
      </c>
      <c r="J1631" s="131" t="str">
        <f t="shared" si="102"/>
        <v>04304G6420</v>
      </c>
      <c r="K1631" s="304" t="str">
        <f t="shared" si="101"/>
        <v>617050304304G6420000</v>
      </c>
      <c r="L1631" s="400"/>
      <c r="M1631" s="248">
        <f t="shared" si="103"/>
        <v>0</v>
      </c>
    </row>
    <row r="1632" spans="1:13" s="16" customFormat="1" ht="31.5">
      <c r="A1632" s="14"/>
      <c r="B1632" s="125" t="s">
        <v>28</v>
      </c>
      <c r="C1632" s="130" t="s">
        <v>746</v>
      </c>
      <c r="D1632" s="131" t="s">
        <v>86</v>
      </c>
      <c r="E1632" s="131" t="s">
        <v>13</v>
      </c>
      <c r="F1632" s="131" t="s">
        <v>1056</v>
      </c>
      <c r="G1632" s="131" t="s">
        <v>29</v>
      </c>
      <c r="H1632" s="105">
        <v>1508530</v>
      </c>
      <c r="I1632" s="131" t="s">
        <v>1231</v>
      </c>
      <c r="J1632" s="131" t="str">
        <f t="shared" si="102"/>
        <v>04304G6420</v>
      </c>
      <c r="K1632" s="304" t="str">
        <f t="shared" si="101"/>
        <v>617050304304G6420240</v>
      </c>
      <c r="L1632" s="17" t="str">
        <f>INDEX('реш СГД № 265'!$A:$N,MATCH('БА расх 2018 31 12 2018'!$K1632,'реш СГД № 265'!$N:$N,0),3)</f>
        <v>Иные закупки товаров, работ и услуг для обеспечения государственных (муниципальных) нужд</v>
      </c>
      <c r="M1632" s="16">
        <f t="shared" si="103"/>
        <v>1</v>
      </c>
    </row>
    <row r="1633" spans="1:13" s="16" customFormat="1" ht="15.75">
      <c r="A1633" s="14"/>
      <c r="B1633" s="125" t="s">
        <v>30</v>
      </c>
      <c r="C1633" s="130" t="s">
        <v>746</v>
      </c>
      <c r="D1633" s="131" t="s">
        <v>86</v>
      </c>
      <c r="E1633" s="131" t="s">
        <v>13</v>
      </c>
      <c r="F1633" s="131" t="s">
        <v>1056</v>
      </c>
      <c r="G1633" s="131" t="s">
        <v>31</v>
      </c>
      <c r="H1633" s="126">
        <v>1508530</v>
      </c>
      <c r="I1633" s="131" t="s">
        <v>1231</v>
      </c>
      <c r="J1633" s="131" t="str">
        <f t="shared" si="102"/>
        <v>04304G6420</v>
      </c>
      <c r="K1633" s="304" t="str">
        <f t="shared" si="101"/>
        <v>617050304304G6420244</v>
      </c>
      <c r="L1633" s="17"/>
    </row>
    <row r="1634" spans="1:13" s="16" customFormat="1" ht="31.5">
      <c r="A1634" s="14"/>
      <c r="B1634" s="127" t="s">
        <v>1048</v>
      </c>
      <c r="C1634" s="130" t="s">
        <v>746</v>
      </c>
      <c r="D1634" s="131" t="s">
        <v>86</v>
      </c>
      <c r="E1634" s="131" t="s">
        <v>13</v>
      </c>
      <c r="F1634" s="131" t="s">
        <v>1057</v>
      </c>
      <c r="G1634" s="131" t="s">
        <v>9</v>
      </c>
      <c r="H1634" s="105">
        <v>8607814.6999999993</v>
      </c>
      <c r="I1634" s="131" t="s">
        <v>1232</v>
      </c>
      <c r="J1634" s="131" t="str">
        <f t="shared" si="102"/>
        <v>04304S6420</v>
      </c>
      <c r="K1634" s="304" t="str">
        <f t="shared" si="101"/>
        <v>617050304304S6420000</v>
      </c>
      <c r="L1634" s="17" t="str">
        <f>INDEX('реш СГД № 265'!$A:$N,MATCH('БА расх 2018 31 12 2018'!$K1634,'реш СГД № 265'!$N:$N,0),3)</f>
        <v>Реализация проектов развития территорий муниципальных образований, основанных на местных инициативах</v>
      </c>
      <c r="M1634" s="16">
        <f t="shared" si="103"/>
        <v>1</v>
      </c>
    </row>
    <row r="1635" spans="1:13" s="16" customFormat="1" ht="15.75">
      <c r="A1635" s="14"/>
      <c r="B1635" s="132" t="s">
        <v>1045</v>
      </c>
      <c r="C1635" s="130"/>
      <c r="D1635" s="131"/>
      <c r="E1635" s="131"/>
      <c r="F1635" s="131"/>
      <c r="G1635" s="131"/>
      <c r="H1635" s="105"/>
      <c r="I1635" s="131"/>
      <c r="J1635" s="131" t="str">
        <f t="shared" si="102"/>
        <v>0000000000</v>
      </c>
      <c r="K1635" s="304" t="str">
        <f t="shared" si="101"/>
        <v>0000000000</v>
      </c>
      <c r="L1635" s="400"/>
      <c r="M1635" s="248">
        <f t="shared" si="103"/>
        <v>0</v>
      </c>
    </row>
    <row r="1636" spans="1:13" s="16" customFormat="1" ht="15.75">
      <c r="A1636" s="14"/>
      <c r="B1636" s="125" t="s">
        <v>1050</v>
      </c>
      <c r="C1636" s="130" t="s">
        <v>746</v>
      </c>
      <c r="D1636" s="131" t="s">
        <v>86</v>
      </c>
      <c r="E1636" s="131" t="s">
        <v>13</v>
      </c>
      <c r="F1636" s="131" t="s">
        <v>1057</v>
      </c>
      <c r="G1636" s="131" t="s">
        <v>9</v>
      </c>
      <c r="H1636" s="105">
        <v>2710000</v>
      </c>
      <c r="I1636" s="131" t="s">
        <v>1232</v>
      </c>
      <c r="J1636" s="131" t="str">
        <f t="shared" si="102"/>
        <v>04304S6420</v>
      </c>
      <c r="K1636" s="304" t="str">
        <f t="shared" si="101"/>
        <v>617050304304S6420000</v>
      </c>
      <c r="L1636" s="400"/>
      <c r="M1636" s="248">
        <f t="shared" si="103"/>
        <v>0</v>
      </c>
    </row>
    <row r="1637" spans="1:13" s="16" customFormat="1" ht="15.75">
      <c r="A1637" s="14"/>
      <c r="B1637" s="125" t="s">
        <v>1051</v>
      </c>
      <c r="C1637" s="130" t="s">
        <v>746</v>
      </c>
      <c r="D1637" s="131" t="s">
        <v>86</v>
      </c>
      <c r="E1637" s="131" t="s">
        <v>13</v>
      </c>
      <c r="F1637" s="131" t="s">
        <v>1057</v>
      </c>
      <c r="G1637" s="131" t="s">
        <v>9</v>
      </c>
      <c r="H1637" s="105">
        <v>6000000</v>
      </c>
      <c r="I1637" s="131" t="s">
        <v>1232</v>
      </c>
      <c r="J1637" s="131" t="str">
        <f t="shared" si="102"/>
        <v>04304S6420</v>
      </c>
      <c r="K1637" s="304" t="str">
        <f t="shared" si="101"/>
        <v>617050304304S6420000</v>
      </c>
      <c r="L1637" s="400"/>
      <c r="M1637" s="248">
        <f t="shared" si="103"/>
        <v>0</v>
      </c>
    </row>
    <row r="1638" spans="1:13" s="16" customFormat="1" ht="31.5">
      <c r="A1638" s="14"/>
      <c r="B1638" s="125" t="s">
        <v>28</v>
      </c>
      <c r="C1638" s="130" t="s">
        <v>746</v>
      </c>
      <c r="D1638" s="131" t="s">
        <v>86</v>
      </c>
      <c r="E1638" s="131" t="s">
        <v>13</v>
      </c>
      <c r="F1638" s="131" t="s">
        <v>1057</v>
      </c>
      <c r="G1638" s="131" t="s">
        <v>29</v>
      </c>
      <c r="H1638" s="105">
        <v>8607814.6999999993</v>
      </c>
      <c r="I1638" s="131" t="s">
        <v>1232</v>
      </c>
      <c r="J1638" s="131" t="str">
        <f t="shared" si="102"/>
        <v>04304S6420</v>
      </c>
      <c r="K1638" s="304" t="str">
        <f t="shared" si="101"/>
        <v>617050304304S6420240</v>
      </c>
      <c r="L1638" s="17" t="str">
        <f>INDEX('реш СГД № 265'!$A:$N,MATCH('БА расх 2018 31 12 2018'!$K1638,'реш СГД № 265'!$N:$N,0),3)</f>
        <v>Иные закупки товаров, работ и услуг для обеспечения государственных (муниципальных) нужд</v>
      </c>
      <c r="M1638" s="16">
        <f t="shared" si="103"/>
        <v>1</v>
      </c>
    </row>
    <row r="1639" spans="1:13" s="16" customFormat="1" ht="15.75">
      <c r="A1639" s="14"/>
      <c r="B1639" s="125" t="s">
        <v>30</v>
      </c>
      <c r="C1639" s="130" t="s">
        <v>746</v>
      </c>
      <c r="D1639" s="131" t="s">
        <v>86</v>
      </c>
      <c r="E1639" s="131" t="s">
        <v>13</v>
      </c>
      <c r="F1639" s="131" t="s">
        <v>1057</v>
      </c>
      <c r="G1639" s="108" t="s">
        <v>31</v>
      </c>
      <c r="H1639" s="126">
        <v>8607814.6999999993</v>
      </c>
      <c r="I1639" s="131" t="s">
        <v>1232</v>
      </c>
      <c r="J1639" s="131" t="str">
        <f t="shared" si="102"/>
        <v>04304S6420</v>
      </c>
      <c r="K1639" s="304" t="str">
        <f t="shared" si="101"/>
        <v>617050304304S6420244</v>
      </c>
      <c r="L1639" s="17"/>
    </row>
    <row r="1640" spans="1:13" s="16" customFormat="1" ht="47.25">
      <c r="A1640" s="14"/>
      <c r="B1640" s="140" t="s">
        <v>87</v>
      </c>
      <c r="C1640" s="130" t="s">
        <v>746</v>
      </c>
      <c r="D1640" s="131" t="s">
        <v>86</v>
      </c>
      <c r="E1640" s="131" t="s">
        <v>13</v>
      </c>
      <c r="F1640" s="131" t="s">
        <v>88</v>
      </c>
      <c r="G1640" s="131" t="s">
        <v>9</v>
      </c>
      <c r="H1640" s="105">
        <v>649520</v>
      </c>
      <c r="I1640" s="131">
        <v>9800000000</v>
      </c>
      <c r="J1640" s="131" t="str">
        <f t="shared" si="102"/>
        <v>9800000000</v>
      </c>
      <c r="K1640" s="304" t="str">
        <f t="shared" si="101"/>
        <v>61705039800000000000</v>
      </c>
      <c r="L1640" s="17" t="str">
        <f>INDEX('реш СГД № 265'!$A:$N,MATCH('БА расх 2018 31 12 2018'!$K1640,'реш СГД № 265'!$N:$N,0),3)</f>
        <v>Реализация иных функций Ставропольской городской Думы, администрации города Ставрополя, ее отраслевых (функциональных) и территориальных органов</v>
      </c>
      <c r="M1640" s="16">
        <f t="shared" si="103"/>
        <v>1</v>
      </c>
    </row>
    <row r="1641" spans="1:13" s="16" customFormat="1" ht="15.75">
      <c r="A1641" s="14"/>
      <c r="B1641" s="140" t="s">
        <v>89</v>
      </c>
      <c r="C1641" s="130" t="s">
        <v>746</v>
      </c>
      <c r="D1641" s="131" t="s">
        <v>86</v>
      </c>
      <c r="E1641" s="131" t="s">
        <v>13</v>
      </c>
      <c r="F1641" s="131" t="s">
        <v>90</v>
      </c>
      <c r="G1641" s="131" t="s">
        <v>9</v>
      </c>
      <c r="H1641" s="105">
        <v>649520</v>
      </c>
      <c r="I1641" s="131">
        <v>9810000000</v>
      </c>
      <c r="J1641" s="131" t="str">
        <f t="shared" si="102"/>
        <v>9810000000</v>
      </c>
      <c r="K1641" s="304" t="str">
        <f t="shared" si="101"/>
        <v>61705039810000000000</v>
      </c>
      <c r="L1641" s="17" t="str">
        <f>INDEX('реш СГД № 265'!$A:$N,MATCH('БА расх 2018 31 12 2018'!$K1641,'реш СГД № 265'!$N:$N,0),3)</f>
        <v>Иные непрограммные мероприятия</v>
      </c>
      <c r="M1641" s="16">
        <f t="shared" si="103"/>
        <v>1</v>
      </c>
    </row>
    <row r="1642" spans="1:13" s="16" customFormat="1" ht="15.75">
      <c r="A1642" s="14"/>
      <c r="B1642" s="125" t="s">
        <v>778</v>
      </c>
      <c r="C1642" s="130" t="s">
        <v>746</v>
      </c>
      <c r="D1642" s="131" t="s">
        <v>86</v>
      </c>
      <c r="E1642" s="131" t="s">
        <v>13</v>
      </c>
      <c r="F1642" s="131" t="s">
        <v>779</v>
      </c>
      <c r="G1642" s="131" t="s">
        <v>9</v>
      </c>
      <c r="H1642" s="105">
        <v>649520</v>
      </c>
      <c r="I1642" s="131">
        <v>9810021450</v>
      </c>
      <c r="J1642" s="131" t="str">
        <f t="shared" si="102"/>
        <v>9810021450</v>
      </c>
      <c r="K1642" s="304" t="str">
        <f t="shared" si="101"/>
        <v>61705039810021450000</v>
      </c>
      <c r="L1642" s="17" t="str">
        <f>INDEX('реш СГД № 265'!$A:$N,MATCH('БА расх 2018 31 12 2018'!$K1642,'реш СГД № 265'!$N:$N,0),3)</f>
        <v>Благоустройство территорий в районах города Ставрополя</v>
      </c>
      <c r="M1642" s="16">
        <f t="shared" si="103"/>
        <v>1</v>
      </c>
    </row>
    <row r="1643" spans="1:13" s="16" customFormat="1" ht="31.5">
      <c r="A1643" s="14"/>
      <c r="B1643" s="125" t="s">
        <v>28</v>
      </c>
      <c r="C1643" s="130" t="s">
        <v>746</v>
      </c>
      <c r="D1643" s="131" t="s">
        <v>86</v>
      </c>
      <c r="E1643" s="131" t="s">
        <v>13</v>
      </c>
      <c r="F1643" s="131" t="s">
        <v>779</v>
      </c>
      <c r="G1643" s="131" t="s">
        <v>29</v>
      </c>
      <c r="H1643" s="126">
        <v>649520</v>
      </c>
      <c r="I1643" s="131">
        <v>9810021450</v>
      </c>
      <c r="J1643" s="131" t="str">
        <f t="shared" si="102"/>
        <v>9810021450</v>
      </c>
      <c r="K1643" s="304" t="str">
        <f t="shared" si="101"/>
        <v>61705039810021450240</v>
      </c>
      <c r="L1643" s="17" t="str">
        <f>INDEX('реш СГД № 265'!$A:$N,MATCH('БА расх 2018 31 12 2018'!$K1643,'реш СГД № 265'!$N:$N,0),3)</f>
        <v>Иные закупки товаров, работ и услуг для обеспечения государственных (муниципальных) нужд</v>
      </c>
      <c r="M1643" s="16">
        <f t="shared" si="103"/>
        <v>1</v>
      </c>
    </row>
    <row r="1644" spans="1:13" s="16" customFormat="1" ht="15.75">
      <c r="A1644" s="14"/>
      <c r="B1644" s="125" t="s">
        <v>30</v>
      </c>
      <c r="C1644" s="130" t="s">
        <v>746</v>
      </c>
      <c r="D1644" s="131" t="s">
        <v>86</v>
      </c>
      <c r="E1644" s="131" t="s">
        <v>13</v>
      </c>
      <c r="F1644" s="131" t="s">
        <v>779</v>
      </c>
      <c r="G1644" s="131" t="s">
        <v>31</v>
      </c>
      <c r="H1644" s="126">
        <v>649520</v>
      </c>
      <c r="I1644" s="131">
        <v>9810021450</v>
      </c>
      <c r="J1644" s="131" t="str">
        <f t="shared" si="102"/>
        <v>9810021450</v>
      </c>
      <c r="K1644" s="304" t="str">
        <f t="shared" si="101"/>
        <v>61705039810021450244</v>
      </c>
      <c r="L1644" s="17"/>
    </row>
    <row r="1645" spans="1:13" s="16" customFormat="1" ht="15.75">
      <c r="A1645" s="14"/>
      <c r="B1645" s="117" t="s">
        <v>237</v>
      </c>
      <c r="C1645" s="118" t="s">
        <v>746</v>
      </c>
      <c r="D1645" s="119" t="s">
        <v>238</v>
      </c>
      <c r="E1645" s="119" t="s">
        <v>7</v>
      </c>
      <c r="F1645" s="119" t="s">
        <v>8</v>
      </c>
      <c r="G1645" s="119" t="s">
        <v>9</v>
      </c>
      <c r="H1645" s="120">
        <v>1585450</v>
      </c>
      <c r="I1645" s="119">
        <v>0</v>
      </c>
      <c r="J1645" s="119" t="str">
        <f t="shared" si="102"/>
        <v>0000000000</v>
      </c>
      <c r="K1645" s="304" t="str">
        <f t="shared" ref="K1645:K1723" si="108">C1645&amp;D1645&amp;E1645&amp;J1645&amp;G1645</f>
        <v>61708000000000000000</v>
      </c>
      <c r="L1645" s="17" t="str">
        <f>INDEX('реш СГД № 265'!$A:$N,MATCH('БА расх 2018 31 12 2018'!$K1645,'реш СГД № 265'!$N:$N,0),3)</f>
        <v xml:space="preserve">Культура, кинематография </v>
      </c>
      <c r="M1645" s="16">
        <f t="shared" si="103"/>
        <v>1</v>
      </c>
    </row>
    <row r="1646" spans="1:13" s="16" customFormat="1" ht="15.75">
      <c r="A1646" s="14"/>
      <c r="B1646" s="121" t="s">
        <v>239</v>
      </c>
      <c r="C1646" s="122" t="s">
        <v>746</v>
      </c>
      <c r="D1646" s="123" t="s">
        <v>238</v>
      </c>
      <c r="E1646" s="123" t="s">
        <v>11</v>
      </c>
      <c r="F1646" s="123" t="s">
        <v>8</v>
      </c>
      <c r="G1646" s="123" t="s">
        <v>9</v>
      </c>
      <c r="H1646" s="124">
        <v>1585450</v>
      </c>
      <c r="I1646" s="123">
        <v>0</v>
      </c>
      <c r="J1646" s="123" t="str">
        <f t="shared" ref="J1646:J1724" si="109">TEXT(I1646,"0000000000")</f>
        <v>0000000000</v>
      </c>
      <c r="K1646" s="304" t="str">
        <f t="shared" si="108"/>
        <v>61708010000000000000</v>
      </c>
      <c r="L1646" s="17" t="str">
        <f>INDEX('реш СГД № 265'!$A:$N,MATCH('БА расх 2018 31 12 2018'!$K1646,'реш СГД № 265'!$N:$N,0),3)</f>
        <v>Культура</v>
      </c>
      <c r="M1646" s="16">
        <f t="shared" ref="M1646:M1724" si="110">IF(B1646=L1646,1,0)</f>
        <v>1</v>
      </c>
    </row>
    <row r="1647" spans="1:13" s="16" customFormat="1" ht="15.75">
      <c r="A1647" s="14"/>
      <c r="B1647" s="125" t="s">
        <v>240</v>
      </c>
      <c r="C1647" s="130" t="s">
        <v>746</v>
      </c>
      <c r="D1647" s="131" t="s">
        <v>238</v>
      </c>
      <c r="E1647" s="131" t="s">
        <v>11</v>
      </c>
      <c r="F1647" s="131" t="s">
        <v>241</v>
      </c>
      <c r="G1647" s="131" t="s">
        <v>9</v>
      </c>
      <c r="H1647" s="105">
        <v>1585450</v>
      </c>
      <c r="I1647" s="131">
        <v>700000000</v>
      </c>
      <c r="J1647" s="131" t="str">
        <f t="shared" si="109"/>
        <v>0700000000</v>
      </c>
      <c r="K1647" s="304" t="str">
        <f t="shared" si="108"/>
        <v>61708010700000000000</v>
      </c>
      <c r="L1647" s="17" t="str">
        <f>INDEX('реш СГД № 265'!$A:$N,MATCH('БА расх 2018 31 12 2018'!$K1647,'реш СГД № 265'!$N:$N,0),3)</f>
        <v>Муниципальная программа «Культура города Ставрополя»</v>
      </c>
      <c r="M1647" s="16">
        <f t="shared" si="110"/>
        <v>1</v>
      </c>
    </row>
    <row r="1648" spans="1:13" s="16" customFormat="1" ht="63">
      <c r="A1648" s="14"/>
      <c r="B1648" s="140" t="s">
        <v>242</v>
      </c>
      <c r="C1648" s="130" t="s">
        <v>746</v>
      </c>
      <c r="D1648" s="131" t="s">
        <v>238</v>
      </c>
      <c r="E1648" s="131" t="s">
        <v>11</v>
      </c>
      <c r="F1648" s="131" t="s">
        <v>243</v>
      </c>
      <c r="G1648" s="131" t="s">
        <v>9</v>
      </c>
      <c r="H1648" s="105">
        <v>1585450</v>
      </c>
      <c r="I1648" s="131">
        <v>710000000</v>
      </c>
      <c r="J1648" s="131" t="str">
        <f t="shared" si="109"/>
        <v>0710000000</v>
      </c>
      <c r="K1648" s="304" t="str">
        <f t="shared" si="108"/>
        <v>61708010710000000000</v>
      </c>
      <c r="L1648" s="17" t="str">
        <f>INDEX('реш СГД № 265'!$A:$N,MATCH('БА расх 2018 31 12 2018'!$K1648,'реш СГД № 265'!$N:$N,0),3)</f>
        <v xml:space="preserve">Подпрограмма «Проведение городских и краевых культурно-массовых мероприятий, посвященных памятным, знаменательным и юбилейным датам в истории России, Ставропольского края, города Ставрополя» </v>
      </c>
      <c r="M1648" s="16">
        <f t="shared" si="110"/>
        <v>1</v>
      </c>
    </row>
    <row r="1649" spans="1:13" s="16" customFormat="1" ht="94.5">
      <c r="A1649" s="14"/>
      <c r="B1649" s="140" t="s">
        <v>244</v>
      </c>
      <c r="C1649" s="130" t="s">
        <v>746</v>
      </c>
      <c r="D1649" s="131" t="s">
        <v>238</v>
      </c>
      <c r="E1649" s="131" t="s">
        <v>11</v>
      </c>
      <c r="F1649" s="131" t="s">
        <v>245</v>
      </c>
      <c r="G1649" s="131" t="s">
        <v>9</v>
      </c>
      <c r="H1649" s="105">
        <v>1585450</v>
      </c>
      <c r="I1649" s="131">
        <v>710100000</v>
      </c>
      <c r="J1649" s="131" t="str">
        <f t="shared" si="109"/>
        <v>0710100000</v>
      </c>
      <c r="K1649" s="304" t="str">
        <f t="shared" si="108"/>
        <v>61708010710100000000</v>
      </c>
      <c r="L1649" s="17" t="str">
        <f>INDEX('реш СГД № 265'!$A:$N,MATCH('БА расх 2018 31 12 2018'!$K1649,'реш СГД № 265'!$N:$N,0),3)</f>
        <v>Основное мероприятие «Обеспечение доступности к культурным ценностям и права на участие в культурной жизни для всех групп населения города Ставрополя, популяризация объектов культурного наследия города Ставрополя, формирование имиджа города Ставрополя как культурного центра Ставропольского края»</v>
      </c>
      <c r="M1649" s="16">
        <f t="shared" si="110"/>
        <v>1</v>
      </c>
    </row>
    <row r="1650" spans="1:13" s="16" customFormat="1" ht="31.5">
      <c r="A1650" s="14"/>
      <c r="B1650" s="125" t="s">
        <v>246</v>
      </c>
      <c r="C1650" s="130" t="s">
        <v>746</v>
      </c>
      <c r="D1650" s="131" t="s">
        <v>238</v>
      </c>
      <c r="E1650" s="131" t="s">
        <v>11</v>
      </c>
      <c r="F1650" s="131" t="s">
        <v>247</v>
      </c>
      <c r="G1650" s="131" t="s">
        <v>9</v>
      </c>
      <c r="H1650" s="105">
        <v>1095450</v>
      </c>
      <c r="I1650" s="131">
        <v>710120060</v>
      </c>
      <c r="J1650" s="131" t="str">
        <f t="shared" si="109"/>
        <v>0710120060</v>
      </c>
      <c r="K1650" s="304" t="str">
        <f t="shared" si="108"/>
        <v>61708010710120060000</v>
      </c>
      <c r="L1650" s="17" t="str">
        <f>INDEX('реш СГД № 265'!$A:$N,MATCH('БА расх 2018 31 12 2018'!$K1650,'реш СГД № 265'!$N:$N,0),3)</f>
        <v>Расходы на проведение культурно-массовых мероприятий в городе Ставрополе</v>
      </c>
      <c r="M1650" s="16">
        <f t="shared" si="110"/>
        <v>1</v>
      </c>
    </row>
    <row r="1651" spans="1:13" s="16" customFormat="1" ht="31.5">
      <c r="A1651" s="14"/>
      <c r="B1651" s="125" t="s">
        <v>28</v>
      </c>
      <c r="C1651" s="130" t="s">
        <v>746</v>
      </c>
      <c r="D1651" s="131" t="s">
        <v>238</v>
      </c>
      <c r="E1651" s="131" t="s">
        <v>11</v>
      </c>
      <c r="F1651" s="131" t="s">
        <v>247</v>
      </c>
      <c r="G1651" s="131" t="s">
        <v>29</v>
      </c>
      <c r="H1651" s="126">
        <v>1095450</v>
      </c>
      <c r="I1651" s="131">
        <v>710120060</v>
      </c>
      <c r="J1651" s="131" t="str">
        <f t="shared" si="109"/>
        <v>0710120060</v>
      </c>
      <c r="K1651" s="304" t="str">
        <f t="shared" si="108"/>
        <v>61708010710120060240</v>
      </c>
      <c r="L1651" s="17" t="str">
        <f>INDEX('реш СГД № 265'!$A:$N,MATCH('БА расх 2018 31 12 2018'!$K1651,'реш СГД № 265'!$N:$N,0),3)</f>
        <v>Иные закупки товаров, работ и услуг для обеспечения государственных (муниципальных) нужд</v>
      </c>
      <c r="M1651" s="16">
        <f t="shared" si="110"/>
        <v>1</v>
      </c>
    </row>
    <row r="1652" spans="1:13" s="16" customFormat="1" ht="15.75">
      <c r="A1652" s="14"/>
      <c r="B1652" s="125" t="s">
        <v>30</v>
      </c>
      <c r="C1652" s="130" t="s">
        <v>746</v>
      </c>
      <c r="D1652" s="131" t="s">
        <v>238</v>
      </c>
      <c r="E1652" s="131" t="s">
        <v>11</v>
      </c>
      <c r="F1652" s="131" t="s">
        <v>247</v>
      </c>
      <c r="G1652" s="131" t="s">
        <v>31</v>
      </c>
      <c r="H1652" s="126">
        <v>1095450</v>
      </c>
      <c r="I1652" s="131">
        <v>710120060</v>
      </c>
      <c r="J1652" s="131" t="str">
        <f t="shared" si="109"/>
        <v>0710120060</v>
      </c>
      <c r="K1652" s="304" t="str">
        <f t="shared" si="108"/>
        <v>61708010710120060244</v>
      </c>
      <c r="L1652" s="17"/>
    </row>
    <row r="1653" spans="1:13" s="16" customFormat="1" ht="31.5">
      <c r="A1653" s="14"/>
      <c r="B1653" s="127" t="s">
        <v>780</v>
      </c>
      <c r="C1653" s="130" t="s">
        <v>746</v>
      </c>
      <c r="D1653" s="131" t="s">
        <v>238</v>
      </c>
      <c r="E1653" s="131" t="s">
        <v>11</v>
      </c>
      <c r="F1653" s="131" t="s">
        <v>781</v>
      </c>
      <c r="G1653" s="131" t="s">
        <v>9</v>
      </c>
      <c r="H1653" s="105">
        <v>490000</v>
      </c>
      <c r="I1653" s="131">
        <v>710121130</v>
      </c>
      <c r="J1653" s="131" t="str">
        <f t="shared" si="109"/>
        <v>0710121130</v>
      </c>
      <c r="K1653" s="304" t="str">
        <f t="shared" si="108"/>
        <v>61708010710121130000</v>
      </c>
      <c r="L1653" s="17" t="str">
        <f>INDEX('реш СГД № 265'!$A:$N,MATCH('БА расх 2018 31 12 2018'!$K1653,'реш СГД № 265'!$N:$N,0),3)</f>
        <v>Расходы на размещение информационных баннеров на лайтбоксах на остановочных пунктах в городе Ставрополе</v>
      </c>
      <c r="M1653" s="16">
        <f t="shared" si="110"/>
        <v>1</v>
      </c>
    </row>
    <row r="1654" spans="1:13" ht="31.5">
      <c r="B1654" s="125" t="s">
        <v>28</v>
      </c>
      <c r="C1654" s="130" t="s">
        <v>746</v>
      </c>
      <c r="D1654" s="131" t="s">
        <v>238</v>
      </c>
      <c r="E1654" s="131" t="s">
        <v>11</v>
      </c>
      <c r="F1654" s="131" t="s">
        <v>781</v>
      </c>
      <c r="G1654" s="131" t="s">
        <v>29</v>
      </c>
      <c r="H1654" s="126">
        <v>490000</v>
      </c>
      <c r="I1654" s="131">
        <v>710121130</v>
      </c>
      <c r="J1654" s="131" t="str">
        <f t="shared" si="109"/>
        <v>0710121130</v>
      </c>
      <c r="K1654" s="304" t="str">
        <f t="shared" si="108"/>
        <v>61708010710121130240</v>
      </c>
      <c r="L1654" s="17" t="str">
        <f>INDEX('реш СГД № 265'!$A:$N,MATCH('БА расх 2018 31 12 2018'!$K1654,'реш СГД № 265'!$N:$N,0),3)</f>
        <v>Иные закупки товаров, работ и услуг для обеспечения государственных (муниципальных) нужд</v>
      </c>
      <c r="M1654" s="16">
        <f t="shared" si="110"/>
        <v>1</v>
      </c>
    </row>
    <row r="1655" spans="1:13" ht="15.75">
      <c r="B1655" s="125" t="s">
        <v>30</v>
      </c>
      <c r="C1655" s="130" t="s">
        <v>746</v>
      </c>
      <c r="D1655" s="131" t="s">
        <v>238</v>
      </c>
      <c r="E1655" s="131" t="s">
        <v>11</v>
      </c>
      <c r="F1655" s="131" t="s">
        <v>781</v>
      </c>
      <c r="G1655" s="131" t="s">
        <v>31</v>
      </c>
      <c r="H1655" s="126">
        <v>490000</v>
      </c>
      <c r="I1655" s="131">
        <v>710121130</v>
      </c>
      <c r="J1655" s="131" t="str">
        <f t="shared" si="109"/>
        <v>0710121130</v>
      </c>
      <c r="K1655" s="304" t="str">
        <f t="shared" si="108"/>
        <v>61708010710121130244</v>
      </c>
      <c r="L1655" s="17"/>
      <c r="M1655" s="16"/>
    </row>
    <row r="1656" spans="1:13" ht="15.75">
      <c r="B1656" s="125"/>
      <c r="C1656" s="130"/>
      <c r="D1656" s="131"/>
      <c r="E1656" s="131"/>
      <c r="F1656" s="131"/>
      <c r="G1656" s="131"/>
      <c r="H1656" s="105"/>
      <c r="I1656" s="131"/>
      <c r="J1656" s="131" t="str">
        <f t="shared" si="109"/>
        <v>0000000000</v>
      </c>
      <c r="K1656" s="304" t="str">
        <f t="shared" si="108"/>
        <v>0000000000</v>
      </c>
      <c r="L1656" s="17">
        <f>INDEX('реш СГД № 265'!$A:$N,MATCH('БА расх 2018 31 12 2018'!$K1656,'реш СГД № 265'!$N:$N,0),3)</f>
        <v>0</v>
      </c>
      <c r="M1656" s="16">
        <f t="shared" si="110"/>
        <v>1</v>
      </c>
    </row>
    <row r="1657" spans="1:13" s="16" customFormat="1" ht="15.75">
      <c r="A1657" s="14"/>
      <c r="B1657" s="67" t="s">
        <v>782</v>
      </c>
      <c r="C1657" s="116" t="s">
        <v>783</v>
      </c>
      <c r="D1657" s="69" t="s">
        <v>7</v>
      </c>
      <c r="E1657" s="69" t="s">
        <v>7</v>
      </c>
      <c r="F1657" s="69" t="s">
        <v>8</v>
      </c>
      <c r="G1657" s="69" t="s">
        <v>9</v>
      </c>
      <c r="H1657" s="70">
        <v>135166051.69999999</v>
      </c>
      <c r="I1657" s="69">
        <v>0</v>
      </c>
      <c r="J1657" s="108" t="str">
        <f t="shared" si="109"/>
        <v>0000000000</v>
      </c>
      <c r="K1657" s="304" t="str">
        <f t="shared" si="108"/>
        <v>61800000000000000000</v>
      </c>
      <c r="L1657" s="17" t="str">
        <f>INDEX('реш СГД № 265'!$A:$N,MATCH('БА расх 2018 31 12 2018'!$K1657,'реш СГД № 265'!$N:$N,0),3)</f>
        <v>Администрация Октябрьского района города Ставрополя</v>
      </c>
      <c r="M1657" s="16">
        <f t="shared" si="110"/>
        <v>1</v>
      </c>
    </row>
    <row r="1658" spans="1:13" s="16" customFormat="1" ht="15.75">
      <c r="A1658" s="14"/>
      <c r="B1658" s="117" t="s">
        <v>10</v>
      </c>
      <c r="C1658" s="118" t="s">
        <v>783</v>
      </c>
      <c r="D1658" s="119" t="s">
        <v>11</v>
      </c>
      <c r="E1658" s="119" t="s">
        <v>7</v>
      </c>
      <c r="F1658" s="119" t="s">
        <v>8</v>
      </c>
      <c r="G1658" s="119" t="s">
        <v>9</v>
      </c>
      <c r="H1658" s="120">
        <v>33142651.699999999</v>
      </c>
      <c r="I1658" s="119">
        <v>0</v>
      </c>
      <c r="J1658" s="108" t="str">
        <f t="shared" si="109"/>
        <v>0000000000</v>
      </c>
      <c r="K1658" s="304" t="str">
        <f t="shared" si="108"/>
        <v>61801000000000000000</v>
      </c>
      <c r="L1658" s="17" t="str">
        <f>INDEX('реш СГД № 265'!$A:$N,MATCH('БА расх 2018 31 12 2018'!$K1658,'реш СГД № 265'!$N:$N,0),3)</f>
        <v>Общегосударственные вопросы</v>
      </c>
      <c r="M1658" s="16">
        <f t="shared" si="110"/>
        <v>1</v>
      </c>
    </row>
    <row r="1659" spans="1:13" s="16" customFormat="1" ht="47.25">
      <c r="A1659" s="14"/>
      <c r="B1659" s="121" t="s">
        <v>72</v>
      </c>
      <c r="C1659" s="122" t="s">
        <v>783</v>
      </c>
      <c r="D1659" s="123" t="s">
        <v>11</v>
      </c>
      <c r="E1659" s="123" t="s">
        <v>73</v>
      </c>
      <c r="F1659" s="123" t="s">
        <v>8</v>
      </c>
      <c r="G1659" s="123" t="s">
        <v>9</v>
      </c>
      <c r="H1659" s="124">
        <v>32481168.609999999</v>
      </c>
      <c r="I1659" s="123">
        <v>0</v>
      </c>
      <c r="J1659" s="108" t="str">
        <f t="shared" si="109"/>
        <v>0000000000</v>
      </c>
      <c r="K1659" s="304" t="str">
        <f t="shared" si="108"/>
        <v>61801040000000000000</v>
      </c>
      <c r="L1659" s="17" t="str">
        <f>INDEX('реш СГД № 265'!$A:$N,MATCH('БА расх 2018 31 12 2018'!$K1659,'реш СГД № 265'!$N:$N,0),3)</f>
        <v>Функционирование Правительства Российской Федерации, высших исполнительных органов государственной власти субъектов Российской Федерации, местных администраций</v>
      </c>
      <c r="M1659" s="16">
        <f t="shared" si="110"/>
        <v>1</v>
      </c>
    </row>
    <row r="1660" spans="1:13" s="16" customFormat="1" ht="31.5">
      <c r="A1660" s="14"/>
      <c r="B1660" s="125" t="s">
        <v>784</v>
      </c>
      <c r="C1660" s="109" t="s">
        <v>783</v>
      </c>
      <c r="D1660" s="108" t="s">
        <v>11</v>
      </c>
      <c r="E1660" s="108" t="s">
        <v>73</v>
      </c>
      <c r="F1660" s="108" t="s">
        <v>785</v>
      </c>
      <c r="G1660" s="108" t="s">
        <v>9</v>
      </c>
      <c r="H1660" s="126">
        <v>32481168.609999999</v>
      </c>
      <c r="I1660" s="108">
        <v>8100000000</v>
      </c>
      <c r="J1660" s="108" t="str">
        <f t="shared" si="109"/>
        <v>8100000000</v>
      </c>
      <c r="K1660" s="304" t="str">
        <f t="shared" si="108"/>
        <v>61801048100000000000</v>
      </c>
      <c r="L1660" s="17" t="str">
        <f>INDEX('реш СГД № 265'!$A:$N,MATCH('БА расх 2018 31 12 2018'!$K1660,'реш СГД № 265'!$N:$N,0),3)</f>
        <v>Обеспечение деятельности администрации Октябрьского района города Ставрополя</v>
      </c>
      <c r="M1660" s="16">
        <f t="shared" si="110"/>
        <v>1</v>
      </c>
    </row>
    <row r="1661" spans="1:13" s="16" customFormat="1" ht="31.5">
      <c r="A1661" s="14"/>
      <c r="B1661" s="125" t="s">
        <v>786</v>
      </c>
      <c r="C1661" s="109" t="s">
        <v>783</v>
      </c>
      <c r="D1661" s="108" t="s">
        <v>11</v>
      </c>
      <c r="E1661" s="108" t="s">
        <v>73</v>
      </c>
      <c r="F1661" s="108" t="s">
        <v>787</v>
      </c>
      <c r="G1661" s="108" t="s">
        <v>9</v>
      </c>
      <c r="H1661" s="126">
        <v>32481168.609999999</v>
      </c>
      <c r="I1661" s="108">
        <v>8110000000</v>
      </c>
      <c r="J1661" s="108" t="str">
        <f t="shared" si="109"/>
        <v>8110000000</v>
      </c>
      <c r="K1661" s="304" t="str">
        <f t="shared" si="108"/>
        <v>61801048110000000000</v>
      </c>
      <c r="L1661" s="17" t="str">
        <f>INDEX('реш СГД № 265'!$A:$N,MATCH('БА расх 2018 31 12 2018'!$K1661,'реш СГД № 265'!$N:$N,0),3)</f>
        <v>Непрограммные расходы в рамках обеспечения деятельности администрации Октябрьского района города Ставрополя</v>
      </c>
      <c r="M1661" s="16">
        <f t="shared" si="110"/>
        <v>1</v>
      </c>
    </row>
    <row r="1662" spans="1:13" s="16" customFormat="1" ht="31.5">
      <c r="A1662" s="14"/>
      <c r="B1662" s="125" t="s">
        <v>18</v>
      </c>
      <c r="C1662" s="109" t="s">
        <v>783</v>
      </c>
      <c r="D1662" s="108" t="s">
        <v>11</v>
      </c>
      <c r="E1662" s="108" t="s">
        <v>73</v>
      </c>
      <c r="F1662" s="108" t="s">
        <v>788</v>
      </c>
      <c r="G1662" s="108" t="s">
        <v>9</v>
      </c>
      <c r="H1662" s="126">
        <v>4395958.51</v>
      </c>
      <c r="I1662" s="108">
        <v>8110010010</v>
      </c>
      <c r="J1662" s="108" t="str">
        <f t="shared" si="109"/>
        <v>8110010010</v>
      </c>
      <c r="K1662" s="304" t="str">
        <f t="shared" si="108"/>
        <v>61801048110010010000</v>
      </c>
      <c r="L1662" s="17" t="str">
        <f>INDEX('реш СГД № 265'!$A:$N,MATCH('БА расх 2018 31 12 2018'!$K1662,'реш СГД № 265'!$N:$N,0),3)</f>
        <v>Расходы на обеспечение функций органов местного самоуправления города Ставрополя</v>
      </c>
      <c r="M1662" s="16">
        <f t="shared" si="110"/>
        <v>1</v>
      </c>
    </row>
    <row r="1663" spans="1:13" s="16" customFormat="1" ht="31.5">
      <c r="A1663" s="14"/>
      <c r="B1663" s="129" t="s">
        <v>20</v>
      </c>
      <c r="C1663" s="109" t="s">
        <v>783</v>
      </c>
      <c r="D1663" s="108" t="s">
        <v>11</v>
      </c>
      <c r="E1663" s="108" t="s">
        <v>73</v>
      </c>
      <c r="F1663" s="108" t="s">
        <v>788</v>
      </c>
      <c r="G1663" s="108" t="s">
        <v>21</v>
      </c>
      <c r="H1663" s="126">
        <v>616577.75</v>
      </c>
      <c r="I1663" s="108">
        <v>8110010010</v>
      </c>
      <c r="J1663" s="108" t="str">
        <f t="shared" si="109"/>
        <v>8110010010</v>
      </c>
      <c r="K1663" s="304" t="str">
        <f t="shared" si="108"/>
        <v>61801048110010010120</v>
      </c>
      <c r="L1663" s="17" t="str">
        <f>INDEX('реш СГД № 265'!$A:$N,MATCH('БА расх 2018 31 12 2018'!$K1663,'реш СГД № 265'!$N:$N,0),3)</f>
        <v>Расходы на выплаты персоналу государственных (муниципальных) органов</v>
      </c>
      <c r="M1663" s="16">
        <f t="shared" si="110"/>
        <v>1</v>
      </c>
    </row>
    <row r="1664" spans="1:13" s="23" customFormat="1" ht="31.5">
      <c r="A1664" s="21"/>
      <c r="B1664" s="127" t="s">
        <v>22</v>
      </c>
      <c r="C1664" s="109" t="s">
        <v>783</v>
      </c>
      <c r="D1664" s="108" t="s">
        <v>11</v>
      </c>
      <c r="E1664" s="108" t="s">
        <v>73</v>
      </c>
      <c r="F1664" s="108" t="s">
        <v>788</v>
      </c>
      <c r="G1664" s="108" t="s">
        <v>23</v>
      </c>
      <c r="H1664" s="126">
        <v>474166.97</v>
      </c>
      <c r="I1664" s="108">
        <v>8110010010</v>
      </c>
      <c r="J1664" s="108" t="str">
        <f t="shared" si="109"/>
        <v>8110010010</v>
      </c>
      <c r="K1664" s="304" t="str">
        <f t="shared" si="108"/>
        <v>61801048110010010122</v>
      </c>
      <c r="L1664" s="17"/>
      <c r="M1664" s="16"/>
    </row>
    <row r="1665" spans="1:13" s="23" customFormat="1" ht="47.25">
      <c r="A1665" s="21"/>
      <c r="B1665" s="127" t="s">
        <v>26</v>
      </c>
      <c r="C1665" s="109" t="s">
        <v>783</v>
      </c>
      <c r="D1665" s="108" t="s">
        <v>11</v>
      </c>
      <c r="E1665" s="108" t="s">
        <v>73</v>
      </c>
      <c r="F1665" s="108" t="s">
        <v>788</v>
      </c>
      <c r="G1665" s="108" t="s">
        <v>27</v>
      </c>
      <c r="H1665" s="126">
        <v>142410.78</v>
      </c>
      <c r="I1665" s="108">
        <v>8110010010</v>
      </c>
      <c r="J1665" s="108" t="str">
        <f t="shared" si="109"/>
        <v>8110010010</v>
      </c>
      <c r="K1665" s="304" t="str">
        <f t="shared" si="108"/>
        <v>61801048110010010129</v>
      </c>
      <c r="L1665" s="17"/>
      <c r="M1665" s="16"/>
    </row>
    <row r="1666" spans="1:13" s="16" customFormat="1" ht="31.5">
      <c r="A1666" s="14"/>
      <c r="B1666" s="125" t="s">
        <v>28</v>
      </c>
      <c r="C1666" s="109" t="s">
        <v>783</v>
      </c>
      <c r="D1666" s="108" t="s">
        <v>11</v>
      </c>
      <c r="E1666" s="108" t="s">
        <v>73</v>
      </c>
      <c r="F1666" s="108" t="s">
        <v>788</v>
      </c>
      <c r="G1666" s="108" t="s">
        <v>29</v>
      </c>
      <c r="H1666" s="126">
        <v>3720930.76</v>
      </c>
      <c r="I1666" s="108">
        <v>8110010010</v>
      </c>
      <c r="J1666" s="108" t="str">
        <f t="shared" si="109"/>
        <v>8110010010</v>
      </c>
      <c r="K1666" s="304" t="str">
        <f t="shared" si="108"/>
        <v>61801048110010010240</v>
      </c>
      <c r="L1666" s="17" t="str">
        <f>INDEX('реш СГД № 265'!$A:$N,MATCH('БА расх 2018 31 12 2018'!$K1666,'реш СГД № 265'!$N:$N,0),3)</f>
        <v>Иные закупки товаров, работ и услуг для обеспечения государственных (муниципальных) нужд</v>
      </c>
      <c r="M1666" s="16">
        <f t="shared" si="110"/>
        <v>1</v>
      </c>
    </row>
    <row r="1667" spans="1:13" s="16" customFormat="1" ht="15.75">
      <c r="A1667" s="14"/>
      <c r="B1667" s="125" t="s">
        <v>30</v>
      </c>
      <c r="C1667" s="109" t="s">
        <v>783</v>
      </c>
      <c r="D1667" s="108" t="s">
        <v>11</v>
      </c>
      <c r="E1667" s="108" t="s">
        <v>73</v>
      </c>
      <c r="F1667" s="108" t="s">
        <v>788</v>
      </c>
      <c r="G1667" s="108" t="s">
        <v>31</v>
      </c>
      <c r="H1667" s="126">
        <v>3720930.76</v>
      </c>
      <c r="I1667" s="108">
        <v>8110010010</v>
      </c>
      <c r="J1667" s="108" t="str">
        <f t="shared" si="109"/>
        <v>8110010010</v>
      </c>
      <c r="K1667" s="304" t="str">
        <f t="shared" si="108"/>
        <v>61801048110010010244</v>
      </c>
      <c r="L1667" s="17"/>
    </row>
    <row r="1668" spans="1:13" s="16" customFormat="1" ht="15.75">
      <c r="A1668" s="14"/>
      <c r="B1668" s="125" t="s">
        <v>32</v>
      </c>
      <c r="C1668" s="109" t="s">
        <v>783</v>
      </c>
      <c r="D1668" s="108" t="s">
        <v>11</v>
      </c>
      <c r="E1668" s="108" t="s">
        <v>73</v>
      </c>
      <c r="F1668" s="108" t="s">
        <v>788</v>
      </c>
      <c r="G1668" s="108" t="s">
        <v>33</v>
      </c>
      <c r="H1668" s="126">
        <v>58450</v>
      </c>
      <c r="I1668" s="108">
        <v>8110010010</v>
      </c>
      <c r="J1668" s="108" t="str">
        <f t="shared" si="109"/>
        <v>8110010010</v>
      </c>
      <c r="K1668" s="304" t="str">
        <f t="shared" si="108"/>
        <v>61801048110010010850</v>
      </c>
      <c r="L1668" s="17" t="str">
        <f>INDEX('реш СГД № 265'!$A:$N,MATCH('БА расх 2018 31 12 2018'!$K1668,'реш СГД № 265'!$N:$N,0),3)</f>
        <v>Уплата налогов, сборов и иных платежей</v>
      </c>
      <c r="M1668" s="16">
        <f t="shared" si="110"/>
        <v>1</v>
      </c>
    </row>
    <row r="1669" spans="1:13" s="23" customFormat="1" ht="31.5">
      <c r="A1669" s="21"/>
      <c r="B1669" s="127" t="s">
        <v>34</v>
      </c>
      <c r="C1669" s="109" t="s">
        <v>783</v>
      </c>
      <c r="D1669" s="108" t="s">
        <v>11</v>
      </c>
      <c r="E1669" s="108" t="s">
        <v>73</v>
      </c>
      <c r="F1669" s="108" t="s">
        <v>788</v>
      </c>
      <c r="G1669" s="108" t="s">
        <v>35</v>
      </c>
      <c r="H1669" s="126">
        <v>39432</v>
      </c>
      <c r="I1669" s="108">
        <v>8110010010</v>
      </c>
      <c r="J1669" s="108" t="str">
        <f t="shared" si="109"/>
        <v>8110010010</v>
      </c>
      <c r="K1669" s="304" t="str">
        <f t="shared" si="108"/>
        <v>61801048110010010851</v>
      </c>
      <c r="L1669" s="17"/>
      <c r="M1669" s="16"/>
    </row>
    <row r="1670" spans="1:13" s="23" customFormat="1" ht="15.75">
      <c r="A1670" s="21"/>
      <c r="B1670" s="127" t="s">
        <v>36</v>
      </c>
      <c r="C1670" s="109" t="s">
        <v>783</v>
      </c>
      <c r="D1670" s="108" t="s">
        <v>11</v>
      </c>
      <c r="E1670" s="108" t="s">
        <v>73</v>
      </c>
      <c r="F1670" s="108" t="s">
        <v>788</v>
      </c>
      <c r="G1670" s="108" t="s">
        <v>37</v>
      </c>
      <c r="H1670" s="126">
        <v>19018</v>
      </c>
      <c r="I1670" s="108">
        <v>8110010010</v>
      </c>
      <c r="J1670" s="108" t="str">
        <f t="shared" si="109"/>
        <v>8110010010</v>
      </c>
      <c r="K1670" s="304" t="str">
        <f t="shared" si="108"/>
        <v>61801048110010010852</v>
      </c>
      <c r="L1670" s="17"/>
      <c r="M1670" s="16"/>
    </row>
    <row r="1671" spans="1:13" s="16" customFormat="1" ht="31.5">
      <c r="A1671" s="14"/>
      <c r="B1671" s="129" t="s">
        <v>789</v>
      </c>
      <c r="C1671" s="109" t="s">
        <v>783</v>
      </c>
      <c r="D1671" s="108" t="s">
        <v>11</v>
      </c>
      <c r="E1671" s="108" t="s">
        <v>73</v>
      </c>
      <c r="F1671" s="108" t="s">
        <v>790</v>
      </c>
      <c r="G1671" s="108" t="s">
        <v>9</v>
      </c>
      <c r="H1671" s="126">
        <v>25878748.539999999</v>
      </c>
      <c r="I1671" s="108">
        <v>8110010020</v>
      </c>
      <c r="J1671" s="108" t="str">
        <f t="shared" si="109"/>
        <v>8110010020</v>
      </c>
      <c r="K1671" s="304" t="str">
        <f t="shared" si="108"/>
        <v>61801048110010020000</v>
      </c>
      <c r="L1671" s="17" t="str">
        <f>INDEX('реш СГД № 265'!$A:$N,MATCH('БА расх 2018 31 12 2018'!$K1671,'реш СГД № 265'!$N:$N,0),3)</f>
        <v>Расходы на выплаты по оплате труда работников  органов местного самоуправления города Ставрополя</v>
      </c>
      <c r="M1671" s="16">
        <f t="shared" si="110"/>
        <v>1</v>
      </c>
    </row>
    <row r="1672" spans="1:13" s="16" customFormat="1" ht="31.5">
      <c r="A1672" s="14"/>
      <c r="B1672" s="129" t="s">
        <v>20</v>
      </c>
      <c r="C1672" s="109" t="s">
        <v>783</v>
      </c>
      <c r="D1672" s="108" t="s">
        <v>11</v>
      </c>
      <c r="E1672" s="108" t="s">
        <v>73</v>
      </c>
      <c r="F1672" s="108" t="s">
        <v>790</v>
      </c>
      <c r="G1672" s="108" t="s">
        <v>21</v>
      </c>
      <c r="H1672" s="126">
        <v>25878748.539999999</v>
      </c>
      <c r="I1672" s="108">
        <v>8110010020</v>
      </c>
      <c r="J1672" s="108" t="str">
        <f t="shared" si="109"/>
        <v>8110010020</v>
      </c>
      <c r="K1672" s="304" t="str">
        <f t="shared" si="108"/>
        <v>61801048110010020120</v>
      </c>
      <c r="L1672" s="17" t="str">
        <f>INDEX('реш СГД № 265'!$A:$N,MATCH('БА расх 2018 31 12 2018'!$K1672,'реш СГД № 265'!$N:$N,0),3)</f>
        <v>Расходы на выплаты персоналу государственных (муниципальных) органов</v>
      </c>
      <c r="M1672" s="16">
        <f t="shared" si="110"/>
        <v>1</v>
      </c>
    </row>
    <row r="1673" spans="1:13" s="23" customFormat="1" ht="31.5">
      <c r="A1673" s="21"/>
      <c r="B1673" s="127" t="s">
        <v>40</v>
      </c>
      <c r="C1673" s="109" t="s">
        <v>783</v>
      </c>
      <c r="D1673" s="108" t="s">
        <v>11</v>
      </c>
      <c r="E1673" s="108" t="s">
        <v>73</v>
      </c>
      <c r="F1673" s="108" t="s">
        <v>790</v>
      </c>
      <c r="G1673" s="108" t="s">
        <v>41</v>
      </c>
      <c r="H1673" s="126">
        <v>19946400.34</v>
      </c>
      <c r="I1673" s="108">
        <v>8110010020</v>
      </c>
      <c r="J1673" s="108" t="str">
        <f t="shared" si="109"/>
        <v>8110010020</v>
      </c>
      <c r="K1673" s="304" t="str">
        <f t="shared" si="108"/>
        <v>61801048110010020121</v>
      </c>
      <c r="L1673" s="17"/>
      <c r="M1673" s="16"/>
    </row>
    <row r="1674" spans="1:13" s="23" customFormat="1" ht="47.25">
      <c r="A1674" s="21"/>
      <c r="B1674" s="127" t="s">
        <v>26</v>
      </c>
      <c r="C1674" s="109" t="s">
        <v>783</v>
      </c>
      <c r="D1674" s="108" t="s">
        <v>11</v>
      </c>
      <c r="E1674" s="108" t="s">
        <v>73</v>
      </c>
      <c r="F1674" s="108" t="s">
        <v>790</v>
      </c>
      <c r="G1674" s="108" t="s">
        <v>27</v>
      </c>
      <c r="H1674" s="126">
        <v>5932348.2000000002</v>
      </c>
      <c r="I1674" s="108">
        <v>8110010020</v>
      </c>
      <c r="J1674" s="108" t="str">
        <f t="shared" si="109"/>
        <v>8110010020</v>
      </c>
      <c r="K1674" s="304" t="str">
        <f t="shared" si="108"/>
        <v>61801048110010020129</v>
      </c>
      <c r="L1674" s="17"/>
      <c r="M1674" s="16"/>
    </row>
    <row r="1675" spans="1:13" s="16" customFormat="1" ht="63">
      <c r="A1675" s="14" t="s">
        <v>80</v>
      </c>
      <c r="B1675" s="150" t="s">
        <v>488</v>
      </c>
      <c r="C1675" s="109" t="s">
        <v>783</v>
      </c>
      <c r="D1675" s="108" t="s">
        <v>11</v>
      </c>
      <c r="E1675" s="108" t="s">
        <v>73</v>
      </c>
      <c r="F1675" s="108" t="s">
        <v>791</v>
      </c>
      <c r="G1675" s="108" t="s">
        <v>9</v>
      </c>
      <c r="H1675" s="126">
        <v>1260400.0999999999</v>
      </c>
      <c r="I1675" s="108">
        <v>8110076200</v>
      </c>
      <c r="J1675" s="108" t="str">
        <f t="shared" si="109"/>
        <v>8110076200</v>
      </c>
      <c r="K1675" s="304" t="str">
        <f t="shared" si="108"/>
        <v>61801048110076200000</v>
      </c>
      <c r="L1675" s="17" t="str">
        <f>INDEX('реш СГД № 265'!$A:$N,MATCH('БА расх 2018 31 12 2018'!$K1675,'реш СГД № 265'!$N:$N,0),3)</f>
        <v>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v>
      </c>
      <c r="M1675" s="16">
        <f t="shared" si="110"/>
        <v>1</v>
      </c>
    </row>
    <row r="1676" spans="1:13" s="16" customFormat="1" ht="31.5">
      <c r="A1676" s="14"/>
      <c r="B1676" s="129" t="s">
        <v>20</v>
      </c>
      <c r="C1676" s="109" t="s">
        <v>783</v>
      </c>
      <c r="D1676" s="108" t="s">
        <v>11</v>
      </c>
      <c r="E1676" s="108" t="s">
        <v>73</v>
      </c>
      <c r="F1676" s="108" t="s">
        <v>791</v>
      </c>
      <c r="G1676" s="108" t="s">
        <v>21</v>
      </c>
      <c r="H1676" s="126">
        <v>1231910.8599999999</v>
      </c>
      <c r="I1676" s="108">
        <v>8110076200</v>
      </c>
      <c r="J1676" s="108" t="str">
        <f t="shared" si="109"/>
        <v>8110076200</v>
      </c>
      <c r="K1676" s="304" t="str">
        <f t="shared" si="108"/>
        <v>61801048110076200120</v>
      </c>
      <c r="L1676" s="17" t="str">
        <f>INDEX('реш СГД № 265'!$A:$N,MATCH('БА расх 2018 31 12 2018'!$K1676,'реш СГД № 265'!$N:$N,0),3)</f>
        <v>Расходы на выплаты персоналу государственных (муниципальных) органов</v>
      </c>
      <c r="M1676" s="16">
        <f t="shared" si="110"/>
        <v>1</v>
      </c>
    </row>
    <row r="1677" spans="1:13" s="16" customFormat="1" ht="31.5">
      <c r="A1677" s="14"/>
      <c r="B1677" s="127" t="s">
        <v>40</v>
      </c>
      <c r="C1677" s="109" t="s">
        <v>783</v>
      </c>
      <c r="D1677" s="108" t="s">
        <v>11</v>
      </c>
      <c r="E1677" s="108" t="s">
        <v>73</v>
      </c>
      <c r="F1677" s="108" t="s">
        <v>791</v>
      </c>
      <c r="G1677" s="108" t="s">
        <v>41</v>
      </c>
      <c r="H1677" s="126">
        <v>904458.57</v>
      </c>
      <c r="I1677" s="108">
        <v>8110076200</v>
      </c>
      <c r="J1677" s="108" t="str">
        <f t="shared" si="109"/>
        <v>8110076200</v>
      </c>
      <c r="K1677" s="304" t="str">
        <f t="shared" si="108"/>
        <v>61801048110076200121</v>
      </c>
      <c r="L1677" s="17"/>
    </row>
    <row r="1678" spans="1:13" s="23" customFormat="1" ht="31.5">
      <c r="A1678" s="21"/>
      <c r="B1678" s="127" t="s">
        <v>22</v>
      </c>
      <c r="C1678" s="109" t="s">
        <v>783</v>
      </c>
      <c r="D1678" s="108" t="s">
        <v>11</v>
      </c>
      <c r="E1678" s="108" t="s">
        <v>73</v>
      </c>
      <c r="F1678" s="108" t="s">
        <v>791</v>
      </c>
      <c r="G1678" s="108" t="s">
        <v>23</v>
      </c>
      <c r="H1678" s="126">
        <v>41615.980000000003</v>
      </c>
      <c r="I1678" s="108">
        <v>8110076200</v>
      </c>
      <c r="J1678" s="108" t="str">
        <f t="shared" si="109"/>
        <v>8110076200</v>
      </c>
      <c r="K1678" s="304" t="str">
        <f t="shared" si="108"/>
        <v>61801048110076200122</v>
      </c>
      <c r="L1678" s="17"/>
      <c r="M1678" s="16"/>
    </row>
    <row r="1679" spans="1:13" s="23" customFormat="1" ht="47.25">
      <c r="A1679" s="21"/>
      <c r="B1679" s="127" t="s">
        <v>26</v>
      </c>
      <c r="C1679" s="109" t="s">
        <v>783</v>
      </c>
      <c r="D1679" s="108" t="s">
        <v>11</v>
      </c>
      <c r="E1679" s="108" t="s">
        <v>73</v>
      </c>
      <c r="F1679" s="108" t="s">
        <v>791</v>
      </c>
      <c r="G1679" s="108" t="s">
        <v>27</v>
      </c>
      <c r="H1679" s="126">
        <v>285836.31</v>
      </c>
      <c r="I1679" s="108">
        <v>8110076200</v>
      </c>
      <c r="J1679" s="108" t="str">
        <f t="shared" si="109"/>
        <v>8110076200</v>
      </c>
      <c r="K1679" s="304" t="str">
        <f t="shared" si="108"/>
        <v>61801048110076200129</v>
      </c>
      <c r="L1679" s="17"/>
      <c r="M1679" s="16"/>
    </row>
    <row r="1680" spans="1:13" s="16" customFormat="1" ht="31.5">
      <c r="A1680" s="14"/>
      <c r="B1680" s="125" t="s">
        <v>28</v>
      </c>
      <c r="C1680" s="109" t="s">
        <v>783</v>
      </c>
      <c r="D1680" s="108" t="s">
        <v>11</v>
      </c>
      <c r="E1680" s="108" t="s">
        <v>73</v>
      </c>
      <c r="F1680" s="108" t="s">
        <v>791</v>
      </c>
      <c r="G1680" s="108" t="s">
        <v>29</v>
      </c>
      <c r="H1680" s="126">
        <v>28489.24</v>
      </c>
      <c r="I1680" s="108">
        <v>8110076200</v>
      </c>
      <c r="J1680" s="108" t="str">
        <f t="shared" si="109"/>
        <v>8110076200</v>
      </c>
      <c r="K1680" s="304" t="str">
        <f t="shared" si="108"/>
        <v>61801048110076200240</v>
      </c>
      <c r="L1680" s="17" t="str">
        <f>INDEX('реш СГД № 265'!$A:$N,MATCH('БА расх 2018 31 12 2018'!$K1680,'реш СГД № 265'!$N:$N,0),3)</f>
        <v>Иные закупки товаров, работ и услуг для обеспечения государственных (муниципальных) нужд</v>
      </c>
      <c r="M1680" s="16">
        <f t="shared" si="110"/>
        <v>1</v>
      </c>
    </row>
    <row r="1681" spans="1:13" s="16" customFormat="1" ht="15.75">
      <c r="A1681" s="14"/>
      <c r="B1681" s="125" t="s">
        <v>30</v>
      </c>
      <c r="C1681" s="109" t="s">
        <v>783</v>
      </c>
      <c r="D1681" s="108" t="s">
        <v>11</v>
      </c>
      <c r="E1681" s="108" t="s">
        <v>73</v>
      </c>
      <c r="F1681" s="108" t="s">
        <v>791</v>
      </c>
      <c r="G1681" s="108" t="s">
        <v>31</v>
      </c>
      <c r="H1681" s="126">
        <v>28489.24</v>
      </c>
      <c r="I1681" s="108">
        <v>8110076200</v>
      </c>
      <c r="J1681" s="108" t="str">
        <f t="shared" si="109"/>
        <v>8110076200</v>
      </c>
      <c r="K1681" s="304" t="str">
        <f t="shared" si="108"/>
        <v>61801048110076200244</v>
      </c>
      <c r="L1681" s="17"/>
    </row>
    <row r="1682" spans="1:13" s="16" customFormat="1" ht="63">
      <c r="A1682" s="14" t="s">
        <v>80</v>
      </c>
      <c r="B1682" s="129" t="s">
        <v>754</v>
      </c>
      <c r="C1682" s="109" t="s">
        <v>783</v>
      </c>
      <c r="D1682" s="108" t="s">
        <v>11</v>
      </c>
      <c r="E1682" s="108" t="s">
        <v>73</v>
      </c>
      <c r="F1682" s="108" t="s">
        <v>792</v>
      </c>
      <c r="G1682" s="108" t="s">
        <v>9</v>
      </c>
      <c r="H1682" s="126">
        <v>70900</v>
      </c>
      <c r="I1682" s="108">
        <v>8110076360</v>
      </c>
      <c r="J1682" s="108" t="str">
        <f t="shared" si="109"/>
        <v>8110076360</v>
      </c>
      <c r="K1682" s="304" t="str">
        <f t="shared" si="108"/>
        <v>61801048110076360000</v>
      </c>
      <c r="L1682" s="17" t="str">
        <f>INDEX('реш СГД № 265'!$A:$N,MATCH('БА расх 2018 31 12 2018'!$K1682,'реш СГД № 265'!$N:$N,0),3)</f>
        <v>Расходы на осуществление переданных государственных полномочий Ставропольского края по созданию и организации деятельности комиссий по делам несовершеннолетних и защите их прав</v>
      </c>
      <c r="M1682" s="16">
        <f t="shared" si="110"/>
        <v>1</v>
      </c>
    </row>
    <row r="1683" spans="1:13" s="16" customFormat="1" ht="31.5">
      <c r="A1683" s="14"/>
      <c r="B1683" s="125" t="s">
        <v>28</v>
      </c>
      <c r="C1683" s="109" t="s">
        <v>783</v>
      </c>
      <c r="D1683" s="108" t="s">
        <v>11</v>
      </c>
      <c r="E1683" s="108" t="s">
        <v>73</v>
      </c>
      <c r="F1683" s="108" t="s">
        <v>792</v>
      </c>
      <c r="G1683" s="108" t="s">
        <v>29</v>
      </c>
      <c r="H1683" s="126">
        <v>70900</v>
      </c>
      <c r="I1683" s="108">
        <v>8110076360</v>
      </c>
      <c r="J1683" s="108" t="str">
        <f t="shared" si="109"/>
        <v>8110076360</v>
      </c>
      <c r="K1683" s="304" t="str">
        <f t="shared" si="108"/>
        <v>61801048110076360240</v>
      </c>
      <c r="L1683" s="17" t="str">
        <f>INDEX('реш СГД № 265'!$A:$N,MATCH('БА расх 2018 31 12 2018'!$K1683,'реш СГД № 265'!$N:$N,0),3)</f>
        <v>Иные закупки товаров, работ и услуг для обеспечения государственных (муниципальных) нужд</v>
      </c>
      <c r="M1683" s="16">
        <f t="shared" si="110"/>
        <v>1</v>
      </c>
    </row>
    <row r="1684" spans="1:13" s="16" customFormat="1" ht="15.75">
      <c r="A1684" s="14"/>
      <c r="B1684" s="125" t="s">
        <v>30</v>
      </c>
      <c r="C1684" s="109" t="s">
        <v>783</v>
      </c>
      <c r="D1684" s="108" t="s">
        <v>11</v>
      </c>
      <c r="E1684" s="108" t="s">
        <v>73</v>
      </c>
      <c r="F1684" s="108" t="s">
        <v>792</v>
      </c>
      <c r="G1684" s="108" t="s">
        <v>31</v>
      </c>
      <c r="H1684" s="126">
        <v>70900</v>
      </c>
      <c r="I1684" s="108">
        <v>8110076360</v>
      </c>
      <c r="J1684" s="108" t="str">
        <f t="shared" si="109"/>
        <v>8110076360</v>
      </c>
      <c r="K1684" s="304" t="str">
        <f t="shared" si="108"/>
        <v>61801048110076360244</v>
      </c>
      <c r="L1684" s="17"/>
    </row>
    <row r="1685" spans="1:13" s="16" customFormat="1" ht="267.75">
      <c r="A1685" s="14"/>
      <c r="B1685" s="132" t="s">
        <v>2269</v>
      </c>
      <c r="C1685" s="109" t="s">
        <v>783</v>
      </c>
      <c r="D1685" s="131" t="s">
        <v>11</v>
      </c>
      <c r="E1685" s="131" t="s">
        <v>73</v>
      </c>
      <c r="F1685" s="108" t="s">
        <v>1313</v>
      </c>
      <c r="G1685" s="108" t="s">
        <v>9</v>
      </c>
      <c r="H1685" s="126">
        <v>826987.46</v>
      </c>
      <c r="I1685" s="108">
        <v>8110077460</v>
      </c>
      <c r="J1685" s="108" t="str">
        <f t="shared" si="109"/>
        <v>8110077460</v>
      </c>
      <c r="K1685" s="304" t="str">
        <f t="shared" si="108"/>
        <v>61801048110077460000</v>
      </c>
      <c r="L1685" s="132" t="str">
        <f>INDEX('реш СГД № 265'!$A:$N,MATCH('БА расх 2018 31 12 2018'!$K1685,'реш СГД № 265'!$N:$N,0),3)</f>
        <v>Субсидии на компенсацию расходов по повышению заработной платы муниципальных служащих муниципальной службы и лиц, не замещающих должности муниципальной службы и исполняющих обязанности по техническому обеспечению деятельности органов местного самоуправления муниципальных образований, а также работников муниципальных учреждений, за исключением отдельных категорий работников муниципальных учреждений, которым повышение заработной платы осуществляется в соответствии с указами Президента Российской Федерации от 7 мая 2012 года № 597 «О мероприятиях по реализации государственной социальной политики», от 1 июня 2012 года № 761 «О Национальной стратегии действий в интересах детей на 2012 - 2017 годы» и от 28 декабря 2012 года № 1688 «О некоторых мерах по реализации государственной политики в сфере защиты детей-сирот и детей, оставшихся без попечения родителей»</v>
      </c>
      <c r="M1685" s="17">
        <f t="shared" si="110"/>
        <v>1</v>
      </c>
    </row>
    <row r="1686" spans="1:13" s="16" customFormat="1" ht="31.5">
      <c r="A1686" s="14"/>
      <c r="B1686" s="127" t="s">
        <v>20</v>
      </c>
      <c r="C1686" s="109" t="s">
        <v>783</v>
      </c>
      <c r="D1686" s="131" t="s">
        <v>11</v>
      </c>
      <c r="E1686" s="131" t="s">
        <v>73</v>
      </c>
      <c r="F1686" s="108" t="s">
        <v>1313</v>
      </c>
      <c r="G1686" s="108" t="s">
        <v>21</v>
      </c>
      <c r="H1686" s="126">
        <v>826987.46</v>
      </c>
      <c r="I1686" s="108">
        <v>8110077460</v>
      </c>
      <c r="J1686" s="108" t="str">
        <f t="shared" si="109"/>
        <v>8110077460</v>
      </c>
      <c r="K1686" s="304" t="str">
        <f t="shared" si="108"/>
        <v>61801048110077460120</v>
      </c>
      <c r="L1686" s="17" t="str">
        <f>INDEX('реш СГД № 265'!$A:$N,MATCH('БА расх 2018 31 12 2018'!$K1686,'реш СГД № 265'!$N:$N,0),3)</f>
        <v>Расходы на выплаты персоналу государственных (муниципальных) органов</v>
      </c>
      <c r="M1686" s="16">
        <f t="shared" si="110"/>
        <v>1</v>
      </c>
    </row>
    <row r="1687" spans="1:13" s="16" customFormat="1" ht="31.5">
      <c r="A1687" s="14"/>
      <c r="B1687" s="127" t="s">
        <v>40</v>
      </c>
      <c r="C1687" s="109" t="s">
        <v>783</v>
      </c>
      <c r="D1687" s="131" t="s">
        <v>11</v>
      </c>
      <c r="E1687" s="131" t="s">
        <v>73</v>
      </c>
      <c r="F1687" s="108" t="s">
        <v>1313</v>
      </c>
      <c r="G1687" s="108" t="s">
        <v>41</v>
      </c>
      <c r="H1687" s="126">
        <v>635167.02</v>
      </c>
      <c r="I1687" s="108">
        <v>8110077460</v>
      </c>
      <c r="J1687" s="108" t="str">
        <f t="shared" si="109"/>
        <v>8110077460</v>
      </c>
      <c r="K1687" s="304" t="str">
        <f t="shared" si="108"/>
        <v>61801048110077460121</v>
      </c>
      <c r="L1687" s="17"/>
    </row>
    <row r="1688" spans="1:13" s="16" customFormat="1" ht="49.9" customHeight="1">
      <c r="A1688" s="14"/>
      <c r="B1688" s="127" t="s">
        <v>26</v>
      </c>
      <c r="C1688" s="109" t="s">
        <v>783</v>
      </c>
      <c r="D1688" s="131" t="s">
        <v>11</v>
      </c>
      <c r="E1688" s="131" t="s">
        <v>73</v>
      </c>
      <c r="F1688" s="108" t="s">
        <v>1313</v>
      </c>
      <c r="G1688" s="108" t="s">
        <v>27</v>
      </c>
      <c r="H1688" s="126">
        <v>191820.44</v>
      </c>
      <c r="I1688" s="108">
        <v>8110077460</v>
      </c>
      <c r="J1688" s="108" t="str">
        <f t="shared" si="109"/>
        <v>8110077460</v>
      </c>
      <c r="K1688" s="304" t="str">
        <f t="shared" si="108"/>
        <v>61801048110077460129</v>
      </c>
      <c r="L1688" s="17"/>
    </row>
    <row r="1689" spans="1:13" s="16" customFormat="1" ht="236.25">
      <c r="A1689" s="14"/>
      <c r="B1689" s="164" t="s">
        <v>2247</v>
      </c>
      <c r="C1689" s="109" t="s">
        <v>783</v>
      </c>
      <c r="D1689" s="131" t="s">
        <v>11</v>
      </c>
      <c r="E1689" s="131" t="s">
        <v>73</v>
      </c>
      <c r="F1689" s="108" t="s">
        <v>2290</v>
      </c>
      <c r="G1689" s="108" t="s">
        <v>9</v>
      </c>
      <c r="H1689" s="126">
        <v>48174</v>
      </c>
      <c r="I1689" s="108">
        <v>8110077580</v>
      </c>
      <c r="J1689" s="108" t="str">
        <f t="shared" si="109"/>
        <v>8110077580</v>
      </c>
      <c r="K1689" s="304" t="str">
        <f t="shared" si="108"/>
        <v>61801048110077580000</v>
      </c>
      <c r="L1689" s="17"/>
    </row>
    <row r="1690" spans="1:13" s="16" customFormat="1" ht="31.5">
      <c r="A1690" s="14"/>
      <c r="B1690" s="127" t="s">
        <v>20</v>
      </c>
      <c r="C1690" s="109" t="s">
        <v>783</v>
      </c>
      <c r="D1690" s="131" t="s">
        <v>11</v>
      </c>
      <c r="E1690" s="131" t="s">
        <v>73</v>
      </c>
      <c r="F1690" s="108" t="s">
        <v>2290</v>
      </c>
      <c r="G1690" s="108" t="s">
        <v>21</v>
      </c>
      <c r="H1690" s="126">
        <v>48174</v>
      </c>
      <c r="I1690" s="108">
        <v>8110077580</v>
      </c>
      <c r="J1690" s="108" t="str">
        <f t="shared" si="109"/>
        <v>8110077580</v>
      </c>
      <c r="K1690" s="304" t="str">
        <f t="shared" si="108"/>
        <v>61801048110077580120</v>
      </c>
      <c r="L1690" s="17"/>
    </row>
    <row r="1691" spans="1:13" s="16" customFormat="1" ht="31.5">
      <c r="A1691" s="14"/>
      <c r="B1691" s="127" t="s">
        <v>40</v>
      </c>
      <c r="C1691" s="109" t="s">
        <v>783</v>
      </c>
      <c r="D1691" s="131" t="s">
        <v>11</v>
      </c>
      <c r="E1691" s="131" t="s">
        <v>73</v>
      </c>
      <c r="F1691" s="108" t="s">
        <v>2290</v>
      </c>
      <c r="G1691" s="108" t="s">
        <v>41</v>
      </c>
      <c r="H1691" s="126">
        <v>37000</v>
      </c>
      <c r="I1691" s="108">
        <v>8110077580</v>
      </c>
      <c r="J1691" s="108" t="str">
        <f t="shared" si="109"/>
        <v>8110077580</v>
      </c>
      <c r="K1691" s="304" t="str">
        <f t="shared" si="108"/>
        <v>61801048110077580121</v>
      </c>
      <c r="L1691" s="17"/>
    </row>
    <row r="1692" spans="1:13" s="16" customFormat="1" ht="49.9" customHeight="1">
      <c r="A1692" s="14"/>
      <c r="B1692" s="127" t="s">
        <v>26</v>
      </c>
      <c r="C1692" s="109" t="s">
        <v>783</v>
      </c>
      <c r="D1692" s="131" t="s">
        <v>11</v>
      </c>
      <c r="E1692" s="131" t="s">
        <v>73</v>
      </c>
      <c r="F1692" s="108" t="s">
        <v>2290</v>
      </c>
      <c r="G1692" s="108" t="s">
        <v>27</v>
      </c>
      <c r="H1692" s="126">
        <v>11174</v>
      </c>
      <c r="I1692" s="108">
        <v>8110077580</v>
      </c>
      <c r="J1692" s="108" t="str">
        <f t="shared" si="109"/>
        <v>8110077580</v>
      </c>
      <c r="K1692" s="304" t="str">
        <f t="shared" si="108"/>
        <v>61801048110077580129</v>
      </c>
      <c r="L1692" s="17"/>
    </row>
    <row r="1693" spans="1:13" s="16" customFormat="1" ht="15.75">
      <c r="A1693" s="14"/>
      <c r="B1693" s="121" t="s">
        <v>50</v>
      </c>
      <c r="C1693" s="122" t="s">
        <v>783</v>
      </c>
      <c r="D1693" s="123" t="s">
        <v>11</v>
      </c>
      <c r="E1693" s="123" t="s">
        <v>51</v>
      </c>
      <c r="F1693" s="123" t="s">
        <v>8</v>
      </c>
      <c r="G1693" s="123" t="s">
        <v>9</v>
      </c>
      <c r="H1693" s="124">
        <v>661483.09000000008</v>
      </c>
      <c r="I1693" s="123">
        <v>0</v>
      </c>
      <c r="J1693" s="108" t="str">
        <f t="shared" si="109"/>
        <v>0000000000</v>
      </c>
      <c r="K1693" s="304" t="str">
        <f t="shared" si="108"/>
        <v>61801130000000000000</v>
      </c>
      <c r="L1693" s="17" t="str">
        <f>INDEX('реш СГД № 265'!$A:$N,MATCH('БА расх 2018 31 12 2018'!$K1693,'реш СГД № 265'!$N:$N,0),3)</f>
        <v>Другие общегосударственные вопросы</v>
      </c>
      <c r="M1693" s="16">
        <f t="shared" si="110"/>
        <v>1</v>
      </c>
    </row>
    <row r="1694" spans="1:13" s="16" customFormat="1" ht="47.25">
      <c r="A1694" s="14"/>
      <c r="B1694" s="132" t="s">
        <v>257</v>
      </c>
      <c r="C1694" s="109" t="s">
        <v>783</v>
      </c>
      <c r="D1694" s="108" t="s">
        <v>11</v>
      </c>
      <c r="E1694" s="108" t="s">
        <v>51</v>
      </c>
      <c r="F1694" s="108" t="s">
        <v>258</v>
      </c>
      <c r="G1694" s="108" t="s">
        <v>9</v>
      </c>
      <c r="H1694" s="126">
        <v>404360.28</v>
      </c>
      <c r="I1694" s="108">
        <v>1100000000</v>
      </c>
      <c r="J1694" s="108" t="str">
        <f t="shared" si="109"/>
        <v>1100000000</v>
      </c>
      <c r="K1694" s="304" t="str">
        <f t="shared" si="108"/>
        <v>61801131100000000000</v>
      </c>
      <c r="L1694" s="17" t="str">
        <f>INDEX('реш СГД № 265'!$A:$N,MATCH('БА расх 2018 31 12 2018'!$K1694,'реш СГД № 265'!$N:$N,0),3)</f>
        <v>Муниципальная программа  «Управление и распоряжение имуществом, находящимся в муниципальной собственности города Ставрополя, в том числе земельными ресурсами»</v>
      </c>
      <c r="M1694" s="16">
        <f t="shared" si="110"/>
        <v>1</v>
      </c>
    </row>
    <row r="1695" spans="1:13" s="16" customFormat="1" ht="63">
      <c r="A1695" s="14"/>
      <c r="B1695" s="132" t="s">
        <v>259</v>
      </c>
      <c r="C1695" s="109" t="s">
        <v>783</v>
      </c>
      <c r="D1695" s="108" t="s">
        <v>11</v>
      </c>
      <c r="E1695" s="108" t="s">
        <v>51</v>
      </c>
      <c r="F1695" s="108" t="s">
        <v>260</v>
      </c>
      <c r="G1695" s="108" t="s">
        <v>9</v>
      </c>
      <c r="H1695" s="126">
        <v>404360.28</v>
      </c>
      <c r="I1695" s="108" t="s">
        <v>1171</v>
      </c>
      <c r="J1695" s="108" t="str">
        <f t="shared" si="109"/>
        <v>11Б0000000</v>
      </c>
      <c r="K1695" s="304" t="str">
        <f t="shared" si="108"/>
        <v>618011311Б0000000000</v>
      </c>
      <c r="L1695" s="17" t="str">
        <f>INDEX('реш СГД № 265'!$A:$N,MATCH('БА расх 2018 31 12 2018'!$K1695,'реш СГД № 265'!$N:$N,0),3)</f>
        <v>Расходы в рамках реализации муниципальной программы «Управление и распоряжение  имуществом, находящимся в муниципальной собственности города Ставрополя, в том числе земельными ресурсами»</v>
      </c>
      <c r="M1695" s="16">
        <f t="shared" si="110"/>
        <v>1</v>
      </c>
    </row>
    <row r="1696" spans="1:13" s="16" customFormat="1" ht="47.25">
      <c r="A1696" s="14"/>
      <c r="B1696" s="155" t="s">
        <v>261</v>
      </c>
      <c r="C1696" s="108" t="s">
        <v>783</v>
      </c>
      <c r="D1696" s="108" t="s">
        <v>11</v>
      </c>
      <c r="E1696" s="108" t="s">
        <v>51</v>
      </c>
      <c r="F1696" s="108" t="s">
        <v>262</v>
      </c>
      <c r="G1696" s="108" t="s">
        <v>9</v>
      </c>
      <c r="H1696" s="126">
        <v>404360.28</v>
      </c>
      <c r="I1696" s="108" t="s">
        <v>1172</v>
      </c>
      <c r="J1696" s="108" t="str">
        <f t="shared" si="109"/>
        <v>11Б0100000</v>
      </c>
      <c r="K1696" s="304" t="str">
        <f t="shared" si="108"/>
        <v>618011311Б0100000000</v>
      </c>
      <c r="L1696" s="17" t="str">
        <f>INDEX('реш СГД № 265'!$A:$N,MATCH('БА расх 2018 31 12 2018'!$K1696,'реш СГД № 265'!$N:$N,0),3)</f>
        <v>Основное мероприятие «Управление и распоряжение объектами недвижимого имущества, находящимися в муниципальной собственности города Ставрополя»</v>
      </c>
      <c r="M1696" s="16">
        <f t="shared" si="110"/>
        <v>1</v>
      </c>
    </row>
    <row r="1697" spans="1:13" s="16" customFormat="1" ht="31.5">
      <c r="A1697" s="14"/>
      <c r="B1697" s="125" t="s">
        <v>756</v>
      </c>
      <c r="C1697" s="109" t="s">
        <v>783</v>
      </c>
      <c r="D1697" s="108" t="s">
        <v>11</v>
      </c>
      <c r="E1697" s="108" t="s">
        <v>51</v>
      </c>
      <c r="F1697" s="108" t="s">
        <v>757</v>
      </c>
      <c r="G1697" s="108" t="s">
        <v>9</v>
      </c>
      <c r="H1697" s="126">
        <v>404360.28</v>
      </c>
      <c r="I1697" s="108" t="s">
        <v>1230</v>
      </c>
      <c r="J1697" s="108" t="str">
        <f t="shared" si="109"/>
        <v>11Б0120840</v>
      </c>
      <c r="K1697" s="304" t="str">
        <f t="shared" si="108"/>
        <v>618011311Б0120840000</v>
      </c>
      <c r="L1697" s="17" t="str">
        <f>INDEX('реш СГД № 265'!$A:$N,MATCH('БА расх 2018 31 12 2018'!$K1697,'реш СГД № 265'!$N:$N,0),3)</f>
        <v>Расходы на содержание объектов муниципальной казны города Ставрополя в части жилых помещений</v>
      </c>
      <c r="M1697" s="16">
        <f t="shared" si="110"/>
        <v>1</v>
      </c>
    </row>
    <row r="1698" spans="1:13" s="16" customFormat="1" ht="31.5">
      <c r="A1698" s="14"/>
      <c r="B1698" s="125" t="s">
        <v>28</v>
      </c>
      <c r="C1698" s="109" t="s">
        <v>783</v>
      </c>
      <c r="D1698" s="108" t="s">
        <v>11</v>
      </c>
      <c r="E1698" s="108" t="s">
        <v>51</v>
      </c>
      <c r="F1698" s="108" t="s">
        <v>757</v>
      </c>
      <c r="G1698" s="108" t="s">
        <v>29</v>
      </c>
      <c r="H1698" s="126">
        <v>404360.28</v>
      </c>
      <c r="I1698" s="108" t="s">
        <v>1230</v>
      </c>
      <c r="J1698" s="108" t="str">
        <f t="shared" si="109"/>
        <v>11Б0120840</v>
      </c>
      <c r="K1698" s="304" t="str">
        <f t="shared" si="108"/>
        <v>618011311Б0120840240</v>
      </c>
      <c r="L1698" s="17" t="str">
        <f>INDEX('реш СГД № 265'!$A:$N,MATCH('БА расх 2018 31 12 2018'!$K1698,'реш СГД № 265'!$N:$N,0),3)</f>
        <v>Иные закупки товаров, работ и услуг для обеспечения государственных (муниципальных) нужд</v>
      </c>
      <c r="M1698" s="16">
        <f t="shared" si="110"/>
        <v>1</v>
      </c>
    </row>
    <row r="1699" spans="1:13" s="16" customFormat="1" ht="15.75">
      <c r="A1699" s="14"/>
      <c r="B1699" s="125" t="s">
        <v>30</v>
      </c>
      <c r="C1699" s="109" t="s">
        <v>783</v>
      </c>
      <c r="D1699" s="108" t="s">
        <v>11</v>
      </c>
      <c r="E1699" s="108" t="s">
        <v>51</v>
      </c>
      <c r="F1699" s="108" t="s">
        <v>757</v>
      </c>
      <c r="G1699" s="108" t="s">
        <v>31</v>
      </c>
      <c r="H1699" s="126">
        <v>404360.28</v>
      </c>
      <c r="I1699" s="108" t="s">
        <v>1230</v>
      </c>
      <c r="J1699" s="108" t="str">
        <f t="shared" si="109"/>
        <v>11Б0120840</v>
      </c>
      <c r="K1699" s="304" t="str">
        <f t="shared" si="108"/>
        <v>618011311Б0120840244</v>
      </c>
      <c r="L1699" s="17"/>
    </row>
    <row r="1700" spans="1:13" s="16" customFormat="1" ht="31.5">
      <c r="A1700" s="14"/>
      <c r="B1700" s="125" t="s">
        <v>784</v>
      </c>
      <c r="C1700" s="109" t="s">
        <v>783</v>
      </c>
      <c r="D1700" s="108" t="s">
        <v>11</v>
      </c>
      <c r="E1700" s="108" t="s">
        <v>51</v>
      </c>
      <c r="F1700" s="108" t="s">
        <v>785</v>
      </c>
      <c r="G1700" s="108" t="s">
        <v>9</v>
      </c>
      <c r="H1700" s="126">
        <v>257122.81</v>
      </c>
      <c r="I1700" s="108">
        <v>8100000000</v>
      </c>
      <c r="J1700" s="108" t="str">
        <f t="shared" si="109"/>
        <v>8100000000</v>
      </c>
      <c r="K1700" s="304" t="str">
        <f t="shared" si="108"/>
        <v>61801138100000000000</v>
      </c>
      <c r="L1700" s="17"/>
    </row>
    <row r="1701" spans="1:13" s="16" customFormat="1" ht="31.5">
      <c r="A1701" s="14"/>
      <c r="B1701" s="125" t="s">
        <v>786</v>
      </c>
      <c r="C1701" s="109" t="s">
        <v>783</v>
      </c>
      <c r="D1701" s="108" t="s">
        <v>11</v>
      </c>
      <c r="E1701" s="108" t="s">
        <v>51</v>
      </c>
      <c r="F1701" s="108" t="s">
        <v>787</v>
      </c>
      <c r="G1701" s="108" t="s">
        <v>9</v>
      </c>
      <c r="H1701" s="126">
        <v>257122.81</v>
      </c>
      <c r="I1701" s="108">
        <v>8110000000</v>
      </c>
      <c r="J1701" s="108" t="str">
        <f t="shared" si="109"/>
        <v>8110000000</v>
      </c>
      <c r="K1701" s="304" t="str">
        <f t="shared" si="108"/>
        <v>61801138110000000000</v>
      </c>
      <c r="L1701" s="17"/>
    </row>
    <row r="1702" spans="1:13" s="16" customFormat="1" ht="31.5">
      <c r="A1702" s="14"/>
      <c r="B1702" s="125" t="s">
        <v>187</v>
      </c>
      <c r="C1702" s="109" t="s">
        <v>783</v>
      </c>
      <c r="D1702" s="108" t="s">
        <v>11</v>
      </c>
      <c r="E1702" s="108" t="s">
        <v>51</v>
      </c>
      <c r="F1702" s="108" t="s">
        <v>2308</v>
      </c>
      <c r="G1702" s="108" t="s">
        <v>9</v>
      </c>
      <c r="H1702" s="126">
        <v>57122.81</v>
      </c>
      <c r="I1702" s="108">
        <v>8110020050</v>
      </c>
      <c r="J1702" s="108" t="str">
        <f t="shared" si="109"/>
        <v>8110020050</v>
      </c>
      <c r="K1702" s="304" t="str">
        <f t="shared" si="108"/>
        <v>61801138110020050000</v>
      </c>
      <c r="L1702" s="17"/>
    </row>
    <row r="1703" spans="1:13" s="16" customFormat="1" ht="15.75">
      <c r="A1703" s="14"/>
      <c r="B1703" s="125" t="s">
        <v>189</v>
      </c>
      <c r="C1703" s="109" t="s">
        <v>783</v>
      </c>
      <c r="D1703" s="108" t="s">
        <v>11</v>
      </c>
      <c r="E1703" s="108" t="s">
        <v>51</v>
      </c>
      <c r="F1703" s="108" t="s">
        <v>2308</v>
      </c>
      <c r="G1703" s="108" t="s">
        <v>190</v>
      </c>
      <c r="H1703" s="126">
        <v>57122.81</v>
      </c>
      <c r="I1703" s="108">
        <v>8110020050</v>
      </c>
      <c r="J1703" s="108" t="str">
        <f t="shared" si="109"/>
        <v>8110020050</v>
      </c>
      <c r="K1703" s="304" t="str">
        <f t="shared" si="108"/>
        <v>61801138110020050830</v>
      </c>
      <c r="L1703" s="17"/>
    </row>
    <row r="1704" spans="1:13" s="16" customFormat="1" ht="31.5">
      <c r="A1704" s="14"/>
      <c r="B1704" s="125" t="s">
        <v>191</v>
      </c>
      <c r="C1704" s="109" t="s">
        <v>783</v>
      </c>
      <c r="D1704" s="108" t="s">
        <v>11</v>
      </c>
      <c r="E1704" s="108" t="s">
        <v>51</v>
      </c>
      <c r="F1704" s="108" t="s">
        <v>2308</v>
      </c>
      <c r="G1704" s="108" t="s">
        <v>192</v>
      </c>
      <c r="H1704" s="126">
        <v>57122.81</v>
      </c>
      <c r="I1704" s="108">
        <v>8110020050</v>
      </c>
      <c r="J1704" s="108" t="str">
        <f t="shared" si="109"/>
        <v>8110020050</v>
      </c>
      <c r="K1704" s="304" t="str">
        <f t="shared" si="108"/>
        <v>61801138110020050831</v>
      </c>
      <c r="L1704" s="17"/>
    </row>
    <row r="1705" spans="1:13" s="16" customFormat="1" ht="15.75">
      <c r="A1705" s="14"/>
      <c r="B1705" s="164" t="s">
        <v>1234</v>
      </c>
      <c r="C1705" s="109" t="s">
        <v>783</v>
      </c>
      <c r="D1705" s="108" t="s">
        <v>11</v>
      </c>
      <c r="E1705" s="108" t="s">
        <v>51</v>
      </c>
      <c r="F1705" s="108" t="s">
        <v>2309</v>
      </c>
      <c r="G1705" s="108" t="s">
        <v>9</v>
      </c>
      <c r="H1705" s="126">
        <v>200000</v>
      </c>
      <c r="I1705" s="108">
        <v>8110021040</v>
      </c>
      <c r="J1705" s="108" t="str">
        <f t="shared" si="109"/>
        <v>8110021040</v>
      </c>
      <c r="K1705" s="304" t="str">
        <f t="shared" si="108"/>
        <v>61801138110021040000</v>
      </c>
      <c r="L1705" s="17"/>
    </row>
    <row r="1706" spans="1:13" s="16" customFormat="1" ht="15.75">
      <c r="A1706" s="14"/>
      <c r="B1706" s="125" t="s">
        <v>189</v>
      </c>
      <c r="C1706" s="109" t="s">
        <v>783</v>
      </c>
      <c r="D1706" s="108" t="s">
        <v>11</v>
      </c>
      <c r="E1706" s="108" t="s">
        <v>51</v>
      </c>
      <c r="F1706" s="108" t="s">
        <v>2309</v>
      </c>
      <c r="G1706" s="108" t="s">
        <v>190</v>
      </c>
      <c r="H1706" s="126">
        <v>200000</v>
      </c>
      <c r="I1706" s="108">
        <v>8110021040</v>
      </c>
      <c r="J1706" s="108" t="str">
        <f t="shared" si="109"/>
        <v>8110021040</v>
      </c>
      <c r="K1706" s="304" t="str">
        <f t="shared" si="108"/>
        <v>61801138110021040830</v>
      </c>
      <c r="L1706" s="17"/>
    </row>
    <row r="1707" spans="1:13" s="16" customFormat="1" ht="31.5">
      <c r="A1707" s="14"/>
      <c r="B1707" s="125" t="s">
        <v>191</v>
      </c>
      <c r="C1707" s="109" t="s">
        <v>783</v>
      </c>
      <c r="D1707" s="108" t="s">
        <v>11</v>
      </c>
      <c r="E1707" s="108" t="s">
        <v>51</v>
      </c>
      <c r="F1707" s="108" t="s">
        <v>2309</v>
      </c>
      <c r="G1707" s="108" t="s">
        <v>192</v>
      </c>
      <c r="H1707" s="126">
        <v>200000</v>
      </c>
      <c r="I1707" s="108">
        <v>8110021040</v>
      </c>
      <c r="J1707" s="108" t="str">
        <f t="shared" si="109"/>
        <v>8110021040</v>
      </c>
      <c r="K1707" s="304" t="str">
        <f t="shared" si="108"/>
        <v>61801138110021040831</v>
      </c>
      <c r="L1707" s="17"/>
    </row>
    <row r="1708" spans="1:13" s="16" customFormat="1" ht="15.75">
      <c r="A1708" s="14"/>
      <c r="B1708" s="117" t="s">
        <v>195</v>
      </c>
      <c r="C1708" s="118" t="s">
        <v>783</v>
      </c>
      <c r="D1708" s="119" t="s">
        <v>73</v>
      </c>
      <c r="E1708" s="119" t="s">
        <v>7</v>
      </c>
      <c r="F1708" s="119" t="s">
        <v>8</v>
      </c>
      <c r="G1708" s="119" t="s">
        <v>9</v>
      </c>
      <c r="H1708" s="120">
        <v>60432555.380000003</v>
      </c>
      <c r="I1708" s="119">
        <v>0</v>
      </c>
      <c r="J1708" s="119" t="str">
        <f t="shared" si="109"/>
        <v>0000000000</v>
      </c>
      <c r="K1708" s="304" t="str">
        <f t="shared" si="108"/>
        <v>61804000000000000000</v>
      </c>
      <c r="L1708" s="17" t="str">
        <f>INDEX('реш СГД № 265'!$A:$N,MATCH('БА расх 2018 31 12 2018'!$K1708,'реш СГД № 265'!$N:$N,0),3)</f>
        <v>Национальная экономика</v>
      </c>
      <c r="M1708" s="16">
        <f t="shared" si="110"/>
        <v>1</v>
      </c>
    </row>
    <row r="1709" spans="1:13" s="16" customFormat="1" ht="15.75">
      <c r="A1709" s="14"/>
      <c r="B1709" s="121" t="s">
        <v>760</v>
      </c>
      <c r="C1709" s="122" t="s">
        <v>783</v>
      </c>
      <c r="D1709" s="123" t="s">
        <v>73</v>
      </c>
      <c r="E1709" s="123" t="s">
        <v>471</v>
      </c>
      <c r="F1709" s="123" t="s">
        <v>8</v>
      </c>
      <c r="G1709" s="123" t="s">
        <v>9</v>
      </c>
      <c r="H1709" s="124">
        <v>60432555.380000003</v>
      </c>
      <c r="I1709" s="123">
        <v>0</v>
      </c>
      <c r="J1709" s="123" t="str">
        <f t="shared" si="109"/>
        <v>0000000000</v>
      </c>
      <c r="K1709" s="304" t="str">
        <f t="shared" si="108"/>
        <v>61804090000000000000</v>
      </c>
      <c r="L1709" s="17" t="str">
        <f>INDEX('реш СГД № 265'!$A:$N,MATCH('БА расх 2018 31 12 2018'!$K1709,'реш СГД № 265'!$N:$N,0),3)</f>
        <v>Дорожное хозяйство (дорожные фонды)</v>
      </c>
      <c r="M1709" s="16">
        <f t="shared" si="110"/>
        <v>1</v>
      </c>
    </row>
    <row r="1710" spans="1:13" s="16" customFormat="1" ht="63">
      <c r="A1710" s="14"/>
      <c r="B1710" s="127" t="s">
        <v>293</v>
      </c>
      <c r="C1710" s="109" t="s">
        <v>783</v>
      </c>
      <c r="D1710" s="108" t="s">
        <v>73</v>
      </c>
      <c r="E1710" s="108" t="s">
        <v>471</v>
      </c>
      <c r="F1710" s="108" t="s">
        <v>294</v>
      </c>
      <c r="G1710" s="108" t="s">
        <v>9</v>
      </c>
      <c r="H1710" s="126">
        <v>60432555.380000003</v>
      </c>
      <c r="I1710" s="108">
        <v>400000000</v>
      </c>
      <c r="J1710" s="108" t="str">
        <f t="shared" si="109"/>
        <v>0400000000</v>
      </c>
      <c r="K1710" s="304" t="str">
        <f t="shared" si="108"/>
        <v>61804090400000000000</v>
      </c>
      <c r="L1710" s="17" t="str">
        <f>INDEX('реш СГД № 265'!$A:$N,MATCH('БА расх 2018 31 12 2018'!$K1710,'реш СГД № 265'!$N:$N,0),3)</f>
        <v>Муниципальная программа «Развитие жилищно-коммунального хозяйства, транспортной системы на территории города Ставрополя, благоустройство территории города Ставрополя»</v>
      </c>
      <c r="M1710" s="16">
        <f t="shared" si="110"/>
        <v>1</v>
      </c>
    </row>
    <row r="1711" spans="1:13" s="16" customFormat="1" ht="63">
      <c r="A1711" s="14"/>
      <c r="B1711" s="140" t="s">
        <v>295</v>
      </c>
      <c r="C1711" s="109" t="s">
        <v>783</v>
      </c>
      <c r="D1711" s="108" t="s">
        <v>73</v>
      </c>
      <c r="E1711" s="108" t="s">
        <v>471</v>
      </c>
      <c r="F1711" s="108" t="s">
        <v>296</v>
      </c>
      <c r="G1711" s="108" t="s">
        <v>9</v>
      </c>
      <c r="H1711" s="126">
        <v>60432555.380000003</v>
      </c>
      <c r="I1711" s="108">
        <v>420000000</v>
      </c>
      <c r="J1711" s="108" t="str">
        <f t="shared" si="109"/>
        <v>0420000000</v>
      </c>
      <c r="K1711" s="304" t="str">
        <f t="shared" si="108"/>
        <v>61804090420000000000</v>
      </c>
      <c r="L1711" s="17" t="str">
        <f>INDEX('реш СГД № 265'!$A:$N,MATCH('БА расх 2018 31 12 2018'!$K1711,'реш СГД № 265'!$N:$N,0),3)</f>
        <v xml:space="preserve">Подпрограмма «Дорожная деятельность и обеспечение безопасности дорожного движения, организация транспортного обслуживания населения на территории города Ставрополя» </v>
      </c>
      <c r="M1711" s="16">
        <f t="shared" si="110"/>
        <v>1</v>
      </c>
    </row>
    <row r="1712" spans="1:13" s="16" customFormat="1" ht="63">
      <c r="A1712" s="14"/>
      <c r="B1712" s="140" t="s">
        <v>297</v>
      </c>
      <c r="C1712" s="109" t="s">
        <v>783</v>
      </c>
      <c r="D1712" s="108" t="s">
        <v>73</v>
      </c>
      <c r="E1712" s="108" t="s">
        <v>471</v>
      </c>
      <c r="F1712" s="108" t="s">
        <v>298</v>
      </c>
      <c r="G1712" s="108" t="s">
        <v>9</v>
      </c>
      <c r="H1712" s="126">
        <v>60432555.380000003</v>
      </c>
      <c r="I1712" s="108">
        <v>420200000</v>
      </c>
      <c r="J1712" s="108" t="str">
        <f t="shared" si="109"/>
        <v>0420200000</v>
      </c>
      <c r="K1712" s="304" t="str">
        <f t="shared" si="108"/>
        <v>61804090420200000000</v>
      </c>
      <c r="L1712" s="17" t="str">
        <f>INDEX('реш СГД № 265'!$A:$N,MATCH('БА расх 2018 31 12 2018'!$K1712,'реш СГД № 265'!$N:$N,0),3)</f>
        <v>Основное мероприятие «Организация дорожной деятельности в отношении автомобильных дорог общего пользования местного значения в границах города Ставрополя»</v>
      </c>
      <c r="M1712" s="16">
        <f t="shared" si="110"/>
        <v>1</v>
      </c>
    </row>
    <row r="1713" spans="1:13" s="16" customFormat="1" ht="31.5">
      <c r="A1713" s="14"/>
      <c r="B1713" s="127" t="s">
        <v>761</v>
      </c>
      <c r="C1713" s="109" t="s">
        <v>783</v>
      </c>
      <c r="D1713" s="108" t="s">
        <v>73</v>
      </c>
      <c r="E1713" s="108" t="s">
        <v>471</v>
      </c>
      <c r="F1713" s="108" t="s">
        <v>762</v>
      </c>
      <c r="G1713" s="108" t="s">
        <v>9</v>
      </c>
      <c r="H1713" s="126">
        <v>10296735.380000001</v>
      </c>
      <c r="I1713" s="108">
        <v>420220820</v>
      </c>
      <c r="J1713" s="108" t="str">
        <f t="shared" si="109"/>
        <v>0420220820</v>
      </c>
      <c r="K1713" s="304" t="str">
        <f t="shared" si="108"/>
        <v>61804090420220820000</v>
      </c>
      <c r="L1713" s="17" t="str">
        <f>INDEX('реш СГД № 265'!$A:$N,MATCH('БА расх 2018 31 12 2018'!$K1713,'реш СГД № 265'!$N:$N,0),3)</f>
        <v>Расходы на ремонт и содержание внутриквартальных автомобильных дорог общего пользования местного значения</v>
      </c>
      <c r="M1713" s="16">
        <f t="shared" si="110"/>
        <v>1</v>
      </c>
    </row>
    <row r="1714" spans="1:13" s="16" customFormat="1" ht="31.5">
      <c r="A1714" s="14"/>
      <c r="B1714" s="125" t="s">
        <v>28</v>
      </c>
      <c r="C1714" s="109" t="s">
        <v>783</v>
      </c>
      <c r="D1714" s="108" t="s">
        <v>73</v>
      </c>
      <c r="E1714" s="108" t="s">
        <v>471</v>
      </c>
      <c r="F1714" s="108" t="s">
        <v>762</v>
      </c>
      <c r="G1714" s="108" t="s">
        <v>29</v>
      </c>
      <c r="H1714" s="126">
        <v>10296735.380000001</v>
      </c>
      <c r="I1714" s="108">
        <v>420220820</v>
      </c>
      <c r="J1714" s="108" t="str">
        <f t="shared" si="109"/>
        <v>0420220820</v>
      </c>
      <c r="K1714" s="304" t="str">
        <f t="shared" si="108"/>
        <v>61804090420220820240</v>
      </c>
      <c r="L1714" s="17" t="str">
        <f>INDEX('реш СГД № 265'!$A:$N,MATCH('БА расх 2018 31 12 2018'!$K1714,'реш СГД № 265'!$N:$N,0),3)</f>
        <v>Иные закупки товаров, работ и услуг для обеспечения государственных (муниципальных) нужд</v>
      </c>
      <c r="M1714" s="16">
        <f t="shared" si="110"/>
        <v>1</v>
      </c>
    </row>
    <row r="1715" spans="1:13" s="16" customFormat="1" ht="15.75">
      <c r="A1715" s="14"/>
      <c r="B1715" s="125" t="s">
        <v>30</v>
      </c>
      <c r="C1715" s="109" t="s">
        <v>783</v>
      </c>
      <c r="D1715" s="108" t="s">
        <v>73</v>
      </c>
      <c r="E1715" s="108" t="s">
        <v>471</v>
      </c>
      <c r="F1715" s="108" t="s">
        <v>762</v>
      </c>
      <c r="G1715" s="108" t="s">
        <v>31</v>
      </c>
      <c r="H1715" s="126">
        <v>10296735.380000001</v>
      </c>
      <c r="I1715" s="108">
        <v>420220820</v>
      </c>
      <c r="J1715" s="108" t="str">
        <f t="shared" si="109"/>
        <v>0420220820</v>
      </c>
      <c r="K1715" s="304" t="str">
        <f t="shared" si="108"/>
        <v>61804090420220820244</v>
      </c>
      <c r="L1715" s="17"/>
    </row>
    <row r="1716" spans="1:13" s="16" customFormat="1" ht="31.5">
      <c r="A1716" s="14"/>
      <c r="B1716" s="125" t="s">
        <v>763</v>
      </c>
      <c r="C1716" s="109" t="s">
        <v>783</v>
      </c>
      <c r="D1716" s="108" t="s">
        <v>73</v>
      </c>
      <c r="E1716" s="108" t="s">
        <v>471</v>
      </c>
      <c r="F1716" s="108" t="s">
        <v>764</v>
      </c>
      <c r="G1716" s="108" t="s">
        <v>9</v>
      </c>
      <c r="H1716" s="126">
        <v>48835820</v>
      </c>
      <c r="I1716" s="108">
        <v>420221090</v>
      </c>
      <c r="J1716" s="108" t="str">
        <f t="shared" si="109"/>
        <v>0420221090</v>
      </c>
      <c r="K1716" s="304" t="str">
        <f t="shared" si="108"/>
        <v>61804090420221090000</v>
      </c>
      <c r="L1716" s="17" t="str">
        <f>INDEX('реш СГД № 265'!$A:$N,MATCH('БА расх 2018 31 12 2018'!$K1716,'реш СГД № 265'!$N:$N,0),3)</f>
        <v>Расходы на содержание автомобильных дорог общего пользования местного значения</v>
      </c>
      <c r="M1716" s="16">
        <f t="shared" si="110"/>
        <v>1</v>
      </c>
    </row>
    <row r="1717" spans="1:13" s="16" customFormat="1" ht="31.5">
      <c r="A1717" s="14"/>
      <c r="B1717" s="125" t="s">
        <v>28</v>
      </c>
      <c r="C1717" s="109" t="s">
        <v>783</v>
      </c>
      <c r="D1717" s="108" t="s">
        <v>73</v>
      </c>
      <c r="E1717" s="108" t="s">
        <v>471</v>
      </c>
      <c r="F1717" s="108" t="s">
        <v>764</v>
      </c>
      <c r="G1717" s="108" t="s">
        <v>29</v>
      </c>
      <c r="H1717" s="126">
        <v>48835820</v>
      </c>
      <c r="I1717" s="108">
        <v>420221090</v>
      </c>
      <c r="J1717" s="108" t="str">
        <f t="shared" si="109"/>
        <v>0420221090</v>
      </c>
      <c r="K1717" s="304" t="str">
        <f t="shared" si="108"/>
        <v>61804090420221090240</v>
      </c>
      <c r="L1717" s="17" t="str">
        <f>INDEX('реш СГД № 265'!$A:$N,MATCH('БА расх 2018 31 12 2018'!$K1717,'реш СГД № 265'!$N:$N,0),3)</f>
        <v>Иные закупки товаров, работ и услуг для обеспечения государственных (муниципальных) нужд</v>
      </c>
      <c r="M1717" s="16">
        <f t="shared" si="110"/>
        <v>1</v>
      </c>
    </row>
    <row r="1718" spans="1:13" s="16" customFormat="1" ht="15.75">
      <c r="A1718" s="14"/>
      <c r="B1718" s="125" t="s">
        <v>30</v>
      </c>
      <c r="C1718" s="109" t="s">
        <v>783</v>
      </c>
      <c r="D1718" s="108" t="s">
        <v>73</v>
      </c>
      <c r="E1718" s="108" t="s">
        <v>471</v>
      </c>
      <c r="F1718" s="108" t="s">
        <v>764</v>
      </c>
      <c r="G1718" s="108" t="s">
        <v>31</v>
      </c>
      <c r="H1718" s="126">
        <v>48835820</v>
      </c>
      <c r="I1718" s="108">
        <v>420221090</v>
      </c>
      <c r="J1718" s="108" t="str">
        <f t="shared" si="109"/>
        <v>0420221090</v>
      </c>
      <c r="K1718" s="304" t="str">
        <f t="shared" si="108"/>
        <v>61804090420221090244</v>
      </c>
      <c r="L1718" s="17"/>
    </row>
    <row r="1719" spans="1:13" s="16" customFormat="1" ht="123.75" customHeight="1">
      <c r="A1719" s="14"/>
      <c r="B1719" s="125" t="s">
        <v>2386</v>
      </c>
      <c r="C1719" s="109" t="s">
        <v>783</v>
      </c>
      <c r="D1719" s="108" t="s">
        <v>73</v>
      </c>
      <c r="E1719" s="108" t="s">
        <v>471</v>
      </c>
      <c r="F1719" s="108" t="s">
        <v>1319</v>
      </c>
      <c r="G1719" s="108" t="s">
        <v>9</v>
      </c>
      <c r="H1719" s="126">
        <v>1300000</v>
      </c>
      <c r="I1719" s="108" t="s">
        <v>2385</v>
      </c>
      <c r="J1719" s="108" t="str">
        <f t="shared" ref="J1719:J1721" si="111">TEXT(I1719,"0000000000")</f>
        <v>0420276417</v>
      </c>
      <c r="K1719" s="304" t="str">
        <f t="shared" ref="K1719:K1721" si="112">C1719&amp;D1719&amp;E1719&amp;J1719&amp;G1719</f>
        <v>61804090420276417000</v>
      </c>
      <c r="L1719" s="17" t="e">
        <f>INDEX('реш СГД № 265'!$A:$N,MATCH('БА расх 2018 31 12 2018'!$K1719,'реш СГД № 265'!$N:$N,0),3)</f>
        <v>#N/A</v>
      </c>
    </row>
    <row r="1720" spans="1:13" s="16" customFormat="1" ht="31.5">
      <c r="A1720" s="14"/>
      <c r="B1720" s="125" t="s">
        <v>28</v>
      </c>
      <c r="C1720" s="109" t="s">
        <v>783</v>
      </c>
      <c r="D1720" s="108" t="s">
        <v>73</v>
      </c>
      <c r="E1720" s="108" t="s">
        <v>471</v>
      </c>
      <c r="F1720" s="108" t="s">
        <v>1319</v>
      </c>
      <c r="G1720" s="108" t="s">
        <v>29</v>
      </c>
      <c r="H1720" s="126">
        <v>1300000</v>
      </c>
      <c r="I1720" s="108" t="s">
        <v>2385</v>
      </c>
      <c r="J1720" s="108" t="str">
        <f t="shared" si="111"/>
        <v>0420276417</v>
      </c>
      <c r="K1720" s="304" t="str">
        <f t="shared" si="112"/>
        <v>61804090420276417240</v>
      </c>
      <c r="L1720" s="17" t="e">
        <f>INDEX('реш СГД № 265'!$A:$N,MATCH('БА расх 2018 31 12 2018'!$K1720,'реш СГД № 265'!$N:$N,0),3)</f>
        <v>#N/A</v>
      </c>
    </row>
    <row r="1721" spans="1:13" s="16" customFormat="1" ht="15.75">
      <c r="A1721" s="14"/>
      <c r="B1721" s="125" t="s">
        <v>30</v>
      </c>
      <c r="C1721" s="109" t="s">
        <v>783</v>
      </c>
      <c r="D1721" s="108" t="s">
        <v>73</v>
      </c>
      <c r="E1721" s="108" t="s">
        <v>471</v>
      </c>
      <c r="F1721" s="108" t="s">
        <v>1319</v>
      </c>
      <c r="G1721" s="108" t="s">
        <v>31</v>
      </c>
      <c r="H1721" s="126">
        <v>1300000</v>
      </c>
      <c r="I1721" s="108" t="s">
        <v>2385</v>
      </c>
      <c r="J1721" s="108" t="str">
        <f t="shared" si="111"/>
        <v>0420276417</v>
      </c>
      <c r="K1721" s="304" t="str">
        <f t="shared" si="112"/>
        <v>61804090420276417244</v>
      </c>
      <c r="L1721" s="17"/>
    </row>
    <row r="1722" spans="1:13" s="16" customFormat="1" ht="15.75">
      <c r="A1722" s="14"/>
      <c r="B1722" s="117" t="s">
        <v>305</v>
      </c>
      <c r="C1722" s="118" t="s">
        <v>783</v>
      </c>
      <c r="D1722" s="119" t="s">
        <v>86</v>
      </c>
      <c r="E1722" s="119" t="s">
        <v>7</v>
      </c>
      <c r="F1722" s="119" t="s">
        <v>8</v>
      </c>
      <c r="G1722" s="119" t="s">
        <v>9</v>
      </c>
      <c r="H1722" s="120">
        <v>39624904.119999997</v>
      </c>
      <c r="I1722" s="119">
        <v>0</v>
      </c>
      <c r="J1722" s="108" t="str">
        <f t="shared" si="109"/>
        <v>0000000000</v>
      </c>
      <c r="K1722" s="304" t="str">
        <f t="shared" si="108"/>
        <v>61805000000000000000</v>
      </c>
      <c r="L1722" s="17" t="str">
        <f>INDEX('реш СГД № 265'!$A:$N,MATCH('БА расх 2018 31 12 2018'!$K1722,'реш СГД № 265'!$N:$N,0),3)</f>
        <v>Жилищно-коммунальное хозяйство</v>
      </c>
      <c r="M1722" s="16">
        <f t="shared" si="110"/>
        <v>1</v>
      </c>
    </row>
    <row r="1723" spans="1:13" s="16" customFormat="1" ht="15.75">
      <c r="A1723" s="14"/>
      <c r="B1723" s="121" t="s">
        <v>765</v>
      </c>
      <c r="C1723" s="122" t="s">
        <v>783</v>
      </c>
      <c r="D1723" s="123" t="s">
        <v>86</v>
      </c>
      <c r="E1723" s="123" t="s">
        <v>11</v>
      </c>
      <c r="F1723" s="123" t="s">
        <v>8</v>
      </c>
      <c r="G1723" s="123" t="s">
        <v>9</v>
      </c>
      <c r="H1723" s="124">
        <v>1573614.47</v>
      </c>
      <c r="I1723" s="123">
        <v>0</v>
      </c>
      <c r="J1723" s="123" t="str">
        <f t="shared" si="109"/>
        <v>0000000000</v>
      </c>
      <c r="K1723" s="304" t="str">
        <f t="shared" si="108"/>
        <v>61805010000000000000</v>
      </c>
      <c r="L1723" s="17" t="str">
        <f>INDEX('реш СГД № 265'!$A:$N,MATCH('БА расх 2018 31 12 2018'!$K1723,'реш СГД № 265'!$N:$N,0),3)</f>
        <v>Жилищное хозяйство</v>
      </c>
      <c r="M1723" s="16">
        <f t="shared" si="110"/>
        <v>1</v>
      </c>
    </row>
    <row r="1724" spans="1:13" s="16" customFormat="1" ht="63">
      <c r="A1724" s="14"/>
      <c r="B1724" s="127" t="s">
        <v>293</v>
      </c>
      <c r="C1724" s="109" t="s">
        <v>783</v>
      </c>
      <c r="D1724" s="108" t="s">
        <v>86</v>
      </c>
      <c r="E1724" s="108" t="s">
        <v>11</v>
      </c>
      <c r="F1724" s="108" t="s">
        <v>294</v>
      </c>
      <c r="G1724" s="108" t="s">
        <v>9</v>
      </c>
      <c r="H1724" s="126">
        <v>1573614.47</v>
      </c>
      <c r="I1724" s="108">
        <v>400000000</v>
      </c>
      <c r="J1724" s="108" t="str">
        <f t="shared" si="109"/>
        <v>0400000000</v>
      </c>
      <c r="K1724" s="304" t="str">
        <f t="shared" ref="K1724:K1784" si="113">C1724&amp;D1724&amp;E1724&amp;J1724&amp;G1724</f>
        <v>61805010400000000000</v>
      </c>
      <c r="L1724" s="17" t="str">
        <f>INDEX('реш СГД № 265'!$A:$N,MATCH('БА расх 2018 31 12 2018'!$K1724,'реш СГД № 265'!$N:$N,0),3)</f>
        <v>Муниципальная программа «Развитие жилищно-коммунального хозяйства, транспортной системы на территории города Ставрополя, благоустройство территории города Ставрополя»</v>
      </c>
      <c r="M1724" s="16">
        <f t="shared" si="110"/>
        <v>1</v>
      </c>
    </row>
    <row r="1725" spans="1:13" s="16" customFormat="1" ht="31.5">
      <c r="A1725" s="14"/>
      <c r="B1725" s="125" t="s">
        <v>766</v>
      </c>
      <c r="C1725" s="109" t="s">
        <v>783</v>
      </c>
      <c r="D1725" s="108" t="s">
        <v>86</v>
      </c>
      <c r="E1725" s="108" t="s">
        <v>11</v>
      </c>
      <c r="F1725" s="108" t="s">
        <v>767</v>
      </c>
      <c r="G1725" s="108" t="s">
        <v>9</v>
      </c>
      <c r="H1725" s="126">
        <v>1573614.47</v>
      </c>
      <c r="I1725" s="108">
        <v>410000000</v>
      </c>
      <c r="J1725" s="108" t="str">
        <f t="shared" ref="J1725:J1785" si="114">TEXT(I1725,"0000000000")</f>
        <v>0410000000</v>
      </c>
      <c r="K1725" s="304" t="str">
        <f t="shared" si="113"/>
        <v>61805010410000000000</v>
      </c>
      <c r="L1725" s="17" t="str">
        <f>INDEX('реш СГД № 265'!$A:$N,MATCH('БА расх 2018 31 12 2018'!$K1725,'реш СГД № 265'!$N:$N,0),3)</f>
        <v>Подпрограмма «Развитие жилищно-коммунального хозяйства на территории города Ставрополя»</v>
      </c>
      <c r="M1725" s="16">
        <f t="shared" ref="M1725:M1785" si="115">IF(B1725=L1725,1,0)</f>
        <v>1</v>
      </c>
    </row>
    <row r="1726" spans="1:13" s="16" customFormat="1" ht="47.25">
      <c r="A1726" s="14"/>
      <c r="B1726" s="140" t="s">
        <v>793</v>
      </c>
      <c r="C1726" s="130" t="s">
        <v>783</v>
      </c>
      <c r="D1726" s="131" t="s">
        <v>86</v>
      </c>
      <c r="E1726" s="131" t="s">
        <v>11</v>
      </c>
      <c r="F1726" s="131" t="s">
        <v>769</v>
      </c>
      <c r="G1726" s="131" t="s">
        <v>9</v>
      </c>
      <c r="H1726" s="105">
        <v>1573614.47</v>
      </c>
      <c r="I1726" s="131">
        <v>410100000</v>
      </c>
      <c r="J1726" s="131" t="str">
        <f t="shared" si="114"/>
        <v>0410100000</v>
      </c>
      <c r="K1726" s="304" t="str">
        <f t="shared" si="113"/>
        <v>61805010410100000000</v>
      </c>
      <c r="L1726" s="17" t="str">
        <f>INDEX('реш СГД № 265'!$A:$N,MATCH('БА расх 2018 31 12 2018'!$K1726,'реш СГД № 265'!$N:$N,0),3)</f>
        <v>Основное мероприятие «Повышение уровня технического состояния многоквартирных домов и продление сроков их эксплуатации»</v>
      </c>
      <c r="M1726" s="16">
        <f t="shared" si="115"/>
        <v>1</v>
      </c>
    </row>
    <row r="1727" spans="1:13" s="16" customFormat="1" ht="31.5">
      <c r="A1727" s="14"/>
      <c r="B1727" s="127" t="s">
        <v>770</v>
      </c>
      <c r="C1727" s="109" t="s">
        <v>783</v>
      </c>
      <c r="D1727" s="108" t="s">
        <v>86</v>
      </c>
      <c r="E1727" s="108" t="s">
        <v>11</v>
      </c>
      <c r="F1727" s="108" t="s">
        <v>771</v>
      </c>
      <c r="G1727" s="108" t="s">
        <v>9</v>
      </c>
      <c r="H1727" s="126">
        <v>1573614.47</v>
      </c>
      <c r="I1727" s="108">
        <v>410120190</v>
      </c>
      <c r="J1727" s="108" t="str">
        <f t="shared" si="114"/>
        <v>0410120190</v>
      </c>
      <c r="K1727" s="304" t="str">
        <f t="shared" si="113"/>
        <v>61805010410120190000</v>
      </c>
      <c r="L1727" s="17" t="str">
        <f>INDEX('реш СГД № 265'!$A:$N,MATCH('БА расх 2018 31 12 2018'!$K1727,'реш СГД № 265'!$N:$N,0),3)</f>
        <v>Расходы на проведение капитального ремонта муниципального жилищного фонда</v>
      </c>
      <c r="M1727" s="16">
        <f t="shared" si="115"/>
        <v>1</v>
      </c>
    </row>
    <row r="1728" spans="1:13" s="16" customFormat="1" ht="31.5">
      <c r="A1728" s="14"/>
      <c r="B1728" s="125" t="s">
        <v>28</v>
      </c>
      <c r="C1728" s="109" t="s">
        <v>783</v>
      </c>
      <c r="D1728" s="108" t="s">
        <v>86</v>
      </c>
      <c r="E1728" s="108" t="s">
        <v>11</v>
      </c>
      <c r="F1728" s="108" t="s">
        <v>771</v>
      </c>
      <c r="G1728" s="108" t="s">
        <v>29</v>
      </c>
      <c r="H1728" s="126">
        <v>1573614.47</v>
      </c>
      <c r="I1728" s="108">
        <v>410120190</v>
      </c>
      <c r="J1728" s="108" t="str">
        <f t="shared" si="114"/>
        <v>0410120190</v>
      </c>
      <c r="K1728" s="304" t="str">
        <f t="shared" si="113"/>
        <v>61805010410120190240</v>
      </c>
      <c r="L1728" s="17" t="str">
        <f>INDEX('реш СГД № 265'!$A:$N,MATCH('БА расх 2018 31 12 2018'!$K1728,'реш СГД № 265'!$N:$N,0),3)</f>
        <v>Иные закупки товаров, работ и услуг для обеспечения государственных (муниципальных) нужд</v>
      </c>
      <c r="M1728" s="16">
        <f t="shared" si="115"/>
        <v>1</v>
      </c>
    </row>
    <row r="1729" spans="1:13" s="16" customFormat="1" ht="31.5">
      <c r="A1729" s="14"/>
      <c r="B1729" s="127" t="s">
        <v>772</v>
      </c>
      <c r="C1729" s="109" t="s">
        <v>783</v>
      </c>
      <c r="D1729" s="108" t="s">
        <v>86</v>
      </c>
      <c r="E1729" s="108" t="s">
        <v>11</v>
      </c>
      <c r="F1729" s="108" t="s">
        <v>771</v>
      </c>
      <c r="G1729" s="108" t="s">
        <v>773</v>
      </c>
      <c r="H1729" s="126">
        <v>1178000</v>
      </c>
      <c r="I1729" s="108">
        <v>410120190</v>
      </c>
      <c r="J1729" s="108" t="str">
        <f t="shared" si="114"/>
        <v>0410120190</v>
      </c>
      <c r="K1729" s="304" t="str">
        <f t="shared" si="113"/>
        <v>61805010410120190243</v>
      </c>
      <c r="L1729" s="17"/>
    </row>
    <row r="1730" spans="1:13" s="16" customFormat="1" ht="15.75">
      <c r="A1730" s="14"/>
      <c r="B1730" s="125" t="s">
        <v>30</v>
      </c>
      <c r="C1730" s="109" t="s">
        <v>783</v>
      </c>
      <c r="D1730" s="108" t="s">
        <v>86</v>
      </c>
      <c r="E1730" s="108" t="s">
        <v>11</v>
      </c>
      <c r="F1730" s="108" t="s">
        <v>771</v>
      </c>
      <c r="G1730" s="108" t="s">
        <v>31</v>
      </c>
      <c r="H1730" s="126">
        <v>395614.47</v>
      </c>
      <c r="I1730" s="108">
        <v>410120190</v>
      </c>
      <c r="J1730" s="108" t="str">
        <f t="shared" si="114"/>
        <v>0410120190</v>
      </c>
      <c r="K1730" s="304" t="str">
        <f t="shared" si="113"/>
        <v>61805010410120190244</v>
      </c>
      <c r="L1730" s="17"/>
    </row>
    <row r="1731" spans="1:13" s="16" customFormat="1" ht="15.75">
      <c r="A1731" s="14"/>
      <c r="B1731" s="121" t="s">
        <v>306</v>
      </c>
      <c r="C1731" s="122" t="s">
        <v>783</v>
      </c>
      <c r="D1731" s="123" t="s">
        <v>86</v>
      </c>
      <c r="E1731" s="123" t="s">
        <v>13</v>
      </c>
      <c r="F1731" s="123" t="s">
        <v>8</v>
      </c>
      <c r="G1731" s="123" t="s">
        <v>9</v>
      </c>
      <c r="H1731" s="124">
        <v>38051289.649999999</v>
      </c>
      <c r="I1731" s="123">
        <v>0</v>
      </c>
      <c r="J1731" s="108" t="str">
        <f t="shared" si="114"/>
        <v>0000000000</v>
      </c>
      <c r="K1731" s="304" t="str">
        <f t="shared" si="113"/>
        <v>61805030000000000000</v>
      </c>
      <c r="L1731" s="17" t="str">
        <f>INDEX('реш СГД № 265'!$A:$N,MATCH('БА расх 2018 31 12 2018'!$K1731,'реш СГД № 265'!$N:$N,0),3)</f>
        <v>Благоустройство</v>
      </c>
      <c r="M1731" s="16">
        <f t="shared" si="115"/>
        <v>1</v>
      </c>
    </row>
    <row r="1732" spans="1:13" s="16" customFormat="1" ht="63">
      <c r="A1732" s="14"/>
      <c r="B1732" s="127" t="s">
        <v>293</v>
      </c>
      <c r="C1732" s="109" t="s">
        <v>783</v>
      </c>
      <c r="D1732" s="108" t="s">
        <v>86</v>
      </c>
      <c r="E1732" s="108" t="s">
        <v>13</v>
      </c>
      <c r="F1732" s="108" t="s">
        <v>294</v>
      </c>
      <c r="G1732" s="108" t="s">
        <v>9</v>
      </c>
      <c r="H1732" s="126">
        <v>36079672.649999999</v>
      </c>
      <c r="I1732" s="108">
        <v>400000000</v>
      </c>
      <c r="J1732" s="108" t="str">
        <f t="shared" si="114"/>
        <v>0400000000</v>
      </c>
      <c r="K1732" s="304" t="str">
        <f t="shared" si="113"/>
        <v>61805030400000000000</v>
      </c>
      <c r="L1732" s="17" t="str">
        <f>INDEX('реш СГД № 265'!$A:$N,MATCH('БА расх 2018 31 12 2018'!$K1732,'реш СГД № 265'!$N:$N,0),3)</f>
        <v>Муниципальная программа «Развитие жилищно-коммунального хозяйства, транспортной системы на территории города Ставрополя, благоустройство территории города Ставрополя»</v>
      </c>
      <c r="M1732" s="16">
        <f t="shared" si="115"/>
        <v>1</v>
      </c>
    </row>
    <row r="1733" spans="1:13" s="16" customFormat="1" ht="31.5">
      <c r="A1733" s="14"/>
      <c r="B1733" s="132" t="s">
        <v>2283</v>
      </c>
      <c r="C1733" s="109" t="s">
        <v>783</v>
      </c>
      <c r="D1733" s="108" t="s">
        <v>86</v>
      </c>
      <c r="E1733" s="108" t="s">
        <v>13</v>
      </c>
      <c r="F1733" s="108" t="s">
        <v>308</v>
      </c>
      <c r="G1733" s="108" t="s">
        <v>9</v>
      </c>
      <c r="H1733" s="126">
        <v>36079672.649999999</v>
      </c>
      <c r="I1733" s="108">
        <v>430000000</v>
      </c>
      <c r="J1733" s="108" t="str">
        <f t="shared" si="114"/>
        <v>0430000000</v>
      </c>
      <c r="K1733" s="304" t="str">
        <f t="shared" si="113"/>
        <v>61805030430000000000</v>
      </c>
      <c r="L1733" s="132" t="str">
        <f>INDEX('реш СГД № 265'!$A:$N,MATCH('БА расх 2018 31 12 2018'!$K1733,'реш СГД № 265'!$N:$N,0),3)</f>
        <v>Подпрограмма «Благоустройство территории города Ставрополя»</v>
      </c>
      <c r="M1733" s="17">
        <f t="shared" si="115"/>
        <v>1</v>
      </c>
    </row>
    <row r="1734" spans="1:13" s="16" customFormat="1" ht="31.5">
      <c r="A1734" s="14"/>
      <c r="B1734" s="307" t="s">
        <v>309</v>
      </c>
      <c r="C1734" s="130" t="s">
        <v>783</v>
      </c>
      <c r="D1734" s="131" t="s">
        <v>86</v>
      </c>
      <c r="E1734" s="131" t="s">
        <v>13</v>
      </c>
      <c r="F1734" s="108" t="s">
        <v>310</v>
      </c>
      <c r="G1734" s="131" t="s">
        <v>9</v>
      </c>
      <c r="H1734" s="105">
        <v>36079672.649999999</v>
      </c>
      <c r="I1734" s="108">
        <v>430400000</v>
      </c>
      <c r="J1734" s="108" t="str">
        <f t="shared" si="114"/>
        <v>0430400000</v>
      </c>
      <c r="K1734" s="304" t="str">
        <f t="shared" si="113"/>
        <v>61805030430400000000</v>
      </c>
      <c r="L1734" s="17" t="str">
        <f>INDEX('реш СГД № 265'!$A:$N,MATCH('БА расх 2018 31 12 2018'!$K1734,'реш СГД № 265'!$N:$N,0),3)</f>
        <v>Основное мероприятие «Благоустройство территории города Ставрополя»</v>
      </c>
      <c r="M1734" s="16">
        <f t="shared" si="115"/>
        <v>1</v>
      </c>
    </row>
    <row r="1735" spans="1:13" s="16" customFormat="1" ht="31.5">
      <c r="A1735" s="14"/>
      <c r="B1735" s="125" t="s">
        <v>542</v>
      </c>
      <c r="C1735" s="109" t="s">
        <v>783</v>
      </c>
      <c r="D1735" s="108" t="s">
        <v>86</v>
      </c>
      <c r="E1735" s="108" t="s">
        <v>13</v>
      </c>
      <c r="F1735" s="108" t="s">
        <v>543</v>
      </c>
      <c r="G1735" s="108" t="s">
        <v>9</v>
      </c>
      <c r="H1735" s="126">
        <v>9209802.6500000004</v>
      </c>
      <c r="I1735" s="108">
        <v>430420300</v>
      </c>
      <c r="J1735" s="108" t="str">
        <f t="shared" si="114"/>
        <v>0430420300</v>
      </c>
      <c r="K1735" s="304" t="str">
        <f t="shared" si="113"/>
        <v>61805030430420300000</v>
      </c>
      <c r="L1735" s="17" t="str">
        <f>INDEX('реш СГД № 265'!$A:$N,MATCH('БА расх 2018 31 12 2018'!$K1735,'реш СГД № 265'!$N:$N,0),3)</f>
        <v>Расходы на прочие мероприятия по благоустройству территории города Ставрополя</v>
      </c>
      <c r="M1735" s="16">
        <f t="shared" si="115"/>
        <v>1</v>
      </c>
    </row>
    <row r="1736" spans="1:13" s="16" customFormat="1" ht="31.5">
      <c r="A1736" s="14"/>
      <c r="B1736" s="125" t="s">
        <v>28</v>
      </c>
      <c r="C1736" s="109" t="s">
        <v>783</v>
      </c>
      <c r="D1736" s="108" t="s">
        <v>86</v>
      </c>
      <c r="E1736" s="108" t="s">
        <v>13</v>
      </c>
      <c r="F1736" s="108" t="s">
        <v>543</v>
      </c>
      <c r="G1736" s="108" t="s">
        <v>29</v>
      </c>
      <c r="H1736" s="126">
        <v>9209802.6500000004</v>
      </c>
      <c r="I1736" s="108">
        <v>430420300</v>
      </c>
      <c r="J1736" s="108" t="str">
        <f t="shared" si="114"/>
        <v>0430420300</v>
      </c>
      <c r="K1736" s="304" t="str">
        <f t="shared" si="113"/>
        <v>61805030430420300240</v>
      </c>
      <c r="L1736" s="17" t="str">
        <f>INDEX('реш СГД № 265'!$A:$N,MATCH('БА расх 2018 31 12 2018'!$K1736,'реш СГД № 265'!$N:$N,0),3)</f>
        <v>Иные закупки товаров, работ и услуг для обеспечения государственных (муниципальных) нужд</v>
      </c>
      <c r="M1736" s="16">
        <f t="shared" si="115"/>
        <v>1</v>
      </c>
    </row>
    <row r="1737" spans="1:13" s="16" customFormat="1" ht="15.75">
      <c r="A1737" s="14"/>
      <c r="B1737" s="125" t="s">
        <v>30</v>
      </c>
      <c r="C1737" s="109" t="s">
        <v>783</v>
      </c>
      <c r="D1737" s="108" t="s">
        <v>86</v>
      </c>
      <c r="E1737" s="108" t="s">
        <v>13</v>
      </c>
      <c r="F1737" s="108" t="s">
        <v>543</v>
      </c>
      <c r="G1737" s="108" t="s">
        <v>31</v>
      </c>
      <c r="H1737" s="126">
        <v>9209802.6500000004</v>
      </c>
      <c r="I1737" s="108">
        <v>430420300</v>
      </c>
      <c r="J1737" s="108" t="str">
        <f t="shared" si="114"/>
        <v>0430420300</v>
      </c>
      <c r="K1737" s="304" t="str">
        <f t="shared" si="113"/>
        <v>61805030430420300244</v>
      </c>
      <c r="L1737" s="17"/>
    </row>
    <row r="1738" spans="1:13" s="16" customFormat="1" ht="31.5">
      <c r="A1738" s="14"/>
      <c r="B1738" s="127" t="s">
        <v>774</v>
      </c>
      <c r="C1738" s="109" t="s">
        <v>783</v>
      </c>
      <c r="D1738" s="131" t="s">
        <v>86</v>
      </c>
      <c r="E1738" s="131" t="s">
        <v>13</v>
      </c>
      <c r="F1738" s="131" t="s">
        <v>775</v>
      </c>
      <c r="G1738" s="131" t="s">
        <v>9</v>
      </c>
      <c r="H1738" s="126">
        <v>775000</v>
      </c>
      <c r="I1738" s="131">
        <v>430421070</v>
      </c>
      <c r="J1738" s="131" t="str">
        <f t="shared" si="114"/>
        <v>0430421070</v>
      </c>
      <c r="K1738" s="304" t="str">
        <f t="shared" si="113"/>
        <v>61805030430421070000</v>
      </c>
      <c r="L1738" s="17" t="str">
        <f>INDEX('реш СГД № 265'!$A:$N,MATCH('БА расх 2018 31 12 2018'!$K1738,'реш СГД № 265'!$N:$N,0),3)</f>
        <v>Расходы на проведение работ по уходу за зелеными насаждениями</v>
      </c>
      <c r="M1738" s="16">
        <f t="shared" si="115"/>
        <v>1</v>
      </c>
    </row>
    <row r="1739" spans="1:13" s="16" customFormat="1" ht="31.5">
      <c r="A1739" s="14"/>
      <c r="B1739" s="125" t="s">
        <v>28</v>
      </c>
      <c r="C1739" s="109" t="s">
        <v>783</v>
      </c>
      <c r="D1739" s="131" t="s">
        <v>86</v>
      </c>
      <c r="E1739" s="131" t="s">
        <v>13</v>
      </c>
      <c r="F1739" s="131" t="s">
        <v>775</v>
      </c>
      <c r="G1739" s="131" t="s">
        <v>29</v>
      </c>
      <c r="H1739" s="126">
        <v>775000</v>
      </c>
      <c r="I1739" s="131">
        <v>430421070</v>
      </c>
      <c r="J1739" s="131" t="str">
        <f t="shared" si="114"/>
        <v>0430421070</v>
      </c>
      <c r="K1739" s="304" t="str">
        <f t="shared" si="113"/>
        <v>61805030430421070240</v>
      </c>
      <c r="L1739" s="17" t="str">
        <f>INDEX('реш СГД № 265'!$A:$N,MATCH('БА расх 2018 31 12 2018'!$K1739,'реш СГД № 265'!$N:$N,0),3)</f>
        <v>Иные закупки товаров, работ и услуг для обеспечения государственных (муниципальных) нужд</v>
      </c>
      <c r="M1739" s="16">
        <f t="shared" si="115"/>
        <v>1</v>
      </c>
    </row>
    <row r="1740" spans="1:13" s="16" customFormat="1" ht="15.75">
      <c r="A1740" s="14"/>
      <c r="B1740" s="125" t="s">
        <v>30</v>
      </c>
      <c r="C1740" s="109" t="s">
        <v>783</v>
      </c>
      <c r="D1740" s="131" t="s">
        <v>86</v>
      </c>
      <c r="E1740" s="131" t="s">
        <v>13</v>
      </c>
      <c r="F1740" s="131" t="s">
        <v>775</v>
      </c>
      <c r="G1740" s="131" t="s">
        <v>31</v>
      </c>
      <c r="H1740" s="126">
        <v>775000</v>
      </c>
      <c r="I1740" s="131">
        <v>430421070</v>
      </c>
      <c r="J1740" s="131" t="str">
        <f t="shared" si="114"/>
        <v>0430421070</v>
      </c>
      <c r="K1740" s="304" t="str">
        <f t="shared" si="113"/>
        <v>61805030430421070244</v>
      </c>
      <c r="L1740" s="17"/>
    </row>
    <row r="1741" spans="1:13" s="16" customFormat="1" ht="63">
      <c r="A1741" s="14"/>
      <c r="B1741" s="125" t="s">
        <v>1311</v>
      </c>
      <c r="C1741" s="109" t="s">
        <v>783</v>
      </c>
      <c r="D1741" s="131" t="s">
        <v>86</v>
      </c>
      <c r="E1741" s="131" t="s">
        <v>13</v>
      </c>
      <c r="F1741" s="131" t="s">
        <v>1312</v>
      </c>
      <c r="G1741" s="131" t="s">
        <v>9</v>
      </c>
      <c r="H1741" s="126">
        <v>15996870</v>
      </c>
      <c r="I1741" s="108">
        <v>430476416</v>
      </c>
      <c r="J1741" s="108" t="str">
        <f t="shared" si="114"/>
        <v>0430476416</v>
      </c>
      <c r="K1741" s="304" t="str">
        <f t="shared" si="113"/>
        <v>61805030430476416000</v>
      </c>
      <c r="L1741" s="17" t="str">
        <f>INDEX('реш СГД № 265'!$A:$N,MATCH('БА расх 2018 31 12 2018'!$K1741,'реш СГД № 265'!$N:$N,0),3)</f>
        <v>Расходы  на осуществление функций административного центра Ставропольского края за счет средств  краевого бюджета на содержание центральной части города Ставрополя</v>
      </c>
      <c r="M1741" s="16">
        <f t="shared" si="115"/>
        <v>1</v>
      </c>
    </row>
    <row r="1742" spans="1:13" s="16" customFormat="1" ht="31.5">
      <c r="A1742" s="14"/>
      <c r="B1742" s="125" t="s">
        <v>28</v>
      </c>
      <c r="C1742" s="109" t="s">
        <v>783</v>
      </c>
      <c r="D1742" s="131" t="s">
        <v>86</v>
      </c>
      <c r="E1742" s="131" t="s">
        <v>13</v>
      </c>
      <c r="F1742" s="131" t="s">
        <v>1312</v>
      </c>
      <c r="G1742" s="131" t="s">
        <v>29</v>
      </c>
      <c r="H1742" s="126">
        <v>15996870</v>
      </c>
      <c r="I1742" s="108">
        <v>430476416</v>
      </c>
      <c r="J1742" s="108" t="str">
        <f t="shared" si="114"/>
        <v>0430476416</v>
      </c>
      <c r="K1742" s="304" t="str">
        <f t="shared" si="113"/>
        <v>61805030430476416240</v>
      </c>
      <c r="L1742" s="17" t="str">
        <f>INDEX('реш СГД № 265'!$A:$N,MATCH('БА расх 2018 31 12 2018'!$K1742,'реш СГД № 265'!$N:$N,0),3)</f>
        <v>Иные закупки товаров, работ и услуг для обеспечения государственных (муниципальных) нужд</v>
      </c>
      <c r="M1742" s="16">
        <f t="shared" si="115"/>
        <v>1</v>
      </c>
    </row>
    <row r="1743" spans="1:13" s="16" customFormat="1" ht="15.75">
      <c r="A1743" s="14"/>
      <c r="B1743" s="125" t="s">
        <v>30</v>
      </c>
      <c r="C1743" s="109" t="s">
        <v>783</v>
      </c>
      <c r="D1743" s="131" t="s">
        <v>86</v>
      </c>
      <c r="E1743" s="131" t="s">
        <v>13</v>
      </c>
      <c r="F1743" s="131" t="s">
        <v>1312</v>
      </c>
      <c r="G1743" s="131" t="s">
        <v>31</v>
      </c>
      <c r="H1743" s="126">
        <v>15996870</v>
      </c>
      <c r="I1743" s="108">
        <v>430476416</v>
      </c>
      <c r="J1743" s="108" t="str">
        <f t="shared" si="114"/>
        <v>0430476416</v>
      </c>
      <c r="K1743" s="304" t="str">
        <f t="shared" si="113"/>
        <v>61805030430476416244</v>
      </c>
      <c r="L1743" s="17"/>
    </row>
    <row r="1744" spans="1:13" s="16" customFormat="1" ht="47.25">
      <c r="A1744" s="14"/>
      <c r="B1744" s="125" t="s">
        <v>1043</v>
      </c>
      <c r="C1744" s="109" t="s">
        <v>783</v>
      </c>
      <c r="D1744" s="108" t="s">
        <v>86</v>
      </c>
      <c r="E1744" s="108" t="s">
        <v>13</v>
      </c>
      <c r="F1744" s="131" t="s">
        <v>1056</v>
      </c>
      <c r="G1744" s="131" t="s">
        <v>9</v>
      </c>
      <c r="H1744" s="126">
        <v>1501000</v>
      </c>
      <c r="I1744" s="131" t="s">
        <v>1231</v>
      </c>
      <c r="J1744" s="131" t="str">
        <f t="shared" si="114"/>
        <v>04304G6420</v>
      </c>
      <c r="K1744" s="304" t="str">
        <f t="shared" si="113"/>
        <v>618050304304G6420000</v>
      </c>
      <c r="L1744" s="17" t="str">
        <f>INDEX('реш СГД № 265'!$A:$N,MATCH('БА расх 2018 31 12 2018'!$K1744,'реш СГД № 265'!$N:$N,0),3)</f>
        <v>Реализация проектов развития территорий муниципальных образований, основанных на местных инициативах, за счет внебюджетных источников</v>
      </c>
      <c r="M1744" s="16">
        <f t="shared" si="115"/>
        <v>1</v>
      </c>
    </row>
    <row r="1745" spans="1:13" s="16" customFormat="1" ht="15.75">
      <c r="A1745" s="14"/>
      <c r="B1745" s="132" t="s">
        <v>1045</v>
      </c>
      <c r="C1745" s="109"/>
      <c r="D1745" s="108"/>
      <c r="E1745" s="108"/>
      <c r="F1745" s="131"/>
      <c r="G1745" s="131"/>
      <c r="H1745" s="126"/>
      <c r="I1745" s="131"/>
      <c r="J1745" s="131" t="str">
        <f t="shared" si="114"/>
        <v>0000000000</v>
      </c>
      <c r="K1745" s="304" t="str">
        <f t="shared" si="113"/>
        <v>0000000000</v>
      </c>
      <c r="L1745" s="132">
        <f>INDEX('реш СГД № 265'!$A:$N,MATCH('БА расх 2018 31 12 2018'!$K1745,'реш СГД № 265'!$N:$N,0),3)</f>
        <v>0</v>
      </c>
      <c r="M1745" s="17">
        <f t="shared" si="115"/>
        <v>0</v>
      </c>
    </row>
    <row r="1746" spans="1:13" s="16" customFormat="1" ht="15.75">
      <c r="A1746" s="14"/>
      <c r="B1746" s="125" t="s">
        <v>1046</v>
      </c>
      <c r="C1746" s="109" t="s">
        <v>783</v>
      </c>
      <c r="D1746" s="108" t="s">
        <v>86</v>
      </c>
      <c r="E1746" s="108" t="s">
        <v>13</v>
      </c>
      <c r="F1746" s="131" t="s">
        <v>1056</v>
      </c>
      <c r="G1746" s="131" t="s">
        <v>9</v>
      </c>
      <c r="H1746" s="126">
        <v>301000</v>
      </c>
      <c r="I1746" s="131" t="s">
        <v>1231</v>
      </c>
      <c r="J1746" s="131" t="str">
        <f t="shared" si="114"/>
        <v>04304G6420</v>
      </c>
      <c r="K1746" s="304" t="str">
        <f t="shared" si="113"/>
        <v>618050304304G6420000</v>
      </c>
      <c r="L1746" s="132"/>
      <c r="M1746" s="17">
        <f t="shared" si="115"/>
        <v>0</v>
      </c>
    </row>
    <row r="1747" spans="1:13" s="16" customFormat="1" ht="15.75">
      <c r="A1747" s="14"/>
      <c r="B1747" s="125" t="s">
        <v>1047</v>
      </c>
      <c r="C1747" s="109" t="s">
        <v>783</v>
      </c>
      <c r="D1747" s="108" t="s">
        <v>86</v>
      </c>
      <c r="E1747" s="108" t="s">
        <v>13</v>
      </c>
      <c r="F1747" s="131" t="s">
        <v>1056</v>
      </c>
      <c r="G1747" s="131" t="s">
        <v>9</v>
      </c>
      <c r="H1747" s="126">
        <v>1200000</v>
      </c>
      <c r="I1747" s="131" t="s">
        <v>1231</v>
      </c>
      <c r="J1747" s="131" t="str">
        <f t="shared" si="114"/>
        <v>04304G6420</v>
      </c>
      <c r="K1747" s="304" t="str">
        <f t="shared" si="113"/>
        <v>618050304304G6420000</v>
      </c>
      <c r="L1747" s="132"/>
      <c r="M1747" s="17">
        <f t="shared" si="115"/>
        <v>0</v>
      </c>
    </row>
    <row r="1748" spans="1:13" s="16" customFormat="1" ht="31.5">
      <c r="A1748" s="14"/>
      <c r="B1748" s="125" t="s">
        <v>28</v>
      </c>
      <c r="C1748" s="109" t="s">
        <v>783</v>
      </c>
      <c r="D1748" s="108" t="s">
        <v>86</v>
      </c>
      <c r="E1748" s="108" t="s">
        <v>13</v>
      </c>
      <c r="F1748" s="131" t="s">
        <v>1056</v>
      </c>
      <c r="G1748" s="131" t="s">
        <v>29</v>
      </c>
      <c r="H1748" s="126">
        <v>1501000</v>
      </c>
      <c r="I1748" s="131" t="s">
        <v>1231</v>
      </c>
      <c r="J1748" s="131" t="str">
        <f t="shared" si="114"/>
        <v>04304G6420</v>
      </c>
      <c r="K1748" s="304" t="str">
        <f t="shared" si="113"/>
        <v>618050304304G6420240</v>
      </c>
      <c r="L1748" s="17" t="str">
        <f>INDEX('реш СГД № 265'!$A:$N,MATCH('БА расх 2018 31 12 2018'!$K1748,'реш СГД № 265'!$N:$N,0),3)</f>
        <v>Иные закупки товаров, работ и услуг для обеспечения государственных (муниципальных) нужд</v>
      </c>
      <c r="M1748" s="16">
        <f t="shared" si="115"/>
        <v>1</v>
      </c>
    </row>
    <row r="1749" spans="1:13" s="16" customFormat="1" ht="15.75">
      <c r="A1749" s="14"/>
      <c r="B1749" s="125" t="s">
        <v>30</v>
      </c>
      <c r="C1749" s="109" t="s">
        <v>783</v>
      </c>
      <c r="D1749" s="108" t="s">
        <v>86</v>
      </c>
      <c r="E1749" s="108" t="s">
        <v>13</v>
      </c>
      <c r="F1749" s="131" t="s">
        <v>1056</v>
      </c>
      <c r="G1749" s="131" t="s">
        <v>31</v>
      </c>
      <c r="H1749" s="126">
        <v>1501000</v>
      </c>
      <c r="I1749" s="131" t="s">
        <v>1231</v>
      </c>
      <c r="J1749" s="131" t="str">
        <f t="shared" si="114"/>
        <v>04304G6420</v>
      </c>
      <c r="K1749" s="304" t="str">
        <f t="shared" si="113"/>
        <v>618050304304G6420244</v>
      </c>
      <c r="L1749" s="17"/>
    </row>
    <row r="1750" spans="1:13" s="16" customFormat="1" ht="31.5">
      <c r="A1750" s="14"/>
      <c r="B1750" s="127" t="s">
        <v>1048</v>
      </c>
      <c r="C1750" s="109" t="s">
        <v>783</v>
      </c>
      <c r="D1750" s="108" t="s">
        <v>86</v>
      </c>
      <c r="E1750" s="108" t="s">
        <v>13</v>
      </c>
      <c r="F1750" s="131" t="s">
        <v>1057</v>
      </c>
      <c r="G1750" s="131" t="s">
        <v>9</v>
      </c>
      <c r="H1750" s="126">
        <v>8597000</v>
      </c>
      <c r="I1750" s="131" t="s">
        <v>1232</v>
      </c>
      <c r="J1750" s="131" t="str">
        <f t="shared" si="114"/>
        <v>04304S6420</v>
      </c>
      <c r="K1750" s="304" t="str">
        <f t="shared" si="113"/>
        <v>618050304304S6420000</v>
      </c>
      <c r="L1750" s="17" t="str">
        <f>INDEX('реш СГД № 265'!$A:$N,MATCH('БА расх 2018 31 12 2018'!$K1750,'реш СГД № 265'!$N:$N,0),3)</f>
        <v>Реализация проектов развития территорий муниципальных образований, основанных на местных инициативах</v>
      </c>
      <c r="M1750" s="16">
        <f t="shared" si="115"/>
        <v>1</v>
      </c>
    </row>
    <row r="1751" spans="1:13" s="16" customFormat="1" ht="15.75">
      <c r="A1751" s="14"/>
      <c r="B1751" s="132" t="s">
        <v>1045</v>
      </c>
      <c r="C1751" s="109"/>
      <c r="D1751" s="108"/>
      <c r="E1751" s="108"/>
      <c r="F1751" s="131"/>
      <c r="G1751" s="131"/>
      <c r="H1751" s="126"/>
      <c r="I1751" s="131"/>
      <c r="J1751" s="131" t="str">
        <f t="shared" si="114"/>
        <v>0000000000</v>
      </c>
      <c r="K1751" s="304" t="str">
        <f t="shared" si="113"/>
        <v>0000000000</v>
      </c>
      <c r="L1751" s="132"/>
      <c r="M1751" s="17">
        <f t="shared" si="115"/>
        <v>0</v>
      </c>
    </row>
    <row r="1752" spans="1:13" s="16" customFormat="1" ht="15.75">
      <c r="A1752" s="14"/>
      <c r="B1752" s="125" t="s">
        <v>1050</v>
      </c>
      <c r="C1752" s="109" t="s">
        <v>783</v>
      </c>
      <c r="D1752" s="108" t="s">
        <v>86</v>
      </c>
      <c r="E1752" s="108" t="s">
        <v>13</v>
      </c>
      <c r="F1752" s="131" t="s">
        <v>1057</v>
      </c>
      <c r="G1752" s="131" t="s">
        <v>9</v>
      </c>
      <c r="H1752" s="126">
        <v>2705000</v>
      </c>
      <c r="I1752" s="131" t="s">
        <v>1232</v>
      </c>
      <c r="J1752" s="131" t="str">
        <f t="shared" si="114"/>
        <v>04304S6420</v>
      </c>
      <c r="K1752" s="304" t="str">
        <f t="shared" si="113"/>
        <v>618050304304S6420000</v>
      </c>
      <c r="L1752" s="132"/>
      <c r="M1752" s="17">
        <f t="shared" si="115"/>
        <v>0</v>
      </c>
    </row>
    <row r="1753" spans="1:13" s="16" customFormat="1" ht="15.75">
      <c r="A1753" s="14"/>
      <c r="B1753" s="125" t="s">
        <v>1051</v>
      </c>
      <c r="C1753" s="109" t="s">
        <v>783</v>
      </c>
      <c r="D1753" s="108" t="s">
        <v>86</v>
      </c>
      <c r="E1753" s="108" t="s">
        <v>13</v>
      </c>
      <c r="F1753" s="131" t="s">
        <v>1057</v>
      </c>
      <c r="G1753" s="131" t="s">
        <v>9</v>
      </c>
      <c r="H1753" s="126">
        <v>5994000</v>
      </c>
      <c r="I1753" s="131" t="s">
        <v>1232</v>
      </c>
      <c r="J1753" s="131" t="str">
        <f t="shared" si="114"/>
        <v>04304S6420</v>
      </c>
      <c r="K1753" s="304" t="str">
        <f t="shared" si="113"/>
        <v>618050304304S6420000</v>
      </c>
      <c r="L1753" s="132"/>
      <c r="M1753" s="17">
        <f t="shared" si="115"/>
        <v>0</v>
      </c>
    </row>
    <row r="1754" spans="1:13" s="16" customFormat="1" ht="31.5">
      <c r="A1754" s="14"/>
      <c r="B1754" s="125" t="s">
        <v>28</v>
      </c>
      <c r="C1754" s="109" t="s">
        <v>783</v>
      </c>
      <c r="D1754" s="108" t="s">
        <v>86</v>
      </c>
      <c r="E1754" s="108" t="s">
        <v>13</v>
      </c>
      <c r="F1754" s="131" t="s">
        <v>1057</v>
      </c>
      <c r="G1754" s="131" t="s">
        <v>29</v>
      </c>
      <c r="H1754" s="126">
        <v>8597000</v>
      </c>
      <c r="I1754" s="131" t="s">
        <v>1232</v>
      </c>
      <c r="J1754" s="131" t="str">
        <f t="shared" si="114"/>
        <v>04304S6420</v>
      </c>
      <c r="K1754" s="304" t="str">
        <f t="shared" si="113"/>
        <v>618050304304S6420240</v>
      </c>
      <c r="L1754" s="17" t="str">
        <f>INDEX('реш СГД № 265'!$A:$N,MATCH('БА расх 2018 31 12 2018'!$K1754,'реш СГД № 265'!$N:$N,0),3)</f>
        <v>Иные закупки товаров, работ и услуг для обеспечения государственных (муниципальных) нужд</v>
      </c>
      <c r="M1754" s="16">
        <f t="shared" si="115"/>
        <v>1</v>
      </c>
    </row>
    <row r="1755" spans="1:13" s="16" customFormat="1" ht="15.75">
      <c r="A1755" s="14"/>
      <c r="B1755" s="125" t="s">
        <v>30</v>
      </c>
      <c r="C1755" s="109" t="s">
        <v>783</v>
      </c>
      <c r="D1755" s="108" t="s">
        <v>86</v>
      </c>
      <c r="E1755" s="108" t="s">
        <v>13</v>
      </c>
      <c r="F1755" s="131" t="s">
        <v>1057</v>
      </c>
      <c r="G1755" s="131" t="s">
        <v>31</v>
      </c>
      <c r="H1755" s="126">
        <v>8597000</v>
      </c>
      <c r="I1755" s="131" t="s">
        <v>1232</v>
      </c>
      <c r="J1755" s="131" t="str">
        <f t="shared" si="114"/>
        <v>04304S6420</v>
      </c>
      <c r="K1755" s="304" t="str">
        <f t="shared" si="113"/>
        <v>618050304304S6420244</v>
      </c>
      <c r="L1755" s="17"/>
    </row>
    <row r="1756" spans="1:13" s="16" customFormat="1" ht="47.25">
      <c r="A1756" s="14"/>
      <c r="B1756" s="140" t="s">
        <v>87</v>
      </c>
      <c r="C1756" s="109" t="s">
        <v>783</v>
      </c>
      <c r="D1756" s="131" t="s">
        <v>86</v>
      </c>
      <c r="E1756" s="131" t="s">
        <v>13</v>
      </c>
      <c r="F1756" s="131" t="s">
        <v>88</v>
      </c>
      <c r="G1756" s="131" t="s">
        <v>9</v>
      </c>
      <c r="H1756" s="105">
        <v>1971617</v>
      </c>
      <c r="I1756" s="131">
        <v>9800000000</v>
      </c>
      <c r="J1756" s="131" t="str">
        <f t="shared" si="114"/>
        <v>9800000000</v>
      </c>
      <c r="K1756" s="304" t="str">
        <f t="shared" si="113"/>
        <v>61805039800000000000</v>
      </c>
      <c r="L1756" s="17" t="str">
        <f>INDEX('реш СГД № 265'!$A:$N,MATCH('БА расх 2018 31 12 2018'!$K1756,'реш СГД № 265'!$N:$N,0),3)</f>
        <v>Реализация иных функций Ставропольской городской Думы, администрации города Ставрополя, ее отраслевых (функциональных) и территориальных органов</v>
      </c>
      <c r="M1756" s="16">
        <f t="shared" si="115"/>
        <v>1</v>
      </c>
    </row>
    <row r="1757" spans="1:13" s="16" customFormat="1" ht="15.75">
      <c r="A1757" s="14"/>
      <c r="B1757" s="140" t="s">
        <v>89</v>
      </c>
      <c r="C1757" s="109" t="s">
        <v>783</v>
      </c>
      <c r="D1757" s="131" t="s">
        <v>86</v>
      </c>
      <c r="E1757" s="131" t="s">
        <v>13</v>
      </c>
      <c r="F1757" s="131" t="s">
        <v>90</v>
      </c>
      <c r="G1757" s="131" t="s">
        <v>9</v>
      </c>
      <c r="H1757" s="105">
        <v>1971617</v>
      </c>
      <c r="I1757" s="131">
        <v>9810000000</v>
      </c>
      <c r="J1757" s="131" t="str">
        <f t="shared" si="114"/>
        <v>9810000000</v>
      </c>
      <c r="K1757" s="304" t="str">
        <f t="shared" si="113"/>
        <v>61805039810000000000</v>
      </c>
      <c r="L1757" s="17" t="str">
        <f>INDEX('реш СГД № 265'!$A:$N,MATCH('БА расх 2018 31 12 2018'!$K1757,'реш СГД № 265'!$N:$N,0),3)</f>
        <v>Иные непрограммные мероприятия</v>
      </c>
      <c r="M1757" s="16">
        <f t="shared" si="115"/>
        <v>1</v>
      </c>
    </row>
    <row r="1758" spans="1:13" s="16" customFormat="1" ht="15.75">
      <c r="A1758" s="14"/>
      <c r="B1758" s="125" t="s">
        <v>778</v>
      </c>
      <c r="C1758" s="109" t="s">
        <v>783</v>
      </c>
      <c r="D1758" s="131" t="s">
        <v>86</v>
      </c>
      <c r="E1758" s="131" t="s">
        <v>13</v>
      </c>
      <c r="F1758" s="131" t="s">
        <v>779</v>
      </c>
      <c r="G1758" s="131" t="s">
        <v>9</v>
      </c>
      <c r="H1758" s="105">
        <v>1971617</v>
      </c>
      <c r="I1758" s="131">
        <v>9810021450</v>
      </c>
      <c r="J1758" s="131" t="str">
        <f t="shared" si="114"/>
        <v>9810021450</v>
      </c>
      <c r="K1758" s="304" t="str">
        <f t="shared" si="113"/>
        <v>61805039810021450000</v>
      </c>
      <c r="L1758" s="17" t="str">
        <f>INDEX('реш СГД № 265'!$A:$N,MATCH('БА расх 2018 31 12 2018'!$K1758,'реш СГД № 265'!$N:$N,0),3)</f>
        <v>Благоустройство территорий в районах города Ставрополя</v>
      </c>
      <c r="M1758" s="16">
        <f t="shared" si="115"/>
        <v>1</v>
      </c>
    </row>
    <row r="1759" spans="1:13" s="16" customFormat="1" ht="31.5">
      <c r="A1759" s="14"/>
      <c r="B1759" s="125" t="s">
        <v>28</v>
      </c>
      <c r="C1759" s="109" t="s">
        <v>783</v>
      </c>
      <c r="D1759" s="131" t="s">
        <v>86</v>
      </c>
      <c r="E1759" s="131" t="s">
        <v>13</v>
      </c>
      <c r="F1759" s="131" t="s">
        <v>779</v>
      </c>
      <c r="G1759" s="131" t="s">
        <v>29</v>
      </c>
      <c r="H1759" s="126">
        <v>1971617</v>
      </c>
      <c r="I1759" s="131">
        <v>9810021450</v>
      </c>
      <c r="J1759" s="131" t="str">
        <f t="shared" si="114"/>
        <v>9810021450</v>
      </c>
      <c r="K1759" s="304" t="str">
        <f t="shared" si="113"/>
        <v>61805039810021450240</v>
      </c>
      <c r="L1759" s="17" t="str">
        <f>INDEX('реш СГД № 265'!$A:$N,MATCH('БА расх 2018 31 12 2018'!$K1759,'реш СГД № 265'!$N:$N,0),3)</f>
        <v>Иные закупки товаров, работ и услуг для обеспечения государственных (муниципальных) нужд</v>
      </c>
      <c r="M1759" s="16">
        <f t="shared" si="115"/>
        <v>1</v>
      </c>
    </row>
    <row r="1760" spans="1:13" s="16" customFormat="1" ht="15.75">
      <c r="A1760" s="14"/>
      <c r="B1760" s="125" t="s">
        <v>30</v>
      </c>
      <c r="C1760" s="109" t="s">
        <v>783</v>
      </c>
      <c r="D1760" s="131" t="s">
        <v>86</v>
      </c>
      <c r="E1760" s="131" t="s">
        <v>13</v>
      </c>
      <c r="F1760" s="131" t="s">
        <v>779</v>
      </c>
      <c r="G1760" s="131" t="s">
        <v>31</v>
      </c>
      <c r="H1760" s="126">
        <v>1971617</v>
      </c>
      <c r="I1760" s="131">
        <v>9810021450</v>
      </c>
      <c r="J1760" s="131" t="str">
        <f t="shared" si="114"/>
        <v>9810021450</v>
      </c>
      <c r="K1760" s="304" t="str">
        <f t="shared" si="113"/>
        <v>61805039810021450244</v>
      </c>
      <c r="L1760" s="17"/>
    </row>
    <row r="1761" spans="1:13" s="16" customFormat="1" ht="15.75">
      <c r="A1761" s="14"/>
      <c r="B1761" s="117" t="s">
        <v>237</v>
      </c>
      <c r="C1761" s="118" t="s">
        <v>783</v>
      </c>
      <c r="D1761" s="119" t="s">
        <v>238</v>
      </c>
      <c r="E1761" s="119" t="s">
        <v>7</v>
      </c>
      <c r="F1761" s="119" t="s">
        <v>8</v>
      </c>
      <c r="G1761" s="119" t="s">
        <v>9</v>
      </c>
      <c r="H1761" s="120">
        <v>1396824</v>
      </c>
      <c r="I1761" s="119">
        <v>0</v>
      </c>
      <c r="J1761" s="119" t="str">
        <f t="shared" si="114"/>
        <v>0000000000</v>
      </c>
      <c r="K1761" s="304" t="str">
        <f t="shared" si="113"/>
        <v>61808000000000000000</v>
      </c>
      <c r="L1761" s="17" t="str">
        <f>INDEX('реш СГД № 265'!$A:$N,MATCH('БА расх 2018 31 12 2018'!$K1761,'реш СГД № 265'!$N:$N,0),3)</f>
        <v xml:space="preserve">Культура, кинематография </v>
      </c>
      <c r="M1761" s="16">
        <f t="shared" si="115"/>
        <v>1</v>
      </c>
    </row>
    <row r="1762" spans="1:13" s="16" customFormat="1" ht="15.75">
      <c r="A1762" s="14"/>
      <c r="B1762" s="121" t="s">
        <v>239</v>
      </c>
      <c r="C1762" s="122" t="s">
        <v>783</v>
      </c>
      <c r="D1762" s="123" t="s">
        <v>238</v>
      </c>
      <c r="E1762" s="123" t="s">
        <v>11</v>
      </c>
      <c r="F1762" s="123" t="s">
        <v>8</v>
      </c>
      <c r="G1762" s="123" t="s">
        <v>9</v>
      </c>
      <c r="H1762" s="124">
        <v>1396824</v>
      </c>
      <c r="I1762" s="123">
        <v>0</v>
      </c>
      <c r="J1762" s="123" t="str">
        <f t="shared" si="114"/>
        <v>0000000000</v>
      </c>
      <c r="K1762" s="304" t="str">
        <f t="shared" si="113"/>
        <v>61808010000000000000</v>
      </c>
      <c r="L1762" s="17" t="str">
        <f>INDEX('реш СГД № 265'!$A:$N,MATCH('БА расх 2018 31 12 2018'!$K1762,'реш СГД № 265'!$N:$N,0),3)</f>
        <v>Культура</v>
      </c>
      <c r="M1762" s="16">
        <f t="shared" si="115"/>
        <v>1</v>
      </c>
    </row>
    <row r="1763" spans="1:13" s="16" customFormat="1" ht="15.75">
      <c r="A1763" s="14"/>
      <c r="B1763" s="125" t="s">
        <v>240</v>
      </c>
      <c r="C1763" s="109" t="s">
        <v>783</v>
      </c>
      <c r="D1763" s="108" t="s">
        <v>238</v>
      </c>
      <c r="E1763" s="108" t="s">
        <v>11</v>
      </c>
      <c r="F1763" s="108" t="s">
        <v>241</v>
      </c>
      <c r="G1763" s="108" t="s">
        <v>9</v>
      </c>
      <c r="H1763" s="126">
        <v>1396824</v>
      </c>
      <c r="I1763" s="108">
        <v>700000000</v>
      </c>
      <c r="J1763" s="108" t="str">
        <f t="shared" si="114"/>
        <v>0700000000</v>
      </c>
      <c r="K1763" s="304" t="str">
        <f t="shared" si="113"/>
        <v>61808010700000000000</v>
      </c>
      <c r="L1763" s="17" t="str">
        <f>INDEX('реш СГД № 265'!$A:$N,MATCH('БА расх 2018 31 12 2018'!$K1763,'реш СГД № 265'!$N:$N,0),3)</f>
        <v>Муниципальная программа «Культура города Ставрополя»</v>
      </c>
      <c r="M1763" s="16">
        <f t="shared" si="115"/>
        <v>1</v>
      </c>
    </row>
    <row r="1764" spans="1:13" s="16" customFormat="1" ht="63">
      <c r="A1764" s="14"/>
      <c r="B1764" s="127" t="s">
        <v>384</v>
      </c>
      <c r="C1764" s="109" t="s">
        <v>783</v>
      </c>
      <c r="D1764" s="108" t="s">
        <v>238</v>
      </c>
      <c r="E1764" s="108" t="s">
        <v>11</v>
      </c>
      <c r="F1764" s="108" t="s">
        <v>243</v>
      </c>
      <c r="G1764" s="108" t="s">
        <v>9</v>
      </c>
      <c r="H1764" s="126">
        <v>1396824</v>
      </c>
      <c r="I1764" s="108">
        <v>710000000</v>
      </c>
      <c r="J1764" s="108" t="str">
        <f t="shared" si="114"/>
        <v>0710000000</v>
      </c>
      <c r="K1764" s="304" t="str">
        <f t="shared" si="113"/>
        <v>61808010710000000000</v>
      </c>
      <c r="L1764" s="17" t="str">
        <f>INDEX('реш СГД № 265'!$A:$N,MATCH('БА расх 2018 31 12 2018'!$K1764,'реш СГД № 265'!$N:$N,0),3)</f>
        <v>Подпрограмма «Проведение городских и краевых культурно-массовых мероприятий, посвященных памятным, знаменательным и юбилейным датам в истории России, Ставропольского края, города Ставрополя»</v>
      </c>
      <c r="M1764" s="16">
        <f t="shared" si="115"/>
        <v>1</v>
      </c>
    </row>
    <row r="1765" spans="1:13" s="16" customFormat="1" ht="94.5">
      <c r="A1765" s="14"/>
      <c r="B1765" s="140" t="s">
        <v>244</v>
      </c>
      <c r="C1765" s="130" t="s">
        <v>783</v>
      </c>
      <c r="D1765" s="131" t="s">
        <v>238</v>
      </c>
      <c r="E1765" s="131" t="s">
        <v>11</v>
      </c>
      <c r="F1765" s="131" t="s">
        <v>245</v>
      </c>
      <c r="G1765" s="131" t="s">
        <v>9</v>
      </c>
      <c r="H1765" s="105">
        <v>1396824</v>
      </c>
      <c r="I1765" s="131">
        <v>710100000</v>
      </c>
      <c r="J1765" s="131" t="str">
        <f t="shared" si="114"/>
        <v>0710100000</v>
      </c>
      <c r="K1765" s="304" t="str">
        <f t="shared" si="113"/>
        <v>61808010710100000000</v>
      </c>
      <c r="L1765" s="17" t="str">
        <f>INDEX('реш СГД № 265'!$A:$N,MATCH('БА расх 2018 31 12 2018'!$K1765,'реш СГД № 265'!$N:$N,0),3)</f>
        <v>Основное мероприятие «Обеспечение доступности к культурным ценностям и права на участие в культурной жизни для всех групп населения города Ставрополя, популяризация объектов культурного наследия города Ставрополя, формирование имиджа города Ставрополя как культурного центра Ставропольского края»</v>
      </c>
      <c r="M1765" s="16">
        <f t="shared" si="115"/>
        <v>1</v>
      </c>
    </row>
    <row r="1766" spans="1:13" s="16" customFormat="1" ht="31.5">
      <c r="A1766" s="14"/>
      <c r="B1766" s="125" t="s">
        <v>246</v>
      </c>
      <c r="C1766" s="109" t="s">
        <v>783</v>
      </c>
      <c r="D1766" s="108" t="s">
        <v>238</v>
      </c>
      <c r="E1766" s="108" t="s">
        <v>11</v>
      </c>
      <c r="F1766" s="108" t="s">
        <v>247</v>
      </c>
      <c r="G1766" s="108" t="s">
        <v>9</v>
      </c>
      <c r="H1766" s="126">
        <v>874500</v>
      </c>
      <c r="I1766" s="108">
        <v>710120060</v>
      </c>
      <c r="J1766" s="108" t="str">
        <f t="shared" si="114"/>
        <v>0710120060</v>
      </c>
      <c r="K1766" s="304" t="str">
        <f t="shared" si="113"/>
        <v>61808010710120060000</v>
      </c>
      <c r="L1766" s="17" t="str">
        <f>INDEX('реш СГД № 265'!$A:$N,MATCH('БА расх 2018 31 12 2018'!$K1766,'реш СГД № 265'!$N:$N,0),3)</f>
        <v>Расходы на проведение культурно-массовых мероприятий в городе Ставрополе</v>
      </c>
      <c r="M1766" s="16">
        <f t="shared" si="115"/>
        <v>1</v>
      </c>
    </row>
    <row r="1767" spans="1:13" s="16" customFormat="1" ht="31.5">
      <c r="A1767" s="14"/>
      <c r="B1767" s="125" t="s">
        <v>28</v>
      </c>
      <c r="C1767" s="109" t="s">
        <v>783</v>
      </c>
      <c r="D1767" s="108" t="s">
        <v>238</v>
      </c>
      <c r="E1767" s="108" t="s">
        <v>11</v>
      </c>
      <c r="F1767" s="108" t="s">
        <v>247</v>
      </c>
      <c r="G1767" s="108" t="s">
        <v>29</v>
      </c>
      <c r="H1767" s="126">
        <v>874500</v>
      </c>
      <c r="I1767" s="108">
        <v>710120060</v>
      </c>
      <c r="J1767" s="108" t="str">
        <f t="shared" si="114"/>
        <v>0710120060</v>
      </c>
      <c r="K1767" s="304" t="str">
        <f t="shared" si="113"/>
        <v>61808010710120060240</v>
      </c>
      <c r="L1767" s="17" t="str">
        <f>INDEX('реш СГД № 265'!$A:$N,MATCH('БА расх 2018 31 12 2018'!$K1767,'реш СГД № 265'!$N:$N,0),3)</f>
        <v>Иные закупки товаров, работ и услуг для обеспечения государственных (муниципальных) нужд</v>
      </c>
      <c r="M1767" s="16">
        <f t="shared" si="115"/>
        <v>1</v>
      </c>
    </row>
    <row r="1768" spans="1:13" s="16" customFormat="1" ht="15.75">
      <c r="A1768" s="14"/>
      <c r="B1768" s="125" t="s">
        <v>30</v>
      </c>
      <c r="C1768" s="109" t="s">
        <v>783</v>
      </c>
      <c r="D1768" s="108" t="s">
        <v>238</v>
      </c>
      <c r="E1768" s="108" t="s">
        <v>11</v>
      </c>
      <c r="F1768" s="108" t="s">
        <v>247</v>
      </c>
      <c r="G1768" s="108" t="s">
        <v>31</v>
      </c>
      <c r="H1768" s="126">
        <v>874500</v>
      </c>
      <c r="I1768" s="108">
        <v>710120060</v>
      </c>
      <c r="J1768" s="108" t="str">
        <f t="shared" si="114"/>
        <v>0710120060</v>
      </c>
      <c r="K1768" s="304" t="str">
        <f t="shared" si="113"/>
        <v>61808010710120060244</v>
      </c>
      <c r="L1768" s="17"/>
    </row>
    <row r="1769" spans="1:13" s="16" customFormat="1" ht="31.5">
      <c r="A1769" s="14"/>
      <c r="B1769" s="127" t="s">
        <v>780</v>
      </c>
      <c r="C1769" s="109" t="s">
        <v>783</v>
      </c>
      <c r="D1769" s="108" t="s">
        <v>238</v>
      </c>
      <c r="E1769" s="108" t="s">
        <v>11</v>
      </c>
      <c r="F1769" s="108" t="s">
        <v>781</v>
      </c>
      <c r="G1769" s="108" t="s">
        <v>9</v>
      </c>
      <c r="H1769" s="126">
        <v>522324</v>
      </c>
      <c r="I1769" s="108">
        <v>710121130</v>
      </c>
      <c r="J1769" s="108" t="str">
        <f t="shared" si="114"/>
        <v>0710121130</v>
      </c>
      <c r="K1769" s="304" t="str">
        <f t="shared" si="113"/>
        <v>61808010710121130000</v>
      </c>
      <c r="L1769" s="17" t="str">
        <f>INDEX('реш СГД № 265'!$A:$N,MATCH('БА расх 2018 31 12 2018'!$K1769,'реш СГД № 265'!$N:$N,0),3)</f>
        <v>Расходы на размещение информационных баннеров на лайтбоксах на остановочных пунктах в городе Ставрополе</v>
      </c>
      <c r="M1769" s="16">
        <f t="shared" si="115"/>
        <v>1</v>
      </c>
    </row>
    <row r="1770" spans="1:13" s="16" customFormat="1" ht="31.5">
      <c r="A1770" s="14"/>
      <c r="B1770" s="125" t="s">
        <v>28</v>
      </c>
      <c r="C1770" s="109" t="s">
        <v>783</v>
      </c>
      <c r="D1770" s="108" t="s">
        <v>238</v>
      </c>
      <c r="E1770" s="108" t="s">
        <v>11</v>
      </c>
      <c r="F1770" s="108" t="s">
        <v>781</v>
      </c>
      <c r="G1770" s="108" t="s">
        <v>29</v>
      </c>
      <c r="H1770" s="126">
        <v>522324</v>
      </c>
      <c r="I1770" s="108">
        <v>710121130</v>
      </c>
      <c r="J1770" s="108" t="str">
        <f t="shared" si="114"/>
        <v>0710121130</v>
      </c>
      <c r="K1770" s="304" t="str">
        <f t="shared" si="113"/>
        <v>61808010710121130240</v>
      </c>
      <c r="L1770" s="17" t="str">
        <f>INDEX('реш СГД № 265'!$A:$N,MATCH('БА расх 2018 31 12 2018'!$K1770,'реш СГД № 265'!$N:$N,0),3)</f>
        <v>Иные закупки товаров, работ и услуг для обеспечения государственных (муниципальных) нужд</v>
      </c>
      <c r="M1770" s="16">
        <f t="shared" si="115"/>
        <v>1</v>
      </c>
    </row>
    <row r="1771" spans="1:13" s="16" customFormat="1" ht="15.75">
      <c r="A1771" s="14"/>
      <c r="B1771" s="125" t="s">
        <v>30</v>
      </c>
      <c r="C1771" s="109" t="s">
        <v>783</v>
      </c>
      <c r="D1771" s="108" t="s">
        <v>238</v>
      </c>
      <c r="E1771" s="108" t="s">
        <v>11</v>
      </c>
      <c r="F1771" s="108" t="s">
        <v>781</v>
      </c>
      <c r="G1771" s="108" t="s">
        <v>31</v>
      </c>
      <c r="H1771" s="126">
        <v>522324</v>
      </c>
      <c r="I1771" s="108">
        <v>710121130</v>
      </c>
      <c r="J1771" s="108" t="str">
        <f t="shared" si="114"/>
        <v>0710121130</v>
      </c>
      <c r="K1771" s="304" t="str">
        <f t="shared" si="113"/>
        <v>61808010710121130244</v>
      </c>
      <c r="L1771" s="17"/>
    </row>
    <row r="1772" spans="1:13" s="16" customFormat="1" ht="15.75">
      <c r="A1772" s="14"/>
      <c r="B1772" s="117" t="s">
        <v>316</v>
      </c>
      <c r="C1772" s="118" t="s">
        <v>783</v>
      </c>
      <c r="D1772" s="119" t="s">
        <v>317</v>
      </c>
      <c r="E1772" s="119" t="s">
        <v>7</v>
      </c>
      <c r="F1772" s="119" t="s">
        <v>8</v>
      </c>
      <c r="G1772" s="119" t="s">
        <v>9</v>
      </c>
      <c r="H1772" s="120">
        <v>569116.5</v>
      </c>
      <c r="I1772" s="108">
        <v>0</v>
      </c>
      <c r="J1772" s="108" t="str">
        <f t="shared" si="114"/>
        <v>0000000000</v>
      </c>
      <c r="K1772" s="304" t="str">
        <f t="shared" si="113"/>
        <v>61810000000000000000</v>
      </c>
      <c r="L1772" s="17" t="str">
        <f>INDEX('реш СГД № 265'!$A:$N,MATCH('БА расх 2018 31 12 2018'!$K1772,'реш СГД № 265'!$N:$N,0),3)</f>
        <v>Социальная политика</v>
      </c>
      <c r="M1772" s="16">
        <f t="shared" si="115"/>
        <v>1</v>
      </c>
    </row>
    <row r="1773" spans="1:13" s="16" customFormat="1" ht="15.75">
      <c r="A1773" s="14"/>
      <c r="B1773" s="121" t="s">
        <v>318</v>
      </c>
      <c r="C1773" s="122" t="s">
        <v>783</v>
      </c>
      <c r="D1773" s="123" t="s">
        <v>317</v>
      </c>
      <c r="E1773" s="123" t="s">
        <v>13</v>
      </c>
      <c r="F1773" s="123" t="s">
        <v>8</v>
      </c>
      <c r="G1773" s="123" t="s">
        <v>9</v>
      </c>
      <c r="H1773" s="124">
        <v>569116.5</v>
      </c>
      <c r="I1773" s="108">
        <v>0</v>
      </c>
      <c r="J1773" s="108" t="str">
        <f t="shared" si="114"/>
        <v>0000000000</v>
      </c>
      <c r="K1773" s="304" t="str">
        <f t="shared" si="113"/>
        <v>61810030000000000000</v>
      </c>
      <c r="L1773" s="17" t="str">
        <f>INDEX('реш СГД № 265'!$A:$N,MATCH('БА расх 2018 31 12 2018'!$K1773,'реш СГД № 265'!$N:$N,0),3)</f>
        <v>Социальное обеспечение населения</v>
      </c>
      <c r="M1773" s="16">
        <f t="shared" si="115"/>
        <v>1</v>
      </c>
    </row>
    <row r="1774" spans="1:13" s="16" customFormat="1" ht="47.25">
      <c r="A1774" s="14"/>
      <c r="B1774" s="127" t="s">
        <v>87</v>
      </c>
      <c r="C1774" s="109" t="s">
        <v>783</v>
      </c>
      <c r="D1774" s="108" t="s">
        <v>1314</v>
      </c>
      <c r="E1774" s="108" t="s">
        <v>13</v>
      </c>
      <c r="F1774" s="108" t="s">
        <v>88</v>
      </c>
      <c r="G1774" s="108" t="s">
        <v>9</v>
      </c>
      <c r="H1774" s="126">
        <v>569116.5</v>
      </c>
      <c r="I1774" s="108">
        <v>9800000000</v>
      </c>
      <c r="J1774" s="108" t="str">
        <f t="shared" si="114"/>
        <v>9800000000</v>
      </c>
      <c r="K1774" s="304" t="str">
        <f t="shared" si="113"/>
        <v>61810 039800000000000</v>
      </c>
      <c r="L1774" s="17" t="str">
        <f>INDEX('реш СГД № 265'!$A:$N,MATCH('БА расх 2018 31 12 2018'!$K1774,'реш СГД № 265'!$N:$N,0),3)</f>
        <v>Реализация иных функций Ставропольской городской Думы, администрации города Ставрополя, ее отраслевых (функциональных) и территориальных органов</v>
      </c>
      <c r="M1774" s="16">
        <f t="shared" si="115"/>
        <v>1</v>
      </c>
    </row>
    <row r="1775" spans="1:13" s="16" customFormat="1" ht="15.75">
      <c r="A1775" s="14"/>
      <c r="B1775" s="127" t="s">
        <v>89</v>
      </c>
      <c r="C1775" s="109" t="s">
        <v>783</v>
      </c>
      <c r="D1775" s="108" t="s">
        <v>1314</v>
      </c>
      <c r="E1775" s="108" t="s">
        <v>13</v>
      </c>
      <c r="F1775" s="108" t="s">
        <v>90</v>
      </c>
      <c r="G1775" s="108" t="s">
        <v>9</v>
      </c>
      <c r="H1775" s="126">
        <v>569116.5</v>
      </c>
      <c r="I1775" s="108">
        <v>9810000000</v>
      </c>
      <c r="J1775" s="108" t="str">
        <f t="shared" si="114"/>
        <v>9810000000</v>
      </c>
      <c r="K1775" s="304" t="str">
        <f t="shared" si="113"/>
        <v>61810 039810000000000</v>
      </c>
      <c r="L1775" s="17" t="str">
        <f>INDEX('реш СГД № 265'!$A:$N,MATCH('БА расх 2018 31 12 2018'!$K1775,'реш СГД № 265'!$N:$N,0),3)</f>
        <v>Иные непрограммные мероприятия</v>
      </c>
      <c r="M1775" s="16">
        <f t="shared" si="115"/>
        <v>1</v>
      </c>
    </row>
    <row r="1776" spans="1:13" s="16" customFormat="1" ht="110.25">
      <c r="A1776" s="14"/>
      <c r="B1776" s="125" t="s">
        <v>1315</v>
      </c>
      <c r="C1776" s="109" t="s">
        <v>783</v>
      </c>
      <c r="D1776" s="108" t="s">
        <v>317</v>
      </c>
      <c r="E1776" s="108" t="s">
        <v>13</v>
      </c>
      <c r="F1776" s="108" t="s">
        <v>1316</v>
      </c>
      <c r="G1776" s="108" t="s">
        <v>9</v>
      </c>
      <c r="H1776" s="126">
        <v>569116.5</v>
      </c>
      <c r="I1776" s="108">
        <v>9810021560</v>
      </c>
      <c r="J1776" s="108" t="str">
        <f t="shared" si="114"/>
        <v>9810021560</v>
      </c>
      <c r="K1776" s="304" t="str">
        <f t="shared" si="113"/>
        <v>61810039810021560000</v>
      </c>
      <c r="L1776" s="17" t="str">
        <f>INDEX('реш СГД № 265'!$A:$N,MATCH('БА расх 2018 31 12 2018'!$K1776,'реш СГД № 265'!$N:$N,0),3)</f>
        <v>Предоставление субсидии индивидуальному предпринимателю Мурга Е.В. на частичное возмещение затрат, связанных с временным размещением граждан, пострадавших в результате оползня на территории дачного некоммерческого товарищества «Ягодка» города Ставрополя, произошедшего по причине продолжительных дождей, в гостинице «Эльбрус»</v>
      </c>
      <c r="M1776" s="16">
        <f t="shared" si="115"/>
        <v>1</v>
      </c>
    </row>
    <row r="1777" spans="1:13" s="16" customFormat="1" ht="47.25">
      <c r="A1777" s="14"/>
      <c r="B1777" s="129" t="s">
        <v>203</v>
      </c>
      <c r="C1777" s="109" t="s">
        <v>783</v>
      </c>
      <c r="D1777" s="108" t="s">
        <v>317</v>
      </c>
      <c r="E1777" s="108" t="s">
        <v>13</v>
      </c>
      <c r="F1777" s="108" t="s">
        <v>1316</v>
      </c>
      <c r="G1777" s="108" t="s">
        <v>204</v>
      </c>
      <c r="H1777" s="126">
        <v>569116.5</v>
      </c>
      <c r="I1777" s="108">
        <v>9810021560</v>
      </c>
      <c r="J1777" s="108" t="str">
        <f t="shared" si="114"/>
        <v>9810021560</v>
      </c>
      <c r="K1777" s="304" t="str">
        <f t="shared" si="113"/>
        <v>61810039810021560810</v>
      </c>
      <c r="L1777" s="17" t="str">
        <f>INDEX('реш СГД № 265'!$A:$N,MATCH('БА расх 2018 31 12 2018'!$K1777,'реш СГД № 265'!$N:$N,0),3)</f>
        <v>Субсидии юридическим лицам (кроме некоммерческих организаций), индивидуальным предпринимателям, физическим лицам - производителям товаров, работ, услуг</v>
      </c>
      <c r="M1777" s="16">
        <f t="shared" si="115"/>
        <v>1</v>
      </c>
    </row>
    <row r="1778" spans="1:13" s="16" customFormat="1" ht="63">
      <c r="A1778" s="14"/>
      <c r="B1778" s="125" t="s">
        <v>205</v>
      </c>
      <c r="C1778" s="109" t="s">
        <v>783</v>
      </c>
      <c r="D1778" s="108" t="s">
        <v>317</v>
      </c>
      <c r="E1778" s="108" t="s">
        <v>13</v>
      </c>
      <c r="F1778" s="108" t="s">
        <v>1316</v>
      </c>
      <c r="G1778" s="108" t="s">
        <v>206</v>
      </c>
      <c r="H1778" s="126">
        <v>569116.5</v>
      </c>
      <c r="I1778" s="108">
        <v>9810021560</v>
      </c>
      <c r="J1778" s="108" t="str">
        <f t="shared" si="114"/>
        <v>9810021560</v>
      </c>
      <c r="K1778" s="304" t="str">
        <f t="shared" si="113"/>
        <v>61810039810021560811</v>
      </c>
      <c r="L1778" s="17"/>
    </row>
    <row r="1779" spans="1:13" s="16" customFormat="1" ht="15.75">
      <c r="A1779" s="14"/>
      <c r="B1779" s="125"/>
      <c r="C1779" s="109"/>
      <c r="D1779" s="108"/>
      <c r="E1779" s="108"/>
      <c r="F1779" s="108"/>
      <c r="G1779" s="108"/>
      <c r="H1779" s="126"/>
      <c r="I1779" s="108"/>
      <c r="J1779" s="108" t="str">
        <f t="shared" si="114"/>
        <v>0000000000</v>
      </c>
      <c r="K1779" s="304" t="str">
        <f t="shared" si="113"/>
        <v>0000000000</v>
      </c>
      <c r="L1779" s="17">
        <f>INDEX('реш СГД № 265'!$A:$N,MATCH('БА расх 2018 31 12 2018'!$K1779,'реш СГД № 265'!$N:$N,0),3)</f>
        <v>0</v>
      </c>
      <c r="M1779" s="16">
        <f t="shared" si="115"/>
        <v>1</v>
      </c>
    </row>
    <row r="1780" spans="1:13" s="16" customFormat="1" ht="31.5">
      <c r="A1780" s="14"/>
      <c r="B1780" s="67" t="s">
        <v>794</v>
      </c>
      <c r="C1780" s="116" t="s">
        <v>795</v>
      </c>
      <c r="D1780" s="69" t="s">
        <v>7</v>
      </c>
      <c r="E1780" s="69" t="s">
        <v>7</v>
      </c>
      <c r="F1780" s="156" t="s">
        <v>8</v>
      </c>
      <c r="G1780" s="69" t="s">
        <v>9</v>
      </c>
      <c r="H1780" s="70">
        <v>268344270.88</v>
      </c>
      <c r="I1780" s="156">
        <v>0</v>
      </c>
      <c r="J1780" s="156" t="str">
        <f t="shared" si="114"/>
        <v>0000000000</v>
      </c>
      <c r="K1780" s="304" t="str">
        <f t="shared" si="113"/>
        <v>61900000000000000000</v>
      </c>
      <c r="L1780" s="17" t="str">
        <f>INDEX('реш СГД № 265'!$A:$N,MATCH('БА расх 2018 31 12 2018'!$K1780,'реш СГД № 265'!$N:$N,0),3)</f>
        <v>Администрация Промышленного района города Ставрополя</v>
      </c>
      <c r="M1780" s="16">
        <f t="shared" si="115"/>
        <v>1</v>
      </c>
    </row>
    <row r="1781" spans="1:13" s="16" customFormat="1" ht="15.75">
      <c r="A1781" s="14"/>
      <c r="B1781" s="117" t="s">
        <v>10</v>
      </c>
      <c r="C1781" s="118" t="s">
        <v>795</v>
      </c>
      <c r="D1781" s="119" t="s">
        <v>11</v>
      </c>
      <c r="E1781" s="119" t="s">
        <v>7</v>
      </c>
      <c r="F1781" s="119" t="s">
        <v>8</v>
      </c>
      <c r="G1781" s="119" t="s">
        <v>9</v>
      </c>
      <c r="H1781" s="120">
        <v>49455797.009999998</v>
      </c>
      <c r="I1781" s="119">
        <v>0</v>
      </c>
      <c r="J1781" s="119" t="str">
        <f t="shared" si="114"/>
        <v>0000000000</v>
      </c>
      <c r="K1781" s="304" t="str">
        <f t="shared" si="113"/>
        <v>61901000000000000000</v>
      </c>
      <c r="L1781" s="17" t="str">
        <f>INDEX('реш СГД № 265'!$A:$N,MATCH('БА расх 2018 31 12 2018'!$K1781,'реш СГД № 265'!$N:$N,0),3)</f>
        <v>Общегосударственные вопросы</v>
      </c>
      <c r="M1781" s="16">
        <f t="shared" si="115"/>
        <v>1</v>
      </c>
    </row>
    <row r="1782" spans="1:13" s="16" customFormat="1" ht="47.25">
      <c r="A1782" s="14"/>
      <c r="B1782" s="121" t="s">
        <v>72</v>
      </c>
      <c r="C1782" s="122" t="s">
        <v>795</v>
      </c>
      <c r="D1782" s="123" t="s">
        <v>11</v>
      </c>
      <c r="E1782" s="123" t="s">
        <v>73</v>
      </c>
      <c r="F1782" s="123" t="s">
        <v>8</v>
      </c>
      <c r="G1782" s="123" t="s">
        <v>9</v>
      </c>
      <c r="H1782" s="124">
        <v>44613603.219999999</v>
      </c>
      <c r="I1782" s="123">
        <v>0</v>
      </c>
      <c r="J1782" s="123" t="str">
        <f t="shared" si="114"/>
        <v>0000000000</v>
      </c>
      <c r="K1782" s="304" t="str">
        <f t="shared" si="113"/>
        <v>61901040000000000000</v>
      </c>
      <c r="L1782" s="17" t="str">
        <f>INDEX('реш СГД № 265'!$A:$N,MATCH('БА расх 2018 31 12 2018'!$K1782,'реш СГД № 265'!$N:$N,0),3)</f>
        <v>Функционирование Правительства Российской Федерации, высших исполнительных органов государственной власти субъектов Российской Федерации, местных администраций</v>
      </c>
      <c r="M1782" s="16">
        <f t="shared" si="115"/>
        <v>1</v>
      </c>
    </row>
    <row r="1783" spans="1:13" s="16" customFormat="1" ht="31.5">
      <c r="A1783" s="14"/>
      <c r="B1783" s="125" t="s">
        <v>796</v>
      </c>
      <c r="C1783" s="108" t="s">
        <v>795</v>
      </c>
      <c r="D1783" s="108" t="s">
        <v>11</v>
      </c>
      <c r="E1783" s="108" t="s">
        <v>73</v>
      </c>
      <c r="F1783" s="108" t="s">
        <v>797</v>
      </c>
      <c r="G1783" s="108" t="s">
        <v>9</v>
      </c>
      <c r="H1783" s="126">
        <v>44613603.219999999</v>
      </c>
      <c r="I1783" s="108">
        <v>8200000000</v>
      </c>
      <c r="J1783" s="108" t="str">
        <f t="shared" si="114"/>
        <v>8200000000</v>
      </c>
      <c r="K1783" s="304" t="str">
        <f t="shared" si="113"/>
        <v>61901048200000000000</v>
      </c>
      <c r="L1783" s="17" t="str">
        <f>INDEX('реш СГД № 265'!$A:$N,MATCH('БА расх 2018 31 12 2018'!$K1783,'реш СГД № 265'!$N:$N,0),3)</f>
        <v>Обеспечение деятельности администрации Промышленного района города Ставрополя</v>
      </c>
      <c r="M1783" s="16">
        <f t="shared" si="115"/>
        <v>1</v>
      </c>
    </row>
    <row r="1784" spans="1:13" s="16" customFormat="1" ht="31.5">
      <c r="A1784" s="14"/>
      <c r="B1784" s="125" t="s">
        <v>798</v>
      </c>
      <c r="C1784" s="108" t="s">
        <v>795</v>
      </c>
      <c r="D1784" s="108" t="s">
        <v>11</v>
      </c>
      <c r="E1784" s="108" t="s">
        <v>73</v>
      </c>
      <c r="F1784" s="108" t="s">
        <v>799</v>
      </c>
      <c r="G1784" s="108" t="s">
        <v>9</v>
      </c>
      <c r="H1784" s="105">
        <v>44613603.219999999</v>
      </c>
      <c r="I1784" s="108">
        <v>8210000000</v>
      </c>
      <c r="J1784" s="108" t="str">
        <f t="shared" si="114"/>
        <v>8210000000</v>
      </c>
      <c r="K1784" s="304" t="str">
        <f t="shared" si="113"/>
        <v>61901048210000000000</v>
      </c>
      <c r="L1784" s="17" t="str">
        <f>INDEX('реш СГД № 265'!$A:$N,MATCH('БА расх 2018 31 12 2018'!$K1784,'реш СГД № 265'!$N:$N,0),3)</f>
        <v>Непрограммные расходы в рамках обеспечения деятельности администрации Промышленного района города Ставрополя</v>
      </c>
      <c r="M1784" s="16">
        <f t="shared" si="115"/>
        <v>1</v>
      </c>
    </row>
    <row r="1785" spans="1:13" s="16" customFormat="1" ht="31.5">
      <c r="A1785" s="14"/>
      <c r="B1785" s="125" t="s">
        <v>18</v>
      </c>
      <c r="C1785" s="108" t="s">
        <v>795</v>
      </c>
      <c r="D1785" s="108" t="s">
        <v>11</v>
      </c>
      <c r="E1785" s="108" t="s">
        <v>73</v>
      </c>
      <c r="F1785" s="108" t="s">
        <v>800</v>
      </c>
      <c r="G1785" s="108" t="s">
        <v>9</v>
      </c>
      <c r="H1785" s="105">
        <v>5433530.75</v>
      </c>
      <c r="I1785" s="108">
        <v>8210010010</v>
      </c>
      <c r="J1785" s="108" t="str">
        <f t="shared" si="114"/>
        <v>8210010010</v>
      </c>
      <c r="K1785" s="304" t="str">
        <f t="shared" ref="K1785:K1851" si="116">C1785&amp;D1785&amp;E1785&amp;J1785&amp;G1785</f>
        <v>61901048210010010000</v>
      </c>
      <c r="L1785" s="17" t="str">
        <f>INDEX('реш СГД № 265'!$A:$N,MATCH('БА расх 2018 31 12 2018'!$K1785,'реш СГД № 265'!$N:$N,0),3)</f>
        <v>Расходы на обеспечение функций органов местного самоуправления города Ставрополя</v>
      </c>
      <c r="M1785" s="16">
        <f t="shared" si="115"/>
        <v>1</v>
      </c>
    </row>
    <row r="1786" spans="1:13" s="50" customFormat="1" ht="31.5">
      <c r="A1786" s="49"/>
      <c r="B1786" s="129" t="s">
        <v>20</v>
      </c>
      <c r="C1786" s="131" t="s">
        <v>795</v>
      </c>
      <c r="D1786" s="131" t="s">
        <v>11</v>
      </c>
      <c r="E1786" s="131" t="s">
        <v>73</v>
      </c>
      <c r="F1786" s="108" t="s">
        <v>800</v>
      </c>
      <c r="G1786" s="131" t="s">
        <v>21</v>
      </c>
      <c r="H1786" s="126">
        <v>842174.76</v>
      </c>
      <c r="I1786" s="108">
        <v>8210010010</v>
      </c>
      <c r="J1786" s="108" t="str">
        <f t="shared" ref="J1786:J1851" si="117">TEXT(I1786,"0000000000")</f>
        <v>8210010010</v>
      </c>
      <c r="K1786" s="304" t="str">
        <f t="shared" si="116"/>
        <v>61901048210010010120</v>
      </c>
      <c r="L1786" s="17" t="str">
        <f>INDEX('реш СГД № 265'!$A:$N,MATCH('БА расх 2018 31 12 2018'!$K1786,'реш СГД № 265'!$N:$N,0),3)</f>
        <v>Расходы на выплаты персоналу государственных (муниципальных) органов</v>
      </c>
      <c r="M1786" s="16">
        <f t="shared" ref="M1786:M1850" si="118">IF(B1786=L1786,1,0)</f>
        <v>1</v>
      </c>
    </row>
    <row r="1787" spans="1:13" s="23" customFormat="1" ht="31.5">
      <c r="A1787" s="21"/>
      <c r="B1787" s="127" t="s">
        <v>22</v>
      </c>
      <c r="C1787" s="131" t="s">
        <v>795</v>
      </c>
      <c r="D1787" s="131" t="s">
        <v>11</v>
      </c>
      <c r="E1787" s="131" t="s">
        <v>73</v>
      </c>
      <c r="F1787" s="108" t="s">
        <v>800</v>
      </c>
      <c r="G1787" s="108" t="s">
        <v>23</v>
      </c>
      <c r="H1787" s="126">
        <v>647125.26</v>
      </c>
      <c r="I1787" s="108">
        <v>8210010010</v>
      </c>
      <c r="J1787" s="108" t="str">
        <f t="shared" si="117"/>
        <v>8210010010</v>
      </c>
      <c r="K1787" s="304" t="str">
        <f t="shared" si="116"/>
        <v>61901048210010010122</v>
      </c>
      <c r="L1787" s="17"/>
      <c r="M1787" s="16"/>
    </row>
    <row r="1788" spans="1:13" s="23" customFormat="1" ht="47.25">
      <c r="A1788" s="21"/>
      <c r="B1788" s="127" t="s">
        <v>26</v>
      </c>
      <c r="C1788" s="131" t="s">
        <v>795</v>
      </c>
      <c r="D1788" s="131" t="s">
        <v>11</v>
      </c>
      <c r="E1788" s="131" t="s">
        <v>73</v>
      </c>
      <c r="F1788" s="108" t="s">
        <v>800</v>
      </c>
      <c r="G1788" s="108" t="s">
        <v>27</v>
      </c>
      <c r="H1788" s="126">
        <v>195049.5</v>
      </c>
      <c r="I1788" s="108">
        <v>8210010010</v>
      </c>
      <c r="J1788" s="108" t="str">
        <f t="shared" si="117"/>
        <v>8210010010</v>
      </c>
      <c r="K1788" s="304" t="str">
        <f t="shared" si="116"/>
        <v>61901048210010010129</v>
      </c>
      <c r="L1788" s="17"/>
      <c r="M1788" s="16"/>
    </row>
    <row r="1789" spans="1:13" s="16" customFormat="1" ht="31.5">
      <c r="A1789" s="14"/>
      <c r="B1789" s="125" t="s">
        <v>28</v>
      </c>
      <c r="C1789" s="131" t="s">
        <v>795</v>
      </c>
      <c r="D1789" s="131" t="s">
        <v>11</v>
      </c>
      <c r="E1789" s="131" t="s">
        <v>73</v>
      </c>
      <c r="F1789" s="108" t="s">
        <v>800</v>
      </c>
      <c r="G1789" s="108" t="s">
        <v>29</v>
      </c>
      <c r="H1789" s="126">
        <v>4251355.99</v>
      </c>
      <c r="I1789" s="108">
        <v>8210010010</v>
      </c>
      <c r="J1789" s="108" t="str">
        <f t="shared" si="117"/>
        <v>8210010010</v>
      </c>
      <c r="K1789" s="304" t="str">
        <f t="shared" si="116"/>
        <v>61901048210010010240</v>
      </c>
      <c r="L1789" s="17" t="str">
        <f>INDEX('реш СГД № 265'!$A:$N,MATCH('БА расх 2018 31 12 2018'!$K1789,'реш СГД № 265'!$N:$N,0),3)</f>
        <v>Иные закупки товаров, работ и услуг для обеспечения государственных (муниципальных) нужд</v>
      </c>
      <c r="M1789" s="16">
        <f t="shared" si="118"/>
        <v>1</v>
      </c>
    </row>
    <row r="1790" spans="1:13" s="16" customFormat="1" ht="15.75">
      <c r="A1790" s="14"/>
      <c r="B1790" s="125" t="s">
        <v>30</v>
      </c>
      <c r="C1790" s="131" t="s">
        <v>795</v>
      </c>
      <c r="D1790" s="131" t="s">
        <v>11</v>
      </c>
      <c r="E1790" s="131" t="s">
        <v>73</v>
      </c>
      <c r="F1790" s="108" t="s">
        <v>800</v>
      </c>
      <c r="G1790" s="108" t="s">
        <v>31</v>
      </c>
      <c r="H1790" s="126">
        <v>4251355.99</v>
      </c>
      <c r="I1790" s="108">
        <v>8210010010</v>
      </c>
      <c r="J1790" s="108" t="str">
        <f t="shared" si="117"/>
        <v>8210010010</v>
      </c>
      <c r="K1790" s="304" t="str">
        <f t="shared" si="116"/>
        <v>61901048210010010244</v>
      </c>
      <c r="L1790" s="17"/>
    </row>
    <row r="1791" spans="1:13" s="16" customFormat="1" ht="15.75">
      <c r="A1791" s="14"/>
      <c r="B1791" s="125" t="s">
        <v>32</v>
      </c>
      <c r="C1791" s="131" t="s">
        <v>795</v>
      </c>
      <c r="D1791" s="131" t="s">
        <v>11</v>
      </c>
      <c r="E1791" s="131" t="s">
        <v>73</v>
      </c>
      <c r="F1791" s="108" t="s">
        <v>800</v>
      </c>
      <c r="G1791" s="131" t="s">
        <v>33</v>
      </c>
      <c r="H1791" s="126">
        <v>340000</v>
      </c>
      <c r="I1791" s="108">
        <v>8210010010</v>
      </c>
      <c r="J1791" s="108" t="str">
        <f t="shared" si="117"/>
        <v>8210010010</v>
      </c>
      <c r="K1791" s="304" t="str">
        <f t="shared" si="116"/>
        <v>61901048210010010850</v>
      </c>
      <c r="L1791" s="17" t="str">
        <f>INDEX('реш СГД № 265'!$A:$N,MATCH('БА расх 2018 31 12 2018'!$K1791,'реш СГД № 265'!$N:$N,0),3)</f>
        <v>Уплата налогов, сборов и иных платежей</v>
      </c>
      <c r="M1791" s="16">
        <f t="shared" si="118"/>
        <v>1</v>
      </c>
    </row>
    <row r="1792" spans="1:13" s="23" customFormat="1" ht="31.5">
      <c r="A1792" s="21"/>
      <c r="B1792" s="127" t="s">
        <v>34</v>
      </c>
      <c r="C1792" s="131" t="s">
        <v>795</v>
      </c>
      <c r="D1792" s="131" t="s">
        <v>11</v>
      </c>
      <c r="E1792" s="131" t="s">
        <v>73</v>
      </c>
      <c r="F1792" s="108" t="s">
        <v>800</v>
      </c>
      <c r="G1792" s="108" t="s">
        <v>35</v>
      </c>
      <c r="H1792" s="126">
        <v>332938.19</v>
      </c>
      <c r="I1792" s="108">
        <v>8210010010</v>
      </c>
      <c r="J1792" s="108" t="str">
        <f t="shared" si="117"/>
        <v>8210010010</v>
      </c>
      <c r="K1792" s="304" t="str">
        <f t="shared" si="116"/>
        <v>61901048210010010851</v>
      </c>
      <c r="L1792" s="17"/>
      <c r="M1792" s="16"/>
    </row>
    <row r="1793" spans="1:13" s="23" customFormat="1" ht="15.75">
      <c r="A1793" s="21"/>
      <c r="B1793" s="127" t="s">
        <v>36</v>
      </c>
      <c r="C1793" s="131" t="s">
        <v>795</v>
      </c>
      <c r="D1793" s="131" t="s">
        <v>11</v>
      </c>
      <c r="E1793" s="131" t="s">
        <v>73</v>
      </c>
      <c r="F1793" s="108" t="s">
        <v>800</v>
      </c>
      <c r="G1793" s="108" t="s">
        <v>37</v>
      </c>
      <c r="H1793" s="126">
        <v>6472</v>
      </c>
      <c r="I1793" s="108">
        <v>8210010010</v>
      </c>
      <c r="J1793" s="108" t="str">
        <f t="shared" si="117"/>
        <v>8210010010</v>
      </c>
      <c r="K1793" s="304" t="str">
        <f t="shared" si="116"/>
        <v>61901048210010010852</v>
      </c>
      <c r="L1793" s="17"/>
      <c r="M1793" s="16"/>
    </row>
    <row r="1794" spans="1:13" s="23" customFormat="1" ht="15.75">
      <c r="A1794" s="21"/>
      <c r="B1794" s="127" t="s">
        <v>77</v>
      </c>
      <c r="C1794" s="131" t="s">
        <v>795</v>
      </c>
      <c r="D1794" s="131" t="s">
        <v>11</v>
      </c>
      <c r="E1794" s="131" t="s">
        <v>73</v>
      </c>
      <c r="F1794" s="108" t="s">
        <v>800</v>
      </c>
      <c r="G1794" s="108" t="s">
        <v>78</v>
      </c>
      <c r="H1794" s="126">
        <v>589.80999999999995</v>
      </c>
      <c r="I1794" s="108">
        <v>8210010010</v>
      </c>
      <c r="J1794" s="108" t="str">
        <f t="shared" si="117"/>
        <v>8210010010</v>
      </c>
      <c r="K1794" s="304" t="str">
        <f t="shared" si="116"/>
        <v>61901048210010010853</v>
      </c>
      <c r="L1794" s="17"/>
      <c r="M1794" s="16"/>
    </row>
    <row r="1795" spans="1:13" s="47" customFormat="1" ht="31.5">
      <c r="A1795" s="46"/>
      <c r="B1795" s="129" t="s">
        <v>789</v>
      </c>
      <c r="C1795" s="131" t="s">
        <v>795</v>
      </c>
      <c r="D1795" s="131" t="s">
        <v>11</v>
      </c>
      <c r="E1795" s="131" t="s">
        <v>73</v>
      </c>
      <c r="F1795" s="131" t="s">
        <v>801</v>
      </c>
      <c r="G1795" s="131" t="s">
        <v>9</v>
      </c>
      <c r="H1795" s="105">
        <v>36278125.909999996</v>
      </c>
      <c r="I1795" s="131">
        <v>8210010020</v>
      </c>
      <c r="J1795" s="131" t="str">
        <f t="shared" si="117"/>
        <v>8210010020</v>
      </c>
      <c r="K1795" s="304" t="str">
        <f t="shared" si="116"/>
        <v>61901048210010020000</v>
      </c>
      <c r="L1795" s="17" t="str">
        <f>INDEX('реш СГД № 265'!$A:$N,MATCH('БА расх 2018 31 12 2018'!$K1795,'реш СГД № 265'!$N:$N,0),3)</f>
        <v>Расходы на выплаты по оплате труда работников  органов местного самоуправления города Ставрополя</v>
      </c>
      <c r="M1795" s="16">
        <f t="shared" si="118"/>
        <v>1</v>
      </c>
    </row>
    <row r="1796" spans="1:13" s="50" customFormat="1" ht="31.5">
      <c r="A1796" s="49"/>
      <c r="B1796" s="129" t="s">
        <v>20</v>
      </c>
      <c r="C1796" s="131" t="s">
        <v>795</v>
      </c>
      <c r="D1796" s="131" t="s">
        <v>11</v>
      </c>
      <c r="E1796" s="131" t="s">
        <v>73</v>
      </c>
      <c r="F1796" s="131" t="s">
        <v>801</v>
      </c>
      <c r="G1796" s="131" t="s">
        <v>21</v>
      </c>
      <c r="H1796" s="126">
        <v>36278125.909999996</v>
      </c>
      <c r="I1796" s="131">
        <v>8210010020</v>
      </c>
      <c r="J1796" s="131" t="str">
        <f t="shared" si="117"/>
        <v>8210010020</v>
      </c>
      <c r="K1796" s="304" t="str">
        <f t="shared" si="116"/>
        <v>61901048210010020120</v>
      </c>
      <c r="L1796" s="17" t="str">
        <f>INDEX('реш СГД № 265'!$A:$N,MATCH('БА расх 2018 31 12 2018'!$K1796,'реш СГД № 265'!$N:$N,0),3)</f>
        <v>Расходы на выплаты персоналу государственных (муниципальных) органов</v>
      </c>
      <c r="M1796" s="16">
        <f t="shared" si="118"/>
        <v>1</v>
      </c>
    </row>
    <row r="1797" spans="1:13" s="23" customFormat="1" ht="31.5">
      <c r="A1797" s="21"/>
      <c r="B1797" s="127" t="s">
        <v>40</v>
      </c>
      <c r="C1797" s="131" t="s">
        <v>795</v>
      </c>
      <c r="D1797" s="131" t="s">
        <v>11</v>
      </c>
      <c r="E1797" s="131" t="s">
        <v>73</v>
      </c>
      <c r="F1797" s="131" t="s">
        <v>801</v>
      </c>
      <c r="G1797" s="108" t="s">
        <v>41</v>
      </c>
      <c r="H1797" s="126">
        <v>27938471.059999999</v>
      </c>
      <c r="I1797" s="131">
        <v>8210010020</v>
      </c>
      <c r="J1797" s="131" t="str">
        <f t="shared" si="117"/>
        <v>8210010020</v>
      </c>
      <c r="K1797" s="304" t="str">
        <f t="shared" si="116"/>
        <v>61901048210010020121</v>
      </c>
      <c r="L1797" s="17"/>
      <c r="M1797" s="16"/>
    </row>
    <row r="1798" spans="1:13" s="23" customFormat="1" ht="47.25">
      <c r="A1798" s="21"/>
      <c r="B1798" s="127" t="s">
        <v>26</v>
      </c>
      <c r="C1798" s="131" t="s">
        <v>795</v>
      </c>
      <c r="D1798" s="131" t="s">
        <v>11</v>
      </c>
      <c r="E1798" s="131" t="s">
        <v>73</v>
      </c>
      <c r="F1798" s="131" t="s">
        <v>801</v>
      </c>
      <c r="G1798" s="108" t="s">
        <v>27</v>
      </c>
      <c r="H1798" s="126">
        <v>8339654.8499999996</v>
      </c>
      <c r="I1798" s="131">
        <v>8210010020</v>
      </c>
      <c r="J1798" s="131" t="str">
        <f t="shared" si="117"/>
        <v>8210010020</v>
      </c>
      <c r="K1798" s="304" t="str">
        <f t="shared" si="116"/>
        <v>61901048210010020129</v>
      </c>
      <c r="L1798" s="17"/>
      <c r="M1798" s="16"/>
    </row>
    <row r="1799" spans="1:13" s="47" customFormat="1" ht="63">
      <c r="A1799" s="14" t="s">
        <v>80</v>
      </c>
      <c r="B1799" s="150" t="s">
        <v>488</v>
      </c>
      <c r="C1799" s="131" t="s">
        <v>795</v>
      </c>
      <c r="D1799" s="131" t="s">
        <v>11</v>
      </c>
      <c r="E1799" s="131" t="s">
        <v>73</v>
      </c>
      <c r="F1799" s="131" t="s">
        <v>802</v>
      </c>
      <c r="G1799" s="131" t="s">
        <v>9</v>
      </c>
      <c r="H1799" s="105">
        <v>1587593.4</v>
      </c>
      <c r="I1799" s="131">
        <v>8210076200</v>
      </c>
      <c r="J1799" s="131" t="str">
        <f t="shared" si="117"/>
        <v>8210076200</v>
      </c>
      <c r="K1799" s="304" t="str">
        <f t="shared" si="116"/>
        <v>61901048210076200000</v>
      </c>
      <c r="L1799" s="17" t="str">
        <f>INDEX('реш СГД № 265'!$A:$N,MATCH('БА расх 2018 31 12 2018'!$K1799,'реш СГД № 265'!$N:$N,0),3)</f>
        <v>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v>
      </c>
      <c r="M1799" s="16">
        <f t="shared" si="118"/>
        <v>1</v>
      </c>
    </row>
    <row r="1800" spans="1:13" s="50" customFormat="1" ht="31.5">
      <c r="A1800" s="49"/>
      <c r="B1800" s="129" t="s">
        <v>20</v>
      </c>
      <c r="C1800" s="131" t="s">
        <v>795</v>
      </c>
      <c r="D1800" s="131" t="s">
        <v>11</v>
      </c>
      <c r="E1800" s="131" t="s">
        <v>73</v>
      </c>
      <c r="F1800" s="131" t="s">
        <v>802</v>
      </c>
      <c r="G1800" s="131" t="s">
        <v>21</v>
      </c>
      <c r="H1800" s="126">
        <v>1568628.94</v>
      </c>
      <c r="I1800" s="131">
        <v>8210076200</v>
      </c>
      <c r="J1800" s="131" t="str">
        <f t="shared" si="117"/>
        <v>8210076200</v>
      </c>
      <c r="K1800" s="304" t="str">
        <f t="shared" si="116"/>
        <v>61901048210076200120</v>
      </c>
      <c r="L1800" s="17" t="str">
        <f>INDEX('реш СГД № 265'!$A:$N,MATCH('БА расх 2018 31 12 2018'!$K1800,'реш СГД № 265'!$N:$N,0),3)</f>
        <v>Расходы на выплаты персоналу государственных (муниципальных) органов</v>
      </c>
      <c r="M1800" s="16">
        <f t="shared" si="118"/>
        <v>1</v>
      </c>
    </row>
    <row r="1801" spans="1:13" s="23" customFormat="1" ht="31.5">
      <c r="A1801" s="21"/>
      <c r="B1801" s="127" t="s">
        <v>40</v>
      </c>
      <c r="C1801" s="131" t="s">
        <v>795</v>
      </c>
      <c r="D1801" s="131" t="s">
        <v>11</v>
      </c>
      <c r="E1801" s="131" t="s">
        <v>73</v>
      </c>
      <c r="F1801" s="131" t="s">
        <v>802</v>
      </c>
      <c r="G1801" s="108" t="s">
        <v>41</v>
      </c>
      <c r="H1801" s="126">
        <v>1157704.01</v>
      </c>
      <c r="I1801" s="131">
        <v>8210076200</v>
      </c>
      <c r="J1801" s="131" t="str">
        <f t="shared" si="117"/>
        <v>8210076200</v>
      </c>
      <c r="K1801" s="304" t="str">
        <f t="shared" si="116"/>
        <v>61901048210076200121</v>
      </c>
      <c r="L1801" s="17"/>
      <c r="M1801" s="16"/>
    </row>
    <row r="1802" spans="1:13" s="23" customFormat="1" ht="31.5">
      <c r="A1802" s="21"/>
      <c r="B1802" s="127" t="s">
        <v>22</v>
      </c>
      <c r="C1802" s="131" t="s">
        <v>795</v>
      </c>
      <c r="D1802" s="131" t="s">
        <v>11</v>
      </c>
      <c r="E1802" s="131" t="s">
        <v>73</v>
      </c>
      <c r="F1802" s="131" t="s">
        <v>802</v>
      </c>
      <c r="G1802" s="108" t="s">
        <v>23</v>
      </c>
      <c r="H1802" s="126">
        <v>51060</v>
      </c>
      <c r="I1802" s="131">
        <v>8210076200</v>
      </c>
      <c r="J1802" s="131" t="str">
        <f t="shared" si="117"/>
        <v>8210076200</v>
      </c>
      <c r="K1802" s="304" t="str">
        <f t="shared" si="116"/>
        <v>61901048210076200122</v>
      </c>
      <c r="L1802" s="17"/>
      <c r="M1802" s="16"/>
    </row>
    <row r="1803" spans="1:13" s="23" customFormat="1" ht="47.25">
      <c r="A1803" s="21"/>
      <c r="B1803" s="127" t="s">
        <v>26</v>
      </c>
      <c r="C1803" s="131" t="s">
        <v>795</v>
      </c>
      <c r="D1803" s="131" t="s">
        <v>11</v>
      </c>
      <c r="E1803" s="131" t="s">
        <v>73</v>
      </c>
      <c r="F1803" s="131" t="s">
        <v>802</v>
      </c>
      <c r="G1803" s="108" t="s">
        <v>27</v>
      </c>
      <c r="H1803" s="126">
        <v>359864.93</v>
      </c>
      <c r="I1803" s="131">
        <v>8210076200</v>
      </c>
      <c r="J1803" s="131" t="str">
        <f t="shared" si="117"/>
        <v>8210076200</v>
      </c>
      <c r="K1803" s="304" t="str">
        <f t="shared" si="116"/>
        <v>61901048210076200129</v>
      </c>
      <c r="L1803" s="17"/>
      <c r="M1803" s="16"/>
    </row>
    <row r="1804" spans="1:13" s="50" customFormat="1" ht="31.5">
      <c r="A1804" s="49"/>
      <c r="B1804" s="125" t="s">
        <v>28</v>
      </c>
      <c r="C1804" s="131" t="s">
        <v>795</v>
      </c>
      <c r="D1804" s="131" t="s">
        <v>11</v>
      </c>
      <c r="E1804" s="131" t="s">
        <v>73</v>
      </c>
      <c r="F1804" s="131" t="s">
        <v>802</v>
      </c>
      <c r="G1804" s="131" t="s">
        <v>29</v>
      </c>
      <c r="H1804" s="126">
        <v>18964.46</v>
      </c>
      <c r="I1804" s="131">
        <v>8210076200</v>
      </c>
      <c r="J1804" s="131" t="str">
        <f t="shared" si="117"/>
        <v>8210076200</v>
      </c>
      <c r="K1804" s="304" t="str">
        <f t="shared" si="116"/>
        <v>61901048210076200240</v>
      </c>
      <c r="L1804" s="17" t="str">
        <f>INDEX('реш СГД № 265'!$A:$N,MATCH('БА расх 2018 31 12 2018'!$K1804,'реш СГД № 265'!$N:$N,0),3)</f>
        <v>Иные закупки товаров, работ и услуг для обеспечения государственных (муниципальных) нужд</v>
      </c>
      <c r="M1804" s="16">
        <f t="shared" si="118"/>
        <v>1</v>
      </c>
    </row>
    <row r="1805" spans="1:13" s="50" customFormat="1" ht="15.75">
      <c r="A1805" s="49"/>
      <c r="B1805" s="125" t="s">
        <v>30</v>
      </c>
      <c r="C1805" s="131" t="s">
        <v>795</v>
      </c>
      <c r="D1805" s="131" t="s">
        <v>11</v>
      </c>
      <c r="E1805" s="131" t="s">
        <v>73</v>
      </c>
      <c r="F1805" s="131" t="s">
        <v>802</v>
      </c>
      <c r="G1805" s="131" t="s">
        <v>31</v>
      </c>
      <c r="H1805" s="126">
        <v>18964.46</v>
      </c>
      <c r="I1805" s="131">
        <v>8210076200</v>
      </c>
      <c r="J1805" s="131" t="str">
        <f t="shared" si="117"/>
        <v>8210076200</v>
      </c>
      <c r="K1805" s="304" t="str">
        <f t="shared" si="116"/>
        <v>61901048210076200244</v>
      </c>
      <c r="L1805" s="17"/>
      <c r="M1805" s="16"/>
    </row>
    <row r="1806" spans="1:13" s="47" customFormat="1" ht="63">
      <c r="A1806" s="14" t="s">
        <v>80</v>
      </c>
      <c r="B1806" s="129" t="s">
        <v>754</v>
      </c>
      <c r="C1806" s="131" t="s">
        <v>795</v>
      </c>
      <c r="D1806" s="131" t="s">
        <v>11</v>
      </c>
      <c r="E1806" s="131" t="s">
        <v>73</v>
      </c>
      <c r="F1806" s="131" t="s">
        <v>803</v>
      </c>
      <c r="G1806" s="131" t="s">
        <v>9</v>
      </c>
      <c r="H1806" s="105">
        <v>70900</v>
      </c>
      <c r="I1806" s="131">
        <v>8210076360</v>
      </c>
      <c r="J1806" s="131" t="str">
        <f t="shared" si="117"/>
        <v>8210076360</v>
      </c>
      <c r="K1806" s="304" t="str">
        <f t="shared" si="116"/>
        <v>61901048210076360000</v>
      </c>
      <c r="L1806" s="17" t="str">
        <f>INDEX('реш СГД № 265'!$A:$N,MATCH('БА расх 2018 31 12 2018'!$K1806,'реш СГД № 265'!$N:$N,0),3)</f>
        <v>Расходы на осуществление переданных государственных полномочий Ставропольского края по созданию и организации деятельности комиссий по делам несовершеннолетних и защите их прав</v>
      </c>
      <c r="M1806" s="16">
        <f t="shared" si="118"/>
        <v>1</v>
      </c>
    </row>
    <row r="1807" spans="1:13" s="50" customFormat="1" ht="31.5">
      <c r="A1807" s="49"/>
      <c r="B1807" s="125" t="s">
        <v>28</v>
      </c>
      <c r="C1807" s="131" t="s">
        <v>795</v>
      </c>
      <c r="D1807" s="131" t="s">
        <v>11</v>
      </c>
      <c r="E1807" s="131" t="s">
        <v>73</v>
      </c>
      <c r="F1807" s="131" t="s">
        <v>803</v>
      </c>
      <c r="G1807" s="131" t="s">
        <v>29</v>
      </c>
      <c r="H1807" s="126">
        <v>70900</v>
      </c>
      <c r="I1807" s="131">
        <v>8210076360</v>
      </c>
      <c r="J1807" s="131" t="str">
        <f t="shared" si="117"/>
        <v>8210076360</v>
      </c>
      <c r="K1807" s="304" t="str">
        <f t="shared" si="116"/>
        <v>61901048210076360240</v>
      </c>
      <c r="L1807" s="17" t="str">
        <f>INDEX('реш СГД № 265'!$A:$N,MATCH('БА расх 2018 31 12 2018'!$K1807,'реш СГД № 265'!$N:$N,0),3)</f>
        <v>Иные закупки товаров, работ и услуг для обеспечения государственных (муниципальных) нужд</v>
      </c>
      <c r="M1807" s="16">
        <f t="shared" si="118"/>
        <v>1</v>
      </c>
    </row>
    <row r="1808" spans="1:13" s="50" customFormat="1" ht="15.75">
      <c r="A1808" s="49"/>
      <c r="B1808" s="125" t="s">
        <v>30</v>
      </c>
      <c r="C1808" s="131" t="s">
        <v>795</v>
      </c>
      <c r="D1808" s="131" t="s">
        <v>11</v>
      </c>
      <c r="E1808" s="131" t="s">
        <v>73</v>
      </c>
      <c r="F1808" s="131" t="s">
        <v>803</v>
      </c>
      <c r="G1808" s="131" t="s">
        <v>31</v>
      </c>
      <c r="H1808" s="126">
        <v>70900</v>
      </c>
      <c r="I1808" s="131">
        <v>8210076360</v>
      </c>
      <c r="J1808" s="131" t="str">
        <f t="shared" si="117"/>
        <v>8210076360</v>
      </c>
      <c r="K1808" s="304" t="str">
        <f t="shared" si="116"/>
        <v>61901048210076360244</v>
      </c>
      <c r="L1808" s="17"/>
      <c r="M1808" s="16"/>
    </row>
    <row r="1809" spans="1:13" s="50" customFormat="1" ht="267.75">
      <c r="A1809" s="49"/>
      <c r="B1809" s="125" t="s">
        <v>2269</v>
      </c>
      <c r="C1809" s="131" t="s">
        <v>795</v>
      </c>
      <c r="D1809" s="131" t="s">
        <v>11</v>
      </c>
      <c r="E1809" s="131" t="s">
        <v>73</v>
      </c>
      <c r="F1809" s="108" t="s">
        <v>1317</v>
      </c>
      <c r="G1809" s="108" t="s">
        <v>9</v>
      </c>
      <c r="H1809" s="126">
        <v>1181925.8500000001</v>
      </c>
      <c r="I1809" s="131">
        <v>8210077460</v>
      </c>
      <c r="J1809" s="131" t="str">
        <f t="shared" si="117"/>
        <v>8210077460</v>
      </c>
      <c r="K1809" s="304" t="str">
        <f t="shared" si="116"/>
        <v>61901048210077460000</v>
      </c>
      <c r="L1809" s="132" t="str">
        <f>INDEX('реш СГД № 265'!$A:$N,MATCH('БА расх 2018 31 12 2018'!$K1809,'реш СГД № 265'!$N:$N,0),3)</f>
        <v>Субсидии на компенсацию расходов по повышению заработной платы муниципальных служащих муниципальной службы и лиц, не замещающих должности муниципальной службы и исполняющих обязанности по техническому обеспечению деятельности органов местного самоуправления муниципальных образований, а также работников муниципальных учреждений, за исключением отдельных категорий работников муниципальных учреждений, которым повышение заработной платы осуществляется в соответствии с указами Президента Российской Федерации от 7 мая 2012 года № 597 «О мероприятиях по реализации государственной социальной политики», от 1 июня 2012 года № 761 «О Национальной стратегии действий в интересах детей на 2012 - 2017 годы» и от 28 декабря 2012 года № 1688 «О некоторых мерах по реализации государственной политики в сфере защиты детей-сирот и детей, оставшихся без попечения родителей»</v>
      </c>
      <c r="M1809" s="17">
        <f t="shared" si="118"/>
        <v>1</v>
      </c>
    </row>
    <row r="1810" spans="1:13" s="50" customFormat="1" ht="31.5">
      <c r="A1810" s="49"/>
      <c r="B1810" s="127" t="s">
        <v>20</v>
      </c>
      <c r="C1810" s="131" t="s">
        <v>795</v>
      </c>
      <c r="D1810" s="131" t="s">
        <v>11</v>
      </c>
      <c r="E1810" s="131" t="s">
        <v>73</v>
      </c>
      <c r="F1810" s="108" t="s">
        <v>1317</v>
      </c>
      <c r="G1810" s="108" t="s">
        <v>21</v>
      </c>
      <c r="H1810" s="126">
        <v>1181925.8500000001</v>
      </c>
      <c r="I1810" s="131">
        <v>8210077460</v>
      </c>
      <c r="J1810" s="131" t="str">
        <f t="shared" si="117"/>
        <v>8210077460</v>
      </c>
      <c r="K1810" s="304" t="str">
        <f t="shared" si="116"/>
        <v>61901048210077460120</v>
      </c>
      <c r="L1810" s="17" t="str">
        <f>INDEX('реш СГД № 265'!$A:$N,MATCH('БА расх 2018 31 12 2018'!$K1810,'реш СГД № 265'!$N:$N,0),3)</f>
        <v>Расходы на выплаты персоналу государственных (муниципальных) органов</v>
      </c>
      <c r="M1810" s="16">
        <f t="shared" si="118"/>
        <v>1</v>
      </c>
    </row>
    <row r="1811" spans="1:13" s="50" customFormat="1" ht="31.5">
      <c r="A1811" s="49"/>
      <c r="B1811" s="127" t="s">
        <v>40</v>
      </c>
      <c r="C1811" s="131" t="s">
        <v>795</v>
      </c>
      <c r="D1811" s="131" t="s">
        <v>11</v>
      </c>
      <c r="E1811" s="131" t="s">
        <v>73</v>
      </c>
      <c r="F1811" s="108" t="s">
        <v>1317</v>
      </c>
      <c r="G1811" s="108" t="s">
        <v>41</v>
      </c>
      <c r="H1811" s="126">
        <v>907777.15</v>
      </c>
      <c r="I1811" s="131">
        <v>8210077460</v>
      </c>
      <c r="J1811" s="131" t="str">
        <f t="shared" si="117"/>
        <v>8210077460</v>
      </c>
      <c r="K1811" s="304" t="str">
        <f t="shared" si="116"/>
        <v>61901048210077460121</v>
      </c>
      <c r="L1811" s="17"/>
      <c r="M1811" s="16"/>
    </row>
    <row r="1812" spans="1:13" s="50" customFormat="1" ht="47.25">
      <c r="A1812" s="49"/>
      <c r="B1812" s="127" t="s">
        <v>26</v>
      </c>
      <c r="C1812" s="131" t="s">
        <v>795</v>
      </c>
      <c r="D1812" s="131" t="s">
        <v>11</v>
      </c>
      <c r="E1812" s="131" t="s">
        <v>73</v>
      </c>
      <c r="F1812" s="108" t="s">
        <v>1317</v>
      </c>
      <c r="G1812" s="108" t="s">
        <v>27</v>
      </c>
      <c r="H1812" s="126">
        <v>274148.7</v>
      </c>
      <c r="I1812" s="131">
        <v>8210077460</v>
      </c>
      <c r="J1812" s="131" t="str">
        <f t="shared" si="117"/>
        <v>8210077460</v>
      </c>
      <c r="K1812" s="304" t="str">
        <f t="shared" si="116"/>
        <v>61901048210077460129</v>
      </c>
      <c r="L1812" s="17"/>
      <c r="M1812" s="16"/>
    </row>
    <row r="1813" spans="1:13" s="50" customFormat="1" ht="236.25">
      <c r="A1813" s="49"/>
      <c r="B1813" s="164" t="s">
        <v>2247</v>
      </c>
      <c r="C1813" s="131" t="s">
        <v>795</v>
      </c>
      <c r="D1813" s="131" t="s">
        <v>11</v>
      </c>
      <c r="E1813" s="131" t="s">
        <v>73</v>
      </c>
      <c r="F1813" s="108" t="s">
        <v>2291</v>
      </c>
      <c r="G1813" s="108" t="s">
        <v>9</v>
      </c>
      <c r="H1813" s="126">
        <v>61527.31</v>
      </c>
      <c r="I1813" s="131">
        <v>8210077580</v>
      </c>
      <c r="J1813" s="108" t="str">
        <f t="shared" si="117"/>
        <v>8210077580</v>
      </c>
      <c r="K1813" s="304" t="str">
        <f t="shared" si="116"/>
        <v>61901048210077580000</v>
      </c>
      <c r="L1813" s="17"/>
      <c r="M1813" s="16"/>
    </row>
    <row r="1814" spans="1:13" s="50" customFormat="1" ht="31.5">
      <c r="A1814" s="49"/>
      <c r="B1814" s="127" t="s">
        <v>20</v>
      </c>
      <c r="C1814" s="131" t="s">
        <v>795</v>
      </c>
      <c r="D1814" s="131" t="s">
        <v>11</v>
      </c>
      <c r="E1814" s="131" t="s">
        <v>73</v>
      </c>
      <c r="F1814" s="108" t="s">
        <v>2291</v>
      </c>
      <c r="G1814" s="108" t="s">
        <v>21</v>
      </c>
      <c r="H1814" s="126">
        <v>61527.31</v>
      </c>
      <c r="I1814" s="131">
        <v>8210077580</v>
      </c>
      <c r="J1814" s="108" t="str">
        <f t="shared" si="117"/>
        <v>8210077580</v>
      </c>
      <c r="K1814" s="304" t="str">
        <f t="shared" si="116"/>
        <v>61901048210077580120</v>
      </c>
      <c r="L1814" s="17"/>
      <c r="M1814" s="16"/>
    </row>
    <row r="1815" spans="1:13" s="50" customFormat="1" ht="31.5">
      <c r="A1815" s="49"/>
      <c r="B1815" s="127" t="s">
        <v>40</v>
      </c>
      <c r="C1815" s="131" t="s">
        <v>795</v>
      </c>
      <c r="D1815" s="131" t="s">
        <v>11</v>
      </c>
      <c r="E1815" s="131" t="s">
        <v>73</v>
      </c>
      <c r="F1815" s="108" t="s">
        <v>2291</v>
      </c>
      <c r="G1815" s="108" t="s">
        <v>41</v>
      </c>
      <c r="H1815" s="126">
        <v>47256</v>
      </c>
      <c r="I1815" s="131">
        <v>8210077580</v>
      </c>
      <c r="J1815" s="108" t="str">
        <f t="shared" si="117"/>
        <v>8210077580</v>
      </c>
      <c r="K1815" s="304" t="str">
        <f t="shared" si="116"/>
        <v>61901048210077580121</v>
      </c>
      <c r="L1815" s="17"/>
      <c r="M1815" s="16"/>
    </row>
    <row r="1816" spans="1:13" s="50" customFormat="1" ht="47.25">
      <c r="A1816" s="49"/>
      <c r="B1816" s="127" t="s">
        <v>26</v>
      </c>
      <c r="C1816" s="131" t="s">
        <v>795</v>
      </c>
      <c r="D1816" s="131" t="s">
        <v>11</v>
      </c>
      <c r="E1816" s="131" t="s">
        <v>73</v>
      </c>
      <c r="F1816" s="108" t="s">
        <v>2291</v>
      </c>
      <c r="G1816" s="108" t="s">
        <v>27</v>
      </c>
      <c r="H1816" s="126">
        <v>14271.31</v>
      </c>
      <c r="I1816" s="131">
        <v>8210077580</v>
      </c>
      <c r="J1816" s="108" t="str">
        <f t="shared" si="117"/>
        <v>8210077580</v>
      </c>
      <c r="K1816" s="304" t="str">
        <f t="shared" si="116"/>
        <v>61901048210077580129</v>
      </c>
      <c r="L1816" s="17"/>
      <c r="M1816" s="16"/>
    </row>
    <row r="1817" spans="1:13" s="16" customFormat="1" ht="15.75">
      <c r="A1817" s="14"/>
      <c r="B1817" s="157" t="s">
        <v>50</v>
      </c>
      <c r="C1817" s="122" t="s">
        <v>795</v>
      </c>
      <c r="D1817" s="123" t="s">
        <v>11</v>
      </c>
      <c r="E1817" s="123" t="s">
        <v>51</v>
      </c>
      <c r="F1817" s="123" t="s">
        <v>8</v>
      </c>
      <c r="G1817" s="123" t="s">
        <v>9</v>
      </c>
      <c r="H1817" s="124">
        <v>4842193.7899999991</v>
      </c>
      <c r="I1817" s="123">
        <v>0</v>
      </c>
      <c r="J1817" s="123" t="str">
        <f t="shared" si="117"/>
        <v>0000000000</v>
      </c>
      <c r="K1817" s="304" t="str">
        <f t="shared" si="116"/>
        <v>61901130000000000000</v>
      </c>
      <c r="L1817" s="17" t="str">
        <f>INDEX('реш СГД № 265'!$A:$N,MATCH('БА расх 2018 31 12 2018'!$K1817,'реш СГД № 265'!$N:$N,0),3)</f>
        <v>Другие общегосударственные вопросы</v>
      </c>
      <c r="M1817" s="16">
        <f t="shared" si="118"/>
        <v>1</v>
      </c>
    </row>
    <row r="1818" spans="1:13" s="16" customFormat="1" ht="47.25">
      <c r="A1818" s="14"/>
      <c r="B1818" s="132" t="s">
        <v>257</v>
      </c>
      <c r="C1818" s="108" t="s">
        <v>795</v>
      </c>
      <c r="D1818" s="108" t="s">
        <v>11</v>
      </c>
      <c r="E1818" s="108" t="s">
        <v>51</v>
      </c>
      <c r="F1818" s="108" t="s">
        <v>258</v>
      </c>
      <c r="G1818" s="108" t="s">
        <v>9</v>
      </c>
      <c r="H1818" s="126">
        <v>552704.67000000004</v>
      </c>
      <c r="I1818" s="108">
        <v>1100000000</v>
      </c>
      <c r="J1818" s="108" t="str">
        <f t="shared" si="117"/>
        <v>1100000000</v>
      </c>
      <c r="K1818" s="304" t="str">
        <f t="shared" si="116"/>
        <v>61901131100000000000</v>
      </c>
      <c r="L1818" s="17" t="str">
        <f>INDEX('реш СГД № 265'!$A:$N,MATCH('БА расх 2018 31 12 2018'!$K1818,'реш СГД № 265'!$N:$N,0),3)</f>
        <v>Муниципальная программа  «Управление и распоряжение имуществом, находящимся в муниципальной собственности города Ставрополя, в том числе земельными ресурсами»</v>
      </c>
      <c r="M1818" s="16">
        <f t="shared" si="118"/>
        <v>1</v>
      </c>
    </row>
    <row r="1819" spans="1:13" s="16" customFormat="1" ht="63">
      <c r="A1819" s="14"/>
      <c r="B1819" s="132" t="s">
        <v>259</v>
      </c>
      <c r="C1819" s="108" t="s">
        <v>795</v>
      </c>
      <c r="D1819" s="108" t="s">
        <v>11</v>
      </c>
      <c r="E1819" s="108" t="s">
        <v>51</v>
      </c>
      <c r="F1819" s="108" t="s">
        <v>260</v>
      </c>
      <c r="G1819" s="108" t="s">
        <v>9</v>
      </c>
      <c r="H1819" s="126">
        <v>552704.67000000004</v>
      </c>
      <c r="I1819" s="108" t="s">
        <v>1171</v>
      </c>
      <c r="J1819" s="108" t="str">
        <f t="shared" si="117"/>
        <v>11Б0000000</v>
      </c>
      <c r="K1819" s="304" t="str">
        <f t="shared" si="116"/>
        <v>619011311Б0000000000</v>
      </c>
      <c r="L1819" s="17" t="str">
        <f>INDEX('реш СГД № 265'!$A:$N,MATCH('БА расх 2018 31 12 2018'!$K1819,'реш СГД № 265'!$N:$N,0),3)</f>
        <v>Расходы в рамках реализации муниципальной программы «Управление и распоряжение  имуществом, находящимся в муниципальной собственности города Ставрополя, в том числе земельными ресурсами»</v>
      </c>
      <c r="M1819" s="16">
        <f t="shared" si="118"/>
        <v>1</v>
      </c>
    </row>
    <row r="1820" spans="1:13" s="16" customFormat="1" ht="47.25">
      <c r="A1820" s="14"/>
      <c r="B1820" s="155" t="s">
        <v>261</v>
      </c>
      <c r="C1820" s="108" t="s">
        <v>795</v>
      </c>
      <c r="D1820" s="108" t="s">
        <v>11</v>
      </c>
      <c r="E1820" s="108" t="s">
        <v>51</v>
      </c>
      <c r="F1820" s="108" t="s">
        <v>262</v>
      </c>
      <c r="G1820" s="108" t="s">
        <v>9</v>
      </c>
      <c r="H1820" s="126">
        <v>552704.67000000004</v>
      </c>
      <c r="I1820" s="108" t="s">
        <v>1172</v>
      </c>
      <c r="J1820" s="108" t="str">
        <f t="shared" si="117"/>
        <v>11Б0100000</v>
      </c>
      <c r="K1820" s="304" t="str">
        <f t="shared" si="116"/>
        <v>619011311Б0100000000</v>
      </c>
      <c r="L1820" s="17" t="str">
        <f>INDEX('реш СГД № 265'!$A:$N,MATCH('БА расх 2018 31 12 2018'!$K1820,'реш СГД № 265'!$N:$N,0),3)</f>
        <v>Основное мероприятие «Управление и распоряжение объектами недвижимого имущества, находящимися в муниципальной собственности города Ставрополя»</v>
      </c>
      <c r="M1820" s="16">
        <f t="shared" si="118"/>
        <v>1</v>
      </c>
    </row>
    <row r="1821" spans="1:13" s="16" customFormat="1" ht="31.5">
      <c r="A1821" s="14"/>
      <c r="B1821" s="147" t="s">
        <v>756</v>
      </c>
      <c r="C1821" s="108" t="s">
        <v>795</v>
      </c>
      <c r="D1821" s="108" t="s">
        <v>11</v>
      </c>
      <c r="E1821" s="108" t="s">
        <v>51</v>
      </c>
      <c r="F1821" s="108" t="s">
        <v>757</v>
      </c>
      <c r="G1821" s="108" t="s">
        <v>9</v>
      </c>
      <c r="H1821" s="126">
        <v>476640</v>
      </c>
      <c r="I1821" s="108" t="s">
        <v>1230</v>
      </c>
      <c r="J1821" s="108" t="str">
        <f t="shared" si="117"/>
        <v>11Б0120840</v>
      </c>
      <c r="K1821" s="304" t="str">
        <f t="shared" si="116"/>
        <v>619011311Б0120840000</v>
      </c>
      <c r="L1821" s="17" t="str">
        <f>INDEX('реш СГД № 265'!$A:$N,MATCH('БА расх 2018 31 12 2018'!$K1821,'реш СГД № 265'!$N:$N,0),3)</f>
        <v>Расходы на содержание объектов муниципальной казны города Ставрополя в части жилых помещений</v>
      </c>
      <c r="M1821" s="16">
        <f t="shared" si="118"/>
        <v>1</v>
      </c>
    </row>
    <row r="1822" spans="1:13" s="16" customFormat="1" ht="31.5">
      <c r="A1822" s="14"/>
      <c r="B1822" s="125" t="s">
        <v>28</v>
      </c>
      <c r="C1822" s="108" t="s">
        <v>795</v>
      </c>
      <c r="D1822" s="108" t="s">
        <v>11</v>
      </c>
      <c r="E1822" s="108" t="s">
        <v>51</v>
      </c>
      <c r="F1822" s="108" t="s">
        <v>757</v>
      </c>
      <c r="G1822" s="108" t="s">
        <v>29</v>
      </c>
      <c r="H1822" s="126">
        <v>476640</v>
      </c>
      <c r="I1822" s="108" t="s">
        <v>1230</v>
      </c>
      <c r="J1822" s="108" t="str">
        <f t="shared" si="117"/>
        <v>11Б0120840</v>
      </c>
      <c r="K1822" s="304" t="str">
        <f t="shared" si="116"/>
        <v>619011311Б0120840240</v>
      </c>
      <c r="L1822" s="17" t="str">
        <f>INDEX('реш СГД № 265'!$A:$N,MATCH('БА расх 2018 31 12 2018'!$K1822,'реш СГД № 265'!$N:$N,0),3)</f>
        <v>Иные закупки товаров, работ и услуг для обеспечения государственных (муниципальных) нужд</v>
      </c>
      <c r="M1822" s="16">
        <f t="shared" si="118"/>
        <v>1</v>
      </c>
    </row>
    <row r="1823" spans="1:13" s="16" customFormat="1" ht="15.75">
      <c r="A1823" s="14"/>
      <c r="B1823" s="125" t="s">
        <v>30</v>
      </c>
      <c r="C1823" s="108" t="s">
        <v>795</v>
      </c>
      <c r="D1823" s="108" t="s">
        <v>11</v>
      </c>
      <c r="E1823" s="108" t="s">
        <v>51</v>
      </c>
      <c r="F1823" s="108" t="s">
        <v>757</v>
      </c>
      <c r="G1823" s="108" t="s">
        <v>31</v>
      </c>
      <c r="H1823" s="126">
        <v>476640</v>
      </c>
      <c r="I1823" s="108" t="s">
        <v>1230</v>
      </c>
      <c r="J1823" s="108" t="str">
        <f t="shared" si="117"/>
        <v>11Б0120840</v>
      </c>
      <c r="K1823" s="304" t="str">
        <f t="shared" si="116"/>
        <v>619011311Б0120840244</v>
      </c>
      <c r="L1823" s="17"/>
    </row>
    <row r="1824" spans="1:13" s="16" customFormat="1" ht="31.5">
      <c r="A1824" s="14"/>
      <c r="B1824" s="125" t="s">
        <v>267</v>
      </c>
      <c r="C1824" s="108" t="s">
        <v>795</v>
      </c>
      <c r="D1824" s="131" t="s">
        <v>11</v>
      </c>
      <c r="E1824" s="131" t="s">
        <v>51</v>
      </c>
      <c r="F1824" s="14" t="s">
        <v>268</v>
      </c>
      <c r="G1824" s="108" t="s">
        <v>9</v>
      </c>
      <c r="H1824" s="126">
        <v>76064.67</v>
      </c>
      <c r="I1824" s="14" t="s">
        <v>1175</v>
      </c>
      <c r="J1824" s="14" t="str">
        <f t="shared" si="117"/>
        <v>11Б0121120</v>
      </c>
      <c r="K1824" s="304" t="str">
        <f t="shared" si="116"/>
        <v>619011311Б0121120000</v>
      </c>
      <c r="L1824" s="17" t="str">
        <f>INDEX('реш СГД № 265'!$A:$N,MATCH('БА расх 2018 31 12 2018'!$K1824,'реш СГД № 265'!$N:$N,0),3)</f>
        <v>Расходы на уплату взносов на капитальный ремонт общего имущества в многоквартирных домах</v>
      </c>
      <c r="M1824" s="16">
        <f t="shared" si="118"/>
        <v>1</v>
      </c>
    </row>
    <row r="1825" spans="1:13" s="16" customFormat="1" ht="31.5">
      <c r="A1825" s="14"/>
      <c r="B1825" s="125" t="s">
        <v>28</v>
      </c>
      <c r="C1825" s="108" t="s">
        <v>795</v>
      </c>
      <c r="D1825" s="131" t="s">
        <v>11</v>
      </c>
      <c r="E1825" s="131" t="s">
        <v>51</v>
      </c>
      <c r="F1825" s="14" t="s">
        <v>268</v>
      </c>
      <c r="G1825" s="108" t="s">
        <v>29</v>
      </c>
      <c r="H1825" s="126">
        <v>76064.67</v>
      </c>
      <c r="I1825" s="14" t="s">
        <v>1175</v>
      </c>
      <c r="J1825" s="14" t="str">
        <f t="shared" si="117"/>
        <v>11Б0121120</v>
      </c>
      <c r="K1825" s="304" t="str">
        <f t="shared" si="116"/>
        <v>619011311Б0121120240</v>
      </c>
      <c r="L1825" s="17" t="str">
        <f>INDEX('реш СГД № 265'!$A:$N,MATCH('БА расх 2018 31 12 2018'!$K1825,'реш СГД № 265'!$N:$N,0),3)</f>
        <v>Иные закупки товаров, работ и услуг для обеспечения государственных (муниципальных) нужд</v>
      </c>
      <c r="M1825" s="16">
        <f t="shared" si="118"/>
        <v>1</v>
      </c>
    </row>
    <row r="1826" spans="1:13" s="16" customFormat="1" ht="15.75">
      <c r="A1826" s="14"/>
      <c r="B1826" s="125" t="s">
        <v>30</v>
      </c>
      <c r="C1826" s="108" t="s">
        <v>795</v>
      </c>
      <c r="D1826" s="131" t="s">
        <v>11</v>
      </c>
      <c r="E1826" s="131" t="s">
        <v>51</v>
      </c>
      <c r="F1826" s="14" t="s">
        <v>268</v>
      </c>
      <c r="G1826" s="108" t="s">
        <v>31</v>
      </c>
      <c r="H1826" s="126">
        <v>76064.67</v>
      </c>
      <c r="I1826" s="14" t="s">
        <v>1175</v>
      </c>
      <c r="J1826" s="14" t="str">
        <f t="shared" si="117"/>
        <v>11Б0121120</v>
      </c>
      <c r="K1826" s="304" t="str">
        <f t="shared" si="116"/>
        <v>619011311Б0121120244</v>
      </c>
      <c r="L1826" s="17"/>
    </row>
    <row r="1827" spans="1:13" s="16" customFormat="1" ht="31.5">
      <c r="A1827" s="14"/>
      <c r="B1827" s="125" t="s">
        <v>796</v>
      </c>
      <c r="C1827" s="108" t="s">
        <v>795</v>
      </c>
      <c r="D1827" s="108" t="s">
        <v>11</v>
      </c>
      <c r="E1827" s="131" t="s">
        <v>51</v>
      </c>
      <c r="F1827" s="108" t="s">
        <v>797</v>
      </c>
      <c r="G1827" s="108" t="s">
        <v>9</v>
      </c>
      <c r="H1827" s="126">
        <v>927509.14999999991</v>
      </c>
      <c r="I1827" s="108">
        <v>8200000000</v>
      </c>
      <c r="J1827" s="108" t="str">
        <f t="shared" si="117"/>
        <v>8200000000</v>
      </c>
      <c r="K1827" s="304" t="str">
        <f t="shared" si="116"/>
        <v>61901138200000000000</v>
      </c>
      <c r="L1827" s="17" t="str">
        <f>INDEX('реш СГД № 265'!$A:$N,MATCH('БА расх 2018 31 12 2018'!$K1827,'реш СГД № 265'!$N:$N,0),3)</f>
        <v>Обеспечение деятельности администрации Промышленного района города Ставрополя</v>
      </c>
      <c r="M1827" s="16">
        <f t="shared" si="118"/>
        <v>1</v>
      </c>
    </row>
    <row r="1828" spans="1:13" s="16" customFormat="1" ht="31.5">
      <c r="A1828" s="14"/>
      <c r="B1828" s="125" t="s">
        <v>798</v>
      </c>
      <c r="C1828" s="108" t="s">
        <v>795</v>
      </c>
      <c r="D1828" s="108" t="s">
        <v>11</v>
      </c>
      <c r="E1828" s="131" t="s">
        <v>51</v>
      </c>
      <c r="F1828" s="108" t="s">
        <v>799</v>
      </c>
      <c r="G1828" s="108" t="s">
        <v>9</v>
      </c>
      <c r="H1828" s="126">
        <v>927509.14999999991</v>
      </c>
      <c r="I1828" s="108">
        <v>8210000000</v>
      </c>
      <c r="J1828" s="108" t="str">
        <f t="shared" si="117"/>
        <v>8210000000</v>
      </c>
      <c r="K1828" s="304" t="str">
        <f t="shared" si="116"/>
        <v>61901138210000000000</v>
      </c>
      <c r="L1828" s="17" t="str">
        <f>INDEX('реш СГД № 265'!$A:$N,MATCH('БА расх 2018 31 12 2018'!$K1828,'реш СГД № 265'!$N:$N,0),3)</f>
        <v>Непрограммные расходы в рамках обеспечения деятельности администрации Промышленного района города Ставрополя</v>
      </c>
      <c r="M1828" s="16">
        <f t="shared" si="118"/>
        <v>1</v>
      </c>
    </row>
    <row r="1829" spans="1:13" s="16" customFormat="1" ht="31.5">
      <c r="A1829" s="14"/>
      <c r="B1829" s="125" t="s">
        <v>355</v>
      </c>
      <c r="C1829" s="108" t="s">
        <v>795</v>
      </c>
      <c r="D1829" s="108" t="s">
        <v>11</v>
      </c>
      <c r="E1829" s="108" t="s">
        <v>51</v>
      </c>
      <c r="F1829" s="131" t="s">
        <v>1889</v>
      </c>
      <c r="G1829" s="131" t="s">
        <v>9</v>
      </c>
      <c r="H1829" s="126">
        <v>319836.3</v>
      </c>
      <c r="I1829" s="108">
        <v>8210010050</v>
      </c>
      <c r="J1829" s="108" t="str">
        <f t="shared" si="117"/>
        <v>8210010050</v>
      </c>
      <c r="K1829" s="304" t="str">
        <f t="shared" si="116"/>
        <v>61901138210010050000</v>
      </c>
      <c r="L1829" s="400" t="e">
        <f>INDEX('реш СГД № 265'!$A:$N,MATCH('БА расх 2018 31 12 2018'!$K1829,'реш СГД № 265'!$N:$N,0),3)</f>
        <v>#N/A</v>
      </c>
      <c r="M1829" s="17" t="e">
        <f t="shared" si="118"/>
        <v>#N/A</v>
      </c>
    </row>
    <row r="1830" spans="1:13" s="16" customFormat="1" ht="31.5">
      <c r="A1830" s="14"/>
      <c r="B1830" s="127" t="s">
        <v>20</v>
      </c>
      <c r="C1830" s="108" t="s">
        <v>795</v>
      </c>
      <c r="D1830" s="108" t="s">
        <v>11</v>
      </c>
      <c r="E1830" s="108" t="s">
        <v>51</v>
      </c>
      <c r="F1830" s="131" t="s">
        <v>1889</v>
      </c>
      <c r="G1830" s="305" t="s">
        <v>21</v>
      </c>
      <c r="H1830" s="126">
        <v>319836.3</v>
      </c>
      <c r="I1830" s="108">
        <v>8210010050</v>
      </c>
      <c r="J1830" s="108" t="str">
        <f t="shared" si="117"/>
        <v>8210010050</v>
      </c>
      <c r="K1830" s="304" t="str">
        <f t="shared" si="116"/>
        <v>61901138210010050120</v>
      </c>
      <c r="L1830" s="400" t="e">
        <f>INDEX('реш СГД № 265'!$A:$N,MATCH('БА расх 2018 31 12 2018'!$K1830,'реш СГД № 265'!$N:$N,0),3)</f>
        <v>#N/A</v>
      </c>
      <c r="M1830" s="17" t="e">
        <f t="shared" si="118"/>
        <v>#N/A</v>
      </c>
    </row>
    <row r="1831" spans="1:13" s="16" customFormat="1" ht="31.5">
      <c r="A1831" s="14"/>
      <c r="B1831" s="127" t="s">
        <v>40</v>
      </c>
      <c r="C1831" s="108" t="s">
        <v>795</v>
      </c>
      <c r="D1831" s="108" t="s">
        <v>11</v>
      </c>
      <c r="E1831" s="108" t="s">
        <v>51</v>
      </c>
      <c r="F1831" s="131" t="s">
        <v>1889</v>
      </c>
      <c r="G1831" s="305" t="s">
        <v>41</v>
      </c>
      <c r="H1831" s="126">
        <v>245650</v>
      </c>
      <c r="I1831" s="108">
        <v>8210010050</v>
      </c>
      <c r="J1831" s="108" t="str">
        <f t="shared" si="117"/>
        <v>8210010050</v>
      </c>
      <c r="K1831" s="304" t="str">
        <f t="shared" si="116"/>
        <v>61901138210010050121</v>
      </c>
      <c r="L1831" s="17"/>
    </row>
    <row r="1832" spans="1:13" s="16" customFormat="1" ht="47.25">
      <c r="A1832" s="14"/>
      <c r="B1832" s="127" t="s">
        <v>26</v>
      </c>
      <c r="C1832" s="108" t="s">
        <v>795</v>
      </c>
      <c r="D1832" s="108" t="s">
        <v>11</v>
      </c>
      <c r="E1832" s="108" t="s">
        <v>51</v>
      </c>
      <c r="F1832" s="131" t="s">
        <v>1889</v>
      </c>
      <c r="G1832" s="305" t="s">
        <v>27</v>
      </c>
      <c r="H1832" s="126">
        <v>74186.3</v>
      </c>
      <c r="I1832" s="108">
        <v>8210010050</v>
      </c>
      <c r="J1832" s="108" t="str">
        <f t="shared" si="117"/>
        <v>8210010050</v>
      </c>
      <c r="K1832" s="304" t="str">
        <f t="shared" si="116"/>
        <v>61901138210010050129</v>
      </c>
      <c r="L1832" s="17"/>
    </row>
    <row r="1833" spans="1:13" s="16" customFormat="1" ht="31.5">
      <c r="A1833" s="14"/>
      <c r="B1833" s="125" t="s">
        <v>187</v>
      </c>
      <c r="C1833" s="108" t="s">
        <v>795</v>
      </c>
      <c r="D1833" s="131" t="s">
        <v>11</v>
      </c>
      <c r="E1833" s="131" t="s">
        <v>51</v>
      </c>
      <c r="F1833" s="131" t="s">
        <v>1140</v>
      </c>
      <c r="G1833" s="108" t="s">
        <v>9</v>
      </c>
      <c r="H1833" s="126">
        <v>607672.85</v>
      </c>
      <c r="I1833" s="131">
        <v>8210020050</v>
      </c>
      <c r="J1833" s="131" t="str">
        <f t="shared" si="117"/>
        <v>8210020050</v>
      </c>
      <c r="K1833" s="304" t="str">
        <f t="shared" si="116"/>
        <v>61901138210020050000</v>
      </c>
      <c r="L1833" s="17" t="str">
        <f>INDEX('реш СГД № 265'!$A:$N,MATCH('БА расх 2018 31 12 2018'!$K1833,'реш СГД № 265'!$N:$N,0),3)</f>
        <v>Расходы на выплаты на основании исполнительных листов судебных органов</v>
      </c>
      <c r="M1833" s="16">
        <f t="shared" si="118"/>
        <v>1</v>
      </c>
    </row>
    <row r="1834" spans="1:13" s="16" customFormat="1" ht="15.75">
      <c r="A1834" s="14"/>
      <c r="B1834" s="125" t="s">
        <v>189</v>
      </c>
      <c r="C1834" s="108" t="s">
        <v>795</v>
      </c>
      <c r="D1834" s="131" t="s">
        <v>11</v>
      </c>
      <c r="E1834" s="131" t="s">
        <v>51</v>
      </c>
      <c r="F1834" s="131" t="s">
        <v>1140</v>
      </c>
      <c r="G1834" s="108" t="s">
        <v>190</v>
      </c>
      <c r="H1834" s="126">
        <v>607672.85</v>
      </c>
      <c r="I1834" s="131">
        <v>8210020050</v>
      </c>
      <c r="J1834" s="131" t="str">
        <f t="shared" si="117"/>
        <v>8210020050</v>
      </c>
      <c r="K1834" s="304" t="str">
        <f t="shared" si="116"/>
        <v>61901138210020050830</v>
      </c>
      <c r="L1834" s="17" t="str">
        <f>INDEX('реш СГД № 265'!$A:$N,MATCH('БА расх 2018 31 12 2018'!$K1834,'реш СГД № 265'!$N:$N,0),3)</f>
        <v>Исполнение судебных актов</v>
      </c>
      <c r="M1834" s="16">
        <f t="shared" si="118"/>
        <v>1</v>
      </c>
    </row>
    <row r="1835" spans="1:13" s="16" customFormat="1" ht="31.5">
      <c r="A1835" s="14"/>
      <c r="B1835" s="125" t="s">
        <v>191</v>
      </c>
      <c r="C1835" s="108" t="s">
        <v>795</v>
      </c>
      <c r="D1835" s="131" t="s">
        <v>11</v>
      </c>
      <c r="E1835" s="131" t="s">
        <v>51</v>
      </c>
      <c r="F1835" s="131" t="s">
        <v>1140</v>
      </c>
      <c r="G1835" s="108" t="s">
        <v>192</v>
      </c>
      <c r="H1835" s="126">
        <v>607672.85</v>
      </c>
      <c r="I1835" s="131">
        <v>8210020050</v>
      </c>
      <c r="J1835" s="131" t="str">
        <f t="shared" si="117"/>
        <v>8210020050</v>
      </c>
      <c r="K1835" s="304" t="str">
        <f t="shared" si="116"/>
        <v>61901138210020050831</v>
      </c>
      <c r="L1835" s="17"/>
    </row>
    <row r="1836" spans="1:13" s="16" customFormat="1" ht="47.25">
      <c r="A1836" s="14"/>
      <c r="B1836" s="127" t="s">
        <v>87</v>
      </c>
      <c r="C1836" s="108" t="s">
        <v>795</v>
      </c>
      <c r="D1836" s="108" t="s">
        <v>11</v>
      </c>
      <c r="E1836" s="108" t="s">
        <v>51</v>
      </c>
      <c r="F1836" s="14" t="s">
        <v>88</v>
      </c>
      <c r="G1836" s="108" t="s">
        <v>9</v>
      </c>
      <c r="H1836" s="126">
        <v>3361979.9699999997</v>
      </c>
      <c r="I1836" s="14">
        <v>9800000000</v>
      </c>
      <c r="J1836" s="14" t="str">
        <f t="shared" si="117"/>
        <v>9800000000</v>
      </c>
      <c r="K1836" s="304" t="str">
        <f t="shared" si="116"/>
        <v>61901139800000000000</v>
      </c>
      <c r="L1836" s="17" t="str">
        <f>INDEX('реш СГД № 265'!$A:$N,MATCH('БА расх 2018 31 12 2018'!$K1836,'реш СГД № 265'!$N:$N,0),3)</f>
        <v>Реализация иных функций Ставропольской городской Думы, администрации города Ставрополя, ее отраслевых (функциональных) и территориальных органов</v>
      </c>
      <c r="M1836" s="16">
        <f t="shared" si="118"/>
        <v>1</v>
      </c>
    </row>
    <row r="1837" spans="1:13" s="16" customFormat="1" ht="15.75">
      <c r="A1837" s="14"/>
      <c r="B1837" s="127" t="s">
        <v>89</v>
      </c>
      <c r="C1837" s="108" t="s">
        <v>795</v>
      </c>
      <c r="D1837" s="108" t="s">
        <v>11</v>
      </c>
      <c r="E1837" s="108" t="s">
        <v>51</v>
      </c>
      <c r="F1837" s="14" t="s">
        <v>90</v>
      </c>
      <c r="G1837" s="108" t="s">
        <v>9</v>
      </c>
      <c r="H1837" s="126">
        <v>3361979.9699999997</v>
      </c>
      <c r="I1837" s="14">
        <v>9810000000</v>
      </c>
      <c r="J1837" s="14" t="str">
        <f t="shared" si="117"/>
        <v>9810000000</v>
      </c>
      <c r="K1837" s="304" t="str">
        <f t="shared" si="116"/>
        <v>61901139810000000000</v>
      </c>
      <c r="L1837" s="17" t="str">
        <f>INDEX('реш СГД № 265'!$A:$N,MATCH('БА расх 2018 31 12 2018'!$K1837,'реш СГД № 265'!$N:$N,0),3)</f>
        <v>Иные непрограммные мероприятия</v>
      </c>
      <c r="M1837" s="16">
        <f t="shared" si="118"/>
        <v>1</v>
      </c>
    </row>
    <row r="1838" spans="1:13" s="16" customFormat="1" ht="63">
      <c r="A1838" s="14"/>
      <c r="B1838" s="127" t="s">
        <v>758</v>
      </c>
      <c r="C1838" s="108" t="s">
        <v>795</v>
      </c>
      <c r="D1838" s="108" t="s">
        <v>11</v>
      </c>
      <c r="E1838" s="108" t="s">
        <v>51</v>
      </c>
      <c r="F1838" s="14" t="s">
        <v>759</v>
      </c>
      <c r="G1838" s="108" t="s">
        <v>9</v>
      </c>
      <c r="H1838" s="126">
        <v>701979.97</v>
      </c>
      <c r="I1838" s="14">
        <v>9810021020</v>
      </c>
      <c r="J1838" s="14" t="str">
        <f t="shared" si="117"/>
        <v>9810021020</v>
      </c>
      <c r="K1838" s="304" t="str">
        <f t="shared" si="116"/>
        <v>61901139810021020000</v>
      </c>
      <c r="L1838" s="17" t="str">
        <f>INDEX('реш СГД № 265'!$A:$N,MATCH('БА расх 2018 31 12 2018'!$K1838,'реш СГД № 265'!$N:$N,0),3)</f>
        <v>Расходы на проведение ремонтных работ в помещениях для размещения участковых избирательных комиссий и для голосования, находящихся в муниципальной собственности города Ставрополя</v>
      </c>
      <c r="M1838" s="16">
        <f t="shared" si="118"/>
        <v>1</v>
      </c>
    </row>
    <row r="1839" spans="1:13" s="16" customFormat="1" ht="31.5">
      <c r="A1839" s="14"/>
      <c r="B1839" s="125" t="s">
        <v>28</v>
      </c>
      <c r="C1839" s="108" t="s">
        <v>795</v>
      </c>
      <c r="D1839" s="108" t="s">
        <v>11</v>
      </c>
      <c r="E1839" s="108" t="s">
        <v>51</v>
      </c>
      <c r="F1839" s="14" t="s">
        <v>759</v>
      </c>
      <c r="G1839" s="131" t="s">
        <v>29</v>
      </c>
      <c r="H1839" s="126">
        <v>701979.97</v>
      </c>
      <c r="I1839" s="14">
        <v>9810021020</v>
      </c>
      <c r="J1839" s="14" t="str">
        <f t="shared" si="117"/>
        <v>9810021020</v>
      </c>
      <c r="K1839" s="304" t="str">
        <f t="shared" si="116"/>
        <v>61901139810021020240</v>
      </c>
      <c r="L1839" s="17" t="str">
        <f>INDEX('реш СГД № 265'!$A:$N,MATCH('БА расх 2018 31 12 2018'!$K1839,'реш СГД № 265'!$N:$N,0),3)</f>
        <v>Иные закупки товаров, работ и услуг для обеспечения государственных (муниципальных) нужд</v>
      </c>
      <c r="M1839" s="16">
        <f t="shared" si="118"/>
        <v>1</v>
      </c>
    </row>
    <row r="1840" spans="1:13" s="16" customFormat="1" ht="15.75">
      <c r="A1840" s="14"/>
      <c r="B1840" s="125" t="s">
        <v>30</v>
      </c>
      <c r="C1840" s="108" t="s">
        <v>795</v>
      </c>
      <c r="D1840" s="108" t="s">
        <v>11</v>
      </c>
      <c r="E1840" s="108" t="s">
        <v>51</v>
      </c>
      <c r="F1840" s="14" t="s">
        <v>759</v>
      </c>
      <c r="G1840" s="131" t="s">
        <v>31</v>
      </c>
      <c r="H1840" s="126">
        <v>701979.97</v>
      </c>
      <c r="I1840" s="14">
        <v>9810021020</v>
      </c>
      <c r="J1840" s="14" t="str">
        <f t="shared" si="117"/>
        <v>9810021020</v>
      </c>
      <c r="K1840" s="304" t="str">
        <f t="shared" si="116"/>
        <v>61901139810021020244</v>
      </c>
      <c r="L1840" s="17"/>
    </row>
    <row r="1841" spans="1:13" s="16" customFormat="1" ht="31.5">
      <c r="A1841" s="14"/>
      <c r="B1841" s="307" t="s">
        <v>282</v>
      </c>
      <c r="C1841" s="108" t="s">
        <v>795</v>
      </c>
      <c r="D1841" s="108" t="s">
        <v>11</v>
      </c>
      <c r="E1841" s="108" t="s">
        <v>51</v>
      </c>
      <c r="F1841" s="108" t="s">
        <v>283</v>
      </c>
      <c r="G1841" s="108" t="s">
        <v>9</v>
      </c>
      <c r="H1841" s="126">
        <v>2660000</v>
      </c>
      <c r="I1841" s="108">
        <v>9810021350</v>
      </c>
      <c r="J1841" s="108" t="str">
        <f t="shared" si="117"/>
        <v>9810021350</v>
      </c>
      <c r="K1841" s="304" t="str">
        <f t="shared" si="116"/>
        <v>61901139810021350000</v>
      </c>
      <c r="L1841" s="17" t="str">
        <f>INDEX('реш СГД № 265'!$A:$N,MATCH('БА расх 2018 31 12 2018'!$K1841,'реш СГД № 265'!$N:$N,0),3)</f>
        <v>Иные вопросы, связанные с общегосударственным управлением</v>
      </c>
      <c r="M1841" s="16">
        <f t="shared" si="118"/>
        <v>1</v>
      </c>
    </row>
    <row r="1842" spans="1:13" s="16" customFormat="1" ht="31.5">
      <c r="A1842" s="14"/>
      <c r="B1842" s="125" t="s">
        <v>28</v>
      </c>
      <c r="C1842" s="108" t="s">
        <v>795</v>
      </c>
      <c r="D1842" s="108" t="s">
        <v>11</v>
      </c>
      <c r="E1842" s="108" t="s">
        <v>51</v>
      </c>
      <c r="F1842" s="108" t="s">
        <v>283</v>
      </c>
      <c r="G1842" s="131" t="s">
        <v>29</v>
      </c>
      <c r="H1842" s="126">
        <v>2660000</v>
      </c>
      <c r="I1842" s="108">
        <v>9810021350</v>
      </c>
      <c r="J1842" s="108" t="str">
        <f t="shared" si="117"/>
        <v>9810021350</v>
      </c>
      <c r="K1842" s="304" t="str">
        <f t="shared" si="116"/>
        <v>61901139810021350240</v>
      </c>
      <c r="L1842" s="17" t="str">
        <f>INDEX('реш СГД № 265'!$A:$N,MATCH('БА расх 2018 31 12 2018'!$K1842,'реш СГД № 265'!$N:$N,0),3)</f>
        <v>Иные закупки товаров, работ и услуг для обеспечения государственных (муниципальных) нужд</v>
      </c>
      <c r="M1842" s="16">
        <f t="shared" si="118"/>
        <v>1</v>
      </c>
    </row>
    <row r="1843" spans="1:13" s="16" customFormat="1" ht="31.5">
      <c r="A1843" s="14"/>
      <c r="B1843" s="127" t="s">
        <v>772</v>
      </c>
      <c r="C1843" s="108" t="s">
        <v>795</v>
      </c>
      <c r="D1843" s="108" t="s">
        <v>11</v>
      </c>
      <c r="E1843" s="108" t="s">
        <v>51</v>
      </c>
      <c r="F1843" s="108" t="s">
        <v>283</v>
      </c>
      <c r="G1843" s="131" t="s">
        <v>773</v>
      </c>
      <c r="H1843" s="126">
        <v>2660000</v>
      </c>
      <c r="I1843" s="108">
        <v>9810021350</v>
      </c>
      <c r="J1843" s="108" t="str">
        <f t="shared" si="117"/>
        <v>9810021350</v>
      </c>
      <c r="K1843" s="304" t="str">
        <f t="shared" si="116"/>
        <v>61901139810021350243</v>
      </c>
      <c r="L1843" s="17"/>
    </row>
    <row r="1844" spans="1:13" s="16" customFormat="1" ht="15.75">
      <c r="A1844" s="14"/>
      <c r="B1844" s="117" t="s">
        <v>195</v>
      </c>
      <c r="C1844" s="118" t="s">
        <v>795</v>
      </c>
      <c r="D1844" s="119" t="s">
        <v>73</v>
      </c>
      <c r="E1844" s="119" t="s">
        <v>7</v>
      </c>
      <c r="F1844" s="119" t="s">
        <v>8</v>
      </c>
      <c r="G1844" s="119" t="s">
        <v>9</v>
      </c>
      <c r="H1844" s="120">
        <v>121092879.89</v>
      </c>
      <c r="I1844" s="119">
        <v>0</v>
      </c>
      <c r="J1844" s="119" t="str">
        <f t="shared" si="117"/>
        <v>0000000000</v>
      </c>
      <c r="K1844" s="304" t="str">
        <f t="shared" si="116"/>
        <v>61904000000000000000</v>
      </c>
      <c r="L1844" s="17" t="str">
        <f>INDEX('реш СГД № 265'!$A:$N,MATCH('БА расх 2018 31 12 2018'!$K1844,'реш СГД № 265'!$N:$N,0),3)</f>
        <v>Национальная экономика</v>
      </c>
      <c r="M1844" s="16">
        <f t="shared" si="118"/>
        <v>1</v>
      </c>
    </row>
    <row r="1845" spans="1:13" s="16" customFormat="1" ht="15.75">
      <c r="A1845" s="14"/>
      <c r="B1845" s="121" t="s">
        <v>760</v>
      </c>
      <c r="C1845" s="122" t="s">
        <v>795</v>
      </c>
      <c r="D1845" s="123" t="s">
        <v>73</v>
      </c>
      <c r="E1845" s="123" t="s">
        <v>471</v>
      </c>
      <c r="F1845" s="123" t="s">
        <v>8</v>
      </c>
      <c r="G1845" s="123" t="s">
        <v>9</v>
      </c>
      <c r="H1845" s="124">
        <v>121092879.89</v>
      </c>
      <c r="I1845" s="123">
        <v>0</v>
      </c>
      <c r="J1845" s="123" t="str">
        <f t="shared" si="117"/>
        <v>0000000000</v>
      </c>
      <c r="K1845" s="304" t="str">
        <f t="shared" si="116"/>
        <v>61904090000000000000</v>
      </c>
      <c r="L1845" s="17" t="str">
        <f>INDEX('реш СГД № 265'!$A:$N,MATCH('БА расх 2018 31 12 2018'!$K1845,'реш СГД № 265'!$N:$N,0),3)</f>
        <v>Дорожное хозяйство (дорожные фонды)</v>
      </c>
      <c r="M1845" s="16">
        <f t="shared" si="118"/>
        <v>1</v>
      </c>
    </row>
    <row r="1846" spans="1:13" s="16" customFormat="1" ht="63">
      <c r="A1846" s="14"/>
      <c r="B1846" s="127" t="s">
        <v>293</v>
      </c>
      <c r="C1846" s="131" t="s">
        <v>795</v>
      </c>
      <c r="D1846" s="130" t="s">
        <v>73</v>
      </c>
      <c r="E1846" s="130" t="s">
        <v>471</v>
      </c>
      <c r="F1846" s="130" t="s">
        <v>294</v>
      </c>
      <c r="G1846" s="131" t="s">
        <v>9</v>
      </c>
      <c r="H1846" s="105">
        <v>119092879.89</v>
      </c>
      <c r="I1846" s="130">
        <v>400000000</v>
      </c>
      <c r="J1846" s="130" t="str">
        <f t="shared" si="117"/>
        <v>0400000000</v>
      </c>
      <c r="K1846" s="304" t="str">
        <f t="shared" si="116"/>
        <v>61904090400000000000</v>
      </c>
      <c r="L1846" s="17" t="str">
        <f>INDEX('реш СГД № 265'!$A:$N,MATCH('БА расх 2018 31 12 2018'!$K1846,'реш СГД № 265'!$N:$N,0),3)</f>
        <v>Муниципальная программа «Развитие жилищно-коммунального хозяйства, транспортной системы на территории города Ставрополя, благоустройство территории города Ставрополя»</v>
      </c>
      <c r="M1846" s="16">
        <f t="shared" si="118"/>
        <v>1</v>
      </c>
    </row>
    <row r="1847" spans="1:13" s="16" customFormat="1" ht="63">
      <c r="A1847" s="14"/>
      <c r="B1847" s="140" t="s">
        <v>295</v>
      </c>
      <c r="C1847" s="131" t="s">
        <v>795</v>
      </c>
      <c r="D1847" s="130" t="s">
        <v>73</v>
      </c>
      <c r="E1847" s="130" t="s">
        <v>471</v>
      </c>
      <c r="F1847" s="130" t="s">
        <v>296</v>
      </c>
      <c r="G1847" s="130" t="s">
        <v>9</v>
      </c>
      <c r="H1847" s="105">
        <v>119092879.89</v>
      </c>
      <c r="I1847" s="130">
        <v>420000000</v>
      </c>
      <c r="J1847" s="130" t="str">
        <f t="shared" si="117"/>
        <v>0420000000</v>
      </c>
      <c r="K1847" s="304" t="str">
        <f t="shared" si="116"/>
        <v>61904090420000000000</v>
      </c>
      <c r="L1847" s="17" t="str">
        <f>INDEX('реш СГД № 265'!$A:$N,MATCH('БА расх 2018 31 12 2018'!$K1847,'реш СГД № 265'!$N:$N,0),3)</f>
        <v xml:space="preserve">Подпрограмма «Дорожная деятельность и обеспечение безопасности дорожного движения, организация транспортного обслуживания населения на территории города Ставрополя» </v>
      </c>
      <c r="M1847" s="16">
        <f t="shared" si="118"/>
        <v>1</v>
      </c>
    </row>
    <row r="1848" spans="1:13" s="16" customFormat="1" ht="63">
      <c r="A1848" s="14"/>
      <c r="B1848" s="129" t="s">
        <v>297</v>
      </c>
      <c r="C1848" s="131" t="s">
        <v>795</v>
      </c>
      <c r="D1848" s="131" t="s">
        <v>73</v>
      </c>
      <c r="E1848" s="131" t="s">
        <v>471</v>
      </c>
      <c r="F1848" s="131" t="s">
        <v>298</v>
      </c>
      <c r="G1848" s="131" t="s">
        <v>9</v>
      </c>
      <c r="H1848" s="105">
        <v>119092879.89</v>
      </c>
      <c r="I1848" s="131">
        <v>420200000</v>
      </c>
      <c r="J1848" s="131" t="str">
        <f t="shared" si="117"/>
        <v>0420200000</v>
      </c>
      <c r="K1848" s="304" t="str">
        <f t="shared" si="116"/>
        <v>61904090420200000000</v>
      </c>
      <c r="L1848" s="17" t="str">
        <f>INDEX('реш СГД № 265'!$A:$N,MATCH('БА расх 2018 31 12 2018'!$K1848,'реш СГД № 265'!$N:$N,0),3)</f>
        <v>Основное мероприятие «Организация дорожной деятельности в отношении автомобильных дорог общего пользования местного значения в границах города Ставрополя»</v>
      </c>
      <c r="M1848" s="16">
        <f t="shared" si="118"/>
        <v>1</v>
      </c>
    </row>
    <row r="1849" spans="1:13" s="16" customFormat="1" ht="31.5">
      <c r="A1849" s="14"/>
      <c r="B1849" s="143" t="s">
        <v>761</v>
      </c>
      <c r="C1849" s="131" t="s">
        <v>795</v>
      </c>
      <c r="D1849" s="131" t="s">
        <v>73</v>
      </c>
      <c r="E1849" s="131" t="s">
        <v>471</v>
      </c>
      <c r="F1849" s="131" t="s">
        <v>762</v>
      </c>
      <c r="G1849" s="131" t="s">
        <v>9</v>
      </c>
      <c r="H1849" s="105">
        <v>10599528.220000001</v>
      </c>
      <c r="I1849" s="131">
        <v>420220820</v>
      </c>
      <c r="J1849" s="131" t="str">
        <f t="shared" si="117"/>
        <v>0420220820</v>
      </c>
      <c r="K1849" s="304" t="str">
        <f t="shared" si="116"/>
        <v>61904090420220820000</v>
      </c>
      <c r="L1849" s="17" t="str">
        <f>INDEX('реш СГД № 265'!$A:$N,MATCH('БА расх 2018 31 12 2018'!$K1849,'реш СГД № 265'!$N:$N,0),3)</f>
        <v>Расходы на ремонт и содержание внутриквартальных автомобильных дорог общего пользования местного значения</v>
      </c>
      <c r="M1849" s="16">
        <f t="shared" si="118"/>
        <v>1</v>
      </c>
    </row>
    <row r="1850" spans="1:13" s="47" customFormat="1" ht="31.5">
      <c r="A1850" s="46"/>
      <c r="B1850" s="125" t="s">
        <v>28</v>
      </c>
      <c r="C1850" s="131" t="s">
        <v>795</v>
      </c>
      <c r="D1850" s="131" t="s">
        <v>73</v>
      </c>
      <c r="E1850" s="131" t="s">
        <v>471</v>
      </c>
      <c r="F1850" s="131" t="s">
        <v>762</v>
      </c>
      <c r="G1850" s="131" t="s">
        <v>29</v>
      </c>
      <c r="H1850" s="126">
        <v>10599528.220000001</v>
      </c>
      <c r="I1850" s="131">
        <v>420220820</v>
      </c>
      <c r="J1850" s="131" t="str">
        <f t="shared" si="117"/>
        <v>0420220820</v>
      </c>
      <c r="K1850" s="304" t="str">
        <f t="shared" si="116"/>
        <v>61904090420220820240</v>
      </c>
      <c r="L1850" s="17" t="str">
        <f>INDEX('реш СГД № 265'!$A:$N,MATCH('БА расх 2018 31 12 2018'!$K1850,'реш СГД № 265'!$N:$N,0),3)</f>
        <v>Иные закупки товаров, работ и услуг для обеспечения государственных (муниципальных) нужд</v>
      </c>
      <c r="M1850" s="16">
        <f t="shared" si="118"/>
        <v>1</v>
      </c>
    </row>
    <row r="1851" spans="1:13" s="47" customFormat="1" ht="15.75">
      <c r="A1851" s="46"/>
      <c r="B1851" s="125" t="s">
        <v>30</v>
      </c>
      <c r="C1851" s="131" t="s">
        <v>795</v>
      </c>
      <c r="D1851" s="131" t="s">
        <v>73</v>
      </c>
      <c r="E1851" s="131" t="s">
        <v>471</v>
      </c>
      <c r="F1851" s="131" t="s">
        <v>762</v>
      </c>
      <c r="G1851" s="131" t="s">
        <v>31</v>
      </c>
      <c r="H1851" s="126">
        <v>10599528.220000001</v>
      </c>
      <c r="I1851" s="131">
        <v>420220820</v>
      </c>
      <c r="J1851" s="131" t="str">
        <f t="shared" si="117"/>
        <v>0420220820</v>
      </c>
      <c r="K1851" s="304" t="str">
        <f t="shared" si="116"/>
        <v>61904090420220820244</v>
      </c>
      <c r="L1851" s="17"/>
      <c r="M1851" s="16"/>
    </row>
    <row r="1852" spans="1:13" s="16" customFormat="1" ht="31.5">
      <c r="A1852" s="14"/>
      <c r="B1852" s="125" t="s">
        <v>763</v>
      </c>
      <c r="C1852" s="131" t="s">
        <v>795</v>
      </c>
      <c r="D1852" s="131" t="s">
        <v>73</v>
      </c>
      <c r="E1852" s="131" t="s">
        <v>471</v>
      </c>
      <c r="F1852" s="108" t="s">
        <v>764</v>
      </c>
      <c r="G1852" s="131" t="s">
        <v>9</v>
      </c>
      <c r="H1852" s="105">
        <v>97281341.670000002</v>
      </c>
      <c r="I1852" s="108">
        <v>420221090</v>
      </c>
      <c r="J1852" s="108" t="str">
        <f t="shared" ref="J1852:J1917" si="119">TEXT(I1852,"0000000000")</f>
        <v>0420221090</v>
      </c>
      <c r="K1852" s="304" t="str">
        <f t="shared" ref="K1852:K1917" si="120">C1852&amp;D1852&amp;E1852&amp;J1852&amp;G1852</f>
        <v>61904090420221090000</v>
      </c>
      <c r="L1852" s="17" t="str">
        <f>INDEX('реш СГД № 265'!$A:$N,MATCH('БА расх 2018 31 12 2018'!$K1852,'реш СГД № 265'!$N:$N,0),3)</f>
        <v>Расходы на содержание автомобильных дорог общего пользования местного значения</v>
      </c>
      <c r="M1852" s="16">
        <f t="shared" ref="M1852:M1916" si="121">IF(B1852=L1852,1,0)</f>
        <v>1</v>
      </c>
    </row>
    <row r="1853" spans="1:13" s="16" customFormat="1" ht="31.5">
      <c r="A1853" s="14"/>
      <c r="B1853" s="125" t="s">
        <v>28</v>
      </c>
      <c r="C1853" s="131" t="s">
        <v>795</v>
      </c>
      <c r="D1853" s="131" t="s">
        <v>73</v>
      </c>
      <c r="E1853" s="131" t="s">
        <v>471</v>
      </c>
      <c r="F1853" s="108" t="s">
        <v>764</v>
      </c>
      <c r="G1853" s="131" t="s">
        <v>29</v>
      </c>
      <c r="H1853" s="126">
        <v>97281341.670000002</v>
      </c>
      <c r="I1853" s="108">
        <v>420221090</v>
      </c>
      <c r="J1853" s="108" t="str">
        <f t="shared" si="119"/>
        <v>0420221090</v>
      </c>
      <c r="K1853" s="304" t="str">
        <f t="shared" si="120"/>
        <v>61904090420221090240</v>
      </c>
      <c r="L1853" s="17" t="str">
        <f>INDEX('реш СГД № 265'!$A:$N,MATCH('БА расх 2018 31 12 2018'!$K1853,'реш СГД № 265'!$N:$N,0),3)</f>
        <v>Иные закупки товаров, работ и услуг для обеспечения государственных (муниципальных) нужд</v>
      </c>
      <c r="M1853" s="16">
        <f t="shared" si="121"/>
        <v>1</v>
      </c>
    </row>
    <row r="1854" spans="1:13" s="16" customFormat="1" ht="15.75">
      <c r="A1854" s="14"/>
      <c r="B1854" s="125" t="s">
        <v>30</v>
      </c>
      <c r="C1854" s="131" t="s">
        <v>795</v>
      </c>
      <c r="D1854" s="131" t="s">
        <v>73</v>
      </c>
      <c r="E1854" s="131" t="s">
        <v>471</v>
      </c>
      <c r="F1854" s="108" t="s">
        <v>764</v>
      </c>
      <c r="G1854" s="131" t="s">
        <v>31</v>
      </c>
      <c r="H1854" s="126">
        <v>97281341.670000002</v>
      </c>
      <c r="I1854" s="108">
        <v>420221090</v>
      </c>
      <c r="J1854" s="108" t="str">
        <f t="shared" si="119"/>
        <v>0420221090</v>
      </c>
      <c r="K1854" s="304" t="str">
        <f t="shared" si="120"/>
        <v>61904090420221090244</v>
      </c>
      <c r="L1854" s="17"/>
    </row>
    <row r="1855" spans="1:13" s="16" customFormat="1" ht="63">
      <c r="A1855" s="14"/>
      <c r="B1855" s="125" t="s">
        <v>1318</v>
      </c>
      <c r="C1855" s="131" t="s">
        <v>795</v>
      </c>
      <c r="D1855" s="131" t="s">
        <v>73</v>
      </c>
      <c r="E1855" s="131" t="s">
        <v>471</v>
      </c>
      <c r="F1855" s="108" t="s">
        <v>1319</v>
      </c>
      <c r="G1855" s="131" t="s">
        <v>9</v>
      </c>
      <c r="H1855" s="126">
        <v>10862329</v>
      </c>
      <c r="I1855" s="108">
        <v>420276417</v>
      </c>
      <c r="J1855" s="108" t="str">
        <f t="shared" si="119"/>
        <v>0420276417</v>
      </c>
      <c r="K1855" s="304" t="str">
        <f t="shared" si="120"/>
        <v>61904090420276417000</v>
      </c>
      <c r="L1855" s="17" t="str">
        <f>INDEX('реш СГД № 265'!$A:$N,MATCH('БА расх 2018 31 12 2018'!$K1855,'реш СГД № 265'!$N:$N,0),3)</f>
        <v>Расходы  на осуществление функций административного центра Ставропольского края за счет средств краевого бюджета на содержание автомобильных дорог общего пользования местного значения</v>
      </c>
      <c r="M1855" s="16">
        <f t="shared" si="121"/>
        <v>1</v>
      </c>
    </row>
    <row r="1856" spans="1:13" s="16" customFormat="1" ht="31.5">
      <c r="A1856" s="14"/>
      <c r="B1856" s="125" t="s">
        <v>28</v>
      </c>
      <c r="C1856" s="131" t="s">
        <v>795</v>
      </c>
      <c r="D1856" s="131" t="s">
        <v>73</v>
      </c>
      <c r="E1856" s="131" t="s">
        <v>471</v>
      </c>
      <c r="F1856" s="108" t="s">
        <v>1319</v>
      </c>
      <c r="G1856" s="131" t="s">
        <v>29</v>
      </c>
      <c r="H1856" s="126">
        <v>10862329</v>
      </c>
      <c r="I1856" s="108">
        <v>420276417</v>
      </c>
      <c r="J1856" s="108" t="str">
        <f t="shared" si="119"/>
        <v>0420276417</v>
      </c>
      <c r="K1856" s="304" t="str">
        <f t="shared" si="120"/>
        <v>61904090420276417240</v>
      </c>
      <c r="L1856" s="17" t="str">
        <f>INDEX('реш СГД № 265'!$A:$N,MATCH('БА расх 2018 31 12 2018'!$K1856,'реш СГД № 265'!$N:$N,0),3)</f>
        <v>Иные закупки товаров, работ и услуг для обеспечения государственных (муниципальных) нужд</v>
      </c>
      <c r="M1856" s="16">
        <f t="shared" si="121"/>
        <v>1</v>
      </c>
    </row>
    <row r="1857" spans="1:13" s="16" customFormat="1" ht="15.75">
      <c r="A1857" s="14"/>
      <c r="B1857" s="125" t="s">
        <v>30</v>
      </c>
      <c r="C1857" s="131" t="s">
        <v>795</v>
      </c>
      <c r="D1857" s="131" t="s">
        <v>73</v>
      </c>
      <c r="E1857" s="131" t="s">
        <v>471</v>
      </c>
      <c r="F1857" s="108" t="s">
        <v>1319</v>
      </c>
      <c r="G1857" s="131" t="s">
        <v>31</v>
      </c>
      <c r="H1857" s="126">
        <v>10862329</v>
      </c>
      <c r="I1857" s="108">
        <v>420276417</v>
      </c>
      <c r="J1857" s="108" t="str">
        <f t="shared" si="119"/>
        <v>0420276417</v>
      </c>
      <c r="K1857" s="304" t="str">
        <f t="shared" si="120"/>
        <v>61904090420276417244</v>
      </c>
      <c r="L1857" s="17"/>
    </row>
    <row r="1858" spans="1:13" s="16" customFormat="1" ht="130.5" customHeight="1">
      <c r="A1858" s="14"/>
      <c r="B1858" s="125" t="s">
        <v>2388</v>
      </c>
      <c r="C1858" s="108" t="s">
        <v>795</v>
      </c>
      <c r="D1858" s="108" t="s">
        <v>73</v>
      </c>
      <c r="E1858" s="108" t="s">
        <v>471</v>
      </c>
      <c r="F1858" s="108" t="s">
        <v>2387</v>
      </c>
      <c r="G1858" s="108" t="s">
        <v>9</v>
      </c>
      <c r="H1858" s="126">
        <v>349681</v>
      </c>
      <c r="I1858" s="488" t="s">
        <v>2348</v>
      </c>
      <c r="J1858" s="108" t="str">
        <f t="shared" ref="J1858:J1860" si="122">TEXT(I1858,"0000000000")</f>
        <v>04202S6417</v>
      </c>
      <c r="K1858" s="304" t="str">
        <f t="shared" ref="K1858:K1860" si="123">C1858&amp;D1858&amp;E1858&amp;J1858&amp;G1858</f>
        <v>619040904202S6417000</v>
      </c>
      <c r="L1858" s="17" t="e">
        <f>INDEX('реш СГД № 265'!$A:$N,MATCH('БА расх 2018 31 12 2018'!$K1858,'реш СГД № 265'!$N:$N,0),3)</f>
        <v>#N/A</v>
      </c>
    </row>
    <row r="1859" spans="1:13" s="16" customFormat="1" ht="31.5">
      <c r="A1859" s="14"/>
      <c r="B1859" s="125" t="s">
        <v>28</v>
      </c>
      <c r="C1859" s="108" t="s">
        <v>795</v>
      </c>
      <c r="D1859" s="108" t="s">
        <v>73</v>
      </c>
      <c r="E1859" s="108" t="s">
        <v>471</v>
      </c>
      <c r="F1859" s="108" t="s">
        <v>2387</v>
      </c>
      <c r="G1859" s="108" t="s">
        <v>29</v>
      </c>
      <c r="H1859" s="126">
        <v>349681</v>
      </c>
      <c r="I1859" s="487" t="s">
        <v>2348</v>
      </c>
      <c r="J1859" s="108" t="str">
        <f t="shared" si="122"/>
        <v>04202S6417</v>
      </c>
      <c r="K1859" s="304" t="str">
        <f t="shared" si="123"/>
        <v>619040904202S6417240</v>
      </c>
      <c r="L1859" s="17" t="e">
        <f>INDEX('реш СГД № 265'!$A:$N,MATCH('БА расх 2018 31 12 2018'!$K1859,'реш СГД № 265'!$N:$N,0),3)</f>
        <v>#N/A</v>
      </c>
    </row>
    <row r="1860" spans="1:13" s="16" customFormat="1" ht="15.75">
      <c r="A1860" s="14"/>
      <c r="B1860" s="125" t="s">
        <v>30</v>
      </c>
      <c r="C1860" s="108" t="s">
        <v>795</v>
      </c>
      <c r="D1860" s="108" t="s">
        <v>73</v>
      </c>
      <c r="E1860" s="108" t="s">
        <v>471</v>
      </c>
      <c r="F1860" s="108" t="s">
        <v>2387</v>
      </c>
      <c r="G1860" s="108" t="s">
        <v>31</v>
      </c>
      <c r="H1860" s="126">
        <v>349681</v>
      </c>
      <c r="I1860" s="487" t="s">
        <v>2348</v>
      </c>
      <c r="J1860" s="108" t="str">
        <f t="shared" si="122"/>
        <v>04202S6417</v>
      </c>
      <c r="K1860" s="304" t="str">
        <f t="shared" si="123"/>
        <v>619040904202S6417244</v>
      </c>
      <c r="L1860" s="17"/>
    </row>
    <row r="1861" spans="1:13" s="16" customFormat="1" ht="47.25">
      <c r="A1861" s="14"/>
      <c r="B1861" s="140" t="s">
        <v>87</v>
      </c>
      <c r="C1861" s="131" t="s">
        <v>795</v>
      </c>
      <c r="D1861" s="131" t="s">
        <v>73</v>
      </c>
      <c r="E1861" s="131" t="s">
        <v>471</v>
      </c>
      <c r="F1861" s="131" t="s">
        <v>88</v>
      </c>
      <c r="G1861" s="131" t="s">
        <v>9</v>
      </c>
      <c r="H1861" s="105">
        <v>2000000</v>
      </c>
      <c r="I1861" s="131">
        <v>9800000000</v>
      </c>
      <c r="J1861" s="131" t="str">
        <f t="shared" si="119"/>
        <v>9800000000</v>
      </c>
      <c r="K1861" s="304" t="str">
        <f t="shared" si="120"/>
        <v>61904099800000000000</v>
      </c>
      <c r="L1861" s="17" t="str">
        <f>INDEX('реш СГД № 265'!$A:$N,MATCH('БА расх 2018 31 12 2018'!$K1861,'реш СГД № 265'!$N:$N,0),3)</f>
        <v>Реализация иных функций Ставропольской городской Думы, администрации города Ставрополя, ее отраслевых (функциональных) и территориальных органов</v>
      </c>
      <c r="M1861" s="16">
        <f t="shared" si="121"/>
        <v>1</v>
      </c>
    </row>
    <row r="1862" spans="1:13" s="16" customFormat="1" ht="15.75">
      <c r="A1862" s="14"/>
      <c r="B1862" s="140" t="s">
        <v>89</v>
      </c>
      <c r="C1862" s="131" t="s">
        <v>795</v>
      </c>
      <c r="D1862" s="131" t="s">
        <v>73</v>
      </c>
      <c r="E1862" s="131" t="s">
        <v>471</v>
      </c>
      <c r="F1862" s="131" t="s">
        <v>90</v>
      </c>
      <c r="G1862" s="131" t="s">
        <v>9</v>
      </c>
      <c r="H1862" s="105">
        <v>2000000</v>
      </c>
      <c r="I1862" s="131">
        <v>9810000000</v>
      </c>
      <c r="J1862" s="131" t="str">
        <f t="shared" si="119"/>
        <v>9810000000</v>
      </c>
      <c r="K1862" s="304" t="str">
        <f t="shared" si="120"/>
        <v>61904099810000000000</v>
      </c>
      <c r="L1862" s="17" t="str">
        <f>INDEX('реш СГД № 265'!$A:$N,MATCH('БА расх 2018 31 12 2018'!$K1862,'реш СГД № 265'!$N:$N,0),3)</f>
        <v>Иные непрограммные мероприятия</v>
      </c>
      <c r="M1862" s="16">
        <f t="shared" si="121"/>
        <v>1</v>
      </c>
    </row>
    <row r="1863" spans="1:13" s="16" customFormat="1" ht="15.75">
      <c r="A1863" s="14"/>
      <c r="B1863" s="125" t="s">
        <v>778</v>
      </c>
      <c r="C1863" s="131" t="s">
        <v>795</v>
      </c>
      <c r="D1863" s="131" t="s">
        <v>73</v>
      </c>
      <c r="E1863" s="131" t="s">
        <v>471</v>
      </c>
      <c r="F1863" s="131" t="s">
        <v>779</v>
      </c>
      <c r="G1863" s="131" t="s">
        <v>9</v>
      </c>
      <c r="H1863" s="105">
        <v>2000000</v>
      </c>
      <c r="I1863" s="131">
        <v>9810021450</v>
      </c>
      <c r="J1863" s="131" t="str">
        <f t="shared" si="119"/>
        <v>9810021450</v>
      </c>
      <c r="K1863" s="304" t="str">
        <f t="shared" si="120"/>
        <v>61904099810021450000</v>
      </c>
      <c r="L1863" s="17" t="str">
        <f>INDEX('реш СГД № 265'!$A:$N,MATCH('БА расх 2018 31 12 2018'!$K1863,'реш СГД № 265'!$N:$N,0),3)</f>
        <v>Благоустройство территорий в районах города Ставрополя</v>
      </c>
      <c r="M1863" s="16">
        <f t="shared" si="121"/>
        <v>1</v>
      </c>
    </row>
    <row r="1864" spans="1:13" s="16" customFormat="1" ht="31.5">
      <c r="A1864" s="14"/>
      <c r="B1864" s="125" t="s">
        <v>28</v>
      </c>
      <c r="C1864" s="131" t="s">
        <v>795</v>
      </c>
      <c r="D1864" s="131" t="s">
        <v>73</v>
      </c>
      <c r="E1864" s="131" t="s">
        <v>471</v>
      </c>
      <c r="F1864" s="131" t="s">
        <v>779</v>
      </c>
      <c r="G1864" s="131" t="s">
        <v>29</v>
      </c>
      <c r="H1864" s="105">
        <v>2000000</v>
      </c>
      <c r="I1864" s="131">
        <v>9810021450</v>
      </c>
      <c r="J1864" s="131" t="str">
        <f t="shared" si="119"/>
        <v>9810021450</v>
      </c>
      <c r="K1864" s="304" t="str">
        <f t="shared" si="120"/>
        <v>61904099810021450240</v>
      </c>
      <c r="L1864" s="17" t="str">
        <f>INDEX('реш СГД № 265'!$A:$N,MATCH('БА расх 2018 31 12 2018'!$K1864,'реш СГД № 265'!$N:$N,0),3)</f>
        <v>Иные закупки товаров, работ и услуг для обеспечения государственных (муниципальных) нужд</v>
      </c>
      <c r="M1864" s="16">
        <f t="shared" si="121"/>
        <v>1</v>
      </c>
    </row>
    <row r="1865" spans="1:13" s="16" customFormat="1" ht="15.75">
      <c r="A1865" s="14"/>
      <c r="B1865" s="125" t="s">
        <v>30</v>
      </c>
      <c r="C1865" s="131" t="s">
        <v>795</v>
      </c>
      <c r="D1865" s="131" t="s">
        <v>73</v>
      </c>
      <c r="E1865" s="131" t="s">
        <v>471</v>
      </c>
      <c r="F1865" s="131" t="s">
        <v>779</v>
      </c>
      <c r="G1865" s="108" t="s">
        <v>31</v>
      </c>
      <c r="H1865" s="126">
        <v>2000000</v>
      </c>
      <c r="I1865" s="131">
        <v>9810021450</v>
      </c>
      <c r="J1865" s="131" t="str">
        <f t="shared" si="119"/>
        <v>9810021450</v>
      </c>
      <c r="K1865" s="304" t="str">
        <f t="shared" si="120"/>
        <v>61904099810021450244</v>
      </c>
      <c r="L1865" s="17"/>
    </row>
    <row r="1866" spans="1:13" s="47" customFormat="1" ht="15.75">
      <c r="A1866" s="46"/>
      <c r="B1866" s="117" t="s">
        <v>305</v>
      </c>
      <c r="C1866" s="118" t="s">
        <v>795</v>
      </c>
      <c r="D1866" s="119" t="s">
        <v>86</v>
      </c>
      <c r="E1866" s="119" t="s">
        <v>7</v>
      </c>
      <c r="F1866" s="119" t="s">
        <v>8</v>
      </c>
      <c r="G1866" s="119" t="s">
        <v>9</v>
      </c>
      <c r="H1866" s="120">
        <v>59683939.980000004</v>
      </c>
      <c r="I1866" s="119">
        <v>0</v>
      </c>
      <c r="J1866" s="119" t="str">
        <f t="shared" si="119"/>
        <v>0000000000</v>
      </c>
      <c r="K1866" s="304" t="str">
        <f t="shared" si="120"/>
        <v>61905000000000000000</v>
      </c>
      <c r="L1866" s="17" t="str">
        <f>INDEX('реш СГД № 265'!$A:$N,MATCH('БА расх 2018 31 12 2018'!$K1866,'реш СГД № 265'!$N:$N,0),3)</f>
        <v>Жилищно-коммунальное хозяйство</v>
      </c>
      <c r="M1866" s="16">
        <f t="shared" si="121"/>
        <v>1</v>
      </c>
    </row>
    <row r="1867" spans="1:13" s="16" customFormat="1" ht="15.75">
      <c r="A1867" s="14"/>
      <c r="B1867" s="121" t="s">
        <v>765</v>
      </c>
      <c r="C1867" s="122" t="s">
        <v>795</v>
      </c>
      <c r="D1867" s="123" t="s">
        <v>86</v>
      </c>
      <c r="E1867" s="123" t="s">
        <v>11</v>
      </c>
      <c r="F1867" s="123" t="s">
        <v>8</v>
      </c>
      <c r="G1867" s="123" t="s">
        <v>9</v>
      </c>
      <c r="H1867" s="124">
        <v>24783283.280000001</v>
      </c>
      <c r="I1867" s="123">
        <v>0</v>
      </c>
      <c r="J1867" s="123" t="str">
        <f t="shared" si="119"/>
        <v>0000000000</v>
      </c>
      <c r="K1867" s="304" t="str">
        <f t="shared" si="120"/>
        <v>61905010000000000000</v>
      </c>
      <c r="L1867" s="17" t="str">
        <f>INDEX('реш СГД № 265'!$A:$N,MATCH('БА расх 2018 31 12 2018'!$K1867,'реш СГД № 265'!$N:$N,0),3)</f>
        <v>Жилищное хозяйство</v>
      </c>
      <c r="M1867" s="16">
        <f t="shared" si="121"/>
        <v>1</v>
      </c>
    </row>
    <row r="1868" spans="1:13" s="16" customFormat="1" ht="63">
      <c r="A1868" s="14"/>
      <c r="B1868" s="127" t="s">
        <v>293</v>
      </c>
      <c r="C1868" s="131" t="s">
        <v>795</v>
      </c>
      <c r="D1868" s="131" t="s">
        <v>86</v>
      </c>
      <c r="E1868" s="131" t="s">
        <v>11</v>
      </c>
      <c r="F1868" s="131" t="s">
        <v>294</v>
      </c>
      <c r="G1868" s="131" t="s">
        <v>9</v>
      </c>
      <c r="H1868" s="158">
        <v>3558303.2800000003</v>
      </c>
      <c r="I1868" s="131">
        <v>400000000</v>
      </c>
      <c r="J1868" s="131" t="str">
        <f t="shared" si="119"/>
        <v>0400000000</v>
      </c>
      <c r="K1868" s="304" t="str">
        <f t="shared" si="120"/>
        <v>61905010400000000000</v>
      </c>
      <c r="L1868" s="17" t="str">
        <f>INDEX('реш СГД № 265'!$A:$N,MATCH('БА расх 2018 31 12 2018'!$K1868,'реш СГД № 265'!$N:$N,0),3)</f>
        <v>Муниципальная программа «Развитие жилищно-коммунального хозяйства, транспортной системы на территории города Ставрополя, благоустройство территории города Ставрополя»</v>
      </c>
      <c r="M1868" s="16">
        <f t="shared" si="121"/>
        <v>1</v>
      </c>
    </row>
    <row r="1869" spans="1:13" s="47" customFormat="1" ht="31.5">
      <c r="A1869" s="46"/>
      <c r="B1869" s="155" t="s">
        <v>766</v>
      </c>
      <c r="C1869" s="131" t="s">
        <v>795</v>
      </c>
      <c r="D1869" s="131" t="s">
        <v>86</v>
      </c>
      <c r="E1869" s="131" t="s">
        <v>11</v>
      </c>
      <c r="F1869" s="131" t="s">
        <v>767</v>
      </c>
      <c r="G1869" s="131" t="s">
        <v>9</v>
      </c>
      <c r="H1869" s="105">
        <v>3558303.2800000003</v>
      </c>
      <c r="I1869" s="131">
        <v>410000000</v>
      </c>
      <c r="J1869" s="131" t="str">
        <f t="shared" si="119"/>
        <v>0410000000</v>
      </c>
      <c r="K1869" s="304" t="str">
        <f t="shared" si="120"/>
        <v>61905010410000000000</v>
      </c>
      <c r="L1869" s="17" t="str">
        <f>INDEX('реш СГД № 265'!$A:$N,MATCH('БА расх 2018 31 12 2018'!$K1869,'реш СГД № 265'!$N:$N,0),3)</f>
        <v>Подпрограмма «Развитие жилищно-коммунального хозяйства на территории города Ставрополя»</v>
      </c>
      <c r="M1869" s="16">
        <f t="shared" si="121"/>
        <v>1</v>
      </c>
    </row>
    <row r="1870" spans="1:13" s="16" customFormat="1" ht="47.25">
      <c r="A1870" s="14"/>
      <c r="B1870" s="129" t="s">
        <v>793</v>
      </c>
      <c r="C1870" s="131" t="s">
        <v>795</v>
      </c>
      <c r="D1870" s="131" t="s">
        <v>86</v>
      </c>
      <c r="E1870" s="131" t="s">
        <v>11</v>
      </c>
      <c r="F1870" s="131" t="s">
        <v>769</v>
      </c>
      <c r="G1870" s="131" t="s">
        <v>9</v>
      </c>
      <c r="H1870" s="105">
        <v>3558303.2800000003</v>
      </c>
      <c r="I1870" s="131">
        <v>410100000</v>
      </c>
      <c r="J1870" s="131" t="str">
        <f t="shared" si="119"/>
        <v>0410100000</v>
      </c>
      <c r="K1870" s="304" t="str">
        <f t="shared" si="120"/>
        <v>61905010410100000000</v>
      </c>
      <c r="L1870" s="17" t="str">
        <f>INDEX('реш СГД № 265'!$A:$N,MATCH('БА расх 2018 31 12 2018'!$K1870,'реш СГД № 265'!$N:$N,0),3)</f>
        <v>Основное мероприятие «Повышение уровня технического состояния многоквартирных домов и продление сроков их эксплуатации»</v>
      </c>
      <c r="M1870" s="16">
        <f t="shared" si="121"/>
        <v>1</v>
      </c>
    </row>
    <row r="1871" spans="1:13" s="16" customFormat="1" ht="31.5">
      <c r="A1871" s="14"/>
      <c r="B1871" s="159" t="s">
        <v>770</v>
      </c>
      <c r="C1871" s="131" t="s">
        <v>795</v>
      </c>
      <c r="D1871" s="131" t="s">
        <v>86</v>
      </c>
      <c r="E1871" s="131" t="s">
        <v>11</v>
      </c>
      <c r="F1871" s="131" t="s">
        <v>771</v>
      </c>
      <c r="G1871" s="131" t="s">
        <v>9</v>
      </c>
      <c r="H1871" s="105">
        <v>3558303.2800000003</v>
      </c>
      <c r="I1871" s="131">
        <v>410120190</v>
      </c>
      <c r="J1871" s="131" t="str">
        <f t="shared" si="119"/>
        <v>0410120190</v>
      </c>
      <c r="K1871" s="304" t="str">
        <f t="shared" si="120"/>
        <v>61905010410120190000</v>
      </c>
      <c r="L1871" s="17" t="str">
        <f>INDEX('реш СГД № 265'!$A:$N,MATCH('БА расх 2018 31 12 2018'!$K1871,'реш СГД № 265'!$N:$N,0),3)</f>
        <v>Расходы на проведение капитального ремонта муниципального жилищного фонда</v>
      </c>
      <c r="M1871" s="16">
        <f t="shared" si="121"/>
        <v>1</v>
      </c>
    </row>
    <row r="1872" spans="1:13" s="16" customFormat="1" ht="31.5">
      <c r="A1872" s="14"/>
      <c r="B1872" s="125" t="s">
        <v>28</v>
      </c>
      <c r="C1872" s="131" t="s">
        <v>795</v>
      </c>
      <c r="D1872" s="131" t="s">
        <v>86</v>
      </c>
      <c r="E1872" s="131" t="s">
        <v>11</v>
      </c>
      <c r="F1872" s="131" t="s">
        <v>771</v>
      </c>
      <c r="G1872" s="131" t="s">
        <v>29</v>
      </c>
      <c r="H1872" s="126">
        <v>3558303.2800000003</v>
      </c>
      <c r="I1872" s="131">
        <v>410120190</v>
      </c>
      <c r="J1872" s="131" t="str">
        <f t="shared" si="119"/>
        <v>0410120190</v>
      </c>
      <c r="K1872" s="304" t="str">
        <f t="shared" si="120"/>
        <v>61905010410120190240</v>
      </c>
      <c r="L1872" s="17" t="str">
        <f>INDEX('реш СГД № 265'!$A:$N,MATCH('БА расх 2018 31 12 2018'!$K1872,'реш СГД № 265'!$N:$N,0),3)</f>
        <v>Иные закупки товаров, работ и услуг для обеспечения государственных (муниципальных) нужд</v>
      </c>
      <c r="M1872" s="16">
        <f t="shared" si="121"/>
        <v>1</v>
      </c>
    </row>
    <row r="1873" spans="1:13" s="16" customFormat="1" ht="31.5">
      <c r="A1873" s="14"/>
      <c r="B1873" s="127" t="s">
        <v>772</v>
      </c>
      <c r="C1873" s="131" t="s">
        <v>795</v>
      </c>
      <c r="D1873" s="131" t="s">
        <v>86</v>
      </c>
      <c r="E1873" s="131" t="s">
        <v>11</v>
      </c>
      <c r="F1873" s="131" t="s">
        <v>771</v>
      </c>
      <c r="G1873" s="131" t="s">
        <v>773</v>
      </c>
      <c r="H1873" s="126">
        <v>1599147.24</v>
      </c>
      <c r="I1873" s="131">
        <v>410120190</v>
      </c>
      <c r="J1873" s="131" t="str">
        <f t="shared" si="119"/>
        <v>0410120190</v>
      </c>
      <c r="K1873" s="304" t="str">
        <f t="shared" si="120"/>
        <v>61905010410120190243</v>
      </c>
      <c r="L1873" s="17"/>
    </row>
    <row r="1874" spans="1:13" s="16" customFormat="1" ht="15.75">
      <c r="A1874" s="14"/>
      <c r="B1874" s="125" t="s">
        <v>30</v>
      </c>
      <c r="C1874" s="131" t="s">
        <v>795</v>
      </c>
      <c r="D1874" s="131" t="s">
        <v>86</v>
      </c>
      <c r="E1874" s="131" t="s">
        <v>11</v>
      </c>
      <c r="F1874" s="131" t="s">
        <v>771</v>
      </c>
      <c r="G1874" s="131" t="s">
        <v>31</v>
      </c>
      <c r="H1874" s="126">
        <v>1959156.04</v>
      </c>
      <c r="I1874" s="131">
        <v>410120190</v>
      </c>
      <c r="J1874" s="131" t="str">
        <f t="shared" si="119"/>
        <v>0410120190</v>
      </c>
      <c r="K1874" s="304" t="str">
        <f t="shared" si="120"/>
        <v>61905010410120190244</v>
      </c>
      <c r="L1874" s="17"/>
    </row>
    <row r="1875" spans="1:13" s="16" customFormat="1" ht="31.5">
      <c r="A1875" s="14"/>
      <c r="B1875" s="125" t="s">
        <v>796</v>
      </c>
      <c r="C1875" s="108" t="s">
        <v>795</v>
      </c>
      <c r="D1875" s="131" t="s">
        <v>86</v>
      </c>
      <c r="E1875" s="131" t="s">
        <v>11</v>
      </c>
      <c r="F1875" s="108" t="s">
        <v>797</v>
      </c>
      <c r="G1875" s="108" t="s">
        <v>9</v>
      </c>
      <c r="H1875" s="105">
        <v>21224980</v>
      </c>
      <c r="I1875" s="108">
        <v>8200000000</v>
      </c>
      <c r="J1875" s="108" t="str">
        <f t="shared" si="119"/>
        <v>8200000000</v>
      </c>
      <c r="K1875" s="304" t="str">
        <f t="shared" si="120"/>
        <v>61905018200000000000</v>
      </c>
      <c r="L1875" s="17" t="str">
        <f>INDEX('реш СГД № 265'!$A:$N,MATCH('БА расх 2018 31 12 2018'!$K1875,'реш СГД № 265'!$N:$N,0),3)</f>
        <v>Обеспечение деятельности администрации Промышленного района города Ставрополя</v>
      </c>
      <c r="M1875" s="16">
        <f t="shared" si="121"/>
        <v>1</v>
      </c>
    </row>
    <row r="1876" spans="1:13" s="16" customFormat="1" ht="15.75">
      <c r="A1876" s="14"/>
      <c r="B1876" s="129" t="s">
        <v>52</v>
      </c>
      <c r="C1876" s="108" t="s">
        <v>795</v>
      </c>
      <c r="D1876" s="131" t="s">
        <v>86</v>
      </c>
      <c r="E1876" s="131" t="s">
        <v>11</v>
      </c>
      <c r="F1876" s="108" t="s">
        <v>1089</v>
      </c>
      <c r="G1876" s="108" t="s">
        <v>9</v>
      </c>
      <c r="H1876" s="105">
        <v>21224980</v>
      </c>
      <c r="I1876" s="108">
        <v>8220000000</v>
      </c>
      <c r="J1876" s="108" t="str">
        <f t="shared" si="119"/>
        <v>8220000000</v>
      </c>
      <c r="K1876" s="304" t="str">
        <f t="shared" si="120"/>
        <v>61905018220000000000</v>
      </c>
      <c r="L1876" s="17" t="str">
        <f>INDEX('реш СГД № 265'!$A:$N,MATCH('БА расх 2018 31 12 2018'!$K1876,'реш СГД № 265'!$N:$N,0),3)</f>
        <v>Расходы, предусмотренные на иные цели</v>
      </c>
      <c r="M1876" s="16">
        <f t="shared" si="121"/>
        <v>1</v>
      </c>
    </row>
    <row r="1877" spans="1:13" s="16" customFormat="1" ht="15.75">
      <c r="A1877" s="14"/>
      <c r="B1877" s="125" t="s">
        <v>856</v>
      </c>
      <c r="C1877" s="108" t="s">
        <v>795</v>
      </c>
      <c r="D1877" s="108" t="s">
        <v>86</v>
      </c>
      <c r="E1877" s="108" t="s">
        <v>11</v>
      </c>
      <c r="F1877" s="108" t="s">
        <v>1090</v>
      </c>
      <c r="G1877" s="108" t="s">
        <v>9</v>
      </c>
      <c r="H1877" s="105">
        <v>10998640</v>
      </c>
      <c r="I1877" s="108">
        <v>8220020200</v>
      </c>
      <c r="J1877" s="108" t="str">
        <f t="shared" si="119"/>
        <v>8220020200</v>
      </c>
      <c r="K1877" s="304" t="str">
        <f t="shared" si="120"/>
        <v>61905018220020200000</v>
      </c>
      <c r="L1877" s="400" t="e">
        <f>INDEX('реш СГД № 265'!$A:$N,MATCH('БА расх 2018 31 12 2018'!$K1877,'реш СГД № 265'!$N:$N,0),3)</f>
        <v>#N/A</v>
      </c>
      <c r="M1877" s="17" t="e">
        <f t="shared" si="121"/>
        <v>#N/A</v>
      </c>
    </row>
    <row r="1878" spans="1:13" s="16" customFormat="1" ht="31.5">
      <c r="A1878" s="14"/>
      <c r="B1878" s="125" t="s">
        <v>28</v>
      </c>
      <c r="C1878" s="131" t="s">
        <v>795</v>
      </c>
      <c r="D1878" s="131" t="s">
        <v>86</v>
      </c>
      <c r="E1878" s="131" t="s">
        <v>11</v>
      </c>
      <c r="F1878" s="108" t="s">
        <v>1090</v>
      </c>
      <c r="G1878" s="131" t="s">
        <v>29</v>
      </c>
      <c r="H1878" s="105">
        <v>10998640</v>
      </c>
      <c r="I1878" s="108">
        <v>8220020200</v>
      </c>
      <c r="J1878" s="108" t="str">
        <f t="shared" si="119"/>
        <v>8220020200</v>
      </c>
      <c r="K1878" s="304" t="str">
        <f t="shared" si="120"/>
        <v>61905018220020200240</v>
      </c>
      <c r="L1878" s="400" t="e">
        <f>INDEX('реш СГД № 265'!$A:$N,MATCH('БА расх 2018 31 12 2018'!$K1878,'реш СГД № 265'!$N:$N,0),3)</f>
        <v>#N/A</v>
      </c>
      <c r="M1878" s="17" t="e">
        <f t="shared" si="121"/>
        <v>#N/A</v>
      </c>
    </row>
    <row r="1879" spans="1:13" s="16" customFormat="1" ht="15.75">
      <c r="A1879" s="14"/>
      <c r="B1879" s="125" t="s">
        <v>30</v>
      </c>
      <c r="C1879" s="131" t="s">
        <v>795</v>
      </c>
      <c r="D1879" s="131" t="s">
        <v>86</v>
      </c>
      <c r="E1879" s="131" t="s">
        <v>11</v>
      </c>
      <c r="F1879" s="108" t="s">
        <v>1090</v>
      </c>
      <c r="G1879" s="108" t="s">
        <v>31</v>
      </c>
      <c r="H1879" s="126">
        <v>10998640</v>
      </c>
      <c r="I1879" s="108">
        <v>8220020200</v>
      </c>
      <c r="J1879" s="108" t="str">
        <f t="shared" si="119"/>
        <v>8220020200</v>
      </c>
      <c r="K1879" s="304" t="str">
        <f t="shared" si="120"/>
        <v>61905018220020200244</v>
      </c>
      <c r="L1879" s="17"/>
    </row>
    <row r="1880" spans="1:13" s="16" customFormat="1" ht="31.5">
      <c r="A1880" s="14"/>
      <c r="B1880" s="125" t="s">
        <v>1320</v>
      </c>
      <c r="C1880" s="108" t="s">
        <v>795</v>
      </c>
      <c r="D1880" s="131" t="s">
        <v>86</v>
      </c>
      <c r="E1880" s="131" t="s">
        <v>11</v>
      </c>
      <c r="F1880" s="131" t="s">
        <v>1321</v>
      </c>
      <c r="G1880" s="108" t="s">
        <v>9</v>
      </c>
      <c r="H1880" s="126">
        <v>10226340</v>
      </c>
      <c r="I1880" s="108">
        <v>8220076900</v>
      </c>
      <c r="J1880" s="108" t="str">
        <f t="shared" si="119"/>
        <v>8220076900</v>
      </c>
      <c r="K1880" s="304" t="str">
        <f t="shared" si="120"/>
        <v>61905018220076900000</v>
      </c>
      <c r="L1880" s="17" t="str">
        <f>INDEX('реш СГД № 265'!$A:$N,MATCH('БА расх 2018 31 12 2018'!$K1880,'реш СГД № 265'!$N:$N,0),3)</f>
        <v>Расходы за счет средств резервного фонда Правительства Ставропольского края</v>
      </c>
      <c r="M1880" s="16">
        <f t="shared" si="121"/>
        <v>1</v>
      </c>
    </row>
    <row r="1881" spans="1:13" s="16" customFormat="1" ht="31.5">
      <c r="A1881" s="14"/>
      <c r="B1881" s="125" t="s">
        <v>28</v>
      </c>
      <c r="C1881" s="108" t="s">
        <v>795</v>
      </c>
      <c r="D1881" s="131" t="s">
        <v>86</v>
      </c>
      <c r="E1881" s="131" t="s">
        <v>11</v>
      </c>
      <c r="F1881" s="131" t="s">
        <v>1321</v>
      </c>
      <c r="G1881" s="108" t="s">
        <v>29</v>
      </c>
      <c r="H1881" s="126">
        <v>10226340</v>
      </c>
      <c r="I1881" s="108">
        <v>8220076900</v>
      </c>
      <c r="J1881" s="108" t="str">
        <f t="shared" si="119"/>
        <v>8220076900</v>
      </c>
      <c r="K1881" s="304" t="str">
        <f t="shared" si="120"/>
        <v>61905018220076900240</v>
      </c>
      <c r="L1881" s="17" t="str">
        <f>INDEX('реш СГД № 265'!$A:$N,MATCH('БА расх 2018 31 12 2018'!$K1881,'реш СГД № 265'!$N:$N,0),3)</f>
        <v>Иные закупки товаров, работ и услуг для обеспечения государственных (муниципальных) нужд</v>
      </c>
      <c r="M1881" s="16">
        <f t="shared" si="121"/>
        <v>1</v>
      </c>
    </row>
    <row r="1882" spans="1:13" s="16" customFormat="1" ht="15.75">
      <c r="A1882" s="14"/>
      <c r="B1882" s="125" t="s">
        <v>30</v>
      </c>
      <c r="C1882" s="108" t="s">
        <v>795</v>
      </c>
      <c r="D1882" s="131" t="s">
        <v>86</v>
      </c>
      <c r="E1882" s="131" t="s">
        <v>11</v>
      </c>
      <c r="F1882" s="131" t="s">
        <v>1321</v>
      </c>
      <c r="G1882" s="108" t="s">
        <v>31</v>
      </c>
      <c r="H1882" s="126">
        <v>10226340</v>
      </c>
      <c r="I1882" s="108">
        <v>8220076900</v>
      </c>
      <c r="J1882" s="108" t="str">
        <f t="shared" si="119"/>
        <v>8220076900</v>
      </c>
      <c r="K1882" s="304" t="str">
        <f t="shared" si="120"/>
        <v>61905018220076900244</v>
      </c>
      <c r="L1882" s="17"/>
    </row>
    <row r="1883" spans="1:13" s="16" customFormat="1" ht="15.75">
      <c r="A1883" s="14"/>
      <c r="B1883" s="157" t="s">
        <v>306</v>
      </c>
      <c r="C1883" s="122" t="s">
        <v>795</v>
      </c>
      <c r="D1883" s="123" t="s">
        <v>86</v>
      </c>
      <c r="E1883" s="123" t="s">
        <v>13</v>
      </c>
      <c r="F1883" s="123" t="s">
        <v>8</v>
      </c>
      <c r="G1883" s="123" t="s">
        <v>9</v>
      </c>
      <c r="H1883" s="124">
        <v>34900656.700000003</v>
      </c>
      <c r="I1883" s="123">
        <v>0</v>
      </c>
      <c r="J1883" s="123" t="str">
        <f t="shared" si="119"/>
        <v>0000000000</v>
      </c>
      <c r="K1883" s="304" t="str">
        <f t="shared" si="120"/>
        <v>61905030000000000000</v>
      </c>
      <c r="L1883" s="17" t="str">
        <f>INDEX('реш СГД № 265'!$A:$N,MATCH('БА расх 2018 31 12 2018'!$K1883,'реш СГД № 265'!$N:$N,0),3)</f>
        <v>Благоустройство</v>
      </c>
      <c r="M1883" s="16">
        <f t="shared" si="121"/>
        <v>1</v>
      </c>
    </row>
    <row r="1884" spans="1:13" s="16" customFormat="1" ht="63">
      <c r="A1884" s="14"/>
      <c r="B1884" s="127" t="s">
        <v>293</v>
      </c>
      <c r="C1884" s="131" t="s">
        <v>795</v>
      </c>
      <c r="D1884" s="131" t="s">
        <v>86</v>
      </c>
      <c r="E1884" s="131" t="s">
        <v>13</v>
      </c>
      <c r="F1884" s="131" t="s">
        <v>294</v>
      </c>
      <c r="G1884" s="131" t="s">
        <v>9</v>
      </c>
      <c r="H1884" s="105">
        <v>31479760.5</v>
      </c>
      <c r="I1884" s="131">
        <v>400000000</v>
      </c>
      <c r="J1884" s="131" t="str">
        <f t="shared" si="119"/>
        <v>0400000000</v>
      </c>
      <c r="K1884" s="304" t="str">
        <f t="shared" si="120"/>
        <v>61905030400000000000</v>
      </c>
      <c r="L1884" s="17" t="str">
        <f>INDEX('реш СГД № 265'!$A:$N,MATCH('БА расх 2018 31 12 2018'!$K1884,'реш СГД № 265'!$N:$N,0),3)</f>
        <v>Муниципальная программа «Развитие жилищно-коммунального хозяйства, транспортной системы на территории города Ставрополя, благоустройство территории города Ставрополя»</v>
      </c>
      <c r="M1884" s="16">
        <f t="shared" si="121"/>
        <v>1</v>
      </c>
    </row>
    <row r="1885" spans="1:13" s="16" customFormat="1" ht="31.5">
      <c r="A1885" s="14"/>
      <c r="B1885" s="125" t="s">
        <v>2283</v>
      </c>
      <c r="C1885" s="131" t="s">
        <v>795</v>
      </c>
      <c r="D1885" s="131" t="s">
        <v>86</v>
      </c>
      <c r="E1885" s="131" t="s">
        <v>13</v>
      </c>
      <c r="F1885" s="131" t="s">
        <v>308</v>
      </c>
      <c r="G1885" s="131" t="s">
        <v>9</v>
      </c>
      <c r="H1885" s="105">
        <v>31479760.5</v>
      </c>
      <c r="I1885" s="131">
        <v>430000000</v>
      </c>
      <c r="J1885" s="131" t="str">
        <f t="shared" si="119"/>
        <v>0430000000</v>
      </c>
      <c r="K1885" s="304" t="str">
        <f t="shared" si="120"/>
        <v>61905030430000000000</v>
      </c>
      <c r="L1885" s="132" t="str">
        <f>INDEX('реш СГД № 265'!$A:$N,MATCH('БА расх 2018 31 12 2018'!$K1885,'реш СГД № 265'!$N:$N,0),3)</f>
        <v>Подпрограмма «Благоустройство территории города Ставрополя»</v>
      </c>
      <c r="M1885" s="17">
        <f t="shared" si="121"/>
        <v>1</v>
      </c>
    </row>
    <row r="1886" spans="1:13" s="16" customFormat="1" ht="31.5">
      <c r="A1886" s="14"/>
      <c r="B1886" s="307" t="s">
        <v>309</v>
      </c>
      <c r="C1886" s="131" t="s">
        <v>795</v>
      </c>
      <c r="D1886" s="131" t="s">
        <v>86</v>
      </c>
      <c r="E1886" s="131" t="s">
        <v>13</v>
      </c>
      <c r="F1886" s="108" t="s">
        <v>310</v>
      </c>
      <c r="G1886" s="131" t="s">
        <v>9</v>
      </c>
      <c r="H1886" s="105">
        <v>31479760.5</v>
      </c>
      <c r="I1886" s="108">
        <v>430400000</v>
      </c>
      <c r="J1886" s="108" t="str">
        <f t="shared" si="119"/>
        <v>0430400000</v>
      </c>
      <c r="K1886" s="304" t="str">
        <f t="shared" si="120"/>
        <v>61905030430400000000</v>
      </c>
      <c r="L1886" s="17" t="str">
        <f>INDEX('реш СГД № 265'!$A:$N,MATCH('БА расх 2018 31 12 2018'!$K1886,'реш СГД № 265'!$N:$N,0),3)</f>
        <v>Основное мероприятие «Благоустройство территории города Ставрополя»</v>
      </c>
      <c r="M1886" s="16">
        <f t="shared" si="121"/>
        <v>1</v>
      </c>
    </row>
    <row r="1887" spans="1:13" s="16" customFormat="1" ht="31.5">
      <c r="A1887" s="14"/>
      <c r="B1887" s="160" t="s">
        <v>542</v>
      </c>
      <c r="C1887" s="131" t="s">
        <v>795</v>
      </c>
      <c r="D1887" s="131" t="s">
        <v>86</v>
      </c>
      <c r="E1887" s="131" t="s">
        <v>13</v>
      </c>
      <c r="F1887" s="108" t="s">
        <v>543</v>
      </c>
      <c r="G1887" s="131" t="s">
        <v>9</v>
      </c>
      <c r="H1887" s="105">
        <v>20209760.5</v>
      </c>
      <c r="I1887" s="108">
        <v>430420300</v>
      </c>
      <c r="J1887" s="108" t="str">
        <f t="shared" si="119"/>
        <v>0430420300</v>
      </c>
      <c r="K1887" s="304" t="str">
        <f t="shared" si="120"/>
        <v>61905030430420300000</v>
      </c>
      <c r="L1887" s="17" t="str">
        <f>INDEX('реш СГД № 265'!$A:$N,MATCH('БА расх 2018 31 12 2018'!$K1887,'реш СГД № 265'!$N:$N,0),3)</f>
        <v>Расходы на прочие мероприятия по благоустройству территории города Ставрополя</v>
      </c>
      <c r="M1887" s="16">
        <f t="shared" si="121"/>
        <v>1</v>
      </c>
    </row>
    <row r="1888" spans="1:13" s="16" customFormat="1" ht="31.5">
      <c r="A1888" s="14"/>
      <c r="B1888" s="125" t="s">
        <v>28</v>
      </c>
      <c r="C1888" s="131" t="s">
        <v>795</v>
      </c>
      <c r="D1888" s="131" t="s">
        <v>86</v>
      </c>
      <c r="E1888" s="131" t="s">
        <v>13</v>
      </c>
      <c r="F1888" s="108" t="s">
        <v>543</v>
      </c>
      <c r="G1888" s="131" t="s">
        <v>29</v>
      </c>
      <c r="H1888" s="126">
        <v>20209760.5</v>
      </c>
      <c r="I1888" s="108">
        <v>430420300</v>
      </c>
      <c r="J1888" s="108" t="str">
        <f t="shared" si="119"/>
        <v>0430420300</v>
      </c>
      <c r="K1888" s="304" t="str">
        <f t="shared" si="120"/>
        <v>61905030430420300240</v>
      </c>
      <c r="L1888" s="17" t="str">
        <f>INDEX('реш СГД № 265'!$A:$N,MATCH('БА расх 2018 31 12 2018'!$K1888,'реш СГД № 265'!$N:$N,0),3)</f>
        <v>Иные закупки товаров, работ и услуг для обеспечения государственных (муниципальных) нужд</v>
      </c>
      <c r="M1888" s="16">
        <f t="shared" si="121"/>
        <v>1</v>
      </c>
    </row>
    <row r="1889" spans="1:13" s="16" customFormat="1" ht="15.75">
      <c r="A1889" s="14"/>
      <c r="B1889" s="125" t="s">
        <v>30</v>
      </c>
      <c r="C1889" s="131" t="s">
        <v>795</v>
      </c>
      <c r="D1889" s="131" t="s">
        <v>86</v>
      </c>
      <c r="E1889" s="131" t="s">
        <v>13</v>
      </c>
      <c r="F1889" s="108" t="s">
        <v>543</v>
      </c>
      <c r="G1889" s="131" t="s">
        <v>31</v>
      </c>
      <c r="H1889" s="126">
        <v>20209760.5</v>
      </c>
      <c r="I1889" s="108">
        <v>430420300</v>
      </c>
      <c r="J1889" s="108" t="str">
        <f t="shared" si="119"/>
        <v>0430420300</v>
      </c>
      <c r="K1889" s="304" t="str">
        <f t="shared" si="120"/>
        <v>61905030430420300244</v>
      </c>
      <c r="L1889" s="17"/>
    </row>
    <row r="1890" spans="1:13" s="16" customFormat="1" ht="31.5">
      <c r="A1890" s="14"/>
      <c r="B1890" s="127" t="s">
        <v>774</v>
      </c>
      <c r="C1890" s="131" t="s">
        <v>795</v>
      </c>
      <c r="D1890" s="131" t="s">
        <v>86</v>
      </c>
      <c r="E1890" s="131" t="s">
        <v>13</v>
      </c>
      <c r="F1890" s="131" t="s">
        <v>775</v>
      </c>
      <c r="G1890" s="131" t="s">
        <v>9</v>
      </c>
      <c r="H1890" s="105">
        <v>1170000</v>
      </c>
      <c r="I1890" s="131">
        <v>430421070</v>
      </c>
      <c r="J1890" s="131" t="str">
        <f t="shared" si="119"/>
        <v>0430421070</v>
      </c>
      <c r="K1890" s="304" t="str">
        <f t="shared" si="120"/>
        <v>61905030430421070000</v>
      </c>
      <c r="L1890" s="17" t="str">
        <f>INDEX('реш СГД № 265'!$A:$N,MATCH('БА расх 2018 31 12 2018'!$K1890,'реш СГД № 265'!$N:$N,0),3)</f>
        <v>Расходы на проведение работ по уходу за зелеными насаждениями</v>
      </c>
      <c r="M1890" s="16">
        <f t="shared" si="121"/>
        <v>1</v>
      </c>
    </row>
    <row r="1891" spans="1:13" s="16" customFormat="1" ht="31.5">
      <c r="A1891" s="14"/>
      <c r="B1891" s="125" t="s">
        <v>28</v>
      </c>
      <c r="C1891" s="131" t="s">
        <v>795</v>
      </c>
      <c r="D1891" s="131" t="s">
        <v>86</v>
      </c>
      <c r="E1891" s="131" t="s">
        <v>13</v>
      </c>
      <c r="F1891" s="131" t="s">
        <v>775</v>
      </c>
      <c r="G1891" s="131" t="s">
        <v>29</v>
      </c>
      <c r="H1891" s="126">
        <v>1170000</v>
      </c>
      <c r="I1891" s="131">
        <v>430421070</v>
      </c>
      <c r="J1891" s="131" t="str">
        <f t="shared" si="119"/>
        <v>0430421070</v>
      </c>
      <c r="K1891" s="304" t="str">
        <f t="shared" si="120"/>
        <v>61905030430421070240</v>
      </c>
      <c r="L1891" s="17" t="str">
        <f>INDEX('реш СГД № 265'!$A:$N,MATCH('БА расх 2018 31 12 2018'!$K1891,'реш СГД № 265'!$N:$N,0),3)</f>
        <v>Иные закупки товаров, работ и услуг для обеспечения государственных (муниципальных) нужд</v>
      </c>
      <c r="M1891" s="16">
        <f t="shared" si="121"/>
        <v>1</v>
      </c>
    </row>
    <row r="1892" spans="1:13" s="16" customFormat="1" ht="15.75">
      <c r="A1892" s="14"/>
      <c r="B1892" s="125" t="s">
        <v>30</v>
      </c>
      <c r="C1892" s="131" t="s">
        <v>795</v>
      </c>
      <c r="D1892" s="131" t="s">
        <v>86</v>
      </c>
      <c r="E1892" s="131" t="s">
        <v>13</v>
      </c>
      <c r="F1892" s="131" t="s">
        <v>775</v>
      </c>
      <c r="G1892" s="131" t="s">
        <v>31</v>
      </c>
      <c r="H1892" s="126">
        <v>1170000</v>
      </c>
      <c r="I1892" s="131">
        <v>430421070</v>
      </c>
      <c r="J1892" s="131" t="str">
        <f t="shared" si="119"/>
        <v>0430421070</v>
      </c>
      <c r="K1892" s="304" t="str">
        <f t="shared" si="120"/>
        <v>61905030430421070244</v>
      </c>
      <c r="L1892" s="17"/>
    </row>
    <row r="1893" spans="1:13" s="16" customFormat="1" ht="47.25">
      <c r="A1893" s="14"/>
      <c r="B1893" s="125" t="s">
        <v>1043</v>
      </c>
      <c r="C1893" s="131" t="s">
        <v>795</v>
      </c>
      <c r="D1893" s="108" t="s">
        <v>86</v>
      </c>
      <c r="E1893" s="108" t="s">
        <v>13</v>
      </c>
      <c r="F1893" s="131" t="s">
        <v>1056</v>
      </c>
      <c r="G1893" s="131" t="s">
        <v>9</v>
      </c>
      <c r="H1893" s="126">
        <v>1505500</v>
      </c>
      <c r="I1893" s="131" t="s">
        <v>1231</v>
      </c>
      <c r="J1893" s="131" t="str">
        <f t="shared" si="119"/>
        <v>04304G6420</v>
      </c>
      <c r="K1893" s="304" t="str">
        <f t="shared" si="120"/>
        <v>619050304304G6420000</v>
      </c>
      <c r="L1893" s="17" t="str">
        <f>INDEX('реш СГД № 265'!$A:$N,MATCH('БА расх 2018 31 12 2018'!$K1893,'реш СГД № 265'!$N:$N,0),3)</f>
        <v>Реализация проектов развития территорий муниципальных образований, основанных на местных инициативах, за счет внебюджетных источников</v>
      </c>
      <c r="M1893" s="16">
        <f t="shared" si="121"/>
        <v>1</v>
      </c>
    </row>
    <row r="1894" spans="1:13" s="16" customFormat="1" ht="15.75">
      <c r="A1894" s="14"/>
      <c r="B1894" s="132" t="s">
        <v>1045</v>
      </c>
      <c r="C1894" s="131"/>
      <c r="D1894" s="108"/>
      <c r="E1894" s="108"/>
      <c r="F1894" s="131"/>
      <c r="G1894" s="131"/>
      <c r="H1894" s="126"/>
      <c r="I1894" s="131"/>
      <c r="J1894" s="131" t="str">
        <f t="shared" si="119"/>
        <v>0000000000</v>
      </c>
      <c r="K1894" s="304" t="str">
        <f t="shared" si="120"/>
        <v>0000000000</v>
      </c>
      <c r="L1894" s="132">
        <f>INDEX('реш СГД № 265'!$A:$N,MATCH('БА расх 2018 31 12 2018'!$K1894,'реш СГД № 265'!$N:$N,0),3)</f>
        <v>0</v>
      </c>
      <c r="M1894" s="17">
        <f t="shared" si="121"/>
        <v>0</v>
      </c>
    </row>
    <row r="1895" spans="1:13" s="16" customFormat="1" ht="15.75">
      <c r="A1895" s="14"/>
      <c r="B1895" s="125" t="s">
        <v>1046</v>
      </c>
      <c r="C1895" s="131" t="s">
        <v>795</v>
      </c>
      <c r="D1895" s="108" t="s">
        <v>86</v>
      </c>
      <c r="E1895" s="108" t="s">
        <v>13</v>
      </c>
      <c r="F1895" s="131" t="s">
        <v>1056</v>
      </c>
      <c r="G1895" s="131" t="s">
        <v>9</v>
      </c>
      <c r="H1895" s="126">
        <v>305500</v>
      </c>
      <c r="I1895" s="131" t="s">
        <v>1231</v>
      </c>
      <c r="J1895" s="131" t="str">
        <f t="shared" si="119"/>
        <v>04304G6420</v>
      </c>
      <c r="K1895" s="304" t="str">
        <f t="shared" si="120"/>
        <v>619050304304G6420000</v>
      </c>
      <c r="L1895" s="132"/>
      <c r="M1895" s="248">
        <f t="shared" si="121"/>
        <v>0</v>
      </c>
    </row>
    <row r="1896" spans="1:13" s="16" customFormat="1" ht="15.75">
      <c r="A1896" s="14"/>
      <c r="B1896" s="125" t="s">
        <v>1047</v>
      </c>
      <c r="C1896" s="131" t="s">
        <v>795</v>
      </c>
      <c r="D1896" s="108" t="s">
        <v>86</v>
      </c>
      <c r="E1896" s="108" t="s">
        <v>13</v>
      </c>
      <c r="F1896" s="131" t="s">
        <v>1056</v>
      </c>
      <c r="G1896" s="131" t="s">
        <v>9</v>
      </c>
      <c r="H1896" s="126">
        <v>1200000</v>
      </c>
      <c r="I1896" s="131" t="s">
        <v>1231</v>
      </c>
      <c r="J1896" s="131" t="str">
        <f t="shared" si="119"/>
        <v>04304G6420</v>
      </c>
      <c r="K1896" s="304" t="str">
        <f t="shared" si="120"/>
        <v>619050304304G6420000</v>
      </c>
      <c r="L1896" s="132"/>
      <c r="M1896" s="248">
        <f t="shared" si="121"/>
        <v>0</v>
      </c>
    </row>
    <row r="1897" spans="1:13" s="16" customFormat="1" ht="31.5">
      <c r="A1897" s="14"/>
      <c r="B1897" s="125" t="s">
        <v>28</v>
      </c>
      <c r="C1897" s="131" t="s">
        <v>795</v>
      </c>
      <c r="D1897" s="108" t="s">
        <v>86</v>
      </c>
      <c r="E1897" s="108" t="s">
        <v>13</v>
      </c>
      <c r="F1897" s="131" t="s">
        <v>1056</v>
      </c>
      <c r="G1897" s="131" t="s">
        <v>29</v>
      </c>
      <c r="H1897" s="126">
        <v>1505500</v>
      </c>
      <c r="I1897" s="131" t="s">
        <v>1231</v>
      </c>
      <c r="J1897" s="131" t="str">
        <f t="shared" si="119"/>
        <v>04304G6420</v>
      </c>
      <c r="K1897" s="304" t="str">
        <f t="shared" si="120"/>
        <v>619050304304G6420240</v>
      </c>
      <c r="L1897" s="17" t="str">
        <f>INDEX('реш СГД № 265'!$A:$N,MATCH('БА расх 2018 31 12 2018'!$K1897,'реш СГД № 265'!$N:$N,0),3)</f>
        <v>Иные закупки товаров, работ и услуг для обеспечения государственных (муниципальных) нужд</v>
      </c>
      <c r="M1897" s="16">
        <f t="shared" si="121"/>
        <v>1</v>
      </c>
    </row>
    <row r="1898" spans="1:13" s="16" customFormat="1" ht="15.75">
      <c r="A1898" s="14"/>
      <c r="B1898" s="125" t="s">
        <v>30</v>
      </c>
      <c r="C1898" s="131" t="s">
        <v>795</v>
      </c>
      <c r="D1898" s="108" t="s">
        <v>86</v>
      </c>
      <c r="E1898" s="108" t="s">
        <v>13</v>
      </c>
      <c r="F1898" s="131" t="s">
        <v>1056</v>
      </c>
      <c r="G1898" s="131" t="s">
        <v>31</v>
      </c>
      <c r="H1898" s="126">
        <v>1505500</v>
      </c>
      <c r="I1898" s="131" t="s">
        <v>1231</v>
      </c>
      <c r="J1898" s="131" t="str">
        <f t="shared" si="119"/>
        <v>04304G6420</v>
      </c>
      <c r="K1898" s="304" t="str">
        <f t="shared" si="120"/>
        <v>619050304304G6420244</v>
      </c>
      <c r="L1898" s="17"/>
    </row>
    <row r="1899" spans="1:13" s="16" customFormat="1" ht="31.5">
      <c r="A1899" s="14"/>
      <c r="B1899" s="127" t="s">
        <v>1048</v>
      </c>
      <c r="C1899" s="131" t="s">
        <v>795</v>
      </c>
      <c r="D1899" s="108" t="s">
        <v>86</v>
      </c>
      <c r="E1899" s="108" t="s">
        <v>13</v>
      </c>
      <c r="F1899" s="131" t="s">
        <v>1057</v>
      </c>
      <c r="G1899" s="131" t="s">
        <v>9</v>
      </c>
      <c r="H1899" s="126">
        <v>8594500</v>
      </c>
      <c r="I1899" s="131" t="s">
        <v>1232</v>
      </c>
      <c r="J1899" s="131" t="str">
        <f t="shared" si="119"/>
        <v>04304S6420</v>
      </c>
      <c r="K1899" s="304" t="str">
        <f t="shared" si="120"/>
        <v>619050304304S6420000</v>
      </c>
      <c r="L1899" s="17" t="str">
        <f>INDEX('реш СГД № 265'!$A:$N,MATCH('БА расх 2018 31 12 2018'!$K1899,'реш СГД № 265'!$N:$N,0),3)</f>
        <v>Реализация проектов развития территорий муниципальных образований, основанных на местных инициативах</v>
      </c>
      <c r="M1899" s="16">
        <f t="shared" si="121"/>
        <v>1</v>
      </c>
    </row>
    <row r="1900" spans="1:13" s="16" customFormat="1" ht="15.75">
      <c r="A1900" s="14"/>
      <c r="B1900" s="132" t="s">
        <v>1045</v>
      </c>
      <c r="C1900" s="131"/>
      <c r="D1900" s="108"/>
      <c r="E1900" s="108"/>
      <c r="F1900" s="131"/>
      <c r="G1900" s="131"/>
      <c r="H1900" s="126"/>
      <c r="I1900" s="131"/>
      <c r="J1900" s="131" t="str">
        <f t="shared" si="119"/>
        <v>0000000000</v>
      </c>
      <c r="K1900" s="304" t="str">
        <f t="shared" si="120"/>
        <v>0000000000</v>
      </c>
      <c r="L1900" s="132"/>
      <c r="M1900" s="248">
        <f t="shared" si="121"/>
        <v>0</v>
      </c>
    </row>
    <row r="1901" spans="1:13" s="16" customFormat="1" ht="15.75">
      <c r="A1901" s="14"/>
      <c r="B1901" s="125" t="s">
        <v>1050</v>
      </c>
      <c r="C1901" s="131" t="s">
        <v>795</v>
      </c>
      <c r="D1901" s="108" t="s">
        <v>86</v>
      </c>
      <c r="E1901" s="108" t="s">
        <v>13</v>
      </c>
      <c r="F1901" s="131" t="s">
        <v>1057</v>
      </c>
      <c r="G1901" s="131" t="s">
        <v>9</v>
      </c>
      <c r="H1901" s="126">
        <v>2674500</v>
      </c>
      <c r="I1901" s="131" t="s">
        <v>1232</v>
      </c>
      <c r="J1901" s="131" t="str">
        <f t="shared" si="119"/>
        <v>04304S6420</v>
      </c>
      <c r="K1901" s="304" t="str">
        <f t="shared" si="120"/>
        <v>619050304304S6420000</v>
      </c>
      <c r="L1901" s="132"/>
      <c r="M1901" s="248">
        <f t="shared" si="121"/>
        <v>0</v>
      </c>
    </row>
    <row r="1902" spans="1:13" s="16" customFormat="1" ht="15.75">
      <c r="A1902" s="14"/>
      <c r="B1902" s="125" t="s">
        <v>1051</v>
      </c>
      <c r="C1902" s="131" t="s">
        <v>795</v>
      </c>
      <c r="D1902" s="108" t="s">
        <v>86</v>
      </c>
      <c r="E1902" s="108" t="s">
        <v>13</v>
      </c>
      <c r="F1902" s="131" t="s">
        <v>1057</v>
      </c>
      <c r="G1902" s="131" t="s">
        <v>9</v>
      </c>
      <c r="H1902" s="126">
        <v>5920000</v>
      </c>
      <c r="I1902" s="131" t="s">
        <v>1232</v>
      </c>
      <c r="J1902" s="131" t="str">
        <f t="shared" si="119"/>
        <v>04304S6420</v>
      </c>
      <c r="K1902" s="304" t="str">
        <f t="shared" si="120"/>
        <v>619050304304S6420000</v>
      </c>
      <c r="L1902" s="132"/>
      <c r="M1902" s="248">
        <f t="shared" si="121"/>
        <v>0</v>
      </c>
    </row>
    <row r="1903" spans="1:13" s="16" customFormat="1" ht="31.5">
      <c r="A1903" s="14"/>
      <c r="B1903" s="125" t="s">
        <v>28</v>
      </c>
      <c r="C1903" s="131" t="s">
        <v>795</v>
      </c>
      <c r="D1903" s="108" t="s">
        <v>86</v>
      </c>
      <c r="E1903" s="108" t="s">
        <v>13</v>
      </c>
      <c r="F1903" s="131" t="s">
        <v>1057</v>
      </c>
      <c r="G1903" s="131" t="s">
        <v>29</v>
      </c>
      <c r="H1903" s="126">
        <v>8594500</v>
      </c>
      <c r="I1903" s="131" t="s">
        <v>1232</v>
      </c>
      <c r="J1903" s="131" t="str">
        <f t="shared" si="119"/>
        <v>04304S6420</v>
      </c>
      <c r="K1903" s="304" t="str">
        <f t="shared" si="120"/>
        <v>619050304304S6420240</v>
      </c>
      <c r="L1903" s="17" t="str">
        <f>INDEX('реш СГД № 265'!$A:$N,MATCH('БА расх 2018 31 12 2018'!$K1903,'реш СГД № 265'!$N:$N,0),3)</f>
        <v>Иные закупки товаров, работ и услуг для обеспечения государственных (муниципальных) нужд</v>
      </c>
      <c r="M1903" s="16">
        <f t="shared" si="121"/>
        <v>1</v>
      </c>
    </row>
    <row r="1904" spans="1:13" s="16" customFormat="1" ht="15.75">
      <c r="A1904" s="14"/>
      <c r="B1904" s="125" t="s">
        <v>30</v>
      </c>
      <c r="C1904" s="131" t="s">
        <v>795</v>
      </c>
      <c r="D1904" s="108" t="s">
        <v>86</v>
      </c>
      <c r="E1904" s="108" t="s">
        <v>13</v>
      </c>
      <c r="F1904" s="131" t="s">
        <v>1057</v>
      </c>
      <c r="G1904" s="131" t="s">
        <v>31</v>
      </c>
      <c r="H1904" s="126">
        <v>8594500</v>
      </c>
      <c r="I1904" s="131" t="s">
        <v>1232</v>
      </c>
      <c r="J1904" s="131" t="str">
        <f t="shared" si="119"/>
        <v>04304S6420</v>
      </c>
      <c r="K1904" s="304" t="str">
        <f t="shared" si="120"/>
        <v>619050304304S6420244</v>
      </c>
      <c r="L1904" s="17"/>
    </row>
    <row r="1905" spans="1:13" s="16" customFormat="1" ht="47.25">
      <c r="A1905" s="14"/>
      <c r="B1905" s="140" t="s">
        <v>87</v>
      </c>
      <c r="C1905" s="131" t="s">
        <v>795</v>
      </c>
      <c r="D1905" s="131" t="s">
        <v>86</v>
      </c>
      <c r="E1905" s="131" t="s">
        <v>13</v>
      </c>
      <c r="F1905" s="131" t="s">
        <v>88</v>
      </c>
      <c r="G1905" s="131" t="s">
        <v>9</v>
      </c>
      <c r="H1905" s="105">
        <v>3420896.2</v>
      </c>
      <c r="I1905" s="131">
        <v>9800000000</v>
      </c>
      <c r="J1905" s="131" t="str">
        <f t="shared" si="119"/>
        <v>9800000000</v>
      </c>
      <c r="K1905" s="304" t="str">
        <f t="shared" si="120"/>
        <v>61905039800000000000</v>
      </c>
      <c r="L1905" s="17" t="str">
        <f>INDEX('реш СГД № 265'!$A:$N,MATCH('БА расх 2018 31 12 2018'!$K1905,'реш СГД № 265'!$N:$N,0),3)</f>
        <v>Реализация иных функций Ставропольской городской Думы, администрации города Ставрополя, ее отраслевых (функциональных) и территориальных органов</v>
      </c>
      <c r="M1905" s="16">
        <f t="shared" si="121"/>
        <v>1</v>
      </c>
    </row>
    <row r="1906" spans="1:13" s="16" customFormat="1" ht="15.75">
      <c r="A1906" s="14"/>
      <c r="B1906" s="140" t="s">
        <v>89</v>
      </c>
      <c r="C1906" s="131" t="s">
        <v>795</v>
      </c>
      <c r="D1906" s="131" t="s">
        <v>86</v>
      </c>
      <c r="E1906" s="131" t="s">
        <v>13</v>
      </c>
      <c r="F1906" s="131" t="s">
        <v>90</v>
      </c>
      <c r="G1906" s="131" t="s">
        <v>9</v>
      </c>
      <c r="H1906" s="105">
        <v>3420896.2</v>
      </c>
      <c r="I1906" s="131">
        <v>9810000000</v>
      </c>
      <c r="J1906" s="131" t="str">
        <f t="shared" si="119"/>
        <v>9810000000</v>
      </c>
      <c r="K1906" s="304" t="str">
        <f t="shared" si="120"/>
        <v>61905039810000000000</v>
      </c>
      <c r="L1906" s="17" t="str">
        <f>INDEX('реш СГД № 265'!$A:$N,MATCH('БА расх 2018 31 12 2018'!$K1906,'реш СГД № 265'!$N:$N,0),3)</f>
        <v>Иные непрограммные мероприятия</v>
      </c>
      <c r="M1906" s="16">
        <f t="shared" si="121"/>
        <v>1</v>
      </c>
    </row>
    <row r="1907" spans="1:13" s="16" customFormat="1" ht="15.75">
      <c r="A1907" s="14"/>
      <c r="B1907" s="125" t="s">
        <v>778</v>
      </c>
      <c r="C1907" s="131" t="s">
        <v>795</v>
      </c>
      <c r="D1907" s="131" t="s">
        <v>86</v>
      </c>
      <c r="E1907" s="131" t="s">
        <v>13</v>
      </c>
      <c r="F1907" s="131" t="s">
        <v>779</v>
      </c>
      <c r="G1907" s="131" t="s">
        <v>9</v>
      </c>
      <c r="H1907" s="105">
        <v>3420896.2</v>
      </c>
      <c r="I1907" s="131">
        <v>9810021450</v>
      </c>
      <c r="J1907" s="131" t="str">
        <f t="shared" si="119"/>
        <v>9810021450</v>
      </c>
      <c r="K1907" s="304" t="str">
        <f t="shared" si="120"/>
        <v>61905039810021450000</v>
      </c>
      <c r="L1907" s="17" t="str">
        <f>INDEX('реш СГД № 265'!$A:$N,MATCH('БА расх 2018 31 12 2018'!$K1907,'реш СГД № 265'!$N:$N,0),3)</f>
        <v>Благоустройство территорий в районах города Ставрополя</v>
      </c>
      <c r="M1907" s="16">
        <f t="shared" si="121"/>
        <v>1</v>
      </c>
    </row>
    <row r="1908" spans="1:13" s="16" customFormat="1" ht="31.5">
      <c r="A1908" s="14"/>
      <c r="B1908" s="125" t="s">
        <v>28</v>
      </c>
      <c r="C1908" s="131" t="s">
        <v>795</v>
      </c>
      <c r="D1908" s="131" t="s">
        <v>86</v>
      </c>
      <c r="E1908" s="131" t="s">
        <v>13</v>
      </c>
      <c r="F1908" s="131" t="s">
        <v>779</v>
      </c>
      <c r="G1908" s="131" t="s">
        <v>29</v>
      </c>
      <c r="H1908" s="126">
        <v>3420896.2</v>
      </c>
      <c r="I1908" s="131">
        <v>9810021450</v>
      </c>
      <c r="J1908" s="131" t="str">
        <f t="shared" si="119"/>
        <v>9810021450</v>
      </c>
      <c r="K1908" s="304" t="str">
        <f t="shared" si="120"/>
        <v>61905039810021450240</v>
      </c>
      <c r="L1908" s="17" t="str">
        <f>INDEX('реш СГД № 265'!$A:$N,MATCH('БА расх 2018 31 12 2018'!$K1908,'реш СГД № 265'!$N:$N,0),3)</f>
        <v>Иные закупки товаров, работ и услуг для обеспечения государственных (муниципальных) нужд</v>
      </c>
      <c r="M1908" s="16">
        <f t="shared" si="121"/>
        <v>1</v>
      </c>
    </row>
    <row r="1909" spans="1:13" s="16" customFormat="1" ht="15.75">
      <c r="A1909" s="14"/>
      <c r="B1909" s="125" t="s">
        <v>30</v>
      </c>
      <c r="C1909" s="131" t="s">
        <v>795</v>
      </c>
      <c r="D1909" s="131" t="s">
        <v>86</v>
      </c>
      <c r="E1909" s="131" t="s">
        <v>13</v>
      </c>
      <c r="F1909" s="131" t="s">
        <v>779</v>
      </c>
      <c r="G1909" s="131" t="s">
        <v>31</v>
      </c>
      <c r="H1909" s="126">
        <v>3420896.2</v>
      </c>
      <c r="I1909" s="131">
        <v>9810021450</v>
      </c>
      <c r="J1909" s="131" t="str">
        <f t="shared" si="119"/>
        <v>9810021450</v>
      </c>
      <c r="K1909" s="304" t="str">
        <f t="shared" si="120"/>
        <v>61905039810021450244</v>
      </c>
      <c r="L1909" s="17"/>
    </row>
    <row r="1910" spans="1:13" s="16" customFormat="1" ht="15.75">
      <c r="A1910" s="14"/>
      <c r="B1910" s="117" t="s">
        <v>569</v>
      </c>
      <c r="C1910" s="118" t="s">
        <v>795</v>
      </c>
      <c r="D1910" s="119" t="s">
        <v>238</v>
      </c>
      <c r="E1910" s="119" t="s">
        <v>7</v>
      </c>
      <c r="F1910" s="119" t="s">
        <v>8</v>
      </c>
      <c r="G1910" s="119" t="s">
        <v>9</v>
      </c>
      <c r="H1910" s="120">
        <v>1899300</v>
      </c>
      <c r="I1910" s="119">
        <v>0</v>
      </c>
      <c r="J1910" s="119" t="str">
        <f t="shared" si="119"/>
        <v>0000000000</v>
      </c>
      <c r="K1910" s="304" t="str">
        <f t="shared" si="120"/>
        <v>61908000000000000000</v>
      </c>
      <c r="L1910" s="17" t="str">
        <f>INDEX('реш СГД № 265'!$A:$N,MATCH('БА расх 2018 31 12 2018'!$K1910,'реш СГД № 265'!$N:$N,0),3)</f>
        <v>Культура, кинематография</v>
      </c>
      <c r="M1910" s="16">
        <f t="shared" si="121"/>
        <v>1</v>
      </c>
    </row>
    <row r="1911" spans="1:13" s="16" customFormat="1" ht="15.75">
      <c r="A1911" s="14"/>
      <c r="B1911" s="157" t="s">
        <v>239</v>
      </c>
      <c r="C1911" s="122" t="s">
        <v>795</v>
      </c>
      <c r="D1911" s="123" t="s">
        <v>238</v>
      </c>
      <c r="E1911" s="123" t="s">
        <v>11</v>
      </c>
      <c r="F1911" s="123" t="s">
        <v>8</v>
      </c>
      <c r="G1911" s="123" t="s">
        <v>9</v>
      </c>
      <c r="H1911" s="124">
        <v>1899300</v>
      </c>
      <c r="I1911" s="123">
        <v>0</v>
      </c>
      <c r="J1911" s="123" t="str">
        <f t="shared" si="119"/>
        <v>0000000000</v>
      </c>
      <c r="K1911" s="304" t="str">
        <f t="shared" si="120"/>
        <v>61908010000000000000</v>
      </c>
      <c r="L1911" s="17" t="str">
        <f>INDEX('реш СГД № 265'!$A:$N,MATCH('БА расх 2018 31 12 2018'!$K1911,'реш СГД № 265'!$N:$N,0),3)</f>
        <v>Культура</v>
      </c>
      <c r="M1911" s="16">
        <f t="shared" si="121"/>
        <v>1</v>
      </c>
    </row>
    <row r="1912" spans="1:13" s="16" customFormat="1" ht="15.75">
      <c r="A1912" s="14"/>
      <c r="B1912" s="125" t="s">
        <v>240</v>
      </c>
      <c r="C1912" s="108" t="s">
        <v>795</v>
      </c>
      <c r="D1912" s="108" t="s">
        <v>238</v>
      </c>
      <c r="E1912" s="108" t="s">
        <v>11</v>
      </c>
      <c r="F1912" s="108" t="s">
        <v>241</v>
      </c>
      <c r="G1912" s="108" t="s">
        <v>9</v>
      </c>
      <c r="H1912" s="126">
        <v>1899300</v>
      </c>
      <c r="I1912" s="108">
        <v>700000000</v>
      </c>
      <c r="J1912" s="108" t="str">
        <f t="shared" si="119"/>
        <v>0700000000</v>
      </c>
      <c r="K1912" s="304" t="str">
        <f t="shared" si="120"/>
        <v>61908010700000000000</v>
      </c>
      <c r="L1912" s="17" t="str">
        <f>INDEX('реш СГД № 265'!$A:$N,MATCH('БА расх 2018 31 12 2018'!$K1912,'реш СГД № 265'!$N:$N,0),3)</f>
        <v>Муниципальная программа «Культура города Ставрополя»</v>
      </c>
      <c r="M1912" s="16">
        <f t="shared" si="121"/>
        <v>1</v>
      </c>
    </row>
    <row r="1913" spans="1:13" s="16" customFormat="1" ht="63">
      <c r="A1913" s="14"/>
      <c r="B1913" s="129" t="s">
        <v>804</v>
      </c>
      <c r="C1913" s="131" t="s">
        <v>795</v>
      </c>
      <c r="D1913" s="131" t="s">
        <v>238</v>
      </c>
      <c r="E1913" s="131" t="s">
        <v>11</v>
      </c>
      <c r="F1913" s="131" t="s">
        <v>243</v>
      </c>
      <c r="G1913" s="131" t="s">
        <v>9</v>
      </c>
      <c r="H1913" s="105">
        <v>1899300</v>
      </c>
      <c r="I1913" s="131">
        <v>710000000</v>
      </c>
      <c r="J1913" s="131" t="str">
        <f t="shared" si="119"/>
        <v>0710000000</v>
      </c>
      <c r="K1913" s="304" t="str">
        <f t="shared" si="120"/>
        <v>61908010710000000000</v>
      </c>
      <c r="L1913" s="17" t="str">
        <f>INDEX('реш СГД № 265'!$A:$N,MATCH('БА расх 2018 31 12 2018'!$K1913,'реш СГД № 265'!$N:$N,0),3)</f>
        <v xml:space="preserve">Подпрограмма «Проведение городских и краевых культурно-массовых мероприятий, посвященных памятным, знаменательным и юбилейным датам в истории России, Ставропольского края, города  Ставрополя» </v>
      </c>
      <c r="M1913" s="16">
        <f t="shared" si="121"/>
        <v>1</v>
      </c>
    </row>
    <row r="1914" spans="1:13" s="16" customFormat="1" ht="94.5">
      <c r="A1914" s="14"/>
      <c r="B1914" s="155" t="s">
        <v>244</v>
      </c>
      <c r="C1914" s="131" t="s">
        <v>795</v>
      </c>
      <c r="D1914" s="131" t="s">
        <v>238</v>
      </c>
      <c r="E1914" s="131" t="s">
        <v>11</v>
      </c>
      <c r="F1914" s="131" t="s">
        <v>245</v>
      </c>
      <c r="G1914" s="131" t="s">
        <v>9</v>
      </c>
      <c r="H1914" s="105">
        <v>1899300</v>
      </c>
      <c r="I1914" s="131">
        <v>710100000</v>
      </c>
      <c r="J1914" s="131" t="str">
        <f t="shared" si="119"/>
        <v>0710100000</v>
      </c>
      <c r="K1914" s="304" t="str">
        <f t="shared" si="120"/>
        <v>61908010710100000000</v>
      </c>
      <c r="L1914" s="17" t="str">
        <f>INDEX('реш СГД № 265'!$A:$N,MATCH('БА расх 2018 31 12 2018'!$K1914,'реш СГД № 265'!$N:$N,0),3)</f>
        <v>Основное мероприятие «Обеспечение доступности к культурным ценностям и права на участие в культурной жизни для всех групп населения города Ставрополя, популяризация объектов культурного наследия города Ставрополя, формирование имиджа города Ставрополя как культурного центра Ставропольского края»</v>
      </c>
      <c r="M1914" s="16">
        <f t="shared" si="121"/>
        <v>1</v>
      </c>
    </row>
    <row r="1915" spans="1:13" s="16" customFormat="1" ht="31.5">
      <c r="A1915" s="14"/>
      <c r="B1915" s="129" t="s">
        <v>246</v>
      </c>
      <c r="C1915" s="131" t="s">
        <v>795</v>
      </c>
      <c r="D1915" s="131" t="s">
        <v>238</v>
      </c>
      <c r="E1915" s="131" t="s">
        <v>11</v>
      </c>
      <c r="F1915" s="131" t="s">
        <v>247</v>
      </c>
      <c r="G1915" s="131" t="s">
        <v>9</v>
      </c>
      <c r="H1915" s="105">
        <v>911500</v>
      </c>
      <c r="I1915" s="131">
        <v>710120060</v>
      </c>
      <c r="J1915" s="131" t="str">
        <f t="shared" si="119"/>
        <v>0710120060</v>
      </c>
      <c r="K1915" s="304" t="str">
        <f t="shared" si="120"/>
        <v>61908010710120060000</v>
      </c>
      <c r="L1915" s="17" t="str">
        <f>INDEX('реш СГД № 265'!$A:$N,MATCH('БА расх 2018 31 12 2018'!$K1915,'реш СГД № 265'!$N:$N,0),3)</f>
        <v>Расходы на проведение культурно-массовых мероприятий в городе Ставрополе</v>
      </c>
      <c r="M1915" s="16">
        <f t="shared" si="121"/>
        <v>1</v>
      </c>
    </row>
    <row r="1916" spans="1:13" s="16" customFormat="1" ht="31.5">
      <c r="A1916" s="14"/>
      <c r="B1916" s="125" t="s">
        <v>28</v>
      </c>
      <c r="C1916" s="131" t="s">
        <v>795</v>
      </c>
      <c r="D1916" s="131" t="s">
        <v>238</v>
      </c>
      <c r="E1916" s="131" t="s">
        <v>11</v>
      </c>
      <c r="F1916" s="131" t="s">
        <v>247</v>
      </c>
      <c r="G1916" s="131" t="s">
        <v>29</v>
      </c>
      <c r="H1916" s="126">
        <v>911500</v>
      </c>
      <c r="I1916" s="131">
        <v>710120060</v>
      </c>
      <c r="J1916" s="131" t="str">
        <f t="shared" si="119"/>
        <v>0710120060</v>
      </c>
      <c r="K1916" s="304" t="str">
        <f t="shared" si="120"/>
        <v>61908010710120060240</v>
      </c>
      <c r="L1916" s="17" t="str">
        <f>INDEX('реш СГД № 265'!$A:$N,MATCH('БА расх 2018 31 12 2018'!$K1916,'реш СГД № 265'!$N:$N,0),3)</f>
        <v>Иные закупки товаров, работ и услуг для обеспечения государственных (муниципальных) нужд</v>
      </c>
      <c r="M1916" s="16">
        <f t="shared" si="121"/>
        <v>1</v>
      </c>
    </row>
    <row r="1917" spans="1:13" s="16" customFormat="1" ht="15.75">
      <c r="A1917" s="14"/>
      <c r="B1917" s="125" t="s">
        <v>30</v>
      </c>
      <c r="C1917" s="131" t="s">
        <v>795</v>
      </c>
      <c r="D1917" s="131" t="s">
        <v>238</v>
      </c>
      <c r="E1917" s="131" t="s">
        <v>11</v>
      </c>
      <c r="F1917" s="131" t="s">
        <v>247</v>
      </c>
      <c r="G1917" s="131" t="s">
        <v>31</v>
      </c>
      <c r="H1917" s="126">
        <v>911500</v>
      </c>
      <c r="I1917" s="131">
        <v>710120060</v>
      </c>
      <c r="J1917" s="131" t="str">
        <f t="shared" si="119"/>
        <v>0710120060</v>
      </c>
      <c r="K1917" s="304" t="str">
        <f t="shared" si="120"/>
        <v>61908010710120060244</v>
      </c>
      <c r="L1917" s="17"/>
    </row>
    <row r="1918" spans="1:13" s="16" customFormat="1" ht="31.5">
      <c r="A1918" s="14"/>
      <c r="B1918" s="127" t="s">
        <v>780</v>
      </c>
      <c r="C1918" s="131" t="s">
        <v>795</v>
      </c>
      <c r="D1918" s="131" t="s">
        <v>238</v>
      </c>
      <c r="E1918" s="131" t="s">
        <v>11</v>
      </c>
      <c r="F1918" s="131" t="s">
        <v>781</v>
      </c>
      <c r="G1918" s="131" t="s">
        <v>9</v>
      </c>
      <c r="H1918" s="161">
        <v>987800</v>
      </c>
      <c r="I1918" s="131">
        <v>710121130</v>
      </c>
      <c r="J1918" s="131" t="str">
        <f t="shared" ref="J1918:J1997" si="124">TEXT(I1918,"0000000000")</f>
        <v>0710121130</v>
      </c>
      <c r="K1918" s="304" t="str">
        <f t="shared" ref="K1918:K1996" si="125">C1918&amp;D1918&amp;E1918&amp;J1918&amp;G1918</f>
        <v>61908010710121130000</v>
      </c>
      <c r="L1918" s="17" t="str">
        <f>INDEX('реш СГД № 265'!$A:$N,MATCH('БА расх 2018 31 12 2018'!$K1918,'реш СГД № 265'!$N:$N,0),3)</f>
        <v>Расходы на размещение информационных баннеров на лайтбоксах на остановочных пунктах в городе Ставрополе</v>
      </c>
      <c r="M1918" s="16">
        <f t="shared" ref="M1918:M1997" si="126">IF(B1918=L1918,1,0)</f>
        <v>1</v>
      </c>
    </row>
    <row r="1919" spans="1:13" s="16" customFormat="1" ht="31.5">
      <c r="A1919" s="14"/>
      <c r="B1919" s="125" t="s">
        <v>28</v>
      </c>
      <c r="C1919" s="131" t="s">
        <v>795</v>
      </c>
      <c r="D1919" s="131" t="s">
        <v>238</v>
      </c>
      <c r="E1919" s="131" t="s">
        <v>11</v>
      </c>
      <c r="F1919" s="131" t="s">
        <v>781</v>
      </c>
      <c r="G1919" s="131" t="s">
        <v>29</v>
      </c>
      <c r="H1919" s="126">
        <v>987800</v>
      </c>
      <c r="I1919" s="131">
        <v>710121130</v>
      </c>
      <c r="J1919" s="131" t="str">
        <f t="shared" si="124"/>
        <v>0710121130</v>
      </c>
      <c r="K1919" s="304" t="str">
        <f t="shared" si="125"/>
        <v>61908010710121130240</v>
      </c>
      <c r="L1919" s="17" t="str">
        <f>INDEX('реш СГД № 265'!$A:$N,MATCH('БА расх 2018 31 12 2018'!$K1919,'реш СГД № 265'!$N:$N,0),3)</f>
        <v>Иные закупки товаров, работ и услуг для обеспечения государственных (муниципальных) нужд</v>
      </c>
      <c r="M1919" s="16">
        <f t="shared" si="126"/>
        <v>1</v>
      </c>
    </row>
    <row r="1920" spans="1:13" s="16" customFormat="1" ht="15.75">
      <c r="A1920" s="14"/>
      <c r="B1920" s="125" t="s">
        <v>30</v>
      </c>
      <c r="C1920" s="131" t="s">
        <v>795</v>
      </c>
      <c r="D1920" s="131" t="s">
        <v>238</v>
      </c>
      <c r="E1920" s="131" t="s">
        <v>11</v>
      </c>
      <c r="F1920" s="131" t="s">
        <v>781</v>
      </c>
      <c r="G1920" s="131" t="s">
        <v>31</v>
      </c>
      <c r="H1920" s="126">
        <v>987800</v>
      </c>
      <c r="I1920" s="131">
        <v>710121130</v>
      </c>
      <c r="J1920" s="131" t="str">
        <f t="shared" si="124"/>
        <v>0710121130</v>
      </c>
      <c r="K1920" s="304" t="str">
        <f t="shared" si="125"/>
        <v>61908010710121130244</v>
      </c>
      <c r="L1920" s="17"/>
    </row>
    <row r="1921" spans="1:13" s="16" customFormat="1" ht="15.75">
      <c r="A1921" s="14"/>
      <c r="B1921" s="117" t="s">
        <v>316</v>
      </c>
      <c r="C1921" s="118" t="s">
        <v>795</v>
      </c>
      <c r="D1921" s="119" t="s">
        <v>317</v>
      </c>
      <c r="E1921" s="119" t="s">
        <v>7</v>
      </c>
      <c r="F1921" s="119" t="s">
        <v>8</v>
      </c>
      <c r="G1921" s="119" t="s">
        <v>9</v>
      </c>
      <c r="H1921" s="120">
        <v>36212354</v>
      </c>
      <c r="I1921" s="131">
        <v>0</v>
      </c>
      <c r="J1921" s="131" t="str">
        <f t="shared" si="124"/>
        <v>0000000000</v>
      </c>
      <c r="K1921" s="304" t="str">
        <f t="shared" si="125"/>
        <v>61910000000000000000</v>
      </c>
      <c r="L1921" s="17" t="str">
        <f>INDEX('реш СГД № 265'!$A:$N,MATCH('БА расх 2018 31 12 2018'!$K1921,'реш СГД № 265'!$N:$N,0),3)</f>
        <v>Социальная политика</v>
      </c>
      <c r="M1921" s="16">
        <f t="shared" si="126"/>
        <v>1</v>
      </c>
    </row>
    <row r="1922" spans="1:13" s="16" customFormat="1" ht="15.75">
      <c r="A1922" s="14"/>
      <c r="B1922" s="121" t="s">
        <v>318</v>
      </c>
      <c r="C1922" s="122" t="s">
        <v>795</v>
      </c>
      <c r="D1922" s="123" t="s">
        <v>317</v>
      </c>
      <c r="E1922" s="123" t="s">
        <v>13</v>
      </c>
      <c r="F1922" s="123" t="s">
        <v>8</v>
      </c>
      <c r="G1922" s="123" t="s">
        <v>9</v>
      </c>
      <c r="H1922" s="124">
        <v>36212354</v>
      </c>
      <c r="I1922" s="131">
        <v>0</v>
      </c>
      <c r="J1922" s="131" t="str">
        <f t="shared" si="124"/>
        <v>0000000000</v>
      </c>
      <c r="K1922" s="304" t="str">
        <f t="shared" si="125"/>
        <v>61910030000000000000</v>
      </c>
      <c r="L1922" s="17" t="str">
        <f>INDEX('реш СГД № 265'!$A:$N,MATCH('БА расх 2018 31 12 2018'!$K1922,'реш СГД № 265'!$N:$N,0),3)</f>
        <v>Социальное обеспечение населения</v>
      </c>
      <c r="M1922" s="16">
        <f t="shared" si="126"/>
        <v>1</v>
      </c>
    </row>
    <row r="1923" spans="1:13" s="16" customFormat="1" ht="31.5">
      <c r="A1923" s="14"/>
      <c r="B1923" s="125" t="s">
        <v>385</v>
      </c>
      <c r="C1923" s="108" t="s">
        <v>795</v>
      </c>
      <c r="D1923" s="108" t="s">
        <v>317</v>
      </c>
      <c r="E1923" s="108" t="s">
        <v>13</v>
      </c>
      <c r="F1923" s="108" t="s">
        <v>386</v>
      </c>
      <c r="G1923" s="108" t="s">
        <v>9</v>
      </c>
      <c r="H1923" s="126">
        <v>36192860</v>
      </c>
      <c r="I1923" s="131">
        <v>300000000</v>
      </c>
      <c r="J1923" s="131" t="str">
        <f t="shared" si="124"/>
        <v>0300000000</v>
      </c>
      <c r="K1923" s="304" t="str">
        <f t="shared" si="125"/>
        <v>61910030300000000000</v>
      </c>
      <c r="L1923" s="17" t="str">
        <f>INDEX('реш СГД № 265'!$A:$N,MATCH('БА расх 2018 31 12 2018'!$K1923,'реш СГД № 265'!$N:$N,0),3)</f>
        <v>Муниципальная программа «Социальная поддержка населения города Ставрополя»</v>
      </c>
      <c r="M1923" s="16">
        <f t="shared" si="126"/>
        <v>1</v>
      </c>
    </row>
    <row r="1924" spans="1:13" s="16" customFormat="1" ht="47.25">
      <c r="A1924" s="14"/>
      <c r="B1924" s="125" t="s">
        <v>387</v>
      </c>
      <c r="C1924" s="109" t="s">
        <v>795</v>
      </c>
      <c r="D1924" s="108" t="s">
        <v>317</v>
      </c>
      <c r="E1924" s="108" t="s">
        <v>13</v>
      </c>
      <c r="F1924" s="108" t="s">
        <v>388</v>
      </c>
      <c r="G1924" s="108" t="s">
        <v>9</v>
      </c>
      <c r="H1924" s="126">
        <v>36192860</v>
      </c>
      <c r="I1924" s="131">
        <v>320000000</v>
      </c>
      <c r="J1924" s="131" t="str">
        <f t="shared" si="124"/>
        <v>0320000000</v>
      </c>
      <c r="K1924" s="304" t="str">
        <f t="shared" si="125"/>
        <v>61910030320000000000</v>
      </c>
      <c r="L1924" s="17" t="str">
        <f>INDEX('реш СГД № 265'!$A:$N,MATCH('БА расх 2018 31 12 2018'!$K1924,'реш СГД № 265'!$N:$N,0),3)</f>
        <v>Подпрограмма «Дополнительные меры социальной поддержки для отдельных категорий граждан, поддержка социально ориентированных некоммерческих организаций»</v>
      </c>
      <c r="M1924" s="16">
        <f t="shared" si="126"/>
        <v>1</v>
      </c>
    </row>
    <row r="1925" spans="1:13" s="16" customFormat="1" ht="31.5">
      <c r="A1925" s="14"/>
      <c r="B1925" s="137" t="s">
        <v>633</v>
      </c>
      <c r="C1925" s="109" t="s">
        <v>795</v>
      </c>
      <c r="D1925" s="108" t="s">
        <v>317</v>
      </c>
      <c r="E1925" s="108" t="s">
        <v>13</v>
      </c>
      <c r="F1925" s="108" t="s">
        <v>634</v>
      </c>
      <c r="G1925" s="108" t="s">
        <v>9</v>
      </c>
      <c r="H1925" s="126">
        <v>36192860</v>
      </c>
      <c r="I1925" s="131">
        <v>320100000</v>
      </c>
      <c r="J1925" s="131" t="str">
        <f t="shared" si="124"/>
        <v>0320100000</v>
      </c>
      <c r="K1925" s="304" t="str">
        <f t="shared" si="125"/>
        <v>61910030320100000000</v>
      </c>
      <c r="L1925" s="17" t="str">
        <f>INDEX('реш СГД № 265'!$A:$N,MATCH('БА расх 2018 31 12 2018'!$K1925,'реш СГД № 265'!$N:$N,0),3)</f>
        <v>Основное мероприятие «Предоставление дополнительных мер социальной поддержки отдельным категориям граждан»</v>
      </c>
      <c r="M1925" s="16">
        <f t="shared" si="126"/>
        <v>1</v>
      </c>
    </row>
    <row r="1926" spans="1:13" s="16" customFormat="1" ht="63">
      <c r="A1926" s="14"/>
      <c r="B1926" s="125" t="s">
        <v>1322</v>
      </c>
      <c r="C1926" s="108" t="s">
        <v>795</v>
      </c>
      <c r="D1926" s="108" t="s">
        <v>317</v>
      </c>
      <c r="E1926" s="108" t="s">
        <v>13</v>
      </c>
      <c r="F1926" s="108" t="s">
        <v>1323</v>
      </c>
      <c r="G1926" s="108" t="s">
        <v>9</v>
      </c>
      <c r="H1926" s="126">
        <v>36192860</v>
      </c>
      <c r="I1926" s="131">
        <v>320180270</v>
      </c>
      <c r="J1926" s="131" t="str">
        <f t="shared" si="124"/>
        <v>0320180270</v>
      </c>
      <c r="K1926" s="304" t="str">
        <f t="shared" si="125"/>
        <v>61910030320180270000</v>
      </c>
      <c r="L1926" s="17" t="str">
        <f>INDEX('реш СГД № 265'!$A:$N,MATCH('БА расх 2018 31 12 2018'!$K1926,'реш СГД № 265'!$N:$N,0),3)</f>
        <v>Предоставление дополнительных мер социальной поддержки гражданам, пострадавшим в результате внезапного частичного обрушения многоквартирного дома по адресу: город Ставрополь, улица Бруснева, дом 4</v>
      </c>
      <c r="M1926" s="16">
        <f t="shared" si="126"/>
        <v>1</v>
      </c>
    </row>
    <row r="1927" spans="1:13" s="16" customFormat="1" ht="31.5">
      <c r="A1927" s="14"/>
      <c r="B1927" s="132" t="s">
        <v>327</v>
      </c>
      <c r="C1927" s="108" t="s">
        <v>795</v>
      </c>
      <c r="D1927" s="108" t="s">
        <v>317</v>
      </c>
      <c r="E1927" s="108" t="s">
        <v>13</v>
      </c>
      <c r="F1927" s="108" t="s">
        <v>1323</v>
      </c>
      <c r="G1927" s="133">
        <v>320</v>
      </c>
      <c r="H1927" s="126">
        <v>36192860</v>
      </c>
      <c r="I1927" s="131">
        <v>320180270</v>
      </c>
      <c r="J1927" s="131" t="str">
        <f t="shared" si="124"/>
        <v>0320180270</v>
      </c>
      <c r="K1927" s="304" t="str">
        <f t="shared" si="125"/>
        <v>61910030320180270320</v>
      </c>
      <c r="L1927" s="17" t="str">
        <f>INDEX('реш СГД № 265'!$A:$N,MATCH('БА расх 2018 31 12 2018'!$K1927,'реш СГД № 265'!$N:$N,0),3)</f>
        <v>Социальные выплаты гражданам, кроме публичных нормативных социальных выплат</v>
      </c>
      <c r="M1927" s="16">
        <f t="shared" si="126"/>
        <v>1</v>
      </c>
    </row>
    <row r="1928" spans="1:13" s="16" customFormat="1" ht="31.5">
      <c r="A1928" s="14"/>
      <c r="B1928" s="125" t="s">
        <v>501</v>
      </c>
      <c r="C1928" s="108" t="s">
        <v>795</v>
      </c>
      <c r="D1928" s="108" t="s">
        <v>317</v>
      </c>
      <c r="E1928" s="108" t="s">
        <v>13</v>
      </c>
      <c r="F1928" s="108" t="s">
        <v>1323</v>
      </c>
      <c r="G1928" s="133">
        <v>323</v>
      </c>
      <c r="H1928" s="126">
        <v>36192860</v>
      </c>
      <c r="I1928" s="131">
        <v>320180270</v>
      </c>
      <c r="J1928" s="131" t="str">
        <f t="shared" si="124"/>
        <v>0320180270</v>
      </c>
      <c r="K1928" s="304" t="str">
        <f t="shared" si="125"/>
        <v>61910030320180270323</v>
      </c>
      <c r="L1928" s="17"/>
    </row>
    <row r="1929" spans="1:13" s="16" customFormat="1" ht="47.25">
      <c r="A1929" s="14"/>
      <c r="B1929" s="127" t="s">
        <v>87</v>
      </c>
      <c r="C1929" s="109" t="s">
        <v>795</v>
      </c>
      <c r="D1929" s="108" t="s">
        <v>1314</v>
      </c>
      <c r="E1929" s="108" t="s">
        <v>13</v>
      </c>
      <c r="F1929" s="108" t="s">
        <v>88</v>
      </c>
      <c r="G1929" s="108" t="s">
        <v>9</v>
      </c>
      <c r="H1929" s="126">
        <v>19494</v>
      </c>
      <c r="I1929" s="131">
        <v>9800000000</v>
      </c>
      <c r="J1929" s="131" t="str">
        <f t="shared" si="124"/>
        <v>9800000000</v>
      </c>
      <c r="K1929" s="304" t="str">
        <f t="shared" si="125"/>
        <v>61910 039800000000000</v>
      </c>
      <c r="L1929" s="17" t="str">
        <f>INDEX('реш СГД № 265'!$A:$N,MATCH('БА расх 2018 31 12 2018'!$K1929,'реш СГД № 265'!$N:$N,0),3)</f>
        <v>Реализация иных функций Ставропольской городской Думы, администрации города Ставрополя, ее отраслевых (функциональных) и территориальных органов</v>
      </c>
      <c r="M1929" s="16">
        <f t="shared" si="126"/>
        <v>1</v>
      </c>
    </row>
    <row r="1930" spans="1:13" s="16" customFormat="1" ht="15.75">
      <c r="A1930" s="14"/>
      <c r="B1930" s="127" t="s">
        <v>89</v>
      </c>
      <c r="C1930" s="109" t="s">
        <v>795</v>
      </c>
      <c r="D1930" s="108" t="s">
        <v>1314</v>
      </c>
      <c r="E1930" s="108" t="s">
        <v>13</v>
      </c>
      <c r="F1930" s="108" t="s">
        <v>90</v>
      </c>
      <c r="G1930" s="108" t="s">
        <v>9</v>
      </c>
      <c r="H1930" s="126">
        <v>19494</v>
      </c>
      <c r="I1930" s="131">
        <v>9810000000</v>
      </c>
      <c r="J1930" s="131" t="str">
        <f t="shared" si="124"/>
        <v>9810000000</v>
      </c>
      <c r="K1930" s="304" t="str">
        <f t="shared" si="125"/>
        <v>61910 039810000000000</v>
      </c>
      <c r="L1930" s="17" t="str">
        <f>INDEX('реш СГД № 265'!$A:$N,MATCH('БА расх 2018 31 12 2018'!$K1930,'реш СГД № 265'!$N:$N,0),3)</f>
        <v>Иные непрограммные мероприятия</v>
      </c>
      <c r="M1930" s="16">
        <f t="shared" si="126"/>
        <v>1</v>
      </c>
    </row>
    <row r="1931" spans="1:13" s="16" customFormat="1" ht="110.25">
      <c r="A1931" s="14"/>
      <c r="B1931" s="125" t="s">
        <v>1324</v>
      </c>
      <c r="C1931" s="109" t="s">
        <v>795</v>
      </c>
      <c r="D1931" s="108" t="s">
        <v>317</v>
      </c>
      <c r="E1931" s="108" t="s">
        <v>13</v>
      </c>
      <c r="F1931" s="108" t="s">
        <v>1325</v>
      </c>
      <c r="G1931" s="108" t="s">
        <v>9</v>
      </c>
      <c r="H1931" s="126">
        <v>19494</v>
      </c>
      <c r="I1931" s="131">
        <v>9810021610</v>
      </c>
      <c r="J1931" s="131" t="str">
        <f t="shared" si="124"/>
        <v>9810021610</v>
      </c>
      <c r="K1931" s="304" t="str">
        <f t="shared" si="125"/>
        <v>61910039810021610000</v>
      </c>
      <c r="L1931" s="17" t="str">
        <f>INDEX('реш СГД № 265'!$A:$N,MATCH('БА расх 2018 31 12 2018'!$K1931,'реш СГД № 265'!$N:$N,0),3)</f>
        <v>Предоставление субсидии индивидуальному предпринимателю Мурга Е.В. на частичное возмещение затрат, связанных с временным размещением граждан, пострадавших в результате внезапного обрушения части торцевой стены многоквартирного дома, расположенного по адресу: город Ставрополь, улица Бруснева, дом 4, в гостинице «Эльбрус»</v>
      </c>
      <c r="M1931" s="16">
        <f t="shared" si="126"/>
        <v>1</v>
      </c>
    </row>
    <row r="1932" spans="1:13" s="16" customFormat="1" ht="47.25">
      <c r="A1932" s="14"/>
      <c r="B1932" s="129" t="s">
        <v>203</v>
      </c>
      <c r="C1932" s="109" t="s">
        <v>795</v>
      </c>
      <c r="D1932" s="108" t="s">
        <v>317</v>
      </c>
      <c r="E1932" s="108" t="s">
        <v>13</v>
      </c>
      <c r="F1932" s="108" t="s">
        <v>1325</v>
      </c>
      <c r="G1932" s="108" t="s">
        <v>204</v>
      </c>
      <c r="H1932" s="126">
        <v>19494</v>
      </c>
      <c r="I1932" s="131">
        <v>9810021610</v>
      </c>
      <c r="J1932" s="131" t="str">
        <f t="shared" si="124"/>
        <v>9810021610</v>
      </c>
      <c r="K1932" s="304" t="str">
        <f t="shared" si="125"/>
        <v>61910039810021610810</v>
      </c>
      <c r="L1932" s="17" t="str">
        <f>INDEX('реш СГД № 265'!$A:$N,MATCH('БА расх 2018 31 12 2018'!$K1932,'реш СГД № 265'!$N:$N,0),3)</f>
        <v>Субсидии юридическим лицам (кроме некоммерческих организаций), индивидуальным предпринимателям, физическим лицам - производителям товаров, работ, услуг</v>
      </c>
      <c r="M1932" s="16">
        <f t="shared" si="126"/>
        <v>1</v>
      </c>
    </row>
    <row r="1933" spans="1:13" s="16" customFormat="1" ht="63">
      <c r="A1933" s="14"/>
      <c r="B1933" s="125" t="s">
        <v>205</v>
      </c>
      <c r="C1933" s="109" t="s">
        <v>795</v>
      </c>
      <c r="D1933" s="108" t="s">
        <v>317</v>
      </c>
      <c r="E1933" s="108" t="s">
        <v>13</v>
      </c>
      <c r="F1933" s="108" t="s">
        <v>1325</v>
      </c>
      <c r="G1933" s="108" t="s">
        <v>206</v>
      </c>
      <c r="H1933" s="126">
        <v>19494</v>
      </c>
      <c r="I1933" s="131">
        <v>9810021610</v>
      </c>
      <c r="J1933" s="131" t="str">
        <f t="shared" si="124"/>
        <v>9810021610</v>
      </c>
      <c r="K1933" s="304" t="str">
        <f t="shared" si="125"/>
        <v>61910039810021610811</v>
      </c>
      <c r="L1933" s="17"/>
    </row>
    <row r="1934" spans="1:13" s="16" customFormat="1" ht="15.75">
      <c r="A1934" s="14"/>
      <c r="B1934" s="125"/>
      <c r="C1934" s="131"/>
      <c r="D1934" s="131"/>
      <c r="E1934" s="131"/>
      <c r="F1934" s="131"/>
      <c r="G1934" s="131"/>
      <c r="H1934" s="126"/>
      <c r="I1934" s="131"/>
      <c r="J1934" s="131" t="str">
        <f t="shared" si="124"/>
        <v>0000000000</v>
      </c>
      <c r="K1934" s="304" t="str">
        <f t="shared" si="125"/>
        <v>0000000000</v>
      </c>
      <c r="L1934" s="17">
        <f>INDEX('реш СГД № 265'!$A:$N,MATCH('БА расх 2018 31 12 2018'!$K1934,'реш СГД № 265'!$N:$N,0),3)</f>
        <v>0</v>
      </c>
      <c r="M1934" s="16">
        <f t="shared" si="126"/>
        <v>1</v>
      </c>
    </row>
    <row r="1935" spans="1:13" s="16" customFormat="1" ht="31.5">
      <c r="A1935" s="14"/>
      <c r="B1935" s="67" t="s">
        <v>805</v>
      </c>
      <c r="C1935" s="116" t="s">
        <v>410</v>
      </c>
      <c r="D1935" s="69" t="s">
        <v>7</v>
      </c>
      <c r="E1935" s="69" t="s">
        <v>7</v>
      </c>
      <c r="F1935" s="69" t="s">
        <v>8</v>
      </c>
      <c r="G1935" s="69" t="s">
        <v>9</v>
      </c>
      <c r="H1935" s="162">
        <v>1520850982.5799999</v>
      </c>
      <c r="I1935" s="69">
        <v>0</v>
      </c>
      <c r="J1935" s="108" t="str">
        <f t="shared" si="124"/>
        <v>0000000000</v>
      </c>
      <c r="K1935" s="304" t="str">
        <f t="shared" si="125"/>
        <v>62000000000000000000</v>
      </c>
      <c r="L1935" s="17" t="str">
        <f>INDEX('реш СГД № 265'!$A:$N,MATCH('БА расх 2018 31 12 2018'!$K1935,'реш СГД № 265'!$N:$N,0),3)</f>
        <v>Комитет городского хозяйства администрации города Ставрополя</v>
      </c>
      <c r="M1935" s="16">
        <f t="shared" si="126"/>
        <v>1</v>
      </c>
    </row>
    <row r="1936" spans="1:13" s="16" customFormat="1" ht="15.75">
      <c r="A1936" s="14"/>
      <c r="B1936" s="117" t="s">
        <v>10</v>
      </c>
      <c r="C1936" s="118" t="s">
        <v>410</v>
      </c>
      <c r="D1936" s="119" t="s">
        <v>11</v>
      </c>
      <c r="E1936" s="119" t="s">
        <v>7</v>
      </c>
      <c r="F1936" s="119" t="s">
        <v>8</v>
      </c>
      <c r="G1936" s="119" t="s">
        <v>9</v>
      </c>
      <c r="H1936" s="120">
        <v>5950392.0600000005</v>
      </c>
      <c r="I1936" s="119">
        <v>0</v>
      </c>
      <c r="J1936" s="108" t="str">
        <f t="shared" si="124"/>
        <v>0000000000</v>
      </c>
      <c r="K1936" s="304" t="str">
        <f t="shared" si="125"/>
        <v>62001000000000000000</v>
      </c>
      <c r="L1936" s="17" t="str">
        <f>INDEX('реш СГД № 265'!$A:$N,MATCH('БА расх 2018 31 12 2018'!$K1936,'реш СГД № 265'!$N:$N,0),3)</f>
        <v>Общегосударственные вопросы</v>
      </c>
      <c r="M1936" s="16">
        <f t="shared" si="126"/>
        <v>1</v>
      </c>
    </row>
    <row r="1937" spans="1:13" s="16" customFormat="1" ht="15.75">
      <c r="A1937" s="14"/>
      <c r="B1937" s="121" t="s">
        <v>50</v>
      </c>
      <c r="C1937" s="122" t="s">
        <v>410</v>
      </c>
      <c r="D1937" s="123" t="s">
        <v>11</v>
      </c>
      <c r="E1937" s="123" t="s">
        <v>51</v>
      </c>
      <c r="F1937" s="123" t="s">
        <v>8</v>
      </c>
      <c r="G1937" s="123" t="s">
        <v>9</v>
      </c>
      <c r="H1937" s="124">
        <v>5950392.0600000005</v>
      </c>
      <c r="I1937" s="123">
        <v>0</v>
      </c>
      <c r="J1937" s="108" t="str">
        <f t="shared" si="124"/>
        <v>0000000000</v>
      </c>
      <c r="K1937" s="304" t="str">
        <f t="shared" si="125"/>
        <v>62001130000000000000</v>
      </c>
      <c r="L1937" s="17" t="str">
        <f>INDEX('реш СГД № 265'!$A:$N,MATCH('БА расх 2018 31 12 2018'!$K1937,'реш СГД № 265'!$N:$N,0),3)</f>
        <v>Другие общегосударственные вопросы</v>
      </c>
      <c r="M1937" s="16">
        <f t="shared" si="126"/>
        <v>1</v>
      </c>
    </row>
    <row r="1938" spans="1:13" s="16" customFormat="1" ht="47.25">
      <c r="A1938" s="14"/>
      <c r="B1938" s="125" t="s">
        <v>257</v>
      </c>
      <c r="C1938" s="109" t="s">
        <v>410</v>
      </c>
      <c r="D1938" s="108" t="s">
        <v>11</v>
      </c>
      <c r="E1938" s="108" t="s">
        <v>51</v>
      </c>
      <c r="F1938" s="14" t="s">
        <v>258</v>
      </c>
      <c r="G1938" s="108" t="s">
        <v>9</v>
      </c>
      <c r="H1938" s="126">
        <v>71660</v>
      </c>
      <c r="I1938" s="14">
        <v>1100000000</v>
      </c>
      <c r="J1938" s="14" t="str">
        <f t="shared" si="124"/>
        <v>1100000000</v>
      </c>
      <c r="K1938" s="304" t="str">
        <f t="shared" si="125"/>
        <v>62001131100000000000</v>
      </c>
      <c r="L1938" s="17" t="str">
        <f>INDEX('реш СГД № 265'!$A:$N,MATCH('БА расх 2018 31 12 2018'!$K1938,'реш СГД № 265'!$N:$N,0),3)</f>
        <v>Муниципальная программа  «Управление и распоряжение имуществом, находящимся в муниципальной собственности города Ставрополя, в том числе земельными ресурсами»</v>
      </c>
      <c r="M1938" s="16">
        <f t="shared" si="126"/>
        <v>1</v>
      </c>
    </row>
    <row r="1939" spans="1:13" s="16" customFormat="1" ht="63">
      <c r="A1939" s="14"/>
      <c r="B1939" s="125" t="s">
        <v>259</v>
      </c>
      <c r="C1939" s="109" t="s">
        <v>410</v>
      </c>
      <c r="D1939" s="108" t="s">
        <v>11</v>
      </c>
      <c r="E1939" s="108" t="s">
        <v>51</v>
      </c>
      <c r="F1939" s="14" t="s">
        <v>260</v>
      </c>
      <c r="G1939" s="108" t="s">
        <v>9</v>
      </c>
      <c r="H1939" s="126">
        <v>71660</v>
      </c>
      <c r="I1939" s="14" t="s">
        <v>1171</v>
      </c>
      <c r="J1939" s="14" t="str">
        <f t="shared" si="124"/>
        <v>11Б0000000</v>
      </c>
      <c r="K1939" s="304" t="str">
        <f t="shared" si="125"/>
        <v>620011311Б0000000000</v>
      </c>
      <c r="L1939" s="17" t="str">
        <f>INDEX('реш СГД № 265'!$A:$N,MATCH('БА расх 2018 31 12 2018'!$K1939,'реш СГД № 265'!$N:$N,0),3)</f>
        <v>Расходы в рамках реализации муниципальной программы «Управление и распоряжение  имуществом, находящимся в муниципальной собственности города Ставрополя, в том числе земельными ресурсами»</v>
      </c>
      <c r="M1939" s="16">
        <f t="shared" si="126"/>
        <v>1</v>
      </c>
    </row>
    <row r="1940" spans="1:13" s="16" customFormat="1" ht="47.25">
      <c r="A1940" s="14"/>
      <c r="B1940" s="125" t="s">
        <v>261</v>
      </c>
      <c r="C1940" s="109" t="s">
        <v>410</v>
      </c>
      <c r="D1940" s="108" t="s">
        <v>11</v>
      </c>
      <c r="E1940" s="108" t="s">
        <v>51</v>
      </c>
      <c r="F1940" s="14" t="s">
        <v>262</v>
      </c>
      <c r="G1940" s="108" t="s">
        <v>9</v>
      </c>
      <c r="H1940" s="126">
        <v>71660</v>
      </c>
      <c r="I1940" s="14" t="s">
        <v>1172</v>
      </c>
      <c r="J1940" s="14" t="str">
        <f t="shared" si="124"/>
        <v>11Б0100000</v>
      </c>
      <c r="K1940" s="304" t="str">
        <f t="shared" si="125"/>
        <v>620011311Б0100000000</v>
      </c>
      <c r="L1940" s="17" t="str">
        <f>INDEX('реш СГД № 265'!$A:$N,MATCH('БА расх 2018 31 12 2018'!$K1940,'реш СГД № 265'!$N:$N,0),3)</f>
        <v>Основное мероприятие «Управление и распоряжение объектами недвижимого имущества, находящимися в муниципальной собственности города Ставрополя»</v>
      </c>
      <c r="M1940" s="16">
        <f t="shared" si="126"/>
        <v>1</v>
      </c>
    </row>
    <row r="1941" spans="1:13" s="16" customFormat="1" ht="31.5">
      <c r="A1941" s="14"/>
      <c r="B1941" s="125" t="s">
        <v>267</v>
      </c>
      <c r="C1941" s="109" t="s">
        <v>410</v>
      </c>
      <c r="D1941" s="108" t="s">
        <v>11</v>
      </c>
      <c r="E1941" s="108" t="s">
        <v>51</v>
      </c>
      <c r="F1941" s="14" t="s">
        <v>268</v>
      </c>
      <c r="G1941" s="108" t="s">
        <v>9</v>
      </c>
      <c r="H1941" s="126">
        <v>71660</v>
      </c>
      <c r="I1941" s="14" t="s">
        <v>1175</v>
      </c>
      <c r="J1941" s="14" t="str">
        <f t="shared" si="124"/>
        <v>11Б0121120</v>
      </c>
      <c r="K1941" s="304" t="str">
        <f t="shared" si="125"/>
        <v>620011311Б0121120000</v>
      </c>
      <c r="L1941" s="17" t="str">
        <f>INDEX('реш СГД № 265'!$A:$N,MATCH('БА расх 2018 31 12 2018'!$K1941,'реш СГД № 265'!$N:$N,0),3)</f>
        <v>Расходы на уплату взносов на капитальный ремонт общего имущества в многоквартирных домах</v>
      </c>
      <c r="M1941" s="16">
        <f t="shared" si="126"/>
        <v>1</v>
      </c>
    </row>
    <row r="1942" spans="1:13" s="16" customFormat="1" ht="31.5">
      <c r="A1942" s="14"/>
      <c r="B1942" s="125" t="s">
        <v>28</v>
      </c>
      <c r="C1942" s="109" t="s">
        <v>410</v>
      </c>
      <c r="D1942" s="108" t="s">
        <v>11</v>
      </c>
      <c r="E1942" s="108" t="s">
        <v>51</v>
      </c>
      <c r="F1942" s="14" t="s">
        <v>268</v>
      </c>
      <c r="G1942" s="108" t="s">
        <v>29</v>
      </c>
      <c r="H1942" s="126">
        <v>71660</v>
      </c>
      <c r="I1942" s="14" t="s">
        <v>1175</v>
      </c>
      <c r="J1942" s="14" t="str">
        <f t="shared" si="124"/>
        <v>11Б0121120</v>
      </c>
      <c r="K1942" s="304" t="str">
        <f t="shared" si="125"/>
        <v>620011311Б0121120240</v>
      </c>
      <c r="L1942" s="17" t="str">
        <f>INDEX('реш СГД № 265'!$A:$N,MATCH('БА расх 2018 31 12 2018'!$K1942,'реш СГД № 265'!$N:$N,0),3)</f>
        <v>Иные закупки товаров, работ и услуг для обеспечения государственных (муниципальных) нужд</v>
      </c>
      <c r="M1942" s="16">
        <f t="shared" si="126"/>
        <v>1</v>
      </c>
    </row>
    <row r="1943" spans="1:13" s="16" customFormat="1" ht="15.75">
      <c r="A1943" s="14"/>
      <c r="B1943" s="125" t="s">
        <v>30</v>
      </c>
      <c r="C1943" s="109" t="s">
        <v>410</v>
      </c>
      <c r="D1943" s="108" t="s">
        <v>11</v>
      </c>
      <c r="E1943" s="108" t="s">
        <v>51</v>
      </c>
      <c r="F1943" s="14" t="s">
        <v>268</v>
      </c>
      <c r="G1943" s="108" t="s">
        <v>31</v>
      </c>
      <c r="H1943" s="126">
        <v>71660</v>
      </c>
      <c r="I1943" s="14" t="s">
        <v>1175</v>
      </c>
      <c r="J1943" s="14" t="str">
        <f t="shared" si="124"/>
        <v>11Б0121120</v>
      </c>
      <c r="K1943" s="304" t="str">
        <f t="shared" si="125"/>
        <v>620011311Б0121120244</v>
      </c>
      <c r="L1943" s="17"/>
    </row>
    <row r="1944" spans="1:13" s="16" customFormat="1" ht="31.5">
      <c r="A1944" s="14"/>
      <c r="B1944" s="125" t="s">
        <v>806</v>
      </c>
      <c r="C1944" s="108" t="s">
        <v>410</v>
      </c>
      <c r="D1944" s="108" t="s">
        <v>11</v>
      </c>
      <c r="E1944" s="108" t="s">
        <v>51</v>
      </c>
      <c r="F1944" s="108" t="s">
        <v>807</v>
      </c>
      <c r="G1944" s="108" t="s">
        <v>9</v>
      </c>
      <c r="H1944" s="126">
        <v>5581817.0600000005</v>
      </c>
      <c r="I1944" s="108">
        <v>8300000000</v>
      </c>
      <c r="J1944" s="108" t="str">
        <f t="shared" si="124"/>
        <v>8300000000</v>
      </c>
      <c r="K1944" s="304" t="str">
        <f t="shared" si="125"/>
        <v>62001138300000000000</v>
      </c>
      <c r="L1944" s="17" t="str">
        <f>INDEX('реш СГД № 265'!$A:$N,MATCH('БА расх 2018 31 12 2018'!$K1944,'реш СГД № 265'!$N:$N,0),3)</f>
        <v>Обеспечение деятельности комитета городского хозяйства администрации города Ставрополя</v>
      </c>
      <c r="M1944" s="16">
        <f t="shared" si="126"/>
        <v>1</v>
      </c>
    </row>
    <row r="1945" spans="1:13" s="16" customFormat="1" ht="47.25">
      <c r="A1945" s="14"/>
      <c r="B1945" s="125" t="s">
        <v>808</v>
      </c>
      <c r="C1945" s="108" t="s">
        <v>410</v>
      </c>
      <c r="D1945" s="108" t="s">
        <v>11</v>
      </c>
      <c r="E1945" s="108" t="s">
        <v>51</v>
      </c>
      <c r="F1945" s="108" t="s">
        <v>809</v>
      </c>
      <c r="G1945" s="108" t="s">
        <v>9</v>
      </c>
      <c r="H1945" s="126">
        <v>5581817.0600000005</v>
      </c>
      <c r="I1945" s="108">
        <v>8310000000</v>
      </c>
      <c r="J1945" s="108" t="str">
        <f t="shared" si="124"/>
        <v>8310000000</v>
      </c>
      <c r="K1945" s="304" t="str">
        <f t="shared" si="125"/>
        <v>62001138310000000000</v>
      </c>
      <c r="L1945" s="17" t="str">
        <f>INDEX('реш СГД № 265'!$A:$N,MATCH('БА расх 2018 31 12 2018'!$K1945,'реш СГД № 265'!$N:$N,0),3)</f>
        <v>Непрограммные расходы в рамках обеспечения деятельности комитета городского хозяйства администрации города Ставрополя</v>
      </c>
      <c r="M1945" s="16">
        <f t="shared" si="126"/>
        <v>1</v>
      </c>
    </row>
    <row r="1946" spans="1:13" s="16" customFormat="1" ht="31.5">
      <c r="A1946" s="14"/>
      <c r="B1946" s="125" t="s">
        <v>355</v>
      </c>
      <c r="C1946" s="108" t="s">
        <v>410</v>
      </c>
      <c r="D1946" s="108" t="s">
        <v>11</v>
      </c>
      <c r="E1946" s="108" t="s">
        <v>51</v>
      </c>
      <c r="F1946" s="131" t="s">
        <v>1233</v>
      </c>
      <c r="G1946" s="131" t="s">
        <v>9</v>
      </c>
      <c r="H1946" s="126">
        <v>91556.64</v>
      </c>
      <c r="I1946" s="108">
        <v>8310010050</v>
      </c>
      <c r="J1946" s="108" t="str">
        <f t="shared" si="124"/>
        <v>8310010050</v>
      </c>
      <c r="K1946" s="304" t="str">
        <f t="shared" si="125"/>
        <v>62001138310010050000</v>
      </c>
      <c r="L1946" s="400" t="e">
        <f>INDEX('реш СГД № 265'!$A:$N,MATCH('БА расх 2018 31 12 2018'!$K1946,'реш СГД № 265'!$N:$N,0),3)</f>
        <v>#N/A</v>
      </c>
      <c r="M1946" s="17" t="e">
        <f t="shared" si="126"/>
        <v>#N/A</v>
      </c>
    </row>
    <row r="1947" spans="1:13" s="16" customFormat="1" ht="31.5">
      <c r="A1947" s="14"/>
      <c r="B1947" s="127" t="s">
        <v>20</v>
      </c>
      <c r="C1947" s="108" t="s">
        <v>410</v>
      </c>
      <c r="D1947" s="108" t="s">
        <v>11</v>
      </c>
      <c r="E1947" s="108" t="s">
        <v>51</v>
      </c>
      <c r="F1947" s="131" t="s">
        <v>1233</v>
      </c>
      <c r="G1947" s="305" t="s">
        <v>21</v>
      </c>
      <c r="H1947" s="126">
        <v>91556.64</v>
      </c>
      <c r="I1947" s="108">
        <v>8310010050</v>
      </c>
      <c r="J1947" s="108" t="str">
        <f t="shared" si="124"/>
        <v>8310010050</v>
      </c>
      <c r="K1947" s="304" t="str">
        <f t="shared" si="125"/>
        <v>62001138310010050120</v>
      </c>
      <c r="L1947" s="400" t="e">
        <f>INDEX('реш СГД № 265'!$A:$N,MATCH('БА расх 2018 31 12 2018'!$K1947,'реш СГД № 265'!$N:$N,0),3)</f>
        <v>#N/A</v>
      </c>
      <c r="M1947" s="17" t="e">
        <f t="shared" si="126"/>
        <v>#N/A</v>
      </c>
    </row>
    <row r="1948" spans="1:13" s="16" customFormat="1" ht="31.5">
      <c r="A1948" s="14"/>
      <c r="B1948" s="127" t="s">
        <v>40</v>
      </c>
      <c r="C1948" s="108" t="s">
        <v>410</v>
      </c>
      <c r="D1948" s="108" t="s">
        <v>11</v>
      </c>
      <c r="E1948" s="108" t="s">
        <v>51</v>
      </c>
      <c r="F1948" s="131" t="s">
        <v>1233</v>
      </c>
      <c r="G1948" s="305" t="s">
        <v>41</v>
      </c>
      <c r="H1948" s="126">
        <v>70320</v>
      </c>
      <c r="I1948" s="108">
        <v>8310010050</v>
      </c>
      <c r="J1948" s="108" t="str">
        <f t="shared" si="124"/>
        <v>8310010050</v>
      </c>
      <c r="K1948" s="304" t="str">
        <f t="shared" si="125"/>
        <v>62001138310010050121</v>
      </c>
      <c r="L1948" s="17"/>
    </row>
    <row r="1949" spans="1:13" s="16" customFormat="1" ht="47.25">
      <c r="A1949" s="14"/>
      <c r="B1949" s="127" t="s">
        <v>26</v>
      </c>
      <c r="C1949" s="108" t="s">
        <v>410</v>
      </c>
      <c r="D1949" s="108" t="s">
        <v>11</v>
      </c>
      <c r="E1949" s="108" t="s">
        <v>51</v>
      </c>
      <c r="F1949" s="131" t="s">
        <v>1233</v>
      </c>
      <c r="G1949" s="305" t="s">
        <v>27</v>
      </c>
      <c r="H1949" s="126">
        <v>21236.639999999999</v>
      </c>
      <c r="I1949" s="108">
        <v>8310010050</v>
      </c>
      <c r="J1949" s="108" t="str">
        <f t="shared" si="124"/>
        <v>8310010050</v>
      </c>
      <c r="K1949" s="304" t="str">
        <f t="shared" si="125"/>
        <v>62001138310010050129</v>
      </c>
      <c r="L1949" s="17"/>
    </row>
    <row r="1950" spans="1:13" s="16" customFormat="1" ht="31.5">
      <c r="A1950" s="14"/>
      <c r="B1950" s="125" t="s">
        <v>187</v>
      </c>
      <c r="C1950" s="108" t="s">
        <v>410</v>
      </c>
      <c r="D1950" s="108" t="s">
        <v>11</v>
      </c>
      <c r="E1950" s="108" t="s">
        <v>51</v>
      </c>
      <c r="F1950" s="108" t="s">
        <v>810</v>
      </c>
      <c r="G1950" s="108" t="s">
        <v>9</v>
      </c>
      <c r="H1950" s="126">
        <v>4079760.42</v>
      </c>
      <c r="I1950" s="108">
        <v>8310020050</v>
      </c>
      <c r="J1950" s="108" t="str">
        <f t="shared" si="124"/>
        <v>8310020050</v>
      </c>
      <c r="K1950" s="304" t="str">
        <f t="shared" si="125"/>
        <v>62001138310020050000</v>
      </c>
      <c r="L1950" s="17" t="str">
        <f>INDEX('реш СГД № 265'!$A:$N,MATCH('БА расх 2018 31 12 2018'!$K1950,'реш СГД № 265'!$N:$N,0),3)</f>
        <v>Расходы на выплаты на основании исполнительных листов судебных органов</v>
      </c>
      <c r="M1950" s="16">
        <f t="shared" si="126"/>
        <v>1</v>
      </c>
    </row>
    <row r="1951" spans="1:13" s="16" customFormat="1" ht="15.75">
      <c r="A1951" s="14"/>
      <c r="B1951" s="125" t="s">
        <v>189</v>
      </c>
      <c r="C1951" s="108" t="s">
        <v>410</v>
      </c>
      <c r="D1951" s="108" t="s">
        <v>11</v>
      </c>
      <c r="E1951" s="108" t="s">
        <v>51</v>
      </c>
      <c r="F1951" s="108" t="s">
        <v>810</v>
      </c>
      <c r="G1951" s="108" t="s">
        <v>190</v>
      </c>
      <c r="H1951" s="126">
        <v>4079760.42</v>
      </c>
      <c r="I1951" s="108">
        <v>8310020050</v>
      </c>
      <c r="J1951" s="108" t="str">
        <f t="shared" si="124"/>
        <v>8310020050</v>
      </c>
      <c r="K1951" s="304" t="str">
        <f t="shared" si="125"/>
        <v>62001138310020050830</v>
      </c>
      <c r="L1951" s="17" t="str">
        <f>INDEX('реш СГД № 265'!$A:$N,MATCH('БА расх 2018 31 12 2018'!$K1951,'реш СГД № 265'!$N:$N,0),3)</f>
        <v>Исполнение судебных актов</v>
      </c>
      <c r="M1951" s="16">
        <f t="shared" si="126"/>
        <v>1</v>
      </c>
    </row>
    <row r="1952" spans="1:13" s="16" customFormat="1" ht="31.5">
      <c r="A1952" s="14"/>
      <c r="B1952" s="125" t="s">
        <v>191</v>
      </c>
      <c r="C1952" s="108" t="s">
        <v>410</v>
      </c>
      <c r="D1952" s="108" t="s">
        <v>11</v>
      </c>
      <c r="E1952" s="108" t="s">
        <v>51</v>
      </c>
      <c r="F1952" s="108" t="s">
        <v>810</v>
      </c>
      <c r="G1952" s="108" t="s">
        <v>192</v>
      </c>
      <c r="H1952" s="126">
        <v>4079760.42</v>
      </c>
      <c r="I1952" s="108">
        <v>8310020050</v>
      </c>
      <c r="J1952" s="108" t="str">
        <f t="shared" si="124"/>
        <v>8310020050</v>
      </c>
      <c r="K1952" s="304" t="str">
        <f t="shared" si="125"/>
        <v>62001138310020050831</v>
      </c>
      <c r="L1952" s="17"/>
    </row>
    <row r="1953" spans="1:13" s="16" customFormat="1" ht="15.75">
      <c r="A1953" s="14"/>
      <c r="B1953" s="164" t="s">
        <v>1234</v>
      </c>
      <c r="C1953" s="109" t="s">
        <v>410</v>
      </c>
      <c r="D1953" s="108" t="s">
        <v>11</v>
      </c>
      <c r="E1953" s="108" t="s">
        <v>51</v>
      </c>
      <c r="F1953" s="108" t="s">
        <v>1235</v>
      </c>
      <c r="G1953" s="108" t="s">
        <v>9</v>
      </c>
      <c r="H1953" s="126">
        <v>1410500</v>
      </c>
      <c r="I1953" s="108">
        <v>8310021040</v>
      </c>
      <c r="J1953" s="108" t="str">
        <f t="shared" si="124"/>
        <v>8310021040</v>
      </c>
      <c r="K1953" s="304" t="str">
        <f t="shared" si="125"/>
        <v>62001138310021040000</v>
      </c>
      <c r="L1953" s="17" t="str">
        <f>INDEX('реш СГД № 265'!$A:$N,MATCH('БА расх 2018 31 12 2018'!$K1953,'реш СГД № 265'!$N:$N,0),3)</f>
        <v>Расходы на уплату административного штрафа</v>
      </c>
      <c r="M1953" s="16">
        <f t="shared" si="126"/>
        <v>1</v>
      </c>
    </row>
    <row r="1954" spans="1:13" s="16" customFormat="1" ht="15.75">
      <c r="A1954" s="14"/>
      <c r="B1954" s="125" t="s">
        <v>189</v>
      </c>
      <c r="C1954" s="109" t="s">
        <v>410</v>
      </c>
      <c r="D1954" s="108" t="s">
        <v>11</v>
      </c>
      <c r="E1954" s="108" t="s">
        <v>51</v>
      </c>
      <c r="F1954" s="108" t="s">
        <v>1235</v>
      </c>
      <c r="G1954" s="108" t="s">
        <v>190</v>
      </c>
      <c r="H1954" s="126">
        <v>100000</v>
      </c>
      <c r="I1954" s="108">
        <v>8310021040</v>
      </c>
      <c r="J1954" s="108" t="str">
        <f t="shared" ref="J1954:J1955" si="127">TEXT(I1954,"0000000000")</f>
        <v>8310021040</v>
      </c>
      <c r="K1954" s="304" t="str">
        <f t="shared" ref="K1954:K1955" si="128">C1954&amp;D1954&amp;E1954&amp;J1954&amp;G1954</f>
        <v>62001138310021040830</v>
      </c>
      <c r="L1954" s="17" t="e">
        <f>INDEX('реш СГД № 265'!$A:$N,MATCH('БА расх 2018 31 12 2018'!$K1954,'реш СГД № 265'!$N:$N,0),3)</f>
        <v>#N/A</v>
      </c>
    </row>
    <row r="1955" spans="1:13" s="16" customFormat="1" ht="31.5">
      <c r="A1955" s="14"/>
      <c r="B1955" s="125" t="s">
        <v>191</v>
      </c>
      <c r="C1955" s="109" t="s">
        <v>410</v>
      </c>
      <c r="D1955" s="108" t="s">
        <v>11</v>
      </c>
      <c r="E1955" s="108" t="s">
        <v>51</v>
      </c>
      <c r="F1955" s="108" t="s">
        <v>1235</v>
      </c>
      <c r="G1955" s="108" t="s">
        <v>192</v>
      </c>
      <c r="H1955" s="126">
        <v>100000</v>
      </c>
      <c r="I1955" s="108">
        <v>8310021040</v>
      </c>
      <c r="J1955" s="108" t="str">
        <f t="shared" si="127"/>
        <v>8310021040</v>
      </c>
      <c r="K1955" s="304" t="str">
        <f t="shared" si="128"/>
        <v>62001138310021040831</v>
      </c>
      <c r="L1955" s="17"/>
    </row>
    <row r="1956" spans="1:13" s="16" customFormat="1" ht="15.75">
      <c r="A1956" s="14"/>
      <c r="B1956" s="148" t="s">
        <v>32</v>
      </c>
      <c r="C1956" s="109" t="s">
        <v>410</v>
      </c>
      <c r="D1956" s="108" t="s">
        <v>11</v>
      </c>
      <c r="E1956" s="108" t="s">
        <v>51</v>
      </c>
      <c r="F1956" s="108" t="s">
        <v>1235</v>
      </c>
      <c r="G1956" s="108" t="s">
        <v>33</v>
      </c>
      <c r="H1956" s="126">
        <v>1310500</v>
      </c>
      <c r="I1956" s="108">
        <v>8310021040</v>
      </c>
      <c r="J1956" s="108" t="str">
        <f t="shared" si="124"/>
        <v>8310021040</v>
      </c>
      <c r="K1956" s="304" t="str">
        <f t="shared" si="125"/>
        <v>62001138310021040850</v>
      </c>
      <c r="L1956" s="17" t="str">
        <f>INDEX('реш СГД № 265'!$A:$N,MATCH('БА расх 2018 31 12 2018'!$K1956,'реш СГД № 265'!$N:$N,0),3)</f>
        <v>Уплата налогов, сборов и иных платежей</v>
      </c>
      <c r="M1956" s="16">
        <f t="shared" si="126"/>
        <v>1</v>
      </c>
    </row>
    <row r="1957" spans="1:13" s="16" customFormat="1" ht="15.75">
      <c r="A1957" s="14"/>
      <c r="B1957" s="127" t="s">
        <v>77</v>
      </c>
      <c r="C1957" s="109" t="s">
        <v>410</v>
      </c>
      <c r="D1957" s="108" t="s">
        <v>11</v>
      </c>
      <c r="E1957" s="108" t="s">
        <v>51</v>
      </c>
      <c r="F1957" s="108" t="s">
        <v>1235</v>
      </c>
      <c r="G1957" s="108" t="s">
        <v>78</v>
      </c>
      <c r="H1957" s="126">
        <v>1310500</v>
      </c>
      <c r="I1957" s="108">
        <v>8310021040</v>
      </c>
      <c r="J1957" s="108" t="str">
        <f t="shared" si="124"/>
        <v>8310021040</v>
      </c>
      <c r="K1957" s="304" t="str">
        <f t="shared" si="125"/>
        <v>62001138310021040853</v>
      </c>
      <c r="L1957" s="17"/>
    </row>
    <row r="1958" spans="1:13" s="16" customFormat="1" ht="47.25">
      <c r="A1958" s="14"/>
      <c r="B1958" s="127" t="s">
        <v>87</v>
      </c>
      <c r="C1958" s="109" t="s">
        <v>410</v>
      </c>
      <c r="D1958" s="108" t="s">
        <v>11</v>
      </c>
      <c r="E1958" s="108" t="s">
        <v>51</v>
      </c>
      <c r="F1958" s="14" t="s">
        <v>88</v>
      </c>
      <c r="G1958" s="108" t="s">
        <v>9</v>
      </c>
      <c r="H1958" s="126">
        <v>296915</v>
      </c>
      <c r="I1958" s="108">
        <v>9800000000</v>
      </c>
      <c r="J1958" s="108" t="str">
        <f t="shared" si="124"/>
        <v>9800000000</v>
      </c>
      <c r="K1958" s="304" t="str">
        <f t="shared" si="125"/>
        <v>62001139800000000000</v>
      </c>
      <c r="L1958" s="17"/>
    </row>
    <row r="1959" spans="1:13" s="16" customFormat="1" ht="15.75">
      <c r="A1959" s="14"/>
      <c r="B1959" s="127" t="s">
        <v>89</v>
      </c>
      <c r="C1959" s="109" t="s">
        <v>410</v>
      </c>
      <c r="D1959" s="108" t="s">
        <v>11</v>
      </c>
      <c r="E1959" s="108" t="s">
        <v>51</v>
      </c>
      <c r="F1959" s="14" t="s">
        <v>90</v>
      </c>
      <c r="G1959" s="108" t="s">
        <v>9</v>
      </c>
      <c r="H1959" s="126">
        <v>296915</v>
      </c>
      <c r="I1959" s="108">
        <v>9810000000</v>
      </c>
      <c r="J1959" s="108" t="str">
        <f t="shared" si="124"/>
        <v>9810000000</v>
      </c>
      <c r="K1959" s="304" t="str">
        <f t="shared" si="125"/>
        <v>62001139810000000000</v>
      </c>
      <c r="L1959" s="17"/>
    </row>
    <row r="1960" spans="1:13" s="16" customFormat="1" ht="31.5">
      <c r="A1960" s="14"/>
      <c r="B1960" s="307" t="s">
        <v>282</v>
      </c>
      <c r="C1960" s="109" t="s">
        <v>410</v>
      </c>
      <c r="D1960" s="108" t="s">
        <v>11</v>
      </c>
      <c r="E1960" s="108" t="s">
        <v>51</v>
      </c>
      <c r="F1960" s="108" t="s">
        <v>283</v>
      </c>
      <c r="G1960" s="108" t="s">
        <v>9</v>
      </c>
      <c r="H1960" s="126">
        <v>296915</v>
      </c>
      <c r="I1960" s="108">
        <v>9810021350</v>
      </c>
      <c r="J1960" s="108" t="str">
        <f t="shared" si="124"/>
        <v>9810021350</v>
      </c>
      <c r="K1960" s="304" t="str">
        <f t="shared" si="125"/>
        <v>62001139810021350000</v>
      </c>
      <c r="L1960" s="17"/>
    </row>
    <row r="1961" spans="1:13" s="16" customFormat="1" ht="31.5">
      <c r="A1961" s="14"/>
      <c r="B1961" s="125" t="s">
        <v>28</v>
      </c>
      <c r="C1961" s="109" t="s">
        <v>410</v>
      </c>
      <c r="D1961" s="108" t="s">
        <v>11</v>
      </c>
      <c r="E1961" s="108" t="s">
        <v>51</v>
      </c>
      <c r="F1961" s="108" t="s">
        <v>283</v>
      </c>
      <c r="G1961" s="131" t="s">
        <v>29</v>
      </c>
      <c r="H1961" s="126">
        <v>296915</v>
      </c>
      <c r="I1961" s="108">
        <v>9810021350</v>
      </c>
      <c r="J1961" s="108" t="str">
        <f t="shared" si="124"/>
        <v>9810021350</v>
      </c>
      <c r="K1961" s="304" t="str">
        <f t="shared" si="125"/>
        <v>62001139810021350240</v>
      </c>
      <c r="L1961" s="17"/>
    </row>
    <row r="1962" spans="1:13" s="16" customFormat="1" ht="15.75">
      <c r="A1962" s="14"/>
      <c r="B1962" s="125" t="s">
        <v>30</v>
      </c>
      <c r="C1962" s="109" t="s">
        <v>410</v>
      </c>
      <c r="D1962" s="108" t="s">
        <v>11</v>
      </c>
      <c r="E1962" s="108" t="s">
        <v>51</v>
      </c>
      <c r="F1962" s="108" t="s">
        <v>283</v>
      </c>
      <c r="G1962" s="131" t="s">
        <v>31</v>
      </c>
      <c r="H1962" s="126">
        <v>296915</v>
      </c>
      <c r="I1962" s="108">
        <v>9810021350</v>
      </c>
      <c r="J1962" s="108" t="str">
        <f t="shared" si="124"/>
        <v>9810021350</v>
      </c>
      <c r="K1962" s="304" t="str">
        <f t="shared" si="125"/>
        <v>62001139810021350244</v>
      </c>
      <c r="L1962" s="17"/>
    </row>
    <row r="1963" spans="1:13" s="16" customFormat="1" ht="15.75">
      <c r="A1963" s="14"/>
      <c r="B1963" s="117" t="s">
        <v>195</v>
      </c>
      <c r="C1963" s="118" t="s">
        <v>410</v>
      </c>
      <c r="D1963" s="119" t="s">
        <v>73</v>
      </c>
      <c r="E1963" s="119" t="s">
        <v>7</v>
      </c>
      <c r="F1963" s="119" t="s">
        <v>8</v>
      </c>
      <c r="G1963" s="119" t="s">
        <v>9</v>
      </c>
      <c r="H1963" s="120">
        <v>943267398.10000002</v>
      </c>
      <c r="I1963" s="119">
        <v>0</v>
      </c>
      <c r="J1963" s="108" t="str">
        <f t="shared" si="124"/>
        <v>0000000000</v>
      </c>
      <c r="K1963" s="304" t="str">
        <f t="shared" si="125"/>
        <v>62004000000000000000</v>
      </c>
      <c r="L1963" s="17" t="str">
        <f>INDEX('реш СГД № 265'!$A:$N,MATCH('БА расх 2018 31 12 2018'!$K1963,'реш СГД № 265'!$N:$N,0),3)</f>
        <v>Национальная экономика</v>
      </c>
      <c r="M1963" s="16">
        <f t="shared" si="126"/>
        <v>1</v>
      </c>
    </row>
    <row r="1964" spans="1:13" s="16" customFormat="1" ht="15.75">
      <c r="A1964" s="14"/>
      <c r="B1964" s="121" t="s">
        <v>811</v>
      </c>
      <c r="C1964" s="122" t="s">
        <v>410</v>
      </c>
      <c r="D1964" s="123" t="s">
        <v>73</v>
      </c>
      <c r="E1964" s="123" t="s">
        <v>229</v>
      </c>
      <c r="F1964" s="123" t="s">
        <v>8</v>
      </c>
      <c r="G1964" s="123" t="s">
        <v>9</v>
      </c>
      <c r="H1964" s="124">
        <v>15564345.629999999</v>
      </c>
      <c r="I1964" s="123">
        <v>0</v>
      </c>
      <c r="J1964" s="108" t="str">
        <f t="shared" si="124"/>
        <v>0000000000</v>
      </c>
      <c r="K1964" s="304" t="str">
        <f t="shared" si="125"/>
        <v>62004070000000000000</v>
      </c>
      <c r="L1964" s="17" t="str">
        <f>INDEX('реш СГД № 265'!$A:$N,MATCH('БА расх 2018 31 12 2018'!$K1964,'реш СГД № 265'!$N:$N,0),3)</f>
        <v>Лесное хозяйство</v>
      </c>
      <c r="M1964" s="16">
        <f t="shared" si="126"/>
        <v>1</v>
      </c>
    </row>
    <row r="1965" spans="1:13" s="16" customFormat="1" ht="63">
      <c r="A1965" s="14"/>
      <c r="B1965" s="127" t="s">
        <v>293</v>
      </c>
      <c r="C1965" s="108" t="s">
        <v>410</v>
      </c>
      <c r="D1965" s="108" t="s">
        <v>73</v>
      </c>
      <c r="E1965" s="108" t="s">
        <v>229</v>
      </c>
      <c r="F1965" s="108" t="s">
        <v>294</v>
      </c>
      <c r="G1965" s="108" t="s">
        <v>9</v>
      </c>
      <c r="H1965" s="126">
        <v>15564345.629999999</v>
      </c>
      <c r="I1965" s="108">
        <v>400000000</v>
      </c>
      <c r="J1965" s="108" t="str">
        <f t="shared" si="124"/>
        <v>0400000000</v>
      </c>
      <c r="K1965" s="304" t="str">
        <f t="shared" si="125"/>
        <v>62004070400000000000</v>
      </c>
      <c r="L1965" s="17" t="str">
        <f>INDEX('реш СГД № 265'!$A:$N,MATCH('БА расх 2018 31 12 2018'!$K1965,'реш СГД № 265'!$N:$N,0),3)</f>
        <v>Муниципальная программа «Развитие жилищно-коммунального хозяйства, транспортной системы на территории города Ставрополя, благоустройство территории города Ставрополя»</v>
      </c>
      <c r="M1965" s="16">
        <f t="shared" si="126"/>
        <v>1</v>
      </c>
    </row>
    <row r="1966" spans="1:13" s="16" customFormat="1" ht="31.5">
      <c r="A1966" s="14"/>
      <c r="B1966" s="125" t="s">
        <v>2283</v>
      </c>
      <c r="C1966" s="108" t="s">
        <v>410</v>
      </c>
      <c r="D1966" s="108" t="s">
        <v>73</v>
      </c>
      <c r="E1966" s="108" t="s">
        <v>229</v>
      </c>
      <c r="F1966" s="108" t="s">
        <v>308</v>
      </c>
      <c r="G1966" s="108" t="s">
        <v>9</v>
      </c>
      <c r="H1966" s="126">
        <v>15564345.629999999</v>
      </c>
      <c r="I1966" s="108">
        <v>430000000</v>
      </c>
      <c r="J1966" s="108" t="str">
        <f t="shared" si="124"/>
        <v>0430000000</v>
      </c>
      <c r="K1966" s="304" t="str">
        <f t="shared" si="125"/>
        <v>62004070430000000000</v>
      </c>
      <c r="L1966" s="132" t="str">
        <f>INDEX('реш СГД № 265'!$A:$N,MATCH('БА расх 2018 31 12 2018'!$K1966,'реш СГД № 265'!$N:$N,0),3)</f>
        <v>Подпрограмма «Благоустройство территории города Ставрополя»</v>
      </c>
      <c r="M1966" s="17">
        <f t="shared" si="126"/>
        <v>1</v>
      </c>
    </row>
    <row r="1967" spans="1:13" s="16" customFormat="1" ht="47.25">
      <c r="A1967" s="14"/>
      <c r="B1967" s="125" t="s">
        <v>812</v>
      </c>
      <c r="C1967" s="108" t="s">
        <v>410</v>
      </c>
      <c r="D1967" s="108" t="s">
        <v>73</v>
      </c>
      <c r="E1967" s="108" t="s">
        <v>229</v>
      </c>
      <c r="F1967" s="108" t="s">
        <v>813</v>
      </c>
      <c r="G1967" s="108" t="s">
        <v>9</v>
      </c>
      <c r="H1967" s="126">
        <v>15564345.629999999</v>
      </c>
      <c r="I1967" s="108">
        <v>430100000</v>
      </c>
      <c r="J1967" s="108" t="str">
        <f t="shared" si="124"/>
        <v>0430100000</v>
      </c>
      <c r="K1967" s="304" t="str">
        <f t="shared" si="125"/>
        <v>62004070430100000000</v>
      </c>
      <c r="L1967" s="17" t="str">
        <f>INDEX('реш СГД № 265'!$A:$N,MATCH('БА расх 2018 31 12 2018'!$K1967,'реш СГД № 265'!$N:$N,0),3)</f>
        <v>Основное мероприятие «Осуществление деятельности по использованию, охране, защите и воспроизводству городских лесов»</v>
      </c>
      <c r="M1967" s="16">
        <f t="shared" si="126"/>
        <v>1</v>
      </c>
    </row>
    <row r="1968" spans="1:13" s="16" customFormat="1" ht="31.5">
      <c r="A1968" s="14"/>
      <c r="B1968" s="125" t="s">
        <v>136</v>
      </c>
      <c r="C1968" s="108" t="s">
        <v>410</v>
      </c>
      <c r="D1968" s="108" t="s">
        <v>73</v>
      </c>
      <c r="E1968" s="108" t="s">
        <v>229</v>
      </c>
      <c r="F1968" s="108" t="s">
        <v>814</v>
      </c>
      <c r="G1968" s="108" t="s">
        <v>9</v>
      </c>
      <c r="H1968" s="126">
        <v>15042681.039999999</v>
      </c>
      <c r="I1968" s="108">
        <v>430111010</v>
      </c>
      <c r="J1968" s="108" t="str">
        <f t="shared" si="124"/>
        <v>0430111010</v>
      </c>
      <c r="K1968" s="304" t="str">
        <f t="shared" si="125"/>
        <v>62004070430111010000</v>
      </c>
      <c r="L1968" s="17" t="str">
        <f>INDEX('реш СГД № 265'!$A:$N,MATCH('БА расх 2018 31 12 2018'!$K1968,'реш СГД № 265'!$N:$N,0),3)</f>
        <v>Расходы на обеспечение деятельности (оказание услуг) муниципальных учреждений</v>
      </c>
      <c r="M1968" s="16">
        <f t="shared" si="126"/>
        <v>1</v>
      </c>
    </row>
    <row r="1969" spans="1:13" s="16" customFormat="1" ht="15.75">
      <c r="A1969" s="14"/>
      <c r="B1969" s="132" t="s">
        <v>403</v>
      </c>
      <c r="C1969" s="108" t="s">
        <v>410</v>
      </c>
      <c r="D1969" s="108" t="s">
        <v>73</v>
      </c>
      <c r="E1969" s="108" t="s">
        <v>229</v>
      </c>
      <c r="F1969" s="108" t="s">
        <v>814</v>
      </c>
      <c r="G1969" s="108" t="s">
        <v>404</v>
      </c>
      <c r="H1969" s="126">
        <v>15042681.039999999</v>
      </c>
      <c r="I1969" s="108">
        <v>430111010</v>
      </c>
      <c r="J1969" s="108" t="str">
        <f t="shared" si="124"/>
        <v>0430111010</v>
      </c>
      <c r="K1969" s="304" t="str">
        <f t="shared" si="125"/>
        <v>62004070430111010610</v>
      </c>
      <c r="L1969" s="17" t="str">
        <f>INDEX('реш СГД № 265'!$A:$N,MATCH('БА расх 2018 31 12 2018'!$K1969,'реш СГД № 265'!$N:$N,0),3)</f>
        <v>Субсидии бюджетным учреждениям</v>
      </c>
      <c r="M1969" s="16">
        <f t="shared" si="126"/>
        <v>1</v>
      </c>
    </row>
    <row r="1970" spans="1:13" s="23" customFormat="1" ht="63">
      <c r="A1970" s="21"/>
      <c r="B1970" s="127" t="s">
        <v>405</v>
      </c>
      <c r="C1970" s="108" t="s">
        <v>410</v>
      </c>
      <c r="D1970" s="108" t="s">
        <v>73</v>
      </c>
      <c r="E1970" s="108" t="s">
        <v>229</v>
      </c>
      <c r="F1970" s="108" t="s">
        <v>814</v>
      </c>
      <c r="G1970" s="108" t="s">
        <v>406</v>
      </c>
      <c r="H1970" s="126">
        <v>14492681.039999999</v>
      </c>
      <c r="I1970" s="108">
        <v>430111010</v>
      </c>
      <c r="J1970" s="108" t="str">
        <f t="shared" si="124"/>
        <v>0430111010</v>
      </c>
      <c r="K1970" s="304" t="str">
        <f t="shared" si="125"/>
        <v>62004070430111010611</v>
      </c>
      <c r="L1970" s="17"/>
      <c r="M1970" s="16"/>
    </row>
    <row r="1971" spans="1:13" s="23" customFormat="1" ht="15.75">
      <c r="A1971" s="21"/>
      <c r="B1971" s="127" t="s">
        <v>407</v>
      </c>
      <c r="C1971" s="108" t="s">
        <v>410</v>
      </c>
      <c r="D1971" s="108" t="s">
        <v>73</v>
      </c>
      <c r="E1971" s="108" t="s">
        <v>229</v>
      </c>
      <c r="F1971" s="108" t="s">
        <v>814</v>
      </c>
      <c r="G1971" s="108" t="s">
        <v>408</v>
      </c>
      <c r="H1971" s="126">
        <v>550000</v>
      </c>
      <c r="I1971" s="108">
        <v>430111010</v>
      </c>
      <c r="J1971" s="108" t="str">
        <f t="shared" si="124"/>
        <v>0430111010</v>
      </c>
      <c r="K1971" s="304" t="str">
        <f t="shared" si="125"/>
        <v>62004070430111010612</v>
      </c>
      <c r="L1971" s="17"/>
      <c r="M1971" s="16"/>
    </row>
    <row r="1972" spans="1:13" s="23" customFormat="1" ht="267.75">
      <c r="A1972" s="21"/>
      <c r="B1972" s="132" t="s">
        <v>2269</v>
      </c>
      <c r="C1972" s="108" t="s">
        <v>410</v>
      </c>
      <c r="D1972" s="108" t="s">
        <v>73</v>
      </c>
      <c r="E1972" s="108" t="s">
        <v>229</v>
      </c>
      <c r="F1972" s="108" t="s">
        <v>1326</v>
      </c>
      <c r="G1972" s="108" t="s">
        <v>9</v>
      </c>
      <c r="H1972" s="126">
        <v>451919.06</v>
      </c>
      <c r="I1972" s="108">
        <v>430177460</v>
      </c>
      <c r="J1972" s="108" t="str">
        <f t="shared" si="124"/>
        <v>0430177460</v>
      </c>
      <c r="K1972" s="304" t="str">
        <f t="shared" si="125"/>
        <v>62004070430177460000</v>
      </c>
      <c r="L1972" s="17"/>
      <c r="M1972" s="16"/>
    </row>
    <row r="1973" spans="1:13" s="23" customFormat="1" ht="15.75">
      <c r="A1973" s="21"/>
      <c r="B1973" s="132" t="s">
        <v>403</v>
      </c>
      <c r="C1973" s="108" t="s">
        <v>410</v>
      </c>
      <c r="D1973" s="108" t="s">
        <v>73</v>
      </c>
      <c r="E1973" s="108" t="s">
        <v>229</v>
      </c>
      <c r="F1973" s="108" t="s">
        <v>1326</v>
      </c>
      <c r="G1973" s="108" t="s">
        <v>404</v>
      </c>
      <c r="H1973" s="126">
        <v>451919.06</v>
      </c>
      <c r="I1973" s="108">
        <v>430177460</v>
      </c>
      <c r="J1973" s="108" t="str">
        <f t="shared" si="124"/>
        <v>0430177460</v>
      </c>
      <c r="K1973" s="304" t="str">
        <f t="shared" si="125"/>
        <v>62004070430177460610</v>
      </c>
      <c r="L1973" s="17"/>
      <c r="M1973" s="16"/>
    </row>
    <row r="1974" spans="1:13" s="23" customFormat="1" ht="63">
      <c r="A1974" s="21"/>
      <c r="B1974" s="127" t="s">
        <v>405</v>
      </c>
      <c r="C1974" s="108" t="s">
        <v>410</v>
      </c>
      <c r="D1974" s="108" t="s">
        <v>73</v>
      </c>
      <c r="E1974" s="108" t="s">
        <v>229</v>
      </c>
      <c r="F1974" s="108" t="s">
        <v>1326</v>
      </c>
      <c r="G1974" s="108" t="s">
        <v>406</v>
      </c>
      <c r="H1974" s="126">
        <v>451919.06</v>
      </c>
      <c r="I1974" s="108">
        <v>430177460</v>
      </c>
      <c r="J1974" s="108" t="str">
        <f t="shared" si="124"/>
        <v>0430177460</v>
      </c>
      <c r="K1974" s="304" t="str">
        <f t="shared" si="125"/>
        <v>62004070430177460611</v>
      </c>
      <c r="L1974" s="17"/>
      <c r="M1974" s="16"/>
    </row>
    <row r="1975" spans="1:13" s="23" customFormat="1" ht="236.25">
      <c r="A1975" s="21"/>
      <c r="B1975" s="164" t="s">
        <v>2247</v>
      </c>
      <c r="C1975" s="108" t="s">
        <v>410</v>
      </c>
      <c r="D1975" s="108" t="s">
        <v>73</v>
      </c>
      <c r="E1975" s="108" t="s">
        <v>229</v>
      </c>
      <c r="F1975" s="108" t="s">
        <v>2292</v>
      </c>
      <c r="G1975" s="108" t="s">
        <v>9</v>
      </c>
      <c r="H1975" s="126">
        <v>69745.53</v>
      </c>
      <c r="I1975" s="108">
        <v>430177580</v>
      </c>
      <c r="J1975" s="108" t="str">
        <f t="shared" si="124"/>
        <v>0430177580</v>
      </c>
      <c r="K1975" s="304" t="str">
        <f t="shared" si="125"/>
        <v>62004070430177580000</v>
      </c>
      <c r="L1975" s="17"/>
      <c r="M1975" s="16"/>
    </row>
    <row r="1976" spans="1:13" s="23" customFormat="1" ht="15.75">
      <c r="A1976" s="21"/>
      <c r="B1976" s="132" t="s">
        <v>403</v>
      </c>
      <c r="C1976" s="108" t="s">
        <v>410</v>
      </c>
      <c r="D1976" s="108" t="s">
        <v>73</v>
      </c>
      <c r="E1976" s="108" t="s">
        <v>229</v>
      </c>
      <c r="F1976" s="108" t="s">
        <v>2292</v>
      </c>
      <c r="G1976" s="108" t="s">
        <v>404</v>
      </c>
      <c r="H1976" s="126">
        <v>69745.53</v>
      </c>
      <c r="I1976" s="108">
        <v>430177580</v>
      </c>
      <c r="J1976" s="108" t="str">
        <f t="shared" si="124"/>
        <v>0430177580</v>
      </c>
      <c r="K1976" s="304" t="str">
        <f t="shared" si="125"/>
        <v>62004070430177580610</v>
      </c>
      <c r="L1976" s="17"/>
      <c r="M1976" s="16"/>
    </row>
    <row r="1977" spans="1:13" s="23" customFormat="1" ht="61.9" customHeight="1">
      <c r="A1977" s="21"/>
      <c r="B1977" s="127" t="s">
        <v>405</v>
      </c>
      <c r="C1977" s="108" t="s">
        <v>410</v>
      </c>
      <c r="D1977" s="108" t="s">
        <v>73</v>
      </c>
      <c r="E1977" s="108" t="s">
        <v>229</v>
      </c>
      <c r="F1977" s="108" t="s">
        <v>2292</v>
      </c>
      <c r="G1977" s="108" t="s">
        <v>406</v>
      </c>
      <c r="H1977" s="126">
        <v>69745.53</v>
      </c>
      <c r="I1977" s="108">
        <v>430177580</v>
      </c>
      <c r="J1977" s="108" t="str">
        <f t="shared" si="124"/>
        <v>0430177580</v>
      </c>
      <c r="K1977" s="304" t="str">
        <f t="shared" si="125"/>
        <v>62004070430177580611</v>
      </c>
      <c r="L1977" s="17"/>
      <c r="M1977" s="16"/>
    </row>
    <row r="1978" spans="1:13" s="16" customFormat="1" ht="15.75">
      <c r="A1978" s="14"/>
      <c r="B1978" s="121" t="s">
        <v>815</v>
      </c>
      <c r="C1978" s="122" t="s">
        <v>410</v>
      </c>
      <c r="D1978" s="123" t="s">
        <v>73</v>
      </c>
      <c r="E1978" s="123" t="s">
        <v>238</v>
      </c>
      <c r="F1978" s="123" t="s">
        <v>8</v>
      </c>
      <c r="G1978" s="123" t="s">
        <v>9</v>
      </c>
      <c r="H1978" s="124">
        <v>183287664.59</v>
      </c>
      <c r="I1978" s="123">
        <v>0</v>
      </c>
      <c r="J1978" s="108" t="str">
        <f t="shared" si="124"/>
        <v>0000000000</v>
      </c>
      <c r="K1978" s="304" t="str">
        <f t="shared" si="125"/>
        <v>62004080000000000000</v>
      </c>
      <c r="L1978" s="17" t="str">
        <f>INDEX('реш СГД № 265'!$A:$N,MATCH('БА расх 2018 31 12 2018'!$K1978,'реш СГД № 265'!$N:$N,0),3)</f>
        <v>Транспорт</v>
      </c>
      <c r="M1978" s="16">
        <f t="shared" si="126"/>
        <v>1</v>
      </c>
    </row>
    <row r="1979" spans="1:13" s="16" customFormat="1" ht="63">
      <c r="A1979" s="14"/>
      <c r="B1979" s="127" t="s">
        <v>293</v>
      </c>
      <c r="C1979" s="108" t="s">
        <v>410</v>
      </c>
      <c r="D1979" s="108" t="s">
        <v>73</v>
      </c>
      <c r="E1979" s="108" t="s">
        <v>238</v>
      </c>
      <c r="F1979" s="108" t="s">
        <v>294</v>
      </c>
      <c r="G1979" s="108" t="s">
        <v>9</v>
      </c>
      <c r="H1979" s="126">
        <v>183287642.58000001</v>
      </c>
      <c r="I1979" s="108">
        <v>400000000</v>
      </c>
      <c r="J1979" s="108" t="str">
        <f t="shared" si="124"/>
        <v>0400000000</v>
      </c>
      <c r="K1979" s="304" t="str">
        <f t="shared" si="125"/>
        <v>62004080400000000000</v>
      </c>
      <c r="L1979" s="17" t="str">
        <f>INDEX('реш СГД № 265'!$A:$N,MATCH('БА расх 2018 31 12 2018'!$K1979,'реш СГД № 265'!$N:$N,0),3)</f>
        <v>Муниципальная программа «Развитие жилищно-коммунального хозяйства, транспортной системы на территории города Ставрополя, благоустройство территории города Ставрополя»</v>
      </c>
      <c r="M1979" s="16">
        <f t="shared" si="126"/>
        <v>1</v>
      </c>
    </row>
    <row r="1980" spans="1:13" s="16" customFormat="1" ht="63">
      <c r="A1980" s="14"/>
      <c r="B1980" s="140" t="s">
        <v>295</v>
      </c>
      <c r="C1980" s="108" t="s">
        <v>410</v>
      </c>
      <c r="D1980" s="108" t="s">
        <v>73</v>
      </c>
      <c r="E1980" s="108" t="s">
        <v>238</v>
      </c>
      <c r="F1980" s="108" t="s">
        <v>296</v>
      </c>
      <c r="G1980" s="108" t="s">
        <v>9</v>
      </c>
      <c r="H1980" s="126">
        <v>183287642.58000001</v>
      </c>
      <c r="I1980" s="108">
        <v>420000000</v>
      </c>
      <c r="J1980" s="108" t="str">
        <f t="shared" si="124"/>
        <v>0420000000</v>
      </c>
      <c r="K1980" s="304" t="str">
        <f t="shared" si="125"/>
        <v>62004080420000000000</v>
      </c>
      <c r="L1980" s="17" t="str">
        <f>INDEX('реш СГД № 265'!$A:$N,MATCH('БА расх 2018 31 12 2018'!$K1980,'реш СГД № 265'!$N:$N,0),3)</f>
        <v xml:space="preserve">Подпрограмма «Дорожная деятельность и обеспечение безопасности дорожного движения, организация транспортного обслуживания населения на территории города Ставрополя» </v>
      </c>
      <c r="M1980" s="16">
        <f t="shared" si="126"/>
        <v>1</v>
      </c>
    </row>
    <row r="1981" spans="1:13" s="16" customFormat="1" ht="63">
      <c r="A1981" s="14"/>
      <c r="B1981" s="135" t="s">
        <v>816</v>
      </c>
      <c r="C1981" s="108" t="s">
        <v>410</v>
      </c>
      <c r="D1981" s="108" t="s">
        <v>73</v>
      </c>
      <c r="E1981" s="108" t="s">
        <v>238</v>
      </c>
      <c r="F1981" s="108" t="s">
        <v>817</v>
      </c>
      <c r="G1981" s="108" t="s">
        <v>9</v>
      </c>
      <c r="H1981" s="126">
        <v>183287642.58000001</v>
      </c>
      <c r="I1981" s="108">
        <v>420100000</v>
      </c>
      <c r="J1981" s="108" t="str">
        <f t="shared" si="124"/>
        <v>0420100000</v>
      </c>
      <c r="K1981" s="304" t="str">
        <f t="shared" si="125"/>
        <v>62004080420100000000</v>
      </c>
      <c r="L1981" s="17" t="str">
        <f>INDEX('реш СГД № 265'!$A:$N,MATCH('БА расх 2018 31 12 2018'!$K1981,'реш СГД № 265'!$N:$N,0),3)</f>
        <v>Основное мероприятие «Создание условий для предоставления транспортных услуг населению и организация транспортного обслуживания населения в границах города Ставрополя»</v>
      </c>
      <c r="M1981" s="16">
        <f t="shared" si="126"/>
        <v>1</v>
      </c>
    </row>
    <row r="1982" spans="1:13" s="16" customFormat="1" ht="31.5">
      <c r="A1982" s="14"/>
      <c r="B1982" s="135" t="s">
        <v>136</v>
      </c>
      <c r="C1982" s="108" t="s">
        <v>410</v>
      </c>
      <c r="D1982" s="108" t="s">
        <v>73</v>
      </c>
      <c r="E1982" s="108" t="s">
        <v>238</v>
      </c>
      <c r="F1982" s="108" t="s">
        <v>818</v>
      </c>
      <c r="G1982" s="108" t="s">
        <v>9</v>
      </c>
      <c r="H1982" s="126">
        <v>4025935.92</v>
      </c>
      <c r="I1982" s="108">
        <v>420111010</v>
      </c>
      <c r="J1982" s="108" t="str">
        <f t="shared" si="124"/>
        <v>0420111010</v>
      </c>
      <c r="K1982" s="304" t="str">
        <f t="shared" si="125"/>
        <v>62004080420111010000</v>
      </c>
      <c r="L1982" s="17" t="str">
        <f>INDEX('реш СГД № 265'!$A:$N,MATCH('БА расх 2018 31 12 2018'!$K1982,'реш СГД № 265'!$N:$N,0),3)</f>
        <v>Расходы на обеспечение деятельности (оказание услуг) муниципальных учреждений</v>
      </c>
      <c r="M1982" s="16">
        <f t="shared" si="126"/>
        <v>1</v>
      </c>
    </row>
    <row r="1983" spans="1:13" s="16" customFormat="1" ht="15.75">
      <c r="A1983" s="14"/>
      <c r="B1983" s="132" t="s">
        <v>403</v>
      </c>
      <c r="C1983" s="108" t="s">
        <v>410</v>
      </c>
      <c r="D1983" s="108" t="s">
        <v>73</v>
      </c>
      <c r="E1983" s="108" t="s">
        <v>238</v>
      </c>
      <c r="F1983" s="108" t="s">
        <v>818</v>
      </c>
      <c r="G1983" s="108" t="s">
        <v>404</v>
      </c>
      <c r="H1983" s="126">
        <v>4025935.92</v>
      </c>
      <c r="I1983" s="108">
        <v>420111010</v>
      </c>
      <c r="J1983" s="108" t="str">
        <f t="shared" si="124"/>
        <v>0420111010</v>
      </c>
      <c r="K1983" s="304" t="str">
        <f t="shared" si="125"/>
        <v>62004080420111010610</v>
      </c>
      <c r="L1983" s="17" t="str">
        <f>INDEX('реш СГД № 265'!$A:$N,MATCH('БА расх 2018 31 12 2018'!$K1983,'реш СГД № 265'!$N:$N,0),3)</f>
        <v>Субсидии бюджетным учреждениям</v>
      </c>
      <c r="M1983" s="16">
        <f t="shared" si="126"/>
        <v>1</v>
      </c>
    </row>
    <row r="1984" spans="1:13" s="23" customFormat="1" ht="63">
      <c r="A1984" s="21"/>
      <c r="B1984" s="127" t="s">
        <v>405</v>
      </c>
      <c r="C1984" s="108" t="s">
        <v>410</v>
      </c>
      <c r="D1984" s="108" t="s">
        <v>73</v>
      </c>
      <c r="E1984" s="108" t="s">
        <v>238</v>
      </c>
      <c r="F1984" s="108" t="s">
        <v>818</v>
      </c>
      <c r="G1984" s="108" t="s">
        <v>406</v>
      </c>
      <c r="H1984" s="126">
        <v>4025935.92</v>
      </c>
      <c r="I1984" s="108">
        <v>420111010</v>
      </c>
      <c r="J1984" s="108" t="str">
        <f t="shared" si="124"/>
        <v>0420111010</v>
      </c>
      <c r="K1984" s="304" t="str">
        <f t="shared" si="125"/>
        <v>62004080420111010611</v>
      </c>
      <c r="L1984" s="17"/>
      <c r="M1984" s="16"/>
    </row>
    <row r="1985" spans="1:13" s="16" customFormat="1" ht="31.5">
      <c r="A1985" s="14"/>
      <c r="B1985" s="135" t="s">
        <v>819</v>
      </c>
      <c r="C1985" s="108" t="s">
        <v>410</v>
      </c>
      <c r="D1985" s="108" t="s">
        <v>73</v>
      </c>
      <c r="E1985" s="108" t="s">
        <v>238</v>
      </c>
      <c r="F1985" s="108" t="s">
        <v>820</v>
      </c>
      <c r="G1985" s="108" t="s">
        <v>9</v>
      </c>
      <c r="H1985" s="126">
        <v>18056861.98</v>
      </c>
      <c r="I1985" s="108">
        <v>420160020</v>
      </c>
      <c r="J1985" s="108" t="str">
        <f t="shared" si="124"/>
        <v>0420160020</v>
      </c>
      <c r="K1985" s="304" t="str">
        <f t="shared" si="125"/>
        <v>62004080420160020000</v>
      </c>
      <c r="L1985" s="17" t="str">
        <f>INDEX('реш СГД № 265'!$A:$N,MATCH('БА расх 2018 31 12 2018'!$K1985,'реш СГД № 265'!$N:$N,0),3)</f>
        <v>Расходы на проведение отдельных мероприятий по электрическому транспорту</v>
      </c>
      <c r="M1985" s="16">
        <f t="shared" si="126"/>
        <v>1</v>
      </c>
    </row>
    <row r="1986" spans="1:13" s="16" customFormat="1" ht="47.25">
      <c r="A1986" s="14"/>
      <c r="B1986" s="129" t="s">
        <v>203</v>
      </c>
      <c r="C1986" s="108" t="s">
        <v>410</v>
      </c>
      <c r="D1986" s="108" t="s">
        <v>73</v>
      </c>
      <c r="E1986" s="108" t="s">
        <v>238</v>
      </c>
      <c r="F1986" s="108" t="s">
        <v>820</v>
      </c>
      <c r="G1986" s="108" t="s">
        <v>204</v>
      </c>
      <c r="H1986" s="126">
        <v>18056861.98</v>
      </c>
      <c r="I1986" s="108">
        <v>420160020</v>
      </c>
      <c r="J1986" s="108" t="str">
        <f t="shared" si="124"/>
        <v>0420160020</v>
      </c>
      <c r="K1986" s="304" t="str">
        <f t="shared" si="125"/>
        <v>62004080420160020810</v>
      </c>
      <c r="L1986" s="17" t="str">
        <f>INDEX('реш СГД № 265'!$A:$N,MATCH('БА расх 2018 31 12 2018'!$K1986,'реш СГД № 265'!$N:$N,0),3)</f>
        <v>Субсидии юридическим лицам (кроме некоммерческих организаций), индивидуальным предпринимателям, физическим лицам - производителям товаров, работ, услуг</v>
      </c>
      <c r="M1986" s="16">
        <f t="shared" si="126"/>
        <v>1</v>
      </c>
    </row>
    <row r="1987" spans="1:13" s="23" customFormat="1" ht="110.25">
      <c r="A1987" s="21"/>
      <c r="B1987" s="127" t="s">
        <v>207</v>
      </c>
      <c r="C1987" s="108" t="s">
        <v>410</v>
      </c>
      <c r="D1987" s="108" t="s">
        <v>73</v>
      </c>
      <c r="E1987" s="108" t="s">
        <v>238</v>
      </c>
      <c r="F1987" s="108" t="s">
        <v>820</v>
      </c>
      <c r="G1987" s="108" t="s">
        <v>208</v>
      </c>
      <c r="H1987" s="126">
        <v>18056861.98</v>
      </c>
      <c r="I1987" s="108">
        <v>420160020</v>
      </c>
      <c r="J1987" s="108" t="str">
        <f t="shared" si="124"/>
        <v>0420160020</v>
      </c>
      <c r="K1987" s="304" t="str">
        <f t="shared" si="125"/>
        <v>62004080420160020812</v>
      </c>
      <c r="L1987" s="17"/>
      <c r="M1987" s="16"/>
    </row>
    <row r="1988" spans="1:13" s="59" customFormat="1" ht="126">
      <c r="A1988" s="92"/>
      <c r="B1988" s="129" t="s">
        <v>821</v>
      </c>
      <c r="C1988" s="108" t="s">
        <v>410</v>
      </c>
      <c r="D1988" s="108" t="s">
        <v>73</v>
      </c>
      <c r="E1988" s="108" t="s">
        <v>238</v>
      </c>
      <c r="F1988" s="108" t="s">
        <v>822</v>
      </c>
      <c r="G1988" s="108" t="s">
        <v>9</v>
      </c>
      <c r="H1988" s="126">
        <v>161070923.05000001</v>
      </c>
      <c r="I1988" s="108">
        <v>420160070</v>
      </c>
      <c r="J1988" s="108" t="str">
        <f t="shared" si="124"/>
        <v>0420160070</v>
      </c>
      <c r="K1988" s="304" t="str">
        <f t="shared" si="125"/>
        <v>62004080420160070000</v>
      </c>
      <c r="L1988" s="17" t="str">
        <f>INDEX('реш СГД № 265'!$A:$N,MATCH('БА расх 2018 31 12 2018'!$K1988,'реш СГД № 265'!$N:$N,0),3)</f>
        <v xml:space="preserve">Предоставление финансовой помощи Ставропольскому муниципальному унитарному троллейбусному предприятию в рамках мер по предупреждению банкротства на финансовое обеспечение затрат, направленных на погашение денежных обязательств, требований о выплате выходных пособий и (или) об оплате труда лиц, работающих или работавших по трудовому договору, и обязательных платежей, в целях восстановления платежеспособности должника (санации) </v>
      </c>
      <c r="M1988" s="16">
        <f t="shared" si="126"/>
        <v>1</v>
      </c>
    </row>
    <row r="1989" spans="1:13" s="59" customFormat="1" ht="47.25">
      <c r="A1989" s="92"/>
      <c r="B1989" s="129" t="s">
        <v>203</v>
      </c>
      <c r="C1989" s="108" t="s">
        <v>410</v>
      </c>
      <c r="D1989" s="108" t="s">
        <v>73</v>
      </c>
      <c r="E1989" s="108" t="s">
        <v>238</v>
      </c>
      <c r="F1989" s="108" t="s">
        <v>822</v>
      </c>
      <c r="G1989" s="108" t="s">
        <v>204</v>
      </c>
      <c r="H1989" s="126">
        <v>161070923.05000001</v>
      </c>
      <c r="I1989" s="108">
        <v>420160070</v>
      </c>
      <c r="J1989" s="108" t="str">
        <f t="shared" si="124"/>
        <v>0420160070</v>
      </c>
      <c r="K1989" s="304" t="str">
        <f t="shared" si="125"/>
        <v>62004080420160070810</v>
      </c>
      <c r="L1989" s="17" t="str">
        <f>INDEX('реш СГД № 265'!$A:$N,MATCH('БА расх 2018 31 12 2018'!$K1989,'реш СГД № 265'!$N:$N,0),3)</f>
        <v>Субсидии юридическим лицам (кроме некоммерческих организаций), индивидуальным предпринимателям, физическим лицам - производителям товаров, работ, услуг</v>
      </c>
      <c r="M1989" s="16">
        <f t="shared" si="126"/>
        <v>1</v>
      </c>
    </row>
    <row r="1990" spans="1:13" s="59" customFormat="1" ht="110.25">
      <c r="A1990" s="92"/>
      <c r="B1990" s="125" t="s">
        <v>207</v>
      </c>
      <c r="C1990" s="108" t="s">
        <v>410</v>
      </c>
      <c r="D1990" s="108" t="s">
        <v>73</v>
      </c>
      <c r="E1990" s="108" t="s">
        <v>238</v>
      </c>
      <c r="F1990" s="108" t="s">
        <v>822</v>
      </c>
      <c r="G1990" s="108" t="s">
        <v>208</v>
      </c>
      <c r="H1990" s="126">
        <v>161070923.05000001</v>
      </c>
      <c r="I1990" s="108">
        <v>420160070</v>
      </c>
      <c r="J1990" s="108" t="str">
        <f t="shared" si="124"/>
        <v>0420160070</v>
      </c>
      <c r="K1990" s="304" t="str">
        <f t="shared" si="125"/>
        <v>62004080420160070812</v>
      </c>
      <c r="L1990" s="17"/>
      <c r="M1990" s="16"/>
    </row>
    <row r="1991" spans="1:13" s="59" customFormat="1" ht="267.75">
      <c r="A1991" s="92"/>
      <c r="B1991" s="132" t="s">
        <v>2269</v>
      </c>
      <c r="C1991" s="108" t="s">
        <v>410</v>
      </c>
      <c r="D1991" s="108" t="s">
        <v>73</v>
      </c>
      <c r="E1991" s="108" t="s">
        <v>238</v>
      </c>
      <c r="F1991" s="108" t="s">
        <v>1327</v>
      </c>
      <c r="G1991" s="108" t="s">
        <v>9</v>
      </c>
      <c r="H1991" s="126">
        <v>133921.63</v>
      </c>
      <c r="I1991" s="108">
        <v>420177460</v>
      </c>
      <c r="J1991" s="108" t="str">
        <f t="shared" si="124"/>
        <v>0420177460</v>
      </c>
      <c r="K1991" s="304" t="str">
        <f t="shared" si="125"/>
        <v>62004080420177460000</v>
      </c>
      <c r="L1991" s="17"/>
      <c r="M1991" s="16"/>
    </row>
    <row r="1992" spans="1:13" s="59" customFormat="1" ht="15.75">
      <c r="A1992" s="92"/>
      <c r="B1992" s="132" t="s">
        <v>403</v>
      </c>
      <c r="C1992" s="108" t="s">
        <v>410</v>
      </c>
      <c r="D1992" s="108" t="s">
        <v>73</v>
      </c>
      <c r="E1992" s="108" t="s">
        <v>238</v>
      </c>
      <c r="F1992" s="108" t="s">
        <v>1327</v>
      </c>
      <c r="G1992" s="108" t="s">
        <v>404</v>
      </c>
      <c r="H1992" s="126">
        <v>133921.63</v>
      </c>
      <c r="I1992" s="108">
        <v>420177460</v>
      </c>
      <c r="J1992" s="108" t="str">
        <f t="shared" si="124"/>
        <v>0420177460</v>
      </c>
      <c r="K1992" s="304" t="str">
        <f t="shared" si="125"/>
        <v>62004080420177460610</v>
      </c>
      <c r="L1992" s="17"/>
      <c r="M1992" s="16"/>
    </row>
    <row r="1993" spans="1:13" s="59" customFormat="1" ht="63">
      <c r="A1993" s="92"/>
      <c r="B1993" s="127" t="s">
        <v>405</v>
      </c>
      <c r="C1993" s="108" t="s">
        <v>410</v>
      </c>
      <c r="D1993" s="108" t="s">
        <v>73</v>
      </c>
      <c r="E1993" s="108" t="s">
        <v>238</v>
      </c>
      <c r="F1993" s="108" t="s">
        <v>1327</v>
      </c>
      <c r="G1993" s="108" t="s">
        <v>406</v>
      </c>
      <c r="H1993" s="126">
        <v>133921.63</v>
      </c>
      <c r="I1993" s="108">
        <v>420177460</v>
      </c>
      <c r="J1993" s="108" t="str">
        <f t="shared" si="124"/>
        <v>0420177460</v>
      </c>
      <c r="K1993" s="304" t="str">
        <f t="shared" si="125"/>
        <v>62004080420177460611</v>
      </c>
      <c r="L1993" s="17"/>
      <c r="M1993" s="16"/>
    </row>
    <row r="1994" spans="1:13" s="59" customFormat="1" ht="47.25">
      <c r="A1994" s="92"/>
      <c r="B1994" s="129" t="s">
        <v>87</v>
      </c>
      <c r="C1994" s="108" t="s">
        <v>410</v>
      </c>
      <c r="D1994" s="108" t="s">
        <v>73</v>
      </c>
      <c r="E1994" s="108" t="s">
        <v>238</v>
      </c>
      <c r="F1994" s="108" t="s">
        <v>88</v>
      </c>
      <c r="G1994" s="108" t="s">
        <v>9</v>
      </c>
      <c r="H1994" s="126">
        <v>22.01</v>
      </c>
      <c r="I1994" s="108">
        <v>9800000000</v>
      </c>
      <c r="J1994" s="108" t="str">
        <f t="shared" si="124"/>
        <v>9800000000</v>
      </c>
      <c r="K1994" s="304" t="str">
        <f t="shared" si="125"/>
        <v>62004089800000000000</v>
      </c>
      <c r="L1994" s="17" t="str">
        <f>INDEX('реш СГД № 265'!$A:$N,MATCH('БА расх 2018 31 12 2018'!$K1994,'реш СГД № 265'!$N:$N,0),3)</f>
        <v>Реализация иных функций Ставропольской городской Думы, администрации города Ставрополя, ее отраслевых (функциональных) и территориальных органов</v>
      </c>
      <c r="M1994" s="16">
        <f t="shared" si="126"/>
        <v>1</v>
      </c>
    </row>
    <row r="1995" spans="1:13" s="59" customFormat="1" ht="15.75">
      <c r="A1995" s="92"/>
      <c r="B1995" s="129" t="s">
        <v>89</v>
      </c>
      <c r="C1995" s="108" t="s">
        <v>410</v>
      </c>
      <c r="D1995" s="108" t="s">
        <v>73</v>
      </c>
      <c r="E1995" s="108" t="s">
        <v>238</v>
      </c>
      <c r="F1995" s="108" t="s">
        <v>90</v>
      </c>
      <c r="G1995" s="108" t="s">
        <v>9</v>
      </c>
      <c r="H1995" s="126">
        <v>22.01</v>
      </c>
      <c r="I1995" s="108">
        <v>9810000000</v>
      </c>
      <c r="J1995" s="108" t="str">
        <f t="shared" si="124"/>
        <v>9810000000</v>
      </c>
      <c r="K1995" s="304" t="str">
        <f t="shared" si="125"/>
        <v>62004089810000000000</v>
      </c>
      <c r="L1995" s="17" t="str">
        <f>INDEX('реш СГД № 265'!$A:$N,MATCH('БА расх 2018 31 12 2018'!$K1995,'реш СГД № 265'!$N:$N,0),3)</f>
        <v>Иные непрограммные мероприятия</v>
      </c>
      <c r="M1995" s="16">
        <f t="shared" si="126"/>
        <v>1</v>
      </c>
    </row>
    <row r="1996" spans="1:13" s="59" customFormat="1" ht="31.5">
      <c r="A1996" s="92"/>
      <c r="B1996" s="129" t="s">
        <v>823</v>
      </c>
      <c r="C1996" s="108" t="s">
        <v>410</v>
      </c>
      <c r="D1996" s="108" t="s">
        <v>73</v>
      </c>
      <c r="E1996" s="108" t="s">
        <v>238</v>
      </c>
      <c r="F1996" s="108" t="s">
        <v>824</v>
      </c>
      <c r="G1996" s="108" t="s">
        <v>9</v>
      </c>
      <c r="H1996" s="126">
        <v>22.01</v>
      </c>
      <c r="I1996" s="108">
        <v>9810021170</v>
      </c>
      <c r="J1996" s="108" t="str">
        <f t="shared" si="124"/>
        <v>9810021170</v>
      </c>
      <c r="K1996" s="304" t="str">
        <f t="shared" si="125"/>
        <v>62004089810021170000</v>
      </c>
      <c r="L1996" s="17" t="str">
        <f>INDEX('реш СГД № 265'!$A:$N,MATCH('БА расх 2018 31 12 2018'!$K1996,'реш СГД № 265'!$N:$N,0),3)</f>
        <v>Проведение отдельных мероприятий в области автомобильного транспорта</v>
      </c>
      <c r="M1996" s="16">
        <f t="shared" si="126"/>
        <v>1</v>
      </c>
    </row>
    <row r="1997" spans="1:13" s="16" customFormat="1" ht="31.5">
      <c r="A1997" s="14"/>
      <c r="B1997" s="125" t="s">
        <v>28</v>
      </c>
      <c r="C1997" s="108" t="s">
        <v>410</v>
      </c>
      <c r="D1997" s="108" t="s">
        <v>73</v>
      </c>
      <c r="E1997" s="108" t="s">
        <v>238</v>
      </c>
      <c r="F1997" s="108" t="s">
        <v>824</v>
      </c>
      <c r="G1997" s="108" t="s">
        <v>29</v>
      </c>
      <c r="H1997" s="126">
        <v>22.01</v>
      </c>
      <c r="I1997" s="108">
        <v>9810021170</v>
      </c>
      <c r="J1997" s="108" t="str">
        <f t="shared" si="124"/>
        <v>9810021170</v>
      </c>
      <c r="K1997" s="304" t="str">
        <f t="shared" ref="K1997:K2092" si="129">C1997&amp;D1997&amp;E1997&amp;J1997&amp;G1997</f>
        <v>62004089810021170240</v>
      </c>
      <c r="L1997" s="17" t="str">
        <f>INDEX('реш СГД № 265'!$A:$N,MATCH('БА расх 2018 31 12 2018'!$K1997,'реш СГД № 265'!$N:$N,0),3)</f>
        <v>Иные закупки товаров, работ и услуг для обеспечения государственных (муниципальных) нужд</v>
      </c>
      <c r="M1997" s="16">
        <f t="shared" si="126"/>
        <v>1</v>
      </c>
    </row>
    <row r="1998" spans="1:13" s="16" customFormat="1" ht="15.75">
      <c r="A1998" s="14"/>
      <c r="B1998" s="125" t="s">
        <v>30</v>
      </c>
      <c r="C1998" s="108" t="s">
        <v>410</v>
      </c>
      <c r="D1998" s="108" t="s">
        <v>73</v>
      </c>
      <c r="E1998" s="108" t="s">
        <v>238</v>
      </c>
      <c r="F1998" s="108" t="s">
        <v>824</v>
      </c>
      <c r="G1998" s="108" t="s">
        <v>31</v>
      </c>
      <c r="H1998" s="126">
        <v>22.01</v>
      </c>
      <c r="I1998" s="108">
        <v>9810021170</v>
      </c>
      <c r="J1998" s="108" t="str">
        <f t="shared" ref="J1998:J2093" si="130">TEXT(I1998,"0000000000")</f>
        <v>9810021170</v>
      </c>
      <c r="K1998" s="304" t="str">
        <f t="shared" si="129"/>
        <v>62004089810021170244</v>
      </c>
      <c r="L1998" s="17"/>
    </row>
    <row r="1999" spans="1:13" s="16" customFormat="1" ht="15.75">
      <c r="A1999" s="14"/>
      <c r="B1999" s="121" t="s">
        <v>760</v>
      </c>
      <c r="C1999" s="122" t="s">
        <v>410</v>
      </c>
      <c r="D1999" s="123" t="s">
        <v>73</v>
      </c>
      <c r="E1999" s="123" t="s">
        <v>471</v>
      </c>
      <c r="F1999" s="123" t="s">
        <v>8</v>
      </c>
      <c r="G1999" s="123" t="s">
        <v>9</v>
      </c>
      <c r="H1999" s="124">
        <v>743745387.88</v>
      </c>
      <c r="I1999" s="123">
        <v>0</v>
      </c>
      <c r="J1999" s="108" t="str">
        <f t="shared" si="130"/>
        <v>0000000000</v>
      </c>
      <c r="K1999" s="304" t="str">
        <f t="shared" si="129"/>
        <v>62004090000000000000</v>
      </c>
      <c r="L1999" s="17" t="str">
        <f>INDEX('реш СГД № 265'!$A:$N,MATCH('БА расх 2018 31 12 2018'!$K1999,'реш СГД № 265'!$N:$N,0),3)</f>
        <v>Дорожное хозяйство (дорожные фонды)</v>
      </c>
      <c r="M1999" s="16">
        <f t="shared" ref="M1999:M2093" si="131">IF(B1999=L1999,1,0)</f>
        <v>1</v>
      </c>
    </row>
    <row r="2000" spans="1:13" s="16" customFormat="1" ht="47.25">
      <c r="A2000" s="14"/>
      <c r="B2000" s="135" t="s">
        <v>285</v>
      </c>
      <c r="C2000" s="109" t="s">
        <v>410</v>
      </c>
      <c r="D2000" s="109" t="s">
        <v>73</v>
      </c>
      <c r="E2000" s="109" t="s">
        <v>471</v>
      </c>
      <c r="F2000" s="109" t="s">
        <v>286</v>
      </c>
      <c r="G2000" s="109" t="s">
        <v>9</v>
      </c>
      <c r="H2000" s="141">
        <v>5251078.6100000003</v>
      </c>
      <c r="I2000" s="109">
        <v>200000000</v>
      </c>
      <c r="J2000" s="109" t="str">
        <f t="shared" si="130"/>
        <v>0200000000</v>
      </c>
      <c r="K2000" s="304" t="str">
        <f t="shared" si="129"/>
        <v>62004090200000000000</v>
      </c>
      <c r="L2000" s="17" t="str">
        <f>INDEX('реш СГД № 265'!$A:$N,MATCH('БА расх 2018 31 12 2018'!$K2000,'реш СГД № 265'!$N:$N,0),3)</f>
        <v>Муниципальная программа «Поддержка садоводческих, огороднических и дачных некоммерческих объединений граждан, расположенных на территории города Ставрополя»</v>
      </c>
      <c r="M2000" s="16">
        <f t="shared" si="131"/>
        <v>1</v>
      </c>
    </row>
    <row r="2001" spans="1:13" s="16" customFormat="1" ht="63">
      <c r="A2001" s="14"/>
      <c r="B2001" s="125" t="s">
        <v>287</v>
      </c>
      <c r="C2001" s="109" t="s">
        <v>410</v>
      </c>
      <c r="D2001" s="109" t="s">
        <v>73</v>
      </c>
      <c r="E2001" s="109" t="s">
        <v>471</v>
      </c>
      <c r="F2001" s="109" t="s">
        <v>288</v>
      </c>
      <c r="G2001" s="109" t="s">
        <v>9</v>
      </c>
      <c r="H2001" s="141">
        <v>5251078.6100000003</v>
      </c>
      <c r="I2001" s="109" t="s">
        <v>1182</v>
      </c>
      <c r="J2001" s="109" t="str">
        <f t="shared" si="130"/>
        <v>02Б0000000</v>
      </c>
      <c r="K2001" s="304" t="str">
        <f t="shared" si="129"/>
        <v>620040902Б0000000000</v>
      </c>
      <c r="L2001" s="17" t="str">
        <f>INDEX('реш СГД № 265'!$A:$N,MATCH('БА расх 2018 31 12 2018'!$K2001,'реш СГД № 265'!$N:$N,0),3)</f>
        <v>Расходы в рамках реализации муниципальной программы «Поддержка садоводческих, огороднических и дачных некоммерческих объединений граждан, расположенных на территории города Ставрополя»</v>
      </c>
      <c r="M2001" s="16">
        <f t="shared" si="131"/>
        <v>1</v>
      </c>
    </row>
    <row r="2002" spans="1:13" s="16" customFormat="1" ht="78.75">
      <c r="A2002" s="14"/>
      <c r="B2002" s="127" t="s">
        <v>825</v>
      </c>
      <c r="C2002" s="109" t="s">
        <v>410</v>
      </c>
      <c r="D2002" s="109" t="s">
        <v>73</v>
      </c>
      <c r="E2002" s="109" t="s">
        <v>471</v>
      </c>
      <c r="F2002" s="109" t="s">
        <v>826</v>
      </c>
      <c r="G2002" s="109" t="s">
        <v>9</v>
      </c>
      <c r="H2002" s="141">
        <v>5251078.6100000003</v>
      </c>
      <c r="I2002" s="109" t="s">
        <v>1236</v>
      </c>
      <c r="J2002" s="109" t="str">
        <f t="shared" si="130"/>
        <v>02Б0200000</v>
      </c>
      <c r="K2002" s="304" t="str">
        <f t="shared" si="129"/>
        <v>620040902Б0200000000</v>
      </c>
      <c r="L2002" s="17" t="str">
        <f>INDEX('реш СГД № 265'!$A:$N,MATCH('БА расх 2018 31 12 2018'!$K2002,'реш СГД № 265'!$N:$N,0),3)</f>
        <v>Основное мероприятие «Ремонт подъездных автомобильных дорог общего пользования местного значения к садоводческим, огородническим и дачным некоммерческим объединениям граждан, расположенным на территории города Ставрополя»</v>
      </c>
      <c r="M2002" s="16">
        <f t="shared" si="131"/>
        <v>1</v>
      </c>
    </row>
    <row r="2003" spans="1:13" s="16" customFormat="1" ht="63">
      <c r="A2003" s="14"/>
      <c r="B2003" s="127" t="s">
        <v>827</v>
      </c>
      <c r="C2003" s="109" t="s">
        <v>410</v>
      </c>
      <c r="D2003" s="109" t="s">
        <v>73</v>
      </c>
      <c r="E2003" s="109" t="s">
        <v>471</v>
      </c>
      <c r="F2003" s="109" t="s">
        <v>828</v>
      </c>
      <c r="G2003" s="109" t="s">
        <v>9</v>
      </c>
      <c r="H2003" s="141">
        <v>5251078.6100000003</v>
      </c>
      <c r="I2003" s="109" t="s">
        <v>1237</v>
      </c>
      <c r="J2003" s="109" t="str">
        <f t="shared" si="130"/>
        <v>02Б0220560</v>
      </c>
      <c r="K2003" s="304" t="str">
        <f t="shared" si="129"/>
        <v>620040902Б0220560000</v>
      </c>
      <c r="L2003" s="17" t="str">
        <f>INDEX('реш СГД № 265'!$A:$N,MATCH('БА расх 2018 31 12 2018'!$K2003,'реш СГД № 265'!$N:$N,0),3)</f>
        <v>Расходы на ремонт подъездных автомобильных дорог общего пользования местного значения  к садоводческим, огородническим и дачным некоммерческим объединениям граждан, расположенным на территории города Ставрополя</v>
      </c>
      <c r="M2003" s="16">
        <f t="shared" si="131"/>
        <v>1</v>
      </c>
    </row>
    <row r="2004" spans="1:13" s="16" customFormat="1" ht="31.5">
      <c r="A2004" s="14"/>
      <c r="B2004" s="125" t="s">
        <v>28</v>
      </c>
      <c r="C2004" s="109" t="s">
        <v>410</v>
      </c>
      <c r="D2004" s="109" t="s">
        <v>73</v>
      </c>
      <c r="E2004" s="109" t="s">
        <v>471</v>
      </c>
      <c r="F2004" s="109" t="s">
        <v>828</v>
      </c>
      <c r="G2004" s="109" t="s">
        <v>29</v>
      </c>
      <c r="H2004" s="126">
        <v>5251078.6100000003</v>
      </c>
      <c r="I2004" s="109" t="s">
        <v>1237</v>
      </c>
      <c r="J2004" s="109" t="str">
        <f t="shared" si="130"/>
        <v>02Б0220560</v>
      </c>
      <c r="K2004" s="304" t="str">
        <f t="shared" si="129"/>
        <v>620040902Б0220560240</v>
      </c>
      <c r="L2004" s="17" t="str">
        <f>INDEX('реш СГД № 265'!$A:$N,MATCH('БА расх 2018 31 12 2018'!$K2004,'реш СГД № 265'!$N:$N,0),3)</f>
        <v>Иные закупки товаров, работ и услуг для обеспечения государственных (муниципальных) нужд</v>
      </c>
      <c r="M2004" s="16">
        <f t="shared" si="131"/>
        <v>1</v>
      </c>
    </row>
    <row r="2005" spans="1:13" s="16" customFormat="1" ht="15.75">
      <c r="A2005" s="14"/>
      <c r="B2005" s="125" t="s">
        <v>30</v>
      </c>
      <c r="C2005" s="109" t="s">
        <v>410</v>
      </c>
      <c r="D2005" s="109" t="s">
        <v>73</v>
      </c>
      <c r="E2005" s="109" t="s">
        <v>471</v>
      </c>
      <c r="F2005" s="109" t="s">
        <v>828</v>
      </c>
      <c r="G2005" s="109" t="s">
        <v>31</v>
      </c>
      <c r="H2005" s="126">
        <v>5251078.6100000003</v>
      </c>
      <c r="I2005" s="109" t="s">
        <v>1237</v>
      </c>
      <c r="J2005" s="109" t="str">
        <f t="shared" si="130"/>
        <v>02Б0220560</v>
      </c>
      <c r="K2005" s="304" t="str">
        <f t="shared" si="129"/>
        <v>620040902Б0220560244</v>
      </c>
      <c r="L2005" s="17"/>
    </row>
    <row r="2006" spans="1:13" s="16" customFormat="1" ht="63">
      <c r="A2006" s="14"/>
      <c r="B2006" s="127" t="s">
        <v>293</v>
      </c>
      <c r="C2006" s="108" t="s">
        <v>410</v>
      </c>
      <c r="D2006" s="108" t="s">
        <v>73</v>
      </c>
      <c r="E2006" s="108" t="s">
        <v>471</v>
      </c>
      <c r="F2006" s="108" t="s">
        <v>294</v>
      </c>
      <c r="G2006" s="109" t="s">
        <v>9</v>
      </c>
      <c r="H2006" s="141">
        <v>738494309.26999998</v>
      </c>
      <c r="I2006" s="108">
        <v>400000000</v>
      </c>
      <c r="J2006" s="108" t="str">
        <f t="shared" si="130"/>
        <v>0400000000</v>
      </c>
      <c r="K2006" s="304" t="str">
        <f t="shared" si="129"/>
        <v>62004090400000000000</v>
      </c>
      <c r="L2006" s="17" t="str">
        <f>INDEX('реш СГД № 265'!$A:$N,MATCH('БА расх 2018 31 12 2018'!$K2006,'реш СГД № 265'!$N:$N,0),3)</f>
        <v>Муниципальная программа «Развитие жилищно-коммунального хозяйства, транспортной системы на территории города Ставрополя, благоустройство территории города Ставрополя»</v>
      </c>
      <c r="M2006" s="16">
        <f t="shared" si="131"/>
        <v>1</v>
      </c>
    </row>
    <row r="2007" spans="1:13" s="16" customFormat="1" ht="63">
      <c r="A2007" s="14"/>
      <c r="B2007" s="140" t="s">
        <v>295</v>
      </c>
      <c r="C2007" s="108" t="s">
        <v>410</v>
      </c>
      <c r="D2007" s="108" t="s">
        <v>73</v>
      </c>
      <c r="E2007" s="108" t="s">
        <v>471</v>
      </c>
      <c r="F2007" s="108" t="s">
        <v>296</v>
      </c>
      <c r="G2007" s="109" t="s">
        <v>9</v>
      </c>
      <c r="H2007" s="141">
        <v>738494309.26999998</v>
      </c>
      <c r="I2007" s="108">
        <v>420000000</v>
      </c>
      <c r="J2007" s="108" t="str">
        <f t="shared" si="130"/>
        <v>0420000000</v>
      </c>
      <c r="K2007" s="304" t="str">
        <f t="shared" si="129"/>
        <v>62004090420000000000</v>
      </c>
      <c r="L2007" s="17" t="str">
        <f>INDEX('реш СГД № 265'!$A:$N,MATCH('БА расх 2018 31 12 2018'!$K2007,'реш СГД № 265'!$N:$N,0),3)</f>
        <v xml:space="preserve">Подпрограмма «Дорожная деятельность и обеспечение безопасности дорожного движения, организация транспортного обслуживания населения на территории города Ставрополя» </v>
      </c>
      <c r="M2007" s="16">
        <f t="shared" si="131"/>
        <v>1</v>
      </c>
    </row>
    <row r="2008" spans="1:13" s="16" customFormat="1" ht="63">
      <c r="A2008" s="14"/>
      <c r="B2008" s="125" t="s">
        <v>297</v>
      </c>
      <c r="C2008" s="108" t="s">
        <v>410</v>
      </c>
      <c r="D2008" s="108" t="s">
        <v>73</v>
      </c>
      <c r="E2008" s="108" t="s">
        <v>471</v>
      </c>
      <c r="F2008" s="108" t="s">
        <v>298</v>
      </c>
      <c r="G2008" s="109" t="s">
        <v>9</v>
      </c>
      <c r="H2008" s="141">
        <v>667852595.04999995</v>
      </c>
      <c r="I2008" s="108">
        <v>420200000</v>
      </c>
      <c r="J2008" s="108" t="str">
        <f t="shared" si="130"/>
        <v>0420200000</v>
      </c>
      <c r="K2008" s="304" t="str">
        <f t="shared" si="129"/>
        <v>62004090420200000000</v>
      </c>
      <c r="L2008" s="17" t="str">
        <f>INDEX('реш СГД № 265'!$A:$N,MATCH('БА расх 2018 31 12 2018'!$K2008,'реш СГД № 265'!$N:$N,0),3)</f>
        <v>Основное мероприятие «Организация дорожной деятельности в отношении автомобильных дорог общего пользования местного значения в границах города Ставрополя»</v>
      </c>
      <c r="M2008" s="16">
        <f t="shared" si="131"/>
        <v>1</v>
      </c>
    </row>
    <row r="2009" spans="1:13" s="16" customFormat="1" ht="31.5">
      <c r="A2009" s="14"/>
      <c r="B2009" s="125" t="s">
        <v>829</v>
      </c>
      <c r="C2009" s="108" t="s">
        <v>410</v>
      </c>
      <c r="D2009" s="108" t="s">
        <v>73</v>
      </c>
      <c r="E2009" s="108" t="s">
        <v>471</v>
      </c>
      <c r="F2009" s="108" t="s">
        <v>830</v>
      </c>
      <c r="G2009" s="109" t="s">
        <v>9</v>
      </c>
      <c r="H2009" s="141">
        <v>90278969.349999994</v>
      </c>
      <c r="I2009" s="108">
        <v>420220130</v>
      </c>
      <c r="J2009" s="108" t="str">
        <f t="shared" si="130"/>
        <v>0420220130</v>
      </c>
      <c r="K2009" s="304" t="str">
        <f t="shared" si="129"/>
        <v>62004090420220130000</v>
      </c>
      <c r="L2009" s="17" t="str">
        <f>INDEX('реш СГД № 265'!$A:$N,MATCH('БА расх 2018 31 12 2018'!$K2009,'реш СГД № 265'!$N:$N,0),3)</f>
        <v>Расходы на ремонт автомобильных дорог общего пользования местного значения</v>
      </c>
      <c r="M2009" s="16">
        <f t="shared" si="131"/>
        <v>1</v>
      </c>
    </row>
    <row r="2010" spans="1:13" s="16" customFormat="1" ht="31.5">
      <c r="A2010" s="14"/>
      <c r="B2010" s="125" t="s">
        <v>28</v>
      </c>
      <c r="C2010" s="108" t="s">
        <v>410</v>
      </c>
      <c r="D2010" s="108" t="s">
        <v>73</v>
      </c>
      <c r="E2010" s="108" t="s">
        <v>471</v>
      </c>
      <c r="F2010" s="108" t="s">
        <v>830</v>
      </c>
      <c r="G2010" s="109" t="s">
        <v>29</v>
      </c>
      <c r="H2010" s="126">
        <v>90278969.349999994</v>
      </c>
      <c r="I2010" s="108">
        <v>420220130</v>
      </c>
      <c r="J2010" s="108" t="str">
        <f t="shared" si="130"/>
        <v>0420220130</v>
      </c>
      <c r="K2010" s="304" t="str">
        <f t="shared" si="129"/>
        <v>62004090420220130240</v>
      </c>
      <c r="L2010" s="17" t="str">
        <f>INDEX('реш СГД № 265'!$A:$N,MATCH('БА расх 2018 31 12 2018'!$K2010,'реш СГД № 265'!$N:$N,0),3)</f>
        <v>Иные закупки товаров, работ и услуг для обеспечения государственных (муниципальных) нужд</v>
      </c>
      <c r="M2010" s="16">
        <f t="shared" si="131"/>
        <v>1</v>
      </c>
    </row>
    <row r="2011" spans="1:13" s="16" customFormat="1" ht="15.75">
      <c r="A2011" s="14"/>
      <c r="B2011" s="125" t="s">
        <v>30</v>
      </c>
      <c r="C2011" s="108" t="s">
        <v>410</v>
      </c>
      <c r="D2011" s="108" t="s">
        <v>73</v>
      </c>
      <c r="E2011" s="108" t="s">
        <v>471</v>
      </c>
      <c r="F2011" s="108" t="s">
        <v>830</v>
      </c>
      <c r="G2011" s="109" t="s">
        <v>31</v>
      </c>
      <c r="H2011" s="126">
        <v>90278969.349999994</v>
      </c>
      <c r="I2011" s="108">
        <v>420220130</v>
      </c>
      <c r="J2011" s="108" t="str">
        <f t="shared" si="130"/>
        <v>0420220130</v>
      </c>
      <c r="K2011" s="304" t="str">
        <f t="shared" si="129"/>
        <v>62004090420220130244</v>
      </c>
      <c r="L2011" s="17"/>
    </row>
    <row r="2012" spans="1:13" s="16" customFormat="1" ht="31.5">
      <c r="A2012" s="14"/>
      <c r="B2012" s="125" t="s">
        <v>833</v>
      </c>
      <c r="C2012" s="108" t="s">
        <v>410</v>
      </c>
      <c r="D2012" s="108" t="s">
        <v>73</v>
      </c>
      <c r="E2012" s="108" t="s">
        <v>471</v>
      </c>
      <c r="F2012" s="108" t="s">
        <v>834</v>
      </c>
      <c r="G2012" s="109" t="s">
        <v>9</v>
      </c>
      <c r="H2012" s="141">
        <v>2311630</v>
      </c>
      <c r="I2012" s="108">
        <v>420220830</v>
      </c>
      <c r="J2012" s="108" t="str">
        <f t="shared" si="130"/>
        <v>0420220830</v>
      </c>
      <c r="K2012" s="304" t="str">
        <f t="shared" si="129"/>
        <v>62004090420220830000</v>
      </c>
      <c r="L2012" s="17" t="str">
        <f>INDEX('реш СГД № 265'!$A:$N,MATCH('БА расх 2018 31 12 2018'!$K2012,'реш СГД № 265'!$N:$N,0),3)</f>
        <v>Расходы на прочие мероприятия  в области дорожного хозяйства</v>
      </c>
      <c r="M2012" s="16">
        <f t="shared" si="131"/>
        <v>1</v>
      </c>
    </row>
    <row r="2013" spans="1:13" s="16" customFormat="1" ht="31.5">
      <c r="A2013" s="14"/>
      <c r="B2013" s="125" t="s">
        <v>28</v>
      </c>
      <c r="C2013" s="108" t="s">
        <v>410</v>
      </c>
      <c r="D2013" s="108" t="s">
        <v>73</v>
      </c>
      <c r="E2013" s="108" t="s">
        <v>471</v>
      </c>
      <c r="F2013" s="108" t="s">
        <v>834</v>
      </c>
      <c r="G2013" s="109" t="s">
        <v>29</v>
      </c>
      <c r="H2013" s="126">
        <v>2311630</v>
      </c>
      <c r="I2013" s="108">
        <v>420220830</v>
      </c>
      <c r="J2013" s="108" t="str">
        <f t="shared" si="130"/>
        <v>0420220830</v>
      </c>
      <c r="K2013" s="304" t="str">
        <f t="shared" si="129"/>
        <v>62004090420220830240</v>
      </c>
      <c r="L2013" s="17" t="str">
        <f>INDEX('реш СГД № 265'!$A:$N,MATCH('БА расх 2018 31 12 2018'!$K2013,'реш СГД № 265'!$N:$N,0),3)</f>
        <v>Иные закупки товаров, работ и услуг для обеспечения государственных (муниципальных) нужд</v>
      </c>
      <c r="M2013" s="16">
        <f t="shared" si="131"/>
        <v>1</v>
      </c>
    </row>
    <row r="2014" spans="1:13" s="16" customFormat="1" ht="15.75">
      <c r="A2014" s="14"/>
      <c r="B2014" s="125" t="s">
        <v>30</v>
      </c>
      <c r="C2014" s="108" t="s">
        <v>410</v>
      </c>
      <c r="D2014" s="108" t="s">
        <v>73</v>
      </c>
      <c r="E2014" s="108" t="s">
        <v>471</v>
      </c>
      <c r="F2014" s="108" t="s">
        <v>834</v>
      </c>
      <c r="G2014" s="109" t="s">
        <v>31</v>
      </c>
      <c r="H2014" s="126">
        <v>2311630</v>
      </c>
      <c r="I2014" s="108">
        <v>420220830</v>
      </c>
      <c r="J2014" s="108" t="str">
        <f t="shared" si="130"/>
        <v>0420220830</v>
      </c>
      <c r="K2014" s="304" t="str">
        <f t="shared" si="129"/>
        <v>62004090420220830244</v>
      </c>
      <c r="L2014" s="17"/>
    </row>
    <row r="2015" spans="1:13" s="16" customFormat="1" ht="31.5">
      <c r="A2015" s="14"/>
      <c r="B2015" s="125" t="s">
        <v>835</v>
      </c>
      <c r="C2015" s="108" t="s">
        <v>410</v>
      </c>
      <c r="D2015" s="108" t="s">
        <v>73</v>
      </c>
      <c r="E2015" s="108" t="s">
        <v>471</v>
      </c>
      <c r="F2015" s="108" t="s">
        <v>836</v>
      </c>
      <c r="G2015" s="109" t="s">
        <v>9</v>
      </c>
      <c r="H2015" s="141">
        <v>10027949.859999999</v>
      </c>
      <c r="I2015" s="108">
        <v>420221180</v>
      </c>
      <c r="J2015" s="108" t="str">
        <f t="shared" si="130"/>
        <v>0420221180</v>
      </c>
      <c r="K2015" s="304" t="str">
        <f t="shared" si="129"/>
        <v>62004090420221180000</v>
      </c>
      <c r="L2015" s="17" t="str">
        <f>INDEX('реш СГД № 265'!$A:$N,MATCH('БА расх 2018 31 12 2018'!$K2015,'реш СГД № 265'!$N:$N,0),3)</f>
        <v>Проектирование, строительство и реконструкция автомобильных дорог общего пользования местного значения</v>
      </c>
      <c r="M2015" s="16">
        <f t="shared" si="131"/>
        <v>1</v>
      </c>
    </row>
    <row r="2016" spans="1:13" s="16" customFormat="1" ht="15.75">
      <c r="A2016" s="14"/>
      <c r="B2016" s="125" t="s">
        <v>837</v>
      </c>
      <c r="C2016" s="108" t="s">
        <v>410</v>
      </c>
      <c r="D2016" s="108" t="s">
        <v>73</v>
      </c>
      <c r="E2016" s="108" t="s">
        <v>471</v>
      </c>
      <c r="F2016" s="108" t="s">
        <v>836</v>
      </c>
      <c r="G2016" s="109" t="s">
        <v>838</v>
      </c>
      <c r="H2016" s="126">
        <v>10027949.859999999</v>
      </c>
      <c r="I2016" s="108">
        <v>420221180</v>
      </c>
      <c r="J2016" s="108" t="str">
        <f t="shared" si="130"/>
        <v>0420221180</v>
      </c>
      <c r="K2016" s="304" t="str">
        <f t="shared" si="129"/>
        <v>62004090420221180410</v>
      </c>
      <c r="L2016" s="17" t="str">
        <f>INDEX('реш СГД № 265'!$A:$N,MATCH('БА расх 2018 31 12 2018'!$K2016,'реш СГД № 265'!$N:$N,0),3)</f>
        <v xml:space="preserve">Бюджетные инвестиции </v>
      </c>
      <c r="M2016" s="16">
        <f t="shared" si="131"/>
        <v>1</v>
      </c>
    </row>
    <row r="2017" spans="1:13" s="16" customFormat="1" ht="47.25">
      <c r="A2017" s="14"/>
      <c r="B2017" s="125" t="s">
        <v>839</v>
      </c>
      <c r="C2017" s="108" t="s">
        <v>410</v>
      </c>
      <c r="D2017" s="108" t="s">
        <v>73</v>
      </c>
      <c r="E2017" s="108" t="s">
        <v>471</v>
      </c>
      <c r="F2017" s="108" t="s">
        <v>836</v>
      </c>
      <c r="G2017" s="109" t="s">
        <v>840</v>
      </c>
      <c r="H2017" s="126">
        <v>10027949.859999999</v>
      </c>
      <c r="I2017" s="108">
        <v>420221180</v>
      </c>
      <c r="J2017" s="108" t="str">
        <f t="shared" si="130"/>
        <v>0420221180</v>
      </c>
      <c r="K2017" s="304" t="str">
        <f t="shared" si="129"/>
        <v>62004090420221180414</v>
      </c>
      <c r="L2017" s="17"/>
    </row>
    <row r="2018" spans="1:13" s="16" customFormat="1" ht="78.75">
      <c r="A2018" s="14"/>
      <c r="B2018" s="125" t="s">
        <v>1075</v>
      </c>
      <c r="C2018" s="130" t="s">
        <v>410</v>
      </c>
      <c r="D2018" s="108" t="s">
        <v>73</v>
      </c>
      <c r="E2018" s="108" t="s">
        <v>471</v>
      </c>
      <c r="F2018" s="108" t="s">
        <v>1076</v>
      </c>
      <c r="G2018" s="108" t="s">
        <v>9</v>
      </c>
      <c r="H2018" s="126">
        <v>3925.93</v>
      </c>
      <c r="I2018" s="108">
        <v>420221410</v>
      </c>
      <c r="J2018" s="108" t="str">
        <f t="shared" si="130"/>
        <v>0420221410</v>
      </c>
      <c r="K2018" s="304" t="str">
        <f t="shared" si="129"/>
        <v>62004090420221410000</v>
      </c>
      <c r="L2018" s="17" t="str">
        <f>INDEX('реш СГД № 265'!$A:$N,MATCH('БА расх 2018 31 12 2018'!$K2018,'реш СГД № 265'!$N:$N,0),3)</f>
        <v>Расходы за счет средств субсидии, выделяемой бюджету города Ставрополя из бюджета Ставропольского края на осуществление функций административного центра Ставропольского края, на ремонт автомобильных дорог общего пользования местного значения</v>
      </c>
      <c r="M2018" s="16">
        <f t="shared" si="131"/>
        <v>1</v>
      </c>
    </row>
    <row r="2019" spans="1:13" s="16" customFormat="1" ht="31.5">
      <c r="A2019" s="14"/>
      <c r="B2019" s="125" t="s">
        <v>28</v>
      </c>
      <c r="C2019" s="130" t="s">
        <v>410</v>
      </c>
      <c r="D2019" s="108" t="s">
        <v>73</v>
      </c>
      <c r="E2019" s="108" t="s">
        <v>471</v>
      </c>
      <c r="F2019" s="108" t="s">
        <v>1076</v>
      </c>
      <c r="G2019" s="108" t="s">
        <v>29</v>
      </c>
      <c r="H2019" s="126">
        <v>3925.93</v>
      </c>
      <c r="I2019" s="108">
        <v>420221410</v>
      </c>
      <c r="J2019" s="108" t="str">
        <f t="shared" si="130"/>
        <v>0420221410</v>
      </c>
      <c r="K2019" s="304" t="str">
        <f t="shared" si="129"/>
        <v>62004090420221410240</v>
      </c>
      <c r="L2019" s="17" t="str">
        <f>INDEX('реш СГД № 265'!$A:$N,MATCH('БА расх 2018 31 12 2018'!$K2019,'реш СГД № 265'!$N:$N,0),3)</f>
        <v>Иные закупки товаров, работ и услуг для обеспечения государственных (муниципальных) нужд</v>
      </c>
      <c r="M2019" s="16">
        <f t="shared" si="131"/>
        <v>1</v>
      </c>
    </row>
    <row r="2020" spans="1:13" s="16" customFormat="1" ht="15.75">
      <c r="A2020" s="14"/>
      <c r="B2020" s="125" t="s">
        <v>30</v>
      </c>
      <c r="C2020" s="130" t="s">
        <v>410</v>
      </c>
      <c r="D2020" s="108" t="s">
        <v>73</v>
      </c>
      <c r="E2020" s="108" t="s">
        <v>471</v>
      </c>
      <c r="F2020" s="108" t="s">
        <v>1076</v>
      </c>
      <c r="G2020" s="108" t="s">
        <v>31</v>
      </c>
      <c r="H2020" s="126">
        <v>3925.93</v>
      </c>
      <c r="I2020" s="108">
        <v>420221410</v>
      </c>
      <c r="J2020" s="108" t="str">
        <f t="shared" si="130"/>
        <v>0420221410</v>
      </c>
      <c r="K2020" s="304" t="str">
        <f t="shared" si="129"/>
        <v>62004090420221410244</v>
      </c>
      <c r="L2020" s="17"/>
    </row>
    <row r="2021" spans="1:13" s="16" customFormat="1" ht="94.5">
      <c r="A2021" s="14"/>
      <c r="B2021" s="125" t="s">
        <v>845</v>
      </c>
      <c r="C2021" s="109" t="s">
        <v>410</v>
      </c>
      <c r="D2021" s="108" t="s">
        <v>73</v>
      </c>
      <c r="E2021" s="108" t="s">
        <v>471</v>
      </c>
      <c r="F2021" s="14" t="s">
        <v>846</v>
      </c>
      <c r="G2021" s="109" t="s">
        <v>9</v>
      </c>
      <c r="H2021" s="141">
        <v>17461526.109999999</v>
      </c>
      <c r="I2021" s="14">
        <v>420260090</v>
      </c>
      <c r="J2021" s="14" t="str">
        <f t="shared" si="130"/>
        <v>0420260090</v>
      </c>
      <c r="K2021" s="304" t="str">
        <f t="shared" si="129"/>
        <v>62004090420260090000</v>
      </c>
      <c r="L2021" s="17" t="str">
        <f>INDEX('реш СГД № 265'!$A:$N,MATCH('БА расх 2018 31 12 2018'!$K2021,'реш СГД № 265'!$N:$N,0),3)</f>
        <v>Предоставление субсидии на возмещение затрат организаций по созданию, эксплуатации и обеспечению функционирования на платной основе парковок (парковочных мест), расположенных на автомобильных дорогах общего пользования местного значения города Ставрополя</v>
      </c>
      <c r="M2021" s="16">
        <f t="shared" si="131"/>
        <v>1</v>
      </c>
    </row>
    <row r="2022" spans="1:13" s="16" customFormat="1" ht="47.25">
      <c r="A2022" s="14"/>
      <c r="B2022" s="129" t="s">
        <v>203</v>
      </c>
      <c r="C2022" s="109" t="s">
        <v>410</v>
      </c>
      <c r="D2022" s="108" t="s">
        <v>73</v>
      </c>
      <c r="E2022" s="108" t="s">
        <v>471</v>
      </c>
      <c r="F2022" s="14" t="s">
        <v>846</v>
      </c>
      <c r="G2022" s="109" t="s">
        <v>204</v>
      </c>
      <c r="H2022" s="126">
        <v>17461526.109999999</v>
      </c>
      <c r="I2022" s="14">
        <v>420260090</v>
      </c>
      <c r="J2022" s="14" t="str">
        <f t="shared" si="130"/>
        <v>0420260090</v>
      </c>
      <c r="K2022" s="304" t="str">
        <f t="shared" si="129"/>
        <v>62004090420260090810</v>
      </c>
      <c r="L2022" s="17" t="str">
        <f>INDEX('реш СГД № 265'!$A:$N,MATCH('БА расх 2018 31 12 2018'!$K2022,'реш СГД № 265'!$N:$N,0),3)</f>
        <v>Субсидии юридическим лицам (кроме некоммерческих организаций), индивидуальным предпринимателям, физическим лицам - производителям товаров, работ, услуг</v>
      </c>
      <c r="M2022" s="16">
        <f t="shared" si="131"/>
        <v>1</v>
      </c>
    </row>
    <row r="2023" spans="1:13" s="16" customFormat="1" ht="63">
      <c r="A2023" s="14"/>
      <c r="B2023" s="125" t="s">
        <v>205</v>
      </c>
      <c r="C2023" s="109" t="s">
        <v>410</v>
      </c>
      <c r="D2023" s="108" t="s">
        <v>73</v>
      </c>
      <c r="E2023" s="108" t="s">
        <v>471</v>
      </c>
      <c r="F2023" s="14" t="s">
        <v>846</v>
      </c>
      <c r="G2023" s="109" t="s">
        <v>206</v>
      </c>
      <c r="H2023" s="126">
        <v>17461526.109999999</v>
      </c>
      <c r="I2023" s="14">
        <v>420260090</v>
      </c>
      <c r="J2023" s="14" t="str">
        <f t="shared" si="130"/>
        <v>0420260090</v>
      </c>
      <c r="K2023" s="304" t="str">
        <f t="shared" si="129"/>
        <v>62004090420260090811</v>
      </c>
      <c r="L2023" s="17"/>
    </row>
    <row r="2024" spans="1:13" s="16" customFormat="1" ht="63">
      <c r="A2024" s="14"/>
      <c r="B2024" s="125" t="s">
        <v>1331</v>
      </c>
      <c r="C2024" s="109" t="s">
        <v>410</v>
      </c>
      <c r="D2024" s="108" t="s">
        <v>73</v>
      </c>
      <c r="E2024" s="108" t="s">
        <v>471</v>
      </c>
      <c r="F2024" s="14" t="s">
        <v>1332</v>
      </c>
      <c r="G2024" s="109" t="s">
        <v>9</v>
      </c>
      <c r="H2024" s="141">
        <v>6350000</v>
      </c>
      <c r="I2024" s="14">
        <v>420276412</v>
      </c>
      <c r="J2024" s="108" t="str">
        <f t="shared" si="130"/>
        <v>0420276412</v>
      </c>
      <c r="K2024" s="304" t="str">
        <f t="shared" si="129"/>
        <v>62004090420276412000</v>
      </c>
      <c r="L2024" s="17"/>
    </row>
    <row r="2025" spans="1:13" s="16" customFormat="1" ht="31.5">
      <c r="A2025" s="14"/>
      <c r="B2025" s="125" t="s">
        <v>28</v>
      </c>
      <c r="C2025" s="109" t="s">
        <v>410</v>
      </c>
      <c r="D2025" s="108" t="s">
        <v>73</v>
      </c>
      <c r="E2025" s="108" t="s">
        <v>471</v>
      </c>
      <c r="F2025" s="14" t="s">
        <v>1332</v>
      </c>
      <c r="G2025" s="109" t="s">
        <v>29</v>
      </c>
      <c r="H2025" s="141">
        <v>6350000</v>
      </c>
      <c r="I2025" s="14">
        <v>420276412</v>
      </c>
      <c r="J2025" s="108" t="str">
        <f t="shared" si="130"/>
        <v>0420276412</v>
      </c>
      <c r="K2025" s="304" t="str">
        <f t="shared" si="129"/>
        <v>62004090420276412240</v>
      </c>
      <c r="L2025" s="17"/>
    </row>
    <row r="2026" spans="1:13" s="16" customFormat="1" ht="15.75">
      <c r="A2026" s="14"/>
      <c r="B2026" s="125" t="s">
        <v>30</v>
      </c>
      <c r="C2026" s="109" t="s">
        <v>410</v>
      </c>
      <c r="D2026" s="108" t="s">
        <v>73</v>
      </c>
      <c r="E2026" s="108" t="s">
        <v>471</v>
      </c>
      <c r="F2026" s="14" t="s">
        <v>1332</v>
      </c>
      <c r="G2026" s="109" t="s">
        <v>31</v>
      </c>
      <c r="H2026" s="126">
        <v>6350000</v>
      </c>
      <c r="I2026" s="14">
        <v>420276412</v>
      </c>
      <c r="J2026" s="108" t="str">
        <f t="shared" si="130"/>
        <v>0420276412</v>
      </c>
      <c r="K2026" s="304" t="str">
        <f t="shared" si="129"/>
        <v>62004090420276412244</v>
      </c>
      <c r="L2026" s="17"/>
    </row>
    <row r="2027" spans="1:13" s="16" customFormat="1" ht="157.5">
      <c r="A2027" s="14"/>
      <c r="B2027" s="125" t="s">
        <v>1333</v>
      </c>
      <c r="C2027" s="109" t="s">
        <v>410</v>
      </c>
      <c r="D2027" s="108" t="s">
        <v>73</v>
      </c>
      <c r="E2027" s="108" t="s">
        <v>471</v>
      </c>
      <c r="F2027" s="14" t="s">
        <v>1334</v>
      </c>
      <c r="G2027" s="109" t="s">
        <v>9</v>
      </c>
      <c r="H2027" s="141">
        <v>16991149.550000001</v>
      </c>
      <c r="I2027" s="14">
        <v>420276414</v>
      </c>
      <c r="J2027" s="108" t="str">
        <f t="shared" si="130"/>
        <v>0420276414</v>
      </c>
      <c r="K2027" s="304" t="str">
        <f t="shared" si="129"/>
        <v>62004090420276414000</v>
      </c>
      <c r="L2027" s="17"/>
    </row>
    <row r="2028" spans="1:13" s="16" customFormat="1" ht="31.5">
      <c r="A2028" s="14"/>
      <c r="B2028" s="125" t="s">
        <v>28</v>
      </c>
      <c r="C2028" s="109" t="s">
        <v>410</v>
      </c>
      <c r="D2028" s="108" t="s">
        <v>73</v>
      </c>
      <c r="E2028" s="108" t="s">
        <v>471</v>
      </c>
      <c r="F2028" s="14" t="s">
        <v>1334</v>
      </c>
      <c r="G2028" s="109" t="s">
        <v>29</v>
      </c>
      <c r="H2028" s="141">
        <v>16991149.550000001</v>
      </c>
      <c r="I2028" s="14">
        <v>420276414</v>
      </c>
      <c r="J2028" s="108" t="str">
        <f t="shared" si="130"/>
        <v>0420276414</v>
      </c>
      <c r="K2028" s="304" t="str">
        <f t="shared" si="129"/>
        <v>62004090420276414240</v>
      </c>
      <c r="L2028" s="17"/>
    </row>
    <row r="2029" spans="1:13" s="16" customFormat="1" ht="15.75">
      <c r="A2029" s="14"/>
      <c r="B2029" s="125" t="s">
        <v>30</v>
      </c>
      <c r="C2029" s="109" t="s">
        <v>410</v>
      </c>
      <c r="D2029" s="108" t="s">
        <v>73</v>
      </c>
      <c r="E2029" s="108" t="s">
        <v>471</v>
      </c>
      <c r="F2029" s="14" t="s">
        <v>1334</v>
      </c>
      <c r="G2029" s="109" t="s">
        <v>31</v>
      </c>
      <c r="H2029" s="126">
        <v>16991149.550000001</v>
      </c>
      <c r="I2029" s="14">
        <v>420276414</v>
      </c>
      <c r="J2029" s="108" t="str">
        <f t="shared" si="130"/>
        <v>0420276414</v>
      </c>
      <c r="K2029" s="304" t="str">
        <f t="shared" si="129"/>
        <v>62004090420276414244</v>
      </c>
      <c r="L2029" s="17"/>
    </row>
    <row r="2030" spans="1:13" s="16" customFormat="1" ht="129.75" customHeight="1">
      <c r="A2030" s="14"/>
      <c r="B2030" s="125" t="s">
        <v>2390</v>
      </c>
      <c r="C2030" s="109" t="s">
        <v>410</v>
      </c>
      <c r="D2030" s="108" t="s">
        <v>73</v>
      </c>
      <c r="E2030" s="108" t="s">
        <v>471</v>
      </c>
      <c r="F2030" s="14" t="s">
        <v>2389</v>
      </c>
      <c r="G2030" s="109" t="s">
        <v>9</v>
      </c>
      <c r="H2030" s="126">
        <v>1662500</v>
      </c>
      <c r="I2030" s="14">
        <v>420276422</v>
      </c>
      <c r="J2030" s="108" t="str">
        <f t="shared" ref="J2030:J2032" si="132">TEXT(I2030,"0000000000")</f>
        <v>0420276422</v>
      </c>
      <c r="K2030" s="304" t="str">
        <f t="shared" ref="K2030:K2032" si="133">C2030&amp;D2030&amp;E2030&amp;J2030&amp;G2030</f>
        <v>62004090420276422000</v>
      </c>
      <c r="L2030" s="17"/>
    </row>
    <row r="2031" spans="1:13" s="16" customFormat="1" ht="31.5">
      <c r="A2031" s="14"/>
      <c r="B2031" s="125" t="s">
        <v>28</v>
      </c>
      <c r="C2031" s="109" t="s">
        <v>410</v>
      </c>
      <c r="D2031" s="108" t="s">
        <v>73</v>
      </c>
      <c r="E2031" s="108" t="s">
        <v>471</v>
      </c>
      <c r="F2031" s="14" t="s">
        <v>2389</v>
      </c>
      <c r="G2031" s="109" t="s">
        <v>29</v>
      </c>
      <c r="H2031" s="126">
        <v>1662500</v>
      </c>
      <c r="I2031" s="14">
        <v>420276422</v>
      </c>
      <c r="J2031" s="108" t="str">
        <f t="shared" si="132"/>
        <v>0420276422</v>
      </c>
      <c r="K2031" s="304" t="str">
        <f t="shared" si="133"/>
        <v>62004090420276422240</v>
      </c>
      <c r="L2031" s="17"/>
    </row>
    <row r="2032" spans="1:13" s="16" customFormat="1" ht="15.75">
      <c r="A2032" s="14"/>
      <c r="B2032" s="125" t="s">
        <v>30</v>
      </c>
      <c r="C2032" s="109" t="s">
        <v>410</v>
      </c>
      <c r="D2032" s="108" t="s">
        <v>73</v>
      </c>
      <c r="E2032" s="108" t="s">
        <v>471</v>
      </c>
      <c r="F2032" s="14" t="s">
        <v>2389</v>
      </c>
      <c r="G2032" s="109" t="s">
        <v>31</v>
      </c>
      <c r="H2032" s="126">
        <v>1662500</v>
      </c>
      <c r="I2032" s="14">
        <v>420276422</v>
      </c>
      <c r="J2032" s="108" t="str">
        <f t="shared" si="132"/>
        <v>0420276422</v>
      </c>
      <c r="K2032" s="304" t="str">
        <f t="shared" si="133"/>
        <v>62004090420276422244</v>
      </c>
      <c r="L2032" s="17"/>
    </row>
    <row r="2033" spans="1:13" s="16" customFormat="1" ht="47.25">
      <c r="A2033" s="14"/>
      <c r="B2033" s="125" t="s">
        <v>1335</v>
      </c>
      <c r="C2033" s="109" t="s">
        <v>410</v>
      </c>
      <c r="D2033" s="108" t="s">
        <v>73</v>
      </c>
      <c r="E2033" s="108" t="s">
        <v>471</v>
      </c>
      <c r="F2033" s="14" t="s">
        <v>1336</v>
      </c>
      <c r="G2033" s="109" t="s">
        <v>9</v>
      </c>
      <c r="H2033" s="141">
        <v>307978159.45999998</v>
      </c>
      <c r="I2033" s="14">
        <v>420276460</v>
      </c>
      <c r="J2033" s="108" t="str">
        <f t="shared" si="130"/>
        <v>0420276460</v>
      </c>
      <c r="K2033" s="304" t="str">
        <f t="shared" si="129"/>
        <v>62004090420276460000</v>
      </c>
      <c r="L2033" s="17"/>
    </row>
    <row r="2034" spans="1:13" s="16" customFormat="1" ht="31.5">
      <c r="A2034" s="14"/>
      <c r="B2034" s="125" t="s">
        <v>28</v>
      </c>
      <c r="C2034" s="109" t="s">
        <v>410</v>
      </c>
      <c r="D2034" s="108" t="s">
        <v>73</v>
      </c>
      <c r="E2034" s="108" t="s">
        <v>471</v>
      </c>
      <c r="F2034" s="14" t="s">
        <v>1336</v>
      </c>
      <c r="G2034" s="109" t="s">
        <v>29</v>
      </c>
      <c r="H2034" s="141">
        <v>307978159.45999998</v>
      </c>
      <c r="I2034" s="14">
        <v>420276460</v>
      </c>
      <c r="J2034" s="108" t="str">
        <f t="shared" si="130"/>
        <v>0420276460</v>
      </c>
      <c r="K2034" s="304" t="str">
        <f t="shared" si="129"/>
        <v>62004090420276460240</v>
      </c>
      <c r="L2034" s="17"/>
    </row>
    <row r="2035" spans="1:13" s="16" customFormat="1" ht="15.75">
      <c r="A2035" s="14"/>
      <c r="B2035" s="125" t="s">
        <v>30</v>
      </c>
      <c r="C2035" s="109" t="s">
        <v>410</v>
      </c>
      <c r="D2035" s="108" t="s">
        <v>73</v>
      </c>
      <c r="E2035" s="108" t="s">
        <v>471</v>
      </c>
      <c r="F2035" s="14" t="s">
        <v>1336</v>
      </c>
      <c r="G2035" s="109" t="s">
        <v>31</v>
      </c>
      <c r="H2035" s="126">
        <v>307978159.45999998</v>
      </c>
      <c r="I2035" s="14">
        <v>420276460</v>
      </c>
      <c r="J2035" s="108" t="str">
        <f t="shared" si="130"/>
        <v>0420276460</v>
      </c>
      <c r="K2035" s="304" t="str">
        <f t="shared" si="129"/>
        <v>62004090420276460244</v>
      </c>
      <c r="L2035" s="17"/>
    </row>
    <row r="2036" spans="1:13" s="16" customFormat="1" ht="47.25">
      <c r="A2036" s="14"/>
      <c r="B2036" s="125" t="s">
        <v>1337</v>
      </c>
      <c r="C2036" s="109" t="s">
        <v>410</v>
      </c>
      <c r="D2036" s="108" t="s">
        <v>73</v>
      </c>
      <c r="E2036" s="108" t="s">
        <v>471</v>
      </c>
      <c r="F2036" s="14" t="s">
        <v>2310</v>
      </c>
      <c r="G2036" s="109" t="s">
        <v>9</v>
      </c>
      <c r="H2036" s="126">
        <v>191855264.25</v>
      </c>
      <c r="I2036" s="14">
        <v>420276494</v>
      </c>
      <c r="J2036" s="108" t="str">
        <f t="shared" si="130"/>
        <v>0420276494</v>
      </c>
      <c r="K2036" s="304" t="str">
        <f t="shared" si="129"/>
        <v>62004090420276494000</v>
      </c>
      <c r="L2036" s="17"/>
    </row>
    <row r="2037" spans="1:13" s="16" customFormat="1" ht="15.75">
      <c r="A2037" s="14"/>
      <c r="B2037" s="125" t="s">
        <v>837</v>
      </c>
      <c r="C2037" s="109" t="s">
        <v>410</v>
      </c>
      <c r="D2037" s="108" t="s">
        <v>73</v>
      </c>
      <c r="E2037" s="108" t="s">
        <v>471</v>
      </c>
      <c r="F2037" s="14" t="s">
        <v>2310</v>
      </c>
      <c r="G2037" s="109" t="s">
        <v>838</v>
      </c>
      <c r="H2037" s="126">
        <v>191855264.25</v>
      </c>
      <c r="I2037" s="14">
        <v>420276494</v>
      </c>
      <c r="J2037" s="108" t="str">
        <f t="shared" si="130"/>
        <v>0420276494</v>
      </c>
      <c r="K2037" s="304" t="str">
        <f t="shared" si="129"/>
        <v>62004090420276494410</v>
      </c>
      <c r="L2037" s="17"/>
    </row>
    <row r="2038" spans="1:13" s="16" customFormat="1" ht="47.25">
      <c r="A2038" s="14"/>
      <c r="B2038" s="125" t="s">
        <v>839</v>
      </c>
      <c r="C2038" s="109" t="s">
        <v>410</v>
      </c>
      <c r="D2038" s="108" t="s">
        <v>73</v>
      </c>
      <c r="E2038" s="108" t="s">
        <v>471</v>
      </c>
      <c r="F2038" s="14" t="s">
        <v>2310</v>
      </c>
      <c r="G2038" s="109" t="s">
        <v>840</v>
      </c>
      <c r="H2038" s="126">
        <v>191855264.25</v>
      </c>
      <c r="I2038" s="14">
        <v>420276494</v>
      </c>
      <c r="J2038" s="108" t="str">
        <f t="shared" si="130"/>
        <v>0420276494</v>
      </c>
      <c r="K2038" s="304" t="str">
        <f t="shared" si="129"/>
        <v>62004090420276494414</v>
      </c>
      <c r="L2038" s="17"/>
    </row>
    <row r="2039" spans="1:13" s="16" customFormat="1" ht="67.5" customHeight="1">
      <c r="A2039" s="14"/>
      <c r="B2039" s="125" t="s">
        <v>2392</v>
      </c>
      <c r="C2039" s="109" t="s">
        <v>410</v>
      </c>
      <c r="D2039" s="108" t="s">
        <v>73</v>
      </c>
      <c r="E2039" s="108" t="s">
        <v>471</v>
      </c>
      <c r="F2039" s="14" t="s">
        <v>2391</v>
      </c>
      <c r="G2039" s="109" t="s">
        <v>9</v>
      </c>
      <c r="H2039" s="126">
        <v>87500</v>
      </c>
      <c r="I2039" s="487" t="s">
        <v>2354</v>
      </c>
      <c r="J2039" s="108" t="str">
        <f t="shared" ref="J2039:J2041" si="134">TEXT(I2039,"0000000000")</f>
        <v>04202S6422</v>
      </c>
      <c r="K2039" s="304" t="str">
        <f t="shared" ref="K2039:K2041" si="135">C2039&amp;D2039&amp;E2039&amp;J2039&amp;G2039</f>
        <v>620040904202S6422000</v>
      </c>
      <c r="L2039" s="17"/>
    </row>
    <row r="2040" spans="1:13" s="16" customFormat="1" ht="31.5">
      <c r="A2040" s="14"/>
      <c r="B2040" s="125" t="s">
        <v>28</v>
      </c>
      <c r="C2040" s="109" t="s">
        <v>410</v>
      </c>
      <c r="D2040" s="108" t="s">
        <v>73</v>
      </c>
      <c r="E2040" s="108" t="s">
        <v>471</v>
      </c>
      <c r="F2040" s="14" t="s">
        <v>2391</v>
      </c>
      <c r="G2040" s="109" t="s">
        <v>29</v>
      </c>
      <c r="H2040" s="126">
        <v>87500</v>
      </c>
      <c r="I2040" s="488" t="s">
        <v>2354</v>
      </c>
      <c r="J2040" s="108" t="str">
        <f t="shared" si="134"/>
        <v>04202S6422</v>
      </c>
      <c r="K2040" s="304" t="str">
        <f t="shared" si="135"/>
        <v>620040904202S6422240</v>
      </c>
      <c r="L2040" s="17"/>
    </row>
    <row r="2041" spans="1:13" s="16" customFormat="1" ht="15.75">
      <c r="A2041" s="14"/>
      <c r="B2041" s="125" t="s">
        <v>30</v>
      </c>
      <c r="C2041" s="109" t="s">
        <v>410</v>
      </c>
      <c r="D2041" s="108" t="s">
        <v>73</v>
      </c>
      <c r="E2041" s="108" t="s">
        <v>471</v>
      </c>
      <c r="F2041" s="14" t="s">
        <v>2391</v>
      </c>
      <c r="G2041" s="109" t="s">
        <v>31</v>
      </c>
      <c r="H2041" s="126">
        <v>87500</v>
      </c>
      <c r="I2041" s="487" t="s">
        <v>2354</v>
      </c>
      <c r="J2041" s="108" t="str">
        <f t="shared" si="134"/>
        <v>04202S6422</v>
      </c>
      <c r="K2041" s="304" t="str">
        <f t="shared" si="135"/>
        <v>620040904202S6422244</v>
      </c>
      <c r="L2041" s="17"/>
    </row>
    <row r="2042" spans="1:13" s="16" customFormat="1" ht="47.25">
      <c r="A2042" s="14"/>
      <c r="B2042" s="125" t="s">
        <v>847</v>
      </c>
      <c r="C2042" s="109" t="s">
        <v>410</v>
      </c>
      <c r="D2042" s="108" t="s">
        <v>73</v>
      </c>
      <c r="E2042" s="108" t="s">
        <v>471</v>
      </c>
      <c r="F2042" s="14" t="s">
        <v>848</v>
      </c>
      <c r="G2042" s="109" t="s">
        <v>9</v>
      </c>
      <c r="H2042" s="141">
        <v>17924654.789999999</v>
      </c>
      <c r="I2042" s="14" t="s">
        <v>1238</v>
      </c>
      <c r="J2042" s="14" t="str">
        <f t="shared" si="130"/>
        <v>04202S6460</v>
      </c>
      <c r="K2042" s="304" t="str">
        <f t="shared" si="129"/>
        <v>620040904202S6460000</v>
      </c>
      <c r="L2042" s="17" t="str">
        <f>INDEX('реш СГД № 265'!$A:$N,MATCH('БА расх 2018 31 12 2018'!$K2042,'реш СГД № 265'!$N:$N,0),3)</f>
        <v>Капитальный ремонт и ремонт автомобильных дорог общего пользования местного значения в границах города Ставрополя за счет средств местного бюджета</v>
      </c>
      <c r="M2042" s="16">
        <f t="shared" si="131"/>
        <v>1</v>
      </c>
    </row>
    <row r="2043" spans="1:13" s="16" customFormat="1" ht="31.5">
      <c r="A2043" s="14"/>
      <c r="B2043" s="125" t="s">
        <v>28</v>
      </c>
      <c r="C2043" s="109" t="s">
        <v>410</v>
      </c>
      <c r="D2043" s="108" t="s">
        <v>73</v>
      </c>
      <c r="E2043" s="108" t="s">
        <v>471</v>
      </c>
      <c r="F2043" s="14" t="s">
        <v>848</v>
      </c>
      <c r="G2043" s="109" t="s">
        <v>29</v>
      </c>
      <c r="H2043" s="126">
        <v>17924654.789999999</v>
      </c>
      <c r="I2043" s="14" t="s">
        <v>1238</v>
      </c>
      <c r="J2043" s="14" t="str">
        <f t="shared" si="130"/>
        <v>04202S6460</v>
      </c>
      <c r="K2043" s="304" t="str">
        <f t="shared" si="129"/>
        <v>620040904202S6460240</v>
      </c>
      <c r="L2043" s="17" t="str">
        <f>INDEX('реш СГД № 265'!$A:$N,MATCH('БА расх 2018 31 12 2018'!$K2043,'реш СГД № 265'!$N:$N,0),3)</f>
        <v>Иные закупки товаров, работ и услуг для обеспечения государственных (муниципальных) нужд</v>
      </c>
      <c r="M2043" s="16">
        <f t="shared" si="131"/>
        <v>1</v>
      </c>
    </row>
    <row r="2044" spans="1:13" s="16" customFormat="1" ht="15.75">
      <c r="A2044" s="14"/>
      <c r="B2044" s="125" t="s">
        <v>30</v>
      </c>
      <c r="C2044" s="109" t="s">
        <v>410</v>
      </c>
      <c r="D2044" s="108" t="s">
        <v>73</v>
      </c>
      <c r="E2044" s="108" t="s">
        <v>471</v>
      </c>
      <c r="F2044" s="14" t="s">
        <v>848</v>
      </c>
      <c r="G2044" s="109" t="s">
        <v>31</v>
      </c>
      <c r="H2044" s="126">
        <v>17924654.789999999</v>
      </c>
      <c r="I2044" s="14" t="s">
        <v>1238</v>
      </c>
      <c r="J2044" s="14" t="str">
        <f t="shared" si="130"/>
        <v>04202S6460</v>
      </c>
      <c r="K2044" s="304" t="str">
        <f t="shared" si="129"/>
        <v>620040904202S6460244</v>
      </c>
      <c r="L2044" s="17"/>
    </row>
    <row r="2045" spans="1:13" s="16" customFormat="1" ht="47.25">
      <c r="A2045" s="14"/>
      <c r="B2045" s="125" t="s">
        <v>1342</v>
      </c>
      <c r="C2045" s="109" t="s">
        <v>410</v>
      </c>
      <c r="D2045" s="108" t="s">
        <v>73</v>
      </c>
      <c r="E2045" s="108" t="s">
        <v>471</v>
      </c>
      <c r="F2045" s="14" t="s">
        <v>2311</v>
      </c>
      <c r="G2045" s="109" t="s">
        <v>9</v>
      </c>
      <c r="H2045" s="126">
        <v>4919365.75</v>
      </c>
      <c r="I2045" s="14" t="s">
        <v>2174</v>
      </c>
      <c r="J2045" s="108" t="str">
        <f t="shared" si="130"/>
        <v>04202S6494</v>
      </c>
      <c r="K2045" s="304" t="str">
        <f t="shared" si="129"/>
        <v>620040904202S6494000</v>
      </c>
      <c r="L2045" s="17"/>
    </row>
    <row r="2046" spans="1:13" s="16" customFormat="1" ht="15.75">
      <c r="A2046" s="14"/>
      <c r="B2046" s="125" t="s">
        <v>837</v>
      </c>
      <c r="C2046" s="109" t="s">
        <v>410</v>
      </c>
      <c r="D2046" s="108" t="s">
        <v>73</v>
      </c>
      <c r="E2046" s="108" t="s">
        <v>471</v>
      </c>
      <c r="F2046" s="14" t="s">
        <v>2311</v>
      </c>
      <c r="G2046" s="109" t="s">
        <v>838</v>
      </c>
      <c r="H2046" s="126">
        <v>4919365.75</v>
      </c>
      <c r="I2046" s="14" t="s">
        <v>2174</v>
      </c>
      <c r="J2046" s="108" t="str">
        <f t="shared" si="130"/>
        <v>04202S6494</v>
      </c>
      <c r="K2046" s="304" t="str">
        <f t="shared" si="129"/>
        <v>620040904202S6494410</v>
      </c>
      <c r="L2046" s="17"/>
    </row>
    <row r="2047" spans="1:13" s="16" customFormat="1" ht="47.25">
      <c r="A2047" s="14"/>
      <c r="B2047" s="125" t="s">
        <v>839</v>
      </c>
      <c r="C2047" s="109" t="s">
        <v>410</v>
      </c>
      <c r="D2047" s="108" t="s">
        <v>73</v>
      </c>
      <c r="E2047" s="108" t="s">
        <v>471</v>
      </c>
      <c r="F2047" s="14" t="s">
        <v>2311</v>
      </c>
      <c r="G2047" s="109" t="s">
        <v>840</v>
      </c>
      <c r="H2047" s="126">
        <v>4919365.75</v>
      </c>
      <c r="I2047" s="14" t="s">
        <v>2174</v>
      </c>
      <c r="J2047" s="108" t="str">
        <f t="shared" si="130"/>
        <v>04202S6494</v>
      </c>
      <c r="K2047" s="304" t="str">
        <f t="shared" si="129"/>
        <v>620040904202S6494414</v>
      </c>
      <c r="L2047" s="17"/>
    </row>
    <row r="2048" spans="1:13" s="16" customFormat="1" ht="31.5">
      <c r="A2048" s="14"/>
      <c r="B2048" s="125" t="s">
        <v>849</v>
      </c>
      <c r="C2048" s="108" t="s">
        <v>410</v>
      </c>
      <c r="D2048" s="108" t="s">
        <v>73</v>
      </c>
      <c r="E2048" s="108" t="s">
        <v>471</v>
      </c>
      <c r="F2048" s="108" t="s">
        <v>850</v>
      </c>
      <c r="G2048" s="109" t="s">
        <v>9</v>
      </c>
      <c r="H2048" s="141">
        <v>70641714.219999999</v>
      </c>
      <c r="I2048" s="108">
        <v>420300000</v>
      </c>
      <c r="J2048" s="108" t="str">
        <f t="shared" si="130"/>
        <v>0420300000</v>
      </c>
      <c r="K2048" s="304" t="str">
        <f t="shared" si="129"/>
        <v>62004090420300000000</v>
      </c>
      <c r="L2048" s="17" t="str">
        <f>INDEX('реш СГД № 265'!$A:$N,MATCH('БА расх 2018 31 12 2018'!$K2048,'реш СГД № 265'!$N:$N,0),3)</f>
        <v>Основное мероприятие «Повышение безопасности дорожного движения на территории города Ставрополя»</v>
      </c>
      <c r="M2048" s="16">
        <f t="shared" si="131"/>
        <v>1</v>
      </c>
    </row>
    <row r="2049" spans="1:13" s="16" customFormat="1" ht="31.5">
      <c r="A2049" s="14"/>
      <c r="B2049" s="135" t="s">
        <v>136</v>
      </c>
      <c r="C2049" s="108" t="s">
        <v>410</v>
      </c>
      <c r="D2049" s="108" t="s">
        <v>73</v>
      </c>
      <c r="E2049" s="108" t="s">
        <v>471</v>
      </c>
      <c r="F2049" s="108" t="s">
        <v>851</v>
      </c>
      <c r="G2049" s="108" t="s">
        <v>9</v>
      </c>
      <c r="H2049" s="126">
        <v>43844924.240000002</v>
      </c>
      <c r="I2049" s="108">
        <v>420311010</v>
      </c>
      <c r="J2049" s="108" t="str">
        <f t="shared" si="130"/>
        <v>0420311010</v>
      </c>
      <c r="K2049" s="304" t="str">
        <f t="shared" si="129"/>
        <v>62004090420311010000</v>
      </c>
      <c r="L2049" s="17" t="str">
        <f>INDEX('реш СГД № 265'!$A:$N,MATCH('БА расх 2018 31 12 2018'!$K2049,'реш СГД № 265'!$N:$N,0),3)</f>
        <v>Расходы на обеспечение деятельности (оказание услуг) муниципальных учреждений</v>
      </c>
      <c r="M2049" s="16">
        <f t="shared" si="131"/>
        <v>1</v>
      </c>
    </row>
    <row r="2050" spans="1:13" s="16" customFormat="1" ht="15.75">
      <c r="A2050" s="14"/>
      <c r="B2050" s="132" t="s">
        <v>403</v>
      </c>
      <c r="C2050" s="108" t="s">
        <v>410</v>
      </c>
      <c r="D2050" s="108" t="s">
        <v>73</v>
      </c>
      <c r="E2050" s="108" t="s">
        <v>471</v>
      </c>
      <c r="F2050" s="108" t="s">
        <v>851</v>
      </c>
      <c r="G2050" s="108" t="s">
        <v>404</v>
      </c>
      <c r="H2050" s="126">
        <v>43844924.240000002</v>
      </c>
      <c r="I2050" s="108">
        <v>420311010</v>
      </c>
      <c r="J2050" s="108" t="str">
        <f t="shared" si="130"/>
        <v>0420311010</v>
      </c>
      <c r="K2050" s="304" t="str">
        <f t="shared" si="129"/>
        <v>62004090420311010610</v>
      </c>
      <c r="L2050" s="17" t="str">
        <f>INDEX('реш СГД № 265'!$A:$N,MATCH('БА расх 2018 31 12 2018'!$K2050,'реш СГД № 265'!$N:$N,0),3)</f>
        <v>Субсидии бюджетным учреждениям</v>
      </c>
      <c r="M2050" s="16">
        <f t="shared" si="131"/>
        <v>1</v>
      </c>
    </row>
    <row r="2051" spans="1:13" s="23" customFormat="1" ht="63">
      <c r="A2051" s="21"/>
      <c r="B2051" s="127" t="s">
        <v>405</v>
      </c>
      <c r="C2051" s="108" t="s">
        <v>410</v>
      </c>
      <c r="D2051" s="108" t="s">
        <v>73</v>
      </c>
      <c r="E2051" s="108" t="s">
        <v>471</v>
      </c>
      <c r="F2051" s="108" t="s">
        <v>851</v>
      </c>
      <c r="G2051" s="108" t="s">
        <v>406</v>
      </c>
      <c r="H2051" s="126">
        <v>43844924.240000002</v>
      </c>
      <c r="I2051" s="108">
        <v>420311010</v>
      </c>
      <c r="J2051" s="108" t="str">
        <f t="shared" si="130"/>
        <v>0420311010</v>
      </c>
      <c r="K2051" s="304" t="str">
        <f t="shared" si="129"/>
        <v>62004090420311010611</v>
      </c>
      <c r="L2051" s="17"/>
      <c r="M2051" s="16"/>
    </row>
    <row r="2052" spans="1:13" s="16" customFormat="1" ht="47.25">
      <c r="A2052" s="14"/>
      <c r="B2052" s="125" t="s">
        <v>852</v>
      </c>
      <c r="C2052" s="108" t="s">
        <v>410</v>
      </c>
      <c r="D2052" s="108" t="s">
        <v>73</v>
      </c>
      <c r="E2052" s="108" t="s">
        <v>471</v>
      </c>
      <c r="F2052" s="108" t="s">
        <v>853</v>
      </c>
      <c r="G2052" s="109" t="s">
        <v>9</v>
      </c>
      <c r="H2052" s="141">
        <v>14266610.529999999</v>
      </c>
      <c r="I2052" s="108">
        <v>420320570</v>
      </c>
      <c r="J2052" s="108" t="str">
        <f t="shared" si="130"/>
        <v>0420320570</v>
      </c>
      <c r="K2052" s="304" t="str">
        <f t="shared" si="129"/>
        <v>62004090420320570000</v>
      </c>
      <c r="L2052" s="17" t="str">
        <f>INDEX('реш СГД № 265'!$A:$N,MATCH('БА расх 2018 31 12 2018'!$K2052,'реш СГД № 265'!$N:$N,0),3)</f>
        <v>Обеспечение элементами обустройства автомобильных дорог общего пользования местного значения и организация обеспечения безопасности дорожного движения</v>
      </c>
      <c r="M2052" s="16">
        <f t="shared" si="131"/>
        <v>1</v>
      </c>
    </row>
    <row r="2053" spans="1:13" s="16" customFormat="1" ht="31.5">
      <c r="A2053" s="14"/>
      <c r="B2053" s="125" t="s">
        <v>28</v>
      </c>
      <c r="C2053" s="108" t="s">
        <v>410</v>
      </c>
      <c r="D2053" s="108" t="s">
        <v>73</v>
      </c>
      <c r="E2053" s="108" t="s">
        <v>471</v>
      </c>
      <c r="F2053" s="108" t="s">
        <v>853</v>
      </c>
      <c r="G2053" s="109" t="s">
        <v>29</v>
      </c>
      <c r="H2053" s="126">
        <v>14266610.529999999</v>
      </c>
      <c r="I2053" s="108">
        <v>420320570</v>
      </c>
      <c r="J2053" s="108" t="str">
        <f t="shared" si="130"/>
        <v>0420320570</v>
      </c>
      <c r="K2053" s="304" t="str">
        <f t="shared" si="129"/>
        <v>62004090420320570240</v>
      </c>
      <c r="L2053" s="17" t="str">
        <f>INDEX('реш СГД № 265'!$A:$N,MATCH('БА расх 2018 31 12 2018'!$K2053,'реш СГД № 265'!$N:$N,0),3)</f>
        <v>Иные закупки товаров, работ и услуг для обеспечения государственных (муниципальных) нужд</v>
      </c>
      <c r="M2053" s="16">
        <f t="shared" si="131"/>
        <v>1</v>
      </c>
    </row>
    <row r="2054" spans="1:13" s="16" customFormat="1" ht="15.75">
      <c r="A2054" s="14"/>
      <c r="B2054" s="125" t="s">
        <v>30</v>
      </c>
      <c r="C2054" s="108" t="s">
        <v>410</v>
      </c>
      <c r="D2054" s="108" t="s">
        <v>73</v>
      </c>
      <c r="E2054" s="108" t="s">
        <v>471</v>
      </c>
      <c r="F2054" s="108" t="s">
        <v>853</v>
      </c>
      <c r="G2054" s="109" t="s">
        <v>31</v>
      </c>
      <c r="H2054" s="126">
        <v>14266610.529999999</v>
      </c>
      <c r="I2054" s="108">
        <v>420320570</v>
      </c>
      <c r="J2054" s="108" t="str">
        <f t="shared" si="130"/>
        <v>0420320570</v>
      </c>
      <c r="K2054" s="304" t="str">
        <f t="shared" si="129"/>
        <v>62004090420320570244</v>
      </c>
      <c r="L2054" s="17"/>
    </row>
    <row r="2055" spans="1:13" s="16" customFormat="1" ht="75.75" customHeight="1">
      <c r="A2055" s="14"/>
      <c r="B2055" s="125" t="s">
        <v>2399</v>
      </c>
      <c r="C2055" s="108" t="s">
        <v>410</v>
      </c>
      <c r="D2055" s="108" t="s">
        <v>73</v>
      </c>
      <c r="E2055" s="108" t="s">
        <v>471</v>
      </c>
      <c r="F2055" s="108" t="s">
        <v>2393</v>
      </c>
      <c r="G2055" s="108" t="s">
        <v>9</v>
      </c>
      <c r="H2055" s="126">
        <v>1906751</v>
      </c>
      <c r="I2055" s="108" t="s">
        <v>2396</v>
      </c>
      <c r="J2055" s="108" t="str">
        <f t="shared" ref="J2055:J2057" si="136">TEXT(I2055,"0000000000")</f>
        <v>0420376418</v>
      </c>
      <c r="K2055" s="304" t="str">
        <f t="shared" ref="K2055:K2057" si="137">C2055&amp;D2055&amp;E2055&amp;J2055&amp;G2055</f>
        <v>62004090420376418000</v>
      </c>
      <c r="L2055" s="17" t="e">
        <f>INDEX('реш СГД № 265'!$A:$N,MATCH('БА расх 2018 31 12 2018'!$K2055,'реш СГД № 265'!$N:$N,0),3)</f>
        <v>#N/A</v>
      </c>
    </row>
    <row r="2056" spans="1:13" s="16" customFormat="1" ht="31.5">
      <c r="A2056" s="14"/>
      <c r="B2056" s="125" t="s">
        <v>28</v>
      </c>
      <c r="C2056" s="108" t="s">
        <v>410</v>
      </c>
      <c r="D2056" s="108" t="s">
        <v>73</v>
      </c>
      <c r="E2056" s="108" t="s">
        <v>471</v>
      </c>
      <c r="F2056" s="108" t="s">
        <v>2393</v>
      </c>
      <c r="G2056" s="108" t="s">
        <v>29</v>
      </c>
      <c r="H2056" s="126">
        <v>1906751</v>
      </c>
      <c r="I2056" s="108" t="s">
        <v>2396</v>
      </c>
      <c r="J2056" s="108" t="str">
        <f t="shared" si="136"/>
        <v>0420376418</v>
      </c>
      <c r="K2056" s="304" t="str">
        <f t="shared" si="137"/>
        <v>62004090420376418240</v>
      </c>
      <c r="L2056" s="17" t="e">
        <f>INDEX('реш СГД № 265'!$A:$N,MATCH('БА расх 2018 31 12 2018'!$K2056,'реш СГД № 265'!$N:$N,0),3)</f>
        <v>#N/A</v>
      </c>
    </row>
    <row r="2057" spans="1:13" s="16" customFormat="1" ht="15.75">
      <c r="A2057" s="14"/>
      <c r="B2057" s="125" t="s">
        <v>30</v>
      </c>
      <c r="C2057" s="108" t="s">
        <v>410</v>
      </c>
      <c r="D2057" s="108" t="s">
        <v>73</v>
      </c>
      <c r="E2057" s="108" t="s">
        <v>471</v>
      </c>
      <c r="F2057" s="108" t="s">
        <v>2393</v>
      </c>
      <c r="G2057" s="108" t="s">
        <v>31</v>
      </c>
      <c r="H2057" s="126">
        <v>1906751</v>
      </c>
      <c r="I2057" s="108" t="s">
        <v>2396</v>
      </c>
      <c r="J2057" s="108" t="str">
        <f t="shared" si="136"/>
        <v>0420376418</v>
      </c>
      <c r="K2057" s="304" t="str">
        <f t="shared" si="137"/>
        <v>62004090420376418244</v>
      </c>
      <c r="L2057" s="17"/>
    </row>
    <row r="2058" spans="1:13" s="16" customFormat="1" ht="48.75" customHeight="1">
      <c r="A2058" s="14"/>
      <c r="B2058" s="125" t="s">
        <v>2400</v>
      </c>
      <c r="C2058" s="108" t="s">
        <v>410</v>
      </c>
      <c r="D2058" s="108" t="s">
        <v>73</v>
      </c>
      <c r="E2058" s="108" t="s">
        <v>471</v>
      </c>
      <c r="F2058" s="108" t="s">
        <v>2394</v>
      </c>
      <c r="G2058" s="108" t="s">
        <v>9</v>
      </c>
      <c r="H2058" s="126">
        <v>4942106</v>
      </c>
      <c r="I2058" s="108" t="s">
        <v>2397</v>
      </c>
      <c r="J2058" s="108" t="str">
        <f t="shared" ref="J2058:J2063" si="138">TEXT(I2058,"0000000000")</f>
        <v>0420376419</v>
      </c>
      <c r="K2058" s="304" t="str">
        <f t="shared" ref="K2058:K2063" si="139">C2058&amp;D2058&amp;E2058&amp;J2058&amp;G2058</f>
        <v>62004090420376419000</v>
      </c>
      <c r="L2058" s="17" t="e">
        <f>INDEX('реш СГД № 265'!$A:$N,MATCH('БА расх 2018 31 12 2018'!$K2058,'реш СГД № 265'!$N:$N,0),3)</f>
        <v>#N/A</v>
      </c>
    </row>
    <row r="2059" spans="1:13" s="16" customFormat="1" ht="31.5">
      <c r="A2059" s="14"/>
      <c r="B2059" s="125" t="s">
        <v>28</v>
      </c>
      <c r="C2059" s="108" t="s">
        <v>410</v>
      </c>
      <c r="D2059" s="108" t="s">
        <v>73</v>
      </c>
      <c r="E2059" s="108" t="s">
        <v>471</v>
      </c>
      <c r="F2059" s="108" t="s">
        <v>2394</v>
      </c>
      <c r="G2059" s="108" t="s">
        <v>29</v>
      </c>
      <c r="H2059" s="126">
        <v>4942106</v>
      </c>
      <c r="I2059" s="108" t="s">
        <v>2397</v>
      </c>
      <c r="J2059" s="108" t="str">
        <f t="shared" si="138"/>
        <v>0420376419</v>
      </c>
      <c r="K2059" s="304" t="str">
        <f t="shared" si="139"/>
        <v>62004090420376419240</v>
      </c>
      <c r="L2059" s="17" t="e">
        <f>INDEX('реш СГД № 265'!$A:$N,MATCH('БА расх 2018 31 12 2018'!$K2059,'реш СГД № 265'!$N:$N,0),3)</f>
        <v>#N/A</v>
      </c>
    </row>
    <row r="2060" spans="1:13" s="16" customFormat="1" ht="15.75">
      <c r="A2060" s="14"/>
      <c r="B2060" s="125" t="s">
        <v>30</v>
      </c>
      <c r="C2060" s="108" t="s">
        <v>410</v>
      </c>
      <c r="D2060" s="108" t="s">
        <v>73</v>
      </c>
      <c r="E2060" s="108" t="s">
        <v>471</v>
      </c>
      <c r="F2060" s="108" t="s">
        <v>2394</v>
      </c>
      <c r="G2060" s="108" t="s">
        <v>31</v>
      </c>
      <c r="H2060" s="126">
        <v>4942106</v>
      </c>
      <c r="I2060" s="108" t="s">
        <v>2397</v>
      </c>
      <c r="J2060" s="108" t="str">
        <f t="shared" si="138"/>
        <v>0420376419</v>
      </c>
      <c r="K2060" s="304" t="str">
        <f t="shared" si="139"/>
        <v>62004090420376419244</v>
      </c>
      <c r="L2060" s="17"/>
    </row>
    <row r="2061" spans="1:13" s="16" customFormat="1" ht="82.5" customHeight="1">
      <c r="A2061" s="14"/>
      <c r="B2061" s="125" t="s">
        <v>2401</v>
      </c>
      <c r="C2061" s="108" t="s">
        <v>410</v>
      </c>
      <c r="D2061" s="108" t="s">
        <v>73</v>
      </c>
      <c r="E2061" s="108" t="s">
        <v>471</v>
      </c>
      <c r="F2061" s="108" t="s">
        <v>2395</v>
      </c>
      <c r="G2061" s="108" t="s">
        <v>9</v>
      </c>
      <c r="H2061" s="126">
        <v>1894841</v>
      </c>
      <c r="I2061" s="108" t="s">
        <v>2398</v>
      </c>
      <c r="J2061" s="108" t="str">
        <f t="shared" si="138"/>
        <v>0420376421</v>
      </c>
      <c r="K2061" s="304" t="str">
        <f t="shared" si="139"/>
        <v>62004090420376421000</v>
      </c>
      <c r="L2061" s="17" t="e">
        <f>INDEX('реш СГД № 265'!$A:$N,MATCH('БА расх 2018 31 12 2018'!$K2061,'реш СГД № 265'!$N:$N,0),3)</f>
        <v>#N/A</v>
      </c>
    </row>
    <row r="2062" spans="1:13" s="16" customFormat="1" ht="31.5">
      <c r="A2062" s="14"/>
      <c r="B2062" s="125" t="s">
        <v>28</v>
      </c>
      <c r="C2062" s="108" t="s">
        <v>410</v>
      </c>
      <c r="D2062" s="108" t="s">
        <v>73</v>
      </c>
      <c r="E2062" s="108" t="s">
        <v>471</v>
      </c>
      <c r="F2062" s="108" t="s">
        <v>2395</v>
      </c>
      <c r="G2062" s="108" t="s">
        <v>29</v>
      </c>
      <c r="H2062" s="126">
        <v>1894841</v>
      </c>
      <c r="I2062" s="108" t="s">
        <v>2398</v>
      </c>
      <c r="J2062" s="108" t="str">
        <f t="shared" si="138"/>
        <v>0420376421</v>
      </c>
      <c r="K2062" s="304" t="str">
        <f t="shared" si="139"/>
        <v>62004090420376421240</v>
      </c>
      <c r="L2062" s="17" t="e">
        <f>INDEX('реш СГД № 265'!$A:$N,MATCH('БА расх 2018 31 12 2018'!$K2062,'реш СГД № 265'!$N:$N,0),3)</f>
        <v>#N/A</v>
      </c>
    </row>
    <row r="2063" spans="1:13" s="16" customFormat="1" ht="15.75">
      <c r="A2063" s="14"/>
      <c r="B2063" s="125" t="s">
        <v>30</v>
      </c>
      <c r="C2063" s="108" t="s">
        <v>410</v>
      </c>
      <c r="D2063" s="108" t="s">
        <v>73</v>
      </c>
      <c r="E2063" s="108" t="s">
        <v>471</v>
      </c>
      <c r="F2063" s="108" t="s">
        <v>2395</v>
      </c>
      <c r="G2063" s="108" t="s">
        <v>31</v>
      </c>
      <c r="H2063" s="126">
        <v>1894841</v>
      </c>
      <c r="I2063" s="108" t="s">
        <v>2398</v>
      </c>
      <c r="J2063" s="108" t="str">
        <f t="shared" si="138"/>
        <v>0420376421</v>
      </c>
      <c r="K2063" s="304" t="str">
        <f t="shared" si="139"/>
        <v>62004090420376421244</v>
      </c>
      <c r="L2063" s="17"/>
    </row>
    <row r="2064" spans="1:13" s="16" customFormat="1" ht="267.75">
      <c r="A2064" s="14"/>
      <c r="B2064" s="132" t="s">
        <v>2269</v>
      </c>
      <c r="C2064" s="108" t="s">
        <v>410</v>
      </c>
      <c r="D2064" s="108" t="s">
        <v>73</v>
      </c>
      <c r="E2064" s="108" t="s">
        <v>471</v>
      </c>
      <c r="F2064" s="108" t="s">
        <v>1344</v>
      </c>
      <c r="G2064" s="108" t="s">
        <v>9</v>
      </c>
      <c r="H2064" s="126">
        <v>951057.99</v>
      </c>
      <c r="I2064" s="108">
        <v>420377460</v>
      </c>
      <c r="J2064" s="108" t="str">
        <f t="shared" si="130"/>
        <v>0420377460</v>
      </c>
      <c r="K2064" s="304" t="str">
        <f t="shared" si="129"/>
        <v>62004090420377460000</v>
      </c>
      <c r="L2064" s="17"/>
    </row>
    <row r="2065" spans="1:13" s="16" customFormat="1" ht="15.75">
      <c r="A2065" s="14"/>
      <c r="B2065" s="132" t="s">
        <v>403</v>
      </c>
      <c r="C2065" s="108" t="s">
        <v>410</v>
      </c>
      <c r="D2065" s="108" t="s">
        <v>73</v>
      </c>
      <c r="E2065" s="108" t="s">
        <v>471</v>
      </c>
      <c r="F2065" s="108" t="s">
        <v>1344</v>
      </c>
      <c r="G2065" s="108" t="s">
        <v>404</v>
      </c>
      <c r="H2065" s="126">
        <v>951057.99</v>
      </c>
      <c r="I2065" s="108">
        <v>420377460</v>
      </c>
      <c r="J2065" s="108" t="str">
        <f t="shared" si="130"/>
        <v>0420377460</v>
      </c>
      <c r="K2065" s="304" t="str">
        <f t="shared" si="129"/>
        <v>62004090420377460610</v>
      </c>
      <c r="L2065" s="17"/>
    </row>
    <row r="2066" spans="1:13" s="16" customFormat="1" ht="63">
      <c r="A2066" s="14"/>
      <c r="B2066" s="125" t="s">
        <v>405</v>
      </c>
      <c r="C2066" s="108" t="s">
        <v>410</v>
      </c>
      <c r="D2066" s="108" t="s">
        <v>73</v>
      </c>
      <c r="E2066" s="108" t="s">
        <v>471</v>
      </c>
      <c r="F2066" s="108" t="s">
        <v>1344</v>
      </c>
      <c r="G2066" s="108" t="s">
        <v>406</v>
      </c>
      <c r="H2066" s="126">
        <v>951057.99</v>
      </c>
      <c r="I2066" s="108">
        <v>420377460</v>
      </c>
      <c r="J2066" s="108" t="str">
        <f t="shared" si="130"/>
        <v>0420377460</v>
      </c>
      <c r="K2066" s="304" t="str">
        <f t="shared" si="129"/>
        <v>62004090420377460611</v>
      </c>
      <c r="L2066" s="17"/>
    </row>
    <row r="2067" spans="1:13" s="16" customFormat="1" ht="87" customHeight="1">
      <c r="A2067" s="14"/>
      <c r="B2067" s="125" t="s">
        <v>2405</v>
      </c>
      <c r="C2067" s="108" t="s">
        <v>410</v>
      </c>
      <c r="D2067" s="108" t="s">
        <v>73</v>
      </c>
      <c r="E2067" s="108" t="s">
        <v>471</v>
      </c>
      <c r="F2067" s="108" t="s">
        <v>2402</v>
      </c>
      <c r="G2067" s="108" t="s">
        <v>9</v>
      </c>
      <c r="H2067" s="126">
        <v>100355</v>
      </c>
      <c r="I2067" s="108" t="s">
        <v>2358</v>
      </c>
      <c r="J2067" s="108" t="str">
        <f t="shared" si="130"/>
        <v>04203S6418</v>
      </c>
      <c r="K2067" s="304" t="str">
        <f t="shared" si="129"/>
        <v>620040904203S6418000</v>
      </c>
      <c r="L2067" s="17" t="e">
        <f>INDEX('реш СГД № 265'!$A:$N,MATCH('БА расх 2018 31 12 2018'!$K2067,'реш СГД № 265'!$N:$N,0),3)</f>
        <v>#N/A</v>
      </c>
    </row>
    <row r="2068" spans="1:13" s="16" customFormat="1" ht="31.5">
      <c r="A2068" s="14"/>
      <c r="B2068" s="125" t="s">
        <v>28</v>
      </c>
      <c r="C2068" s="108" t="s">
        <v>410</v>
      </c>
      <c r="D2068" s="108" t="s">
        <v>73</v>
      </c>
      <c r="E2068" s="108" t="s">
        <v>471</v>
      </c>
      <c r="F2068" s="108" t="s">
        <v>2402</v>
      </c>
      <c r="G2068" s="108" t="s">
        <v>29</v>
      </c>
      <c r="H2068" s="126">
        <v>100355</v>
      </c>
      <c r="I2068" s="108" t="s">
        <v>2358</v>
      </c>
      <c r="J2068" s="108" t="str">
        <f t="shared" si="130"/>
        <v>04203S6418</v>
      </c>
      <c r="K2068" s="304" t="str">
        <f t="shared" si="129"/>
        <v>620040904203S6418240</v>
      </c>
      <c r="L2068" s="17" t="e">
        <f>INDEX('реш СГД № 265'!$A:$N,MATCH('БА расх 2018 31 12 2018'!$K2068,'реш СГД № 265'!$N:$N,0),3)</f>
        <v>#N/A</v>
      </c>
    </row>
    <row r="2069" spans="1:13" s="16" customFormat="1" ht="15.75">
      <c r="A2069" s="14"/>
      <c r="B2069" s="125" t="s">
        <v>30</v>
      </c>
      <c r="C2069" s="108" t="s">
        <v>410</v>
      </c>
      <c r="D2069" s="108" t="s">
        <v>73</v>
      </c>
      <c r="E2069" s="108" t="s">
        <v>471</v>
      </c>
      <c r="F2069" s="108" t="s">
        <v>2402</v>
      </c>
      <c r="G2069" s="108" t="s">
        <v>31</v>
      </c>
      <c r="H2069" s="126">
        <v>100355</v>
      </c>
      <c r="I2069" s="108" t="s">
        <v>2358</v>
      </c>
      <c r="J2069" s="108" t="str">
        <f t="shared" si="130"/>
        <v>04203S6418</v>
      </c>
      <c r="K2069" s="304" t="str">
        <f t="shared" si="129"/>
        <v>620040904203S6418244</v>
      </c>
      <c r="L2069" s="17"/>
    </row>
    <row r="2070" spans="1:13" s="16" customFormat="1" ht="51" customHeight="1">
      <c r="A2070" s="14"/>
      <c r="B2070" s="125" t="s">
        <v>2406</v>
      </c>
      <c r="C2070" s="108" t="s">
        <v>410</v>
      </c>
      <c r="D2070" s="108" t="s">
        <v>73</v>
      </c>
      <c r="E2070" s="108" t="s">
        <v>471</v>
      </c>
      <c r="F2070" s="108" t="s">
        <v>2403</v>
      </c>
      <c r="G2070" s="108" t="s">
        <v>9</v>
      </c>
      <c r="H2070" s="126">
        <v>260110.46</v>
      </c>
      <c r="I2070" s="487" t="s">
        <v>2359</v>
      </c>
      <c r="J2070" s="108" t="str">
        <f t="shared" si="130"/>
        <v>04203S6419</v>
      </c>
      <c r="K2070" s="304" t="str">
        <f t="shared" si="129"/>
        <v>620040904203S6419000</v>
      </c>
      <c r="L2070" s="17" t="e">
        <f>INDEX('реш СГД № 265'!$A:$N,MATCH('БА расх 2018 31 12 2018'!$K2070,'реш СГД № 265'!$N:$N,0),3)</f>
        <v>#N/A</v>
      </c>
    </row>
    <row r="2071" spans="1:13" s="16" customFormat="1" ht="31.5">
      <c r="A2071" s="14"/>
      <c r="B2071" s="125" t="s">
        <v>28</v>
      </c>
      <c r="C2071" s="108" t="s">
        <v>410</v>
      </c>
      <c r="D2071" s="108" t="s">
        <v>73</v>
      </c>
      <c r="E2071" s="108" t="s">
        <v>471</v>
      </c>
      <c r="F2071" s="108" t="s">
        <v>2403</v>
      </c>
      <c r="G2071" s="108" t="s">
        <v>29</v>
      </c>
      <c r="H2071" s="126">
        <v>260110.46</v>
      </c>
      <c r="I2071" s="487" t="s">
        <v>2359</v>
      </c>
      <c r="J2071" s="108" t="str">
        <f t="shared" si="130"/>
        <v>04203S6419</v>
      </c>
      <c r="K2071" s="304" t="str">
        <f t="shared" si="129"/>
        <v>620040904203S6419240</v>
      </c>
      <c r="L2071" s="17" t="e">
        <f>INDEX('реш СГД № 265'!$A:$N,MATCH('БА расх 2018 31 12 2018'!$K2071,'реш СГД № 265'!$N:$N,0),3)</f>
        <v>#N/A</v>
      </c>
    </row>
    <row r="2072" spans="1:13" s="16" customFormat="1" ht="15.75">
      <c r="A2072" s="14"/>
      <c r="B2072" s="125" t="s">
        <v>30</v>
      </c>
      <c r="C2072" s="108" t="s">
        <v>410</v>
      </c>
      <c r="D2072" s="108" t="s">
        <v>73</v>
      </c>
      <c r="E2072" s="108" t="s">
        <v>471</v>
      </c>
      <c r="F2072" s="108" t="s">
        <v>2403</v>
      </c>
      <c r="G2072" s="108" t="s">
        <v>31</v>
      </c>
      <c r="H2072" s="126">
        <v>260110.46</v>
      </c>
      <c r="I2072" s="487" t="s">
        <v>2359</v>
      </c>
      <c r="J2072" s="108" t="str">
        <f t="shared" si="130"/>
        <v>04203S6419</v>
      </c>
      <c r="K2072" s="304" t="str">
        <f t="shared" si="129"/>
        <v>620040904203S6419244</v>
      </c>
      <c r="L2072" s="17"/>
    </row>
    <row r="2073" spans="1:13" s="16" customFormat="1" ht="91.5" customHeight="1">
      <c r="A2073" s="14"/>
      <c r="B2073" s="125" t="s">
        <v>2407</v>
      </c>
      <c r="C2073" s="108" t="s">
        <v>410</v>
      </c>
      <c r="D2073" s="108" t="s">
        <v>73</v>
      </c>
      <c r="E2073" s="108" t="s">
        <v>471</v>
      </c>
      <c r="F2073" s="108" t="s">
        <v>2404</v>
      </c>
      <c r="G2073" s="108" t="s">
        <v>9</v>
      </c>
      <c r="H2073" s="126">
        <v>2474958</v>
      </c>
      <c r="I2073" s="487" t="s">
        <v>2360</v>
      </c>
      <c r="J2073" s="108" t="str">
        <f t="shared" si="130"/>
        <v>04203S6421</v>
      </c>
      <c r="K2073" s="304" t="str">
        <f t="shared" si="129"/>
        <v>620040904203S6421000</v>
      </c>
      <c r="L2073" s="17" t="e">
        <f>INDEX('реш СГД № 265'!$A:$N,MATCH('БА расх 2018 31 12 2018'!$K2073,'реш СГД № 265'!$N:$N,0),3)</f>
        <v>#N/A</v>
      </c>
    </row>
    <row r="2074" spans="1:13" s="16" customFormat="1" ht="31.5">
      <c r="A2074" s="14"/>
      <c r="B2074" s="125" t="s">
        <v>28</v>
      </c>
      <c r="C2074" s="108" t="s">
        <v>410</v>
      </c>
      <c r="D2074" s="108" t="s">
        <v>73</v>
      </c>
      <c r="E2074" s="108" t="s">
        <v>471</v>
      </c>
      <c r="F2074" s="108" t="s">
        <v>2404</v>
      </c>
      <c r="G2074" s="108" t="s">
        <v>29</v>
      </c>
      <c r="H2074" s="126">
        <v>2474958</v>
      </c>
      <c r="I2074" s="487" t="s">
        <v>2360</v>
      </c>
      <c r="J2074" s="108" t="str">
        <f t="shared" si="130"/>
        <v>04203S6421</v>
      </c>
      <c r="K2074" s="304" t="str">
        <f t="shared" si="129"/>
        <v>620040904203S6421240</v>
      </c>
      <c r="L2074" s="17" t="e">
        <f>INDEX('реш СГД № 265'!$A:$N,MATCH('БА расх 2018 31 12 2018'!$K2074,'реш СГД № 265'!$N:$N,0),3)</f>
        <v>#N/A</v>
      </c>
    </row>
    <row r="2075" spans="1:13" s="16" customFormat="1" ht="15.75">
      <c r="A2075" s="14"/>
      <c r="B2075" s="125" t="s">
        <v>30</v>
      </c>
      <c r="C2075" s="108" t="s">
        <v>410</v>
      </c>
      <c r="D2075" s="108" t="s">
        <v>73</v>
      </c>
      <c r="E2075" s="108" t="s">
        <v>471</v>
      </c>
      <c r="F2075" s="108" t="s">
        <v>2404</v>
      </c>
      <c r="G2075" s="108" t="s">
        <v>31</v>
      </c>
      <c r="H2075" s="126">
        <v>2474958</v>
      </c>
      <c r="I2075" s="487" t="s">
        <v>2360</v>
      </c>
      <c r="J2075" s="108" t="str">
        <f t="shared" si="130"/>
        <v>04203S6421</v>
      </c>
      <c r="K2075" s="304" t="str">
        <f t="shared" si="129"/>
        <v>620040904203S6421244</v>
      </c>
      <c r="L2075" s="17"/>
    </row>
    <row r="2076" spans="1:13" s="16" customFormat="1" ht="15.75">
      <c r="A2076" s="14"/>
      <c r="B2076" s="121" t="s">
        <v>284</v>
      </c>
      <c r="C2076" s="122" t="s">
        <v>410</v>
      </c>
      <c r="D2076" s="123" t="s">
        <v>73</v>
      </c>
      <c r="E2076" s="123" t="s">
        <v>57</v>
      </c>
      <c r="F2076" s="123" t="s">
        <v>8</v>
      </c>
      <c r="G2076" s="123" t="s">
        <v>9</v>
      </c>
      <c r="H2076" s="124">
        <v>670000</v>
      </c>
      <c r="I2076" s="123">
        <v>0</v>
      </c>
      <c r="J2076" s="123" t="str">
        <f t="shared" si="130"/>
        <v>0000000000</v>
      </c>
      <c r="K2076" s="304" t="str">
        <f t="shared" si="129"/>
        <v>62004120000000000000</v>
      </c>
      <c r="L2076" s="17" t="str">
        <f>INDEX('реш СГД № 265'!$A:$N,MATCH('БА расх 2018 31 12 2018'!$K2076,'реш СГД № 265'!$N:$N,0),3)</f>
        <v>Другие вопросы в области национальной экономики</v>
      </c>
      <c r="M2076" s="16">
        <f t="shared" si="131"/>
        <v>1</v>
      </c>
    </row>
    <row r="2077" spans="1:13" s="16" customFormat="1" ht="47.25">
      <c r="A2077" s="14"/>
      <c r="B2077" s="125" t="s">
        <v>87</v>
      </c>
      <c r="C2077" s="108" t="s">
        <v>410</v>
      </c>
      <c r="D2077" s="108" t="s">
        <v>73</v>
      </c>
      <c r="E2077" s="108" t="s">
        <v>57</v>
      </c>
      <c r="F2077" s="108" t="s">
        <v>88</v>
      </c>
      <c r="G2077" s="109" t="s">
        <v>9</v>
      </c>
      <c r="H2077" s="141">
        <v>670000</v>
      </c>
      <c r="I2077" s="108">
        <v>9800000000</v>
      </c>
      <c r="J2077" s="108" t="str">
        <f t="shared" si="130"/>
        <v>9800000000</v>
      </c>
      <c r="K2077" s="304" t="str">
        <f t="shared" si="129"/>
        <v>62004129800000000000</v>
      </c>
      <c r="L2077" s="17" t="str">
        <f>INDEX('реш СГД № 265'!$A:$N,MATCH('БА расх 2018 31 12 2018'!$K2077,'реш СГД № 265'!$N:$N,0),3)</f>
        <v>Реализация иных функций Ставропольской городской Думы, администрации города Ставрополя, ее отраслевых (функциональных) и территориальных органов</v>
      </c>
      <c r="M2077" s="16">
        <f t="shared" si="131"/>
        <v>1</v>
      </c>
    </row>
    <row r="2078" spans="1:13" s="16" customFormat="1" ht="15.75">
      <c r="A2078" s="14"/>
      <c r="B2078" s="125" t="s">
        <v>89</v>
      </c>
      <c r="C2078" s="108" t="s">
        <v>410</v>
      </c>
      <c r="D2078" s="108" t="s">
        <v>73</v>
      </c>
      <c r="E2078" s="108" t="s">
        <v>57</v>
      </c>
      <c r="F2078" s="108" t="s">
        <v>90</v>
      </c>
      <c r="G2078" s="109" t="s">
        <v>9</v>
      </c>
      <c r="H2078" s="141">
        <v>670000</v>
      </c>
      <c r="I2078" s="108">
        <v>9810000000</v>
      </c>
      <c r="J2078" s="108" t="str">
        <f t="shared" si="130"/>
        <v>9810000000</v>
      </c>
      <c r="K2078" s="304" t="str">
        <f t="shared" si="129"/>
        <v>62004129810000000000</v>
      </c>
      <c r="L2078" s="17" t="str">
        <f>INDEX('реш СГД № 265'!$A:$N,MATCH('БА расх 2018 31 12 2018'!$K2078,'реш СГД № 265'!$N:$N,0),3)</f>
        <v>Иные непрограммные мероприятия</v>
      </c>
      <c r="M2078" s="16">
        <f t="shared" si="131"/>
        <v>1</v>
      </c>
    </row>
    <row r="2079" spans="1:13" s="16" customFormat="1" ht="31.5">
      <c r="A2079" s="14"/>
      <c r="B2079" s="125" t="s">
        <v>854</v>
      </c>
      <c r="C2079" s="108" t="s">
        <v>410</v>
      </c>
      <c r="D2079" s="108" t="s">
        <v>73</v>
      </c>
      <c r="E2079" s="108" t="s">
        <v>57</v>
      </c>
      <c r="F2079" s="108" t="s">
        <v>855</v>
      </c>
      <c r="G2079" s="109" t="s">
        <v>9</v>
      </c>
      <c r="H2079" s="141">
        <v>670000</v>
      </c>
      <c r="I2079" s="108">
        <v>9810021540</v>
      </c>
      <c r="J2079" s="108" t="str">
        <f t="shared" si="130"/>
        <v>9810021540</v>
      </c>
      <c r="K2079" s="304" t="str">
        <f t="shared" si="129"/>
        <v>62004129810021540000</v>
      </c>
      <c r="L2079" s="17" t="str">
        <f>INDEX('реш СГД № 265'!$A:$N,MATCH('БА расх 2018 31 12 2018'!$K2079,'реш СГД № 265'!$N:$N,0),3)</f>
        <v>Разработка Программы комплексного развития транспортной инфраструктуры города Ставрополя</v>
      </c>
      <c r="M2079" s="16">
        <f t="shared" si="131"/>
        <v>1</v>
      </c>
    </row>
    <row r="2080" spans="1:13" s="16" customFormat="1" ht="31.5">
      <c r="A2080" s="14"/>
      <c r="B2080" s="125" t="s">
        <v>28</v>
      </c>
      <c r="C2080" s="108" t="s">
        <v>410</v>
      </c>
      <c r="D2080" s="108" t="s">
        <v>73</v>
      </c>
      <c r="E2080" s="108" t="s">
        <v>57</v>
      </c>
      <c r="F2080" s="108" t="s">
        <v>855</v>
      </c>
      <c r="G2080" s="109" t="s">
        <v>29</v>
      </c>
      <c r="H2080" s="126">
        <v>670000</v>
      </c>
      <c r="I2080" s="108">
        <v>9810021540</v>
      </c>
      <c r="J2080" s="108" t="str">
        <f t="shared" si="130"/>
        <v>9810021540</v>
      </c>
      <c r="K2080" s="304" t="str">
        <f t="shared" si="129"/>
        <v>62004129810021540240</v>
      </c>
      <c r="L2080" s="17" t="str">
        <f>INDEX('реш СГД № 265'!$A:$N,MATCH('БА расх 2018 31 12 2018'!$K2080,'реш СГД № 265'!$N:$N,0),3)</f>
        <v>Иные закупки товаров, работ и услуг для обеспечения государственных (муниципальных) нужд</v>
      </c>
      <c r="M2080" s="16">
        <f t="shared" si="131"/>
        <v>1</v>
      </c>
    </row>
    <row r="2081" spans="1:13" s="16" customFormat="1" ht="15.75">
      <c r="A2081" s="14"/>
      <c r="B2081" s="125" t="s">
        <v>30</v>
      </c>
      <c r="C2081" s="108" t="s">
        <v>410</v>
      </c>
      <c r="D2081" s="108" t="s">
        <v>73</v>
      </c>
      <c r="E2081" s="108" t="s">
        <v>57</v>
      </c>
      <c r="F2081" s="108" t="s">
        <v>855</v>
      </c>
      <c r="G2081" s="109" t="s">
        <v>31</v>
      </c>
      <c r="H2081" s="126">
        <v>670000</v>
      </c>
      <c r="I2081" s="108">
        <v>9810021540</v>
      </c>
      <c r="J2081" s="108" t="str">
        <f t="shared" si="130"/>
        <v>9810021540</v>
      </c>
      <c r="K2081" s="304" t="str">
        <f t="shared" si="129"/>
        <v>62004129810021540244</v>
      </c>
      <c r="L2081" s="17"/>
    </row>
    <row r="2082" spans="1:13" s="16" customFormat="1" ht="15.75">
      <c r="A2082" s="14"/>
      <c r="B2082" s="117" t="s">
        <v>305</v>
      </c>
      <c r="C2082" s="118" t="s">
        <v>410</v>
      </c>
      <c r="D2082" s="119" t="s">
        <v>86</v>
      </c>
      <c r="E2082" s="119" t="s">
        <v>7</v>
      </c>
      <c r="F2082" s="119" t="s">
        <v>8</v>
      </c>
      <c r="G2082" s="119" t="s">
        <v>9</v>
      </c>
      <c r="H2082" s="120">
        <v>554437008.30000007</v>
      </c>
      <c r="I2082" s="119">
        <v>0</v>
      </c>
      <c r="J2082" s="108" t="str">
        <f t="shared" si="130"/>
        <v>0000000000</v>
      </c>
      <c r="K2082" s="304" t="str">
        <f t="shared" si="129"/>
        <v>62005000000000000000</v>
      </c>
      <c r="L2082" s="17" t="str">
        <f>INDEX('реш СГД № 265'!$A:$N,MATCH('БА расх 2018 31 12 2018'!$K2082,'реш СГД № 265'!$N:$N,0),3)</f>
        <v>Жилищно-коммунальное хозяйство</v>
      </c>
      <c r="M2082" s="16">
        <f t="shared" si="131"/>
        <v>1</v>
      </c>
    </row>
    <row r="2083" spans="1:13" s="16" customFormat="1" ht="15.75">
      <c r="A2083" s="14"/>
      <c r="B2083" s="121" t="s">
        <v>765</v>
      </c>
      <c r="C2083" s="122" t="s">
        <v>410</v>
      </c>
      <c r="D2083" s="123" t="s">
        <v>86</v>
      </c>
      <c r="E2083" s="123" t="s">
        <v>11</v>
      </c>
      <c r="F2083" s="123" t="s">
        <v>8</v>
      </c>
      <c r="G2083" s="123" t="s">
        <v>9</v>
      </c>
      <c r="H2083" s="124">
        <v>90000</v>
      </c>
      <c r="I2083" s="123">
        <v>0</v>
      </c>
      <c r="J2083" s="123" t="str">
        <f t="shared" si="130"/>
        <v>0000000000</v>
      </c>
      <c r="K2083" s="304" t="str">
        <f t="shared" si="129"/>
        <v>62005010000000000000</v>
      </c>
      <c r="L2083" s="17" t="str">
        <f>INDEX('реш СГД № 265'!$A:$N,MATCH('БА расх 2018 31 12 2018'!$K2083,'реш СГД № 265'!$N:$N,0),3)</f>
        <v>Жилищное хозяйство</v>
      </c>
      <c r="M2083" s="16">
        <f t="shared" si="131"/>
        <v>1</v>
      </c>
    </row>
    <row r="2084" spans="1:13" s="16" customFormat="1" ht="63">
      <c r="A2084" s="14"/>
      <c r="B2084" s="127" t="s">
        <v>293</v>
      </c>
      <c r="C2084" s="109" t="s">
        <v>410</v>
      </c>
      <c r="D2084" s="108" t="s">
        <v>86</v>
      </c>
      <c r="E2084" s="108" t="s">
        <v>11</v>
      </c>
      <c r="F2084" s="14" t="s">
        <v>294</v>
      </c>
      <c r="G2084" s="108" t="s">
        <v>9</v>
      </c>
      <c r="H2084" s="141">
        <v>90000</v>
      </c>
      <c r="I2084" s="14">
        <v>400000000</v>
      </c>
      <c r="J2084" s="14" t="str">
        <f t="shared" si="130"/>
        <v>0400000000</v>
      </c>
      <c r="K2084" s="304" t="str">
        <f t="shared" si="129"/>
        <v>62005010400000000000</v>
      </c>
      <c r="L2084" s="17" t="str">
        <f>INDEX('реш СГД № 265'!$A:$N,MATCH('БА расх 2018 31 12 2018'!$K2084,'реш СГД № 265'!$N:$N,0),3)</f>
        <v>Муниципальная программа «Развитие жилищно-коммунального хозяйства, транспортной системы на территории города Ставрополя, благоустройство территории города Ставрополя»</v>
      </c>
      <c r="M2084" s="16">
        <f t="shared" si="131"/>
        <v>1</v>
      </c>
    </row>
    <row r="2085" spans="1:13" s="16" customFormat="1" ht="31.5">
      <c r="A2085" s="14"/>
      <c r="B2085" s="125" t="s">
        <v>766</v>
      </c>
      <c r="C2085" s="109" t="s">
        <v>410</v>
      </c>
      <c r="D2085" s="108" t="s">
        <v>86</v>
      </c>
      <c r="E2085" s="108" t="s">
        <v>11</v>
      </c>
      <c r="F2085" s="14" t="s">
        <v>767</v>
      </c>
      <c r="G2085" s="108" t="s">
        <v>9</v>
      </c>
      <c r="H2085" s="141">
        <v>90000</v>
      </c>
      <c r="I2085" s="14">
        <v>410000000</v>
      </c>
      <c r="J2085" s="14" t="str">
        <f t="shared" si="130"/>
        <v>0410000000</v>
      </c>
      <c r="K2085" s="304" t="str">
        <f t="shared" si="129"/>
        <v>62005010410000000000</v>
      </c>
      <c r="L2085" s="17" t="str">
        <f>INDEX('реш СГД № 265'!$A:$N,MATCH('БА расх 2018 31 12 2018'!$K2085,'реш СГД № 265'!$N:$N,0),3)</f>
        <v>Подпрограмма «Развитие жилищно-коммунального хозяйства на территории города Ставрополя»</v>
      </c>
      <c r="M2085" s="16">
        <f t="shared" si="131"/>
        <v>1</v>
      </c>
    </row>
    <row r="2086" spans="1:13" s="16" customFormat="1" ht="47.25">
      <c r="A2086" s="14"/>
      <c r="B2086" s="125" t="s">
        <v>793</v>
      </c>
      <c r="C2086" s="109" t="s">
        <v>410</v>
      </c>
      <c r="D2086" s="108" t="s">
        <v>86</v>
      </c>
      <c r="E2086" s="108" t="s">
        <v>11</v>
      </c>
      <c r="F2086" s="14" t="s">
        <v>769</v>
      </c>
      <c r="G2086" s="108" t="s">
        <v>9</v>
      </c>
      <c r="H2086" s="141">
        <v>90000</v>
      </c>
      <c r="I2086" s="14">
        <v>410100000</v>
      </c>
      <c r="J2086" s="14" t="str">
        <f t="shared" si="130"/>
        <v>0410100000</v>
      </c>
      <c r="K2086" s="304" t="str">
        <f t="shared" si="129"/>
        <v>62005010410100000000</v>
      </c>
      <c r="L2086" s="17" t="str">
        <f>INDEX('реш СГД № 265'!$A:$N,MATCH('БА расх 2018 31 12 2018'!$K2086,'реш СГД № 265'!$N:$N,0),3)</f>
        <v>Основное мероприятие «Повышение уровня технического состояния многоквартирных домов и продление сроков их эксплуатации»</v>
      </c>
      <c r="M2086" s="16">
        <f t="shared" si="131"/>
        <v>1</v>
      </c>
    </row>
    <row r="2087" spans="1:13" s="16" customFormat="1" ht="15.75">
      <c r="A2087" s="14"/>
      <c r="B2087" s="125" t="s">
        <v>856</v>
      </c>
      <c r="C2087" s="109" t="s">
        <v>410</v>
      </c>
      <c r="D2087" s="108" t="s">
        <v>86</v>
      </c>
      <c r="E2087" s="108" t="s">
        <v>11</v>
      </c>
      <c r="F2087" s="14" t="s">
        <v>857</v>
      </c>
      <c r="G2087" s="108" t="s">
        <v>9</v>
      </c>
      <c r="H2087" s="141">
        <v>90000</v>
      </c>
      <c r="I2087" s="14">
        <v>410120200</v>
      </c>
      <c r="J2087" s="14" t="str">
        <f t="shared" si="130"/>
        <v>0410120200</v>
      </c>
      <c r="K2087" s="304" t="str">
        <f t="shared" si="129"/>
        <v>62005010410120200000</v>
      </c>
      <c r="L2087" s="17" t="str">
        <f>INDEX('реш СГД № 265'!$A:$N,MATCH('БА расх 2018 31 12 2018'!$K2087,'реш СГД № 265'!$N:$N,0),3)</f>
        <v>Расходы на мероприятия в области жилищного хозяйства</v>
      </c>
      <c r="M2087" s="16">
        <f t="shared" si="131"/>
        <v>1</v>
      </c>
    </row>
    <row r="2088" spans="1:13" s="16" customFormat="1" ht="31.5">
      <c r="A2088" s="14"/>
      <c r="B2088" s="125" t="s">
        <v>28</v>
      </c>
      <c r="C2088" s="108" t="s">
        <v>410</v>
      </c>
      <c r="D2088" s="108" t="s">
        <v>86</v>
      </c>
      <c r="E2088" s="108" t="s">
        <v>11</v>
      </c>
      <c r="F2088" s="14" t="s">
        <v>857</v>
      </c>
      <c r="G2088" s="108" t="s">
        <v>29</v>
      </c>
      <c r="H2088" s="126">
        <v>90000</v>
      </c>
      <c r="I2088" s="14">
        <v>410120200</v>
      </c>
      <c r="J2088" s="14" t="str">
        <f t="shared" si="130"/>
        <v>0410120200</v>
      </c>
      <c r="K2088" s="304" t="str">
        <f t="shared" si="129"/>
        <v>62005010410120200240</v>
      </c>
      <c r="L2088" s="17" t="str">
        <f>INDEX('реш СГД № 265'!$A:$N,MATCH('БА расх 2018 31 12 2018'!$K2088,'реш СГД № 265'!$N:$N,0),3)</f>
        <v>Иные закупки товаров, работ и услуг для обеспечения государственных (муниципальных) нужд</v>
      </c>
      <c r="M2088" s="16">
        <f t="shared" si="131"/>
        <v>1</v>
      </c>
    </row>
    <row r="2089" spans="1:13" s="16" customFormat="1" ht="15.75">
      <c r="A2089" s="14"/>
      <c r="B2089" s="125" t="s">
        <v>30</v>
      </c>
      <c r="C2089" s="108" t="s">
        <v>410</v>
      </c>
      <c r="D2089" s="108" t="s">
        <v>86</v>
      </c>
      <c r="E2089" s="108" t="s">
        <v>11</v>
      </c>
      <c r="F2089" s="14" t="s">
        <v>857</v>
      </c>
      <c r="G2089" s="108" t="s">
        <v>31</v>
      </c>
      <c r="H2089" s="126">
        <v>90000</v>
      </c>
      <c r="I2089" s="14">
        <v>410120200</v>
      </c>
      <c r="J2089" s="14" t="str">
        <f t="shared" si="130"/>
        <v>0410120200</v>
      </c>
      <c r="K2089" s="304" t="str">
        <f t="shared" si="129"/>
        <v>62005010410120200244</v>
      </c>
      <c r="L2089" s="17"/>
    </row>
    <row r="2090" spans="1:13" s="16" customFormat="1" ht="15.75">
      <c r="A2090" s="14"/>
      <c r="B2090" s="121" t="s">
        <v>858</v>
      </c>
      <c r="C2090" s="122">
        <v>620</v>
      </c>
      <c r="D2090" s="123" t="s">
        <v>86</v>
      </c>
      <c r="E2090" s="123" t="s">
        <v>62</v>
      </c>
      <c r="F2090" s="123" t="s">
        <v>8</v>
      </c>
      <c r="G2090" s="123" t="s">
        <v>9</v>
      </c>
      <c r="H2090" s="124">
        <v>13561506.789999999</v>
      </c>
      <c r="I2090" s="123">
        <v>0</v>
      </c>
      <c r="J2090" s="123" t="str">
        <f t="shared" si="130"/>
        <v>0000000000</v>
      </c>
      <c r="K2090" s="304" t="str">
        <f t="shared" si="129"/>
        <v>62005020000000000000</v>
      </c>
      <c r="L2090" s="17" t="str">
        <f>INDEX('реш СГД № 265'!$A:$N,MATCH('БА расх 2018 31 12 2018'!$K2090,'реш СГД № 265'!$N:$N,0),3)</f>
        <v>Коммунальное хозяйство</v>
      </c>
      <c r="M2090" s="16">
        <f t="shared" si="131"/>
        <v>1</v>
      </c>
    </row>
    <row r="2091" spans="1:13" s="16" customFormat="1" ht="63">
      <c r="A2091" s="14"/>
      <c r="B2091" s="127" t="s">
        <v>293</v>
      </c>
      <c r="C2091" s="133">
        <v>620</v>
      </c>
      <c r="D2091" s="108" t="s">
        <v>86</v>
      </c>
      <c r="E2091" s="108" t="s">
        <v>62</v>
      </c>
      <c r="F2091" s="14" t="s">
        <v>294</v>
      </c>
      <c r="G2091" s="108" t="s">
        <v>9</v>
      </c>
      <c r="H2091" s="141">
        <v>13561506.789999999</v>
      </c>
      <c r="I2091" s="14">
        <v>400000000</v>
      </c>
      <c r="J2091" s="14" t="str">
        <f t="shared" si="130"/>
        <v>0400000000</v>
      </c>
      <c r="K2091" s="304" t="str">
        <f t="shared" si="129"/>
        <v>62005020400000000000</v>
      </c>
      <c r="L2091" s="17" t="str">
        <f>INDEX('реш СГД № 265'!$A:$N,MATCH('БА расх 2018 31 12 2018'!$K2091,'реш СГД № 265'!$N:$N,0),3)</f>
        <v>Муниципальная программа «Развитие жилищно-коммунального хозяйства, транспортной системы на территории города Ставрополя, благоустройство территории города Ставрополя»</v>
      </c>
      <c r="M2091" s="16">
        <f t="shared" si="131"/>
        <v>1</v>
      </c>
    </row>
    <row r="2092" spans="1:13" s="16" customFormat="1" ht="31.5">
      <c r="A2092" s="14"/>
      <c r="B2092" s="125" t="s">
        <v>766</v>
      </c>
      <c r="C2092" s="133">
        <v>620</v>
      </c>
      <c r="D2092" s="108" t="s">
        <v>86</v>
      </c>
      <c r="E2092" s="108" t="s">
        <v>62</v>
      </c>
      <c r="F2092" s="14" t="s">
        <v>767</v>
      </c>
      <c r="G2092" s="108" t="s">
        <v>9</v>
      </c>
      <c r="H2092" s="141">
        <v>13561506.789999999</v>
      </c>
      <c r="I2092" s="14">
        <v>410000000</v>
      </c>
      <c r="J2092" s="14" t="str">
        <f t="shared" si="130"/>
        <v>0410000000</v>
      </c>
      <c r="K2092" s="304" t="str">
        <f t="shared" si="129"/>
        <v>62005020410000000000</v>
      </c>
      <c r="L2092" s="17" t="str">
        <f>INDEX('реш СГД № 265'!$A:$N,MATCH('БА расх 2018 31 12 2018'!$K2092,'реш СГД № 265'!$N:$N,0),3)</f>
        <v>Подпрограмма «Развитие жилищно-коммунального хозяйства на территории города Ставрополя»</v>
      </c>
      <c r="M2092" s="16">
        <f t="shared" si="131"/>
        <v>1</v>
      </c>
    </row>
    <row r="2093" spans="1:13" s="16" customFormat="1" ht="47.25">
      <c r="A2093" s="14"/>
      <c r="B2093" s="125" t="s">
        <v>859</v>
      </c>
      <c r="C2093" s="133">
        <v>620</v>
      </c>
      <c r="D2093" s="108" t="s">
        <v>86</v>
      </c>
      <c r="E2093" s="108" t="s">
        <v>62</v>
      </c>
      <c r="F2093" s="14" t="s">
        <v>860</v>
      </c>
      <c r="G2093" s="108" t="s">
        <v>9</v>
      </c>
      <c r="H2093" s="141">
        <v>4059</v>
      </c>
      <c r="I2093" s="14">
        <v>410200000</v>
      </c>
      <c r="J2093" s="14" t="str">
        <f t="shared" si="130"/>
        <v>0410200000</v>
      </c>
      <c r="K2093" s="304" t="str">
        <f t="shared" ref="K2093:K2160" si="140">C2093&amp;D2093&amp;E2093&amp;J2093&amp;G2093</f>
        <v>62005020410200000000</v>
      </c>
      <c r="L2093" s="17" t="str">
        <f>INDEX('реш СГД № 265'!$A:$N,MATCH('БА расх 2018 31 12 2018'!$K2093,'реш СГД № 265'!$N:$N,0),3)</f>
        <v>Основное мероприятие «Проектирование, строительство и содержание инженерных сетей, находящихся в муниципальной собственности города Ставрополя»</v>
      </c>
      <c r="M2093" s="16">
        <f t="shared" si="131"/>
        <v>1</v>
      </c>
    </row>
    <row r="2094" spans="1:13" s="16" customFormat="1" ht="15.75">
      <c r="A2094" s="14"/>
      <c r="B2094" s="125" t="s">
        <v>861</v>
      </c>
      <c r="C2094" s="133">
        <v>620</v>
      </c>
      <c r="D2094" s="108" t="s">
        <v>86</v>
      </c>
      <c r="E2094" s="108" t="s">
        <v>62</v>
      </c>
      <c r="F2094" s="14" t="s">
        <v>862</v>
      </c>
      <c r="G2094" s="108" t="s">
        <v>9</v>
      </c>
      <c r="H2094" s="141">
        <v>4059</v>
      </c>
      <c r="I2094" s="14">
        <v>410220220</v>
      </c>
      <c r="J2094" s="14" t="str">
        <f t="shared" ref="J2094:J2161" si="141">TEXT(I2094,"0000000000")</f>
        <v>0410220220</v>
      </c>
      <c r="K2094" s="304" t="str">
        <f t="shared" si="140"/>
        <v>62005020410220220000</v>
      </c>
      <c r="L2094" s="17" t="str">
        <f>INDEX('реш СГД № 265'!$A:$N,MATCH('БА расх 2018 31 12 2018'!$K2094,'реш СГД № 265'!$N:$N,0),3)</f>
        <v>Расходы на мероприятия в области коммунального хозяйства</v>
      </c>
      <c r="M2094" s="16">
        <f t="shared" ref="M2094:M2161" si="142">IF(B2094=L2094,1,0)</f>
        <v>1</v>
      </c>
    </row>
    <row r="2095" spans="1:13" s="16" customFormat="1" ht="31.5">
      <c r="A2095" s="14"/>
      <c r="B2095" s="125" t="s">
        <v>28</v>
      </c>
      <c r="C2095" s="108" t="s">
        <v>410</v>
      </c>
      <c r="D2095" s="108" t="s">
        <v>86</v>
      </c>
      <c r="E2095" s="108" t="s">
        <v>62</v>
      </c>
      <c r="F2095" s="14" t="s">
        <v>862</v>
      </c>
      <c r="G2095" s="108" t="s">
        <v>29</v>
      </c>
      <c r="H2095" s="126">
        <v>4059</v>
      </c>
      <c r="I2095" s="14">
        <v>410220220</v>
      </c>
      <c r="J2095" s="14" t="str">
        <f t="shared" si="141"/>
        <v>0410220220</v>
      </c>
      <c r="K2095" s="304" t="str">
        <f t="shared" si="140"/>
        <v>62005020410220220240</v>
      </c>
      <c r="L2095" s="17" t="str">
        <f>INDEX('реш СГД № 265'!$A:$N,MATCH('БА расх 2018 31 12 2018'!$K2095,'реш СГД № 265'!$N:$N,0),3)</f>
        <v>Иные закупки товаров, работ и услуг для обеспечения государственных (муниципальных) нужд</v>
      </c>
      <c r="M2095" s="16">
        <f t="shared" si="142"/>
        <v>1</v>
      </c>
    </row>
    <row r="2096" spans="1:13" s="16" customFormat="1" ht="15.75">
      <c r="A2096" s="14"/>
      <c r="B2096" s="125" t="s">
        <v>30</v>
      </c>
      <c r="C2096" s="108" t="s">
        <v>410</v>
      </c>
      <c r="D2096" s="108" t="s">
        <v>86</v>
      </c>
      <c r="E2096" s="108" t="s">
        <v>62</v>
      </c>
      <c r="F2096" s="14" t="s">
        <v>862</v>
      </c>
      <c r="G2096" s="108" t="s">
        <v>31</v>
      </c>
      <c r="H2096" s="126">
        <v>4059</v>
      </c>
      <c r="I2096" s="14">
        <v>410220220</v>
      </c>
      <c r="J2096" s="14" t="str">
        <f t="shared" si="141"/>
        <v>0410220220</v>
      </c>
      <c r="K2096" s="304" t="str">
        <f t="shared" si="140"/>
        <v>62005020410220220244</v>
      </c>
      <c r="L2096" s="17"/>
    </row>
    <row r="2097" spans="1:13" s="16" customFormat="1" ht="47.25">
      <c r="A2097" s="14"/>
      <c r="B2097" s="125" t="s">
        <v>863</v>
      </c>
      <c r="C2097" s="133">
        <v>620</v>
      </c>
      <c r="D2097" s="108" t="s">
        <v>86</v>
      </c>
      <c r="E2097" s="108" t="s">
        <v>62</v>
      </c>
      <c r="F2097" s="14" t="s">
        <v>864</v>
      </c>
      <c r="G2097" s="108" t="s">
        <v>9</v>
      </c>
      <c r="H2097" s="141">
        <v>13557447.789999999</v>
      </c>
      <c r="I2097" s="14">
        <v>410300000</v>
      </c>
      <c r="J2097" s="14" t="str">
        <f t="shared" si="141"/>
        <v>0410300000</v>
      </c>
      <c r="K2097" s="304" t="str">
        <f t="shared" si="140"/>
        <v>62005020410300000000</v>
      </c>
      <c r="L2097" s="17" t="str">
        <f>INDEX('реш СГД № 265'!$A:$N,MATCH('БА расх 2018 31 12 2018'!$K2097,'реш СГД № 265'!$N:$N,0),3)</f>
        <v>Основное мероприятие «Организация электроснабжения населения на территории 32 микрорайона Ленинского района города Ставрополя (поселок Демино)»</v>
      </c>
      <c r="M2097" s="16">
        <f t="shared" si="142"/>
        <v>1</v>
      </c>
    </row>
    <row r="2098" spans="1:13" s="16" customFormat="1" ht="15.75">
      <c r="A2098" s="14"/>
      <c r="B2098" s="125" t="s">
        <v>861</v>
      </c>
      <c r="C2098" s="133">
        <v>620</v>
      </c>
      <c r="D2098" s="108" t="s">
        <v>86</v>
      </c>
      <c r="E2098" s="108" t="s">
        <v>62</v>
      </c>
      <c r="F2098" s="14" t="s">
        <v>865</v>
      </c>
      <c r="G2098" s="108" t="s">
        <v>9</v>
      </c>
      <c r="H2098" s="141">
        <v>13557447.789999999</v>
      </c>
      <c r="I2098" s="14">
        <v>410320220</v>
      </c>
      <c r="J2098" s="14" t="str">
        <f t="shared" si="141"/>
        <v>0410320220</v>
      </c>
      <c r="K2098" s="304" t="str">
        <f t="shared" si="140"/>
        <v>62005020410320220000</v>
      </c>
      <c r="L2098" s="17" t="str">
        <f>INDEX('реш СГД № 265'!$A:$N,MATCH('БА расх 2018 31 12 2018'!$K2098,'реш СГД № 265'!$N:$N,0),3)</f>
        <v>Расходы на мероприятия в области коммунального хозяйства</v>
      </c>
      <c r="M2098" s="16">
        <f t="shared" si="142"/>
        <v>1</v>
      </c>
    </row>
    <row r="2099" spans="1:13" s="16" customFormat="1" ht="31.5">
      <c r="A2099" s="14"/>
      <c r="B2099" s="125" t="s">
        <v>28</v>
      </c>
      <c r="C2099" s="133">
        <v>620</v>
      </c>
      <c r="D2099" s="108" t="s">
        <v>86</v>
      </c>
      <c r="E2099" s="108" t="s">
        <v>62</v>
      </c>
      <c r="F2099" s="14" t="s">
        <v>865</v>
      </c>
      <c r="G2099" s="108" t="s">
        <v>29</v>
      </c>
      <c r="H2099" s="126">
        <v>13557447.789999999</v>
      </c>
      <c r="I2099" s="14">
        <v>410320220</v>
      </c>
      <c r="J2099" s="14" t="str">
        <f t="shared" si="141"/>
        <v>0410320220</v>
      </c>
      <c r="K2099" s="304" t="str">
        <f t="shared" si="140"/>
        <v>62005020410320220240</v>
      </c>
      <c r="L2099" s="17" t="str">
        <f>INDEX('реш СГД № 265'!$A:$N,MATCH('БА расх 2018 31 12 2018'!$K2099,'реш СГД № 265'!$N:$N,0),3)</f>
        <v>Иные закупки товаров, работ и услуг для обеспечения государственных (муниципальных) нужд</v>
      </c>
      <c r="M2099" s="16">
        <f t="shared" si="142"/>
        <v>1</v>
      </c>
    </row>
    <row r="2100" spans="1:13" s="16" customFormat="1" ht="15.75">
      <c r="A2100" s="14"/>
      <c r="B2100" s="125" t="s">
        <v>30</v>
      </c>
      <c r="C2100" s="133">
        <v>620</v>
      </c>
      <c r="D2100" s="108" t="s">
        <v>86</v>
      </c>
      <c r="E2100" s="108" t="s">
        <v>62</v>
      </c>
      <c r="F2100" s="14" t="s">
        <v>865</v>
      </c>
      <c r="G2100" s="108" t="s">
        <v>31</v>
      </c>
      <c r="H2100" s="126">
        <v>13557447.789999999</v>
      </c>
      <c r="I2100" s="14">
        <v>410320220</v>
      </c>
      <c r="J2100" s="14" t="str">
        <f t="shared" si="141"/>
        <v>0410320220</v>
      </c>
      <c r="K2100" s="304" t="str">
        <f t="shared" si="140"/>
        <v>62005020410320220244</v>
      </c>
      <c r="L2100" s="17"/>
    </row>
    <row r="2101" spans="1:13" s="16" customFormat="1" ht="15.75">
      <c r="A2101" s="14"/>
      <c r="B2101" s="121" t="s">
        <v>306</v>
      </c>
      <c r="C2101" s="122" t="s">
        <v>410</v>
      </c>
      <c r="D2101" s="123" t="s">
        <v>86</v>
      </c>
      <c r="E2101" s="123" t="s">
        <v>13</v>
      </c>
      <c r="F2101" s="123" t="s">
        <v>8</v>
      </c>
      <c r="G2101" s="123" t="s">
        <v>9</v>
      </c>
      <c r="H2101" s="124">
        <v>490611824.82000005</v>
      </c>
      <c r="I2101" s="123">
        <v>0</v>
      </c>
      <c r="J2101" s="108" t="str">
        <f t="shared" si="141"/>
        <v>0000000000</v>
      </c>
      <c r="K2101" s="304" t="str">
        <f t="shared" si="140"/>
        <v>62005030000000000000</v>
      </c>
      <c r="L2101" s="17" t="str">
        <f>INDEX('реш СГД № 265'!$A:$N,MATCH('БА расх 2018 31 12 2018'!$K2101,'реш СГД № 265'!$N:$N,0),3)</f>
        <v>Благоустройство</v>
      </c>
      <c r="M2101" s="16">
        <f t="shared" si="142"/>
        <v>1</v>
      </c>
    </row>
    <row r="2102" spans="1:13" s="16" customFormat="1" ht="63">
      <c r="A2102" s="14"/>
      <c r="B2102" s="127" t="s">
        <v>293</v>
      </c>
      <c r="C2102" s="108" t="s">
        <v>410</v>
      </c>
      <c r="D2102" s="108" t="s">
        <v>86</v>
      </c>
      <c r="E2102" s="108" t="s">
        <v>13</v>
      </c>
      <c r="F2102" s="108" t="s">
        <v>294</v>
      </c>
      <c r="G2102" s="108" t="s">
        <v>9</v>
      </c>
      <c r="H2102" s="141">
        <v>297427628.23000002</v>
      </c>
      <c r="I2102" s="108">
        <v>400000000</v>
      </c>
      <c r="J2102" s="108" t="str">
        <f t="shared" si="141"/>
        <v>0400000000</v>
      </c>
      <c r="K2102" s="304" t="str">
        <f t="shared" si="140"/>
        <v>62005030400000000000</v>
      </c>
      <c r="L2102" s="17" t="str">
        <f>INDEX('реш СГД № 265'!$A:$N,MATCH('БА расх 2018 31 12 2018'!$K2102,'реш СГД № 265'!$N:$N,0),3)</f>
        <v>Муниципальная программа «Развитие жилищно-коммунального хозяйства, транспортной системы на территории города Ставрополя, благоустройство территории города Ставрополя»</v>
      </c>
      <c r="M2102" s="16">
        <f t="shared" si="142"/>
        <v>1</v>
      </c>
    </row>
    <row r="2103" spans="1:13" s="16" customFormat="1" ht="31.5">
      <c r="A2103" s="14"/>
      <c r="B2103" s="132" t="s">
        <v>2283</v>
      </c>
      <c r="C2103" s="108" t="s">
        <v>410</v>
      </c>
      <c r="D2103" s="108" t="s">
        <v>86</v>
      </c>
      <c r="E2103" s="108" t="s">
        <v>13</v>
      </c>
      <c r="F2103" s="108" t="s">
        <v>308</v>
      </c>
      <c r="G2103" s="108" t="s">
        <v>9</v>
      </c>
      <c r="H2103" s="141">
        <v>297427628.23000002</v>
      </c>
      <c r="I2103" s="108">
        <v>430000000</v>
      </c>
      <c r="J2103" s="108" t="str">
        <f t="shared" si="141"/>
        <v>0430000000</v>
      </c>
      <c r="K2103" s="304" t="str">
        <f t="shared" si="140"/>
        <v>62005030430000000000</v>
      </c>
      <c r="L2103" s="132" t="str">
        <f>INDEX('реш СГД № 265'!$A:$N,MATCH('БА расх 2018 31 12 2018'!$K2103,'реш СГД № 265'!$N:$N,0),3)</f>
        <v>Подпрограмма «Благоустройство территории города Ставрополя»</v>
      </c>
      <c r="M2103" s="17">
        <f t="shared" si="142"/>
        <v>1</v>
      </c>
    </row>
    <row r="2104" spans="1:13" s="16" customFormat="1" ht="47.25">
      <c r="A2104" s="14"/>
      <c r="B2104" s="125" t="s">
        <v>866</v>
      </c>
      <c r="C2104" s="108" t="s">
        <v>410</v>
      </c>
      <c r="D2104" s="108" t="s">
        <v>86</v>
      </c>
      <c r="E2104" s="108" t="s">
        <v>13</v>
      </c>
      <c r="F2104" s="108" t="s">
        <v>867</v>
      </c>
      <c r="G2104" s="108" t="s">
        <v>9</v>
      </c>
      <c r="H2104" s="141">
        <v>20792388.780000001</v>
      </c>
      <c r="I2104" s="108">
        <v>430200000</v>
      </c>
      <c r="J2104" s="108" t="str">
        <f t="shared" si="141"/>
        <v>0430200000</v>
      </c>
      <c r="K2104" s="304" t="str">
        <f t="shared" si="140"/>
        <v>62005030430200000000</v>
      </c>
      <c r="L2104" s="17" t="str">
        <f>INDEX('реш СГД № 265'!$A:$N,MATCH('БА расх 2018 31 12 2018'!$K2104,'реш СГД № 265'!$N:$N,0),3)</f>
        <v>Основное мероприятие «Создание и обеспечение надлежащего состояния мест захоронения на территории города Ставрополя»</v>
      </c>
      <c r="M2104" s="16">
        <f t="shared" si="142"/>
        <v>1</v>
      </c>
    </row>
    <row r="2105" spans="1:13" s="16" customFormat="1" ht="47.25">
      <c r="A2105" s="14"/>
      <c r="B2105" s="125" t="s">
        <v>868</v>
      </c>
      <c r="C2105" s="108" t="s">
        <v>410</v>
      </c>
      <c r="D2105" s="108" t="s">
        <v>86</v>
      </c>
      <c r="E2105" s="108" t="s">
        <v>13</v>
      </c>
      <c r="F2105" s="108" t="s">
        <v>869</v>
      </c>
      <c r="G2105" s="108" t="s">
        <v>9</v>
      </c>
      <c r="H2105" s="141">
        <v>20792388.780000001</v>
      </c>
      <c r="I2105" s="108">
        <v>430220290</v>
      </c>
      <c r="J2105" s="108" t="str">
        <f t="shared" si="141"/>
        <v>0430220290</v>
      </c>
      <c r="K2105" s="304" t="str">
        <f t="shared" si="140"/>
        <v>62005030430220290000</v>
      </c>
      <c r="L2105" s="17" t="str">
        <f>INDEX('реш СГД № 265'!$A:$N,MATCH('БА расх 2018 31 12 2018'!$K2105,'реш СГД № 265'!$N:$N,0),3)</f>
        <v>Расходы на проектирование, устройство, благоустройство и содержание муниципальных общественных кладбищ города Ставрополя</v>
      </c>
      <c r="M2105" s="16">
        <f t="shared" si="142"/>
        <v>1</v>
      </c>
    </row>
    <row r="2106" spans="1:13" s="16" customFormat="1" ht="31.5">
      <c r="A2106" s="14"/>
      <c r="B2106" s="125" t="s">
        <v>28</v>
      </c>
      <c r="C2106" s="108" t="s">
        <v>410</v>
      </c>
      <c r="D2106" s="108" t="s">
        <v>86</v>
      </c>
      <c r="E2106" s="108" t="s">
        <v>13</v>
      </c>
      <c r="F2106" s="108" t="s">
        <v>869</v>
      </c>
      <c r="G2106" s="108" t="s">
        <v>29</v>
      </c>
      <c r="H2106" s="126">
        <v>20792388.780000001</v>
      </c>
      <c r="I2106" s="108">
        <v>430220290</v>
      </c>
      <c r="J2106" s="108" t="str">
        <f t="shared" si="141"/>
        <v>0430220290</v>
      </c>
      <c r="K2106" s="304" t="str">
        <f t="shared" si="140"/>
        <v>62005030430220290240</v>
      </c>
      <c r="L2106" s="17" t="str">
        <f>INDEX('реш СГД № 265'!$A:$N,MATCH('БА расх 2018 31 12 2018'!$K2106,'реш СГД № 265'!$N:$N,0),3)</f>
        <v>Иные закупки товаров, работ и услуг для обеспечения государственных (муниципальных) нужд</v>
      </c>
      <c r="M2106" s="16">
        <f t="shared" si="142"/>
        <v>1</v>
      </c>
    </row>
    <row r="2107" spans="1:13" s="16" customFormat="1" ht="15.75">
      <c r="A2107" s="14"/>
      <c r="B2107" s="125" t="s">
        <v>30</v>
      </c>
      <c r="C2107" s="108" t="s">
        <v>410</v>
      </c>
      <c r="D2107" s="108" t="s">
        <v>86</v>
      </c>
      <c r="E2107" s="108" t="s">
        <v>13</v>
      </c>
      <c r="F2107" s="108" t="s">
        <v>869</v>
      </c>
      <c r="G2107" s="108" t="s">
        <v>31</v>
      </c>
      <c r="H2107" s="126">
        <v>20792388.780000001</v>
      </c>
      <c r="I2107" s="108">
        <v>430220290</v>
      </c>
      <c r="J2107" s="108" t="str">
        <f t="shared" si="141"/>
        <v>0430220290</v>
      </c>
      <c r="K2107" s="304" t="str">
        <f t="shared" si="140"/>
        <v>62005030430220290244</v>
      </c>
      <c r="L2107" s="17"/>
    </row>
    <row r="2108" spans="1:13" s="16" customFormat="1" ht="47.25">
      <c r="A2108" s="14"/>
      <c r="B2108" s="125" t="s">
        <v>870</v>
      </c>
      <c r="C2108" s="108" t="s">
        <v>410</v>
      </c>
      <c r="D2108" s="108" t="s">
        <v>86</v>
      </c>
      <c r="E2108" s="108" t="s">
        <v>13</v>
      </c>
      <c r="F2108" s="108" t="s">
        <v>871</v>
      </c>
      <c r="G2108" s="108" t="s">
        <v>9</v>
      </c>
      <c r="H2108" s="141">
        <v>2284560</v>
      </c>
      <c r="I2108" s="108">
        <v>430300000</v>
      </c>
      <c r="J2108" s="108" t="str">
        <f t="shared" si="141"/>
        <v>0430300000</v>
      </c>
      <c r="K2108" s="304" t="str">
        <f t="shared" si="140"/>
        <v>62005030430300000000</v>
      </c>
      <c r="L2108" s="17" t="str">
        <f>INDEX('реш СГД № 265'!$A:$N,MATCH('БА расх 2018 31 12 2018'!$K2108,'реш СГД № 265'!$N:$N,0),3)</f>
        <v>Основное мероприятие «Организация отлова и содержания безнадзорных животных, сбор трупов и их захоронение в установленном порядке»</v>
      </c>
      <c r="M2108" s="16">
        <f t="shared" si="142"/>
        <v>1</v>
      </c>
    </row>
    <row r="2109" spans="1:13" s="16" customFormat="1" ht="47.25">
      <c r="A2109" s="14" t="s">
        <v>80</v>
      </c>
      <c r="B2109" s="125" t="s">
        <v>872</v>
      </c>
      <c r="C2109" s="108" t="s">
        <v>410</v>
      </c>
      <c r="D2109" s="108" t="s">
        <v>86</v>
      </c>
      <c r="E2109" s="108" t="s">
        <v>13</v>
      </c>
      <c r="F2109" s="108" t="s">
        <v>873</v>
      </c>
      <c r="G2109" s="108" t="s">
        <v>9</v>
      </c>
      <c r="H2109" s="141">
        <v>2284560</v>
      </c>
      <c r="I2109" s="108">
        <v>430377150</v>
      </c>
      <c r="J2109" s="108" t="str">
        <f t="shared" si="141"/>
        <v>0430377150</v>
      </c>
      <c r="K2109" s="304" t="str">
        <f t="shared" si="140"/>
        <v>62005030430377150000</v>
      </c>
      <c r="L2109" s="17" t="str">
        <f>INDEX('реш СГД № 265'!$A:$N,MATCH('БА расх 2018 31 12 2018'!$K2109,'реш СГД № 265'!$N:$N,0),3)</f>
        <v>Организация проведения на территории города Ставрополя мероприятий по отлову и содержанию безнадзорных животных</v>
      </c>
      <c r="M2109" s="16">
        <f t="shared" si="142"/>
        <v>1</v>
      </c>
    </row>
    <row r="2110" spans="1:13" s="16" customFormat="1" ht="31.5">
      <c r="A2110" s="14"/>
      <c r="B2110" s="125" t="s">
        <v>28</v>
      </c>
      <c r="C2110" s="108" t="s">
        <v>410</v>
      </c>
      <c r="D2110" s="108" t="s">
        <v>86</v>
      </c>
      <c r="E2110" s="108" t="s">
        <v>13</v>
      </c>
      <c r="F2110" s="108" t="s">
        <v>873</v>
      </c>
      <c r="G2110" s="108" t="s">
        <v>29</v>
      </c>
      <c r="H2110" s="126">
        <v>2284560</v>
      </c>
      <c r="I2110" s="108">
        <v>430377150</v>
      </c>
      <c r="J2110" s="108" t="str">
        <f t="shared" si="141"/>
        <v>0430377150</v>
      </c>
      <c r="K2110" s="304" t="str">
        <f t="shared" si="140"/>
        <v>62005030430377150240</v>
      </c>
      <c r="L2110" s="17" t="str">
        <f>INDEX('реш СГД № 265'!$A:$N,MATCH('БА расх 2018 31 12 2018'!$K2110,'реш СГД № 265'!$N:$N,0),3)</f>
        <v>Иные закупки товаров, работ и услуг для обеспечения государственных (муниципальных) нужд</v>
      </c>
      <c r="M2110" s="16">
        <f t="shared" si="142"/>
        <v>1</v>
      </c>
    </row>
    <row r="2111" spans="1:13" s="16" customFormat="1" ht="15.75">
      <c r="A2111" s="14"/>
      <c r="B2111" s="125" t="s">
        <v>30</v>
      </c>
      <c r="C2111" s="108" t="s">
        <v>410</v>
      </c>
      <c r="D2111" s="108" t="s">
        <v>86</v>
      </c>
      <c r="E2111" s="108" t="s">
        <v>13</v>
      </c>
      <c r="F2111" s="108" t="s">
        <v>873</v>
      </c>
      <c r="G2111" s="108" t="s">
        <v>31</v>
      </c>
      <c r="H2111" s="126">
        <v>2284560</v>
      </c>
      <c r="I2111" s="108">
        <v>430377150</v>
      </c>
      <c r="J2111" s="108" t="str">
        <f t="shared" si="141"/>
        <v>0430377150</v>
      </c>
      <c r="K2111" s="304" t="str">
        <f t="shared" si="140"/>
        <v>62005030430377150244</v>
      </c>
      <c r="L2111" s="17"/>
    </row>
    <row r="2112" spans="1:13" s="16" customFormat="1" ht="31.5">
      <c r="A2112" s="14"/>
      <c r="B2112" s="307" t="s">
        <v>309</v>
      </c>
      <c r="C2112" s="108" t="s">
        <v>410</v>
      </c>
      <c r="D2112" s="108" t="s">
        <v>86</v>
      </c>
      <c r="E2112" s="108" t="s">
        <v>13</v>
      </c>
      <c r="F2112" s="108" t="s">
        <v>310</v>
      </c>
      <c r="G2112" s="108" t="s">
        <v>9</v>
      </c>
      <c r="H2112" s="141">
        <v>274350679.44999999</v>
      </c>
      <c r="I2112" s="108">
        <v>430400000</v>
      </c>
      <c r="J2112" s="108" t="str">
        <f t="shared" si="141"/>
        <v>0430400000</v>
      </c>
      <c r="K2112" s="304" t="str">
        <f t="shared" si="140"/>
        <v>62005030430400000000</v>
      </c>
      <c r="L2112" s="17" t="str">
        <f>INDEX('реш СГД № 265'!$A:$N,MATCH('БА расх 2018 31 12 2018'!$K2112,'реш СГД № 265'!$N:$N,0),3)</f>
        <v>Основное мероприятие «Благоустройство территории города Ставрополя»</v>
      </c>
      <c r="M2112" s="16">
        <f t="shared" si="142"/>
        <v>1</v>
      </c>
    </row>
    <row r="2113" spans="1:13" s="16" customFormat="1" ht="31.5">
      <c r="A2113" s="14"/>
      <c r="B2113" s="125" t="s">
        <v>136</v>
      </c>
      <c r="C2113" s="108" t="s">
        <v>410</v>
      </c>
      <c r="D2113" s="108" t="s">
        <v>86</v>
      </c>
      <c r="E2113" s="108" t="s">
        <v>13</v>
      </c>
      <c r="F2113" s="108" t="s">
        <v>874</v>
      </c>
      <c r="G2113" s="108" t="s">
        <v>9</v>
      </c>
      <c r="H2113" s="141">
        <v>23176914.700000003</v>
      </c>
      <c r="I2113" s="108">
        <v>430411010</v>
      </c>
      <c r="J2113" s="108" t="str">
        <f t="shared" si="141"/>
        <v>0430411010</v>
      </c>
      <c r="K2113" s="304" t="str">
        <f t="shared" si="140"/>
        <v>62005030430411010000</v>
      </c>
      <c r="L2113" s="17" t="str">
        <f>INDEX('реш СГД № 265'!$A:$N,MATCH('БА расх 2018 31 12 2018'!$K2113,'реш СГД № 265'!$N:$N,0),3)</f>
        <v>Расходы на обеспечение деятельности (оказание услуг) муниципальных учреждений</v>
      </c>
      <c r="M2113" s="16">
        <f t="shared" si="142"/>
        <v>1</v>
      </c>
    </row>
    <row r="2114" spans="1:13" s="16" customFormat="1" ht="15.75">
      <c r="A2114" s="14"/>
      <c r="B2114" s="132" t="s">
        <v>403</v>
      </c>
      <c r="C2114" s="108" t="s">
        <v>410</v>
      </c>
      <c r="D2114" s="108" t="s">
        <v>86</v>
      </c>
      <c r="E2114" s="108" t="s">
        <v>13</v>
      </c>
      <c r="F2114" s="108" t="s">
        <v>874</v>
      </c>
      <c r="G2114" s="108" t="s">
        <v>404</v>
      </c>
      <c r="H2114" s="126">
        <v>23176914.700000003</v>
      </c>
      <c r="I2114" s="108">
        <v>430411010</v>
      </c>
      <c r="J2114" s="108" t="str">
        <f t="shared" si="141"/>
        <v>0430411010</v>
      </c>
      <c r="K2114" s="304" t="str">
        <f t="shared" si="140"/>
        <v>62005030430411010610</v>
      </c>
      <c r="L2114" s="17" t="str">
        <f>INDEX('реш СГД № 265'!$A:$N,MATCH('БА расх 2018 31 12 2018'!$K2114,'реш СГД № 265'!$N:$N,0),3)</f>
        <v>Субсидии бюджетным учреждениям</v>
      </c>
      <c r="M2114" s="16">
        <f t="shared" si="142"/>
        <v>1</v>
      </c>
    </row>
    <row r="2115" spans="1:13" s="23" customFormat="1" ht="63">
      <c r="A2115" s="21"/>
      <c r="B2115" s="127" t="s">
        <v>405</v>
      </c>
      <c r="C2115" s="108" t="s">
        <v>410</v>
      </c>
      <c r="D2115" s="108" t="s">
        <v>86</v>
      </c>
      <c r="E2115" s="108" t="s">
        <v>13</v>
      </c>
      <c r="F2115" s="108" t="s">
        <v>874</v>
      </c>
      <c r="G2115" s="108" t="s">
        <v>406</v>
      </c>
      <c r="H2115" s="126">
        <v>17760929.800000001</v>
      </c>
      <c r="I2115" s="108">
        <v>430411010</v>
      </c>
      <c r="J2115" s="108" t="str">
        <f t="shared" si="141"/>
        <v>0430411010</v>
      </c>
      <c r="K2115" s="304" t="str">
        <f t="shared" si="140"/>
        <v>62005030430411010611</v>
      </c>
      <c r="L2115" s="17"/>
      <c r="M2115" s="16"/>
    </row>
    <row r="2116" spans="1:13" s="23" customFormat="1" ht="15.75">
      <c r="A2116" s="21"/>
      <c r="B2116" s="127" t="s">
        <v>407</v>
      </c>
      <c r="C2116" s="108" t="s">
        <v>410</v>
      </c>
      <c r="D2116" s="108" t="s">
        <v>86</v>
      </c>
      <c r="E2116" s="108" t="s">
        <v>13</v>
      </c>
      <c r="F2116" s="108" t="s">
        <v>874</v>
      </c>
      <c r="G2116" s="108" t="s">
        <v>408</v>
      </c>
      <c r="H2116" s="126">
        <v>5415984.9000000004</v>
      </c>
      <c r="I2116" s="108">
        <v>430411010</v>
      </c>
      <c r="J2116" s="108" t="str">
        <f t="shared" si="141"/>
        <v>0430411010</v>
      </c>
      <c r="K2116" s="304" t="str">
        <f t="shared" si="140"/>
        <v>62005030430411010612</v>
      </c>
      <c r="L2116" s="17"/>
      <c r="M2116" s="16"/>
    </row>
    <row r="2117" spans="1:13" s="16" customFormat="1" ht="31.5">
      <c r="A2117" s="14"/>
      <c r="B2117" s="125" t="s">
        <v>875</v>
      </c>
      <c r="C2117" s="108" t="s">
        <v>410</v>
      </c>
      <c r="D2117" s="108" t="s">
        <v>86</v>
      </c>
      <c r="E2117" s="108" t="s">
        <v>13</v>
      </c>
      <c r="F2117" s="108" t="s">
        <v>876</v>
      </c>
      <c r="G2117" s="108" t="s">
        <v>9</v>
      </c>
      <c r="H2117" s="141">
        <v>135383870.80000001</v>
      </c>
      <c r="I2117" s="108">
        <v>430420280</v>
      </c>
      <c r="J2117" s="108" t="str">
        <f t="shared" si="141"/>
        <v>0430420280</v>
      </c>
      <c r="K2117" s="304" t="str">
        <f t="shared" si="140"/>
        <v>62005030430420280000</v>
      </c>
      <c r="L2117" s="17" t="str">
        <f>INDEX('реш СГД № 265'!$A:$N,MATCH('БА расх 2018 31 12 2018'!$K2117,'реш СГД № 265'!$N:$N,0),3)</f>
        <v>Расходы на обеспечение уличного освещения территории города Ставрополя</v>
      </c>
      <c r="M2117" s="16">
        <f t="shared" si="142"/>
        <v>1</v>
      </c>
    </row>
    <row r="2118" spans="1:13" s="16" customFormat="1" ht="31.5">
      <c r="A2118" s="14"/>
      <c r="B2118" s="125" t="s">
        <v>28</v>
      </c>
      <c r="C2118" s="108" t="s">
        <v>410</v>
      </c>
      <c r="D2118" s="108" t="s">
        <v>86</v>
      </c>
      <c r="E2118" s="108" t="s">
        <v>13</v>
      </c>
      <c r="F2118" s="108" t="s">
        <v>876</v>
      </c>
      <c r="G2118" s="108" t="s">
        <v>29</v>
      </c>
      <c r="H2118" s="126">
        <v>135383870.80000001</v>
      </c>
      <c r="I2118" s="108">
        <v>430420280</v>
      </c>
      <c r="J2118" s="108" t="str">
        <f t="shared" si="141"/>
        <v>0430420280</v>
      </c>
      <c r="K2118" s="304" t="str">
        <f t="shared" si="140"/>
        <v>62005030430420280240</v>
      </c>
      <c r="L2118" s="17" t="str">
        <f>INDEX('реш СГД № 265'!$A:$N,MATCH('БА расх 2018 31 12 2018'!$K2118,'реш СГД № 265'!$N:$N,0),3)</f>
        <v>Иные закупки товаров, работ и услуг для обеспечения государственных (муниципальных) нужд</v>
      </c>
      <c r="M2118" s="16">
        <f t="shared" si="142"/>
        <v>1</v>
      </c>
    </row>
    <row r="2119" spans="1:13" s="16" customFormat="1" ht="15.75">
      <c r="A2119" s="14"/>
      <c r="B2119" s="125" t="s">
        <v>30</v>
      </c>
      <c r="C2119" s="108" t="s">
        <v>410</v>
      </c>
      <c r="D2119" s="108" t="s">
        <v>86</v>
      </c>
      <c r="E2119" s="108" t="s">
        <v>13</v>
      </c>
      <c r="F2119" s="108" t="s">
        <v>876</v>
      </c>
      <c r="G2119" s="108" t="s">
        <v>31</v>
      </c>
      <c r="H2119" s="126">
        <v>135383870.80000001</v>
      </c>
      <c r="I2119" s="108">
        <v>430420280</v>
      </c>
      <c r="J2119" s="108" t="str">
        <f t="shared" si="141"/>
        <v>0430420280</v>
      </c>
      <c r="K2119" s="304" t="str">
        <f t="shared" si="140"/>
        <v>62005030430420280244</v>
      </c>
      <c r="L2119" s="17"/>
    </row>
    <row r="2120" spans="1:13" s="16" customFormat="1" ht="31.5">
      <c r="A2120" s="14"/>
      <c r="B2120" s="125" t="s">
        <v>542</v>
      </c>
      <c r="C2120" s="108" t="s">
        <v>410</v>
      </c>
      <c r="D2120" s="108" t="s">
        <v>86</v>
      </c>
      <c r="E2120" s="108" t="s">
        <v>13</v>
      </c>
      <c r="F2120" s="108" t="s">
        <v>543</v>
      </c>
      <c r="G2120" s="108" t="s">
        <v>9</v>
      </c>
      <c r="H2120" s="141">
        <v>11469152.390000001</v>
      </c>
      <c r="I2120" s="108">
        <v>430420300</v>
      </c>
      <c r="J2120" s="108" t="str">
        <f t="shared" si="141"/>
        <v>0430420300</v>
      </c>
      <c r="K2120" s="304" t="str">
        <f t="shared" si="140"/>
        <v>62005030430420300000</v>
      </c>
      <c r="L2120" s="17" t="str">
        <f>INDEX('реш СГД № 265'!$A:$N,MATCH('БА расх 2018 31 12 2018'!$K2120,'реш СГД № 265'!$N:$N,0),3)</f>
        <v>Расходы на прочие мероприятия по благоустройству территории города Ставрополя</v>
      </c>
      <c r="M2120" s="16">
        <f t="shared" si="142"/>
        <v>1</v>
      </c>
    </row>
    <row r="2121" spans="1:13" s="16" customFormat="1" ht="31.5">
      <c r="A2121" s="14"/>
      <c r="B2121" s="125" t="s">
        <v>28</v>
      </c>
      <c r="C2121" s="108" t="s">
        <v>410</v>
      </c>
      <c r="D2121" s="108" t="s">
        <v>86</v>
      </c>
      <c r="E2121" s="108" t="s">
        <v>13</v>
      </c>
      <c r="F2121" s="108" t="s">
        <v>543</v>
      </c>
      <c r="G2121" s="108" t="s">
        <v>29</v>
      </c>
      <c r="H2121" s="126">
        <v>11468942.390000001</v>
      </c>
      <c r="I2121" s="108">
        <v>430420300</v>
      </c>
      <c r="J2121" s="108" t="str">
        <f t="shared" si="141"/>
        <v>0430420300</v>
      </c>
      <c r="K2121" s="304" t="str">
        <f t="shared" si="140"/>
        <v>62005030430420300240</v>
      </c>
      <c r="L2121" s="17" t="str">
        <f>INDEX('реш СГД № 265'!$A:$N,MATCH('БА расх 2018 31 12 2018'!$K2121,'реш СГД № 265'!$N:$N,0),3)</f>
        <v>Иные закупки товаров, работ и услуг для обеспечения государственных (муниципальных) нужд</v>
      </c>
      <c r="M2121" s="16">
        <f t="shared" si="142"/>
        <v>1</v>
      </c>
    </row>
    <row r="2122" spans="1:13" s="16" customFormat="1" ht="15.75">
      <c r="A2122" s="14"/>
      <c r="B2122" s="125" t="s">
        <v>30</v>
      </c>
      <c r="C2122" s="108" t="s">
        <v>410</v>
      </c>
      <c r="D2122" s="108" t="s">
        <v>86</v>
      </c>
      <c r="E2122" s="108" t="s">
        <v>13</v>
      </c>
      <c r="F2122" s="108" t="s">
        <v>543</v>
      </c>
      <c r="G2122" s="108" t="s">
        <v>31</v>
      </c>
      <c r="H2122" s="126">
        <v>11468942.390000001</v>
      </c>
      <c r="I2122" s="108">
        <v>430420300</v>
      </c>
      <c r="J2122" s="108" t="str">
        <f t="shared" si="141"/>
        <v>0430420300</v>
      </c>
      <c r="K2122" s="304" t="str">
        <f t="shared" si="140"/>
        <v>62005030430420300244</v>
      </c>
      <c r="L2122" s="17"/>
    </row>
    <row r="2123" spans="1:13" s="16" customFormat="1" ht="15.75">
      <c r="A2123" s="14"/>
      <c r="B2123" s="125" t="s">
        <v>837</v>
      </c>
      <c r="C2123" s="108" t="s">
        <v>410</v>
      </c>
      <c r="D2123" s="108" t="s">
        <v>86</v>
      </c>
      <c r="E2123" s="108" t="s">
        <v>13</v>
      </c>
      <c r="F2123" s="108" t="s">
        <v>543</v>
      </c>
      <c r="G2123" s="109" t="s">
        <v>838</v>
      </c>
      <c r="H2123" s="126">
        <v>210</v>
      </c>
      <c r="I2123" s="108">
        <v>430420300</v>
      </c>
      <c r="J2123" s="108" t="str">
        <f t="shared" si="141"/>
        <v>0430420300</v>
      </c>
      <c r="K2123" s="304" t="str">
        <f t="shared" si="140"/>
        <v>62005030430420300410</v>
      </c>
      <c r="L2123" s="17" t="str">
        <f>INDEX('реш СГД № 265'!$A:$N,MATCH('БА расх 2018 31 12 2018'!$K2123,'реш СГД № 265'!$N:$N,0),3)</f>
        <v xml:space="preserve">Бюджетные инвестиции </v>
      </c>
      <c r="M2123" s="16">
        <f t="shared" si="142"/>
        <v>1</v>
      </c>
    </row>
    <row r="2124" spans="1:13" s="16" customFormat="1" ht="47.25">
      <c r="A2124" s="14"/>
      <c r="B2124" s="125" t="s">
        <v>839</v>
      </c>
      <c r="C2124" s="108" t="s">
        <v>410</v>
      </c>
      <c r="D2124" s="108" t="s">
        <v>86</v>
      </c>
      <c r="E2124" s="108" t="s">
        <v>13</v>
      </c>
      <c r="F2124" s="108" t="s">
        <v>543</v>
      </c>
      <c r="G2124" s="109" t="s">
        <v>840</v>
      </c>
      <c r="H2124" s="126">
        <v>210</v>
      </c>
      <c r="I2124" s="108">
        <v>430420300</v>
      </c>
      <c r="J2124" s="108" t="str">
        <f t="shared" si="141"/>
        <v>0430420300</v>
      </c>
      <c r="K2124" s="304" t="str">
        <f t="shared" si="140"/>
        <v>62005030430420300414</v>
      </c>
      <c r="L2124" s="17"/>
    </row>
    <row r="2125" spans="1:13" s="16" customFormat="1" ht="31.5">
      <c r="A2125" s="14"/>
      <c r="B2125" s="135" t="s">
        <v>877</v>
      </c>
      <c r="C2125" s="108" t="s">
        <v>410</v>
      </c>
      <c r="D2125" s="108" t="s">
        <v>86</v>
      </c>
      <c r="E2125" s="108" t="s">
        <v>13</v>
      </c>
      <c r="F2125" s="108" t="s">
        <v>878</v>
      </c>
      <c r="G2125" s="108" t="s">
        <v>9</v>
      </c>
      <c r="H2125" s="141">
        <v>9680568.8900000006</v>
      </c>
      <c r="I2125" s="108">
        <v>430420780</v>
      </c>
      <c r="J2125" s="108" t="str">
        <f t="shared" si="141"/>
        <v>0430420780</v>
      </c>
      <c r="K2125" s="304" t="str">
        <f t="shared" si="140"/>
        <v>62005030430420780000</v>
      </c>
      <c r="L2125" s="17" t="str">
        <f>INDEX('реш СГД № 265'!$A:$N,MATCH('БА расх 2018 31 12 2018'!$K2125,'реш СГД № 265'!$N:$N,0),3)</f>
        <v>Расходы на проведение мероприятий по озеленению территории города Ставрополя</v>
      </c>
      <c r="M2125" s="16">
        <f t="shared" si="142"/>
        <v>1</v>
      </c>
    </row>
    <row r="2126" spans="1:13" s="16" customFormat="1" ht="31.5">
      <c r="A2126" s="14"/>
      <c r="B2126" s="125" t="s">
        <v>28</v>
      </c>
      <c r="C2126" s="108" t="s">
        <v>410</v>
      </c>
      <c r="D2126" s="108" t="s">
        <v>86</v>
      </c>
      <c r="E2126" s="108" t="s">
        <v>13</v>
      </c>
      <c r="F2126" s="108" t="s">
        <v>878</v>
      </c>
      <c r="G2126" s="108" t="s">
        <v>29</v>
      </c>
      <c r="H2126" s="126">
        <v>9680568.8900000006</v>
      </c>
      <c r="I2126" s="108">
        <v>430420780</v>
      </c>
      <c r="J2126" s="108" t="str">
        <f t="shared" si="141"/>
        <v>0430420780</v>
      </c>
      <c r="K2126" s="304" t="str">
        <f t="shared" si="140"/>
        <v>62005030430420780240</v>
      </c>
      <c r="L2126" s="17" t="str">
        <f>INDEX('реш СГД № 265'!$A:$N,MATCH('БА расх 2018 31 12 2018'!$K2126,'реш СГД № 265'!$N:$N,0),3)</f>
        <v>Иные закупки товаров, работ и услуг для обеспечения государственных (муниципальных) нужд</v>
      </c>
      <c r="M2126" s="16">
        <f t="shared" si="142"/>
        <v>1</v>
      </c>
    </row>
    <row r="2127" spans="1:13" s="16" customFormat="1" ht="15.75">
      <c r="A2127" s="14"/>
      <c r="B2127" s="125" t="s">
        <v>30</v>
      </c>
      <c r="C2127" s="108" t="s">
        <v>410</v>
      </c>
      <c r="D2127" s="108" t="s">
        <v>86</v>
      </c>
      <c r="E2127" s="108" t="s">
        <v>13</v>
      </c>
      <c r="F2127" s="108" t="s">
        <v>878</v>
      </c>
      <c r="G2127" s="108" t="s">
        <v>31</v>
      </c>
      <c r="H2127" s="126">
        <v>9680568.8900000006</v>
      </c>
      <c r="I2127" s="108">
        <v>430420780</v>
      </c>
      <c r="J2127" s="108" t="str">
        <f t="shared" si="141"/>
        <v>0430420780</v>
      </c>
      <c r="K2127" s="304" t="str">
        <f t="shared" si="140"/>
        <v>62005030430420780244</v>
      </c>
      <c r="L2127" s="17"/>
    </row>
    <row r="2128" spans="1:13" s="16" customFormat="1" ht="63">
      <c r="A2128" s="14"/>
      <c r="B2128" s="125" t="s">
        <v>1350</v>
      </c>
      <c r="C2128" s="130" t="s">
        <v>410</v>
      </c>
      <c r="D2128" s="131" t="s">
        <v>86</v>
      </c>
      <c r="E2128" s="131" t="s">
        <v>13</v>
      </c>
      <c r="F2128" s="131" t="s">
        <v>1351</v>
      </c>
      <c r="G2128" s="131" t="s">
        <v>9</v>
      </c>
      <c r="H2128" s="126">
        <v>19744080</v>
      </c>
      <c r="I2128" s="131">
        <v>430476413</v>
      </c>
      <c r="J2128" s="131" t="str">
        <f t="shared" si="141"/>
        <v>0430476413</v>
      </c>
      <c r="K2128" s="304" t="str">
        <f t="shared" si="140"/>
        <v>62005030430476413000</v>
      </c>
      <c r="L2128" s="17" t="str">
        <f>INDEX('реш СГД № 265'!$A:$N,MATCH('БА расх 2018 31 12 2018'!$K2128,'реш СГД № 265'!$N:$N,0),3)</f>
        <v>Расходы  на осуществление функций административного центра Ставропольского края за счет средств краевого бюджета на проведение мероприятий по озеленению территории города Ставрополя</v>
      </c>
      <c r="M2128" s="16">
        <f t="shared" si="142"/>
        <v>1</v>
      </c>
    </row>
    <row r="2129" spans="1:13" s="16" customFormat="1" ht="31.5">
      <c r="A2129" s="14"/>
      <c r="B2129" s="125" t="s">
        <v>28</v>
      </c>
      <c r="C2129" s="130" t="s">
        <v>410</v>
      </c>
      <c r="D2129" s="131" t="s">
        <v>86</v>
      </c>
      <c r="E2129" s="131" t="s">
        <v>13</v>
      </c>
      <c r="F2129" s="131" t="s">
        <v>1351</v>
      </c>
      <c r="G2129" s="131" t="s">
        <v>29</v>
      </c>
      <c r="H2129" s="126">
        <v>19744080</v>
      </c>
      <c r="I2129" s="131">
        <v>430476413</v>
      </c>
      <c r="J2129" s="131" t="str">
        <f t="shared" si="141"/>
        <v>0430476413</v>
      </c>
      <c r="K2129" s="304" t="str">
        <f t="shared" si="140"/>
        <v>62005030430476413240</v>
      </c>
      <c r="L2129" s="17" t="str">
        <f>INDEX('реш СГД № 265'!$A:$N,MATCH('БА расх 2018 31 12 2018'!$K2129,'реш СГД № 265'!$N:$N,0),3)</f>
        <v>Иные закупки товаров, работ и услуг для обеспечения государственных (муниципальных) нужд</v>
      </c>
      <c r="M2129" s="16">
        <f t="shared" si="142"/>
        <v>1</v>
      </c>
    </row>
    <row r="2130" spans="1:13" s="16" customFormat="1" ht="15.75">
      <c r="A2130" s="14"/>
      <c r="B2130" s="125" t="s">
        <v>30</v>
      </c>
      <c r="C2130" s="130" t="s">
        <v>410</v>
      </c>
      <c r="D2130" s="131" t="s">
        <v>86</v>
      </c>
      <c r="E2130" s="131" t="s">
        <v>13</v>
      </c>
      <c r="F2130" s="131" t="s">
        <v>1351</v>
      </c>
      <c r="G2130" s="131" t="s">
        <v>31</v>
      </c>
      <c r="H2130" s="126">
        <v>19744080</v>
      </c>
      <c r="I2130" s="131">
        <v>430476413</v>
      </c>
      <c r="J2130" s="131" t="str">
        <f t="shared" si="141"/>
        <v>0430476413</v>
      </c>
      <c r="K2130" s="304" t="str">
        <f t="shared" si="140"/>
        <v>62005030430476413244</v>
      </c>
      <c r="L2130" s="17"/>
    </row>
    <row r="2131" spans="1:13" s="16" customFormat="1" ht="110.25">
      <c r="A2131" s="14"/>
      <c r="B2131" s="149" t="s">
        <v>1352</v>
      </c>
      <c r="C2131" s="130" t="s">
        <v>410</v>
      </c>
      <c r="D2131" s="131" t="s">
        <v>86</v>
      </c>
      <c r="E2131" s="131" t="s">
        <v>13</v>
      </c>
      <c r="F2131" s="131" t="s">
        <v>1353</v>
      </c>
      <c r="G2131" s="131" t="s">
        <v>9</v>
      </c>
      <c r="H2131" s="126">
        <v>9752830.4499999993</v>
      </c>
      <c r="I2131" s="131">
        <v>430476415</v>
      </c>
      <c r="J2131" s="131" t="str">
        <f t="shared" si="141"/>
        <v>0430476415</v>
      </c>
      <c r="K2131" s="304" t="str">
        <f t="shared" si="140"/>
        <v>62005030430476415000</v>
      </c>
      <c r="L2131" s="17" t="str">
        <f>INDEX('реш СГД № 265'!$A:$N,MATCH('БА расх 2018 31 12 2018'!$K2131,'реш СГД № 265'!$N:$N,0),3)</f>
        <v>Расходы на осуществление функций административного центра Ставропольского края за счет средств краевого бюджета на благоустройство территории, прилегающей к физкультурно-оздоровительному комплексу с крытым катком, расположенному по адресу: город Ставрополь, квартал 525, улица Тухачевского, 6/1: озеленение, уличное освещение, ремонт инженерных  сетей</v>
      </c>
      <c r="M2131" s="16">
        <f t="shared" si="142"/>
        <v>1</v>
      </c>
    </row>
    <row r="2132" spans="1:13" s="16" customFormat="1" ht="31.5">
      <c r="A2132" s="14"/>
      <c r="B2132" s="125" t="s">
        <v>28</v>
      </c>
      <c r="C2132" s="130" t="s">
        <v>410</v>
      </c>
      <c r="D2132" s="131" t="s">
        <v>86</v>
      </c>
      <c r="E2132" s="131" t="s">
        <v>13</v>
      </c>
      <c r="F2132" s="131" t="s">
        <v>1353</v>
      </c>
      <c r="G2132" s="131" t="s">
        <v>29</v>
      </c>
      <c r="H2132" s="126">
        <v>9752830.4499999993</v>
      </c>
      <c r="I2132" s="131">
        <v>430476415</v>
      </c>
      <c r="J2132" s="131" t="str">
        <f t="shared" si="141"/>
        <v>0430476415</v>
      </c>
      <c r="K2132" s="304" t="str">
        <f t="shared" si="140"/>
        <v>62005030430476415240</v>
      </c>
      <c r="L2132" s="17" t="str">
        <f>INDEX('реш СГД № 265'!$A:$N,MATCH('БА расх 2018 31 12 2018'!$K2132,'реш СГД № 265'!$N:$N,0),3)</f>
        <v>Иные закупки товаров, работ и услуг для обеспечения государственных (муниципальных) нужд</v>
      </c>
      <c r="M2132" s="16">
        <f t="shared" si="142"/>
        <v>1</v>
      </c>
    </row>
    <row r="2133" spans="1:13" s="16" customFormat="1" ht="15.75">
      <c r="A2133" s="14"/>
      <c r="B2133" s="125" t="s">
        <v>30</v>
      </c>
      <c r="C2133" s="130" t="s">
        <v>410</v>
      </c>
      <c r="D2133" s="131" t="s">
        <v>86</v>
      </c>
      <c r="E2133" s="131" t="s">
        <v>13</v>
      </c>
      <c r="F2133" s="131" t="s">
        <v>1353</v>
      </c>
      <c r="G2133" s="131" t="s">
        <v>31</v>
      </c>
      <c r="H2133" s="126">
        <v>9752830.4499999993</v>
      </c>
      <c r="I2133" s="131">
        <v>430476415</v>
      </c>
      <c r="J2133" s="131" t="str">
        <f t="shared" si="141"/>
        <v>0430476415</v>
      </c>
      <c r="K2133" s="304" t="str">
        <f t="shared" si="140"/>
        <v>62005030430476415244</v>
      </c>
      <c r="L2133" s="17"/>
    </row>
    <row r="2134" spans="1:13" s="16" customFormat="1" ht="51" customHeight="1">
      <c r="A2134" s="14"/>
      <c r="B2134" s="125" t="s">
        <v>2410</v>
      </c>
      <c r="C2134" s="109" t="s">
        <v>410</v>
      </c>
      <c r="D2134" s="108" t="s">
        <v>86</v>
      </c>
      <c r="E2134" s="108" t="s">
        <v>13</v>
      </c>
      <c r="F2134" s="108" t="s">
        <v>2408</v>
      </c>
      <c r="G2134" s="108" t="s">
        <v>9</v>
      </c>
      <c r="H2134" s="126">
        <v>1487602.12</v>
      </c>
      <c r="I2134" s="131" t="s">
        <v>2409</v>
      </c>
      <c r="J2134" s="131" t="str">
        <f t="shared" ref="J2134:J2136" si="143">TEXT(I2134,"0000000000")</f>
        <v>0430476423</v>
      </c>
      <c r="K2134" s="304" t="str">
        <f t="shared" ref="K2134:K2136" si="144">C2134&amp;D2134&amp;E2134&amp;J2134&amp;G2134</f>
        <v>62005030430476423000</v>
      </c>
      <c r="L2134" s="17" t="e">
        <f>INDEX('реш СГД № 265'!$A:$N,MATCH('БА расх 2018 31 12 2018'!$K2134,'реш СГД № 265'!$N:$N,0),3)</f>
        <v>#N/A</v>
      </c>
    </row>
    <row r="2135" spans="1:13" s="16" customFormat="1" ht="31.5">
      <c r="A2135" s="14"/>
      <c r="B2135" s="125" t="s">
        <v>28</v>
      </c>
      <c r="C2135" s="109" t="s">
        <v>410</v>
      </c>
      <c r="D2135" s="108" t="s">
        <v>86</v>
      </c>
      <c r="E2135" s="108" t="s">
        <v>13</v>
      </c>
      <c r="F2135" s="108" t="s">
        <v>2408</v>
      </c>
      <c r="G2135" s="108" t="s">
        <v>29</v>
      </c>
      <c r="H2135" s="126">
        <v>1487602.12</v>
      </c>
      <c r="I2135" s="131" t="s">
        <v>2409</v>
      </c>
      <c r="J2135" s="131" t="str">
        <f t="shared" si="143"/>
        <v>0430476423</v>
      </c>
      <c r="K2135" s="304" t="str">
        <f t="shared" si="144"/>
        <v>62005030430476423240</v>
      </c>
      <c r="L2135" s="17" t="e">
        <f>INDEX('реш СГД № 265'!$A:$N,MATCH('БА расх 2018 31 12 2018'!$K2135,'реш СГД № 265'!$N:$N,0),3)</f>
        <v>#N/A</v>
      </c>
    </row>
    <row r="2136" spans="1:13" s="16" customFormat="1" ht="15.75">
      <c r="A2136" s="14"/>
      <c r="B2136" s="125" t="s">
        <v>30</v>
      </c>
      <c r="C2136" s="109" t="s">
        <v>410</v>
      </c>
      <c r="D2136" s="108" t="s">
        <v>86</v>
      </c>
      <c r="E2136" s="108" t="s">
        <v>13</v>
      </c>
      <c r="F2136" s="108" t="s">
        <v>2408</v>
      </c>
      <c r="G2136" s="108" t="s">
        <v>31</v>
      </c>
      <c r="H2136" s="126">
        <v>1487602.12</v>
      </c>
      <c r="I2136" s="131" t="s">
        <v>2409</v>
      </c>
      <c r="J2136" s="131" t="str">
        <f t="shared" si="143"/>
        <v>0430476423</v>
      </c>
      <c r="K2136" s="304" t="str">
        <f t="shared" si="144"/>
        <v>62005030430476423244</v>
      </c>
      <c r="L2136" s="17"/>
    </row>
    <row r="2137" spans="1:13" s="16" customFormat="1" ht="31.5">
      <c r="A2137" s="14"/>
      <c r="B2137" s="125" t="s">
        <v>1144</v>
      </c>
      <c r="C2137" s="109" t="s">
        <v>410</v>
      </c>
      <c r="D2137" s="108" t="s">
        <v>86</v>
      </c>
      <c r="E2137" s="108" t="s">
        <v>13</v>
      </c>
      <c r="F2137" s="108" t="s">
        <v>2295</v>
      </c>
      <c r="G2137" s="108" t="s">
        <v>9</v>
      </c>
      <c r="H2137" s="126">
        <v>16509546.5</v>
      </c>
      <c r="I2137" s="131">
        <v>430477247</v>
      </c>
      <c r="J2137" s="131" t="str">
        <f t="shared" si="141"/>
        <v>0430477247</v>
      </c>
      <c r="K2137" s="304" t="str">
        <f t="shared" ref="K2137:K2139" si="145">C2137&amp;D2137&amp;E2137&amp;J2137&amp;G2137</f>
        <v>62005030430477247000</v>
      </c>
      <c r="L2137" s="17"/>
    </row>
    <row r="2138" spans="1:13" s="16" customFormat="1" ht="15.75">
      <c r="A2138" s="14"/>
      <c r="B2138" s="125" t="s">
        <v>837</v>
      </c>
      <c r="C2138" s="130" t="s">
        <v>410</v>
      </c>
      <c r="D2138" s="131" t="s">
        <v>86</v>
      </c>
      <c r="E2138" s="131" t="s">
        <v>13</v>
      </c>
      <c r="F2138" s="131" t="s">
        <v>2295</v>
      </c>
      <c r="G2138" s="131" t="s">
        <v>838</v>
      </c>
      <c r="H2138" s="126">
        <v>16509546.5</v>
      </c>
      <c r="I2138" s="131">
        <v>430477247</v>
      </c>
      <c r="J2138" s="131" t="str">
        <f t="shared" si="141"/>
        <v>0430477247</v>
      </c>
      <c r="K2138" s="304" t="str">
        <f t="shared" si="145"/>
        <v>62005030430477247410</v>
      </c>
      <c r="L2138" s="17"/>
    </row>
    <row r="2139" spans="1:13" s="16" customFormat="1" ht="47.25">
      <c r="A2139" s="14"/>
      <c r="B2139" s="125" t="s">
        <v>839</v>
      </c>
      <c r="C2139" s="130" t="s">
        <v>410</v>
      </c>
      <c r="D2139" s="131" t="s">
        <v>86</v>
      </c>
      <c r="E2139" s="131" t="s">
        <v>13</v>
      </c>
      <c r="F2139" s="131" t="s">
        <v>2295</v>
      </c>
      <c r="G2139" s="131" t="s">
        <v>840</v>
      </c>
      <c r="H2139" s="126">
        <v>16509546.5</v>
      </c>
      <c r="I2139" s="131">
        <v>430477247</v>
      </c>
      <c r="J2139" s="131" t="str">
        <f t="shared" si="141"/>
        <v>0430477247</v>
      </c>
      <c r="K2139" s="304" t="str">
        <f t="shared" si="145"/>
        <v>62005030430477247414</v>
      </c>
      <c r="L2139" s="17"/>
    </row>
    <row r="2140" spans="1:13" s="16" customFormat="1" ht="31.5">
      <c r="A2140" s="14"/>
      <c r="B2140" s="125" t="s">
        <v>1149</v>
      </c>
      <c r="C2140" s="109" t="s">
        <v>410</v>
      </c>
      <c r="D2140" s="108" t="s">
        <v>86</v>
      </c>
      <c r="E2140" s="108" t="s">
        <v>13</v>
      </c>
      <c r="F2140" s="108" t="s">
        <v>1146</v>
      </c>
      <c r="G2140" s="108" t="s">
        <v>9</v>
      </c>
      <c r="H2140" s="126">
        <v>40877015.229999997</v>
      </c>
      <c r="I2140" s="131">
        <v>430477330</v>
      </c>
      <c r="J2140" s="131" t="str">
        <f t="shared" si="141"/>
        <v>0430477330</v>
      </c>
      <c r="K2140" s="304" t="str">
        <f t="shared" si="140"/>
        <v>62005030430477330000</v>
      </c>
      <c r="L2140" s="17" t="str">
        <f>INDEX('реш СГД № 265'!$A:$N,MATCH('БА расх 2018 31 12 2018'!$K2140,'реш СГД № 265'!$N:$N,0),3)</f>
        <v>Реализация мероприятий по благоустройству территорий в городе Ставрополе за счет средств краевого бюджета</v>
      </c>
      <c r="M2140" s="16">
        <f t="shared" si="142"/>
        <v>1</v>
      </c>
    </row>
    <row r="2141" spans="1:13" s="16" customFormat="1" ht="31.5">
      <c r="A2141" s="14"/>
      <c r="B2141" s="125" t="s">
        <v>28</v>
      </c>
      <c r="C2141" s="109" t="s">
        <v>410</v>
      </c>
      <c r="D2141" s="108" t="s">
        <v>86</v>
      </c>
      <c r="E2141" s="108" t="s">
        <v>13</v>
      </c>
      <c r="F2141" s="108" t="s">
        <v>1146</v>
      </c>
      <c r="G2141" s="108" t="s">
        <v>29</v>
      </c>
      <c r="H2141" s="126">
        <v>40877015.229999997</v>
      </c>
      <c r="I2141" s="131">
        <v>430477330</v>
      </c>
      <c r="J2141" s="131" t="str">
        <f t="shared" si="141"/>
        <v>0430477330</v>
      </c>
      <c r="K2141" s="304" t="str">
        <f t="shared" si="140"/>
        <v>62005030430477330240</v>
      </c>
      <c r="L2141" s="17" t="str">
        <f>INDEX('реш СГД № 265'!$A:$N,MATCH('БА расх 2018 31 12 2018'!$K2141,'реш СГД № 265'!$N:$N,0),3)</f>
        <v>Иные закупки товаров, работ и услуг для обеспечения государственных (муниципальных) нужд</v>
      </c>
      <c r="M2141" s="16">
        <f t="shared" si="142"/>
        <v>1</v>
      </c>
    </row>
    <row r="2142" spans="1:13" s="16" customFormat="1" ht="15.75">
      <c r="A2142" s="14"/>
      <c r="B2142" s="125" t="s">
        <v>30</v>
      </c>
      <c r="C2142" s="109" t="s">
        <v>410</v>
      </c>
      <c r="D2142" s="108" t="s">
        <v>86</v>
      </c>
      <c r="E2142" s="108" t="s">
        <v>13</v>
      </c>
      <c r="F2142" s="108" t="s">
        <v>1146</v>
      </c>
      <c r="G2142" s="108" t="s">
        <v>31</v>
      </c>
      <c r="H2142" s="126">
        <v>40877015.229999997</v>
      </c>
      <c r="I2142" s="131">
        <v>430477330</v>
      </c>
      <c r="J2142" s="131" t="str">
        <f t="shared" si="141"/>
        <v>0430477330</v>
      </c>
      <c r="K2142" s="304" t="str">
        <f t="shared" si="140"/>
        <v>62005030430477330244</v>
      </c>
      <c r="L2142" s="17"/>
    </row>
    <row r="2143" spans="1:13" s="16" customFormat="1" ht="267.75">
      <c r="A2143" s="14"/>
      <c r="B2143" s="125" t="s">
        <v>2269</v>
      </c>
      <c r="C2143" s="108" t="s">
        <v>410</v>
      </c>
      <c r="D2143" s="108" t="s">
        <v>86</v>
      </c>
      <c r="E2143" s="108" t="s">
        <v>13</v>
      </c>
      <c r="F2143" s="108" t="s">
        <v>1354</v>
      </c>
      <c r="G2143" s="108" t="s">
        <v>9</v>
      </c>
      <c r="H2143" s="126">
        <v>402451.52</v>
      </c>
      <c r="I2143" s="131">
        <v>430477460</v>
      </c>
      <c r="J2143" s="131" t="str">
        <f t="shared" si="141"/>
        <v>0430477460</v>
      </c>
      <c r="K2143" s="304" t="str">
        <f t="shared" si="140"/>
        <v>62005030430477460000</v>
      </c>
      <c r="L2143" s="17" t="str">
        <f>INDEX('реш СГД № 265'!$A:$N,MATCH('БА расх 2018 31 12 2018'!$K2143,'реш СГД № 265'!$N:$N,0),3)</f>
        <v>Субсидии на компенсацию расходов по повышению заработной платы муниципальных служащих муниципальной службы и лиц, не замещающих должности муниципальной службы и исполняющих обязанности по техническому обеспечению деятельности органов местного самоуправления муниципальных образований, а также работников муниципальных учреждений, за исключением отдельных категорий работников муниципальных учреждений, которым повышение заработной платы осуществляется в соответствии с указами Президента Российской Федерации от 7 мая 2012 года № 597 «О мероприятиях по реализации государственной социальной политики», от 1 июня 2012 года № 761 «О Национальной стратегии действий в интересах детей на 2012 - 2017 годы» и от 28 декабря 2012 года № 1688 «О некоторых мерах по реализации государственной политики в сфере защиты детей-сирот и детей, оставшихся без попечения родителей»</v>
      </c>
      <c r="M2143" s="16">
        <f t="shared" si="142"/>
        <v>1</v>
      </c>
    </row>
    <row r="2144" spans="1:13" s="16" customFormat="1" ht="15.75">
      <c r="A2144" s="14"/>
      <c r="B2144" s="132" t="s">
        <v>403</v>
      </c>
      <c r="C2144" s="108" t="s">
        <v>410</v>
      </c>
      <c r="D2144" s="108" t="s">
        <v>86</v>
      </c>
      <c r="E2144" s="108" t="s">
        <v>13</v>
      </c>
      <c r="F2144" s="108" t="s">
        <v>1354</v>
      </c>
      <c r="G2144" s="108" t="s">
        <v>404</v>
      </c>
      <c r="H2144" s="126">
        <v>402451.52</v>
      </c>
      <c r="I2144" s="131">
        <v>430477460</v>
      </c>
      <c r="J2144" s="131" t="str">
        <f t="shared" si="141"/>
        <v>0430477460</v>
      </c>
      <c r="K2144" s="304" t="str">
        <f t="shared" si="140"/>
        <v>62005030430477460610</v>
      </c>
      <c r="L2144" s="17" t="str">
        <f>INDEX('реш СГД № 265'!$A:$N,MATCH('БА расх 2018 31 12 2018'!$K2144,'реш СГД № 265'!$N:$N,0),3)</f>
        <v>Субсидии бюджетным учреждениям</v>
      </c>
      <c r="M2144" s="16">
        <f t="shared" si="142"/>
        <v>1</v>
      </c>
    </row>
    <row r="2145" spans="1:13" s="16" customFormat="1" ht="63">
      <c r="A2145" s="14"/>
      <c r="B2145" s="127" t="s">
        <v>405</v>
      </c>
      <c r="C2145" s="108" t="s">
        <v>410</v>
      </c>
      <c r="D2145" s="108" t="s">
        <v>86</v>
      </c>
      <c r="E2145" s="108" t="s">
        <v>13</v>
      </c>
      <c r="F2145" s="108" t="s">
        <v>1354</v>
      </c>
      <c r="G2145" s="108" t="s">
        <v>406</v>
      </c>
      <c r="H2145" s="126">
        <v>402451.52</v>
      </c>
      <c r="I2145" s="131">
        <v>430477460</v>
      </c>
      <c r="J2145" s="131" t="str">
        <f t="shared" si="141"/>
        <v>0430477460</v>
      </c>
      <c r="K2145" s="304" t="str">
        <f t="shared" si="140"/>
        <v>62005030430477460611</v>
      </c>
      <c r="L2145" s="17"/>
    </row>
    <row r="2146" spans="1:13" s="16" customFormat="1" ht="237.75" customHeight="1">
      <c r="A2146" s="14"/>
      <c r="B2146" s="125" t="s">
        <v>2413</v>
      </c>
      <c r="C2146" s="108" t="s">
        <v>410</v>
      </c>
      <c r="D2146" s="108" t="s">
        <v>86</v>
      </c>
      <c r="E2146" s="108" t="s">
        <v>13</v>
      </c>
      <c r="F2146" s="108" t="s">
        <v>2411</v>
      </c>
      <c r="G2146" s="108" t="s">
        <v>9</v>
      </c>
      <c r="H2146" s="126">
        <v>206271.32</v>
      </c>
      <c r="I2146" s="131" t="s">
        <v>2412</v>
      </c>
      <c r="J2146" s="131" t="str">
        <f t="shared" ref="J2146:J2148" si="146">TEXT(I2146,"0000000000")</f>
        <v>0430477580</v>
      </c>
      <c r="K2146" s="304" t="str">
        <f t="shared" ref="K2146:K2148" si="147">C2146&amp;D2146&amp;E2146&amp;J2146&amp;G2146</f>
        <v>62005030430477580000</v>
      </c>
      <c r="L2146" s="17" t="e">
        <f>INDEX('реш СГД № 265'!$A:$N,MATCH('БА расх 2018 31 12 2018'!$K2146,'реш СГД № 265'!$N:$N,0),3)</f>
        <v>#N/A</v>
      </c>
    </row>
    <row r="2147" spans="1:13" s="16" customFormat="1" ht="15.75">
      <c r="A2147" s="14"/>
      <c r="B2147" s="132" t="s">
        <v>403</v>
      </c>
      <c r="C2147" s="108" t="s">
        <v>410</v>
      </c>
      <c r="D2147" s="108" t="s">
        <v>86</v>
      </c>
      <c r="E2147" s="108" t="s">
        <v>13</v>
      </c>
      <c r="F2147" s="108" t="s">
        <v>2411</v>
      </c>
      <c r="G2147" s="108" t="s">
        <v>404</v>
      </c>
      <c r="H2147" s="126">
        <v>206271.32</v>
      </c>
      <c r="I2147" s="131" t="s">
        <v>2412</v>
      </c>
      <c r="J2147" s="131" t="str">
        <f t="shared" si="146"/>
        <v>0430477580</v>
      </c>
      <c r="K2147" s="304" t="str">
        <f t="shared" si="147"/>
        <v>62005030430477580610</v>
      </c>
      <c r="L2147" s="17" t="e">
        <f>INDEX('реш СГД № 265'!$A:$N,MATCH('БА расх 2018 31 12 2018'!$K2147,'реш СГД № 265'!$N:$N,0),3)</f>
        <v>#N/A</v>
      </c>
    </row>
    <row r="2148" spans="1:13" s="16" customFormat="1" ht="63">
      <c r="A2148" s="14"/>
      <c r="B2148" s="125" t="s">
        <v>405</v>
      </c>
      <c r="C2148" s="108" t="s">
        <v>410</v>
      </c>
      <c r="D2148" s="108" t="s">
        <v>86</v>
      </c>
      <c r="E2148" s="108" t="s">
        <v>13</v>
      </c>
      <c r="F2148" s="108" t="s">
        <v>2411</v>
      </c>
      <c r="G2148" s="108" t="s">
        <v>406</v>
      </c>
      <c r="H2148" s="126">
        <v>206271.32</v>
      </c>
      <c r="I2148" s="131" t="s">
        <v>2412</v>
      </c>
      <c r="J2148" s="131" t="str">
        <f t="shared" si="146"/>
        <v>0430477580</v>
      </c>
      <c r="K2148" s="304" t="str">
        <f t="shared" si="147"/>
        <v>62005030430477580611</v>
      </c>
      <c r="L2148" s="17"/>
    </row>
    <row r="2149" spans="1:13" s="16" customFormat="1" ht="63">
      <c r="A2149" s="14"/>
      <c r="B2149" s="125" t="s">
        <v>1355</v>
      </c>
      <c r="C2149" s="108" t="s">
        <v>410</v>
      </c>
      <c r="D2149" s="108" t="s">
        <v>86</v>
      </c>
      <c r="E2149" s="108" t="s">
        <v>13</v>
      </c>
      <c r="F2149" s="108" t="s">
        <v>1356</v>
      </c>
      <c r="G2149" s="131" t="s">
        <v>9</v>
      </c>
      <c r="H2149" s="126">
        <v>2263160</v>
      </c>
      <c r="I2149" s="131" t="s">
        <v>2193</v>
      </c>
      <c r="J2149" s="131" t="str">
        <f t="shared" si="141"/>
        <v>04304S6413</v>
      </c>
      <c r="K2149" s="304" t="str">
        <f t="shared" si="140"/>
        <v>620050304304S6413000</v>
      </c>
      <c r="L2149" s="17" t="str">
        <f>INDEX('реш СГД № 265'!$A:$N,MATCH('БА расх 2018 31 12 2018'!$K2149,'реш СГД № 265'!$N:$N,0),3)</f>
        <v>Расходы  на осуществление функций административного центра Ставропольского края за счет средств местного бюджета на проведение мероприятий по озеленению территории города Ставрополя</v>
      </c>
      <c r="M2149" s="16">
        <f t="shared" si="142"/>
        <v>1</v>
      </c>
    </row>
    <row r="2150" spans="1:13" s="16" customFormat="1" ht="31.5">
      <c r="A2150" s="14"/>
      <c r="B2150" s="125" t="s">
        <v>28</v>
      </c>
      <c r="C2150" s="108" t="s">
        <v>410</v>
      </c>
      <c r="D2150" s="108" t="s">
        <v>86</v>
      </c>
      <c r="E2150" s="108" t="s">
        <v>13</v>
      </c>
      <c r="F2150" s="108" t="s">
        <v>1356</v>
      </c>
      <c r="G2150" s="131" t="s">
        <v>29</v>
      </c>
      <c r="H2150" s="126">
        <v>2263160</v>
      </c>
      <c r="I2150" s="131" t="s">
        <v>2193</v>
      </c>
      <c r="J2150" s="131" t="str">
        <f t="shared" si="141"/>
        <v>04304S6413</v>
      </c>
      <c r="K2150" s="304" t="str">
        <f t="shared" si="140"/>
        <v>620050304304S6413240</v>
      </c>
      <c r="L2150" s="17" t="str">
        <f>INDEX('реш СГД № 265'!$A:$N,MATCH('БА расх 2018 31 12 2018'!$K2150,'реш СГД № 265'!$N:$N,0),3)</f>
        <v>Иные закупки товаров, работ и услуг для обеспечения государственных (муниципальных) нужд</v>
      </c>
      <c r="M2150" s="16">
        <f t="shared" si="142"/>
        <v>1</v>
      </c>
    </row>
    <row r="2151" spans="1:13" s="16" customFormat="1" ht="15.75">
      <c r="A2151" s="14"/>
      <c r="B2151" s="125" t="s">
        <v>30</v>
      </c>
      <c r="C2151" s="108" t="s">
        <v>410</v>
      </c>
      <c r="D2151" s="108" t="s">
        <v>86</v>
      </c>
      <c r="E2151" s="108" t="s">
        <v>13</v>
      </c>
      <c r="F2151" s="108" t="s">
        <v>1356</v>
      </c>
      <c r="G2151" s="131" t="s">
        <v>31</v>
      </c>
      <c r="H2151" s="126">
        <v>2263160</v>
      </c>
      <c r="I2151" s="131" t="s">
        <v>2193</v>
      </c>
      <c r="J2151" s="131" t="str">
        <f t="shared" si="141"/>
        <v>04304S6413</v>
      </c>
      <c r="K2151" s="304" t="str">
        <f t="shared" si="140"/>
        <v>620050304304S6413244</v>
      </c>
      <c r="L2151" s="17"/>
    </row>
    <row r="2152" spans="1:13" s="16" customFormat="1" ht="51.75" customHeight="1">
      <c r="A2152" s="14"/>
      <c r="B2152" s="125" t="s">
        <v>2415</v>
      </c>
      <c r="C2152" s="108" t="s">
        <v>410</v>
      </c>
      <c r="D2152" s="108" t="s">
        <v>86</v>
      </c>
      <c r="E2152" s="108" t="s">
        <v>13</v>
      </c>
      <c r="F2152" s="108" t="s">
        <v>2414</v>
      </c>
      <c r="G2152" s="108" t="s">
        <v>9</v>
      </c>
      <c r="H2152" s="126">
        <v>78294.759999999995</v>
      </c>
      <c r="I2152" s="487" t="s">
        <v>2368</v>
      </c>
      <c r="J2152" s="131" t="str">
        <f t="shared" ref="J2152:J2154" si="148">TEXT(I2152,"0000000000")</f>
        <v>04304S6423</v>
      </c>
      <c r="K2152" s="304" t="str">
        <f t="shared" ref="K2152:K2154" si="149">C2152&amp;D2152&amp;E2152&amp;J2152&amp;G2152</f>
        <v>620050304304S6423000</v>
      </c>
      <c r="L2152" s="17" t="e">
        <f>INDEX('реш СГД № 265'!$A:$N,MATCH('БА расх 2018 31 12 2018'!$K2152,'реш СГД № 265'!$N:$N,0),3)</f>
        <v>#N/A</v>
      </c>
    </row>
    <row r="2153" spans="1:13" s="16" customFormat="1" ht="31.5">
      <c r="A2153" s="14"/>
      <c r="B2153" s="125" t="s">
        <v>28</v>
      </c>
      <c r="C2153" s="108" t="s">
        <v>410</v>
      </c>
      <c r="D2153" s="108" t="s">
        <v>86</v>
      </c>
      <c r="E2153" s="108" t="s">
        <v>13</v>
      </c>
      <c r="F2153" s="108" t="s">
        <v>2414</v>
      </c>
      <c r="G2153" s="108" t="s">
        <v>29</v>
      </c>
      <c r="H2153" s="126">
        <v>78294.759999999995</v>
      </c>
      <c r="I2153" s="487" t="s">
        <v>2368</v>
      </c>
      <c r="J2153" s="131" t="str">
        <f t="shared" si="148"/>
        <v>04304S6423</v>
      </c>
      <c r="K2153" s="304" t="str">
        <f t="shared" si="149"/>
        <v>620050304304S6423240</v>
      </c>
      <c r="L2153" s="17" t="e">
        <f>INDEX('реш СГД № 265'!$A:$N,MATCH('БА расх 2018 31 12 2018'!$K2153,'реш СГД № 265'!$N:$N,0),3)</f>
        <v>#N/A</v>
      </c>
    </row>
    <row r="2154" spans="1:13" s="16" customFormat="1" ht="15.75">
      <c r="A2154" s="14"/>
      <c r="B2154" s="125" t="s">
        <v>30</v>
      </c>
      <c r="C2154" s="108" t="s">
        <v>410</v>
      </c>
      <c r="D2154" s="108" t="s">
        <v>86</v>
      </c>
      <c r="E2154" s="108" t="s">
        <v>13</v>
      </c>
      <c r="F2154" s="108" t="s">
        <v>2414</v>
      </c>
      <c r="G2154" s="108" t="s">
        <v>31</v>
      </c>
      <c r="H2154" s="126">
        <v>78294.759999999995</v>
      </c>
      <c r="I2154" s="487" t="s">
        <v>2368</v>
      </c>
      <c r="J2154" s="131" t="str">
        <f t="shared" si="148"/>
        <v>04304S6423</v>
      </c>
      <c r="K2154" s="304" t="str">
        <f t="shared" si="149"/>
        <v>620050304304S6423244</v>
      </c>
      <c r="L2154" s="17"/>
    </row>
    <row r="2155" spans="1:13" s="16" customFormat="1" ht="31.5">
      <c r="A2155" s="14"/>
      <c r="B2155" s="125" t="s">
        <v>1063</v>
      </c>
      <c r="C2155" s="130" t="s">
        <v>410</v>
      </c>
      <c r="D2155" s="131" t="s">
        <v>86</v>
      </c>
      <c r="E2155" s="131" t="s">
        <v>13</v>
      </c>
      <c r="F2155" s="131" t="s">
        <v>2270</v>
      </c>
      <c r="G2155" s="131" t="s">
        <v>9</v>
      </c>
      <c r="H2155" s="105">
        <v>868923.5</v>
      </c>
      <c r="I2155" s="131" t="s">
        <v>2194</v>
      </c>
      <c r="J2155" s="131" t="str">
        <f t="shared" si="141"/>
        <v>04304S7247</v>
      </c>
      <c r="K2155" s="304" t="str">
        <f t="shared" si="140"/>
        <v>620050304304S7247000</v>
      </c>
      <c r="L2155" s="17" t="str">
        <f>INDEX('реш СГД № 265'!$A:$N,MATCH('БА расх 2018 31 12 2018'!$K2155,'реш СГД № 265'!$N:$N,0),3)</f>
        <v>Cтроительство (реконструкция) объектов коммунальной инфраструктуры за счет средств местного бюджета</v>
      </c>
      <c r="M2155" s="16">
        <f t="shared" si="142"/>
        <v>1</v>
      </c>
    </row>
    <row r="2156" spans="1:13" s="16" customFormat="1" ht="15.75">
      <c r="A2156" s="14"/>
      <c r="B2156" s="125" t="s">
        <v>837</v>
      </c>
      <c r="C2156" s="109" t="s">
        <v>410</v>
      </c>
      <c r="D2156" s="108" t="s">
        <v>86</v>
      </c>
      <c r="E2156" s="108" t="s">
        <v>13</v>
      </c>
      <c r="F2156" s="108" t="s">
        <v>2270</v>
      </c>
      <c r="G2156" s="108" t="s">
        <v>838</v>
      </c>
      <c r="H2156" s="126">
        <v>868923.5</v>
      </c>
      <c r="I2156" s="108" t="s">
        <v>2194</v>
      </c>
      <c r="J2156" s="108" t="str">
        <f t="shared" si="141"/>
        <v>04304S7247</v>
      </c>
      <c r="K2156" s="304" t="str">
        <f t="shared" si="140"/>
        <v>620050304304S7247410</v>
      </c>
      <c r="L2156" s="17" t="str">
        <f>INDEX('реш СГД № 265'!$A:$N,MATCH('БА расх 2018 31 12 2018'!$K2156,'реш СГД № 265'!$N:$N,0),3)</f>
        <v xml:space="preserve">Бюджетные инвестиции </v>
      </c>
      <c r="M2156" s="16">
        <f t="shared" si="142"/>
        <v>1</v>
      </c>
    </row>
    <row r="2157" spans="1:13" s="16" customFormat="1" ht="47.25">
      <c r="A2157" s="14"/>
      <c r="B2157" s="125" t="s">
        <v>839</v>
      </c>
      <c r="C2157" s="109" t="s">
        <v>410</v>
      </c>
      <c r="D2157" s="108" t="s">
        <v>86</v>
      </c>
      <c r="E2157" s="108" t="s">
        <v>13</v>
      </c>
      <c r="F2157" s="108" t="s">
        <v>2270</v>
      </c>
      <c r="G2157" s="108" t="s">
        <v>840</v>
      </c>
      <c r="H2157" s="126">
        <v>868923.5</v>
      </c>
      <c r="I2157" s="108" t="s">
        <v>2194</v>
      </c>
      <c r="J2157" s="108" t="str">
        <f t="shared" si="141"/>
        <v>04304S7247</v>
      </c>
      <c r="K2157" s="304" t="str">
        <f t="shared" si="140"/>
        <v>620050304304S7247414</v>
      </c>
      <c r="L2157" s="17"/>
    </row>
    <row r="2158" spans="1:13" s="16" customFormat="1" ht="31.5">
      <c r="A2158" s="14"/>
      <c r="B2158" s="125" t="s">
        <v>1357</v>
      </c>
      <c r="C2158" s="109" t="s">
        <v>410</v>
      </c>
      <c r="D2158" s="108" t="s">
        <v>86</v>
      </c>
      <c r="E2158" s="108" t="s">
        <v>13</v>
      </c>
      <c r="F2158" s="108" t="s">
        <v>1147</v>
      </c>
      <c r="G2158" s="108" t="s">
        <v>9</v>
      </c>
      <c r="H2158" s="126">
        <v>2449997.27</v>
      </c>
      <c r="I2158" s="108" t="s">
        <v>1256</v>
      </c>
      <c r="J2158" s="108" t="str">
        <f t="shared" si="141"/>
        <v>04304S7330</v>
      </c>
      <c r="K2158" s="304" t="str">
        <f t="shared" si="140"/>
        <v>620050304304S7330000</v>
      </c>
      <c r="L2158" s="17" t="str">
        <f>INDEX('реш СГД № 265'!$A:$N,MATCH('БА расх 2018 31 12 2018'!$K2158,'реш СГД № 265'!$N:$N,0),3)</f>
        <v>Реализация мероприятий по благоустройству территорий в городе Ставрополе  за счет средств местного бюджета</v>
      </c>
      <c r="M2158" s="16">
        <f t="shared" si="142"/>
        <v>1</v>
      </c>
    </row>
    <row r="2159" spans="1:13" s="16" customFormat="1" ht="31.5">
      <c r="A2159" s="14"/>
      <c r="B2159" s="125" t="s">
        <v>28</v>
      </c>
      <c r="C2159" s="109" t="s">
        <v>410</v>
      </c>
      <c r="D2159" s="108" t="s">
        <v>86</v>
      </c>
      <c r="E2159" s="108" t="s">
        <v>13</v>
      </c>
      <c r="F2159" s="108" t="s">
        <v>1147</v>
      </c>
      <c r="G2159" s="108" t="s">
        <v>29</v>
      </c>
      <c r="H2159" s="126">
        <v>2449997.27</v>
      </c>
      <c r="I2159" s="131" t="s">
        <v>1256</v>
      </c>
      <c r="J2159" s="131" t="str">
        <f t="shared" si="141"/>
        <v>04304S7330</v>
      </c>
      <c r="K2159" s="304" t="str">
        <f t="shared" si="140"/>
        <v>620050304304S7330240</v>
      </c>
      <c r="L2159" s="17" t="str">
        <f>INDEX('реш СГД № 265'!$A:$N,MATCH('БА расх 2018 31 12 2018'!$K2159,'реш СГД № 265'!$N:$N,0),3)</f>
        <v>Иные закупки товаров, работ и услуг для обеспечения государственных (муниципальных) нужд</v>
      </c>
      <c r="M2159" s="16">
        <f t="shared" si="142"/>
        <v>1</v>
      </c>
    </row>
    <row r="2160" spans="1:13" s="16" customFormat="1" ht="15.75">
      <c r="A2160" s="14"/>
      <c r="B2160" s="125" t="s">
        <v>30</v>
      </c>
      <c r="C2160" s="109" t="s">
        <v>410</v>
      </c>
      <c r="D2160" s="108" t="s">
        <v>86</v>
      </c>
      <c r="E2160" s="108" t="s">
        <v>13</v>
      </c>
      <c r="F2160" s="108" t="s">
        <v>1147</v>
      </c>
      <c r="G2160" s="108" t="s">
        <v>31</v>
      </c>
      <c r="H2160" s="126">
        <v>2449997.27</v>
      </c>
      <c r="I2160" s="131" t="s">
        <v>1256</v>
      </c>
      <c r="J2160" s="131" t="str">
        <f t="shared" si="141"/>
        <v>04304S7330</v>
      </c>
      <c r="K2160" s="304" t="str">
        <f t="shared" si="140"/>
        <v>620050304304S7330244</v>
      </c>
      <c r="L2160" s="17"/>
    </row>
    <row r="2161" spans="1:13" s="16" customFormat="1" ht="47.25">
      <c r="A2161" s="14"/>
      <c r="B2161" s="125" t="s">
        <v>430</v>
      </c>
      <c r="C2161" s="131" t="s">
        <v>410</v>
      </c>
      <c r="D2161" s="131" t="s">
        <v>86</v>
      </c>
      <c r="E2161" s="131" t="s">
        <v>13</v>
      </c>
      <c r="F2161" s="131" t="s">
        <v>431</v>
      </c>
      <c r="G2161" s="131" t="s">
        <v>9</v>
      </c>
      <c r="H2161" s="172">
        <v>6607633.9199999999</v>
      </c>
      <c r="I2161" s="131">
        <v>1700000000</v>
      </c>
      <c r="J2161" s="131" t="str">
        <f t="shared" si="141"/>
        <v>1700000000</v>
      </c>
      <c r="K2161" s="304" t="str">
        <f t="shared" ref="K2161:K2224" si="150">C2161&amp;D2161&amp;E2161&amp;J2161&amp;G2161</f>
        <v>62005031700000000000</v>
      </c>
      <c r="L2161" s="17" t="str">
        <f>INDEX('реш СГД № 265'!$A:$N,MATCH('БА расх 2018 31 12 2018'!$K2161,'реш СГД № 265'!$N:$N,0),3)</f>
        <v>Муниципальная программа «Энергосбережение и повышение энергетической эффективности в городе Ставрополе»</v>
      </c>
      <c r="M2161" s="16">
        <f t="shared" si="142"/>
        <v>1</v>
      </c>
    </row>
    <row r="2162" spans="1:13" s="16" customFormat="1" ht="47.25">
      <c r="A2162" s="14"/>
      <c r="B2162" s="129" t="s">
        <v>432</v>
      </c>
      <c r="C2162" s="131" t="s">
        <v>410</v>
      </c>
      <c r="D2162" s="131" t="s">
        <v>86</v>
      </c>
      <c r="E2162" s="131" t="s">
        <v>13</v>
      </c>
      <c r="F2162" s="131" t="s">
        <v>433</v>
      </c>
      <c r="G2162" s="131" t="s">
        <v>9</v>
      </c>
      <c r="H2162" s="172">
        <v>6607633.9199999999</v>
      </c>
      <c r="I2162" s="131" t="s">
        <v>1198</v>
      </c>
      <c r="J2162" s="131" t="str">
        <f t="shared" ref="J2162:J2225" si="151">TEXT(I2162,"0000000000")</f>
        <v>17Б0000000</v>
      </c>
      <c r="K2162" s="304" t="str">
        <f t="shared" si="150"/>
        <v>620050317Б0000000000</v>
      </c>
      <c r="L2162" s="17" t="str">
        <f>INDEX('реш СГД № 265'!$A:$N,MATCH('БА расх 2018 31 12 2018'!$K2162,'реш СГД № 265'!$N:$N,0),3)</f>
        <v>Расходы в рамках реализации муниципальной программы «Энергосбережение и повышение энергетической эффективности в городе Ставрополе»</v>
      </c>
      <c r="M2162" s="16">
        <f t="shared" ref="M2162:M2225" si="152">IF(B2162=L2162,1,0)</f>
        <v>1</v>
      </c>
    </row>
    <row r="2163" spans="1:13" s="16" customFormat="1" ht="31.5">
      <c r="A2163" s="14"/>
      <c r="B2163" s="129" t="s">
        <v>883</v>
      </c>
      <c r="C2163" s="131" t="s">
        <v>410</v>
      </c>
      <c r="D2163" s="131" t="s">
        <v>86</v>
      </c>
      <c r="E2163" s="131" t="s">
        <v>13</v>
      </c>
      <c r="F2163" s="131" t="s">
        <v>884</v>
      </c>
      <c r="G2163" s="131" t="s">
        <v>9</v>
      </c>
      <c r="H2163" s="172">
        <v>6607633.9199999999</v>
      </c>
      <c r="I2163" s="131" t="s">
        <v>1240</v>
      </c>
      <c r="J2163" s="131" t="str">
        <f t="shared" si="151"/>
        <v>17Б0200000</v>
      </c>
      <c r="K2163" s="304" t="str">
        <f t="shared" si="150"/>
        <v>620050317Б0200000000</v>
      </c>
      <c r="L2163" s="17" t="str">
        <f>INDEX('реш СГД № 265'!$A:$N,MATCH('БА расх 2018 31 12 2018'!$K2163,'реш СГД № 265'!$N:$N,0),3)</f>
        <v>Основное мероприятие «Энергосбережение и энергоэффективность систем коммунальной инфраструктуры»</v>
      </c>
      <c r="M2163" s="16">
        <f t="shared" si="152"/>
        <v>1</v>
      </c>
    </row>
    <row r="2164" spans="1:13" s="16" customFormat="1" ht="31.5">
      <c r="A2164" s="14"/>
      <c r="B2164" s="132" t="s">
        <v>436</v>
      </c>
      <c r="C2164" s="108" t="s">
        <v>410</v>
      </c>
      <c r="D2164" s="108" t="s">
        <v>86</v>
      </c>
      <c r="E2164" s="108" t="s">
        <v>13</v>
      </c>
      <c r="F2164" s="108" t="s">
        <v>885</v>
      </c>
      <c r="G2164" s="108" t="s">
        <v>9</v>
      </c>
      <c r="H2164" s="173">
        <v>6607633.9199999999</v>
      </c>
      <c r="I2164" s="108" t="s">
        <v>1241</v>
      </c>
      <c r="J2164" s="108" t="str">
        <f t="shared" si="151"/>
        <v>17Б0220490</v>
      </c>
      <c r="K2164" s="304" t="str">
        <f t="shared" si="150"/>
        <v>620050317Б0220490000</v>
      </c>
      <c r="L2164" s="17" t="str">
        <f>INDEX('реш СГД № 265'!$A:$N,MATCH('БА расх 2018 31 12 2018'!$K2164,'реш СГД № 265'!$N:$N,0),3)</f>
        <v>Расходы на проведение мероприятий по энергосбережению и повышению энергетической эффективности</v>
      </c>
      <c r="M2164" s="16">
        <f t="shared" si="152"/>
        <v>1</v>
      </c>
    </row>
    <row r="2165" spans="1:13" s="16" customFormat="1" ht="31.5">
      <c r="A2165" s="14"/>
      <c r="B2165" s="125" t="s">
        <v>28</v>
      </c>
      <c r="C2165" s="108" t="s">
        <v>410</v>
      </c>
      <c r="D2165" s="108" t="s">
        <v>86</v>
      </c>
      <c r="E2165" s="108" t="s">
        <v>13</v>
      </c>
      <c r="F2165" s="108" t="s">
        <v>885</v>
      </c>
      <c r="G2165" s="108" t="s">
        <v>29</v>
      </c>
      <c r="H2165" s="126">
        <v>6607633.9199999999</v>
      </c>
      <c r="I2165" s="108" t="s">
        <v>1241</v>
      </c>
      <c r="J2165" s="108" t="str">
        <f t="shared" si="151"/>
        <v>17Б0220490</v>
      </c>
      <c r="K2165" s="304" t="str">
        <f t="shared" si="150"/>
        <v>620050317Б0220490240</v>
      </c>
      <c r="L2165" s="17" t="str">
        <f>INDEX('реш СГД № 265'!$A:$N,MATCH('БА расх 2018 31 12 2018'!$K2165,'реш СГД № 265'!$N:$N,0),3)</f>
        <v>Иные закупки товаров, работ и услуг для обеспечения государственных (муниципальных) нужд</v>
      </c>
      <c r="M2165" s="16">
        <f t="shared" si="152"/>
        <v>1</v>
      </c>
    </row>
    <row r="2166" spans="1:13" s="16" customFormat="1" ht="15.75">
      <c r="A2166" s="14"/>
      <c r="B2166" s="125" t="s">
        <v>30</v>
      </c>
      <c r="C2166" s="108" t="s">
        <v>410</v>
      </c>
      <c r="D2166" s="108" t="s">
        <v>86</v>
      </c>
      <c r="E2166" s="108" t="s">
        <v>13</v>
      </c>
      <c r="F2166" s="108" t="s">
        <v>885</v>
      </c>
      <c r="G2166" s="108" t="s">
        <v>31</v>
      </c>
      <c r="H2166" s="126">
        <v>6607633.9199999999</v>
      </c>
      <c r="I2166" s="108" t="s">
        <v>1241</v>
      </c>
      <c r="J2166" s="108" t="str">
        <f t="shared" si="151"/>
        <v>17Б0220490</v>
      </c>
      <c r="K2166" s="304" t="str">
        <f t="shared" si="150"/>
        <v>620050317Б0220490244</v>
      </c>
      <c r="L2166" s="17"/>
    </row>
    <row r="2167" spans="1:13" s="16" customFormat="1" ht="31.5">
      <c r="A2167" s="14"/>
      <c r="B2167" s="125" t="s">
        <v>886</v>
      </c>
      <c r="C2167" s="108" t="s">
        <v>410</v>
      </c>
      <c r="D2167" s="108" t="s">
        <v>86</v>
      </c>
      <c r="E2167" s="108" t="s">
        <v>13</v>
      </c>
      <c r="F2167" s="108" t="s">
        <v>887</v>
      </c>
      <c r="G2167" s="108" t="s">
        <v>9</v>
      </c>
      <c r="H2167" s="163">
        <v>186576562.67000002</v>
      </c>
      <c r="I2167" s="108">
        <v>2000000000</v>
      </c>
      <c r="J2167" s="108" t="str">
        <f t="shared" si="151"/>
        <v>2000000000</v>
      </c>
      <c r="K2167" s="304" t="str">
        <f t="shared" si="150"/>
        <v>62005032000000000000</v>
      </c>
      <c r="L2167" s="17" t="str">
        <f>INDEX('реш СГД № 265'!$A:$N,MATCH('БА расх 2018 31 12 2018'!$K2167,'реш СГД № 265'!$N:$N,0),3)</f>
        <v>Муниципальная программа «Формирование современной городской среды на территории города Ставрополя»</v>
      </c>
      <c r="M2167" s="16">
        <f t="shared" si="152"/>
        <v>1</v>
      </c>
    </row>
    <row r="2168" spans="1:13" s="16" customFormat="1" ht="47.25">
      <c r="A2168" s="14"/>
      <c r="B2168" s="125" t="s">
        <v>888</v>
      </c>
      <c r="C2168" s="108" t="s">
        <v>410</v>
      </c>
      <c r="D2168" s="108" t="s">
        <v>86</v>
      </c>
      <c r="E2168" s="108" t="s">
        <v>13</v>
      </c>
      <c r="F2168" s="108" t="s">
        <v>889</v>
      </c>
      <c r="G2168" s="108" t="s">
        <v>9</v>
      </c>
      <c r="H2168" s="163">
        <v>186576562.67000002</v>
      </c>
      <c r="I2168" s="108" t="s">
        <v>1242</v>
      </c>
      <c r="J2168" s="108" t="str">
        <f t="shared" si="151"/>
        <v>20Б0000000</v>
      </c>
      <c r="K2168" s="304" t="str">
        <f t="shared" si="150"/>
        <v>620050320Б0000000000</v>
      </c>
      <c r="L2168" s="17" t="str">
        <f>INDEX('реш СГД № 265'!$A:$N,MATCH('БА расх 2018 31 12 2018'!$K2168,'реш СГД № 265'!$N:$N,0),3)</f>
        <v>Расходы в рамках реализации муниципальной программы «Формирование современной городской среды на территории города Ставрополя»</v>
      </c>
      <c r="M2168" s="16">
        <f t="shared" si="152"/>
        <v>1</v>
      </c>
    </row>
    <row r="2169" spans="1:13" s="16" customFormat="1" ht="31.5">
      <c r="A2169" s="14"/>
      <c r="B2169" s="125" t="s">
        <v>890</v>
      </c>
      <c r="C2169" s="108" t="s">
        <v>410</v>
      </c>
      <c r="D2169" s="108" t="s">
        <v>86</v>
      </c>
      <c r="E2169" s="108" t="s">
        <v>13</v>
      </c>
      <c r="F2169" s="108" t="s">
        <v>891</v>
      </c>
      <c r="G2169" s="108" t="s">
        <v>9</v>
      </c>
      <c r="H2169" s="163">
        <v>80283766.489999995</v>
      </c>
      <c r="I2169" s="108" t="s">
        <v>1243</v>
      </c>
      <c r="J2169" s="108" t="str">
        <f t="shared" si="151"/>
        <v>20Б0100000</v>
      </c>
      <c r="K2169" s="304" t="str">
        <f t="shared" si="150"/>
        <v>620050320Б0100000000</v>
      </c>
      <c r="L2169" s="17" t="str">
        <f>INDEX('реш СГД № 265'!$A:$N,MATCH('БА расх 2018 31 12 2018'!$K2169,'реш СГД № 265'!$N:$N,0),3)</f>
        <v>Основное мероприятие «Благоустройство дворовых территорий в городе Ставрополе»</v>
      </c>
      <c r="M2169" s="16">
        <f t="shared" si="152"/>
        <v>1</v>
      </c>
    </row>
    <row r="2170" spans="1:13" s="16" customFormat="1" ht="31.5">
      <c r="A2170" s="14"/>
      <c r="B2170" s="125" t="s">
        <v>1358</v>
      </c>
      <c r="C2170" s="108" t="s">
        <v>410</v>
      </c>
      <c r="D2170" s="108" t="s">
        <v>86</v>
      </c>
      <c r="E2170" s="108" t="s">
        <v>13</v>
      </c>
      <c r="F2170" s="108" t="s">
        <v>893</v>
      </c>
      <c r="G2170" s="108" t="s">
        <v>9</v>
      </c>
      <c r="H2170" s="163">
        <v>80283766.489999995</v>
      </c>
      <c r="I2170" s="108" t="s">
        <v>1244</v>
      </c>
      <c r="J2170" s="108" t="str">
        <f t="shared" si="151"/>
        <v>20Б01L5550</v>
      </c>
      <c r="K2170" s="304" t="str">
        <f t="shared" si="150"/>
        <v>620050320Б01L5550000</v>
      </c>
      <c r="L2170" s="132" t="str">
        <f>INDEX('реш СГД № 265'!$A:$N,MATCH('БА расх 2018 31 12 2018'!$K2170,'реш СГД № 265'!$N:$N,0),3)</f>
        <v>Поддержка муниципальных программ формирования современной городской среды</v>
      </c>
      <c r="M2170" s="17">
        <f t="shared" si="152"/>
        <v>1</v>
      </c>
    </row>
    <row r="2171" spans="1:13" s="16" customFormat="1" ht="31.5">
      <c r="A2171" s="14"/>
      <c r="B2171" s="125" t="s">
        <v>28</v>
      </c>
      <c r="C2171" s="108" t="s">
        <v>410</v>
      </c>
      <c r="D2171" s="108" t="s">
        <v>86</v>
      </c>
      <c r="E2171" s="108" t="s">
        <v>13</v>
      </c>
      <c r="F2171" s="108" t="s">
        <v>893</v>
      </c>
      <c r="G2171" s="108" t="s">
        <v>29</v>
      </c>
      <c r="H2171" s="126">
        <v>80283766.489999995</v>
      </c>
      <c r="I2171" s="108" t="s">
        <v>1244</v>
      </c>
      <c r="J2171" s="108" t="str">
        <f t="shared" si="151"/>
        <v>20Б01L5550</v>
      </c>
      <c r="K2171" s="304" t="str">
        <f t="shared" si="150"/>
        <v>620050320Б01L5550240</v>
      </c>
      <c r="L2171" s="17" t="str">
        <f>INDEX('реш СГД № 265'!$A:$N,MATCH('БА расх 2018 31 12 2018'!$K2171,'реш СГД № 265'!$N:$N,0),3)</f>
        <v>Иные закупки товаров, работ и услуг для обеспечения государственных (муниципальных) нужд</v>
      </c>
      <c r="M2171" s="16">
        <f t="shared" si="152"/>
        <v>1</v>
      </c>
    </row>
    <row r="2172" spans="1:13" s="16" customFormat="1" ht="15.75">
      <c r="A2172" s="14"/>
      <c r="B2172" s="125" t="s">
        <v>30</v>
      </c>
      <c r="C2172" s="108" t="s">
        <v>410</v>
      </c>
      <c r="D2172" s="108" t="s">
        <v>86</v>
      </c>
      <c r="E2172" s="108" t="s">
        <v>13</v>
      </c>
      <c r="F2172" s="108" t="s">
        <v>893</v>
      </c>
      <c r="G2172" s="108" t="s">
        <v>31</v>
      </c>
      <c r="H2172" s="126">
        <v>80283766.489999995</v>
      </c>
      <c r="I2172" s="108" t="s">
        <v>1244</v>
      </c>
      <c r="J2172" s="108" t="str">
        <f t="shared" si="151"/>
        <v>20Б01L5550</v>
      </c>
      <c r="K2172" s="304" t="str">
        <f t="shared" si="150"/>
        <v>620050320Б01L5550244</v>
      </c>
      <c r="L2172" s="17"/>
    </row>
    <row r="2173" spans="1:13" s="16" customFormat="1" ht="31.5">
      <c r="A2173" s="14"/>
      <c r="B2173" s="125" t="s">
        <v>894</v>
      </c>
      <c r="C2173" s="108" t="s">
        <v>410</v>
      </c>
      <c r="D2173" s="108" t="s">
        <v>86</v>
      </c>
      <c r="E2173" s="108" t="s">
        <v>13</v>
      </c>
      <c r="F2173" s="108" t="s">
        <v>895</v>
      </c>
      <c r="G2173" s="108" t="s">
        <v>9</v>
      </c>
      <c r="H2173" s="163">
        <v>105582796.18000001</v>
      </c>
      <c r="I2173" s="108" t="s">
        <v>1245</v>
      </c>
      <c r="J2173" s="108" t="str">
        <f t="shared" si="151"/>
        <v>20Б0200000</v>
      </c>
      <c r="K2173" s="304" t="str">
        <f t="shared" si="150"/>
        <v>620050320Б0200000000</v>
      </c>
      <c r="L2173" s="17" t="str">
        <f>INDEX('реш СГД № 265'!$A:$N,MATCH('БА расх 2018 31 12 2018'!$K2173,'реш СГД № 265'!$N:$N,0),3)</f>
        <v>Основное мероприятие «Благоустройство общественных территорий в городе Ставрополе»</v>
      </c>
      <c r="M2173" s="16">
        <f t="shared" si="152"/>
        <v>1</v>
      </c>
    </row>
    <row r="2174" spans="1:13" s="16" customFormat="1" ht="31.5">
      <c r="A2174" s="14"/>
      <c r="B2174" s="125" t="s">
        <v>1358</v>
      </c>
      <c r="C2174" s="108" t="s">
        <v>410</v>
      </c>
      <c r="D2174" s="108" t="s">
        <v>86</v>
      </c>
      <c r="E2174" s="108" t="s">
        <v>13</v>
      </c>
      <c r="F2174" s="108" t="s">
        <v>896</v>
      </c>
      <c r="G2174" s="108" t="s">
        <v>9</v>
      </c>
      <c r="H2174" s="163">
        <v>105582796.18000001</v>
      </c>
      <c r="I2174" s="108" t="s">
        <v>1246</v>
      </c>
      <c r="J2174" s="108" t="str">
        <f t="shared" si="151"/>
        <v>20Б02L5550</v>
      </c>
      <c r="K2174" s="304" t="str">
        <f t="shared" si="150"/>
        <v>620050320Б02L5550000</v>
      </c>
      <c r="L2174" s="132" t="str">
        <f>INDEX('реш СГД № 265'!$A:$N,MATCH('БА расх 2018 31 12 2018'!$K2174,'реш СГД № 265'!$N:$N,0),3)</f>
        <v>Поддержка муниципальных программ формирования современной городской среды</v>
      </c>
      <c r="M2174" s="17">
        <f t="shared" si="152"/>
        <v>1</v>
      </c>
    </row>
    <row r="2175" spans="1:13" s="16" customFormat="1" ht="31.5">
      <c r="A2175" s="14"/>
      <c r="B2175" s="125" t="s">
        <v>28</v>
      </c>
      <c r="C2175" s="108" t="s">
        <v>410</v>
      </c>
      <c r="D2175" s="108" t="s">
        <v>86</v>
      </c>
      <c r="E2175" s="108" t="s">
        <v>13</v>
      </c>
      <c r="F2175" s="108" t="s">
        <v>896</v>
      </c>
      <c r="G2175" s="108" t="s">
        <v>29</v>
      </c>
      <c r="H2175" s="126">
        <v>105582796.18000001</v>
      </c>
      <c r="I2175" s="108" t="s">
        <v>1246</v>
      </c>
      <c r="J2175" s="108" t="str">
        <f t="shared" si="151"/>
        <v>20Б02L5550</v>
      </c>
      <c r="K2175" s="304" t="str">
        <f t="shared" si="150"/>
        <v>620050320Б02L5550240</v>
      </c>
      <c r="L2175" s="17" t="str">
        <f>INDEX('реш СГД № 265'!$A:$N,MATCH('БА расх 2018 31 12 2018'!$K2175,'реш СГД № 265'!$N:$N,0),3)</f>
        <v>Иные закупки товаров, работ и услуг для обеспечения государственных (муниципальных) нужд</v>
      </c>
      <c r="M2175" s="16">
        <f t="shared" si="152"/>
        <v>1</v>
      </c>
    </row>
    <row r="2176" spans="1:13" s="16" customFormat="1" ht="15.75">
      <c r="A2176" s="14"/>
      <c r="B2176" s="125" t="s">
        <v>30</v>
      </c>
      <c r="C2176" s="108" t="s">
        <v>410</v>
      </c>
      <c r="D2176" s="108" t="s">
        <v>86</v>
      </c>
      <c r="E2176" s="108" t="s">
        <v>13</v>
      </c>
      <c r="F2176" s="108" t="s">
        <v>896</v>
      </c>
      <c r="G2176" s="108" t="s">
        <v>31</v>
      </c>
      <c r="H2176" s="126">
        <v>105582796.18000001</v>
      </c>
      <c r="I2176" s="108" t="s">
        <v>1246</v>
      </c>
      <c r="J2176" s="108" t="str">
        <f t="shared" si="151"/>
        <v>20Б02L5550</v>
      </c>
      <c r="K2176" s="304" t="str">
        <f t="shared" si="150"/>
        <v>620050320Б02L5550244</v>
      </c>
      <c r="L2176" s="17"/>
    </row>
    <row r="2177" spans="1:13" s="16" customFormat="1" ht="141.75">
      <c r="A2177" s="14"/>
      <c r="B2177" s="125" t="s">
        <v>1359</v>
      </c>
      <c r="C2177" s="108" t="s">
        <v>410</v>
      </c>
      <c r="D2177" s="108" t="s">
        <v>86</v>
      </c>
      <c r="E2177" s="108" t="s">
        <v>13</v>
      </c>
      <c r="F2177" s="108" t="s">
        <v>898</v>
      </c>
      <c r="G2177" s="108" t="s">
        <v>9</v>
      </c>
      <c r="H2177" s="141">
        <v>710000</v>
      </c>
      <c r="I2177" s="108" t="s">
        <v>1247</v>
      </c>
      <c r="J2177" s="108" t="str">
        <f t="shared" si="151"/>
        <v>20Б0300000</v>
      </c>
      <c r="K2177" s="304" t="str">
        <f t="shared" si="150"/>
        <v>620050320Б0300000000</v>
      </c>
      <c r="L2177" s="132" t="str">
        <f>INDEX('реш СГД № 265'!$A:$N,MATCH('БА расх 2018 31 12 2018'!$K2177,'реш СГД № 265'!$N:$N,0),3)</f>
        <v>Основное мероприятие «Разработка дизайн-проектов благоустройства дворовых и общественных территорий в городе Ставрополе, разработка сметной документации на выполнение работ по благоустройству дворовых и общественных территорий в городе Ставрополе (в том числе проведение проверки правильности применения сметных нормативов, индексов и методологии выполнения сметной документации на благоустройство дворовых и общественных территорий в городе Ставрополе)»</v>
      </c>
      <c r="M2177" s="17">
        <f t="shared" si="152"/>
        <v>1</v>
      </c>
    </row>
    <row r="2178" spans="1:13" s="16" customFormat="1" ht="31.5">
      <c r="A2178" s="14"/>
      <c r="B2178" s="307" t="s">
        <v>542</v>
      </c>
      <c r="C2178" s="108" t="s">
        <v>410</v>
      </c>
      <c r="D2178" s="108" t="s">
        <v>86</v>
      </c>
      <c r="E2178" s="108" t="s">
        <v>13</v>
      </c>
      <c r="F2178" s="108" t="s">
        <v>899</v>
      </c>
      <c r="G2178" s="108" t="s">
        <v>9</v>
      </c>
      <c r="H2178" s="141">
        <v>710000</v>
      </c>
      <c r="I2178" s="108" t="s">
        <v>1248</v>
      </c>
      <c r="J2178" s="108" t="str">
        <f t="shared" si="151"/>
        <v>20Б0320300</v>
      </c>
      <c r="K2178" s="304" t="str">
        <f t="shared" si="150"/>
        <v>620050320Б0320300000</v>
      </c>
      <c r="L2178" s="17" t="str">
        <f>INDEX('реш СГД № 265'!$A:$N,MATCH('БА расх 2018 31 12 2018'!$K2178,'реш СГД № 265'!$N:$N,0),3)</f>
        <v>Расходы на прочие мероприятия по благоустройству территории города Ставрополя</v>
      </c>
      <c r="M2178" s="16">
        <f t="shared" si="152"/>
        <v>1</v>
      </c>
    </row>
    <row r="2179" spans="1:13" s="16" customFormat="1" ht="31.5">
      <c r="A2179" s="14"/>
      <c r="B2179" s="307" t="s">
        <v>28</v>
      </c>
      <c r="C2179" s="108" t="s">
        <v>410</v>
      </c>
      <c r="D2179" s="108" t="s">
        <v>86</v>
      </c>
      <c r="E2179" s="108" t="s">
        <v>13</v>
      </c>
      <c r="F2179" s="108" t="s">
        <v>899</v>
      </c>
      <c r="G2179" s="108" t="s">
        <v>29</v>
      </c>
      <c r="H2179" s="126">
        <v>710000</v>
      </c>
      <c r="I2179" s="108" t="s">
        <v>1248</v>
      </c>
      <c r="J2179" s="108" t="str">
        <f t="shared" si="151"/>
        <v>20Б0320300</v>
      </c>
      <c r="K2179" s="304" t="str">
        <f t="shared" si="150"/>
        <v>620050320Б0320300240</v>
      </c>
      <c r="L2179" s="17" t="str">
        <f>INDEX('реш СГД № 265'!$A:$N,MATCH('БА расх 2018 31 12 2018'!$K2179,'реш СГД № 265'!$N:$N,0),3)</f>
        <v>Иные закупки товаров, работ и услуг для обеспечения государственных (муниципальных) нужд</v>
      </c>
      <c r="M2179" s="16">
        <f t="shared" si="152"/>
        <v>1</v>
      </c>
    </row>
    <row r="2180" spans="1:13" s="16" customFormat="1" ht="15.75">
      <c r="A2180" s="14"/>
      <c r="B2180" s="125" t="s">
        <v>30</v>
      </c>
      <c r="C2180" s="108" t="s">
        <v>410</v>
      </c>
      <c r="D2180" s="108" t="s">
        <v>86</v>
      </c>
      <c r="E2180" s="108" t="s">
        <v>13</v>
      </c>
      <c r="F2180" s="108" t="s">
        <v>899</v>
      </c>
      <c r="G2180" s="108" t="s">
        <v>31</v>
      </c>
      <c r="H2180" s="126">
        <v>710000</v>
      </c>
      <c r="I2180" s="108" t="s">
        <v>1248</v>
      </c>
      <c r="J2180" s="108" t="str">
        <f t="shared" si="151"/>
        <v>20Б0320300</v>
      </c>
      <c r="K2180" s="304" t="str">
        <f t="shared" si="150"/>
        <v>620050320Б0320300244</v>
      </c>
      <c r="L2180" s="17"/>
    </row>
    <row r="2181" spans="1:13" s="16" customFormat="1" ht="31.5">
      <c r="A2181" s="14"/>
      <c r="B2181" s="121" t="s">
        <v>313</v>
      </c>
      <c r="C2181" s="122" t="s">
        <v>410</v>
      </c>
      <c r="D2181" s="123" t="s">
        <v>86</v>
      </c>
      <c r="E2181" s="123" t="s">
        <v>86</v>
      </c>
      <c r="F2181" s="123" t="s">
        <v>8</v>
      </c>
      <c r="G2181" s="123" t="s">
        <v>9</v>
      </c>
      <c r="H2181" s="124">
        <v>50173676.689999998</v>
      </c>
      <c r="I2181" s="123">
        <v>0</v>
      </c>
      <c r="J2181" s="123" t="str">
        <f t="shared" si="151"/>
        <v>0000000000</v>
      </c>
      <c r="K2181" s="304" t="str">
        <f t="shared" si="150"/>
        <v>62005050000000000000</v>
      </c>
      <c r="L2181" s="17" t="str">
        <f>INDEX('реш СГД № 265'!$A:$N,MATCH('БА расх 2018 31 12 2018'!$K2181,'реш СГД № 265'!$N:$N,0),3)</f>
        <v>Другие вопросы в области жилищно-коммунального хозяйства</v>
      </c>
      <c r="M2181" s="16">
        <f t="shared" si="152"/>
        <v>1</v>
      </c>
    </row>
    <row r="2182" spans="1:13" s="16" customFormat="1" ht="31.5">
      <c r="A2182" s="14"/>
      <c r="B2182" s="125" t="s">
        <v>806</v>
      </c>
      <c r="C2182" s="108" t="s">
        <v>410</v>
      </c>
      <c r="D2182" s="108" t="s">
        <v>86</v>
      </c>
      <c r="E2182" s="108" t="s">
        <v>86</v>
      </c>
      <c r="F2182" s="108" t="s">
        <v>807</v>
      </c>
      <c r="G2182" s="108" t="s">
        <v>9</v>
      </c>
      <c r="H2182" s="163">
        <v>50173676.689999998</v>
      </c>
      <c r="I2182" s="108">
        <v>8300000000</v>
      </c>
      <c r="J2182" s="108" t="str">
        <f t="shared" si="151"/>
        <v>8300000000</v>
      </c>
      <c r="K2182" s="304" t="str">
        <f t="shared" si="150"/>
        <v>62005058300000000000</v>
      </c>
      <c r="L2182" s="17" t="str">
        <f>INDEX('реш СГД № 265'!$A:$N,MATCH('БА расх 2018 31 12 2018'!$K2182,'реш СГД № 265'!$N:$N,0),3)</f>
        <v>Обеспечение деятельности комитета городского хозяйства администрации города Ставрополя</v>
      </c>
      <c r="M2182" s="16">
        <f t="shared" si="152"/>
        <v>1</v>
      </c>
    </row>
    <row r="2183" spans="1:13" s="16" customFormat="1" ht="47.25">
      <c r="A2183" s="14"/>
      <c r="B2183" s="125" t="s">
        <v>808</v>
      </c>
      <c r="C2183" s="108" t="s">
        <v>410</v>
      </c>
      <c r="D2183" s="108" t="s">
        <v>86</v>
      </c>
      <c r="E2183" s="108" t="s">
        <v>86</v>
      </c>
      <c r="F2183" s="108" t="s">
        <v>809</v>
      </c>
      <c r="G2183" s="108" t="s">
        <v>9</v>
      </c>
      <c r="H2183" s="163">
        <v>50173676.689999998</v>
      </c>
      <c r="I2183" s="108">
        <v>8310000000</v>
      </c>
      <c r="J2183" s="108" t="str">
        <f t="shared" si="151"/>
        <v>8310000000</v>
      </c>
      <c r="K2183" s="304" t="str">
        <f t="shared" si="150"/>
        <v>62005058310000000000</v>
      </c>
      <c r="L2183" s="17" t="str">
        <f>INDEX('реш СГД № 265'!$A:$N,MATCH('БА расх 2018 31 12 2018'!$K2183,'реш СГД № 265'!$N:$N,0),3)</f>
        <v>Непрограммные расходы в рамках обеспечения деятельности комитета городского хозяйства администрации города Ставрополя</v>
      </c>
      <c r="M2183" s="16">
        <f t="shared" si="152"/>
        <v>1</v>
      </c>
    </row>
    <row r="2184" spans="1:13" s="16" customFormat="1" ht="31.5">
      <c r="A2184" s="14"/>
      <c r="B2184" s="125" t="s">
        <v>18</v>
      </c>
      <c r="C2184" s="108" t="s">
        <v>410</v>
      </c>
      <c r="D2184" s="108" t="s">
        <v>86</v>
      </c>
      <c r="E2184" s="108" t="s">
        <v>86</v>
      </c>
      <c r="F2184" s="108" t="s">
        <v>900</v>
      </c>
      <c r="G2184" s="108" t="s">
        <v>9</v>
      </c>
      <c r="H2184" s="163">
        <v>6724455.1500000004</v>
      </c>
      <c r="I2184" s="108">
        <v>8310010010</v>
      </c>
      <c r="J2184" s="108" t="str">
        <f t="shared" si="151"/>
        <v>8310010010</v>
      </c>
      <c r="K2184" s="304" t="str">
        <f t="shared" si="150"/>
        <v>62005058310010010000</v>
      </c>
      <c r="L2184" s="17" t="str">
        <f>INDEX('реш СГД № 265'!$A:$N,MATCH('БА расх 2018 31 12 2018'!$K2184,'реш СГД № 265'!$N:$N,0),3)</f>
        <v>Расходы на обеспечение функций органов местного самоуправления города Ставрополя</v>
      </c>
      <c r="M2184" s="16">
        <f t="shared" si="152"/>
        <v>1</v>
      </c>
    </row>
    <row r="2185" spans="1:13" s="16" customFormat="1" ht="31.5">
      <c r="A2185" s="14"/>
      <c r="B2185" s="127" t="s">
        <v>20</v>
      </c>
      <c r="C2185" s="108" t="s">
        <v>410</v>
      </c>
      <c r="D2185" s="108" t="s">
        <v>86</v>
      </c>
      <c r="E2185" s="108" t="s">
        <v>86</v>
      </c>
      <c r="F2185" s="108" t="s">
        <v>900</v>
      </c>
      <c r="G2185" s="108" t="s">
        <v>21</v>
      </c>
      <c r="H2185" s="126">
        <v>1182760</v>
      </c>
      <c r="I2185" s="108">
        <v>8310010010</v>
      </c>
      <c r="J2185" s="108" t="str">
        <f t="shared" si="151"/>
        <v>8310010010</v>
      </c>
      <c r="K2185" s="304" t="str">
        <f t="shared" si="150"/>
        <v>62005058310010010120</v>
      </c>
      <c r="L2185" s="17" t="str">
        <f>INDEX('реш СГД № 265'!$A:$N,MATCH('БА расх 2018 31 12 2018'!$K2185,'реш СГД № 265'!$N:$N,0),3)</f>
        <v>Расходы на выплаты персоналу государственных (муниципальных) органов</v>
      </c>
      <c r="M2185" s="16">
        <f t="shared" si="152"/>
        <v>1</v>
      </c>
    </row>
    <row r="2186" spans="1:13" s="23" customFormat="1" ht="31.5">
      <c r="A2186" s="21"/>
      <c r="B2186" s="127" t="s">
        <v>22</v>
      </c>
      <c r="C2186" s="108" t="s">
        <v>410</v>
      </c>
      <c r="D2186" s="108" t="s">
        <v>86</v>
      </c>
      <c r="E2186" s="108" t="s">
        <v>86</v>
      </c>
      <c r="F2186" s="108" t="s">
        <v>900</v>
      </c>
      <c r="G2186" s="108" t="s">
        <v>23</v>
      </c>
      <c r="H2186" s="126">
        <v>908442.5</v>
      </c>
      <c r="I2186" s="108">
        <v>8310010010</v>
      </c>
      <c r="J2186" s="108" t="str">
        <f t="shared" si="151"/>
        <v>8310010010</v>
      </c>
      <c r="K2186" s="304" t="str">
        <f t="shared" si="150"/>
        <v>62005058310010010122</v>
      </c>
      <c r="L2186" s="17"/>
      <c r="M2186" s="16"/>
    </row>
    <row r="2187" spans="1:13" s="23" customFormat="1" ht="47.25">
      <c r="A2187" s="21"/>
      <c r="B2187" s="127" t="s">
        <v>26</v>
      </c>
      <c r="C2187" s="108" t="s">
        <v>410</v>
      </c>
      <c r="D2187" s="108" t="s">
        <v>86</v>
      </c>
      <c r="E2187" s="108" t="s">
        <v>86</v>
      </c>
      <c r="F2187" s="108" t="s">
        <v>900</v>
      </c>
      <c r="G2187" s="108" t="s">
        <v>27</v>
      </c>
      <c r="H2187" s="126">
        <v>274317.5</v>
      </c>
      <c r="I2187" s="108">
        <v>8310010010</v>
      </c>
      <c r="J2187" s="108" t="str">
        <f t="shared" si="151"/>
        <v>8310010010</v>
      </c>
      <c r="K2187" s="304" t="str">
        <f t="shared" si="150"/>
        <v>62005058310010010129</v>
      </c>
      <c r="L2187" s="17"/>
      <c r="M2187" s="16"/>
    </row>
    <row r="2188" spans="1:13" s="16" customFormat="1" ht="31.5">
      <c r="A2188" s="14"/>
      <c r="B2188" s="125" t="s">
        <v>28</v>
      </c>
      <c r="C2188" s="108" t="s">
        <v>410</v>
      </c>
      <c r="D2188" s="108" t="s">
        <v>86</v>
      </c>
      <c r="E2188" s="108" t="s">
        <v>86</v>
      </c>
      <c r="F2188" s="108" t="s">
        <v>900</v>
      </c>
      <c r="G2188" s="108" t="s">
        <v>29</v>
      </c>
      <c r="H2188" s="126">
        <v>5511459.2800000003</v>
      </c>
      <c r="I2188" s="108">
        <v>8310010010</v>
      </c>
      <c r="J2188" s="108" t="str">
        <f t="shared" si="151"/>
        <v>8310010010</v>
      </c>
      <c r="K2188" s="304" t="str">
        <f t="shared" si="150"/>
        <v>62005058310010010240</v>
      </c>
      <c r="L2188" s="17" t="str">
        <f>INDEX('реш СГД № 265'!$A:$N,MATCH('БА расх 2018 31 12 2018'!$K2188,'реш СГД № 265'!$N:$N,0),3)</f>
        <v>Иные закупки товаров, работ и услуг для обеспечения государственных (муниципальных) нужд</v>
      </c>
      <c r="M2188" s="16">
        <f t="shared" si="152"/>
        <v>1</v>
      </c>
    </row>
    <row r="2189" spans="1:13" s="16" customFormat="1" ht="15.75">
      <c r="A2189" s="14"/>
      <c r="B2189" s="125" t="s">
        <v>30</v>
      </c>
      <c r="C2189" s="108" t="s">
        <v>410</v>
      </c>
      <c r="D2189" s="108" t="s">
        <v>86</v>
      </c>
      <c r="E2189" s="108" t="s">
        <v>86</v>
      </c>
      <c r="F2189" s="108" t="s">
        <v>900</v>
      </c>
      <c r="G2189" s="108" t="s">
        <v>31</v>
      </c>
      <c r="H2189" s="126">
        <v>5511459.2800000003</v>
      </c>
      <c r="I2189" s="108">
        <v>8310010010</v>
      </c>
      <c r="J2189" s="108" t="str">
        <f t="shared" si="151"/>
        <v>8310010010</v>
      </c>
      <c r="K2189" s="304" t="str">
        <f t="shared" si="150"/>
        <v>62005058310010010244</v>
      </c>
      <c r="L2189" s="17"/>
    </row>
    <row r="2190" spans="1:13" s="16" customFormat="1" ht="15.75">
      <c r="A2190" s="14"/>
      <c r="B2190" s="125" t="s">
        <v>32</v>
      </c>
      <c r="C2190" s="108" t="s">
        <v>410</v>
      </c>
      <c r="D2190" s="108" t="s">
        <v>86</v>
      </c>
      <c r="E2190" s="108" t="s">
        <v>86</v>
      </c>
      <c r="F2190" s="108" t="s">
        <v>900</v>
      </c>
      <c r="G2190" s="108" t="s">
        <v>33</v>
      </c>
      <c r="H2190" s="126">
        <v>30235.870000000003</v>
      </c>
      <c r="I2190" s="108">
        <v>8310010010</v>
      </c>
      <c r="J2190" s="108" t="str">
        <f t="shared" si="151"/>
        <v>8310010010</v>
      </c>
      <c r="K2190" s="304" t="str">
        <f t="shared" si="150"/>
        <v>62005058310010010850</v>
      </c>
      <c r="L2190" s="17" t="str">
        <f>INDEX('реш СГД № 265'!$A:$N,MATCH('БА расх 2018 31 12 2018'!$K2190,'реш СГД № 265'!$N:$N,0),3)</f>
        <v>Уплата налогов, сборов и иных платежей</v>
      </c>
      <c r="M2190" s="16">
        <f t="shared" si="152"/>
        <v>1</v>
      </c>
    </row>
    <row r="2191" spans="1:13" s="23" customFormat="1" ht="31.5">
      <c r="A2191" s="21"/>
      <c r="B2191" s="127" t="s">
        <v>34</v>
      </c>
      <c r="C2191" s="108" t="s">
        <v>410</v>
      </c>
      <c r="D2191" s="108" t="s">
        <v>86</v>
      </c>
      <c r="E2191" s="108" t="s">
        <v>86</v>
      </c>
      <c r="F2191" s="108" t="s">
        <v>900</v>
      </c>
      <c r="G2191" s="108" t="s">
        <v>35</v>
      </c>
      <c r="H2191" s="126">
        <v>12846.44</v>
      </c>
      <c r="I2191" s="108">
        <v>8310010010</v>
      </c>
      <c r="J2191" s="108" t="str">
        <f t="shared" si="151"/>
        <v>8310010010</v>
      </c>
      <c r="K2191" s="304" t="str">
        <f t="shared" si="150"/>
        <v>62005058310010010851</v>
      </c>
      <c r="L2191" s="17"/>
      <c r="M2191" s="16"/>
    </row>
    <row r="2192" spans="1:13" s="23" customFormat="1" ht="15.75">
      <c r="A2192" s="21"/>
      <c r="B2192" s="127" t="s">
        <v>36</v>
      </c>
      <c r="C2192" s="108" t="s">
        <v>410</v>
      </c>
      <c r="D2192" s="108" t="s">
        <v>86</v>
      </c>
      <c r="E2192" s="108" t="s">
        <v>86</v>
      </c>
      <c r="F2192" s="108" t="s">
        <v>900</v>
      </c>
      <c r="G2192" s="108" t="s">
        <v>37</v>
      </c>
      <c r="H2192" s="126">
        <v>17156.25</v>
      </c>
      <c r="I2192" s="108">
        <v>8310010010</v>
      </c>
      <c r="J2192" s="108" t="str">
        <f t="shared" si="151"/>
        <v>8310010010</v>
      </c>
      <c r="K2192" s="304" t="str">
        <f t="shared" si="150"/>
        <v>62005058310010010852</v>
      </c>
      <c r="L2192" s="17"/>
      <c r="M2192" s="16"/>
    </row>
    <row r="2193" spans="1:13" s="23" customFormat="1" ht="15.75">
      <c r="A2193" s="21"/>
      <c r="B2193" s="127" t="s">
        <v>77</v>
      </c>
      <c r="C2193" s="108" t="s">
        <v>410</v>
      </c>
      <c r="D2193" s="108" t="s">
        <v>86</v>
      </c>
      <c r="E2193" s="108" t="s">
        <v>86</v>
      </c>
      <c r="F2193" s="108" t="s">
        <v>900</v>
      </c>
      <c r="G2193" s="108" t="s">
        <v>78</v>
      </c>
      <c r="H2193" s="126">
        <v>233.18</v>
      </c>
      <c r="I2193" s="108">
        <v>8310010010</v>
      </c>
      <c r="J2193" s="108" t="str">
        <f t="shared" si="151"/>
        <v>8310010010</v>
      </c>
      <c r="K2193" s="304" t="str">
        <f t="shared" si="150"/>
        <v>62005058310010010853</v>
      </c>
      <c r="L2193" s="17"/>
      <c r="M2193" s="16"/>
    </row>
    <row r="2194" spans="1:13" s="16" customFormat="1" ht="31.5">
      <c r="A2194" s="14"/>
      <c r="B2194" s="125" t="s">
        <v>38</v>
      </c>
      <c r="C2194" s="108" t="s">
        <v>410</v>
      </c>
      <c r="D2194" s="108" t="s">
        <v>86</v>
      </c>
      <c r="E2194" s="108" t="s">
        <v>86</v>
      </c>
      <c r="F2194" s="108" t="s">
        <v>901</v>
      </c>
      <c r="G2194" s="108" t="s">
        <v>9</v>
      </c>
      <c r="H2194" s="126">
        <v>42075763.149999999</v>
      </c>
      <c r="I2194" s="108">
        <v>8310010020</v>
      </c>
      <c r="J2194" s="108" t="str">
        <f t="shared" si="151"/>
        <v>8310010020</v>
      </c>
      <c r="K2194" s="304" t="str">
        <f t="shared" si="150"/>
        <v>62005058310010020000</v>
      </c>
      <c r="L2194" s="17" t="str">
        <f>INDEX('реш СГД № 265'!$A:$N,MATCH('БА расх 2018 31 12 2018'!$K2194,'реш СГД № 265'!$N:$N,0),3)</f>
        <v>Расходы на выплаты по оплате труда работников органов местного самоуправления города Ставрополя</v>
      </c>
      <c r="M2194" s="16">
        <f t="shared" si="152"/>
        <v>1</v>
      </c>
    </row>
    <row r="2195" spans="1:13" s="16" customFormat="1" ht="31.5">
      <c r="A2195" s="14"/>
      <c r="B2195" s="127" t="s">
        <v>20</v>
      </c>
      <c r="C2195" s="108" t="s">
        <v>410</v>
      </c>
      <c r="D2195" s="108" t="s">
        <v>86</v>
      </c>
      <c r="E2195" s="108" t="s">
        <v>86</v>
      </c>
      <c r="F2195" s="108" t="s">
        <v>901</v>
      </c>
      <c r="G2195" s="108" t="s">
        <v>21</v>
      </c>
      <c r="H2195" s="126">
        <v>42075763.149999999</v>
      </c>
      <c r="I2195" s="108">
        <v>8310010020</v>
      </c>
      <c r="J2195" s="108" t="str">
        <f t="shared" si="151"/>
        <v>8310010020</v>
      </c>
      <c r="K2195" s="304" t="str">
        <f t="shared" si="150"/>
        <v>62005058310010020120</v>
      </c>
      <c r="L2195" s="17" t="str">
        <f>INDEX('реш СГД № 265'!$A:$N,MATCH('БА расх 2018 31 12 2018'!$K2195,'реш СГД № 265'!$N:$N,0),3)</f>
        <v>Расходы на выплаты персоналу государственных (муниципальных) органов</v>
      </c>
      <c r="M2195" s="16">
        <f t="shared" si="152"/>
        <v>1</v>
      </c>
    </row>
    <row r="2196" spans="1:13" s="23" customFormat="1" ht="31.5">
      <c r="A2196" s="21"/>
      <c r="B2196" s="127" t="s">
        <v>40</v>
      </c>
      <c r="C2196" s="108" t="s">
        <v>410</v>
      </c>
      <c r="D2196" s="108" t="s">
        <v>86</v>
      </c>
      <c r="E2196" s="108" t="s">
        <v>86</v>
      </c>
      <c r="F2196" s="108" t="s">
        <v>901</v>
      </c>
      <c r="G2196" s="108" t="s">
        <v>41</v>
      </c>
      <c r="H2196" s="126">
        <v>32473320.109999999</v>
      </c>
      <c r="I2196" s="108">
        <v>8310010020</v>
      </c>
      <c r="J2196" s="108" t="str">
        <f t="shared" si="151"/>
        <v>8310010020</v>
      </c>
      <c r="K2196" s="304" t="str">
        <f t="shared" si="150"/>
        <v>62005058310010020121</v>
      </c>
      <c r="L2196" s="17"/>
      <c r="M2196" s="16"/>
    </row>
    <row r="2197" spans="1:13" s="23" customFormat="1" ht="47.25">
      <c r="A2197" s="21"/>
      <c r="B2197" s="127" t="s">
        <v>26</v>
      </c>
      <c r="C2197" s="108" t="s">
        <v>410</v>
      </c>
      <c r="D2197" s="108" t="s">
        <v>86</v>
      </c>
      <c r="E2197" s="108" t="s">
        <v>86</v>
      </c>
      <c r="F2197" s="108" t="s">
        <v>901</v>
      </c>
      <c r="G2197" s="108" t="s">
        <v>27</v>
      </c>
      <c r="H2197" s="126">
        <v>9602443.0399999991</v>
      </c>
      <c r="I2197" s="108">
        <v>8310010020</v>
      </c>
      <c r="J2197" s="108" t="str">
        <f t="shared" si="151"/>
        <v>8310010020</v>
      </c>
      <c r="K2197" s="304" t="str">
        <f t="shared" si="150"/>
        <v>62005058310010020129</v>
      </c>
      <c r="L2197" s="17"/>
      <c r="M2197" s="16"/>
    </row>
    <row r="2198" spans="1:13" s="23" customFormat="1" ht="267.75">
      <c r="A2198" s="21"/>
      <c r="B2198" s="125" t="s">
        <v>2269</v>
      </c>
      <c r="C2198" s="108" t="s">
        <v>410</v>
      </c>
      <c r="D2198" s="108" t="s">
        <v>86</v>
      </c>
      <c r="E2198" s="108" t="s">
        <v>86</v>
      </c>
      <c r="F2198" s="108" t="s">
        <v>1360</v>
      </c>
      <c r="G2198" s="108" t="s">
        <v>9</v>
      </c>
      <c r="H2198" s="126">
        <v>1373458.3900000001</v>
      </c>
      <c r="I2198" s="108">
        <v>8310077460</v>
      </c>
      <c r="J2198" s="108" t="str">
        <f t="shared" si="151"/>
        <v>8310077460</v>
      </c>
      <c r="K2198" s="304" t="str">
        <f t="shared" si="150"/>
        <v>62005058310077460000</v>
      </c>
      <c r="L2198" s="132" t="str">
        <f>INDEX('реш СГД № 265'!$A:$N,MATCH('БА расх 2018 31 12 2018'!$K2198,'реш СГД № 265'!$N:$N,0),3)</f>
        <v>Субсидии на компенсацию расходов по повышению заработной платы муниципальных служащих муниципальной службы и лиц, не замещающих должности муниципальной службы и исполняющих обязанности по техническому обеспечению деятельности органов местного самоуправления муниципальных образований, а также работников муниципальных учреждений, за исключением отдельных категорий работников муниципальных учреждений, которым повышение заработной платы осуществляется в соответствии с указами Президента Российской Федерации от 7 мая 2012 года № 597 «О мероприятиях по реализации государственной социальной политики», от 1 июня 2012 года № 761 «О Национальной стратегии действий в интересах детей на 2012 - 2017 годы» и от 28 декабря 2012 года № 1688 «О некоторых мерах по реализации государственной политики в сфере защиты детей-сирот и детей, оставшихся без попечения родителей»</v>
      </c>
      <c r="M2198" s="17">
        <f t="shared" si="152"/>
        <v>1</v>
      </c>
    </row>
    <row r="2199" spans="1:13" s="23" customFormat="1" ht="31.5">
      <c r="A2199" s="21"/>
      <c r="B2199" s="164" t="s">
        <v>20</v>
      </c>
      <c r="C2199" s="108" t="s">
        <v>410</v>
      </c>
      <c r="D2199" s="108" t="s">
        <v>86</v>
      </c>
      <c r="E2199" s="108" t="s">
        <v>86</v>
      </c>
      <c r="F2199" s="108" t="s">
        <v>1360</v>
      </c>
      <c r="G2199" s="108" t="s">
        <v>21</v>
      </c>
      <c r="H2199" s="126">
        <v>1373458.3900000001</v>
      </c>
      <c r="I2199" s="108">
        <v>8310077460</v>
      </c>
      <c r="J2199" s="108" t="str">
        <f t="shared" si="151"/>
        <v>8310077460</v>
      </c>
      <c r="K2199" s="304" t="str">
        <f t="shared" si="150"/>
        <v>62005058310077460120</v>
      </c>
      <c r="L2199" s="17" t="str">
        <f>INDEX('реш СГД № 265'!$A:$N,MATCH('БА расх 2018 31 12 2018'!$K2199,'реш СГД № 265'!$N:$N,0),3)</f>
        <v>Расходы на выплаты персоналу государственных (муниципальных) органов</v>
      </c>
      <c r="M2199" s="16">
        <f t="shared" si="152"/>
        <v>1</v>
      </c>
    </row>
    <row r="2200" spans="1:13" s="23" customFormat="1" ht="31.5">
      <c r="A2200" s="21"/>
      <c r="B2200" s="127" t="s">
        <v>40</v>
      </c>
      <c r="C2200" s="108" t="s">
        <v>410</v>
      </c>
      <c r="D2200" s="108" t="s">
        <v>86</v>
      </c>
      <c r="E2200" s="108" t="s">
        <v>86</v>
      </c>
      <c r="F2200" s="108" t="s">
        <v>1360</v>
      </c>
      <c r="G2200" s="108" t="s">
        <v>41</v>
      </c>
      <c r="H2200" s="126">
        <v>1054883.56</v>
      </c>
      <c r="I2200" s="108">
        <v>8310077460</v>
      </c>
      <c r="J2200" s="108" t="str">
        <f t="shared" si="151"/>
        <v>8310077460</v>
      </c>
      <c r="K2200" s="304" t="str">
        <f t="shared" si="150"/>
        <v>62005058310077460121</v>
      </c>
      <c r="L2200" s="17"/>
      <c r="M2200" s="16"/>
    </row>
    <row r="2201" spans="1:13" s="23" customFormat="1" ht="47.25">
      <c r="A2201" s="21"/>
      <c r="B2201" s="127" t="s">
        <v>26</v>
      </c>
      <c r="C2201" s="108" t="s">
        <v>410</v>
      </c>
      <c r="D2201" s="108" t="s">
        <v>86</v>
      </c>
      <c r="E2201" s="108" t="s">
        <v>86</v>
      </c>
      <c r="F2201" s="108" t="s">
        <v>1360</v>
      </c>
      <c r="G2201" s="108" t="s">
        <v>27</v>
      </c>
      <c r="H2201" s="126">
        <v>318574.83</v>
      </c>
      <c r="I2201" s="108">
        <v>8310077460</v>
      </c>
      <c r="J2201" s="108" t="str">
        <f t="shared" si="151"/>
        <v>8310077460</v>
      </c>
      <c r="K2201" s="304" t="str">
        <f t="shared" si="150"/>
        <v>62005058310077460129</v>
      </c>
      <c r="L2201" s="17"/>
      <c r="M2201" s="16"/>
    </row>
    <row r="2202" spans="1:13" s="16" customFormat="1" ht="15.75">
      <c r="A2202" s="14"/>
      <c r="B2202" s="117" t="s">
        <v>569</v>
      </c>
      <c r="C2202" s="118" t="s">
        <v>410</v>
      </c>
      <c r="D2202" s="119" t="s">
        <v>238</v>
      </c>
      <c r="E2202" s="119" t="s">
        <v>7</v>
      </c>
      <c r="F2202" s="119" t="s">
        <v>8</v>
      </c>
      <c r="G2202" s="119" t="s">
        <v>9</v>
      </c>
      <c r="H2202" s="120">
        <v>2333539.12</v>
      </c>
      <c r="I2202" s="119">
        <v>0</v>
      </c>
      <c r="J2202" s="119" t="str">
        <f t="shared" si="151"/>
        <v>0000000000</v>
      </c>
      <c r="K2202" s="304" t="str">
        <f t="shared" si="150"/>
        <v>62008000000000000000</v>
      </c>
      <c r="L2202" s="17" t="str">
        <f>INDEX('реш СГД № 265'!$A:$N,MATCH('БА расх 2018 31 12 2018'!$K2202,'реш СГД № 265'!$N:$N,0),3)</f>
        <v>Культура, кинематография</v>
      </c>
      <c r="M2202" s="16">
        <f t="shared" si="152"/>
        <v>1</v>
      </c>
    </row>
    <row r="2203" spans="1:13" s="16" customFormat="1" ht="15.75">
      <c r="A2203" s="14"/>
      <c r="B2203" s="121" t="s">
        <v>239</v>
      </c>
      <c r="C2203" s="122" t="s">
        <v>410</v>
      </c>
      <c r="D2203" s="123" t="s">
        <v>238</v>
      </c>
      <c r="E2203" s="123" t="s">
        <v>11</v>
      </c>
      <c r="F2203" s="123" t="s">
        <v>8</v>
      </c>
      <c r="G2203" s="123" t="s">
        <v>9</v>
      </c>
      <c r="H2203" s="124">
        <v>2333539.12</v>
      </c>
      <c r="I2203" s="123">
        <v>0</v>
      </c>
      <c r="J2203" s="123" t="str">
        <f t="shared" si="151"/>
        <v>0000000000</v>
      </c>
      <c r="K2203" s="304" t="str">
        <f t="shared" si="150"/>
        <v>62008010000000000000</v>
      </c>
      <c r="L2203" s="17" t="str">
        <f>INDEX('реш СГД № 265'!$A:$N,MATCH('БА расх 2018 31 12 2018'!$K2203,'реш СГД № 265'!$N:$N,0),3)</f>
        <v>Культура</v>
      </c>
      <c r="M2203" s="16">
        <f t="shared" si="152"/>
        <v>1</v>
      </c>
    </row>
    <row r="2204" spans="1:13" s="16" customFormat="1" ht="15.75">
      <c r="A2204" s="14"/>
      <c r="B2204" s="125" t="s">
        <v>240</v>
      </c>
      <c r="C2204" s="109" t="s">
        <v>410</v>
      </c>
      <c r="D2204" s="108" t="s">
        <v>238</v>
      </c>
      <c r="E2204" s="108" t="s">
        <v>11</v>
      </c>
      <c r="F2204" s="131" t="s">
        <v>241</v>
      </c>
      <c r="G2204" s="108" t="s">
        <v>9</v>
      </c>
      <c r="H2204" s="126">
        <v>2333539.12</v>
      </c>
      <c r="I2204" s="131">
        <v>700000000</v>
      </c>
      <c r="J2204" s="131" t="str">
        <f t="shared" si="151"/>
        <v>0700000000</v>
      </c>
      <c r="K2204" s="304" t="str">
        <f t="shared" si="150"/>
        <v>62008010700000000000</v>
      </c>
      <c r="L2204" s="17" t="str">
        <f>INDEX('реш СГД № 265'!$A:$N,MATCH('БА расх 2018 31 12 2018'!$K2204,'реш СГД № 265'!$N:$N,0),3)</f>
        <v>Муниципальная программа «Культура города Ставрополя»</v>
      </c>
      <c r="M2204" s="16">
        <f t="shared" si="152"/>
        <v>1</v>
      </c>
    </row>
    <row r="2205" spans="1:13" s="16" customFormat="1" ht="63">
      <c r="A2205" s="14"/>
      <c r="B2205" s="125" t="s">
        <v>384</v>
      </c>
      <c r="C2205" s="109" t="s">
        <v>410</v>
      </c>
      <c r="D2205" s="108" t="s">
        <v>238</v>
      </c>
      <c r="E2205" s="108" t="s">
        <v>11</v>
      </c>
      <c r="F2205" s="131" t="s">
        <v>243</v>
      </c>
      <c r="G2205" s="108" t="s">
        <v>9</v>
      </c>
      <c r="H2205" s="126">
        <v>2333539.12</v>
      </c>
      <c r="I2205" s="131">
        <v>710000000</v>
      </c>
      <c r="J2205" s="131" t="str">
        <f t="shared" si="151"/>
        <v>0710000000</v>
      </c>
      <c r="K2205" s="304" t="str">
        <f t="shared" si="150"/>
        <v>62008010710000000000</v>
      </c>
      <c r="L2205" s="17" t="str">
        <f>INDEX('реш СГД № 265'!$A:$N,MATCH('БА расх 2018 31 12 2018'!$K2205,'реш СГД № 265'!$N:$N,0),3)</f>
        <v>Подпрограмма «Проведение городских и краевых культурно-массовых мероприятий, посвященных памятным, знаменательным и юбилейным датам в истории России, Ставропольского края, города Ставрополя»</v>
      </c>
      <c r="M2205" s="16">
        <f t="shared" si="152"/>
        <v>1</v>
      </c>
    </row>
    <row r="2206" spans="1:13" s="16" customFormat="1" ht="94.5">
      <c r="A2206" s="14"/>
      <c r="B2206" s="125" t="s">
        <v>244</v>
      </c>
      <c r="C2206" s="109" t="s">
        <v>410</v>
      </c>
      <c r="D2206" s="108" t="s">
        <v>238</v>
      </c>
      <c r="E2206" s="108" t="s">
        <v>11</v>
      </c>
      <c r="F2206" s="131" t="s">
        <v>245</v>
      </c>
      <c r="G2206" s="108" t="s">
        <v>9</v>
      </c>
      <c r="H2206" s="126">
        <v>2333539.12</v>
      </c>
      <c r="I2206" s="131">
        <v>710100000</v>
      </c>
      <c r="J2206" s="131" t="str">
        <f t="shared" si="151"/>
        <v>0710100000</v>
      </c>
      <c r="K2206" s="304" t="str">
        <f t="shared" si="150"/>
        <v>62008010710100000000</v>
      </c>
      <c r="L2206" s="17" t="str">
        <f>INDEX('реш СГД № 265'!$A:$N,MATCH('БА расх 2018 31 12 2018'!$K2206,'реш СГД № 265'!$N:$N,0),3)</f>
        <v>Основное мероприятие «Обеспечение доступности к культурным ценностям и права на участие в культурной жизни для всех групп населения города Ставрополя, популяризация объектов культурного наследия города Ставрополя, формирование имиджа города Ставрополя как культурного центра Ставропольского края»</v>
      </c>
      <c r="M2206" s="16">
        <f t="shared" si="152"/>
        <v>1</v>
      </c>
    </row>
    <row r="2207" spans="1:13" s="16" customFormat="1" ht="31.5">
      <c r="A2207" s="14"/>
      <c r="B2207" s="125" t="s">
        <v>246</v>
      </c>
      <c r="C2207" s="109" t="s">
        <v>410</v>
      </c>
      <c r="D2207" s="108" t="s">
        <v>238</v>
      </c>
      <c r="E2207" s="108" t="s">
        <v>11</v>
      </c>
      <c r="F2207" s="131" t="s">
        <v>247</v>
      </c>
      <c r="G2207" s="108" t="s">
        <v>9</v>
      </c>
      <c r="H2207" s="126">
        <v>2333539.12</v>
      </c>
      <c r="I2207" s="131">
        <v>710120060</v>
      </c>
      <c r="J2207" s="131" t="str">
        <f t="shared" si="151"/>
        <v>0710120060</v>
      </c>
      <c r="K2207" s="304" t="str">
        <f t="shared" si="150"/>
        <v>62008010710120060000</v>
      </c>
      <c r="L2207" s="17" t="str">
        <f>INDEX('реш СГД № 265'!$A:$N,MATCH('БА расх 2018 31 12 2018'!$K2207,'реш СГД № 265'!$N:$N,0),3)</f>
        <v>Расходы на проведение культурно-массовых мероприятий в городе Ставрополе</v>
      </c>
      <c r="M2207" s="16">
        <f t="shared" si="152"/>
        <v>1</v>
      </c>
    </row>
    <row r="2208" spans="1:13" s="16" customFormat="1" ht="31.5">
      <c r="A2208" s="14"/>
      <c r="B2208" s="127" t="s">
        <v>28</v>
      </c>
      <c r="C2208" s="109" t="s">
        <v>410</v>
      </c>
      <c r="D2208" s="108" t="s">
        <v>238</v>
      </c>
      <c r="E2208" s="108" t="s">
        <v>11</v>
      </c>
      <c r="F2208" s="131" t="s">
        <v>247</v>
      </c>
      <c r="G2208" s="108" t="s">
        <v>29</v>
      </c>
      <c r="H2208" s="126">
        <v>2333539.12</v>
      </c>
      <c r="I2208" s="131">
        <v>710120060</v>
      </c>
      <c r="J2208" s="131" t="str">
        <f t="shared" si="151"/>
        <v>0710120060</v>
      </c>
      <c r="K2208" s="304" t="str">
        <f t="shared" si="150"/>
        <v>62008010710120060240</v>
      </c>
      <c r="L2208" s="17" t="str">
        <f>INDEX('реш СГД № 265'!$A:$N,MATCH('БА расх 2018 31 12 2018'!$K2208,'реш СГД № 265'!$N:$N,0),3)</f>
        <v>Иные закупки товаров, работ и услуг для обеспечения государственных (муниципальных) нужд</v>
      </c>
      <c r="M2208" s="16">
        <f t="shared" si="152"/>
        <v>1</v>
      </c>
    </row>
    <row r="2209" spans="1:13" s="16" customFormat="1" ht="15.75">
      <c r="A2209" s="14"/>
      <c r="B2209" s="125" t="s">
        <v>30</v>
      </c>
      <c r="C2209" s="109" t="s">
        <v>410</v>
      </c>
      <c r="D2209" s="108" t="s">
        <v>238</v>
      </c>
      <c r="E2209" s="108" t="s">
        <v>11</v>
      </c>
      <c r="F2209" s="108" t="s">
        <v>247</v>
      </c>
      <c r="G2209" s="108" t="s">
        <v>31</v>
      </c>
      <c r="H2209" s="126">
        <v>2333539.12</v>
      </c>
      <c r="I2209" s="108">
        <v>710120060</v>
      </c>
      <c r="J2209" s="108" t="str">
        <f t="shared" si="151"/>
        <v>0710120060</v>
      </c>
      <c r="K2209" s="304" t="str">
        <f t="shared" si="150"/>
        <v>62008010710120060244</v>
      </c>
      <c r="L2209" s="17"/>
    </row>
    <row r="2210" spans="1:13" s="16" customFormat="1" ht="15.75">
      <c r="A2210" s="14"/>
      <c r="B2210" s="117" t="s">
        <v>316</v>
      </c>
      <c r="C2210" s="118" t="s">
        <v>410</v>
      </c>
      <c r="D2210" s="119" t="s">
        <v>317</v>
      </c>
      <c r="E2210" s="119" t="s">
        <v>7</v>
      </c>
      <c r="F2210" s="119" t="s">
        <v>8</v>
      </c>
      <c r="G2210" s="119" t="s">
        <v>9</v>
      </c>
      <c r="H2210" s="120">
        <v>14862645</v>
      </c>
      <c r="I2210" s="119">
        <v>0</v>
      </c>
      <c r="J2210" s="119" t="str">
        <f t="shared" si="151"/>
        <v>0000000000</v>
      </c>
      <c r="K2210" s="304" t="str">
        <f t="shared" si="150"/>
        <v>62010000000000000000</v>
      </c>
      <c r="L2210" s="17" t="str">
        <f>INDEX('реш СГД № 265'!$A:$N,MATCH('БА расх 2018 31 12 2018'!$K2210,'реш СГД № 265'!$N:$N,0),3)</f>
        <v>Социальная политика</v>
      </c>
      <c r="M2210" s="16">
        <f t="shared" si="152"/>
        <v>1</v>
      </c>
    </row>
    <row r="2211" spans="1:13" s="16" customFormat="1" ht="15.75">
      <c r="A2211" s="14"/>
      <c r="B2211" s="121" t="s">
        <v>318</v>
      </c>
      <c r="C2211" s="122" t="s">
        <v>410</v>
      </c>
      <c r="D2211" s="123">
        <v>10</v>
      </c>
      <c r="E2211" s="123" t="s">
        <v>13</v>
      </c>
      <c r="F2211" s="123" t="s">
        <v>8</v>
      </c>
      <c r="G2211" s="123" t="s">
        <v>9</v>
      </c>
      <c r="H2211" s="124">
        <v>14862645</v>
      </c>
      <c r="I2211" s="123">
        <v>0</v>
      </c>
      <c r="J2211" s="123" t="str">
        <f t="shared" si="151"/>
        <v>0000000000</v>
      </c>
      <c r="K2211" s="304" t="str">
        <f t="shared" si="150"/>
        <v>62010030000000000000</v>
      </c>
      <c r="L2211" s="17" t="str">
        <f>INDEX('реш СГД № 265'!$A:$N,MATCH('БА расх 2018 31 12 2018'!$K2211,'реш СГД № 265'!$N:$N,0),3)</f>
        <v>Социальное обеспечение населения</v>
      </c>
      <c r="M2211" s="16">
        <f t="shared" si="152"/>
        <v>1</v>
      </c>
    </row>
    <row r="2212" spans="1:13" s="16" customFormat="1" ht="31.5">
      <c r="A2212" s="14"/>
      <c r="B2212" s="135" t="s">
        <v>385</v>
      </c>
      <c r="C2212" s="131" t="s">
        <v>410</v>
      </c>
      <c r="D2212" s="131">
        <v>10</v>
      </c>
      <c r="E2212" s="131" t="s">
        <v>13</v>
      </c>
      <c r="F2212" s="131" t="s">
        <v>386</v>
      </c>
      <c r="G2212" s="131" t="s">
        <v>9</v>
      </c>
      <c r="H2212" s="105">
        <v>14862645</v>
      </c>
      <c r="I2212" s="131">
        <v>300000000</v>
      </c>
      <c r="J2212" s="131" t="str">
        <f t="shared" si="151"/>
        <v>0300000000</v>
      </c>
      <c r="K2212" s="304" t="str">
        <f t="shared" si="150"/>
        <v>62010030300000000000</v>
      </c>
      <c r="L2212" s="17" t="str">
        <f>INDEX('реш СГД № 265'!$A:$N,MATCH('БА расх 2018 31 12 2018'!$K2212,'реш СГД № 265'!$N:$N,0),3)</f>
        <v>Муниципальная программа «Социальная поддержка населения города Ставрополя»</v>
      </c>
      <c r="M2212" s="16">
        <f t="shared" si="152"/>
        <v>1</v>
      </c>
    </row>
    <row r="2213" spans="1:13" s="16" customFormat="1" ht="47.25">
      <c r="A2213" s="14"/>
      <c r="B2213" s="135" t="s">
        <v>387</v>
      </c>
      <c r="C2213" s="131" t="s">
        <v>410</v>
      </c>
      <c r="D2213" s="131">
        <v>10</v>
      </c>
      <c r="E2213" s="131" t="s">
        <v>13</v>
      </c>
      <c r="F2213" s="131" t="s">
        <v>388</v>
      </c>
      <c r="G2213" s="131" t="s">
        <v>9</v>
      </c>
      <c r="H2213" s="105">
        <v>14862645</v>
      </c>
      <c r="I2213" s="131">
        <v>320000000</v>
      </c>
      <c r="J2213" s="131" t="str">
        <f t="shared" si="151"/>
        <v>0320000000</v>
      </c>
      <c r="K2213" s="304" t="str">
        <f t="shared" si="150"/>
        <v>62010030320000000000</v>
      </c>
      <c r="L2213" s="17" t="str">
        <f>INDEX('реш СГД № 265'!$A:$N,MATCH('БА расх 2018 31 12 2018'!$K2213,'реш СГД № 265'!$N:$N,0),3)</f>
        <v>Подпрограмма «Дополнительные меры социальной поддержки для отдельных категорий граждан, поддержка социально ориентированных некоммерческих организаций»</v>
      </c>
      <c r="M2213" s="16">
        <f t="shared" si="152"/>
        <v>1</v>
      </c>
    </row>
    <row r="2214" spans="1:13" s="16" customFormat="1" ht="63">
      <c r="A2214" s="14"/>
      <c r="B2214" s="129" t="s">
        <v>902</v>
      </c>
      <c r="C2214" s="131" t="s">
        <v>410</v>
      </c>
      <c r="D2214" s="131">
        <v>10</v>
      </c>
      <c r="E2214" s="131" t="s">
        <v>13</v>
      </c>
      <c r="F2214" s="131" t="s">
        <v>903</v>
      </c>
      <c r="G2214" s="131" t="s">
        <v>9</v>
      </c>
      <c r="H2214" s="105">
        <v>3319260</v>
      </c>
      <c r="I2214" s="131">
        <v>320300000</v>
      </c>
      <c r="J2214" s="131" t="str">
        <f t="shared" si="151"/>
        <v>0320300000</v>
      </c>
      <c r="K2214" s="304" t="str">
        <f t="shared" si="150"/>
        <v>62010030320300000000</v>
      </c>
      <c r="L2214" s="17" t="str">
        <f>INDEX('реш СГД № 265'!$A:$N,MATCH('БА расх 2018 31 12 2018'!$K2214,'реш СГД № 265'!$N:$N,0),3)</f>
        <v>Основное мероприятие «Возмещение затрат по предоставлению услуг согласно гарантированному перечню услуг по погребению специализированной организации по вопросам похоронного дела»</v>
      </c>
      <c r="M2214" s="16">
        <f t="shared" si="152"/>
        <v>1</v>
      </c>
    </row>
    <row r="2215" spans="1:13" s="16" customFormat="1" ht="63">
      <c r="A2215" s="14"/>
      <c r="B2215" s="125" t="s">
        <v>904</v>
      </c>
      <c r="C2215" s="108" t="s">
        <v>410</v>
      </c>
      <c r="D2215" s="108">
        <v>10</v>
      </c>
      <c r="E2215" s="108" t="s">
        <v>13</v>
      </c>
      <c r="F2215" s="108" t="s">
        <v>905</v>
      </c>
      <c r="G2215" s="108" t="s">
        <v>9</v>
      </c>
      <c r="H2215" s="126">
        <v>3319260</v>
      </c>
      <c r="I2215" s="108">
        <v>320380020</v>
      </c>
      <c r="J2215" s="108" t="str">
        <f t="shared" si="151"/>
        <v>0320380020</v>
      </c>
      <c r="K2215" s="304" t="str">
        <f t="shared" si="150"/>
        <v>62010030320380020000</v>
      </c>
      <c r="L2215" s="17" t="str">
        <f>INDEX('реш СГД № 265'!$A:$N,MATCH('БА расх 2018 31 12 2018'!$K2215,'реш СГД № 265'!$N:$N,0),3)</f>
        <v>Возмещение затрат по предоставлению услуг согласно гарантированному перечню услуг по погребению специализированной организации по вопросам похоронного дела</v>
      </c>
      <c r="M2215" s="16">
        <f t="shared" si="152"/>
        <v>1</v>
      </c>
    </row>
    <row r="2216" spans="1:13" s="16" customFormat="1" ht="47.25">
      <c r="A2216" s="14"/>
      <c r="B2216" s="125" t="s">
        <v>203</v>
      </c>
      <c r="C2216" s="108" t="s">
        <v>410</v>
      </c>
      <c r="D2216" s="108">
        <v>10</v>
      </c>
      <c r="E2216" s="108" t="s">
        <v>13</v>
      </c>
      <c r="F2216" s="108" t="s">
        <v>905</v>
      </c>
      <c r="G2216" s="108" t="s">
        <v>204</v>
      </c>
      <c r="H2216" s="126">
        <v>3319260</v>
      </c>
      <c r="I2216" s="108">
        <v>320380020</v>
      </c>
      <c r="J2216" s="108" t="str">
        <f t="shared" si="151"/>
        <v>0320380020</v>
      </c>
      <c r="K2216" s="304" t="str">
        <f t="shared" si="150"/>
        <v>62010030320380020810</v>
      </c>
      <c r="L2216" s="17" t="str">
        <f>INDEX('реш СГД № 265'!$A:$N,MATCH('БА расх 2018 31 12 2018'!$K2216,'реш СГД № 265'!$N:$N,0),3)</f>
        <v>Субсидии юридическим лицам (кроме некоммерческих организаций), индивидуальным предпринимателям, физическим лицам - производителям товаров, работ, услуг</v>
      </c>
      <c r="M2216" s="16">
        <f t="shared" si="152"/>
        <v>1</v>
      </c>
    </row>
    <row r="2217" spans="1:13" s="16" customFormat="1" ht="63">
      <c r="A2217" s="14"/>
      <c r="B2217" s="125" t="s">
        <v>205</v>
      </c>
      <c r="C2217" s="108" t="s">
        <v>410</v>
      </c>
      <c r="D2217" s="108">
        <v>10</v>
      </c>
      <c r="E2217" s="108" t="s">
        <v>13</v>
      </c>
      <c r="F2217" s="108" t="s">
        <v>905</v>
      </c>
      <c r="G2217" s="108" t="s">
        <v>206</v>
      </c>
      <c r="H2217" s="126">
        <v>3319260</v>
      </c>
      <c r="I2217" s="108">
        <v>320380020</v>
      </c>
      <c r="J2217" s="108" t="str">
        <f t="shared" si="151"/>
        <v>0320380020</v>
      </c>
      <c r="K2217" s="304" t="str">
        <f t="shared" si="150"/>
        <v>62010030320380020811</v>
      </c>
      <c r="L2217" s="17"/>
    </row>
    <row r="2218" spans="1:13" s="16" customFormat="1" ht="63">
      <c r="A2218" s="14"/>
      <c r="B2218" s="129" t="s">
        <v>906</v>
      </c>
      <c r="C2218" s="131" t="s">
        <v>410</v>
      </c>
      <c r="D2218" s="131">
        <v>10</v>
      </c>
      <c r="E2218" s="131" t="s">
        <v>13</v>
      </c>
      <c r="F2218" s="131" t="s">
        <v>907</v>
      </c>
      <c r="G2218" s="131" t="s">
        <v>9</v>
      </c>
      <c r="H2218" s="105">
        <v>11543385</v>
      </c>
      <c r="I2218" s="131">
        <v>320400000</v>
      </c>
      <c r="J2218" s="131" t="str">
        <f t="shared" si="151"/>
        <v>0320400000</v>
      </c>
      <c r="K2218" s="304" t="str">
        <f t="shared" si="150"/>
        <v>62010030320400000000</v>
      </c>
      <c r="L2218" s="17" t="str">
        <f>INDEX('реш СГД № 265'!$A:$N,MATCH('БА расх 2018 31 12 2018'!$K2218,'реш СГД № 265'!$N:$N,0),3)</f>
        <v>Основное мероприятие «Предоставление дополнительных мер социальной поддержки отдельным категориям граждан при проезде в городском общественном транспорте на территории города Ставрополя»</v>
      </c>
      <c r="M2218" s="16">
        <f t="shared" si="152"/>
        <v>1</v>
      </c>
    </row>
    <row r="2219" spans="1:13" s="16" customFormat="1" ht="47.25">
      <c r="A2219" s="14"/>
      <c r="B2219" s="125" t="s">
        <v>908</v>
      </c>
      <c r="C2219" s="108" t="s">
        <v>410</v>
      </c>
      <c r="D2219" s="108">
        <v>10</v>
      </c>
      <c r="E2219" s="108" t="s">
        <v>13</v>
      </c>
      <c r="F2219" s="108" t="s">
        <v>909</v>
      </c>
      <c r="G2219" s="108" t="s">
        <v>9</v>
      </c>
      <c r="H2219" s="126">
        <v>11543385</v>
      </c>
      <c r="I2219" s="108">
        <v>320480220</v>
      </c>
      <c r="J2219" s="108" t="str">
        <f t="shared" si="151"/>
        <v>0320480220</v>
      </c>
      <c r="K2219" s="304" t="str">
        <f t="shared" si="150"/>
        <v>62010030320480220000</v>
      </c>
      <c r="L2219" s="17" t="str">
        <f>INDEX('реш СГД № 265'!$A:$N,MATCH('БА расх 2018 31 12 2018'!$K2219,'реш СГД № 265'!$N:$N,0),3)</f>
        <v>Предоставление дополнительных мер социальной поддержки отдельным категориям граждан при проезде в городском общественном транспорте на территории города Ставрополя</v>
      </c>
      <c r="M2219" s="16">
        <f t="shared" si="152"/>
        <v>1</v>
      </c>
    </row>
    <row r="2220" spans="1:13" s="16" customFormat="1" ht="47.25">
      <c r="A2220" s="14"/>
      <c r="B2220" s="125" t="s">
        <v>203</v>
      </c>
      <c r="C2220" s="108" t="s">
        <v>410</v>
      </c>
      <c r="D2220" s="108">
        <v>10</v>
      </c>
      <c r="E2220" s="108" t="s">
        <v>13</v>
      </c>
      <c r="F2220" s="108" t="s">
        <v>909</v>
      </c>
      <c r="G2220" s="108" t="s">
        <v>204</v>
      </c>
      <c r="H2220" s="126">
        <v>11543385</v>
      </c>
      <c r="I2220" s="108">
        <v>320480220</v>
      </c>
      <c r="J2220" s="108" t="str">
        <f t="shared" si="151"/>
        <v>0320480220</v>
      </c>
      <c r="K2220" s="304" t="str">
        <f t="shared" si="150"/>
        <v>62010030320480220810</v>
      </c>
      <c r="L2220" s="17" t="str">
        <f>INDEX('реш СГД № 265'!$A:$N,MATCH('БА расх 2018 31 12 2018'!$K2220,'реш СГД № 265'!$N:$N,0),3)</f>
        <v>Субсидии юридическим лицам (кроме некоммерческих организаций), индивидуальным предпринимателям, физическим лицам - производителям товаров, работ, услуг</v>
      </c>
      <c r="M2220" s="16">
        <f t="shared" si="152"/>
        <v>1</v>
      </c>
    </row>
    <row r="2221" spans="1:13" s="16" customFormat="1" ht="110.25">
      <c r="A2221" s="14"/>
      <c r="B2221" s="125" t="s">
        <v>207</v>
      </c>
      <c r="C2221" s="108" t="s">
        <v>410</v>
      </c>
      <c r="D2221" s="108">
        <v>10</v>
      </c>
      <c r="E2221" s="108" t="s">
        <v>13</v>
      </c>
      <c r="F2221" s="108" t="s">
        <v>909</v>
      </c>
      <c r="G2221" s="108" t="s">
        <v>208</v>
      </c>
      <c r="H2221" s="126">
        <v>11543385</v>
      </c>
      <c r="I2221" s="108">
        <v>320480220</v>
      </c>
      <c r="J2221" s="108" t="str">
        <f t="shared" si="151"/>
        <v>0320480220</v>
      </c>
      <c r="K2221" s="304" t="str">
        <f t="shared" si="150"/>
        <v>62010030320480220812</v>
      </c>
      <c r="L2221" s="17"/>
    </row>
    <row r="2222" spans="1:13" s="16" customFormat="1" ht="15.75">
      <c r="A2222" s="14"/>
      <c r="B2222" s="132"/>
      <c r="C2222" s="131"/>
      <c r="D2222" s="131"/>
      <c r="E2222" s="131"/>
      <c r="F2222" s="131"/>
      <c r="G2222" s="131"/>
      <c r="H2222" s="105"/>
      <c r="I2222" s="131"/>
      <c r="J2222" s="131" t="str">
        <f t="shared" si="151"/>
        <v>0000000000</v>
      </c>
      <c r="K2222" s="304" t="str">
        <f t="shared" si="150"/>
        <v>0000000000</v>
      </c>
      <c r="L2222" s="17">
        <f>INDEX('реш СГД № 265'!$A:$N,MATCH('БА расх 2018 31 12 2018'!$K2222,'реш СГД № 265'!$N:$N,0),3)</f>
        <v>0</v>
      </c>
      <c r="M2222" s="16">
        <f t="shared" si="152"/>
        <v>1</v>
      </c>
    </row>
    <row r="2223" spans="1:13" s="16" customFormat="1" ht="31.5">
      <c r="A2223" s="14"/>
      <c r="B2223" s="67" t="s">
        <v>910</v>
      </c>
      <c r="C2223" s="116" t="s">
        <v>412</v>
      </c>
      <c r="D2223" s="69" t="s">
        <v>7</v>
      </c>
      <c r="E2223" s="69" t="s">
        <v>7</v>
      </c>
      <c r="F2223" s="69" t="s">
        <v>8</v>
      </c>
      <c r="G2223" s="69" t="s">
        <v>9</v>
      </c>
      <c r="H2223" s="70">
        <v>1289252945.52</v>
      </c>
      <c r="I2223" s="69">
        <v>0</v>
      </c>
      <c r="J2223" s="108" t="str">
        <f t="shared" si="151"/>
        <v>0000000000</v>
      </c>
      <c r="K2223" s="304" t="str">
        <f t="shared" si="150"/>
        <v>62100000000000000000</v>
      </c>
      <c r="L2223" s="17" t="str">
        <f>INDEX('реш СГД № 265'!$A:$N,MATCH('БА расх 2018 31 12 2018'!$K2223,'реш СГД № 265'!$N:$N,0),3)</f>
        <v>Комитет градостроительства администрации города Ставрополя</v>
      </c>
      <c r="M2223" s="16">
        <f t="shared" si="152"/>
        <v>1</v>
      </c>
    </row>
    <row r="2224" spans="1:13" s="16" customFormat="1" ht="15.75">
      <c r="A2224" s="14"/>
      <c r="B2224" s="117" t="s">
        <v>10</v>
      </c>
      <c r="C2224" s="118" t="s">
        <v>412</v>
      </c>
      <c r="D2224" s="119" t="s">
        <v>11</v>
      </c>
      <c r="E2224" s="119" t="s">
        <v>7</v>
      </c>
      <c r="F2224" s="119" t="s">
        <v>8</v>
      </c>
      <c r="G2224" s="119" t="s">
        <v>9</v>
      </c>
      <c r="H2224" s="120">
        <v>54219466.229999997</v>
      </c>
      <c r="I2224" s="119">
        <v>0</v>
      </c>
      <c r="J2224" s="119" t="str">
        <f t="shared" si="151"/>
        <v>0000000000</v>
      </c>
      <c r="K2224" s="304" t="str">
        <f t="shared" si="150"/>
        <v>62101000000000000000</v>
      </c>
      <c r="L2224" s="17" t="str">
        <f>INDEX('реш СГД № 265'!$A:$N,MATCH('БА расх 2018 31 12 2018'!$K2224,'реш СГД № 265'!$N:$N,0),3)</f>
        <v>Общегосударственные вопросы</v>
      </c>
      <c r="M2224" s="16">
        <f t="shared" si="152"/>
        <v>1</v>
      </c>
    </row>
    <row r="2225" spans="1:13" s="16" customFormat="1" ht="15.75">
      <c r="A2225" s="14"/>
      <c r="B2225" s="121" t="s">
        <v>50</v>
      </c>
      <c r="C2225" s="122" t="s">
        <v>412</v>
      </c>
      <c r="D2225" s="123" t="s">
        <v>11</v>
      </c>
      <c r="E2225" s="123" t="s">
        <v>51</v>
      </c>
      <c r="F2225" s="123" t="s">
        <v>8</v>
      </c>
      <c r="G2225" s="123" t="s">
        <v>9</v>
      </c>
      <c r="H2225" s="124">
        <v>54219466.229999997</v>
      </c>
      <c r="I2225" s="123">
        <v>0</v>
      </c>
      <c r="J2225" s="123" t="str">
        <f t="shared" si="151"/>
        <v>0000000000</v>
      </c>
      <c r="K2225" s="304" t="str">
        <f t="shared" ref="K2225:K2294" si="153">C2225&amp;D2225&amp;E2225&amp;J2225&amp;G2225</f>
        <v>62101130000000000000</v>
      </c>
      <c r="L2225" s="17" t="str">
        <f>INDEX('реш СГД № 265'!$A:$N,MATCH('БА расх 2018 31 12 2018'!$K2225,'реш СГД № 265'!$N:$N,0),3)</f>
        <v>Другие общегосударственные вопросы</v>
      </c>
      <c r="M2225" s="16">
        <f t="shared" si="152"/>
        <v>1</v>
      </c>
    </row>
    <row r="2226" spans="1:13" s="16" customFormat="1" ht="53.25" customHeight="1">
      <c r="A2226" s="14"/>
      <c r="B2226" s="132" t="s">
        <v>2416</v>
      </c>
      <c r="C2226" s="109" t="s">
        <v>412</v>
      </c>
      <c r="D2226" s="108" t="s">
        <v>11</v>
      </c>
      <c r="E2226" s="108" t="s">
        <v>51</v>
      </c>
      <c r="F2226" s="108" t="s">
        <v>258</v>
      </c>
      <c r="G2226" s="108" t="s">
        <v>9</v>
      </c>
      <c r="H2226" s="126">
        <v>100193.8</v>
      </c>
      <c r="I2226" s="123"/>
      <c r="J2226" s="123"/>
      <c r="K2226" s="304"/>
      <c r="L2226" s="17"/>
    </row>
    <row r="2227" spans="1:13" s="16" customFormat="1" ht="69.75" customHeight="1">
      <c r="A2227" s="14"/>
      <c r="B2227" s="132" t="s">
        <v>2417</v>
      </c>
      <c r="C2227" s="109" t="s">
        <v>412</v>
      </c>
      <c r="D2227" s="108" t="s">
        <v>11</v>
      </c>
      <c r="E2227" s="108" t="s">
        <v>51</v>
      </c>
      <c r="F2227" s="108" t="s">
        <v>260</v>
      </c>
      <c r="G2227" s="108" t="s">
        <v>9</v>
      </c>
      <c r="H2227" s="126">
        <v>100193.8</v>
      </c>
      <c r="I2227" s="123"/>
      <c r="J2227" s="123"/>
      <c r="K2227" s="304"/>
      <c r="L2227" s="17"/>
    </row>
    <row r="2228" spans="1:13" s="16" customFormat="1" ht="48" customHeight="1">
      <c r="A2228" s="14"/>
      <c r="B2228" s="132" t="s">
        <v>2418</v>
      </c>
      <c r="C2228" s="109" t="s">
        <v>412</v>
      </c>
      <c r="D2228" s="108" t="s">
        <v>11</v>
      </c>
      <c r="E2228" s="108" t="s">
        <v>51</v>
      </c>
      <c r="F2228" s="108" t="s">
        <v>262</v>
      </c>
      <c r="G2228" s="108" t="s">
        <v>9</v>
      </c>
      <c r="H2228" s="126">
        <v>100193.8</v>
      </c>
      <c r="I2228" s="123"/>
      <c r="J2228" s="123"/>
      <c r="K2228" s="304"/>
      <c r="L2228" s="17"/>
    </row>
    <row r="2229" spans="1:13" s="16" customFormat="1" ht="32.25" customHeight="1">
      <c r="A2229" s="14"/>
      <c r="B2229" s="132" t="s">
        <v>2419</v>
      </c>
      <c r="C2229" s="109" t="s">
        <v>412</v>
      </c>
      <c r="D2229" s="108" t="s">
        <v>11</v>
      </c>
      <c r="E2229" s="108" t="s">
        <v>51</v>
      </c>
      <c r="F2229" s="108" t="s">
        <v>268</v>
      </c>
      <c r="G2229" s="108" t="s">
        <v>9</v>
      </c>
      <c r="H2229" s="126">
        <v>100193.8</v>
      </c>
      <c r="I2229" s="123"/>
      <c r="J2229" s="123"/>
      <c r="K2229" s="304"/>
      <c r="L2229" s="17"/>
    </row>
    <row r="2230" spans="1:13" s="16" customFormat="1" ht="31.5">
      <c r="A2230" s="14"/>
      <c r="B2230" s="132" t="s">
        <v>28</v>
      </c>
      <c r="C2230" s="109" t="s">
        <v>412</v>
      </c>
      <c r="D2230" s="108" t="s">
        <v>11</v>
      </c>
      <c r="E2230" s="108" t="s">
        <v>51</v>
      </c>
      <c r="F2230" s="108" t="s">
        <v>268</v>
      </c>
      <c r="G2230" s="108" t="s">
        <v>29</v>
      </c>
      <c r="H2230" s="126">
        <v>100193.8</v>
      </c>
      <c r="I2230" s="489" t="s">
        <v>1175</v>
      </c>
      <c r="J2230" s="108" t="str">
        <f t="shared" ref="J2230:J2231" si="154">TEXT(I2230,"0000000000")</f>
        <v>11Б0121120</v>
      </c>
      <c r="K2230" s="304" t="str">
        <f t="shared" ref="K2230:K2231" si="155">C2230&amp;D2230&amp;E2230&amp;J2230&amp;G2230</f>
        <v>621011311Б0121120240</v>
      </c>
      <c r="L2230" s="17" t="e">
        <f>INDEX('реш СГД № 265'!$A:$N,MATCH('БА расх 2018 31 12 2018'!$K2230,'реш СГД № 265'!$N:$N,0),3)</f>
        <v>#N/A</v>
      </c>
    </row>
    <row r="2231" spans="1:13" s="16" customFormat="1" ht="15.75">
      <c r="A2231" s="14"/>
      <c r="B2231" s="125" t="s">
        <v>30</v>
      </c>
      <c r="C2231" s="109" t="s">
        <v>412</v>
      </c>
      <c r="D2231" s="108" t="s">
        <v>11</v>
      </c>
      <c r="E2231" s="108" t="s">
        <v>51</v>
      </c>
      <c r="F2231" s="108" t="s">
        <v>268</v>
      </c>
      <c r="G2231" s="108" t="s">
        <v>31</v>
      </c>
      <c r="H2231" s="126">
        <v>100193.8</v>
      </c>
      <c r="I2231" s="489" t="s">
        <v>1175</v>
      </c>
      <c r="J2231" s="108" t="str">
        <f t="shared" si="154"/>
        <v>11Б0121120</v>
      </c>
      <c r="K2231" s="304" t="str">
        <f t="shared" si="155"/>
        <v>621011311Б0121120244</v>
      </c>
      <c r="L2231" s="17"/>
    </row>
    <row r="2232" spans="1:13" s="16" customFormat="1" ht="31.5">
      <c r="A2232" s="14"/>
      <c r="B2232" s="164" t="s">
        <v>911</v>
      </c>
      <c r="C2232" s="109" t="s">
        <v>412</v>
      </c>
      <c r="D2232" s="108" t="s">
        <v>11</v>
      </c>
      <c r="E2232" s="108" t="s">
        <v>51</v>
      </c>
      <c r="F2232" s="108" t="s">
        <v>912</v>
      </c>
      <c r="G2232" s="108" t="s">
        <v>9</v>
      </c>
      <c r="H2232" s="126">
        <v>54119272.43</v>
      </c>
      <c r="I2232" s="108">
        <v>8400000000</v>
      </c>
      <c r="J2232" s="108" t="str">
        <f t="shared" ref="J2232:J2295" si="156">TEXT(I2232,"0000000000")</f>
        <v>8400000000</v>
      </c>
      <c r="K2232" s="304" t="str">
        <f t="shared" si="153"/>
        <v>62101138400000000000</v>
      </c>
      <c r="L2232" s="17" t="str">
        <f>INDEX('реш СГД № 265'!$A:$N,MATCH('БА расх 2018 31 12 2018'!$K2232,'реш СГД № 265'!$N:$N,0),3)</f>
        <v>Обеспечение деятельности комитета градостроительства администрации города Ставрополя</v>
      </c>
      <c r="M2232" s="16">
        <f t="shared" ref="M2232:M2295" si="157">IF(B2232=L2232,1,0)</f>
        <v>1</v>
      </c>
    </row>
    <row r="2233" spans="1:13" s="16" customFormat="1" ht="47.25">
      <c r="A2233" s="14"/>
      <c r="B2233" s="164" t="s">
        <v>913</v>
      </c>
      <c r="C2233" s="109" t="s">
        <v>412</v>
      </c>
      <c r="D2233" s="108" t="s">
        <v>11</v>
      </c>
      <c r="E2233" s="108" t="s">
        <v>51</v>
      </c>
      <c r="F2233" s="108" t="s">
        <v>914</v>
      </c>
      <c r="G2233" s="108" t="s">
        <v>9</v>
      </c>
      <c r="H2233" s="126">
        <v>49476771.969999999</v>
      </c>
      <c r="I2233" s="108">
        <v>8410000000</v>
      </c>
      <c r="J2233" s="108" t="str">
        <f t="shared" si="156"/>
        <v>8410000000</v>
      </c>
      <c r="K2233" s="304" t="str">
        <f t="shared" si="153"/>
        <v>62101138410000000000</v>
      </c>
      <c r="L2233" s="17" t="str">
        <f>INDEX('реш СГД № 265'!$A:$N,MATCH('БА расх 2018 31 12 2018'!$K2233,'реш СГД № 265'!$N:$N,0),3)</f>
        <v>Непрограммные расходы в рамках обеспечения деятельности комитета градостроительства администрации города Ставрополя</v>
      </c>
      <c r="M2233" s="16">
        <f t="shared" si="157"/>
        <v>1</v>
      </c>
    </row>
    <row r="2234" spans="1:13" s="16" customFormat="1" ht="31.5">
      <c r="A2234" s="14"/>
      <c r="B2234" s="164" t="s">
        <v>18</v>
      </c>
      <c r="C2234" s="109" t="s">
        <v>412</v>
      </c>
      <c r="D2234" s="108" t="s">
        <v>11</v>
      </c>
      <c r="E2234" s="108" t="s">
        <v>51</v>
      </c>
      <c r="F2234" s="108" t="s">
        <v>915</v>
      </c>
      <c r="G2234" s="108" t="s">
        <v>9</v>
      </c>
      <c r="H2234" s="126">
        <v>3825488.83</v>
      </c>
      <c r="I2234" s="108">
        <v>8410010010</v>
      </c>
      <c r="J2234" s="108" t="str">
        <f t="shared" si="156"/>
        <v>8410010010</v>
      </c>
      <c r="K2234" s="304" t="str">
        <f t="shared" si="153"/>
        <v>62101138410010010000</v>
      </c>
      <c r="L2234" s="17" t="str">
        <f>INDEX('реш СГД № 265'!$A:$N,MATCH('БА расх 2018 31 12 2018'!$K2234,'реш СГД № 265'!$N:$N,0),3)</f>
        <v>Расходы на обеспечение функций органов местного самоуправления города Ставрополя</v>
      </c>
      <c r="M2234" s="16">
        <f t="shared" si="157"/>
        <v>1</v>
      </c>
    </row>
    <row r="2235" spans="1:13" s="16" customFormat="1" ht="31.5">
      <c r="A2235" s="14"/>
      <c r="B2235" s="164" t="s">
        <v>20</v>
      </c>
      <c r="C2235" s="109" t="s">
        <v>412</v>
      </c>
      <c r="D2235" s="108" t="s">
        <v>11</v>
      </c>
      <c r="E2235" s="108" t="s">
        <v>51</v>
      </c>
      <c r="F2235" s="108" t="s">
        <v>915</v>
      </c>
      <c r="G2235" s="108" t="s">
        <v>21</v>
      </c>
      <c r="H2235" s="126">
        <v>843322.9</v>
      </c>
      <c r="I2235" s="108">
        <v>8410010010</v>
      </c>
      <c r="J2235" s="108" t="str">
        <f t="shared" si="156"/>
        <v>8410010010</v>
      </c>
      <c r="K2235" s="304" t="str">
        <f t="shared" si="153"/>
        <v>62101138410010010120</v>
      </c>
      <c r="L2235" s="17" t="str">
        <f>INDEX('реш СГД № 265'!$A:$N,MATCH('БА расх 2018 31 12 2018'!$K2235,'реш СГД № 265'!$N:$N,0),3)</f>
        <v>Расходы на выплаты персоналу государственных (муниципальных) органов</v>
      </c>
      <c r="M2235" s="16">
        <f t="shared" si="157"/>
        <v>1</v>
      </c>
    </row>
    <row r="2236" spans="1:13" s="23" customFormat="1" ht="31.5">
      <c r="A2236" s="21"/>
      <c r="B2236" s="127" t="s">
        <v>22</v>
      </c>
      <c r="C2236" s="109" t="s">
        <v>412</v>
      </c>
      <c r="D2236" s="108" t="s">
        <v>11</v>
      </c>
      <c r="E2236" s="108" t="s">
        <v>51</v>
      </c>
      <c r="F2236" s="108" t="s">
        <v>915</v>
      </c>
      <c r="G2236" s="108" t="s">
        <v>23</v>
      </c>
      <c r="H2236" s="126">
        <v>655069.74</v>
      </c>
      <c r="I2236" s="108">
        <v>8410010010</v>
      </c>
      <c r="J2236" s="108" t="str">
        <f t="shared" si="156"/>
        <v>8410010010</v>
      </c>
      <c r="K2236" s="304" t="str">
        <f t="shared" si="153"/>
        <v>62101138410010010122</v>
      </c>
      <c r="L2236" s="17"/>
      <c r="M2236" s="16"/>
    </row>
    <row r="2237" spans="1:13" s="23" customFormat="1" ht="47.25">
      <c r="A2237" s="21"/>
      <c r="B2237" s="127" t="s">
        <v>26</v>
      </c>
      <c r="C2237" s="109" t="s">
        <v>412</v>
      </c>
      <c r="D2237" s="108" t="s">
        <v>11</v>
      </c>
      <c r="E2237" s="108" t="s">
        <v>51</v>
      </c>
      <c r="F2237" s="108" t="s">
        <v>915</v>
      </c>
      <c r="G2237" s="108" t="s">
        <v>27</v>
      </c>
      <c r="H2237" s="126">
        <v>188253.16</v>
      </c>
      <c r="I2237" s="108">
        <v>8410010010</v>
      </c>
      <c r="J2237" s="108" t="str">
        <f t="shared" si="156"/>
        <v>8410010010</v>
      </c>
      <c r="K2237" s="304" t="str">
        <f t="shared" si="153"/>
        <v>62101138410010010129</v>
      </c>
      <c r="L2237" s="17"/>
      <c r="M2237" s="16"/>
    </row>
    <row r="2238" spans="1:13" s="16" customFormat="1" ht="31.5">
      <c r="A2238" s="14"/>
      <c r="B2238" s="164" t="s">
        <v>28</v>
      </c>
      <c r="C2238" s="109" t="s">
        <v>412</v>
      </c>
      <c r="D2238" s="108" t="s">
        <v>11</v>
      </c>
      <c r="E2238" s="108" t="s">
        <v>51</v>
      </c>
      <c r="F2238" s="108" t="s">
        <v>915</v>
      </c>
      <c r="G2238" s="108" t="s">
        <v>29</v>
      </c>
      <c r="H2238" s="126">
        <v>2755865.93</v>
      </c>
      <c r="I2238" s="108">
        <v>8410010010</v>
      </c>
      <c r="J2238" s="108" t="str">
        <f t="shared" si="156"/>
        <v>8410010010</v>
      </c>
      <c r="K2238" s="304" t="str">
        <f t="shared" si="153"/>
        <v>62101138410010010240</v>
      </c>
      <c r="L2238" s="17" t="str">
        <f>INDEX('реш СГД № 265'!$A:$N,MATCH('БА расх 2018 31 12 2018'!$K2238,'реш СГД № 265'!$N:$N,0),3)</f>
        <v>Иные закупки товаров, работ и услуг для обеспечения государственных (муниципальных) нужд</v>
      </c>
      <c r="M2238" s="16">
        <f t="shared" si="157"/>
        <v>1</v>
      </c>
    </row>
    <row r="2239" spans="1:13" s="16" customFormat="1" ht="15.75">
      <c r="A2239" s="14"/>
      <c r="B2239" s="125" t="s">
        <v>30</v>
      </c>
      <c r="C2239" s="109" t="s">
        <v>412</v>
      </c>
      <c r="D2239" s="108" t="s">
        <v>11</v>
      </c>
      <c r="E2239" s="108" t="s">
        <v>51</v>
      </c>
      <c r="F2239" s="108" t="s">
        <v>915</v>
      </c>
      <c r="G2239" s="108" t="s">
        <v>31</v>
      </c>
      <c r="H2239" s="126">
        <v>2755865.93</v>
      </c>
      <c r="I2239" s="108">
        <v>8410010010</v>
      </c>
      <c r="J2239" s="108" t="str">
        <f t="shared" si="156"/>
        <v>8410010010</v>
      </c>
      <c r="K2239" s="304" t="str">
        <f t="shared" si="153"/>
        <v>62101138410010010244</v>
      </c>
      <c r="L2239" s="17"/>
    </row>
    <row r="2240" spans="1:13" s="16" customFormat="1" ht="15.75">
      <c r="A2240" s="14"/>
      <c r="B2240" s="164" t="s">
        <v>32</v>
      </c>
      <c r="C2240" s="109" t="s">
        <v>412</v>
      </c>
      <c r="D2240" s="108" t="s">
        <v>11</v>
      </c>
      <c r="E2240" s="108" t="s">
        <v>51</v>
      </c>
      <c r="F2240" s="108" t="s">
        <v>915</v>
      </c>
      <c r="G2240" s="108" t="s">
        <v>33</v>
      </c>
      <c r="H2240" s="126">
        <v>226300</v>
      </c>
      <c r="I2240" s="108">
        <v>8410010010</v>
      </c>
      <c r="J2240" s="108" t="str">
        <f t="shared" si="156"/>
        <v>8410010010</v>
      </c>
      <c r="K2240" s="304" t="str">
        <f t="shared" si="153"/>
        <v>62101138410010010850</v>
      </c>
      <c r="L2240" s="17" t="str">
        <f>INDEX('реш СГД № 265'!$A:$N,MATCH('БА расх 2018 31 12 2018'!$K2240,'реш СГД № 265'!$N:$N,0),3)</f>
        <v>Уплата налогов, сборов и иных платежей</v>
      </c>
      <c r="M2240" s="16">
        <f t="shared" si="157"/>
        <v>1</v>
      </c>
    </row>
    <row r="2241" spans="1:13" s="23" customFormat="1" ht="31.5">
      <c r="A2241" s="21"/>
      <c r="B2241" s="127" t="s">
        <v>34</v>
      </c>
      <c r="C2241" s="109" t="s">
        <v>412</v>
      </c>
      <c r="D2241" s="108" t="s">
        <v>11</v>
      </c>
      <c r="E2241" s="108" t="s">
        <v>51</v>
      </c>
      <c r="F2241" s="108" t="s">
        <v>915</v>
      </c>
      <c r="G2241" s="108" t="s">
        <v>35</v>
      </c>
      <c r="H2241" s="126">
        <v>215000</v>
      </c>
      <c r="I2241" s="108">
        <v>8410010010</v>
      </c>
      <c r="J2241" s="108" t="str">
        <f t="shared" si="156"/>
        <v>8410010010</v>
      </c>
      <c r="K2241" s="304" t="str">
        <f t="shared" si="153"/>
        <v>62101138410010010851</v>
      </c>
      <c r="L2241" s="17"/>
      <c r="M2241" s="16"/>
    </row>
    <row r="2242" spans="1:13" s="23" customFormat="1" ht="15.75">
      <c r="A2242" s="21"/>
      <c r="B2242" s="127" t="s">
        <v>36</v>
      </c>
      <c r="C2242" s="109" t="s">
        <v>412</v>
      </c>
      <c r="D2242" s="108" t="s">
        <v>11</v>
      </c>
      <c r="E2242" s="108" t="s">
        <v>51</v>
      </c>
      <c r="F2242" s="108" t="s">
        <v>915</v>
      </c>
      <c r="G2242" s="108" t="s">
        <v>37</v>
      </c>
      <c r="H2242" s="126">
        <v>10774.06</v>
      </c>
      <c r="I2242" s="108">
        <v>8410010010</v>
      </c>
      <c r="J2242" s="108" t="str">
        <f t="shared" si="156"/>
        <v>8410010010</v>
      </c>
      <c r="K2242" s="304" t="str">
        <f t="shared" si="153"/>
        <v>62101138410010010852</v>
      </c>
      <c r="L2242" s="17"/>
      <c r="M2242" s="16"/>
    </row>
    <row r="2243" spans="1:13" s="23" customFormat="1" ht="15.75">
      <c r="A2243" s="21"/>
      <c r="B2243" s="127" t="s">
        <v>77</v>
      </c>
      <c r="C2243" s="109" t="s">
        <v>412</v>
      </c>
      <c r="D2243" s="108" t="s">
        <v>11</v>
      </c>
      <c r="E2243" s="108" t="s">
        <v>51</v>
      </c>
      <c r="F2243" s="108" t="s">
        <v>915</v>
      </c>
      <c r="G2243" s="108" t="s">
        <v>78</v>
      </c>
      <c r="H2243" s="126">
        <v>525.94000000000005</v>
      </c>
      <c r="I2243" s="108">
        <v>8410010010</v>
      </c>
      <c r="J2243" s="108" t="str">
        <f t="shared" si="156"/>
        <v>8410010010</v>
      </c>
      <c r="K2243" s="304" t="str">
        <f t="shared" si="153"/>
        <v>62101138410010010853</v>
      </c>
      <c r="L2243" s="17"/>
      <c r="M2243" s="16"/>
    </row>
    <row r="2244" spans="1:13" s="16" customFormat="1" ht="31.5">
      <c r="A2244" s="14"/>
      <c r="B2244" s="164" t="s">
        <v>38</v>
      </c>
      <c r="C2244" s="109" t="s">
        <v>412</v>
      </c>
      <c r="D2244" s="108" t="s">
        <v>11</v>
      </c>
      <c r="E2244" s="108" t="s">
        <v>51</v>
      </c>
      <c r="F2244" s="108" t="s">
        <v>916</v>
      </c>
      <c r="G2244" s="108" t="s">
        <v>9</v>
      </c>
      <c r="H2244" s="126">
        <v>33278287.039999999</v>
      </c>
      <c r="I2244" s="108">
        <v>8410010020</v>
      </c>
      <c r="J2244" s="108" t="str">
        <f t="shared" si="156"/>
        <v>8410010020</v>
      </c>
      <c r="K2244" s="304" t="str">
        <f t="shared" si="153"/>
        <v>62101138410010020000</v>
      </c>
      <c r="L2244" s="17" t="str">
        <f>INDEX('реш СГД № 265'!$A:$N,MATCH('БА расх 2018 31 12 2018'!$K2244,'реш СГД № 265'!$N:$N,0),3)</f>
        <v>Расходы на выплаты по оплате труда работников органов местного самоуправления города Ставрополя</v>
      </c>
      <c r="M2244" s="16">
        <f t="shared" si="157"/>
        <v>1</v>
      </c>
    </row>
    <row r="2245" spans="1:13" s="16" customFormat="1" ht="31.5">
      <c r="A2245" s="14"/>
      <c r="B2245" s="164" t="s">
        <v>20</v>
      </c>
      <c r="C2245" s="109" t="s">
        <v>412</v>
      </c>
      <c r="D2245" s="108" t="s">
        <v>11</v>
      </c>
      <c r="E2245" s="108" t="s">
        <v>51</v>
      </c>
      <c r="F2245" s="108" t="s">
        <v>916</v>
      </c>
      <c r="G2245" s="108" t="s">
        <v>21</v>
      </c>
      <c r="H2245" s="126">
        <v>33278287.039999999</v>
      </c>
      <c r="I2245" s="108">
        <v>8410010020</v>
      </c>
      <c r="J2245" s="108" t="str">
        <f t="shared" si="156"/>
        <v>8410010020</v>
      </c>
      <c r="K2245" s="304" t="str">
        <f t="shared" si="153"/>
        <v>62101138410010020120</v>
      </c>
      <c r="L2245" s="17" t="str">
        <f>INDEX('реш СГД № 265'!$A:$N,MATCH('БА расх 2018 31 12 2018'!$K2245,'реш СГД № 265'!$N:$N,0),3)</f>
        <v>Расходы на выплаты персоналу государственных (муниципальных) органов</v>
      </c>
      <c r="M2245" s="16">
        <f t="shared" si="157"/>
        <v>1</v>
      </c>
    </row>
    <row r="2246" spans="1:13" s="23" customFormat="1" ht="31.5">
      <c r="A2246" s="21"/>
      <c r="B2246" s="127" t="s">
        <v>40</v>
      </c>
      <c r="C2246" s="109" t="s">
        <v>412</v>
      </c>
      <c r="D2246" s="108" t="s">
        <v>11</v>
      </c>
      <c r="E2246" s="108" t="s">
        <v>51</v>
      </c>
      <c r="F2246" s="108" t="s">
        <v>916</v>
      </c>
      <c r="G2246" s="108" t="s">
        <v>41</v>
      </c>
      <c r="H2246" s="126">
        <v>25714307.780000001</v>
      </c>
      <c r="I2246" s="108">
        <v>8410010020</v>
      </c>
      <c r="J2246" s="108" t="str">
        <f t="shared" si="156"/>
        <v>8410010020</v>
      </c>
      <c r="K2246" s="304" t="str">
        <f t="shared" si="153"/>
        <v>62101138410010020121</v>
      </c>
      <c r="L2246" s="17"/>
      <c r="M2246" s="16"/>
    </row>
    <row r="2247" spans="1:13" s="23" customFormat="1" ht="47.25">
      <c r="A2247" s="21"/>
      <c r="B2247" s="127" t="s">
        <v>26</v>
      </c>
      <c r="C2247" s="109" t="s">
        <v>412</v>
      </c>
      <c r="D2247" s="108" t="s">
        <v>11</v>
      </c>
      <c r="E2247" s="108" t="s">
        <v>51</v>
      </c>
      <c r="F2247" s="108" t="s">
        <v>916</v>
      </c>
      <c r="G2247" s="108" t="s">
        <v>27</v>
      </c>
      <c r="H2247" s="126">
        <v>7563979.2599999998</v>
      </c>
      <c r="I2247" s="108">
        <v>8410010020</v>
      </c>
      <c r="J2247" s="108" t="str">
        <f t="shared" si="156"/>
        <v>8410010020</v>
      </c>
      <c r="K2247" s="304" t="str">
        <f t="shared" si="153"/>
        <v>62101138410010020129</v>
      </c>
      <c r="L2247" s="17"/>
      <c r="M2247" s="16"/>
    </row>
    <row r="2248" spans="1:13" s="23" customFormat="1" ht="31.5">
      <c r="A2248" s="21"/>
      <c r="B2248" s="125" t="s">
        <v>355</v>
      </c>
      <c r="C2248" s="109" t="s">
        <v>412</v>
      </c>
      <c r="D2248" s="131" t="s">
        <v>11</v>
      </c>
      <c r="E2248" s="131" t="s">
        <v>51</v>
      </c>
      <c r="F2248" s="131" t="s">
        <v>2271</v>
      </c>
      <c r="G2248" s="131" t="s">
        <v>9</v>
      </c>
      <c r="H2248" s="126">
        <v>447770.82</v>
      </c>
      <c r="I2248" s="108">
        <v>8410010050</v>
      </c>
      <c r="J2248" s="108" t="str">
        <f t="shared" si="156"/>
        <v>8410010050</v>
      </c>
      <c r="K2248" s="304" t="str">
        <f t="shared" si="153"/>
        <v>62101138410010050000</v>
      </c>
      <c r="L2248" s="400" t="e">
        <f>INDEX('реш СГД № 265'!$A:$N,MATCH('БА расх 2018 31 12 2018'!$K2248,'реш СГД № 265'!$N:$N,0),3)</f>
        <v>#N/A</v>
      </c>
      <c r="M2248" s="17" t="e">
        <f t="shared" si="157"/>
        <v>#N/A</v>
      </c>
    </row>
    <row r="2249" spans="1:13" s="23" customFormat="1" ht="31.5">
      <c r="A2249" s="21"/>
      <c r="B2249" s="127" t="s">
        <v>20</v>
      </c>
      <c r="C2249" s="109" t="s">
        <v>412</v>
      </c>
      <c r="D2249" s="131" t="s">
        <v>11</v>
      </c>
      <c r="E2249" s="131" t="s">
        <v>51</v>
      </c>
      <c r="F2249" s="131" t="s">
        <v>2271</v>
      </c>
      <c r="G2249" s="305" t="s">
        <v>21</v>
      </c>
      <c r="H2249" s="126">
        <v>447770.82</v>
      </c>
      <c r="I2249" s="108">
        <v>8410010050</v>
      </c>
      <c r="J2249" s="108" t="str">
        <f t="shared" si="156"/>
        <v>8410010050</v>
      </c>
      <c r="K2249" s="304" t="str">
        <f t="shared" si="153"/>
        <v>62101138410010050120</v>
      </c>
      <c r="L2249" s="400" t="e">
        <f>INDEX('реш СГД № 265'!$A:$N,MATCH('БА расх 2018 31 12 2018'!$K2249,'реш СГД № 265'!$N:$N,0),3)</f>
        <v>#N/A</v>
      </c>
      <c r="M2249" s="17" t="e">
        <f t="shared" si="157"/>
        <v>#N/A</v>
      </c>
    </row>
    <row r="2250" spans="1:13" s="23" customFormat="1" ht="31.5">
      <c r="A2250" s="21"/>
      <c r="B2250" s="127" t="s">
        <v>40</v>
      </c>
      <c r="C2250" s="109" t="s">
        <v>412</v>
      </c>
      <c r="D2250" s="131" t="s">
        <v>11</v>
      </c>
      <c r="E2250" s="131" t="s">
        <v>51</v>
      </c>
      <c r="F2250" s="131" t="s">
        <v>2271</v>
      </c>
      <c r="G2250" s="305" t="s">
        <v>41</v>
      </c>
      <c r="H2250" s="126">
        <v>343910</v>
      </c>
      <c r="I2250" s="108">
        <v>8410010050</v>
      </c>
      <c r="J2250" s="108" t="str">
        <f t="shared" si="156"/>
        <v>8410010050</v>
      </c>
      <c r="K2250" s="304" t="str">
        <f t="shared" si="153"/>
        <v>62101138410010050121</v>
      </c>
      <c r="L2250" s="17"/>
      <c r="M2250" s="16"/>
    </row>
    <row r="2251" spans="1:13" s="23" customFormat="1" ht="47.25">
      <c r="A2251" s="21"/>
      <c r="B2251" s="127" t="s">
        <v>26</v>
      </c>
      <c r="C2251" s="109" t="s">
        <v>412</v>
      </c>
      <c r="D2251" s="131" t="s">
        <v>11</v>
      </c>
      <c r="E2251" s="131" t="s">
        <v>51</v>
      </c>
      <c r="F2251" s="131" t="s">
        <v>2271</v>
      </c>
      <c r="G2251" s="305" t="s">
        <v>27</v>
      </c>
      <c r="H2251" s="126">
        <v>103860.82</v>
      </c>
      <c r="I2251" s="108">
        <v>8410010050</v>
      </c>
      <c r="J2251" s="108" t="str">
        <f t="shared" si="156"/>
        <v>8410010050</v>
      </c>
      <c r="K2251" s="304" t="str">
        <f t="shared" si="153"/>
        <v>62101138410010050129</v>
      </c>
      <c r="L2251" s="17"/>
      <c r="M2251" s="16"/>
    </row>
    <row r="2252" spans="1:13" s="23" customFormat="1" ht="31.5">
      <c r="A2252" s="21"/>
      <c r="B2252" s="129" t="s">
        <v>187</v>
      </c>
      <c r="C2252" s="109" t="s">
        <v>412</v>
      </c>
      <c r="D2252" s="108" t="s">
        <v>11</v>
      </c>
      <c r="E2252" s="108" t="s">
        <v>51</v>
      </c>
      <c r="F2252" s="108" t="s">
        <v>1249</v>
      </c>
      <c r="G2252" s="108" t="s">
        <v>9</v>
      </c>
      <c r="H2252" s="126">
        <v>63610</v>
      </c>
      <c r="I2252" s="108">
        <v>8410020050</v>
      </c>
      <c r="J2252" s="108" t="str">
        <f t="shared" si="156"/>
        <v>8410020050</v>
      </c>
      <c r="K2252" s="304" t="str">
        <f t="shared" si="153"/>
        <v>62101138410020050000</v>
      </c>
      <c r="L2252" s="400" t="e">
        <f>INDEX('реш СГД № 265'!$A:$N,MATCH('БА расх 2018 31 12 2018'!$K2252,'реш СГД № 265'!$N:$N,0),3)</f>
        <v>#N/A</v>
      </c>
      <c r="M2252" s="17" t="e">
        <f t="shared" si="157"/>
        <v>#N/A</v>
      </c>
    </row>
    <row r="2253" spans="1:13" s="23" customFormat="1" ht="15.75">
      <c r="A2253" s="21"/>
      <c r="B2253" s="125" t="s">
        <v>189</v>
      </c>
      <c r="C2253" s="109" t="s">
        <v>412</v>
      </c>
      <c r="D2253" s="108" t="s">
        <v>11</v>
      </c>
      <c r="E2253" s="108" t="s">
        <v>51</v>
      </c>
      <c r="F2253" s="108" t="s">
        <v>1249</v>
      </c>
      <c r="G2253" s="108" t="s">
        <v>190</v>
      </c>
      <c r="H2253" s="126">
        <v>63610</v>
      </c>
      <c r="I2253" s="108">
        <v>8410020050</v>
      </c>
      <c r="J2253" s="108" t="str">
        <f t="shared" si="156"/>
        <v>8410020050</v>
      </c>
      <c r="K2253" s="304" t="str">
        <f t="shared" si="153"/>
        <v>62101138410020050830</v>
      </c>
      <c r="L2253" s="400" t="e">
        <f>INDEX('реш СГД № 265'!$A:$N,MATCH('БА расх 2018 31 12 2018'!$K2253,'реш СГД № 265'!$N:$N,0),3)</f>
        <v>#N/A</v>
      </c>
      <c r="M2253" s="17" t="e">
        <f t="shared" si="157"/>
        <v>#N/A</v>
      </c>
    </row>
    <row r="2254" spans="1:13" s="23" customFormat="1" ht="31.5">
      <c r="A2254" s="21"/>
      <c r="B2254" s="129" t="s">
        <v>191</v>
      </c>
      <c r="C2254" s="109" t="s">
        <v>412</v>
      </c>
      <c r="D2254" s="108" t="s">
        <v>11</v>
      </c>
      <c r="E2254" s="108" t="s">
        <v>51</v>
      </c>
      <c r="F2254" s="108" t="s">
        <v>1249</v>
      </c>
      <c r="G2254" s="108" t="s">
        <v>192</v>
      </c>
      <c r="H2254" s="126">
        <v>63610</v>
      </c>
      <c r="I2254" s="108">
        <v>8410020050</v>
      </c>
      <c r="J2254" s="108" t="str">
        <f t="shared" si="156"/>
        <v>8410020050</v>
      </c>
      <c r="K2254" s="304" t="str">
        <f t="shared" si="153"/>
        <v>62101138410020050831</v>
      </c>
      <c r="L2254" s="17"/>
      <c r="M2254" s="16"/>
    </row>
    <row r="2255" spans="1:13" s="23" customFormat="1" ht="15.75">
      <c r="A2255" s="21"/>
      <c r="B2255" s="164" t="s">
        <v>1234</v>
      </c>
      <c r="C2255" s="109" t="s">
        <v>412</v>
      </c>
      <c r="D2255" s="108" t="s">
        <v>11</v>
      </c>
      <c r="E2255" s="108" t="s">
        <v>51</v>
      </c>
      <c r="F2255" s="108" t="s">
        <v>1250</v>
      </c>
      <c r="G2255" s="108" t="s">
        <v>9</v>
      </c>
      <c r="H2255" s="126">
        <v>10000</v>
      </c>
      <c r="I2255" s="108">
        <v>8410021040</v>
      </c>
      <c r="J2255" s="108" t="str">
        <f t="shared" si="156"/>
        <v>8410021040</v>
      </c>
      <c r="K2255" s="304" t="str">
        <f t="shared" si="153"/>
        <v>62101138410021040000</v>
      </c>
      <c r="L2255" s="400" t="e">
        <f>INDEX('реш СГД № 265'!$A:$N,MATCH('БА расх 2018 31 12 2018'!$K2255,'реш СГД № 265'!$N:$N,0),3)</f>
        <v>#N/A</v>
      </c>
      <c r="M2255" s="17" t="e">
        <f t="shared" si="157"/>
        <v>#N/A</v>
      </c>
    </row>
    <row r="2256" spans="1:13" s="23" customFormat="1" ht="15.75">
      <c r="A2256" s="21"/>
      <c r="B2256" s="148" t="s">
        <v>32</v>
      </c>
      <c r="C2256" s="109" t="s">
        <v>412</v>
      </c>
      <c r="D2256" s="108" t="s">
        <v>11</v>
      </c>
      <c r="E2256" s="108" t="s">
        <v>51</v>
      </c>
      <c r="F2256" s="108" t="s">
        <v>1250</v>
      </c>
      <c r="G2256" s="108" t="s">
        <v>33</v>
      </c>
      <c r="H2256" s="126">
        <v>10000</v>
      </c>
      <c r="I2256" s="108">
        <v>8410021040</v>
      </c>
      <c r="J2256" s="108" t="str">
        <f t="shared" si="156"/>
        <v>8410021040</v>
      </c>
      <c r="K2256" s="304" t="str">
        <f t="shared" si="153"/>
        <v>62101138410021040850</v>
      </c>
      <c r="L2256" s="400" t="e">
        <f>INDEX('реш СГД № 265'!$A:$N,MATCH('БА расх 2018 31 12 2018'!$K2256,'реш СГД № 265'!$N:$N,0),3)</f>
        <v>#N/A</v>
      </c>
      <c r="M2256" s="17" t="e">
        <f t="shared" si="157"/>
        <v>#N/A</v>
      </c>
    </row>
    <row r="2257" spans="1:13" s="23" customFormat="1" ht="15.75">
      <c r="A2257" s="21"/>
      <c r="B2257" s="127" t="s">
        <v>77</v>
      </c>
      <c r="C2257" s="109" t="s">
        <v>412</v>
      </c>
      <c r="D2257" s="108" t="s">
        <v>11</v>
      </c>
      <c r="E2257" s="108" t="s">
        <v>51</v>
      </c>
      <c r="F2257" s="108" t="s">
        <v>1250</v>
      </c>
      <c r="G2257" s="108" t="s">
        <v>78</v>
      </c>
      <c r="H2257" s="126">
        <v>10000</v>
      </c>
      <c r="I2257" s="108">
        <v>8410021040</v>
      </c>
      <c r="J2257" s="108" t="str">
        <f t="shared" si="156"/>
        <v>8410021040</v>
      </c>
      <c r="K2257" s="304" t="str">
        <f t="shared" si="153"/>
        <v>62101138410021040853</v>
      </c>
      <c r="L2257" s="17"/>
      <c r="M2257" s="16"/>
    </row>
    <row r="2258" spans="1:13" s="23" customFormat="1" ht="267.75">
      <c r="A2258" s="21"/>
      <c r="B2258" s="125" t="s">
        <v>2269</v>
      </c>
      <c r="C2258" s="109" t="s">
        <v>412</v>
      </c>
      <c r="D2258" s="108" t="s">
        <v>11</v>
      </c>
      <c r="E2258" s="108" t="s">
        <v>51</v>
      </c>
      <c r="F2258" s="108" t="s">
        <v>1361</v>
      </c>
      <c r="G2258" s="108" t="s">
        <v>9</v>
      </c>
      <c r="H2258" s="126">
        <v>1425834.9700000002</v>
      </c>
      <c r="I2258" s="108">
        <v>8410077460</v>
      </c>
      <c r="J2258" s="108" t="str">
        <f t="shared" si="156"/>
        <v>8410077460</v>
      </c>
      <c r="K2258" s="304" t="str">
        <f t="shared" si="153"/>
        <v>62101138410077460000</v>
      </c>
      <c r="L2258" s="132" t="str">
        <f>INDEX('реш СГД № 265'!$A:$N,MATCH('БА расх 2018 31 12 2018'!$K2258,'реш СГД № 265'!$N:$N,0),3)</f>
        <v>Субсидии на компенсацию расходов по повышению заработной платы муниципальных служащих муниципальной службы и лиц, не замещающих должности муниципальной службы и исполняющих обязанности по техническому обеспечению деятельности органов местного самоуправления муниципальных образований, а также работников муниципальных учреждений, за исключением отдельных категорий работников муниципальных учреждений, которым повышение заработной платы осуществляется в соответствии с указами Президента Российской Федерации от 7 мая 2012 года № 597 «О мероприятиях по реализации государственной социальной политики», от 1 июня 2012 года № 761 «О Национальной стратегии действий в интересах детей на 2012 - 2017 годы» и от 28 декабря 2012 года № 1688 «О некоторых мерах по реализации государственной политики в сфере защиты детей-сирот и детей, оставшихся без попечения родителей»</v>
      </c>
      <c r="M2258" s="17">
        <f t="shared" si="157"/>
        <v>1</v>
      </c>
    </row>
    <row r="2259" spans="1:13" s="23" customFormat="1" ht="31.5">
      <c r="A2259" s="21"/>
      <c r="B2259" s="164" t="s">
        <v>20</v>
      </c>
      <c r="C2259" s="109" t="s">
        <v>412</v>
      </c>
      <c r="D2259" s="108" t="s">
        <v>11</v>
      </c>
      <c r="E2259" s="108" t="s">
        <v>51</v>
      </c>
      <c r="F2259" s="108" t="s">
        <v>1361</v>
      </c>
      <c r="G2259" s="108" t="s">
        <v>21</v>
      </c>
      <c r="H2259" s="126">
        <v>1425834.9700000002</v>
      </c>
      <c r="I2259" s="108">
        <v>8410077460</v>
      </c>
      <c r="J2259" s="108" t="str">
        <f t="shared" si="156"/>
        <v>8410077460</v>
      </c>
      <c r="K2259" s="304" t="str">
        <f t="shared" si="153"/>
        <v>62101138410077460120</v>
      </c>
      <c r="L2259" s="17" t="str">
        <f>INDEX('реш СГД № 265'!$A:$N,MATCH('БА расх 2018 31 12 2018'!$K2259,'реш СГД № 265'!$N:$N,0),3)</f>
        <v>Расходы на выплаты персоналу государственных (муниципальных) органов</v>
      </c>
      <c r="M2259" s="16">
        <f t="shared" si="157"/>
        <v>1</v>
      </c>
    </row>
    <row r="2260" spans="1:13" s="23" customFormat="1" ht="31.5">
      <c r="A2260" s="21"/>
      <c r="B2260" s="127" t="s">
        <v>40</v>
      </c>
      <c r="C2260" s="109" t="s">
        <v>412</v>
      </c>
      <c r="D2260" s="108" t="s">
        <v>11</v>
      </c>
      <c r="E2260" s="108" t="s">
        <v>51</v>
      </c>
      <c r="F2260" s="108" t="s">
        <v>1361</v>
      </c>
      <c r="G2260" s="108" t="s">
        <v>41</v>
      </c>
      <c r="H2260" s="126">
        <v>1095111.3400000001</v>
      </c>
      <c r="I2260" s="108">
        <v>8410077460</v>
      </c>
      <c r="J2260" s="108" t="str">
        <f t="shared" si="156"/>
        <v>8410077460</v>
      </c>
      <c r="K2260" s="304" t="str">
        <f t="shared" si="153"/>
        <v>62101138410077460121</v>
      </c>
      <c r="L2260" s="17"/>
      <c r="M2260" s="16"/>
    </row>
    <row r="2261" spans="1:13" s="23" customFormat="1" ht="47.25">
      <c r="A2261" s="21"/>
      <c r="B2261" s="127" t="s">
        <v>26</v>
      </c>
      <c r="C2261" s="109" t="s">
        <v>412</v>
      </c>
      <c r="D2261" s="108" t="s">
        <v>11</v>
      </c>
      <c r="E2261" s="108" t="s">
        <v>51</v>
      </c>
      <c r="F2261" s="108" t="s">
        <v>1361</v>
      </c>
      <c r="G2261" s="108" t="s">
        <v>27</v>
      </c>
      <c r="H2261" s="126">
        <v>330723.63</v>
      </c>
      <c r="I2261" s="108">
        <v>8410077460</v>
      </c>
      <c r="J2261" s="108" t="str">
        <f t="shared" si="156"/>
        <v>8410077460</v>
      </c>
      <c r="K2261" s="304" t="str">
        <f t="shared" si="153"/>
        <v>62101138410077460129</v>
      </c>
      <c r="L2261" s="17"/>
      <c r="M2261" s="16"/>
    </row>
    <row r="2262" spans="1:13" s="23" customFormat="1" ht="31.5">
      <c r="A2262" s="21"/>
      <c r="B2262" s="125" t="s">
        <v>2272</v>
      </c>
      <c r="C2262" s="109" t="s">
        <v>412</v>
      </c>
      <c r="D2262" s="108" t="s">
        <v>11</v>
      </c>
      <c r="E2262" s="108" t="s">
        <v>51</v>
      </c>
      <c r="F2262" s="108" t="s">
        <v>2273</v>
      </c>
      <c r="G2262" s="108" t="s">
        <v>9</v>
      </c>
      <c r="H2262" s="126">
        <v>9879120</v>
      </c>
      <c r="I2262" s="108">
        <v>8410077500</v>
      </c>
      <c r="J2262" s="108" t="str">
        <f t="shared" si="156"/>
        <v>8410077500</v>
      </c>
      <c r="K2262" s="304" t="str">
        <f t="shared" si="153"/>
        <v>62101138410077500000</v>
      </c>
      <c r="L2262" s="400" t="e">
        <f>INDEX('реш СГД № 265'!$A:$N,MATCH('БА расх 2018 31 12 2018'!$K2262,'реш СГД № 265'!$N:$N,0),3)</f>
        <v>#N/A</v>
      </c>
      <c r="M2262" s="17" t="e">
        <f t="shared" si="157"/>
        <v>#N/A</v>
      </c>
    </row>
    <row r="2263" spans="1:13" s="23" customFormat="1" ht="31.5">
      <c r="A2263" s="21"/>
      <c r="B2263" s="164" t="s">
        <v>20</v>
      </c>
      <c r="C2263" s="109" t="s">
        <v>412</v>
      </c>
      <c r="D2263" s="108" t="s">
        <v>11</v>
      </c>
      <c r="E2263" s="108" t="s">
        <v>51</v>
      </c>
      <c r="F2263" s="108" t="s">
        <v>2273</v>
      </c>
      <c r="G2263" s="108" t="s">
        <v>21</v>
      </c>
      <c r="H2263" s="126">
        <v>9714120</v>
      </c>
      <c r="I2263" s="108">
        <v>8410077500</v>
      </c>
      <c r="J2263" s="108" t="str">
        <f t="shared" si="156"/>
        <v>8410077500</v>
      </c>
      <c r="K2263" s="304" t="str">
        <f t="shared" si="153"/>
        <v>62101138410077500120</v>
      </c>
      <c r="L2263" s="400" t="e">
        <f>INDEX('реш СГД № 265'!$A:$N,MATCH('БА расх 2018 31 12 2018'!$K2263,'реш СГД № 265'!$N:$N,0),3)</f>
        <v>#N/A</v>
      </c>
      <c r="M2263" s="17" t="e">
        <f t="shared" si="157"/>
        <v>#N/A</v>
      </c>
    </row>
    <row r="2264" spans="1:13" s="23" customFormat="1" ht="31.5">
      <c r="A2264" s="21"/>
      <c r="B2264" s="127" t="s">
        <v>40</v>
      </c>
      <c r="C2264" s="109" t="s">
        <v>412</v>
      </c>
      <c r="D2264" s="108" t="s">
        <v>11</v>
      </c>
      <c r="E2264" s="108" t="s">
        <v>51</v>
      </c>
      <c r="F2264" s="108" t="s">
        <v>2273</v>
      </c>
      <c r="G2264" s="108" t="s">
        <v>41</v>
      </c>
      <c r="H2264" s="126">
        <v>7320500</v>
      </c>
      <c r="I2264" s="108">
        <v>8410077500</v>
      </c>
      <c r="J2264" s="108" t="str">
        <f t="shared" si="156"/>
        <v>8410077500</v>
      </c>
      <c r="K2264" s="304" t="str">
        <f t="shared" si="153"/>
        <v>62101138410077500121</v>
      </c>
      <c r="L2264" s="17"/>
      <c r="M2264" s="16"/>
    </row>
    <row r="2265" spans="1:13" s="23" customFormat="1" ht="31.5">
      <c r="A2265" s="21"/>
      <c r="B2265" s="127" t="s">
        <v>22</v>
      </c>
      <c r="C2265" s="109" t="s">
        <v>412</v>
      </c>
      <c r="D2265" s="108" t="s">
        <v>11</v>
      </c>
      <c r="E2265" s="108" t="s">
        <v>51</v>
      </c>
      <c r="F2265" s="108" t="s">
        <v>2273</v>
      </c>
      <c r="G2265" s="108" t="s">
        <v>23</v>
      </c>
      <c r="H2265" s="126">
        <v>140420</v>
      </c>
      <c r="I2265" s="108">
        <v>8410077500</v>
      </c>
      <c r="J2265" s="108" t="str">
        <f t="shared" si="156"/>
        <v>8410077500</v>
      </c>
      <c r="K2265" s="304" t="str">
        <f t="shared" si="153"/>
        <v>62101138410077500122</v>
      </c>
      <c r="L2265" s="17"/>
      <c r="M2265" s="16"/>
    </row>
    <row r="2266" spans="1:13" s="23" customFormat="1" ht="47.25">
      <c r="A2266" s="21"/>
      <c r="B2266" s="127" t="s">
        <v>26</v>
      </c>
      <c r="C2266" s="109" t="s">
        <v>412</v>
      </c>
      <c r="D2266" s="108" t="s">
        <v>11</v>
      </c>
      <c r="E2266" s="108" t="s">
        <v>51</v>
      </c>
      <c r="F2266" s="108" t="s">
        <v>2273</v>
      </c>
      <c r="G2266" s="108" t="s">
        <v>27</v>
      </c>
      <c r="H2266" s="126">
        <v>2253200</v>
      </c>
      <c r="I2266" s="108">
        <v>8410077500</v>
      </c>
      <c r="J2266" s="108" t="str">
        <f t="shared" si="156"/>
        <v>8410077500</v>
      </c>
      <c r="K2266" s="304" t="str">
        <f t="shared" si="153"/>
        <v>62101138410077500129</v>
      </c>
      <c r="L2266" s="17"/>
      <c r="M2266" s="16"/>
    </row>
    <row r="2267" spans="1:13" s="23" customFormat="1" ht="31.5">
      <c r="A2267" s="21"/>
      <c r="B2267" s="164" t="s">
        <v>28</v>
      </c>
      <c r="C2267" s="109" t="s">
        <v>412</v>
      </c>
      <c r="D2267" s="108" t="s">
        <v>11</v>
      </c>
      <c r="E2267" s="108" t="s">
        <v>51</v>
      </c>
      <c r="F2267" s="108" t="s">
        <v>2273</v>
      </c>
      <c r="G2267" s="108" t="s">
        <v>29</v>
      </c>
      <c r="H2267" s="126">
        <v>165000</v>
      </c>
      <c r="I2267" s="108">
        <v>8410077500</v>
      </c>
      <c r="J2267" s="108" t="str">
        <f t="shared" si="156"/>
        <v>8410077500</v>
      </c>
      <c r="K2267" s="304" t="str">
        <f t="shared" si="153"/>
        <v>62101138410077500240</v>
      </c>
      <c r="L2267" s="400" t="e">
        <f>INDEX('реш СГД № 265'!$A:$N,MATCH('БА расх 2018 31 12 2018'!$K2267,'реш СГД № 265'!$N:$N,0),3)</f>
        <v>#N/A</v>
      </c>
      <c r="M2267" s="17" t="e">
        <f t="shared" si="157"/>
        <v>#N/A</v>
      </c>
    </row>
    <row r="2268" spans="1:13" s="23" customFormat="1" ht="15.75">
      <c r="A2268" s="21"/>
      <c r="B2268" s="125" t="s">
        <v>30</v>
      </c>
      <c r="C2268" s="109" t="s">
        <v>412</v>
      </c>
      <c r="D2268" s="108" t="s">
        <v>11</v>
      </c>
      <c r="E2268" s="108" t="s">
        <v>51</v>
      </c>
      <c r="F2268" s="108" t="s">
        <v>2273</v>
      </c>
      <c r="G2268" s="108" t="s">
        <v>31</v>
      </c>
      <c r="H2268" s="126">
        <v>165000</v>
      </c>
      <c r="I2268" s="108">
        <v>8410077500</v>
      </c>
      <c r="J2268" s="108" t="str">
        <f t="shared" si="156"/>
        <v>8410077500</v>
      </c>
      <c r="K2268" s="304" t="str">
        <f t="shared" si="153"/>
        <v>62101138410077500244</v>
      </c>
      <c r="L2268" s="17"/>
      <c r="M2268" s="16"/>
    </row>
    <row r="2269" spans="1:13" s="23" customFormat="1" ht="236.25">
      <c r="A2269" s="21"/>
      <c r="B2269" s="127" t="s">
        <v>2247</v>
      </c>
      <c r="C2269" s="109" t="s">
        <v>412</v>
      </c>
      <c r="D2269" s="108" t="s">
        <v>11</v>
      </c>
      <c r="E2269" s="108" t="s">
        <v>51</v>
      </c>
      <c r="F2269" s="108" t="s">
        <v>2274</v>
      </c>
      <c r="G2269" s="108" t="s">
        <v>9</v>
      </c>
      <c r="H2269" s="126">
        <v>26706.63</v>
      </c>
      <c r="I2269" s="108">
        <v>8410077580</v>
      </c>
      <c r="J2269" s="108" t="str">
        <f t="shared" si="156"/>
        <v>8410077580</v>
      </c>
      <c r="K2269" s="304" t="str">
        <f t="shared" si="153"/>
        <v>62101138410077580000</v>
      </c>
      <c r="L2269" s="17" t="str">
        <f>INDEX('реш СГД № 265'!$A:$N,MATCH('БА расх 2018 31 12 2018'!$K2269,'реш СГД № 265'!$N:$N,0),3)</f>
        <v>Субсидии на компенсацию расходов на обеспечение выплаты лицам, не замещающим муниципальные должности муниципальной службы и исполняющим обязанности по техническому обеспечению деятельности органов местного самоуправления муниципальных образований, работникам органов местного самоуправления муниципальных образований, осуществляющим профессиональную деятельность по профессиям рабочих, и работникам муниципальных учреждений заработной платы не ниже установленного с 01 мая 2018 года федеральным законом минимального размера оплаты труда, а также компенсацию расходов на обеспечение выплаты работникам муниципальных учреждений с 01 января 2018 года коэффициента к заработной плате за работу в пустынных и безводных местностях</v>
      </c>
      <c r="M2269" s="16">
        <f t="shared" si="157"/>
        <v>1</v>
      </c>
    </row>
    <row r="2270" spans="1:13" s="23" customFormat="1" ht="31.5">
      <c r="A2270" s="21"/>
      <c r="B2270" s="164" t="s">
        <v>20</v>
      </c>
      <c r="C2270" s="109" t="s">
        <v>412</v>
      </c>
      <c r="D2270" s="108" t="s">
        <v>11</v>
      </c>
      <c r="E2270" s="108" t="s">
        <v>51</v>
      </c>
      <c r="F2270" s="108" t="s">
        <v>2274</v>
      </c>
      <c r="G2270" s="108" t="s">
        <v>21</v>
      </c>
      <c r="H2270" s="126">
        <v>26706.63</v>
      </c>
      <c r="I2270" s="108">
        <v>8410077580</v>
      </c>
      <c r="J2270" s="108" t="str">
        <f t="shared" si="156"/>
        <v>8410077580</v>
      </c>
      <c r="K2270" s="304" t="str">
        <f t="shared" si="153"/>
        <v>62101138410077580120</v>
      </c>
      <c r="L2270" s="17" t="str">
        <f>INDEX('реш СГД № 265'!$A:$N,MATCH('БА расх 2018 31 12 2018'!$K2270,'реш СГД № 265'!$N:$N,0),3)</f>
        <v>Расходы на выплаты персоналу государственных (муниципальных) органов</v>
      </c>
      <c r="M2270" s="16">
        <f t="shared" si="157"/>
        <v>1</v>
      </c>
    </row>
    <row r="2271" spans="1:13" s="23" customFormat="1" ht="31.5">
      <c r="A2271" s="21"/>
      <c r="B2271" s="127" t="s">
        <v>40</v>
      </c>
      <c r="C2271" s="109" t="s">
        <v>412</v>
      </c>
      <c r="D2271" s="108" t="s">
        <v>11</v>
      </c>
      <c r="E2271" s="108" t="s">
        <v>51</v>
      </c>
      <c r="F2271" s="108" t="s">
        <v>2274</v>
      </c>
      <c r="G2271" s="108" t="s">
        <v>41</v>
      </c>
      <c r="H2271" s="126">
        <v>20512</v>
      </c>
      <c r="I2271" s="108">
        <v>8410077580</v>
      </c>
      <c r="J2271" s="108" t="str">
        <f t="shared" si="156"/>
        <v>8410077580</v>
      </c>
      <c r="K2271" s="304" t="str">
        <f t="shared" si="153"/>
        <v>62101138410077580121</v>
      </c>
      <c r="L2271" s="17"/>
      <c r="M2271" s="16"/>
    </row>
    <row r="2272" spans="1:13" s="23" customFormat="1" ht="47.25">
      <c r="A2272" s="21"/>
      <c r="B2272" s="127" t="s">
        <v>26</v>
      </c>
      <c r="C2272" s="109" t="s">
        <v>412</v>
      </c>
      <c r="D2272" s="108" t="s">
        <v>11</v>
      </c>
      <c r="E2272" s="108" t="s">
        <v>51</v>
      </c>
      <c r="F2272" s="108" t="s">
        <v>2274</v>
      </c>
      <c r="G2272" s="108" t="s">
        <v>27</v>
      </c>
      <c r="H2272" s="126">
        <v>6194.63</v>
      </c>
      <c r="I2272" s="108">
        <v>8410077580</v>
      </c>
      <c r="J2272" s="108" t="str">
        <f t="shared" si="156"/>
        <v>8410077580</v>
      </c>
      <c r="K2272" s="304" t="str">
        <f t="shared" si="153"/>
        <v>62101138410077580129</v>
      </c>
      <c r="L2272" s="17"/>
      <c r="M2272" s="16"/>
    </row>
    <row r="2273" spans="1:13" s="23" customFormat="1" ht="31.5">
      <c r="A2273" s="21"/>
      <c r="B2273" s="127" t="s">
        <v>2275</v>
      </c>
      <c r="C2273" s="109" t="s">
        <v>412</v>
      </c>
      <c r="D2273" s="108" t="s">
        <v>11</v>
      </c>
      <c r="E2273" s="108" t="s">
        <v>51</v>
      </c>
      <c r="F2273" s="108" t="s">
        <v>2276</v>
      </c>
      <c r="G2273" s="108" t="s">
        <v>9</v>
      </c>
      <c r="H2273" s="126">
        <v>519953.68</v>
      </c>
      <c r="I2273" s="108" t="s">
        <v>2208</v>
      </c>
      <c r="J2273" s="108" t="str">
        <f t="shared" si="156"/>
        <v>84100S7500</v>
      </c>
      <c r="K2273" s="304" t="str">
        <f t="shared" si="153"/>
        <v>621011384100S7500000</v>
      </c>
      <c r="L2273" s="400" t="e">
        <f>INDEX('реш СГД № 265'!$A:$N,MATCH('БА расх 2018 31 12 2018'!$K2273,'реш СГД № 265'!$N:$N,0),3)</f>
        <v>#N/A</v>
      </c>
      <c r="M2273" s="17" t="e">
        <f t="shared" si="157"/>
        <v>#N/A</v>
      </c>
    </row>
    <row r="2274" spans="1:13" s="23" customFormat="1" ht="31.5">
      <c r="A2274" s="21"/>
      <c r="B2274" s="164" t="s">
        <v>20</v>
      </c>
      <c r="C2274" s="109" t="s">
        <v>412</v>
      </c>
      <c r="D2274" s="108" t="s">
        <v>11</v>
      </c>
      <c r="E2274" s="108" t="s">
        <v>51</v>
      </c>
      <c r="F2274" s="108" t="s">
        <v>2276</v>
      </c>
      <c r="G2274" s="108" t="s">
        <v>21</v>
      </c>
      <c r="H2274" s="126">
        <v>511269.47</v>
      </c>
      <c r="I2274" s="108" t="s">
        <v>2208</v>
      </c>
      <c r="J2274" s="108" t="str">
        <f t="shared" si="156"/>
        <v>84100S7500</v>
      </c>
      <c r="K2274" s="304" t="str">
        <f t="shared" si="153"/>
        <v>621011384100S7500120</v>
      </c>
      <c r="L2274" s="400" t="e">
        <f>INDEX('реш СГД № 265'!$A:$N,MATCH('БА расх 2018 31 12 2018'!$K2274,'реш СГД № 265'!$N:$N,0),3)</f>
        <v>#N/A</v>
      </c>
      <c r="M2274" s="17" t="e">
        <f t="shared" si="157"/>
        <v>#N/A</v>
      </c>
    </row>
    <row r="2275" spans="1:13" s="23" customFormat="1" ht="31.5">
      <c r="A2275" s="21"/>
      <c r="B2275" s="127" t="s">
        <v>40</v>
      </c>
      <c r="C2275" s="109" t="s">
        <v>412</v>
      </c>
      <c r="D2275" s="108" t="s">
        <v>11</v>
      </c>
      <c r="E2275" s="108" t="s">
        <v>51</v>
      </c>
      <c r="F2275" s="108" t="s">
        <v>2276</v>
      </c>
      <c r="G2275" s="108" t="s">
        <v>41</v>
      </c>
      <c r="H2275" s="126">
        <v>385289.47</v>
      </c>
      <c r="I2275" s="108" t="s">
        <v>2208</v>
      </c>
      <c r="J2275" s="108" t="str">
        <f t="shared" si="156"/>
        <v>84100S7500</v>
      </c>
      <c r="K2275" s="304" t="str">
        <f t="shared" si="153"/>
        <v>621011384100S7500121</v>
      </c>
      <c r="L2275" s="17"/>
      <c r="M2275" s="16"/>
    </row>
    <row r="2276" spans="1:13" s="23" customFormat="1" ht="31.5">
      <c r="A2276" s="21"/>
      <c r="B2276" s="127" t="s">
        <v>22</v>
      </c>
      <c r="C2276" s="109" t="s">
        <v>412</v>
      </c>
      <c r="D2276" s="108" t="s">
        <v>11</v>
      </c>
      <c r="E2276" s="108" t="s">
        <v>51</v>
      </c>
      <c r="F2276" s="108" t="s">
        <v>2276</v>
      </c>
      <c r="G2276" s="108" t="s">
        <v>23</v>
      </c>
      <c r="H2276" s="126">
        <v>7390.53</v>
      </c>
      <c r="I2276" s="108" t="s">
        <v>2208</v>
      </c>
      <c r="J2276" s="108" t="str">
        <f t="shared" si="156"/>
        <v>84100S7500</v>
      </c>
      <c r="K2276" s="304" t="str">
        <f t="shared" si="153"/>
        <v>621011384100S7500122</v>
      </c>
      <c r="L2276" s="17"/>
      <c r="M2276" s="16"/>
    </row>
    <row r="2277" spans="1:13" s="23" customFormat="1" ht="47.25">
      <c r="A2277" s="21"/>
      <c r="B2277" s="127" t="s">
        <v>26</v>
      </c>
      <c r="C2277" s="109" t="s">
        <v>412</v>
      </c>
      <c r="D2277" s="108" t="s">
        <v>11</v>
      </c>
      <c r="E2277" s="108" t="s">
        <v>51</v>
      </c>
      <c r="F2277" s="108" t="s">
        <v>2276</v>
      </c>
      <c r="G2277" s="108" t="s">
        <v>27</v>
      </c>
      <c r="H2277" s="126">
        <v>118589.47</v>
      </c>
      <c r="I2277" s="108" t="s">
        <v>2208</v>
      </c>
      <c r="J2277" s="108" t="str">
        <f t="shared" si="156"/>
        <v>84100S7500</v>
      </c>
      <c r="K2277" s="304" t="str">
        <f t="shared" si="153"/>
        <v>621011384100S7500129</v>
      </c>
      <c r="L2277" s="17"/>
      <c r="M2277" s="16"/>
    </row>
    <row r="2278" spans="1:13" s="23" customFormat="1" ht="31.5">
      <c r="A2278" s="21"/>
      <c r="B2278" s="125" t="s">
        <v>28</v>
      </c>
      <c r="C2278" s="109" t="s">
        <v>412</v>
      </c>
      <c r="D2278" s="108" t="s">
        <v>11</v>
      </c>
      <c r="E2278" s="108" t="s">
        <v>51</v>
      </c>
      <c r="F2278" s="108" t="s">
        <v>2276</v>
      </c>
      <c r="G2278" s="108" t="s">
        <v>29</v>
      </c>
      <c r="H2278" s="126">
        <v>8684.2099999999991</v>
      </c>
      <c r="I2278" s="108" t="s">
        <v>2208</v>
      </c>
      <c r="J2278" s="108" t="str">
        <f t="shared" si="156"/>
        <v>84100S7500</v>
      </c>
      <c r="K2278" s="304" t="str">
        <f t="shared" si="153"/>
        <v>621011384100S7500240</v>
      </c>
      <c r="L2278" s="400" t="e">
        <f>INDEX('реш СГД № 265'!$A:$N,MATCH('БА расх 2018 31 12 2018'!$K2278,'реш СГД № 265'!$N:$N,0),3)</f>
        <v>#N/A</v>
      </c>
      <c r="M2278" s="17" t="e">
        <f t="shared" si="157"/>
        <v>#N/A</v>
      </c>
    </row>
    <row r="2279" spans="1:13" s="23" customFormat="1" ht="15.75">
      <c r="A2279" s="21"/>
      <c r="B2279" s="125" t="s">
        <v>30</v>
      </c>
      <c r="C2279" s="109" t="s">
        <v>412</v>
      </c>
      <c r="D2279" s="108" t="s">
        <v>11</v>
      </c>
      <c r="E2279" s="108" t="s">
        <v>51</v>
      </c>
      <c r="F2279" s="108" t="s">
        <v>2276</v>
      </c>
      <c r="G2279" s="108" t="s">
        <v>31</v>
      </c>
      <c r="H2279" s="126">
        <v>8684.2099999999991</v>
      </c>
      <c r="I2279" s="108" t="s">
        <v>2208</v>
      </c>
      <c r="J2279" s="108" t="str">
        <f t="shared" si="156"/>
        <v>84100S7500</v>
      </c>
      <c r="K2279" s="304" t="str">
        <f t="shared" si="153"/>
        <v>621011384100S7500244</v>
      </c>
      <c r="L2279" s="17"/>
      <c r="M2279" s="16"/>
    </row>
    <row r="2280" spans="1:13" s="16" customFormat="1" ht="15.75">
      <c r="A2280" s="14"/>
      <c r="B2280" s="164" t="s">
        <v>52</v>
      </c>
      <c r="C2280" s="109" t="s">
        <v>412</v>
      </c>
      <c r="D2280" s="108" t="s">
        <v>11</v>
      </c>
      <c r="E2280" s="108" t="s">
        <v>51</v>
      </c>
      <c r="F2280" s="108" t="s">
        <v>917</v>
      </c>
      <c r="G2280" s="108" t="s">
        <v>9</v>
      </c>
      <c r="H2280" s="126">
        <v>4642500.46</v>
      </c>
      <c r="I2280" s="108">
        <v>8420000000</v>
      </c>
      <c r="J2280" s="108" t="str">
        <f t="shared" si="156"/>
        <v>8420000000</v>
      </c>
      <c r="K2280" s="304" t="str">
        <f t="shared" si="153"/>
        <v>62101138420000000000</v>
      </c>
      <c r="L2280" s="17" t="str">
        <f>INDEX('реш СГД № 265'!$A:$N,MATCH('БА расх 2018 31 12 2018'!$K2280,'реш СГД № 265'!$N:$N,0),3)</f>
        <v>Расходы, предусмотренные на иные цели</v>
      </c>
      <c r="M2280" s="16">
        <f t="shared" si="157"/>
        <v>1</v>
      </c>
    </row>
    <row r="2281" spans="1:13" s="16" customFormat="1" ht="47.25">
      <c r="A2281" s="14"/>
      <c r="B2281" s="164" t="s">
        <v>918</v>
      </c>
      <c r="C2281" s="109" t="s">
        <v>412</v>
      </c>
      <c r="D2281" s="108" t="s">
        <v>11</v>
      </c>
      <c r="E2281" s="108" t="s">
        <v>51</v>
      </c>
      <c r="F2281" s="108" t="s">
        <v>919</v>
      </c>
      <c r="G2281" s="108" t="s">
        <v>9</v>
      </c>
      <c r="H2281" s="126">
        <v>393650</v>
      </c>
      <c r="I2281" s="108">
        <v>8420020740</v>
      </c>
      <c r="J2281" s="108" t="str">
        <f t="shared" si="156"/>
        <v>8420020740</v>
      </c>
      <c r="K2281" s="304" t="str">
        <f t="shared" si="153"/>
        <v>62101138420020740000</v>
      </c>
      <c r="L2281" s="17" t="str">
        <f>INDEX('реш СГД № 265'!$A:$N,MATCH('БА расх 2018 31 12 2018'!$K2281,'реш СГД № 265'!$N:$N,0),3)</f>
        <v>Расходы на судебные издержки комитета градостроительства администрации города Ставрополя по искам о сносе самовольных построек</v>
      </c>
      <c r="M2281" s="16">
        <f t="shared" si="157"/>
        <v>1</v>
      </c>
    </row>
    <row r="2282" spans="1:13" s="16" customFormat="1" ht="31.5">
      <c r="A2282" s="14"/>
      <c r="B2282" s="125" t="s">
        <v>28</v>
      </c>
      <c r="C2282" s="109" t="s">
        <v>412</v>
      </c>
      <c r="D2282" s="108" t="s">
        <v>11</v>
      </c>
      <c r="E2282" s="108" t="s">
        <v>51</v>
      </c>
      <c r="F2282" s="108" t="s">
        <v>919</v>
      </c>
      <c r="G2282" s="108" t="s">
        <v>29</v>
      </c>
      <c r="H2282" s="126">
        <v>180794</v>
      </c>
      <c r="I2282" s="108">
        <v>8420020740</v>
      </c>
      <c r="J2282" s="108" t="str">
        <f t="shared" si="156"/>
        <v>8420020740</v>
      </c>
      <c r="K2282" s="304" t="str">
        <f t="shared" si="153"/>
        <v>62101138420020740240</v>
      </c>
      <c r="L2282" s="17" t="str">
        <f>INDEX('реш СГД № 265'!$A:$N,MATCH('БА расх 2018 31 12 2018'!$K2282,'реш СГД № 265'!$N:$N,0),3)</f>
        <v>Иные закупки товаров, работ и услуг для обеспечения государственных (муниципальных) нужд</v>
      </c>
      <c r="M2282" s="16">
        <f t="shared" si="157"/>
        <v>1</v>
      </c>
    </row>
    <row r="2283" spans="1:13" s="16" customFormat="1" ht="15.75">
      <c r="A2283" s="14"/>
      <c r="B2283" s="125" t="s">
        <v>30</v>
      </c>
      <c r="C2283" s="109" t="s">
        <v>412</v>
      </c>
      <c r="D2283" s="108" t="s">
        <v>11</v>
      </c>
      <c r="E2283" s="108" t="s">
        <v>51</v>
      </c>
      <c r="F2283" s="108" t="s">
        <v>919</v>
      </c>
      <c r="G2283" s="108" t="s">
        <v>31</v>
      </c>
      <c r="H2283" s="126">
        <v>180794</v>
      </c>
      <c r="I2283" s="108">
        <v>8420020740</v>
      </c>
      <c r="J2283" s="108" t="str">
        <f t="shared" si="156"/>
        <v>8420020740</v>
      </c>
      <c r="K2283" s="304" t="str">
        <f t="shared" si="153"/>
        <v>62101138420020740244</v>
      </c>
      <c r="L2283" s="17"/>
    </row>
    <row r="2284" spans="1:13" s="16" customFormat="1" ht="15.75">
      <c r="A2284" s="14"/>
      <c r="B2284" s="132" t="s">
        <v>189</v>
      </c>
      <c r="C2284" s="109" t="s">
        <v>412</v>
      </c>
      <c r="D2284" s="108" t="s">
        <v>11</v>
      </c>
      <c r="E2284" s="108" t="s">
        <v>51</v>
      </c>
      <c r="F2284" s="108" t="s">
        <v>919</v>
      </c>
      <c r="G2284" s="108" t="s">
        <v>190</v>
      </c>
      <c r="H2284" s="126">
        <v>212856</v>
      </c>
      <c r="I2284" s="108">
        <v>8420020740</v>
      </c>
      <c r="J2284" s="108" t="str">
        <f t="shared" si="156"/>
        <v>8420020740</v>
      </c>
      <c r="K2284" s="304" t="str">
        <f t="shared" si="153"/>
        <v>62101138420020740830</v>
      </c>
      <c r="L2284" s="17" t="str">
        <f>INDEX('реш СГД № 265'!$A:$N,MATCH('БА расх 2018 31 12 2018'!$K2284,'реш СГД № 265'!$N:$N,0),3)</f>
        <v>Исполнение судебных актов</v>
      </c>
      <c r="M2284" s="16">
        <f t="shared" si="157"/>
        <v>1</v>
      </c>
    </row>
    <row r="2285" spans="1:13" s="16" customFormat="1" ht="31.5">
      <c r="A2285" s="14"/>
      <c r="B2285" s="127" t="s">
        <v>191</v>
      </c>
      <c r="C2285" s="109" t="s">
        <v>412</v>
      </c>
      <c r="D2285" s="108" t="s">
        <v>11</v>
      </c>
      <c r="E2285" s="108" t="s">
        <v>51</v>
      </c>
      <c r="F2285" s="108" t="s">
        <v>919</v>
      </c>
      <c r="G2285" s="108" t="s">
        <v>192</v>
      </c>
      <c r="H2285" s="126">
        <v>212856</v>
      </c>
      <c r="I2285" s="108">
        <v>8420020740</v>
      </c>
      <c r="J2285" s="108" t="str">
        <f t="shared" si="156"/>
        <v>8420020740</v>
      </c>
      <c r="K2285" s="304" t="str">
        <f t="shared" si="153"/>
        <v>62101138420020740831</v>
      </c>
      <c r="L2285" s="17"/>
    </row>
    <row r="2286" spans="1:13" s="16" customFormat="1" ht="31.5">
      <c r="A2286" s="14"/>
      <c r="B2286" s="132" t="s">
        <v>920</v>
      </c>
      <c r="C2286" s="109" t="s">
        <v>412</v>
      </c>
      <c r="D2286" s="108" t="s">
        <v>11</v>
      </c>
      <c r="E2286" s="108" t="s">
        <v>51</v>
      </c>
      <c r="F2286" s="108" t="s">
        <v>921</v>
      </c>
      <c r="G2286" s="108" t="s">
        <v>9</v>
      </c>
      <c r="H2286" s="126">
        <v>4248850.46</v>
      </c>
      <c r="I2286" s="108">
        <v>8420021100</v>
      </c>
      <c r="J2286" s="108" t="str">
        <f t="shared" si="156"/>
        <v>8420021100</v>
      </c>
      <c r="K2286" s="304" t="str">
        <f t="shared" si="153"/>
        <v>62101138420021100000</v>
      </c>
      <c r="L2286" s="17" t="str">
        <f>INDEX('реш СГД № 265'!$A:$N,MATCH('БА расх 2018 31 12 2018'!$K2286,'реш СГД № 265'!$N:$N,0),3)</f>
        <v xml:space="preserve">Расходы на демонтаж, хранение или уничтожение рекламных конструкций за счет средств местного бюджета </v>
      </c>
      <c r="M2286" s="16">
        <f t="shared" si="157"/>
        <v>1</v>
      </c>
    </row>
    <row r="2287" spans="1:13" s="16" customFormat="1" ht="31.5">
      <c r="A2287" s="14"/>
      <c r="B2287" s="125" t="s">
        <v>28</v>
      </c>
      <c r="C2287" s="109" t="s">
        <v>412</v>
      </c>
      <c r="D2287" s="108" t="s">
        <v>11</v>
      </c>
      <c r="E2287" s="108" t="s">
        <v>51</v>
      </c>
      <c r="F2287" s="108" t="s">
        <v>921</v>
      </c>
      <c r="G2287" s="108" t="s">
        <v>29</v>
      </c>
      <c r="H2287" s="126">
        <v>4248850.46</v>
      </c>
      <c r="I2287" s="108">
        <v>8420021100</v>
      </c>
      <c r="J2287" s="108" t="str">
        <f t="shared" si="156"/>
        <v>8420021100</v>
      </c>
      <c r="K2287" s="304" t="str">
        <f t="shared" si="153"/>
        <v>62101138420021100240</v>
      </c>
      <c r="L2287" s="17" t="str">
        <f>INDEX('реш СГД № 265'!$A:$N,MATCH('БА расх 2018 31 12 2018'!$K2287,'реш СГД № 265'!$N:$N,0),3)</f>
        <v>Иные закупки товаров, работ и услуг для обеспечения государственных (муниципальных) нужд</v>
      </c>
      <c r="M2287" s="16">
        <f t="shared" si="157"/>
        <v>1</v>
      </c>
    </row>
    <row r="2288" spans="1:13" s="16" customFormat="1" ht="15.75">
      <c r="A2288" s="14"/>
      <c r="B2288" s="125" t="s">
        <v>30</v>
      </c>
      <c r="C2288" s="109" t="s">
        <v>412</v>
      </c>
      <c r="D2288" s="108" t="s">
        <v>11</v>
      </c>
      <c r="E2288" s="108" t="s">
        <v>51</v>
      </c>
      <c r="F2288" s="108" t="s">
        <v>921</v>
      </c>
      <c r="G2288" s="108" t="s">
        <v>31</v>
      </c>
      <c r="H2288" s="126">
        <v>4248850.46</v>
      </c>
      <c r="I2288" s="108">
        <v>8420021100</v>
      </c>
      <c r="J2288" s="108" t="str">
        <f t="shared" si="156"/>
        <v>8420021100</v>
      </c>
      <c r="K2288" s="304" t="str">
        <f t="shared" si="153"/>
        <v>62101138420021100244</v>
      </c>
      <c r="L2288" s="17"/>
    </row>
    <row r="2289" spans="1:13" s="16" customFormat="1" ht="15.75">
      <c r="A2289" s="14"/>
      <c r="B2289" s="117" t="s">
        <v>195</v>
      </c>
      <c r="C2289" s="118" t="s">
        <v>412</v>
      </c>
      <c r="D2289" s="119" t="s">
        <v>73</v>
      </c>
      <c r="E2289" s="119" t="s">
        <v>7</v>
      </c>
      <c r="F2289" s="119" t="s">
        <v>8</v>
      </c>
      <c r="G2289" s="119" t="s">
        <v>9</v>
      </c>
      <c r="H2289" s="120">
        <v>5080744.41</v>
      </c>
      <c r="I2289" s="119">
        <v>0</v>
      </c>
      <c r="J2289" s="119" t="str">
        <f t="shared" si="156"/>
        <v>0000000000</v>
      </c>
      <c r="K2289" s="304" t="str">
        <f t="shared" si="153"/>
        <v>62104000000000000000</v>
      </c>
      <c r="L2289" s="17" t="str">
        <f>INDEX('реш СГД № 265'!$A:$N,MATCH('БА расх 2018 31 12 2018'!$K2289,'реш СГД № 265'!$N:$N,0),3)</f>
        <v>Национальная экономика</v>
      </c>
      <c r="M2289" s="16">
        <f t="shared" si="157"/>
        <v>1</v>
      </c>
    </row>
    <row r="2290" spans="1:13" s="16" customFormat="1" ht="15.75">
      <c r="A2290" s="14"/>
      <c r="B2290" s="121" t="s">
        <v>284</v>
      </c>
      <c r="C2290" s="122" t="s">
        <v>412</v>
      </c>
      <c r="D2290" s="123" t="s">
        <v>73</v>
      </c>
      <c r="E2290" s="123" t="s">
        <v>57</v>
      </c>
      <c r="F2290" s="123" t="s">
        <v>8</v>
      </c>
      <c r="G2290" s="123" t="s">
        <v>9</v>
      </c>
      <c r="H2290" s="124">
        <v>5080744.41</v>
      </c>
      <c r="I2290" s="123">
        <v>0</v>
      </c>
      <c r="J2290" s="123" t="str">
        <f t="shared" si="156"/>
        <v>0000000000</v>
      </c>
      <c r="K2290" s="304" t="str">
        <f t="shared" si="153"/>
        <v>62104120000000000000</v>
      </c>
      <c r="L2290" s="17" t="str">
        <f>INDEX('реш СГД № 265'!$A:$N,MATCH('БА расх 2018 31 12 2018'!$K2290,'реш СГД № 265'!$N:$N,0),3)</f>
        <v>Другие вопросы в области национальной экономики</v>
      </c>
      <c r="M2290" s="16">
        <f t="shared" si="157"/>
        <v>1</v>
      </c>
    </row>
    <row r="2291" spans="1:13" s="16" customFormat="1" ht="31.5">
      <c r="A2291" s="14"/>
      <c r="B2291" s="125" t="s">
        <v>922</v>
      </c>
      <c r="C2291" s="109" t="s">
        <v>412</v>
      </c>
      <c r="D2291" s="109" t="s">
        <v>73</v>
      </c>
      <c r="E2291" s="109" t="s">
        <v>57</v>
      </c>
      <c r="F2291" s="109" t="s">
        <v>923</v>
      </c>
      <c r="G2291" s="109" t="s">
        <v>9</v>
      </c>
      <c r="H2291" s="141">
        <v>5080744.41</v>
      </c>
      <c r="I2291" s="109">
        <v>500000000</v>
      </c>
      <c r="J2291" s="109" t="str">
        <f t="shared" si="156"/>
        <v>0500000000</v>
      </c>
      <c r="K2291" s="304" t="str">
        <f t="shared" si="153"/>
        <v>62104120500000000000</v>
      </c>
      <c r="L2291" s="17" t="str">
        <f>INDEX('реш СГД № 265'!$A:$N,MATCH('БА расх 2018 31 12 2018'!$K2291,'реш СГД № 265'!$N:$N,0),3)</f>
        <v>Муниципальная программа «Развитие градостроительства на территории города Ставрополя»</v>
      </c>
      <c r="M2291" s="16">
        <f t="shared" si="157"/>
        <v>1</v>
      </c>
    </row>
    <row r="2292" spans="1:13" s="16" customFormat="1" ht="47.25">
      <c r="A2292" s="14"/>
      <c r="B2292" s="125" t="s">
        <v>924</v>
      </c>
      <c r="C2292" s="109" t="s">
        <v>412</v>
      </c>
      <c r="D2292" s="109" t="s">
        <v>73</v>
      </c>
      <c r="E2292" s="109" t="s">
        <v>57</v>
      </c>
      <c r="F2292" s="109" t="s">
        <v>925</v>
      </c>
      <c r="G2292" s="109" t="s">
        <v>9</v>
      </c>
      <c r="H2292" s="141">
        <v>5080744.41</v>
      </c>
      <c r="I2292" s="109" t="s">
        <v>1251</v>
      </c>
      <c r="J2292" s="109" t="str">
        <f t="shared" si="156"/>
        <v>05Б0000000</v>
      </c>
      <c r="K2292" s="304" t="str">
        <f t="shared" si="153"/>
        <v>621041205Б0000000000</v>
      </c>
      <c r="L2292" s="17" t="str">
        <f>INDEX('реш СГД № 265'!$A:$N,MATCH('БА расх 2018 31 12 2018'!$K2292,'реш СГД № 265'!$N:$N,0),3)</f>
        <v>Расходы в рамках реализации муниципальной программы «Развитие градостроительства на территории города Ставрополя»</v>
      </c>
      <c r="M2292" s="16">
        <f t="shared" si="157"/>
        <v>1</v>
      </c>
    </row>
    <row r="2293" spans="1:13" s="16" customFormat="1" ht="63">
      <c r="A2293" s="14"/>
      <c r="B2293" s="125" t="s">
        <v>926</v>
      </c>
      <c r="C2293" s="109" t="s">
        <v>412</v>
      </c>
      <c r="D2293" s="109" t="s">
        <v>73</v>
      </c>
      <c r="E2293" s="109" t="s">
        <v>57</v>
      </c>
      <c r="F2293" s="109" t="s">
        <v>927</v>
      </c>
      <c r="G2293" s="109" t="s">
        <v>9</v>
      </c>
      <c r="H2293" s="141">
        <v>4690744.41</v>
      </c>
      <c r="I2293" s="109" t="s">
        <v>1252</v>
      </c>
      <c r="J2293" s="109" t="str">
        <f t="shared" si="156"/>
        <v>05Б0100000</v>
      </c>
      <c r="K2293" s="304" t="str">
        <f t="shared" si="153"/>
        <v>621041205Б0100000000</v>
      </c>
      <c r="L2293" s="17" t="str">
        <f>INDEX('реш СГД № 265'!$A:$N,MATCH('БА расх 2018 31 12 2018'!$K2293,'реш СГД № 265'!$N:$N,0),3)</f>
        <v>Основное мероприятие «Подготовка документов территориального планирования города Ставрополя, в том числе разработка проектов планировки территорий города Ставрополя (проектов планировки, проектов межевания)»</v>
      </c>
      <c r="M2293" s="16">
        <f t="shared" si="157"/>
        <v>1</v>
      </c>
    </row>
    <row r="2294" spans="1:13" s="16" customFormat="1" ht="31.5">
      <c r="A2294" s="14"/>
      <c r="B2294" s="127" t="s">
        <v>928</v>
      </c>
      <c r="C2294" s="109" t="s">
        <v>412</v>
      </c>
      <c r="D2294" s="109" t="s">
        <v>73</v>
      </c>
      <c r="E2294" s="109" t="s">
        <v>57</v>
      </c>
      <c r="F2294" s="109" t="s">
        <v>929</v>
      </c>
      <c r="G2294" s="109" t="s">
        <v>9</v>
      </c>
      <c r="H2294" s="141">
        <v>4690744.41</v>
      </c>
      <c r="I2294" s="109" t="s">
        <v>1253</v>
      </c>
      <c r="J2294" s="109" t="str">
        <f t="shared" si="156"/>
        <v>05Б0120390</v>
      </c>
      <c r="K2294" s="304" t="str">
        <f t="shared" si="153"/>
        <v>621041205Б0120390000</v>
      </c>
      <c r="L2294" s="17" t="str">
        <f>INDEX('реш СГД № 265'!$A:$N,MATCH('БА расх 2018 31 12 2018'!$K2294,'реш СГД № 265'!$N:$N,0),3)</f>
        <v>Расходы на подготовку документов территориального планирования города Ставрополя</v>
      </c>
      <c r="M2294" s="16">
        <f t="shared" si="157"/>
        <v>1</v>
      </c>
    </row>
    <row r="2295" spans="1:13" s="16" customFormat="1" ht="31.5">
      <c r="A2295" s="14"/>
      <c r="B2295" s="125" t="s">
        <v>28</v>
      </c>
      <c r="C2295" s="109" t="s">
        <v>412</v>
      </c>
      <c r="D2295" s="109" t="s">
        <v>73</v>
      </c>
      <c r="E2295" s="109" t="s">
        <v>57</v>
      </c>
      <c r="F2295" s="109" t="s">
        <v>929</v>
      </c>
      <c r="G2295" s="109" t="s">
        <v>29</v>
      </c>
      <c r="H2295" s="126">
        <v>4690744.41</v>
      </c>
      <c r="I2295" s="109" t="s">
        <v>1253</v>
      </c>
      <c r="J2295" s="109" t="str">
        <f t="shared" si="156"/>
        <v>05Б0120390</v>
      </c>
      <c r="K2295" s="304" t="str">
        <f t="shared" ref="K2295:K2348" si="158">C2295&amp;D2295&amp;E2295&amp;J2295&amp;G2295</f>
        <v>621041205Б0120390240</v>
      </c>
      <c r="L2295" s="17" t="str">
        <f>INDEX('реш СГД № 265'!$A:$N,MATCH('БА расх 2018 31 12 2018'!$K2295,'реш СГД № 265'!$N:$N,0),3)</f>
        <v>Иные закупки товаров, работ и услуг для обеспечения государственных (муниципальных) нужд</v>
      </c>
      <c r="M2295" s="16">
        <f t="shared" si="157"/>
        <v>1</v>
      </c>
    </row>
    <row r="2296" spans="1:13" s="16" customFormat="1" ht="15.75">
      <c r="A2296" s="14"/>
      <c r="B2296" s="125" t="s">
        <v>30</v>
      </c>
      <c r="C2296" s="109" t="s">
        <v>412</v>
      </c>
      <c r="D2296" s="109" t="s">
        <v>73</v>
      </c>
      <c r="E2296" s="109" t="s">
        <v>57</v>
      </c>
      <c r="F2296" s="109" t="s">
        <v>929</v>
      </c>
      <c r="G2296" s="109" t="s">
        <v>31</v>
      </c>
      <c r="H2296" s="126">
        <v>4690744.41</v>
      </c>
      <c r="I2296" s="109" t="s">
        <v>1253</v>
      </c>
      <c r="J2296" s="109" t="str">
        <f t="shared" ref="J2296:J2349" si="159">TEXT(I2296,"0000000000")</f>
        <v>05Б0120390</v>
      </c>
      <c r="K2296" s="304" t="str">
        <f t="shared" si="158"/>
        <v>621041205Б0120390244</v>
      </c>
      <c r="L2296" s="17"/>
    </row>
    <row r="2297" spans="1:13" s="16" customFormat="1" ht="78.75">
      <c r="A2297" s="14"/>
      <c r="B2297" s="125" t="s">
        <v>930</v>
      </c>
      <c r="C2297" s="109" t="s">
        <v>412</v>
      </c>
      <c r="D2297" s="109" t="s">
        <v>73</v>
      </c>
      <c r="E2297" s="109" t="s">
        <v>57</v>
      </c>
      <c r="F2297" s="109" t="s">
        <v>931</v>
      </c>
      <c r="G2297" s="109" t="s">
        <v>9</v>
      </c>
      <c r="H2297" s="141">
        <v>390000</v>
      </c>
      <c r="I2297" s="109" t="s">
        <v>1254</v>
      </c>
      <c r="J2297" s="109" t="str">
        <f t="shared" si="159"/>
        <v>05Б0200000</v>
      </c>
      <c r="K2297" s="304" t="str">
        <f t="shared" si="158"/>
        <v>621041205Б0200000000</v>
      </c>
      <c r="L2297" s="17" t="str">
        <f>INDEX('реш СГД № 265'!$A:$N,MATCH('БА расх 2018 31 12 2018'!$K2297,'реш СГД № 265'!$N:$N,0),3)</f>
        <v>Основное мероприятие «Выполнение функций заказчика по разработке градостроительной документации о градостроительном планировании развития и застройки территории города Ставрополя и частей территории города Ставрополя»</v>
      </c>
      <c r="M2297" s="16">
        <f t="shared" ref="M2297:M2349" si="160">IF(B2297=L2297,1,0)</f>
        <v>1</v>
      </c>
    </row>
    <row r="2298" spans="1:13" s="16" customFormat="1" ht="15.75">
      <c r="A2298" s="14"/>
      <c r="B2298" s="125" t="s">
        <v>932</v>
      </c>
      <c r="C2298" s="109" t="s">
        <v>412</v>
      </c>
      <c r="D2298" s="109" t="s">
        <v>73</v>
      </c>
      <c r="E2298" s="109" t="s">
        <v>57</v>
      </c>
      <c r="F2298" s="109" t="s">
        <v>933</v>
      </c>
      <c r="G2298" s="109" t="s">
        <v>9</v>
      </c>
      <c r="H2298" s="141">
        <v>390000</v>
      </c>
      <c r="I2298" s="109" t="s">
        <v>1255</v>
      </c>
      <c r="J2298" s="109" t="str">
        <f t="shared" si="159"/>
        <v>05Б0221190</v>
      </c>
      <c r="K2298" s="304" t="str">
        <f t="shared" si="158"/>
        <v>621041205Б0221190000</v>
      </c>
      <c r="L2298" s="17" t="str">
        <f>INDEX('реш СГД № 265'!$A:$N,MATCH('БА расх 2018 31 12 2018'!$K2298,'реш СГД № 265'!$N:$N,0),3)</f>
        <v>Расходы на разработку градостроительной документации</v>
      </c>
      <c r="M2298" s="16">
        <f t="shared" si="160"/>
        <v>1</v>
      </c>
    </row>
    <row r="2299" spans="1:13" s="16" customFormat="1" ht="31.5">
      <c r="A2299" s="14"/>
      <c r="B2299" s="125" t="s">
        <v>28</v>
      </c>
      <c r="C2299" s="109" t="s">
        <v>412</v>
      </c>
      <c r="D2299" s="109" t="s">
        <v>73</v>
      </c>
      <c r="E2299" s="109" t="s">
        <v>57</v>
      </c>
      <c r="F2299" s="109" t="s">
        <v>933</v>
      </c>
      <c r="G2299" s="109" t="s">
        <v>29</v>
      </c>
      <c r="H2299" s="126">
        <v>390000</v>
      </c>
      <c r="I2299" s="109" t="s">
        <v>1255</v>
      </c>
      <c r="J2299" s="109" t="str">
        <f t="shared" si="159"/>
        <v>05Б0221190</v>
      </c>
      <c r="K2299" s="304" t="str">
        <f t="shared" si="158"/>
        <v>621041205Б0221190240</v>
      </c>
      <c r="L2299" s="17" t="str">
        <f>INDEX('реш СГД № 265'!$A:$N,MATCH('БА расх 2018 31 12 2018'!$K2299,'реш СГД № 265'!$N:$N,0),3)</f>
        <v>Иные закупки товаров, работ и услуг для обеспечения государственных (муниципальных) нужд</v>
      </c>
      <c r="M2299" s="16">
        <f t="shared" si="160"/>
        <v>1</v>
      </c>
    </row>
    <row r="2300" spans="1:13" s="16" customFormat="1" ht="15.75">
      <c r="A2300" s="14"/>
      <c r="B2300" s="125" t="s">
        <v>30</v>
      </c>
      <c r="C2300" s="109" t="s">
        <v>412</v>
      </c>
      <c r="D2300" s="109" t="s">
        <v>73</v>
      </c>
      <c r="E2300" s="109" t="s">
        <v>57</v>
      </c>
      <c r="F2300" s="109" t="s">
        <v>933</v>
      </c>
      <c r="G2300" s="109" t="s">
        <v>31</v>
      </c>
      <c r="H2300" s="126">
        <v>390000</v>
      </c>
      <c r="I2300" s="109" t="s">
        <v>1255</v>
      </c>
      <c r="J2300" s="109" t="str">
        <f t="shared" si="159"/>
        <v>05Б0221190</v>
      </c>
      <c r="K2300" s="304" t="str">
        <f t="shared" si="158"/>
        <v>621041205Б0221190244</v>
      </c>
      <c r="L2300" s="17"/>
    </row>
    <row r="2301" spans="1:13" s="16" customFormat="1" ht="15.75">
      <c r="A2301" s="14"/>
      <c r="B2301" s="117" t="s">
        <v>305</v>
      </c>
      <c r="C2301" s="118" t="s">
        <v>412</v>
      </c>
      <c r="D2301" s="119" t="s">
        <v>86</v>
      </c>
      <c r="E2301" s="119" t="s">
        <v>7</v>
      </c>
      <c r="F2301" s="119" t="s">
        <v>8</v>
      </c>
      <c r="G2301" s="119" t="s">
        <v>9</v>
      </c>
      <c r="H2301" s="120">
        <v>419304338.41000003</v>
      </c>
      <c r="I2301" s="119">
        <v>0</v>
      </c>
      <c r="J2301" s="119" t="str">
        <f t="shared" si="159"/>
        <v>0000000000</v>
      </c>
      <c r="K2301" s="304" t="str">
        <f t="shared" si="158"/>
        <v>62105000000000000000</v>
      </c>
      <c r="L2301" s="17" t="str">
        <f>INDEX('реш СГД № 265'!$A:$N,MATCH('БА расх 2018 31 12 2018'!$K2301,'реш СГД № 265'!$N:$N,0),3)</f>
        <v>Жилищно-коммунальное хозяйство</v>
      </c>
      <c r="M2301" s="16">
        <f t="shared" si="160"/>
        <v>1</v>
      </c>
    </row>
    <row r="2302" spans="1:13" s="16" customFormat="1" ht="15.75">
      <c r="A2302" s="14"/>
      <c r="B2302" s="121" t="s">
        <v>765</v>
      </c>
      <c r="C2302" s="122" t="s">
        <v>412</v>
      </c>
      <c r="D2302" s="123" t="s">
        <v>86</v>
      </c>
      <c r="E2302" s="123" t="s">
        <v>11</v>
      </c>
      <c r="F2302" s="123" t="s">
        <v>8</v>
      </c>
      <c r="G2302" s="123" t="s">
        <v>9</v>
      </c>
      <c r="H2302" s="124">
        <v>1139500</v>
      </c>
      <c r="I2302" s="123">
        <v>0</v>
      </c>
      <c r="J2302" s="123" t="str">
        <f t="shared" si="159"/>
        <v>0000000000</v>
      </c>
      <c r="K2302" s="304" t="str">
        <f t="shared" si="158"/>
        <v>62105010000000000000</v>
      </c>
      <c r="L2302" s="17" t="str">
        <f>INDEX('реш СГД № 265'!$A:$N,MATCH('БА расх 2018 31 12 2018'!$K2302,'реш СГД № 265'!$N:$N,0),3)</f>
        <v>Жилищное хозяйство</v>
      </c>
      <c r="M2302" s="16">
        <f t="shared" si="160"/>
        <v>1</v>
      </c>
    </row>
    <row r="2303" spans="1:13" s="16" customFormat="1" ht="31.5">
      <c r="A2303" s="14"/>
      <c r="B2303" s="164" t="s">
        <v>911</v>
      </c>
      <c r="C2303" s="109" t="s">
        <v>412</v>
      </c>
      <c r="D2303" s="108" t="s">
        <v>86</v>
      </c>
      <c r="E2303" s="108" t="s">
        <v>11</v>
      </c>
      <c r="F2303" s="108" t="s">
        <v>912</v>
      </c>
      <c r="G2303" s="108" t="s">
        <v>9</v>
      </c>
      <c r="H2303" s="126">
        <v>1139500</v>
      </c>
      <c r="I2303" s="108">
        <v>8400000000</v>
      </c>
      <c r="J2303" s="108" t="str">
        <f t="shared" si="159"/>
        <v>8400000000</v>
      </c>
      <c r="K2303" s="304" t="str">
        <f t="shared" si="158"/>
        <v>62105018400000000000</v>
      </c>
      <c r="L2303" s="17" t="str">
        <f>INDEX('реш СГД № 265'!$A:$N,MATCH('БА расх 2018 31 12 2018'!$K2303,'реш СГД № 265'!$N:$N,0),3)</f>
        <v>Обеспечение деятельности комитета градостроительства администрации города Ставрополя</v>
      </c>
      <c r="M2303" s="16">
        <f t="shared" si="160"/>
        <v>1</v>
      </c>
    </row>
    <row r="2304" spans="1:13" s="16" customFormat="1" ht="15.75">
      <c r="A2304" s="14"/>
      <c r="B2304" s="164" t="s">
        <v>52</v>
      </c>
      <c r="C2304" s="109" t="s">
        <v>412</v>
      </c>
      <c r="D2304" s="108" t="s">
        <v>86</v>
      </c>
      <c r="E2304" s="108" t="s">
        <v>11</v>
      </c>
      <c r="F2304" s="108" t="s">
        <v>917</v>
      </c>
      <c r="G2304" s="108" t="s">
        <v>9</v>
      </c>
      <c r="H2304" s="126">
        <v>1139500</v>
      </c>
      <c r="I2304" s="108">
        <v>8420000000</v>
      </c>
      <c r="J2304" s="108" t="str">
        <f t="shared" si="159"/>
        <v>8420000000</v>
      </c>
      <c r="K2304" s="304" t="str">
        <f t="shared" si="158"/>
        <v>62105018420000000000</v>
      </c>
      <c r="L2304" s="17" t="str">
        <f>INDEX('реш СГД № 265'!$A:$N,MATCH('БА расх 2018 31 12 2018'!$K2304,'реш СГД № 265'!$N:$N,0),3)</f>
        <v>Расходы, предусмотренные на иные цели</v>
      </c>
      <c r="M2304" s="16">
        <f t="shared" si="160"/>
        <v>1</v>
      </c>
    </row>
    <row r="2305" spans="1:13" s="16" customFormat="1" ht="15.75">
      <c r="A2305" s="14"/>
      <c r="B2305" s="164" t="s">
        <v>856</v>
      </c>
      <c r="C2305" s="109" t="s">
        <v>412</v>
      </c>
      <c r="D2305" s="108" t="s">
        <v>86</v>
      </c>
      <c r="E2305" s="108" t="s">
        <v>11</v>
      </c>
      <c r="F2305" s="108" t="s">
        <v>1079</v>
      </c>
      <c r="G2305" s="108" t="s">
        <v>9</v>
      </c>
      <c r="H2305" s="126">
        <v>1139500</v>
      </c>
      <c r="I2305" s="108">
        <v>8420020200</v>
      </c>
      <c r="J2305" s="108" t="str">
        <f t="shared" si="159"/>
        <v>8420020200</v>
      </c>
      <c r="K2305" s="304" t="str">
        <f t="shared" si="158"/>
        <v>62105018420020200000</v>
      </c>
      <c r="L2305" s="17" t="str">
        <f>INDEX('реш СГД № 265'!$A:$N,MATCH('БА расх 2018 31 12 2018'!$K2305,'реш СГД № 265'!$N:$N,0),3)</f>
        <v>Расходы на мероприятия в области жилищного хозяйства</v>
      </c>
      <c r="M2305" s="16">
        <f t="shared" si="160"/>
        <v>1</v>
      </c>
    </row>
    <row r="2306" spans="1:13" s="16" customFormat="1" ht="31.5">
      <c r="A2306" s="14"/>
      <c r="B2306" s="125" t="s">
        <v>28</v>
      </c>
      <c r="C2306" s="109" t="s">
        <v>412</v>
      </c>
      <c r="D2306" s="108" t="s">
        <v>86</v>
      </c>
      <c r="E2306" s="108" t="s">
        <v>11</v>
      </c>
      <c r="F2306" s="108" t="s">
        <v>1079</v>
      </c>
      <c r="G2306" s="108" t="s">
        <v>29</v>
      </c>
      <c r="H2306" s="126">
        <v>1139500</v>
      </c>
      <c r="I2306" s="108">
        <v>8420020200</v>
      </c>
      <c r="J2306" s="108" t="str">
        <f t="shared" si="159"/>
        <v>8420020200</v>
      </c>
      <c r="K2306" s="304" t="str">
        <f t="shared" si="158"/>
        <v>62105018420020200240</v>
      </c>
      <c r="L2306" s="17" t="str">
        <f>INDEX('реш СГД № 265'!$A:$N,MATCH('БА расх 2018 31 12 2018'!$K2306,'реш СГД № 265'!$N:$N,0),3)</f>
        <v>Иные закупки товаров, работ и услуг для обеспечения государственных (муниципальных) нужд</v>
      </c>
      <c r="M2306" s="16">
        <f t="shared" si="160"/>
        <v>1</v>
      </c>
    </row>
    <row r="2307" spans="1:13" s="16" customFormat="1" ht="15.75">
      <c r="A2307" s="14"/>
      <c r="B2307" s="125" t="s">
        <v>30</v>
      </c>
      <c r="C2307" s="109" t="s">
        <v>412</v>
      </c>
      <c r="D2307" s="108" t="s">
        <v>86</v>
      </c>
      <c r="E2307" s="108" t="s">
        <v>11</v>
      </c>
      <c r="F2307" s="108" t="s">
        <v>1079</v>
      </c>
      <c r="G2307" s="108" t="s">
        <v>31</v>
      </c>
      <c r="H2307" s="126">
        <v>1139500</v>
      </c>
      <c r="I2307" s="108">
        <v>8420020200</v>
      </c>
      <c r="J2307" s="108" t="str">
        <f t="shared" si="159"/>
        <v>8420020200</v>
      </c>
      <c r="K2307" s="304" t="str">
        <f t="shared" si="158"/>
        <v>62105018420020200244</v>
      </c>
      <c r="L2307" s="17"/>
    </row>
    <row r="2308" spans="1:13" s="16" customFormat="1" ht="15.75">
      <c r="A2308" s="14"/>
      <c r="B2308" s="121" t="s">
        <v>306</v>
      </c>
      <c r="C2308" s="122" t="s">
        <v>412</v>
      </c>
      <c r="D2308" s="123" t="s">
        <v>86</v>
      </c>
      <c r="E2308" s="123" t="s">
        <v>13</v>
      </c>
      <c r="F2308" s="123" t="s">
        <v>8</v>
      </c>
      <c r="G2308" s="123" t="s">
        <v>9</v>
      </c>
      <c r="H2308" s="124">
        <v>418164838.41000003</v>
      </c>
      <c r="I2308" s="123">
        <v>0</v>
      </c>
      <c r="J2308" s="123" t="str">
        <f t="shared" si="159"/>
        <v>0000000000</v>
      </c>
      <c r="K2308" s="304" t="str">
        <f t="shared" si="158"/>
        <v>62105030000000000000</v>
      </c>
      <c r="L2308" s="17" t="str">
        <f>INDEX('реш СГД № 265'!$A:$N,MATCH('БА расх 2018 31 12 2018'!$K2308,'реш СГД № 265'!$N:$N,0),3)</f>
        <v>Благоустройство</v>
      </c>
      <c r="M2308" s="16">
        <f t="shared" si="160"/>
        <v>1</v>
      </c>
    </row>
    <row r="2309" spans="1:13" s="16" customFormat="1" ht="63">
      <c r="A2309" s="14"/>
      <c r="B2309" s="127" t="s">
        <v>293</v>
      </c>
      <c r="C2309" s="108" t="s">
        <v>412</v>
      </c>
      <c r="D2309" s="108" t="s">
        <v>86</v>
      </c>
      <c r="E2309" s="108" t="s">
        <v>13</v>
      </c>
      <c r="F2309" s="108" t="s">
        <v>294</v>
      </c>
      <c r="G2309" s="108" t="s">
        <v>9</v>
      </c>
      <c r="H2309" s="141">
        <v>380561107.89000005</v>
      </c>
      <c r="I2309" s="108">
        <v>400000000</v>
      </c>
      <c r="J2309" s="108" t="str">
        <f t="shared" si="159"/>
        <v>0400000000</v>
      </c>
      <c r="K2309" s="304" t="str">
        <f t="shared" si="158"/>
        <v>62105030400000000000</v>
      </c>
      <c r="L2309" s="17" t="str">
        <f>INDEX('реш СГД № 265'!$A:$N,MATCH('БА расх 2018 31 12 2018'!$K2309,'реш СГД № 265'!$N:$N,0),3)</f>
        <v>Муниципальная программа «Развитие жилищно-коммунального хозяйства, транспортной системы на территории города Ставрополя, благоустройство территории города Ставрополя»</v>
      </c>
      <c r="M2309" s="16">
        <f t="shared" si="160"/>
        <v>1</v>
      </c>
    </row>
    <row r="2310" spans="1:13" s="16" customFormat="1" ht="31.5">
      <c r="A2310" s="14"/>
      <c r="B2310" s="125" t="s">
        <v>2283</v>
      </c>
      <c r="C2310" s="108" t="s">
        <v>412</v>
      </c>
      <c r="D2310" s="108" t="s">
        <v>86</v>
      </c>
      <c r="E2310" s="108" t="s">
        <v>13</v>
      </c>
      <c r="F2310" s="108" t="s">
        <v>308</v>
      </c>
      <c r="G2310" s="108" t="s">
        <v>9</v>
      </c>
      <c r="H2310" s="141">
        <v>380561107.89000005</v>
      </c>
      <c r="I2310" s="108">
        <v>430000000</v>
      </c>
      <c r="J2310" s="108" t="str">
        <f t="shared" si="159"/>
        <v>0430000000</v>
      </c>
      <c r="K2310" s="304" t="str">
        <f t="shared" si="158"/>
        <v>62105030430000000000</v>
      </c>
      <c r="L2310" s="132" t="str">
        <f>INDEX('реш СГД № 265'!$A:$N,MATCH('БА расх 2018 31 12 2018'!$K2310,'реш СГД № 265'!$N:$N,0),3)</f>
        <v>Подпрограмма «Благоустройство территории города Ставрополя»</v>
      </c>
      <c r="M2310" s="17">
        <f t="shared" si="160"/>
        <v>1</v>
      </c>
    </row>
    <row r="2311" spans="1:13" s="16" customFormat="1" ht="31.5">
      <c r="A2311" s="14"/>
      <c r="B2311" s="307" t="s">
        <v>309</v>
      </c>
      <c r="C2311" s="130" t="s">
        <v>412</v>
      </c>
      <c r="D2311" s="131" t="s">
        <v>86</v>
      </c>
      <c r="E2311" s="131" t="s">
        <v>13</v>
      </c>
      <c r="F2311" s="108" t="s">
        <v>310</v>
      </c>
      <c r="G2311" s="131" t="s">
        <v>9</v>
      </c>
      <c r="H2311" s="105">
        <v>380561107.89000005</v>
      </c>
      <c r="I2311" s="108">
        <v>430400000</v>
      </c>
      <c r="J2311" s="108" t="str">
        <f t="shared" si="159"/>
        <v>0430400000</v>
      </c>
      <c r="K2311" s="304" t="str">
        <f t="shared" si="158"/>
        <v>62105030430400000000</v>
      </c>
      <c r="L2311" s="17" t="str">
        <f>INDEX('реш СГД № 265'!$A:$N,MATCH('БА расх 2018 31 12 2018'!$K2311,'реш СГД № 265'!$N:$N,0),3)</f>
        <v>Основное мероприятие «Благоустройство территории города Ставрополя»</v>
      </c>
      <c r="M2311" s="16">
        <f t="shared" si="160"/>
        <v>1</v>
      </c>
    </row>
    <row r="2312" spans="1:13" s="16" customFormat="1" ht="97.5" customHeight="1">
      <c r="A2312" s="14"/>
      <c r="B2312" s="127" t="s">
        <v>1084</v>
      </c>
      <c r="C2312" s="130" t="s">
        <v>412</v>
      </c>
      <c r="D2312" s="131" t="s">
        <v>86</v>
      </c>
      <c r="E2312" s="131" t="s">
        <v>13</v>
      </c>
      <c r="F2312" s="131" t="s">
        <v>1085</v>
      </c>
      <c r="G2312" s="131" t="s">
        <v>9</v>
      </c>
      <c r="H2312" s="105">
        <v>1936474.25</v>
      </c>
      <c r="I2312" s="131">
        <v>430420800</v>
      </c>
      <c r="J2312" s="131" t="str">
        <f t="shared" si="159"/>
        <v>0430420800</v>
      </c>
      <c r="K2312" s="304" t="str">
        <f t="shared" si="158"/>
        <v>62105030430420800000</v>
      </c>
      <c r="L2312" s="17" t="str">
        <f>INDEX('реш СГД № 265'!$A:$N,MATCH('БА расх 2018 31 12 2018'!$K2312,'реш СГД № 265'!$N:$N,0),3)</f>
        <v>Расходы за счет средств субсидии, выделяемой бюджету города Ставрополя из бюджета Ставропольского края на осуществление функций административного центра Ставропольского края, на прочие мероприятия по благоустройству территории города Ставрополя</v>
      </c>
      <c r="M2312" s="16">
        <f t="shared" si="160"/>
        <v>1</v>
      </c>
    </row>
    <row r="2313" spans="1:13" s="16" customFormat="1" ht="31.5">
      <c r="A2313" s="14"/>
      <c r="B2313" s="125" t="s">
        <v>28</v>
      </c>
      <c r="C2313" s="130" t="s">
        <v>412</v>
      </c>
      <c r="D2313" s="131" t="s">
        <v>86</v>
      </c>
      <c r="E2313" s="131" t="s">
        <v>13</v>
      </c>
      <c r="F2313" s="131" t="s">
        <v>1085</v>
      </c>
      <c r="G2313" s="131" t="s">
        <v>29</v>
      </c>
      <c r="H2313" s="105">
        <v>1936474.25</v>
      </c>
      <c r="I2313" s="131">
        <v>430420800</v>
      </c>
      <c r="J2313" s="131" t="str">
        <f t="shared" si="159"/>
        <v>0430420800</v>
      </c>
      <c r="K2313" s="304" t="str">
        <f t="shared" si="158"/>
        <v>62105030430420800240</v>
      </c>
      <c r="L2313" s="17" t="str">
        <f>INDEX('реш СГД № 265'!$A:$N,MATCH('БА расх 2018 31 12 2018'!$K2313,'реш СГД № 265'!$N:$N,0),3)</f>
        <v>Иные закупки товаров, работ и услуг для обеспечения государственных (муниципальных) нужд</v>
      </c>
      <c r="M2313" s="16">
        <f t="shared" si="160"/>
        <v>1</v>
      </c>
    </row>
    <row r="2314" spans="1:13" s="16" customFormat="1" ht="15.75">
      <c r="A2314" s="14"/>
      <c r="B2314" s="125" t="s">
        <v>30</v>
      </c>
      <c r="C2314" s="130" t="s">
        <v>412</v>
      </c>
      <c r="D2314" s="131" t="s">
        <v>86</v>
      </c>
      <c r="E2314" s="131" t="s">
        <v>13</v>
      </c>
      <c r="F2314" s="131" t="s">
        <v>1085</v>
      </c>
      <c r="G2314" s="108" t="s">
        <v>31</v>
      </c>
      <c r="H2314" s="126">
        <v>1936474.25</v>
      </c>
      <c r="I2314" s="131">
        <v>430420800</v>
      </c>
      <c r="J2314" s="131" t="str">
        <f t="shared" si="159"/>
        <v>0430420800</v>
      </c>
      <c r="K2314" s="304" t="str">
        <f t="shared" si="158"/>
        <v>62105030430420800244</v>
      </c>
      <c r="L2314" s="17"/>
    </row>
    <row r="2315" spans="1:13" s="16" customFormat="1" ht="31.5">
      <c r="A2315" s="14"/>
      <c r="B2315" s="125" t="s">
        <v>1149</v>
      </c>
      <c r="C2315" s="130" t="s">
        <v>412</v>
      </c>
      <c r="D2315" s="131" t="s">
        <v>86</v>
      </c>
      <c r="E2315" s="131" t="s">
        <v>13</v>
      </c>
      <c r="F2315" s="131" t="s">
        <v>1146</v>
      </c>
      <c r="G2315" s="131" t="s">
        <v>9</v>
      </c>
      <c r="H2315" s="126">
        <v>332160378.54000002</v>
      </c>
      <c r="I2315" s="131">
        <v>430477330</v>
      </c>
      <c r="J2315" s="131" t="str">
        <f t="shared" si="159"/>
        <v>0430477330</v>
      </c>
      <c r="K2315" s="304" t="str">
        <f t="shared" si="158"/>
        <v>62105030430477330000</v>
      </c>
      <c r="L2315" s="17" t="str">
        <f>INDEX('реш СГД № 265'!$A:$N,MATCH('БА расх 2018 31 12 2018'!$K2315,'реш СГД № 265'!$N:$N,0),3)</f>
        <v>Реализация мероприятий по благоустройству территорий в городе Ставрополе за счет средств краевого бюджета</v>
      </c>
      <c r="M2315" s="16">
        <f t="shared" si="160"/>
        <v>1</v>
      </c>
    </row>
    <row r="2316" spans="1:13" s="16" customFormat="1" ht="31.5">
      <c r="A2316" s="14"/>
      <c r="B2316" s="125" t="s">
        <v>28</v>
      </c>
      <c r="C2316" s="130" t="s">
        <v>412</v>
      </c>
      <c r="D2316" s="131" t="s">
        <v>86</v>
      </c>
      <c r="E2316" s="131" t="s">
        <v>13</v>
      </c>
      <c r="F2316" s="131" t="s">
        <v>1146</v>
      </c>
      <c r="G2316" s="131" t="s">
        <v>29</v>
      </c>
      <c r="H2316" s="126">
        <v>332160378.54000002</v>
      </c>
      <c r="I2316" s="131">
        <v>430477330</v>
      </c>
      <c r="J2316" s="131" t="str">
        <f t="shared" si="159"/>
        <v>0430477330</v>
      </c>
      <c r="K2316" s="304" t="str">
        <f t="shared" si="158"/>
        <v>62105030430477330240</v>
      </c>
      <c r="L2316" s="17" t="str">
        <f>INDEX('реш СГД № 265'!$A:$N,MATCH('БА расх 2018 31 12 2018'!$K2316,'реш СГД № 265'!$N:$N,0),3)</f>
        <v>Иные закупки товаров, работ и услуг для обеспечения государственных (муниципальных) нужд</v>
      </c>
      <c r="M2316" s="16">
        <f t="shared" si="160"/>
        <v>1</v>
      </c>
    </row>
    <row r="2317" spans="1:13" s="16" customFormat="1" ht="15.75">
      <c r="A2317" s="14"/>
      <c r="B2317" s="125" t="s">
        <v>30</v>
      </c>
      <c r="C2317" s="130" t="s">
        <v>412</v>
      </c>
      <c r="D2317" s="131" t="s">
        <v>86</v>
      </c>
      <c r="E2317" s="131" t="s">
        <v>13</v>
      </c>
      <c r="F2317" s="131" t="s">
        <v>1146</v>
      </c>
      <c r="G2317" s="131" t="s">
        <v>31</v>
      </c>
      <c r="H2317" s="126">
        <v>332160378.54000002</v>
      </c>
      <c r="I2317" s="131">
        <v>430477330</v>
      </c>
      <c r="J2317" s="131" t="str">
        <f t="shared" si="159"/>
        <v>0430477330</v>
      </c>
      <c r="K2317" s="304" t="str">
        <f t="shared" si="158"/>
        <v>62105030430477330244</v>
      </c>
      <c r="L2317" s="17"/>
    </row>
    <row r="2318" spans="1:13" s="16" customFormat="1" ht="47.25">
      <c r="A2318" s="14"/>
      <c r="B2318" s="125" t="s">
        <v>1043</v>
      </c>
      <c r="C2318" s="130" t="s">
        <v>412</v>
      </c>
      <c r="D2318" s="131" t="s">
        <v>86</v>
      </c>
      <c r="E2318" s="131" t="s">
        <v>13</v>
      </c>
      <c r="F2318" s="131" t="s">
        <v>1056</v>
      </c>
      <c r="G2318" s="131" t="s">
        <v>9</v>
      </c>
      <c r="H2318" s="126">
        <v>10646693.439999999</v>
      </c>
      <c r="I2318" s="131" t="s">
        <v>1231</v>
      </c>
      <c r="J2318" s="131" t="str">
        <f t="shared" si="159"/>
        <v>04304G6420</v>
      </c>
      <c r="K2318" s="304" t="str">
        <f t="shared" si="158"/>
        <v>621050304304G6420000</v>
      </c>
      <c r="L2318" s="17" t="str">
        <f>INDEX('реш СГД № 265'!$A:$N,MATCH('БА расх 2018 31 12 2018'!$K2318,'реш СГД № 265'!$N:$N,0),3)</f>
        <v>Реализация проектов развития территорий муниципальных образований, основанных на местных инициативах, за счет внебюджетных источников</v>
      </c>
      <c r="M2318" s="16">
        <f t="shared" si="160"/>
        <v>1</v>
      </c>
    </row>
    <row r="2319" spans="1:13" s="16" customFormat="1" ht="15.75">
      <c r="A2319" s="14"/>
      <c r="B2319" s="132" t="s">
        <v>1045</v>
      </c>
      <c r="C2319" s="130"/>
      <c r="D2319" s="131"/>
      <c r="E2319" s="131"/>
      <c r="F2319" s="131"/>
      <c r="G2319" s="131"/>
      <c r="H2319" s="126"/>
      <c r="I2319" s="131"/>
      <c r="J2319" s="131" t="str">
        <f t="shared" si="159"/>
        <v>0000000000</v>
      </c>
      <c r="K2319" s="304" t="str">
        <f t="shared" si="158"/>
        <v>0000000000</v>
      </c>
      <c r="L2319" s="132">
        <f>INDEX('реш СГД № 265'!$A:$N,MATCH('БА расх 2018 31 12 2018'!$K2319,'реш СГД № 265'!$N:$N,0),3)</f>
        <v>0</v>
      </c>
      <c r="M2319" s="17">
        <f t="shared" si="160"/>
        <v>0</v>
      </c>
    </row>
    <row r="2320" spans="1:13" s="16" customFormat="1" ht="15.75">
      <c r="A2320" s="14"/>
      <c r="B2320" s="125" t="s">
        <v>1046</v>
      </c>
      <c r="C2320" s="130" t="s">
        <v>412</v>
      </c>
      <c r="D2320" s="131" t="s">
        <v>86</v>
      </c>
      <c r="E2320" s="131" t="s">
        <v>13</v>
      </c>
      <c r="F2320" s="131" t="s">
        <v>1056</v>
      </c>
      <c r="G2320" s="131" t="s">
        <v>9</v>
      </c>
      <c r="H2320" s="126">
        <v>310200</v>
      </c>
      <c r="I2320" s="131" t="s">
        <v>1231</v>
      </c>
      <c r="J2320" s="131" t="str">
        <f t="shared" si="159"/>
        <v>04304G6420</v>
      </c>
      <c r="K2320" s="304" t="str">
        <f t="shared" si="158"/>
        <v>621050304304G6420000</v>
      </c>
      <c r="L2320" s="132"/>
      <c r="M2320" s="248">
        <f t="shared" si="160"/>
        <v>0</v>
      </c>
    </row>
    <row r="2321" spans="1:13" s="16" customFormat="1" ht="15.75">
      <c r="A2321" s="14"/>
      <c r="B2321" s="125" t="s">
        <v>1047</v>
      </c>
      <c r="C2321" s="130" t="s">
        <v>412</v>
      </c>
      <c r="D2321" s="131" t="s">
        <v>86</v>
      </c>
      <c r="E2321" s="131" t="s">
        <v>13</v>
      </c>
      <c r="F2321" s="131" t="s">
        <v>1056</v>
      </c>
      <c r="G2321" s="131" t="s">
        <v>9</v>
      </c>
      <c r="H2321" s="126">
        <v>10336493.439999999</v>
      </c>
      <c r="I2321" s="131" t="s">
        <v>1231</v>
      </c>
      <c r="J2321" s="131" t="str">
        <f t="shared" si="159"/>
        <v>04304G6420</v>
      </c>
      <c r="K2321" s="304" t="str">
        <f t="shared" si="158"/>
        <v>621050304304G6420000</v>
      </c>
      <c r="L2321" s="132"/>
      <c r="M2321" s="248">
        <f t="shared" si="160"/>
        <v>0</v>
      </c>
    </row>
    <row r="2322" spans="1:13" s="16" customFormat="1" ht="31.5">
      <c r="A2322" s="14"/>
      <c r="B2322" s="125" t="s">
        <v>28</v>
      </c>
      <c r="C2322" s="130" t="s">
        <v>412</v>
      </c>
      <c r="D2322" s="131" t="s">
        <v>86</v>
      </c>
      <c r="E2322" s="131" t="s">
        <v>13</v>
      </c>
      <c r="F2322" s="131" t="s">
        <v>1056</v>
      </c>
      <c r="G2322" s="131" t="s">
        <v>29</v>
      </c>
      <c r="H2322" s="126">
        <v>10646693.439999999</v>
      </c>
      <c r="I2322" s="131" t="s">
        <v>1231</v>
      </c>
      <c r="J2322" s="131" t="str">
        <f t="shared" si="159"/>
        <v>04304G6420</v>
      </c>
      <c r="K2322" s="304" t="str">
        <f t="shared" si="158"/>
        <v>621050304304G6420240</v>
      </c>
      <c r="L2322" s="17" t="str">
        <f>INDEX('реш СГД № 265'!$A:$N,MATCH('БА расх 2018 31 12 2018'!$K2322,'реш СГД № 265'!$N:$N,0),3)</f>
        <v>Иные закупки товаров, работ и услуг для обеспечения государственных (муниципальных) нужд</v>
      </c>
      <c r="M2322" s="16">
        <f t="shared" si="160"/>
        <v>1</v>
      </c>
    </row>
    <row r="2323" spans="1:13" s="16" customFormat="1" ht="15.75">
      <c r="A2323" s="14"/>
      <c r="B2323" s="125" t="s">
        <v>30</v>
      </c>
      <c r="C2323" s="130" t="s">
        <v>412</v>
      </c>
      <c r="D2323" s="131" t="s">
        <v>86</v>
      </c>
      <c r="E2323" s="131" t="s">
        <v>13</v>
      </c>
      <c r="F2323" s="131" t="s">
        <v>1056</v>
      </c>
      <c r="G2323" s="131" t="s">
        <v>31</v>
      </c>
      <c r="H2323" s="126">
        <v>10646693.439999999</v>
      </c>
      <c r="I2323" s="131" t="s">
        <v>1231</v>
      </c>
      <c r="J2323" s="131" t="str">
        <f t="shared" si="159"/>
        <v>04304G6420</v>
      </c>
      <c r="K2323" s="304" t="str">
        <f t="shared" si="158"/>
        <v>621050304304G6420244</v>
      </c>
      <c r="L2323" s="17"/>
    </row>
    <row r="2324" spans="1:13" s="16" customFormat="1" ht="31.5">
      <c r="A2324" s="14"/>
      <c r="B2324" s="127" t="s">
        <v>1048</v>
      </c>
      <c r="C2324" s="130" t="s">
        <v>412</v>
      </c>
      <c r="D2324" s="131" t="s">
        <v>86</v>
      </c>
      <c r="E2324" s="131" t="s">
        <v>13</v>
      </c>
      <c r="F2324" s="131" t="s">
        <v>1057</v>
      </c>
      <c r="G2324" s="131" t="s">
        <v>9</v>
      </c>
      <c r="H2324" s="126">
        <v>8709800</v>
      </c>
      <c r="I2324" s="131" t="s">
        <v>1232</v>
      </c>
      <c r="J2324" s="131" t="str">
        <f t="shared" si="159"/>
        <v>04304S6420</v>
      </c>
      <c r="K2324" s="304" t="str">
        <f t="shared" si="158"/>
        <v>621050304304S6420000</v>
      </c>
      <c r="L2324" s="17" t="str">
        <f>INDEX('реш СГД № 265'!$A:$N,MATCH('БА расх 2018 31 12 2018'!$K2324,'реш СГД № 265'!$N:$N,0),3)</f>
        <v>Реализация проектов развития территорий муниципальных образований, основанных на местных инициативах</v>
      </c>
      <c r="M2324" s="16">
        <f t="shared" si="160"/>
        <v>1</v>
      </c>
    </row>
    <row r="2325" spans="1:13" s="16" customFormat="1" ht="15.75">
      <c r="A2325" s="14"/>
      <c r="B2325" s="132" t="s">
        <v>1045</v>
      </c>
      <c r="C2325" s="130"/>
      <c r="D2325" s="131"/>
      <c r="E2325" s="131"/>
      <c r="F2325" s="131"/>
      <c r="G2325" s="131"/>
      <c r="H2325" s="126"/>
      <c r="I2325" s="131"/>
      <c r="J2325" s="131" t="str">
        <f t="shared" si="159"/>
        <v>0000000000</v>
      </c>
      <c r="K2325" s="304" t="str">
        <f t="shared" si="158"/>
        <v>0000000000</v>
      </c>
      <c r="L2325" s="132"/>
      <c r="M2325" s="248">
        <f t="shared" si="160"/>
        <v>0</v>
      </c>
    </row>
    <row r="2326" spans="1:13" s="16" customFormat="1" ht="15.75">
      <c r="A2326" s="14"/>
      <c r="B2326" s="125" t="s">
        <v>1050</v>
      </c>
      <c r="C2326" s="130" t="s">
        <v>412</v>
      </c>
      <c r="D2326" s="131" t="s">
        <v>86</v>
      </c>
      <c r="E2326" s="131" t="s">
        <v>13</v>
      </c>
      <c r="F2326" s="131" t="s">
        <v>1057</v>
      </c>
      <c r="G2326" s="131" t="s">
        <v>9</v>
      </c>
      <c r="H2326" s="126">
        <v>2709800</v>
      </c>
      <c r="I2326" s="131" t="s">
        <v>1232</v>
      </c>
      <c r="J2326" s="131" t="str">
        <f t="shared" si="159"/>
        <v>04304S6420</v>
      </c>
      <c r="K2326" s="304" t="str">
        <f t="shared" si="158"/>
        <v>621050304304S6420000</v>
      </c>
      <c r="L2326" s="132"/>
      <c r="M2326" s="248">
        <f t="shared" si="160"/>
        <v>0</v>
      </c>
    </row>
    <row r="2327" spans="1:13" s="16" customFormat="1" ht="15.75">
      <c r="A2327" s="14"/>
      <c r="B2327" s="125" t="s">
        <v>1051</v>
      </c>
      <c r="C2327" s="130" t="s">
        <v>412</v>
      </c>
      <c r="D2327" s="131" t="s">
        <v>86</v>
      </c>
      <c r="E2327" s="131" t="s">
        <v>13</v>
      </c>
      <c r="F2327" s="131" t="s">
        <v>1057</v>
      </c>
      <c r="G2327" s="131" t="s">
        <v>9</v>
      </c>
      <c r="H2327" s="126">
        <v>6000000</v>
      </c>
      <c r="I2327" s="131" t="s">
        <v>1232</v>
      </c>
      <c r="J2327" s="131" t="str">
        <f t="shared" si="159"/>
        <v>04304S6420</v>
      </c>
      <c r="K2327" s="304" t="str">
        <f t="shared" si="158"/>
        <v>621050304304S6420000</v>
      </c>
      <c r="L2327" s="132"/>
      <c r="M2327" s="248">
        <f t="shared" si="160"/>
        <v>0</v>
      </c>
    </row>
    <row r="2328" spans="1:13" s="16" customFormat="1" ht="31.5">
      <c r="A2328" s="14"/>
      <c r="B2328" s="125" t="s">
        <v>28</v>
      </c>
      <c r="C2328" s="130" t="s">
        <v>412</v>
      </c>
      <c r="D2328" s="131" t="s">
        <v>86</v>
      </c>
      <c r="E2328" s="131" t="s">
        <v>13</v>
      </c>
      <c r="F2328" s="131" t="s">
        <v>1057</v>
      </c>
      <c r="G2328" s="131" t="s">
        <v>29</v>
      </c>
      <c r="H2328" s="126">
        <v>8709800</v>
      </c>
      <c r="I2328" s="131" t="s">
        <v>1232</v>
      </c>
      <c r="J2328" s="131" t="str">
        <f t="shared" si="159"/>
        <v>04304S6420</v>
      </c>
      <c r="K2328" s="304" t="str">
        <f t="shared" si="158"/>
        <v>621050304304S6420240</v>
      </c>
      <c r="L2328" s="17" t="str">
        <f>INDEX('реш СГД № 265'!$A:$N,MATCH('БА расх 2018 31 12 2018'!$K2328,'реш СГД № 265'!$N:$N,0),3)</f>
        <v>Иные закупки товаров, работ и услуг для обеспечения государственных (муниципальных) нужд</v>
      </c>
      <c r="M2328" s="16">
        <f t="shared" si="160"/>
        <v>1</v>
      </c>
    </row>
    <row r="2329" spans="1:13" s="16" customFormat="1" ht="15.75">
      <c r="A2329" s="14"/>
      <c r="B2329" s="125" t="s">
        <v>30</v>
      </c>
      <c r="C2329" s="130" t="s">
        <v>412</v>
      </c>
      <c r="D2329" s="131" t="s">
        <v>86</v>
      </c>
      <c r="E2329" s="131" t="s">
        <v>13</v>
      </c>
      <c r="F2329" s="131" t="s">
        <v>1057</v>
      </c>
      <c r="G2329" s="108" t="s">
        <v>31</v>
      </c>
      <c r="H2329" s="126">
        <v>8709800</v>
      </c>
      <c r="I2329" s="131" t="s">
        <v>1232</v>
      </c>
      <c r="J2329" s="131" t="str">
        <f t="shared" si="159"/>
        <v>04304S6420</v>
      </c>
      <c r="K2329" s="304" t="str">
        <f t="shared" si="158"/>
        <v>621050304304S6420244</v>
      </c>
      <c r="L2329" s="17"/>
    </row>
    <row r="2330" spans="1:13" s="16" customFormat="1" ht="31.5">
      <c r="A2330" s="14"/>
      <c r="B2330" s="125" t="s">
        <v>1150</v>
      </c>
      <c r="C2330" s="130" t="s">
        <v>412</v>
      </c>
      <c r="D2330" s="131" t="s">
        <v>86</v>
      </c>
      <c r="E2330" s="131" t="s">
        <v>13</v>
      </c>
      <c r="F2330" s="131" t="s">
        <v>1147</v>
      </c>
      <c r="G2330" s="131" t="s">
        <v>9</v>
      </c>
      <c r="H2330" s="126">
        <v>27107761.66</v>
      </c>
      <c r="I2330" s="131" t="s">
        <v>1256</v>
      </c>
      <c r="J2330" s="131" t="str">
        <f t="shared" si="159"/>
        <v>04304S7330</v>
      </c>
      <c r="K2330" s="304" t="str">
        <f t="shared" si="158"/>
        <v>621050304304S7330000</v>
      </c>
      <c r="L2330" s="17" t="str">
        <f>INDEX('реш СГД № 265'!$A:$N,MATCH('БА расх 2018 31 12 2018'!$K2330,'реш СГД № 265'!$N:$N,0),3)</f>
        <v>Реализация мероприятий по благоустройству территорий в городе Ставрополе за счет средств местного бюджета</v>
      </c>
      <c r="M2330" s="16">
        <f t="shared" si="160"/>
        <v>1</v>
      </c>
    </row>
    <row r="2331" spans="1:13" s="16" customFormat="1" ht="31.5">
      <c r="A2331" s="14"/>
      <c r="B2331" s="125" t="s">
        <v>28</v>
      </c>
      <c r="C2331" s="130" t="s">
        <v>412</v>
      </c>
      <c r="D2331" s="131" t="s">
        <v>86</v>
      </c>
      <c r="E2331" s="131" t="s">
        <v>13</v>
      </c>
      <c r="F2331" s="131" t="s">
        <v>1147</v>
      </c>
      <c r="G2331" s="131" t="s">
        <v>29</v>
      </c>
      <c r="H2331" s="126">
        <v>27107761.66</v>
      </c>
      <c r="I2331" s="131" t="s">
        <v>1256</v>
      </c>
      <c r="J2331" s="131" t="str">
        <f t="shared" si="159"/>
        <v>04304S7330</v>
      </c>
      <c r="K2331" s="304" t="str">
        <f t="shared" si="158"/>
        <v>621050304304S7330240</v>
      </c>
      <c r="L2331" s="17" t="str">
        <f>INDEX('реш СГД № 265'!$A:$N,MATCH('БА расх 2018 31 12 2018'!$K2331,'реш СГД № 265'!$N:$N,0),3)</f>
        <v>Иные закупки товаров, работ и услуг для обеспечения государственных (муниципальных) нужд</v>
      </c>
      <c r="M2331" s="16">
        <f t="shared" si="160"/>
        <v>1</v>
      </c>
    </row>
    <row r="2332" spans="1:13" s="16" customFormat="1" ht="15.75">
      <c r="A2332" s="14"/>
      <c r="B2332" s="125" t="s">
        <v>30</v>
      </c>
      <c r="C2332" s="130" t="s">
        <v>412</v>
      </c>
      <c r="D2332" s="131" t="s">
        <v>86</v>
      </c>
      <c r="E2332" s="131" t="s">
        <v>13</v>
      </c>
      <c r="F2332" s="131" t="s">
        <v>1147</v>
      </c>
      <c r="G2332" s="108" t="s">
        <v>31</v>
      </c>
      <c r="H2332" s="126">
        <v>27107761.66</v>
      </c>
      <c r="I2332" s="131" t="s">
        <v>1256</v>
      </c>
      <c r="J2332" s="131" t="str">
        <f t="shared" si="159"/>
        <v>04304S7330</v>
      </c>
      <c r="K2332" s="304" t="str">
        <f t="shared" si="158"/>
        <v>621050304304S7330244</v>
      </c>
      <c r="L2332" s="17"/>
    </row>
    <row r="2333" spans="1:13" s="16" customFormat="1" ht="47.25">
      <c r="A2333" s="14"/>
      <c r="B2333" s="125" t="s">
        <v>87</v>
      </c>
      <c r="C2333" s="109" t="s">
        <v>412</v>
      </c>
      <c r="D2333" s="108" t="s">
        <v>86</v>
      </c>
      <c r="E2333" s="108" t="s">
        <v>13</v>
      </c>
      <c r="F2333" s="108" t="s">
        <v>88</v>
      </c>
      <c r="G2333" s="108" t="s">
        <v>9</v>
      </c>
      <c r="H2333" s="126">
        <v>37603730.520000003</v>
      </c>
      <c r="I2333" s="131">
        <v>9800000000</v>
      </c>
      <c r="J2333" s="131" t="str">
        <f t="shared" si="159"/>
        <v>9800000000</v>
      </c>
      <c r="K2333" s="304" t="str">
        <f t="shared" si="158"/>
        <v>62105039800000000000</v>
      </c>
      <c r="L2333" s="17" t="str">
        <f>INDEX('реш СГД № 265'!$A:$N,MATCH('БА расх 2018 31 12 2018'!$K2333,'реш СГД № 265'!$N:$N,0),3)</f>
        <v>Реализация иных функций Ставропольской городской Думы, администрации города Ставрополя, ее отраслевых (функциональных) и территориальных органов</v>
      </c>
      <c r="M2333" s="16">
        <f t="shared" si="160"/>
        <v>1</v>
      </c>
    </row>
    <row r="2334" spans="1:13" s="16" customFormat="1" ht="47.25">
      <c r="A2334" s="14"/>
      <c r="B2334" s="125" t="s">
        <v>1108</v>
      </c>
      <c r="C2334" s="108" t="s">
        <v>412</v>
      </c>
      <c r="D2334" s="108" t="s">
        <v>86</v>
      </c>
      <c r="E2334" s="108" t="s">
        <v>13</v>
      </c>
      <c r="F2334" s="108" t="s">
        <v>1109</v>
      </c>
      <c r="G2334" s="109" t="s">
        <v>9</v>
      </c>
      <c r="H2334" s="126">
        <v>37603730.520000003</v>
      </c>
      <c r="I2334" s="131">
        <v>9820000000</v>
      </c>
      <c r="J2334" s="131" t="str">
        <f t="shared" si="159"/>
        <v>9820000000</v>
      </c>
      <c r="K2334" s="304" t="str">
        <f t="shared" si="158"/>
        <v>62105039820000000000</v>
      </c>
      <c r="L2334" s="17" t="str">
        <f>INDEX('реш СГД № 265'!$A:$N,MATCH('БА расх 2018 31 12 2018'!$K2334,'реш СГД № 265'!$N:$N,0),3)</f>
        <v>Расходы на исполнение обязательств в рамках реализации муниципальных программ города Ставрополя, действовавших до 01.01.2017, за счет остатков на 01.01.2018</v>
      </c>
      <c r="M2334" s="16">
        <f t="shared" si="160"/>
        <v>1</v>
      </c>
    </row>
    <row r="2335" spans="1:13" s="16" customFormat="1" ht="78.75">
      <c r="A2335" s="14"/>
      <c r="B2335" s="127" t="s">
        <v>1084</v>
      </c>
      <c r="C2335" s="130" t="s">
        <v>412</v>
      </c>
      <c r="D2335" s="131" t="s">
        <v>86</v>
      </c>
      <c r="E2335" s="131" t="s">
        <v>13</v>
      </c>
      <c r="F2335" s="131" t="s">
        <v>1257</v>
      </c>
      <c r="G2335" s="131" t="s">
        <v>9</v>
      </c>
      <c r="H2335" s="126">
        <v>37603730.520000003</v>
      </c>
      <c r="I2335" s="131">
        <v>9820020800</v>
      </c>
      <c r="J2335" s="131" t="str">
        <f t="shared" si="159"/>
        <v>9820020800</v>
      </c>
      <c r="K2335" s="304" t="str">
        <f t="shared" si="158"/>
        <v>62105039820020800000</v>
      </c>
      <c r="L2335" s="17" t="str">
        <f>INDEX('реш СГД № 265'!$A:$N,MATCH('БА расх 2018 31 12 2018'!$K2335,'реш СГД № 265'!$N:$N,0),3)</f>
        <v>Расходы за счет средств субсидии, выделяемой бюджету города Ставрополя из бюджета Ставропольского края на осуществление функций административного центра Ставропольского края, на прочие мероприятия по благоустройству территории города Ставрополя</v>
      </c>
      <c r="M2335" s="16">
        <f t="shared" si="160"/>
        <v>1</v>
      </c>
    </row>
    <row r="2336" spans="1:13" s="16" customFormat="1" ht="15.75">
      <c r="A2336" s="14"/>
      <c r="B2336" s="125" t="s">
        <v>937</v>
      </c>
      <c r="C2336" s="109" t="s">
        <v>412</v>
      </c>
      <c r="D2336" s="108" t="s">
        <v>86</v>
      </c>
      <c r="E2336" s="108" t="s">
        <v>13</v>
      </c>
      <c r="F2336" s="108" t="s">
        <v>1257</v>
      </c>
      <c r="G2336" s="108" t="s">
        <v>838</v>
      </c>
      <c r="H2336" s="126">
        <v>37603730.520000003</v>
      </c>
      <c r="I2336" s="131">
        <v>9820020800</v>
      </c>
      <c r="J2336" s="131" t="str">
        <f t="shared" si="159"/>
        <v>9820020800</v>
      </c>
      <c r="K2336" s="304" t="str">
        <f t="shared" si="158"/>
        <v>62105039820020800410</v>
      </c>
      <c r="L2336" s="17" t="str">
        <f>INDEX('реш СГД № 265'!$A:$N,MATCH('БА расх 2018 31 12 2018'!$K2336,'реш СГД № 265'!$N:$N,0),3)</f>
        <v>Бюджетные инвестиции</v>
      </c>
      <c r="M2336" s="16">
        <f t="shared" si="160"/>
        <v>1</v>
      </c>
    </row>
    <row r="2337" spans="1:13" s="16" customFormat="1" ht="47.25">
      <c r="A2337" s="14"/>
      <c r="B2337" s="125" t="s">
        <v>839</v>
      </c>
      <c r="C2337" s="109" t="s">
        <v>412</v>
      </c>
      <c r="D2337" s="108" t="s">
        <v>86</v>
      </c>
      <c r="E2337" s="108" t="s">
        <v>13</v>
      </c>
      <c r="F2337" s="108" t="s">
        <v>1257</v>
      </c>
      <c r="G2337" s="108" t="s">
        <v>840</v>
      </c>
      <c r="H2337" s="126">
        <v>37603730.520000003</v>
      </c>
      <c r="I2337" s="131">
        <v>9820020800</v>
      </c>
      <c r="J2337" s="131" t="str">
        <f t="shared" si="159"/>
        <v>9820020800</v>
      </c>
      <c r="K2337" s="304" t="str">
        <f t="shared" si="158"/>
        <v>62105039820020800414</v>
      </c>
      <c r="L2337" s="17"/>
    </row>
    <row r="2338" spans="1:13" s="16" customFormat="1" ht="15.75">
      <c r="A2338" s="14"/>
      <c r="B2338" s="117" t="s">
        <v>228</v>
      </c>
      <c r="C2338" s="118" t="s">
        <v>412</v>
      </c>
      <c r="D2338" s="119" t="s">
        <v>229</v>
      </c>
      <c r="E2338" s="119" t="s">
        <v>7</v>
      </c>
      <c r="F2338" s="119" t="s">
        <v>8</v>
      </c>
      <c r="G2338" s="119" t="s">
        <v>9</v>
      </c>
      <c r="H2338" s="120">
        <v>807365428.06999993</v>
      </c>
      <c r="I2338" s="119">
        <v>0</v>
      </c>
      <c r="J2338" s="108" t="str">
        <f t="shared" si="159"/>
        <v>0000000000</v>
      </c>
      <c r="K2338" s="304" t="str">
        <f t="shared" si="158"/>
        <v>62107000000000000000</v>
      </c>
      <c r="L2338" s="17" t="str">
        <f>INDEX('реш СГД № 265'!$A:$N,MATCH('БА расх 2018 31 12 2018'!$K2338,'реш СГД № 265'!$N:$N,0),3)</f>
        <v>Образование</v>
      </c>
      <c r="M2338" s="16">
        <f t="shared" si="160"/>
        <v>1</v>
      </c>
    </row>
    <row r="2339" spans="1:13" s="16" customFormat="1" ht="15.75">
      <c r="A2339" s="14"/>
      <c r="B2339" s="121" t="s">
        <v>395</v>
      </c>
      <c r="C2339" s="122" t="s">
        <v>412</v>
      </c>
      <c r="D2339" s="123" t="s">
        <v>229</v>
      </c>
      <c r="E2339" s="123" t="s">
        <v>11</v>
      </c>
      <c r="F2339" s="123" t="s">
        <v>8</v>
      </c>
      <c r="G2339" s="123" t="s">
        <v>9</v>
      </c>
      <c r="H2339" s="124">
        <v>284683521.69</v>
      </c>
      <c r="I2339" s="108">
        <v>0</v>
      </c>
      <c r="J2339" s="108" t="str">
        <f t="shared" si="159"/>
        <v>0000000000</v>
      </c>
      <c r="K2339" s="304" t="str">
        <f t="shared" si="158"/>
        <v>62107010000000000000</v>
      </c>
      <c r="L2339" s="17" t="str">
        <f>INDEX('реш СГД № 265'!$A:$N,MATCH('БА расх 2018 31 12 2018'!$K2339,'реш СГД № 265'!$N:$N,0),3)</f>
        <v>Дошкольное образование</v>
      </c>
      <c r="M2339" s="16">
        <f t="shared" si="160"/>
        <v>1</v>
      </c>
    </row>
    <row r="2340" spans="1:13" s="16" customFormat="1" ht="31.5">
      <c r="A2340" s="14"/>
      <c r="B2340" s="132" t="s">
        <v>396</v>
      </c>
      <c r="C2340" s="109" t="s">
        <v>412</v>
      </c>
      <c r="D2340" s="108" t="s">
        <v>229</v>
      </c>
      <c r="E2340" s="108" t="s">
        <v>11</v>
      </c>
      <c r="F2340" s="108" t="s">
        <v>397</v>
      </c>
      <c r="G2340" s="108" t="s">
        <v>9</v>
      </c>
      <c r="H2340" s="126">
        <v>284683521.69</v>
      </c>
      <c r="I2340" s="108">
        <v>100000000</v>
      </c>
      <c r="J2340" s="108" t="str">
        <f t="shared" si="159"/>
        <v>0100000000</v>
      </c>
      <c r="K2340" s="304" t="str">
        <f t="shared" si="158"/>
        <v>62107010100000000000</v>
      </c>
      <c r="L2340" s="17" t="str">
        <f>INDEX('реш СГД № 265'!$A:$N,MATCH('БА расх 2018 31 12 2018'!$K2340,'реш СГД № 265'!$N:$N,0),3)</f>
        <v>Муниципальная программа «Развитие образования в городе Ставрополе»</v>
      </c>
      <c r="M2340" s="16">
        <f t="shared" si="160"/>
        <v>1</v>
      </c>
    </row>
    <row r="2341" spans="1:13" s="16" customFormat="1" ht="47.25">
      <c r="A2341" s="14"/>
      <c r="B2341" s="125" t="s">
        <v>444</v>
      </c>
      <c r="C2341" s="109" t="s">
        <v>412</v>
      </c>
      <c r="D2341" s="108" t="s">
        <v>229</v>
      </c>
      <c r="E2341" s="108" t="s">
        <v>11</v>
      </c>
      <c r="F2341" s="108" t="s">
        <v>445</v>
      </c>
      <c r="G2341" s="108" t="s">
        <v>9</v>
      </c>
      <c r="H2341" s="126">
        <v>284683521.69</v>
      </c>
      <c r="I2341" s="108">
        <v>120000000</v>
      </c>
      <c r="J2341" s="108" t="str">
        <f t="shared" si="159"/>
        <v>0120000000</v>
      </c>
      <c r="K2341" s="304" t="str">
        <f t="shared" si="158"/>
        <v>62107010120000000000</v>
      </c>
      <c r="L2341" s="17" t="str">
        <f>INDEX('реш СГД № 265'!$A:$N,MATCH('БА расх 2018 31 12 2018'!$K2341,'реш СГД № 265'!$N:$N,0),3)</f>
        <v>Подпрограмма «Расширение и усовершенствование сети муниципальных дошкольных и общеобразовательных учреждений»</v>
      </c>
      <c r="M2341" s="16">
        <f t="shared" si="160"/>
        <v>1</v>
      </c>
    </row>
    <row r="2342" spans="1:13" s="16" customFormat="1" ht="47.25">
      <c r="A2342" s="14"/>
      <c r="B2342" s="125" t="s">
        <v>936</v>
      </c>
      <c r="C2342" s="109" t="s">
        <v>412</v>
      </c>
      <c r="D2342" s="108" t="s">
        <v>229</v>
      </c>
      <c r="E2342" s="108" t="s">
        <v>11</v>
      </c>
      <c r="F2342" s="108" t="s">
        <v>447</v>
      </c>
      <c r="G2342" s="108" t="s">
        <v>9</v>
      </c>
      <c r="H2342" s="126">
        <v>284683521.69</v>
      </c>
      <c r="I2342" s="108">
        <v>120100000</v>
      </c>
      <c r="J2342" s="108" t="str">
        <f t="shared" si="159"/>
        <v>0120100000</v>
      </c>
      <c r="K2342" s="304" t="str">
        <f t="shared" si="158"/>
        <v>62107010120100000000</v>
      </c>
      <c r="L2342" s="17" t="str">
        <f>INDEX('реш СГД № 265'!$A:$N,MATCH('БА расх 2018 31 12 2018'!$K2342,'реш СГД № 265'!$N:$N,0),3)</f>
        <v>Основное мероприятие «Строительство и реконструкция зданий муниципальных  дошкольных и общеобразовательных учреждений на территории города Ставрополя»</v>
      </c>
      <c r="M2342" s="16">
        <f t="shared" si="160"/>
        <v>1</v>
      </c>
    </row>
    <row r="2343" spans="1:13" s="16" customFormat="1" ht="127.15" customHeight="1">
      <c r="A2343" s="14"/>
      <c r="B2343" s="125" t="s">
        <v>2277</v>
      </c>
      <c r="C2343" s="109" t="s">
        <v>412</v>
      </c>
      <c r="D2343" s="108" t="s">
        <v>229</v>
      </c>
      <c r="E2343" s="108" t="s">
        <v>11</v>
      </c>
      <c r="F2343" s="108" t="s">
        <v>2278</v>
      </c>
      <c r="G2343" s="108" t="s">
        <v>9</v>
      </c>
      <c r="H2343" s="126">
        <v>7865611.6900000004</v>
      </c>
      <c r="I2343" s="108" t="s">
        <v>2218</v>
      </c>
      <c r="J2343" s="108" t="str">
        <f t="shared" si="159"/>
        <v>01201L1591</v>
      </c>
      <c r="K2343" s="304" t="str">
        <f t="shared" si="158"/>
        <v>621070101201L1591000</v>
      </c>
      <c r="L2343" s="17" t="str">
        <f>INDEX('реш СГД № 265'!$A:$N,MATCH('БА расх 2018 31 12 2018'!$K2343,'реш СГД № 265'!$N:$N,0),3)</f>
        <v xml:space="preserve">Cоздание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на 160 мест в 204 квартале г. Ставрополя, ул. Серова, 470/7 (в том числе проектно-изыскательские работы) </v>
      </c>
      <c r="M2343" s="16">
        <f t="shared" si="160"/>
        <v>1</v>
      </c>
    </row>
    <row r="2344" spans="1:13" s="16" customFormat="1" ht="15.75">
      <c r="A2344" s="14"/>
      <c r="B2344" s="132" t="s">
        <v>1045</v>
      </c>
      <c r="C2344" s="109"/>
      <c r="D2344" s="108"/>
      <c r="E2344" s="108"/>
      <c r="F2344" s="108"/>
      <c r="G2344" s="108"/>
      <c r="H2344" s="126"/>
      <c r="I2344" s="108"/>
      <c r="J2344" s="108" t="str">
        <f t="shared" si="159"/>
        <v>0000000000</v>
      </c>
      <c r="K2344" s="304" t="str">
        <f t="shared" si="158"/>
        <v>0000000000</v>
      </c>
      <c r="L2344" s="132">
        <f>INDEX('реш СГД № 265'!$A:$N,MATCH('БА расх 2018 31 12 2018'!$K2344,'реш СГД № 265'!$N:$N,0),3)</f>
        <v>0</v>
      </c>
      <c r="M2344" s="248">
        <f t="shared" si="160"/>
        <v>0</v>
      </c>
    </row>
    <row r="2345" spans="1:13" s="16" customFormat="1" ht="15.75">
      <c r="A2345" s="14"/>
      <c r="B2345" s="125" t="s">
        <v>1050</v>
      </c>
      <c r="C2345" s="109" t="s">
        <v>412</v>
      </c>
      <c r="D2345" s="108" t="s">
        <v>229</v>
      </c>
      <c r="E2345" s="108" t="s">
        <v>11</v>
      </c>
      <c r="F2345" s="108" t="s">
        <v>2278</v>
      </c>
      <c r="G2345" s="108" t="s">
        <v>9</v>
      </c>
      <c r="H2345" s="126">
        <v>78656.12</v>
      </c>
      <c r="I2345" s="108" t="s">
        <v>2218</v>
      </c>
      <c r="J2345" s="108" t="str">
        <f t="shared" si="159"/>
        <v>01201L1591</v>
      </c>
      <c r="K2345" s="344" t="str">
        <f t="shared" si="158"/>
        <v>621070101201L1591000</v>
      </c>
      <c r="L2345" s="132"/>
      <c r="M2345" s="248">
        <f t="shared" si="160"/>
        <v>0</v>
      </c>
    </row>
    <row r="2346" spans="1:13" s="16" customFormat="1" ht="15.75">
      <c r="A2346" s="14"/>
      <c r="B2346" s="125" t="s">
        <v>1051</v>
      </c>
      <c r="C2346" s="109" t="s">
        <v>412</v>
      </c>
      <c r="D2346" s="108" t="s">
        <v>229</v>
      </c>
      <c r="E2346" s="108" t="s">
        <v>11</v>
      </c>
      <c r="F2346" s="108" t="s">
        <v>2278</v>
      </c>
      <c r="G2346" s="108" t="s">
        <v>9</v>
      </c>
      <c r="H2346" s="126">
        <v>7786955.5599999996</v>
      </c>
      <c r="I2346" s="108" t="s">
        <v>2218</v>
      </c>
      <c r="J2346" s="108" t="str">
        <f t="shared" si="159"/>
        <v>01201L1591</v>
      </c>
      <c r="K2346" s="344" t="str">
        <f t="shared" si="158"/>
        <v>621070101201L1591000</v>
      </c>
      <c r="L2346" s="132"/>
      <c r="M2346" s="248">
        <f t="shared" si="160"/>
        <v>0</v>
      </c>
    </row>
    <row r="2347" spans="1:13" s="16" customFormat="1" ht="15.75">
      <c r="A2347" s="14"/>
      <c r="B2347" s="125" t="s">
        <v>937</v>
      </c>
      <c r="C2347" s="109" t="s">
        <v>412</v>
      </c>
      <c r="D2347" s="108" t="s">
        <v>229</v>
      </c>
      <c r="E2347" s="108" t="s">
        <v>11</v>
      </c>
      <c r="F2347" s="108" t="s">
        <v>2278</v>
      </c>
      <c r="G2347" s="108" t="s">
        <v>838</v>
      </c>
      <c r="H2347" s="126">
        <v>7865611.6900000004</v>
      </c>
      <c r="I2347" s="108" t="s">
        <v>2218</v>
      </c>
      <c r="J2347" s="108" t="str">
        <f t="shared" si="159"/>
        <v>01201L1591</v>
      </c>
      <c r="K2347" s="304" t="str">
        <f t="shared" si="158"/>
        <v>621070101201L1591410</v>
      </c>
      <c r="L2347" s="17" t="str">
        <f>INDEX('реш СГД № 265'!$A:$N,MATCH('БА расх 2018 31 12 2018'!$K2347,'реш СГД № 265'!$N:$N,0),3)</f>
        <v>Бюджетные инвестиции</v>
      </c>
      <c r="M2347" s="16">
        <f t="shared" si="160"/>
        <v>1</v>
      </c>
    </row>
    <row r="2348" spans="1:13" s="16" customFormat="1" ht="47.25">
      <c r="A2348" s="14"/>
      <c r="B2348" s="125" t="s">
        <v>839</v>
      </c>
      <c r="C2348" s="109" t="s">
        <v>412</v>
      </c>
      <c r="D2348" s="108" t="s">
        <v>229</v>
      </c>
      <c r="E2348" s="108" t="s">
        <v>11</v>
      </c>
      <c r="F2348" s="108" t="s">
        <v>2278</v>
      </c>
      <c r="G2348" s="108" t="s">
        <v>840</v>
      </c>
      <c r="H2348" s="126">
        <v>7865611.6900000004</v>
      </c>
      <c r="I2348" s="108" t="s">
        <v>2218</v>
      </c>
      <c r="J2348" s="108" t="str">
        <f t="shared" si="159"/>
        <v>01201L1591</v>
      </c>
      <c r="K2348" s="304" t="str">
        <f t="shared" si="158"/>
        <v>621070101201L1591414</v>
      </c>
      <c r="L2348" s="17"/>
    </row>
    <row r="2349" spans="1:13" s="16" customFormat="1" ht="110.25">
      <c r="A2349" s="14"/>
      <c r="B2349" s="125" t="s">
        <v>2279</v>
      </c>
      <c r="C2349" s="109" t="s">
        <v>412</v>
      </c>
      <c r="D2349" s="108" t="s">
        <v>229</v>
      </c>
      <c r="E2349" s="108" t="s">
        <v>11</v>
      </c>
      <c r="F2349" s="108" t="s">
        <v>2280</v>
      </c>
      <c r="G2349" s="108" t="s">
        <v>9</v>
      </c>
      <c r="H2349" s="126">
        <v>276817910</v>
      </c>
      <c r="I2349" s="108" t="s">
        <v>2219</v>
      </c>
      <c r="J2349" s="108" t="str">
        <f t="shared" si="159"/>
        <v>01201L1592</v>
      </c>
      <c r="K2349" s="304" t="str">
        <f t="shared" ref="K2349" si="161">C2349&amp;D2349&amp;E2349&amp;J2349&amp;G2349</f>
        <v>621070101201L1592000</v>
      </c>
      <c r="L2349" s="17" t="str">
        <f>INDEX('реш СГД № 265'!$A:$N,MATCH('БА расх 2018 31 12 2018'!$K2349,'реш СГД № 265'!$N:$N,0),3)</f>
        <v xml:space="preserve">Cоздание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(приобретение в муниципальную собственность здания для размещения дошкольного образовательного учреждения на 300 мест в Юго-Западном районе  г. Ставрополя) </v>
      </c>
      <c r="M2349" s="16">
        <f t="shared" si="160"/>
        <v>1</v>
      </c>
    </row>
    <row r="2350" spans="1:13" s="16" customFormat="1" ht="15.75">
      <c r="A2350" s="14"/>
      <c r="B2350" s="132" t="s">
        <v>1045</v>
      </c>
      <c r="C2350" s="109"/>
      <c r="D2350" s="108"/>
      <c r="E2350" s="108"/>
      <c r="F2350" s="108"/>
      <c r="G2350" s="108"/>
      <c r="H2350" s="126"/>
      <c r="I2350" s="108"/>
      <c r="J2350" s="108" t="str">
        <f t="shared" ref="J2350:J2418" si="162">TEXT(I2350,"0000000000")</f>
        <v>0000000000</v>
      </c>
      <c r="K2350" s="304" t="str">
        <f t="shared" ref="K2350:K2417" si="163">C2350&amp;D2350&amp;E2350&amp;J2350&amp;G2350</f>
        <v>0000000000</v>
      </c>
      <c r="L2350" s="132">
        <f>INDEX('реш СГД № 265'!$A:$N,MATCH('БА расх 2018 31 12 2018'!$K2350,'реш СГД № 265'!$N:$N,0),3)</f>
        <v>0</v>
      </c>
      <c r="M2350" s="248">
        <f t="shared" ref="M2350:M2417" si="164">IF(B2350=L2350,1,0)</f>
        <v>0</v>
      </c>
    </row>
    <row r="2351" spans="1:13" s="16" customFormat="1" ht="15.75">
      <c r="A2351" s="14"/>
      <c r="B2351" s="125" t="s">
        <v>1050</v>
      </c>
      <c r="C2351" s="109" t="s">
        <v>412</v>
      </c>
      <c r="D2351" s="108" t="s">
        <v>229</v>
      </c>
      <c r="E2351" s="108" t="s">
        <v>11</v>
      </c>
      <c r="F2351" s="108" t="s">
        <v>2280</v>
      </c>
      <c r="G2351" s="108" t="s">
        <v>9</v>
      </c>
      <c r="H2351" s="126">
        <v>2768179.1</v>
      </c>
      <c r="I2351" s="108" t="s">
        <v>2219</v>
      </c>
      <c r="J2351" s="108" t="str">
        <f t="shared" si="162"/>
        <v>01201L1592</v>
      </c>
      <c r="K2351" s="344" t="str">
        <f t="shared" si="163"/>
        <v>621070101201L1592000</v>
      </c>
      <c r="L2351" s="132"/>
      <c r="M2351" s="248">
        <f t="shared" si="164"/>
        <v>0</v>
      </c>
    </row>
    <row r="2352" spans="1:13" s="16" customFormat="1" ht="15.75">
      <c r="A2352" s="14"/>
      <c r="B2352" s="125" t="s">
        <v>1051</v>
      </c>
      <c r="C2352" s="109" t="s">
        <v>412</v>
      </c>
      <c r="D2352" s="108" t="s">
        <v>229</v>
      </c>
      <c r="E2352" s="108" t="s">
        <v>11</v>
      </c>
      <c r="F2352" s="108" t="s">
        <v>2280</v>
      </c>
      <c r="G2352" s="108" t="s">
        <v>9</v>
      </c>
      <c r="H2352" s="126">
        <v>274049730.89999998</v>
      </c>
      <c r="I2352" s="108" t="s">
        <v>2219</v>
      </c>
      <c r="J2352" s="108" t="str">
        <f t="shared" si="162"/>
        <v>01201L1592</v>
      </c>
      <c r="K2352" s="344" t="str">
        <f t="shared" si="163"/>
        <v>621070101201L1592000</v>
      </c>
      <c r="L2352" s="132"/>
      <c r="M2352" s="248">
        <f t="shared" si="164"/>
        <v>0</v>
      </c>
    </row>
    <row r="2353" spans="1:13" s="16" customFormat="1" ht="15.75">
      <c r="A2353" s="14"/>
      <c r="B2353" s="125" t="s">
        <v>937</v>
      </c>
      <c r="C2353" s="109" t="s">
        <v>412</v>
      </c>
      <c r="D2353" s="108" t="s">
        <v>229</v>
      </c>
      <c r="E2353" s="108" t="s">
        <v>11</v>
      </c>
      <c r="F2353" s="108" t="s">
        <v>2280</v>
      </c>
      <c r="G2353" s="108" t="s">
        <v>838</v>
      </c>
      <c r="H2353" s="126">
        <v>276817910</v>
      </c>
      <c r="I2353" s="108" t="s">
        <v>2219</v>
      </c>
      <c r="J2353" s="108" t="str">
        <f t="shared" si="162"/>
        <v>01201L1592</v>
      </c>
      <c r="K2353" s="304" t="str">
        <f t="shared" si="163"/>
        <v>621070101201L1592410</v>
      </c>
      <c r="L2353" s="17" t="str">
        <f>INDEX('реш СГД № 265'!$A:$N,MATCH('БА расх 2018 31 12 2018'!$K2353,'реш СГД № 265'!$N:$N,0),3)</f>
        <v>Бюджетные инвестиции</v>
      </c>
      <c r="M2353" s="16">
        <f t="shared" si="164"/>
        <v>1</v>
      </c>
    </row>
    <row r="2354" spans="1:13" s="16" customFormat="1" ht="47.25">
      <c r="A2354" s="14"/>
      <c r="B2354" s="125" t="s">
        <v>1161</v>
      </c>
      <c r="C2354" s="109" t="s">
        <v>412</v>
      </c>
      <c r="D2354" s="108" t="s">
        <v>229</v>
      </c>
      <c r="E2354" s="108" t="s">
        <v>11</v>
      </c>
      <c r="F2354" s="108" t="s">
        <v>2280</v>
      </c>
      <c r="G2354" s="108" t="s">
        <v>1162</v>
      </c>
      <c r="H2354" s="126">
        <v>276817910</v>
      </c>
      <c r="I2354" s="108" t="s">
        <v>2219</v>
      </c>
      <c r="J2354" s="108" t="str">
        <f t="shared" si="162"/>
        <v>01201L1592</v>
      </c>
      <c r="K2354" s="304" t="str">
        <f t="shared" si="163"/>
        <v>621070101201L1592412</v>
      </c>
      <c r="L2354" s="17"/>
    </row>
    <row r="2355" spans="1:13" s="16" customFormat="1" ht="15.75">
      <c r="A2355" s="14"/>
      <c r="B2355" s="121" t="s">
        <v>438</v>
      </c>
      <c r="C2355" s="122" t="s">
        <v>412</v>
      </c>
      <c r="D2355" s="123" t="s">
        <v>229</v>
      </c>
      <c r="E2355" s="123" t="s">
        <v>62</v>
      </c>
      <c r="F2355" s="123" t="s">
        <v>8</v>
      </c>
      <c r="G2355" s="123" t="s">
        <v>9</v>
      </c>
      <c r="H2355" s="124">
        <v>522681906.38</v>
      </c>
      <c r="I2355" s="123">
        <v>0</v>
      </c>
      <c r="J2355" s="123" t="str">
        <f t="shared" si="162"/>
        <v>0000000000</v>
      </c>
      <c r="K2355" s="304" t="str">
        <f t="shared" si="163"/>
        <v>62107020000000000000</v>
      </c>
      <c r="L2355" s="17" t="str">
        <f>INDEX('реш СГД № 265'!$A:$N,MATCH('БА расх 2018 31 12 2018'!$K2355,'реш СГД № 265'!$N:$N,0),3)</f>
        <v>Общее образование</v>
      </c>
      <c r="M2355" s="16">
        <f t="shared" si="164"/>
        <v>1</v>
      </c>
    </row>
    <row r="2356" spans="1:13" s="16" customFormat="1" ht="31.5">
      <c r="A2356" s="14"/>
      <c r="B2356" s="132" t="s">
        <v>396</v>
      </c>
      <c r="C2356" s="109" t="s">
        <v>412</v>
      </c>
      <c r="D2356" s="108" t="s">
        <v>229</v>
      </c>
      <c r="E2356" s="108" t="s">
        <v>62</v>
      </c>
      <c r="F2356" s="108" t="s">
        <v>397</v>
      </c>
      <c r="G2356" s="108" t="s">
        <v>9</v>
      </c>
      <c r="H2356" s="126">
        <v>522681906.38</v>
      </c>
      <c r="I2356" s="108">
        <v>100000000</v>
      </c>
      <c r="J2356" s="108" t="str">
        <f t="shared" si="162"/>
        <v>0100000000</v>
      </c>
      <c r="K2356" s="304" t="str">
        <f t="shared" si="163"/>
        <v>62107020100000000000</v>
      </c>
      <c r="L2356" s="17" t="str">
        <f>INDEX('реш СГД № 265'!$A:$N,MATCH('БА расх 2018 31 12 2018'!$K2356,'реш СГД № 265'!$N:$N,0),3)</f>
        <v>Муниципальная программа «Развитие образования в городе Ставрополе»</v>
      </c>
      <c r="M2356" s="16">
        <f t="shared" si="164"/>
        <v>1</v>
      </c>
    </row>
    <row r="2357" spans="1:13" s="16" customFormat="1" ht="47.25">
      <c r="A2357" s="14"/>
      <c r="B2357" s="125" t="s">
        <v>444</v>
      </c>
      <c r="C2357" s="109" t="s">
        <v>412</v>
      </c>
      <c r="D2357" s="108" t="s">
        <v>229</v>
      </c>
      <c r="E2357" s="108" t="s">
        <v>62</v>
      </c>
      <c r="F2357" s="108" t="s">
        <v>445</v>
      </c>
      <c r="G2357" s="108" t="s">
        <v>9</v>
      </c>
      <c r="H2357" s="126">
        <v>522681906.38</v>
      </c>
      <c r="I2357" s="108">
        <v>120000000</v>
      </c>
      <c r="J2357" s="108" t="str">
        <f t="shared" si="162"/>
        <v>0120000000</v>
      </c>
      <c r="K2357" s="304" t="str">
        <f t="shared" si="163"/>
        <v>62107020120000000000</v>
      </c>
      <c r="L2357" s="17" t="str">
        <f>INDEX('реш СГД № 265'!$A:$N,MATCH('БА расх 2018 31 12 2018'!$K2357,'реш СГД № 265'!$N:$N,0),3)</f>
        <v>Подпрограмма «Расширение и усовершенствование сети муниципальных дошкольных и общеобразовательных учреждений»</v>
      </c>
      <c r="M2357" s="16">
        <f t="shared" si="164"/>
        <v>1</v>
      </c>
    </row>
    <row r="2358" spans="1:13" s="16" customFormat="1" ht="47.25">
      <c r="A2358" s="14"/>
      <c r="B2358" s="125" t="s">
        <v>936</v>
      </c>
      <c r="C2358" s="109" t="s">
        <v>412</v>
      </c>
      <c r="D2358" s="108" t="s">
        <v>229</v>
      </c>
      <c r="E2358" s="108" t="s">
        <v>62</v>
      </c>
      <c r="F2358" s="108" t="s">
        <v>447</v>
      </c>
      <c r="G2358" s="108" t="s">
        <v>9</v>
      </c>
      <c r="H2358" s="126">
        <v>522681906.38</v>
      </c>
      <c r="I2358" s="108">
        <v>120100000</v>
      </c>
      <c r="J2358" s="108" t="str">
        <f t="shared" si="162"/>
        <v>0120100000</v>
      </c>
      <c r="K2358" s="304" t="str">
        <f t="shared" si="163"/>
        <v>62107020120100000000</v>
      </c>
      <c r="L2358" s="17" t="str">
        <f>INDEX('реш СГД № 265'!$A:$N,MATCH('БА расх 2018 31 12 2018'!$K2358,'реш СГД № 265'!$N:$N,0),3)</f>
        <v>Основное мероприятие «Строительство и реконструкция зданий муниципальных  дошкольных и общеобразовательных учреждений на территории города Ставрополя»</v>
      </c>
      <c r="M2358" s="16">
        <f t="shared" si="164"/>
        <v>1</v>
      </c>
    </row>
    <row r="2359" spans="1:13" s="16" customFormat="1" ht="47.25">
      <c r="A2359" s="14"/>
      <c r="B2359" s="125" t="s">
        <v>448</v>
      </c>
      <c r="C2359" s="109" t="s">
        <v>412</v>
      </c>
      <c r="D2359" s="108" t="s">
        <v>229</v>
      </c>
      <c r="E2359" s="108" t="s">
        <v>62</v>
      </c>
      <c r="F2359" s="108" t="s">
        <v>449</v>
      </c>
      <c r="G2359" s="108" t="s">
        <v>9</v>
      </c>
      <c r="H2359" s="126">
        <v>16253.27</v>
      </c>
      <c r="I2359" s="108">
        <v>120140010</v>
      </c>
      <c r="J2359" s="108" t="str">
        <f t="shared" si="162"/>
        <v>0120140010</v>
      </c>
      <c r="K2359" s="304" t="str">
        <f t="shared" si="163"/>
        <v>62107020120140010000</v>
      </c>
      <c r="L2359" s="17" t="str">
        <f>INDEX('реш СГД № 265'!$A:$N,MATCH('БА расх 2018 31 12 2018'!$K2359,'реш СГД № 265'!$N:$N,0),3)</f>
        <v>Строительство (реконструкция, техническое перевооружение) объектов капитального строительства муниципальной собственности города Ставрополя</v>
      </c>
      <c r="M2359" s="16">
        <f t="shared" si="164"/>
        <v>1</v>
      </c>
    </row>
    <row r="2360" spans="1:13" s="16" customFormat="1" ht="15.75">
      <c r="A2360" s="14"/>
      <c r="B2360" s="125" t="s">
        <v>937</v>
      </c>
      <c r="C2360" s="109" t="s">
        <v>412</v>
      </c>
      <c r="D2360" s="108" t="s">
        <v>229</v>
      </c>
      <c r="E2360" s="108" t="s">
        <v>62</v>
      </c>
      <c r="F2360" s="108" t="s">
        <v>449</v>
      </c>
      <c r="G2360" s="108" t="s">
        <v>838</v>
      </c>
      <c r="H2360" s="126">
        <v>16253.27</v>
      </c>
      <c r="I2360" s="108">
        <v>120140010</v>
      </c>
      <c r="J2360" s="108" t="str">
        <f t="shared" si="162"/>
        <v>0120140010</v>
      </c>
      <c r="K2360" s="304" t="str">
        <f t="shared" si="163"/>
        <v>62107020120140010410</v>
      </c>
      <c r="L2360" s="17" t="str">
        <f>INDEX('реш СГД № 265'!$A:$N,MATCH('БА расх 2018 31 12 2018'!$K2360,'реш СГД № 265'!$N:$N,0),3)</f>
        <v>Бюджетные инвестиции</v>
      </c>
      <c r="M2360" s="16">
        <f t="shared" si="164"/>
        <v>1</v>
      </c>
    </row>
    <row r="2361" spans="1:13" s="16" customFormat="1" ht="47.25">
      <c r="A2361" s="14"/>
      <c r="B2361" s="125" t="s">
        <v>839</v>
      </c>
      <c r="C2361" s="109" t="s">
        <v>412</v>
      </c>
      <c r="D2361" s="108" t="s">
        <v>229</v>
      </c>
      <c r="E2361" s="108" t="s">
        <v>62</v>
      </c>
      <c r="F2361" s="108" t="s">
        <v>449</v>
      </c>
      <c r="G2361" s="108" t="s">
        <v>840</v>
      </c>
      <c r="H2361" s="126">
        <v>16253.27</v>
      </c>
      <c r="I2361" s="108">
        <v>120140010</v>
      </c>
      <c r="J2361" s="108" t="str">
        <f t="shared" si="162"/>
        <v>0120140010</v>
      </c>
      <c r="K2361" s="304" t="str">
        <f t="shared" si="163"/>
        <v>62107020120140010414</v>
      </c>
      <c r="L2361" s="17"/>
    </row>
    <row r="2362" spans="1:13" s="16" customFormat="1" ht="47.25">
      <c r="A2362" s="14"/>
      <c r="B2362" s="125" t="s">
        <v>2421</v>
      </c>
      <c r="C2362" s="109" t="s">
        <v>412</v>
      </c>
      <c r="D2362" s="108" t="s">
        <v>229</v>
      </c>
      <c r="E2362" s="108" t="s">
        <v>62</v>
      </c>
      <c r="F2362" s="108" t="s">
        <v>2420</v>
      </c>
      <c r="G2362" s="108" t="s">
        <v>9</v>
      </c>
      <c r="H2362" s="126">
        <v>496523768.43000001</v>
      </c>
      <c r="I2362" s="108"/>
      <c r="J2362" s="108"/>
      <c r="K2362" s="304"/>
      <c r="L2362" s="17"/>
    </row>
    <row r="2363" spans="1:13" s="16" customFormat="1" ht="15.75">
      <c r="A2363" s="14"/>
      <c r="B2363" s="125" t="s">
        <v>1104</v>
      </c>
      <c r="H2363" s="126"/>
      <c r="I2363" s="108"/>
      <c r="J2363" s="108"/>
      <c r="K2363" s="304"/>
      <c r="L2363" s="17"/>
    </row>
    <row r="2364" spans="1:13" s="16" customFormat="1" ht="50.25" customHeight="1">
      <c r="A2364" s="14"/>
      <c r="B2364" s="125" t="s">
        <v>2422</v>
      </c>
      <c r="C2364" s="109" t="s">
        <v>412</v>
      </c>
      <c r="D2364" s="108" t="s">
        <v>229</v>
      </c>
      <c r="E2364" s="108" t="s">
        <v>62</v>
      </c>
      <c r="F2364" s="108" t="s">
        <v>2420</v>
      </c>
      <c r="G2364" s="108" t="s">
        <v>9</v>
      </c>
      <c r="H2364" s="126">
        <v>496523768.43000001</v>
      </c>
      <c r="I2364" s="108"/>
      <c r="J2364" s="108"/>
      <c r="K2364" s="304"/>
      <c r="L2364" s="17"/>
    </row>
    <row r="2365" spans="1:13" s="16" customFormat="1" ht="15.75">
      <c r="A2365" s="14"/>
      <c r="B2365" s="125" t="s">
        <v>937</v>
      </c>
      <c r="C2365" s="109" t="s">
        <v>412</v>
      </c>
      <c r="D2365" s="108" t="s">
        <v>229</v>
      </c>
      <c r="E2365" s="108" t="s">
        <v>62</v>
      </c>
      <c r="F2365" s="108" t="s">
        <v>2420</v>
      </c>
      <c r="G2365" s="108" t="s">
        <v>838</v>
      </c>
      <c r="H2365" s="126">
        <v>496523768.43000001</v>
      </c>
      <c r="I2365" s="108" t="s">
        <v>2371</v>
      </c>
      <c r="J2365" s="108" t="str">
        <f t="shared" ref="J2365:J2366" si="165">TEXT(I2365,"0000000000")</f>
        <v>0120177203</v>
      </c>
      <c r="K2365" s="304" t="str">
        <f t="shared" ref="K2365:K2366" si="166">C2365&amp;D2365&amp;E2365&amp;J2365&amp;G2365</f>
        <v>62107020120177203410</v>
      </c>
      <c r="L2365" s="17" t="e">
        <f>INDEX('реш СГД № 265'!$A:$N,MATCH('БА расх 2018 31 12 2018'!$K2365,'реш СГД № 265'!$N:$N,0),3)</f>
        <v>#N/A</v>
      </c>
    </row>
    <row r="2366" spans="1:13" s="16" customFormat="1" ht="47.25">
      <c r="A2366" s="14"/>
      <c r="B2366" s="125" t="s">
        <v>839</v>
      </c>
      <c r="C2366" s="109" t="s">
        <v>412</v>
      </c>
      <c r="D2366" s="108" t="s">
        <v>229</v>
      </c>
      <c r="E2366" s="108" t="s">
        <v>62</v>
      </c>
      <c r="F2366" s="108" t="s">
        <v>2420</v>
      </c>
      <c r="G2366" s="108" t="s">
        <v>840</v>
      </c>
      <c r="H2366" s="126">
        <v>496523768.43000001</v>
      </c>
      <c r="I2366" s="108" t="s">
        <v>2371</v>
      </c>
      <c r="J2366" s="108" t="str">
        <f t="shared" si="165"/>
        <v>0120177203</v>
      </c>
      <c r="K2366" s="304" t="str">
        <f t="shared" si="166"/>
        <v>62107020120177203414</v>
      </c>
      <c r="L2366" s="17"/>
    </row>
    <row r="2367" spans="1:13" s="16" customFormat="1" ht="47.25">
      <c r="A2367" s="14"/>
      <c r="B2367" s="125" t="s">
        <v>1077</v>
      </c>
      <c r="C2367" s="109" t="s">
        <v>412</v>
      </c>
      <c r="D2367" s="108" t="s">
        <v>229</v>
      </c>
      <c r="E2367" s="108" t="s">
        <v>62</v>
      </c>
      <c r="F2367" s="108" t="s">
        <v>1078</v>
      </c>
      <c r="G2367" s="108" t="s">
        <v>9</v>
      </c>
      <c r="H2367" s="126">
        <v>9054.76</v>
      </c>
      <c r="I2367" s="108" t="s">
        <v>1258</v>
      </c>
      <c r="J2367" s="108" t="str">
        <f t="shared" si="162"/>
        <v>01201R5200</v>
      </c>
      <c r="K2367" s="304" t="str">
        <f t="shared" si="163"/>
        <v>621070201201R5200000</v>
      </c>
      <c r="L2367" s="17" t="str">
        <f>INDEX('реш СГД № 265'!$A:$N,MATCH('БА расх 2018 31 12 2018'!$K2367,'реш СГД № 265'!$N:$N,0),3)</f>
        <v xml:space="preserve">Расходы на реализацию мероприятий по содействию создания в субъектах Российской Федерации новых мест в общеобразовательных организациях </v>
      </c>
      <c r="M2367" s="16">
        <f t="shared" si="164"/>
        <v>1</v>
      </c>
    </row>
    <row r="2368" spans="1:13" s="16" customFormat="1" ht="15.75">
      <c r="A2368" s="14"/>
      <c r="B2368" s="125" t="s">
        <v>937</v>
      </c>
      <c r="C2368" s="109" t="s">
        <v>412</v>
      </c>
      <c r="D2368" s="108" t="s">
        <v>229</v>
      </c>
      <c r="E2368" s="108" t="s">
        <v>62</v>
      </c>
      <c r="F2368" s="108" t="s">
        <v>1078</v>
      </c>
      <c r="G2368" s="108" t="s">
        <v>838</v>
      </c>
      <c r="H2368" s="126">
        <v>9054.76</v>
      </c>
      <c r="I2368" s="108" t="s">
        <v>1258</v>
      </c>
      <c r="J2368" s="108" t="str">
        <f t="shared" si="162"/>
        <v>01201R5200</v>
      </c>
      <c r="K2368" s="304" t="str">
        <f t="shared" si="163"/>
        <v>621070201201R5200410</v>
      </c>
      <c r="L2368" s="17" t="str">
        <f>INDEX('реш СГД № 265'!$A:$N,MATCH('БА расх 2018 31 12 2018'!$K2368,'реш СГД № 265'!$N:$N,0),3)</f>
        <v>Бюджетные инвестиции</v>
      </c>
      <c r="M2368" s="16">
        <f t="shared" si="164"/>
        <v>1</v>
      </c>
    </row>
    <row r="2369" spans="1:13" s="16" customFormat="1" ht="47.25">
      <c r="A2369" s="14"/>
      <c r="B2369" s="125" t="s">
        <v>839</v>
      </c>
      <c r="C2369" s="109" t="s">
        <v>412</v>
      </c>
      <c r="D2369" s="108" t="s">
        <v>229</v>
      </c>
      <c r="E2369" s="108" t="s">
        <v>62</v>
      </c>
      <c r="F2369" s="108" t="s">
        <v>1078</v>
      </c>
      <c r="G2369" s="108" t="s">
        <v>840</v>
      </c>
      <c r="H2369" s="126">
        <v>9054.76</v>
      </c>
      <c r="I2369" s="108" t="s">
        <v>1258</v>
      </c>
      <c r="J2369" s="108" t="str">
        <f t="shared" si="162"/>
        <v>01201R5200</v>
      </c>
      <c r="K2369" s="304" t="str">
        <f t="shared" si="163"/>
        <v>621070201201R5200414</v>
      </c>
      <c r="L2369" s="17"/>
    </row>
    <row r="2370" spans="1:13" s="16" customFormat="1" ht="35.25" customHeight="1">
      <c r="A2370" s="14"/>
      <c r="B2370" s="125" t="s">
        <v>2424</v>
      </c>
      <c r="C2370" s="109" t="s">
        <v>412</v>
      </c>
      <c r="D2370" s="108" t="s">
        <v>229</v>
      </c>
      <c r="E2370" s="108" t="s">
        <v>62</v>
      </c>
      <c r="F2370" s="108" t="s">
        <v>2423</v>
      </c>
      <c r="G2370" s="108" t="s">
        <v>9</v>
      </c>
      <c r="H2370" s="126">
        <v>26132829.920000002</v>
      </c>
      <c r="I2370" s="108"/>
      <c r="J2370" s="108"/>
      <c r="K2370" s="304"/>
      <c r="L2370" s="17"/>
    </row>
    <row r="2371" spans="1:13" s="16" customFormat="1" ht="15.75">
      <c r="A2371" s="14"/>
      <c r="B2371" s="125" t="s">
        <v>1104</v>
      </c>
      <c r="C2371" s="109"/>
      <c r="D2371" s="108"/>
      <c r="E2371" s="108"/>
      <c r="F2371" s="108"/>
      <c r="G2371" s="108"/>
      <c r="H2371" s="126"/>
      <c r="I2371" s="108"/>
      <c r="J2371" s="108"/>
      <c r="K2371" s="304"/>
      <c r="L2371" s="17"/>
    </row>
    <row r="2372" spans="1:13" s="16" customFormat="1" ht="48.75" customHeight="1">
      <c r="A2372" s="14"/>
      <c r="B2372" s="125" t="s">
        <v>2422</v>
      </c>
      <c r="C2372" s="109" t="s">
        <v>412</v>
      </c>
      <c r="D2372" s="108" t="s">
        <v>229</v>
      </c>
      <c r="E2372" s="108" t="s">
        <v>62</v>
      </c>
      <c r="F2372" s="108" t="s">
        <v>2423</v>
      </c>
      <c r="G2372" s="108" t="s">
        <v>9</v>
      </c>
      <c r="H2372" s="126">
        <v>26132829.920000002</v>
      </c>
      <c r="I2372" s="108"/>
      <c r="J2372" s="108"/>
      <c r="K2372" s="304"/>
      <c r="L2372" s="17"/>
    </row>
    <row r="2373" spans="1:13" s="16" customFormat="1" ht="15.75">
      <c r="A2373" s="14"/>
      <c r="B2373" s="125" t="s">
        <v>937</v>
      </c>
      <c r="C2373" s="109" t="s">
        <v>412</v>
      </c>
      <c r="D2373" s="108" t="s">
        <v>229</v>
      </c>
      <c r="E2373" s="108" t="s">
        <v>62</v>
      </c>
      <c r="F2373" s="108" t="s">
        <v>2423</v>
      </c>
      <c r="G2373" s="108" t="s">
        <v>838</v>
      </c>
      <c r="H2373" s="126">
        <v>26132829.920000002</v>
      </c>
      <c r="I2373" s="108" t="s">
        <v>2372</v>
      </c>
      <c r="J2373" s="108" t="str">
        <f t="shared" ref="J2373:J2374" si="167">TEXT(I2373,"0000000000")</f>
        <v>01201S7203</v>
      </c>
      <c r="K2373" s="304" t="str">
        <f t="shared" ref="K2373:K2374" si="168">C2373&amp;D2373&amp;E2373&amp;J2373&amp;G2373</f>
        <v>621070201201S7203410</v>
      </c>
      <c r="L2373" s="17"/>
    </row>
    <row r="2374" spans="1:13" s="16" customFormat="1" ht="47.25">
      <c r="A2374" s="14"/>
      <c r="B2374" s="125" t="s">
        <v>839</v>
      </c>
      <c r="C2374" s="109" t="s">
        <v>412</v>
      </c>
      <c r="D2374" s="108" t="s">
        <v>229</v>
      </c>
      <c r="E2374" s="108" t="s">
        <v>62</v>
      </c>
      <c r="F2374" s="108" t="s">
        <v>2423</v>
      </c>
      <c r="G2374" s="108" t="s">
        <v>840</v>
      </c>
      <c r="H2374" s="126">
        <v>26132829.920000002</v>
      </c>
      <c r="I2374" s="108" t="s">
        <v>2372</v>
      </c>
      <c r="J2374" s="108" t="str">
        <f t="shared" si="167"/>
        <v>01201S7203</v>
      </c>
      <c r="K2374" s="304" t="str">
        <f t="shared" si="168"/>
        <v>621070201201S7203414</v>
      </c>
      <c r="L2374" s="17"/>
    </row>
    <row r="2375" spans="1:13" s="16" customFormat="1" ht="15.75">
      <c r="A2375" s="14"/>
      <c r="B2375" s="125" t="s">
        <v>1045</v>
      </c>
      <c r="C2375" s="109"/>
      <c r="D2375" s="108"/>
      <c r="E2375" s="108"/>
      <c r="F2375" s="108"/>
      <c r="G2375" s="108"/>
      <c r="H2375" s="126"/>
      <c r="I2375" s="108"/>
      <c r="J2375" s="108" t="str">
        <f t="shared" si="162"/>
        <v>0000000000</v>
      </c>
      <c r="K2375" s="304" t="str">
        <f t="shared" si="163"/>
        <v>0000000000</v>
      </c>
      <c r="L2375" s="132">
        <f>INDEX('реш СГД № 265'!$A:$N,MATCH('БА расх 2018 31 12 2018'!$K2375,'реш СГД № 265'!$N:$N,0),3)</f>
        <v>0</v>
      </c>
      <c r="M2375" s="248">
        <f t="shared" si="164"/>
        <v>0</v>
      </c>
    </row>
    <row r="2376" spans="1:13" s="16" customFormat="1" ht="15.75">
      <c r="A2376" s="14"/>
      <c r="B2376" s="117" t="s">
        <v>569</v>
      </c>
      <c r="C2376" s="118" t="s">
        <v>412</v>
      </c>
      <c r="D2376" s="119" t="s">
        <v>238</v>
      </c>
      <c r="E2376" s="119" t="s">
        <v>7</v>
      </c>
      <c r="F2376" s="119" t="s">
        <v>8</v>
      </c>
      <c r="G2376" s="119" t="s">
        <v>9</v>
      </c>
      <c r="H2376" s="120">
        <v>3194968.4</v>
      </c>
      <c r="I2376" s="119">
        <v>0</v>
      </c>
      <c r="J2376" s="119" t="str">
        <f t="shared" si="162"/>
        <v>0000000000</v>
      </c>
      <c r="K2376" s="304" t="str">
        <f t="shared" si="163"/>
        <v>62108000000000000000</v>
      </c>
      <c r="L2376" s="17" t="str">
        <f>INDEX('реш СГД № 265'!$A:$N,MATCH('БА расх 2018 31 12 2018'!$K2376,'реш СГД № 265'!$N:$N,0),3)</f>
        <v>Культура, кинематография</v>
      </c>
      <c r="M2376" s="16">
        <f t="shared" si="164"/>
        <v>1</v>
      </c>
    </row>
    <row r="2377" spans="1:13" s="16" customFormat="1" ht="15.75">
      <c r="A2377" s="14"/>
      <c r="B2377" s="121" t="s">
        <v>239</v>
      </c>
      <c r="C2377" s="122" t="s">
        <v>412</v>
      </c>
      <c r="D2377" s="123" t="s">
        <v>238</v>
      </c>
      <c r="E2377" s="123" t="s">
        <v>11</v>
      </c>
      <c r="F2377" s="123" t="s">
        <v>8</v>
      </c>
      <c r="G2377" s="123" t="s">
        <v>9</v>
      </c>
      <c r="H2377" s="124">
        <v>3194968.4</v>
      </c>
      <c r="I2377" s="123">
        <v>0</v>
      </c>
      <c r="J2377" s="123" t="str">
        <f t="shared" si="162"/>
        <v>0000000000</v>
      </c>
      <c r="K2377" s="304" t="str">
        <f t="shared" si="163"/>
        <v>62108010000000000000</v>
      </c>
      <c r="L2377" s="17" t="str">
        <f>INDEX('реш СГД № 265'!$A:$N,MATCH('БА расх 2018 31 12 2018'!$K2377,'реш СГД № 265'!$N:$N,0),3)</f>
        <v>Культура</v>
      </c>
      <c r="M2377" s="16">
        <f t="shared" si="164"/>
        <v>1</v>
      </c>
    </row>
    <row r="2378" spans="1:13" s="16" customFormat="1" ht="15.75">
      <c r="A2378" s="14"/>
      <c r="B2378" s="125" t="s">
        <v>240</v>
      </c>
      <c r="C2378" s="109" t="s">
        <v>412</v>
      </c>
      <c r="D2378" s="108" t="s">
        <v>238</v>
      </c>
      <c r="E2378" s="108" t="s">
        <v>11</v>
      </c>
      <c r="F2378" s="131" t="s">
        <v>241</v>
      </c>
      <c r="G2378" s="108" t="s">
        <v>9</v>
      </c>
      <c r="H2378" s="126">
        <v>3194968.4</v>
      </c>
      <c r="I2378" s="131">
        <v>700000000</v>
      </c>
      <c r="J2378" s="131" t="str">
        <f t="shared" si="162"/>
        <v>0700000000</v>
      </c>
      <c r="K2378" s="304" t="str">
        <f t="shared" si="163"/>
        <v>62108010700000000000</v>
      </c>
      <c r="L2378" s="17" t="str">
        <f>INDEX('реш СГД № 265'!$A:$N,MATCH('БА расх 2018 31 12 2018'!$K2378,'реш СГД № 265'!$N:$N,0),3)</f>
        <v>Муниципальная программа «Культура города Ставрополя»</v>
      </c>
      <c r="M2378" s="16">
        <f t="shared" si="164"/>
        <v>1</v>
      </c>
    </row>
    <row r="2379" spans="1:13" s="16" customFormat="1" ht="63">
      <c r="A2379" s="14"/>
      <c r="B2379" s="125" t="s">
        <v>384</v>
      </c>
      <c r="C2379" s="109" t="s">
        <v>412</v>
      </c>
      <c r="D2379" s="108" t="s">
        <v>238</v>
      </c>
      <c r="E2379" s="108" t="s">
        <v>11</v>
      </c>
      <c r="F2379" s="131" t="s">
        <v>243</v>
      </c>
      <c r="G2379" s="108" t="s">
        <v>9</v>
      </c>
      <c r="H2379" s="126">
        <v>3194968.4</v>
      </c>
      <c r="I2379" s="131">
        <v>710000000</v>
      </c>
      <c r="J2379" s="131" t="str">
        <f t="shared" si="162"/>
        <v>0710000000</v>
      </c>
      <c r="K2379" s="304" t="str">
        <f t="shared" si="163"/>
        <v>62108010710000000000</v>
      </c>
      <c r="L2379" s="17" t="str">
        <f>INDEX('реш СГД № 265'!$A:$N,MATCH('БА расх 2018 31 12 2018'!$K2379,'реш СГД № 265'!$N:$N,0),3)</f>
        <v>Подпрограмма «Проведение городских и краевых культурно-массовых мероприятий, посвященных памятным, знаменательным и юбилейным датам в истории России, Ставропольского края, города Ставрополя»</v>
      </c>
      <c r="M2379" s="16">
        <f t="shared" si="164"/>
        <v>1</v>
      </c>
    </row>
    <row r="2380" spans="1:13" s="16" customFormat="1" ht="94.5">
      <c r="A2380" s="14"/>
      <c r="B2380" s="125" t="s">
        <v>244</v>
      </c>
      <c r="C2380" s="109" t="s">
        <v>412</v>
      </c>
      <c r="D2380" s="108" t="s">
        <v>238</v>
      </c>
      <c r="E2380" s="108" t="s">
        <v>11</v>
      </c>
      <c r="F2380" s="131" t="s">
        <v>245</v>
      </c>
      <c r="G2380" s="108" t="s">
        <v>9</v>
      </c>
      <c r="H2380" s="126">
        <v>3100440</v>
      </c>
      <c r="I2380" s="131">
        <v>710100000</v>
      </c>
      <c r="J2380" s="131" t="str">
        <f t="shared" si="162"/>
        <v>0710100000</v>
      </c>
      <c r="K2380" s="304" t="str">
        <f t="shared" si="163"/>
        <v>62108010710100000000</v>
      </c>
      <c r="L2380" s="17" t="str">
        <f>INDEX('реш СГД № 265'!$A:$N,MATCH('БА расх 2018 31 12 2018'!$K2380,'реш СГД № 265'!$N:$N,0),3)</f>
        <v>Основное мероприятие «Обеспечение доступности к культурным ценностям и права на участие в культурной жизни для всех групп населения города Ставрополя, популяризация объектов культурного наследия города Ставрополя, формирование имиджа города Ставрополя как культурного центра Ставропольского края»</v>
      </c>
      <c r="M2380" s="16">
        <f t="shared" si="164"/>
        <v>1</v>
      </c>
    </row>
    <row r="2381" spans="1:13" s="16" customFormat="1" ht="31.5">
      <c r="A2381" s="14"/>
      <c r="B2381" s="125" t="s">
        <v>246</v>
      </c>
      <c r="C2381" s="109" t="s">
        <v>412</v>
      </c>
      <c r="D2381" s="108" t="s">
        <v>238</v>
      </c>
      <c r="E2381" s="108" t="s">
        <v>11</v>
      </c>
      <c r="F2381" s="131" t="s">
        <v>247</v>
      </c>
      <c r="G2381" s="108" t="s">
        <v>9</v>
      </c>
      <c r="H2381" s="126">
        <v>3100440</v>
      </c>
      <c r="I2381" s="131">
        <v>710120060</v>
      </c>
      <c r="J2381" s="131" t="str">
        <f t="shared" si="162"/>
        <v>0710120060</v>
      </c>
      <c r="K2381" s="304" t="str">
        <f t="shared" si="163"/>
        <v>62108010710120060000</v>
      </c>
      <c r="L2381" s="17" t="str">
        <f>INDEX('реш СГД № 265'!$A:$N,MATCH('БА расх 2018 31 12 2018'!$K2381,'реш СГД № 265'!$N:$N,0),3)</f>
        <v>Расходы на проведение культурно-массовых мероприятий в городе Ставрополе</v>
      </c>
      <c r="M2381" s="16">
        <f t="shared" si="164"/>
        <v>1</v>
      </c>
    </row>
    <row r="2382" spans="1:13" s="16" customFormat="1" ht="31.5">
      <c r="A2382" s="14"/>
      <c r="B2382" s="127" t="s">
        <v>28</v>
      </c>
      <c r="C2382" s="109" t="s">
        <v>412</v>
      </c>
      <c r="D2382" s="108" t="s">
        <v>238</v>
      </c>
      <c r="E2382" s="108" t="s">
        <v>11</v>
      </c>
      <c r="F2382" s="131" t="s">
        <v>247</v>
      </c>
      <c r="G2382" s="108" t="s">
        <v>29</v>
      </c>
      <c r="H2382" s="126">
        <v>3100440</v>
      </c>
      <c r="I2382" s="131">
        <v>710120060</v>
      </c>
      <c r="J2382" s="131" t="str">
        <f t="shared" si="162"/>
        <v>0710120060</v>
      </c>
      <c r="K2382" s="304" t="str">
        <f t="shared" si="163"/>
        <v>62108010710120060240</v>
      </c>
      <c r="L2382" s="17" t="str">
        <f>INDEX('реш СГД № 265'!$A:$N,MATCH('БА расх 2018 31 12 2018'!$K2382,'реш СГД № 265'!$N:$N,0),3)</f>
        <v>Иные закупки товаров, работ и услуг для обеспечения государственных (муниципальных) нужд</v>
      </c>
      <c r="M2382" s="16">
        <f t="shared" si="164"/>
        <v>1</v>
      </c>
    </row>
    <row r="2383" spans="1:13" s="16" customFormat="1" ht="15.75">
      <c r="A2383" s="14"/>
      <c r="B2383" s="125" t="s">
        <v>30</v>
      </c>
      <c r="C2383" s="109" t="s">
        <v>412</v>
      </c>
      <c r="D2383" s="108" t="s">
        <v>238</v>
      </c>
      <c r="E2383" s="108" t="s">
        <v>11</v>
      </c>
      <c r="F2383" s="131" t="s">
        <v>247</v>
      </c>
      <c r="G2383" s="108" t="s">
        <v>31</v>
      </c>
      <c r="H2383" s="126">
        <v>3100440</v>
      </c>
      <c r="I2383" s="131">
        <v>710120060</v>
      </c>
      <c r="J2383" s="131" t="str">
        <f t="shared" si="162"/>
        <v>0710120060</v>
      </c>
      <c r="K2383" s="304" t="str">
        <f t="shared" si="163"/>
        <v>62108010710120060244</v>
      </c>
      <c r="L2383" s="17"/>
    </row>
    <row r="2384" spans="1:13" s="16" customFormat="1" ht="47.25">
      <c r="A2384" s="14"/>
      <c r="B2384" s="125" t="s">
        <v>1259</v>
      </c>
      <c r="C2384" s="109" t="s">
        <v>412</v>
      </c>
      <c r="D2384" s="108" t="s">
        <v>238</v>
      </c>
      <c r="E2384" s="108" t="s">
        <v>11</v>
      </c>
      <c r="F2384" s="131" t="s">
        <v>1260</v>
      </c>
      <c r="G2384" s="108" t="s">
        <v>9</v>
      </c>
      <c r="H2384" s="126">
        <v>94528.4</v>
      </c>
      <c r="I2384" s="131">
        <v>721300000</v>
      </c>
      <c r="J2384" s="131" t="str">
        <f t="shared" si="162"/>
        <v>0721300000</v>
      </c>
      <c r="K2384" s="304" t="str">
        <f t="shared" si="163"/>
        <v>62108010721300000000</v>
      </c>
      <c r="L2384" s="17" t="str">
        <f>INDEX('реш СГД № 265'!$A:$N,MATCH('БА расх 2018 31 12 2018'!$K2384,'реш СГД № 265'!$N:$N,0),3)</f>
        <v>Основное мероприятие «Создание сценическо-концертной площадки с подземной автостоянкой в 52 квартале города Ставрополя»</v>
      </c>
      <c r="M2384" s="16">
        <f t="shared" si="164"/>
        <v>1</v>
      </c>
    </row>
    <row r="2385" spans="1:13" s="16" customFormat="1" ht="94.5">
      <c r="A2385" s="14"/>
      <c r="B2385" s="132" t="s">
        <v>1261</v>
      </c>
      <c r="C2385" s="109" t="s">
        <v>412</v>
      </c>
      <c r="D2385" s="108" t="s">
        <v>238</v>
      </c>
      <c r="E2385" s="108" t="s">
        <v>11</v>
      </c>
      <c r="F2385" s="131" t="s">
        <v>1262</v>
      </c>
      <c r="G2385" s="108" t="s">
        <v>9</v>
      </c>
      <c r="H2385" s="126">
        <v>94528.4</v>
      </c>
      <c r="I2385" s="131">
        <v>721340020</v>
      </c>
      <c r="J2385" s="131" t="str">
        <f t="shared" si="162"/>
        <v>0721340020</v>
      </c>
      <c r="K2385" s="304" t="str">
        <f t="shared" si="163"/>
        <v>62108010721340020000</v>
      </c>
      <c r="L2385" s="17" t="str">
        <f>INDEX('реш СГД № 265'!$A:$N,MATCH('БА расх 2018 31 12 2018'!$K2385,'реш СГД № 265'!$N:$N,0),3)</f>
        <v>Расходы на строительство сценическо-концертной площадки с подземной автостоянкой в 52 квартале города Ставрополя за счет средств субсидии, выделяемой бюджету города Ставрополя из бюджета Ставропольского края на осуществление функций административного центра Ставропольского края</v>
      </c>
      <c r="M2385" s="16">
        <f t="shared" si="164"/>
        <v>1</v>
      </c>
    </row>
    <row r="2386" spans="1:13" s="16" customFormat="1" ht="15.75">
      <c r="A2386" s="14"/>
      <c r="B2386" s="125" t="s">
        <v>937</v>
      </c>
      <c r="C2386" s="109" t="s">
        <v>412</v>
      </c>
      <c r="D2386" s="108" t="s">
        <v>238</v>
      </c>
      <c r="E2386" s="108" t="s">
        <v>11</v>
      </c>
      <c r="F2386" s="108" t="s">
        <v>1262</v>
      </c>
      <c r="G2386" s="108" t="s">
        <v>838</v>
      </c>
      <c r="H2386" s="126">
        <v>94528.4</v>
      </c>
      <c r="I2386" s="131">
        <v>721340020</v>
      </c>
      <c r="J2386" s="131" t="str">
        <f t="shared" si="162"/>
        <v>0721340020</v>
      </c>
      <c r="K2386" s="304" t="str">
        <f t="shared" si="163"/>
        <v>62108010721340020410</v>
      </c>
      <c r="L2386" s="17" t="str">
        <f>INDEX('реш СГД № 265'!$A:$N,MATCH('БА расх 2018 31 12 2018'!$K2386,'реш СГД № 265'!$N:$N,0),3)</f>
        <v>Бюджетные инвестиции</v>
      </c>
      <c r="M2386" s="16">
        <f t="shared" si="164"/>
        <v>1</v>
      </c>
    </row>
    <row r="2387" spans="1:13" s="16" customFormat="1" ht="47.25">
      <c r="A2387" s="14"/>
      <c r="B2387" s="125" t="s">
        <v>839</v>
      </c>
      <c r="C2387" s="109" t="s">
        <v>412</v>
      </c>
      <c r="D2387" s="108" t="s">
        <v>238</v>
      </c>
      <c r="E2387" s="108" t="s">
        <v>11</v>
      </c>
      <c r="F2387" s="108" t="s">
        <v>1262</v>
      </c>
      <c r="G2387" s="108" t="s">
        <v>840</v>
      </c>
      <c r="H2387" s="126">
        <v>94528.4</v>
      </c>
      <c r="I2387" s="131">
        <v>721340020</v>
      </c>
      <c r="J2387" s="131" t="str">
        <f t="shared" si="162"/>
        <v>0721340020</v>
      </c>
      <c r="K2387" s="304" t="str">
        <f t="shared" si="163"/>
        <v>62108010721340020414</v>
      </c>
      <c r="L2387" s="17"/>
    </row>
    <row r="2388" spans="1:13" s="16" customFormat="1" ht="15.75">
      <c r="A2388" s="14"/>
      <c r="B2388" s="117" t="s">
        <v>707</v>
      </c>
      <c r="C2388" s="118" t="s">
        <v>412</v>
      </c>
      <c r="D2388" s="119" t="s">
        <v>342</v>
      </c>
      <c r="E2388" s="119" t="s">
        <v>7</v>
      </c>
      <c r="F2388" s="119" t="s">
        <v>8</v>
      </c>
      <c r="G2388" s="119" t="s">
        <v>9</v>
      </c>
      <c r="H2388" s="120">
        <v>88000</v>
      </c>
      <c r="I2388" s="119">
        <v>0</v>
      </c>
      <c r="J2388" s="119" t="str">
        <f t="shared" si="162"/>
        <v>0000000000</v>
      </c>
      <c r="K2388" s="304" t="str">
        <f t="shared" si="163"/>
        <v>62111000000000000000</v>
      </c>
      <c r="L2388" s="17" t="str">
        <f>INDEX('реш СГД № 265'!$A:$N,MATCH('БА расх 2018 31 12 2018'!$K2388,'реш СГД № 265'!$N:$N,0),3)</f>
        <v>Физическая культура и спорт</v>
      </c>
      <c r="M2388" s="16">
        <f t="shared" si="164"/>
        <v>1</v>
      </c>
    </row>
    <row r="2389" spans="1:13" s="16" customFormat="1" ht="15.75">
      <c r="A2389" s="14"/>
      <c r="B2389" s="121" t="s">
        <v>712</v>
      </c>
      <c r="C2389" s="122" t="s">
        <v>412</v>
      </c>
      <c r="D2389" s="123" t="s">
        <v>342</v>
      </c>
      <c r="E2389" s="123" t="s">
        <v>62</v>
      </c>
      <c r="F2389" s="123" t="s">
        <v>8</v>
      </c>
      <c r="G2389" s="123" t="s">
        <v>9</v>
      </c>
      <c r="H2389" s="124">
        <v>88000</v>
      </c>
      <c r="I2389" s="123">
        <v>0</v>
      </c>
      <c r="J2389" s="123" t="str">
        <f t="shared" si="162"/>
        <v>0000000000</v>
      </c>
      <c r="K2389" s="304" t="str">
        <f t="shared" si="163"/>
        <v>62111020000000000000</v>
      </c>
      <c r="L2389" s="17" t="str">
        <f>INDEX('реш СГД № 265'!$A:$N,MATCH('БА расх 2018 31 12 2018'!$K2389,'реш СГД № 265'!$N:$N,0),3)</f>
        <v>Массовый спорт</v>
      </c>
      <c r="M2389" s="16">
        <f t="shared" si="164"/>
        <v>1</v>
      </c>
    </row>
    <row r="2390" spans="1:13" s="16" customFormat="1" ht="31.5">
      <c r="A2390" s="14"/>
      <c r="B2390" s="125" t="s">
        <v>700</v>
      </c>
      <c r="C2390" s="109" t="s">
        <v>412</v>
      </c>
      <c r="D2390" s="108" t="s">
        <v>342</v>
      </c>
      <c r="E2390" s="108" t="s">
        <v>62</v>
      </c>
      <c r="F2390" s="108" t="s">
        <v>701</v>
      </c>
      <c r="G2390" s="108" t="s">
        <v>9</v>
      </c>
      <c r="H2390" s="126">
        <v>88000</v>
      </c>
      <c r="I2390" s="108">
        <v>800000000</v>
      </c>
      <c r="J2390" s="108" t="str">
        <f t="shared" si="162"/>
        <v>0800000000</v>
      </c>
      <c r="K2390" s="304" t="str">
        <f t="shared" si="163"/>
        <v>62111020800000000000</v>
      </c>
      <c r="L2390" s="17" t="str">
        <f>INDEX('реш СГД № 265'!$A:$N,MATCH('БА расх 2018 31 12 2018'!$K2390,'реш СГД № 265'!$N:$N,0),3)</f>
        <v>Муниципальная программа «Развитие физической культуры и спорта в городе Ставрополе»</v>
      </c>
      <c r="M2390" s="16">
        <f t="shared" si="164"/>
        <v>1</v>
      </c>
    </row>
    <row r="2391" spans="1:13" s="16" customFormat="1" ht="47.25">
      <c r="A2391" s="14"/>
      <c r="B2391" s="125" t="s">
        <v>702</v>
      </c>
      <c r="C2391" s="109" t="s">
        <v>412</v>
      </c>
      <c r="D2391" s="108" t="s">
        <v>342</v>
      </c>
      <c r="E2391" s="108" t="s">
        <v>62</v>
      </c>
      <c r="F2391" s="108" t="s">
        <v>703</v>
      </c>
      <c r="G2391" s="108" t="s">
        <v>9</v>
      </c>
      <c r="H2391" s="126">
        <v>88000</v>
      </c>
      <c r="I2391" s="108">
        <v>810000000</v>
      </c>
      <c r="J2391" s="108" t="str">
        <f t="shared" si="162"/>
        <v>0810000000</v>
      </c>
      <c r="K2391" s="304" t="str">
        <f t="shared" si="163"/>
        <v>62111020810000000000</v>
      </c>
      <c r="L2391" s="17" t="str">
        <f>INDEX('реш СГД № 265'!$A:$N,MATCH('БА расх 2018 31 12 2018'!$K2391,'реш СГД № 265'!$N:$N,0),3)</f>
        <v>Подпрограмма «Развитие системы дополнительного образования детей и подростков в области физической культуры и спорта и центров спортивной подготовки»</v>
      </c>
      <c r="M2391" s="16">
        <f t="shared" si="164"/>
        <v>1</v>
      </c>
    </row>
    <row r="2392" spans="1:13" s="16" customFormat="1" ht="31.5">
      <c r="A2392" s="14"/>
      <c r="B2392" s="132" t="s">
        <v>1080</v>
      </c>
      <c r="C2392" s="109" t="s">
        <v>412</v>
      </c>
      <c r="D2392" s="108" t="s">
        <v>342</v>
      </c>
      <c r="E2392" s="108" t="s">
        <v>62</v>
      </c>
      <c r="F2392" s="108" t="s">
        <v>1081</v>
      </c>
      <c r="G2392" s="108" t="s">
        <v>9</v>
      </c>
      <c r="H2392" s="126">
        <v>88000</v>
      </c>
      <c r="I2392" s="108">
        <v>810400000</v>
      </c>
      <c r="J2392" s="108" t="str">
        <f t="shared" si="162"/>
        <v>0810400000</v>
      </c>
      <c r="K2392" s="304" t="str">
        <f t="shared" si="163"/>
        <v>62111020810400000000</v>
      </c>
      <c r="L2392" s="17" t="str">
        <f>INDEX('реш СГД № 265'!$A:$N,MATCH('БА расх 2018 31 12 2018'!$K2392,'реш СГД № 265'!$N:$N,0),3)</f>
        <v>Основное мероприятие «Строительство, реконструкция и обустройство спортивных сооружений»</v>
      </c>
      <c r="M2392" s="16">
        <f t="shared" si="164"/>
        <v>1</v>
      </c>
    </row>
    <row r="2393" spans="1:13" s="16" customFormat="1" ht="63">
      <c r="A2393" s="14"/>
      <c r="B2393" s="132" t="s">
        <v>1082</v>
      </c>
      <c r="C2393" s="109" t="s">
        <v>412</v>
      </c>
      <c r="D2393" s="108" t="s">
        <v>342</v>
      </c>
      <c r="E2393" s="108" t="s">
        <v>62</v>
      </c>
      <c r="F2393" s="108" t="s">
        <v>1083</v>
      </c>
      <c r="G2393" s="108" t="s">
        <v>9</v>
      </c>
      <c r="H2393" s="126">
        <v>88000</v>
      </c>
      <c r="I2393" s="108">
        <v>810421380</v>
      </c>
      <c r="J2393" s="108" t="str">
        <f t="shared" si="162"/>
        <v>0810421380</v>
      </c>
      <c r="K2393" s="304" t="str">
        <f t="shared" si="163"/>
        <v>62111020810421380000</v>
      </c>
      <c r="L2393" s="17" t="str">
        <f>INDEX('реш СГД № 265'!$A:$N,MATCH('БА расх 2018 31 12 2018'!$K2393,'реш СГД № 265'!$N:$N,0),3)</f>
        <v>Подготовка основания, приобретение, доставка, укладка, обустройство и сертификация футбольного поля с искусственным покрытием на территории города Ставрополя по адресу: проспект Юности, 5</v>
      </c>
      <c r="M2393" s="16">
        <f t="shared" si="164"/>
        <v>1</v>
      </c>
    </row>
    <row r="2394" spans="1:13" s="16" customFormat="1" ht="31.5">
      <c r="A2394" s="14"/>
      <c r="B2394" s="125" t="s">
        <v>28</v>
      </c>
      <c r="C2394" s="109" t="s">
        <v>412</v>
      </c>
      <c r="D2394" s="108" t="s">
        <v>342</v>
      </c>
      <c r="E2394" s="108" t="s">
        <v>62</v>
      </c>
      <c r="F2394" s="108" t="s">
        <v>1083</v>
      </c>
      <c r="G2394" s="108" t="s">
        <v>29</v>
      </c>
      <c r="H2394" s="126">
        <v>88000</v>
      </c>
      <c r="I2394" s="108">
        <v>810421380</v>
      </c>
      <c r="J2394" s="108" t="str">
        <f t="shared" si="162"/>
        <v>0810421380</v>
      </c>
      <c r="K2394" s="304" t="str">
        <f t="shared" si="163"/>
        <v>62111020810421380240</v>
      </c>
      <c r="L2394" s="17" t="str">
        <f>INDEX('реш СГД № 265'!$A:$N,MATCH('БА расх 2018 31 12 2018'!$K2394,'реш СГД № 265'!$N:$N,0),3)</f>
        <v>Иные закупки товаров, работ и услуг для обеспечения государственных (муниципальных) нужд</v>
      </c>
      <c r="M2394" s="16">
        <f t="shared" si="164"/>
        <v>1</v>
      </c>
    </row>
    <row r="2395" spans="1:13" s="16" customFormat="1" ht="15.75">
      <c r="A2395" s="14"/>
      <c r="B2395" s="125" t="s">
        <v>30</v>
      </c>
      <c r="C2395" s="109" t="s">
        <v>412</v>
      </c>
      <c r="D2395" s="108" t="s">
        <v>342</v>
      </c>
      <c r="E2395" s="108" t="s">
        <v>62</v>
      </c>
      <c r="F2395" s="108" t="s">
        <v>1083</v>
      </c>
      <c r="G2395" s="108" t="s">
        <v>31</v>
      </c>
      <c r="H2395" s="126">
        <v>88000</v>
      </c>
      <c r="I2395" s="108">
        <v>810421380</v>
      </c>
      <c r="J2395" s="108" t="str">
        <f t="shared" si="162"/>
        <v>0810421380</v>
      </c>
      <c r="K2395" s="304" t="str">
        <f t="shared" si="163"/>
        <v>62111020810421380244</v>
      </c>
      <c r="L2395" s="17"/>
    </row>
    <row r="2396" spans="1:13" s="16" customFormat="1" ht="15.75">
      <c r="A2396" s="14"/>
      <c r="B2396" s="125"/>
      <c r="C2396" s="109"/>
      <c r="D2396" s="108"/>
      <c r="E2396" s="108"/>
      <c r="F2396" s="108"/>
      <c r="G2396" s="108"/>
      <c r="H2396" s="126"/>
      <c r="I2396" s="108"/>
      <c r="J2396" s="108" t="str">
        <f t="shared" si="162"/>
        <v>0000000000</v>
      </c>
      <c r="K2396" s="304" t="str">
        <f t="shared" si="163"/>
        <v>0000000000</v>
      </c>
      <c r="L2396" s="17">
        <f>INDEX('реш СГД № 265'!$A:$N,MATCH('БА расх 2018 31 12 2018'!$K2396,'реш СГД № 265'!$N:$N,0),3)</f>
        <v>0</v>
      </c>
      <c r="M2396" s="16">
        <f t="shared" si="164"/>
        <v>1</v>
      </c>
    </row>
    <row r="2397" spans="1:13" s="16" customFormat="1" ht="47.25">
      <c r="A2397" s="14"/>
      <c r="B2397" s="67" t="s">
        <v>938</v>
      </c>
      <c r="C2397" s="116" t="s">
        <v>939</v>
      </c>
      <c r="D2397" s="69" t="s">
        <v>7</v>
      </c>
      <c r="E2397" s="69" t="s">
        <v>7</v>
      </c>
      <c r="F2397" s="69" t="s">
        <v>8</v>
      </c>
      <c r="G2397" s="69" t="s">
        <v>9</v>
      </c>
      <c r="H2397" s="70">
        <v>81452026.200000003</v>
      </c>
      <c r="I2397" s="69">
        <v>0</v>
      </c>
      <c r="J2397" s="69" t="str">
        <f t="shared" si="162"/>
        <v>0000000000</v>
      </c>
      <c r="K2397" s="304" t="str">
        <f t="shared" si="163"/>
        <v>62400000000000000000</v>
      </c>
      <c r="L2397" s="17" t="str">
        <f>INDEX('реш СГД № 265'!$A:$N,MATCH('БА расх 2018 31 12 2018'!$K2397,'реш СГД № 265'!$N:$N,0),3)</f>
        <v>Комитет по делам гражданской обороны и чрезвычайным ситуациям администрации города Ставрополя</v>
      </c>
      <c r="M2397" s="16">
        <f t="shared" si="164"/>
        <v>1</v>
      </c>
    </row>
    <row r="2398" spans="1:13" s="16" customFormat="1" ht="31.5">
      <c r="A2398" s="14"/>
      <c r="B2398" s="117" t="s">
        <v>940</v>
      </c>
      <c r="C2398" s="118" t="s">
        <v>939</v>
      </c>
      <c r="D2398" s="119" t="s">
        <v>13</v>
      </c>
      <c r="E2398" s="119" t="s">
        <v>7</v>
      </c>
      <c r="F2398" s="119" t="s">
        <v>8</v>
      </c>
      <c r="G2398" s="119" t="s">
        <v>9</v>
      </c>
      <c r="H2398" s="120">
        <v>81452026.200000003</v>
      </c>
      <c r="I2398" s="119">
        <v>0</v>
      </c>
      <c r="J2398" s="119" t="str">
        <f t="shared" si="162"/>
        <v>0000000000</v>
      </c>
      <c r="K2398" s="304" t="str">
        <f t="shared" si="163"/>
        <v>62403000000000000000</v>
      </c>
      <c r="L2398" s="17" t="str">
        <f>INDEX('реш СГД № 265'!$A:$N,MATCH('БА расх 2018 31 12 2018'!$K2398,'реш СГД № 265'!$N:$N,0),3)</f>
        <v>Национальная безопасность и правоохранительная деятельность</v>
      </c>
      <c r="M2398" s="16">
        <f t="shared" si="164"/>
        <v>1</v>
      </c>
    </row>
    <row r="2399" spans="1:13" s="16" customFormat="1" ht="47.25">
      <c r="A2399" s="14"/>
      <c r="B2399" s="121" t="s">
        <v>941</v>
      </c>
      <c r="C2399" s="122" t="s">
        <v>939</v>
      </c>
      <c r="D2399" s="123" t="s">
        <v>13</v>
      </c>
      <c r="E2399" s="123" t="s">
        <v>471</v>
      </c>
      <c r="F2399" s="123" t="s">
        <v>8</v>
      </c>
      <c r="G2399" s="123" t="s">
        <v>9</v>
      </c>
      <c r="H2399" s="124">
        <v>81452026.200000003</v>
      </c>
      <c r="I2399" s="123">
        <v>0</v>
      </c>
      <c r="J2399" s="123" t="str">
        <f t="shared" si="162"/>
        <v>0000000000</v>
      </c>
      <c r="K2399" s="304" t="str">
        <f t="shared" si="163"/>
        <v>62403090000000000000</v>
      </c>
      <c r="L2399" s="17" t="str">
        <f>INDEX('реш СГД № 265'!$A:$N,MATCH('БА расх 2018 31 12 2018'!$K2399,'реш СГД № 265'!$N:$N,0),3)</f>
        <v>Предупреждение  и ликвидация  последствий чрезвычайных ситуаций природного и техногенного характера, гражданская оборона</v>
      </c>
      <c r="M2399" s="16">
        <f t="shared" si="164"/>
        <v>1</v>
      </c>
    </row>
    <row r="2400" spans="1:13" s="16" customFormat="1" ht="47.25">
      <c r="A2400" s="14"/>
      <c r="B2400" s="148" t="s">
        <v>146</v>
      </c>
      <c r="C2400" s="109" t="s">
        <v>939</v>
      </c>
      <c r="D2400" s="108" t="s">
        <v>13</v>
      </c>
      <c r="E2400" s="108" t="s">
        <v>471</v>
      </c>
      <c r="F2400" s="108" t="s">
        <v>147</v>
      </c>
      <c r="G2400" s="108" t="s">
        <v>9</v>
      </c>
      <c r="H2400" s="126">
        <v>22950</v>
      </c>
      <c r="I2400" s="108">
        <v>1500000000</v>
      </c>
      <c r="J2400" s="108" t="str">
        <f t="shared" si="162"/>
        <v>1500000000</v>
      </c>
      <c r="K2400" s="304" t="str">
        <f t="shared" si="163"/>
        <v>62403091500000000000</v>
      </c>
      <c r="L2400" s="17" t="str">
        <f>INDEX('реш СГД № 265'!$A:$N,MATCH('БА расх 2018 31 12 2018'!$K2400,'реш СГД № 265'!$N:$N,0),3)</f>
        <v>Муниципальная программа «Обеспечение безопасности, общественного порядка и профилактика правонарушений в городе Ставрополе»</v>
      </c>
      <c r="M2400" s="16">
        <f t="shared" si="164"/>
        <v>1</v>
      </c>
    </row>
    <row r="2401" spans="1:13" s="66" customFormat="1" ht="31.5">
      <c r="A2401" s="65"/>
      <c r="B2401" s="125" t="s">
        <v>168</v>
      </c>
      <c r="C2401" s="109" t="s">
        <v>939</v>
      </c>
      <c r="D2401" s="108" t="s">
        <v>13</v>
      </c>
      <c r="E2401" s="108" t="s">
        <v>471</v>
      </c>
      <c r="F2401" s="108" t="s">
        <v>169</v>
      </c>
      <c r="G2401" s="108" t="s">
        <v>9</v>
      </c>
      <c r="H2401" s="126">
        <v>22950</v>
      </c>
      <c r="I2401" s="108">
        <v>1530000000</v>
      </c>
      <c r="J2401" s="108" t="str">
        <f t="shared" si="162"/>
        <v>1530000000</v>
      </c>
      <c r="K2401" s="304" t="str">
        <f t="shared" si="163"/>
        <v>62403091530000000000</v>
      </c>
      <c r="L2401" s="17" t="str">
        <f>INDEX('реш СГД № 265'!$A:$N,MATCH('БА расх 2018 31 12 2018'!$K2401,'реш СГД № 265'!$N:$N,0),3)</f>
        <v xml:space="preserve">Подпрограмма «Профилактика правонарушений в городе Ставрополе» </v>
      </c>
      <c r="M2401" s="16">
        <f t="shared" si="164"/>
        <v>1</v>
      </c>
    </row>
    <row r="2402" spans="1:13" s="16" customFormat="1" ht="31.5">
      <c r="A2402" s="14"/>
      <c r="B2402" s="148" t="s">
        <v>942</v>
      </c>
      <c r="C2402" s="109" t="s">
        <v>939</v>
      </c>
      <c r="D2402" s="108" t="s">
        <v>13</v>
      </c>
      <c r="E2402" s="108" t="s">
        <v>471</v>
      </c>
      <c r="F2402" s="108" t="s">
        <v>943</v>
      </c>
      <c r="G2402" s="108" t="s">
        <v>9</v>
      </c>
      <c r="H2402" s="126">
        <v>22950</v>
      </c>
      <c r="I2402" s="108">
        <v>1530200000</v>
      </c>
      <c r="J2402" s="108" t="str">
        <f t="shared" si="162"/>
        <v>1530200000</v>
      </c>
      <c r="K2402" s="304" t="str">
        <f t="shared" si="163"/>
        <v>62403091530200000000</v>
      </c>
      <c r="L2402" s="17" t="str">
        <f>INDEX('реш СГД № 265'!$A:$N,MATCH('БА расх 2018 31 12 2018'!$K2402,'реш СГД № 265'!$N:$N,0),3)</f>
        <v>Основное мероприятие «Обеспечение безопасности людей на водных объектах города Ставрополя»</v>
      </c>
      <c r="M2402" s="16">
        <f t="shared" si="164"/>
        <v>1</v>
      </c>
    </row>
    <row r="2403" spans="1:13" s="16" customFormat="1" ht="47.25">
      <c r="A2403" s="14"/>
      <c r="B2403" s="148" t="s">
        <v>944</v>
      </c>
      <c r="C2403" s="109" t="s">
        <v>939</v>
      </c>
      <c r="D2403" s="108" t="s">
        <v>13</v>
      </c>
      <c r="E2403" s="108" t="s">
        <v>471</v>
      </c>
      <c r="F2403" s="108" t="s">
        <v>945</v>
      </c>
      <c r="G2403" s="108" t="s">
        <v>9</v>
      </c>
      <c r="H2403" s="126">
        <v>22950</v>
      </c>
      <c r="I2403" s="108">
        <v>1530221290</v>
      </c>
      <c r="J2403" s="108" t="str">
        <f t="shared" si="162"/>
        <v>1530221290</v>
      </c>
      <c r="K2403" s="304" t="str">
        <f t="shared" si="163"/>
        <v>62403091530221290000</v>
      </c>
      <c r="L2403" s="17" t="str">
        <f>INDEX('реш СГД № 265'!$A:$N,MATCH('БА расх 2018 31 12 2018'!$K2403,'реш СГД № 265'!$N:$N,0),3)</f>
        <v>Расходы на реализацию мероприятий, направленных на обеспечение безопасности на водных объектах города Ставрополя</v>
      </c>
      <c r="M2403" s="16">
        <f t="shared" si="164"/>
        <v>1</v>
      </c>
    </row>
    <row r="2404" spans="1:13" s="16" customFormat="1" ht="31.5">
      <c r="A2404" s="14"/>
      <c r="B2404" s="148" t="s">
        <v>28</v>
      </c>
      <c r="C2404" s="109" t="s">
        <v>939</v>
      </c>
      <c r="D2404" s="108" t="s">
        <v>13</v>
      </c>
      <c r="E2404" s="108" t="s">
        <v>471</v>
      </c>
      <c r="F2404" s="108" t="s">
        <v>945</v>
      </c>
      <c r="G2404" s="108" t="s">
        <v>29</v>
      </c>
      <c r="H2404" s="126">
        <v>22950</v>
      </c>
      <c r="I2404" s="108">
        <v>1530221290</v>
      </c>
      <c r="J2404" s="108" t="str">
        <f t="shared" si="162"/>
        <v>1530221290</v>
      </c>
      <c r="K2404" s="304" t="str">
        <f t="shared" si="163"/>
        <v>62403091530221290240</v>
      </c>
      <c r="L2404" s="17" t="str">
        <f>INDEX('реш СГД № 265'!$A:$N,MATCH('БА расх 2018 31 12 2018'!$K2404,'реш СГД № 265'!$N:$N,0),3)</f>
        <v>Иные закупки товаров, работ и услуг для обеспечения государственных (муниципальных) нужд</v>
      </c>
      <c r="M2404" s="16">
        <f t="shared" si="164"/>
        <v>1</v>
      </c>
    </row>
    <row r="2405" spans="1:13" s="16" customFormat="1" ht="15.75">
      <c r="A2405" s="14"/>
      <c r="B2405" s="125" t="s">
        <v>30</v>
      </c>
      <c r="C2405" s="109" t="s">
        <v>939</v>
      </c>
      <c r="D2405" s="108" t="s">
        <v>13</v>
      </c>
      <c r="E2405" s="108" t="s">
        <v>471</v>
      </c>
      <c r="F2405" s="108" t="s">
        <v>945</v>
      </c>
      <c r="G2405" s="108" t="s">
        <v>31</v>
      </c>
      <c r="H2405" s="126">
        <v>22950</v>
      </c>
      <c r="I2405" s="108">
        <v>1530221290</v>
      </c>
      <c r="J2405" s="108" t="str">
        <f t="shared" si="162"/>
        <v>1530221290</v>
      </c>
      <c r="K2405" s="304" t="str">
        <f t="shared" si="163"/>
        <v>62403091530221290244</v>
      </c>
      <c r="L2405" s="17"/>
    </row>
    <row r="2406" spans="1:13" s="16" customFormat="1" ht="78.75">
      <c r="A2406" s="14"/>
      <c r="B2406" s="125" t="s">
        <v>420</v>
      </c>
      <c r="C2406" s="109" t="s">
        <v>939</v>
      </c>
      <c r="D2406" s="108" t="s">
        <v>13</v>
      </c>
      <c r="E2406" s="108" t="s">
        <v>471</v>
      </c>
      <c r="F2406" s="108" t="s">
        <v>421</v>
      </c>
      <c r="G2406" s="108" t="s">
        <v>9</v>
      </c>
      <c r="H2406" s="126">
        <v>65664246.080000006</v>
      </c>
      <c r="I2406" s="108">
        <v>1600000000</v>
      </c>
      <c r="J2406" s="108" t="str">
        <f t="shared" si="162"/>
        <v>1600000000</v>
      </c>
      <c r="K2406" s="304" t="str">
        <f t="shared" si="163"/>
        <v>62403091600000000000</v>
      </c>
      <c r="L2406" s="17" t="str">
        <f>INDEX('реш СГД № 265'!$A:$N,MATCH('БА расх 2018 31 12 2018'!$K2406,'реш СГД № 265'!$N:$N,0),3)</f>
        <v>Муниципальная программа «Обеспечение гражданской обороны, пожарной безопасности, безопасности людей на водных объектах, организация деятельности аварийно-спасательных служб, защита населения и территории города Ставрополя от чрезвычайных ситуаций»</v>
      </c>
      <c r="M2406" s="16">
        <f t="shared" si="164"/>
        <v>1</v>
      </c>
    </row>
    <row r="2407" spans="1:13" s="66" customFormat="1" ht="47.25">
      <c r="A2407" s="65"/>
      <c r="B2407" s="125" t="s">
        <v>946</v>
      </c>
      <c r="C2407" s="109" t="s">
        <v>939</v>
      </c>
      <c r="D2407" s="108" t="s">
        <v>13</v>
      </c>
      <c r="E2407" s="108" t="s">
        <v>471</v>
      </c>
      <c r="F2407" s="108" t="s">
        <v>947</v>
      </c>
      <c r="G2407" s="108" t="s">
        <v>9</v>
      </c>
      <c r="H2407" s="126">
        <v>35557364.820000008</v>
      </c>
      <c r="I2407" s="108">
        <v>1610000000</v>
      </c>
      <c r="J2407" s="108" t="str">
        <f t="shared" si="162"/>
        <v>1610000000</v>
      </c>
      <c r="K2407" s="304" t="str">
        <f t="shared" si="163"/>
        <v>62403091610000000000</v>
      </c>
      <c r="L2407" s="17" t="str">
        <f>INDEX('реш СГД № 265'!$A:$N,MATCH('БА расх 2018 31 12 2018'!$K2407,'реш СГД № 265'!$N:$N,0),3)</f>
        <v>Подпрограмма «Осуществление мероприятий по гражданской обороне, защите населения и территорий от чрезвычайных ситуаций»</v>
      </c>
      <c r="M2407" s="16">
        <f t="shared" si="164"/>
        <v>1</v>
      </c>
    </row>
    <row r="2408" spans="1:13" s="16" customFormat="1" ht="47.25">
      <c r="A2408" s="14"/>
      <c r="B2408" s="125" t="s">
        <v>948</v>
      </c>
      <c r="C2408" s="109" t="s">
        <v>939</v>
      </c>
      <c r="D2408" s="108" t="s">
        <v>13</v>
      </c>
      <c r="E2408" s="108" t="s">
        <v>471</v>
      </c>
      <c r="F2408" s="108" t="s">
        <v>949</v>
      </c>
      <c r="G2408" s="108" t="s">
        <v>9</v>
      </c>
      <c r="H2408" s="126">
        <v>100000</v>
      </c>
      <c r="I2408" s="108">
        <v>1610100000</v>
      </c>
      <c r="J2408" s="108" t="str">
        <f t="shared" si="162"/>
        <v>1610100000</v>
      </c>
      <c r="K2408" s="304" t="str">
        <f t="shared" si="163"/>
        <v>62403091610100000000</v>
      </c>
      <c r="L2408" s="17" t="str">
        <f>INDEX('реш СГД № 265'!$A:$N,MATCH('БА расх 2018 31 12 2018'!$K2408,'реш СГД № 265'!$N:$N,0),3)</f>
        <v>Основное мероприятие «Осуществление подготовки и содержания в готовности необходимых сил и средств для защиты населения и территорий от чрезвычайных ситуаций»</v>
      </c>
      <c r="M2408" s="16">
        <f t="shared" si="164"/>
        <v>1</v>
      </c>
    </row>
    <row r="2409" spans="1:13" s="16" customFormat="1" ht="78.75">
      <c r="A2409" s="14"/>
      <c r="B2409" s="148" t="s">
        <v>950</v>
      </c>
      <c r="C2409" s="109" t="s">
        <v>939</v>
      </c>
      <c r="D2409" s="108" t="s">
        <v>13</v>
      </c>
      <c r="E2409" s="108" t="s">
        <v>471</v>
      </c>
      <c r="F2409" s="108" t="s">
        <v>951</v>
      </c>
      <c r="G2409" s="108" t="s">
        <v>9</v>
      </c>
      <c r="H2409" s="126">
        <v>100000</v>
      </c>
      <c r="I2409" s="108">
        <v>1610120120</v>
      </c>
      <c r="J2409" s="108" t="str">
        <f t="shared" si="162"/>
        <v>1610120120</v>
      </c>
      <c r="K2409" s="304" t="str">
        <f t="shared" si="163"/>
        <v>62403091610120120000</v>
      </c>
      <c r="L2409" s="17" t="str">
        <f>INDEX('реш СГД № 265'!$A:$N,MATCH('БА расх 2018 31 12 2018'!$K2409,'реш СГД № 265'!$N:$N,0),3)</f>
        <v>Расходы на реализацию мероприятий в области гражданской обороны, защиты населения и территории города Ставрополя от чрезвычайных ситуаций природного и техногенного характера, обеспечение безопасности людей на водных объектах</v>
      </c>
      <c r="M2409" s="16">
        <f t="shared" si="164"/>
        <v>1</v>
      </c>
    </row>
    <row r="2410" spans="1:13" s="16" customFormat="1" ht="31.5">
      <c r="A2410" s="14"/>
      <c r="B2410" s="125" t="s">
        <v>28</v>
      </c>
      <c r="C2410" s="109" t="s">
        <v>939</v>
      </c>
      <c r="D2410" s="108" t="s">
        <v>13</v>
      </c>
      <c r="E2410" s="108" t="s">
        <v>471</v>
      </c>
      <c r="F2410" s="108" t="s">
        <v>951</v>
      </c>
      <c r="G2410" s="108" t="s">
        <v>29</v>
      </c>
      <c r="H2410" s="126">
        <v>100000</v>
      </c>
      <c r="I2410" s="108">
        <v>1610120120</v>
      </c>
      <c r="J2410" s="108" t="str">
        <f t="shared" si="162"/>
        <v>1610120120</v>
      </c>
      <c r="K2410" s="304" t="str">
        <f t="shared" si="163"/>
        <v>62403091610120120240</v>
      </c>
      <c r="L2410" s="17" t="str">
        <f>INDEX('реш СГД № 265'!$A:$N,MATCH('БА расх 2018 31 12 2018'!$K2410,'реш СГД № 265'!$N:$N,0),3)</f>
        <v>Иные закупки товаров, работ и услуг для обеспечения государственных (муниципальных) нужд</v>
      </c>
      <c r="M2410" s="16">
        <f t="shared" si="164"/>
        <v>1</v>
      </c>
    </row>
    <row r="2411" spans="1:13" s="16" customFormat="1" ht="15.75">
      <c r="A2411" s="14"/>
      <c r="B2411" s="125" t="s">
        <v>30</v>
      </c>
      <c r="C2411" s="109" t="s">
        <v>939</v>
      </c>
      <c r="D2411" s="108" t="s">
        <v>13</v>
      </c>
      <c r="E2411" s="108" t="s">
        <v>471</v>
      </c>
      <c r="F2411" s="108" t="s">
        <v>951</v>
      </c>
      <c r="G2411" s="108" t="s">
        <v>31</v>
      </c>
      <c r="H2411" s="126">
        <v>100000</v>
      </c>
      <c r="I2411" s="108">
        <v>1610120120</v>
      </c>
      <c r="J2411" s="108" t="str">
        <f t="shared" si="162"/>
        <v>1610120120</v>
      </c>
      <c r="K2411" s="304" t="str">
        <f t="shared" si="163"/>
        <v>62403091610120120244</v>
      </c>
      <c r="L2411" s="17"/>
    </row>
    <row r="2412" spans="1:13" s="16" customFormat="1" ht="31.5">
      <c r="A2412" s="14"/>
      <c r="B2412" s="148" t="s">
        <v>952</v>
      </c>
      <c r="C2412" s="109" t="s">
        <v>939</v>
      </c>
      <c r="D2412" s="108" t="s">
        <v>13</v>
      </c>
      <c r="E2412" s="108" t="s">
        <v>471</v>
      </c>
      <c r="F2412" s="108" t="s">
        <v>953</v>
      </c>
      <c r="G2412" s="108" t="s">
        <v>9</v>
      </c>
      <c r="H2412" s="126">
        <v>35027364.820000008</v>
      </c>
      <c r="I2412" s="108">
        <v>1610200000</v>
      </c>
      <c r="J2412" s="108" t="str">
        <f t="shared" si="162"/>
        <v>1610200000</v>
      </c>
      <c r="K2412" s="304" t="str">
        <f t="shared" si="163"/>
        <v>62403091610200000000</v>
      </c>
      <c r="L2412" s="17" t="str">
        <f>INDEX('реш СГД № 265'!$A:$N,MATCH('БА расх 2018 31 12 2018'!$K2412,'реш СГД № 265'!$N:$N,0),3)</f>
        <v>Основное мероприятие «Проведение аварийно-спасательных работ и организация обучения населения города Ставрополя»</v>
      </c>
      <c r="M2412" s="16">
        <f t="shared" si="164"/>
        <v>1</v>
      </c>
    </row>
    <row r="2413" spans="1:13" s="16" customFormat="1" ht="31.5">
      <c r="A2413" s="14"/>
      <c r="B2413" s="148" t="s">
        <v>136</v>
      </c>
      <c r="C2413" s="109" t="s">
        <v>939</v>
      </c>
      <c r="D2413" s="108" t="s">
        <v>13</v>
      </c>
      <c r="E2413" s="108" t="s">
        <v>471</v>
      </c>
      <c r="F2413" s="108" t="s">
        <v>954</v>
      </c>
      <c r="G2413" s="108" t="s">
        <v>9</v>
      </c>
      <c r="H2413" s="126">
        <v>34029795.180000007</v>
      </c>
      <c r="I2413" s="108">
        <v>1610211010</v>
      </c>
      <c r="J2413" s="108" t="str">
        <f t="shared" si="162"/>
        <v>1610211010</v>
      </c>
      <c r="K2413" s="304" t="str">
        <f t="shared" si="163"/>
        <v>62403091610211010000</v>
      </c>
      <c r="L2413" s="17" t="str">
        <f>INDEX('реш СГД № 265'!$A:$N,MATCH('БА расх 2018 31 12 2018'!$K2413,'реш СГД № 265'!$N:$N,0),3)</f>
        <v>Расходы на обеспечение деятельности (оказание услуг) муниципальных учреждений</v>
      </c>
      <c r="M2413" s="16">
        <f t="shared" si="164"/>
        <v>1</v>
      </c>
    </row>
    <row r="2414" spans="1:13" s="16" customFormat="1" ht="15.75">
      <c r="A2414" s="14"/>
      <c r="B2414" s="125" t="s">
        <v>138</v>
      </c>
      <c r="C2414" s="109" t="s">
        <v>939</v>
      </c>
      <c r="D2414" s="108" t="s">
        <v>13</v>
      </c>
      <c r="E2414" s="108" t="s">
        <v>471</v>
      </c>
      <c r="F2414" s="108" t="s">
        <v>954</v>
      </c>
      <c r="G2414" s="108" t="s">
        <v>139</v>
      </c>
      <c r="H2414" s="126">
        <v>28692848.380000003</v>
      </c>
      <c r="I2414" s="108">
        <v>1610211010</v>
      </c>
      <c r="J2414" s="108" t="str">
        <f t="shared" si="162"/>
        <v>1610211010</v>
      </c>
      <c r="K2414" s="304" t="str">
        <f t="shared" si="163"/>
        <v>62403091610211010110</v>
      </c>
      <c r="L2414" s="17" t="str">
        <f>INDEX('реш СГД № 265'!$A:$N,MATCH('БА расх 2018 31 12 2018'!$K2414,'реш СГД № 265'!$N:$N,0),3)</f>
        <v>Расходы на выплаты персоналу казенных учреждений</v>
      </c>
      <c r="M2414" s="16">
        <f t="shared" si="164"/>
        <v>1</v>
      </c>
    </row>
    <row r="2415" spans="1:13" s="23" customFormat="1" ht="15.75">
      <c r="A2415" s="21"/>
      <c r="B2415" s="127" t="s">
        <v>140</v>
      </c>
      <c r="C2415" s="109" t="s">
        <v>939</v>
      </c>
      <c r="D2415" s="108" t="s">
        <v>13</v>
      </c>
      <c r="E2415" s="108" t="s">
        <v>471</v>
      </c>
      <c r="F2415" s="108" t="s">
        <v>954</v>
      </c>
      <c r="G2415" s="108" t="s">
        <v>141</v>
      </c>
      <c r="H2415" s="126">
        <v>22075691.890000001</v>
      </c>
      <c r="I2415" s="108">
        <v>1610211010</v>
      </c>
      <c r="J2415" s="108" t="str">
        <f t="shared" si="162"/>
        <v>1610211010</v>
      </c>
      <c r="K2415" s="304" t="str">
        <f t="shared" si="163"/>
        <v>62403091610211010111</v>
      </c>
      <c r="L2415" s="17"/>
      <c r="M2415" s="16"/>
    </row>
    <row r="2416" spans="1:13" s="23" customFormat="1" ht="47.25">
      <c r="A2416" s="21"/>
      <c r="B2416" s="127" t="s">
        <v>487</v>
      </c>
      <c r="C2416" s="109" t="s">
        <v>939</v>
      </c>
      <c r="D2416" s="108" t="s">
        <v>13</v>
      </c>
      <c r="E2416" s="108" t="s">
        <v>471</v>
      </c>
      <c r="F2416" s="108" t="s">
        <v>954</v>
      </c>
      <c r="G2416" s="108" t="s">
        <v>145</v>
      </c>
      <c r="H2416" s="126">
        <v>6617156.4900000002</v>
      </c>
      <c r="I2416" s="108">
        <v>1610211010</v>
      </c>
      <c r="J2416" s="108" t="str">
        <f t="shared" si="162"/>
        <v>1610211010</v>
      </c>
      <c r="K2416" s="304" t="str">
        <f t="shared" si="163"/>
        <v>62403091610211010119</v>
      </c>
      <c r="L2416" s="17"/>
      <c r="M2416" s="16"/>
    </row>
    <row r="2417" spans="1:13" s="16" customFormat="1" ht="31.5">
      <c r="A2417" s="14"/>
      <c r="B2417" s="148" t="s">
        <v>28</v>
      </c>
      <c r="C2417" s="109" t="s">
        <v>939</v>
      </c>
      <c r="D2417" s="108" t="s">
        <v>13</v>
      </c>
      <c r="E2417" s="108" t="s">
        <v>471</v>
      </c>
      <c r="F2417" s="108" t="s">
        <v>954</v>
      </c>
      <c r="G2417" s="108" t="s">
        <v>29</v>
      </c>
      <c r="H2417" s="126">
        <v>4575946.8</v>
      </c>
      <c r="I2417" s="108">
        <v>1610211010</v>
      </c>
      <c r="J2417" s="108" t="str">
        <f t="shared" si="162"/>
        <v>1610211010</v>
      </c>
      <c r="K2417" s="304" t="str">
        <f t="shared" si="163"/>
        <v>62403091610211010240</v>
      </c>
      <c r="L2417" s="17" t="str">
        <f>INDEX('реш СГД № 265'!$A:$N,MATCH('БА расх 2018 31 12 2018'!$K2417,'реш СГД № 265'!$N:$N,0),3)</f>
        <v>Иные закупки товаров, работ и услуг для обеспечения государственных (муниципальных) нужд</v>
      </c>
      <c r="M2417" s="16">
        <f t="shared" si="164"/>
        <v>1</v>
      </c>
    </row>
    <row r="2418" spans="1:13" s="16" customFormat="1" ht="15.75">
      <c r="A2418" s="14"/>
      <c r="B2418" s="125" t="s">
        <v>30</v>
      </c>
      <c r="C2418" s="109" t="s">
        <v>939</v>
      </c>
      <c r="D2418" s="108" t="s">
        <v>13</v>
      </c>
      <c r="E2418" s="108" t="s">
        <v>471</v>
      </c>
      <c r="F2418" s="108" t="s">
        <v>954</v>
      </c>
      <c r="G2418" s="108" t="s">
        <v>31</v>
      </c>
      <c r="H2418" s="126">
        <v>4575946.8</v>
      </c>
      <c r="I2418" s="108">
        <v>1610211010</v>
      </c>
      <c r="J2418" s="108" t="str">
        <f t="shared" si="162"/>
        <v>1610211010</v>
      </c>
      <c r="K2418" s="304" t="str">
        <f t="shared" ref="K2418" si="169">C2418&amp;D2418&amp;E2418&amp;J2418&amp;G2418</f>
        <v>62403091610211010244</v>
      </c>
      <c r="L2418" s="17"/>
    </row>
    <row r="2419" spans="1:13" s="16" customFormat="1" ht="15.75">
      <c r="A2419" s="14"/>
      <c r="B2419" s="148" t="s">
        <v>32</v>
      </c>
      <c r="C2419" s="109" t="s">
        <v>939</v>
      </c>
      <c r="D2419" s="108" t="s">
        <v>13</v>
      </c>
      <c r="E2419" s="108" t="s">
        <v>471</v>
      </c>
      <c r="F2419" s="108" t="s">
        <v>954</v>
      </c>
      <c r="G2419" s="108" t="s">
        <v>33</v>
      </c>
      <c r="H2419" s="126">
        <v>761000</v>
      </c>
      <c r="I2419" s="108">
        <v>1610211010</v>
      </c>
      <c r="J2419" s="108" t="str">
        <f t="shared" ref="J2419:J2481" si="170">TEXT(I2419,"0000000000")</f>
        <v>1610211010</v>
      </c>
      <c r="K2419" s="304" t="str">
        <f t="shared" ref="K2419:K2480" si="171">C2419&amp;D2419&amp;E2419&amp;J2419&amp;G2419</f>
        <v>62403091610211010850</v>
      </c>
      <c r="L2419" s="17" t="str">
        <f>INDEX('реш СГД № 265'!$A:$N,MATCH('БА расх 2018 31 12 2018'!$K2419,'реш СГД № 265'!$N:$N,0),3)</f>
        <v>Уплата налогов, сборов и иных платежей</v>
      </c>
      <c r="M2419" s="16">
        <f t="shared" ref="M2419:M2481" si="172">IF(B2419=L2419,1,0)</f>
        <v>1</v>
      </c>
    </row>
    <row r="2420" spans="1:13" s="23" customFormat="1" ht="31.5">
      <c r="A2420" s="21"/>
      <c r="B2420" s="127" t="s">
        <v>34</v>
      </c>
      <c r="C2420" s="109" t="s">
        <v>939</v>
      </c>
      <c r="D2420" s="108" t="s">
        <v>13</v>
      </c>
      <c r="E2420" s="108" t="s">
        <v>471</v>
      </c>
      <c r="F2420" s="108" t="s">
        <v>954</v>
      </c>
      <c r="G2420" s="108">
        <v>851</v>
      </c>
      <c r="H2420" s="126">
        <v>720000</v>
      </c>
      <c r="I2420" s="108">
        <v>1610211010</v>
      </c>
      <c r="J2420" s="108" t="str">
        <f t="shared" si="170"/>
        <v>1610211010</v>
      </c>
      <c r="K2420" s="304" t="str">
        <f t="shared" si="171"/>
        <v>62403091610211010851</v>
      </c>
      <c r="L2420" s="17"/>
      <c r="M2420" s="16"/>
    </row>
    <row r="2421" spans="1:13" s="23" customFormat="1" ht="15.75">
      <c r="A2421" s="21"/>
      <c r="B2421" s="127" t="s">
        <v>36</v>
      </c>
      <c r="C2421" s="109" t="s">
        <v>939</v>
      </c>
      <c r="D2421" s="108" t="s">
        <v>13</v>
      </c>
      <c r="E2421" s="108" t="s">
        <v>471</v>
      </c>
      <c r="F2421" s="108" t="s">
        <v>954</v>
      </c>
      <c r="G2421" s="108" t="s">
        <v>37</v>
      </c>
      <c r="H2421" s="126">
        <v>41000</v>
      </c>
      <c r="I2421" s="108">
        <v>1610211010</v>
      </c>
      <c r="J2421" s="108" t="str">
        <f t="shared" si="170"/>
        <v>1610211010</v>
      </c>
      <c r="K2421" s="304" t="str">
        <f t="shared" si="171"/>
        <v>62403091610211010852</v>
      </c>
      <c r="L2421" s="17"/>
      <c r="M2421" s="16"/>
    </row>
    <row r="2422" spans="1:13" s="23" customFormat="1" ht="267.75">
      <c r="A2422" s="21"/>
      <c r="B2422" s="125" t="s">
        <v>2269</v>
      </c>
      <c r="C2422" s="109" t="s">
        <v>939</v>
      </c>
      <c r="D2422" s="108" t="s">
        <v>13</v>
      </c>
      <c r="E2422" s="108" t="s">
        <v>471</v>
      </c>
      <c r="F2422" s="108" t="s">
        <v>1369</v>
      </c>
      <c r="G2422" s="108" t="s">
        <v>9</v>
      </c>
      <c r="H2422" s="126">
        <v>997569.64</v>
      </c>
      <c r="I2422" s="108">
        <v>1610277460</v>
      </c>
      <c r="J2422" s="108" t="str">
        <f t="shared" si="170"/>
        <v>1610277460</v>
      </c>
      <c r="K2422" s="304" t="str">
        <f t="shared" si="171"/>
        <v>62403091610277460000</v>
      </c>
      <c r="L2422" s="132" t="str">
        <f>INDEX('реш СГД № 265'!$A:$N,MATCH('БА расх 2018 31 12 2018'!$K2422,'реш СГД № 265'!$N:$N,0),3)</f>
        <v>Субсидии на компенсацию расходов по повышению заработной платы муниципальных служащих муниципальной службы и лиц, не замещающих должности муниципальной службы и исполняющих обязанности по техническому обеспечению деятельности органов местного самоуправления муниципальных образований, а также работников муниципальных учреждений, за исключением отдельных категорий работников муниципальных учреждений, которым повышение заработной платы осуществляется в соответствии с указами Президента Российской Федерации от 7 мая 2012 года № 597 «О мероприятиях по реализации государственной социальной политики», от 1 июня 2012 года № 761 «О Национальной стратегии действий в интересах детей на 2012 - 2017 годы» и от 28 декабря 2012 года № 1688 «О некоторых мерах по реализации государственной политики в сфере защиты детей-сирот и детей, оставшихся без попечения родителей»</v>
      </c>
      <c r="M2422" s="17">
        <f t="shared" si="172"/>
        <v>1</v>
      </c>
    </row>
    <row r="2423" spans="1:13" s="23" customFormat="1" ht="15.75">
      <c r="A2423" s="21"/>
      <c r="B2423" s="309" t="s">
        <v>138</v>
      </c>
      <c r="C2423" s="109" t="s">
        <v>939</v>
      </c>
      <c r="D2423" s="108" t="s">
        <v>13</v>
      </c>
      <c r="E2423" s="108" t="s">
        <v>471</v>
      </c>
      <c r="F2423" s="108" t="s">
        <v>1369</v>
      </c>
      <c r="G2423" s="108" t="s">
        <v>139</v>
      </c>
      <c r="H2423" s="126">
        <v>997569.64</v>
      </c>
      <c r="I2423" s="108">
        <v>1610277460</v>
      </c>
      <c r="J2423" s="108" t="str">
        <f t="shared" si="170"/>
        <v>1610277460</v>
      </c>
      <c r="K2423" s="304" t="str">
        <f t="shared" si="171"/>
        <v>62403091610277460110</v>
      </c>
      <c r="L2423" s="17" t="str">
        <f>INDEX('реш СГД № 265'!$A:$N,MATCH('БА расх 2018 31 12 2018'!$K2423,'реш СГД № 265'!$N:$N,0),3)</f>
        <v>Расходы на выплаты персоналу казенных учреждений</v>
      </c>
      <c r="M2423" s="16">
        <f t="shared" si="172"/>
        <v>1</v>
      </c>
    </row>
    <row r="2424" spans="1:13" s="23" customFormat="1" ht="15.75">
      <c r="A2424" s="21"/>
      <c r="B2424" s="127" t="s">
        <v>140</v>
      </c>
      <c r="C2424" s="109" t="s">
        <v>939</v>
      </c>
      <c r="D2424" s="108" t="s">
        <v>13</v>
      </c>
      <c r="E2424" s="108" t="s">
        <v>471</v>
      </c>
      <c r="F2424" s="108" t="s">
        <v>1369</v>
      </c>
      <c r="G2424" s="108" t="s">
        <v>141</v>
      </c>
      <c r="H2424" s="126">
        <v>766182.52</v>
      </c>
      <c r="I2424" s="108">
        <v>1610277460</v>
      </c>
      <c r="J2424" s="108" t="str">
        <f t="shared" si="170"/>
        <v>1610277460</v>
      </c>
      <c r="K2424" s="304" t="str">
        <f t="shared" si="171"/>
        <v>62403091610277460111</v>
      </c>
      <c r="L2424" s="17"/>
      <c r="M2424" s="16"/>
    </row>
    <row r="2425" spans="1:13" s="23" customFormat="1" ht="47.25">
      <c r="A2425" s="21"/>
      <c r="B2425" s="127" t="s">
        <v>487</v>
      </c>
      <c r="C2425" s="109" t="s">
        <v>939</v>
      </c>
      <c r="D2425" s="108" t="s">
        <v>13</v>
      </c>
      <c r="E2425" s="108" t="s">
        <v>471</v>
      </c>
      <c r="F2425" s="108" t="s">
        <v>1369</v>
      </c>
      <c r="G2425" s="108" t="s">
        <v>145</v>
      </c>
      <c r="H2425" s="126">
        <v>231387.12</v>
      </c>
      <c r="I2425" s="108">
        <v>1610277460</v>
      </c>
      <c r="J2425" s="108" t="str">
        <f t="shared" si="170"/>
        <v>1610277460</v>
      </c>
      <c r="K2425" s="304" t="str">
        <f t="shared" si="171"/>
        <v>62403091610277460119</v>
      </c>
      <c r="L2425" s="17"/>
      <c r="M2425" s="16"/>
    </row>
    <row r="2426" spans="1:13" s="16" customFormat="1" ht="31.5">
      <c r="A2426" s="14"/>
      <c r="B2426" s="148" t="s">
        <v>942</v>
      </c>
      <c r="C2426" s="109" t="s">
        <v>939</v>
      </c>
      <c r="D2426" s="108" t="s">
        <v>13</v>
      </c>
      <c r="E2426" s="108" t="s">
        <v>471</v>
      </c>
      <c r="F2426" s="108" t="s">
        <v>955</v>
      </c>
      <c r="G2426" s="108" t="s">
        <v>9</v>
      </c>
      <c r="H2426" s="126">
        <v>430000</v>
      </c>
      <c r="I2426" s="108">
        <v>1610300000</v>
      </c>
      <c r="J2426" s="108" t="str">
        <f t="shared" si="170"/>
        <v>1610300000</v>
      </c>
      <c r="K2426" s="304" t="str">
        <f t="shared" si="171"/>
        <v>62403091610300000000</v>
      </c>
      <c r="L2426" s="17" t="str">
        <f>INDEX('реш СГД № 265'!$A:$N,MATCH('БА расх 2018 31 12 2018'!$K2426,'реш СГД № 265'!$N:$N,0),3)</f>
        <v>Основное мероприятие «Обеспечение безопасности людей на водных объектах города Ставрополя»</v>
      </c>
      <c r="M2426" s="16">
        <f t="shared" si="172"/>
        <v>1</v>
      </c>
    </row>
    <row r="2427" spans="1:13" s="16" customFormat="1" ht="78.75">
      <c r="A2427" s="14"/>
      <c r="B2427" s="125" t="s">
        <v>950</v>
      </c>
      <c r="C2427" s="109" t="s">
        <v>939</v>
      </c>
      <c r="D2427" s="108" t="s">
        <v>13</v>
      </c>
      <c r="E2427" s="108" t="s">
        <v>471</v>
      </c>
      <c r="F2427" s="108" t="s">
        <v>956</v>
      </c>
      <c r="G2427" s="108" t="s">
        <v>9</v>
      </c>
      <c r="H2427" s="126">
        <v>430000</v>
      </c>
      <c r="I2427" s="108">
        <v>1610320120</v>
      </c>
      <c r="J2427" s="108" t="str">
        <f t="shared" si="170"/>
        <v>1610320120</v>
      </c>
      <c r="K2427" s="304" t="str">
        <f t="shared" si="171"/>
        <v>62403091610320120000</v>
      </c>
      <c r="L2427" s="17" t="str">
        <f>INDEX('реш СГД № 265'!$A:$N,MATCH('БА расх 2018 31 12 2018'!$K2427,'реш СГД № 265'!$N:$N,0),3)</f>
        <v>Расходы на реализацию мероприятий в области гражданской обороны, защиты населения и территории города Ставрополя от чрезвычайных ситуаций природного и техногенного характера, обеспечение безопасности людей на водных объектах</v>
      </c>
      <c r="M2427" s="16">
        <f t="shared" si="172"/>
        <v>1</v>
      </c>
    </row>
    <row r="2428" spans="1:13" s="16" customFormat="1" ht="31.5">
      <c r="A2428" s="14"/>
      <c r="B2428" s="148" t="s">
        <v>28</v>
      </c>
      <c r="C2428" s="109" t="s">
        <v>939</v>
      </c>
      <c r="D2428" s="108" t="s">
        <v>13</v>
      </c>
      <c r="E2428" s="108" t="s">
        <v>471</v>
      </c>
      <c r="F2428" s="108" t="s">
        <v>956</v>
      </c>
      <c r="G2428" s="108" t="s">
        <v>29</v>
      </c>
      <c r="H2428" s="126">
        <v>423500</v>
      </c>
      <c r="I2428" s="108">
        <v>1610320120</v>
      </c>
      <c r="J2428" s="108" t="str">
        <f t="shared" si="170"/>
        <v>1610320120</v>
      </c>
      <c r="K2428" s="304" t="str">
        <f t="shared" si="171"/>
        <v>62403091610320120240</v>
      </c>
      <c r="L2428" s="17" t="str">
        <f>INDEX('реш СГД № 265'!$A:$N,MATCH('БА расх 2018 31 12 2018'!$K2428,'реш СГД № 265'!$N:$N,0),3)</f>
        <v>Иные закупки товаров, работ и услуг для обеспечения государственных (муниципальных) нужд</v>
      </c>
      <c r="M2428" s="16">
        <f t="shared" si="172"/>
        <v>1</v>
      </c>
    </row>
    <row r="2429" spans="1:13" s="16" customFormat="1" ht="15.75">
      <c r="A2429" s="14"/>
      <c r="B2429" s="125" t="s">
        <v>30</v>
      </c>
      <c r="C2429" s="109" t="s">
        <v>939</v>
      </c>
      <c r="D2429" s="108" t="s">
        <v>13</v>
      </c>
      <c r="E2429" s="108" t="s">
        <v>471</v>
      </c>
      <c r="F2429" s="108" t="s">
        <v>956</v>
      </c>
      <c r="G2429" s="108" t="s">
        <v>31</v>
      </c>
      <c r="H2429" s="126">
        <v>423500</v>
      </c>
      <c r="I2429" s="108">
        <v>1610320120</v>
      </c>
      <c r="J2429" s="108" t="str">
        <f t="shared" si="170"/>
        <v>1610320120</v>
      </c>
      <c r="K2429" s="304" t="str">
        <f t="shared" si="171"/>
        <v>62403091610320120244</v>
      </c>
      <c r="L2429" s="17"/>
    </row>
    <row r="2430" spans="1:13" s="16" customFormat="1" ht="15.75">
      <c r="A2430" s="14"/>
      <c r="B2430" s="148" t="s">
        <v>32</v>
      </c>
      <c r="C2430" s="109" t="s">
        <v>939</v>
      </c>
      <c r="D2430" s="108" t="s">
        <v>13</v>
      </c>
      <c r="E2430" s="108" t="s">
        <v>471</v>
      </c>
      <c r="F2430" s="108" t="s">
        <v>956</v>
      </c>
      <c r="G2430" s="108" t="s">
        <v>33</v>
      </c>
      <c r="H2430" s="126">
        <v>6500</v>
      </c>
      <c r="I2430" s="108">
        <v>1610320120</v>
      </c>
      <c r="J2430" s="108" t="str">
        <f t="shared" si="170"/>
        <v>1610320120</v>
      </c>
      <c r="K2430" s="304" t="str">
        <f t="shared" si="171"/>
        <v>62403091610320120850</v>
      </c>
      <c r="L2430" s="132" t="e">
        <f>INDEX('реш СГД № 265'!$A:$N,MATCH('БА расх 2018 31 12 2018'!$K2430,'реш СГД № 265'!$N:$N,0),3)</f>
        <v>#N/A</v>
      </c>
      <c r="M2430" s="17" t="e">
        <f t="shared" si="172"/>
        <v>#N/A</v>
      </c>
    </row>
    <row r="2431" spans="1:13" s="16" customFormat="1" ht="15.75">
      <c r="A2431" s="14"/>
      <c r="B2431" s="127" t="s">
        <v>36</v>
      </c>
      <c r="C2431" s="109" t="s">
        <v>939</v>
      </c>
      <c r="D2431" s="108" t="s">
        <v>13</v>
      </c>
      <c r="E2431" s="108" t="s">
        <v>471</v>
      </c>
      <c r="F2431" s="108" t="s">
        <v>956</v>
      </c>
      <c r="G2431" s="108" t="s">
        <v>37</v>
      </c>
      <c r="H2431" s="126">
        <v>6500</v>
      </c>
      <c r="I2431" s="108">
        <v>1610320120</v>
      </c>
      <c r="J2431" s="108" t="str">
        <f t="shared" si="170"/>
        <v>1610320120</v>
      </c>
      <c r="K2431" s="304" t="str">
        <f t="shared" si="171"/>
        <v>62403091610320120852</v>
      </c>
      <c r="L2431" s="17"/>
    </row>
    <row r="2432" spans="1:13" s="66" customFormat="1" ht="31.5">
      <c r="A2432" s="65"/>
      <c r="B2432" s="125" t="s">
        <v>422</v>
      </c>
      <c r="C2432" s="109" t="s">
        <v>939</v>
      </c>
      <c r="D2432" s="108" t="s">
        <v>13</v>
      </c>
      <c r="E2432" s="108" t="s">
        <v>471</v>
      </c>
      <c r="F2432" s="108" t="s">
        <v>423</v>
      </c>
      <c r="G2432" s="108" t="s">
        <v>9</v>
      </c>
      <c r="H2432" s="126">
        <v>534757</v>
      </c>
      <c r="I2432" s="108">
        <v>1620000000</v>
      </c>
      <c r="J2432" s="108" t="str">
        <f t="shared" si="170"/>
        <v>1620000000</v>
      </c>
      <c r="K2432" s="304" t="str">
        <f t="shared" si="171"/>
        <v>62403091620000000000</v>
      </c>
      <c r="L2432" s="17" t="str">
        <f>INDEX('реш СГД № 265'!$A:$N,MATCH('БА расх 2018 31 12 2018'!$K2432,'реш СГД № 265'!$N:$N,0),3)</f>
        <v>Подпрограмма «Обеспечение пожарной безопасности в границах города Ставрополя»</v>
      </c>
      <c r="M2432" s="16">
        <f t="shared" si="172"/>
        <v>1</v>
      </c>
    </row>
    <row r="2433" spans="1:13" s="16" customFormat="1" ht="31.5">
      <c r="A2433" s="14"/>
      <c r="B2433" s="148" t="s">
        <v>957</v>
      </c>
      <c r="C2433" s="109" t="s">
        <v>939</v>
      </c>
      <c r="D2433" s="108" t="s">
        <v>13</v>
      </c>
      <c r="E2433" s="108" t="s">
        <v>471</v>
      </c>
      <c r="F2433" s="108" t="s">
        <v>958</v>
      </c>
      <c r="G2433" s="108" t="s">
        <v>9</v>
      </c>
      <c r="H2433" s="126">
        <v>534757</v>
      </c>
      <c r="I2433" s="108">
        <v>1620100000</v>
      </c>
      <c r="J2433" s="108" t="str">
        <f t="shared" si="170"/>
        <v>1620100000</v>
      </c>
      <c r="K2433" s="304" t="str">
        <f t="shared" si="171"/>
        <v>62403091620100000000</v>
      </c>
      <c r="L2433" s="17" t="str">
        <f>INDEX('реш СГД № 265'!$A:$N,MATCH('БА расх 2018 31 12 2018'!$K2433,'реш СГД № 265'!$N:$N,0),3)</f>
        <v>Основное мероприятие «Обеспечение первичных мер пожарной безопасности»</v>
      </c>
      <c r="M2433" s="16">
        <f t="shared" si="172"/>
        <v>1</v>
      </c>
    </row>
    <row r="2434" spans="1:13" s="16" customFormat="1" ht="31.5">
      <c r="A2434" s="14"/>
      <c r="B2434" s="148" t="s">
        <v>959</v>
      </c>
      <c r="C2434" s="109" t="s">
        <v>939</v>
      </c>
      <c r="D2434" s="108" t="s">
        <v>13</v>
      </c>
      <c r="E2434" s="108" t="s">
        <v>471</v>
      </c>
      <c r="F2434" s="108" t="s">
        <v>960</v>
      </c>
      <c r="G2434" s="108" t="s">
        <v>9</v>
      </c>
      <c r="H2434" s="126">
        <v>534757</v>
      </c>
      <c r="I2434" s="108">
        <v>1620120540</v>
      </c>
      <c r="J2434" s="108" t="str">
        <f t="shared" si="170"/>
        <v>1620120540</v>
      </c>
      <c r="K2434" s="304" t="str">
        <f t="shared" si="171"/>
        <v>62403091620120540000</v>
      </c>
      <c r="L2434" s="17" t="str">
        <f>INDEX('реш СГД № 265'!$A:$N,MATCH('БА расх 2018 31 12 2018'!$K2434,'реш СГД № 265'!$N:$N,0),3)</f>
        <v>Обеспечение первичных мер пожарной безопасности в границах города Ставрополя</v>
      </c>
      <c r="M2434" s="16">
        <f t="shared" si="172"/>
        <v>1</v>
      </c>
    </row>
    <row r="2435" spans="1:13" s="16" customFormat="1" ht="31.5">
      <c r="A2435" s="14"/>
      <c r="B2435" s="125" t="s">
        <v>28</v>
      </c>
      <c r="C2435" s="109" t="s">
        <v>939</v>
      </c>
      <c r="D2435" s="108" t="s">
        <v>13</v>
      </c>
      <c r="E2435" s="108" t="s">
        <v>471</v>
      </c>
      <c r="F2435" s="108" t="s">
        <v>960</v>
      </c>
      <c r="G2435" s="108" t="s">
        <v>29</v>
      </c>
      <c r="H2435" s="126">
        <v>534757</v>
      </c>
      <c r="I2435" s="108">
        <v>1620120540</v>
      </c>
      <c r="J2435" s="108" t="str">
        <f t="shared" si="170"/>
        <v>1620120540</v>
      </c>
      <c r="K2435" s="304" t="str">
        <f t="shared" si="171"/>
        <v>62403091620120540240</v>
      </c>
      <c r="L2435" s="17" t="str">
        <f>INDEX('реш СГД № 265'!$A:$N,MATCH('БА расх 2018 31 12 2018'!$K2435,'реш СГД № 265'!$N:$N,0),3)</f>
        <v>Иные закупки товаров, работ и услуг для обеспечения государственных (муниципальных) нужд</v>
      </c>
      <c r="M2435" s="16">
        <f t="shared" si="172"/>
        <v>1</v>
      </c>
    </row>
    <row r="2436" spans="1:13" s="16" customFormat="1" ht="15.75">
      <c r="A2436" s="14"/>
      <c r="B2436" s="125" t="s">
        <v>30</v>
      </c>
      <c r="C2436" s="109" t="s">
        <v>939</v>
      </c>
      <c r="D2436" s="108" t="s">
        <v>13</v>
      </c>
      <c r="E2436" s="108" t="s">
        <v>471</v>
      </c>
      <c r="F2436" s="108" t="s">
        <v>960</v>
      </c>
      <c r="G2436" s="108" t="s">
        <v>31</v>
      </c>
      <c r="H2436" s="126">
        <v>534757</v>
      </c>
      <c r="I2436" s="108">
        <v>1620120540</v>
      </c>
      <c r="J2436" s="108" t="str">
        <f t="shared" si="170"/>
        <v>1620120540</v>
      </c>
      <c r="K2436" s="304" t="str">
        <f t="shared" si="171"/>
        <v>62403091620120540244</v>
      </c>
      <c r="L2436" s="17"/>
    </row>
    <row r="2437" spans="1:13" s="16" customFormat="1" ht="47.25">
      <c r="A2437" s="14"/>
      <c r="B2437" s="125" t="s">
        <v>961</v>
      </c>
      <c r="C2437" s="109" t="s">
        <v>939</v>
      </c>
      <c r="D2437" s="108" t="s">
        <v>13</v>
      </c>
      <c r="E2437" s="108" t="s">
        <v>471</v>
      </c>
      <c r="F2437" s="108" t="s">
        <v>962</v>
      </c>
      <c r="G2437" s="108" t="s">
        <v>9</v>
      </c>
      <c r="H2437" s="126">
        <v>29572124.259999998</v>
      </c>
      <c r="I2437" s="108">
        <v>1630000000</v>
      </c>
      <c r="J2437" s="108" t="str">
        <f t="shared" si="170"/>
        <v>1630000000</v>
      </c>
      <c r="K2437" s="304" t="str">
        <f t="shared" si="171"/>
        <v>62403091630000000000</v>
      </c>
      <c r="L2437" s="17" t="str">
        <f>INDEX('реш СГД № 265'!$A:$N,MATCH('БА расх 2018 31 12 2018'!$K2437,'реш СГД № 265'!$N:$N,0),3)</f>
        <v>Подпрограмма «Построение и развитие аппаратно-программного комплекса «Безопасный город» на территории города Ставрополя»</v>
      </c>
      <c r="M2437" s="16">
        <f t="shared" si="172"/>
        <v>1</v>
      </c>
    </row>
    <row r="2438" spans="1:13" s="16" customFormat="1" ht="47.25">
      <c r="A2438" s="14"/>
      <c r="B2438" s="125" t="s">
        <v>963</v>
      </c>
      <c r="C2438" s="109" t="s">
        <v>939</v>
      </c>
      <c r="D2438" s="108" t="s">
        <v>13</v>
      </c>
      <c r="E2438" s="108" t="s">
        <v>471</v>
      </c>
      <c r="F2438" s="108" t="s">
        <v>964</v>
      </c>
      <c r="G2438" s="108" t="s">
        <v>9</v>
      </c>
      <c r="H2438" s="126">
        <v>23983288.759999998</v>
      </c>
      <c r="I2438" s="108">
        <v>1630100000</v>
      </c>
      <c r="J2438" s="108" t="str">
        <f t="shared" si="170"/>
        <v>1630100000</v>
      </c>
      <c r="K2438" s="304" t="str">
        <f t="shared" si="171"/>
        <v>62403091630100000000</v>
      </c>
      <c r="L2438" s="17" t="str">
        <f>INDEX('реш СГД № 265'!$A:$N,MATCH('БА расх 2018 31 12 2018'!$K2438,'реш СГД № 265'!$N:$N,0),3)</f>
        <v>Основное мероприятие  «Создание, эксплуатация и развитие системы обеспечения вызова экстренных оперативных служб по единому номеру «112» на территории города Ставрополя»</v>
      </c>
      <c r="M2438" s="16">
        <f t="shared" si="172"/>
        <v>1</v>
      </c>
    </row>
    <row r="2439" spans="1:13" s="16" customFormat="1" ht="31.5">
      <c r="A2439" s="14"/>
      <c r="B2439" s="148" t="s">
        <v>136</v>
      </c>
      <c r="C2439" s="109" t="s">
        <v>939</v>
      </c>
      <c r="D2439" s="108" t="s">
        <v>13</v>
      </c>
      <c r="E2439" s="108" t="s">
        <v>471</v>
      </c>
      <c r="F2439" s="108" t="s">
        <v>965</v>
      </c>
      <c r="G2439" s="108" t="s">
        <v>9</v>
      </c>
      <c r="H2439" s="126">
        <v>23313376.309999999</v>
      </c>
      <c r="I2439" s="108">
        <v>1630111010</v>
      </c>
      <c r="J2439" s="108" t="str">
        <f t="shared" si="170"/>
        <v>1630111010</v>
      </c>
      <c r="K2439" s="304" t="str">
        <f t="shared" si="171"/>
        <v>62403091630111010000</v>
      </c>
      <c r="L2439" s="17" t="str">
        <f>INDEX('реш СГД № 265'!$A:$N,MATCH('БА расх 2018 31 12 2018'!$K2439,'реш СГД № 265'!$N:$N,0),3)</f>
        <v>Расходы на обеспечение деятельности (оказание услуг) муниципальных учреждений</v>
      </c>
      <c r="M2439" s="16">
        <f t="shared" si="172"/>
        <v>1</v>
      </c>
    </row>
    <row r="2440" spans="1:13" s="16" customFormat="1" ht="15.75">
      <c r="A2440" s="14"/>
      <c r="B2440" s="148" t="s">
        <v>138</v>
      </c>
      <c r="C2440" s="109" t="s">
        <v>939</v>
      </c>
      <c r="D2440" s="108" t="s">
        <v>13</v>
      </c>
      <c r="E2440" s="108" t="s">
        <v>471</v>
      </c>
      <c r="F2440" s="108" t="s">
        <v>965</v>
      </c>
      <c r="G2440" s="108" t="s">
        <v>139</v>
      </c>
      <c r="H2440" s="126">
        <v>20029611.75</v>
      </c>
      <c r="I2440" s="108">
        <v>1630111010</v>
      </c>
      <c r="J2440" s="108" t="str">
        <f t="shared" si="170"/>
        <v>1630111010</v>
      </c>
      <c r="K2440" s="304" t="str">
        <f t="shared" si="171"/>
        <v>62403091630111010110</v>
      </c>
      <c r="L2440" s="17" t="str">
        <f>INDEX('реш СГД № 265'!$A:$N,MATCH('БА расх 2018 31 12 2018'!$K2440,'реш СГД № 265'!$N:$N,0),3)</f>
        <v>Расходы на выплаты персоналу казенных учреждений</v>
      </c>
      <c r="M2440" s="16">
        <f t="shared" si="172"/>
        <v>1</v>
      </c>
    </row>
    <row r="2441" spans="1:13" s="23" customFormat="1" ht="15.75">
      <c r="A2441" s="21"/>
      <c r="B2441" s="127" t="s">
        <v>140</v>
      </c>
      <c r="C2441" s="109" t="s">
        <v>939</v>
      </c>
      <c r="D2441" s="108" t="s">
        <v>13</v>
      </c>
      <c r="E2441" s="108" t="s">
        <v>471</v>
      </c>
      <c r="F2441" s="108" t="s">
        <v>965</v>
      </c>
      <c r="G2441" s="108" t="s">
        <v>141</v>
      </c>
      <c r="H2441" s="126">
        <v>15407228.85</v>
      </c>
      <c r="I2441" s="108">
        <v>1630111010</v>
      </c>
      <c r="J2441" s="108" t="str">
        <f t="shared" si="170"/>
        <v>1630111010</v>
      </c>
      <c r="K2441" s="304" t="str">
        <f t="shared" si="171"/>
        <v>62403091630111010111</v>
      </c>
      <c r="L2441" s="17"/>
      <c r="M2441" s="16"/>
    </row>
    <row r="2442" spans="1:13" s="23" customFormat="1" ht="47.25">
      <c r="A2442" s="21"/>
      <c r="B2442" s="127" t="s">
        <v>487</v>
      </c>
      <c r="C2442" s="109" t="s">
        <v>939</v>
      </c>
      <c r="D2442" s="108" t="s">
        <v>13</v>
      </c>
      <c r="E2442" s="108" t="s">
        <v>471</v>
      </c>
      <c r="F2442" s="108" t="s">
        <v>965</v>
      </c>
      <c r="G2442" s="108" t="s">
        <v>145</v>
      </c>
      <c r="H2442" s="126">
        <v>4622382.9000000004</v>
      </c>
      <c r="I2442" s="108">
        <v>1630111010</v>
      </c>
      <c r="J2442" s="108" t="str">
        <f t="shared" si="170"/>
        <v>1630111010</v>
      </c>
      <c r="K2442" s="304" t="str">
        <f t="shared" si="171"/>
        <v>62403091630111010119</v>
      </c>
      <c r="L2442" s="17"/>
      <c r="M2442" s="16"/>
    </row>
    <row r="2443" spans="1:13" s="16" customFormat="1" ht="31.5">
      <c r="A2443" s="14"/>
      <c r="B2443" s="125" t="s">
        <v>28</v>
      </c>
      <c r="C2443" s="109" t="s">
        <v>939</v>
      </c>
      <c r="D2443" s="108" t="s">
        <v>13</v>
      </c>
      <c r="E2443" s="108" t="s">
        <v>471</v>
      </c>
      <c r="F2443" s="108" t="s">
        <v>965</v>
      </c>
      <c r="G2443" s="108" t="s">
        <v>29</v>
      </c>
      <c r="H2443" s="126">
        <v>2991237.04</v>
      </c>
      <c r="I2443" s="108">
        <v>1630111010</v>
      </c>
      <c r="J2443" s="108" t="str">
        <f t="shared" si="170"/>
        <v>1630111010</v>
      </c>
      <c r="K2443" s="304" t="str">
        <f t="shared" si="171"/>
        <v>62403091630111010240</v>
      </c>
      <c r="L2443" s="17" t="str">
        <f>INDEX('реш СГД № 265'!$A:$N,MATCH('БА расх 2018 31 12 2018'!$K2443,'реш СГД № 265'!$N:$N,0),3)</f>
        <v>Иные закупки товаров, работ и услуг для обеспечения государственных (муниципальных) нужд</v>
      </c>
      <c r="M2443" s="16">
        <f t="shared" si="172"/>
        <v>1</v>
      </c>
    </row>
    <row r="2444" spans="1:13" s="16" customFormat="1" ht="15.75">
      <c r="A2444" s="14"/>
      <c r="B2444" s="125" t="s">
        <v>30</v>
      </c>
      <c r="C2444" s="109" t="s">
        <v>939</v>
      </c>
      <c r="D2444" s="108" t="s">
        <v>13</v>
      </c>
      <c r="E2444" s="108" t="s">
        <v>471</v>
      </c>
      <c r="F2444" s="108" t="s">
        <v>965</v>
      </c>
      <c r="G2444" s="108" t="s">
        <v>31</v>
      </c>
      <c r="H2444" s="126">
        <v>2991237.04</v>
      </c>
      <c r="I2444" s="108">
        <v>1630111010</v>
      </c>
      <c r="J2444" s="108" t="str">
        <f t="shared" si="170"/>
        <v>1630111010</v>
      </c>
      <c r="K2444" s="304" t="str">
        <f t="shared" si="171"/>
        <v>62403091630111010244</v>
      </c>
      <c r="L2444" s="17"/>
    </row>
    <row r="2445" spans="1:13" s="16" customFormat="1" ht="15.75">
      <c r="A2445" s="14"/>
      <c r="B2445" s="148" t="s">
        <v>32</v>
      </c>
      <c r="C2445" s="109" t="s">
        <v>939</v>
      </c>
      <c r="D2445" s="108" t="s">
        <v>13</v>
      </c>
      <c r="E2445" s="108" t="s">
        <v>471</v>
      </c>
      <c r="F2445" s="108" t="s">
        <v>965</v>
      </c>
      <c r="G2445" s="108" t="s">
        <v>33</v>
      </c>
      <c r="H2445" s="126">
        <v>292527.52</v>
      </c>
      <c r="I2445" s="108">
        <v>1630111010</v>
      </c>
      <c r="J2445" s="108" t="str">
        <f t="shared" si="170"/>
        <v>1630111010</v>
      </c>
      <c r="K2445" s="304" t="str">
        <f t="shared" si="171"/>
        <v>62403091630111010850</v>
      </c>
      <c r="L2445" s="17" t="str">
        <f>INDEX('реш СГД № 265'!$A:$N,MATCH('БА расх 2018 31 12 2018'!$K2445,'реш СГД № 265'!$N:$N,0),3)</f>
        <v>Уплата налогов, сборов и иных платежей</v>
      </c>
      <c r="M2445" s="16">
        <f t="shared" si="172"/>
        <v>1</v>
      </c>
    </row>
    <row r="2446" spans="1:13" s="23" customFormat="1" ht="31.5">
      <c r="A2446" s="21"/>
      <c r="B2446" s="127" t="s">
        <v>34</v>
      </c>
      <c r="C2446" s="109" t="s">
        <v>939</v>
      </c>
      <c r="D2446" s="108" t="s">
        <v>13</v>
      </c>
      <c r="E2446" s="108" t="s">
        <v>471</v>
      </c>
      <c r="F2446" s="108" t="s">
        <v>965</v>
      </c>
      <c r="G2446" s="108">
        <v>851</v>
      </c>
      <c r="H2446" s="126">
        <v>287722</v>
      </c>
      <c r="I2446" s="108">
        <v>1630111010</v>
      </c>
      <c r="J2446" s="108" t="str">
        <f t="shared" si="170"/>
        <v>1630111010</v>
      </c>
      <c r="K2446" s="304" t="str">
        <f t="shared" si="171"/>
        <v>62403091630111010851</v>
      </c>
      <c r="L2446" s="17"/>
      <c r="M2446" s="16"/>
    </row>
    <row r="2447" spans="1:13" s="23" customFormat="1" ht="15.75">
      <c r="A2447" s="21"/>
      <c r="B2447" s="127" t="s">
        <v>36</v>
      </c>
      <c r="C2447" s="109" t="s">
        <v>939</v>
      </c>
      <c r="D2447" s="108" t="s">
        <v>13</v>
      </c>
      <c r="E2447" s="108" t="s">
        <v>471</v>
      </c>
      <c r="F2447" s="108" t="s">
        <v>965</v>
      </c>
      <c r="G2447" s="108" t="s">
        <v>37</v>
      </c>
      <c r="H2447" s="126">
        <v>2670</v>
      </c>
      <c r="I2447" s="108">
        <v>1630111010</v>
      </c>
      <c r="J2447" s="108" t="str">
        <f t="shared" si="170"/>
        <v>1630111010</v>
      </c>
      <c r="K2447" s="304" t="str">
        <f t="shared" si="171"/>
        <v>62403091630111010852</v>
      </c>
      <c r="L2447" s="17"/>
      <c r="M2447" s="16"/>
    </row>
    <row r="2448" spans="1:13" s="23" customFormat="1" ht="15.75">
      <c r="A2448" s="21"/>
      <c r="B2448" s="127" t="s">
        <v>77</v>
      </c>
      <c r="C2448" s="109" t="s">
        <v>939</v>
      </c>
      <c r="D2448" s="108" t="s">
        <v>13</v>
      </c>
      <c r="E2448" s="108" t="s">
        <v>471</v>
      </c>
      <c r="F2448" s="108" t="s">
        <v>965</v>
      </c>
      <c r="G2448" s="108" t="s">
        <v>78</v>
      </c>
      <c r="H2448" s="126">
        <v>2135.52</v>
      </c>
      <c r="I2448" s="108">
        <v>1630111010</v>
      </c>
      <c r="J2448" s="108" t="str">
        <f t="shared" si="170"/>
        <v>1630111010</v>
      </c>
      <c r="K2448" s="304" t="str">
        <f t="shared" si="171"/>
        <v>62403091630111010853</v>
      </c>
      <c r="L2448" s="17"/>
      <c r="M2448" s="16"/>
    </row>
    <row r="2449" spans="1:13" s="23" customFormat="1" ht="267.75">
      <c r="A2449" s="21"/>
      <c r="B2449" s="125" t="s">
        <v>2269</v>
      </c>
      <c r="C2449" s="109" t="s">
        <v>939</v>
      </c>
      <c r="D2449" s="108" t="s">
        <v>13</v>
      </c>
      <c r="E2449" s="108" t="s">
        <v>471</v>
      </c>
      <c r="F2449" s="108" t="s">
        <v>1370</v>
      </c>
      <c r="G2449" s="108" t="s">
        <v>9</v>
      </c>
      <c r="H2449" s="126">
        <v>669912.44999999995</v>
      </c>
      <c r="I2449" s="108">
        <v>1630177460</v>
      </c>
      <c r="J2449" s="108" t="str">
        <f t="shared" si="170"/>
        <v>1630177460</v>
      </c>
      <c r="K2449" s="304" t="str">
        <f t="shared" si="171"/>
        <v>62403091630177460000</v>
      </c>
      <c r="L2449" s="132" t="str">
        <f>INDEX('реш СГД № 265'!$A:$N,MATCH('БА расх 2018 31 12 2018'!$K2449,'реш СГД № 265'!$N:$N,0),3)</f>
        <v>Субсидии на компенсацию расходов по повышению заработной платы муниципальных служащих муниципальной службы и лиц, не замещающих должности муниципальной службы и исполняющих обязанности по техническому обеспечению деятельности органов местного самоуправления муниципальных образований, а также работников муниципальных учреждений, за исключением отдельных категорий работников муниципальных учреждений, которым повышение заработной платы осуществляется в соответствии с указами Президента Российской Федерации от 7 мая 2012 года № 597 «О мероприятиях по реализации государственной социальной политики», от 1 июня 2012 года № 761 «О Национальной стратегии действий в интересах детей на 2012 - 2017 годы» и от 28 декабря 2012 года № 1688 «О некоторых мерах по реализации государственной политики в сфере защиты детей-сирот и детей, оставшихся без попечения родителей»</v>
      </c>
      <c r="M2449" s="17">
        <f t="shared" si="172"/>
        <v>1</v>
      </c>
    </row>
    <row r="2450" spans="1:13" s="23" customFormat="1" ht="15.75">
      <c r="A2450" s="21"/>
      <c r="B2450" s="309" t="s">
        <v>138</v>
      </c>
      <c r="C2450" s="109" t="s">
        <v>939</v>
      </c>
      <c r="D2450" s="108" t="s">
        <v>13</v>
      </c>
      <c r="E2450" s="108" t="s">
        <v>471</v>
      </c>
      <c r="F2450" s="108" t="s">
        <v>1370</v>
      </c>
      <c r="G2450" s="108" t="s">
        <v>139</v>
      </c>
      <c r="H2450" s="126">
        <v>669912.44999999995</v>
      </c>
      <c r="I2450" s="108">
        <v>1630177460</v>
      </c>
      <c r="J2450" s="108" t="str">
        <f t="shared" si="170"/>
        <v>1630177460</v>
      </c>
      <c r="K2450" s="304" t="str">
        <f t="shared" si="171"/>
        <v>62403091630177460110</v>
      </c>
      <c r="L2450" s="17" t="str">
        <f>INDEX('реш СГД № 265'!$A:$N,MATCH('БА расх 2018 31 12 2018'!$K2450,'реш СГД № 265'!$N:$N,0),3)</f>
        <v>Расходы на выплаты персоналу казенных учреждений</v>
      </c>
      <c r="M2450" s="16">
        <f t="shared" si="172"/>
        <v>1</v>
      </c>
    </row>
    <row r="2451" spans="1:13" s="23" customFormat="1" ht="15.75">
      <c r="A2451" s="21"/>
      <c r="B2451" s="127" t="s">
        <v>140</v>
      </c>
      <c r="C2451" s="109" t="s">
        <v>939</v>
      </c>
      <c r="D2451" s="108" t="s">
        <v>13</v>
      </c>
      <c r="E2451" s="108" t="s">
        <v>471</v>
      </c>
      <c r="F2451" s="108" t="s">
        <v>1370</v>
      </c>
      <c r="G2451" s="108" t="s">
        <v>141</v>
      </c>
      <c r="H2451" s="126">
        <v>514525.69</v>
      </c>
      <c r="I2451" s="108">
        <v>1630177460</v>
      </c>
      <c r="J2451" s="108" t="str">
        <f t="shared" si="170"/>
        <v>1630177460</v>
      </c>
      <c r="K2451" s="304" t="str">
        <f t="shared" si="171"/>
        <v>62403091630177460111</v>
      </c>
      <c r="L2451" s="17"/>
      <c r="M2451" s="16"/>
    </row>
    <row r="2452" spans="1:13" s="23" customFormat="1" ht="47.25">
      <c r="A2452" s="21"/>
      <c r="B2452" s="127" t="s">
        <v>487</v>
      </c>
      <c r="C2452" s="109" t="s">
        <v>939</v>
      </c>
      <c r="D2452" s="108" t="s">
        <v>13</v>
      </c>
      <c r="E2452" s="108" t="s">
        <v>471</v>
      </c>
      <c r="F2452" s="108" t="s">
        <v>1370</v>
      </c>
      <c r="G2452" s="108" t="s">
        <v>145</v>
      </c>
      <c r="H2452" s="126">
        <v>155386.76</v>
      </c>
      <c r="I2452" s="108">
        <v>1630177460</v>
      </c>
      <c r="J2452" s="108" t="str">
        <f t="shared" si="170"/>
        <v>1630177460</v>
      </c>
      <c r="K2452" s="304" t="str">
        <f t="shared" si="171"/>
        <v>62403091630177460119</v>
      </c>
      <c r="L2452" s="17"/>
      <c r="M2452" s="16"/>
    </row>
    <row r="2453" spans="1:13" s="16" customFormat="1" ht="78.75">
      <c r="A2453" s="14"/>
      <c r="B2453" s="148" t="s">
        <v>966</v>
      </c>
      <c r="C2453" s="109" t="s">
        <v>939</v>
      </c>
      <c r="D2453" s="108" t="s">
        <v>13</v>
      </c>
      <c r="E2453" s="108" t="s">
        <v>471</v>
      </c>
      <c r="F2453" s="108" t="s">
        <v>967</v>
      </c>
      <c r="G2453" s="108" t="s">
        <v>9</v>
      </c>
      <c r="H2453" s="126">
        <v>2201810</v>
      </c>
      <c r="I2453" s="108">
        <v>1630200000</v>
      </c>
      <c r="J2453" s="108" t="str">
        <f t="shared" si="170"/>
        <v>1630200000</v>
      </c>
      <c r="K2453" s="304" t="str">
        <f t="shared" si="171"/>
        <v>62403091630200000000</v>
      </c>
      <c r="L2453" s="17" t="str">
        <f>INDEX('реш СГД № 265'!$A:$N,MATCH('БА расх 2018 31 12 2018'!$K2453,'реш СГД № 265'!$N:$N,0),3)</f>
        <v>Основное мероприятие «Выполнение работ по установке и поддержанию в постоянной готовности линейных комплектов муниципальной системы оповещения и информирования населения о возникновении чрезвычайных ситуаций на территории города Ставрополя»</v>
      </c>
      <c r="M2453" s="16">
        <f t="shared" si="172"/>
        <v>1</v>
      </c>
    </row>
    <row r="2454" spans="1:13" s="16" customFormat="1" ht="63">
      <c r="A2454" s="14"/>
      <c r="B2454" s="148" t="s">
        <v>968</v>
      </c>
      <c r="C2454" s="109" t="s">
        <v>939</v>
      </c>
      <c r="D2454" s="108" t="s">
        <v>13</v>
      </c>
      <c r="E2454" s="108" t="s">
        <v>471</v>
      </c>
      <c r="F2454" s="108" t="s">
        <v>969</v>
      </c>
      <c r="G2454" s="108" t="s">
        <v>9</v>
      </c>
      <c r="H2454" s="126">
        <v>2201810</v>
      </c>
      <c r="I2454" s="108">
        <v>1630220690</v>
      </c>
      <c r="J2454" s="108" t="str">
        <f t="shared" si="170"/>
        <v>1630220690</v>
      </c>
      <c r="K2454" s="304" t="str">
        <f t="shared" si="171"/>
        <v>62403091630220690000</v>
      </c>
      <c r="L2454" s="17" t="str">
        <f>INDEX('реш СГД № 265'!$A:$N,MATCH('БА расх 2018 31 12 2018'!$K2454,'реш СГД № 265'!$N:$N,0),3)</f>
        <v>Расходы на реализацию мероприятий по обеспечению своевременного оповещения населения города Ставрополя об угрозе возникновения или о возникновении чрезвычайных ситуаций</v>
      </c>
      <c r="M2454" s="16">
        <f t="shared" si="172"/>
        <v>1</v>
      </c>
    </row>
    <row r="2455" spans="1:13" s="16" customFormat="1" ht="31.5">
      <c r="A2455" s="14"/>
      <c r="B2455" s="125" t="s">
        <v>28</v>
      </c>
      <c r="C2455" s="109" t="s">
        <v>939</v>
      </c>
      <c r="D2455" s="108" t="s">
        <v>13</v>
      </c>
      <c r="E2455" s="108" t="s">
        <v>471</v>
      </c>
      <c r="F2455" s="108" t="s">
        <v>969</v>
      </c>
      <c r="G2455" s="108" t="s">
        <v>29</v>
      </c>
      <c r="H2455" s="126">
        <v>2201810</v>
      </c>
      <c r="I2455" s="108">
        <v>1630220690</v>
      </c>
      <c r="J2455" s="108" t="str">
        <f t="shared" si="170"/>
        <v>1630220690</v>
      </c>
      <c r="K2455" s="304" t="str">
        <f t="shared" si="171"/>
        <v>62403091630220690240</v>
      </c>
      <c r="L2455" s="17" t="str">
        <f>INDEX('реш СГД № 265'!$A:$N,MATCH('БА расх 2018 31 12 2018'!$K2455,'реш СГД № 265'!$N:$N,0),3)</f>
        <v>Иные закупки товаров, работ и услуг для обеспечения государственных (муниципальных) нужд</v>
      </c>
      <c r="M2455" s="16">
        <f t="shared" si="172"/>
        <v>1</v>
      </c>
    </row>
    <row r="2456" spans="1:13" s="16" customFormat="1" ht="15.75">
      <c r="A2456" s="14"/>
      <c r="B2456" s="125" t="s">
        <v>30</v>
      </c>
      <c r="C2456" s="109" t="s">
        <v>939</v>
      </c>
      <c r="D2456" s="108" t="s">
        <v>13</v>
      </c>
      <c r="E2456" s="108" t="s">
        <v>471</v>
      </c>
      <c r="F2456" s="108" t="s">
        <v>969</v>
      </c>
      <c r="G2456" s="108" t="s">
        <v>31</v>
      </c>
      <c r="H2456" s="126">
        <v>2201810</v>
      </c>
      <c r="I2456" s="108">
        <v>1630220690</v>
      </c>
      <c r="J2456" s="108" t="str">
        <f t="shared" si="170"/>
        <v>1630220690</v>
      </c>
      <c r="K2456" s="304" t="str">
        <f t="shared" si="171"/>
        <v>62403091630220690244</v>
      </c>
      <c r="L2456" s="17"/>
    </row>
    <row r="2457" spans="1:13" s="16" customFormat="1" ht="94.5">
      <c r="A2457" s="14"/>
      <c r="B2457" s="148" t="s">
        <v>970</v>
      </c>
      <c r="C2457" s="109" t="s">
        <v>939</v>
      </c>
      <c r="D2457" s="108" t="s">
        <v>13</v>
      </c>
      <c r="E2457" s="108" t="s">
        <v>471</v>
      </c>
      <c r="F2457" s="108" t="s">
        <v>971</v>
      </c>
      <c r="G2457" s="108" t="s">
        <v>9</v>
      </c>
      <c r="H2457" s="126">
        <v>2686500</v>
      </c>
      <c r="I2457" s="108">
        <v>1630300000</v>
      </c>
      <c r="J2457" s="108" t="str">
        <f t="shared" si="170"/>
        <v>1630300000</v>
      </c>
      <c r="K2457" s="304" t="str">
        <f t="shared" si="171"/>
        <v>62403091630300000000</v>
      </c>
      <c r="L2457" s="17" t="str">
        <f>INDEX('реш СГД № 265'!$A:$N,MATCH('БА расх 2018 31 12 2018'!$K2457,'реш СГД № 265'!$N:$N,0),3)</f>
        <v>Основное мероприятие «Проектирование аппаратно-программного комплекса «Безопасный город» на территории города Ставрополя и построение сегмента обеспечения правопорядка и профилактики правонарушений, включая системы видеонаблюдения на территории города Ставрополя»</v>
      </c>
      <c r="M2457" s="16">
        <f t="shared" si="172"/>
        <v>1</v>
      </c>
    </row>
    <row r="2458" spans="1:13" s="16" customFormat="1" ht="47.25">
      <c r="A2458" s="14"/>
      <c r="B2458" s="148" t="s">
        <v>152</v>
      </c>
      <c r="C2458" s="109" t="s">
        <v>939</v>
      </c>
      <c r="D2458" s="108" t="s">
        <v>13</v>
      </c>
      <c r="E2458" s="108" t="s">
        <v>471</v>
      </c>
      <c r="F2458" s="108" t="s">
        <v>972</v>
      </c>
      <c r="G2458" s="108" t="s">
        <v>9</v>
      </c>
      <c r="H2458" s="126">
        <v>2686500</v>
      </c>
      <c r="I2458" s="108">
        <v>1630320350</v>
      </c>
      <c r="J2458" s="108" t="str">
        <f t="shared" si="170"/>
        <v>1630320350</v>
      </c>
      <c r="K2458" s="304" t="str">
        <f t="shared" si="171"/>
        <v>62403091630320350000</v>
      </c>
      <c r="L2458" s="17" t="str">
        <f>INDEX('реш СГД № 265'!$A:$N,MATCH('БА расх 2018 31 12 2018'!$K2458,'реш СГД № 265'!$N:$N,0),3)</f>
        <v>Расходы на реализацию мероприятий, направленных на повышение уровня безопасности жизнедеятельности города Ставрополя</v>
      </c>
      <c r="M2458" s="16">
        <f t="shared" si="172"/>
        <v>1</v>
      </c>
    </row>
    <row r="2459" spans="1:13" s="16" customFormat="1" ht="31.5">
      <c r="A2459" s="14"/>
      <c r="B2459" s="148" t="s">
        <v>28</v>
      </c>
      <c r="C2459" s="109" t="s">
        <v>939</v>
      </c>
      <c r="D2459" s="108" t="s">
        <v>13</v>
      </c>
      <c r="E2459" s="108" t="s">
        <v>471</v>
      </c>
      <c r="F2459" s="108" t="s">
        <v>972</v>
      </c>
      <c r="G2459" s="108" t="s">
        <v>29</v>
      </c>
      <c r="H2459" s="126">
        <v>2686500</v>
      </c>
      <c r="I2459" s="108">
        <v>1630320350</v>
      </c>
      <c r="J2459" s="108" t="str">
        <f t="shared" si="170"/>
        <v>1630320350</v>
      </c>
      <c r="K2459" s="304" t="str">
        <f t="shared" si="171"/>
        <v>62403091630320350240</v>
      </c>
      <c r="L2459" s="17" t="str">
        <f>INDEX('реш СГД № 265'!$A:$N,MATCH('БА расх 2018 31 12 2018'!$K2459,'реш СГД № 265'!$N:$N,0),3)</f>
        <v>Иные закупки товаров, работ и услуг для обеспечения государственных (муниципальных) нужд</v>
      </c>
      <c r="M2459" s="16">
        <f t="shared" si="172"/>
        <v>1</v>
      </c>
    </row>
    <row r="2460" spans="1:13" s="16" customFormat="1" ht="15.75">
      <c r="A2460" s="14"/>
      <c r="B2460" s="125" t="s">
        <v>30</v>
      </c>
      <c r="C2460" s="109" t="s">
        <v>939</v>
      </c>
      <c r="D2460" s="108" t="s">
        <v>13</v>
      </c>
      <c r="E2460" s="108" t="s">
        <v>471</v>
      </c>
      <c r="F2460" s="108" t="s">
        <v>972</v>
      </c>
      <c r="G2460" s="108" t="s">
        <v>31</v>
      </c>
      <c r="H2460" s="126">
        <v>2686500</v>
      </c>
      <c r="I2460" s="108">
        <v>1630320350</v>
      </c>
      <c r="J2460" s="108" t="str">
        <f t="shared" si="170"/>
        <v>1630320350</v>
      </c>
      <c r="K2460" s="304" t="str">
        <f t="shared" si="171"/>
        <v>62403091630320350244</v>
      </c>
      <c r="L2460" s="17"/>
    </row>
    <row r="2461" spans="1:13" s="16" customFormat="1" ht="78.75">
      <c r="A2461" s="14"/>
      <c r="B2461" s="148" t="s">
        <v>973</v>
      </c>
      <c r="C2461" s="109" t="s">
        <v>939</v>
      </c>
      <c r="D2461" s="108" t="s">
        <v>13</v>
      </c>
      <c r="E2461" s="108" t="s">
        <v>471</v>
      </c>
      <c r="F2461" s="108" t="s">
        <v>974</v>
      </c>
      <c r="G2461" s="108" t="s">
        <v>9</v>
      </c>
      <c r="H2461" s="126">
        <v>700525.5</v>
      </c>
      <c r="I2461" s="108">
        <v>1630400000</v>
      </c>
      <c r="J2461" s="108" t="str">
        <f t="shared" si="170"/>
        <v>1630400000</v>
      </c>
      <c r="K2461" s="304" t="str">
        <f t="shared" si="171"/>
        <v>62403091630400000000</v>
      </c>
      <c r="L2461" s="17" t="str">
        <f>INDEX('реш СГД № 265'!$A:$N,MATCH('БА расх 2018 31 12 2018'!$K2461,'реш СГД № 265'!$N:$N,0),3)</f>
        <v>Основное мероприятие «Развитие Центра технического обеспечения муниципального казенного учреждения «Единая дежурно-диспетчерская служба» города Ставрополя по ведению мониторинга состояния объектов с массовым пребыванием людей»</v>
      </c>
      <c r="M2461" s="16">
        <f t="shared" si="172"/>
        <v>1</v>
      </c>
    </row>
    <row r="2462" spans="1:13" s="16" customFormat="1" ht="47.25">
      <c r="A2462" s="14"/>
      <c r="B2462" s="148" t="s">
        <v>152</v>
      </c>
      <c r="C2462" s="109" t="s">
        <v>939</v>
      </c>
      <c r="D2462" s="108" t="s">
        <v>13</v>
      </c>
      <c r="E2462" s="108" t="s">
        <v>471</v>
      </c>
      <c r="F2462" s="108" t="s">
        <v>975</v>
      </c>
      <c r="G2462" s="108" t="s">
        <v>9</v>
      </c>
      <c r="H2462" s="126">
        <v>700525.5</v>
      </c>
      <c r="I2462" s="108">
        <v>1630420350</v>
      </c>
      <c r="J2462" s="108" t="str">
        <f t="shared" si="170"/>
        <v>1630420350</v>
      </c>
      <c r="K2462" s="304" t="str">
        <f t="shared" si="171"/>
        <v>62403091630420350000</v>
      </c>
      <c r="L2462" s="17" t="str">
        <f>INDEX('реш СГД № 265'!$A:$N,MATCH('БА расх 2018 31 12 2018'!$K2462,'реш СГД № 265'!$N:$N,0),3)</f>
        <v>Расходы на реализацию мероприятий, направленных на повышение уровня безопасности жизнедеятельности города Ставрополя</v>
      </c>
      <c r="M2462" s="16">
        <f t="shared" si="172"/>
        <v>1</v>
      </c>
    </row>
    <row r="2463" spans="1:13" s="16" customFormat="1" ht="31.5">
      <c r="A2463" s="14"/>
      <c r="B2463" s="148" t="s">
        <v>28</v>
      </c>
      <c r="C2463" s="109" t="s">
        <v>939</v>
      </c>
      <c r="D2463" s="108" t="s">
        <v>13</v>
      </c>
      <c r="E2463" s="108" t="s">
        <v>471</v>
      </c>
      <c r="F2463" s="108" t="s">
        <v>975</v>
      </c>
      <c r="G2463" s="108" t="s">
        <v>29</v>
      </c>
      <c r="H2463" s="126">
        <v>700525.5</v>
      </c>
      <c r="I2463" s="108">
        <v>1630420350</v>
      </c>
      <c r="J2463" s="108" t="str">
        <f t="shared" si="170"/>
        <v>1630420350</v>
      </c>
      <c r="K2463" s="304" t="str">
        <f t="shared" si="171"/>
        <v>62403091630420350240</v>
      </c>
      <c r="L2463" s="17" t="str">
        <f>INDEX('реш СГД № 265'!$A:$N,MATCH('БА расх 2018 31 12 2018'!$K2463,'реш СГД № 265'!$N:$N,0),3)</f>
        <v>Иные закупки товаров, работ и услуг для обеспечения государственных (муниципальных) нужд</v>
      </c>
      <c r="M2463" s="16">
        <f t="shared" si="172"/>
        <v>1</v>
      </c>
    </row>
    <row r="2464" spans="1:13" s="16" customFormat="1" ht="15.75">
      <c r="A2464" s="14"/>
      <c r="B2464" s="125" t="s">
        <v>30</v>
      </c>
      <c r="C2464" s="109" t="s">
        <v>939</v>
      </c>
      <c r="D2464" s="108" t="s">
        <v>13</v>
      </c>
      <c r="E2464" s="108" t="s">
        <v>471</v>
      </c>
      <c r="F2464" s="108" t="s">
        <v>975</v>
      </c>
      <c r="G2464" s="108" t="s">
        <v>31</v>
      </c>
      <c r="H2464" s="126">
        <v>700525.5</v>
      </c>
      <c r="I2464" s="108">
        <v>1630420350</v>
      </c>
      <c r="J2464" s="108" t="str">
        <f t="shared" si="170"/>
        <v>1630420350</v>
      </c>
      <c r="K2464" s="304" t="str">
        <f t="shared" si="171"/>
        <v>62403091630420350244</v>
      </c>
      <c r="L2464" s="17"/>
    </row>
    <row r="2465" spans="1:13" s="16" customFormat="1" ht="47.25">
      <c r="A2465" s="14"/>
      <c r="B2465" s="147" t="s">
        <v>976</v>
      </c>
      <c r="C2465" s="109" t="s">
        <v>939</v>
      </c>
      <c r="D2465" s="108" t="s">
        <v>13</v>
      </c>
      <c r="E2465" s="108" t="s">
        <v>471</v>
      </c>
      <c r="F2465" s="108" t="s">
        <v>977</v>
      </c>
      <c r="G2465" s="108" t="s">
        <v>9</v>
      </c>
      <c r="H2465" s="126">
        <v>15764830.119999999</v>
      </c>
      <c r="I2465" s="108">
        <v>8500000000</v>
      </c>
      <c r="J2465" s="108" t="str">
        <f t="shared" si="170"/>
        <v>8500000000</v>
      </c>
      <c r="K2465" s="304" t="str">
        <f t="shared" si="171"/>
        <v>62403098500000000000</v>
      </c>
      <c r="L2465" s="17" t="str">
        <f>INDEX('реш СГД № 265'!$A:$N,MATCH('БА расх 2018 31 12 2018'!$K2465,'реш СГД № 265'!$N:$N,0),3)</f>
        <v>Обеспечение деятельности комитета по делам гражданской обороны и чрезвычайным ситуациям администрации города Ставрополя</v>
      </c>
      <c r="M2465" s="16">
        <f t="shared" si="172"/>
        <v>1</v>
      </c>
    </row>
    <row r="2466" spans="1:13" s="66" customFormat="1" ht="47.25">
      <c r="A2466" s="65"/>
      <c r="B2466" s="125" t="s">
        <v>978</v>
      </c>
      <c r="C2466" s="109" t="s">
        <v>939</v>
      </c>
      <c r="D2466" s="108" t="s">
        <v>13</v>
      </c>
      <c r="E2466" s="108" t="s">
        <v>471</v>
      </c>
      <c r="F2466" s="108" t="s">
        <v>979</v>
      </c>
      <c r="G2466" s="108" t="s">
        <v>9</v>
      </c>
      <c r="H2466" s="126">
        <v>15764830.119999999</v>
      </c>
      <c r="I2466" s="108">
        <v>8510000000</v>
      </c>
      <c r="J2466" s="108" t="str">
        <f t="shared" si="170"/>
        <v>8510000000</v>
      </c>
      <c r="K2466" s="304" t="str">
        <f t="shared" si="171"/>
        <v>62403098510000000000</v>
      </c>
      <c r="L2466" s="17" t="str">
        <f>INDEX('реш СГД № 265'!$A:$N,MATCH('БА расх 2018 31 12 2018'!$K2466,'реш СГД № 265'!$N:$N,0),3)</f>
        <v>Непрограммные расходы в рамках обеспечения деятельности комитета по делам гражданской обороны и чрезвычайным ситуациям администрации города Ставрополя</v>
      </c>
      <c r="M2466" s="16">
        <f t="shared" si="172"/>
        <v>1</v>
      </c>
    </row>
    <row r="2467" spans="1:13" s="16" customFormat="1" ht="31.5">
      <c r="A2467" s="14"/>
      <c r="B2467" s="148" t="s">
        <v>18</v>
      </c>
      <c r="C2467" s="109" t="s">
        <v>939</v>
      </c>
      <c r="D2467" s="108" t="s">
        <v>13</v>
      </c>
      <c r="E2467" s="108" t="s">
        <v>471</v>
      </c>
      <c r="F2467" s="108" t="s">
        <v>980</v>
      </c>
      <c r="G2467" s="108" t="s">
        <v>9</v>
      </c>
      <c r="H2467" s="126">
        <v>1645218</v>
      </c>
      <c r="I2467" s="108">
        <v>8510010010</v>
      </c>
      <c r="J2467" s="108" t="str">
        <f t="shared" si="170"/>
        <v>8510010010</v>
      </c>
      <c r="K2467" s="304" t="str">
        <f t="shared" si="171"/>
        <v>62403098510010010000</v>
      </c>
      <c r="L2467" s="17" t="str">
        <f>INDEX('реш СГД № 265'!$A:$N,MATCH('БА расх 2018 31 12 2018'!$K2467,'реш СГД № 265'!$N:$N,0),3)</f>
        <v>Расходы на обеспечение функций органов местного самоуправления города Ставрополя</v>
      </c>
      <c r="M2467" s="16">
        <f t="shared" si="172"/>
        <v>1</v>
      </c>
    </row>
    <row r="2468" spans="1:13" s="16" customFormat="1" ht="31.5">
      <c r="A2468" s="14"/>
      <c r="B2468" s="125" t="s">
        <v>20</v>
      </c>
      <c r="C2468" s="109" t="s">
        <v>939</v>
      </c>
      <c r="D2468" s="108" t="s">
        <v>13</v>
      </c>
      <c r="E2468" s="108" t="s">
        <v>471</v>
      </c>
      <c r="F2468" s="108" t="s">
        <v>980</v>
      </c>
      <c r="G2468" s="108" t="s">
        <v>21</v>
      </c>
      <c r="H2468" s="126">
        <v>379675.09</v>
      </c>
      <c r="I2468" s="108">
        <v>8510010010</v>
      </c>
      <c r="J2468" s="108" t="str">
        <f t="shared" si="170"/>
        <v>8510010010</v>
      </c>
      <c r="K2468" s="304" t="str">
        <f t="shared" si="171"/>
        <v>62403098510010010120</v>
      </c>
      <c r="L2468" s="17" t="str">
        <f>INDEX('реш СГД № 265'!$A:$N,MATCH('БА расх 2018 31 12 2018'!$K2468,'реш СГД № 265'!$N:$N,0),3)</f>
        <v>Расходы на выплаты персоналу государственных (муниципальных) органов</v>
      </c>
      <c r="M2468" s="16">
        <f t="shared" si="172"/>
        <v>1</v>
      </c>
    </row>
    <row r="2469" spans="1:13" s="16" customFormat="1" ht="31.5">
      <c r="A2469" s="14"/>
      <c r="B2469" s="125" t="s">
        <v>22</v>
      </c>
      <c r="C2469" s="109" t="s">
        <v>939</v>
      </c>
      <c r="D2469" s="108" t="s">
        <v>13</v>
      </c>
      <c r="E2469" s="108" t="s">
        <v>471</v>
      </c>
      <c r="F2469" s="108" t="s">
        <v>980</v>
      </c>
      <c r="G2469" s="108" t="s">
        <v>23</v>
      </c>
      <c r="H2469" s="126">
        <v>291683.52</v>
      </c>
      <c r="I2469" s="108">
        <v>8510010010</v>
      </c>
      <c r="J2469" s="108" t="str">
        <f t="shared" si="170"/>
        <v>8510010010</v>
      </c>
      <c r="K2469" s="304" t="str">
        <f t="shared" si="171"/>
        <v>62403098510010010122</v>
      </c>
      <c r="L2469" s="17"/>
    </row>
    <row r="2470" spans="1:13" s="16" customFormat="1" ht="47.25">
      <c r="A2470" s="14"/>
      <c r="B2470" s="125" t="s">
        <v>26</v>
      </c>
      <c r="C2470" s="109" t="s">
        <v>939</v>
      </c>
      <c r="D2470" s="108" t="s">
        <v>13</v>
      </c>
      <c r="E2470" s="108" t="s">
        <v>471</v>
      </c>
      <c r="F2470" s="108" t="s">
        <v>980</v>
      </c>
      <c r="G2470" s="108" t="s">
        <v>27</v>
      </c>
      <c r="H2470" s="126">
        <v>87991.57</v>
      </c>
      <c r="I2470" s="108">
        <v>8510010010</v>
      </c>
      <c r="J2470" s="108" t="str">
        <f t="shared" si="170"/>
        <v>8510010010</v>
      </c>
      <c r="K2470" s="304" t="str">
        <f t="shared" si="171"/>
        <v>62403098510010010129</v>
      </c>
      <c r="L2470" s="17"/>
    </row>
    <row r="2471" spans="1:13" s="16" customFormat="1" ht="31.5">
      <c r="A2471" s="14"/>
      <c r="B2471" s="125" t="s">
        <v>28</v>
      </c>
      <c r="C2471" s="109" t="s">
        <v>939</v>
      </c>
      <c r="D2471" s="108" t="s">
        <v>13</v>
      </c>
      <c r="E2471" s="108" t="s">
        <v>471</v>
      </c>
      <c r="F2471" s="108" t="s">
        <v>980</v>
      </c>
      <c r="G2471" s="108" t="s">
        <v>29</v>
      </c>
      <c r="H2471" s="126">
        <v>1255763.72</v>
      </c>
      <c r="I2471" s="108">
        <v>8510010010</v>
      </c>
      <c r="J2471" s="108" t="str">
        <f t="shared" si="170"/>
        <v>8510010010</v>
      </c>
      <c r="K2471" s="304" t="str">
        <f t="shared" si="171"/>
        <v>62403098510010010240</v>
      </c>
      <c r="L2471" s="17" t="str">
        <f>INDEX('реш СГД № 265'!$A:$N,MATCH('БА расх 2018 31 12 2018'!$K2471,'реш СГД № 265'!$N:$N,0),3)</f>
        <v>Иные закупки товаров, работ и услуг для обеспечения государственных (муниципальных) нужд</v>
      </c>
      <c r="M2471" s="16">
        <f t="shared" si="172"/>
        <v>1</v>
      </c>
    </row>
    <row r="2472" spans="1:13" s="16" customFormat="1" ht="15.75">
      <c r="A2472" s="14"/>
      <c r="B2472" s="125" t="s">
        <v>30</v>
      </c>
      <c r="C2472" s="109" t="s">
        <v>939</v>
      </c>
      <c r="D2472" s="108" t="s">
        <v>13</v>
      </c>
      <c r="E2472" s="108" t="s">
        <v>471</v>
      </c>
      <c r="F2472" s="108" t="s">
        <v>980</v>
      </c>
      <c r="G2472" s="108" t="s">
        <v>31</v>
      </c>
      <c r="H2472" s="126">
        <v>1255763.72</v>
      </c>
      <c r="I2472" s="108">
        <v>8510010010</v>
      </c>
      <c r="J2472" s="108" t="str">
        <f t="shared" si="170"/>
        <v>8510010010</v>
      </c>
      <c r="K2472" s="304" t="str">
        <f t="shared" si="171"/>
        <v>62403098510010010244</v>
      </c>
      <c r="L2472" s="17"/>
    </row>
    <row r="2473" spans="1:13" s="16" customFormat="1" ht="15.75">
      <c r="A2473" s="14"/>
      <c r="B2473" s="125" t="s">
        <v>32</v>
      </c>
      <c r="C2473" s="109" t="s">
        <v>939</v>
      </c>
      <c r="D2473" s="108" t="s">
        <v>13</v>
      </c>
      <c r="E2473" s="108" t="s">
        <v>471</v>
      </c>
      <c r="F2473" s="108" t="s">
        <v>980</v>
      </c>
      <c r="G2473" s="108" t="s">
        <v>33</v>
      </c>
      <c r="H2473" s="126">
        <v>9779.19</v>
      </c>
      <c r="I2473" s="108">
        <v>8510010010</v>
      </c>
      <c r="J2473" s="108" t="str">
        <f t="shared" si="170"/>
        <v>8510010010</v>
      </c>
      <c r="K2473" s="304" t="str">
        <f t="shared" si="171"/>
        <v>62403098510010010850</v>
      </c>
      <c r="L2473" s="17" t="str">
        <f>INDEX('реш СГД № 265'!$A:$N,MATCH('БА расх 2018 31 12 2018'!$K2473,'реш СГД № 265'!$N:$N,0),3)</f>
        <v>Уплата налогов, сборов и иных платежей</v>
      </c>
      <c r="M2473" s="16">
        <f t="shared" si="172"/>
        <v>1</v>
      </c>
    </row>
    <row r="2474" spans="1:13" s="16" customFormat="1" ht="31.5">
      <c r="A2474" s="14"/>
      <c r="B2474" s="125" t="s">
        <v>34</v>
      </c>
      <c r="C2474" s="109" t="s">
        <v>939</v>
      </c>
      <c r="D2474" s="108" t="s">
        <v>13</v>
      </c>
      <c r="E2474" s="108" t="s">
        <v>471</v>
      </c>
      <c r="F2474" s="108" t="s">
        <v>980</v>
      </c>
      <c r="G2474" s="108">
        <v>851</v>
      </c>
      <c r="H2474" s="126">
        <v>9777</v>
      </c>
      <c r="I2474" s="108">
        <v>8510010010</v>
      </c>
      <c r="J2474" s="108" t="str">
        <f t="shared" si="170"/>
        <v>8510010010</v>
      </c>
      <c r="K2474" s="304" t="str">
        <f t="shared" si="171"/>
        <v>62403098510010010851</v>
      </c>
      <c r="L2474" s="17"/>
    </row>
    <row r="2475" spans="1:13" s="16" customFormat="1" ht="15.75">
      <c r="A2475" s="14"/>
      <c r="B2475" s="125" t="s">
        <v>77</v>
      </c>
      <c r="C2475" s="109" t="s">
        <v>939</v>
      </c>
      <c r="D2475" s="108" t="s">
        <v>13</v>
      </c>
      <c r="E2475" s="108" t="s">
        <v>471</v>
      </c>
      <c r="F2475" s="108" t="s">
        <v>980</v>
      </c>
      <c r="G2475" s="108" t="s">
        <v>78</v>
      </c>
      <c r="H2475" s="126">
        <v>2.19</v>
      </c>
      <c r="I2475" s="108">
        <v>8510010010</v>
      </c>
      <c r="J2475" s="108" t="str">
        <f t="shared" si="170"/>
        <v>8510010010</v>
      </c>
      <c r="K2475" s="304" t="str">
        <f t="shared" si="171"/>
        <v>62403098510010010853</v>
      </c>
      <c r="L2475" s="17"/>
    </row>
    <row r="2476" spans="1:13" s="16" customFormat="1" ht="31.5">
      <c r="A2476" s="14"/>
      <c r="B2476" s="148" t="s">
        <v>38</v>
      </c>
      <c r="C2476" s="109" t="s">
        <v>939</v>
      </c>
      <c r="D2476" s="108" t="s">
        <v>13</v>
      </c>
      <c r="E2476" s="108" t="s">
        <v>471</v>
      </c>
      <c r="F2476" s="108" t="s">
        <v>981</v>
      </c>
      <c r="G2476" s="108" t="s">
        <v>9</v>
      </c>
      <c r="H2476" s="126">
        <v>13657832.279999999</v>
      </c>
      <c r="I2476" s="108">
        <v>8510010020</v>
      </c>
      <c r="J2476" s="108" t="str">
        <f t="shared" si="170"/>
        <v>8510010020</v>
      </c>
      <c r="K2476" s="304" t="str">
        <f t="shared" si="171"/>
        <v>62403098510010020000</v>
      </c>
      <c r="L2476" s="17" t="str">
        <f>INDEX('реш СГД № 265'!$A:$N,MATCH('БА расх 2018 31 12 2018'!$K2476,'реш СГД № 265'!$N:$N,0),3)</f>
        <v>Расходы на выплаты по оплате труда работников органов местного самоуправления города Ставрополя</v>
      </c>
      <c r="M2476" s="16">
        <f t="shared" si="172"/>
        <v>1</v>
      </c>
    </row>
    <row r="2477" spans="1:13" s="16" customFormat="1" ht="31.5">
      <c r="A2477" s="14"/>
      <c r="B2477" s="125" t="s">
        <v>20</v>
      </c>
      <c r="C2477" s="109" t="s">
        <v>939</v>
      </c>
      <c r="D2477" s="108" t="s">
        <v>13</v>
      </c>
      <c r="E2477" s="108" t="s">
        <v>471</v>
      </c>
      <c r="F2477" s="108" t="s">
        <v>981</v>
      </c>
      <c r="G2477" s="108" t="s">
        <v>21</v>
      </c>
      <c r="H2477" s="126">
        <v>13657832.279999999</v>
      </c>
      <c r="I2477" s="108">
        <v>8510010020</v>
      </c>
      <c r="J2477" s="108" t="str">
        <f t="shared" si="170"/>
        <v>8510010020</v>
      </c>
      <c r="K2477" s="304" t="str">
        <f t="shared" si="171"/>
        <v>62403098510010020120</v>
      </c>
      <c r="L2477" s="17" t="str">
        <f>INDEX('реш СГД № 265'!$A:$N,MATCH('БА расх 2018 31 12 2018'!$K2477,'реш СГД № 265'!$N:$N,0),3)</f>
        <v>Расходы на выплаты персоналу государственных (муниципальных) органов</v>
      </c>
      <c r="M2477" s="16">
        <f t="shared" si="172"/>
        <v>1</v>
      </c>
    </row>
    <row r="2478" spans="1:13" s="23" customFormat="1" ht="31.5">
      <c r="A2478" s="21"/>
      <c r="B2478" s="127" t="s">
        <v>40</v>
      </c>
      <c r="C2478" s="109" t="s">
        <v>939</v>
      </c>
      <c r="D2478" s="108" t="s">
        <v>13</v>
      </c>
      <c r="E2478" s="108" t="s">
        <v>471</v>
      </c>
      <c r="F2478" s="108" t="s">
        <v>981</v>
      </c>
      <c r="G2478" s="108" t="s">
        <v>41</v>
      </c>
      <c r="H2478" s="126">
        <v>10531994.34</v>
      </c>
      <c r="I2478" s="108">
        <v>8510010020</v>
      </c>
      <c r="J2478" s="108" t="str">
        <f t="shared" si="170"/>
        <v>8510010020</v>
      </c>
      <c r="K2478" s="304" t="str">
        <f t="shared" si="171"/>
        <v>62403098510010020121</v>
      </c>
      <c r="L2478" s="17"/>
      <c r="M2478" s="16"/>
    </row>
    <row r="2479" spans="1:13" s="23" customFormat="1" ht="47.25">
      <c r="A2479" s="21"/>
      <c r="B2479" s="127" t="s">
        <v>26</v>
      </c>
      <c r="C2479" s="109" t="s">
        <v>939</v>
      </c>
      <c r="D2479" s="108" t="s">
        <v>13</v>
      </c>
      <c r="E2479" s="108" t="s">
        <v>471</v>
      </c>
      <c r="F2479" s="108" t="s">
        <v>981</v>
      </c>
      <c r="G2479" s="108" t="s">
        <v>27</v>
      </c>
      <c r="H2479" s="126">
        <v>3125837.94</v>
      </c>
      <c r="I2479" s="108">
        <v>8510010020</v>
      </c>
      <c r="J2479" s="108" t="str">
        <f t="shared" si="170"/>
        <v>8510010020</v>
      </c>
      <c r="K2479" s="304" t="str">
        <f t="shared" si="171"/>
        <v>62403098510010020129</v>
      </c>
      <c r="L2479" s="17"/>
      <c r="M2479" s="16"/>
    </row>
    <row r="2480" spans="1:13" s="23" customFormat="1" ht="267.75">
      <c r="A2480" s="21"/>
      <c r="B2480" s="125" t="s">
        <v>2269</v>
      </c>
      <c r="C2480" s="109" t="s">
        <v>939</v>
      </c>
      <c r="D2480" s="108" t="s">
        <v>13</v>
      </c>
      <c r="E2480" s="108" t="s">
        <v>471</v>
      </c>
      <c r="F2480" s="108" t="s">
        <v>1371</v>
      </c>
      <c r="G2480" s="108" t="s">
        <v>9</v>
      </c>
      <c r="H2480" s="126">
        <v>461779.83999999997</v>
      </c>
      <c r="I2480" s="108">
        <v>8510077460</v>
      </c>
      <c r="J2480" s="108" t="str">
        <f t="shared" si="170"/>
        <v>8510077460</v>
      </c>
      <c r="K2480" s="304" t="str">
        <f t="shared" si="171"/>
        <v>62403098510077460000</v>
      </c>
      <c r="L2480" s="132" t="str">
        <f>INDEX('реш СГД № 265'!$A:$N,MATCH('БА расх 2018 31 12 2018'!$K2480,'реш СГД № 265'!$N:$N,0),3)</f>
        <v>Субсидии на компенсацию расходов по повышению заработной платы муниципальных служащих муниципальной службы и лиц, не замещающих должности муниципальной службы и исполняющих обязанности по техническому обеспечению деятельности органов местного самоуправления муниципальных образований, а также работников муниципальных учреждений, за исключением отдельных категорий работников муниципальных учреждений, которым повышение заработной платы осуществляется в соответствии с указами Президента Российской Федерации от 7 мая 2012 года № 597 «О мероприятиях по реализации государственной социальной политики», от 1 июня 2012 года № 761 «О Национальной стратегии действий в интересах детей на 2012 - 2017 годы» и от 28 декабря 2012 года № 1688 «О некоторых мерах по реализации государственной политики в сфере защиты детей-сирот и детей, оставшихся без попечения родителей»</v>
      </c>
      <c r="M2480" s="17">
        <f t="shared" si="172"/>
        <v>1</v>
      </c>
    </row>
    <row r="2481" spans="1:13" s="23" customFormat="1" ht="31.5">
      <c r="A2481" s="21"/>
      <c r="B2481" s="164" t="s">
        <v>20</v>
      </c>
      <c r="C2481" s="109" t="s">
        <v>939</v>
      </c>
      <c r="D2481" s="108" t="s">
        <v>13</v>
      </c>
      <c r="E2481" s="108" t="s">
        <v>471</v>
      </c>
      <c r="F2481" s="108" t="s">
        <v>1371</v>
      </c>
      <c r="G2481" s="108" t="s">
        <v>21</v>
      </c>
      <c r="H2481" s="126">
        <v>461779.83999999997</v>
      </c>
      <c r="I2481" s="108">
        <v>8510077460</v>
      </c>
      <c r="J2481" s="108" t="str">
        <f t="shared" si="170"/>
        <v>8510077460</v>
      </c>
      <c r="K2481" s="304" t="str">
        <f t="shared" ref="K2481:K2536" si="173">C2481&amp;D2481&amp;E2481&amp;J2481&amp;G2481</f>
        <v>62403098510077460120</v>
      </c>
      <c r="L2481" s="17" t="str">
        <f>INDEX('реш СГД № 265'!$A:$N,MATCH('БА расх 2018 31 12 2018'!$K2481,'реш СГД № 265'!$N:$N,0),3)</f>
        <v>Расходы на выплаты персоналу государственных (муниципальных) органов</v>
      </c>
      <c r="M2481" s="16">
        <f t="shared" si="172"/>
        <v>1</v>
      </c>
    </row>
    <row r="2482" spans="1:13" s="23" customFormat="1" ht="31.5">
      <c r="A2482" s="21"/>
      <c r="B2482" s="127" t="s">
        <v>40</v>
      </c>
      <c r="C2482" s="109" t="s">
        <v>939</v>
      </c>
      <c r="D2482" s="108" t="s">
        <v>13</v>
      </c>
      <c r="E2482" s="108" t="s">
        <v>471</v>
      </c>
      <c r="F2482" s="108" t="s">
        <v>1371</v>
      </c>
      <c r="G2482" s="108" t="s">
        <v>41</v>
      </c>
      <c r="H2482" s="126">
        <v>354669.61</v>
      </c>
      <c r="I2482" s="108">
        <v>8510077460</v>
      </c>
      <c r="J2482" s="108" t="str">
        <f t="shared" ref="J2482:J2536" si="174">TEXT(I2482,"0000000000")</f>
        <v>8510077460</v>
      </c>
      <c r="K2482" s="304" t="str">
        <f t="shared" si="173"/>
        <v>62403098510077460121</v>
      </c>
      <c r="L2482" s="17"/>
      <c r="M2482" s="16"/>
    </row>
    <row r="2483" spans="1:13" s="23" customFormat="1" ht="47.25">
      <c r="A2483" s="21"/>
      <c r="B2483" s="127" t="s">
        <v>26</v>
      </c>
      <c r="C2483" s="109" t="s">
        <v>939</v>
      </c>
      <c r="D2483" s="108" t="s">
        <v>13</v>
      </c>
      <c r="E2483" s="108" t="s">
        <v>471</v>
      </c>
      <c r="F2483" s="108" t="s">
        <v>1371</v>
      </c>
      <c r="G2483" s="108" t="s">
        <v>27</v>
      </c>
      <c r="H2483" s="126">
        <v>107110.23</v>
      </c>
      <c r="I2483" s="108">
        <v>8510077460</v>
      </c>
      <c r="J2483" s="108" t="str">
        <f t="shared" si="174"/>
        <v>8510077460</v>
      </c>
      <c r="K2483" s="304" t="str">
        <f t="shared" si="173"/>
        <v>62403098510077460129</v>
      </c>
      <c r="L2483" s="17"/>
      <c r="M2483" s="16"/>
    </row>
    <row r="2484" spans="1:13" s="16" customFormat="1" ht="15.75">
      <c r="A2484" s="14"/>
      <c r="B2484" s="125"/>
      <c r="C2484" s="109"/>
      <c r="D2484" s="108"/>
      <c r="E2484" s="108"/>
      <c r="F2484" s="108"/>
      <c r="G2484" s="108"/>
      <c r="H2484" s="126"/>
      <c r="I2484" s="108"/>
      <c r="J2484" s="108" t="str">
        <f t="shared" si="174"/>
        <v>0000000000</v>
      </c>
      <c r="K2484" s="304" t="str">
        <f t="shared" si="173"/>
        <v>0000000000</v>
      </c>
      <c r="L2484" s="17">
        <f>INDEX('реш СГД № 265'!$A:$N,MATCH('БА расх 2018 31 12 2018'!$K2484,'реш СГД № 265'!$N:$N,0),3)</f>
        <v>0</v>
      </c>
      <c r="M2484" s="16">
        <f t="shared" ref="M2484:M2536" si="175">IF(B2484=L2484,1,0)</f>
        <v>1</v>
      </c>
    </row>
    <row r="2485" spans="1:13" s="16" customFormat="1" ht="15.75">
      <c r="A2485" s="14"/>
      <c r="B2485" s="67" t="s">
        <v>982</v>
      </c>
      <c r="C2485" s="116" t="s">
        <v>983</v>
      </c>
      <c r="D2485" s="69" t="s">
        <v>7</v>
      </c>
      <c r="E2485" s="69" t="s">
        <v>7</v>
      </c>
      <c r="F2485" s="69" t="s">
        <v>8</v>
      </c>
      <c r="G2485" s="69" t="s">
        <v>9</v>
      </c>
      <c r="H2485" s="70">
        <v>14782712.110000001</v>
      </c>
      <c r="I2485" s="69">
        <v>0</v>
      </c>
      <c r="J2485" s="69" t="str">
        <f t="shared" si="174"/>
        <v>0000000000</v>
      </c>
      <c r="K2485" s="304" t="str">
        <f t="shared" si="173"/>
        <v>64300000000000000000</v>
      </c>
      <c r="L2485" s="17" t="str">
        <f>INDEX('реш СГД № 265'!$A:$N,MATCH('БА расх 2018 31 12 2018'!$K2485,'реш СГД № 265'!$N:$N,0),3)</f>
        <v>Контрольно-счетная палата города Ставрополя</v>
      </c>
      <c r="M2485" s="16">
        <f t="shared" si="175"/>
        <v>1</v>
      </c>
    </row>
    <row r="2486" spans="1:13" s="16" customFormat="1" ht="15.75">
      <c r="A2486" s="14"/>
      <c r="B2486" s="117" t="s">
        <v>10</v>
      </c>
      <c r="C2486" s="118" t="s">
        <v>983</v>
      </c>
      <c r="D2486" s="119" t="s">
        <v>11</v>
      </c>
      <c r="E2486" s="119" t="s">
        <v>7</v>
      </c>
      <c r="F2486" s="119" t="s">
        <v>8</v>
      </c>
      <c r="G2486" s="119" t="s">
        <v>9</v>
      </c>
      <c r="H2486" s="120">
        <v>14782712.110000001</v>
      </c>
      <c r="I2486" s="119">
        <v>0</v>
      </c>
      <c r="J2486" s="119" t="str">
        <f t="shared" si="174"/>
        <v>0000000000</v>
      </c>
      <c r="K2486" s="304" t="str">
        <f t="shared" si="173"/>
        <v>64301000000000000000</v>
      </c>
      <c r="L2486" s="17" t="str">
        <f>INDEX('реш СГД № 265'!$A:$N,MATCH('БА расх 2018 31 12 2018'!$K2486,'реш СГД № 265'!$N:$N,0),3)</f>
        <v>Общегосударственные вопросы</v>
      </c>
      <c r="M2486" s="16">
        <f t="shared" si="175"/>
        <v>1</v>
      </c>
    </row>
    <row r="2487" spans="1:13" s="16" customFormat="1" ht="47.25">
      <c r="A2487" s="14"/>
      <c r="B2487" s="121" t="s">
        <v>333</v>
      </c>
      <c r="C2487" s="122" t="s">
        <v>983</v>
      </c>
      <c r="D2487" s="123" t="s">
        <v>11</v>
      </c>
      <c r="E2487" s="123" t="s">
        <v>334</v>
      </c>
      <c r="F2487" s="123" t="s">
        <v>8</v>
      </c>
      <c r="G2487" s="123" t="s">
        <v>9</v>
      </c>
      <c r="H2487" s="124">
        <v>14782712.110000001</v>
      </c>
      <c r="I2487" s="123">
        <v>0</v>
      </c>
      <c r="J2487" s="123" t="str">
        <f t="shared" si="174"/>
        <v>0000000000</v>
      </c>
      <c r="K2487" s="304" t="str">
        <f t="shared" si="173"/>
        <v>64301060000000000000</v>
      </c>
      <c r="L2487" s="17" t="str">
        <f>INDEX('реш СГД № 265'!$A:$N,MATCH('БА расх 2018 31 12 2018'!$K2487,'реш СГД № 265'!$N:$N,0),3)</f>
        <v>Обеспечение деятельности финансовых, налоговых и таможенных органов и органов финансового (финансово-бюджетного) надзора</v>
      </c>
      <c r="M2487" s="16">
        <f t="shared" si="175"/>
        <v>1</v>
      </c>
    </row>
    <row r="2488" spans="1:13" s="16" customFormat="1" ht="31.5">
      <c r="A2488" s="14"/>
      <c r="B2488" s="129" t="s">
        <v>984</v>
      </c>
      <c r="C2488" s="109" t="s">
        <v>983</v>
      </c>
      <c r="D2488" s="108" t="s">
        <v>11</v>
      </c>
      <c r="E2488" s="108" t="s">
        <v>334</v>
      </c>
      <c r="F2488" s="108" t="s">
        <v>985</v>
      </c>
      <c r="G2488" s="108" t="s">
        <v>9</v>
      </c>
      <c r="H2488" s="126">
        <v>14782712.110000001</v>
      </c>
      <c r="I2488" s="108">
        <v>8600000000</v>
      </c>
      <c r="J2488" s="108" t="str">
        <f t="shared" si="174"/>
        <v>8600000000</v>
      </c>
      <c r="K2488" s="304" t="str">
        <f t="shared" si="173"/>
        <v>64301068600000000000</v>
      </c>
      <c r="L2488" s="17" t="str">
        <f>INDEX('реш СГД № 265'!$A:$N,MATCH('БА расх 2018 31 12 2018'!$K2488,'реш СГД № 265'!$N:$N,0),3)</f>
        <v>Обеспечение деятельности контрольно-счетной
палаты города Ставрополя</v>
      </c>
      <c r="M2488" s="16">
        <f t="shared" si="175"/>
        <v>1</v>
      </c>
    </row>
    <row r="2489" spans="1:13" s="16" customFormat="1" ht="31.5">
      <c r="A2489" s="14"/>
      <c r="B2489" s="129" t="s">
        <v>986</v>
      </c>
      <c r="C2489" s="109" t="s">
        <v>983</v>
      </c>
      <c r="D2489" s="108" t="s">
        <v>11</v>
      </c>
      <c r="E2489" s="108" t="s">
        <v>334</v>
      </c>
      <c r="F2489" s="108" t="s">
        <v>987</v>
      </c>
      <c r="G2489" s="108" t="s">
        <v>9</v>
      </c>
      <c r="H2489" s="126">
        <v>14782712.110000001</v>
      </c>
      <c r="I2489" s="108">
        <v>8610000000</v>
      </c>
      <c r="J2489" s="108" t="str">
        <f t="shared" si="174"/>
        <v>8610000000</v>
      </c>
      <c r="K2489" s="304" t="str">
        <f t="shared" si="173"/>
        <v>64301068610000000000</v>
      </c>
      <c r="L2489" s="17" t="str">
        <f>INDEX('реш СГД № 265'!$A:$N,MATCH('БА расх 2018 31 12 2018'!$K2489,'реш СГД № 265'!$N:$N,0),3)</f>
        <v>Непрограммные расходы в рамках обеспечения деятельности контрольно-счетной палаты города Ставрополя</v>
      </c>
      <c r="M2489" s="16">
        <f t="shared" si="175"/>
        <v>1</v>
      </c>
    </row>
    <row r="2490" spans="1:13" s="16" customFormat="1" ht="31.5">
      <c r="A2490" s="14"/>
      <c r="B2490" s="125" t="s">
        <v>18</v>
      </c>
      <c r="C2490" s="109" t="s">
        <v>983</v>
      </c>
      <c r="D2490" s="108" t="s">
        <v>11</v>
      </c>
      <c r="E2490" s="108" t="s">
        <v>334</v>
      </c>
      <c r="F2490" s="108" t="s">
        <v>988</v>
      </c>
      <c r="G2490" s="108" t="s">
        <v>9</v>
      </c>
      <c r="H2490" s="126">
        <v>3817756.8000000003</v>
      </c>
      <c r="I2490" s="108">
        <v>8610010010</v>
      </c>
      <c r="J2490" s="108" t="str">
        <f t="shared" si="174"/>
        <v>8610010010</v>
      </c>
      <c r="K2490" s="304" t="str">
        <f t="shared" si="173"/>
        <v>64301068610010010000</v>
      </c>
      <c r="L2490" s="17" t="str">
        <f>INDEX('реш СГД № 265'!$A:$N,MATCH('БА расх 2018 31 12 2018'!$K2490,'реш СГД № 265'!$N:$N,0),3)</f>
        <v>Расходы на обеспечение функций органов местного самоуправления города Ставрополя</v>
      </c>
      <c r="M2490" s="16">
        <f t="shared" si="175"/>
        <v>1</v>
      </c>
    </row>
    <row r="2491" spans="1:13" s="16" customFormat="1" ht="31.5">
      <c r="A2491" s="14"/>
      <c r="B2491" s="127" t="s">
        <v>20</v>
      </c>
      <c r="C2491" s="109" t="s">
        <v>983</v>
      </c>
      <c r="D2491" s="108" t="s">
        <v>11</v>
      </c>
      <c r="E2491" s="108" t="s">
        <v>334</v>
      </c>
      <c r="F2491" s="108" t="s">
        <v>988</v>
      </c>
      <c r="G2491" s="108" t="s">
        <v>21</v>
      </c>
      <c r="H2491" s="126">
        <v>436859.12</v>
      </c>
      <c r="I2491" s="108">
        <v>8610010010</v>
      </c>
      <c r="J2491" s="108" t="str">
        <f t="shared" si="174"/>
        <v>8610010010</v>
      </c>
      <c r="K2491" s="304" t="str">
        <f t="shared" si="173"/>
        <v>64301068610010010120</v>
      </c>
      <c r="L2491" s="17" t="str">
        <f>INDEX('реш СГД № 265'!$A:$N,MATCH('БА расх 2018 31 12 2018'!$K2491,'реш СГД № 265'!$N:$N,0),3)</f>
        <v>Расходы на выплаты персоналу государственных (муниципальных) органов</v>
      </c>
      <c r="M2491" s="16">
        <f t="shared" si="175"/>
        <v>1</v>
      </c>
    </row>
    <row r="2492" spans="1:13" s="23" customFormat="1" ht="31.5">
      <c r="A2492" s="21"/>
      <c r="B2492" s="127" t="s">
        <v>22</v>
      </c>
      <c r="C2492" s="109" t="s">
        <v>983</v>
      </c>
      <c r="D2492" s="108" t="s">
        <v>11</v>
      </c>
      <c r="E2492" s="108" t="s">
        <v>334</v>
      </c>
      <c r="F2492" s="108" t="s">
        <v>988</v>
      </c>
      <c r="G2492" s="108">
        <v>122</v>
      </c>
      <c r="H2492" s="126">
        <v>371826.78</v>
      </c>
      <c r="I2492" s="108">
        <v>8610010010</v>
      </c>
      <c r="J2492" s="108" t="str">
        <f t="shared" si="174"/>
        <v>8610010010</v>
      </c>
      <c r="K2492" s="304" t="str">
        <f t="shared" si="173"/>
        <v>64301068610010010122</v>
      </c>
      <c r="L2492" s="17"/>
      <c r="M2492" s="16"/>
    </row>
    <row r="2493" spans="1:13" s="23" customFormat="1" ht="47.25">
      <c r="A2493" s="21"/>
      <c r="B2493" s="127" t="s">
        <v>26</v>
      </c>
      <c r="C2493" s="109" t="s">
        <v>983</v>
      </c>
      <c r="D2493" s="108" t="s">
        <v>11</v>
      </c>
      <c r="E2493" s="108" t="s">
        <v>334</v>
      </c>
      <c r="F2493" s="108" t="s">
        <v>988</v>
      </c>
      <c r="G2493" s="108" t="s">
        <v>27</v>
      </c>
      <c r="H2493" s="126">
        <v>65032.34</v>
      </c>
      <c r="I2493" s="108">
        <v>8610010010</v>
      </c>
      <c r="J2493" s="108" t="str">
        <f t="shared" si="174"/>
        <v>8610010010</v>
      </c>
      <c r="K2493" s="304" t="str">
        <f t="shared" si="173"/>
        <v>64301068610010010129</v>
      </c>
      <c r="L2493" s="17"/>
      <c r="M2493" s="16"/>
    </row>
    <row r="2494" spans="1:13" s="16" customFormat="1" ht="31.5">
      <c r="A2494" s="14"/>
      <c r="B2494" s="125" t="s">
        <v>28</v>
      </c>
      <c r="C2494" s="109" t="s">
        <v>983</v>
      </c>
      <c r="D2494" s="108" t="s">
        <v>11</v>
      </c>
      <c r="E2494" s="108" t="s">
        <v>334</v>
      </c>
      <c r="F2494" s="108" t="s">
        <v>988</v>
      </c>
      <c r="G2494" s="108" t="s">
        <v>29</v>
      </c>
      <c r="H2494" s="126">
        <v>3329602</v>
      </c>
      <c r="I2494" s="108">
        <v>8610010010</v>
      </c>
      <c r="J2494" s="108" t="str">
        <f t="shared" si="174"/>
        <v>8610010010</v>
      </c>
      <c r="K2494" s="304" t="str">
        <f t="shared" si="173"/>
        <v>64301068610010010240</v>
      </c>
      <c r="L2494" s="17" t="str">
        <f>INDEX('реш СГД № 265'!$A:$N,MATCH('БА расх 2018 31 12 2018'!$K2494,'реш СГД № 265'!$N:$N,0),3)</f>
        <v>Иные закупки товаров, работ и услуг для обеспечения государственных (муниципальных) нужд</v>
      </c>
      <c r="M2494" s="16">
        <f t="shared" si="175"/>
        <v>1</v>
      </c>
    </row>
    <row r="2495" spans="1:13" s="16" customFormat="1" ht="15.75">
      <c r="A2495" s="14"/>
      <c r="B2495" s="125" t="s">
        <v>30</v>
      </c>
      <c r="C2495" s="109" t="s">
        <v>983</v>
      </c>
      <c r="D2495" s="108" t="s">
        <v>11</v>
      </c>
      <c r="E2495" s="108" t="s">
        <v>334</v>
      </c>
      <c r="F2495" s="108" t="s">
        <v>988</v>
      </c>
      <c r="G2495" s="108" t="s">
        <v>31</v>
      </c>
      <c r="H2495" s="126">
        <v>3329602</v>
      </c>
      <c r="I2495" s="108">
        <v>8610010010</v>
      </c>
      <c r="J2495" s="108" t="str">
        <f t="shared" si="174"/>
        <v>8610010010</v>
      </c>
      <c r="K2495" s="304" t="str">
        <f t="shared" si="173"/>
        <v>64301068610010010244</v>
      </c>
      <c r="L2495" s="17"/>
    </row>
    <row r="2496" spans="1:13" s="16" customFormat="1" ht="15.75">
      <c r="A2496" s="14"/>
      <c r="B2496" s="125" t="s">
        <v>32</v>
      </c>
      <c r="C2496" s="109" t="s">
        <v>983</v>
      </c>
      <c r="D2496" s="108" t="s">
        <v>11</v>
      </c>
      <c r="E2496" s="108" t="s">
        <v>334</v>
      </c>
      <c r="F2496" s="108" t="s">
        <v>988</v>
      </c>
      <c r="G2496" s="108" t="s">
        <v>33</v>
      </c>
      <c r="H2496" s="126">
        <v>51295.68</v>
      </c>
      <c r="I2496" s="108">
        <v>8610010010</v>
      </c>
      <c r="J2496" s="108" t="str">
        <f t="shared" si="174"/>
        <v>8610010010</v>
      </c>
      <c r="K2496" s="304" t="str">
        <f t="shared" si="173"/>
        <v>64301068610010010850</v>
      </c>
      <c r="L2496" s="17" t="str">
        <f>INDEX('реш СГД № 265'!$A:$N,MATCH('БА расх 2018 31 12 2018'!$K2496,'реш СГД № 265'!$N:$N,0),3)</f>
        <v>Уплата налогов, сборов и иных платежей</v>
      </c>
      <c r="M2496" s="16">
        <f t="shared" si="175"/>
        <v>1</v>
      </c>
    </row>
    <row r="2497" spans="1:13" s="23" customFormat="1" ht="31.5">
      <c r="A2497" s="21"/>
      <c r="B2497" s="127" t="s">
        <v>34</v>
      </c>
      <c r="C2497" s="109" t="s">
        <v>983</v>
      </c>
      <c r="D2497" s="108" t="s">
        <v>11</v>
      </c>
      <c r="E2497" s="108" t="s">
        <v>334</v>
      </c>
      <c r="F2497" s="108" t="s">
        <v>988</v>
      </c>
      <c r="G2497" s="108" t="s">
        <v>35</v>
      </c>
      <c r="H2497" s="126">
        <v>24308</v>
      </c>
      <c r="I2497" s="108">
        <v>8610010010</v>
      </c>
      <c r="J2497" s="108" t="str">
        <f t="shared" si="174"/>
        <v>8610010010</v>
      </c>
      <c r="K2497" s="304" t="str">
        <f t="shared" si="173"/>
        <v>64301068610010010851</v>
      </c>
      <c r="L2497" s="17"/>
      <c r="M2497" s="16"/>
    </row>
    <row r="2498" spans="1:13" s="23" customFormat="1" ht="15.75">
      <c r="A2498" s="21"/>
      <c r="B2498" s="127" t="s">
        <v>36</v>
      </c>
      <c r="C2498" s="109" t="s">
        <v>983</v>
      </c>
      <c r="D2498" s="108" t="s">
        <v>11</v>
      </c>
      <c r="E2498" s="108" t="s">
        <v>334</v>
      </c>
      <c r="F2498" s="108" t="s">
        <v>988</v>
      </c>
      <c r="G2498" s="108" t="s">
        <v>37</v>
      </c>
      <c r="H2498" s="126">
        <v>1875</v>
      </c>
      <c r="I2498" s="108">
        <v>8610010010</v>
      </c>
      <c r="J2498" s="108" t="str">
        <f t="shared" si="174"/>
        <v>8610010010</v>
      </c>
      <c r="K2498" s="304" t="str">
        <f t="shared" si="173"/>
        <v>64301068610010010852</v>
      </c>
      <c r="L2498" s="17"/>
      <c r="M2498" s="16"/>
    </row>
    <row r="2499" spans="1:13" s="23" customFormat="1" ht="15.75">
      <c r="A2499" s="21"/>
      <c r="B2499" s="127" t="s">
        <v>77</v>
      </c>
      <c r="C2499" s="109" t="s">
        <v>983</v>
      </c>
      <c r="D2499" s="108" t="s">
        <v>11</v>
      </c>
      <c r="E2499" s="108" t="s">
        <v>334</v>
      </c>
      <c r="F2499" s="108" t="s">
        <v>988</v>
      </c>
      <c r="G2499" s="108" t="s">
        <v>78</v>
      </c>
      <c r="H2499" s="126">
        <v>25112.68</v>
      </c>
      <c r="I2499" s="108">
        <v>8610010010</v>
      </c>
      <c r="J2499" s="108" t="str">
        <f t="shared" si="174"/>
        <v>8610010010</v>
      </c>
      <c r="K2499" s="304" t="str">
        <f t="shared" si="173"/>
        <v>64301068610010010853</v>
      </c>
      <c r="L2499" s="17"/>
      <c r="M2499" s="16"/>
    </row>
    <row r="2500" spans="1:13" s="16" customFormat="1" ht="31.5">
      <c r="A2500" s="14"/>
      <c r="B2500" s="127" t="s">
        <v>38</v>
      </c>
      <c r="C2500" s="109" t="s">
        <v>983</v>
      </c>
      <c r="D2500" s="108" t="s">
        <v>11</v>
      </c>
      <c r="E2500" s="108" t="s">
        <v>334</v>
      </c>
      <c r="F2500" s="108" t="s">
        <v>989</v>
      </c>
      <c r="G2500" s="108" t="s">
        <v>9</v>
      </c>
      <c r="H2500" s="126">
        <v>10605563.25</v>
      </c>
      <c r="I2500" s="108">
        <v>8610010020</v>
      </c>
      <c r="J2500" s="108" t="str">
        <f t="shared" si="174"/>
        <v>8610010020</v>
      </c>
      <c r="K2500" s="304" t="str">
        <f t="shared" si="173"/>
        <v>64301068610010020000</v>
      </c>
      <c r="L2500" s="17" t="str">
        <f>INDEX('реш СГД № 265'!$A:$N,MATCH('БА расх 2018 31 12 2018'!$K2500,'реш СГД № 265'!$N:$N,0),3)</f>
        <v>Расходы на выплаты по оплате труда работников органов местного самоуправления города Ставрополя</v>
      </c>
      <c r="M2500" s="16">
        <f t="shared" si="175"/>
        <v>1</v>
      </c>
    </row>
    <row r="2501" spans="1:13" s="16" customFormat="1" ht="31.5">
      <c r="A2501" s="14"/>
      <c r="B2501" s="127" t="s">
        <v>20</v>
      </c>
      <c r="C2501" s="109" t="s">
        <v>983</v>
      </c>
      <c r="D2501" s="108" t="s">
        <v>11</v>
      </c>
      <c r="E2501" s="108" t="s">
        <v>334</v>
      </c>
      <c r="F2501" s="108" t="s">
        <v>989</v>
      </c>
      <c r="G2501" s="108" t="s">
        <v>21</v>
      </c>
      <c r="H2501" s="126">
        <v>10605563.25</v>
      </c>
      <c r="I2501" s="108">
        <v>8610010020</v>
      </c>
      <c r="J2501" s="108" t="str">
        <f t="shared" si="174"/>
        <v>8610010020</v>
      </c>
      <c r="K2501" s="304" t="str">
        <f t="shared" si="173"/>
        <v>64301068610010020120</v>
      </c>
      <c r="L2501" s="17" t="str">
        <f>INDEX('реш СГД № 265'!$A:$N,MATCH('БА расх 2018 31 12 2018'!$K2501,'реш СГД № 265'!$N:$N,0),3)</f>
        <v>Расходы на выплаты персоналу государственных (муниципальных) органов</v>
      </c>
      <c r="M2501" s="16">
        <f t="shared" si="175"/>
        <v>1</v>
      </c>
    </row>
    <row r="2502" spans="1:13" s="23" customFormat="1" ht="31.5">
      <c r="A2502" s="21"/>
      <c r="B2502" s="127" t="s">
        <v>40</v>
      </c>
      <c r="C2502" s="109" t="s">
        <v>983</v>
      </c>
      <c r="D2502" s="108" t="s">
        <v>11</v>
      </c>
      <c r="E2502" s="108" t="s">
        <v>334</v>
      </c>
      <c r="F2502" s="108" t="s">
        <v>989</v>
      </c>
      <c r="G2502" s="108" t="s">
        <v>41</v>
      </c>
      <c r="H2502" s="126">
        <v>8222654.71</v>
      </c>
      <c r="I2502" s="108">
        <v>8610010020</v>
      </c>
      <c r="J2502" s="108" t="str">
        <f t="shared" si="174"/>
        <v>8610010020</v>
      </c>
      <c r="K2502" s="304" t="str">
        <f t="shared" si="173"/>
        <v>64301068610010020121</v>
      </c>
      <c r="L2502" s="17"/>
      <c r="M2502" s="16"/>
    </row>
    <row r="2503" spans="1:13" s="23" customFormat="1" ht="47.25">
      <c r="A2503" s="21"/>
      <c r="B2503" s="127" t="s">
        <v>26</v>
      </c>
      <c r="C2503" s="109" t="s">
        <v>983</v>
      </c>
      <c r="D2503" s="108" t="s">
        <v>11</v>
      </c>
      <c r="E2503" s="108" t="s">
        <v>334</v>
      </c>
      <c r="F2503" s="108" t="s">
        <v>989</v>
      </c>
      <c r="G2503" s="108" t="s">
        <v>27</v>
      </c>
      <c r="H2503" s="126">
        <v>2382908.54</v>
      </c>
      <c r="I2503" s="108">
        <v>8610010020</v>
      </c>
      <c r="J2503" s="108" t="str">
        <f t="shared" si="174"/>
        <v>8610010020</v>
      </c>
      <c r="K2503" s="304" t="str">
        <f t="shared" si="173"/>
        <v>64301068610010020129</v>
      </c>
      <c r="L2503" s="17"/>
      <c r="M2503" s="16"/>
    </row>
    <row r="2504" spans="1:13" s="23" customFormat="1" ht="267.75">
      <c r="A2504" s="21"/>
      <c r="B2504" s="125" t="s">
        <v>2269</v>
      </c>
      <c r="C2504" s="109" t="s">
        <v>983</v>
      </c>
      <c r="D2504" s="108" t="s">
        <v>11</v>
      </c>
      <c r="E2504" s="108" t="s">
        <v>334</v>
      </c>
      <c r="F2504" s="108" t="s">
        <v>1372</v>
      </c>
      <c r="G2504" s="108" t="s">
        <v>9</v>
      </c>
      <c r="H2504" s="126">
        <v>346038.75</v>
      </c>
      <c r="I2504" s="108">
        <v>8610077460</v>
      </c>
      <c r="J2504" s="108" t="str">
        <f t="shared" si="174"/>
        <v>8610077460</v>
      </c>
      <c r="K2504" s="304" t="str">
        <f t="shared" si="173"/>
        <v>64301068610077460000</v>
      </c>
      <c r="L2504" s="132" t="str">
        <f>INDEX('реш СГД № 265'!$A:$N,MATCH('БА расх 2018 31 12 2018'!$K2504,'реш СГД № 265'!$N:$N,0),3)</f>
        <v>Субсидии на компенсацию расходов по повышению заработной платы муниципальных служащих муниципальной службы и лиц, не замещающих должности муниципальной службы и исполняющих обязанности по техническому обеспечению деятельности органов местного самоуправления муниципальных образований, а также работников муниципальных учреждений, за исключением отдельных категорий работников муниципальных учреждений, которым повышение заработной платы осуществляется в соответствии с указами Президента Российской Федерации от 7 мая 2012 года № 597 «О мероприятиях по реализации государственной социальной политики», от 1 июня 2012 года № 761 «О Национальной стратегии действий в интересах детей на 2012 - 2017 годы» и от 28 декабря 2012 года № 1688 «О некоторых мерах по реализации государственной политики в сфере защиты детей-сирот и детей, оставшихся без попечения родителей»</v>
      </c>
      <c r="M2504" s="17">
        <f t="shared" si="175"/>
        <v>1</v>
      </c>
    </row>
    <row r="2505" spans="1:13" s="23" customFormat="1" ht="31.5">
      <c r="A2505" s="21"/>
      <c r="B2505" s="164" t="s">
        <v>20</v>
      </c>
      <c r="C2505" s="109" t="s">
        <v>983</v>
      </c>
      <c r="D2505" s="108" t="s">
        <v>11</v>
      </c>
      <c r="E2505" s="108" t="s">
        <v>334</v>
      </c>
      <c r="F2505" s="108" t="s">
        <v>1372</v>
      </c>
      <c r="G2505" s="108" t="s">
        <v>21</v>
      </c>
      <c r="H2505" s="126">
        <v>346038.75</v>
      </c>
      <c r="I2505" s="108">
        <v>8610077460</v>
      </c>
      <c r="J2505" s="108" t="str">
        <f t="shared" si="174"/>
        <v>8610077460</v>
      </c>
      <c r="K2505" s="304" t="str">
        <f t="shared" si="173"/>
        <v>64301068610077460120</v>
      </c>
      <c r="L2505" s="17" t="str">
        <f>INDEX('реш СГД № 265'!$A:$N,MATCH('БА расх 2018 31 12 2018'!$K2505,'реш СГД № 265'!$N:$N,0),3)</f>
        <v>Расходы на выплаты персоналу государственных (муниципальных) органов</v>
      </c>
      <c r="M2505" s="16">
        <f t="shared" si="175"/>
        <v>1</v>
      </c>
    </row>
    <row r="2506" spans="1:13" s="23" customFormat="1" ht="31.5">
      <c r="A2506" s="21"/>
      <c r="B2506" s="127" t="s">
        <v>40</v>
      </c>
      <c r="C2506" s="109" t="s">
        <v>983</v>
      </c>
      <c r="D2506" s="108" t="s">
        <v>11</v>
      </c>
      <c r="E2506" s="108" t="s">
        <v>334</v>
      </c>
      <c r="F2506" s="108" t="s">
        <v>1372</v>
      </c>
      <c r="G2506" s="108" t="s">
        <v>41</v>
      </c>
      <c r="H2506" s="126">
        <v>265774.77</v>
      </c>
      <c r="I2506" s="108">
        <v>8610077460</v>
      </c>
      <c r="J2506" s="108" t="str">
        <f t="shared" si="174"/>
        <v>8610077460</v>
      </c>
      <c r="K2506" s="304" t="str">
        <f t="shared" si="173"/>
        <v>64301068610077460121</v>
      </c>
      <c r="L2506" s="17"/>
      <c r="M2506" s="16"/>
    </row>
    <row r="2507" spans="1:13" s="23" customFormat="1" ht="47.25">
      <c r="A2507" s="21"/>
      <c r="B2507" s="127" t="s">
        <v>26</v>
      </c>
      <c r="C2507" s="109" t="s">
        <v>983</v>
      </c>
      <c r="D2507" s="108" t="s">
        <v>11</v>
      </c>
      <c r="E2507" s="108" t="s">
        <v>334</v>
      </c>
      <c r="F2507" s="108" t="s">
        <v>1372</v>
      </c>
      <c r="G2507" s="108" t="s">
        <v>27</v>
      </c>
      <c r="H2507" s="126">
        <v>80263.98</v>
      </c>
      <c r="I2507" s="108">
        <v>8610077460</v>
      </c>
      <c r="J2507" s="108" t="str">
        <f t="shared" si="174"/>
        <v>8610077460</v>
      </c>
      <c r="K2507" s="304" t="str">
        <f t="shared" si="173"/>
        <v>64301068610077460129</v>
      </c>
      <c r="L2507" s="17"/>
      <c r="M2507" s="16"/>
    </row>
    <row r="2508" spans="1:13" s="23" customFormat="1" ht="236.25">
      <c r="A2508" s="21"/>
      <c r="B2508" s="164" t="s">
        <v>2247</v>
      </c>
      <c r="C2508" s="109" t="s">
        <v>983</v>
      </c>
      <c r="D2508" s="108" t="s">
        <v>11</v>
      </c>
      <c r="E2508" s="108" t="s">
        <v>334</v>
      </c>
      <c r="F2508" s="108" t="s">
        <v>2281</v>
      </c>
      <c r="G2508" s="108" t="s">
        <v>9</v>
      </c>
      <c r="H2508" s="126">
        <v>13353.31</v>
      </c>
      <c r="I2508" s="108">
        <v>8610077580</v>
      </c>
      <c r="J2508" s="108" t="str">
        <f t="shared" si="174"/>
        <v>8610077580</v>
      </c>
      <c r="K2508" s="304" t="str">
        <f t="shared" si="173"/>
        <v>64301068610077580000</v>
      </c>
      <c r="L2508" s="17" t="str">
        <f>INDEX('реш СГД № 265'!$A:$N,MATCH('БА расх 2018 31 12 2018'!$K2508,'реш СГД № 265'!$N:$N,0),3)</f>
        <v>Субсидии на компенсацию расходов на обеспечение выплаты лицам, не замещающим муниципальные должности муниципальной службы и исполняющим обязанности по техническому обеспечению деятельности органов местного самоуправления муниципальных образований, работникам органов местного самоуправления муниципальных образований, осуществляющим профессиональную деятельность по профессиям рабочих, и работникам муниципальных учреждений заработной платы не ниже установленного с 01 мая 2018 года федеральным законом минимального размера оплаты труда, а также компенсацию расходов на обеспечение выплаты работникам муниципальных учреждений с 01 января 2018 года коэффициента к заработной плате за работу в пустынных и безводных местностях</v>
      </c>
      <c r="M2508" s="16">
        <f t="shared" si="175"/>
        <v>1</v>
      </c>
    </row>
    <row r="2509" spans="1:13" s="23" customFormat="1" ht="31.5">
      <c r="A2509" s="21"/>
      <c r="B2509" s="164" t="s">
        <v>20</v>
      </c>
      <c r="C2509" s="109" t="s">
        <v>983</v>
      </c>
      <c r="D2509" s="108" t="s">
        <v>11</v>
      </c>
      <c r="E2509" s="108" t="s">
        <v>334</v>
      </c>
      <c r="F2509" s="108" t="s">
        <v>2281</v>
      </c>
      <c r="G2509" s="108" t="s">
        <v>21</v>
      </c>
      <c r="H2509" s="126">
        <v>13353.31</v>
      </c>
      <c r="I2509" s="108">
        <v>8610077580</v>
      </c>
      <c r="J2509" s="108" t="str">
        <f t="shared" si="174"/>
        <v>8610077580</v>
      </c>
      <c r="K2509" s="304" t="str">
        <f t="shared" si="173"/>
        <v>64301068610077580120</v>
      </c>
      <c r="L2509" s="17" t="str">
        <f>INDEX('реш СГД № 265'!$A:$N,MATCH('БА расх 2018 31 12 2018'!$K2509,'реш СГД № 265'!$N:$N,0),3)</f>
        <v>Расходы на выплаты персоналу государственных (муниципальных) органов</v>
      </c>
      <c r="M2509" s="16">
        <f t="shared" si="175"/>
        <v>1</v>
      </c>
    </row>
    <row r="2510" spans="1:13" s="23" customFormat="1" ht="31.5">
      <c r="A2510" s="21"/>
      <c r="B2510" s="127" t="s">
        <v>40</v>
      </c>
      <c r="C2510" s="109" t="s">
        <v>983</v>
      </c>
      <c r="D2510" s="108" t="s">
        <v>11</v>
      </c>
      <c r="E2510" s="108" t="s">
        <v>334</v>
      </c>
      <c r="F2510" s="108" t="s">
        <v>2281</v>
      </c>
      <c r="G2510" s="108" t="s">
        <v>41</v>
      </c>
      <c r="H2510" s="126">
        <v>10256</v>
      </c>
      <c r="I2510" s="108">
        <v>8610077580</v>
      </c>
      <c r="J2510" s="108" t="str">
        <f t="shared" si="174"/>
        <v>8610077580</v>
      </c>
      <c r="K2510" s="304" t="str">
        <f t="shared" si="173"/>
        <v>64301068610077580121</v>
      </c>
      <c r="L2510" s="17"/>
      <c r="M2510" s="16"/>
    </row>
    <row r="2511" spans="1:13" s="23" customFormat="1" ht="47.25">
      <c r="A2511" s="21"/>
      <c r="B2511" s="127" t="s">
        <v>26</v>
      </c>
      <c r="C2511" s="109" t="s">
        <v>983</v>
      </c>
      <c r="D2511" s="108" t="s">
        <v>11</v>
      </c>
      <c r="E2511" s="108" t="s">
        <v>334</v>
      </c>
      <c r="F2511" s="108" t="s">
        <v>2281</v>
      </c>
      <c r="G2511" s="108" t="s">
        <v>27</v>
      </c>
      <c r="H2511" s="126">
        <v>3097.31</v>
      </c>
      <c r="I2511" s="108">
        <v>8610077580</v>
      </c>
      <c r="J2511" s="108" t="str">
        <f t="shared" si="174"/>
        <v>8610077580</v>
      </c>
      <c r="K2511" s="304" t="str">
        <f t="shared" si="173"/>
        <v>64301068610077580129</v>
      </c>
      <c r="L2511" s="17"/>
      <c r="M2511" s="16"/>
    </row>
    <row r="2512" spans="1:13" s="23" customFormat="1" ht="15.75">
      <c r="A2512" s="21"/>
      <c r="B2512" s="127"/>
      <c r="C2512" s="109"/>
      <c r="D2512" s="108"/>
      <c r="E2512" s="108"/>
      <c r="F2512" s="108"/>
      <c r="G2512" s="108"/>
      <c r="H2512" s="126"/>
      <c r="I2512" s="108"/>
      <c r="J2512" s="108" t="str">
        <f t="shared" si="174"/>
        <v>0000000000</v>
      </c>
      <c r="K2512" s="304" t="str">
        <f t="shared" si="173"/>
        <v>0000000000</v>
      </c>
      <c r="L2512" s="17">
        <f>INDEX('реш СГД № 265'!$A:$N,MATCH('БА расх 2018 31 12 2018'!$K2512,'реш СГД № 265'!$N:$N,0),3)</f>
        <v>0</v>
      </c>
      <c r="M2512" s="16">
        <f t="shared" si="175"/>
        <v>1</v>
      </c>
    </row>
    <row r="2513" spans="1:13" s="16" customFormat="1" ht="15.75">
      <c r="A2513" s="14"/>
      <c r="B2513" s="129"/>
      <c r="C2513" s="109"/>
      <c r="D2513" s="108"/>
      <c r="E2513" s="108"/>
      <c r="F2513" s="108"/>
      <c r="G2513" s="108"/>
      <c r="H2513" s="126"/>
      <c r="I2513" s="108"/>
      <c r="J2513" s="108" t="str">
        <f t="shared" si="174"/>
        <v>0000000000</v>
      </c>
      <c r="K2513" s="304" t="str">
        <f t="shared" si="173"/>
        <v>0000000000</v>
      </c>
      <c r="L2513" s="17">
        <f>INDEX('реш СГД № 265'!$A:$N,MATCH('БА расх 2018 31 12 2018'!$K2513,'реш СГД № 265'!$N:$N,0),3)</f>
        <v>0</v>
      </c>
      <c r="M2513" s="16">
        <f t="shared" si="175"/>
        <v>1</v>
      </c>
    </row>
    <row r="2514" spans="1:13" ht="15.75">
      <c r="B2514" s="67" t="s">
        <v>990</v>
      </c>
      <c r="C2514" s="68"/>
      <c r="D2514" s="69"/>
      <c r="E2514" s="69"/>
      <c r="F2514" s="69"/>
      <c r="G2514" s="69"/>
      <c r="H2514" s="70">
        <v>10851704916.710001</v>
      </c>
      <c r="I2514" s="69"/>
      <c r="J2514" s="69" t="str">
        <f t="shared" si="174"/>
        <v>0000000000</v>
      </c>
      <c r="K2514" s="304" t="str">
        <f t="shared" si="173"/>
        <v>0000000000</v>
      </c>
      <c r="L2514" s="132">
        <f>INDEX('реш СГД № 265'!$A:$N,MATCH('БА расх 2018 31 12 2018'!$K2514,'реш СГД № 265'!$N:$N,0),3)</f>
        <v>0</v>
      </c>
      <c r="M2514" s="17">
        <f t="shared" si="175"/>
        <v>0</v>
      </c>
    </row>
    <row r="2515" spans="1:13" ht="15.75">
      <c r="B2515" s="67"/>
      <c r="C2515" s="68"/>
      <c r="D2515" s="69"/>
      <c r="E2515" s="69"/>
      <c r="F2515" s="69"/>
      <c r="G2515" s="69"/>
      <c r="H2515" s="70">
        <v>140420</v>
      </c>
      <c r="I2515" s="69"/>
      <c r="J2515" s="69" t="str">
        <f t="shared" si="174"/>
        <v>0000000000</v>
      </c>
      <c r="K2515" s="304" t="str">
        <f t="shared" si="173"/>
        <v>0000000000</v>
      </c>
      <c r="L2515" s="17">
        <f>INDEX('реш СГД № 265'!$A:$N,MATCH('БА расх 2018 31 12 2018'!$K2515,'реш СГД № 265'!$N:$N,0),3)</f>
        <v>0</v>
      </c>
      <c r="M2515" s="16">
        <f t="shared" si="175"/>
        <v>1</v>
      </c>
    </row>
    <row r="2516" spans="1:13" ht="15.75">
      <c r="B2516" s="93"/>
      <c r="C2516" s="94"/>
      <c r="D2516" s="90"/>
      <c r="E2516" s="90"/>
      <c r="F2516" s="90"/>
      <c r="G2516" s="90"/>
      <c r="H2516" s="70">
        <v>10851564496.710001</v>
      </c>
      <c r="I2516" s="90"/>
      <c r="J2516" s="90" t="str">
        <f t="shared" si="174"/>
        <v>0000000000</v>
      </c>
      <c r="K2516" s="304" t="str">
        <f t="shared" si="173"/>
        <v>0000000000</v>
      </c>
      <c r="L2516" s="17">
        <f>INDEX('реш СГД № 265'!$A:$N,MATCH('БА расх 2018 31 12 2018'!$K2516,'реш СГД № 265'!$N:$N,0),3)</f>
        <v>0</v>
      </c>
      <c r="M2516" s="16">
        <f t="shared" si="175"/>
        <v>1</v>
      </c>
    </row>
    <row r="2517" spans="1:13" ht="15.75">
      <c r="B2517" s="93"/>
      <c r="C2517" s="94"/>
      <c r="D2517" s="90"/>
      <c r="E2517" s="90"/>
      <c r="F2517" s="90"/>
      <c r="G2517" s="90"/>
      <c r="H2517" s="77"/>
      <c r="I2517" s="90"/>
      <c r="J2517" s="90" t="str">
        <f t="shared" si="174"/>
        <v>0000000000</v>
      </c>
      <c r="K2517" s="304" t="str">
        <f t="shared" si="173"/>
        <v>0000000000</v>
      </c>
      <c r="L2517" s="17">
        <f>INDEX('реш СГД № 265'!$A:$N,MATCH('БА расх 2018 31 12 2018'!$K2517,'реш СГД № 265'!$N:$N,0),3)</f>
        <v>0</v>
      </c>
      <c r="M2517" s="16">
        <f t="shared" si="175"/>
        <v>1</v>
      </c>
    </row>
    <row r="2518" spans="1:13" s="81" customFormat="1" ht="15.75">
      <c r="A2518" s="78"/>
      <c r="B2518" s="95"/>
      <c r="C2518" s="83"/>
      <c r="D2518" s="79"/>
      <c r="E2518" s="79"/>
      <c r="F2518" s="79"/>
      <c r="G2518" s="79"/>
      <c r="H2518" s="80"/>
      <c r="I2518" s="79"/>
      <c r="J2518" s="79" t="str">
        <f t="shared" si="174"/>
        <v>0000000000</v>
      </c>
      <c r="K2518" s="304" t="str">
        <f t="shared" si="173"/>
        <v>0000000000</v>
      </c>
      <c r="L2518" s="17">
        <f>INDEX('реш СГД № 265'!$A:$N,MATCH('БА расх 2018 31 12 2018'!$K2518,'реш СГД № 265'!$N:$N,0),3)</f>
        <v>0</v>
      </c>
      <c r="M2518" s="16">
        <f t="shared" si="175"/>
        <v>1</v>
      </c>
    </row>
    <row r="2519" spans="1:13" s="81" customFormat="1" ht="15.75">
      <c r="A2519" s="78"/>
      <c r="B2519" s="95"/>
      <c r="C2519" s="83"/>
      <c r="D2519" s="79"/>
      <c r="E2519" s="79"/>
      <c r="F2519" s="83"/>
      <c r="G2519" s="83"/>
      <c r="H2519" s="80"/>
      <c r="I2519" s="83"/>
      <c r="J2519" s="83" t="str">
        <f t="shared" si="174"/>
        <v>0000000000</v>
      </c>
      <c r="K2519" s="304" t="str">
        <f t="shared" si="173"/>
        <v>0000000000</v>
      </c>
      <c r="L2519" s="17">
        <f>INDEX('реш СГД № 265'!$A:$N,MATCH('БА расх 2018 31 12 2018'!$K2519,'реш СГД № 265'!$N:$N,0),3)</f>
        <v>0</v>
      </c>
      <c r="M2519" s="16">
        <f t="shared" si="175"/>
        <v>1</v>
      </c>
    </row>
    <row r="2520" spans="1:13" s="81" customFormat="1" ht="15.75">
      <c r="A2520" s="78"/>
      <c r="B2520" s="95"/>
      <c r="C2520" s="83"/>
      <c r="D2520" s="79"/>
      <c r="E2520" s="79"/>
      <c r="F2520" s="79"/>
      <c r="G2520" s="79"/>
      <c r="H2520" s="80"/>
      <c r="I2520" s="79"/>
      <c r="J2520" s="79" t="str">
        <f t="shared" si="174"/>
        <v>0000000000</v>
      </c>
      <c r="K2520" s="304" t="str">
        <f t="shared" si="173"/>
        <v>0000000000</v>
      </c>
      <c r="L2520" s="17">
        <f>INDEX('реш СГД № 265'!$A:$N,MATCH('БА расх 2018 31 12 2018'!$K2520,'реш СГД № 265'!$N:$N,0),3)</f>
        <v>0</v>
      </c>
      <c r="M2520" s="16">
        <f t="shared" si="175"/>
        <v>1</v>
      </c>
    </row>
    <row r="2521" spans="1:13" s="81" customFormat="1" ht="15.75">
      <c r="A2521" s="78"/>
      <c r="B2521" s="95"/>
      <c r="C2521" s="83"/>
      <c r="D2521" s="79"/>
      <c r="E2521" s="79"/>
      <c r="F2521" s="79"/>
      <c r="G2521" s="79"/>
      <c r="H2521" s="80"/>
      <c r="I2521" s="79"/>
      <c r="J2521" s="79" t="str">
        <f t="shared" si="174"/>
        <v>0000000000</v>
      </c>
      <c r="K2521" s="304" t="str">
        <f t="shared" si="173"/>
        <v>0000000000</v>
      </c>
      <c r="L2521" s="17">
        <f>INDEX('реш СГД № 265'!$A:$N,MATCH('БА расх 2018 31 12 2018'!$K2521,'реш СГД № 265'!$N:$N,0),3)</f>
        <v>0</v>
      </c>
      <c r="M2521" s="16">
        <f t="shared" si="175"/>
        <v>1</v>
      </c>
    </row>
    <row r="2522" spans="1:13" s="81" customFormat="1" ht="15.75">
      <c r="A2522" s="78"/>
      <c r="B2522" s="95"/>
      <c r="C2522" s="83"/>
      <c r="D2522" s="79"/>
      <c r="E2522" s="79"/>
      <c r="F2522" s="79"/>
      <c r="G2522" s="79"/>
      <c r="H2522" s="80"/>
      <c r="I2522" s="79"/>
      <c r="J2522" s="79" t="str">
        <f t="shared" si="174"/>
        <v>0000000000</v>
      </c>
      <c r="K2522" s="304" t="str">
        <f t="shared" si="173"/>
        <v>0000000000</v>
      </c>
      <c r="L2522" s="17">
        <f>INDEX('реш СГД № 265'!$A:$N,MATCH('БА расх 2018 31 12 2018'!$K2522,'реш СГД № 265'!$N:$N,0),3)</f>
        <v>0</v>
      </c>
      <c r="M2522" s="16">
        <f t="shared" si="175"/>
        <v>1</v>
      </c>
    </row>
    <row r="2523" spans="1:13" s="81" customFormat="1" ht="15.75">
      <c r="A2523" s="78"/>
      <c r="B2523" s="95"/>
      <c r="C2523" s="83"/>
      <c r="D2523" s="79"/>
      <c r="E2523" s="79"/>
      <c r="F2523" s="79"/>
      <c r="G2523" s="79"/>
      <c r="H2523" s="80"/>
      <c r="I2523" s="79"/>
      <c r="J2523" s="79" t="str">
        <f t="shared" si="174"/>
        <v>0000000000</v>
      </c>
      <c r="K2523" s="304" t="str">
        <f t="shared" si="173"/>
        <v>0000000000</v>
      </c>
      <c r="L2523" s="17">
        <f>INDEX('реш СГД № 265'!$A:$N,MATCH('БА расх 2018 31 12 2018'!$K2523,'реш СГД № 265'!$N:$N,0),3)</f>
        <v>0</v>
      </c>
      <c r="M2523" s="16">
        <f t="shared" si="175"/>
        <v>1</v>
      </c>
    </row>
    <row r="2524" spans="1:13" s="81" customFormat="1" ht="15.75">
      <c r="A2524" s="78"/>
      <c r="B2524" s="95"/>
      <c r="C2524" s="83"/>
      <c r="D2524" s="79"/>
      <c r="E2524" s="79"/>
      <c r="F2524" s="79"/>
      <c r="G2524" s="79"/>
      <c r="H2524" s="80"/>
      <c r="I2524" s="79"/>
      <c r="J2524" s="79" t="str">
        <f t="shared" si="174"/>
        <v>0000000000</v>
      </c>
      <c r="K2524" s="304" t="str">
        <f t="shared" si="173"/>
        <v>0000000000</v>
      </c>
      <c r="L2524" s="17">
        <f>INDEX('реш СГД № 265'!$A:$N,MATCH('БА расх 2018 31 12 2018'!$K2524,'реш СГД № 265'!$N:$N,0),3)</f>
        <v>0</v>
      </c>
      <c r="M2524" s="16">
        <f t="shared" si="175"/>
        <v>1</v>
      </c>
    </row>
    <row r="2525" spans="1:13" ht="15.75">
      <c r="B2525" s="93"/>
      <c r="C2525" s="94"/>
      <c r="D2525" s="90"/>
      <c r="E2525" s="90"/>
      <c r="F2525" s="90"/>
      <c r="G2525" s="90"/>
      <c r="H2525" s="77"/>
      <c r="I2525" s="90"/>
      <c r="J2525" s="90" t="str">
        <f t="shared" si="174"/>
        <v>0000000000</v>
      </c>
      <c r="K2525" s="304" t="str">
        <f t="shared" si="173"/>
        <v>0000000000</v>
      </c>
      <c r="L2525" s="17">
        <f>INDEX('реш СГД № 265'!$A:$N,MATCH('БА расх 2018 31 12 2018'!$K2525,'реш СГД № 265'!$N:$N,0),3)</f>
        <v>0</v>
      </c>
      <c r="M2525" s="16">
        <f t="shared" si="175"/>
        <v>1</v>
      </c>
    </row>
    <row r="2526" spans="1:13" ht="15.75">
      <c r="B2526" s="93"/>
      <c r="C2526" s="94"/>
      <c r="D2526" s="90"/>
      <c r="E2526" s="90"/>
      <c r="F2526" s="90"/>
      <c r="G2526" s="90"/>
      <c r="H2526" s="77"/>
      <c r="I2526" s="90"/>
      <c r="J2526" s="90" t="str">
        <f t="shared" si="174"/>
        <v>0000000000</v>
      </c>
      <c r="K2526" s="304" t="str">
        <f t="shared" si="173"/>
        <v>0000000000</v>
      </c>
      <c r="L2526" s="17">
        <f>INDEX('реш СГД № 265'!$A:$N,MATCH('БА расх 2018 31 12 2018'!$K2526,'реш СГД № 265'!$N:$N,0),3)</f>
        <v>0</v>
      </c>
      <c r="M2526" s="16">
        <f t="shared" si="175"/>
        <v>1</v>
      </c>
    </row>
    <row r="2527" spans="1:13" s="86" customFormat="1" ht="15.75">
      <c r="A2527" s="85"/>
      <c r="B2527" s="96"/>
      <c r="C2527" s="87"/>
      <c r="D2527" s="87"/>
      <c r="E2527" s="87"/>
      <c r="F2527" s="165"/>
      <c r="G2527" s="88"/>
      <c r="H2527" s="89"/>
      <c r="I2527" s="165"/>
      <c r="J2527" s="165" t="str">
        <f t="shared" si="174"/>
        <v>0000000000</v>
      </c>
      <c r="K2527" s="304" t="str">
        <f t="shared" si="173"/>
        <v>0000000000</v>
      </c>
      <c r="L2527" s="17">
        <f>INDEX('реш СГД № 265'!$A:$N,MATCH('БА расх 2018 31 12 2018'!$K2527,'реш СГД № 265'!$N:$N,0),3)</f>
        <v>0</v>
      </c>
      <c r="M2527" s="16">
        <f t="shared" si="175"/>
        <v>1</v>
      </c>
    </row>
    <row r="2528" spans="1:13" ht="15.75">
      <c r="B2528" s="24"/>
      <c r="C2528" s="23"/>
      <c r="D2528" s="23"/>
      <c r="E2528" s="23"/>
      <c r="F2528" s="94"/>
      <c r="G2528" s="90"/>
      <c r="H2528" s="89"/>
      <c r="I2528" s="94"/>
      <c r="J2528" s="94" t="str">
        <f t="shared" si="174"/>
        <v>0000000000</v>
      </c>
      <c r="K2528" s="304" t="str">
        <f t="shared" si="173"/>
        <v>0000000000</v>
      </c>
      <c r="L2528" s="17">
        <f>INDEX('реш СГД № 265'!$A:$N,MATCH('БА расх 2018 31 12 2018'!$K2528,'реш СГД № 265'!$N:$N,0),3)</f>
        <v>0</v>
      </c>
      <c r="M2528" s="16">
        <f t="shared" si="175"/>
        <v>1</v>
      </c>
    </row>
    <row r="2529" spans="1:13" ht="15.75">
      <c r="B2529" s="24"/>
      <c r="C2529" s="23"/>
      <c r="D2529" s="23"/>
      <c r="E2529" s="23"/>
      <c r="F2529" s="94"/>
      <c r="G2529" s="90"/>
      <c r="H2529" s="89"/>
      <c r="I2529" s="94"/>
      <c r="J2529" s="94" t="str">
        <f t="shared" si="174"/>
        <v>0000000000</v>
      </c>
      <c r="K2529" s="304" t="str">
        <f t="shared" si="173"/>
        <v>0000000000</v>
      </c>
      <c r="L2529" s="17">
        <f>INDEX('реш СГД № 265'!$A:$N,MATCH('БА расх 2018 31 12 2018'!$K2529,'реш СГД № 265'!$N:$N,0),3)</f>
        <v>0</v>
      </c>
      <c r="M2529" s="16">
        <f t="shared" si="175"/>
        <v>1</v>
      </c>
    </row>
    <row r="2530" spans="1:13" ht="15.75">
      <c r="B2530" s="24"/>
      <c r="C2530" s="23"/>
      <c r="D2530" s="23"/>
      <c r="E2530" s="23"/>
      <c r="F2530" s="90"/>
      <c r="G2530" s="90"/>
      <c r="H2530" s="89"/>
      <c r="I2530" s="90"/>
      <c r="J2530" s="90" t="str">
        <f t="shared" si="174"/>
        <v>0000000000</v>
      </c>
      <c r="K2530" s="304" t="str">
        <f t="shared" si="173"/>
        <v>0000000000</v>
      </c>
      <c r="L2530" s="17">
        <f>INDEX('реш СГД № 265'!$A:$N,MATCH('БА расх 2018 31 12 2018'!$K2530,'реш СГД № 265'!$N:$N,0),3)</f>
        <v>0</v>
      </c>
      <c r="M2530" s="16">
        <f t="shared" si="175"/>
        <v>1</v>
      </c>
    </row>
    <row r="2531" spans="1:13" ht="15.75">
      <c r="B2531" s="93"/>
      <c r="C2531" s="94"/>
      <c r="D2531" s="90"/>
      <c r="E2531" s="90"/>
      <c r="F2531" s="94"/>
      <c r="G2531" s="90"/>
      <c r="H2531" s="89"/>
      <c r="I2531" s="94"/>
      <c r="J2531" s="94" t="str">
        <f t="shared" si="174"/>
        <v>0000000000</v>
      </c>
      <c r="K2531" s="304" t="str">
        <f t="shared" si="173"/>
        <v>0000000000</v>
      </c>
      <c r="L2531" s="17">
        <f>INDEX('реш СГД № 265'!$A:$N,MATCH('БА расх 2018 31 12 2018'!$K2531,'реш СГД № 265'!$N:$N,0),3)</f>
        <v>0</v>
      </c>
      <c r="M2531" s="16">
        <f t="shared" si="175"/>
        <v>1</v>
      </c>
    </row>
    <row r="2532" spans="1:13" ht="15.75">
      <c r="B2532" s="93"/>
      <c r="C2532" s="94"/>
      <c r="D2532" s="90"/>
      <c r="E2532" s="90"/>
      <c r="F2532" s="94"/>
      <c r="G2532" s="90"/>
      <c r="H2532" s="89"/>
      <c r="I2532" s="94"/>
      <c r="J2532" s="94" t="str">
        <f t="shared" si="174"/>
        <v>0000000000</v>
      </c>
      <c r="K2532" s="304" t="str">
        <f t="shared" si="173"/>
        <v>0000000000</v>
      </c>
      <c r="L2532" s="17">
        <f>INDEX('реш СГД № 265'!$A:$N,MATCH('БА расх 2018 31 12 2018'!$K2532,'реш СГД № 265'!$N:$N,0),3)</f>
        <v>0</v>
      </c>
      <c r="M2532" s="16">
        <f t="shared" si="175"/>
        <v>1</v>
      </c>
    </row>
    <row r="2533" spans="1:13" ht="15.75">
      <c r="B2533" s="93"/>
      <c r="C2533" s="94"/>
      <c r="D2533" s="90"/>
      <c r="E2533" s="90"/>
      <c r="F2533" s="94"/>
      <c r="G2533" s="90"/>
      <c r="H2533" s="89"/>
      <c r="I2533" s="94"/>
      <c r="J2533" s="94" t="str">
        <f t="shared" si="174"/>
        <v>0000000000</v>
      </c>
      <c r="K2533" s="304" t="str">
        <f t="shared" si="173"/>
        <v>0000000000</v>
      </c>
      <c r="L2533" s="17">
        <f>INDEX('реш СГД № 265'!$A:$N,MATCH('БА расх 2018 31 12 2018'!$K2533,'реш СГД № 265'!$N:$N,0),3)</f>
        <v>0</v>
      </c>
      <c r="M2533" s="16">
        <f t="shared" si="175"/>
        <v>1</v>
      </c>
    </row>
    <row r="2534" spans="1:13" ht="15.75">
      <c r="B2534" s="93"/>
      <c r="C2534" s="94"/>
      <c r="D2534" s="90"/>
      <c r="E2534" s="90"/>
      <c r="F2534" s="90"/>
      <c r="G2534" s="90"/>
      <c r="H2534" s="77"/>
      <c r="I2534" s="90"/>
      <c r="J2534" s="90" t="str">
        <f t="shared" si="174"/>
        <v>0000000000</v>
      </c>
      <c r="K2534" s="304" t="str">
        <f t="shared" si="173"/>
        <v>0000000000</v>
      </c>
      <c r="L2534" s="17">
        <f>INDEX('реш СГД № 265'!$A:$N,MATCH('БА расх 2018 31 12 2018'!$K2534,'реш СГД № 265'!$N:$N,0),3)</f>
        <v>0</v>
      </c>
      <c r="M2534" s="16">
        <f t="shared" si="175"/>
        <v>1</v>
      </c>
    </row>
    <row r="2535" spans="1:13" ht="15.75">
      <c r="A2535" s="48"/>
      <c r="B2535" s="93"/>
      <c r="C2535" s="94"/>
      <c r="D2535" s="90"/>
      <c r="E2535" s="90"/>
      <c r="F2535" s="90"/>
      <c r="G2535" s="90"/>
      <c r="H2535" s="77"/>
      <c r="I2535" s="90"/>
      <c r="J2535" s="90" t="str">
        <f t="shared" si="174"/>
        <v>0000000000</v>
      </c>
      <c r="K2535" s="304" t="str">
        <f t="shared" si="173"/>
        <v>0000000000</v>
      </c>
      <c r="L2535" s="17">
        <f>INDEX('реш СГД № 265'!$A:$N,MATCH('БА расх 2018 31 12 2018'!$K2535,'реш СГД № 265'!$N:$N,0),3)</f>
        <v>0</v>
      </c>
      <c r="M2535" s="16">
        <f t="shared" si="175"/>
        <v>1</v>
      </c>
    </row>
    <row r="2536" spans="1:13" ht="15.75">
      <c r="A2536" s="48"/>
      <c r="B2536" s="93"/>
      <c r="C2536" s="94"/>
      <c r="D2536" s="90"/>
      <c r="E2536" s="90"/>
      <c r="F2536" s="90"/>
      <c r="G2536" s="90"/>
      <c r="H2536" s="77"/>
      <c r="I2536" s="90"/>
      <c r="J2536" s="90" t="str">
        <f t="shared" si="174"/>
        <v>0000000000</v>
      </c>
      <c r="K2536" s="304" t="str">
        <f t="shared" si="173"/>
        <v>0000000000</v>
      </c>
      <c r="L2536" s="17">
        <f>INDEX('реш СГД № 265'!$A:$N,MATCH('БА расх 2018 31 12 2018'!$K2536,'реш СГД № 265'!$N:$N,0),3)</f>
        <v>0</v>
      </c>
      <c r="M2536" s="16">
        <f t="shared" si="175"/>
        <v>1</v>
      </c>
    </row>
    <row r="2537" spans="1:13">
      <c r="A2537" s="48"/>
      <c r="B2537" s="93"/>
      <c r="C2537" s="94"/>
      <c r="D2537" s="90"/>
      <c r="E2537" s="90"/>
      <c r="F2537" s="90"/>
      <c r="G2537" s="90"/>
      <c r="H2537" s="77"/>
      <c r="I2537" s="90"/>
      <c r="J2537" s="90"/>
      <c r="K2537" s="292"/>
      <c r="L2537" s="292"/>
      <c r="M2537" s="48"/>
    </row>
    <row r="2538" spans="1:13">
      <c r="A2538" s="48"/>
      <c r="B2538" s="93"/>
      <c r="C2538" s="94"/>
      <c r="D2538" s="90"/>
      <c r="E2538" s="90"/>
      <c r="F2538" s="90"/>
      <c r="G2538" s="90"/>
      <c r="H2538" s="77"/>
      <c r="I2538" s="90"/>
      <c r="J2538" s="90"/>
      <c r="K2538" s="292"/>
      <c r="L2538" s="292"/>
      <c r="M2538" s="48"/>
    </row>
    <row r="2539" spans="1:13">
      <c r="A2539" s="48"/>
      <c r="B2539" s="93"/>
      <c r="C2539" s="94"/>
      <c r="D2539" s="90"/>
      <c r="E2539" s="90"/>
      <c r="F2539" s="90"/>
      <c r="G2539" s="90"/>
      <c r="H2539" s="76"/>
      <c r="I2539" s="90"/>
      <c r="J2539" s="90"/>
      <c r="K2539" s="292"/>
      <c r="L2539" s="292"/>
      <c r="M2539" s="48"/>
    </row>
    <row r="2540" spans="1:13">
      <c r="A2540" s="48"/>
      <c r="B2540" s="93"/>
      <c r="C2540" s="94"/>
      <c r="D2540" s="90"/>
      <c r="E2540" s="90"/>
      <c r="F2540" s="90"/>
      <c r="G2540" s="90"/>
      <c r="H2540" s="76"/>
      <c r="I2540" s="90"/>
      <c r="J2540" s="90"/>
      <c r="K2540" s="292"/>
      <c r="L2540" s="292"/>
      <c r="M2540" s="48"/>
    </row>
    <row r="2541" spans="1:13">
      <c r="A2541" s="48"/>
      <c r="B2541" s="93"/>
      <c r="C2541" s="94"/>
      <c r="D2541" s="90"/>
      <c r="E2541" s="90"/>
      <c r="F2541" s="90"/>
      <c r="G2541" s="90"/>
      <c r="H2541" s="76"/>
      <c r="I2541" s="90"/>
      <c r="J2541" s="90"/>
      <c r="K2541" s="292"/>
      <c r="L2541" s="292"/>
      <c r="M2541" s="48"/>
    </row>
    <row r="2542" spans="1:13">
      <c r="A2542" s="48"/>
      <c r="B2542" s="93"/>
      <c r="C2542" s="94"/>
      <c r="D2542" s="90"/>
      <c r="E2542" s="90"/>
      <c r="F2542" s="90"/>
      <c r="G2542" s="90"/>
      <c r="H2542" s="76"/>
      <c r="I2542" s="90"/>
      <c r="J2542" s="90"/>
      <c r="K2542" s="292"/>
      <c r="L2542" s="292"/>
      <c r="M2542" s="48"/>
    </row>
    <row r="2543" spans="1:13">
      <c r="A2543" s="48"/>
      <c r="B2543" s="93"/>
      <c r="C2543" s="94"/>
      <c r="D2543" s="90"/>
      <c r="E2543" s="90"/>
      <c r="F2543" s="90"/>
      <c r="G2543" s="90"/>
      <c r="H2543" s="77"/>
      <c r="I2543" s="90"/>
      <c r="J2543" s="90"/>
      <c r="K2543" s="292"/>
      <c r="L2543" s="292"/>
      <c r="M2543" s="48"/>
    </row>
    <row r="2544" spans="1:13">
      <c r="A2544" s="48"/>
      <c r="B2544" s="93"/>
      <c r="C2544" s="94"/>
      <c r="D2544" s="90"/>
      <c r="E2544" s="90"/>
      <c r="F2544" s="90"/>
      <c r="G2544" s="90"/>
      <c r="H2544" s="77"/>
      <c r="I2544" s="90"/>
      <c r="J2544" s="90"/>
      <c r="K2544" s="292"/>
      <c r="L2544" s="292"/>
      <c r="M2544" s="48"/>
    </row>
    <row r="2545" spans="1:13">
      <c r="A2545" s="48"/>
      <c r="B2545" s="93"/>
      <c r="C2545" s="94"/>
      <c r="D2545" s="90"/>
      <c r="E2545" s="90"/>
      <c r="F2545" s="90"/>
      <c r="G2545" s="90"/>
      <c r="H2545" s="77"/>
      <c r="I2545" s="90"/>
      <c r="J2545" s="90"/>
      <c r="K2545" s="292"/>
      <c r="L2545" s="292"/>
      <c r="M2545" s="48"/>
    </row>
    <row r="2546" spans="1:13">
      <c r="A2546" s="48"/>
      <c r="B2546" s="93"/>
      <c r="C2546" s="94"/>
      <c r="D2546" s="90"/>
      <c r="E2546" s="90"/>
      <c r="F2546" s="90"/>
      <c r="G2546" s="90"/>
      <c r="H2546" s="77"/>
      <c r="I2546" s="90"/>
      <c r="J2546" s="90"/>
      <c r="K2546" s="292"/>
      <c r="L2546" s="292"/>
      <c r="M2546" s="48"/>
    </row>
    <row r="2547" spans="1:13">
      <c r="A2547" s="48"/>
      <c r="B2547" s="93"/>
      <c r="C2547" s="94"/>
      <c r="D2547" s="90"/>
      <c r="E2547" s="90"/>
      <c r="F2547" s="90"/>
      <c r="G2547" s="90"/>
      <c r="H2547" s="77"/>
      <c r="I2547" s="90"/>
      <c r="J2547" s="90"/>
      <c r="K2547" s="292"/>
      <c r="L2547" s="292"/>
      <c r="M2547" s="48"/>
    </row>
    <row r="2548" spans="1:13">
      <c r="A2548" s="48"/>
      <c r="B2548" s="93"/>
      <c r="C2548" s="94"/>
      <c r="D2548" s="90"/>
      <c r="E2548" s="90"/>
      <c r="F2548" s="90"/>
      <c r="G2548" s="90"/>
      <c r="H2548" s="77"/>
      <c r="I2548" s="90"/>
      <c r="J2548" s="90"/>
      <c r="K2548" s="292"/>
      <c r="L2548" s="292"/>
      <c r="M2548" s="48"/>
    </row>
    <row r="2549" spans="1:13">
      <c r="A2549" s="48"/>
      <c r="B2549" s="93"/>
      <c r="C2549" s="94"/>
      <c r="D2549" s="90"/>
      <c r="E2549" s="90"/>
      <c r="F2549" s="90"/>
      <c r="G2549" s="90"/>
      <c r="H2549" s="77"/>
      <c r="I2549" s="90"/>
      <c r="J2549" s="90"/>
      <c r="K2549" s="292"/>
      <c r="L2549" s="292"/>
      <c r="M2549" s="48"/>
    </row>
    <row r="2550" spans="1:13">
      <c r="A2550" s="48"/>
      <c r="B2550" s="93"/>
      <c r="C2550" s="94"/>
      <c r="D2550" s="90"/>
      <c r="E2550" s="90"/>
      <c r="F2550" s="90"/>
      <c r="G2550" s="90"/>
      <c r="H2550" s="77"/>
      <c r="I2550" s="90"/>
      <c r="J2550" s="90"/>
      <c r="K2550" s="292"/>
      <c r="L2550" s="292"/>
      <c r="M2550" s="48"/>
    </row>
    <row r="2551" spans="1:13">
      <c r="A2551" s="48"/>
      <c r="B2551" s="93"/>
      <c r="C2551" s="94"/>
      <c r="D2551" s="90"/>
      <c r="E2551" s="90"/>
      <c r="F2551" s="90"/>
      <c r="G2551" s="90"/>
      <c r="H2551" s="77"/>
      <c r="I2551" s="90"/>
      <c r="J2551" s="90"/>
      <c r="K2551" s="292"/>
      <c r="L2551" s="292"/>
      <c r="M2551" s="48"/>
    </row>
    <row r="2552" spans="1:13">
      <c r="A2552" s="48"/>
      <c r="B2552" s="93"/>
      <c r="C2552" s="94"/>
      <c r="D2552" s="90"/>
      <c r="E2552" s="90"/>
      <c r="F2552" s="90"/>
      <c r="G2552" s="90"/>
      <c r="H2552" s="77"/>
      <c r="I2552" s="90"/>
      <c r="J2552" s="90"/>
      <c r="K2552" s="292"/>
      <c r="L2552" s="292"/>
      <c r="M2552" s="48"/>
    </row>
    <row r="2553" spans="1:13">
      <c r="A2553" s="48"/>
      <c r="B2553" s="93"/>
      <c r="C2553" s="94"/>
      <c r="D2553" s="90"/>
      <c r="E2553" s="90"/>
      <c r="F2553" s="90"/>
      <c r="G2553" s="90"/>
      <c r="H2553" s="77"/>
      <c r="I2553" s="90"/>
      <c r="J2553" s="90"/>
      <c r="K2553" s="292"/>
      <c r="L2553" s="292"/>
      <c r="M2553" s="48"/>
    </row>
    <row r="2554" spans="1:13">
      <c r="A2554" s="48"/>
      <c r="B2554" s="93"/>
      <c r="C2554" s="94"/>
      <c r="D2554" s="90"/>
      <c r="E2554" s="90"/>
      <c r="F2554" s="90"/>
      <c r="G2554" s="90"/>
      <c r="H2554" s="77"/>
      <c r="I2554" s="90"/>
      <c r="J2554" s="90"/>
      <c r="K2554" s="292"/>
      <c r="L2554" s="292"/>
      <c r="M2554" s="48"/>
    </row>
    <row r="2555" spans="1:13">
      <c r="A2555" s="48"/>
      <c r="B2555" s="93"/>
      <c r="C2555" s="94"/>
      <c r="D2555" s="90"/>
      <c r="E2555" s="90"/>
      <c r="F2555" s="90"/>
      <c r="G2555" s="90"/>
      <c r="H2555" s="77"/>
      <c r="I2555" s="90"/>
      <c r="J2555" s="90"/>
      <c r="K2555" s="292"/>
      <c r="L2555" s="292"/>
      <c r="M2555" s="48"/>
    </row>
    <row r="2556" spans="1:13">
      <c r="A2556" s="48"/>
      <c r="B2556" s="93"/>
      <c r="C2556" s="94"/>
      <c r="D2556" s="90"/>
      <c r="E2556" s="90"/>
      <c r="F2556" s="90"/>
      <c r="G2556" s="90"/>
      <c r="H2556" s="77"/>
      <c r="I2556" s="90"/>
      <c r="J2556" s="90"/>
      <c r="K2556" s="292"/>
      <c r="L2556" s="292"/>
      <c r="M2556" s="48"/>
    </row>
    <row r="2557" spans="1:13">
      <c r="A2557" s="48"/>
      <c r="B2557" s="93"/>
      <c r="C2557" s="94"/>
      <c r="D2557" s="90"/>
      <c r="E2557" s="90"/>
      <c r="F2557" s="90"/>
      <c r="G2557" s="90"/>
      <c r="H2557" s="77"/>
      <c r="I2557" s="90"/>
      <c r="J2557" s="90"/>
      <c r="K2557" s="292"/>
      <c r="L2557" s="292"/>
      <c r="M2557" s="48"/>
    </row>
    <row r="2558" spans="1:13">
      <c r="A2558" s="48"/>
      <c r="B2558" s="93"/>
      <c r="C2558" s="94"/>
      <c r="D2558" s="90"/>
      <c r="E2558" s="90"/>
      <c r="F2558" s="90"/>
      <c r="G2558" s="90"/>
      <c r="H2558" s="77"/>
      <c r="I2558" s="90"/>
      <c r="J2558" s="90"/>
      <c r="K2558" s="292"/>
      <c r="L2558" s="292"/>
      <c r="M2558" s="48"/>
    </row>
    <row r="2559" spans="1:13">
      <c r="A2559" s="48"/>
      <c r="B2559" s="93"/>
      <c r="C2559" s="94"/>
      <c r="D2559" s="90"/>
      <c r="E2559" s="90"/>
      <c r="F2559" s="90"/>
      <c r="G2559" s="90"/>
      <c r="H2559" s="77"/>
      <c r="I2559" s="90"/>
      <c r="J2559" s="90"/>
      <c r="K2559" s="292"/>
      <c r="L2559" s="292"/>
      <c r="M2559" s="48"/>
    </row>
    <row r="2560" spans="1:13">
      <c r="A2560" s="48"/>
      <c r="B2560" s="93"/>
      <c r="C2560" s="94"/>
      <c r="D2560" s="90"/>
      <c r="E2560" s="90"/>
      <c r="F2560" s="90"/>
      <c r="G2560" s="90"/>
      <c r="H2560" s="77"/>
      <c r="I2560" s="90"/>
      <c r="J2560" s="90"/>
      <c r="K2560" s="292"/>
      <c r="L2560" s="292"/>
      <c r="M2560" s="48"/>
    </row>
    <row r="2561" spans="1:13">
      <c r="A2561" s="48"/>
      <c r="B2561" s="93"/>
      <c r="C2561" s="94"/>
      <c r="D2561" s="90"/>
      <c r="E2561" s="90"/>
      <c r="F2561" s="90"/>
      <c r="G2561" s="90"/>
      <c r="H2561" s="77"/>
      <c r="I2561" s="90"/>
      <c r="J2561" s="90"/>
      <c r="K2561" s="292"/>
      <c r="L2561" s="292"/>
      <c r="M2561" s="48"/>
    </row>
    <row r="2562" spans="1:13">
      <c r="A2562" s="48"/>
      <c r="B2562" s="93"/>
      <c r="C2562" s="94"/>
      <c r="D2562" s="90"/>
      <c r="E2562" s="90"/>
      <c r="F2562" s="90"/>
      <c r="G2562" s="90"/>
      <c r="H2562" s="77"/>
      <c r="I2562" s="90"/>
      <c r="J2562" s="90"/>
      <c r="K2562" s="292"/>
      <c r="L2562" s="292"/>
      <c r="M2562" s="48"/>
    </row>
    <row r="2563" spans="1:13">
      <c r="A2563" s="48"/>
      <c r="B2563" s="93"/>
      <c r="C2563" s="94"/>
      <c r="D2563" s="90"/>
      <c r="E2563" s="90"/>
      <c r="F2563" s="90"/>
      <c r="G2563" s="90"/>
      <c r="H2563" s="77"/>
      <c r="I2563" s="90"/>
      <c r="J2563" s="90"/>
      <c r="K2563" s="292"/>
      <c r="L2563" s="292"/>
      <c r="M2563" s="48"/>
    </row>
    <row r="2564" spans="1:13">
      <c r="A2564" s="48"/>
      <c r="B2564" s="93"/>
      <c r="C2564" s="94"/>
      <c r="D2564" s="90"/>
      <c r="E2564" s="90"/>
      <c r="F2564" s="90"/>
      <c r="G2564" s="90"/>
      <c r="H2564" s="77"/>
      <c r="I2564" s="90"/>
      <c r="J2564" s="90"/>
      <c r="K2564" s="292"/>
      <c r="L2564" s="292"/>
      <c r="M2564" s="48"/>
    </row>
    <row r="2565" spans="1:13">
      <c r="A2565" s="48"/>
      <c r="B2565" s="93"/>
      <c r="C2565" s="94"/>
      <c r="D2565" s="90"/>
      <c r="E2565" s="90"/>
      <c r="F2565" s="90"/>
      <c r="G2565" s="90"/>
      <c r="H2565" s="77"/>
      <c r="I2565" s="90"/>
      <c r="J2565" s="90"/>
      <c r="K2565" s="292"/>
      <c r="L2565" s="292"/>
      <c r="M2565" s="48"/>
    </row>
    <row r="2566" spans="1:13">
      <c r="A2566" s="48"/>
      <c r="B2566" s="93"/>
      <c r="C2566" s="94"/>
      <c r="D2566" s="90"/>
      <c r="E2566" s="90"/>
      <c r="F2566" s="90"/>
      <c r="G2566" s="90"/>
      <c r="H2566" s="77"/>
      <c r="I2566" s="90"/>
      <c r="J2566" s="90"/>
      <c r="K2566" s="292"/>
      <c r="L2566" s="292"/>
      <c r="M2566" s="48"/>
    </row>
    <row r="2567" spans="1:13">
      <c r="A2567" s="48"/>
      <c r="B2567" s="93"/>
      <c r="C2567" s="94"/>
      <c r="D2567" s="90"/>
      <c r="E2567" s="90"/>
      <c r="F2567" s="90"/>
      <c r="G2567" s="90"/>
      <c r="H2567" s="77"/>
      <c r="I2567" s="90"/>
      <c r="J2567" s="90"/>
      <c r="K2567" s="292"/>
      <c r="L2567" s="292"/>
      <c r="M2567" s="48"/>
    </row>
    <row r="2568" spans="1:13">
      <c r="A2568" s="48"/>
      <c r="B2568" s="93"/>
      <c r="C2568" s="94"/>
      <c r="D2568" s="90"/>
      <c r="E2568" s="90"/>
      <c r="F2568" s="90"/>
      <c r="G2568" s="90"/>
      <c r="H2568" s="77"/>
      <c r="I2568" s="90"/>
      <c r="J2568" s="90"/>
      <c r="K2568" s="292"/>
      <c r="L2568" s="292"/>
      <c r="M2568" s="48"/>
    </row>
    <row r="2569" spans="1:13">
      <c r="A2569" s="48"/>
      <c r="B2569" s="93"/>
      <c r="C2569" s="94"/>
      <c r="D2569" s="90"/>
      <c r="E2569" s="90"/>
      <c r="F2569" s="90"/>
      <c r="G2569" s="90"/>
      <c r="H2569" s="77"/>
      <c r="I2569" s="90"/>
      <c r="J2569" s="90"/>
      <c r="K2569" s="292"/>
      <c r="L2569" s="292"/>
      <c r="M2569" s="48"/>
    </row>
    <row r="2570" spans="1:13">
      <c r="A2570" s="48"/>
      <c r="B2570" s="93"/>
      <c r="C2570" s="94"/>
      <c r="D2570" s="90"/>
      <c r="E2570" s="90"/>
      <c r="F2570" s="90"/>
      <c r="G2570" s="90"/>
      <c r="H2570" s="77"/>
      <c r="I2570" s="90"/>
      <c r="J2570" s="90"/>
      <c r="K2570" s="292"/>
      <c r="L2570" s="292"/>
      <c r="M2570" s="48"/>
    </row>
    <row r="2571" spans="1:13">
      <c r="A2571" s="48"/>
      <c r="B2571" s="93"/>
      <c r="C2571" s="94"/>
      <c r="D2571" s="90"/>
      <c r="E2571" s="90"/>
      <c r="F2571" s="90"/>
      <c r="G2571" s="90"/>
      <c r="H2571" s="77"/>
      <c r="I2571" s="90"/>
      <c r="J2571" s="90"/>
      <c r="K2571" s="292"/>
      <c r="L2571" s="292"/>
      <c r="M2571" s="48"/>
    </row>
    <row r="2572" spans="1:13">
      <c r="A2572" s="48"/>
      <c r="B2572" s="93"/>
      <c r="C2572" s="94"/>
      <c r="D2572" s="90"/>
      <c r="E2572" s="90"/>
      <c r="F2572" s="90"/>
      <c r="G2572" s="90"/>
      <c r="H2572" s="77"/>
      <c r="I2572" s="90"/>
      <c r="J2572" s="90"/>
      <c r="K2572" s="292"/>
      <c r="L2572" s="292"/>
      <c r="M2572" s="48"/>
    </row>
    <row r="2573" spans="1:13">
      <c r="A2573" s="48"/>
      <c r="B2573" s="93"/>
      <c r="C2573" s="94"/>
      <c r="D2573" s="90"/>
      <c r="E2573" s="90"/>
      <c r="F2573" s="90"/>
      <c r="G2573" s="90"/>
      <c r="H2573" s="77"/>
      <c r="I2573" s="90"/>
      <c r="J2573" s="90"/>
      <c r="K2573" s="292"/>
      <c r="L2573" s="292"/>
      <c r="M2573" s="48"/>
    </row>
    <row r="2574" spans="1:13">
      <c r="A2574" s="48"/>
      <c r="B2574" s="93"/>
      <c r="C2574" s="94"/>
      <c r="D2574" s="90"/>
      <c r="E2574" s="90"/>
      <c r="F2574" s="90"/>
      <c r="G2574" s="90"/>
      <c r="H2574" s="77"/>
      <c r="I2574" s="90"/>
      <c r="J2574" s="90"/>
      <c r="K2574" s="292"/>
      <c r="L2574" s="292"/>
      <c r="M2574" s="48"/>
    </row>
    <row r="2575" spans="1:13">
      <c r="A2575" s="48"/>
      <c r="B2575" s="93"/>
      <c r="C2575" s="94"/>
      <c r="D2575" s="90"/>
      <c r="E2575" s="90"/>
      <c r="F2575" s="90"/>
      <c r="G2575" s="90"/>
      <c r="H2575" s="77"/>
      <c r="I2575" s="90"/>
      <c r="J2575" s="90"/>
      <c r="K2575" s="292"/>
      <c r="L2575" s="292"/>
      <c r="M2575" s="48"/>
    </row>
    <row r="2576" spans="1:13">
      <c r="A2576" s="48"/>
      <c r="B2576" s="93"/>
      <c r="C2576" s="94"/>
      <c r="D2576" s="90"/>
      <c r="E2576" s="90"/>
      <c r="F2576" s="90"/>
      <c r="G2576" s="90"/>
      <c r="H2576" s="77"/>
      <c r="I2576" s="90"/>
      <c r="J2576" s="90"/>
      <c r="K2576" s="292"/>
      <c r="L2576" s="292"/>
      <c r="M2576" s="48"/>
    </row>
    <row r="2577" spans="1:13">
      <c r="A2577" s="48"/>
      <c r="B2577" s="93"/>
      <c r="C2577" s="94"/>
      <c r="D2577" s="90"/>
      <c r="E2577" s="90"/>
      <c r="F2577" s="90"/>
      <c r="G2577" s="90"/>
      <c r="H2577" s="77"/>
      <c r="I2577" s="90"/>
      <c r="J2577" s="90"/>
      <c r="K2577" s="292"/>
      <c r="L2577" s="292"/>
      <c r="M2577" s="48"/>
    </row>
    <row r="2578" spans="1:13">
      <c r="A2578" s="48"/>
      <c r="B2578" s="93"/>
      <c r="C2578" s="94"/>
      <c r="D2578" s="90"/>
      <c r="E2578" s="90"/>
      <c r="F2578" s="90"/>
      <c r="G2578" s="90"/>
      <c r="H2578" s="77"/>
      <c r="I2578" s="90"/>
      <c r="J2578" s="90"/>
      <c r="K2578" s="292"/>
      <c r="L2578" s="292"/>
      <c r="M2578" s="48"/>
    </row>
    <row r="2579" spans="1:13">
      <c r="A2579" s="48"/>
      <c r="B2579" s="93"/>
      <c r="C2579" s="94"/>
      <c r="D2579" s="90"/>
      <c r="E2579" s="90"/>
      <c r="F2579" s="90"/>
      <c r="G2579" s="90"/>
      <c r="H2579" s="77"/>
      <c r="I2579" s="90"/>
      <c r="J2579" s="90"/>
      <c r="K2579" s="292"/>
      <c r="L2579" s="292"/>
      <c r="M2579" s="48"/>
    </row>
    <row r="2580" spans="1:13">
      <c r="A2580" s="48"/>
      <c r="B2580" s="93"/>
      <c r="C2580" s="94"/>
      <c r="D2580" s="90"/>
      <c r="E2580" s="90"/>
      <c r="F2580" s="90"/>
      <c r="G2580" s="90"/>
      <c r="H2580" s="77"/>
      <c r="I2580" s="90"/>
      <c r="J2580" s="90"/>
      <c r="K2580" s="292"/>
      <c r="L2580" s="292"/>
      <c r="M2580" s="48"/>
    </row>
    <row r="2581" spans="1:13">
      <c r="A2581" s="48"/>
      <c r="B2581" s="93"/>
      <c r="C2581" s="94"/>
      <c r="D2581" s="90"/>
      <c r="E2581" s="90"/>
      <c r="F2581" s="90"/>
      <c r="G2581" s="90"/>
      <c r="H2581" s="77"/>
      <c r="I2581" s="90"/>
      <c r="J2581" s="90"/>
      <c r="K2581" s="292"/>
      <c r="L2581" s="292"/>
      <c r="M2581" s="48"/>
    </row>
    <row r="2582" spans="1:13">
      <c r="A2582" s="48"/>
      <c r="B2582" s="93"/>
      <c r="C2582" s="94"/>
      <c r="D2582" s="90"/>
      <c r="E2582" s="90"/>
      <c r="F2582" s="90"/>
      <c r="G2582" s="90"/>
      <c r="H2582" s="77"/>
      <c r="I2582" s="90"/>
      <c r="J2582" s="90"/>
      <c r="K2582" s="292"/>
      <c r="L2582" s="292"/>
      <c r="M2582" s="48"/>
    </row>
    <row r="2583" spans="1:13">
      <c r="B2583" s="93"/>
      <c r="C2583" s="94"/>
      <c r="D2583" s="90"/>
      <c r="E2583" s="90"/>
      <c r="F2583" s="90"/>
      <c r="G2583" s="90"/>
      <c r="H2583" s="77"/>
      <c r="I2583" s="90"/>
      <c r="J2583" s="90"/>
      <c r="K2583" s="292"/>
      <c r="L2583" s="292"/>
      <c r="M2583" s="48"/>
    </row>
    <row r="2584" spans="1:13">
      <c r="B2584" s="93"/>
      <c r="C2584" s="94"/>
      <c r="D2584" s="90"/>
      <c r="E2584" s="90"/>
      <c r="F2584" s="90"/>
      <c r="G2584" s="90"/>
      <c r="H2584" s="77"/>
      <c r="I2584" s="90"/>
      <c r="J2584" s="90"/>
      <c r="K2584" s="292"/>
      <c r="L2584" s="292"/>
      <c r="M2584" s="48"/>
    </row>
    <row r="2585" spans="1:13">
      <c r="B2585" s="93"/>
      <c r="C2585" s="94"/>
      <c r="D2585" s="90"/>
      <c r="E2585" s="90"/>
      <c r="F2585" s="90"/>
      <c r="G2585" s="90"/>
      <c r="H2585" s="77"/>
      <c r="I2585" s="90"/>
      <c r="J2585" s="90"/>
      <c r="K2585" s="292"/>
      <c r="L2585" s="292"/>
      <c r="M2585" s="48"/>
    </row>
    <row r="2586" spans="1:13">
      <c r="B2586" s="93"/>
      <c r="C2586" s="94"/>
      <c r="D2586" s="90"/>
      <c r="E2586" s="90"/>
      <c r="F2586" s="90"/>
      <c r="G2586" s="90"/>
      <c r="H2586" s="77"/>
      <c r="I2586" s="90"/>
      <c r="J2586" s="90"/>
      <c r="K2586" s="292"/>
      <c r="L2586" s="292"/>
      <c r="M2586" s="48"/>
    </row>
    <row r="2587" spans="1:13">
      <c r="B2587" s="93"/>
      <c r="C2587" s="94"/>
      <c r="D2587" s="90"/>
      <c r="E2587" s="90"/>
      <c r="F2587" s="90"/>
      <c r="G2587" s="90"/>
      <c r="H2587" s="77"/>
      <c r="I2587" s="90"/>
      <c r="J2587" s="90"/>
      <c r="K2587" s="292"/>
      <c r="L2587" s="292"/>
      <c r="M2587" s="48"/>
    </row>
    <row r="2588" spans="1:13">
      <c r="B2588" s="93"/>
      <c r="C2588" s="94"/>
      <c r="D2588" s="90"/>
      <c r="E2588" s="90"/>
      <c r="F2588" s="90"/>
      <c r="G2588" s="90"/>
      <c r="H2588" s="77"/>
      <c r="I2588" s="90"/>
      <c r="J2588" s="90"/>
      <c r="K2588" s="292"/>
      <c r="L2588" s="292"/>
      <c r="M2588" s="48"/>
    </row>
    <row r="2589" spans="1:13">
      <c r="B2589" s="93"/>
      <c r="C2589" s="94"/>
      <c r="D2589" s="90"/>
      <c r="E2589" s="90"/>
      <c r="F2589" s="90"/>
      <c r="G2589" s="90"/>
      <c r="H2589" s="77"/>
      <c r="I2589" s="90"/>
      <c r="J2589" s="90"/>
      <c r="K2589" s="292"/>
      <c r="L2589" s="292"/>
      <c r="M2589" s="48"/>
    </row>
    <row r="2590" spans="1:13">
      <c r="B2590" s="93"/>
      <c r="C2590" s="94"/>
      <c r="D2590" s="90"/>
      <c r="E2590" s="90"/>
      <c r="F2590" s="90"/>
      <c r="G2590" s="90"/>
      <c r="H2590" s="77"/>
      <c r="I2590" s="90"/>
      <c r="J2590" s="90"/>
      <c r="K2590" s="292"/>
      <c r="L2590" s="292"/>
      <c r="M2590" s="48"/>
    </row>
    <row r="2591" spans="1:13">
      <c r="B2591" s="93"/>
      <c r="C2591" s="94"/>
      <c r="D2591" s="90"/>
      <c r="E2591" s="90"/>
      <c r="F2591" s="90"/>
      <c r="G2591" s="90"/>
      <c r="H2591" s="77"/>
      <c r="I2591" s="90"/>
      <c r="J2591" s="90"/>
      <c r="K2591" s="292"/>
      <c r="L2591" s="292"/>
      <c r="M2591" s="48"/>
    </row>
    <row r="2592" spans="1:13">
      <c r="B2592" s="93"/>
      <c r="C2592" s="94"/>
      <c r="D2592" s="90"/>
      <c r="E2592" s="90"/>
      <c r="F2592" s="90"/>
      <c r="G2592" s="90"/>
      <c r="H2592" s="77"/>
      <c r="I2592" s="90"/>
      <c r="J2592" s="90"/>
      <c r="K2592" s="292"/>
      <c r="L2592" s="292"/>
      <c r="M2592" s="48"/>
    </row>
    <row r="2593" spans="1:13">
      <c r="B2593" s="93"/>
      <c r="C2593" s="94"/>
      <c r="D2593" s="90"/>
      <c r="E2593" s="90"/>
      <c r="F2593" s="90"/>
      <c r="G2593" s="90"/>
      <c r="H2593" s="77"/>
      <c r="I2593" s="90"/>
      <c r="J2593" s="90"/>
      <c r="K2593" s="292"/>
      <c r="L2593" s="292"/>
      <c r="M2593" s="48"/>
    </row>
    <row r="2594" spans="1:13">
      <c r="B2594" s="93"/>
      <c r="C2594" s="94"/>
      <c r="D2594" s="90"/>
      <c r="E2594" s="90"/>
      <c r="F2594" s="90"/>
      <c r="G2594" s="90"/>
      <c r="H2594" s="77"/>
      <c r="I2594" s="90"/>
      <c r="J2594" s="90"/>
      <c r="K2594" s="292"/>
      <c r="L2594" s="292"/>
      <c r="M2594" s="48"/>
    </row>
    <row r="2595" spans="1:13" customFormat="1">
      <c r="A2595" s="40"/>
      <c r="B2595" s="93"/>
      <c r="C2595" s="94"/>
      <c r="D2595" s="90"/>
      <c r="E2595" s="90"/>
      <c r="F2595" s="90"/>
      <c r="G2595" s="90"/>
      <c r="H2595" s="77"/>
      <c r="I2595" s="90"/>
      <c r="J2595" s="90"/>
      <c r="K2595" s="292"/>
      <c r="L2595" s="292"/>
      <c r="M2595" s="48"/>
    </row>
    <row r="2596" spans="1:13" customFormat="1">
      <c r="A2596" s="40"/>
      <c r="B2596" s="93"/>
      <c r="C2596" s="94"/>
      <c r="D2596" s="90"/>
      <c r="E2596" s="90"/>
      <c r="F2596" s="90"/>
      <c r="G2596" s="90"/>
      <c r="H2596" s="77"/>
      <c r="I2596" s="90"/>
      <c r="J2596" s="90"/>
      <c r="K2596" s="292"/>
      <c r="L2596" s="292"/>
      <c r="M2596" s="48"/>
    </row>
    <row r="2597" spans="1:13" customFormat="1">
      <c r="A2597" s="40"/>
      <c r="B2597" s="93"/>
      <c r="C2597" s="94"/>
      <c r="D2597" s="90"/>
      <c r="E2597" s="90"/>
      <c r="F2597" s="90"/>
      <c r="G2597" s="90"/>
      <c r="H2597" s="77"/>
      <c r="I2597" s="90"/>
      <c r="J2597" s="90"/>
      <c r="K2597" s="292"/>
      <c r="L2597" s="292"/>
      <c r="M2597" s="48"/>
    </row>
    <row r="2598" spans="1:13" customFormat="1">
      <c r="A2598" s="40"/>
      <c r="B2598" s="93"/>
      <c r="C2598" s="94"/>
      <c r="D2598" s="90"/>
      <c r="E2598" s="90"/>
      <c r="F2598" s="90"/>
      <c r="G2598" s="90"/>
      <c r="H2598" s="77"/>
      <c r="I2598" s="90"/>
      <c r="J2598" s="90"/>
      <c r="K2598" s="292"/>
      <c r="L2598" s="292"/>
      <c r="M2598" s="48"/>
    </row>
    <row r="2599" spans="1:13" customFormat="1">
      <c r="A2599" s="40"/>
      <c r="B2599" s="93"/>
      <c r="C2599" s="94"/>
      <c r="D2599" s="90"/>
      <c r="E2599" s="90"/>
      <c r="F2599" s="90"/>
      <c r="G2599" s="90"/>
      <c r="H2599" s="77"/>
      <c r="I2599" s="90"/>
      <c r="J2599" s="90"/>
      <c r="K2599" s="292"/>
      <c r="L2599" s="292"/>
      <c r="M2599" s="48"/>
    </row>
    <row r="2600" spans="1:13" customFormat="1">
      <c r="A2600" s="40"/>
      <c r="B2600" s="93"/>
      <c r="C2600" s="94"/>
      <c r="D2600" s="90"/>
      <c r="E2600" s="90"/>
      <c r="F2600" s="90"/>
      <c r="G2600" s="90"/>
      <c r="H2600" s="77"/>
      <c r="I2600" s="90"/>
      <c r="J2600" s="90"/>
      <c r="K2600" s="292"/>
      <c r="L2600" s="292"/>
      <c r="M2600" s="48"/>
    </row>
    <row r="2601" spans="1:13" customFormat="1">
      <c r="A2601" s="40"/>
      <c r="B2601" s="93"/>
      <c r="C2601" s="94"/>
      <c r="D2601" s="90"/>
      <c r="E2601" s="90"/>
      <c r="F2601" s="90"/>
      <c r="G2601" s="90"/>
      <c r="H2601" s="77"/>
      <c r="I2601" s="90"/>
      <c r="J2601" s="90"/>
      <c r="K2601" s="292"/>
      <c r="L2601" s="292"/>
      <c r="M2601" s="48"/>
    </row>
    <row r="2602" spans="1:13" customFormat="1">
      <c r="A2602" s="40"/>
      <c r="B2602" s="93"/>
      <c r="C2602" s="94"/>
      <c r="D2602" s="90"/>
      <c r="E2602" s="90"/>
      <c r="F2602" s="90"/>
      <c r="G2602" s="90"/>
      <c r="H2602" s="77"/>
      <c r="I2602" s="90"/>
      <c r="J2602" s="90"/>
      <c r="K2602" s="292"/>
      <c r="L2602" s="292"/>
      <c r="M2602" s="48"/>
    </row>
    <row r="2603" spans="1:13" customFormat="1">
      <c r="A2603" s="40"/>
      <c r="B2603" s="93"/>
      <c r="C2603" s="94"/>
      <c r="D2603" s="90"/>
      <c r="E2603" s="90"/>
      <c r="F2603" s="90"/>
      <c r="G2603" s="90"/>
      <c r="H2603" s="77"/>
      <c r="I2603" s="90"/>
      <c r="J2603" s="90"/>
      <c r="K2603" s="292"/>
      <c r="L2603" s="292"/>
      <c r="M2603" s="48"/>
    </row>
    <row r="2604" spans="1:13" customFormat="1">
      <c r="A2604" s="40"/>
      <c r="B2604" s="93"/>
      <c r="C2604" s="94"/>
      <c r="D2604" s="90"/>
      <c r="E2604" s="90"/>
      <c r="F2604" s="90"/>
      <c r="G2604" s="90"/>
      <c r="H2604" s="77"/>
      <c r="I2604" s="90"/>
      <c r="J2604" s="90"/>
      <c r="K2604" s="292"/>
      <c r="L2604" s="292"/>
      <c r="M2604" s="48"/>
    </row>
    <row r="2605" spans="1:13" customFormat="1">
      <c r="A2605" s="40"/>
      <c r="B2605" s="93"/>
      <c r="C2605" s="94"/>
      <c r="D2605" s="90"/>
      <c r="E2605" s="90"/>
      <c r="F2605" s="90"/>
      <c r="G2605" s="90"/>
      <c r="H2605" s="77"/>
      <c r="I2605" s="90"/>
      <c r="J2605" s="90"/>
      <c r="K2605" s="292"/>
      <c r="L2605" s="292"/>
      <c r="M2605" s="48"/>
    </row>
    <row r="2606" spans="1:13" customFormat="1">
      <c r="A2606" s="40"/>
      <c r="B2606" s="93"/>
      <c r="C2606" s="94"/>
      <c r="D2606" s="90"/>
      <c r="E2606" s="90"/>
      <c r="F2606" s="90"/>
      <c r="G2606" s="90"/>
      <c r="H2606" s="77"/>
      <c r="I2606" s="90"/>
      <c r="J2606" s="90"/>
      <c r="K2606" s="292"/>
      <c r="L2606" s="292"/>
      <c r="M2606" s="48"/>
    </row>
    <row r="2607" spans="1:13" customFormat="1">
      <c r="A2607" s="40"/>
      <c r="B2607" s="93"/>
      <c r="C2607" s="94"/>
      <c r="D2607" s="90"/>
      <c r="E2607" s="90"/>
      <c r="F2607" s="90"/>
      <c r="G2607" s="90"/>
      <c r="H2607" s="77"/>
      <c r="I2607" s="90"/>
      <c r="J2607" s="90"/>
      <c r="K2607" s="292"/>
      <c r="L2607" s="292"/>
      <c r="M2607" s="48"/>
    </row>
    <row r="2608" spans="1:13" customFormat="1">
      <c r="A2608" s="40"/>
      <c r="B2608" s="93"/>
      <c r="C2608" s="94"/>
      <c r="D2608" s="90"/>
      <c r="E2608" s="90"/>
      <c r="F2608" s="90"/>
      <c r="G2608" s="90"/>
      <c r="H2608" s="77"/>
      <c r="I2608" s="90"/>
      <c r="J2608" s="90"/>
      <c r="K2608" s="292"/>
      <c r="L2608" s="292"/>
      <c r="M2608" s="48"/>
    </row>
    <row r="2609" spans="1:13" customFormat="1">
      <c r="A2609" s="40"/>
      <c r="B2609" s="93"/>
      <c r="C2609" s="94"/>
      <c r="D2609" s="90"/>
      <c r="E2609" s="90"/>
      <c r="F2609" s="90"/>
      <c r="G2609" s="90"/>
      <c r="H2609" s="77"/>
      <c r="I2609" s="90"/>
      <c r="J2609" s="90"/>
      <c r="K2609" s="292"/>
      <c r="L2609" s="292"/>
      <c r="M2609" s="48"/>
    </row>
    <row r="2610" spans="1:13" customFormat="1">
      <c r="A2610" s="40"/>
      <c r="B2610" s="93"/>
      <c r="C2610" s="94"/>
      <c r="D2610" s="90"/>
      <c r="E2610" s="90"/>
      <c r="F2610" s="90"/>
      <c r="G2610" s="90"/>
      <c r="H2610" s="77"/>
      <c r="I2610" s="90"/>
      <c r="J2610" s="90"/>
      <c r="K2610" s="292"/>
      <c r="L2610" s="292"/>
      <c r="M2610" s="48"/>
    </row>
    <row r="2611" spans="1:13" customFormat="1">
      <c r="A2611" s="40"/>
      <c r="B2611" s="93"/>
      <c r="C2611" s="94"/>
      <c r="D2611" s="90"/>
      <c r="E2611" s="90"/>
      <c r="F2611" s="90"/>
      <c r="G2611" s="90"/>
      <c r="H2611" s="77"/>
      <c r="I2611" s="90"/>
      <c r="J2611" s="90"/>
      <c r="K2611" s="292"/>
      <c r="L2611" s="292"/>
      <c r="M2611" s="48"/>
    </row>
    <row r="2612" spans="1:13" customFormat="1">
      <c r="A2612" s="40"/>
      <c r="B2612" s="93"/>
      <c r="C2612" s="94"/>
      <c r="D2612" s="90"/>
      <c r="E2612" s="90"/>
      <c r="F2612" s="90"/>
      <c r="G2612" s="90"/>
      <c r="H2612" s="77"/>
      <c r="I2612" s="90"/>
      <c r="J2612" s="90"/>
      <c r="K2612" s="292"/>
      <c r="L2612" s="292"/>
      <c r="M2612" s="48"/>
    </row>
    <row r="2613" spans="1:13" customFormat="1">
      <c r="A2613" s="40"/>
      <c r="B2613" s="93"/>
      <c r="C2613" s="94"/>
      <c r="D2613" s="90"/>
      <c r="E2613" s="90"/>
      <c r="F2613" s="90"/>
      <c r="G2613" s="90"/>
      <c r="H2613" s="77"/>
      <c r="I2613" s="90"/>
      <c r="J2613" s="90"/>
      <c r="K2613" s="292"/>
      <c r="L2613" s="292"/>
      <c r="M2613" s="48"/>
    </row>
    <row r="2614" spans="1:13" customFormat="1">
      <c r="A2614" s="40"/>
      <c r="B2614" s="93"/>
      <c r="C2614" s="94"/>
      <c r="D2614" s="90"/>
      <c r="E2614" s="90"/>
      <c r="F2614" s="90"/>
      <c r="G2614" s="90"/>
      <c r="H2614" s="77"/>
      <c r="I2614" s="90"/>
      <c r="J2614" s="90"/>
      <c r="K2614" s="292"/>
      <c r="L2614" s="292"/>
      <c r="M2614" s="48"/>
    </row>
    <row r="2615" spans="1:13" customFormat="1">
      <c r="A2615" s="40"/>
      <c r="B2615" s="93"/>
      <c r="C2615" s="94"/>
      <c r="D2615" s="90"/>
      <c r="E2615" s="90"/>
      <c r="F2615" s="90"/>
      <c r="G2615" s="90"/>
      <c r="H2615" s="77"/>
      <c r="I2615" s="90"/>
      <c r="J2615" s="90"/>
      <c r="K2615" s="292"/>
      <c r="L2615" s="292"/>
      <c r="M2615" s="48"/>
    </row>
    <row r="2616" spans="1:13" customFormat="1">
      <c r="A2616" s="40"/>
      <c r="B2616" s="93"/>
      <c r="C2616" s="94"/>
      <c r="D2616" s="90"/>
      <c r="E2616" s="90"/>
      <c r="F2616" s="90"/>
      <c r="G2616" s="90"/>
      <c r="H2616" s="77"/>
      <c r="I2616" s="90"/>
      <c r="J2616" s="90"/>
      <c r="K2616" s="292"/>
      <c r="L2616" s="292"/>
      <c r="M2616" s="48"/>
    </row>
    <row r="2617" spans="1:13" customFormat="1">
      <c r="A2617" s="40"/>
      <c r="B2617" s="93"/>
      <c r="C2617" s="94"/>
      <c r="D2617" s="90"/>
      <c r="E2617" s="90"/>
      <c r="F2617" s="90"/>
      <c r="G2617" s="90"/>
      <c r="H2617" s="77"/>
      <c r="I2617" s="90"/>
      <c r="J2617" s="90"/>
      <c r="K2617" s="292"/>
      <c r="L2617" s="292"/>
      <c r="M2617" s="48"/>
    </row>
    <row r="2618" spans="1:13" customFormat="1">
      <c r="A2618" s="40"/>
      <c r="B2618" s="93"/>
      <c r="C2618" s="94"/>
      <c r="D2618" s="90"/>
      <c r="E2618" s="90"/>
      <c r="F2618" s="90"/>
      <c r="G2618" s="90"/>
      <c r="H2618" s="77"/>
      <c r="I2618" s="90"/>
      <c r="J2618" s="90"/>
      <c r="K2618" s="292"/>
      <c r="L2618" s="292"/>
      <c r="M2618" s="48"/>
    </row>
    <row r="2619" spans="1:13" customFormat="1">
      <c r="A2619" s="40"/>
      <c r="B2619" s="93"/>
      <c r="C2619" s="94"/>
      <c r="D2619" s="90"/>
      <c r="E2619" s="90"/>
      <c r="F2619" s="90"/>
      <c r="G2619" s="90"/>
      <c r="H2619" s="77"/>
      <c r="I2619" s="90"/>
      <c r="J2619" s="90"/>
      <c r="K2619" s="292"/>
      <c r="L2619" s="292"/>
      <c r="M2619" s="48"/>
    </row>
    <row r="2620" spans="1:13" customFormat="1">
      <c r="A2620" s="40"/>
      <c r="B2620" s="93"/>
      <c r="C2620" s="94"/>
      <c r="D2620" s="90"/>
      <c r="E2620" s="90"/>
      <c r="F2620" s="90"/>
      <c r="G2620" s="90"/>
      <c r="H2620" s="77"/>
      <c r="I2620" s="90"/>
      <c r="J2620" s="90"/>
      <c r="K2620" s="292"/>
      <c r="L2620" s="292"/>
      <c r="M2620" s="48"/>
    </row>
    <row r="2621" spans="1:13" customFormat="1">
      <c r="A2621" s="40"/>
      <c r="B2621" s="93"/>
      <c r="C2621" s="94"/>
      <c r="D2621" s="90"/>
      <c r="E2621" s="90"/>
      <c r="F2621" s="90"/>
      <c r="G2621" s="90"/>
      <c r="H2621" s="77"/>
      <c r="I2621" s="90"/>
      <c r="J2621" s="90"/>
      <c r="K2621" s="292"/>
      <c r="L2621" s="292"/>
      <c r="M2621" s="48"/>
    </row>
    <row r="2622" spans="1:13" customFormat="1">
      <c r="A2622" s="40"/>
      <c r="B2622" s="93"/>
      <c r="C2622" s="94"/>
      <c r="D2622" s="90"/>
      <c r="E2622" s="90"/>
      <c r="F2622" s="90"/>
      <c r="G2622" s="90"/>
      <c r="H2622" s="77"/>
      <c r="I2622" s="90"/>
      <c r="J2622" s="90"/>
      <c r="K2622" s="292"/>
      <c r="L2622" s="292"/>
      <c r="M2622" s="48"/>
    </row>
    <row r="2623" spans="1:13" customFormat="1">
      <c r="A2623" s="40"/>
      <c r="B2623" s="93"/>
      <c r="C2623" s="94"/>
      <c r="D2623" s="90"/>
      <c r="E2623" s="90"/>
      <c r="F2623" s="90"/>
      <c r="G2623" s="90"/>
      <c r="H2623" s="77"/>
      <c r="I2623" s="90"/>
      <c r="J2623" s="90"/>
      <c r="K2623" s="292"/>
      <c r="L2623" s="292"/>
      <c r="M2623" s="48"/>
    </row>
    <row r="2624" spans="1:13" customFormat="1">
      <c r="A2624" s="40"/>
      <c r="B2624" s="93"/>
      <c r="C2624" s="94"/>
      <c r="D2624" s="90"/>
      <c r="E2624" s="90"/>
      <c r="F2624" s="90"/>
      <c r="G2624" s="90"/>
      <c r="H2624" s="77"/>
      <c r="I2624" s="90"/>
      <c r="J2624" s="90"/>
      <c r="K2624" s="292"/>
      <c r="L2624" s="292"/>
      <c r="M2624" s="48"/>
    </row>
    <row r="2625" spans="1:13" customFormat="1">
      <c r="A2625" s="40"/>
      <c r="B2625" s="93"/>
      <c r="C2625" s="94"/>
      <c r="D2625" s="90"/>
      <c r="E2625" s="90"/>
      <c r="F2625" s="90"/>
      <c r="G2625" s="90"/>
      <c r="H2625" s="77"/>
      <c r="I2625" s="90"/>
      <c r="J2625" s="90"/>
      <c r="K2625" s="292"/>
      <c r="L2625" s="292"/>
      <c r="M2625" s="48"/>
    </row>
    <row r="2626" spans="1:13" customFormat="1">
      <c r="A2626" s="40"/>
      <c r="B2626" s="93"/>
      <c r="C2626" s="94"/>
      <c r="D2626" s="90"/>
      <c r="E2626" s="90"/>
      <c r="F2626" s="90"/>
      <c r="G2626" s="90"/>
      <c r="H2626" s="77"/>
      <c r="I2626" s="90"/>
      <c r="J2626" s="90"/>
      <c r="K2626" s="292"/>
      <c r="L2626" s="292"/>
      <c r="M2626" s="48"/>
    </row>
    <row r="2627" spans="1:13" customFormat="1">
      <c r="A2627" s="40"/>
      <c r="B2627" s="93"/>
      <c r="C2627" s="94"/>
      <c r="D2627" s="90"/>
      <c r="E2627" s="90"/>
      <c r="F2627" s="90"/>
      <c r="G2627" s="90"/>
      <c r="H2627" s="77"/>
      <c r="I2627" s="90"/>
      <c r="J2627" s="90"/>
      <c r="K2627" s="292"/>
      <c r="L2627" s="292"/>
      <c r="M2627" s="48"/>
    </row>
    <row r="2628" spans="1:13" customFormat="1">
      <c r="A2628" s="40"/>
      <c r="B2628" s="93"/>
      <c r="C2628" s="94"/>
      <c r="D2628" s="90"/>
      <c r="E2628" s="90"/>
      <c r="F2628" s="90"/>
      <c r="G2628" s="90"/>
      <c r="H2628" s="77"/>
      <c r="I2628" s="90"/>
      <c r="J2628" s="90"/>
      <c r="K2628" s="292"/>
      <c r="L2628" s="292"/>
      <c r="M2628" s="48"/>
    </row>
    <row r="2629" spans="1:13" customFormat="1">
      <c r="A2629" s="40"/>
      <c r="B2629" s="93"/>
      <c r="C2629" s="94"/>
      <c r="D2629" s="90"/>
      <c r="E2629" s="90"/>
      <c r="F2629" s="90"/>
      <c r="G2629" s="90"/>
      <c r="H2629" s="77"/>
      <c r="I2629" s="90"/>
      <c r="J2629" s="90"/>
      <c r="K2629" s="292"/>
      <c r="L2629" s="292"/>
      <c r="M2629" s="48"/>
    </row>
    <row r="2630" spans="1:13" customFormat="1">
      <c r="A2630" s="40"/>
      <c r="B2630" s="93"/>
      <c r="C2630" s="94"/>
      <c r="D2630" s="90"/>
      <c r="E2630" s="90"/>
      <c r="F2630" s="90"/>
      <c r="G2630" s="90"/>
      <c r="H2630" s="77"/>
      <c r="I2630" s="90"/>
      <c r="J2630" s="90"/>
      <c r="K2630" s="292"/>
      <c r="L2630" s="292"/>
      <c r="M2630" s="48"/>
    </row>
    <row r="2631" spans="1:13" customFormat="1">
      <c r="A2631" s="40"/>
      <c r="B2631" s="93"/>
      <c r="C2631" s="94"/>
      <c r="D2631" s="90"/>
      <c r="E2631" s="90"/>
      <c r="F2631" s="90"/>
      <c r="G2631" s="90"/>
      <c r="H2631" s="77"/>
      <c r="I2631" s="90"/>
      <c r="J2631" s="90"/>
      <c r="K2631" s="292"/>
      <c r="L2631" s="292"/>
      <c r="M2631" s="48"/>
    </row>
    <row r="2632" spans="1:13" customFormat="1">
      <c r="A2632" s="40"/>
      <c r="B2632" s="93"/>
      <c r="C2632" s="94"/>
      <c r="D2632" s="90"/>
      <c r="E2632" s="90"/>
      <c r="F2632" s="90"/>
      <c r="G2632" s="90"/>
      <c r="H2632" s="77"/>
      <c r="I2632" s="90"/>
      <c r="J2632" s="90"/>
      <c r="K2632" s="292"/>
      <c r="L2632" s="292"/>
      <c r="M2632" s="48"/>
    </row>
    <row r="2633" spans="1:13" customFormat="1">
      <c r="A2633" s="40"/>
      <c r="B2633" s="93"/>
      <c r="C2633" s="94"/>
      <c r="D2633" s="90"/>
      <c r="E2633" s="90"/>
      <c r="F2633" s="90"/>
      <c r="G2633" s="90"/>
      <c r="H2633" s="77"/>
      <c r="I2633" s="90"/>
      <c r="J2633" s="90"/>
      <c r="K2633" s="292"/>
      <c r="L2633" s="292"/>
      <c r="M2633" s="48"/>
    </row>
    <row r="2634" spans="1:13" customFormat="1">
      <c r="A2634" s="40"/>
      <c r="B2634" s="93"/>
      <c r="C2634" s="94"/>
      <c r="D2634" s="90"/>
      <c r="E2634" s="90"/>
      <c r="F2634" s="90"/>
      <c r="G2634" s="90"/>
      <c r="H2634" s="77"/>
      <c r="I2634" s="90"/>
      <c r="J2634" s="90"/>
      <c r="K2634" s="292"/>
      <c r="L2634" s="292"/>
      <c r="M2634" s="48"/>
    </row>
    <row r="2635" spans="1:13" customFormat="1">
      <c r="A2635" s="40"/>
      <c r="B2635" s="93"/>
      <c r="C2635" s="94"/>
      <c r="D2635" s="90"/>
      <c r="E2635" s="90"/>
      <c r="F2635" s="90"/>
      <c r="G2635" s="90"/>
      <c r="H2635" s="77"/>
      <c r="I2635" s="90"/>
      <c r="J2635" s="90"/>
      <c r="K2635" s="292"/>
      <c r="L2635" s="292"/>
      <c r="M2635" s="48"/>
    </row>
    <row r="2636" spans="1:13" customFormat="1">
      <c r="A2636" s="40"/>
      <c r="B2636" s="93"/>
      <c r="C2636" s="94"/>
      <c r="D2636" s="90"/>
      <c r="E2636" s="90"/>
      <c r="F2636" s="90"/>
      <c r="G2636" s="90"/>
      <c r="H2636" s="77"/>
      <c r="I2636" s="90"/>
      <c r="J2636" s="90"/>
      <c r="K2636" s="292"/>
      <c r="L2636" s="292"/>
      <c r="M2636" s="48"/>
    </row>
    <row r="2637" spans="1:13" customFormat="1">
      <c r="A2637" s="40"/>
      <c r="B2637" s="93"/>
      <c r="C2637" s="94"/>
      <c r="D2637" s="90"/>
      <c r="E2637" s="90"/>
      <c r="F2637" s="90"/>
      <c r="G2637" s="90"/>
      <c r="H2637" s="77"/>
      <c r="I2637" s="90"/>
      <c r="J2637" s="90"/>
      <c r="K2637" s="292"/>
      <c r="L2637" s="292"/>
      <c r="M2637" s="48"/>
    </row>
    <row r="2638" spans="1:13" customFormat="1">
      <c r="A2638" s="40"/>
      <c r="B2638" s="93"/>
      <c r="C2638" s="94"/>
      <c r="D2638" s="90"/>
      <c r="E2638" s="90"/>
      <c r="F2638" s="90"/>
      <c r="G2638" s="90"/>
      <c r="H2638" s="77"/>
      <c r="I2638" s="90"/>
      <c r="J2638" s="90"/>
      <c r="K2638" s="292"/>
      <c r="L2638" s="292"/>
      <c r="M2638" s="48"/>
    </row>
    <row r="2639" spans="1:13" customFormat="1">
      <c r="A2639" s="40"/>
      <c r="B2639" s="93"/>
      <c r="C2639" s="94"/>
      <c r="D2639" s="90"/>
      <c r="E2639" s="90"/>
      <c r="F2639" s="90"/>
      <c r="G2639" s="90"/>
      <c r="H2639" s="77"/>
      <c r="I2639" s="90"/>
      <c r="J2639" s="90"/>
      <c r="K2639" s="292"/>
      <c r="L2639" s="292"/>
      <c r="M2639" s="48"/>
    </row>
    <row r="2640" spans="1:13" customFormat="1">
      <c r="A2640" s="40"/>
      <c r="B2640" s="93"/>
      <c r="C2640" s="94"/>
      <c r="D2640" s="90"/>
      <c r="E2640" s="90"/>
      <c r="F2640" s="90"/>
      <c r="G2640" s="90"/>
      <c r="H2640" s="77"/>
      <c r="I2640" s="90"/>
      <c r="J2640" s="90"/>
      <c r="K2640" s="292"/>
      <c r="L2640" s="292"/>
      <c r="M2640" s="48"/>
    </row>
    <row r="2641" spans="1:13" customFormat="1">
      <c r="A2641" s="40"/>
      <c r="B2641" s="93"/>
      <c r="C2641" s="94"/>
      <c r="D2641" s="90"/>
      <c r="E2641" s="90"/>
      <c r="F2641" s="90"/>
      <c r="G2641" s="90"/>
      <c r="H2641" s="77"/>
      <c r="I2641" s="90"/>
      <c r="J2641" s="90"/>
      <c r="K2641" s="292"/>
      <c r="L2641" s="292"/>
      <c r="M2641" s="48"/>
    </row>
    <row r="2642" spans="1:13" customFormat="1">
      <c r="A2642" s="40"/>
      <c r="B2642" s="93"/>
      <c r="C2642" s="94"/>
      <c r="D2642" s="90"/>
      <c r="E2642" s="90"/>
      <c r="F2642" s="90"/>
      <c r="G2642" s="90"/>
      <c r="H2642" s="77"/>
      <c r="I2642" s="90"/>
      <c r="J2642" s="90"/>
      <c r="K2642" s="292"/>
      <c r="L2642" s="292"/>
      <c r="M2642" s="48"/>
    </row>
    <row r="2643" spans="1:13" customFormat="1">
      <c r="A2643" s="40"/>
      <c r="B2643" s="93"/>
      <c r="C2643" s="94"/>
      <c r="D2643" s="90"/>
      <c r="E2643" s="90"/>
      <c r="F2643" s="90"/>
      <c r="G2643" s="90"/>
      <c r="H2643" s="77"/>
      <c r="I2643" s="90"/>
      <c r="J2643" s="90"/>
      <c r="K2643" s="292"/>
      <c r="L2643" s="292"/>
      <c r="M2643" s="48"/>
    </row>
    <row r="2644" spans="1:13" customFormat="1">
      <c r="A2644" s="40"/>
      <c r="B2644" s="93"/>
      <c r="C2644" s="94"/>
      <c r="D2644" s="90"/>
      <c r="E2644" s="90"/>
      <c r="F2644" s="90"/>
      <c r="G2644" s="90"/>
      <c r="H2644" s="77"/>
      <c r="I2644" s="90"/>
      <c r="J2644" s="90"/>
      <c r="K2644" s="292"/>
      <c r="L2644" s="292"/>
      <c r="M2644" s="48"/>
    </row>
    <row r="2645" spans="1:13" customFormat="1">
      <c r="A2645" s="40"/>
      <c r="B2645" s="93"/>
      <c r="C2645" s="94"/>
      <c r="D2645" s="90"/>
      <c r="E2645" s="90"/>
      <c r="F2645" s="90"/>
      <c r="G2645" s="90"/>
      <c r="H2645" s="77"/>
      <c r="I2645" s="90"/>
      <c r="J2645" s="90"/>
      <c r="K2645" s="292"/>
      <c r="L2645" s="292"/>
      <c r="M2645" s="48"/>
    </row>
    <row r="2646" spans="1:13" customFormat="1">
      <c r="A2646" s="40"/>
      <c r="B2646" s="93"/>
      <c r="C2646" s="94"/>
      <c r="D2646" s="90"/>
      <c r="E2646" s="90"/>
      <c r="F2646" s="90"/>
      <c r="G2646" s="90"/>
      <c r="H2646" s="77"/>
      <c r="I2646" s="90"/>
      <c r="J2646" s="90"/>
      <c r="K2646" s="292"/>
      <c r="L2646" s="292"/>
      <c r="M2646" s="48"/>
    </row>
    <row r="2647" spans="1:13" customFormat="1">
      <c r="A2647" s="40"/>
      <c r="B2647" s="93"/>
      <c r="C2647" s="94"/>
      <c r="D2647" s="90"/>
      <c r="E2647" s="90"/>
      <c r="F2647" s="90"/>
      <c r="G2647" s="90"/>
      <c r="H2647" s="77"/>
      <c r="I2647" s="90"/>
      <c r="J2647" s="90"/>
      <c r="K2647" s="292"/>
      <c r="L2647" s="292"/>
      <c r="M2647" s="48"/>
    </row>
    <row r="2648" spans="1:13" customFormat="1">
      <c r="A2648" s="40"/>
      <c r="B2648" s="93"/>
      <c r="C2648" s="94"/>
      <c r="D2648" s="90"/>
      <c r="E2648" s="90"/>
      <c r="F2648" s="90"/>
      <c r="G2648" s="90"/>
      <c r="H2648" s="77"/>
      <c r="I2648" s="90"/>
      <c r="J2648" s="90"/>
      <c r="K2648" s="292"/>
      <c r="L2648" s="292"/>
      <c r="M2648" s="48"/>
    </row>
    <row r="2649" spans="1:13" customFormat="1">
      <c r="A2649" s="40"/>
      <c r="B2649" s="93"/>
      <c r="C2649" s="94"/>
      <c r="D2649" s="90"/>
      <c r="E2649" s="90"/>
      <c r="F2649" s="90"/>
      <c r="G2649" s="90"/>
      <c r="H2649" s="77"/>
      <c r="I2649" s="90"/>
      <c r="J2649" s="90"/>
      <c r="K2649" s="292"/>
      <c r="L2649" s="292"/>
      <c r="M2649" s="48"/>
    </row>
    <row r="2650" spans="1:13" customFormat="1">
      <c r="A2650" s="40"/>
      <c r="B2650" s="93"/>
      <c r="C2650" s="94"/>
      <c r="D2650" s="90"/>
      <c r="E2650" s="90"/>
      <c r="F2650" s="90"/>
      <c r="G2650" s="90"/>
      <c r="H2650" s="77"/>
      <c r="I2650" s="90"/>
      <c r="J2650" s="90"/>
      <c r="K2650" s="292"/>
      <c r="L2650" s="292"/>
      <c r="M2650" s="48"/>
    </row>
    <row r="2651" spans="1:13" customFormat="1">
      <c r="A2651" s="40"/>
      <c r="B2651" s="93"/>
      <c r="C2651" s="94"/>
      <c r="D2651" s="90"/>
      <c r="E2651" s="90"/>
      <c r="F2651" s="90"/>
      <c r="G2651" s="90"/>
      <c r="H2651" s="77"/>
      <c r="I2651" s="90"/>
      <c r="J2651" s="90"/>
      <c r="K2651" s="292"/>
      <c r="L2651" s="292"/>
      <c r="M2651" s="48"/>
    </row>
    <row r="2652" spans="1:13" customFormat="1">
      <c r="A2652" s="40"/>
      <c r="B2652" s="93"/>
      <c r="C2652" s="94"/>
      <c r="D2652" s="90"/>
      <c r="E2652" s="90"/>
      <c r="F2652" s="90"/>
      <c r="G2652" s="90"/>
      <c r="H2652" s="77"/>
      <c r="I2652" s="90"/>
      <c r="J2652" s="90"/>
      <c r="K2652" s="292"/>
      <c r="L2652" s="292"/>
      <c r="M2652" s="48"/>
    </row>
    <row r="2653" spans="1:13" customFormat="1">
      <c r="A2653" s="40"/>
      <c r="B2653" s="93"/>
      <c r="C2653" s="94"/>
      <c r="D2653" s="90"/>
      <c r="E2653" s="90"/>
      <c r="F2653" s="90"/>
      <c r="G2653" s="90"/>
      <c r="H2653" s="77"/>
      <c r="I2653" s="90"/>
      <c r="J2653" s="90"/>
      <c r="K2653" s="292"/>
      <c r="L2653" s="292"/>
      <c r="M2653" s="48"/>
    </row>
    <row r="2654" spans="1:13" customFormat="1">
      <c r="A2654" s="40"/>
      <c r="B2654" s="93"/>
      <c r="C2654" s="94"/>
      <c r="D2654" s="90"/>
      <c r="E2654" s="90"/>
      <c r="F2654" s="90"/>
      <c r="G2654" s="90"/>
      <c r="H2654" s="77"/>
      <c r="I2654" s="90"/>
      <c r="J2654" s="90"/>
      <c r="K2654" s="292"/>
      <c r="L2654" s="292"/>
      <c r="M2654" s="48"/>
    </row>
    <row r="2655" spans="1:13" customFormat="1">
      <c r="A2655" s="40"/>
      <c r="B2655" s="93"/>
      <c r="C2655" s="94"/>
      <c r="D2655" s="90"/>
      <c r="E2655" s="90"/>
      <c r="F2655" s="90"/>
      <c r="G2655" s="90"/>
      <c r="H2655" s="77"/>
      <c r="I2655" s="90"/>
      <c r="J2655" s="90"/>
      <c r="K2655" s="292"/>
      <c r="L2655" s="292"/>
      <c r="M2655" s="48"/>
    </row>
    <row r="2656" spans="1:13" customFormat="1">
      <c r="A2656" s="40"/>
      <c r="B2656" s="93"/>
      <c r="C2656" s="94"/>
      <c r="D2656" s="90"/>
      <c r="E2656" s="90"/>
      <c r="F2656" s="90"/>
      <c r="G2656" s="90"/>
      <c r="H2656" s="77"/>
      <c r="I2656" s="90"/>
      <c r="J2656" s="90"/>
      <c r="K2656" s="292"/>
      <c r="L2656" s="292"/>
      <c r="M2656" s="48"/>
    </row>
  </sheetData>
  <autoFilter ref="C11:H2536"/>
  <mergeCells count="9">
    <mergeCell ref="B9:B10"/>
    <mergeCell ref="C9:G9"/>
    <mergeCell ref="H9:H10"/>
    <mergeCell ref="B1:H1"/>
    <mergeCell ref="B2:H2"/>
    <mergeCell ref="B3:H3"/>
    <mergeCell ref="B5:H5"/>
    <mergeCell ref="B6:H6"/>
    <mergeCell ref="B7:H7"/>
  </mergeCells>
  <pageMargins left="0.59055118110236227" right="0.15748031496062992" top="0.39370078740157483" bottom="0.27559055118110237" header="0.19685039370078741" footer="0.15748031496062992"/>
  <pageSetup paperSize="9" scale="89" fitToHeight="113" orientation="portrait" r:id="rId1"/>
  <headerFooter differentFirst="1" alignWithMargins="0">
    <oddHeader>&amp;C&amp;"Times New Roman,обычный"&amp;P</oddHeader>
  </headerFooter>
  <rowBreaks count="1" manualBreakCount="1">
    <brk id="2499" min="1" max="7" man="1"/>
  </rowBreaks>
</worksheet>
</file>

<file path=xl/worksheets/sheet7.xml><?xml version="1.0" encoding="utf-8"?>
<worksheet xmlns="http://schemas.openxmlformats.org/spreadsheetml/2006/main" xmlns:r="http://schemas.openxmlformats.org/officeDocument/2006/relationships">
  <sheetPr>
    <tabColor rgb="FFFFC000"/>
    <pageSetUpPr fitToPage="1"/>
  </sheetPr>
  <dimension ref="A1:Y3000"/>
  <sheetViews>
    <sheetView view="pageBreakPreview" topLeftCell="A1362" zoomScale="118" zoomScaleNormal="100" zoomScaleSheetLayoutView="118" workbookViewId="0">
      <selection activeCell="B1368" sqref="B1368"/>
    </sheetView>
  </sheetViews>
  <sheetFormatPr defaultColWidth="8.7265625" defaultRowHeight="15.75"/>
  <cols>
    <col min="1" max="1" width="18.6328125" style="40" customWidth="1"/>
    <col min="2" max="2" width="35.90625" style="287" customWidth="1"/>
    <col min="3" max="3" width="5.26953125" style="73" customWidth="1"/>
    <col min="4" max="4" width="3.36328125" style="74" customWidth="1"/>
    <col min="5" max="5" width="3" style="74" customWidth="1"/>
    <col min="6" max="6" width="8.7265625" style="74" customWidth="1"/>
    <col min="7" max="7" width="4" style="74" customWidth="1"/>
    <col min="8" max="8" width="11.90625" style="75" customWidth="1"/>
    <col min="9" max="9" width="10.36328125" style="75" customWidth="1"/>
    <col min="10" max="10" width="10.36328125" style="84" customWidth="1"/>
    <col min="11" max="11" width="10.08984375" style="75" customWidth="1"/>
    <col min="12" max="12" width="10.36328125" style="75" customWidth="1"/>
    <col min="13" max="13" width="10.36328125" style="84" customWidth="1"/>
    <col min="14" max="14" width="10.08984375" style="75" customWidth="1"/>
    <col min="15" max="15" width="10.36328125" style="75" customWidth="1"/>
    <col min="16" max="16" width="10.36328125" style="84" customWidth="1"/>
    <col min="17" max="19" width="8.7265625" style="48"/>
    <col min="20" max="20" width="10.08984375" style="75" customWidth="1"/>
    <col min="21" max="21" width="10.36328125" style="75" customWidth="1"/>
    <col min="22" max="22" width="10.36328125" style="84" customWidth="1"/>
    <col min="23" max="23" width="10.08984375" style="75" customWidth="1"/>
    <col min="24" max="24" width="10.36328125" style="75" customWidth="1"/>
    <col min="25" max="25" width="10.36328125" style="84" customWidth="1"/>
    <col min="26" max="16384" width="8.7265625" style="48"/>
  </cols>
  <sheetData>
    <row r="1" spans="1:25" s="6" customFormat="1" ht="16.5" thickBot="1">
      <c r="A1" s="1"/>
      <c r="B1" s="179"/>
      <c r="C1" s="3"/>
      <c r="D1" s="4"/>
      <c r="E1" s="180"/>
      <c r="F1" s="180"/>
      <c r="G1" s="180"/>
      <c r="H1" s="3"/>
      <c r="I1" s="3"/>
      <c r="J1" s="5"/>
      <c r="K1" s="3"/>
      <c r="L1" s="3"/>
      <c r="M1" s="5"/>
      <c r="N1" s="3"/>
      <c r="O1" s="3"/>
      <c r="P1" s="5"/>
      <c r="T1" s="3"/>
      <c r="U1" s="3"/>
      <c r="V1" s="5"/>
      <c r="W1" s="3"/>
      <c r="X1" s="3"/>
      <c r="Y1" s="5"/>
    </row>
    <row r="2" spans="1:25" s="6" customFormat="1" ht="42" customHeight="1" thickBot="1">
      <c r="A2" s="1"/>
      <c r="B2" s="99"/>
      <c r="C2" s="7"/>
      <c r="D2" s="8"/>
      <c r="E2" s="8"/>
      <c r="G2" s="181"/>
      <c r="H2" s="9"/>
      <c r="I2" s="10"/>
      <c r="J2" s="11" t="s">
        <v>1091</v>
      </c>
      <c r="K2" s="182"/>
      <c r="L2" s="182"/>
      <c r="M2" s="182"/>
      <c r="N2" s="182"/>
      <c r="O2" s="182"/>
      <c r="P2" s="182"/>
      <c r="T2" s="182"/>
      <c r="U2" s="182"/>
      <c r="V2" s="182"/>
      <c r="W2" s="182"/>
      <c r="X2" s="182"/>
      <c r="Y2" s="182"/>
    </row>
    <row r="3" spans="1:25" s="6" customFormat="1" ht="67.150000000000006" customHeight="1" thickBot="1">
      <c r="A3" s="1"/>
      <c r="B3" s="183" t="s">
        <v>1092</v>
      </c>
      <c r="C3" s="184" t="s">
        <v>1093</v>
      </c>
      <c r="D3" s="184" t="s">
        <v>0</v>
      </c>
      <c r="E3" s="184" t="s">
        <v>1</v>
      </c>
      <c r="F3" s="184" t="s">
        <v>2</v>
      </c>
      <c r="G3" s="185" t="s">
        <v>3</v>
      </c>
      <c r="H3" s="186" t="s">
        <v>1094</v>
      </c>
      <c r="I3" s="186" t="s">
        <v>1095</v>
      </c>
      <c r="J3" s="186" t="s">
        <v>1096</v>
      </c>
      <c r="K3" s="186"/>
      <c r="L3" s="186"/>
      <c r="M3" s="186"/>
      <c r="N3" s="182"/>
      <c r="O3" s="182"/>
      <c r="P3" s="182"/>
      <c r="T3" s="182" t="s">
        <v>1097</v>
      </c>
      <c r="U3" s="182" t="s">
        <v>1098</v>
      </c>
      <c r="V3" s="182" t="s">
        <v>1099</v>
      </c>
      <c r="W3" s="182" t="s">
        <v>1100</v>
      </c>
      <c r="X3" s="182" t="s">
        <v>1101</v>
      </c>
      <c r="Y3" s="182" t="s">
        <v>1102</v>
      </c>
    </row>
    <row r="4" spans="1:25" s="13" customFormat="1" ht="16.5" thickBot="1">
      <c r="A4" s="1"/>
      <c r="B4" s="187">
        <v>1</v>
      </c>
      <c r="C4" s="12">
        <v>2</v>
      </c>
      <c r="D4" s="12">
        <v>3</v>
      </c>
      <c r="E4" s="12" t="s">
        <v>4</v>
      </c>
      <c r="F4" s="12">
        <v>5</v>
      </c>
      <c r="G4" s="12">
        <v>6</v>
      </c>
      <c r="H4" s="12">
        <v>7</v>
      </c>
      <c r="I4" s="12">
        <v>8</v>
      </c>
      <c r="J4" s="12">
        <v>9</v>
      </c>
      <c r="K4" s="12"/>
      <c r="L4" s="12"/>
      <c r="M4" s="12"/>
      <c r="N4" s="12"/>
      <c r="O4" s="12"/>
      <c r="P4" s="12"/>
      <c r="T4" s="12"/>
      <c r="U4" s="12"/>
      <c r="V4" s="12"/>
      <c r="W4" s="12"/>
      <c r="X4" s="12"/>
      <c r="Y4" s="12"/>
    </row>
    <row r="5" spans="1:25" s="16" customFormat="1">
      <c r="A5" s="108" t="str">
        <f>C5&amp;D5&amp;E5&amp;F5&amp;G5</f>
        <v>600000000 0 00 00000000</v>
      </c>
      <c r="B5" s="188" t="s">
        <v>5</v>
      </c>
      <c r="C5" s="189" t="s">
        <v>6</v>
      </c>
      <c r="D5" s="190" t="s">
        <v>7</v>
      </c>
      <c r="E5" s="190" t="s">
        <v>7</v>
      </c>
      <c r="F5" s="190" t="s">
        <v>8</v>
      </c>
      <c r="G5" s="190" t="s">
        <v>9</v>
      </c>
      <c r="H5" s="15">
        <v>56052.49</v>
      </c>
      <c r="I5" s="15">
        <v>56410.879999999997</v>
      </c>
      <c r="J5" s="15">
        <v>56410.879999999997</v>
      </c>
      <c r="K5" s="15"/>
      <c r="L5" s="15"/>
      <c r="M5" s="15"/>
      <c r="N5" s="15"/>
      <c r="O5" s="15"/>
      <c r="P5" s="15"/>
      <c r="Q5" s="17"/>
      <c r="T5" s="15">
        <v>54679.56</v>
      </c>
      <c r="U5" s="15">
        <v>54679.56</v>
      </c>
      <c r="V5" s="15">
        <v>54679.56</v>
      </c>
      <c r="W5" s="15">
        <f>H5-T5</f>
        <v>1372.9300000000003</v>
      </c>
      <c r="X5" s="15">
        <f>I5-U5</f>
        <v>1731.3199999999997</v>
      </c>
      <c r="Y5" s="15">
        <f>J5-V5</f>
        <v>1731.3199999999997</v>
      </c>
    </row>
    <row r="6" spans="1:25" s="16" customFormat="1">
      <c r="A6" s="108" t="str">
        <f t="shared" ref="A6:A69" si="0">C6&amp;D6&amp;E6&amp;F6&amp;G6</f>
        <v>600010000 0 00 00000000</v>
      </c>
      <c r="B6" s="191" t="s">
        <v>10</v>
      </c>
      <c r="C6" s="192" t="s">
        <v>6</v>
      </c>
      <c r="D6" s="193" t="s">
        <v>11</v>
      </c>
      <c r="E6" s="193" t="s">
        <v>7</v>
      </c>
      <c r="F6" s="193" t="s">
        <v>8</v>
      </c>
      <c r="G6" s="193" t="s">
        <v>9</v>
      </c>
      <c r="H6" s="18">
        <v>48961.99</v>
      </c>
      <c r="I6" s="18">
        <v>49320.38</v>
      </c>
      <c r="J6" s="18">
        <v>49320.38</v>
      </c>
      <c r="K6" s="18"/>
      <c r="L6" s="18"/>
      <c r="M6" s="18"/>
      <c r="N6" s="18"/>
      <c r="O6" s="18"/>
      <c r="P6" s="18"/>
      <c r="Q6" s="17"/>
      <c r="T6" s="18">
        <v>47589.06</v>
      </c>
      <c r="U6" s="18">
        <v>47589.06</v>
      </c>
      <c r="V6" s="18">
        <v>47589.06</v>
      </c>
      <c r="W6" s="18">
        <f t="shared" ref="W6:Y69" si="1">H6-T6</f>
        <v>1372.9300000000003</v>
      </c>
      <c r="X6" s="18">
        <f t="shared" si="1"/>
        <v>1731.3199999999997</v>
      </c>
      <c r="Y6" s="18">
        <f t="shared" si="1"/>
        <v>1731.3199999999997</v>
      </c>
    </row>
    <row r="7" spans="1:25" s="16" customFormat="1" ht="38.25">
      <c r="A7" s="108" t="str">
        <f t="shared" si="0"/>
        <v>600010300 0 00 00000000</v>
      </c>
      <c r="B7" s="194" t="s">
        <v>12</v>
      </c>
      <c r="C7" s="195" t="s">
        <v>6</v>
      </c>
      <c r="D7" s="196" t="s">
        <v>11</v>
      </c>
      <c r="E7" s="196" t="s">
        <v>13</v>
      </c>
      <c r="F7" s="196" t="s">
        <v>8</v>
      </c>
      <c r="G7" s="196" t="s">
        <v>9</v>
      </c>
      <c r="H7" s="19">
        <v>48461.99</v>
      </c>
      <c r="I7" s="19">
        <v>48820.38</v>
      </c>
      <c r="J7" s="19">
        <v>48820.38</v>
      </c>
      <c r="K7" s="19"/>
      <c r="L7" s="19"/>
      <c r="M7" s="19"/>
      <c r="N7" s="19"/>
      <c r="O7" s="19"/>
      <c r="P7" s="19"/>
      <c r="Q7" s="17"/>
      <c r="T7" s="19">
        <v>47089.06</v>
      </c>
      <c r="U7" s="19">
        <v>47089.06</v>
      </c>
      <c r="V7" s="19">
        <v>47089.06</v>
      </c>
      <c r="W7" s="19">
        <f t="shared" si="1"/>
        <v>1372.9300000000003</v>
      </c>
      <c r="X7" s="19">
        <f t="shared" si="1"/>
        <v>1731.3199999999997</v>
      </c>
      <c r="Y7" s="19">
        <f t="shared" si="1"/>
        <v>1731.3199999999997</v>
      </c>
    </row>
    <row r="8" spans="1:25" s="16" customFormat="1">
      <c r="A8" s="108" t="str">
        <f t="shared" si="0"/>
        <v>600010370 0 00 00000000</v>
      </c>
      <c r="B8" s="197" t="s">
        <v>14</v>
      </c>
      <c r="C8" s="198" t="s">
        <v>6</v>
      </c>
      <c r="D8" s="199" t="s">
        <v>11</v>
      </c>
      <c r="E8" s="199" t="s">
        <v>13</v>
      </c>
      <c r="F8" s="199" t="s">
        <v>15</v>
      </c>
      <c r="G8" s="199" t="s">
        <v>9</v>
      </c>
      <c r="H8" s="20">
        <v>48461.99</v>
      </c>
      <c r="I8" s="20">
        <v>48820.38</v>
      </c>
      <c r="J8" s="20">
        <v>48820.38</v>
      </c>
      <c r="K8" s="20"/>
      <c r="L8" s="20"/>
      <c r="M8" s="20"/>
      <c r="N8" s="20"/>
      <c r="O8" s="20"/>
      <c r="P8" s="20"/>
      <c r="Q8" s="17"/>
      <c r="T8" s="20">
        <v>47089.06</v>
      </c>
      <c r="U8" s="20">
        <v>47089.06</v>
      </c>
      <c r="V8" s="20">
        <v>47089.06</v>
      </c>
      <c r="W8" s="20">
        <f t="shared" si="1"/>
        <v>1372.9300000000003</v>
      </c>
      <c r="X8" s="20">
        <f t="shared" si="1"/>
        <v>1731.3199999999997</v>
      </c>
      <c r="Y8" s="20">
        <f t="shared" si="1"/>
        <v>1731.3199999999997</v>
      </c>
    </row>
    <row r="9" spans="1:25" s="16" customFormat="1" ht="25.5">
      <c r="A9" s="108" t="str">
        <f t="shared" si="0"/>
        <v>600010370 1 00 00000000</v>
      </c>
      <c r="B9" s="197" t="s">
        <v>16</v>
      </c>
      <c r="C9" s="198" t="s">
        <v>6</v>
      </c>
      <c r="D9" s="199" t="s">
        <v>11</v>
      </c>
      <c r="E9" s="199" t="s">
        <v>13</v>
      </c>
      <c r="F9" s="199" t="s">
        <v>17</v>
      </c>
      <c r="G9" s="199" t="s">
        <v>9</v>
      </c>
      <c r="H9" s="20">
        <v>44195</v>
      </c>
      <c r="I9" s="20">
        <v>44553.39</v>
      </c>
      <c r="J9" s="20">
        <v>44553.39</v>
      </c>
      <c r="K9" s="20"/>
      <c r="L9" s="20"/>
      <c r="M9" s="20"/>
      <c r="N9" s="20"/>
      <c r="O9" s="20"/>
      <c r="P9" s="20"/>
      <c r="Q9" s="17"/>
      <c r="T9" s="20">
        <v>42983.74</v>
      </c>
      <c r="U9" s="20">
        <v>42983.74</v>
      </c>
      <c r="V9" s="20">
        <v>42983.74</v>
      </c>
      <c r="W9" s="20">
        <f t="shared" si="1"/>
        <v>1211.260000000002</v>
      </c>
      <c r="X9" s="20">
        <f t="shared" si="1"/>
        <v>1569.6500000000015</v>
      </c>
      <c r="Y9" s="20">
        <f t="shared" si="1"/>
        <v>1569.6500000000015</v>
      </c>
    </row>
    <row r="10" spans="1:25" s="16" customFormat="1" ht="25.5">
      <c r="A10" s="108" t="str">
        <f t="shared" si="0"/>
        <v>600010370 1 00 10010000</v>
      </c>
      <c r="B10" s="197" t="s">
        <v>18</v>
      </c>
      <c r="C10" s="198" t="s">
        <v>6</v>
      </c>
      <c r="D10" s="199" t="s">
        <v>11</v>
      </c>
      <c r="E10" s="199" t="s">
        <v>13</v>
      </c>
      <c r="F10" s="199" t="s">
        <v>19</v>
      </c>
      <c r="G10" s="199" t="s">
        <v>9</v>
      </c>
      <c r="H10" s="20">
        <v>10143.01</v>
      </c>
      <c r="I10" s="20">
        <v>10501.400000000001</v>
      </c>
      <c r="J10" s="20">
        <v>10501.400000000001</v>
      </c>
      <c r="K10" s="20"/>
      <c r="L10" s="20"/>
      <c r="M10" s="20"/>
      <c r="N10" s="20"/>
      <c r="O10" s="20"/>
      <c r="P10" s="20"/>
      <c r="Q10" s="17"/>
      <c r="T10" s="20">
        <v>10397.540000000001</v>
      </c>
      <c r="U10" s="20">
        <v>10397.540000000001</v>
      </c>
      <c r="V10" s="20">
        <v>10397.540000000001</v>
      </c>
      <c r="W10" s="20">
        <f t="shared" si="1"/>
        <v>-254.53000000000065</v>
      </c>
      <c r="X10" s="20">
        <f t="shared" si="1"/>
        <v>103.86000000000058</v>
      </c>
      <c r="Y10" s="20">
        <f t="shared" si="1"/>
        <v>103.86000000000058</v>
      </c>
    </row>
    <row r="11" spans="1:25" s="16" customFormat="1" ht="25.5">
      <c r="A11" s="108" t="str">
        <f t="shared" si="0"/>
        <v>600010370 1 00 10010120</v>
      </c>
      <c r="B11" s="200" t="s">
        <v>20</v>
      </c>
      <c r="C11" s="198" t="s">
        <v>6</v>
      </c>
      <c r="D11" s="199" t="s">
        <v>11</v>
      </c>
      <c r="E11" s="199" t="s">
        <v>13</v>
      </c>
      <c r="F11" s="199" t="s">
        <v>19</v>
      </c>
      <c r="G11" s="199" t="s">
        <v>21</v>
      </c>
      <c r="H11" s="20">
        <v>3940.64</v>
      </c>
      <c r="I11" s="20">
        <v>3940.64</v>
      </c>
      <c r="J11" s="20">
        <v>3940.64</v>
      </c>
      <c r="K11" s="20"/>
      <c r="L11" s="20"/>
      <c r="M11" s="20"/>
      <c r="N11" s="20"/>
      <c r="O11" s="20"/>
      <c r="P11" s="20"/>
      <c r="Q11" s="17"/>
      <c r="T11" s="20">
        <v>3836.7799999999997</v>
      </c>
      <c r="U11" s="20">
        <v>3836.7799999999997</v>
      </c>
      <c r="V11" s="20">
        <v>3836.7799999999997</v>
      </c>
      <c r="W11" s="20">
        <f t="shared" si="1"/>
        <v>103.86000000000013</v>
      </c>
      <c r="X11" s="20">
        <f t="shared" si="1"/>
        <v>103.86000000000013</v>
      </c>
      <c r="Y11" s="20">
        <f t="shared" si="1"/>
        <v>103.86000000000013</v>
      </c>
    </row>
    <row r="12" spans="1:25" s="16" customFormat="1" ht="25.5">
      <c r="A12" s="108" t="str">
        <f t="shared" si="0"/>
        <v>600010370 1 00 10010240</v>
      </c>
      <c r="B12" s="197" t="s">
        <v>28</v>
      </c>
      <c r="C12" s="198" t="s">
        <v>6</v>
      </c>
      <c r="D12" s="199" t="s">
        <v>11</v>
      </c>
      <c r="E12" s="199" t="s">
        <v>13</v>
      </c>
      <c r="F12" s="199" t="s">
        <v>19</v>
      </c>
      <c r="G12" s="199" t="s">
        <v>29</v>
      </c>
      <c r="H12" s="20">
        <v>6095.75</v>
      </c>
      <c r="I12" s="20">
        <v>6454.14</v>
      </c>
      <c r="J12" s="20">
        <v>6454.14</v>
      </c>
      <c r="K12" s="20"/>
      <c r="L12" s="20"/>
      <c r="M12" s="20"/>
      <c r="N12" s="20"/>
      <c r="O12" s="20"/>
      <c r="P12" s="20"/>
      <c r="Q12" s="17"/>
      <c r="T12" s="20">
        <v>6454.14</v>
      </c>
      <c r="U12" s="20">
        <v>6454.14</v>
      </c>
      <c r="V12" s="20">
        <v>6454.14</v>
      </c>
      <c r="W12" s="20">
        <f t="shared" si="1"/>
        <v>-358.39000000000033</v>
      </c>
      <c r="X12" s="20">
        <f t="shared" si="1"/>
        <v>0</v>
      </c>
      <c r="Y12" s="20">
        <f t="shared" si="1"/>
        <v>0</v>
      </c>
    </row>
    <row r="13" spans="1:25" s="16" customFormat="1">
      <c r="A13" s="108" t="str">
        <f t="shared" si="0"/>
        <v>600010370 1 00 10010850</v>
      </c>
      <c r="B13" s="197" t="s">
        <v>32</v>
      </c>
      <c r="C13" s="198" t="s">
        <v>6</v>
      </c>
      <c r="D13" s="199" t="s">
        <v>11</v>
      </c>
      <c r="E13" s="199" t="s">
        <v>13</v>
      </c>
      <c r="F13" s="199" t="s">
        <v>19</v>
      </c>
      <c r="G13" s="199" t="s">
        <v>33</v>
      </c>
      <c r="H13" s="20">
        <v>106.62</v>
      </c>
      <c r="I13" s="20">
        <v>106.62</v>
      </c>
      <c r="J13" s="20">
        <v>106.62</v>
      </c>
      <c r="K13" s="20"/>
      <c r="L13" s="20"/>
      <c r="M13" s="20"/>
      <c r="N13" s="20"/>
      <c r="O13" s="20"/>
      <c r="P13" s="20"/>
      <c r="Q13" s="17"/>
      <c r="T13" s="20">
        <v>106.62</v>
      </c>
      <c r="U13" s="20">
        <v>106.62</v>
      </c>
      <c r="V13" s="20">
        <v>106.62</v>
      </c>
      <c r="W13" s="20">
        <f t="shared" si="1"/>
        <v>0</v>
      </c>
      <c r="X13" s="20">
        <f t="shared" si="1"/>
        <v>0</v>
      </c>
      <c r="Y13" s="20">
        <f t="shared" si="1"/>
        <v>0</v>
      </c>
    </row>
    <row r="14" spans="1:25" s="16" customFormat="1" ht="25.5">
      <c r="A14" s="108" t="str">
        <f t="shared" si="0"/>
        <v>600010370 1 00 10020000</v>
      </c>
      <c r="B14" s="200" t="s">
        <v>38</v>
      </c>
      <c r="C14" s="198" t="s">
        <v>6</v>
      </c>
      <c r="D14" s="199" t="s">
        <v>11</v>
      </c>
      <c r="E14" s="199" t="s">
        <v>13</v>
      </c>
      <c r="F14" s="199" t="s">
        <v>39</v>
      </c>
      <c r="G14" s="199" t="s">
        <v>9</v>
      </c>
      <c r="H14" s="20">
        <v>32987.35</v>
      </c>
      <c r="I14" s="20">
        <v>34051.99</v>
      </c>
      <c r="J14" s="20">
        <v>34051.99</v>
      </c>
      <c r="K14" s="20"/>
      <c r="L14" s="20"/>
      <c r="M14" s="20"/>
      <c r="N14" s="20"/>
      <c r="O14" s="20"/>
      <c r="P14" s="20"/>
      <c r="Q14" s="17"/>
      <c r="T14" s="20">
        <v>32586.199999999997</v>
      </c>
      <c r="U14" s="20">
        <v>32586.199999999997</v>
      </c>
      <c r="V14" s="20">
        <v>32586.199999999997</v>
      </c>
      <c r="W14" s="20">
        <f t="shared" si="1"/>
        <v>401.15000000000146</v>
      </c>
      <c r="X14" s="20">
        <f t="shared" si="1"/>
        <v>1465.7900000000009</v>
      </c>
      <c r="Y14" s="20">
        <f t="shared" si="1"/>
        <v>1465.7900000000009</v>
      </c>
    </row>
    <row r="15" spans="1:25" s="16" customFormat="1" ht="25.5">
      <c r="A15" s="108" t="str">
        <f t="shared" si="0"/>
        <v>600010370 1 00 10020120</v>
      </c>
      <c r="B15" s="200" t="s">
        <v>20</v>
      </c>
      <c r="C15" s="198" t="s">
        <v>6</v>
      </c>
      <c r="D15" s="199" t="s">
        <v>11</v>
      </c>
      <c r="E15" s="199" t="s">
        <v>13</v>
      </c>
      <c r="F15" s="199" t="s">
        <v>39</v>
      </c>
      <c r="G15" s="199" t="s">
        <v>21</v>
      </c>
      <c r="H15" s="20">
        <v>32987.35</v>
      </c>
      <c r="I15" s="20">
        <v>34051.99</v>
      </c>
      <c r="J15" s="20">
        <v>34051.99</v>
      </c>
      <c r="K15" s="20"/>
      <c r="L15" s="20"/>
      <c r="M15" s="20"/>
      <c r="N15" s="20"/>
      <c r="O15" s="20"/>
      <c r="P15" s="20"/>
      <c r="Q15" s="17"/>
      <c r="T15" s="20">
        <v>32586.199999999997</v>
      </c>
      <c r="U15" s="20">
        <v>32586.199999999997</v>
      </c>
      <c r="V15" s="20">
        <v>32586.199999999997</v>
      </c>
      <c r="W15" s="20">
        <f t="shared" si="1"/>
        <v>401.15000000000146</v>
      </c>
      <c r="X15" s="20">
        <f t="shared" si="1"/>
        <v>1465.7900000000009</v>
      </c>
      <c r="Y15" s="20">
        <f t="shared" si="1"/>
        <v>1465.7900000000009</v>
      </c>
    </row>
    <row r="16" spans="1:25" s="16" customFormat="1" ht="191.25">
      <c r="A16" s="108" t="str">
        <f t="shared" si="0"/>
        <v>600010370 1 00 77460000</v>
      </c>
      <c r="B16" s="200" t="s">
        <v>1263</v>
      </c>
      <c r="C16" s="198" t="s">
        <v>6</v>
      </c>
      <c r="D16" s="199" t="s">
        <v>11</v>
      </c>
      <c r="E16" s="199" t="s">
        <v>13</v>
      </c>
      <c r="F16" s="199" t="s">
        <v>1264</v>
      </c>
      <c r="G16" s="199" t="s">
        <v>9</v>
      </c>
      <c r="H16" s="20">
        <v>1064.6400000000001</v>
      </c>
      <c r="I16" s="20">
        <v>0</v>
      </c>
      <c r="J16" s="20">
        <v>0</v>
      </c>
      <c r="K16" s="20"/>
      <c r="L16" s="20"/>
      <c r="M16" s="20"/>
      <c r="N16" s="20"/>
      <c r="O16" s="20"/>
      <c r="P16" s="20"/>
      <c r="Q16" s="17"/>
      <c r="T16" s="20">
        <v>1593.55</v>
      </c>
      <c r="U16" s="20">
        <v>1593.55</v>
      </c>
      <c r="V16" s="20">
        <v>1593.55</v>
      </c>
      <c r="W16" s="20">
        <f t="shared" si="1"/>
        <v>-528.90999999999985</v>
      </c>
      <c r="X16" s="20">
        <f t="shared" si="1"/>
        <v>-1593.55</v>
      </c>
      <c r="Y16" s="20">
        <f t="shared" si="1"/>
        <v>-1593.55</v>
      </c>
    </row>
    <row r="17" spans="1:25" s="16" customFormat="1" ht="25.5">
      <c r="A17" s="108" t="str">
        <f t="shared" si="0"/>
        <v>600010370 1 00 77460120</v>
      </c>
      <c r="B17" s="200" t="s">
        <v>20</v>
      </c>
      <c r="C17" s="198" t="s">
        <v>6</v>
      </c>
      <c r="D17" s="199" t="s">
        <v>11</v>
      </c>
      <c r="E17" s="199" t="s">
        <v>13</v>
      </c>
      <c r="F17" s="199" t="s">
        <v>1264</v>
      </c>
      <c r="G17" s="199" t="s">
        <v>21</v>
      </c>
      <c r="H17" s="20">
        <v>1064.6400000000001</v>
      </c>
      <c r="I17" s="20">
        <v>0</v>
      </c>
      <c r="J17" s="20">
        <v>0</v>
      </c>
      <c r="K17" s="20"/>
      <c r="L17" s="20"/>
      <c r="M17" s="20"/>
      <c r="N17" s="20"/>
      <c r="O17" s="20"/>
      <c r="P17" s="20"/>
      <c r="Q17" s="17"/>
      <c r="T17" s="20">
        <v>41.55</v>
      </c>
      <c r="U17" s="20">
        <v>41.55</v>
      </c>
      <c r="V17" s="20">
        <v>41.55</v>
      </c>
      <c r="W17" s="20">
        <f t="shared" si="1"/>
        <v>1023.0900000000001</v>
      </c>
      <c r="X17" s="20">
        <f t="shared" si="1"/>
        <v>-41.55</v>
      </c>
      <c r="Y17" s="20">
        <f t="shared" si="1"/>
        <v>-41.55</v>
      </c>
    </row>
    <row r="18" spans="1:25" s="16" customFormat="1" ht="25.5">
      <c r="A18" s="108" t="str">
        <f t="shared" si="0"/>
        <v>600010370 2 00 00000000</v>
      </c>
      <c r="B18" s="200" t="s">
        <v>42</v>
      </c>
      <c r="C18" s="198" t="s">
        <v>6</v>
      </c>
      <c r="D18" s="199" t="s">
        <v>11</v>
      </c>
      <c r="E18" s="199" t="s">
        <v>13</v>
      </c>
      <c r="F18" s="199" t="s">
        <v>43</v>
      </c>
      <c r="G18" s="199" t="s">
        <v>9</v>
      </c>
      <c r="H18" s="20">
        <v>1658.1000000000001</v>
      </c>
      <c r="I18" s="20">
        <v>1658.1</v>
      </c>
      <c r="J18" s="20">
        <v>1658.1</v>
      </c>
      <c r="K18" s="20"/>
      <c r="L18" s="20"/>
      <c r="M18" s="20"/>
      <c r="N18" s="20"/>
      <c r="O18" s="20"/>
      <c r="P18" s="20"/>
      <c r="Q18" s="17"/>
      <c r="T18" s="20">
        <v>41.55</v>
      </c>
      <c r="U18" s="20">
        <v>41.55</v>
      </c>
      <c r="V18" s="20">
        <v>41.55</v>
      </c>
      <c r="W18" s="20">
        <f t="shared" si="1"/>
        <v>1616.5500000000002</v>
      </c>
      <c r="X18" s="20">
        <f t="shared" si="1"/>
        <v>1616.55</v>
      </c>
      <c r="Y18" s="20">
        <f t="shared" si="1"/>
        <v>1616.55</v>
      </c>
    </row>
    <row r="19" spans="1:25" s="16" customFormat="1" ht="25.5">
      <c r="A19" s="108" t="str">
        <f t="shared" si="0"/>
        <v>600010370 2 00 10010000</v>
      </c>
      <c r="B19" s="197" t="s">
        <v>18</v>
      </c>
      <c r="C19" s="198" t="s">
        <v>6</v>
      </c>
      <c r="D19" s="199" t="s">
        <v>11</v>
      </c>
      <c r="E19" s="199" t="s">
        <v>13</v>
      </c>
      <c r="F19" s="199" t="s">
        <v>44</v>
      </c>
      <c r="G19" s="199" t="s">
        <v>9</v>
      </c>
      <c r="H19" s="20">
        <v>41.55</v>
      </c>
      <c r="I19" s="20">
        <v>41.55</v>
      </c>
      <c r="J19" s="20">
        <v>41.55</v>
      </c>
      <c r="K19" s="20"/>
      <c r="L19" s="20"/>
      <c r="M19" s="20"/>
      <c r="N19" s="20"/>
      <c r="O19" s="20"/>
      <c r="P19" s="20"/>
      <c r="Q19" s="17"/>
      <c r="T19" s="20">
        <v>1552</v>
      </c>
      <c r="U19" s="20">
        <v>1552</v>
      </c>
      <c r="V19" s="20">
        <v>1552</v>
      </c>
      <c r="W19" s="20">
        <f t="shared" si="1"/>
        <v>-1510.45</v>
      </c>
      <c r="X19" s="20">
        <f t="shared" si="1"/>
        <v>-1510.45</v>
      </c>
      <c r="Y19" s="20">
        <f t="shared" si="1"/>
        <v>-1510.45</v>
      </c>
    </row>
    <row r="20" spans="1:25" s="16" customFormat="1" ht="25.5">
      <c r="A20" s="108" t="str">
        <f t="shared" si="0"/>
        <v>600010370 2 00 10010120</v>
      </c>
      <c r="B20" s="200" t="s">
        <v>20</v>
      </c>
      <c r="C20" s="198" t="s">
        <v>6</v>
      </c>
      <c r="D20" s="199" t="s">
        <v>11</v>
      </c>
      <c r="E20" s="199" t="s">
        <v>13</v>
      </c>
      <c r="F20" s="199" t="s">
        <v>44</v>
      </c>
      <c r="G20" s="199" t="s">
        <v>21</v>
      </c>
      <c r="H20" s="20">
        <v>41.55</v>
      </c>
      <c r="I20" s="20">
        <v>41.55</v>
      </c>
      <c r="J20" s="20">
        <v>41.55</v>
      </c>
      <c r="K20" s="20"/>
      <c r="L20" s="20"/>
      <c r="M20" s="20"/>
      <c r="N20" s="20"/>
      <c r="O20" s="20"/>
      <c r="P20" s="20"/>
      <c r="Q20" s="17"/>
      <c r="T20" s="20">
        <v>1552</v>
      </c>
      <c r="U20" s="20">
        <v>1552</v>
      </c>
      <c r="V20" s="20">
        <v>1552</v>
      </c>
      <c r="W20" s="20">
        <f t="shared" si="1"/>
        <v>-1510.45</v>
      </c>
      <c r="X20" s="20">
        <f t="shared" si="1"/>
        <v>-1510.45</v>
      </c>
      <c r="Y20" s="20">
        <f t="shared" si="1"/>
        <v>-1510.45</v>
      </c>
    </row>
    <row r="21" spans="1:25" s="16" customFormat="1" ht="25.5">
      <c r="A21" s="108" t="str">
        <f t="shared" si="0"/>
        <v>600010370 2 00 10020000</v>
      </c>
      <c r="B21" s="200" t="s">
        <v>38</v>
      </c>
      <c r="C21" s="198" t="s">
        <v>6</v>
      </c>
      <c r="D21" s="199" t="s">
        <v>11</v>
      </c>
      <c r="E21" s="199" t="s">
        <v>13</v>
      </c>
      <c r="F21" s="199" t="s">
        <v>45</v>
      </c>
      <c r="G21" s="199" t="s">
        <v>9</v>
      </c>
      <c r="H21" s="20">
        <v>1564.8600000000001</v>
      </c>
      <c r="I21" s="20">
        <v>1616.55</v>
      </c>
      <c r="J21" s="20">
        <v>1616.55</v>
      </c>
      <c r="K21" s="20"/>
      <c r="L21" s="20"/>
      <c r="M21" s="20"/>
      <c r="N21" s="20"/>
      <c r="O21" s="20"/>
      <c r="P21" s="20"/>
      <c r="Q21" s="17"/>
      <c r="T21" s="20">
        <v>2511.77</v>
      </c>
      <c r="U21" s="20">
        <v>2511.77</v>
      </c>
      <c r="V21" s="20">
        <v>2511.77</v>
      </c>
      <c r="W21" s="20">
        <f t="shared" si="1"/>
        <v>-946.90999999999985</v>
      </c>
      <c r="X21" s="20">
        <f t="shared" si="1"/>
        <v>-895.22</v>
      </c>
      <c r="Y21" s="20">
        <f t="shared" si="1"/>
        <v>-895.22</v>
      </c>
    </row>
    <row r="22" spans="1:25" s="16" customFormat="1" ht="25.5">
      <c r="A22" s="108" t="str">
        <f t="shared" si="0"/>
        <v>600010370 2 00 10020120</v>
      </c>
      <c r="B22" s="200" t="s">
        <v>20</v>
      </c>
      <c r="C22" s="198" t="s">
        <v>6</v>
      </c>
      <c r="D22" s="199" t="s">
        <v>11</v>
      </c>
      <c r="E22" s="199" t="s">
        <v>13</v>
      </c>
      <c r="F22" s="199" t="s">
        <v>45</v>
      </c>
      <c r="G22" s="199" t="s">
        <v>21</v>
      </c>
      <c r="H22" s="20">
        <v>1564.8600000000001</v>
      </c>
      <c r="I22" s="20">
        <v>1616.55</v>
      </c>
      <c r="J22" s="20">
        <v>1616.55</v>
      </c>
      <c r="K22" s="20"/>
      <c r="L22" s="20"/>
      <c r="M22" s="20"/>
      <c r="N22" s="20"/>
      <c r="O22" s="20"/>
      <c r="P22" s="20"/>
      <c r="Q22" s="17"/>
      <c r="T22" s="20">
        <v>83.11</v>
      </c>
      <c r="U22" s="20">
        <v>83.11</v>
      </c>
      <c r="V22" s="20">
        <v>83.11</v>
      </c>
      <c r="W22" s="20">
        <f t="shared" si="1"/>
        <v>1481.7500000000002</v>
      </c>
      <c r="X22" s="20">
        <f t="shared" si="1"/>
        <v>1533.44</v>
      </c>
      <c r="Y22" s="20">
        <f t="shared" si="1"/>
        <v>1533.44</v>
      </c>
    </row>
    <row r="23" spans="1:25" s="16" customFormat="1" ht="191.25">
      <c r="A23" s="108" t="str">
        <f t="shared" si="0"/>
        <v>600010370 2 00 77460000</v>
      </c>
      <c r="B23" s="200" t="s">
        <v>1263</v>
      </c>
      <c r="C23" s="198" t="s">
        <v>6</v>
      </c>
      <c r="D23" s="199" t="s">
        <v>11</v>
      </c>
      <c r="E23" s="199" t="s">
        <v>13</v>
      </c>
      <c r="F23" s="199" t="s">
        <v>1265</v>
      </c>
      <c r="G23" s="199" t="s">
        <v>9</v>
      </c>
      <c r="H23" s="20">
        <v>51.69</v>
      </c>
      <c r="I23" s="20">
        <v>0</v>
      </c>
      <c r="J23" s="20">
        <v>0</v>
      </c>
      <c r="K23" s="20"/>
      <c r="L23" s="20"/>
      <c r="M23" s="20"/>
      <c r="N23" s="20"/>
      <c r="O23" s="20"/>
      <c r="P23" s="20"/>
      <c r="Q23" s="17"/>
      <c r="T23" s="20">
        <v>83.11</v>
      </c>
      <c r="U23" s="20">
        <v>83.11</v>
      </c>
      <c r="V23" s="20">
        <v>83.11</v>
      </c>
      <c r="W23" s="20">
        <f t="shared" si="1"/>
        <v>-31.42</v>
      </c>
      <c r="X23" s="20">
        <f t="shared" si="1"/>
        <v>-83.11</v>
      </c>
      <c r="Y23" s="20">
        <f t="shared" si="1"/>
        <v>-83.11</v>
      </c>
    </row>
    <row r="24" spans="1:25" s="16" customFormat="1" ht="25.5">
      <c r="A24" s="108" t="str">
        <f t="shared" si="0"/>
        <v>600010370 2 00 77460120</v>
      </c>
      <c r="B24" s="200" t="s">
        <v>20</v>
      </c>
      <c r="C24" s="198" t="s">
        <v>6</v>
      </c>
      <c r="D24" s="199" t="s">
        <v>11</v>
      </c>
      <c r="E24" s="199" t="s">
        <v>13</v>
      </c>
      <c r="F24" s="199" t="s">
        <v>1265</v>
      </c>
      <c r="G24" s="199" t="s">
        <v>21</v>
      </c>
      <c r="H24" s="20">
        <v>51.69</v>
      </c>
      <c r="I24" s="20">
        <v>0</v>
      </c>
      <c r="J24" s="20">
        <v>0</v>
      </c>
      <c r="K24" s="20"/>
      <c r="L24" s="20"/>
      <c r="M24" s="20"/>
      <c r="N24" s="20"/>
      <c r="O24" s="20"/>
      <c r="P24" s="20"/>
      <c r="Q24" s="17"/>
      <c r="T24" s="20">
        <v>2428.66</v>
      </c>
      <c r="U24" s="20">
        <v>2428.66</v>
      </c>
      <c r="V24" s="20">
        <v>2428.66</v>
      </c>
      <c r="W24" s="20">
        <f t="shared" si="1"/>
        <v>-2376.9699999999998</v>
      </c>
      <c r="X24" s="20">
        <f t="shared" si="1"/>
        <v>-2428.66</v>
      </c>
      <c r="Y24" s="20">
        <f t="shared" si="1"/>
        <v>-2428.66</v>
      </c>
    </row>
    <row r="25" spans="1:25" s="16" customFormat="1">
      <c r="A25" s="108" t="str">
        <f t="shared" si="0"/>
        <v>600010370 3 00 00000000</v>
      </c>
      <c r="B25" s="200" t="s">
        <v>46</v>
      </c>
      <c r="C25" s="198" t="s">
        <v>6</v>
      </c>
      <c r="D25" s="199" t="s">
        <v>11</v>
      </c>
      <c r="E25" s="199" t="s">
        <v>13</v>
      </c>
      <c r="F25" s="199" t="s">
        <v>47</v>
      </c>
      <c r="G25" s="199" t="s">
        <v>9</v>
      </c>
      <c r="H25" s="20">
        <v>2608.89</v>
      </c>
      <c r="I25" s="20">
        <v>2608.89</v>
      </c>
      <c r="J25" s="20">
        <v>2608.89</v>
      </c>
      <c r="K25" s="20"/>
      <c r="L25" s="20"/>
      <c r="M25" s="20"/>
      <c r="N25" s="20"/>
      <c r="O25" s="20"/>
      <c r="P25" s="20"/>
      <c r="Q25" s="17"/>
      <c r="T25" s="20">
        <v>2428.66</v>
      </c>
      <c r="U25" s="20">
        <v>2428.66</v>
      </c>
      <c r="V25" s="20">
        <v>2428.66</v>
      </c>
      <c r="W25" s="20">
        <f t="shared" si="1"/>
        <v>180.23000000000002</v>
      </c>
      <c r="X25" s="20">
        <f t="shared" si="1"/>
        <v>180.23000000000002</v>
      </c>
      <c r="Y25" s="20">
        <f t="shared" si="1"/>
        <v>180.23000000000002</v>
      </c>
    </row>
    <row r="26" spans="1:25" s="16" customFormat="1" ht="25.5">
      <c r="A26" s="108" t="str">
        <f t="shared" si="0"/>
        <v>600010370 3 00 10010000</v>
      </c>
      <c r="B26" s="197" t="s">
        <v>18</v>
      </c>
      <c r="C26" s="198" t="s">
        <v>6</v>
      </c>
      <c r="D26" s="199" t="s">
        <v>11</v>
      </c>
      <c r="E26" s="199" t="s">
        <v>13</v>
      </c>
      <c r="F26" s="199" t="s">
        <v>48</v>
      </c>
      <c r="G26" s="199" t="s">
        <v>9</v>
      </c>
      <c r="H26" s="20">
        <v>83.11</v>
      </c>
      <c r="I26" s="20">
        <v>83.11</v>
      </c>
      <c r="J26" s="20">
        <v>83.11</v>
      </c>
      <c r="K26" s="19"/>
      <c r="L26" s="19"/>
      <c r="M26" s="19"/>
      <c r="N26" s="19"/>
      <c r="O26" s="19"/>
      <c r="P26" s="19"/>
      <c r="Q26" s="17"/>
      <c r="T26" s="19">
        <v>500</v>
      </c>
      <c r="U26" s="19">
        <v>500</v>
      </c>
      <c r="V26" s="19">
        <v>500</v>
      </c>
      <c r="W26" s="19">
        <f t="shared" si="1"/>
        <v>-416.89</v>
      </c>
      <c r="X26" s="19">
        <f t="shared" si="1"/>
        <v>-416.89</v>
      </c>
      <c r="Y26" s="19">
        <f t="shared" si="1"/>
        <v>-416.89</v>
      </c>
    </row>
    <row r="27" spans="1:25" s="16" customFormat="1" ht="25.5">
      <c r="A27" s="108" t="str">
        <f t="shared" si="0"/>
        <v>600010370 3 00 10010120</v>
      </c>
      <c r="B27" s="200" t="s">
        <v>20</v>
      </c>
      <c r="C27" s="198" t="s">
        <v>6</v>
      </c>
      <c r="D27" s="199" t="s">
        <v>11</v>
      </c>
      <c r="E27" s="199" t="s">
        <v>13</v>
      </c>
      <c r="F27" s="199" t="s">
        <v>48</v>
      </c>
      <c r="G27" s="199" t="s">
        <v>21</v>
      </c>
      <c r="H27" s="20">
        <v>83.11</v>
      </c>
      <c r="I27" s="20">
        <v>83.11</v>
      </c>
      <c r="J27" s="20">
        <v>83.11</v>
      </c>
      <c r="K27" s="20"/>
      <c r="L27" s="20"/>
      <c r="M27" s="20"/>
      <c r="N27" s="20"/>
      <c r="O27" s="20"/>
      <c r="P27" s="20"/>
      <c r="Q27" s="17"/>
      <c r="T27" s="20">
        <v>500</v>
      </c>
      <c r="U27" s="20">
        <v>500</v>
      </c>
      <c r="V27" s="20">
        <v>500</v>
      </c>
      <c r="W27" s="20">
        <f t="shared" si="1"/>
        <v>-416.89</v>
      </c>
      <c r="X27" s="20">
        <f t="shared" si="1"/>
        <v>-416.89</v>
      </c>
      <c r="Y27" s="20">
        <f t="shared" si="1"/>
        <v>-416.89</v>
      </c>
    </row>
    <row r="28" spans="1:25" s="16" customFormat="1" ht="25.5">
      <c r="A28" s="108" t="str">
        <f t="shared" si="0"/>
        <v>600010370 3 00 10020000</v>
      </c>
      <c r="B28" s="200" t="s">
        <v>38</v>
      </c>
      <c r="C28" s="198" t="s">
        <v>6</v>
      </c>
      <c r="D28" s="199" t="s">
        <v>11</v>
      </c>
      <c r="E28" s="199" t="s">
        <v>13</v>
      </c>
      <c r="F28" s="199" t="s">
        <v>49</v>
      </c>
      <c r="G28" s="199" t="s">
        <v>9</v>
      </c>
      <c r="H28" s="20">
        <v>2442.6999999999998</v>
      </c>
      <c r="I28" s="20">
        <v>2525.7799999999997</v>
      </c>
      <c r="J28" s="20">
        <v>2525.7799999999997</v>
      </c>
      <c r="K28" s="20"/>
      <c r="L28" s="20"/>
      <c r="M28" s="20"/>
      <c r="N28" s="20"/>
      <c r="O28" s="20"/>
      <c r="P28" s="20"/>
      <c r="Q28" s="17"/>
      <c r="T28" s="20">
        <v>500</v>
      </c>
      <c r="U28" s="20">
        <v>500</v>
      </c>
      <c r="V28" s="20">
        <v>500</v>
      </c>
      <c r="W28" s="20">
        <f t="shared" si="1"/>
        <v>1942.6999999999998</v>
      </c>
      <c r="X28" s="20">
        <f t="shared" si="1"/>
        <v>2025.7799999999997</v>
      </c>
      <c r="Y28" s="20">
        <f t="shared" si="1"/>
        <v>2025.7799999999997</v>
      </c>
    </row>
    <row r="29" spans="1:25" s="16" customFormat="1" ht="25.5">
      <c r="A29" s="108" t="str">
        <f t="shared" si="0"/>
        <v>600010370 3 00 10020120</v>
      </c>
      <c r="B29" s="200" t="s">
        <v>20</v>
      </c>
      <c r="C29" s="198" t="s">
        <v>6</v>
      </c>
      <c r="D29" s="199" t="s">
        <v>11</v>
      </c>
      <c r="E29" s="199" t="s">
        <v>13</v>
      </c>
      <c r="F29" s="199" t="s">
        <v>49</v>
      </c>
      <c r="G29" s="199" t="s">
        <v>21</v>
      </c>
      <c r="H29" s="20">
        <v>2442.6999999999998</v>
      </c>
      <c r="I29" s="20">
        <v>2525.7799999999997</v>
      </c>
      <c r="J29" s="20">
        <v>2525.7799999999997</v>
      </c>
      <c r="K29" s="20"/>
      <c r="L29" s="20"/>
      <c r="M29" s="20"/>
      <c r="N29" s="20"/>
      <c r="O29" s="20"/>
      <c r="P29" s="20"/>
      <c r="Q29" s="17"/>
      <c r="T29" s="20">
        <v>500</v>
      </c>
      <c r="U29" s="20">
        <v>500</v>
      </c>
      <c r="V29" s="20">
        <v>500</v>
      </c>
      <c r="W29" s="20">
        <f t="shared" si="1"/>
        <v>1942.6999999999998</v>
      </c>
      <c r="X29" s="20">
        <f t="shared" si="1"/>
        <v>2025.7799999999997</v>
      </c>
      <c r="Y29" s="20">
        <f t="shared" si="1"/>
        <v>2025.7799999999997</v>
      </c>
    </row>
    <row r="30" spans="1:25" s="16" customFormat="1" ht="191.25">
      <c r="A30" s="108" t="str">
        <f t="shared" si="0"/>
        <v>600010370 3 00 77460000</v>
      </c>
      <c r="B30" s="200" t="s">
        <v>1263</v>
      </c>
      <c r="C30" s="198" t="s">
        <v>6</v>
      </c>
      <c r="D30" s="199" t="s">
        <v>11</v>
      </c>
      <c r="E30" s="199" t="s">
        <v>13</v>
      </c>
      <c r="F30" s="199" t="s">
        <v>1266</v>
      </c>
      <c r="G30" s="199" t="s">
        <v>9</v>
      </c>
      <c r="H30" s="20">
        <v>83.08</v>
      </c>
      <c r="I30" s="20">
        <v>0</v>
      </c>
      <c r="J30" s="20">
        <v>0</v>
      </c>
      <c r="K30" s="20"/>
      <c r="L30" s="20"/>
      <c r="M30" s="20"/>
      <c r="N30" s="20"/>
      <c r="O30" s="20"/>
      <c r="P30" s="20"/>
      <c r="Q30" s="17"/>
      <c r="T30" s="20">
        <v>500</v>
      </c>
      <c r="U30" s="20">
        <v>500</v>
      </c>
      <c r="V30" s="20">
        <v>500</v>
      </c>
      <c r="W30" s="20">
        <f t="shared" si="1"/>
        <v>-416.92</v>
      </c>
      <c r="X30" s="20">
        <f t="shared" si="1"/>
        <v>-500</v>
      </c>
      <c r="Y30" s="20">
        <f t="shared" si="1"/>
        <v>-500</v>
      </c>
    </row>
    <row r="31" spans="1:25" s="6" customFormat="1" ht="25.5">
      <c r="A31" s="108" t="str">
        <f t="shared" si="0"/>
        <v>600010370 3 00 77460120</v>
      </c>
      <c r="B31" s="200" t="s">
        <v>20</v>
      </c>
      <c r="C31" s="198" t="s">
        <v>6</v>
      </c>
      <c r="D31" s="199" t="s">
        <v>11</v>
      </c>
      <c r="E31" s="199" t="s">
        <v>13</v>
      </c>
      <c r="F31" s="199" t="s">
        <v>1266</v>
      </c>
      <c r="G31" s="199" t="s">
        <v>21</v>
      </c>
      <c r="H31" s="20">
        <v>83.08</v>
      </c>
      <c r="I31" s="20">
        <v>0</v>
      </c>
      <c r="J31" s="20">
        <v>0</v>
      </c>
      <c r="K31" s="18"/>
      <c r="L31" s="18"/>
      <c r="M31" s="18"/>
      <c r="N31" s="18"/>
      <c r="O31" s="18"/>
      <c r="P31" s="18"/>
      <c r="Q31" s="17"/>
      <c r="T31" s="18">
        <v>7090.5</v>
      </c>
      <c r="U31" s="18">
        <v>7090.5</v>
      </c>
      <c r="V31" s="18">
        <v>7090.5</v>
      </c>
      <c r="W31" s="18">
        <f t="shared" si="1"/>
        <v>-7007.42</v>
      </c>
      <c r="X31" s="18">
        <f t="shared" si="1"/>
        <v>-7090.5</v>
      </c>
      <c r="Y31" s="18">
        <f t="shared" si="1"/>
        <v>-7090.5</v>
      </c>
    </row>
    <row r="32" spans="1:25" s="6" customFormat="1">
      <c r="A32" s="108" t="str">
        <f t="shared" si="0"/>
        <v>600011300 0 00 00000000</v>
      </c>
      <c r="B32" s="194" t="s">
        <v>50</v>
      </c>
      <c r="C32" s="195" t="s">
        <v>6</v>
      </c>
      <c r="D32" s="196" t="s">
        <v>11</v>
      </c>
      <c r="E32" s="196" t="s">
        <v>51</v>
      </c>
      <c r="F32" s="196" t="s">
        <v>8</v>
      </c>
      <c r="G32" s="196" t="s">
        <v>9</v>
      </c>
      <c r="H32" s="19">
        <v>500</v>
      </c>
      <c r="I32" s="19">
        <v>500</v>
      </c>
      <c r="J32" s="19">
        <v>500</v>
      </c>
      <c r="K32" s="19"/>
      <c r="L32" s="19"/>
      <c r="M32" s="19"/>
      <c r="N32" s="19"/>
      <c r="O32" s="19"/>
      <c r="P32" s="19"/>
      <c r="Q32" s="17"/>
      <c r="T32" s="19">
        <v>5090.5</v>
      </c>
      <c r="U32" s="19">
        <v>5090.5</v>
      </c>
      <c r="V32" s="19">
        <v>5090.5</v>
      </c>
      <c r="W32" s="19">
        <f t="shared" si="1"/>
        <v>-4590.5</v>
      </c>
      <c r="X32" s="19">
        <f t="shared" si="1"/>
        <v>-4590.5</v>
      </c>
      <c r="Y32" s="19">
        <f t="shared" si="1"/>
        <v>-4590.5</v>
      </c>
    </row>
    <row r="33" spans="1:25" s="16" customFormat="1">
      <c r="A33" s="108" t="str">
        <f t="shared" si="0"/>
        <v>600011370 0 00 00000000</v>
      </c>
      <c r="B33" s="197" t="s">
        <v>14</v>
      </c>
      <c r="C33" s="198" t="s">
        <v>6</v>
      </c>
      <c r="D33" s="199" t="s">
        <v>11</v>
      </c>
      <c r="E33" s="199" t="s">
        <v>51</v>
      </c>
      <c r="F33" s="199" t="s">
        <v>15</v>
      </c>
      <c r="G33" s="199" t="s">
        <v>9</v>
      </c>
      <c r="H33" s="20">
        <v>500</v>
      </c>
      <c r="I33" s="20">
        <v>500</v>
      </c>
      <c r="J33" s="20">
        <v>500</v>
      </c>
      <c r="K33" s="20"/>
      <c r="L33" s="20"/>
      <c r="M33" s="20"/>
      <c r="N33" s="20"/>
      <c r="O33" s="20"/>
      <c r="P33" s="20"/>
      <c r="Q33" s="17"/>
      <c r="T33" s="20">
        <v>5090.5</v>
      </c>
      <c r="U33" s="20">
        <v>5090.5</v>
      </c>
      <c r="V33" s="20">
        <v>5090.5</v>
      </c>
      <c r="W33" s="20">
        <f t="shared" si="1"/>
        <v>-4590.5</v>
      </c>
      <c r="X33" s="20">
        <f t="shared" si="1"/>
        <v>-4590.5</v>
      </c>
      <c r="Y33" s="20">
        <f t="shared" si="1"/>
        <v>-4590.5</v>
      </c>
    </row>
    <row r="34" spans="1:25" s="16" customFormat="1">
      <c r="A34" s="108" t="str">
        <f t="shared" si="0"/>
        <v>600011370 4 00 00000000</v>
      </c>
      <c r="B34" s="197" t="s">
        <v>52</v>
      </c>
      <c r="C34" s="198" t="s">
        <v>6</v>
      </c>
      <c r="D34" s="199" t="s">
        <v>11</v>
      </c>
      <c r="E34" s="199" t="s">
        <v>51</v>
      </c>
      <c r="F34" s="199" t="s">
        <v>53</v>
      </c>
      <c r="G34" s="199" t="s">
        <v>9</v>
      </c>
      <c r="H34" s="20">
        <v>500</v>
      </c>
      <c r="I34" s="20">
        <v>500</v>
      </c>
      <c r="J34" s="20">
        <v>500</v>
      </c>
      <c r="K34" s="20"/>
      <c r="L34" s="20"/>
      <c r="M34" s="20"/>
      <c r="N34" s="20"/>
      <c r="O34" s="20"/>
      <c r="P34" s="20"/>
      <c r="Q34" s="17"/>
      <c r="T34" s="20">
        <v>5090.5</v>
      </c>
      <c r="U34" s="20">
        <v>5090.5</v>
      </c>
      <c r="V34" s="20">
        <v>5090.5</v>
      </c>
      <c r="W34" s="20">
        <f t="shared" si="1"/>
        <v>-4590.5</v>
      </c>
      <c r="X34" s="20">
        <f t="shared" si="1"/>
        <v>-4590.5</v>
      </c>
      <c r="Y34" s="20">
        <f t="shared" si="1"/>
        <v>-4590.5</v>
      </c>
    </row>
    <row r="35" spans="1:25" s="16" customFormat="1" ht="63.75">
      <c r="A35" s="108" t="str">
        <f t="shared" si="0"/>
        <v>600011370 4 00 20090000</v>
      </c>
      <c r="B35" s="201" t="s">
        <v>54</v>
      </c>
      <c r="C35" s="198" t="s">
        <v>6</v>
      </c>
      <c r="D35" s="199" t="s">
        <v>11</v>
      </c>
      <c r="E35" s="199" t="s">
        <v>51</v>
      </c>
      <c r="F35" s="199" t="s">
        <v>55</v>
      </c>
      <c r="G35" s="199" t="s">
        <v>9</v>
      </c>
      <c r="H35" s="20">
        <v>500</v>
      </c>
      <c r="I35" s="20">
        <v>500</v>
      </c>
      <c r="J35" s="20">
        <v>500</v>
      </c>
      <c r="K35" s="20"/>
      <c r="L35" s="20"/>
      <c r="M35" s="20"/>
      <c r="N35" s="20"/>
      <c r="O35" s="20"/>
      <c r="P35" s="20"/>
      <c r="Q35" s="17"/>
      <c r="T35" s="20">
        <v>5090.5</v>
      </c>
      <c r="U35" s="20">
        <v>5090.5</v>
      </c>
      <c r="V35" s="20">
        <v>5090.5</v>
      </c>
      <c r="W35" s="20">
        <f t="shared" si="1"/>
        <v>-4590.5</v>
      </c>
      <c r="X35" s="20">
        <f t="shared" si="1"/>
        <v>-4590.5</v>
      </c>
      <c r="Y35" s="20">
        <f t="shared" si="1"/>
        <v>-4590.5</v>
      </c>
    </row>
    <row r="36" spans="1:25" s="16" customFormat="1" ht="25.5">
      <c r="A36" s="108" t="str">
        <f t="shared" si="0"/>
        <v>600011370 4 00 20090240</v>
      </c>
      <c r="B36" s="197" t="s">
        <v>28</v>
      </c>
      <c r="C36" s="198" t="s">
        <v>6</v>
      </c>
      <c r="D36" s="199" t="s">
        <v>11</v>
      </c>
      <c r="E36" s="199" t="s">
        <v>51</v>
      </c>
      <c r="F36" s="199" t="s">
        <v>55</v>
      </c>
      <c r="G36" s="199" t="s">
        <v>29</v>
      </c>
      <c r="H36" s="20">
        <v>500</v>
      </c>
      <c r="I36" s="20">
        <v>500</v>
      </c>
      <c r="J36" s="20">
        <v>500</v>
      </c>
      <c r="K36" s="20"/>
      <c r="L36" s="20"/>
      <c r="M36" s="20"/>
      <c r="N36" s="20"/>
      <c r="O36" s="20"/>
      <c r="P36" s="20"/>
      <c r="Q36" s="17"/>
      <c r="T36" s="20">
        <v>5090.5</v>
      </c>
      <c r="U36" s="20">
        <v>5090.5</v>
      </c>
      <c r="V36" s="20">
        <v>5090.5</v>
      </c>
      <c r="W36" s="20">
        <f t="shared" si="1"/>
        <v>-4590.5</v>
      </c>
      <c r="X36" s="20">
        <f t="shared" si="1"/>
        <v>-4590.5</v>
      </c>
      <c r="Y36" s="20">
        <f t="shared" si="1"/>
        <v>-4590.5</v>
      </c>
    </row>
    <row r="37" spans="1:25" s="16" customFormat="1">
      <c r="A37" s="108" t="str">
        <f t="shared" si="0"/>
        <v>600120000 0 00 00000000</v>
      </c>
      <c r="B37" s="191" t="s">
        <v>56</v>
      </c>
      <c r="C37" s="192" t="s">
        <v>6</v>
      </c>
      <c r="D37" s="193" t="s">
        <v>57</v>
      </c>
      <c r="E37" s="193" t="s">
        <v>7</v>
      </c>
      <c r="F37" s="193" t="s">
        <v>8</v>
      </c>
      <c r="G37" s="193" t="s">
        <v>9</v>
      </c>
      <c r="H37" s="18">
        <v>7090.5</v>
      </c>
      <c r="I37" s="18">
        <v>7090.5</v>
      </c>
      <c r="J37" s="18">
        <v>7090.5</v>
      </c>
      <c r="K37" s="19"/>
      <c r="L37" s="19"/>
      <c r="M37" s="19"/>
      <c r="N37" s="19"/>
      <c r="O37" s="19"/>
      <c r="P37" s="19"/>
      <c r="Q37" s="17"/>
      <c r="T37" s="19">
        <v>2000</v>
      </c>
      <c r="U37" s="19">
        <v>2000</v>
      </c>
      <c r="V37" s="19">
        <v>2000</v>
      </c>
      <c r="W37" s="19">
        <f t="shared" si="1"/>
        <v>5090.5</v>
      </c>
      <c r="X37" s="19">
        <f t="shared" si="1"/>
        <v>5090.5</v>
      </c>
      <c r="Y37" s="19">
        <f t="shared" si="1"/>
        <v>5090.5</v>
      </c>
    </row>
    <row r="38" spans="1:25" s="16" customFormat="1">
      <c r="A38" s="108" t="str">
        <f t="shared" si="0"/>
        <v>600120100 0 00 00000000</v>
      </c>
      <c r="B38" s="194" t="s">
        <v>58</v>
      </c>
      <c r="C38" s="195" t="s">
        <v>6</v>
      </c>
      <c r="D38" s="196" t="s">
        <v>57</v>
      </c>
      <c r="E38" s="196" t="s">
        <v>11</v>
      </c>
      <c r="F38" s="196" t="s">
        <v>8</v>
      </c>
      <c r="G38" s="196" t="s">
        <v>9</v>
      </c>
      <c r="H38" s="19">
        <v>5090.5</v>
      </c>
      <c r="I38" s="19">
        <v>5090.5</v>
      </c>
      <c r="J38" s="19">
        <v>5090.5</v>
      </c>
      <c r="K38" s="20"/>
      <c r="L38" s="20"/>
      <c r="M38" s="20"/>
      <c r="N38" s="20"/>
      <c r="O38" s="20"/>
      <c r="P38" s="20"/>
      <c r="Q38" s="17"/>
      <c r="T38" s="20">
        <v>2000</v>
      </c>
      <c r="U38" s="20">
        <v>2000</v>
      </c>
      <c r="V38" s="20">
        <v>2000</v>
      </c>
      <c r="W38" s="20">
        <f t="shared" si="1"/>
        <v>3090.5</v>
      </c>
      <c r="X38" s="20">
        <f t="shared" si="1"/>
        <v>3090.5</v>
      </c>
      <c r="Y38" s="20">
        <f t="shared" si="1"/>
        <v>3090.5</v>
      </c>
    </row>
    <row r="39" spans="1:25" s="16" customFormat="1">
      <c r="A39" s="108" t="str">
        <f t="shared" si="0"/>
        <v>600120170 0 00 00000000</v>
      </c>
      <c r="B39" s="197" t="s">
        <v>14</v>
      </c>
      <c r="C39" s="198" t="s">
        <v>6</v>
      </c>
      <c r="D39" s="199" t="s">
        <v>57</v>
      </c>
      <c r="E39" s="199" t="s">
        <v>11</v>
      </c>
      <c r="F39" s="199" t="s">
        <v>15</v>
      </c>
      <c r="G39" s="199" t="s">
        <v>9</v>
      </c>
      <c r="H39" s="20">
        <v>5090.5</v>
      </c>
      <c r="I39" s="20">
        <v>5090.5</v>
      </c>
      <c r="J39" s="20">
        <v>5090.5</v>
      </c>
      <c r="K39" s="20"/>
      <c r="L39" s="20"/>
      <c r="M39" s="20"/>
      <c r="N39" s="20"/>
      <c r="O39" s="20"/>
      <c r="P39" s="20"/>
      <c r="Q39" s="17"/>
      <c r="T39" s="20">
        <v>2000</v>
      </c>
      <c r="U39" s="20">
        <v>2000</v>
      </c>
      <c r="V39" s="20">
        <v>2000</v>
      </c>
      <c r="W39" s="20">
        <f t="shared" si="1"/>
        <v>3090.5</v>
      </c>
      <c r="X39" s="20">
        <f t="shared" si="1"/>
        <v>3090.5</v>
      </c>
      <c r="Y39" s="20">
        <f t="shared" si="1"/>
        <v>3090.5</v>
      </c>
    </row>
    <row r="40" spans="1:25" s="16" customFormat="1">
      <c r="A40" s="108" t="str">
        <f t="shared" si="0"/>
        <v>600120170 4 00 00000000</v>
      </c>
      <c r="B40" s="197" t="s">
        <v>52</v>
      </c>
      <c r="C40" s="198" t="s">
        <v>6</v>
      </c>
      <c r="D40" s="199" t="s">
        <v>57</v>
      </c>
      <c r="E40" s="199" t="s">
        <v>11</v>
      </c>
      <c r="F40" s="199" t="s">
        <v>53</v>
      </c>
      <c r="G40" s="199" t="s">
        <v>9</v>
      </c>
      <c r="H40" s="20">
        <v>5090.5</v>
      </c>
      <c r="I40" s="20">
        <v>5090.5</v>
      </c>
      <c r="J40" s="20">
        <v>5090.5</v>
      </c>
      <c r="K40" s="20"/>
      <c r="L40" s="20"/>
      <c r="M40" s="20"/>
      <c r="N40" s="20"/>
      <c r="O40" s="20"/>
      <c r="P40" s="20"/>
      <c r="Q40" s="17"/>
      <c r="T40" s="20">
        <v>2000</v>
      </c>
      <c r="U40" s="20">
        <v>2000</v>
      </c>
      <c r="V40" s="20">
        <v>2000</v>
      </c>
      <c r="W40" s="20">
        <f t="shared" si="1"/>
        <v>3090.5</v>
      </c>
      <c r="X40" s="20">
        <f t="shared" si="1"/>
        <v>3090.5</v>
      </c>
      <c r="Y40" s="20">
        <f t="shared" si="1"/>
        <v>3090.5</v>
      </c>
    </row>
    <row r="41" spans="1:25" s="16" customFormat="1" ht="25.5">
      <c r="A41" s="108" t="str">
        <f t="shared" si="0"/>
        <v>600120170 4 00 98710000</v>
      </c>
      <c r="B41" s="197" t="s">
        <v>59</v>
      </c>
      <c r="C41" s="198" t="s">
        <v>6</v>
      </c>
      <c r="D41" s="199" t="s">
        <v>57</v>
      </c>
      <c r="E41" s="199" t="s">
        <v>11</v>
      </c>
      <c r="F41" s="199" t="s">
        <v>60</v>
      </c>
      <c r="G41" s="199" t="s">
        <v>9</v>
      </c>
      <c r="H41" s="20">
        <v>5090.5</v>
      </c>
      <c r="I41" s="20">
        <v>5090.5</v>
      </c>
      <c r="J41" s="20">
        <v>5090.5</v>
      </c>
      <c r="K41" s="20"/>
      <c r="L41" s="20"/>
      <c r="M41" s="20"/>
      <c r="N41" s="20"/>
      <c r="O41" s="20"/>
      <c r="P41" s="20"/>
      <c r="Q41" s="17"/>
      <c r="T41" s="20">
        <v>2000</v>
      </c>
      <c r="U41" s="20">
        <v>2000</v>
      </c>
      <c r="V41" s="20">
        <v>2000</v>
      </c>
      <c r="W41" s="20">
        <f t="shared" si="1"/>
        <v>3090.5</v>
      </c>
      <c r="X41" s="20">
        <f t="shared" si="1"/>
        <v>3090.5</v>
      </c>
      <c r="Y41" s="20">
        <f t="shared" si="1"/>
        <v>3090.5</v>
      </c>
    </row>
    <row r="42" spans="1:25" s="16" customFormat="1" ht="25.5">
      <c r="A42" s="108" t="str">
        <f t="shared" si="0"/>
        <v>600120170 4 00 98710240</v>
      </c>
      <c r="B42" s="197" t="s">
        <v>28</v>
      </c>
      <c r="C42" s="198" t="s">
        <v>6</v>
      </c>
      <c r="D42" s="199" t="s">
        <v>57</v>
      </c>
      <c r="E42" s="199" t="s">
        <v>11</v>
      </c>
      <c r="F42" s="199" t="s">
        <v>60</v>
      </c>
      <c r="G42" s="199" t="s">
        <v>29</v>
      </c>
      <c r="H42" s="20">
        <v>5090.5</v>
      </c>
      <c r="I42" s="20">
        <v>5090.5</v>
      </c>
      <c r="J42" s="20">
        <v>5090.5</v>
      </c>
      <c r="K42" s="20"/>
      <c r="L42" s="20"/>
      <c r="M42" s="20"/>
      <c r="N42" s="20"/>
      <c r="O42" s="20"/>
      <c r="P42" s="20"/>
      <c r="Q42" s="17"/>
      <c r="T42" s="20"/>
      <c r="U42" s="20"/>
      <c r="V42" s="20"/>
      <c r="W42" s="20">
        <f t="shared" si="1"/>
        <v>5090.5</v>
      </c>
      <c r="X42" s="20">
        <f t="shared" si="1"/>
        <v>5090.5</v>
      </c>
      <c r="Y42" s="20">
        <f t="shared" si="1"/>
        <v>5090.5</v>
      </c>
    </row>
    <row r="43" spans="1:25" s="16" customFormat="1">
      <c r="A43" s="108" t="str">
        <f t="shared" si="0"/>
        <v>600120200 0 00 00000000</v>
      </c>
      <c r="B43" s="194" t="s">
        <v>61</v>
      </c>
      <c r="C43" s="195" t="s">
        <v>6</v>
      </c>
      <c r="D43" s="196" t="s">
        <v>57</v>
      </c>
      <c r="E43" s="196" t="s">
        <v>62</v>
      </c>
      <c r="F43" s="196" t="s">
        <v>8</v>
      </c>
      <c r="G43" s="196" t="s">
        <v>9</v>
      </c>
      <c r="H43" s="19">
        <v>2000</v>
      </c>
      <c r="I43" s="19">
        <v>2000</v>
      </c>
      <c r="J43" s="19">
        <v>2000</v>
      </c>
      <c r="K43" s="25"/>
      <c r="L43" s="25"/>
      <c r="M43" s="25"/>
      <c r="N43" s="25"/>
      <c r="O43" s="25"/>
      <c r="P43" s="25"/>
      <c r="Q43" s="17"/>
      <c r="T43" s="25">
        <v>296567.62999999995</v>
      </c>
      <c r="U43" s="25">
        <v>273496.95</v>
      </c>
      <c r="V43" s="25">
        <v>273550.05</v>
      </c>
      <c r="W43" s="25">
        <f t="shared" si="1"/>
        <v>-294567.62999999995</v>
      </c>
      <c r="X43" s="25">
        <f t="shared" si="1"/>
        <v>-271496.95</v>
      </c>
      <c r="Y43" s="25">
        <f t="shared" si="1"/>
        <v>-271550.05</v>
      </c>
    </row>
    <row r="44" spans="1:25" s="16" customFormat="1">
      <c r="A44" s="108" t="str">
        <f t="shared" si="0"/>
        <v>600120270 0 00 00000000</v>
      </c>
      <c r="B44" s="197" t="s">
        <v>14</v>
      </c>
      <c r="C44" s="198" t="s">
        <v>6</v>
      </c>
      <c r="D44" s="199" t="s">
        <v>57</v>
      </c>
      <c r="E44" s="199" t="s">
        <v>62</v>
      </c>
      <c r="F44" s="199" t="s">
        <v>15</v>
      </c>
      <c r="G44" s="199" t="s">
        <v>9</v>
      </c>
      <c r="H44" s="20">
        <v>2000</v>
      </c>
      <c r="I44" s="20">
        <v>2000</v>
      </c>
      <c r="J44" s="20">
        <v>2000</v>
      </c>
      <c r="K44" s="18"/>
      <c r="L44" s="18"/>
      <c r="M44" s="18"/>
      <c r="N44" s="18"/>
      <c r="O44" s="18"/>
      <c r="P44" s="18"/>
      <c r="Q44" s="17"/>
      <c r="T44" s="18">
        <v>262491.62999999995</v>
      </c>
      <c r="U44" s="18">
        <v>239420.95</v>
      </c>
      <c r="V44" s="18">
        <v>239474.05</v>
      </c>
      <c r="W44" s="18">
        <f t="shared" si="1"/>
        <v>-260491.62999999995</v>
      </c>
      <c r="X44" s="18">
        <f t="shared" si="1"/>
        <v>-237420.95</v>
      </c>
      <c r="Y44" s="18">
        <f t="shared" si="1"/>
        <v>-237474.05</v>
      </c>
    </row>
    <row r="45" spans="1:25" s="16" customFormat="1">
      <c r="A45" s="108" t="str">
        <f t="shared" si="0"/>
        <v>600120270 4 00 00000000</v>
      </c>
      <c r="B45" s="197" t="s">
        <v>52</v>
      </c>
      <c r="C45" s="198" t="s">
        <v>6</v>
      </c>
      <c r="D45" s="199" t="s">
        <v>57</v>
      </c>
      <c r="E45" s="199" t="s">
        <v>62</v>
      </c>
      <c r="F45" s="199" t="s">
        <v>53</v>
      </c>
      <c r="G45" s="199" t="s">
        <v>9</v>
      </c>
      <c r="H45" s="20">
        <v>2000</v>
      </c>
      <c r="I45" s="20">
        <v>2000</v>
      </c>
      <c r="J45" s="20">
        <v>2000</v>
      </c>
      <c r="K45" s="19"/>
      <c r="L45" s="19"/>
      <c r="M45" s="19"/>
      <c r="N45" s="19"/>
      <c r="O45" s="19"/>
      <c r="P45" s="19"/>
      <c r="Q45" s="17"/>
      <c r="T45" s="19">
        <v>1593.55</v>
      </c>
      <c r="U45" s="19">
        <v>1593.55</v>
      </c>
      <c r="V45" s="19">
        <v>1593.55</v>
      </c>
      <c r="W45" s="19">
        <f t="shared" si="1"/>
        <v>406.45000000000005</v>
      </c>
      <c r="X45" s="19">
        <f t="shared" si="1"/>
        <v>406.45000000000005</v>
      </c>
      <c r="Y45" s="19">
        <f t="shared" si="1"/>
        <v>406.45000000000005</v>
      </c>
    </row>
    <row r="46" spans="1:25" s="16" customFormat="1" ht="25.5">
      <c r="A46" s="108" t="str">
        <f t="shared" si="0"/>
        <v>600120270 4 00 98710000</v>
      </c>
      <c r="B46" s="197" t="s">
        <v>59</v>
      </c>
      <c r="C46" s="198" t="s">
        <v>6</v>
      </c>
      <c r="D46" s="199" t="s">
        <v>57</v>
      </c>
      <c r="E46" s="199" t="s">
        <v>62</v>
      </c>
      <c r="F46" s="199" t="s">
        <v>60</v>
      </c>
      <c r="G46" s="199" t="s">
        <v>9</v>
      </c>
      <c r="H46" s="20">
        <v>2000</v>
      </c>
      <c r="I46" s="20">
        <v>2000</v>
      </c>
      <c r="J46" s="20">
        <v>2000</v>
      </c>
      <c r="K46" s="20"/>
      <c r="L46" s="20"/>
      <c r="M46" s="20"/>
      <c r="N46" s="20"/>
      <c r="O46" s="20"/>
      <c r="P46" s="20"/>
      <c r="Q46" s="17"/>
      <c r="T46" s="20">
        <v>1593.55</v>
      </c>
      <c r="U46" s="20">
        <v>1593.55</v>
      </c>
      <c r="V46" s="20">
        <v>1593.55</v>
      </c>
      <c r="W46" s="20">
        <f t="shared" si="1"/>
        <v>406.45000000000005</v>
      </c>
      <c r="X46" s="20">
        <f t="shared" si="1"/>
        <v>406.45000000000005</v>
      </c>
      <c r="Y46" s="20">
        <f t="shared" si="1"/>
        <v>406.45000000000005</v>
      </c>
    </row>
    <row r="47" spans="1:25" s="16" customFormat="1" ht="25.5">
      <c r="A47" s="108" t="str">
        <f t="shared" si="0"/>
        <v>600120270 4 00 98710240</v>
      </c>
      <c r="B47" s="197" t="s">
        <v>28</v>
      </c>
      <c r="C47" s="198" t="s">
        <v>6</v>
      </c>
      <c r="D47" s="199" t="s">
        <v>57</v>
      </c>
      <c r="E47" s="199" t="s">
        <v>62</v>
      </c>
      <c r="F47" s="199" t="s">
        <v>60</v>
      </c>
      <c r="G47" s="199" t="s">
        <v>29</v>
      </c>
      <c r="H47" s="20">
        <v>2000</v>
      </c>
      <c r="I47" s="20">
        <v>2000</v>
      </c>
      <c r="J47" s="20">
        <v>2000</v>
      </c>
      <c r="K47" s="20"/>
      <c r="L47" s="20"/>
      <c r="M47" s="20"/>
      <c r="N47" s="20"/>
      <c r="O47" s="20"/>
      <c r="P47" s="20"/>
      <c r="Q47" s="17"/>
      <c r="T47" s="20">
        <v>1593.55</v>
      </c>
      <c r="U47" s="20">
        <v>1593.55</v>
      </c>
      <c r="V47" s="20">
        <v>1593.55</v>
      </c>
      <c r="W47" s="20">
        <f t="shared" si="1"/>
        <v>406.45000000000005</v>
      </c>
      <c r="X47" s="20">
        <f t="shared" si="1"/>
        <v>406.45000000000005</v>
      </c>
      <c r="Y47" s="20">
        <f t="shared" si="1"/>
        <v>406.45000000000005</v>
      </c>
    </row>
    <row r="48" spans="1:25" s="16" customFormat="1">
      <c r="A48" s="108" t="str">
        <f t="shared" si="0"/>
        <v/>
      </c>
      <c r="B48" s="197"/>
      <c r="C48" s="198"/>
      <c r="D48" s="199"/>
      <c r="E48" s="199"/>
      <c r="F48" s="199"/>
      <c r="G48" s="199"/>
      <c r="H48" s="20"/>
      <c r="I48" s="20"/>
      <c r="J48" s="20"/>
      <c r="K48" s="20"/>
      <c r="L48" s="20"/>
      <c r="M48" s="20"/>
      <c r="N48" s="20"/>
      <c r="O48" s="20"/>
      <c r="P48" s="20"/>
      <c r="Q48" s="17"/>
      <c r="T48" s="20">
        <v>41.55</v>
      </c>
      <c r="U48" s="20">
        <v>41.55</v>
      </c>
      <c r="V48" s="20">
        <v>41.55</v>
      </c>
      <c r="W48" s="20">
        <f t="shared" si="1"/>
        <v>-41.55</v>
      </c>
      <c r="X48" s="20">
        <f t="shared" si="1"/>
        <v>-41.55</v>
      </c>
      <c r="Y48" s="20">
        <f t="shared" si="1"/>
        <v>-41.55</v>
      </c>
    </row>
    <row r="49" spans="1:25" s="16" customFormat="1">
      <c r="A49" s="108" t="str">
        <f t="shared" si="0"/>
        <v>601000000 0 00 00000000</v>
      </c>
      <c r="B49" s="202" t="s">
        <v>63</v>
      </c>
      <c r="C49" s="189" t="s">
        <v>64</v>
      </c>
      <c r="D49" s="190" t="s">
        <v>7</v>
      </c>
      <c r="E49" s="190" t="s">
        <v>7</v>
      </c>
      <c r="F49" s="190" t="s">
        <v>8</v>
      </c>
      <c r="G49" s="190" t="s">
        <v>9</v>
      </c>
      <c r="H49" s="25">
        <v>303283.12999999995</v>
      </c>
      <c r="I49" s="25">
        <v>280398.03000000003</v>
      </c>
      <c r="J49" s="25">
        <v>280451.13</v>
      </c>
      <c r="K49" s="20"/>
      <c r="L49" s="20"/>
      <c r="M49" s="20"/>
      <c r="N49" s="20"/>
      <c r="O49" s="20"/>
      <c r="P49" s="20"/>
      <c r="Q49" s="17"/>
      <c r="T49" s="20">
        <v>41.55</v>
      </c>
      <c r="U49" s="20">
        <v>41.55</v>
      </c>
      <c r="V49" s="20">
        <v>41.55</v>
      </c>
      <c r="W49" s="20">
        <f t="shared" si="1"/>
        <v>303241.57999999996</v>
      </c>
      <c r="X49" s="20">
        <f t="shared" si="1"/>
        <v>280356.48000000004</v>
      </c>
      <c r="Y49" s="20">
        <f t="shared" si="1"/>
        <v>280409.58</v>
      </c>
    </row>
    <row r="50" spans="1:25" s="16" customFormat="1">
      <c r="A50" s="108" t="str">
        <f t="shared" si="0"/>
        <v>601010000 0 00 00000000</v>
      </c>
      <c r="B50" s="191" t="s">
        <v>10</v>
      </c>
      <c r="C50" s="192" t="s">
        <v>64</v>
      </c>
      <c r="D50" s="193" t="s">
        <v>11</v>
      </c>
      <c r="E50" s="193" t="s">
        <v>7</v>
      </c>
      <c r="F50" s="193" t="s">
        <v>8</v>
      </c>
      <c r="G50" s="193" t="s">
        <v>9</v>
      </c>
      <c r="H50" s="18">
        <v>269355.85999999993</v>
      </c>
      <c r="I50" s="18">
        <v>246322.03000000003</v>
      </c>
      <c r="J50" s="18">
        <v>246375.13000000003</v>
      </c>
      <c r="K50" s="20"/>
      <c r="L50" s="20"/>
      <c r="M50" s="20"/>
      <c r="N50" s="20"/>
      <c r="O50" s="20"/>
      <c r="P50" s="20"/>
      <c r="Q50" s="17"/>
      <c r="T50" s="20">
        <v>1552</v>
      </c>
      <c r="U50" s="20">
        <v>1552</v>
      </c>
      <c r="V50" s="20">
        <v>1552</v>
      </c>
      <c r="W50" s="20">
        <f t="shared" si="1"/>
        <v>267803.85999999993</v>
      </c>
      <c r="X50" s="20">
        <f t="shared" si="1"/>
        <v>244770.03000000003</v>
      </c>
      <c r="Y50" s="20">
        <f t="shared" si="1"/>
        <v>244823.13000000003</v>
      </c>
    </row>
    <row r="51" spans="1:25" s="16" customFormat="1" ht="25.5">
      <c r="A51" s="108" t="str">
        <f t="shared" si="0"/>
        <v>601010200 0 00 00000000</v>
      </c>
      <c r="B51" s="194" t="s">
        <v>65</v>
      </c>
      <c r="C51" s="195" t="s">
        <v>64</v>
      </c>
      <c r="D51" s="196" t="s">
        <v>11</v>
      </c>
      <c r="E51" s="196" t="s">
        <v>62</v>
      </c>
      <c r="F51" s="196" t="s">
        <v>8</v>
      </c>
      <c r="G51" s="196" t="s">
        <v>9</v>
      </c>
      <c r="H51" s="19">
        <v>1658.17</v>
      </c>
      <c r="I51" s="19">
        <v>1658.1699999999998</v>
      </c>
      <c r="J51" s="19">
        <v>1658.1699999999998</v>
      </c>
      <c r="K51" s="20"/>
      <c r="L51" s="20"/>
      <c r="M51" s="20"/>
      <c r="N51" s="20"/>
      <c r="O51" s="20"/>
      <c r="P51" s="20"/>
      <c r="Q51" s="17"/>
      <c r="T51" s="20">
        <v>1552</v>
      </c>
      <c r="U51" s="20">
        <v>1552</v>
      </c>
      <c r="V51" s="20">
        <v>1552</v>
      </c>
      <c r="W51" s="20">
        <f t="shared" si="1"/>
        <v>106.17000000000007</v>
      </c>
      <c r="X51" s="20">
        <f t="shared" si="1"/>
        <v>106.16999999999985</v>
      </c>
      <c r="Y51" s="20">
        <f t="shared" si="1"/>
        <v>106.16999999999985</v>
      </c>
    </row>
    <row r="52" spans="1:25" s="16" customFormat="1">
      <c r="A52" s="108" t="str">
        <f t="shared" si="0"/>
        <v>601010271 0 00 00000000</v>
      </c>
      <c r="B52" s="201" t="s">
        <v>66</v>
      </c>
      <c r="C52" s="198" t="s">
        <v>64</v>
      </c>
      <c r="D52" s="199" t="s">
        <v>11</v>
      </c>
      <c r="E52" s="199" t="s">
        <v>62</v>
      </c>
      <c r="F52" s="199" t="s">
        <v>67</v>
      </c>
      <c r="G52" s="199" t="s">
        <v>9</v>
      </c>
      <c r="H52" s="20">
        <v>1658.17</v>
      </c>
      <c r="I52" s="20">
        <v>1658.1699999999998</v>
      </c>
      <c r="J52" s="20">
        <v>1658.1699999999998</v>
      </c>
      <c r="K52" s="19"/>
      <c r="L52" s="19"/>
      <c r="M52" s="19"/>
      <c r="N52" s="19"/>
      <c r="O52" s="19"/>
      <c r="P52" s="19"/>
      <c r="Q52" s="17"/>
      <c r="T52" s="19">
        <v>106697.01</v>
      </c>
      <c r="U52" s="19">
        <v>106659.61</v>
      </c>
      <c r="V52" s="19">
        <v>106659.61</v>
      </c>
      <c r="W52" s="19">
        <f t="shared" si="1"/>
        <v>-105038.84</v>
      </c>
      <c r="X52" s="19">
        <f t="shared" si="1"/>
        <v>-105001.44</v>
      </c>
      <c r="Y52" s="19">
        <f t="shared" si="1"/>
        <v>-105001.44</v>
      </c>
    </row>
    <row r="53" spans="1:25" s="16" customFormat="1">
      <c r="A53" s="108" t="str">
        <f t="shared" si="0"/>
        <v>601010271 2 00 00000000</v>
      </c>
      <c r="B53" s="197" t="s">
        <v>68</v>
      </c>
      <c r="C53" s="198" t="s">
        <v>64</v>
      </c>
      <c r="D53" s="199" t="s">
        <v>11</v>
      </c>
      <c r="E53" s="199" t="s">
        <v>62</v>
      </c>
      <c r="F53" s="199" t="s">
        <v>69</v>
      </c>
      <c r="G53" s="199" t="s">
        <v>9</v>
      </c>
      <c r="H53" s="20">
        <v>1658.17</v>
      </c>
      <c r="I53" s="20">
        <v>1658.1699999999998</v>
      </c>
      <c r="J53" s="20">
        <v>1658.1699999999998</v>
      </c>
      <c r="K53" s="20"/>
      <c r="L53" s="20"/>
      <c r="M53" s="20"/>
      <c r="N53" s="20"/>
      <c r="O53" s="20"/>
      <c r="P53" s="20"/>
      <c r="Q53" s="17"/>
      <c r="T53" s="20">
        <v>106697.01</v>
      </c>
      <c r="U53" s="20">
        <v>106659.61</v>
      </c>
      <c r="V53" s="20">
        <v>106659.61</v>
      </c>
      <c r="W53" s="20">
        <f t="shared" si="1"/>
        <v>-105038.84</v>
      </c>
      <c r="X53" s="20">
        <f t="shared" si="1"/>
        <v>-105001.44</v>
      </c>
      <c r="Y53" s="20">
        <f t="shared" si="1"/>
        <v>-105001.44</v>
      </c>
    </row>
    <row r="54" spans="1:25" s="16" customFormat="1" ht="25.5">
      <c r="A54" s="108" t="str">
        <f t="shared" si="0"/>
        <v>601010271 2 00 10010000</v>
      </c>
      <c r="B54" s="197" t="s">
        <v>18</v>
      </c>
      <c r="C54" s="198" t="s">
        <v>64</v>
      </c>
      <c r="D54" s="199" t="s">
        <v>11</v>
      </c>
      <c r="E54" s="199" t="s">
        <v>62</v>
      </c>
      <c r="F54" s="199" t="s">
        <v>70</v>
      </c>
      <c r="G54" s="199" t="s">
        <v>9</v>
      </c>
      <c r="H54" s="20">
        <v>41.55</v>
      </c>
      <c r="I54" s="20">
        <v>41.55</v>
      </c>
      <c r="J54" s="20">
        <v>41.55</v>
      </c>
      <c r="K54" s="20"/>
      <c r="L54" s="20"/>
      <c r="M54" s="20"/>
      <c r="N54" s="20"/>
      <c r="O54" s="20"/>
      <c r="P54" s="20"/>
      <c r="Q54" s="17"/>
      <c r="T54" s="20">
        <v>106697.01</v>
      </c>
      <c r="U54" s="20">
        <v>106659.61</v>
      </c>
      <c r="V54" s="20">
        <v>106659.61</v>
      </c>
      <c r="W54" s="20">
        <f t="shared" si="1"/>
        <v>-106655.45999999999</v>
      </c>
      <c r="X54" s="20">
        <f t="shared" si="1"/>
        <v>-106618.06</v>
      </c>
      <c r="Y54" s="20">
        <f t="shared" si="1"/>
        <v>-106618.06</v>
      </c>
    </row>
    <row r="55" spans="1:25" s="16" customFormat="1" ht="25.5">
      <c r="A55" s="108" t="str">
        <f t="shared" si="0"/>
        <v>601010271 2 00 10010120</v>
      </c>
      <c r="B55" s="200" t="s">
        <v>20</v>
      </c>
      <c r="C55" s="198" t="s">
        <v>64</v>
      </c>
      <c r="D55" s="199" t="s">
        <v>11</v>
      </c>
      <c r="E55" s="199" t="s">
        <v>62</v>
      </c>
      <c r="F55" s="199" t="s">
        <v>70</v>
      </c>
      <c r="G55" s="199" t="s">
        <v>21</v>
      </c>
      <c r="H55" s="20">
        <v>41.55</v>
      </c>
      <c r="I55" s="20">
        <v>41.55</v>
      </c>
      <c r="J55" s="20">
        <v>41.55</v>
      </c>
      <c r="K55" s="26"/>
      <c r="L55" s="26"/>
      <c r="M55" s="26"/>
      <c r="N55" s="26"/>
      <c r="O55" s="26"/>
      <c r="P55" s="26"/>
      <c r="Q55" s="17"/>
      <c r="T55" s="26">
        <v>12140.56</v>
      </c>
      <c r="U55" s="26">
        <v>12140.56</v>
      </c>
      <c r="V55" s="26">
        <v>12140.56</v>
      </c>
      <c r="W55" s="26">
        <f t="shared" si="1"/>
        <v>-12099.01</v>
      </c>
      <c r="X55" s="26">
        <f t="shared" si="1"/>
        <v>-12099.01</v>
      </c>
      <c r="Y55" s="26">
        <f t="shared" si="1"/>
        <v>-12099.01</v>
      </c>
    </row>
    <row r="56" spans="1:25" s="16" customFormat="1" ht="25.5">
      <c r="A56" s="108" t="str">
        <f t="shared" si="0"/>
        <v>601010271 2 00 10020000</v>
      </c>
      <c r="B56" s="197" t="s">
        <v>38</v>
      </c>
      <c r="C56" s="198" t="s">
        <v>64</v>
      </c>
      <c r="D56" s="199" t="s">
        <v>11</v>
      </c>
      <c r="E56" s="199" t="s">
        <v>62</v>
      </c>
      <c r="F56" s="199" t="s">
        <v>71</v>
      </c>
      <c r="G56" s="199" t="s">
        <v>9</v>
      </c>
      <c r="H56" s="20">
        <v>1564.0500000000002</v>
      </c>
      <c r="I56" s="20">
        <v>1616.62</v>
      </c>
      <c r="J56" s="20">
        <v>1616.62</v>
      </c>
      <c r="K56" s="20"/>
      <c r="L56" s="20"/>
      <c r="M56" s="20"/>
      <c r="N56" s="20"/>
      <c r="O56" s="20"/>
      <c r="P56" s="20"/>
      <c r="Q56" s="17"/>
      <c r="T56" s="20">
        <v>4414.8999999999996</v>
      </c>
      <c r="U56" s="20">
        <v>4414.8999999999996</v>
      </c>
      <c r="V56" s="20">
        <v>4414.8999999999996</v>
      </c>
      <c r="W56" s="20">
        <f t="shared" si="1"/>
        <v>-2850.8499999999995</v>
      </c>
      <c r="X56" s="20">
        <f t="shared" si="1"/>
        <v>-2798.2799999999997</v>
      </c>
      <c r="Y56" s="20">
        <f t="shared" si="1"/>
        <v>-2798.2799999999997</v>
      </c>
    </row>
    <row r="57" spans="1:25" s="16" customFormat="1" ht="25.5">
      <c r="A57" s="108" t="str">
        <f t="shared" si="0"/>
        <v>601010271 2 00 10020120</v>
      </c>
      <c r="B57" s="200" t="s">
        <v>20</v>
      </c>
      <c r="C57" s="198" t="s">
        <v>64</v>
      </c>
      <c r="D57" s="199" t="s">
        <v>11</v>
      </c>
      <c r="E57" s="199" t="s">
        <v>62</v>
      </c>
      <c r="F57" s="199" t="s">
        <v>71</v>
      </c>
      <c r="G57" s="199" t="s">
        <v>21</v>
      </c>
      <c r="H57" s="20">
        <v>1564.0500000000002</v>
      </c>
      <c r="I57" s="20">
        <v>1616.62</v>
      </c>
      <c r="J57" s="20">
        <v>1616.62</v>
      </c>
      <c r="K57" s="20"/>
      <c r="L57" s="20"/>
      <c r="M57" s="20"/>
      <c r="N57" s="20"/>
      <c r="O57" s="20"/>
      <c r="P57" s="20"/>
      <c r="Q57" s="17"/>
      <c r="T57" s="20">
        <v>7701.66</v>
      </c>
      <c r="U57" s="20">
        <v>7701.66</v>
      </c>
      <c r="V57" s="20">
        <v>7701.66</v>
      </c>
      <c r="W57" s="20">
        <f t="shared" si="1"/>
        <v>-6137.61</v>
      </c>
      <c r="X57" s="20">
        <f t="shared" si="1"/>
        <v>-6085.04</v>
      </c>
      <c r="Y57" s="20">
        <f t="shared" si="1"/>
        <v>-6085.04</v>
      </c>
    </row>
    <row r="58" spans="1:25" s="16" customFormat="1" ht="191.25">
      <c r="A58" s="108" t="str">
        <f t="shared" si="0"/>
        <v>601010271 2 00 77460000</v>
      </c>
      <c r="B58" s="200" t="s">
        <v>1263</v>
      </c>
      <c r="C58" s="198" t="s">
        <v>64</v>
      </c>
      <c r="D58" s="199" t="s">
        <v>11</v>
      </c>
      <c r="E58" s="199" t="s">
        <v>62</v>
      </c>
      <c r="F58" s="199" t="s">
        <v>1267</v>
      </c>
      <c r="G58" s="199" t="s">
        <v>9</v>
      </c>
      <c r="H58" s="20">
        <v>52.57</v>
      </c>
      <c r="I58" s="20">
        <v>0</v>
      </c>
      <c r="J58" s="20">
        <v>0</v>
      </c>
      <c r="K58" s="20"/>
      <c r="L58" s="20"/>
      <c r="M58" s="20"/>
      <c r="N58" s="20"/>
      <c r="O58" s="20"/>
      <c r="P58" s="20"/>
      <c r="Q58" s="17"/>
      <c r="T58" s="20">
        <v>24</v>
      </c>
      <c r="U58" s="20">
        <v>24</v>
      </c>
      <c r="V58" s="20">
        <v>24</v>
      </c>
      <c r="W58" s="20">
        <f t="shared" si="1"/>
        <v>28.57</v>
      </c>
      <c r="X58" s="20">
        <f t="shared" si="1"/>
        <v>-24</v>
      </c>
      <c r="Y58" s="20">
        <f t="shared" si="1"/>
        <v>-24</v>
      </c>
    </row>
    <row r="59" spans="1:25" s="16" customFormat="1" ht="25.5">
      <c r="A59" s="108" t="str">
        <f t="shared" si="0"/>
        <v>601010271 2 00 77460120</v>
      </c>
      <c r="B59" s="200" t="s">
        <v>20</v>
      </c>
      <c r="C59" s="198" t="s">
        <v>64</v>
      </c>
      <c r="D59" s="199" t="s">
        <v>11</v>
      </c>
      <c r="E59" s="199" t="s">
        <v>62</v>
      </c>
      <c r="F59" s="199" t="s">
        <v>1267</v>
      </c>
      <c r="G59" s="199" t="s">
        <v>21</v>
      </c>
      <c r="H59" s="20">
        <v>52.57</v>
      </c>
      <c r="I59" s="20">
        <v>0</v>
      </c>
      <c r="J59" s="20">
        <v>0</v>
      </c>
      <c r="K59" s="20"/>
      <c r="L59" s="20"/>
      <c r="M59" s="20"/>
      <c r="N59" s="20"/>
      <c r="O59" s="20"/>
      <c r="P59" s="20"/>
      <c r="Q59" s="17"/>
      <c r="T59" s="20">
        <v>93494.03</v>
      </c>
      <c r="U59" s="20">
        <v>93494.03</v>
      </c>
      <c r="V59" s="20">
        <v>93494.03</v>
      </c>
      <c r="W59" s="20">
        <f t="shared" si="1"/>
        <v>-93441.459999999992</v>
      </c>
      <c r="X59" s="20">
        <f t="shared" si="1"/>
        <v>-93494.03</v>
      </c>
      <c r="Y59" s="20">
        <f t="shared" si="1"/>
        <v>-93494.03</v>
      </c>
    </row>
    <row r="60" spans="1:25" s="16" customFormat="1" ht="38.25">
      <c r="A60" s="108" t="str">
        <f t="shared" si="0"/>
        <v>601010400 0 00 00000000</v>
      </c>
      <c r="B60" s="194" t="s">
        <v>72</v>
      </c>
      <c r="C60" s="195" t="s">
        <v>64</v>
      </c>
      <c r="D60" s="196" t="s">
        <v>11</v>
      </c>
      <c r="E60" s="196" t="s">
        <v>73</v>
      </c>
      <c r="F60" s="196" t="s">
        <v>8</v>
      </c>
      <c r="G60" s="196" t="s">
        <v>9</v>
      </c>
      <c r="H60" s="19">
        <v>110443.95999999999</v>
      </c>
      <c r="I60" s="19">
        <v>110406.56</v>
      </c>
      <c r="J60" s="19">
        <v>110406.56</v>
      </c>
      <c r="K60" s="20"/>
      <c r="L60" s="20"/>
      <c r="M60" s="20"/>
      <c r="N60" s="20"/>
      <c r="O60" s="20"/>
      <c r="P60" s="20"/>
      <c r="Q60" s="17"/>
      <c r="T60" s="20">
        <v>93494.03</v>
      </c>
      <c r="U60" s="20">
        <v>93494.03</v>
      </c>
      <c r="V60" s="20">
        <v>93494.03</v>
      </c>
      <c r="W60" s="20">
        <f t="shared" si="1"/>
        <v>16949.929999999993</v>
      </c>
      <c r="X60" s="20">
        <f t="shared" si="1"/>
        <v>16912.53</v>
      </c>
      <c r="Y60" s="20">
        <f t="shared" si="1"/>
        <v>16912.53</v>
      </c>
    </row>
    <row r="61" spans="1:25" s="16" customFormat="1">
      <c r="A61" s="108" t="str">
        <f t="shared" si="0"/>
        <v>601010471 0 00 00000000</v>
      </c>
      <c r="B61" s="201" t="s">
        <v>66</v>
      </c>
      <c r="C61" s="198" t="s">
        <v>64</v>
      </c>
      <c r="D61" s="199" t="s">
        <v>11</v>
      </c>
      <c r="E61" s="199" t="s">
        <v>73</v>
      </c>
      <c r="F61" s="199" t="s">
        <v>67</v>
      </c>
      <c r="G61" s="199" t="s">
        <v>9</v>
      </c>
      <c r="H61" s="20">
        <v>110443.95999999999</v>
      </c>
      <c r="I61" s="20">
        <v>110406.56</v>
      </c>
      <c r="J61" s="20">
        <v>110406.56</v>
      </c>
      <c r="K61" s="20"/>
      <c r="L61" s="20"/>
      <c r="M61" s="20"/>
      <c r="N61" s="20"/>
      <c r="O61" s="20"/>
      <c r="P61" s="20"/>
      <c r="Q61" s="17"/>
      <c r="T61" s="20">
        <v>1053.42</v>
      </c>
      <c r="U61" s="20">
        <v>1016.02</v>
      </c>
      <c r="V61" s="20">
        <v>1016.02</v>
      </c>
      <c r="W61" s="20">
        <f t="shared" si="1"/>
        <v>109390.54</v>
      </c>
      <c r="X61" s="20">
        <f t="shared" si="1"/>
        <v>109390.54</v>
      </c>
      <c r="Y61" s="20">
        <f t="shared" si="1"/>
        <v>109390.54</v>
      </c>
    </row>
    <row r="62" spans="1:25" s="16" customFormat="1" ht="25.5">
      <c r="A62" s="108" t="str">
        <f t="shared" si="0"/>
        <v>601010471 1 00 00000000</v>
      </c>
      <c r="B62" s="201" t="s">
        <v>74</v>
      </c>
      <c r="C62" s="198" t="s">
        <v>64</v>
      </c>
      <c r="D62" s="199" t="s">
        <v>11</v>
      </c>
      <c r="E62" s="199" t="s">
        <v>73</v>
      </c>
      <c r="F62" s="199" t="s">
        <v>75</v>
      </c>
      <c r="G62" s="199" t="s">
        <v>9</v>
      </c>
      <c r="H62" s="20">
        <v>110443.95999999999</v>
      </c>
      <c r="I62" s="20">
        <v>110406.56</v>
      </c>
      <c r="J62" s="20">
        <v>110406.56</v>
      </c>
      <c r="K62" s="20"/>
      <c r="L62" s="20"/>
      <c r="M62" s="20"/>
      <c r="N62" s="20"/>
      <c r="O62" s="20"/>
      <c r="P62" s="20"/>
      <c r="Q62" s="17"/>
      <c r="T62" s="20">
        <v>833.4</v>
      </c>
      <c r="U62" s="20">
        <v>803.81</v>
      </c>
      <c r="V62" s="20">
        <v>803.81</v>
      </c>
      <c r="W62" s="20">
        <f t="shared" si="1"/>
        <v>109610.56</v>
      </c>
      <c r="X62" s="20">
        <f t="shared" si="1"/>
        <v>109602.75</v>
      </c>
      <c r="Y62" s="20">
        <f t="shared" si="1"/>
        <v>109602.75</v>
      </c>
    </row>
    <row r="63" spans="1:25" s="16" customFormat="1" ht="25.5">
      <c r="A63" s="108" t="str">
        <f t="shared" si="0"/>
        <v>601010471 1 00 10010000</v>
      </c>
      <c r="B63" s="201" t="s">
        <v>18</v>
      </c>
      <c r="C63" s="203" t="s">
        <v>64</v>
      </c>
      <c r="D63" s="204" t="s">
        <v>11</v>
      </c>
      <c r="E63" s="204" t="s">
        <v>73</v>
      </c>
      <c r="F63" s="204" t="s">
        <v>76</v>
      </c>
      <c r="G63" s="204" t="s">
        <v>9</v>
      </c>
      <c r="H63" s="26">
        <v>12140.56</v>
      </c>
      <c r="I63" s="26">
        <v>12140.56</v>
      </c>
      <c r="J63" s="26">
        <v>12140.56</v>
      </c>
      <c r="K63" s="20"/>
      <c r="L63" s="20"/>
      <c r="M63" s="20"/>
      <c r="N63" s="20"/>
      <c r="O63" s="20"/>
      <c r="P63" s="20"/>
      <c r="Q63" s="17"/>
      <c r="T63" s="20">
        <v>220.02</v>
      </c>
      <c r="U63" s="20">
        <v>212.21</v>
      </c>
      <c r="V63" s="20">
        <v>212.21</v>
      </c>
      <c r="W63" s="20">
        <f t="shared" si="1"/>
        <v>11920.539999999999</v>
      </c>
      <c r="X63" s="20">
        <f t="shared" si="1"/>
        <v>11928.35</v>
      </c>
      <c r="Y63" s="20">
        <f t="shared" si="1"/>
        <v>11928.35</v>
      </c>
    </row>
    <row r="64" spans="1:25" s="16" customFormat="1" ht="25.5">
      <c r="A64" s="108" t="str">
        <f t="shared" si="0"/>
        <v>601010471 1 00 10010120</v>
      </c>
      <c r="B64" s="200" t="s">
        <v>20</v>
      </c>
      <c r="C64" s="203" t="s">
        <v>64</v>
      </c>
      <c r="D64" s="204" t="s">
        <v>11</v>
      </c>
      <c r="E64" s="204" t="s">
        <v>73</v>
      </c>
      <c r="F64" s="204" t="s">
        <v>76</v>
      </c>
      <c r="G64" s="199" t="s">
        <v>21</v>
      </c>
      <c r="H64" s="20">
        <v>4414.8999999999996</v>
      </c>
      <c r="I64" s="20">
        <v>4414.8999999999996</v>
      </c>
      <c r="J64" s="20">
        <v>4414.8999999999996</v>
      </c>
      <c r="K64" s="26"/>
      <c r="L64" s="26"/>
      <c r="M64" s="26"/>
      <c r="N64" s="26"/>
      <c r="O64" s="26"/>
      <c r="P64" s="26"/>
      <c r="Q64" s="17"/>
      <c r="T64" s="26">
        <v>9</v>
      </c>
      <c r="U64" s="26">
        <v>9</v>
      </c>
      <c r="V64" s="26">
        <v>9</v>
      </c>
      <c r="W64" s="26">
        <f t="shared" si="1"/>
        <v>4405.8999999999996</v>
      </c>
      <c r="X64" s="26">
        <f t="shared" si="1"/>
        <v>4405.8999999999996</v>
      </c>
      <c r="Y64" s="26">
        <f t="shared" si="1"/>
        <v>4405.8999999999996</v>
      </c>
    </row>
    <row r="65" spans="1:25" s="16" customFormat="1" ht="25.5">
      <c r="A65" s="108" t="str">
        <f t="shared" si="0"/>
        <v>601010471 1 00 10010240</v>
      </c>
      <c r="B65" s="197" t="s">
        <v>28</v>
      </c>
      <c r="C65" s="203" t="s">
        <v>64</v>
      </c>
      <c r="D65" s="204" t="s">
        <v>11</v>
      </c>
      <c r="E65" s="204" t="s">
        <v>73</v>
      </c>
      <c r="F65" s="204" t="s">
        <v>76</v>
      </c>
      <c r="G65" s="199" t="s">
        <v>29</v>
      </c>
      <c r="H65" s="20">
        <v>7701.66</v>
      </c>
      <c r="I65" s="20">
        <v>7701.66</v>
      </c>
      <c r="J65" s="20">
        <v>7701.66</v>
      </c>
      <c r="K65" s="20"/>
      <c r="L65" s="20"/>
      <c r="M65" s="20"/>
      <c r="N65" s="20"/>
      <c r="O65" s="20"/>
      <c r="P65" s="20"/>
      <c r="Q65" s="17"/>
      <c r="T65" s="20">
        <v>9</v>
      </c>
      <c r="U65" s="20">
        <v>9</v>
      </c>
      <c r="V65" s="20">
        <v>9</v>
      </c>
      <c r="W65" s="20">
        <f t="shared" si="1"/>
        <v>7692.66</v>
      </c>
      <c r="X65" s="20">
        <f t="shared" si="1"/>
        <v>7692.66</v>
      </c>
      <c r="Y65" s="20">
        <f t="shared" si="1"/>
        <v>7692.66</v>
      </c>
    </row>
    <row r="66" spans="1:25" s="16" customFormat="1">
      <c r="A66" s="108" t="str">
        <f t="shared" si="0"/>
        <v>601010471 1 00 10010850</v>
      </c>
      <c r="B66" s="197" t="s">
        <v>32</v>
      </c>
      <c r="C66" s="203" t="s">
        <v>64</v>
      </c>
      <c r="D66" s="204" t="s">
        <v>11</v>
      </c>
      <c r="E66" s="204" t="s">
        <v>73</v>
      </c>
      <c r="F66" s="204" t="s">
        <v>76</v>
      </c>
      <c r="G66" s="199" t="s">
        <v>33</v>
      </c>
      <c r="H66" s="20">
        <v>24</v>
      </c>
      <c r="I66" s="20">
        <v>24</v>
      </c>
      <c r="J66" s="20">
        <v>24</v>
      </c>
      <c r="K66" s="19"/>
      <c r="L66" s="19"/>
      <c r="M66" s="19"/>
      <c r="N66" s="19"/>
      <c r="O66" s="19"/>
      <c r="P66" s="19"/>
      <c r="Q66" s="17"/>
      <c r="T66" s="19">
        <v>1291.44</v>
      </c>
      <c r="U66" s="19">
        <v>86.53</v>
      </c>
      <c r="V66" s="19">
        <v>139.63</v>
      </c>
      <c r="W66" s="19">
        <f t="shared" si="1"/>
        <v>-1267.44</v>
      </c>
      <c r="X66" s="19">
        <f t="shared" si="1"/>
        <v>-62.53</v>
      </c>
      <c r="Y66" s="19">
        <f t="shared" si="1"/>
        <v>-115.63</v>
      </c>
    </row>
    <row r="67" spans="1:25" s="16" customFormat="1" ht="25.5">
      <c r="A67" s="108" t="str">
        <f t="shared" si="0"/>
        <v>601010471 1 00 10020000</v>
      </c>
      <c r="B67" s="201" t="s">
        <v>38</v>
      </c>
      <c r="C67" s="198" t="s">
        <v>64</v>
      </c>
      <c r="D67" s="199" t="s">
        <v>11</v>
      </c>
      <c r="E67" s="199" t="s">
        <v>73</v>
      </c>
      <c r="F67" s="199" t="s">
        <v>79</v>
      </c>
      <c r="G67" s="204" t="s">
        <v>9</v>
      </c>
      <c r="H67" s="20">
        <v>94054.62999999999</v>
      </c>
      <c r="I67" s="20">
        <v>97240.98</v>
      </c>
      <c r="J67" s="20">
        <v>97240.98</v>
      </c>
      <c r="K67" s="20"/>
      <c r="L67" s="20"/>
      <c r="M67" s="20"/>
      <c r="N67" s="20"/>
      <c r="O67" s="20"/>
      <c r="P67" s="20"/>
      <c r="Q67" s="17"/>
      <c r="T67" s="20">
        <v>1291.44</v>
      </c>
      <c r="U67" s="20">
        <v>86.53</v>
      </c>
      <c r="V67" s="20">
        <v>139.63</v>
      </c>
      <c r="W67" s="20">
        <f t="shared" si="1"/>
        <v>92763.189999999988</v>
      </c>
      <c r="X67" s="20">
        <f t="shared" si="1"/>
        <v>97154.45</v>
      </c>
      <c r="Y67" s="20">
        <f t="shared" si="1"/>
        <v>97101.349999999991</v>
      </c>
    </row>
    <row r="68" spans="1:25" s="16" customFormat="1" ht="25.5">
      <c r="A68" s="108" t="str">
        <f t="shared" si="0"/>
        <v>601010471 1 00 10020120</v>
      </c>
      <c r="B68" s="200" t="s">
        <v>20</v>
      </c>
      <c r="C68" s="198" t="s">
        <v>64</v>
      </c>
      <c r="D68" s="199" t="s">
        <v>11</v>
      </c>
      <c r="E68" s="199" t="s">
        <v>73</v>
      </c>
      <c r="F68" s="199" t="s">
        <v>79</v>
      </c>
      <c r="G68" s="204" t="s">
        <v>21</v>
      </c>
      <c r="H68" s="20">
        <v>94054.62999999999</v>
      </c>
      <c r="I68" s="20">
        <v>97240.98</v>
      </c>
      <c r="J68" s="20">
        <v>97240.98</v>
      </c>
      <c r="K68" s="20"/>
      <c r="L68" s="20"/>
      <c r="M68" s="20"/>
      <c r="N68" s="20"/>
      <c r="O68" s="20"/>
      <c r="P68" s="20"/>
      <c r="Q68" s="17"/>
      <c r="T68" s="20">
        <v>1291.44</v>
      </c>
      <c r="U68" s="20">
        <v>86.53</v>
      </c>
      <c r="V68" s="20">
        <v>139.63</v>
      </c>
      <c r="W68" s="20">
        <f t="shared" si="1"/>
        <v>92763.189999999988</v>
      </c>
      <c r="X68" s="20">
        <f t="shared" si="1"/>
        <v>97154.45</v>
      </c>
      <c r="Y68" s="20">
        <f t="shared" si="1"/>
        <v>97101.349999999991</v>
      </c>
    </row>
    <row r="69" spans="1:25" s="16" customFormat="1" ht="51">
      <c r="A69" s="108" t="str">
        <f t="shared" si="0"/>
        <v>601010471 1 00 76630000</v>
      </c>
      <c r="B69" s="197" t="s">
        <v>81</v>
      </c>
      <c r="C69" s="203" t="s">
        <v>64</v>
      </c>
      <c r="D69" s="204" t="s">
        <v>11</v>
      </c>
      <c r="E69" s="204" t="s">
        <v>73</v>
      </c>
      <c r="F69" s="204" t="s">
        <v>82</v>
      </c>
      <c r="G69" s="204" t="s">
        <v>9</v>
      </c>
      <c r="H69" s="20">
        <v>1053.42</v>
      </c>
      <c r="I69" s="20">
        <v>1016.02</v>
      </c>
      <c r="J69" s="20">
        <v>1016.02</v>
      </c>
      <c r="K69" s="26"/>
      <c r="L69" s="26"/>
      <c r="M69" s="26"/>
      <c r="N69" s="26"/>
      <c r="O69" s="26"/>
      <c r="P69" s="26"/>
      <c r="Q69" s="17"/>
      <c r="T69" s="26">
        <v>1291.44</v>
      </c>
      <c r="U69" s="26">
        <v>86.53</v>
      </c>
      <c r="V69" s="26">
        <v>139.63</v>
      </c>
      <c r="W69" s="26">
        <f t="shared" si="1"/>
        <v>-238.01999999999998</v>
      </c>
      <c r="X69" s="26">
        <f t="shared" si="1"/>
        <v>929.49</v>
      </c>
      <c r="Y69" s="26">
        <f t="shared" si="1"/>
        <v>876.39</v>
      </c>
    </row>
    <row r="70" spans="1:25" s="16" customFormat="1" ht="25.5">
      <c r="A70" s="108" t="str">
        <f t="shared" ref="A70:A133" si="2">C70&amp;D70&amp;E70&amp;F70&amp;G70</f>
        <v>601010471 1 00 76630120</v>
      </c>
      <c r="B70" s="200" t="s">
        <v>20</v>
      </c>
      <c r="C70" s="203" t="s">
        <v>64</v>
      </c>
      <c r="D70" s="204" t="s">
        <v>11</v>
      </c>
      <c r="E70" s="204" t="s">
        <v>73</v>
      </c>
      <c r="F70" s="204" t="s">
        <v>82</v>
      </c>
      <c r="G70" s="204" t="s">
        <v>21</v>
      </c>
      <c r="H70" s="20">
        <v>833.4</v>
      </c>
      <c r="I70" s="20">
        <v>803.81</v>
      </c>
      <c r="J70" s="20">
        <v>803.81</v>
      </c>
      <c r="K70" s="20"/>
      <c r="L70" s="20"/>
      <c r="M70" s="20"/>
      <c r="N70" s="20"/>
      <c r="O70" s="20"/>
      <c r="P70" s="20"/>
      <c r="Q70" s="17"/>
      <c r="T70" s="20">
        <v>1291.44</v>
      </c>
      <c r="U70" s="20">
        <v>86.53</v>
      </c>
      <c r="V70" s="20">
        <v>139.63</v>
      </c>
      <c r="W70" s="20">
        <f t="shared" ref="W70:Y133" si="3">H70-T70</f>
        <v>-458.04000000000008</v>
      </c>
      <c r="X70" s="20">
        <f t="shared" si="3"/>
        <v>717.28</v>
      </c>
      <c r="Y70" s="20">
        <f t="shared" si="3"/>
        <v>664.18</v>
      </c>
    </row>
    <row r="71" spans="1:25" s="16" customFormat="1" ht="25.5">
      <c r="A71" s="108" t="str">
        <f t="shared" si="2"/>
        <v>601010471 1 00 76630240</v>
      </c>
      <c r="B71" s="197" t="s">
        <v>28</v>
      </c>
      <c r="C71" s="203" t="s">
        <v>64</v>
      </c>
      <c r="D71" s="204" t="s">
        <v>11</v>
      </c>
      <c r="E71" s="204" t="s">
        <v>73</v>
      </c>
      <c r="F71" s="204" t="s">
        <v>82</v>
      </c>
      <c r="G71" s="204" t="s">
        <v>29</v>
      </c>
      <c r="H71" s="20">
        <v>220.02</v>
      </c>
      <c r="I71" s="20">
        <v>212.21</v>
      </c>
      <c r="J71" s="20">
        <v>212.21</v>
      </c>
      <c r="K71" s="19"/>
      <c r="L71" s="19"/>
      <c r="M71" s="19"/>
      <c r="N71" s="19"/>
      <c r="O71" s="19"/>
      <c r="P71" s="19"/>
      <c r="Q71" s="17"/>
      <c r="T71" s="19">
        <v>152909.62999999998</v>
      </c>
      <c r="U71" s="19">
        <v>131081.26</v>
      </c>
      <c r="V71" s="19">
        <v>131081.26</v>
      </c>
      <c r="W71" s="19">
        <f t="shared" si="3"/>
        <v>-152689.60999999999</v>
      </c>
      <c r="X71" s="19">
        <f t="shared" si="3"/>
        <v>-130869.05</v>
      </c>
      <c r="Y71" s="19">
        <f t="shared" si="3"/>
        <v>-130869.05</v>
      </c>
    </row>
    <row r="72" spans="1:25" s="16" customFormat="1" ht="38.25">
      <c r="A72" s="108" t="str">
        <f t="shared" si="2"/>
        <v>601010471 1 00 76930000</v>
      </c>
      <c r="B72" s="201" t="s">
        <v>83</v>
      </c>
      <c r="C72" s="203" t="s">
        <v>64</v>
      </c>
      <c r="D72" s="204" t="s">
        <v>11</v>
      </c>
      <c r="E72" s="204" t="s">
        <v>73</v>
      </c>
      <c r="F72" s="204" t="s">
        <v>84</v>
      </c>
      <c r="G72" s="204" t="s">
        <v>9</v>
      </c>
      <c r="H72" s="26">
        <v>9</v>
      </c>
      <c r="I72" s="26">
        <v>9</v>
      </c>
      <c r="J72" s="26">
        <v>9</v>
      </c>
      <c r="K72" s="20"/>
      <c r="L72" s="20"/>
      <c r="M72" s="20"/>
      <c r="N72" s="20"/>
      <c r="O72" s="20"/>
      <c r="P72" s="20"/>
      <c r="Q72" s="17"/>
      <c r="T72" s="20">
        <v>2119.08</v>
      </c>
      <c r="U72" s="20">
        <v>2119.08</v>
      </c>
      <c r="V72" s="20">
        <v>2119.08</v>
      </c>
      <c r="W72" s="20">
        <f t="shared" si="3"/>
        <v>-2110.08</v>
      </c>
      <c r="X72" s="20">
        <f t="shared" si="3"/>
        <v>-2110.08</v>
      </c>
      <c r="Y72" s="20">
        <f t="shared" si="3"/>
        <v>-2110.08</v>
      </c>
    </row>
    <row r="73" spans="1:25" s="16" customFormat="1" ht="25.5">
      <c r="A73" s="108" t="str">
        <f t="shared" si="2"/>
        <v>601010471 1 00 76930240</v>
      </c>
      <c r="B73" s="197" t="s">
        <v>28</v>
      </c>
      <c r="C73" s="203" t="s">
        <v>64</v>
      </c>
      <c r="D73" s="204" t="s">
        <v>11</v>
      </c>
      <c r="E73" s="204" t="s">
        <v>73</v>
      </c>
      <c r="F73" s="204" t="s">
        <v>84</v>
      </c>
      <c r="G73" s="204" t="s">
        <v>29</v>
      </c>
      <c r="H73" s="20">
        <v>9</v>
      </c>
      <c r="I73" s="20">
        <v>9</v>
      </c>
      <c r="J73" s="20">
        <v>9</v>
      </c>
      <c r="K73" s="20"/>
      <c r="L73" s="20"/>
      <c r="M73" s="20"/>
      <c r="N73" s="20"/>
      <c r="O73" s="20"/>
      <c r="P73" s="20"/>
      <c r="Q73" s="17"/>
      <c r="T73" s="20">
        <v>2119.08</v>
      </c>
      <c r="U73" s="20">
        <v>2119.08</v>
      </c>
      <c r="V73" s="20">
        <v>2119.08</v>
      </c>
      <c r="W73" s="20">
        <f t="shared" si="3"/>
        <v>-2110.08</v>
      </c>
      <c r="X73" s="20">
        <f t="shared" si="3"/>
        <v>-2110.08</v>
      </c>
      <c r="Y73" s="20">
        <f t="shared" si="3"/>
        <v>-2110.08</v>
      </c>
    </row>
    <row r="74" spans="1:25" s="16" customFormat="1" ht="191.25">
      <c r="A74" s="108" t="str">
        <f t="shared" si="2"/>
        <v>601010471 1 00 77460000</v>
      </c>
      <c r="B74" s="197" t="s">
        <v>1263</v>
      </c>
      <c r="C74" s="203" t="s">
        <v>64</v>
      </c>
      <c r="D74" s="204" t="s">
        <v>11</v>
      </c>
      <c r="E74" s="204" t="s">
        <v>73</v>
      </c>
      <c r="F74" s="204" t="s">
        <v>1268</v>
      </c>
      <c r="G74" s="204" t="s">
        <v>9</v>
      </c>
      <c r="H74" s="20">
        <v>3186.35</v>
      </c>
      <c r="I74" s="20">
        <v>0</v>
      </c>
      <c r="J74" s="20">
        <v>0</v>
      </c>
      <c r="K74" s="20"/>
      <c r="L74" s="20"/>
      <c r="M74" s="20"/>
      <c r="N74" s="20"/>
      <c r="O74" s="20"/>
      <c r="P74" s="20"/>
      <c r="Q74" s="17"/>
      <c r="T74" s="20">
        <v>2119.08</v>
      </c>
      <c r="U74" s="20">
        <v>2119.08</v>
      </c>
      <c r="V74" s="20">
        <v>2119.08</v>
      </c>
      <c r="W74" s="20">
        <f t="shared" si="3"/>
        <v>1067.27</v>
      </c>
      <c r="X74" s="20">
        <f t="shared" si="3"/>
        <v>-2119.08</v>
      </c>
      <c r="Y74" s="20">
        <f t="shared" si="3"/>
        <v>-2119.08</v>
      </c>
    </row>
    <row r="75" spans="1:25" s="16" customFormat="1" ht="25.5">
      <c r="A75" s="108" t="str">
        <f t="shared" si="2"/>
        <v>601010471 1 00 77460120</v>
      </c>
      <c r="B75" s="197" t="s">
        <v>20</v>
      </c>
      <c r="C75" s="203" t="s">
        <v>64</v>
      </c>
      <c r="D75" s="204" t="s">
        <v>11</v>
      </c>
      <c r="E75" s="204" t="s">
        <v>73</v>
      </c>
      <c r="F75" s="204" t="s">
        <v>1268</v>
      </c>
      <c r="G75" s="204" t="s">
        <v>21</v>
      </c>
      <c r="H75" s="20">
        <v>3186.35</v>
      </c>
      <c r="I75" s="20">
        <v>0</v>
      </c>
      <c r="J75" s="20">
        <v>0</v>
      </c>
      <c r="K75" s="20"/>
      <c r="L75" s="20"/>
      <c r="M75" s="20"/>
      <c r="N75" s="20"/>
      <c r="O75" s="20"/>
      <c r="P75" s="20"/>
      <c r="Q75" s="17"/>
      <c r="T75" s="20">
        <v>1329.08</v>
      </c>
      <c r="U75" s="20">
        <v>1329.08</v>
      </c>
      <c r="V75" s="20">
        <v>1329.08</v>
      </c>
      <c r="W75" s="20">
        <f t="shared" si="3"/>
        <v>1857.27</v>
      </c>
      <c r="X75" s="20">
        <f t="shared" si="3"/>
        <v>-1329.08</v>
      </c>
      <c r="Y75" s="20">
        <f t="shared" si="3"/>
        <v>-1329.08</v>
      </c>
    </row>
    <row r="76" spans="1:25" s="16" customFormat="1">
      <c r="A76" s="108" t="str">
        <f t="shared" si="2"/>
        <v>601010500 0 00 00000000</v>
      </c>
      <c r="B76" s="194" t="s">
        <v>85</v>
      </c>
      <c r="C76" s="195" t="s">
        <v>64</v>
      </c>
      <c r="D76" s="196" t="s">
        <v>11</v>
      </c>
      <c r="E76" s="196" t="s">
        <v>86</v>
      </c>
      <c r="F76" s="196" t="s">
        <v>8</v>
      </c>
      <c r="G76" s="196" t="s">
        <v>9</v>
      </c>
      <c r="H76" s="19">
        <v>1291.44</v>
      </c>
      <c r="I76" s="19">
        <v>86.53</v>
      </c>
      <c r="J76" s="19">
        <v>139.63</v>
      </c>
      <c r="K76" s="20"/>
      <c r="L76" s="20"/>
      <c r="M76" s="20"/>
      <c r="N76" s="20"/>
      <c r="O76" s="20"/>
      <c r="P76" s="20"/>
      <c r="Q76" s="17"/>
      <c r="T76" s="20">
        <v>1329.08</v>
      </c>
      <c r="U76" s="20">
        <v>1329.08</v>
      </c>
      <c r="V76" s="20">
        <v>1329.08</v>
      </c>
      <c r="W76" s="20">
        <f t="shared" si="3"/>
        <v>-37.639999999999873</v>
      </c>
      <c r="X76" s="20">
        <f t="shared" si="3"/>
        <v>-1242.55</v>
      </c>
      <c r="Y76" s="20">
        <f t="shared" si="3"/>
        <v>-1189.4499999999998</v>
      </c>
    </row>
    <row r="77" spans="1:25" s="16" customFormat="1" ht="38.25">
      <c r="A77" s="108" t="str">
        <f t="shared" si="2"/>
        <v>601010598 0 00 00000000</v>
      </c>
      <c r="B77" s="197" t="s">
        <v>87</v>
      </c>
      <c r="C77" s="198" t="s">
        <v>64</v>
      </c>
      <c r="D77" s="199" t="s">
        <v>11</v>
      </c>
      <c r="E77" s="204" t="s">
        <v>86</v>
      </c>
      <c r="F77" s="199" t="s">
        <v>88</v>
      </c>
      <c r="G77" s="199" t="s">
        <v>9</v>
      </c>
      <c r="H77" s="20">
        <v>1291.44</v>
      </c>
      <c r="I77" s="20">
        <v>86.53</v>
      </c>
      <c r="J77" s="20">
        <v>139.63</v>
      </c>
      <c r="K77" s="20"/>
      <c r="L77" s="20"/>
      <c r="M77" s="20"/>
      <c r="N77" s="20"/>
      <c r="O77" s="20"/>
      <c r="P77" s="20"/>
      <c r="Q77" s="17"/>
      <c r="T77" s="20">
        <v>790</v>
      </c>
      <c r="U77" s="20">
        <v>790</v>
      </c>
      <c r="V77" s="20">
        <v>790</v>
      </c>
      <c r="W77" s="20">
        <f t="shared" si="3"/>
        <v>501.44000000000005</v>
      </c>
      <c r="X77" s="20">
        <f t="shared" si="3"/>
        <v>-703.47</v>
      </c>
      <c r="Y77" s="20">
        <f t="shared" si="3"/>
        <v>-650.37</v>
      </c>
    </row>
    <row r="78" spans="1:25" s="16" customFormat="1">
      <c r="A78" s="108" t="str">
        <f t="shared" si="2"/>
        <v>601010598 1 00 00000000</v>
      </c>
      <c r="B78" s="197" t="s">
        <v>89</v>
      </c>
      <c r="C78" s="198" t="s">
        <v>64</v>
      </c>
      <c r="D78" s="199" t="s">
        <v>11</v>
      </c>
      <c r="E78" s="204" t="s">
        <v>86</v>
      </c>
      <c r="F78" s="199" t="s">
        <v>90</v>
      </c>
      <c r="G78" s="199" t="s">
        <v>9</v>
      </c>
      <c r="H78" s="20">
        <v>1291.44</v>
      </c>
      <c r="I78" s="20">
        <v>86.53</v>
      </c>
      <c r="J78" s="20">
        <v>139.63</v>
      </c>
      <c r="K78" s="20"/>
      <c r="L78" s="20"/>
      <c r="M78" s="20"/>
      <c r="N78" s="20"/>
      <c r="O78" s="20"/>
      <c r="P78" s="20"/>
      <c r="Q78" s="17"/>
      <c r="T78" s="20">
        <v>790</v>
      </c>
      <c r="U78" s="20">
        <v>790</v>
      </c>
      <c r="V78" s="20">
        <v>790</v>
      </c>
      <c r="W78" s="20">
        <f t="shared" si="3"/>
        <v>501.44000000000005</v>
      </c>
      <c r="X78" s="20">
        <f t="shared" si="3"/>
        <v>-703.47</v>
      </c>
      <c r="Y78" s="20">
        <f t="shared" si="3"/>
        <v>-650.37</v>
      </c>
    </row>
    <row r="79" spans="1:25" s="16" customFormat="1" ht="38.25">
      <c r="A79" s="108" t="str">
        <f t="shared" si="2"/>
        <v>601010598 1 00 51200000</v>
      </c>
      <c r="B79" s="201" t="s">
        <v>92</v>
      </c>
      <c r="C79" s="203" t="s">
        <v>64</v>
      </c>
      <c r="D79" s="204" t="s">
        <v>11</v>
      </c>
      <c r="E79" s="204" t="s">
        <v>86</v>
      </c>
      <c r="F79" s="204" t="s">
        <v>93</v>
      </c>
      <c r="G79" s="204" t="s">
        <v>9</v>
      </c>
      <c r="H79" s="26">
        <v>1291.44</v>
      </c>
      <c r="I79" s="26">
        <v>86.53</v>
      </c>
      <c r="J79" s="26">
        <v>139.63</v>
      </c>
      <c r="K79" s="20"/>
      <c r="L79" s="20"/>
      <c r="M79" s="20"/>
      <c r="N79" s="20"/>
      <c r="O79" s="20"/>
      <c r="P79" s="20"/>
      <c r="Q79" s="17"/>
      <c r="T79" s="20">
        <v>100</v>
      </c>
      <c r="U79" s="20">
        <v>100</v>
      </c>
      <c r="V79" s="20">
        <v>100</v>
      </c>
      <c r="W79" s="20">
        <f t="shared" si="3"/>
        <v>1191.44</v>
      </c>
      <c r="X79" s="20">
        <f t="shared" si="3"/>
        <v>-13.469999999999999</v>
      </c>
      <c r="Y79" s="20">
        <f t="shared" si="3"/>
        <v>39.629999999999995</v>
      </c>
    </row>
    <row r="80" spans="1:25" s="16" customFormat="1" ht="25.5">
      <c r="A80" s="108" t="str">
        <f t="shared" si="2"/>
        <v>601010598 1 00 51200240</v>
      </c>
      <c r="B80" s="197" t="s">
        <v>28</v>
      </c>
      <c r="C80" s="203" t="s">
        <v>64</v>
      </c>
      <c r="D80" s="204" t="s">
        <v>11</v>
      </c>
      <c r="E80" s="204" t="s">
        <v>86</v>
      </c>
      <c r="F80" s="204" t="s">
        <v>93</v>
      </c>
      <c r="G80" s="204" t="s">
        <v>29</v>
      </c>
      <c r="H80" s="20">
        <v>1291.44</v>
      </c>
      <c r="I80" s="20">
        <v>86.53</v>
      </c>
      <c r="J80" s="20">
        <v>139.63</v>
      </c>
      <c r="K80" s="20"/>
      <c r="L80" s="20"/>
      <c r="M80" s="20"/>
      <c r="N80" s="20"/>
      <c r="O80" s="20"/>
      <c r="P80" s="20"/>
      <c r="Q80" s="17"/>
      <c r="T80" s="20">
        <v>100</v>
      </c>
      <c r="U80" s="20">
        <v>100</v>
      </c>
      <c r="V80" s="20">
        <v>100</v>
      </c>
      <c r="W80" s="20">
        <f t="shared" si="3"/>
        <v>1191.44</v>
      </c>
      <c r="X80" s="20">
        <f t="shared" si="3"/>
        <v>-13.469999999999999</v>
      </c>
      <c r="Y80" s="20">
        <f t="shared" si="3"/>
        <v>39.629999999999995</v>
      </c>
    </row>
    <row r="81" spans="1:25" s="16" customFormat="1">
      <c r="A81" s="108" t="str">
        <f t="shared" si="2"/>
        <v>601011300 0 00 00000000</v>
      </c>
      <c r="B81" s="194" t="s">
        <v>50</v>
      </c>
      <c r="C81" s="195" t="s">
        <v>64</v>
      </c>
      <c r="D81" s="196" t="s">
        <v>11</v>
      </c>
      <c r="E81" s="196" t="s">
        <v>51</v>
      </c>
      <c r="F81" s="196" t="s">
        <v>8</v>
      </c>
      <c r="G81" s="196" t="s">
        <v>9</v>
      </c>
      <c r="H81" s="19">
        <v>155962.28999999998</v>
      </c>
      <c r="I81" s="19">
        <v>134170.77000000002</v>
      </c>
      <c r="J81" s="19">
        <v>134170.77000000002</v>
      </c>
      <c r="K81" s="20"/>
      <c r="L81" s="20"/>
      <c r="M81" s="20"/>
      <c r="N81" s="20"/>
      <c r="O81" s="20"/>
      <c r="P81" s="20"/>
      <c r="Q81" s="17"/>
      <c r="T81" s="20">
        <v>100</v>
      </c>
      <c r="U81" s="20">
        <v>100</v>
      </c>
      <c r="V81" s="20">
        <v>100</v>
      </c>
      <c r="W81" s="20">
        <f t="shared" si="3"/>
        <v>155862.28999999998</v>
      </c>
      <c r="X81" s="20">
        <f t="shared" si="3"/>
        <v>134070.77000000002</v>
      </c>
      <c r="Y81" s="20">
        <f t="shared" si="3"/>
        <v>134070.77000000002</v>
      </c>
    </row>
    <row r="82" spans="1:25" s="16" customFormat="1" ht="25.5">
      <c r="A82" s="108" t="str">
        <f t="shared" si="2"/>
        <v>601011312 0 00 00000000</v>
      </c>
      <c r="B82" s="201" t="s">
        <v>94</v>
      </c>
      <c r="C82" s="198" t="s">
        <v>64</v>
      </c>
      <c r="D82" s="199" t="s">
        <v>11</v>
      </c>
      <c r="E82" s="199" t="s">
        <v>51</v>
      </c>
      <c r="F82" s="199" t="s">
        <v>95</v>
      </c>
      <c r="G82" s="199" t="s">
        <v>9</v>
      </c>
      <c r="H82" s="20">
        <v>2119.08</v>
      </c>
      <c r="I82" s="20">
        <v>2119.08</v>
      </c>
      <c r="J82" s="20">
        <v>2119.08</v>
      </c>
      <c r="K82" s="20"/>
      <c r="L82" s="20"/>
      <c r="M82" s="20"/>
      <c r="N82" s="20"/>
      <c r="O82" s="20"/>
      <c r="P82" s="20"/>
      <c r="Q82" s="17"/>
      <c r="T82" s="20">
        <v>100</v>
      </c>
      <c r="U82" s="20">
        <v>100</v>
      </c>
      <c r="V82" s="20">
        <v>100</v>
      </c>
      <c r="W82" s="20">
        <f t="shared" si="3"/>
        <v>2019.08</v>
      </c>
      <c r="X82" s="20">
        <f t="shared" si="3"/>
        <v>2019.08</v>
      </c>
      <c r="Y82" s="20">
        <f t="shared" si="3"/>
        <v>2019.08</v>
      </c>
    </row>
    <row r="83" spans="1:25" s="16" customFormat="1" ht="25.5">
      <c r="A83" s="108" t="str">
        <f t="shared" si="2"/>
        <v>601011312 2 00 00000000</v>
      </c>
      <c r="B83" s="201" t="s">
        <v>96</v>
      </c>
      <c r="C83" s="198" t="s">
        <v>64</v>
      </c>
      <c r="D83" s="199" t="s">
        <v>11</v>
      </c>
      <c r="E83" s="199" t="s">
        <v>51</v>
      </c>
      <c r="F83" s="199" t="s">
        <v>97</v>
      </c>
      <c r="G83" s="199" t="s">
        <v>9</v>
      </c>
      <c r="H83" s="20">
        <v>2119.08</v>
      </c>
      <c r="I83" s="20">
        <v>2119.08</v>
      </c>
      <c r="J83" s="20">
        <v>2119.08</v>
      </c>
      <c r="K83" s="20"/>
      <c r="L83" s="20"/>
      <c r="M83" s="20"/>
      <c r="N83" s="20"/>
      <c r="O83" s="20"/>
      <c r="P83" s="20"/>
      <c r="Q83" s="17"/>
      <c r="T83" s="20">
        <v>100</v>
      </c>
      <c r="U83" s="20">
        <v>100</v>
      </c>
      <c r="V83" s="20">
        <v>100</v>
      </c>
      <c r="W83" s="20">
        <f t="shared" si="3"/>
        <v>2019.08</v>
      </c>
      <c r="X83" s="20">
        <f t="shared" si="3"/>
        <v>2019.08</v>
      </c>
      <c r="Y83" s="20">
        <f t="shared" si="3"/>
        <v>2019.08</v>
      </c>
    </row>
    <row r="84" spans="1:25" s="16" customFormat="1" ht="38.25">
      <c r="A84" s="108" t="str">
        <f t="shared" si="2"/>
        <v>601011312 2 03 00000000</v>
      </c>
      <c r="B84" s="201" t="s">
        <v>98</v>
      </c>
      <c r="C84" s="198" t="s">
        <v>64</v>
      </c>
      <c r="D84" s="199" t="s">
        <v>11</v>
      </c>
      <c r="E84" s="199" t="s">
        <v>51</v>
      </c>
      <c r="F84" s="199" t="s">
        <v>99</v>
      </c>
      <c r="G84" s="199" t="s">
        <v>9</v>
      </c>
      <c r="H84" s="20">
        <v>2119.08</v>
      </c>
      <c r="I84" s="20">
        <v>2119.08</v>
      </c>
      <c r="J84" s="20">
        <v>2119.08</v>
      </c>
      <c r="K84" s="20"/>
      <c r="L84" s="20"/>
      <c r="M84" s="20"/>
      <c r="N84" s="20"/>
      <c r="O84" s="20"/>
      <c r="P84" s="20"/>
      <c r="Q84" s="17"/>
      <c r="T84" s="20">
        <v>97775.98000000001</v>
      </c>
      <c r="U84" s="20">
        <v>85824.690000000017</v>
      </c>
      <c r="V84" s="20">
        <v>85824.690000000017</v>
      </c>
      <c r="W84" s="20">
        <f t="shared" si="3"/>
        <v>-95656.900000000009</v>
      </c>
      <c r="X84" s="20">
        <f t="shared" si="3"/>
        <v>-83705.610000000015</v>
      </c>
      <c r="Y84" s="20">
        <f t="shared" si="3"/>
        <v>-83705.610000000015</v>
      </c>
    </row>
    <row r="85" spans="1:25" s="16" customFormat="1" ht="38.25">
      <c r="A85" s="108" t="str">
        <f t="shared" si="2"/>
        <v>601011312 2 03 20040000</v>
      </c>
      <c r="B85" s="201" t="s">
        <v>100</v>
      </c>
      <c r="C85" s="198" t="s">
        <v>64</v>
      </c>
      <c r="D85" s="199" t="s">
        <v>11</v>
      </c>
      <c r="E85" s="199" t="s">
        <v>51</v>
      </c>
      <c r="F85" s="199" t="s">
        <v>101</v>
      </c>
      <c r="G85" s="199" t="s">
        <v>9</v>
      </c>
      <c r="H85" s="20">
        <v>1329.08</v>
      </c>
      <c r="I85" s="20">
        <v>1329.08</v>
      </c>
      <c r="J85" s="20">
        <v>1329.08</v>
      </c>
      <c r="K85" s="20"/>
      <c r="L85" s="20"/>
      <c r="M85" s="20"/>
      <c r="N85" s="20"/>
      <c r="O85" s="20"/>
      <c r="P85" s="20"/>
      <c r="Q85" s="17"/>
      <c r="T85" s="20">
        <v>21574.29</v>
      </c>
      <c r="U85" s="20">
        <v>12061.880000000001</v>
      </c>
      <c r="V85" s="20">
        <v>12061.880000000001</v>
      </c>
      <c r="W85" s="20">
        <f t="shared" si="3"/>
        <v>-20245.21</v>
      </c>
      <c r="X85" s="20">
        <f t="shared" si="3"/>
        <v>-10732.800000000001</v>
      </c>
      <c r="Y85" s="20">
        <f t="shared" si="3"/>
        <v>-10732.800000000001</v>
      </c>
    </row>
    <row r="86" spans="1:25" s="16" customFormat="1">
      <c r="A86" s="108" t="str">
        <f t="shared" si="2"/>
        <v>601011312 2 03 20040850</v>
      </c>
      <c r="B86" s="197" t="s">
        <v>32</v>
      </c>
      <c r="C86" s="198" t="s">
        <v>64</v>
      </c>
      <c r="D86" s="199" t="s">
        <v>11</v>
      </c>
      <c r="E86" s="199" t="s">
        <v>51</v>
      </c>
      <c r="F86" s="199" t="s">
        <v>101</v>
      </c>
      <c r="G86" s="199" t="s">
        <v>33</v>
      </c>
      <c r="H86" s="20">
        <v>1329.08</v>
      </c>
      <c r="I86" s="20">
        <v>1329.08</v>
      </c>
      <c r="J86" s="20">
        <v>1329.08</v>
      </c>
      <c r="K86" s="20"/>
      <c r="L86" s="20"/>
      <c r="M86" s="20"/>
      <c r="N86" s="20"/>
      <c r="O86" s="20"/>
      <c r="P86" s="20"/>
      <c r="Q86" s="17"/>
      <c r="T86" s="20">
        <v>15750.150000000001</v>
      </c>
      <c r="U86" s="20">
        <v>8250.85</v>
      </c>
      <c r="V86" s="20">
        <v>8250.85</v>
      </c>
      <c r="W86" s="20">
        <f t="shared" si="3"/>
        <v>-14421.070000000002</v>
      </c>
      <c r="X86" s="20">
        <f t="shared" si="3"/>
        <v>-6921.77</v>
      </c>
      <c r="Y86" s="20">
        <f t="shared" si="3"/>
        <v>-6921.77</v>
      </c>
    </row>
    <row r="87" spans="1:25" s="16" customFormat="1" ht="63.75">
      <c r="A87" s="108" t="str">
        <f t="shared" si="2"/>
        <v>601011312 2 03 20090000</v>
      </c>
      <c r="B87" s="201" t="s">
        <v>54</v>
      </c>
      <c r="C87" s="198" t="s">
        <v>64</v>
      </c>
      <c r="D87" s="199" t="s">
        <v>11</v>
      </c>
      <c r="E87" s="199" t="s">
        <v>51</v>
      </c>
      <c r="F87" s="199" t="s">
        <v>102</v>
      </c>
      <c r="G87" s="199" t="s">
        <v>9</v>
      </c>
      <c r="H87" s="20">
        <v>790</v>
      </c>
      <c r="I87" s="20">
        <v>790</v>
      </c>
      <c r="J87" s="20">
        <v>790</v>
      </c>
      <c r="K87" s="20"/>
      <c r="L87" s="20"/>
      <c r="M87" s="20"/>
      <c r="N87" s="20"/>
      <c r="O87" s="20"/>
      <c r="P87" s="20"/>
      <c r="Q87" s="17"/>
      <c r="T87" s="20">
        <v>15750.150000000001</v>
      </c>
      <c r="U87" s="20">
        <v>8250.85</v>
      </c>
      <c r="V87" s="20">
        <v>8250.85</v>
      </c>
      <c r="W87" s="20">
        <f t="shared" si="3"/>
        <v>-14960.150000000001</v>
      </c>
      <c r="X87" s="20">
        <f t="shared" si="3"/>
        <v>-7460.85</v>
      </c>
      <c r="Y87" s="20">
        <f t="shared" si="3"/>
        <v>-7460.85</v>
      </c>
    </row>
    <row r="88" spans="1:25" s="16" customFormat="1" ht="25.5">
      <c r="A88" s="108" t="str">
        <f t="shared" si="2"/>
        <v>601011312 2 03 20090240</v>
      </c>
      <c r="B88" s="197" t="s">
        <v>28</v>
      </c>
      <c r="C88" s="198" t="s">
        <v>64</v>
      </c>
      <c r="D88" s="199" t="s">
        <v>11</v>
      </c>
      <c r="E88" s="199" t="s">
        <v>51</v>
      </c>
      <c r="F88" s="199" t="s">
        <v>102</v>
      </c>
      <c r="G88" s="199" t="s">
        <v>29</v>
      </c>
      <c r="H88" s="20">
        <v>790</v>
      </c>
      <c r="I88" s="20">
        <v>790</v>
      </c>
      <c r="J88" s="20">
        <v>790</v>
      </c>
      <c r="K88" s="20"/>
      <c r="L88" s="20"/>
      <c r="M88" s="20"/>
      <c r="N88" s="20"/>
      <c r="O88" s="20"/>
      <c r="P88" s="20"/>
      <c r="Q88" s="17"/>
      <c r="T88" s="20">
        <v>15750.150000000001</v>
      </c>
      <c r="U88" s="20">
        <v>8250.85</v>
      </c>
      <c r="V88" s="20">
        <v>8250.85</v>
      </c>
      <c r="W88" s="20">
        <f t="shared" si="3"/>
        <v>-14960.150000000001</v>
      </c>
      <c r="X88" s="20">
        <f t="shared" si="3"/>
        <v>-7460.85</v>
      </c>
      <c r="Y88" s="20">
        <f t="shared" si="3"/>
        <v>-7460.85</v>
      </c>
    </row>
    <row r="89" spans="1:25" s="16" customFormat="1" ht="25.5">
      <c r="A89" s="108" t="str">
        <f t="shared" si="2"/>
        <v>601011313 0 00 00000000</v>
      </c>
      <c r="B89" s="201" t="s">
        <v>103</v>
      </c>
      <c r="C89" s="198" t="s">
        <v>64</v>
      </c>
      <c r="D89" s="199" t="s">
        <v>11</v>
      </c>
      <c r="E89" s="199" t="s">
        <v>51</v>
      </c>
      <c r="F89" s="199" t="s">
        <v>104</v>
      </c>
      <c r="G89" s="199" t="s">
        <v>9</v>
      </c>
      <c r="H89" s="20">
        <v>100</v>
      </c>
      <c r="I89" s="20">
        <v>100</v>
      </c>
      <c r="J89" s="20">
        <v>100</v>
      </c>
      <c r="K89" s="20"/>
      <c r="L89" s="20"/>
      <c r="M89" s="20"/>
      <c r="N89" s="20"/>
      <c r="O89" s="20"/>
      <c r="P89" s="20"/>
      <c r="Q89" s="17"/>
      <c r="T89" s="20">
        <v>5824.1400000000012</v>
      </c>
      <c r="U89" s="20">
        <v>3811.03</v>
      </c>
      <c r="V89" s="20">
        <v>3811.03</v>
      </c>
      <c r="W89" s="20">
        <f t="shared" si="3"/>
        <v>-5724.1400000000012</v>
      </c>
      <c r="X89" s="20">
        <f t="shared" si="3"/>
        <v>-3711.03</v>
      </c>
      <c r="Y89" s="20">
        <f t="shared" si="3"/>
        <v>-3711.03</v>
      </c>
    </row>
    <row r="90" spans="1:25" s="16" customFormat="1" ht="25.5">
      <c r="A90" s="108" t="str">
        <f t="shared" si="2"/>
        <v>601011313 2 00 00000000</v>
      </c>
      <c r="B90" s="197" t="s">
        <v>105</v>
      </c>
      <c r="C90" s="198" t="s">
        <v>64</v>
      </c>
      <c r="D90" s="199" t="s">
        <v>11</v>
      </c>
      <c r="E90" s="199" t="s">
        <v>51</v>
      </c>
      <c r="F90" s="199" t="s">
        <v>106</v>
      </c>
      <c r="G90" s="199" t="s">
        <v>9</v>
      </c>
      <c r="H90" s="20">
        <v>100</v>
      </c>
      <c r="I90" s="20">
        <v>100</v>
      </c>
      <c r="J90" s="20">
        <v>100</v>
      </c>
      <c r="K90" s="20"/>
      <c r="L90" s="20"/>
      <c r="M90" s="20"/>
      <c r="N90" s="20"/>
      <c r="O90" s="20"/>
      <c r="P90" s="20"/>
      <c r="Q90" s="17"/>
      <c r="T90" s="20">
        <v>5824.1400000000012</v>
      </c>
      <c r="U90" s="20">
        <v>3811.03</v>
      </c>
      <c r="V90" s="20">
        <v>3811.03</v>
      </c>
      <c r="W90" s="20">
        <f t="shared" si="3"/>
        <v>-5724.1400000000012</v>
      </c>
      <c r="X90" s="20">
        <f t="shared" si="3"/>
        <v>-3711.03</v>
      </c>
      <c r="Y90" s="20">
        <f t="shared" si="3"/>
        <v>-3711.03</v>
      </c>
    </row>
    <row r="91" spans="1:25" s="16" customFormat="1" ht="25.5">
      <c r="A91" s="108" t="str">
        <f t="shared" si="2"/>
        <v>601011313 2 01 00000000</v>
      </c>
      <c r="B91" s="201" t="s">
        <v>107</v>
      </c>
      <c r="C91" s="198" t="s">
        <v>64</v>
      </c>
      <c r="D91" s="199" t="s">
        <v>11</v>
      </c>
      <c r="E91" s="199" t="s">
        <v>51</v>
      </c>
      <c r="F91" s="199" t="s">
        <v>108</v>
      </c>
      <c r="G91" s="199" t="s">
        <v>9</v>
      </c>
      <c r="H91" s="20">
        <v>100</v>
      </c>
      <c r="I91" s="20">
        <v>100</v>
      </c>
      <c r="J91" s="20">
        <v>100</v>
      </c>
      <c r="K91" s="20"/>
      <c r="L91" s="20"/>
      <c r="M91" s="20"/>
      <c r="N91" s="20"/>
      <c r="O91" s="20"/>
      <c r="P91" s="20"/>
      <c r="Q91" s="17"/>
      <c r="T91" s="20">
        <v>5824.1400000000012</v>
      </c>
      <c r="U91" s="20">
        <v>3811.03</v>
      </c>
      <c r="V91" s="20">
        <v>3811.03</v>
      </c>
      <c r="W91" s="20">
        <f t="shared" si="3"/>
        <v>-5724.1400000000012</v>
      </c>
      <c r="X91" s="20">
        <f t="shared" si="3"/>
        <v>-3711.03</v>
      </c>
      <c r="Y91" s="20">
        <f t="shared" si="3"/>
        <v>-3711.03</v>
      </c>
    </row>
    <row r="92" spans="1:25" s="16" customFormat="1" ht="38.25">
      <c r="A92" s="108" t="str">
        <f t="shared" si="2"/>
        <v>601011313 2 01 20620000</v>
      </c>
      <c r="B92" s="201" t="s">
        <v>109</v>
      </c>
      <c r="C92" s="198" t="s">
        <v>64</v>
      </c>
      <c r="D92" s="199" t="s">
        <v>11</v>
      </c>
      <c r="E92" s="199" t="s">
        <v>51</v>
      </c>
      <c r="F92" s="199" t="s">
        <v>110</v>
      </c>
      <c r="G92" s="199" t="s">
        <v>9</v>
      </c>
      <c r="H92" s="20">
        <v>100</v>
      </c>
      <c r="I92" s="20">
        <v>100</v>
      </c>
      <c r="J92" s="20">
        <v>100</v>
      </c>
      <c r="K92" s="20"/>
      <c r="L92" s="20"/>
      <c r="M92" s="20"/>
      <c r="N92" s="20"/>
      <c r="O92" s="20"/>
      <c r="P92" s="20"/>
      <c r="Q92" s="17"/>
      <c r="T92" s="20">
        <v>76201.690000000017</v>
      </c>
      <c r="U92" s="20">
        <v>73762.810000000012</v>
      </c>
      <c r="V92" s="20">
        <v>73762.810000000012</v>
      </c>
      <c r="W92" s="20">
        <f t="shared" si="3"/>
        <v>-76101.690000000017</v>
      </c>
      <c r="X92" s="20">
        <f t="shared" si="3"/>
        <v>-73662.810000000012</v>
      </c>
      <c r="Y92" s="20">
        <f t="shared" si="3"/>
        <v>-73662.810000000012</v>
      </c>
    </row>
    <row r="93" spans="1:25" s="16" customFormat="1" ht="25.5">
      <c r="A93" s="108" t="str">
        <f t="shared" si="2"/>
        <v>601011313 2 01 20620240</v>
      </c>
      <c r="B93" s="197" t="s">
        <v>28</v>
      </c>
      <c r="C93" s="198" t="s">
        <v>64</v>
      </c>
      <c r="D93" s="199" t="s">
        <v>11</v>
      </c>
      <c r="E93" s="199" t="s">
        <v>51</v>
      </c>
      <c r="F93" s="199" t="s">
        <v>110</v>
      </c>
      <c r="G93" s="199" t="s">
        <v>29</v>
      </c>
      <c r="H93" s="20">
        <v>100</v>
      </c>
      <c r="I93" s="20">
        <v>100</v>
      </c>
      <c r="J93" s="20">
        <v>100</v>
      </c>
      <c r="K93" s="20"/>
      <c r="L93" s="20"/>
      <c r="M93" s="20"/>
      <c r="N93" s="20"/>
      <c r="O93" s="20"/>
      <c r="P93" s="20"/>
      <c r="Q93" s="17"/>
      <c r="T93" s="20">
        <v>450</v>
      </c>
      <c r="U93" s="20">
        <v>450</v>
      </c>
      <c r="V93" s="20">
        <v>450</v>
      </c>
      <c r="W93" s="20">
        <f t="shared" si="3"/>
        <v>-350</v>
      </c>
      <c r="X93" s="20">
        <f t="shared" si="3"/>
        <v>-350</v>
      </c>
      <c r="Y93" s="20">
        <f t="shared" si="3"/>
        <v>-350</v>
      </c>
    </row>
    <row r="94" spans="1:25" s="16" customFormat="1" ht="38.25">
      <c r="A94" s="108" t="str">
        <f t="shared" si="2"/>
        <v>601011314 0 00 00000000</v>
      </c>
      <c r="B94" s="201" t="s">
        <v>111</v>
      </c>
      <c r="C94" s="198" t="s">
        <v>64</v>
      </c>
      <c r="D94" s="199" t="s">
        <v>11</v>
      </c>
      <c r="E94" s="199" t="s">
        <v>51</v>
      </c>
      <c r="F94" s="199" t="s">
        <v>112</v>
      </c>
      <c r="G94" s="199" t="s">
        <v>9</v>
      </c>
      <c r="H94" s="20">
        <v>100157.44</v>
      </c>
      <c r="I94" s="20">
        <v>88225.080000000016</v>
      </c>
      <c r="J94" s="20">
        <v>88225.080000000016</v>
      </c>
      <c r="K94" s="20"/>
      <c r="L94" s="20"/>
      <c r="M94" s="20"/>
      <c r="N94" s="20"/>
      <c r="O94" s="20"/>
      <c r="P94" s="20"/>
      <c r="Q94" s="17"/>
      <c r="T94" s="20">
        <v>450</v>
      </c>
      <c r="U94" s="20">
        <v>450</v>
      </c>
      <c r="V94" s="20">
        <v>450</v>
      </c>
      <c r="W94" s="20">
        <f t="shared" si="3"/>
        <v>99707.44</v>
      </c>
      <c r="X94" s="20">
        <f t="shared" si="3"/>
        <v>87775.080000000016</v>
      </c>
      <c r="Y94" s="20">
        <f t="shared" si="3"/>
        <v>87775.080000000016</v>
      </c>
    </row>
    <row r="95" spans="1:25" s="16" customFormat="1" ht="25.5">
      <c r="A95" s="108" t="str">
        <f t="shared" si="2"/>
        <v>601011314 1 00 00000000</v>
      </c>
      <c r="B95" s="201" t="s">
        <v>113</v>
      </c>
      <c r="C95" s="198" t="s">
        <v>64</v>
      </c>
      <c r="D95" s="199" t="s">
        <v>11</v>
      </c>
      <c r="E95" s="199" t="s">
        <v>51</v>
      </c>
      <c r="F95" s="199" t="s">
        <v>114</v>
      </c>
      <c r="G95" s="199" t="s">
        <v>9</v>
      </c>
      <c r="H95" s="20">
        <v>21762.730000000003</v>
      </c>
      <c r="I95" s="20">
        <v>12061.880000000001</v>
      </c>
      <c r="J95" s="20">
        <v>12061.880000000001</v>
      </c>
      <c r="K95" s="20"/>
      <c r="L95" s="20"/>
      <c r="M95" s="20"/>
      <c r="N95" s="20"/>
      <c r="O95" s="20"/>
      <c r="P95" s="20"/>
      <c r="Q95" s="17"/>
      <c r="T95" s="20">
        <v>450</v>
      </c>
      <c r="U95" s="20">
        <v>450</v>
      </c>
      <c r="V95" s="20">
        <v>450</v>
      </c>
      <c r="W95" s="20">
        <f t="shared" si="3"/>
        <v>21312.730000000003</v>
      </c>
      <c r="X95" s="20">
        <f t="shared" si="3"/>
        <v>11611.880000000001</v>
      </c>
      <c r="Y95" s="20">
        <f t="shared" si="3"/>
        <v>11611.880000000001</v>
      </c>
    </row>
    <row r="96" spans="1:25" s="16" customFormat="1" ht="38.25">
      <c r="A96" s="108" t="str">
        <f t="shared" si="2"/>
        <v>601011314 1 01 00000000</v>
      </c>
      <c r="B96" s="201" t="s">
        <v>115</v>
      </c>
      <c r="C96" s="198" t="s">
        <v>64</v>
      </c>
      <c r="D96" s="199" t="s">
        <v>11</v>
      </c>
      <c r="E96" s="199" t="s">
        <v>51</v>
      </c>
      <c r="F96" s="199" t="s">
        <v>116</v>
      </c>
      <c r="G96" s="199" t="s">
        <v>9</v>
      </c>
      <c r="H96" s="20">
        <v>15938.590000000002</v>
      </c>
      <c r="I96" s="20">
        <v>8250.85</v>
      </c>
      <c r="J96" s="20">
        <v>8250.85</v>
      </c>
      <c r="K96" s="20"/>
      <c r="L96" s="20"/>
      <c r="M96" s="20"/>
      <c r="N96" s="20"/>
      <c r="O96" s="20"/>
      <c r="P96" s="20"/>
      <c r="Q96" s="17"/>
      <c r="T96" s="20">
        <v>76.5</v>
      </c>
      <c r="U96" s="20">
        <v>76.5</v>
      </c>
      <c r="V96" s="20">
        <v>76.5</v>
      </c>
      <c r="W96" s="20">
        <f t="shared" si="3"/>
        <v>15862.090000000002</v>
      </c>
      <c r="X96" s="20">
        <f t="shared" si="3"/>
        <v>8174.35</v>
      </c>
      <c r="Y96" s="20">
        <f t="shared" si="3"/>
        <v>8174.35</v>
      </c>
    </row>
    <row r="97" spans="1:25" s="16" customFormat="1" ht="25.5">
      <c r="A97" s="108" t="str">
        <f t="shared" si="2"/>
        <v>601011314 1 01 20630000</v>
      </c>
      <c r="B97" s="201" t="s">
        <v>117</v>
      </c>
      <c r="C97" s="198" t="s">
        <v>64</v>
      </c>
      <c r="D97" s="199" t="s">
        <v>11</v>
      </c>
      <c r="E97" s="199" t="s">
        <v>51</v>
      </c>
      <c r="F97" s="199" t="s">
        <v>118</v>
      </c>
      <c r="G97" s="199" t="s">
        <v>9</v>
      </c>
      <c r="H97" s="20">
        <v>15938.590000000002</v>
      </c>
      <c r="I97" s="20">
        <v>8250.85</v>
      </c>
      <c r="J97" s="20">
        <v>8250.85</v>
      </c>
      <c r="K97" s="20"/>
      <c r="L97" s="20"/>
      <c r="M97" s="20"/>
      <c r="N97" s="20"/>
      <c r="O97" s="20"/>
      <c r="P97" s="20"/>
      <c r="Q97" s="17"/>
      <c r="T97" s="20">
        <v>76.5</v>
      </c>
      <c r="U97" s="20">
        <v>76.5</v>
      </c>
      <c r="V97" s="20">
        <v>76.5</v>
      </c>
      <c r="W97" s="20">
        <f t="shared" si="3"/>
        <v>15862.090000000002</v>
      </c>
      <c r="X97" s="20">
        <f t="shared" si="3"/>
        <v>8174.35</v>
      </c>
      <c r="Y97" s="20">
        <f t="shared" si="3"/>
        <v>8174.35</v>
      </c>
    </row>
    <row r="98" spans="1:25" s="16" customFormat="1" ht="25.5">
      <c r="A98" s="108" t="str">
        <f t="shared" si="2"/>
        <v>601011314 1 01 20630240</v>
      </c>
      <c r="B98" s="197" t="s">
        <v>28</v>
      </c>
      <c r="C98" s="198" t="s">
        <v>64</v>
      </c>
      <c r="D98" s="199" t="s">
        <v>11</v>
      </c>
      <c r="E98" s="199" t="s">
        <v>51</v>
      </c>
      <c r="F98" s="199" t="s">
        <v>118</v>
      </c>
      <c r="G98" s="199" t="s">
        <v>29</v>
      </c>
      <c r="H98" s="20">
        <v>15938.590000000002</v>
      </c>
      <c r="I98" s="20">
        <v>8250.85</v>
      </c>
      <c r="J98" s="20">
        <v>8250.85</v>
      </c>
      <c r="K98" s="20"/>
      <c r="L98" s="20"/>
      <c r="M98" s="20"/>
      <c r="N98" s="20"/>
      <c r="O98" s="20"/>
      <c r="P98" s="20"/>
      <c r="Q98" s="17"/>
      <c r="T98" s="20">
        <v>76.5</v>
      </c>
      <c r="U98" s="20">
        <v>76.5</v>
      </c>
      <c r="V98" s="20">
        <v>76.5</v>
      </c>
      <c r="W98" s="20">
        <f t="shared" si="3"/>
        <v>15862.090000000002</v>
      </c>
      <c r="X98" s="20">
        <f t="shared" si="3"/>
        <v>8174.35</v>
      </c>
      <c r="Y98" s="20">
        <f t="shared" si="3"/>
        <v>8174.35</v>
      </c>
    </row>
    <row r="99" spans="1:25" s="16" customFormat="1" ht="38.25">
      <c r="A99" s="108" t="str">
        <f t="shared" si="2"/>
        <v>601011314 1 02 00000000</v>
      </c>
      <c r="B99" s="201" t="s">
        <v>119</v>
      </c>
      <c r="C99" s="198" t="s">
        <v>64</v>
      </c>
      <c r="D99" s="199" t="s">
        <v>11</v>
      </c>
      <c r="E99" s="199" t="s">
        <v>51</v>
      </c>
      <c r="F99" s="199" t="s">
        <v>120</v>
      </c>
      <c r="G99" s="199" t="s">
        <v>9</v>
      </c>
      <c r="H99" s="20">
        <v>5824.1400000000012</v>
      </c>
      <c r="I99" s="20">
        <v>3811.03</v>
      </c>
      <c r="J99" s="20">
        <v>3811.03</v>
      </c>
      <c r="K99" s="20"/>
      <c r="L99" s="20"/>
      <c r="M99" s="20"/>
      <c r="N99" s="20"/>
      <c r="O99" s="20"/>
      <c r="P99" s="20"/>
      <c r="Q99" s="17"/>
      <c r="T99" s="20">
        <v>76.5</v>
      </c>
      <c r="U99" s="20">
        <v>76.5</v>
      </c>
      <c r="V99" s="20">
        <v>76.5</v>
      </c>
      <c r="W99" s="20">
        <f t="shared" si="3"/>
        <v>5747.6400000000012</v>
      </c>
      <c r="X99" s="20">
        <f t="shared" si="3"/>
        <v>3734.53</v>
      </c>
      <c r="Y99" s="20">
        <f t="shared" si="3"/>
        <v>3734.53</v>
      </c>
    </row>
    <row r="100" spans="1:25" s="16" customFormat="1" ht="25.5">
      <c r="A100" s="108" t="str">
        <f t="shared" si="2"/>
        <v>601011314 1 02 20630000</v>
      </c>
      <c r="B100" s="201" t="s">
        <v>117</v>
      </c>
      <c r="C100" s="198" t="s">
        <v>64</v>
      </c>
      <c r="D100" s="199" t="s">
        <v>11</v>
      </c>
      <c r="E100" s="199" t="s">
        <v>51</v>
      </c>
      <c r="F100" s="199" t="s">
        <v>121</v>
      </c>
      <c r="G100" s="199" t="s">
        <v>9</v>
      </c>
      <c r="H100" s="20">
        <v>5824.1400000000012</v>
      </c>
      <c r="I100" s="20">
        <v>3811.03</v>
      </c>
      <c r="J100" s="20">
        <v>3811.03</v>
      </c>
      <c r="K100" s="20"/>
      <c r="L100" s="20"/>
      <c r="M100" s="20"/>
      <c r="N100" s="20"/>
      <c r="O100" s="20"/>
      <c r="P100" s="20"/>
      <c r="Q100" s="17"/>
      <c r="T100" s="20">
        <v>76.5</v>
      </c>
      <c r="U100" s="20">
        <v>76.5</v>
      </c>
      <c r="V100" s="20">
        <v>76.5</v>
      </c>
      <c r="W100" s="20">
        <f t="shared" si="3"/>
        <v>5747.6400000000012</v>
      </c>
      <c r="X100" s="20">
        <f t="shared" si="3"/>
        <v>3734.53</v>
      </c>
      <c r="Y100" s="20">
        <f t="shared" si="3"/>
        <v>3734.53</v>
      </c>
    </row>
    <row r="101" spans="1:25" s="16" customFormat="1" ht="25.5">
      <c r="A101" s="108" t="str">
        <f t="shared" si="2"/>
        <v>601011314 1 02 20630240</v>
      </c>
      <c r="B101" s="197" t="s">
        <v>28</v>
      </c>
      <c r="C101" s="198" t="s">
        <v>64</v>
      </c>
      <c r="D101" s="199" t="s">
        <v>11</v>
      </c>
      <c r="E101" s="199" t="s">
        <v>51</v>
      </c>
      <c r="F101" s="199" t="s">
        <v>121</v>
      </c>
      <c r="G101" s="199" t="s">
        <v>29</v>
      </c>
      <c r="H101" s="20">
        <v>5824.1400000000012</v>
      </c>
      <c r="I101" s="20">
        <v>3811.03</v>
      </c>
      <c r="J101" s="20">
        <v>3811.03</v>
      </c>
      <c r="K101" s="20"/>
      <c r="L101" s="20"/>
      <c r="M101" s="20"/>
      <c r="N101" s="20"/>
      <c r="O101" s="20"/>
      <c r="P101" s="20"/>
      <c r="Q101" s="17"/>
      <c r="T101" s="20">
        <v>76.5</v>
      </c>
      <c r="U101" s="20">
        <v>76.5</v>
      </c>
      <c r="V101" s="20">
        <v>76.5</v>
      </c>
      <c r="W101" s="20">
        <f t="shared" si="3"/>
        <v>5747.6400000000012</v>
      </c>
      <c r="X101" s="20">
        <f t="shared" si="3"/>
        <v>3734.53</v>
      </c>
      <c r="Y101" s="20">
        <f t="shared" si="3"/>
        <v>3734.53</v>
      </c>
    </row>
    <row r="102" spans="1:25" s="16" customFormat="1" ht="38.25">
      <c r="A102" s="108" t="str">
        <f t="shared" si="2"/>
        <v>601011314 2 00 00000000</v>
      </c>
      <c r="B102" s="201" t="s">
        <v>122</v>
      </c>
      <c r="C102" s="198" t="s">
        <v>64</v>
      </c>
      <c r="D102" s="199" t="s">
        <v>11</v>
      </c>
      <c r="E102" s="199" t="s">
        <v>51</v>
      </c>
      <c r="F102" s="199" t="s">
        <v>123</v>
      </c>
      <c r="G102" s="199" t="s">
        <v>9</v>
      </c>
      <c r="H102" s="20">
        <v>78394.710000000006</v>
      </c>
      <c r="I102" s="20">
        <v>76163.200000000012</v>
      </c>
      <c r="J102" s="20">
        <v>76163.200000000012</v>
      </c>
      <c r="K102" s="20"/>
      <c r="L102" s="20"/>
      <c r="M102" s="20"/>
      <c r="N102" s="20"/>
      <c r="O102" s="20"/>
      <c r="P102" s="20"/>
      <c r="Q102" s="17"/>
      <c r="T102" s="20">
        <v>75598.690000000017</v>
      </c>
      <c r="U102" s="20">
        <v>73159.810000000012</v>
      </c>
      <c r="V102" s="20">
        <v>73159.810000000012</v>
      </c>
      <c r="W102" s="20">
        <f t="shared" si="3"/>
        <v>2796.0199999999895</v>
      </c>
      <c r="X102" s="20">
        <f t="shared" si="3"/>
        <v>3003.3899999999994</v>
      </c>
      <c r="Y102" s="20">
        <f t="shared" si="3"/>
        <v>3003.3899999999994</v>
      </c>
    </row>
    <row r="103" spans="1:25" s="16" customFormat="1" ht="25.5">
      <c r="A103" s="108" t="str">
        <f t="shared" si="2"/>
        <v>601011314 2 01 00000000</v>
      </c>
      <c r="B103" s="201" t="s">
        <v>124</v>
      </c>
      <c r="C103" s="198" t="s">
        <v>64</v>
      </c>
      <c r="D103" s="199" t="s">
        <v>11</v>
      </c>
      <c r="E103" s="199" t="s">
        <v>51</v>
      </c>
      <c r="F103" s="199" t="s">
        <v>125</v>
      </c>
      <c r="G103" s="199" t="s">
        <v>9</v>
      </c>
      <c r="H103" s="20">
        <v>450</v>
      </c>
      <c r="I103" s="20">
        <v>450</v>
      </c>
      <c r="J103" s="20">
        <v>450</v>
      </c>
      <c r="K103" s="20"/>
      <c r="L103" s="20"/>
      <c r="M103" s="20"/>
      <c r="N103" s="20"/>
      <c r="O103" s="20"/>
      <c r="P103" s="20"/>
      <c r="Q103" s="17"/>
      <c r="T103" s="20">
        <v>75598.690000000017</v>
      </c>
      <c r="U103" s="20">
        <v>73159.810000000012</v>
      </c>
      <c r="V103" s="20">
        <v>73159.810000000012</v>
      </c>
      <c r="W103" s="20">
        <f t="shared" si="3"/>
        <v>-75148.690000000017</v>
      </c>
      <c r="X103" s="20">
        <f t="shared" si="3"/>
        <v>-72709.810000000012</v>
      </c>
      <c r="Y103" s="20">
        <f t="shared" si="3"/>
        <v>-72709.810000000012</v>
      </c>
    </row>
    <row r="104" spans="1:25" s="16" customFormat="1" ht="38.25">
      <c r="A104" s="108" t="str">
        <f t="shared" si="2"/>
        <v>601011314 2 01 20710000</v>
      </c>
      <c r="B104" s="201" t="s">
        <v>126</v>
      </c>
      <c r="C104" s="198" t="s">
        <v>64</v>
      </c>
      <c r="D104" s="199" t="s">
        <v>11</v>
      </c>
      <c r="E104" s="199" t="s">
        <v>51</v>
      </c>
      <c r="F104" s="199" t="s">
        <v>127</v>
      </c>
      <c r="G104" s="199" t="s">
        <v>9</v>
      </c>
      <c r="H104" s="20">
        <v>450</v>
      </c>
      <c r="I104" s="20">
        <v>450</v>
      </c>
      <c r="J104" s="20">
        <v>450</v>
      </c>
      <c r="K104" s="20"/>
      <c r="L104" s="20"/>
      <c r="M104" s="20"/>
      <c r="N104" s="20"/>
      <c r="O104" s="20"/>
      <c r="P104" s="20"/>
      <c r="Q104" s="17"/>
      <c r="T104" s="20">
        <v>61845.990000000013</v>
      </c>
      <c r="U104" s="20">
        <v>60027.510000000009</v>
      </c>
      <c r="V104" s="20">
        <v>60027.510000000009</v>
      </c>
      <c r="W104" s="20">
        <f t="shared" si="3"/>
        <v>-61395.990000000013</v>
      </c>
      <c r="X104" s="20">
        <f t="shared" si="3"/>
        <v>-59577.510000000009</v>
      </c>
      <c r="Y104" s="20">
        <f t="shared" si="3"/>
        <v>-59577.510000000009</v>
      </c>
    </row>
    <row r="105" spans="1:25" s="16" customFormat="1" ht="25.5">
      <c r="A105" s="108" t="str">
        <f t="shared" si="2"/>
        <v>601011314 2 01 20710240</v>
      </c>
      <c r="B105" s="197" t="s">
        <v>28</v>
      </c>
      <c r="C105" s="198" t="s">
        <v>64</v>
      </c>
      <c r="D105" s="199" t="s">
        <v>11</v>
      </c>
      <c r="E105" s="199" t="s">
        <v>51</v>
      </c>
      <c r="F105" s="199" t="s">
        <v>127</v>
      </c>
      <c r="G105" s="199" t="s">
        <v>29</v>
      </c>
      <c r="H105" s="20">
        <v>450</v>
      </c>
      <c r="I105" s="20">
        <v>450</v>
      </c>
      <c r="J105" s="20">
        <v>450</v>
      </c>
      <c r="K105" s="20"/>
      <c r="L105" s="20"/>
      <c r="M105" s="20"/>
      <c r="N105" s="20"/>
      <c r="O105" s="20"/>
      <c r="P105" s="20"/>
      <c r="Q105" s="17"/>
      <c r="T105" s="20">
        <v>12409.95</v>
      </c>
      <c r="U105" s="20">
        <v>11789.55</v>
      </c>
      <c r="V105" s="20">
        <v>11789.55</v>
      </c>
      <c r="W105" s="20">
        <f t="shared" si="3"/>
        <v>-11959.95</v>
      </c>
      <c r="X105" s="20">
        <f t="shared" si="3"/>
        <v>-11339.55</v>
      </c>
      <c r="Y105" s="20">
        <f t="shared" si="3"/>
        <v>-11339.55</v>
      </c>
    </row>
    <row r="106" spans="1:25" s="16" customFormat="1" ht="51">
      <c r="A106" s="108" t="str">
        <f t="shared" si="2"/>
        <v>601011314 2 02 00000000</v>
      </c>
      <c r="B106" s="201" t="s">
        <v>128</v>
      </c>
      <c r="C106" s="198" t="s">
        <v>64</v>
      </c>
      <c r="D106" s="199" t="s">
        <v>11</v>
      </c>
      <c r="E106" s="199" t="s">
        <v>51</v>
      </c>
      <c r="F106" s="199" t="s">
        <v>129</v>
      </c>
      <c r="G106" s="199" t="s">
        <v>9</v>
      </c>
      <c r="H106" s="20">
        <v>76.5</v>
      </c>
      <c r="I106" s="20">
        <v>76.5</v>
      </c>
      <c r="J106" s="20">
        <v>76.5</v>
      </c>
      <c r="K106" s="20"/>
      <c r="L106" s="20"/>
      <c r="M106" s="20"/>
      <c r="N106" s="20"/>
      <c r="O106" s="20"/>
      <c r="P106" s="20"/>
      <c r="Q106" s="17"/>
      <c r="T106" s="20">
        <v>1342.7499999999998</v>
      </c>
      <c r="U106" s="20">
        <v>1342.7499999999998</v>
      </c>
      <c r="V106" s="20">
        <v>1342.7499999999998</v>
      </c>
      <c r="W106" s="20">
        <f t="shared" si="3"/>
        <v>-1266.2499999999998</v>
      </c>
      <c r="X106" s="20">
        <f t="shared" si="3"/>
        <v>-1266.2499999999998</v>
      </c>
      <c r="Y106" s="20">
        <f t="shared" si="3"/>
        <v>-1266.2499999999998</v>
      </c>
    </row>
    <row r="107" spans="1:25" s="16" customFormat="1" ht="38.25">
      <c r="A107" s="108" t="str">
        <f t="shared" si="2"/>
        <v>601011314 2 02 20710000</v>
      </c>
      <c r="B107" s="201" t="s">
        <v>126</v>
      </c>
      <c r="C107" s="198" t="s">
        <v>64</v>
      </c>
      <c r="D107" s="199" t="s">
        <v>11</v>
      </c>
      <c r="E107" s="199" t="s">
        <v>51</v>
      </c>
      <c r="F107" s="199" t="s">
        <v>130</v>
      </c>
      <c r="G107" s="199" t="s">
        <v>9</v>
      </c>
      <c r="H107" s="20">
        <v>76.5</v>
      </c>
      <c r="I107" s="20">
        <v>76.5</v>
      </c>
      <c r="J107" s="20">
        <v>76.5</v>
      </c>
      <c r="K107" s="27"/>
      <c r="L107" s="27"/>
      <c r="M107" s="27"/>
      <c r="N107" s="27"/>
      <c r="O107" s="27"/>
      <c r="P107" s="27"/>
      <c r="Q107" s="17"/>
      <c r="T107" s="27">
        <v>1051.79</v>
      </c>
      <c r="U107" s="27">
        <v>1001.7900000000001</v>
      </c>
      <c r="V107" s="27">
        <v>1001.7900000000001</v>
      </c>
      <c r="W107" s="27">
        <f t="shared" si="3"/>
        <v>-975.29</v>
      </c>
      <c r="X107" s="27">
        <f t="shared" si="3"/>
        <v>-925.29000000000008</v>
      </c>
      <c r="Y107" s="27">
        <f t="shared" si="3"/>
        <v>-925.29000000000008</v>
      </c>
    </row>
    <row r="108" spans="1:25" s="16" customFormat="1" ht="25.5">
      <c r="A108" s="108" t="str">
        <f t="shared" si="2"/>
        <v>601011314 2 02 20710240</v>
      </c>
      <c r="B108" s="197" t="s">
        <v>28</v>
      </c>
      <c r="C108" s="198" t="s">
        <v>64</v>
      </c>
      <c r="D108" s="199" t="s">
        <v>11</v>
      </c>
      <c r="E108" s="199" t="s">
        <v>51</v>
      </c>
      <c r="F108" s="199" t="s">
        <v>130</v>
      </c>
      <c r="G108" s="199" t="s">
        <v>29</v>
      </c>
      <c r="H108" s="20">
        <v>76.5</v>
      </c>
      <c r="I108" s="20">
        <v>76.5</v>
      </c>
      <c r="J108" s="20">
        <v>76.5</v>
      </c>
      <c r="K108" s="27"/>
      <c r="L108" s="27"/>
      <c r="M108" s="27"/>
      <c r="N108" s="27"/>
      <c r="O108" s="27"/>
      <c r="P108" s="27"/>
      <c r="Q108" s="17"/>
      <c r="T108" s="27">
        <v>386.6</v>
      </c>
      <c r="U108" s="27">
        <v>336.60000000000008</v>
      </c>
      <c r="V108" s="27">
        <v>336.60000000000008</v>
      </c>
      <c r="W108" s="27">
        <f t="shared" si="3"/>
        <v>-310.10000000000002</v>
      </c>
      <c r="X108" s="27">
        <f t="shared" si="3"/>
        <v>-260.10000000000008</v>
      </c>
      <c r="Y108" s="27">
        <f t="shared" si="3"/>
        <v>-260.10000000000008</v>
      </c>
    </row>
    <row r="109" spans="1:25" s="212" customFormat="1" ht="54.75" customHeight="1">
      <c r="A109" s="108" t="str">
        <f t="shared" si="2"/>
        <v>601011314 2 03 00000000</v>
      </c>
      <c r="B109" s="201" t="s">
        <v>131</v>
      </c>
      <c r="C109" s="198" t="s">
        <v>64</v>
      </c>
      <c r="D109" s="199" t="s">
        <v>11</v>
      </c>
      <c r="E109" s="199" t="s">
        <v>51</v>
      </c>
      <c r="F109" s="199" t="s">
        <v>132</v>
      </c>
      <c r="G109" s="199" t="s">
        <v>9</v>
      </c>
      <c r="H109" s="20">
        <v>76.5</v>
      </c>
      <c r="I109" s="20">
        <v>76.5</v>
      </c>
      <c r="J109" s="20">
        <v>76.5</v>
      </c>
      <c r="K109" s="210"/>
      <c r="L109" s="210"/>
      <c r="M109" s="210"/>
      <c r="N109" s="210"/>
      <c r="O109" s="210"/>
      <c r="P109" s="210"/>
      <c r="Q109" s="211"/>
      <c r="T109" s="210">
        <v>0</v>
      </c>
      <c r="U109" s="210">
        <v>0</v>
      </c>
      <c r="V109" s="210">
        <v>0</v>
      </c>
      <c r="W109" s="210">
        <f t="shared" si="3"/>
        <v>76.5</v>
      </c>
      <c r="X109" s="210">
        <f t="shared" si="3"/>
        <v>76.5</v>
      </c>
      <c r="Y109" s="210">
        <f t="shared" si="3"/>
        <v>76.5</v>
      </c>
    </row>
    <row r="110" spans="1:25" s="16" customFormat="1" ht="38.25">
      <c r="A110" s="108" t="str">
        <f t="shared" si="2"/>
        <v>601011314 2 03 20710000</v>
      </c>
      <c r="B110" s="201" t="s">
        <v>126</v>
      </c>
      <c r="C110" s="198" t="s">
        <v>64</v>
      </c>
      <c r="D110" s="199" t="s">
        <v>11</v>
      </c>
      <c r="E110" s="199" t="s">
        <v>51</v>
      </c>
      <c r="F110" s="199" t="s">
        <v>133</v>
      </c>
      <c r="G110" s="199" t="s">
        <v>9</v>
      </c>
      <c r="H110" s="20">
        <v>76.5</v>
      </c>
      <c r="I110" s="20">
        <v>76.5</v>
      </c>
      <c r="J110" s="20">
        <v>76.5</v>
      </c>
      <c r="K110" s="27"/>
      <c r="L110" s="27"/>
      <c r="M110" s="27"/>
      <c r="N110" s="27"/>
      <c r="O110" s="27"/>
      <c r="P110" s="27"/>
      <c r="Q110" s="17"/>
      <c r="T110" s="27">
        <v>0</v>
      </c>
      <c r="U110" s="27">
        <v>0</v>
      </c>
      <c r="V110" s="27">
        <v>0</v>
      </c>
      <c r="W110" s="27">
        <f t="shared" si="3"/>
        <v>76.5</v>
      </c>
      <c r="X110" s="27">
        <f t="shared" si="3"/>
        <v>76.5</v>
      </c>
      <c r="Y110" s="27">
        <f t="shared" si="3"/>
        <v>76.5</v>
      </c>
    </row>
    <row r="111" spans="1:25" s="16" customFormat="1" ht="25.5">
      <c r="A111" s="108" t="str">
        <f t="shared" si="2"/>
        <v>601011314 2 03 20710240</v>
      </c>
      <c r="B111" s="197" t="s">
        <v>28</v>
      </c>
      <c r="C111" s="198" t="s">
        <v>64</v>
      </c>
      <c r="D111" s="199" t="s">
        <v>11</v>
      </c>
      <c r="E111" s="199" t="s">
        <v>51</v>
      </c>
      <c r="F111" s="199" t="s">
        <v>133</v>
      </c>
      <c r="G111" s="199" t="s">
        <v>29</v>
      </c>
      <c r="H111" s="20">
        <v>76.5</v>
      </c>
      <c r="I111" s="20">
        <v>76.5</v>
      </c>
      <c r="J111" s="20">
        <v>76.5</v>
      </c>
      <c r="K111" s="20"/>
      <c r="L111" s="20"/>
      <c r="M111" s="20"/>
      <c r="N111" s="20"/>
      <c r="O111" s="20"/>
      <c r="P111" s="20"/>
      <c r="Q111" s="17"/>
      <c r="T111" s="20">
        <v>0</v>
      </c>
      <c r="U111" s="20">
        <v>0</v>
      </c>
      <c r="V111" s="20">
        <v>0</v>
      </c>
      <c r="W111" s="20">
        <f t="shared" si="3"/>
        <v>76.5</v>
      </c>
      <c r="X111" s="20">
        <f t="shared" si="3"/>
        <v>76.5</v>
      </c>
      <c r="Y111" s="20">
        <f t="shared" si="3"/>
        <v>76.5</v>
      </c>
    </row>
    <row r="112" spans="1:25" s="16" customFormat="1" ht="38.25">
      <c r="A112" s="108" t="str">
        <f t="shared" si="2"/>
        <v>601011314 2 04 00000000</v>
      </c>
      <c r="B112" s="197" t="s">
        <v>134</v>
      </c>
      <c r="C112" s="198" t="s">
        <v>64</v>
      </c>
      <c r="D112" s="199" t="s">
        <v>11</v>
      </c>
      <c r="E112" s="199" t="s">
        <v>51</v>
      </c>
      <c r="F112" s="199" t="s">
        <v>135</v>
      </c>
      <c r="G112" s="199" t="s">
        <v>9</v>
      </c>
      <c r="H112" s="20">
        <v>77791.710000000006</v>
      </c>
      <c r="I112" s="20">
        <v>75560.200000000012</v>
      </c>
      <c r="J112" s="20">
        <v>75560.200000000012</v>
      </c>
      <c r="K112" s="27"/>
      <c r="L112" s="27"/>
      <c r="M112" s="27"/>
      <c r="N112" s="27"/>
      <c r="O112" s="27"/>
      <c r="P112" s="27"/>
      <c r="Q112" s="17"/>
      <c r="T112" s="27">
        <v>100</v>
      </c>
      <c r="U112" s="27">
        <v>100.00000000000003</v>
      </c>
      <c r="V112" s="27">
        <v>100.00000000000003</v>
      </c>
      <c r="W112" s="27">
        <f t="shared" si="3"/>
        <v>77691.710000000006</v>
      </c>
      <c r="X112" s="27">
        <f t="shared" si="3"/>
        <v>75460.200000000012</v>
      </c>
      <c r="Y112" s="27">
        <f t="shared" si="3"/>
        <v>75460.200000000012</v>
      </c>
    </row>
    <row r="113" spans="1:25" s="16" customFormat="1" ht="25.5">
      <c r="A113" s="108" t="str">
        <f t="shared" si="2"/>
        <v>601011314 2 04 11010000</v>
      </c>
      <c r="B113" s="197" t="s">
        <v>136</v>
      </c>
      <c r="C113" s="198" t="s">
        <v>64</v>
      </c>
      <c r="D113" s="199" t="s">
        <v>11</v>
      </c>
      <c r="E113" s="199" t="s">
        <v>51</v>
      </c>
      <c r="F113" s="199" t="s">
        <v>137</v>
      </c>
      <c r="G113" s="199" t="s">
        <v>9</v>
      </c>
      <c r="H113" s="20">
        <v>75426.570000000007</v>
      </c>
      <c r="I113" s="20">
        <v>75560.200000000012</v>
      </c>
      <c r="J113" s="20">
        <v>75560.200000000012</v>
      </c>
      <c r="K113" s="27"/>
      <c r="L113" s="27"/>
      <c r="M113" s="27"/>
      <c r="N113" s="27"/>
      <c r="O113" s="27"/>
      <c r="P113" s="27"/>
      <c r="Q113" s="17"/>
      <c r="T113" s="27">
        <v>100</v>
      </c>
      <c r="U113" s="27">
        <v>100.00000000000003</v>
      </c>
      <c r="V113" s="27">
        <v>100.00000000000003</v>
      </c>
      <c r="W113" s="27">
        <f t="shared" si="3"/>
        <v>75326.570000000007</v>
      </c>
      <c r="X113" s="27">
        <f t="shared" si="3"/>
        <v>75460.200000000012</v>
      </c>
      <c r="Y113" s="27">
        <f t="shared" si="3"/>
        <v>75460.200000000012</v>
      </c>
    </row>
    <row r="114" spans="1:25" s="16" customFormat="1">
      <c r="A114" s="108" t="str">
        <f t="shared" si="2"/>
        <v>601011314 2 04 11010110</v>
      </c>
      <c r="B114" s="205" t="s">
        <v>138</v>
      </c>
      <c r="C114" s="198" t="s">
        <v>64</v>
      </c>
      <c r="D114" s="199" t="s">
        <v>11</v>
      </c>
      <c r="E114" s="199" t="s">
        <v>51</v>
      </c>
      <c r="F114" s="199" t="s">
        <v>137</v>
      </c>
      <c r="G114" s="199" t="s">
        <v>139</v>
      </c>
      <c r="H114" s="20">
        <v>61881.240000000013</v>
      </c>
      <c r="I114" s="20">
        <v>62427.900000000009</v>
      </c>
      <c r="J114" s="20">
        <v>62427.900000000009</v>
      </c>
      <c r="K114" s="20"/>
      <c r="L114" s="20"/>
      <c r="M114" s="20"/>
      <c r="N114" s="20"/>
      <c r="O114" s="20"/>
      <c r="P114" s="20"/>
      <c r="Q114" s="17"/>
      <c r="T114" s="20">
        <v>100</v>
      </c>
      <c r="U114" s="20">
        <v>100.00000000000003</v>
      </c>
      <c r="V114" s="20">
        <v>100.00000000000003</v>
      </c>
      <c r="W114" s="20">
        <f t="shared" si="3"/>
        <v>61781.240000000013</v>
      </c>
      <c r="X114" s="20">
        <f t="shared" si="3"/>
        <v>62327.900000000009</v>
      </c>
      <c r="Y114" s="20">
        <f t="shared" si="3"/>
        <v>62327.900000000009</v>
      </c>
    </row>
    <row r="115" spans="1:25" s="16" customFormat="1" ht="25.5">
      <c r="A115" s="108" t="str">
        <f t="shared" si="2"/>
        <v>601011314 2 04 11010240</v>
      </c>
      <c r="B115" s="197" t="s">
        <v>28</v>
      </c>
      <c r="C115" s="198" t="s">
        <v>64</v>
      </c>
      <c r="D115" s="199" t="s">
        <v>11</v>
      </c>
      <c r="E115" s="199" t="s">
        <v>51</v>
      </c>
      <c r="F115" s="199" t="s">
        <v>137</v>
      </c>
      <c r="G115" s="199" t="s">
        <v>29</v>
      </c>
      <c r="H115" s="20">
        <v>12202.580000000002</v>
      </c>
      <c r="I115" s="20">
        <v>11789.55</v>
      </c>
      <c r="J115" s="20">
        <v>11789.55</v>
      </c>
      <c r="K115" s="20"/>
      <c r="L115" s="20"/>
      <c r="M115" s="20"/>
      <c r="N115" s="20"/>
      <c r="O115" s="20"/>
      <c r="P115" s="20"/>
      <c r="Q115" s="17"/>
      <c r="T115" s="20">
        <v>235.3</v>
      </c>
      <c r="U115" s="20">
        <v>185.3</v>
      </c>
      <c r="V115" s="20">
        <v>185.3</v>
      </c>
      <c r="W115" s="20">
        <f t="shared" si="3"/>
        <v>11967.280000000002</v>
      </c>
      <c r="X115" s="20">
        <f t="shared" si="3"/>
        <v>11604.25</v>
      </c>
      <c r="Y115" s="20">
        <f t="shared" si="3"/>
        <v>11604.25</v>
      </c>
    </row>
    <row r="116" spans="1:25" s="16" customFormat="1">
      <c r="A116" s="108" t="str">
        <f t="shared" si="2"/>
        <v>601011314 2 04 11010850</v>
      </c>
      <c r="B116" s="197" t="s">
        <v>32</v>
      </c>
      <c r="C116" s="198" t="s">
        <v>64</v>
      </c>
      <c r="D116" s="199" t="s">
        <v>11</v>
      </c>
      <c r="E116" s="199" t="s">
        <v>51</v>
      </c>
      <c r="F116" s="199" t="s">
        <v>137</v>
      </c>
      <c r="G116" s="206">
        <v>850</v>
      </c>
      <c r="H116" s="20">
        <v>1342.7499999999998</v>
      </c>
      <c r="I116" s="20">
        <v>1342.7499999999998</v>
      </c>
      <c r="J116" s="20">
        <v>1342.7499999999998</v>
      </c>
      <c r="K116" s="20"/>
      <c r="L116" s="20"/>
      <c r="M116" s="20"/>
      <c r="N116" s="20"/>
      <c r="O116" s="20"/>
      <c r="P116" s="20"/>
      <c r="Q116" s="17"/>
      <c r="T116" s="20">
        <v>235.3</v>
      </c>
      <c r="U116" s="20">
        <v>185.3</v>
      </c>
      <c r="V116" s="20">
        <v>185.3</v>
      </c>
      <c r="W116" s="20">
        <f t="shared" si="3"/>
        <v>1107.4499999999998</v>
      </c>
      <c r="X116" s="20">
        <f t="shared" si="3"/>
        <v>1157.4499999999998</v>
      </c>
      <c r="Y116" s="20">
        <f t="shared" si="3"/>
        <v>1157.4499999999998</v>
      </c>
    </row>
    <row r="117" spans="1:25" s="16" customFormat="1" ht="191.25">
      <c r="A117" s="108" t="str">
        <f t="shared" si="2"/>
        <v>601011314 2 04 77460000</v>
      </c>
      <c r="B117" s="197" t="s">
        <v>1263</v>
      </c>
      <c r="C117" s="198" t="s">
        <v>64</v>
      </c>
      <c r="D117" s="199" t="s">
        <v>11</v>
      </c>
      <c r="E117" s="199" t="s">
        <v>51</v>
      </c>
      <c r="F117" s="199" t="s">
        <v>1269</v>
      </c>
      <c r="G117" s="199" t="s">
        <v>9</v>
      </c>
      <c r="H117" s="20">
        <v>2365.14</v>
      </c>
      <c r="I117" s="20">
        <v>0</v>
      </c>
      <c r="J117" s="20">
        <v>0</v>
      </c>
      <c r="K117" s="20"/>
      <c r="L117" s="20"/>
      <c r="M117" s="20"/>
      <c r="N117" s="20"/>
      <c r="O117" s="20"/>
      <c r="P117" s="20"/>
      <c r="Q117" s="17"/>
      <c r="T117" s="20">
        <v>235.3</v>
      </c>
      <c r="U117" s="20">
        <v>185.3</v>
      </c>
      <c r="V117" s="20">
        <v>185.3</v>
      </c>
      <c r="W117" s="20">
        <f t="shared" si="3"/>
        <v>2129.8399999999997</v>
      </c>
      <c r="X117" s="20">
        <f t="shared" si="3"/>
        <v>-185.3</v>
      </c>
      <c r="Y117" s="20">
        <f t="shared" si="3"/>
        <v>-185.3</v>
      </c>
    </row>
    <row r="118" spans="1:25" s="16" customFormat="1">
      <c r="A118" s="108" t="str">
        <f t="shared" si="2"/>
        <v>601011314 2 04 77460110</v>
      </c>
      <c r="B118" s="205" t="s">
        <v>138</v>
      </c>
      <c r="C118" s="198" t="s">
        <v>64</v>
      </c>
      <c r="D118" s="199" t="s">
        <v>11</v>
      </c>
      <c r="E118" s="199" t="s">
        <v>51</v>
      </c>
      <c r="F118" s="199" t="s">
        <v>1269</v>
      </c>
      <c r="G118" s="199" t="s">
        <v>139</v>
      </c>
      <c r="H118" s="20">
        <v>2365.14</v>
      </c>
      <c r="I118" s="20">
        <v>0</v>
      </c>
      <c r="J118" s="20">
        <v>0</v>
      </c>
      <c r="K118" s="20"/>
      <c r="L118" s="20"/>
      <c r="M118" s="20"/>
      <c r="N118" s="20"/>
      <c r="O118" s="20"/>
      <c r="P118" s="20"/>
      <c r="Q118" s="17"/>
      <c r="T118" s="20">
        <v>51.3</v>
      </c>
      <c r="U118" s="20">
        <v>51.3</v>
      </c>
      <c r="V118" s="20">
        <v>51.3</v>
      </c>
      <c r="W118" s="20">
        <f t="shared" si="3"/>
        <v>2313.8399999999997</v>
      </c>
      <c r="X118" s="20">
        <f t="shared" si="3"/>
        <v>-51.3</v>
      </c>
      <c r="Y118" s="20">
        <f t="shared" si="3"/>
        <v>-51.3</v>
      </c>
    </row>
    <row r="119" spans="1:25" s="16" customFormat="1" ht="38.25">
      <c r="A119" s="108" t="str">
        <f t="shared" si="2"/>
        <v>601011315 0 00 00000000</v>
      </c>
      <c r="B119" s="200" t="s">
        <v>146</v>
      </c>
      <c r="C119" s="203">
        <v>601</v>
      </c>
      <c r="D119" s="203" t="s">
        <v>11</v>
      </c>
      <c r="E119" s="203">
        <v>13</v>
      </c>
      <c r="F119" s="203" t="s">
        <v>147</v>
      </c>
      <c r="G119" s="203" t="s">
        <v>9</v>
      </c>
      <c r="H119" s="27">
        <v>1051.79</v>
      </c>
      <c r="I119" s="27">
        <v>1001.7900000000001</v>
      </c>
      <c r="J119" s="27">
        <v>1001.7900000000001</v>
      </c>
      <c r="K119" s="20"/>
      <c r="L119" s="20"/>
      <c r="M119" s="20"/>
      <c r="N119" s="20"/>
      <c r="O119" s="20"/>
      <c r="P119" s="20"/>
      <c r="Q119" s="17"/>
      <c r="T119" s="20">
        <v>51.3</v>
      </c>
      <c r="U119" s="20">
        <v>51.3</v>
      </c>
      <c r="V119" s="20">
        <v>51.3</v>
      </c>
      <c r="W119" s="20">
        <f t="shared" si="3"/>
        <v>1000.49</v>
      </c>
      <c r="X119" s="20">
        <f t="shared" si="3"/>
        <v>950.49000000000012</v>
      </c>
      <c r="Y119" s="20">
        <f t="shared" si="3"/>
        <v>950.49000000000012</v>
      </c>
    </row>
    <row r="120" spans="1:25" s="16" customFormat="1" ht="38.25">
      <c r="A120" s="108" t="str">
        <f t="shared" si="2"/>
        <v>601011315 1 00 00000000</v>
      </c>
      <c r="B120" s="197" t="s">
        <v>1065</v>
      </c>
      <c r="C120" s="203">
        <v>601</v>
      </c>
      <c r="D120" s="203" t="s">
        <v>11</v>
      </c>
      <c r="E120" s="203">
        <v>13</v>
      </c>
      <c r="F120" s="203" t="s">
        <v>149</v>
      </c>
      <c r="G120" s="203" t="s">
        <v>9</v>
      </c>
      <c r="H120" s="27">
        <v>386.6</v>
      </c>
      <c r="I120" s="27">
        <v>336.60000000000008</v>
      </c>
      <c r="J120" s="27">
        <v>336.60000000000008</v>
      </c>
      <c r="K120" s="20"/>
      <c r="L120" s="20"/>
      <c r="M120" s="20"/>
      <c r="N120" s="20"/>
      <c r="O120" s="20"/>
      <c r="P120" s="20"/>
      <c r="Q120" s="17"/>
      <c r="T120" s="20">
        <v>51.3</v>
      </c>
      <c r="U120" s="20">
        <v>51.3</v>
      </c>
      <c r="V120" s="20">
        <v>51.3</v>
      </c>
      <c r="W120" s="20">
        <f t="shared" si="3"/>
        <v>335.3</v>
      </c>
      <c r="X120" s="20">
        <f t="shared" si="3"/>
        <v>285.30000000000007</v>
      </c>
      <c r="Y120" s="20">
        <f t="shared" si="3"/>
        <v>285.30000000000007</v>
      </c>
    </row>
    <row r="121" spans="1:25" s="16" customFormat="1" ht="51">
      <c r="A121" s="108" t="str">
        <f t="shared" si="2"/>
        <v>601011315 1 01 00000000</v>
      </c>
      <c r="B121" s="197" t="s">
        <v>1066</v>
      </c>
      <c r="C121" s="203">
        <v>601</v>
      </c>
      <c r="D121" s="203" t="s">
        <v>11</v>
      </c>
      <c r="E121" s="203">
        <v>13</v>
      </c>
      <c r="F121" s="203" t="s">
        <v>151</v>
      </c>
      <c r="G121" s="203" t="s">
        <v>9</v>
      </c>
      <c r="H121" s="27">
        <v>100</v>
      </c>
      <c r="I121" s="27">
        <v>100.00000000000003</v>
      </c>
      <c r="J121" s="27">
        <v>100.00000000000003</v>
      </c>
      <c r="K121" s="27"/>
      <c r="L121" s="27"/>
      <c r="M121" s="27"/>
      <c r="N121" s="27"/>
      <c r="O121" s="27"/>
      <c r="P121" s="27"/>
      <c r="Q121" s="17"/>
      <c r="T121" s="27">
        <v>414.27</v>
      </c>
      <c r="U121" s="27">
        <v>414.27</v>
      </c>
      <c r="V121" s="27">
        <v>414.27</v>
      </c>
      <c r="W121" s="27">
        <f t="shared" si="3"/>
        <v>-314.27</v>
      </c>
      <c r="X121" s="27">
        <f t="shared" si="3"/>
        <v>-314.27</v>
      </c>
      <c r="Y121" s="27">
        <f t="shared" si="3"/>
        <v>-314.27</v>
      </c>
    </row>
    <row r="122" spans="1:25" s="16" customFormat="1" ht="25.5">
      <c r="A122" s="108" t="str">
        <f t="shared" si="2"/>
        <v>601011315 1 01 20350000</v>
      </c>
      <c r="B122" s="201" t="s">
        <v>152</v>
      </c>
      <c r="C122" s="203">
        <v>601</v>
      </c>
      <c r="D122" s="203" t="s">
        <v>11</v>
      </c>
      <c r="E122" s="203">
        <v>13</v>
      </c>
      <c r="F122" s="203" t="s">
        <v>153</v>
      </c>
      <c r="G122" s="203" t="s">
        <v>9</v>
      </c>
      <c r="H122" s="27">
        <v>100</v>
      </c>
      <c r="I122" s="27">
        <v>100.00000000000003</v>
      </c>
      <c r="J122" s="27">
        <v>100.00000000000003</v>
      </c>
      <c r="K122" s="27"/>
      <c r="L122" s="27"/>
      <c r="M122" s="27"/>
      <c r="N122" s="27"/>
      <c r="O122" s="27"/>
      <c r="P122" s="27"/>
      <c r="Q122" s="17"/>
      <c r="T122" s="27">
        <v>74.97</v>
      </c>
      <c r="U122" s="27">
        <v>74.97</v>
      </c>
      <c r="V122" s="27">
        <v>74.97</v>
      </c>
      <c r="W122" s="27">
        <f t="shared" si="3"/>
        <v>25.03</v>
      </c>
      <c r="X122" s="27">
        <f t="shared" si="3"/>
        <v>25.03000000000003</v>
      </c>
      <c r="Y122" s="27">
        <f t="shared" si="3"/>
        <v>25.03000000000003</v>
      </c>
    </row>
    <row r="123" spans="1:25" s="16" customFormat="1" ht="25.5">
      <c r="A123" s="108" t="str">
        <f t="shared" si="2"/>
        <v>601011315 1 01 20350240</v>
      </c>
      <c r="B123" s="214" t="s">
        <v>28</v>
      </c>
      <c r="C123" s="203">
        <v>601</v>
      </c>
      <c r="D123" s="203" t="s">
        <v>11</v>
      </c>
      <c r="E123" s="203">
        <v>13</v>
      </c>
      <c r="F123" s="203" t="s">
        <v>153</v>
      </c>
      <c r="G123" s="203" t="s">
        <v>29</v>
      </c>
      <c r="H123" s="20">
        <v>100</v>
      </c>
      <c r="I123" s="20">
        <v>100.00000000000003</v>
      </c>
      <c r="J123" s="20">
        <v>100.00000000000003</v>
      </c>
      <c r="K123" s="20"/>
      <c r="L123" s="20"/>
      <c r="M123" s="20"/>
      <c r="N123" s="20"/>
      <c r="O123" s="20"/>
      <c r="P123" s="20"/>
      <c r="Q123" s="17"/>
      <c r="T123" s="20">
        <v>74.97</v>
      </c>
      <c r="U123" s="20">
        <v>74.97</v>
      </c>
      <c r="V123" s="20">
        <v>74.97</v>
      </c>
      <c r="W123" s="20">
        <f t="shared" si="3"/>
        <v>25.03</v>
      </c>
      <c r="X123" s="20">
        <f t="shared" si="3"/>
        <v>25.03000000000003</v>
      </c>
      <c r="Y123" s="20">
        <f t="shared" si="3"/>
        <v>25.03000000000003</v>
      </c>
    </row>
    <row r="124" spans="1:25" s="16" customFormat="1" ht="38.25">
      <c r="A124" s="108" t="str">
        <f t="shared" si="2"/>
        <v>601011315 1 02 00000000</v>
      </c>
      <c r="B124" s="197" t="s">
        <v>1071</v>
      </c>
      <c r="C124" s="203">
        <v>601</v>
      </c>
      <c r="D124" s="203" t="s">
        <v>11</v>
      </c>
      <c r="E124" s="203">
        <v>13</v>
      </c>
      <c r="F124" s="203" t="s">
        <v>274</v>
      </c>
      <c r="G124" s="203" t="s">
        <v>9</v>
      </c>
      <c r="H124" s="27">
        <v>235.3</v>
      </c>
      <c r="I124" s="27">
        <v>185.3</v>
      </c>
      <c r="J124" s="27">
        <v>185.3</v>
      </c>
      <c r="K124" s="20"/>
      <c r="L124" s="20"/>
      <c r="M124" s="20"/>
      <c r="N124" s="20"/>
      <c r="O124" s="20"/>
      <c r="P124" s="20"/>
      <c r="Q124" s="17"/>
      <c r="T124" s="20">
        <v>74.97</v>
      </c>
      <c r="U124" s="20">
        <v>74.97</v>
      </c>
      <c r="V124" s="20">
        <v>74.97</v>
      </c>
      <c r="W124" s="20">
        <f t="shared" si="3"/>
        <v>160.33000000000001</v>
      </c>
      <c r="X124" s="20">
        <f t="shared" si="3"/>
        <v>110.33000000000001</v>
      </c>
      <c r="Y124" s="20">
        <f t="shared" si="3"/>
        <v>110.33000000000001</v>
      </c>
    </row>
    <row r="125" spans="1:25" s="16" customFormat="1" ht="25.5">
      <c r="A125" s="108" t="str">
        <f t="shared" si="2"/>
        <v>601011315 1 02 20350000</v>
      </c>
      <c r="B125" s="201" t="s">
        <v>152</v>
      </c>
      <c r="C125" s="203">
        <v>601</v>
      </c>
      <c r="D125" s="203" t="s">
        <v>11</v>
      </c>
      <c r="E125" s="203">
        <v>13</v>
      </c>
      <c r="F125" s="203" t="s">
        <v>275</v>
      </c>
      <c r="G125" s="203" t="s">
        <v>9</v>
      </c>
      <c r="H125" s="27">
        <v>235.3</v>
      </c>
      <c r="I125" s="27">
        <v>185.3</v>
      </c>
      <c r="J125" s="27">
        <v>185.3</v>
      </c>
      <c r="K125" s="20"/>
      <c r="L125" s="20"/>
      <c r="M125" s="20"/>
      <c r="N125" s="20"/>
      <c r="O125" s="20"/>
      <c r="P125" s="20"/>
      <c r="Q125" s="17"/>
      <c r="T125" s="20">
        <v>76.5</v>
      </c>
      <c r="U125" s="20">
        <v>76.5</v>
      </c>
      <c r="V125" s="20">
        <v>76.5</v>
      </c>
      <c r="W125" s="20">
        <f t="shared" si="3"/>
        <v>158.80000000000001</v>
      </c>
      <c r="X125" s="20">
        <f t="shared" si="3"/>
        <v>108.80000000000001</v>
      </c>
      <c r="Y125" s="20">
        <f t="shared" si="3"/>
        <v>108.80000000000001</v>
      </c>
    </row>
    <row r="126" spans="1:25" s="16" customFormat="1" ht="25.5">
      <c r="A126" s="108" t="str">
        <f t="shared" si="2"/>
        <v>601011315 1 02 20350240</v>
      </c>
      <c r="B126" s="214" t="s">
        <v>28</v>
      </c>
      <c r="C126" s="203">
        <v>601</v>
      </c>
      <c r="D126" s="203" t="s">
        <v>11</v>
      </c>
      <c r="E126" s="203">
        <v>13</v>
      </c>
      <c r="F126" s="203" t="s">
        <v>275</v>
      </c>
      <c r="G126" s="203" t="s">
        <v>29</v>
      </c>
      <c r="H126" s="20">
        <v>235.3</v>
      </c>
      <c r="I126" s="20">
        <v>185.3</v>
      </c>
      <c r="J126" s="20">
        <v>185.3</v>
      </c>
      <c r="K126" s="20"/>
      <c r="L126" s="20"/>
      <c r="M126" s="20"/>
      <c r="N126" s="20"/>
      <c r="O126" s="20"/>
      <c r="P126" s="20"/>
      <c r="Q126" s="17"/>
      <c r="T126" s="20">
        <v>76.5</v>
      </c>
      <c r="U126" s="20">
        <v>76.5</v>
      </c>
      <c r="V126" s="20">
        <v>76.5</v>
      </c>
      <c r="W126" s="20">
        <f t="shared" si="3"/>
        <v>158.80000000000001</v>
      </c>
      <c r="X126" s="20">
        <f t="shared" si="3"/>
        <v>108.80000000000001</v>
      </c>
      <c r="Y126" s="20">
        <f t="shared" si="3"/>
        <v>108.80000000000001</v>
      </c>
    </row>
    <row r="127" spans="1:25" s="16" customFormat="1" ht="25.5">
      <c r="A127" s="108" t="str">
        <f t="shared" si="2"/>
        <v>601011315 1 03 00000000</v>
      </c>
      <c r="B127" s="197" t="s">
        <v>1072</v>
      </c>
      <c r="C127" s="203">
        <v>601</v>
      </c>
      <c r="D127" s="203" t="s">
        <v>11</v>
      </c>
      <c r="E127" s="203">
        <v>13</v>
      </c>
      <c r="F127" s="203" t="s">
        <v>1073</v>
      </c>
      <c r="G127" s="203" t="s">
        <v>9</v>
      </c>
      <c r="H127" s="27">
        <v>51.3</v>
      </c>
      <c r="I127" s="27">
        <v>51.3</v>
      </c>
      <c r="J127" s="27">
        <v>51.3</v>
      </c>
      <c r="K127" s="20"/>
      <c r="L127" s="20"/>
      <c r="M127" s="20"/>
      <c r="N127" s="20"/>
      <c r="O127" s="20"/>
      <c r="P127" s="20"/>
      <c r="Q127" s="17"/>
      <c r="T127" s="20">
        <v>13.5</v>
      </c>
      <c r="U127" s="20">
        <v>13.5</v>
      </c>
      <c r="V127" s="20">
        <v>13.5</v>
      </c>
      <c r="W127" s="20">
        <f t="shared" si="3"/>
        <v>37.799999999999997</v>
      </c>
      <c r="X127" s="20">
        <f t="shared" si="3"/>
        <v>37.799999999999997</v>
      </c>
      <c r="Y127" s="20">
        <f t="shared" si="3"/>
        <v>37.799999999999997</v>
      </c>
    </row>
    <row r="128" spans="1:25" s="16" customFormat="1" ht="25.5">
      <c r="A128" s="108" t="str">
        <f t="shared" si="2"/>
        <v>601011315 1 03 20350000</v>
      </c>
      <c r="B128" s="201" t="s">
        <v>152</v>
      </c>
      <c r="C128" s="203">
        <v>601</v>
      </c>
      <c r="D128" s="203" t="s">
        <v>11</v>
      </c>
      <c r="E128" s="203">
        <v>13</v>
      </c>
      <c r="F128" s="203" t="s">
        <v>1074</v>
      </c>
      <c r="G128" s="203" t="s">
        <v>9</v>
      </c>
      <c r="H128" s="27">
        <v>51.3</v>
      </c>
      <c r="I128" s="27">
        <v>51.3</v>
      </c>
      <c r="J128" s="27">
        <v>51.3</v>
      </c>
      <c r="K128" s="20"/>
      <c r="L128" s="20"/>
      <c r="M128" s="20"/>
      <c r="N128" s="20"/>
      <c r="O128" s="20"/>
      <c r="P128" s="20"/>
      <c r="Q128" s="17"/>
      <c r="T128" s="20">
        <v>63</v>
      </c>
      <c r="U128" s="20">
        <v>63</v>
      </c>
      <c r="V128" s="20">
        <v>63</v>
      </c>
      <c r="W128" s="20">
        <f t="shared" si="3"/>
        <v>-11.700000000000003</v>
      </c>
      <c r="X128" s="20">
        <f t="shared" si="3"/>
        <v>-11.700000000000003</v>
      </c>
      <c r="Y128" s="20">
        <f t="shared" si="3"/>
        <v>-11.700000000000003</v>
      </c>
    </row>
    <row r="129" spans="1:25" s="16" customFormat="1" ht="25.5">
      <c r="A129" s="108" t="str">
        <f t="shared" si="2"/>
        <v>601011315 1 03 20350240</v>
      </c>
      <c r="B129" s="214" t="s">
        <v>28</v>
      </c>
      <c r="C129" s="203">
        <v>601</v>
      </c>
      <c r="D129" s="203" t="s">
        <v>11</v>
      </c>
      <c r="E129" s="203">
        <v>13</v>
      </c>
      <c r="F129" s="203" t="s">
        <v>1074</v>
      </c>
      <c r="G129" s="203" t="s">
        <v>29</v>
      </c>
      <c r="H129" s="20">
        <v>51.3</v>
      </c>
      <c r="I129" s="20">
        <v>51.3</v>
      </c>
      <c r="J129" s="20">
        <v>51.3</v>
      </c>
      <c r="K129" s="20"/>
      <c r="L129" s="20"/>
      <c r="M129" s="20"/>
      <c r="N129" s="20"/>
      <c r="O129" s="20"/>
      <c r="P129" s="20"/>
      <c r="Q129" s="17"/>
      <c r="T129" s="20">
        <v>262.8</v>
      </c>
      <c r="U129" s="20">
        <v>262.8</v>
      </c>
      <c r="V129" s="20">
        <v>262.8</v>
      </c>
      <c r="W129" s="20">
        <f t="shared" si="3"/>
        <v>-211.5</v>
      </c>
      <c r="X129" s="20">
        <f t="shared" si="3"/>
        <v>-211.5</v>
      </c>
      <c r="Y129" s="20">
        <f t="shared" si="3"/>
        <v>-211.5</v>
      </c>
    </row>
    <row r="130" spans="1:25" s="16" customFormat="1">
      <c r="A130" s="108" t="str">
        <f t="shared" si="2"/>
        <v>601011315 2 00 00000000</v>
      </c>
      <c r="B130" s="200" t="s">
        <v>154</v>
      </c>
      <c r="C130" s="215">
        <v>601</v>
      </c>
      <c r="D130" s="203" t="s">
        <v>11</v>
      </c>
      <c r="E130" s="203">
        <v>13</v>
      </c>
      <c r="F130" s="203" t="s">
        <v>155</v>
      </c>
      <c r="G130" s="203" t="s">
        <v>9</v>
      </c>
      <c r="H130" s="27">
        <v>414.27</v>
      </c>
      <c r="I130" s="27">
        <v>414.27</v>
      </c>
      <c r="J130" s="27">
        <v>414.27</v>
      </c>
      <c r="K130" s="20"/>
      <c r="L130" s="20"/>
      <c r="M130" s="20"/>
      <c r="N130" s="20"/>
      <c r="O130" s="20"/>
      <c r="P130" s="20"/>
      <c r="Q130" s="17"/>
      <c r="T130" s="20">
        <v>262.8</v>
      </c>
      <c r="U130" s="20">
        <v>262.8</v>
      </c>
      <c r="V130" s="20">
        <v>262.8</v>
      </c>
      <c r="W130" s="20">
        <f t="shared" si="3"/>
        <v>151.46999999999997</v>
      </c>
      <c r="X130" s="20">
        <f t="shared" si="3"/>
        <v>151.46999999999997</v>
      </c>
      <c r="Y130" s="20">
        <f t="shared" si="3"/>
        <v>151.46999999999997</v>
      </c>
    </row>
    <row r="131" spans="1:25" s="16" customFormat="1" ht="38.25">
      <c r="A131" s="108" t="str">
        <f t="shared" si="2"/>
        <v>601011315 2 01 00000000</v>
      </c>
      <c r="B131" s="201" t="s">
        <v>156</v>
      </c>
      <c r="C131" s="215">
        <v>601</v>
      </c>
      <c r="D131" s="203" t="s">
        <v>11</v>
      </c>
      <c r="E131" s="203">
        <v>13</v>
      </c>
      <c r="F131" s="203" t="s">
        <v>157</v>
      </c>
      <c r="G131" s="203" t="s">
        <v>9</v>
      </c>
      <c r="H131" s="27">
        <v>74.97</v>
      </c>
      <c r="I131" s="27">
        <v>74.97</v>
      </c>
      <c r="J131" s="27">
        <v>74.97</v>
      </c>
      <c r="K131" s="20"/>
      <c r="L131" s="20"/>
      <c r="M131" s="20"/>
      <c r="N131" s="20"/>
      <c r="O131" s="20"/>
      <c r="P131" s="20"/>
      <c r="Q131" s="17"/>
      <c r="T131" s="20">
        <v>202.8</v>
      </c>
      <c r="U131" s="20">
        <v>202.8</v>
      </c>
      <c r="V131" s="20">
        <v>202.8</v>
      </c>
      <c r="W131" s="20">
        <f t="shared" si="3"/>
        <v>-127.83000000000001</v>
      </c>
      <c r="X131" s="20">
        <f t="shared" si="3"/>
        <v>-127.83000000000001</v>
      </c>
      <c r="Y131" s="20">
        <f t="shared" si="3"/>
        <v>-127.83000000000001</v>
      </c>
    </row>
    <row r="132" spans="1:25" s="16" customFormat="1" ht="51">
      <c r="A132" s="108" t="str">
        <f t="shared" si="2"/>
        <v>601011315 2 01 20370000</v>
      </c>
      <c r="B132" s="201" t="s">
        <v>158</v>
      </c>
      <c r="C132" s="215">
        <v>601</v>
      </c>
      <c r="D132" s="203" t="s">
        <v>11</v>
      </c>
      <c r="E132" s="203">
        <v>13</v>
      </c>
      <c r="F132" s="203" t="s">
        <v>159</v>
      </c>
      <c r="G132" s="203" t="s">
        <v>9</v>
      </c>
      <c r="H132" s="20">
        <v>74.97</v>
      </c>
      <c r="I132" s="20">
        <v>74.97</v>
      </c>
      <c r="J132" s="20">
        <v>74.97</v>
      </c>
      <c r="K132" s="20"/>
      <c r="L132" s="20"/>
      <c r="M132" s="20"/>
      <c r="N132" s="20"/>
      <c r="O132" s="20"/>
      <c r="P132" s="20"/>
      <c r="Q132" s="17"/>
      <c r="T132" s="20">
        <v>60</v>
      </c>
      <c r="U132" s="20">
        <v>60</v>
      </c>
      <c r="V132" s="20">
        <v>60</v>
      </c>
      <c r="W132" s="20">
        <f t="shared" si="3"/>
        <v>14.969999999999999</v>
      </c>
      <c r="X132" s="20">
        <f t="shared" si="3"/>
        <v>14.969999999999999</v>
      </c>
      <c r="Y132" s="20">
        <f t="shared" si="3"/>
        <v>14.969999999999999</v>
      </c>
    </row>
    <row r="133" spans="1:25" s="16" customFormat="1" ht="25.5">
      <c r="A133" s="108" t="str">
        <f t="shared" si="2"/>
        <v>601011315 2 01 20370240</v>
      </c>
      <c r="B133" s="197" t="s">
        <v>28</v>
      </c>
      <c r="C133" s="215">
        <v>601</v>
      </c>
      <c r="D133" s="203" t="s">
        <v>11</v>
      </c>
      <c r="E133" s="203">
        <v>13</v>
      </c>
      <c r="F133" s="203" t="s">
        <v>159</v>
      </c>
      <c r="G133" s="203" t="s">
        <v>29</v>
      </c>
      <c r="H133" s="20">
        <v>74.97</v>
      </c>
      <c r="I133" s="20">
        <v>74.97</v>
      </c>
      <c r="J133" s="20">
        <v>74.97</v>
      </c>
      <c r="K133" s="20"/>
      <c r="L133" s="20"/>
      <c r="M133" s="20"/>
      <c r="N133" s="20"/>
      <c r="O133" s="20"/>
      <c r="P133" s="20"/>
      <c r="Q133" s="17"/>
      <c r="T133" s="20">
        <v>250.92</v>
      </c>
      <c r="U133" s="20">
        <v>250.92</v>
      </c>
      <c r="V133" s="20">
        <v>250.92</v>
      </c>
      <c r="W133" s="20">
        <f t="shared" si="3"/>
        <v>-175.95</v>
      </c>
      <c r="X133" s="20">
        <f t="shared" si="3"/>
        <v>-175.95</v>
      </c>
      <c r="Y133" s="20">
        <f t="shared" si="3"/>
        <v>-175.95</v>
      </c>
    </row>
    <row r="134" spans="1:25" s="16" customFormat="1" ht="38.25">
      <c r="A134" s="108" t="str">
        <f t="shared" ref="A134:A197" si="4">C134&amp;D134&amp;E134&amp;F134&amp;G134</f>
        <v>601011315 2 02 00000000</v>
      </c>
      <c r="B134" s="201" t="s">
        <v>160</v>
      </c>
      <c r="C134" s="215">
        <v>601</v>
      </c>
      <c r="D134" s="203" t="s">
        <v>11</v>
      </c>
      <c r="E134" s="203">
        <v>13</v>
      </c>
      <c r="F134" s="203" t="s">
        <v>161</v>
      </c>
      <c r="G134" s="199" t="s">
        <v>9</v>
      </c>
      <c r="H134" s="20">
        <v>76.5</v>
      </c>
      <c r="I134" s="20">
        <v>76.5</v>
      </c>
      <c r="J134" s="20">
        <v>76.5</v>
      </c>
      <c r="K134" s="20"/>
      <c r="L134" s="20"/>
      <c r="M134" s="20"/>
      <c r="N134" s="20"/>
      <c r="O134" s="20"/>
      <c r="P134" s="20"/>
      <c r="Q134" s="17"/>
      <c r="T134" s="20">
        <v>250.92</v>
      </c>
      <c r="U134" s="20">
        <v>250.92</v>
      </c>
      <c r="V134" s="20">
        <v>250.92</v>
      </c>
      <c r="W134" s="20">
        <f t="shared" ref="W134:Y197" si="5">H134-T134</f>
        <v>-174.42</v>
      </c>
      <c r="X134" s="20">
        <f t="shared" si="5"/>
        <v>-174.42</v>
      </c>
      <c r="Y134" s="20">
        <f t="shared" si="5"/>
        <v>-174.42</v>
      </c>
    </row>
    <row r="135" spans="1:25" s="16" customFormat="1" ht="51">
      <c r="A135" s="108" t="str">
        <f t="shared" si="4"/>
        <v>601011315 2 02 20370000</v>
      </c>
      <c r="B135" s="201" t="s">
        <v>158</v>
      </c>
      <c r="C135" s="215">
        <v>601</v>
      </c>
      <c r="D135" s="203" t="s">
        <v>11</v>
      </c>
      <c r="E135" s="203">
        <v>13</v>
      </c>
      <c r="F135" s="203" t="s">
        <v>162</v>
      </c>
      <c r="G135" s="199" t="s">
        <v>9</v>
      </c>
      <c r="H135" s="20">
        <v>76.5</v>
      </c>
      <c r="I135" s="20">
        <v>76.5</v>
      </c>
      <c r="J135" s="20">
        <v>76.5</v>
      </c>
      <c r="K135" s="20"/>
      <c r="L135" s="20"/>
      <c r="M135" s="20"/>
      <c r="N135" s="20"/>
      <c r="O135" s="20"/>
      <c r="P135" s="20"/>
      <c r="Q135" s="17"/>
      <c r="T135" s="20">
        <v>250.92</v>
      </c>
      <c r="U135" s="20">
        <v>250.92</v>
      </c>
      <c r="V135" s="20">
        <v>250.92</v>
      </c>
      <c r="W135" s="20">
        <f t="shared" si="5"/>
        <v>-174.42</v>
      </c>
      <c r="X135" s="20">
        <f t="shared" si="5"/>
        <v>-174.42</v>
      </c>
      <c r="Y135" s="20">
        <f t="shared" si="5"/>
        <v>-174.42</v>
      </c>
    </row>
    <row r="136" spans="1:25" s="16" customFormat="1" ht="25.5">
      <c r="A136" s="108" t="str">
        <f t="shared" si="4"/>
        <v>601011315 2 02 20370240</v>
      </c>
      <c r="B136" s="197" t="s">
        <v>28</v>
      </c>
      <c r="C136" s="215">
        <v>601</v>
      </c>
      <c r="D136" s="203" t="s">
        <v>11</v>
      </c>
      <c r="E136" s="203">
        <v>13</v>
      </c>
      <c r="F136" s="203" t="s">
        <v>162</v>
      </c>
      <c r="G136" s="199" t="s">
        <v>29</v>
      </c>
      <c r="H136" s="20">
        <v>13.5</v>
      </c>
      <c r="I136" s="20">
        <v>13.5</v>
      </c>
      <c r="J136" s="20">
        <v>13.5</v>
      </c>
      <c r="K136" s="20"/>
      <c r="L136" s="20"/>
      <c r="M136" s="20"/>
      <c r="N136" s="20"/>
      <c r="O136" s="20"/>
      <c r="P136" s="20"/>
      <c r="Q136" s="17"/>
      <c r="T136" s="20">
        <v>250.92</v>
      </c>
      <c r="U136" s="20">
        <v>250.92</v>
      </c>
      <c r="V136" s="20">
        <v>250.92</v>
      </c>
      <c r="W136" s="20">
        <f t="shared" si="5"/>
        <v>-237.42</v>
      </c>
      <c r="X136" s="20">
        <f t="shared" si="5"/>
        <v>-237.42</v>
      </c>
      <c r="Y136" s="20">
        <f t="shared" si="5"/>
        <v>-237.42</v>
      </c>
    </row>
    <row r="137" spans="1:25" s="16" customFormat="1">
      <c r="A137" s="108" t="str">
        <f t="shared" si="4"/>
        <v>601011315 2 02 20370350</v>
      </c>
      <c r="B137" s="197" t="s">
        <v>163</v>
      </c>
      <c r="C137" s="215">
        <v>601</v>
      </c>
      <c r="D137" s="203" t="s">
        <v>11</v>
      </c>
      <c r="E137" s="203">
        <v>13</v>
      </c>
      <c r="F137" s="203" t="s">
        <v>162</v>
      </c>
      <c r="G137" s="199" t="s">
        <v>164</v>
      </c>
      <c r="H137" s="20">
        <v>63</v>
      </c>
      <c r="I137" s="20">
        <v>63</v>
      </c>
      <c r="J137" s="20">
        <v>63</v>
      </c>
      <c r="K137" s="20"/>
      <c r="L137" s="20"/>
      <c r="M137" s="20"/>
      <c r="N137" s="20"/>
      <c r="O137" s="20"/>
      <c r="P137" s="20"/>
      <c r="Q137" s="17"/>
      <c r="T137" s="20">
        <v>2292.5</v>
      </c>
      <c r="U137" s="20">
        <v>2292.5</v>
      </c>
      <c r="V137" s="20">
        <v>2292.5</v>
      </c>
      <c r="W137" s="20">
        <f t="shared" si="5"/>
        <v>-2229.5</v>
      </c>
      <c r="X137" s="20">
        <f t="shared" si="5"/>
        <v>-2229.5</v>
      </c>
      <c r="Y137" s="20">
        <f t="shared" si="5"/>
        <v>-2229.5</v>
      </c>
    </row>
    <row r="138" spans="1:25" s="16" customFormat="1" ht="25.5">
      <c r="A138" s="108" t="str">
        <f t="shared" si="4"/>
        <v>601011315 2 03 00000000</v>
      </c>
      <c r="B138" s="201" t="s">
        <v>165</v>
      </c>
      <c r="C138" s="215">
        <v>601</v>
      </c>
      <c r="D138" s="203" t="s">
        <v>11</v>
      </c>
      <c r="E138" s="203">
        <v>13</v>
      </c>
      <c r="F138" s="203" t="s">
        <v>166</v>
      </c>
      <c r="G138" s="199" t="s">
        <v>9</v>
      </c>
      <c r="H138" s="20">
        <v>262.8</v>
      </c>
      <c r="I138" s="20">
        <v>262.8</v>
      </c>
      <c r="J138" s="20">
        <v>262.8</v>
      </c>
      <c r="K138" s="20"/>
      <c r="L138" s="20"/>
      <c r="M138" s="20"/>
      <c r="N138" s="20"/>
      <c r="O138" s="20"/>
      <c r="P138" s="20"/>
      <c r="Q138" s="17"/>
      <c r="T138" s="20">
        <v>2292.5</v>
      </c>
      <c r="U138" s="20">
        <v>2292.5</v>
      </c>
      <c r="V138" s="20">
        <v>2292.5</v>
      </c>
      <c r="W138" s="20">
        <f t="shared" si="5"/>
        <v>-2029.7</v>
      </c>
      <c r="X138" s="20">
        <f t="shared" si="5"/>
        <v>-2029.7</v>
      </c>
      <c r="Y138" s="20">
        <f t="shared" si="5"/>
        <v>-2029.7</v>
      </c>
    </row>
    <row r="139" spans="1:25" s="16" customFormat="1" ht="51">
      <c r="A139" s="108" t="str">
        <f t="shared" si="4"/>
        <v>601011315 2 03 20370000</v>
      </c>
      <c r="B139" s="201" t="s">
        <v>158</v>
      </c>
      <c r="C139" s="215">
        <v>601</v>
      </c>
      <c r="D139" s="203" t="s">
        <v>11</v>
      </c>
      <c r="E139" s="203">
        <v>13</v>
      </c>
      <c r="F139" s="203" t="s">
        <v>167</v>
      </c>
      <c r="G139" s="199" t="s">
        <v>9</v>
      </c>
      <c r="H139" s="20">
        <v>262.8</v>
      </c>
      <c r="I139" s="20">
        <v>262.8</v>
      </c>
      <c r="J139" s="20">
        <v>262.8</v>
      </c>
      <c r="K139" s="20"/>
      <c r="L139" s="20"/>
      <c r="M139" s="20"/>
      <c r="N139" s="20"/>
      <c r="O139" s="20"/>
      <c r="P139" s="20"/>
      <c r="Q139" s="17"/>
      <c r="T139" s="20">
        <v>2292.5</v>
      </c>
      <c r="U139" s="20">
        <v>2292.5</v>
      </c>
      <c r="V139" s="20">
        <v>2292.5</v>
      </c>
      <c r="W139" s="20">
        <f t="shared" si="5"/>
        <v>-2029.7</v>
      </c>
      <c r="X139" s="20">
        <f t="shared" si="5"/>
        <v>-2029.7</v>
      </c>
      <c r="Y139" s="20">
        <f t="shared" si="5"/>
        <v>-2029.7</v>
      </c>
    </row>
    <row r="140" spans="1:25" s="16" customFormat="1" ht="25.5">
      <c r="A140" s="108" t="str">
        <f t="shared" si="4"/>
        <v>601011315 2 03 20370240</v>
      </c>
      <c r="B140" s="197" t="s">
        <v>28</v>
      </c>
      <c r="C140" s="215">
        <v>601</v>
      </c>
      <c r="D140" s="203" t="s">
        <v>11</v>
      </c>
      <c r="E140" s="203">
        <v>13</v>
      </c>
      <c r="F140" s="203" t="s">
        <v>167</v>
      </c>
      <c r="G140" s="199" t="s">
        <v>29</v>
      </c>
      <c r="H140" s="20">
        <v>202.8</v>
      </c>
      <c r="I140" s="20">
        <v>202.8</v>
      </c>
      <c r="J140" s="20">
        <v>202.8</v>
      </c>
      <c r="K140" s="20"/>
      <c r="L140" s="20"/>
      <c r="M140" s="20"/>
      <c r="N140" s="20"/>
      <c r="O140" s="20"/>
      <c r="P140" s="20"/>
      <c r="Q140" s="17"/>
      <c r="T140" s="20">
        <v>2292.5</v>
      </c>
      <c r="U140" s="20">
        <v>2292.5</v>
      </c>
      <c r="V140" s="20">
        <v>2292.5</v>
      </c>
      <c r="W140" s="20">
        <f t="shared" si="5"/>
        <v>-2089.6999999999998</v>
      </c>
      <c r="X140" s="20">
        <f t="shared" si="5"/>
        <v>-2089.6999999999998</v>
      </c>
      <c r="Y140" s="20">
        <f t="shared" si="5"/>
        <v>-2089.6999999999998</v>
      </c>
    </row>
    <row r="141" spans="1:25" s="16" customFormat="1">
      <c r="A141" s="108" t="str">
        <f t="shared" si="4"/>
        <v>601011315 2 03 20370350</v>
      </c>
      <c r="B141" s="197" t="s">
        <v>163</v>
      </c>
      <c r="C141" s="215">
        <v>601</v>
      </c>
      <c r="D141" s="203" t="s">
        <v>11</v>
      </c>
      <c r="E141" s="203">
        <v>13</v>
      </c>
      <c r="F141" s="203" t="s">
        <v>167</v>
      </c>
      <c r="G141" s="199" t="s">
        <v>164</v>
      </c>
      <c r="H141" s="20">
        <v>60</v>
      </c>
      <c r="I141" s="20">
        <v>60</v>
      </c>
      <c r="J141" s="20">
        <v>60</v>
      </c>
      <c r="K141" s="20"/>
      <c r="L141" s="20"/>
      <c r="M141" s="20"/>
      <c r="N141" s="20"/>
      <c r="O141" s="20"/>
      <c r="P141" s="20"/>
      <c r="Q141" s="17"/>
      <c r="T141" s="20">
        <v>2292.5</v>
      </c>
      <c r="U141" s="20">
        <v>2292.5</v>
      </c>
      <c r="V141" s="20">
        <v>2292.5</v>
      </c>
      <c r="W141" s="20">
        <f t="shared" si="5"/>
        <v>-2232.5</v>
      </c>
      <c r="X141" s="20">
        <f t="shared" si="5"/>
        <v>-2232.5</v>
      </c>
      <c r="Y141" s="20">
        <f t="shared" si="5"/>
        <v>-2232.5</v>
      </c>
    </row>
    <row r="142" spans="1:25" s="16" customFormat="1" ht="25.5">
      <c r="A142" s="108" t="str">
        <f t="shared" si="4"/>
        <v>601011315 3 00 00000000</v>
      </c>
      <c r="B142" s="197" t="s">
        <v>168</v>
      </c>
      <c r="C142" s="215">
        <v>601</v>
      </c>
      <c r="D142" s="203" t="s">
        <v>11</v>
      </c>
      <c r="E142" s="203">
        <v>13</v>
      </c>
      <c r="F142" s="203" t="s">
        <v>169</v>
      </c>
      <c r="G142" s="199" t="s">
        <v>9</v>
      </c>
      <c r="H142" s="20">
        <v>250.92</v>
      </c>
      <c r="I142" s="20">
        <v>250.92</v>
      </c>
      <c r="J142" s="20">
        <v>250.92</v>
      </c>
      <c r="K142" s="20"/>
      <c r="L142" s="20"/>
      <c r="M142" s="20"/>
      <c r="N142" s="20"/>
      <c r="O142" s="20"/>
      <c r="P142" s="20"/>
      <c r="Q142" s="17"/>
      <c r="T142" s="20">
        <v>40469.699999999997</v>
      </c>
      <c r="U142" s="20">
        <v>32338.51</v>
      </c>
      <c r="V142" s="20">
        <v>32338.51</v>
      </c>
      <c r="W142" s="20">
        <f t="shared" si="5"/>
        <v>-40218.78</v>
      </c>
      <c r="X142" s="20">
        <f t="shared" si="5"/>
        <v>-32087.59</v>
      </c>
      <c r="Y142" s="20">
        <f t="shared" si="5"/>
        <v>-32087.59</v>
      </c>
    </row>
    <row r="143" spans="1:25" s="16" customFormat="1" ht="25.5">
      <c r="A143" s="108" t="str">
        <f t="shared" si="4"/>
        <v>601011315 3 03 00000000</v>
      </c>
      <c r="B143" s="197" t="s">
        <v>170</v>
      </c>
      <c r="C143" s="215">
        <v>601</v>
      </c>
      <c r="D143" s="203" t="s">
        <v>11</v>
      </c>
      <c r="E143" s="203">
        <v>13</v>
      </c>
      <c r="F143" s="203" t="s">
        <v>171</v>
      </c>
      <c r="G143" s="199" t="s">
        <v>9</v>
      </c>
      <c r="H143" s="20">
        <v>250.92</v>
      </c>
      <c r="I143" s="20">
        <v>250.92</v>
      </c>
      <c r="J143" s="20">
        <v>250.92</v>
      </c>
      <c r="K143" s="20"/>
      <c r="L143" s="20"/>
      <c r="M143" s="20"/>
      <c r="N143" s="20"/>
      <c r="O143" s="20"/>
      <c r="P143" s="20"/>
      <c r="Q143" s="17"/>
      <c r="T143" s="20">
        <v>40469.699999999997</v>
      </c>
      <c r="U143" s="20">
        <v>32338.51</v>
      </c>
      <c r="V143" s="20">
        <v>32338.51</v>
      </c>
      <c r="W143" s="20">
        <f t="shared" si="5"/>
        <v>-40218.78</v>
      </c>
      <c r="X143" s="20">
        <f t="shared" si="5"/>
        <v>-32087.59</v>
      </c>
      <c r="Y143" s="20">
        <f t="shared" si="5"/>
        <v>-32087.59</v>
      </c>
    </row>
    <row r="144" spans="1:25" s="16" customFormat="1" ht="38.25">
      <c r="A144" s="108" t="str">
        <f t="shared" si="4"/>
        <v>601011315 3 03 20100000</v>
      </c>
      <c r="B144" s="197" t="s">
        <v>172</v>
      </c>
      <c r="C144" s="215">
        <v>601</v>
      </c>
      <c r="D144" s="203" t="s">
        <v>11</v>
      </c>
      <c r="E144" s="203">
        <v>13</v>
      </c>
      <c r="F144" s="203" t="s">
        <v>173</v>
      </c>
      <c r="G144" s="199" t="s">
        <v>9</v>
      </c>
      <c r="H144" s="20">
        <v>250.92</v>
      </c>
      <c r="I144" s="20">
        <v>250.92</v>
      </c>
      <c r="J144" s="20">
        <v>250.92</v>
      </c>
      <c r="K144" s="20"/>
      <c r="L144" s="20"/>
      <c r="M144" s="20"/>
      <c r="N144" s="20"/>
      <c r="O144" s="20"/>
      <c r="P144" s="20"/>
      <c r="Q144" s="17"/>
      <c r="T144" s="20">
        <v>40269.699999999997</v>
      </c>
      <c r="U144" s="20">
        <v>32138.51</v>
      </c>
      <c r="V144" s="20">
        <v>32138.51</v>
      </c>
      <c r="W144" s="20">
        <f t="shared" si="5"/>
        <v>-40018.78</v>
      </c>
      <c r="X144" s="20">
        <f t="shared" si="5"/>
        <v>-31887.59</v>
      </c>
      <c r="Y144" s="20">
        <f t="shared" si="5"/>
        <v>-31887.59</v>
      </c>
    </row>
    <row r="145" spans="1:25" s="16" customFormat="1">
      <c r="A145" s="108" t="str">
        <f t="shared" si="4"/>
        <v>601011315 3 03 20100350</v>
      </c>
      <c r="B145" s="197" t="s">
        <v>163</v>
      </c>
      <c r="C145" s="215">
        <v>601</v>
      </c>
      <c r="D145" s="203" t="s">
        <v>11</v>
      </c>
      <c r="E145" s="203">
        <v>13</v>
      </c>
      <c r="F145" s="203" t="s">
        <v>173</v>
      </c>
      <c r="G145" s="199" t="s">
        <v>164</v>
      </c>
      <c r="H145" s="20">
        <v>250.92</v>
      </c>
      <c r="I145" s="20">
        <v>250.92</v>
      </c>
      <c r="J145" s="20">
        <v>250.92</v>
      </c>
      <c r="K145" s="20"/>
      <c r="L145" s="20"/>
      <c r="M145" s="20"/>
      <c r="N145" s="20"/>
      <c r="O145" s="20"/>
      <c r="P145" s="20"/>
      <c r="Q145" s="17"/>
      <c r="T145" s="20">
        <v>12661.96</v>
      </c>
      <c r="U145" s="20">
        <v>12661.96</v>
      </c>
      <c r="V145" s="20">
        <v>12661.96</v>
      </c>
      <c r="W145" s="20">
        <f t="shared" si="5"/>
        <v>-12411.039999999999</v>
      </c>
      <c r="X145" s="20">
        <f t="shared" si="5"/>
        <v>-12411.039999999999</v>
      </c>
      <c r="Y145" s="20">
        <f t="shared" si="5"/>
        <v>-12411.039999999999</v>
      </c>
    </row>
    <row r="146" spans="1:25" s="16" customFormat="1" ht="25.5">
      <c r="A146" s="108" t="str">
        <f t="shared" si="4"/>
        <v>601011318 0 00 00000000</v>
      </c>
      <c r="B146" s="197" t="s">
        <v>174</v>
      </c>
      <c r="C146" s="198" t="s">
        <v>64</v>
      </c>
      <c r="D146" s="199" t="s">
        <v>11</v>
      </c>
      <c r="E146" s="199" t="s">
        <v>51</v>
      </c>
      <c r="F146" s="199" t="s">
        <v>175</v>
      </c>
      <c r="G146" s="199" t="s">
        <v>9</v>
      </c>
      <c r="H146" s="20">
        <v>2292.5</v>
      </c>
      <c r="I146" s="20">
        <v>2292.5</v>
      </c>
      <c r="J146" s="20">
        <v>2292.5</v>
      </c>
      <c r="K146" s="20"/>
      <c r="L146" s="20"/>
      <c r="M146" s="20"/>
      <c r="N146" s="20"/>
      <c r="O146" s="20"/>
      <c r="P146" s="20"/>
      <c r="Q146" s="17"/>
      <c r="T146" s="20">
        <v>27213.21</v>
      </c>
      <c r="U146" s="20">
        <v>19082.02</v>
      </c>
      <c r="V146" s="20">
        <v>19082.02</v>
      </c>
      <c r="W146" s="20">
        <f t="shared" si="5"/>
        <v>-24920.71</v>
      </c>
      <c r="X146" s="20">
        <f t="shared" si="5"/>
        <v>-16789.52</v>
      </c>
      <c r="Y146" s="20">
        <f t="shared" si="5"/>
        <v>-16789.52</v>
      </c>
    </row>
    <row r="147" spans="1:25" s="16" customFormat="1" ht="25.5">
      <c r="A147" s="108" t="str">
        <f t="shared" si="4"/>
        <v>601011318 Б 00 00000000</v>
      </c>
      <c r="B147" s="197" t="s">
        <v>176</v>
      </c>
      <c r="C147" s="198" t="s">
        <v>64</v>
      </c>
      <c r="D147" s="199" t="s">
        <v>11</v>
      </c>
      <c r="E147" s="199" t="s">
        <v>51</v>
      </c>
      <c r="F147" s="199" t="s">
        <v>177</v>
      </c>
      <c r="G147" s="199" t="s">
        <v>9</v>
      </c>
      <c r="H147" s="20">
        <v>2292.5</v>
      </c>
      <c r="I147" s="20">
        <v>2292.5</v>
      </c>
      <c r="J147" s="20">
        <v>2292.5</v>
      </c>
      <c r="K147" s="20"/>
      <c r="L147" s="20"/>
      <c r="M147" s="20"/>
      <c r="N147" s="20"/>
      <c r="O147" s="20"/>
      <c r="P147" s="20"/>
      <c r="Q147" s="17"/>
      <c r="T147" s="20">
        <v>394.53</v>
      </c>
      <c r="U147" s="20">
        <v>394.53</v>
      </c>
      <c r="V147" s="20">
        <v>394.53</v>
      </c>
      <c r="W147" s="20">
        <f t="shared" si="5"/>
        <v>1897.97</v>
      </c>
      <c r="X147" s="20">
        <f t="shared" si="5"/>
        <v>1897.97</v>
      </c>
      <c r="Y147" s="20">
        <f t="shared" si="5"/>
        <v>1897.97</v>
      </c>
    </row>
    <row r="148" spans="1:25" s="16" customFormat="1" ht="38.25">
      <c r="A148" s="108" t="str">
        <f t="shared" si="4"/>
        <v>601011318 Б 01 00000000</v>
      </c>
      <c r="B148" s="201" t="s">
        <v>178</v>
      </c>
      <c r="C148" s="198" t="s">
        <v>64</v>
      </c>
      <c r="D148" s="199" t="s">
        <v>11</v>
      </c>
      <c r="E148" s="199" t="s">
        <v>51</v>
      </c>
      <c r="F148" s="199" t="s">
        <v>179</v>
      </c>
      <c r="G148" s="199" t="s">
        <v>9</v>
      </c>
      <c r="H148" s="20">
        <v>2292.5</v>
      </c>
      <c r="I148" s="20">
        <v>2292.5</v>
      </c>
      <c r="J148" s="20">
        <v>2292.5</v>
      </c>
      <c r="K148" s="20"/>
      <c r="L148" s="20"/>
      <c r="M148" s="20"/>
      <c r="N148" s="20"/>
      <c r="O148" s="20"/>
      <c r="P148" s="20"/>
      <c r="Q148" s="17"/>
      <c r="T148" s="20">
        <v>200</v>
      </c>
      <c r="U148" s="20">
        <v>200</v>
      </c>
      <c r="V148" s="20">
        <v>200</v>
      </c>
      <c r="W148" s="20">
        <f t="shared" si="5"/>
        <v>2092.5</v>
      </c>
      <c r="X148" s="20">
        <f t="shared" si="5"/>
        <v>2092.5</v>
      </c>
      <c r="Y148" s="20">
        <f t="shared" si="5"/>
        <v>2092.5</v>
      </c>
    </row>
    <row r="149" spans="1:25" s="16" customFormat="1" ht="89.25">
      <c r="A149" s="108" t="str">
        <f t="shared" si="4"/>
        <v>601011318 Б 01 60080000</v>
      </c>
      <c r="B149" s="197" t="s">
        <v>180</v>
      </c>
      <c r="C149" s="198" t="s">
        <v>64</v>
      </c>
      <c r="D149" s="199" t="s">
        <v>11</v>
      </c>
      <c r="E149" s="199" t="s">
        <v>51</v>
      </c>
      <c r="F149" s="199" t="s">
        <v>181</v>
      </c>
      <c r="G149" s="199" t="s">
        <v>9</v>
      </c>
      <c r="H149" s="20">
        <v>2292.5</v>
      </c>
      <c r="I149" s="20">
        <v>2292.5</v>
      </c>
      <c r="J149" s="20">
        <v>2292.5</v>
      </c>
      <c r="K149" s="20"/>
      <c r="L149" s="20"/>
      <c r="M149" s="20"/>
      <c r="N149" s="20"/>
      <c r="O149" s="20"/>
      <c r="P149" s="20"/>
      <c r="Q149" s="17"/>
      <c r="T149" s="20">
        <v>200</v>
      </c>
      <c r="U149" s="20">
        <v>200</v>
      </c>
      <c r="V149" s="20">
        <v>200</v>
      </c>
      <c r="W149" s="20">
        <f t="shared" si="5"/>
        <v>2092.5</v>
      </c>
      <c r="X149" s="20">
        <f t="shared" si="5"/>
        <v>2092.5</v>
      </c>
      <c r="Y149" s="20">
        <f t="shared" si="5"/>
        <v>2092.5</v>
      </c>
    </row>
    <row r="150" spans="1:25" s="16" customFormat="1" ht="25.5">
      <c r="A150" s="108" t="str">
        <f t="shared" si="4"/>
        <v>601011318 Б 01 60080630</v>
      </c>
      <c r="B150" s="197" t="s">
        <v>182</v>
      </c>
      <c r="C150" s="198" t="s">
        <v>64</v>
      </c>
      <c r="D150" s="199" t="s">
        <v>11</v>
      </c>
      <c r="E150" s="199" t="s">
        <v>51</v>
      </c>
      <c r="F150" s="199" t="s">
        <v>181</v>
      </c>
      <c r="G150" s="199" t="s">
        <v>183</v>
      </c>
      <c r="H150" s="20">
        <v>2292.5</v>
      </c>
      <c r="I150" s="20">
        <v>2292.5</v>
      </c>
      <c r="J150" s="20">
        <v>2292.5</v>
      </c>
      <c r="K150" s="20"/>
      <c r="L150" s="20"/>
      <c r="M150" s="20"/>
      <c r="N150" s="20"/>
      <c r="O150" s="20"/>
      <c r="P150" s="20"/>
      <c r="Q150" s="17"/>
      <c r="T150" s="20">
        <v>9100.58</v>
      </c>
      <c r="U150" s="20">
        <v>7404.69</v>
      </c>
      <c r="V150" s="20">
        <v>7404.69</v>
      </c>
      <c r="W150" s="20">
        <f t="shared" si="5"/>
        <v>-6808.08</v>
      </c>
      <c r="X150" s="20">
        <f t="shared" si="5"/>
        <v>-5112.1899999999996</v>
      </c>
      <c r="Y150" s="20">
        <f t="shared" si="5"/>
        <v>-5112.1899999999996</v>
      </c>
    </row>
    <row r="151" spans="1:25" s="16" customFormat="1">
      <c r="A151" s="108" t="str">
        <f t="shared" si="4"/>
        <v>601011371 0 00 00000000</v>
      </c>
      <c r="B151" s="201" t="s">
        <v>66</v>
      </c>
      <c r="C151" s="203" t="s">
        <v>64</v>
      </c>
      <c r="D151" s="204" t="s">
        <v>11</v>
      </c>
      <c r="E151" s="204" t="s">
        <v>51</v>
      </c>
      <c r="F151" s="204" t="s">
        <v>67</v>
      </c>
      <c r="G151" s="204" t="s">
        <v>9</v>
      </c>
      <c r="H151" s="20">
        <v>41140.9</v>
      </c>
      <c r="I151" s="20">
        <v>33027.629999999997</v>
      </c>
      <c r="J151" s="20">
        <v>33027.629999999997</v>
      </c>
      <c r="K151" s="20"/>
      <c r="L151" s="20"/>
      <c r="M151" s="20"/>
      <c r="N151" s="20"/>
      <c r="O151" s="20"/>
      <c r="P151" s="20"/>
      <c r="Q151" s="17"/>
      <c r="T151" s="20">
        <v>9100.58</v>
      </c>
      <c r="U151" s="20">
        <v>7404.69</v>
      </c>
      <c r="V151" s="20">
        <v>7404.69</v>
      </c>
      <c r="W151" s="20">
        <f t="shared" si="5"/>
        <v>32040.32</v>
      </c>
      <c r="X151" s="20">
        <f t="shared" si="5"/>
        <v>25622.94</v>
      </c>
      <c r="Y151" s="20">
        <f t="shared" si="5"/>
        <v>25622.94</v>
      </c>
    </row>
    <row r="152" spans="1:25" s="16" customFormat="1" ht="25.5">
      <c r="A152" s="108" t="str">
        <f t="shared" si="4"/>
        <v>601011371 1 00 00000000</v>
      </c>
      <c r="B152" s="201" t="s">
        <v>74</v>
      </c>
      <c r="C152" s="203" t="s">
        <v>64</v>
      </c>
      <c r="D152" s="204" t="s">
        <v>11</v>
      </c>
      <c r="E152" s="204" t="s">
        <v>51</v>
      </c>
      <c r="F152" s="204" t="s">
        <v>75</v>
      </c>
      <c r="G152" s="204" t="s">
        <v>9</v>
      </c>
      <c r="H152" s="20">
        <v>41140.9</v>
      </c>
      <c r="I152" s="20">
        <v>33027.629999999997</v>
      </c>
      <c r="J152" s="20">
        <v>33027.629999999997</v>
      </c>
      <c r="K152" s="20"/>
      <c r="L152" s="20"/>
      <c r="M152" s="20"/>
      <c r="N152" s="20"/>
      <c r="O152" s="20"/>
      <c r="P152" s="20"/>
      <c r="Q152" s="17"/>
      <c r="T152" s="20">
        <v>9100.58</v>
      </c>
      <c r="U152" s="20">
        <v>7404.69</v>
      </c>
      <c r="V152" s="20">
        <v>7404.69</v>
      </c>
      <c r="W152" s="20">
        <f t="shared" si="5"/>
        <v>32040.32</v>
      </c>
      <c r="X152" s="20">
        <f t="shared" si="5"/>
        <v>25622.94</v>
      </c>
      <c r="Y152" s="20">
        <f t="shared" si="5"/>
        <v>25622.94</v>
      </c>
    </row>
    <row r="153" spans="1:25" s="16" customFormat="1" ht="25.5">
      <c r="A153" s="108" t="str">
        <f t="shared" si="4"/>
        <v>601011371 1 00 11010000</v>
      </c>
      <c r="B153" s="197" t="s">
        <v>136</v>
      </c>
      <c r="C153" s="198" t="s">
        <v>64</v>
      </c>
      <c r="D153" s="199" t="s">
        <v>11</v>
      </c>
      <c r="E153" s="199" t="s">
        <v>51</v>
      </c>
      <c r="F153" s="199" t="s">
        <v>186</v>
      </c>
      <c r="G153" s="199" t="s">
        <v>9</v>
      </c>
      <c r="H153" s="20">
        <v>40317.85</v>
      </c>
      <c r="I153" s="20">
        <v>32827.629999999997</v>
      </c>
      <c r="J153" s="20">
        <v>32827.629999999997</v>
      </c>
      <c r="K153" s="20"/>
      <c r="L153" s="20"/>
      <c r="M153" s="20"/>
      <c r="N153" s="20"/>
      <c r="O153" s="20"/>
      <c r="P153" s="20"/>
      <c r="Q153" s="17"/>
      <c r="T153" s="20">
        <v>8770.58</v>
      </c>
      <c r="U153" s="20">
        <v>7404.69</v>
      </c>
      <c r="V153" s="20">
        <v>7404.69</v>
      </c>
      <c r="W153" s="20">
        <f t="shared" si="5"/>
        <v>31547.269999999997</v>
      </c>
      <c r="X153" s="20">
        <f t="shared" si="5"/>
        <v>25422.94</v>
      </c>
      <c r="Y153" s="20">
        <f t="shared" si="5"/>
        <v>25422.94</v>
      </c>
    </row>
    <row r="154" spans="1:25" s="16" customFormat="1">
      <c r="A154" s="108" t="str">
        <f t="shared" si="4"/>
        <v>601011371 1 00 11010110</v>
      </c>
      <c r="B154" s="205" t="s">
        <v>138</v>
      </c>
      <c r="C154" s="198" t="s">
        <v>64</v>
      </c>
      <c r="D154" s="199" t="s">
        <v>11</v>
      </c>
      <c r="E154" s="199" t="s">
        <v>51</v>
      </c>
      <c r="F154" s="199" t="s">
        <v>186</v>
      </c>
      <c r="G154" s="199" t="s">
        <v>139</v>
      </c>
      <c r="H154" s="20">
        <v>12854.21</v>
      </c>
      <c r="I154" s="20">
        <v>13351.08</v>
      </c>
      <c r="J154" s="20">
        <v>13351.08</v>
      </c>
      <c r="K154" s="20"/>
      <c r="L154" s="20"/>
      <c r="M154" s="20"/>
      <c r="N154" s="20"/>
      <c r="O154" s="20"/>
      <c r="P154" s="20"/>
      <c r="Q154" s="17"/>
      <c r="T154" s="20">
        <v>330</v>
      </c>
      <c r="U154" s="20">
        <v>0</v>
      </c>
      <c r="V154" s="20">
        <v>0</v>
      </c>
      <c r="W154" s="20">
        <f t="shared" si="5"/>
        <v>12524.21</v>
      </c>
      <c r="X154" s="20">
        <f t="shared" si="5"/>
        <v>13351.08</v>
      </c>
      <c r="Y154" s="20">
        <f t="shared" si="5"/>
        <v>13351.08</v>
      </c>
    </row>
    <row r="155" spans="1:25" s="16" customFormat="1" ht="25.5">
      <c r="A155" s="108" t="str">
        <f t="shared" si="4"/>
        <v>601011371 1 00 11010240</v>
      </c>
      <c r="B155" s="197" t="s">
        <v>28</v>
      </c>
      <c r="C155" s="198" t="s">
        <v>64</v>
      </c>
      <c r="D155" s="199" t="s">
        <v>11</v>
      </c>
      <c r="E155" s="199" t="s">
        <v>51</v>
      </c>
      <c r="F155" s="199" t="s">
        <v>186</v>
      </c>
      <c r="G155" s="199" t="s">
        <v>29</v>
      </c>
      <c r="H155" s="20">
        <v>27069.11</v>
      </c>
      <c r="I155" s="20">
        <v>19082.02</v>
      </c>
      <c r="J155" s="20">
        <v>19082.02</v>
      </c>
      <c r="K155" s="18"/>
      <c r="L155" s="18"/>
      <c r="M155" s="18"/>
      <c r="N155" s="18"/>
      <c r="O155" s="18"/>
      <c r="P155" s="18"/>
      <c r="Q155" s="17"/>
      <c r="T155" s="18">
        <v>11547.5</v>
      </c>
      <c r="U155" s="18">
        <v>11547.5</v>
      </c>
      <c r="V155" s="18">
        <v>11547.5</v>
      </c>
      <c r="W155" s="18">
        <f t="shared" si="5"/>
        <v>15521.61</v>
      </c>
      <c r="X155" s="18">
        <f t="shared" si="5"/>
        <v>7534.52</v>
      </c>
      <c r="Y155" s="18">
        <f t="shared" si="5"/>
        <v>7534.52</v>
      </c>
    </row>
    <row r="156" spans="1:25" s="16" customFormat="1" ht="17.25" customHeight="1">
      <c r="A156" s="108" t="str">
        <f t="shared" si="4"/>
        <v>601011371 1 00 11010850</v>
      </c>
      <c r="B156" s="197" t="s">
        <v>32</v>
      </c>
      <c r="C156" s="198" t="s">
        <v>64</v>
      </c>
      <c r="D156" s="199" t="s">
        <v>11</v>
      </c>
      <c r="E156" s="199" t="s">
        <v>51</v>
      </c>
      <c r="F156" s="199" t="s">
        <v>186</v>
      </c>
      <c r="G156" s="199" t="s">
        <v>33</v>
      </c>
      <c r="H156" s="20">
        <v>394.53</v>
      </c>
      <c r="I156" s="20">
        <v>394.53</v>
      </c>
      <c r="J156" s="20">
        <v>394.53</v>
      </c>
      <c r="K156" s="19"/>
      <c r="L156" s="19"/>
      <c r="M156" s="19"/>
      <c r="N156" s="19"/>
      <c r="O156" s="19"/>
      <c r="P156" s="19"/>
      <c r="Q156" s="17"/>
      <c r="T156" s="19">
        <v>11547.5</v>
      </c>
      <c r="U156" s="19">
        <v>11547.5</v>
      </c>
      <c r="V156" s="19">
        <v>11547.5</v>
      </c>
      <c r="W156" s="19">
        <f t="shared" si="5"/>
        <v>-11152.97</v>
      </c>
      <c r="X156" s="19">
        <f t="shared" si="5"/>
        <v>-11152.97</v>
      </c>
      <c r="Y156" s="19">
        <f t="shared" si="5"/>
        <v>-11152.97</v>
      </c>
    </row>
    <row r="157" spans="1:25" s="16" customFormat="1" ht="25.5">
      <c r="A157" s="108" t="str">
        <f t="shared" si="4"/>
        <v>601011371 1 00 20050000</v>
      </c>
      <c r="B157" s="201" t="s">
        <v>187</v>
      </c>
      <c r="C157" s="203" t="s">
        <v>64</v>
      </c>
      <c r="D157" s="204" t="s">
        <v>11</v>
      </c>
      <c r="E157" s="204" t="s">
        <v>51</v>
      </c>
      <c r="F157" s="204" t="s">
        <v>188</v>
      </c>
      <c r="G157" s="204" t="s">
        <v>9</v>
      </c>
      <c r="H157" s="20">
        <v>326.18</v>
      </c>
      <c r="I157" s="20">
        <v>200</v>
      </c>
      <c r="J157" s="20">
        <v>200</v>
      </c>
      <c r="K157" s="20"/>
      <c r="L157" s="20"/>
      <c r="M157" s="20"/>
      <c r="N157" s="20"/>
      <c r="O157" s="20"/>
      <c r="P157" s="20"/>
      <c r="Q157" s="17"/>
      <c r="T157" s="20">
        <v>11547.5</v>
      </c>
      <c r="U157" s="20">
        <v>11547.5</v>
      </c>
      <c r="V157" s="20">
        <v>11547.5</v>
      </c>
      <c r="W157" s="20">
        <f t="shared" si="5"/>
        <v>-11221.32</v>
      </c>
      <c r="X157" s="20">
        <f t="shared" si="5"/>
        <v>-11347.5</v>
      </c>
      <c r="Y157" s="20">
        <f t="shared" si="5"/>
        <v>-11347.5</v>
      </c>
    </row>
    <row r="158" spans="1:25" s="16" customFormat="1">
      <c r="A158" s="108" t="str">
        <f t="shared" si="4"/>
        <v>601011371 1 00 20050830</v>
      </c>
      <c r="B158" s="216" t="s">
        <v>189</v>
      </c>
      <c r="C158" s="203" t="s">
        <v>64</v>
      </c>
      <c r="D158" s="204" t="s">
        <v>11</v>
      </c>
      <c r="E158" s="204" t="s">
        <v>51</v>
      </c>
      <c r="F158" s="204" t="s">
        <v>188</v>
      </c>
      <c r="G158" s="204" t="s">
        <v>190</v>
      </c>
      <c r="H158" s="20">
        <v>326.18</v>
      </c>
      <c r="I158" s="20">
        <v>200</v>
      </c>
      <c r="J158" s="20">
        <v>200</v>
      </c>
      <c r="K158" s="20"/>
      <c r="L158" s="20"/>
      <c r="M158" s="20"/>
      <c r="N158" s="20"/>
      <c r="O158" s="20"/>
      <c r="P158" s="20"/>
      <c r="Q158" s="17"/>
      <c r="T158" s="20">
        <v>9560</v>
      </c>
      <c r="U158" s="20">
        <v>8210</v>
      </c>
      <c r="V158" s="20">
        <v>8210</v>
      </c>
      <c r="W158" s="20">
        <f t="shared" si="5"/>
        <v>-9233.82</v>
      </c>
      <c r="X158" s="20">
        <f t="shared" si="5"/>
        <v>-8010</v>
      </c>
      <c r="Y158" s="20">
        <f t="shared" si="5"/>
        <v>-8010</v>
      </c>
    </row>
    <row r="159" spans="1:25" s="16" customFormat="1" ht="191.25">
      <c r="A159" s="108" t="str">
        <f t="shared" si="4"/>
        <v>601011371 1 00 77460000</v>
      </c>
      <c r="B159" s="197" t="s">
        <v>1263</v>
      </c>
      <c r="C159" s="198" t="s">
        <v>64</v>
      </c>
      <c r="D159" s="199" t="s">
        <v>11</v>
      </c>
      <c r="E159" s="199" t="s">
        <v>51</v>
      </c>
      <c r="F159" s="199" t="s">
        <v>1268</v>
      </c>
      <c r="G159" s="199" t="s">
        <v>9</v>
      </c>
      <c r="H159" s="20">
        <v>496.87</v>
      </c>
      <c r="I159" s="20">
        <v>0</v>
      </c>
      <c r="J159" s="20">
        <v>0</v>
      </c>
      <c r="K159" s="20"/>
      <c r="L159" s="20"/>
      <c r="M159" s="20"/>
      <c r="N159" s="20"/>
      <c r="O159" s="20"/>
      <c r="P159" s="20"/>
      <c r="Q159" s="17"/>
      <c r="T159" s="20">
        <v>5000</v>
      </c>
      <c r="U159" s="20">
        <v>5000</v>
      </c>
      <c r="V159" s="20">
        <v>5000</v>
      </c>
      <c r="W159" s="20">
        <f t="shared" si="5"/>
        <v>-4503.13</v>
      </c>
      <c r="X159" s="20">
        <f t="shared" si="5"/>
        <v>-5000</v>
      </c>
      <c r="Y159" s="20">
        <f t="shared" si="5"/>
        <v>-5000</v>
      </c>
    </row>
    <row r="160" spans="1:25" s="16" customFormat="1">
      <c r="A160" s="108" t="str">
        <f t="shared" si="4"/>
        <v>601011371 1 00 77460110</v>
      </c>
      <c r="B160" s="205" t="s">
        <v>138</v>
      </c>
      <c r="C160" s="198" t="s">
        <v>64</v>
      </c>
      <c r="D160" s="199" t="s">
        <v>11</v>
      </c>
      <c r="E160" s="199" t="s">
        <v>51</v>
      </c>
      <c r="F160" s="199" t="s">
        <v>1268</v>
      </c>
      <c r="G160" s="199" t="s">
        <v>139</v>
      </c>
      <c r="H160" s="20">
        <v>496.87</v>
      </c>
      <c r="I160" s="20">
        <v>0</v>
      </c>
      <c r="J160" s="20">
        <v>0</v>
      </c>
      <c r="K160" s="20"/>
      <c r="L160" s="20"/>
      <c r="M160" s="20"/>
      <c r="N160" s="20"/>
      <c r="O160" s="20"/>
      <c r="P160" s="20"/>
      <c r="Q160" s="17"/>
      <c r="T160" s="20">
        <v>5000</v>
      </c>
      <c r="U160" s="20">
        <v>5000</v>
      </c>
      <c r="V160" s="20">
        <v>5000</v>
      </c>
      <c r="W160" s="20">
        <f t="shared" si="5"/>
        <v>-4503.13</v>
      </c>
      <c r="X160" s="20">
        <f t="shared" si="5"/>
        <v>-5000</v>
      </c>
      <c r="Y160" s="20">
        <f t="shared" si="5"/>
        <v>-5000</v>
      </c>
    </row>
    <row r="161" spans="1:25" s="16" customFormat="1" ht="38.25">
      <c r="A161" s="108" t="str">
        <f t="shared" si="4"/>
        <v>601011398 0 00 00000000</v>
      </c>
      <c r="B161" s="197" t="s">
        <v>87</v>
      </c>
      <c r="C161" s="203" t="s">
        <v>64</v>
      </c>
      <c r="D161" s="204" t="s">
        <v>11</v>
      </c>
      <c r="E161" s="204" t="s">
        <v>51</v>
      </c>
      <c r="F161" s="204" t="s">
        <v>88</v>
      </c>
      <c r="G161" s="204" t="s">
        <v>9</v>
      </c>
      <c r="H161" s="20">
        <v>9100.58</v>
      </c>
      <c r="I161" s="20">
        <v>7404.69</v>
      </c>
      <c r="J161" s="20">
        <v>7404.69</v>
      </c>
      <c r="K161" s="20"/>
      <c r="L161" s="20"/>
      <c r="M161" s="20"/>
      <c r="N161" s="20"/>
      <c r="O161" s="20"/>
      <c r="P161" s="20"/>
      <c r="Q161" s="17"/>
      <c r="T161" s="20">
        <v>5000</v>
      </c>
      <c r="U161" s="20">
        <v>5000</v>
      </c>
      <c r="V161" s="20">
        <v>5000</v>
      </c>
      <c r="W161" s="20">
        <f t="shared" si="5"/>
        <v>4100.58</v>
      </c>
      <c r="X161" s="20">
        <f t="shared" si="5"/>
        <v>2404.6899999999996</v>
      </c>
      <c r="Y161" s="20">
        <f t="shared" si="5"/>
        <v>2404.6899999999996</v>
      </c>
    </row>
    <row r="162" spans="1:25" s="16" customFormat="1">
      <c r="A162" s="108" t="str">
        <f t="shared" si="4"/>
        <v>601011398 1 00 00000000</v>
      </c>
      <c r="B162" s="197" t="s">
        <v>89</v>
      </c>
      <c r="C162" s="203" t="s">
        <v>64</v>
      </c>
      <c r="D162" s="204" t="s">
        <v>11</v>
      </c>
      <c r="E162" s="204" t="s">
        <v>51</v>
      </c>
      <c r="F162" s="204" t="s">
        <v>90</v>
      </c>
      <c r="G162" s="204" t="s">
        <v>9</v>
      </c>
      <c r="H162" s="20">
        <v>9100.58</v>
      </c>
      <c r="I162" s="20">
        <v>7404.69</v>
      </c>
      <c r="J162" s="20">
        <v>7404.69</v>
      </c>
      <c r="K162" s="20"/>
      <c r="L162" s="20"/>
      <c r="M162" s="20"/>
      <c r="N162" s="20"/>
      <c r="O162" s="20"/>
      <c r="P162" s="20"/>
      <c r="Q162" s="17"/>
      <c r="T162" s="20">
        <v>4500</v>
      </c>
      <c r="U162" s="20">
        <v>2550</v>
      </c>
      <c r="V162" s="20">
        <v>2550</v>
      </c>
      <c r="W162" s="20">
        <f t="shared" si="5"/>
        <v>4600.58</v>
      </c>
      <c r="X162" s="20">
        <f t="shared" si="5"/>
        <v>4854.6899999999996</v>
      </c>
      <c r="Y162" s="20">
        <f t="shared" si="5"/>
        <v>4854.6899999999996</v>
      </c>
    </row>
    <row r="163" spans="1:25" s="16" customFormat="1" ht="38.25">
      <c r="A163" s="108" t="str">
        <f t="shared" si="4"/>
        <v>601011398 1 00 76610000</v>
      </c>
      <c r="B163" s="201" t="s">
        <v>193</v>
      </c>
      <c r="C163" s="203" t="s">
        <v>64</v>
      </c>
      <c r="D163" s="204" t="s">
        <v>11</v>
      </c>
      <c r="E163" s="204" t="s">
        <v>51</v>
      </c>
      <c r="F163" s="204" t="s">
        <v>194</v>
      </c>
      <c r="G163" s="204" t="s">
        <v>9</v>
      </c>
      <c r="H163" s="20">
        <v>9100.58</v>
      </c>
      <c r="I163" s="20">
        <v>7404.69</v>
      </c>
      <c r="J163" s="20">
        <v>7404.69</v>
      </c>
      <c r="K163" s="20"/>
      <c r="L163" s="20"/>
      <c r="M163" s="20"/>
      <c r="N163" s="20"/>
      <c r="O163" s="20"/>
      <c r="P163" s="20"/>
      <c r="Q163" s="17"/>
      <c r="T163" s="20">
        <v>4500</v>
      </c>
      <c r="U163" s="20">
        <v>2550</v>
      </c>
      <c r="V163" s="20">
        <v>2550</v>
      </c>
      <c r="W163" s="20">
        <f t="shared" si="5"/>
        <v>4600.58</v>
      </c>
      <c r="X163" s="20">
        <f t="shared" si="5"/>
        <v>4854.6899999999996</v>
      </c>
      <c r="Y163" s="20">
        <f t="shared" si="5"/>
        <v>4854.6899999999996</v>
      </c>
    </row>
    <row r="164" spans="1:25" s="16" customFormat="1" ht="25.5">
      <c r="A164" s="108" t="str">
        <f t="shared" si="4"/>
        <v>601011398 1 00 76610120</v>
      </c>
      <c r="B164" s="200" t="s">
        <v>20</v>
      </c>
      <c r="C164" s="203" t="s">
        <v>64</v>
      </c>
      <c r="D164" s="204" t="s">
        <v>11</v>
      </c>
      <c r="E164" s="204" t="s">
        <v>51</v>
      </c>
      <c r="F164" s="204" t="s">
        <v>194</v>
      </c>
      <c r="G164" s="204" t="s">
        <v>21</v>
      </c>
      <c r="H164" s="20">
        <v>8770.58</v>
      </c>
      <c r="I164" s="20">
        <v>7404.69</v>
      </c>
      <c r="J164" s="20">
        <v>7404.69</v>
      </c>
      <c r="K164" s="20"/>
      <c r="L164" s="20"/>
      <c r="M164" s="20"/>
      <c r="N164" s="20"/>
      <c r="O164" s="20"/>
      <c r="P164" s="20"/>
      <c r="Q164" s="17"/>
      <c r="T164" s="20">
        <v>0</v>
      </c>
      <c r="U164" s="20">
        <v>150</v>
      </c>
      <c r="V164" s="20">
        <v>150</v>
      </c>
      <c r="W164" s="20">
        <f t="shared" si="5"/>
        <v>8770.58</v>
      </c>
      <c r="X164" s="20">
        <f t="shared" si="5"/>
        <v>7254.69</v>
      </c>
      <c r="Y164" s="20">
        <f t="shared" si="5"/>
        <v>7254.69</v>
      </c>
    </row>
    <row r="165" spans="1:25" s="16" customFormat="1" ht="25.5">
      <c r="A165" s="108" t="str">
        <f t="shared" si="4"/>
        <v>601011398 1 00 76610240</v>
      </c>
      <c r="B165" s="197" t="s">
        <v>28</v>
      </c>
      <c r="C165" s="203" t="s">
        <v>64</v>
      </c>
      <c r="D165" s="204" t="s">
        <v>11</v>
      </c>
      <c r="E165" s="204" t="s">
        <v>51</v>
      </c>
      <c r="F165" s="204" t="s">
        <v>194</v>
      </c>
      <c r="G165" s="204" t="s">
        <v>29</v>
      </c>
      <c r="H165" s="20">
        <v>330</v>
      </c>
      <c r="I165" s="20">
        <v>0</v>
      </c>
      <c r="J165" s="20">
        <v>0</v>
      </c>
      <c r="K165" s="20"/>
      <c r="L165" s="20"/>
      <c r="M165" s="20"/>
      <c r="N165" s="20"/>
      <c r="O165" s="20"/>
      <c r="P165" s="20"/>
      <c r="Q165" s="17"/>
      <c r="T165" s="20">
        <v>4500</v>
      </c>
      <c r="U165" s="20">
        <v>2400</v>
      </c>
      <c r="V165" s="20">
        <v>2400</v>
      </c>
      <c r="W165" s="20">
        <f t="shared" si="5"/>
        <v>-4170</v>
      </c>
      <c r="X165" s="20">
        <f t="shared" si="5"/>
        <v>-2400</v>
      </c>
      <c r="Y165" s="20">
        <f t="shared" si="5"/>
        <v>-2400</v>
      </c>
    </row>
    <row r="166" spans="1:25" s="16" customFormat="1">
      <c r="A166" s="108" t="str">
        <f t="shared" si="4"/>
        <v>601040000 0 00 00000000</v>
      </c>
      <c r="B166" s="191" t="s">
        <v>195</v>
      </c>
      <c r="C166" s="192" t="s">
        <v>64</v>
      </c>
      <c r="D166" s="193" t="s">
        <v>73</v>
      </c>
      <c r="E166" s="193" t="s">
        <v>7</v>
      </c>
      <c r="F166" s="193" t="s">
        <v>8</v>
      </c>
      <c r="G166" s="193" t="s">
        <v>9</v>
      </c>
      <c r="H166" s="18">
        <v>11489.57</v>
      </c>
      <c r="I166" s="18">
        <v>11547.5</v>
      </c>
      <c r="J166" s="18">
        <v>11547.5</v>
      </c>
      <c r="K166" s="20"/>
      <c r="L166" s="20"/>
      <c r="M166" s="20"/>
      <c r="N166" s="20"/>
      <c r="O166" s="20"/>
      <c r="P166" s="20"/>
      <c r="Q166" s="17"/>
      <c r="T166" s="20">
        <v>60</v>
      </c>
      <c r="U166" s="20">
        <v>660</v>
      </c>
      <c r="V166" s="20">
        <v>660</v>
      </c>
      <c r="W166" s="20">
        <f t="shared" si="5"/>
        <v>11429.57</v>
      </c>
      <c r="X166" s="20">
        <f t="shared" si="5"/>
        <v>10887.5</v>
      </c>
      <c r="Y166" s="20">
        <f t="shared" si="5"/>
        <v>10887.5</v>
      </c>
    </row>
    <row r="167" spans="1:25" s="16" customFormat="1">
      <c r="A167" s="108" t="str">
        <f t="shared" si="4"/>
        <v>601041200 0 00 00000000</v>
      </c>
      <c r="B167" s="194" t="s">
        <v>196</v>
      </c>
      <c r="C167" s="195" t="s">
        <v>64</v>
      </c>
      <c r="D167" s="196" t="s">
        <v>73</v>
      </c>
      <c r="E167" s="196" t="s">
        <v>57</v>
      </c>
      <c r="F167" s="196" t="s">
        <v>8</v>
      </c>
      <c r="G167" s="196" t="s">
        <v>9</v>
      </c>
      <c r="H167" s="19">
        <v>11489.57</v>
      </c>
      <c r="I167" s="19">
        <v>11547.5</v>
      </c>
      <c r="J167" s="19">
        <v>11547.5</v>
      </c>
      <c r="K167" s="20"/>
      <c r="L167" s="20"/>
      <c r="M167" s="20"/>
      <c r="N167" s="20"/>
      <c r="O167" s="20"/>
      <c r="P167" s="20"/>
      <c r="Q167" s="17"/>
      <c r="T167" s="20">
        <v>60</v>
      </c>
      <c r="U167" s="20">
        <v>660</v>
      </c>
      <c r="V167" s="20">
        <v>660</v>
      </c>
      <c r="W167" s="20">
        <f t="shared" si="5"/>
        <v>11429.57</v>
      </c>
      <c r="X167" s="20">
        <f t="shared" si="5"/>
        <v>10887.5</v>
      </c>
      <c r="Y167" s="20">
        <f t="shared" si="5"/>
        <v>10887.5</v>
      </c>
    </row>
    <row r="168" spans="1:25" s="16" customFormat="1" ht="25.5">
      <c r="A168" s="108" t="str">
        <f t="shared" si="4"/>
        <v>601041212 0 00 00000000</v>
      </c>
      <c r="B168" s="201" t="s">
        <v>94</v>
      </c>
      <c r="C168" s="198" t="s">
        <v>64</v>
      </c>
      <c r="D168" s="199" t="s">
        <v>73</v>
      </c>
      <c r="E168" s="199" t="s">
        <v>57</v>
      </c>
      <c r="F168" s="199" t="s">
        <v>95</v>
      </c>
      <c r="G168" s="199" t="s">
        <v>9</v>
      </c>
      <c r="H168" s="20">
        <v>11489.57</v>
      </c>
      <c r="I168" s="20">
        <v>11547.5</v>
      </c>
      <c r="J168" s="20">
        <v>11547.5</v>
      </c>
      <c r="K168" s="20"/>
      <c r="L168" s="20"/>
      <c r="M168" s="20"/>
      <c r="N168" s="20"/>
      <c r="O168" s="20"/>
      <c r="P168" s="20"/>
      <c r="Q168" s="17"/>
      <c r="T168" s="20">
        <v>60</v>
      </c>
      <c r="U168" s="20">
        <v>660</v>
      </c>
      <c r="V168" s="20">
        <v>660</v>
      </c>
      <c r="W168" s="20">
        <f t="shared" si="5"/>
        <v>11429.57</v>
      </c>
      <c r="X168" s="20">
        <f t="shared" si="5"/>
        <v>10887.5</v>
      </c>
      <c r="Y168" s="20">
        <f t="shared" si="5"/>
        <v>10887.5</v>
      </c>
    </row>
    <row r="169" spans="1:25" s="16" customFormat="1" ht="25.5">
      <c r="A169" s="108" t="str">
        <f t="shared" si="4"/>
        <v>601041212 1 00 00000000</v>
      </c>
      <c r="B169" s="201" t="s">
        <v>197</v>
      </c>
      <c r="C169" s="198" t="s">
        <v>64</v>
      </c>
      <c r="D169" s="199" t="s">
        <v>73</v>
      </c>
      <c r="E169" s="199" t="s">
        <v>57</v>
      </c>
      <c r="F169" s="199" t="s">
        <v>198</v>
      </c>
      <c r="G169" s="199" t="s">
        <v>9</v>
      </c>
      <c r="H169" s="20">
        <v>9549.5</v>
      </c>
      <c r="I169" s="20">
        <v>8210</v>
      </c>
      <c r="J169" s="20">
        <v>8210</v>
      </c>
      <c r="K169" s="20"/>
      <c r="L169" s="20"/>
      <c r="M169" s="20"/>
      <c r="N169" s="20"/>
      <c r="O169" s="20"/>
      <c r="P169" s="20"/>
      <c r="Q169" s="17"/>
      <c r="T169" s="20">
        <v>1987.5</v>
      </c>
      <c r="U169" s="20">
        <v>3337.5</v>
      </c>
      <c r="V169" s="20">
        <v>3337.5</v>
      </c>
      <c r="W169" s="20">
        <f t="shared" si="5"/>
        <v>7562</v>
      </c>
      <c r="X169" s="20">
        <f t="shared" si="5"/>
        <v>4872.5</v>
      </c>
      <c r="Y169" s="20">
        <f t="shared" si="5"/>
        <v>4872.5</v>
      </c>
    </row>
    <row r="170" spans="1:25" s="16" customFormat="1" ht="25.5">
      <c r="A170" s="108" t="str">
        <f t="shared" si="4"/>
        <v>601041212 1 01 00000000</v>
      </c>
      <c r="B170" s="201" t="s">
        <v>199</v>
      </c>
      <c r="C170" s="198" t="s">
        <v>64</v>
      </c>
      <c r="D170" s="199" t="s">
        <v>73</v>
      </c>
      <c r="E170" s="199" t="s">
        <v>57</v>
      </c>
      <c r="F170" s="199" t="s">
        <v>200</v>
      </c>
      <c r="G170" s="199" t="s">
        <v>9</v>
      </c>
      <c r="H170" s="20">
        <v>5000</v>
      </c>
      <c r="I170" s="20">
        <v>5000</v>
      </c>
      <c r="J170" s="20">
        <v>5000</v>
      </c>
      <c r="K170" s="20"/>
      <c r="L170" s="20"/>
      <c r="M170" s="20"/>
      <c r="N170" s="20"/>
      <c r="O170" s="20"/>
      <c r="P170" s="20"/>
      <c r="Q170" s="17"/>
      <c r="T170" s="20">
        <v>80</v>
      </c>
      <c r="U170" s="20">
        <v>1150</v>
      </c>
      <c r="V170" s="20">
        <v>1150</v>
      </c>
      <c r="W170" s="20">
        <f t="shared" si="5"/>
        <v>4920</v>
      </c>
      <c r="X170" s="20">
        <f t="shared" si="5"/>
        <v>3850</v>
      </c>
      <c r="Y170" s="20">
        <f t="shared" si="5"/>
        <v>3850</v>
      </c>
    </row>
    <row r="171" spans="1:25" s="16" customFormat="1" ht="38.25">
      <c r="A171" s="108" t="str">
        <f t="shared" si="4"/>
        <v>601041212 1 01 60130000</v>
      </c>
      <c r="B171" s="201" t="s">
        <v>201</v>
      </c>
      <c r="C171" s="198" t="s">
        <v>64</v>
      </c>
      <c r="D171" s="199" t="s">
        <v>73</v>
      </c>
      <c r="E171" s="199" t="s">
        <v>57</v>
      </c>
      <c r="F171" s="199" t="s">
        <v>202</v>
      </c>
      <c r="G171" s="199" t="s">
        <v>9</v>
      </c>
      <c r="H171" s="20">
        <v>5000</v>
      </c>
      <c r="I171" s="20">
        <v>5000</v>
      </c>
      <c r="J171" s="20">
        <v>5000</v>
      </c>
      <c r="K171" s="20"/>
      <c r="L171" s="20"/>
      <c r="M171" s="20"/>
      <c r="N171" s="20"/>
      <c r="O171" s="20"/>
      <c r="P171" s="20"/>
      <c r="Q171" s="17"/>
      <c r="T171" s="20">
        <v>80</v>
      </c>
      <c r="U171" s="20">
        <v>1150</v>
      </c>
      <c r="V171" s="20">
        <v>1150</v>
      </c>
      <c r="W171" s="20">
        <f t="shared" si="5"/>
        <v>4920</v>
      </c>
      <c r="X171" s="20">
        <f t="shared" si="5"/>
        <v>3850</v>
      </c>
      <c r="Y171" s="20">
        <f t="shared" si="5"/>
        <v>3850</v>
      </c>
    </row>
    <row r="172" spans="1:25" s="16" customFormat="1" ht="38.25">
      <c r="A172" s="108" t="str">
        <f t="shared" si="4"/>
        <v>601041212 1 01 60130810</v>
      </c>
      <c r="B172" s="217" t="s">
        <v>203</v>
      </c>
      <c r="C172" s="198" t="s">
        <v>64</v>
      </c>
      <c r="D172" s="199" t="s">
        <v>73</v>
      </c>
      <c r="E172" s="199" t="s">
        <v>57</v>
      </c>
      <c r="F172" s="199" t="s">
        <v>202</v>
      </c>
      <c r="G172" s="199" t="s">
        <v>204</v>
      </c>
      <c r="H172" s="20">
        <v>5000</v>
      </c>
      <c r="I172" s="20">
        <v>5000</v>
      </c>
      <c r="J172" s="20">
        <v>5000</v>
      </c>
      <c r="K172" s="20"/>
      <c r="L172" s="20"/>
      <c r="M172" s="20"/>
      <c r="N172" s="20"/>
      <c r="O172" s="20"/>
      <c r="P172" s="20"/>
      <c r="Q172" s="17"/>
      <c r="T172" s="20">
        <v>80</v>
      </c>
      <c r="U172" s="20">
        <v>1150</v>
      </c>
      <c r="V172" s="20">
        <v>1150</v>
      </c>
      <c r="W172" s="20">
        <f t="shared" si="5"/>
        <v>4920</v>
      </c>
      <c r="X172" s="20">
        <f t="shared" si="5"/>
        <v>3850</v>
      </c>
      <c r="Y172" s="20">
        <f t="shared" si="5"/>
        <v>3850</v>
      </c>
    </row>
    <row r="173" spans="1:25" s="16" customFormat="1" ht="38.25">
      <c r="A173" s="108" t="str">
        <f t="shared" si="4"/>
        <v>601041212 1 02 00000000</v>
      </c>
      <c r="B173" s="201" t="s">
        <v>209</v>
      </c>
      <c r="C173" s="198" t="s">
        <v>64</v>
      </c>
      <c r="D173" s="199" t="s">
        <v>73</v>
      </c>
      <c r="E173" s="199" t="s">
        <v>57</v>
      </c>
      <c r="F173" s="199" t="s">
        <v>210</v>
      </c>
      <c r="G173" s="199" t="s">
        <v>9</v>
      </c>
      <c r="H173" s="20">
        <v>4500</v>
      </c>
      <c r="I173" s="20">
        <v>2550</v>
      </c>
      <c r="J173" s="20">
        <v>2550</v>
      </c>
      <c r="K173" s="20"/>
      <c r="L173" s="20"/>
      <c r="M173" s="20"/>
      <c r="N173" s="20"/>
      <c r="O173" s="20"/>
      <c r="P173" s="20"/>
      <c r="Q173" s="17"/>
      <c r="T173" s="20">
        <v>1907.5</v>
      </c>
      <c r="U173" s="20">
        <v>2187.5</v>
      </c>
      <c r="V173" s="20">
        <v>2187.5</v>
      </c>
      <c r="W173" s="20">
        <f t="shared" si="5"/>
        <v>2592.5</v>
      </c>
      <c r="X173" s="20">
        <f t="shared" si="5"/>
        <v>362.5</v>
      </c>
      <c r="Y173" s="20">
        <f t="shared" si="5"/>
        <v>362.5</v>
      </c>
    </row>
    <row r="174" spans="1:25" s="16" customFormat="1" ht="38.25">
      <c r="A174" s="108" t="str">
        <f t="shared" si="4"/>
        <v>601041212 1 02 20480000</v>
      </c>
      <c r="B174" s="201" t="s">
        <v>211</v>
      </c>
      <c r="C174" s="198" t="s">
        <v>64</v>
      </c>
      <c r="D174" s="199" t="s">
        <v>73</v>
      </c>
      <c r="E174" s="199" t="s">
        <v>57</v>
      </c>
      <c r="F174" s="199" t="s">
        <v>212</v>
      </c>
      <c r="G174" s="199" t="s">
        <v>9</v>
      </c>
      <c r="H174" s="20">
        <v>4500</v>
      </c>
      <c r="I174" s="20">
        <v>2550</v>
      </c>
      <c r="J174" s="20">
        <v>2550</v>
      </c>
      <c r="K174" s="20"/>
      <c r="L174" s="20"/>
      <c r="M174" s="20"/>
      <c r="N174" s="20"/>
      <c r="O174" s="20"/>
      <c r="P174" s="20"/>
      <c r="Q174" s="17"/>
      <c r="T174" s="20">
        <v>1907.5</v>
      </c>
      <c r="U174" s="20">
        <v>2187.5</v>
      </c>
      <c r="V174" s="20">
        <v>2187.5</v>
      </c>
      <c r="W174" s="20">
        <f t="shared" si="5"/>
        <v>2592.5</v>
      </c>
      <c r="X174" s="20">
        <f t="shared" si="5"/>
        <v>362.5</v>
      </c>
      <c r="Y174" s="20">
        <f t="shared" si="5"/>
        <v>362.5</v>
      </c>
    </row>
    <row r="175" spans="1:25" s="16" customFormat="1" ht="25.5">
      <c r="A175" s="108" t="str">
        <f t="shared" si="4"/>
        <v>601041212 1 02 20480240</v>
      </c>
      <c r="B175" s="197" t="s">
        <v>28</v>
      </c>
      <c r="C175" s="198" t="s">
        <v>64</v>
      </c>
      <c r="D175" s="199" t="s">
        <v>73</v>
      </c>
      <c r="E175" s="199" t="s">
        <v>57</v>
      </c>
      <c r="F175" s="199" t="s">
        <v>212</v>
      </c>
      <c r="G175" s="199" t="s">
        <v>29</v>
      </c>
      <c r="H175" s="218">
        <v>0</v>
      </c>
      <c r="I175" s="20">
        <v>150</v>
      </c>
      <c r="J175" s="20">
        <v>150</v>
      </c>
      <c r="K175" s="20"/>
      <c r="L175" s="20"/>
      <c r="M175" s="20"/>
      <c r="N175" s="20"/>
      <c r="O175" s="20"/>
      <c r="P175" s="20"/>
      <c r="Q175" s="17"/>
      <c r="T175" s="20">
        <v>1707.5</v>
      </c>
      <c r="U175" s="20">
        <v>2087.5</v>
      </c>
      <c r="V175" s="20">
        <v>2087.5</v>
      </c>
      <c r="W175" s="20">
        <f t="shared" si="5"/>
        <v>-1707.5</v>
      </c>
      <c r="X175" s="20">
        <f t="shared" si="5"/>
        <v>-1937.5</v>
      </c>
      <c r="Y175" s="20">
        <f t="shared" si="5"/>
        <v>-1937.5</v>
      </c>
    </row>
    <row r="176" spans="1:25" s="16" customFormat="1" ht="25.5">
      <c r="A176" s="108" t="str">
        <f t="shared" si="4"/>
        <v>601041212 1 02 20480630</v>
      </c>
      <c r="B176" s="314" t="s">
        <v>182</v>
      </c>
      <c r="C176" s="198" t="s">
        <v>64</v>
      </c>
      <c r="D176" s="199" t="s">
        <v>73</v>
      </c>
      <c r="E176" s="199" t="s">
        <v>57</v>
      </c>
      <c r="F176" s="199" t="s">
        <v>212</v>
      </c>
      <c r="G176" s="199" t="s">
        <v>183</v>
      </c>
      <c r="H176" s="20">
        <v>4500</v>
      </c>
      <c r="I176" s="20">
        <v>2400</v>
      </c>
      <c r="J176" s="20">
        <v>2400</v>
      </c>
      <c r="K176" s="20"/>
      <c r="L176" s="20"/>
      <c r="M176" s="20"/>
      <c r="N176" s="20"/>
      <c r="O176" s="20"/>
      <c r="P176" s="20"/>
      <c r="Q176" s="17"/>
      <c r="T176" s="20">
        <v>200</v>
      </c>
      <c r="U176" s="20">
        <v>100</v>
      </c>
      <c r="V176" s="20">
        <v>100</v>
      </c>
      <c r="W176" s="20">
        <f t="shared" si="5"/>
        <v>4300</v>
      </c>
      <c r="X176" s="20">
        <f t="shared" si="5"/>
        <v>2300</v>
      </c>
      <c r="Y176" s="20">
        <f t="shared" si="5"/>
        <v>2300</v>
      </c>
    </row>
    <row r="177" spans="1:25" s="16" customFormat="1" ht="38.25">
      <c r="A177" s="108" t="str">
        <f t="shared" si="4"/>
        <v>601041212 1 03 00000000</v>
      </c>
      <c r="B177" s="201" t="s">
        <v>215</v>
      </c>
      <c r="C177" s="198" t="s">
        <v>64</v>
      </c>
      <c r="D177" s="199" t="s">
        <v>73</v>
      </c>
      <c r="E177" s="199" t="s">
        <v>57</v>
      </c>
      <c r="F177" s="199" t="s">
        <v>216</v>
      </c>
      <c r="G177" s="199" t="s">
        <v>9</v>
      </c>
      <c r="H177" s="20">
        <v>49.5</v>
      </c>
      <c r="I177" s="20">
        <v>660</v>
      </c>
      <c r="J177" s="20">
        <v>660</v>
      </c>
      <c r="K177" s="18"/>
      <c r="L177" s="18"/>
      <c r="M177" s="18"/>
      <c r="N177" s="18"/>
      <c r="O177" s="18"/>
      <c r="P177" s="18"/>
      <c r="Q177" s="17"/>
      <c r="T177" s="18">
        <v>160</v>
      </c>
      <c r="U177" s="18">
        <v>160</v>
      </c>
      <c r="V177" s="18">
        <v>160</v>
      </c>
      <c r="W177" s="18">
        <f t="shared" si="5"/>
        <v>-110.5</v>
      </c>
      <c r="X177" s="18">
        <f t="shared" si="5"/>
        <v>500</v>
      </c>
      <c r="Y177" s="18">
        <f t="shared" si="5"/>
        <v>500</v>
      </c>
    </row>
    <row r="178" spans="1:25" s="16" customFormat="1" ht="38.25">
      <c r="A178" s="108" t="str">
        <f t="shared" si="4"/>
        <v>601041212 1 03 20480000</v>
      </c>
      <c r="B178" s="201" t="s">
        <v>211</v>
      </c>
      <c r="C178" s="198" t="s">
        <v>64</v>
      </c>
      <c r="D178" s="199" t="s">
        <v>73</v>
      </c>
      <c r="E178" s="199" t="s">
        <v>57</v>
      </c>
      <c r="F178" s="199" t="s">
        <v>217</v>
      </c>
      <c r="G178" s="199" t="s">
        <v>9</v>
      </c>
      <c r="H178" s="20">
        <v>49.5</v>
      </c>
      <c r="I178" s="20">
        <v>660</v>
      </c>
      <c r="J178" s="20">
        <v>660</v>
      </c>
      <c r="K178" s="19"/>
      <c r="L178" s="19"/>
      <c r="M178" s="19"/>
      <c r="N178" s="19"/>
      <c r="O178" s="19"/>
      <c r="P178" s="19"/>
      <c r="Q178" s="17"/>
      <c r="T178" s="19">
        <v>160</v>
      </c>
      <c r="U178" s="19">
        <v>160</v>
      </c>
      <c r="V178" s="19">
        <v>160</v>
      </c>
      <c r="W178" s="19">
        <f t="shared" si="5"/>
        <v>-110.5</v>
      </c>
      <c r="X178" s="19">
        <f t="shared" si="5"/>
        <v>500</v>
      </c>
      <c r="Y178" s="19">
        <f t="shared" si="5"/>
        <v>500</v>
      </c>
    </row>
    <row r="179" spans="1:25" s="16" customFormat="1" ht="25.5">
      <c r="A179" s="108" t="str">
        <f t="shared" si="4"/>
        <v>601041212 1 03 20480240</v>
      </c>
      <c r="B179" s="197" t="s">
        <v>28</v>
      </c>
      <c r="C179" s="198" t="s">
        <v>64</v>
      </c>
      <c r="D179" s="199" t="s">
        <v>73</v>
      </c>
      <c r="E179" s="199" t="s">
        <v>57</v>
      </c>
      <c r="F179" s="199" t="s">
        <v>217</v>
      </c>
      <c r="G179" s="199" t="s">
        <v>29</v>
      </c>
      <c r="H179" s="20">
        <v>49.5</v>
      </c>
      <c r="I179" s="20">
        <v>660</v>
      </c>
      <c r="J179" s="20">
        <v>660</v>
      </c>
      <c r="K179" s="20"/>
      <c r="L179" s="20"/>
      <c r="M179" s="20"/>
      <c r="N179" s="20"/>
      <c r="O179" s="20"/>
      <c r="P179" s="20"/>
      <c r="Q179" s="17"/>
      <c r="T179" s="20">
        <v>160</v>
      </c>
      <c r="U179" s="20">
        <v>160</v>
      </c>
      <c r="V179" s="20">
        <v>160</v>
      </c>
      <c r="W179" s="20">
        <f t="shared" si="5"/>
        <v>-110.5</v>
      </c>
      <c r="X179" s="20">
        <f t="shared" si="5"/>
        <v>500</v>
      </c>
      <c r="Y179" s="20">
        <f t="shared" si="5"/>
        <v>500</v>
      </c>
    </row>
    <row r="180" spans="1:25" s="16" customFormat="1" ht="25.5">
      <c r="A180" s="108" t="str">
        <f t="shared" si="4"/>
        <v>601041212 2 00 00000000</v>
      </c>
      <c r="B180" s="197" t="s">
        <v>96</v>
      </c>
      <c r="C180" s="198" t="s">
        <v>64</v>
      </c>
      <c r="D180" s="199" t="s">
        <v>73</v>
      </c>
      <c r="E180" s="199" t="s">
        <v>57</v>
      </c>
      <c r="F180" s="199" t="s">
        <v>97</v>
      </c>
      <c r="G180" s="199" t="s">
        <v>9</v>
      </c>
      <c r="H180" s="20">
        <v>1940.07</v>
      </c>
      <c r="I180" s="20">
        <v>3337.5</v>
      </c>
      <c r="J180" s="20">
        <v>3337.5</v>
      </c>
      <c r="K180" s="20"/>
      <c r="L180" s="20"/>
      <c r="M180" s="20"/>
      <c r="N180" s="20"/>
      <c r="O180" s="20"/>
      <c r="P180" s="20"/>
      <c r="Q180" s="17"/>
      <c r="T180" s="20">
        <v>160</v>
      </c>
      <c r="U180" s="20">
        <v>160</v>
      </c>
      <c r="V180" s="20">
        <v>160</v>
      </c>
      <c r="W180" s="20">
        <f t="shared" si="5"/>
        <v>1780.07</v>
      </c>
      <c r="X180" s="20">
        <f t="shared" si="5"/>
        <v>3177.5</v>
      </c>
      <c r="Y180" s="20">
        <f t="shared" si="5"/>
        <v>3177.5</v>
      </c>
    </row>
    <row r="181" spans="1:25" s="16" customFormat="1" ht="25.5">
      <c r="A181" s="108" t="str">
        <f t="shared" si="4"/>
        <v>601041212 2 01 00000000</v>
      </c>
      <c r="B181" s="201" t="s">
        <v>218</v>
      </c>
      <c r="C181" s="198" t="s">
        <v>64</v>
      </c>
      <c r="D181" s="199" t="s">
        <v>73</v>
      </c>
      <c r="E181" s="199" t="s">
        <v>57</v>
      </c>
      <c r="F181" s="199" t="s">
        <v>219</v>
      </c>
      <c r="G181" s="199" t="s">
        <v>9</v>
      </c>
      <c r="H181" s="20">
        <v>50</v>
      </c>
      <c r="I181" s="20">
        <v>1080</v>
      </c>
      <c r="J181" s="20">
        <v>1080</v>
      </c>
      <c r="K181" s="20"/>
      <c r="L181" s="20"/>
      <c r="M181" s="20"/>
      <c r="N181" s="20"/>
      <c r="O181" s="20"/>
      <c r="P181" s="20"/>
      <c r="Q181" s="17"/>
      <c r="T181" s="20">
        <v>160</v>
      </c>
      <c r="U181" s="20">
        <v>160</v>
      </c>
      <c r="V181" s="20">
        <v>160</v>
      </c>
      <c r="W181" s="20">
        <f t="shared" si="5"/>
        <v>-110</v>
      </c>
      <c r="X181" s="20">
        <f t="shared" si="5"/>
        <v>920</v>
      </c>
      <c r="Y181" s="20">
        <f t="shared" si="5"/>
        <v>920</v>
      </c>
    </row>
    <row r="182" spans="1:25" s="16" customFormat="1" ht="25.5">
      <c r="A182" s="108" t="str">
        <f t="shared" si="4"/>
        <v>601041212 2 01 20650000</v>
      </c>
      <c r="B182" s="201" t="s">
        <v>220</v>
      </c>
      <c r="C182" s="198" t="s">
        <v>64</v>
      </c>
      <c r="D182" s="199" t="s">
        <v>73</v>
      </c>
      <c r="E182" s="199" t="s">
        <v>57</v>
      </c>
      <c r="F182" s="199" t="s">
        <v>221</v>
      </c>
      <c r="G182" s="199" t="s">
        <v>9</v>
      </c>
      <c r="H182" s="20">
        <v>50</v>
      </c>
      <c r="I182" s="20">
        <v>1080</v>
      </c>
      <c r="J182" s="20">
        <v>1080</v>
      </c>
      <c r="K182" s="20"/>
      <c r="L182" s="20"/>
      <c r="M182" s="20"/>
      <c r="N182" s="20"/>
      <c r="O182" s="20"/>
      <c r="P182" s="20"/>
      <c r="Q182" s="17"/>
      <c r="T182" s="20">
        <v>160</v>
      </c>
      <c r="U182" s="20">
        <v>160</v>
      </c>
      <c r="V182" s="20">
        <v>160</v>
      </c>
      <c r="W182" s="20">
        <f t="shared" si="5"/>
        <v>-110</v>
      </c>
      <c r="X182" s="20">
        <f t="shared" si="5"/>
        <v>920</v>
      </c>
      <c r="Y182" s="20">
        <f t="shared" si="5"/>
        <v>920</v>
      </c>
    </row>
    <row r="183" spans="1:25" s="16" customFormat="1" ht="25.5">
      <c r="A183" s="108" t="str">
        <f t="shared" si="4"/>
        <v>601041212 2 01 20650240</v>
      </c>
      <c r="B183" s="197" t="s">
        <v>28</v>
      </c>
      <c r="C183" s="198" t="s">
        <v>64</v>
      </c>
      <c r="D183" s="199" t="s">
        <v>73</v>
      </c>
      <c r="E183" s="199" t="s">
        <v>57</v>
      </c>
      <c r="F183" s="199" t="s">
        <v>221</v>
      </c>
      <c r="G183" s="199" t="s">
        <v>29</v>
      </c>
      <c r="H183" s="20">
        <v>50</v>
      </c>
      <c r="I183" s="20">
        <v>1080</v>
      </c>
      <c r="J183" s="20">
        <v>1080</v>
      </c>
      <c r="K183" s="20"/>
      <c r="L183" s="20"/>
      <c r="M183" s="20"/>
      <c r="N183" s="20"/>
      <c r="O183" s="20"/>
      <c r="P183" s="20"/>
      <c r="Q183" s="17"/>
      <c r="T183" s="20">
        <v>160</v>
      </c>
      <c r="U183" s="20">
        <v>160</v>
      </c>
      <c r="V183" s="20">
        <v>160</v>
      </c>
      <c r="W183" s="20">
        <f t="shared" si="5"/>
        <v>-110</v>
      </c>
      <c r="X183" s="20">
        <f t="shared" si="5"/>
        <v>920</v>
      </c>
      <c r="Y183" s="20">
        <f t="shared" si="5"/>
        <v>920</v>
      </c>
    </row>
    <row r="184" spans="1:25" s="16" customFormat="1" ht="25.5">
      <c r="A184" s="108" t="str">
        <f t="shared" si="4"/>
        <v>601041212 2 02 00000000</v>
      </c>
      <c r="B184" s="197" t="s">
        <v>222</v>
      </c>
      <c r="C184" s="198" t="s">
        <v>64</v>
      </c>
      <c r="D184" s="199" t="s">
        <v>73</v>
      </c>
      <c r="E184" s="199" t="s">
        <v>57</v>
      </c>
      <c r="F184" s="199" t="s">
        <v>223</v>
      </c>
      <c r="G184" s="199" t="s">
        <v>9</v>
      </c>
      <c r="H184" s="20">
        <v>1890.07</v>
      </c>
      <c r="I184" s="20">
        <v>2257.5</v>
      </c>
      <c r="J184" s="20">
        <v>2257.5</v>
      </c>
      <c r="K184" s="18"/>
      <c r="L184" s="18"/>
      <c r="M184" s="18"/>
      <c r="N184" s="18"/>
      <c r="O184" s="18"/>
      <c r="P184" s="18"/>
      <c r="Q184" s="17"/>
      <c r="T184" s="18">
        <v>1911</v>
      </c>
      <c r="U184" s="18">
        <v>1911</v>
      </c>
      <c r="V184" s="18">
        <v>1911</v>
      </c>
      <c r="W184" s="18">
        <f t="shared" si="5"/>
        <v>-20.930000000000064</v>
      </c>
      <c r="X184" s="18">
        <f t="shared" si="5"/>
        <v>346.5</v>
      </c>
      <c r="Y184" s="18">
        <f t="shared" si="5"/>
        <v>346.5</v>
      </c>
    </row>
    <row r="185" spans="1:25" s="16" customFormat="1" ht="38.25">
      <c r="A185" s="108" t="str">
        <f t="shared" si="4"/>
        <v>601041212 2 02 20640000</v>
      </c>
      <c r="B185" s="201" t="s">
        <v>224</v>
      </c>
      <c r="C185" s="198" t="s">
        <v>64</v>
      </c>
      <c r="D185" s="199" t="s">
        <v>73</v>
      </c>
      <c r="E185" s="199" t="s">
        <v>57</v>
      </c>
      <c r="F185" s="199" t="s">
        <v>225</v>
      </c>
      <c r="G185" s="199" t="s">
        <v>9</v>
      </c>
      <c r="H185" s="20">
        <v>1890.07</v>
      </c>
      <c r="I185" s="20">
        <v>2257.5</v>
      </c>
      <c r="J185" s="20">
        <v>2257.5</v>
      </c>
      <c r="K185" s="19"/>
      <c r="L185" s="19"/>
      <c r="M185" s="19"/>
      <c r="N185" s="19"/>
      <c r="O185" s="19"/>
      <c r="P185" s="19"/>
      <c r="Q185" s="17"/>
      <c r="T185" s="19">
        <v>1911</v>
      </c>
      <c r="U185" s="19">
        <v>1911</v>
      </c>
      <c r="V185" s="19">
        <v>1911</v>
      </c>
      <c r="W185" s="19">
        <f t="shared" si="5"/>
        <v>-20.930000000000064</v>
      </c>
      <c r="X185" s="19">
        <f t="shared" si="5"/>
        <v>346.5</v>
      </c>
      <c r="Y185" s="19">
        <f t="shared" si="5"/>
        <v>346.5</v>
      </c>
    </row>
    <row r="186" spans="1:25" s="16" customFormat="1" ht="25.5">
      <c r="A186" s="108" t="str">
        <f t="shared" si="4"/>
        <v>601041212 2 02 20640240</v>
      </c>
      <c r="B186" s="197" t="s">
        <v>28</v>
      </c>
      <c r="C186" s="198" t="s">
        <v>64</v>
      </c>
      <c r="D186" s="199" t="s">
        <v>73</v>
      </c>
      <c r="E186" s="199" t="s">
        <v>57</v>
      </c>
      <c r="F186" s="199" t="s">
        <v>225</v>
      </c>
      <c r="G186" s="199" t="s">
        <v>29</v>
      </c>
      <c r="H186" s="20">
        <v>1690.07</v>
      </c>
      <c r="I186" s="20">
        <v>2057.5</v>
      </c>
      <c r="J186" s="20">
        <v>2057.5</v>
      </c>
      <c r="K186" s="20"/>
      <c r="L186" s="20"/>
      <c r="M186" s="20"/>
      <c r="N186" s="20"/>
      <c r="O186" s="20"/>
      <c r="P186" s="20"/>
      <c r="Q186" s="17"/>
      <c r="T186" s="20">
        <v>1911</v>
      </c>
      <c r="U186" s="20">
        <v>1911</v>
      </c>
      <c r="V186" s="20">
        <v>1911</v>
      </c>
      <c r="W186" s="20">
        <f t="shared" si="5"/>
        <v>-220.93000000000006</v>
      </c>
      <c r="X186" s="20">
        <f t="shared" si="5"/>
        <v>146.5</v>
      </c>
      <c r="Y186" s="20">
        <f t="shared" si="5"/>
        <v>146.5</v>
      </c>
    </row>
    <row r="187" spans="1:25" s="16" customFormat="1" ht="38.25">
      <c r="A187" s="108" t="str">
        <f t="shared" si="4"/>
        <v>601041212 2 02 20640810</v>
      </c>
      <c r="B187" s="197" t="s">
        <v>203</v>
      </c>
      <c r="C187" s="198" t="s">
        <v>64</v>
      </c>
      <c r="D187" s="199" t="s">
        <v>73</v>
      </c>
      <c r="E187" s="199" t="s">
        <v>57</v>
      </c>
      <c r="F187" s="199" t="s">
        <v>225</v>
      </c>
      <c r="G187" s="199" t="s">
        <v>204</v>
      </c>
      <c r="H187" s="20">
        <v>200</v>
      </c>
      <c r="I187" s="20">
        <v>200</v>
      </c>
      <c r="J187" s="20">
        <v>200</v>
      </c>
      <c r="K187" s="20"/>
      <c r="L187" s="20"/>
      <c r="M187" s="20"/>
      <c r="N187" s="20"/>
      <c r="O187" s="20"/>
      <c r="P187" s="20"/>
      <c r="Q187" s="17"/>
      <c r="T187" s="20">
        <v>1911</v>
      </c>
      <c r="U187" s="20">
        <v>1911</v>
      </c>
      <c r="V187" s="20">
        <v>1911</v>
      </c>
      <c r="W187" s="20">
        <f t="shared" si="5"/>
        <v>-1711</v>
      </c>
      <c r="X187" s="20">
        <f t="shared" si="5"/>
        <v>-1711</v>
      </c>
      <c r="Y187" s="20">
        <f t="shared" si="5"/>
        <v>-1711</v>
      </c>
    </row>
    <row r="188" spans="1:25" s="16" customFormat="1">
      <c r="A188" s="108" t="str">
        <f t="shared" si="4"/>
        <v>601070000 0 00 00000000</v>
      </c>
      <c r="B188" s="191" t="s">
        <v>228</v>
      </c>
      <c r="C188" s="192" t="s">
        <v>64</v>
      </c>
      <c r="D188" s="193" t="s">
        <v>229</v>
      </c>
      <c r="E188" s="193" t="s">
        <v>7</v>
      </c>
      <c r="F188" s="193" t="s">
        <v>8</v>
      </c>
      <c r="G188" s="193" t="s">
        <v>9</v>
      </c>
      <c r="H188" s="18">
        <v>69.2</v>
      </c>
      <c r="I188" s="18">
        <v>160</v>
      </c>
      <c r="J188" s="18">
        <v>160</v>
      </c>
      <c r="K188" s="20"/>
      <c r="L188" s="20"/>
      <c r="M188" s="20"/>
      <c r="N188" s="20"/>
      <c r="O188" s="20"/>
      <c r="P188" s="20"/>
      <c r="Q188" s="17"/>
      <c r="T188" s="20">
        <v>1911</v>
      </c>
      <c r="U188" s="20">
        <v>1911</v>
      </c>
      <c r="V188" s="20">
        <v>1911</v>
      </c>
      <c r="W188" s="20">
        <f t="shared" si="5"/>
        <v>-1841.8</v>
      </c>
      <c r="X188" s="20">
        <f t="shared" si="5"/>
        <v>-1751</v>
      </c>
      <c r="Y188" s="20">
        <f t="shared" si="5"/>
        <v>-1751</v>
      </c>
    </row>
    <row r="189" spans="1:25" s="16" customFormat="1" ht="25.5">
      <c r="A189" s="108" t="str">
        <f t="shared" si="4"/>
        <v>601070500 0 00 00000000</v>
      </c>
      <c r="B189" s="194" t="s">
        <v>230</v>
      </c>
      <c r="C189" s="195" t="s">
        <v>64</v>
      </c>
      <c r="D189" s="196" t="s">
        <v>229</v>
      </c>
      <c r="E189" s="196" t="s">
        <v>86</v>
      </c>
      <c r="F189" s="196" t="s">
        <v>8</v>
      </c>
      <c r="G189" s="196" t="s">
        <v>9</v>
      </c>
      <c r="H189" s="19">
        <v>69.2</v>
      </c>
      <c r="I189" s="19">
        <v>160</v>
      </c>
      <c r="J189" s="19">
        <v>160</v>
      </c>
      <c r="K189" s="20"/>
      <c r="L189" s="20"/>
      <c r="M189" s="20"/>
      <c r="N189" s="20"/>
      <c r="O189" s="20"/>
      <c r="P189" s="20"/>
      <c r="Q189" s="17"/>
      <c r="T189" s="20">
        <v>1911</v>
      </c>
      <c r="U189" s="20">
        <v>1911</v>
      </c>
      <c r="V189" s="20">
        <v>1911</v>
      </c>
      <c r="W189" s="20">
        <f t="shared" si="5"/>
        <v>-1841.8</v>
      </c>
      <c r="X189" s="20">
        <f t="shared" si="5"/>
        <v>-1751</v>
      </c>
      <c r="Y189" s="20">
        <f t="shared" si="5"/>
        <v>-1751</v>
      </c>
    </row>
    <row r="190" spans="1:25" s="16" customFormat="1" ht="25.5">
      <c r="A190" s="108" t="str">
        <f t="shared" si="4"/>
        <v>601070513 0 00 00000000</v>
      </c>
      <c r="B190" s="201" t="s">
        <v>103</v>
      </c>
      <c r="C190" s="198" t="s">
        <v>64</v>
      </c>
      <c r="D190" s="199" t="s">
        <v>229</v>
      </c>
      <c r="E190" s="199" t="s">
        <v>86</v>
      </c>
      <c r="F190" s="199" t="s">
        <v>104</v>
      </c>
      <c r="G190" s="199" t="s">
        <v>9</v>
      </c>
      <c r="H190" s="20">
        <v>69.2</v>
      </c>
      <c r="I190" s="20">
        <v>160</v>
      </c>
      <c r="J190" s="20">
        <v>160</v>
      </c>
      <c r="K190" s="20"/>
      <c r="L190" s="20"/>
      <c r="M190" s="20"/>
      <c r="N190" s="20"/>
      <c r="O190" s="20"/>
      <c r="P190" s="20"/>
      <c r="Q190" s="17"/>
      <c r="T190" s="20">
        <v>1911</v>
      </c>
      <c r="U190" s="20">
        <v>1911</v>
      </c>
      <c r="V190" s="20">
        <v>1911</v>
      </c>
      <c r="W190" s="20">
        <f t="shared" si="5"/>
        <v>-1841.8</v>
      </c>
      <c r="X190" s="20">
        <f t="shared" si="5"/>
        <v>-1751</v>
      </c>
      <c r="Y190" s="20">
        <f t="shared" si="5"/>
        <v>-1751</v>
      </c>
    </row>
    <row r="191" spans="1:25" s="6" customFormat="1" ht="25.5">
      <c r="A191" s="108" t="str">
        <f t="shared" si="4"/>
        <v>601070513 1 00 00000000</v>
      </c>
      <c r="B191" s="201" t="s">
        <v>231</v>
      </c>
      <c r="C191" s="198" t="s">
        <v>64</v>
      </c>
      <c r="D191" s="199" t="s">
        <v>229</v>
      </c>
      <c r="E191" s="199" t="s">
        <v>86</v>
      </c>
      <c r="F191" s="199" t="s">
        <v>232</v>
      </c>
      <c r="G191" s="199" t="s">
        <v>9</v>
      </c>
      <c r="H191" s="20">
        <v>69.2</v>
      </c>
      <c r="I191" s="20">
        <v>160</v>
      </c>
      <c r="J191" s="20">
        <v>160</v>
      </c>
      <c r="K191" s="18"/>
      <c r="L191" s="18"/>
      <c r="M191" s="18"/>
      <c r="N191" s="18"/>
      <c r="O191" s="18"/>
      <c r="P191" s="18"/>
      <c r="Q191" s="17"/>
      <c r="T191" s="18">
        <v>20457.5</v>
      </c>
      <c r="U191" s="18">
        <v>20457.5</v>
      </c>
      <c r="V191" s="18">
        <v>20457.5</v>
      </c>
      <c r="W191" s="18">
        <f t="shared" si="5"/>
        <v>-20388.3</v>
      </c>
      <c r="X191" s="18">
        <f t="shared" si="5"/>
        <v>-20297.5</v>
      </c>
      <c r="Y191" s="18">
        <f t="shared" si="5"/>
        <v>-20297.5</v>
      </c>
    </row>
    <row r="192" spans="1:25" s="6" customFormat="1" ht="38.25">
      <c r="A192" s="108" t="str">
        <f t="shared" si="4"/>
        <v>601070513 1 01 00000000</v>
      </c>
      <c r="B192" s="201" t="s">
        <v>233</v>
      </c>
      <c r="C192" s="198" t="s">
        <v>64</v>
      </c>
      <c r="D192" s="199" t="s">
        <v>229</v>
      </c>
      <c r="E192" s="199" t="s">
        <v>86</v>
      </c>
      <c r="F192" s="199" t="s">
        <v>234</v>
      </c>
      <c r="G192" s="199" t="s">
        <v>9</v>
      </c>
      <c r="H192" s="20">
        <v>69.2</v>
      </c>
      <c r="I192" s="20">
        <v>160</v>
      </c>
      <c r="J192" s="20">
        <v>160</v>
      </c>
      <c r="K192" s="19"/>
      <c r="L192" s="19"/>
      <c r="M192" s="19"/>
      <c r="N192" s="19"/>
      <c r="O192" s="19"/>
      <c r="P192" s="19"/>
      <c r="Q192" s="17"/>
      <c r="T192" s="19">
        <v>5900.5</v>
      </c>
      <c r="U192" s="19">
        <v>5900.5</v>
      </c>
      <c r="V192" s="19">
        <v>5900.5</v>
      </c>
      <c r="W192" s="19">
        <f t="shared" si="5"/>
        <v>-5831.3</v>
      </c>
      <c r="X192" s="19">
        <f t="shared" si="5"/>
        <v>-5740.5</v>
      </c>
      <c r="Y192" s="19">
        <f t="shared" si="5"/>
        <v>-5740.5</v>
      </c>
    </row>
    <row r="193" spans="1:25" s="6" customFormat="1" ht="25.5">
      <c r="A193" s="108" t="str">
        <f t="shared" si="4"/>
        <v>601070513 1 01 20450000</v>
      </c>
      <c r="B193" s="201" t="s">
        <v>235</v>
      </c>
      <c r="C193" s="198" t="s">
        <v>64</v>
      </c>
      <c r="D193" s="199" t="s">
        <v>229</v>
      </c>
      <c r="E193" s="199" t="s">
        <v>86</v>
      </c>
      <c r="F193" s="199" t="s">
        <v>236</v>
      </c>
      <c r="G193" s="199" t="s">
        <v>9</v>
      </c>
      <c r="H193" s="20">
        <v>69.2</v>
      </c>
      <c r="I193" s="20">
        <v>160</v>
      </c>
      <c r="J193" s="20">
        <v>160</v>
      </c>
      <c r="K193" s="20"/>
      <c r="L193" s="20"/>
      <c r="M193" s="20"/>
      <c r="N193" s="20"/>
      <c r="O193" s="20"/>
      <c r="P193" s="20"/>
      <c r="Q193" s="17"/>
      <c r="T193" s="20">
        <v>5900.5</v>
      </c>
      <c r="U193" s="20">
        <v>5900.5</v>
      </c>
      <c r="V193" s="20">
        <v>5900.5</v>
      </c>
      <c r="W193" s="20">
        <f t="shared" si="5"/>
        <v>-5831.3</v>
      </c>
      <c r="X193" s="20">
        <f t="shared" si="5"/>
        <v>-5740.5</v>
      </c>
      <c r="Y193" s="20">
        <f t="shared" si="5"/>
        <v>-5740.5</v>
      </c>
    </row>
    <row r="194" spans="1:25" s="6" customFormat="1" ht="25.5">
      <c r="A194" s="108" t="str">
        <f t="shared" si="4"/>
        <v>601070513 1 01 20450240</v>
      </c>
      <c r="B194" s="197" t="s">
        <v>28</v>
      </c>
      <c r="C194" s="198" t="s">
        <v>64</v>
      </c>
      <c r="D194" s="199" t="s">
        <v>229</v>
      </c>
      <c r="E194" s="199" t="s">
        <v>86</v>
      </c>
      <c r="F194" s="199" t="s">
        <v>236</v>
      </c>
      <c r="G194" s="199" t="s">
        <v>29</v>
      </c>
      <c r="H194" s="20">
        <v>69.2</v>
      </c>
      <c r="I194" s="20">
        <v>160</v>
      </c>
      <c r="J194" s="20">
        <v>160</v>
      </c>
      <c r="K194" s="20"/>
      <c r="L194" s="20"/>
      <c r="M194" s="20"/>
      <c r="N194" s="20"/>
      <c r="O194" s="20"/>
      <c r="P194" s="20"/>
      <c r="Q194" s="17"/>
      <c r="T194" s="20">
        <v>5900.5</v>
      </c>
      <c r="U194" s="20">
        <v>5900.5</v>
      </c>
      <c r="V194" s="20">
        <v>5900.5</v>
      </c>
      <c r="W194" s="20">
        <f t="shared" si="5"/>
        <v>-5831.3</v>
      </c>
      <c r="X194" s="20">
        <f t="shared" si="5"/>
        <v>-5740.5</v>
      </c>
      <c r="Y194" s="20">
        <f t="shared" si="5"/>
        <v>-5740.5</v>
      </c>
    </row>
    <row r="195" spans="1:25" s="6" customFormat="1">
      <c r="A195" s="108" t="str">
        <f t="shared" si="4"/>
        <v>601080000 0 00 00000000</v>
      </c>
      <c r="B195" s="191" t="s">
        <v>237</v>
      </c>
      <c r="C195" s="192" t="s">
        <v>64</v>
      </c>
      <c r="D195" s="193" t="s">
        <v>238</v>
      </c>
      <c r="E195" s="193" t="s">
        <v>7</v>
      </c>
      <c r="F195" s="193" t="s">
        <v>8</v>
      </c>
      <c r="G195" s="193" t="s">
        <v>9</v>
      </c>
      <c r="H195" s="18">
        <v>1911</v>
      </c>
      <c r="I195" s="18">
        <v>1911</v>
      </c>
      <c r="J195" s="18">
        <v>1911</v>
      </c>
      <c r="K195" s="20"/>
      <c r="L195" s="20"/>
      <c r="M195" s="20"/>
      <c r="N195" s="20"/>
      <c r="O195" s="20"/>
      <c r="P195" s="20"/>
      <c r="Q195" s="17"/>
      <c r="T195" s="20">
        <v>5900.5</v>
      </c>
      <c r="U195" s="20">
        <v>5900.5</v>
      </c>
      <c r="V195" s="20">
        <v>5900.5</v>
      </c>
      <c r="W195" s="20">
        <f t="shared" si="5"/>
        <v>-3989.5</v>
      </c>
      <c r="X195" s="20">
        <f t="shared" si="5"/>
        <v>-3989.5</v>
      </c>
      <c r="Y195" s="20">
        <f t="shared" si="5"/>
        <v>-3989.5</v>
      </c>
    </row>
    <row r="196" spans="1:25" s="6" customFormat="1">
      <c r="A196" s="108" t="str">
        <f t="shared" si="4"/>
        <v>601080100 0 00 00000000</v>
      </c>
      <c r="B196" s="194" t="s">
        <v>239</v>
      </c>
      <c r="C196" s="195" t="s">
        <v>64</v>
      </c>
      <c r="D196" s="196" t="s">
        <v>238</v>
      </c>
      <c r="E196" s="196" t="s">
        <v>11</v>
      </c>
      <c r="F196" s="196" t="s">
        <v>8</v>
      </c>
      <c r="G196" s="196" t="s">
        <v>9</v>
      </c>
      <c r="H196" s="19">
        <v>1911</v>
      </c>
      <c r="I196" s="19">
        <v>1911</v>
      </c>
      <c r="J196" s="19">
        <v>1911</v>
      </c>
      <c r="K196" s="20"/>
      <c r="L196" s="20"/>
      <c r="M196" s="20"/>
      <c r="N196" s="20"/>
      <c r="O196" s="20"/>
      <c r="P196" s="20"/>
      <c r="Q196" s="17"/>
      <c r="T196" s="20">
        <v>5900.5</v>
      </c>
      <c r="U196" s="20">
        <v>5900.5</v>
      </c>
      <c r="V196" s="20">
        <v>5900.5</v>
      </c>
      <c r="W196" s="20">
        <f t="shared" si="5"/>
        <v>-3989.5</v>
      </c>
      <c r="X196" s="20">
        <f t="shared" si="5"/>
        <v>-3989.5</v>
      </c>
      <c r="Y196" s="20">
        <f t="shared" si="5"/>
        <v>-3989.5</v>
      </c>
    </row>
    <row r="197" spans="1:25" s="6" customFormat="1">
      <c r="A197" s="108" t="str">
        <f t="shared" si="4"/>
        <v>601080107 0 00 00000000</v>
      </c>
      <c r="B197" s="197" t="s">
        <v>240</v>
      </c>
      <c r="C197" s="198" t="s">
        <v>64</v>
      </c>
      <c r="D197" s="199" t="s">
        <v>238</v>
      </c>
      <c r="E197" s="199" t="s">
        <v>11</v>
      </c>
      <c r="F197" s="199" t="s">
        <v>241</v>
      </c>
      <c r="G197" s="199" t="s">
        <v>9</v>
      </c>
      <c r="H197" s="20">
        <v>1911</v>
      </c>
      <c r="I197" s="20">
        <v>1911</v>
      </c>
      <c r="J197" s="20">
        <v>1911</v>
      </c>
      <c r="K197" s="20"/>
      <c r="L197" s="20"/>
      <c r="M197" s="20"/>
      <c r="N197" s="20"/>
      <c r="O197" s="20"/>
      <c r="P197" s="20"/>
      <c r="Q197" s="17"/>
      <c r="T197" s="20">
        <v>5900.5</v>
      </c>
      <c r="U197" s="20">
        <v>5900.5</v>
      </c>
      <c r="V197" s="20">
        <v>5900.5</v>
      </c>
      <c r="W197" s="20">
        <f t="shared" si="5"/>
        <v>-3989.5</v>
      </c>
      <c r="X197" s="20">
        <f t="shared" si="5"/>
        <v>-3989.5</v>
      </c>
      <c r="Y197" s="20">
        <f t="shared" si="5"/>
        <v>-3989.5</v>
      </c>
    </row>
    <row r="198" spans="1:25" s="6" customFormat="1" ht="51">
      <c r="A198" s="108" t="str">
        <f t="shared" ref="A198:A261" si="6">C198&amp;D198&amp;E198&amp;F198&amp;G198</f>
        <v>601080107 1 00 00000000</v>
      </c>
      <c r="B198" s="201" t="s">
        <v>242</v>
      </c>
      <c r="C198" s="198" t="s">
        <v>64</v>
      </c>
      <c r="D198" s="199" t="s">
        <v>238</v>
      </c>
      <c r="E198" s="199" t="s">
        <v>11</v>
      </c>
      <c r="F198" s="199" t="s">
        <v>243</v>
      </c>
      <c r="G198" s="199" t="s">
        <v>9</v>
      </c>
      <c r="H198" s="20">
        <v>1911</v>
      </c>
      <c r="I198" s="20">
        <v>1911</v>
      </c>
      <c r="J198" s="20">
        <v>1911</v>
      </c>
      <c r="K198" s="19"/>
      <c r="L198" s="19"/>
      <c r="M198" s="19"/>
      <c r="N198" s="19"/>
      <c r="O198" s="19"/>
      <c r="P198" s="19"/>
      <c r="Q198" s="17"/>
      <c r="T198" s="19">
        <v>14557</v>
      </c>
      <c r="U198" s="19">
        <v>14557</v>
      </c>
      <c r="V198" s="19">
        <v>14557</v>
      </c>
      <c r="W198" s="19">
        <f t="shared" ref="W198:Y261" si="7">H198-T198</f>
        <v>-12646</v>
      </c>
      <c r="X198" s="19">
        <f t="shared" si="7"/>
        <v>-12646</v>
      </c>
      <c r="Y198" s="19">
        <f t="shared" si="7"/>
        <v>-12646</v>
      </c>
    </row>
    <row r="199" spans="1:25" s="16" customFormat="1" ht="63.75">
      <c r="A199" s="108" t="str">
        <f t="shared" si="6"/>
        <v>601080107 1 01 00000000</v>
      </c>
      <c r="B199" s="201" t="s">
        <v>244</v>
      </c>
      <c r="C199" s="198" t="s">
        <v>64</v>
      </c>
      <c r="D199" s="199" t="s">
        <v>238</v>
      </c>
      <c r="E199" s="199" t="s">
        <v>11</v>
      </c>
      <c r="F199" s="199" t="s">
        <v>245</v>
      </c>
      <c r="G199" s="199" t="s">
        <v>9</v>
      </c>
      <c r="H199" s="20">
        <v>1911</v>
      </c>
      <c r="I199" s="20">
        <v>1911</v>
      </c>
      <c r="J199" s="20">
        <v>1911</v>
      </c>
      <c r="K199" s="20"/>
      <c r="L199" s="20"/>
      <c r="M199" s="20"/>
      <c r="N199" s="20"/>
      <c r="O199" s="20"/>
      <c r="P199" s="20"/>
      <c r="Q199" s="17"/>
      <c r="T199" s="20">
        <v>14557</v>
      </c>
      <c r="U199" s="20">
        <v>14557</v>
      </c>
      <c r="V199" s="20">
        <v>14557</v>
      </c>
      <c r="W199" s="20">
        <f t="shared" si="7"/>
        <v>-12646</v>
      </c>
      <c r="X199" s="20">
        <f t="shared" si="7"/>
        <v>-12646</v>
      </c>
      <c r="Y199" s="20">
        <f t="shared" si="7"/>
        <v>-12646</v>
      </c>
    </row>
    <row r="200" spans="1:25" s="16" customFormat="1" ht="25.5">
      <c r="A200" s="108" t="str">
        <f t="shared" si="6"/>
        <v>601080107 1 01 20060000</v>
      </c>
      <c r="B200" s="201" t="s">
        <v>246</v>
      </c>
      <c r="C200" s="198" t="s">
        <v>64</v>
      </c>
      <c r="D200" s="199" t="s">
        <v>238</v>
      </c>
      <c r="E200" s="199" t="s">
        <v>11</v>
      </c>
      <c r="F200" s="199" t="s">
        <v>247</v>
      </c>
      <c r="G200" s="199" t="s">
        <v>9</v>
      </c>
      <c r="H200" s="20">
        <v>1911</v>
      </c>
      <c r="I200" s="20">
        <v>1911</v>
      </c>
      <c r="J200" s="20">
        <v>1911</v>
      </c>
      <c r="K200" s="20"/>
      <c r="L200" s="20"/>
      <c r="M200" s="20"/>
      <c r="N200" s="20"/>
      <c r="O200" s="20"/>
      <c r="P200" s="20"/>
      <c r="Q200" s="17"/>
      <c r="T200" s="20">
        <v>14557</v>
      </c>
      <c r="U200" s="20">
        <v>14557</v>
      </c>
      <c r="V200" s="20">
        <v>14557</v>
      </c>
      <c r="W200" s="20">
        <f t="shared" si="7"/>
        <v>-12646</v>
      </c>
      <c r="X200" s="20">
        <f t="shared" si="7"/>
        <v>-12646</v>
      </c>
      <c r="Y200" s="20">
        <f t="shared" si="7"/>
        <v>-12646</v>
      </c>
    </row>
    <row r="201" spans="1:25" s="6" customFormat="1" ht="25.5">
      <c r="A201" s="108" t="str">
        <f t="shared" si="6"/>
        <v>601080107 1 01 20060240</v>
      </c>
      <c r="B201" s="197" t="s">
        <v>28</v>
      </c>
      <c r="C201" s="198" t="s">
        <v>64</v>
      </c>
      <c r="D201" s="199" t="s">
        <v>238</v>
      </c>
      <c r="E201" s="199" t="s">
        <v>11</v>
      </c>
      <c r="F201" s="199" t="s">
        <v>247</v>
      </c>
      <c r="G201" s="199" t="s">
        <v>29</v>
      </c>
      <c r="H201" s="20">
        <v>1911</v>
      </c>
      <c r="I201" s="20">
        <v>1911</v>
      </c>
      <c r="J201" s="20">
        <v>1911</v>
      </c>
      <c r="K201" s="20"/>
      <c r="L201" s="20"/>
      <c r="M201" s="20"/>
      <c r="N201" s="20"/>
      <c r="O201" s="20"/>
      <c r="P201" s="20"/>
      <c r="Q201" s="17"/>
      <c r="T201" s="20">
        <v>1190</v>
      </c>
      <c r="U201" s="20">
        <v>1190</v>
      </c>
      <c r="V201" s="20">
        <v>1190</v>
      </c>
      <c r="W201" s="20">
        <f t="shared" si="7"/>
        <v>721</v>
      </c>
      <c r="X201" s="20">
        <f t="shared" si="7"/>
        <v>721</v>
      </c>
      <c r="Y201" s="20">
        <f t="shared" si="7"/>
        <v>721</v>
      </c>
    </row>
    <row r="202" spans="1:25" s="6" customFormat="1">
      <c r="A202" s="108" t="str">
        <f t="shared" si="6"/>
        <v>601120000 0 00 00000000</v>
      </c>
      <c r="B202" s="191" t="s">
        <v>56</v>
      </c>
      <c r="C202" s="192" t="s">
        <v>64</v>
      </c>
      <c r="D202" s="193" t="s">
        <v>57</v>
      </c>
      <c r="E202" s="193" t="s">
        <v>7</v>
      </c>
      <c r="F202" s="193" t="s">
        <v>8</v>
      </c>
      <c r="G202" s="193" t="s">
        <v>9</v>
      </c>
      <c r="H202" s="18">
        <v>20457.5</v>
      </c>
      <c r="I202" s="18">
        <v>20457.5</v>
      </c>
      <c r="J202" s="18">
        <v>20457.5</v>
      </c>
      <c r="K202" s="20"/>
      <c r="L202" s="20"/>
      <c r="M202" s="20"/>
      <c r="N202" s="20"/>
      <c r="O202" s="20"/>
      <c r="P202" s="20"/>
      <c r="Q202" s="17"/>
      <c r="T202" s="20">
        <v>1190</v>
      </c>
      <c r="U202" s="20">
        <v>1190</v>
      </c>
      <c r="V202" s="20">
        <v>1190</v>
      </c>
      <c r="W202" s="20">
        <f t="shared" si="7"/>
        <v>19267.5</v>
      </c>
      <c r="X202" s="20">
        <f t="shared" si="7"/>
        <v>19267.5</v>
      </c>
      <c r="Y202" s="20">
        <f t="shared" si="7"/>
        <v>19267.5</v>
      </c>
    </row>
    <row r="203" spans="1:25" s="6" customFormat="1">
      <c r="A203" s="108" t="str">
        <f t="shared" si="6"/>
        <v>601120100 0 00 00000000</v>
      </c>
      <c r="B203" s="194" t="s">
        <v>58</v>
      </c>
      <c r="C203" s="195" t="s">
        <v>64</v>
      </c>
      <c r="D203" s="196" t="s">
        <v>57</v>
      </c>
      <c r="E203" s="196" t="s">
        <v>11</v>
      </c>
      <c r="F203" s="196" t="s">
        <v>8</v>
      </c>
      <c r="G203" s="196" t="s">
        <v>9</v>
      </c>
      <c r="H203" s="19">
        <v>5900.5</v>
      </c>
      <c r="I203" s="19">
        <v>5900.5</v>
      </c>
      <c r="J203" s="19">
        <v>5900.5</v>
      </c>
      <c r="K203" s="20"/>
      <c r="L203" s="20"/>
      <c r="M203" s="20"/>
      <c r="N203" s="20"/>
      <c r="O203" s="20"/>
      <c r="P203" s="20"/>
      <c r="Q203" s="17"/>
      <c r="T203" s="20">
        <v>1190</v>
      </c>
      <c r="U203" s="20">
        <v>1190</v>
      </c>
      <c r="V203" s="20">
        <v>1190</v>
      </c>
      <c r="W203" s="20">
        <f t="shared" si="7"/>
        <v>4710.5</v>
      </c>
      <c r="X203" s="20">
        <f t="shared" si="7"/>
        <v>4710.5</v>
      </c>
      <c r="Y203" s="20">
        <f t="shared" si="7"/>
        <v>4710.5</v>
      </c>
    </row>
    <row r="204" spans="1:25" s="16" customFormat="1" ht="38.25">
      <c r="A204" s="108" t="str">
        <f t="shared" si="6"/>
        <v>601120114 0 00 00000000</v>
      </c>
      <c r="B204" s="201" t="s">
        <v>111</v>
      </c>
      <c r="C204" s="198" t="s">
        <v>64</v>
      </c>
      <c r="D204" s="199" t="s">
        <v>57</v>
      </c>
      <c r="E204" s="199" t="s">
        <v>11</v>
      </c>
      <c r="F204" s="199" t="s">
        <v>112</v>
      </c>
      <c r="G204" s="199" t="s">
        <v>9</v>
      </c>
      <c r="H204" s="20">
        <v>5900.5</v>
      </c>
      <c r="I204" s="20">
        <v>5900.5</v>
      </c>
      <c r="J204" s="20">
        <v>5900.5</v>
      </c>
      <c r="K204" s="20"/>
      <c r="L204" s="20"/>
      <c r="M204" s="20"/>
      <c r="N204" s="20"/>
      <c r="O204" s="20"/>
      <c r="P204" s="20"/>
      <c r="Q204" s="17"/>
      <c r="T204" s="20">
        <v>13367</v>
      </c>
      <c r="U204" s="20">
        <v>13367</v>
      </c>
      <c r="V204" s="20">
        <v>13367</v>
      </c>
      <c r="W204" s="20">
        <f t="shared" si="7"/>
        <v>-7466.5</v>
      </c>
      <c r="X204" s="20">
        <f t="shared" si="7"/>
        <v>-7466.5</v>
      </c>
      <c r="Y204" s="20">
        <f t="shared" si="7"/>
        <v>-7466.5</v>
      </c>
    </row>
    <row r="205" spans="1:25" s="16" customFormat="1" ht="25.5">
      <c r="A205" s="108" t="str">
        <f t="shared" si="6"/>
        <v>601120114 1 00 00000000</v>
      </c>
      <c r="B205" s="201" t="s">
        <v>113</v>
      </c>
      <c r="C205" s="198" t="s">
        <v>64</v>
      </c>
      <c r="D205" s="199" t="s">
        <v>57</v>
      </c>
      <c r="E205" s="199" t="s">
        <v>11</v>
      </c>
      <c r="F205" s="199" t="s">
        <v>114</v>
      </c>
      <c r="G205" s="199" t="s">
        <v>9</v>
      </c>
      <c r="H205" s="20">
        <v>5900.5</v>
      </c>
      <c r="I205" s="20">
        <v>5900.5</v>
      </c>
      <c r="J205" s="20">
        <v>5900.5</v>
      </c>
      <c r="K205" s="20"/>
      <c r="L205" s="20"/>
      <c r="M205" s="20"/>
      <c r="N205" s="20"/>
      <c r="O205" s="20"/>
      <c r="P205" s="20"/>
      <c r="Q205" s="17"/>
      <c r="T205" s="20">
        <v>13367</v>
      </c>
      <c r="U205" s="20">
        <v>13367</v>
      </c>
      <c r="V205" s="20">
        <v>13367</v>
      </c>
      <c r="W205" s="20">
        <f t="shared" si="7"/>
        <v>-7466.5</v>
      </c>
      <c r="X205" s="20">
        <f t="shared" si="7"/>
        <v>-7466.5</v>
      </c>
      <c r="Y205" s="20">
        <f t="shared" si="7"/>
        <v>-7466.5</v>
      </c>
    </row>
    <row r="206" spans="1:25" s="16" customFormat="1" ht="38.25">
      <c r="A206" s="108" t="str">
        <f t="shared" si="6"/>
        <v>601120114 1 03 00000000</v>
      </c>
      <c r="B206" s="201" t="s">
        <v>248</v>
      </c>
      <c r="C206" s="198" t="s">
        <v>64</v>
      </c>
      <c r="D206" s="199" t="s">
        <v>57</v>
      </c>
      <c r="E206" s="199" t="s">
        <v>11</v>
      </c>
      <c r="F206" s="199" t="s">
        <v>249</v>
      </c>
      <c r="G206" s="199" t="s">
        <v>9</v>
      </c>
      <c r="H206" s="20">
        <v>5900.5</v>
      </c>
      <c r="I206" s="20">
        <v>5900.5</v>
      </c>
      <c r="J206" s="20">
        <v>5900.5</v>
      </c>
      <c r="K206" s="20"/>
      <c r="L206" s="20"/>
      <c r="M206" s="20"/>
      <c r="N206" s="20"/>
      <c r="O206" s="20"/>
      <c r="P206" s="20"/>
      <c r="Q206" s="17"/>
      <c r="T206" s="20">
        <v>13367</v>
      </c>
      <c r="U206" s="20">
        <v>13367</v>
      </c>
      <c r="V206" s="20">
        <v>13367</v>
      </c>
      <c r="W206" s="20">
        <f t="shared" si="7"/>
        <v>-7466.5</v>
      </c>
      <c r="X206" s="20">
        <f t="shared" si="7"/>
        <v>-7466.5</v>
      </c>
      <c r="Y206" s="20">
        <f t="shared" si="7"/>
        <v>-7466.5</v>
      </c>
    </row>
    <row r="207" spans="1:25" s="16" customFormat="1" ht="25.5">
      <c r="A207" s="108" t="str">
        <f t="shared" si="6"/>
        <v>601120114 1 03 98710000</v>
      </c>
      <c r="B207" s="201" t="s">
        <v>59</v>
      </c>
      <c r="C207" s="198" t="s">
        <v>64</v>
      </c>
      <c r="D207" s="199" t="s">
        <v>57</v>
      </c>
      <c r="E207" s="199" t="s">
        <v>11</v>
      </c>
      <c r="F207" s="199" t="s">
        <v>250</v>
      </c>
      <c r="G207" s="199" t="s">
        <v>9</v>
      </c>
      <c r="H207" s="20">
        <v>5900.5</v>
      </c>
      <c r="I207" s="20">
        <v>5900.5</v>
      </c>
      <c r="J207" s="20">
        <v>5900.5</v>
      </c>
      <c r="K207" s="20"/>
      <c r="L207" s="20"/>
      <c r="M207" s="20"/>
      <c r="N207" s="20"/>
      <c r="O207" s="20"/>
      <c r="P207" s="20"/>
      <c r="Q207" s="17"/>
      <c r="T207" s="20"/>
      <c r="U207" s="20"/>
      <c r="V207" s="20"/>
      <c r="W207" s="20">
        <f t="shared" si="7"/>
        <v>5900.5</v>
      </c>
      <c r="X207" s="20">
        <f t="shared" si="7"/>
        <v>5900.5</v>
      </c>
      <c r="Y207" s="20">
        <f t="shared" si="7"/>
        <v>5900.5</v>
      </c>
    </row>
    <row r="208" spans="1:25" s="29" customFormat="1" ht="25.5">
      <c r="A208" s="108" t="str">
        <f t="shared" si="6"/>
        <v>601120114 1 03 98710240</v>
      </c>
      <c r="B208" s="197" t="s">
        <v>28</v>
      </c>
      <c r="C208" s="198" t="s">
        <v>64</v>
      </c>
      <c r="D208" s="199" t="s">
        <v>57</v>
      </c>
      <c r="E208" s="199" t="s">
        <v>11</v>
      </c>
      <c r="F208" s="199" t="s">
        <v>250</v>
      </c>
      <c r="G208" s="199" t="s">
        <v>29</v>
      </c>
      <c r="H208" s="20">
        <v>5900.5</v>
      </c>
      <c r="I208" s="20">
        <v>5900.5</v>
      </c>
      <c r="J208" s="20">
        <v>5900.5</v>
      </c>
      <c r="K208" s="25"/>
      <c r="L208" s="25"/>
      <c r="M208" s="25"/>
      <c r="N208" s="25"/>
      <c r="O208" s="25"/>
      <c r="P208" s="25"/>
      <c r="Q208" s="17"/>
      <c r="T208" s="25">
        <v>137512.19</v>
      </c>
      <c r="U208" s="25">
        <v>92836.180000000008</v>
      </c>
      <c r="V208" s="25">
        <v>83049.05</v>
      </c>
      <c r="W208" s="25">
        <f t="shared" si="7"/>
        <v>-131611.69</v>
      </c>
      <c r="X208" s="25">
        <f t="shared" si="7"/>
        <v>-86935.680000000008</v>
      </c>
      <c r="Y208" s="25">
        <f t="shared" si="7"/>
        <v>-77148.55</v>
      </c>
    </row>
    <row r="209" spans="1:25" s="29" customFormat="1">
      <c r="A209" s="108" t="str">
        <f t="shared" si="6"/>
        <v>601120200 0 00 00000000</v>
      </c>
      <c r="B209" s="194" t="s">
        <v>61</v>
      </c>
      <c r="C209" s="195" t="s">
        <v>64</v>
      </c>
      <c r="D209" s="196" t="s">
        <v>57</v>
      </c>
      <c r="E209" s="196" t="s">
        <v>62</v>
      </c>
      <c r="F209" s="196" t="s">
        <v>8</v>
      </c>
      <c r="G209" s="196" t="s">
        <v>9</v>
      </c>
      <c r="H209" s="19">
        <v>14557</v>
      </c>
      <c r="I209" s="19">
        <v>14557</v>
      </c>
      <c r="J209" s="19">
        <v>14557</v>
      </c>
      <c r="K209" s="18"/>
      <c r="L209" s="18"/>
      <c r="M209" s="18"/>
      <c r="N209" s="18"/>
      <c r="O209" s="18"/>
      <c r="P209" s="18"/>
      <c r="Q209" s="17"/>
      <c r="T209" s="18">
        <v>79909.000000000015</v>
      </c>
      <c r="U209" s="18">
        <v>74852.42</v>
      </c>
      <c r="V209" s="18">
        <v>74852.42</v>
      </c>
      <c r="W209" s="18">
        <f t="shared" si="7"/>
        <v>-65352.000000000015</v>
      </c>
      <c r="X209" s="18">
        <f t="shared" si="7"/>
        <v>-60295.42</v>
      </c>
      <c r="Y209" s="18">
        <f t="shared" si="7"/>
        <v>-60295.42</v>
      </c>
    </row>
    <row r="210" spans="1:25" s="29" customFormat="1" ht="38.25">
      <c r="A210" s="108" t="str">
        <f t="shared" si="6"/>
        <v>601120214 0 00 00000000</v>
      </c>
      <c r="B210" s="201" t="s">
        <v>111</v>
      </c>
      <c r="C210" s="198" t="s">
        <v>64</v>
      </c>
      <c r="D210" s="199" t="s">
        <v>57</v>
      </c>
      <c r="E210" s="199" t="s">
        <v>62</v>
      </c>
      <c r="F210" s="199" t="s">
        <v>112</v>
      </c>
      <c r="G210" s="199" t="s">
        <v>9</v>
      </c>
      <c r="H210" s="20">
        <v>14557</v>
      </c>
      <c r="I210" s="20">
        <v>14557</v>
      </c>
      <c r="J210" s="20">
        <v>14557</v>
      </c>
      <c r="K210" s="19"/>
      <c r="L210" s="19"/>
      <c r="M210" s="19"/>
      <c r="N210" s="19"/>
      <c r="O210" s="19"/>
      <c r="P210" s="19"/>
      <c r="Q210" s="17"/>
      <c r="T210" s="19">
        <v>79909.000000000015</v>
      </c>
      <c r="U210" s="19">
        <v>74852.42</v>
      </c>
      <c r="V210" s="19">
        <v>74852.42</v>
      </c>
      <c r="W210" s="19">
        <f t="shared" si="7"/>
        <v>-65352.000000000015</v>
      </c>
      <c r="X210" s="19">
        <f t="shared" si="7"/>
        <v>-60295.42</v>
      </c>
      <c r="Y210" s="19">
        <f t="shared" si="7"/>
        <v>-60295.42</v>
      </c>
    </row>
    <row r="211" spans="1:25" s="29" customFormat="1" ht="25.5">
      <c r="A211" s="108" t="str">
        <f t="shared" si="6"/>
        <v>601120214 1 00 00000000</v>
      </c>
      <c r="B211" s="201" t="s">
        <v>113</v>
      </c>
      <c r="C211" s="198" t="s">
        <v>64</v>
      </c>
      <c r="D211" s="199" t="s">
        <v>57</v>
      </c>
      <c r="E211" s="199" t="s">
        <v>62</v>
      </c>
      <c r="F211" s="199" t="s">
        <v>114</v>
      </c>
      <c r="G211" s="199" t="s">
        <v>9</v>
      </c>
      <c r="H211" s="20">
        <v>14557</v>
      </c>
      <c r="I211" s="20">
        <v>14557</v>
      </c>
      <c r="J211" s="20">
        <v>14557</v>
      </c>
      <c r="K211" s="20"/>
      <c r="L211" s="20"/>
      <c r="M211" s="20"/>
      <c r="N211" s="20"/>
      <c r="O211" s="20"/>
      <c r="P211" s="20"/>
      <c r="Q211" s="17"/>
      <c r="T211" s="20">
        <v>5342.96</v>
      </c>
      <c r="U211" s="20">
        <v>5342.96</v>
      </c>
      <c r="V211" s="20">
        <v>5342.96</v>
      </c>
      <c r="W211" s="20">
        <f t="shared" si="7"/>
        <v>9214.0400000000009</v>
      </c>
      <c r="X211" s="20">
        <f t="shared" si="7"/>
        <v>9214.0400000000009</v>
      </c>
      <c r="Y211" s="20">
        <f t="shared" si="7"/>
        <v>9214.0400000000009</v>
      </c>
    </row>
    <row r="212" spans="1:25" s="29" customFormat="1" ht="38.25">
      <c r="A212" s="108" t="str">
        <f t="shared" si="6"/>
        <v>601120214 1 03 00000000</v>
      </c>
      <c r="B212" s="201" t="s">
        <v>248</v>
      </c>
      <c r="C212" s="198" t="s">
        <v>64</v>
      </c>
      <c r="D212" s="199" t="s">
        <v>57</v>
      </c>
      <c r="E212" s="199" t="s">
        <v>62</v>
      </c>
      <c r="F212" s="199" t="s">
        <v>249</v>
      </c>
      <c r="G212" s="199" t="s">
        <v>9</v>
      </c>
      <c r="H212" s="20">
        <v>1190</v>
      </c>
      <c r="I212" s="20">
        <v>1190</v>
      </c>
      <c r="J212" s="20">
        <v>1190</v>
      </c>
      <c r="K212" s="20"/>
      <c r="L212" s="20"/>
      <c r="M212" s="20"/>
      <c r="N212" s="20"/>
      <c r="O212" s="20"/>
      <c r="P212" s="20"/>
      <c r="Q212" s="17"/>
      <c r="T212" s="20">
        <v>5342.96</v>
      </c>
      <c r="U212" s="20">
        <v>5342.96</v>
      </c>
      <c r="V212" s="20">
        <v>5342.96</v>
      </c>
      <c r="W212" s="20">
        <f t="shared" si="7"/>
        <v>-4152.96</v>
      </c>
      <c r="X212" s="20">
        <f t="shared" si="7"/>
        <v>-4152.96</v>
      </c>
      <c r="Y212" s="20">
        <f t="shared" si="7"/>
        <v>-4152.96</v>
      </c>
    </row>
    <row r="213" spans="1:25" s="29" customFormat="1" ht="25.5">
      <c r="A213" s="108" t="str">
        <f t="shared" si="6"/>
        <v>601120214 1 03 98710000</v>
      </c>
      <c r="B213" s="201" t="s">
        <v>59</v>
      </c>
      <c r="C213" s="198" t="s">
        <v>64</v>
      </c>
      <c r="D213" s="199" t="s">
        <v>57</v>
      </c>
      <c r="E213" s="199" t="s">
        <v>62</v>
      </c>
      <c r="F213" s="199" t="s">
        <v>250</v>
      </c>
      <c r="G213" s="199" t="s">
        <v>9</v>
      </c>
      <c r="H213" s="20">
        <v>1190</v>
      </c>
      <c r="I213" s="20">
        <v>1190</v>
      </c>
      <c r="J213" s="20">
        <v>1190</v>
      </c>
      <c r="K213" s="20"/>
      <c r="L213" s="20"/>
      <c r="M213" s="20"/>
      <c r="N213" s="20"/>
      <c r="O213" s="20"/>
      <c r="P213" s="20"/>
      <c r="Q213" s="17"/>
      <c r="T213" s="20">
        <v>4770.92</v>
      </c>
      <c r="U213" s="20">
        <v>4770.92</v>
      </c>
      <c r="V213" s="20">
        <v>4770.92</v>
      </c>
      <c r="W213" s="20">
        <f t="shared" si="7"/>
        <v>-3580.92</v>
      </c>
      <c r="X213" s="20">
        <f t="shared" si="7"/>
        <v>-3580.92</v>
      </c>
      <c r="Y213" s="20">
        <f t="shared" si="7"/>
        <v>-3580.92</v>
      </c>
    </row>
    <row r="214" spans="1:25" s="29" customFormat="1" ht="25.5">
      <c r="A214" s="108" t="str">
        <f t="shared" si="6"/>
        <v>601120214 1 03 98710240</v>
      </c>
      <c r="B214" s="197" t="s">
        <v>28</v>
      </c>
      <c r="C214" s="198" t="s">
        <v>64</v>
      </c>
      <c r="D214" s="199" t="s">
        <v>57</v>
      </c>
      <c r="E214" s="199" t="s">
        <v>62</v>
      </c>
      <c r="F214" s="199" t="s">
        <v>250</v>
      </c>
      <c r="G214" s="199" t="s">
        <v>29</v>
      </c>
      <c r="H214" s="20">
        <v>1190</v>
      </c>
      <c r="I214" s="20">
        <v>1190</v>
      </c>
      <c r="J214" s="20">
        <v>1190</v>
      </c>
      <c r="K214" s="20"/>
      <c r="L214" s="20"/>
      <c r="M214" s="20"/>
      <c r="N214" s="20"/>
      <c r="O214" s="20"/>
      <c r="P214" s="20"/>
      <c r="Q214" s="17"/>
      <c r="T214" s="20">
        <v>1261</v>
      </c>
      <c r="U214" s="20">
        <v>1261</v>
      </c>
      <c r="V214" s="20">
        <v>1261</v>
      </c>
      <c r="W214" s="20">
        <f t="shared" si="7"/>
        <v>-71</v>
      </c>
      <c r="X214" s="20">
        <f t="shared" si="7"/>
        <v>-71</v>
      </c>
      <c r="Y214" s="20">
        <f t="shared" si="7"/>
        <v>-71</v>
      </c>
    </row>
    <row r="215" spans="1:25" s="29" customFormat="1" ht="38.25">
      <c r="A215" s="108" t="str">
        <f t="shared" si="6"/>
        <v>601120214 1 04 00000000</v>
      </c>
      <c r="B215" s="201" t="s">
        <v>251</v>
      </c>
      <c r="C215" s="198" t="s">
        <v>64</v>
      </c>
      <c r="D215" s="199" t="s">
        <v>57</v>
      </c>
      <c r="E215" s="199" t="s">
        <v>62</v>
      </c>
      <c r="F215" s="199" t="s">
        <v>252</v>
      </c>
      <c r="G215" s="199" t="s">
        <v>9</v>
      </c>
      <c r="H215" s="20">
        <v>13367</v>
      </c>
      <c r="I215" s="20">
        <v>13367</v>
      </c>
      <c r="J215" s="20">
        <v>13367</v>
      </c>
      <c r="K215" s="20"/>
      <c r="L215" s="20"/>
      <c r="M215" s="20"/>
      <c r="N215" s="20"/>
      <c r="O215" s="20"/>
      <c r="P215" s="20"/>
      <c r="Q215" s="17"/>
      <c r="T215" s="20">
        <v>1250</v>
      </c>
      <c r="U215" s="20">
        <v>1250</v>
      </c>
      <c r="V215" s="20">
        <v>1250</v>
      </c>
      <c r="W215" s="20">
        <f t="shared" si="7"/>
        <v>12117</v>
      </c>
      <c r="X215" s="20">
        <f t="shared" si="7"/>
        <v>12117</v>
      </c>
      <c r="Y215" s="20">
        <f t="shared" si="7"/>
        <v>12117</v>
      </c>
    </row>
    <row r="216" spans="1:25" s="29" customFormat="1" ht="25.5">
      <c r="A216" s="108" t="str">
        <f t="shared" si="6"/>
        <v>601120214 1 04 98720000</v>
      </c>
      <c r="B216" s="201" t="s">
        <v>253</v>
      </c>
      <c r="C216" s="198" t="s">
        <v>64</v>
      </c>
      <c r="D216" s="199" t="s">
        <v>57</v>
      </c>
      <c r="E216" s="199" t="s">
        <v>62</v>
      </c>
      <c r="F216" s="199" t="s">
        <v>254</v>
      </c>
      <c r="G216" s="199" t="s">
        <v>9</v>
      </c>
      <c r="H216" s="20">
        <v>13367</v>
      </c>
      <c r="I216" s="20">
        <v>13367</v>
      </c>
      <c r="J216" s="20">
        <v>13367</v>
      </c>
      <c r="K216" s="20"/>
      <c r="L216" s="20"/>
      <c r="M216" s="20"/>
      <c r="N216" s="20"/>
      <c r="O216" s="20"/>
      <c r="P216" s="20"/>
      <c r="Q216" s="17"/>
      <c r="T216" s="20">
        <v>11</v>
      </c>
      <c r="U216" s="20">
        <v>11</v>
      </c>
      <c r="V216" s="20">
        <v>11</v>
      </c>
      <c r="W216" s="20">
        <f t="shared" si="7"/>
        <v>13356</v>
      </c>
      <c r="X216" s="20">
        <f t="shared" si="7"/>
        <v>13356</v>
      </c>
      <c r="Y216" s="20">
        <f t="shared" si="7"/>
        <v>13356</v>
      </c>
    </row>
    <row r="217" spans="1:25" s="29" customFormat="1" ht="38.25">
      <c r="A217" s="108" t="str">
        <f t="shared" si="6"/>
        <v>601120214 1 04 98720810</v>
      </c>
      <c r="B217" s="201" t="s">
        <v>203</v>
      </c>
      <c r="C217" s="198" t="s">
        <v>64</v>
      </c>
      <c r="D217" s="199" t="s">
        <v>57</v>
      </c>
      <c r="E217" s="199" t="s">
        <v>62</v>
      </c>
      <c r="F217" s="199" t="s">
        <v>254</v>
      </c>
      <c r="G217" s="199" t="s">
        <v>204</v>
      </c>
      <c r="H217" s="20">
        <v>13367</v>
      </c>
      <c r="I217" s="20">
        <v>13367</v>
      </c>
      <c r="J217" s="20">
        <v>13367</v>
      </c>
      <c r="K217" s="20"/>
      <c r="L217" s="20"/>
      <c r="M217" s="20"/>
      <c r="N217" s="20"/>
      <c r="O217" s="20"/>
      <c r="P217" s="20"/>
      <c r="Q217" s="17"/>
      <c r="T217" s="20">
        <v>1703.92</v>
      </c>
      <c r="U217" s="20">
        <v>1703.92</v>
      </c>
      <c r="V217" s="20">
        <v>1703.92</v>
      </c>
      <c r="W217" s="20">
        <f t="shared" si="7"/>
        <v>11663.08</v>
      </c>
      <c r="X217" s="20">
        <f t="shared" si="7"/>
        <v>11663.08</v>
      </c>
      <c r="Y217" s="20">
        <f t="shared" si="7"/>
        <v>11663.08</v>
      </c>
    </row>
    <row r="218" spans="1:25" s="29" customFormat="1">
      <c r="A218" s="108" t="str">
        <f t="shared" si="6"/>
        <v/>
      </c>
      <c r="B218" s="201"/>
      <c r="C218" s="198"/>
      <c r="D218" s="199"/>
      <c r="E218" s="199"/>
      <c r="F218" s="199"/>
      <c r="G218" s="199"/>
      <c r="H218" s="20"/>
      <c r="I218" s="20"/>
      <c r="J218" s="20"/>
      <c r="K218" s="20"/>
      <c r="L218" s="20"/>
      <c r="M218" s="20"/>
      <c r="N218" s="20"/>
      <c r="O218" s="20"/>
      <c r="P218" s="20"/>
      <c r="Q218" s="17"/>
      <c r="T218" s="20">
        <v>1703.92</v>
      </c>
      <c r="U218" s="20">
        <v>1703.92</v>
      </c>
      <c r="V218" s="20">
        <v>1703.92</v>
      </c>
      <c r="W218" s="20">
        <f t="shared" si="7"/>
        <v>-1703.92</v>
      </c>
      <c r="X218" s="20">
        <f t="shared" si="7"/>
        <v>-1703.92</v>
      </c>
      <c r="Y218" s="20">
        <f t="shared" si="7"/>
        <v>-1703.92</v>
      </c>
    </row>
    <row r="219" spans="1:25" s="29" customFormat="1" ht="25.5">
      <c r="A219" s="108" t="str">
        <f t="shared" si="6"/>
        <v>602000000 0 00 00000000</v>
      </c>
      <c r="B219" s="202" t="s">
        <v>255</v>
      </c>
      <c r="C219" s="189" t="s">
        <v>256</v>
      </c>
      <c r="D219" s="190" t="s">
        <v>7</v>
      </c>
      <c r="E219" s="190" t="s">
        <v>7</v>
      </c>
      <c r="F219" s="190" t="s">
        <v>8</v>
      </c>
      <c r="G219" s="190" t="s">
        <v>9</v>
      </c>
      <c r="H219" s="25">
        <v>147052.07000000004</v>
      </c>
      <c r="I219" s="25">
        <v>95334.920000000013</v>
      </c>
      <c r="J219" s="25">
        <v>85547.790000000008</v>
      </c>
      <c r="K219" s="20"/>
      <c r="L219" s="20"/>
      <c r="M219" s="20"/>
      <c r="N219" s="20"/>
      <c r="O219" s="20"/>
      <c r="P219" s="20"/>
      <c r="Q219" s="17"/>
      <c r="T219" s="20">
        <v>1806</v>
      </c>
      <c r="U219" s="20">
        <v>1806</v>
      </c>
      <c r="V219" s="20">
        <v>1806</v>
      </c>
      <c r="W219" s="20">
        <f t="shared" si="7"/>
        <v>145246.07000000004</v>
      </c>
      <c r="X219" s="20">
        <f t="shared" si="7"/>
        <v>93528.920000000013</v>
      </c>
      <c r="Y219" s="20">
        <f t="shared" si="7"/>
        <v>83741.790000000008</v>
      </c>
    </row>
    <row r="220" spans="1:25" s="29" customFormat="1">
      <c r="A220" s="108" t="str">
        <f t="shared" si="6"/>
        <v>602010000 0 00 00000000</v>
      </c>
      <c r="B220" s="191" t="s">
        <v>10</v>
      </c>
      <c r="C220" s="192" t="s">
        <v>256</v>
      </c>
      <c r="D220" s="193" t="s">
        <v>11</v>
      </c>
      <c r="E220" s="193" t="s">
        <v>7</v>
      </c>
      <c r="F220" s="193" t="s">
        <v>8</v>
      </c>
      <c r="G220" s="193" t="s">
        <v>9</v>
      </c>
      <c r="H220" s="18">
        <v>84616.380000000019</v>
      </c>
      <c r="I220" s="18">
        <v>77351.16</v>
      </c>
      <c r="J220" s="18">
        <v>77351.16</v>
      </c>
      <c r="K220" s="20"/>
      <c r="L220" s="20"/>
      <c r="M220" s="20"/>
      <c r="N220" s="20"/>
      <c r="O220" s="20"/>
      <c r="P220" s="20"/>
      <c r="Q220" s="17"/>
      <c r="T220" s="20">
        <v>1806</v>
      </c>
      <c r="U220" s="20">
        <v>1806</v>
      </c>
      <c r="V220" s="20">
        <v>1806</v>
      </c>
      <c r="W220" s="20">
        <f t="shared" si="7"/>
        <v>82810.380000000019</v>
      </c>
      <c r="X220" s="20">
        <f t="shared" si="7"/>
        <v>75545.16</v>
      </c>
      <c r="Y220" s="20">
        <f t="shared" si="7"/>
        <v>75545.16</v>
      </c>
    </row>
    <row r="221" spans="1:25" s="29" customFormat="1">
      <c r="A221" s="108" t="str">
        <f t="shared" si="6"/>
        <v>602011300 0 00 00000000</v>
      </c>
      <c r="B221" s="194" t="s">
        <v>50</v>
      </c>
      <c r="C221" s="195" t="s">
        <v>256</v>
      </c>
      <c r="D221" s="196" t="s">
        <v>11</v>
      </c>
      <c r="E221" s="196" t="s">
        <v>51</v>
      </c>
      <c r="F221" s="196" t="s">
        <v>8</v>
      </c>
      <c r="G221" s="196" t="s">
        <v>9</v>
      </c>
      <c r="H221" s="19">
        <v>84616.380000000019</v>
      </c>
      <c r="I221" s="19">
        <v>77351.16</v>
      </c>
      <c r="J221" s="19">
        <v>77351.16</v>
      </c>
      <c r="K221" s="20"/>
      <c r="L221" s="20"/>
      <c r="M221" s="20"/>
      <c r="N221" s="20"/>
      <c r="O221" s="20"/>
      <c r="P221" s="20"/>
      <c r="Q221" s="17"/>
      <c r="T221" s="20">
        <v>572.04</v>
      </c>
      <c r="U221" s="20">
        <v>572.04</v>
      </c>
      <c r="V221" s="20">
        <v>572.04</v>
      </c>
      <c r="W221" s="20">
        <f t="shared" si="7"/>
        <v>84044.340000000026</v>
      </c>
      <c r="X221" s="20">
        <f t="shared" si="7"/>
        <v>76779.12000000001</v>
      </c>
      <c r="Y221" s="20">
        <f t="shared" si="7"/>
        <v>76779.12000000001</v>
      </c>
    </row>
    <row r="222" spans="1:25" s="29" customFormat="1" ht="38.25">
      <c r="A222" s="108" t="str">
        <f t="shared" si="6"/>
        <v>602011311 0 00 00000000</v>
      </c>
      <c r="B222" s="205" t="s">
        <v>257</v>
      </c>
      <c r="C222" s="198" t="s">
        <v>256</v>
      </c>
      <c r="D222" s="199" t="s">
        <v>11</v>
      </c>
      <c r="E222" s="199" t="s">
        <v>51</v>
      </c>
      <c r="F222" s="199" t="s">
        <v>258</v>
      </c>
      <c r="G222" s="199" t="s">
        <v>9</v>
      </c>
      <c r="H222" s="20">
        <v>5151.96</v>
      </c>
      <c r="I222" s="20">
        <v>5342.96</v>
      </c>
      <c r="J222" s="20">
        <v>5342.96</v>
      </c>
      <c r="K222" s="20"/>
      <c r="L222" s="20"/>
      <c r="M222" s="20"/>
      <c r="N222" s="20"/>
      <c r="O222" s="20"/>
      <c r="P222" s="20"/>
      <c r="Q222" s="17"/>
      <c r="T222" s="20">
        <v>572.04</v>
      </c>
      <c r="U222" s="20">
        <v>572.04</v>
      </c>
      <c r="V222" s="20">
        <v>572.04</v>
      </c>
      <c r="W222" s="20">
        <f t="shared" si="7"/>
        <v>4579.92</v>
      </c>
      <c r="X222" s="20">
        <f t="shared" si="7"/>
        <v>4770.92</v>
      </c>
      <c r="Y222" s="20">
        <f t="shared" si="7"/>
        <v>4770.92</v>
      </c>
    </row>
    <row r="223" spans="1:25" s="29" customFormat="1" ht="51">
      <c r="A223" s="108" t="str">
        <f t="shared" si="6"/>
        <v>602011311 Б 00 00000000</v>
      </c>
      <c r="B223" s="205" t="s">
        <v>259</v>
      </c>
      <c r="C223" s="198" t="s">
        <v>256</v>
      </c>
      <c r="D223" s="199" t="s">
        <v>11</v>
      </c>
      <c r="E223" s="199" t="s">
        <v>51</v>
      </c>
      <c r="F223" s="199" t="s">
        <v>260</v>
      </c>
      <c r="G223" s="199" t="s">
        <v>9</v>
      </c>
      <c r="H223" s="20">
        <v>5151.96</v>
      </c>
      <c r="I223" s="20">
        <v>5342.96</v>
      </c>
      <c r="J223" s="20">
        <v>5342.96</v>
      </c>
      <c r="K223" s="20"/>
      <c r="L223" s="20"/>
      <c r="M223" s="20"/>
      <c r="N223" s="20"/>
      <c r="O223" s="20"/>
      <c r="P223" s="20"/>
      <c r="Q223" s="17"/>
      <c r="T223" s="20">
        <v>572.04</v>
      </c>
      <c r="U223" s="20">
        <v>572.04</v>
      </c>
      <c r="V223" s="20">
        <v>572.04</v>
      </c>
      <c r="W223" s="20">
        <f t="shared" si="7"/>
        <v>4579.92</v>
      </c>
      <c r="X223" s="20">
        <f t="shared" si="7"/>
        <v>4770.92</v>
      </c>
      <c r="Y223" s="20">
        <f t="shared" si="7"/>
        <v>4770.92</v>
      </c>
    </row>
    <row r="224" spans="1:25" s="16" customFormat="1" ht="38.25">
      <c r="A224" s="108" t="str">
        <f t="shared" si="6"/>
        <v>602011311 Б 01 00000000</v>
      </c>
      <c r="B224" s="197" t="s">
        <v>261</v>
      </c>
      <c r="C224" s="198" t="s">
        <v>256</v>
      </c>
      <c r="D224" s="199" t="s">
        <v>11</v>
      </c>
      <c r="E224" s="199" t="s">
        <v>51</v>
      </c>
      <c r="F224" s="199" t="s">
        <v>262</v>
      </c>
      <c r="G224" s="199" t="s">
        <v>9</v>
      </c>
      <c r="H224" s="20">
        <v>4579.92</v>
      </c>
      <c r="I224" s="20">
        <v>4770.92</v>
      </c>
      <c r="J224" s="20">
        <v>4770.92</v>
      </c>
      <c r="K224" s="27"/>
      <c r="L224" s="27"/>
      <c r="M224" s="27"/>
      <c r="N224" s="27"/>
      <c r="O224" s="27"/>
      <c r="P224" s="27"/>
      <c r="Q224" s="17"/>
      <c r="T224" s="27">
        <v>3350</v>
      </c>
      <c r="U224" s="27">
        <v>0</v>
      </c>
      <c r="V224" s="27">
        <v>0</v>
      </c>
      <c r="W224" s="27">
        <f t="shared" si="7"/>
        <v>1229.92</v>
      </c>
      <c r="X224" s="27">
        <f t="shared" si="7"/>
        <v>4770.92</v>
      </c>
      <c r="Y224" s="27">
        <f t="shared" si="7"/>
        <v>4770.92</v>
      </c>
    </row>
    <row r="225" spans="1:25" s="16" customFormat="1" ht="51">
      <c r="A225" s="108" t="str">
        <f t="shared" si="6"/>
        <v>602011311 Б 01 20030000</v>
      </c>
      <c r="B225" s="197" t="s">
        <v>263</v>
      </c>
      <c r="C225" s="198" t="s">
        <v>256</v>
      </c>
      <c r="D225" s="199" t="s">
        <v>11</v>
      </c>
      <c r="E225" s="199" t="s">
        <v>51</v>
      </c>
      <c r="F225" s="199" t="s">
        <v>264</v>
      </c>
      <c r="G225" s="199" t="s">
        <v>9</v>
      </c>
      <c r="H225" s="20">
        <v>1070</v>
      </c>
      <c r="I225" s="20">
        <v>1261</v>
      </c>
      <c r="J225" s="20">
        <v>1261</v>
      </c>
      <c r="K225" s="27"/>
      <c r="L225" s="27"/>
      <c r="M225" s="27"/>
      <c r="N225" s="27"/>
      <c r="O225" s="27"/>
      <c r="P225" s="27"/>
      <c r="Q225" s="17"/>
      <c r="T225" s="27">
        <v>3350</v>
      </c>
      <c r="U225" s="27">
        <v>0</v>
      </c>
      <c r="V225" s="27">
        <v>0</v>
      </c>
      <c r="W225" s="27">
        <f t="shared" si="7"/>
        <v>-2280</v>
      </c>
      <c r="X225" s="27">
        <f t="shared" si="7"/>
        <v>1261</v>
      </c>
      <c r="Y225" s="27">
        <f t="shared" si="7"/>
        <v>1261</v>
      </c>
    </row>
    <row r="226" spans="1:25" s="16" customFormat="1" ht="25.5">
      <c r="A226" s="108" t="str">
        <f t="shared" si="6"/>
        <v>602011311 Б 01 20030240</v>
      </c>
      <c r="B226" s="197" t="s">
        <v>28</v>
      </c>
      <c r="C226" s="198" t="s">
        <v>256</v>
      </c>
      <c r="D226" s="199" t="s">
        <v>11</v>
      </c>
      <c r="E226" s="199" t="s">
        <v>51</v>
      </c>
      <c r="F226" s="199" t="s">
        <v>264</v>
      </c>
      <c r="G226" s="199" t="s">
        <v>29</v>
      </c>
      <c r="H226" s="20">
        <v>1059</v>
      </c>
      <c r="I226" s="20">
        <v>1250</v>
      </c>
      <c r="J226" s="20">
        <v>1250</v>
      </c>
      <c r="K226" s="27"/>
      <c r="L226" s="27"/>
      <c r="M226" s="27"/>
      <c r="N226" s="27"/>
      <c r="O226" s="27"/>
      <c r="P226" s="27"/>
      <c r="Q226" s="17"/>
      <c r="T226" s="27">
        <v>0</v>
      </c>
      <c r="U226" s="27">
        <v>0</v>
      </c>
      <c r="V226" s="27">
        <v>0</v>
      </c>
      <c r="W226" s="27">
        <f t="shared" si="7"/>
        <v>1059</v>
      </c>
      <c r="X226" s="27">
        <f t="shared" si="7"/>
        <v>1250</v>
      </c>
      <c r="Y226" s="27">
        <f t="shared" si="7"/>
        <v>1250</v>
      </c>
    </row>
    <row r="227" spans="1:25" s="16" customFormat="1">
      <c r="A227" s="108" t="str">
        <f t="shared" si="6"/>
        <v>602011311 Б 01 20030850</v>
      </c>
      <c r="B227" s="197" t="s">
        <v>32</v>
      </c>
      <c r="C227" s="198" t="s">
        <v>256</v>
      </c>
      <c r="D227" s="199" t="s">
        <v>11</v>
      </c>
      <c r="E227" s="199" t="s">
        <v>51</v>
      </c>
      <c r="F227" s="199" t="s">
        <v>264</v>
      </c>
      <c r="G227" s="199" t="s">
        <v>33</v>
      </c>
      <c r="H227" s="20">
        <v>11</v>
      </c>
      <c r="I227" s="20">
        <v>11</v>
      </c>
      <c r="J227" s="20">
        <v>11</v>
      </c>
      <c r="K227" s="27"/>
      <c r="L227" s="27"/>
      <c r="M227" s="27"/>
      <c r="N227" s="27"/>
      <c r="O227" s="27"/>
      <c r="P227" s="27"/>
      <c r="Q227" s="17"/>
      <c r="T227" s="27">
        <v>0</v>
      </c>
      <c r="U227" s="27">
        <v>0</v>
      </c>
      <c r="V227" s="27">
        <v>0</v>
      </c>
      <c r="W227" s="27">
        <f t="shared" si="7"/>
        <v>11</v>
      </c>
      <c r="X227" s="27">
        <f t="shared" si="7"/>
        <v>11</v>
      </c>
      <c r="Y227" s="27">
        <f t="shared" si="7"/>
        <v>11</v>
      </c>
    </row>
    <row r="228" spans="1:25" s="16" customFormat="1" ht="25.5">
      <c r="A228" s="108" t="str">
        <f t="shared" si="6"/>
        <v>602011311 Б 01 20070000</v>
      </c>
      <c r="B228" s="197" t="s">
        <v>265</v>
      </c>
      <c r="C228" s="198" t="s">
        <v>256</v>
      </c>
      <c r="D228" s="199" t="s">
        <v>11</v>
      </c>
      <c r="E228" s="199" t="s">
        <v>51</v>
      </c>
      <c r="F228" s="199" t="s">
        <v>266</v>
      </c>
      <c r="G228" s="199" t="s">
        <v>9</v>
      </c>
      <c r="H228" s="20">
        <v>1703.92</v>
      </c>
      <c r="I228" s="20">
        <v>1703.92</v>
      </c>
      <c r="J228" s="20">
        <v>1703.92</v>
      </c>
      <c r="K228" s="20"/>
      <c r="L228" s="20"/>
      <c r="M228" s="20"/>
      <c r="N228" s="20"/>
      <c r="O228" s="20"/>
      <c r="P228" s="20"/>
      <c r="Q228" s="17"/>
      <c r="T228" s="20">
        <v>0</v>
      </c>
      <c r="U228" s="20">
        <v>0</v>
      </c>
      <c r="V228" s="20">
        <v>0</v>
      </c>
      <c r="W228" s="20">
        <f t="shared" si="7"/>
        <v>1703.92</v>
      </c>
      <c r="X228" s="20">
        <f t="shared" si="7"/>
        <v>1703.92</v>
      </c>
      <c r="Y228" s="20">
        <f t="shared" si="7"/>
        <v>1703.92</v>
      </c>
    </row>
    <row r="229" spans="1:25" s="16" customFormat="1" ht="25.5">
      <c r="A229" s="108" t="str">
        <f t="shared" si="6"/>
        <v>602011311 Б 01 20070240</v>
      </c>
      <c r="B229" s="197" t="s">
        <v>28</v>
      </c>
      <c r="C229" s="198" t="s">
        <v>256</v>
      </c>
      <c r="D229" s="199" t="s">
        <v>11</v>
      </c>
      <c r="E229" s="199" t="s">
        <v>51</v>
      </c>
      <c r="F229" s="199" t="s">
        <v>266</v>
      </c>
      <c r="G229" s="199" t="s">
        <v>29</v>
      </c>
      <c r="H229" s="20">
        <v>1703.92</v>
      </c>
      <c r="I229" s="20">
        <v>1703.92</v>
      </c>
      <c r="J229" s="20">
        <v>1703.92</v>
      </c>
      <c r="K229" s="20"/>
      <c r="L229" s="20"/>
      <c r="M229" s="20"/>
      <c r="N229" s="20"/>
      <c r="O229" s="20"/>
      <c r="P229" s="20"/>
      <c r="Q229" s="17"/>
      <c r="T229" s="20">
        <v>0</v>
      </c>
      <c r="U229" s="20">
        <v>0</v>
      </c>
      <c r="V229" s="20">
        <v>0</v>
      </c>
      <c r="W229" s="20">
        <f t="shared" si="7"/>
        <v>1703.92</v>
      </c>
      <c r="X229" s="20">
        <f t="shared" si="7"/>
        <v>1703.92</v>
      </c>
      <c r="Y229" s="20">
        <f t="shared" si="7"/>
        <v>1703.92</v>
      </c>
    </row>
    <row r="230" spans="1:25" s="16" customFormat="1" ht="25.5">
      <c r="A230" s="108" t="str">
        <f t="shared" si="6"/>
        <v>602011311 Б 01 21120000</v>
      </c>
      <c r="B230" s="197" t="s">
        <v>267</v>
      </c>
      <c r="C230" s="198" t="s">
        <v>256</v>
      </c>
      <c r="D230" s="199" t="s">
        <v>11</v>
      </c>
      <c r="E230" s="199" t="s">
        <v>51</v>
      </c>
      <c r="F230" s="199" t="s">
        <v>268</v>
      </c>
      <c r="G230" s="199" t="s">
        <v>9</v>
      </c>
      <c r="H230" s="20">
        <v>1806</v>
      </c>
      <c r="I230" s="20">
        <v>1806</v>
      </c>
      <c r="J230" s="20">
        <v>1806</v>
      </c>
      <c r="K230" s="20"/>
      <c r="L230" s="20"/>
      <c r="M230" s="20"/>
      <c r="N230" s="20"/>
      <c r="O230" s="20"/>
      <c r="P230" s="20"/>
      <c r="Q230" s="17"/>
      <c r="T230" s="20">
        <v>0</v>
      </c>
      <c r="U230" s="20">
        <v>0</v>
      </c>
      <c r="V230" s="20">
        <v>0</v>
      </c>
      <c r="W230" s="20">
        <f t="shared" si="7"/>
        <v>1806</v>
      </c>
      <c r="X230" s="20">
        <f t="shared" si="7"/>
        <v>1806</v>
      </c>
      <c r="Y230" s="20">
        <f t="shared" si="7"/>
        <v>1806</v>
      </c>
    </row>
    <row r="231" spans="1:25" s="16" customFormat="1" ht="25.5">
      <c r="A231" s="108" t="str">
        <f t="shared" si="6"/>
        <v>602011311 Б 01 21120240</v>
      </c>
      <c r="B231" s="197" t="s">
        <v>28</v>
      </c>
      <c r="C231" s="198" t="s">
        <v>256</v>
      </c>
      <c r="D231" s="199" t="s">
        <v>11</v>
      </c>
      <c r="E231" s="199" t="s">
        <v>51</v>
      </c>
      <c r="F231" s="199" t="s">
        <v>268</v>
      </c>
      <c r="G231" s="199" t="s">
        <v>29</v>
      </c>
      <c r="H231" s="20">
        <v>1806</v>
      </c>
      <c r="I231" s="20">
        <v>1806</v>
      </c>
      <c r="J231" s="20">
        <v>1806</v>
      </c>
      <c r="K231" s="20"/>
      <c r="L231" s="20"/>
      <c r="M231" s="20"/>
      <c r="N231" s="20"/>
      <c r="O231" s="20"/>
      <c r="P231" s="20"/>
      <c r="Q231" s="17"/>
      <c r="T231" s="20">
        <v>3350</v>
      </c>
      <c r="U231" s="20">
        <v>0</v>
      </c>
      <c r="V231" s="20">
        <v>0</v>
      </c>
      <c r="W231" s="20">
        <f t="shared" si="7"/>
        <v>-1544</v>
      </c>
      <c r="X231" s="20">
        <f t="shared" si="7"/>
        <v>1806</v>
      </c>
      <c r="Y231" s="20">
        <f t="shared" si="7"/>
        <v>1806</v>
      </c>
    </row>
    <row r="232" spans="1:25" s="16" customFormat="1" ht="51">
      <c r="A232" s="108" t="str">
        <f t="shared" si="6"/>
        <v>602011311 Б 03 00000000</v>
      </c>
      <c r="B232" s="315" t="s">
        <v>269</v>
      </c>
      <c r="C232" s="198" t="s">
        <v>256</v>
      </c>
      <c r="D232" s="199" t="s">
        <v>11</v>
      </c>
      <c r="E232" s="199" t="s">
        <v>51</v>
      </c>
      <c r="F232" s="199" t="s">
        <v>270</v>
      </c>
      <c r="G232" s="199" t="s">
        <v>9</v>
      </c>
      <c r="H232" s="20">
        <v>572.04</v>
      </c>
      <c r="I232" s="20">
        <v>572.04</v>
      </c>
      <c r="J232" s="20">
        <v>572.04</v>
      </c>
      <c r="K232" s="20"/>
      <c r="L232" s="20"/>
      <c r="M232" s="20"/>
      <c r="N232" s="20"/>
      <c r="O232" s="20"/>
      <c r="P232" s="20"/>
      <c r="Q232" s="17"/>
      <c r="T232" s="20">
        <v>3000</v>
      </c>
      <c r="U232" s="20">
        <v>0</v>
      </c>
      <c r="V232" s="20">
        <v>0</v>
      </c>
      <c r="W232" s="20">
        <f t="shared" si="7"/>
        <v>-2427.96</v>
      </c>
      <c r="X232" s="20">
        <f t="shared" si="7"/>
        <v>572.04</v>
      </c>
      <c r="Y232" s="20">
        <f t="shared" si="7"/>
        <v>572.04</v>
      </c>
    </row>
    <row r="233" spans="1:25" s="16" customFormat="1" ht="51">
      <c r="A233" s="108" t="str">
        <f t="shared" si="6"/>
        <v>602011311 Б 03 20340000</v>
      </c>
      <c r="B233" s="197" t="s">
        <v>271</v>
      </c>
      <c r="C233" s="198" t="s">
        <v>256</v>
      </c>
      <c r="D233" s="199" t="s">
        <v>11</v>
      </c>
      <c r="E233" s="199" t="s">
        <v>51</v>
      </c>
      <c r="F233" s="199" t="s">
        <v>272</v>
      </c>
      <c r="G233" s="199" t="s">
        <v>9</v>
      </c>
      <c r="H233" s="20">
        <v>572.04</v>
      </c>
      <c r="I233" s="20">
        <v>572.04</v>
      </c>
      <c r="J233" s="20">
        <v>572.04</v>
      </c>
      <c r="K233" s="20"/>
      <c r="L233" s="20"/>
      <c r="M233" s="20"/>
      <c r="N233" s="20"/>
      <c r="O233" s="20"/>
      <c r="P233" s="20"/>
      <c r="Q233" s="17"/>
      <c r="T233" s="20">
        <v>3000</v>
      </c>
      <c r="U233" s="20">
        <v>0</v>
      </c>
      <c r="V233" s="20">
        <v>0</v>
      </c>
      <c r="W233" s="20">
        <f t="shared" si="7"/>
        <v>-2427.96</v>
      </c>
      <c r="X233" s="20">
        <f t="shared" si="7"/>
        <v>572.04</v>
      </c>
      <c r="Y233" s="20">
        <f t="shared" si="7"/>
        <v>572.04</v>
      </c>
    </row>
    <row r="234" spans="1:25" s="16" customFormat="1" ht="25.5">
      <c r="A234" s="108" t="str">
        <f t="shared" si="6"/>
        <v>602011311 Б 03 20340240</v>
      </c>
      <c r="B234" s="197" t="s">
        <v>28</v>
      </c>
      <c r="C234" s="198" t="s">
        <v>256</v>
      </c>
      <c r="D234" s="199" t="s">
        <v>11</v>
      </c>
      <c r="E234" s="199" t="s">
        <v>51</v>
      </c>
      <c r="F234" s="199" t="s">
        <v>272</v>
      </c>
      <c r="G234" s="199" t="s">
        <v>29</v>
      </c>
      <c r="H234" s="20">
        <v>572.04</v>
      </c>
      <c r="I234" s="20">
        <v>572.04</v>
      </c>
      <c r="J234" s="20">
        <v>572.04</v>
      </c>
      <c r="K234" s="20"/>
      <c r="L234" s="20"/>
      <c r="M234" s="20"/>
      <c r="N234" s="20"/>
      <c r="O234" s="20"/>
      <c r="P234" s="20"/>
      <c r="Q234" s="17"/>
      <c r="T234" s="20">
        <v>350</v>
      </c>
      <c r="U234" s="20">
        <v>0</v>
      </c>
      <c r="V234" s="20">
        <v>0</v>
      </c>
      <c r="W234" s="20">
        <f t="shared" si="7"/>
        <v>222.03999999999996</v>
      </c>
      <c r="X234" s="20">
        <f t="shared" si="7"/>
        <v>572.04</v>
      </c>
      <c r="Y234" s="20">
        <f t="shared" si="7"/>
        <v>572.04</v>
      </c>
    </row>
    <row r="235" spans="1:25" s="16" customFormat="1" ht="38.25">
      <c r="A235" s="108" t="str">
        <f t="shared" si="6"/>
        <v>602011315 0 00 00000000</v>
      </c>
      <c r="B235" s="200" t="s">
        <v>146</v>
      </c>
      <c r="C235" s="198" t="s">
        <v>256</v>
      </c>
      <c r="D235" s="203" t="s">
        <v>11</v>
      </c>
      <c r="E235" s="203">
        <v>13</v>
      </c>
      <c r="F235" s="203" t="s">
        <v>147</v>
      </c>
      <c r="G235" s="203" t="s">
        <v>9</v>
      </c>
      <c r="H235" s="27">
        <v>4750</v>
      </c>
      <c r="I235" s="27">
        <v>0</v>
      </c>
      <c r="J235" s="27">
        <v>0</v>
      </c>
      <c r="K235" s="20"/>
      <c r="L235" s="20"/>
      <c r="M235" s="20"/>
      <c r="N235" s="20"/>
      <c r="O235" s="20"/>
      <c r="P235" s="20"/>
      <c r="Q235" s="17"/>
      <c r="T235" s="20">
        <v>350</v>
      </c>
      <c r="U235" s="20">
        <v>0</v>
      </c>
      <c r="V235" s="20">
        <v>0</v>
      </c>
      <c r="W235" s="20">
        <f t="shared" si="7"/>
        <v>4400</v>
      </c>
      <c r="X235" s="20">
        <f t="shared" si="7"/>
        <v>0</v>
      </c>
      <c r="Y235" s="20">
        <f t="shared" si="7"/>
        <v>0</v>
      </c>
    </row>
    <row r="236" spans="1:25" s="29" customFormat="1" ht="38.25">
      <c r="A236" s="108" t="str">
        <f t="shared" si="6"/>
        <v>602011315 1 00 00000000</v>
      </c>
      <c r="B236" s="197" t="s">
        <v>1065</v>
      </c>
      <c r="C236" s="198" t="s">
        <v>256</v>
      </c>
      <c r="D236" s="203" t="s">
        <v>11</v>
      </c>
      <c r="E236" s="203">
        <v>13</v>
      </c>
      <c r="F236" s="203" t="s">
        <v>149</v>
      </c>
      <c r="G236" s="203" t="s">
        <v>9</v>
      </c>
      <c r="H236" s="27">
        <v>4750</v>
      </c>
      <c r="I236" s="27">
        <v>0</v>
      </c>
      <c r="J236" s="27">
        <v>0</v>
      </c>
      <c r="K236" s="20"/>
      <c r="L236" s="20"/>
      <c r="M236" s="20"/>
      <c r="N236" s="20"/>
      <c r="O236" s="20"/>
      <c r="P236" s="20"/>
      <c r="Q236" s="17"/>
      <c r="T236" s="20">
        <v>70948.040000000008</v>
      </c>
      <c r="U236" s="20">
        <v>69509.459999999992</v>
      </c>
      <c r="V236" s="20">
        <v>69509.459999999992</v>
      </c>
      <c r="W236" s="20">
        <f t="shared" si="7"/>
        <v>-66198.040000000008</v>
      </c>
      <c r="X236" s="20">
        <f t="shared" si="7"/>
        <v>-69509.459999999992</v>
      </c>
      <c r="Y236" s="20">
        <f t="shared" si="7"/>
        <v>-69509.459999999992</v>
      </c>
    </row>
    <row r="237" spans="1:25" s="29" customFormat="1" ht="51">
      <c r="A237" s="108" t="str">
        <f t="shared" si="6"/>
        <v>602011315 1 04 00000000</v>
      </c>
      <c r="B237" s="214" t="s">
        <v>1068</v>
      </c>
      <c r="C237" s="198" t="s">
        <v>256</v>
      </c>
      <c r="D237" s="203" t="s">
        <v>11</v>
      </c>
      <c r="E237" s="203">
        <v>13</v>
      </c>
      <c r="F237" s="203" t="s">
        <v>1069</v>
      </c>
      <c r="G237" s="203" t="s">
        <v>9</v>
      </c>
      <c r="H237" s="20">
        <v>4750</v>
      </c>
      <c r="I237" s="20">
        <v>0</v>
      </c>
      <c r="J237" s="20">
        <v>0</v>
      </c>
      <c r="K237" s="20"/>
      <c r="L237" s="20"/>
      <c r="M237" s="20"/>
      <c r="N237" s="20"/>
      <c r="O237" s="20"/>
      <c r="P237" s="20"/>
      <c r="Q237" s="17"/>
      <c r="T237" s="20">
        <v>70521.91</v>
      </c>
      <c r="U237" s="20">
        <v>69509.459999999992</v>
      </c>
      <c r="V237" s="20">
        <v>69509.459999999992</v>
      </c>
      <c r="W237" s="20">
        <f t="shared" si="7"/>
        <v>-65771.91</v>
      </c>
      <c r="X237" s="20">
        <f t="shared" si="7"/>
        <v>-69509.459999999992</v>
      </c>
      <c r="Y237" s="20">
        <f t="shared" si="7"/>
        <v>-69509.459999999992</v>
      </c>
    </row>
    <row r="238" spans="1:25" s="29" customFormat="1" ht="25.5">
      <c r="A238" s="108" t="str">
        <f t="shared" si="6"/>
        <v>602011315 1 04 20350000</v>
      </c>
      <c r="B238" s="214" t="s">
        <v>152</v>
      </c>
      <c r="C238" s="198" t="s">
        <v>256</v>
      </c>
      <c r="D238" s="203" t="s">
        <v>11</v>
      </c>
      <c r="E238" s="203">
        <v>13</v>
      </c>
      <c r="F238" s="203" t="s">
        <v>1070</v>
      </c>
      <c r="G238" s="203" t="s">
        <v>9</v>
      </c>
      <c r="H238" s="27">
        <v>3000</v>
      </c>
      <c r="I238" s="27">
        <v>0</v>
      </c>
      <c r="J238" s="27">
        <v>0</v>
      </c>
      <c r="K238" s="20"/>
      <c r="L238" s="20"/>
      <c r="M238" s="20"/>
      <c r="N238" s="20"/>
      <c r="O238" s="20"/>
      <c r="P238" s="20"/>
      <c r="Q238" s="17"/>
      <c r="T238" s="20">
        <v>11610.390000000003</v>
      </c>
      <c r="U238" s="20">
        <v>10597.939999999999</v>
      </c>
      <c r="V238" s="20">
        <v>10597.939999999999</v>
      </c>
      <c r="W238" s="20">
        <f t="shared" si="7"/>
        <v>-8610.3900000000031</v>
      </c>
      <c r="X238" s="20">
        <f t="shared" si="7"/>
        <v>-10597.939999999999</v>
      </c>
      <c r="Y238" s="20">
        <f t="shared" si="7"/>
        <v>-10597.939999999999</v>
      </c>
    </row>
    <row r="239" spans="1:25" s="29" customFormat="1" ht="25.5">
      <c r="A239" s="108" t="str">
        <f t="shared" si="6"/>
        <v>602011315 1 04 20350240</v>
      </c>
      <c r="B239" s="214" t="s">
        <v>28</v>
      </c>
      <c r="C239" s="198" t="s">
        <v>256</v>
      </c>
      <c r="D239" s="203" t="s">
        <v>11</v>
      </c>
      <c r="E239" s="203">
        <v>13</v>
      </c>
      <c r="F239" s="203" t="s">
        <v>1070</v>
      </c>
      <c r="G239" s="203" t="s">
        <v>29</v>
      </c>
      <c r="H239" s="20">
        <v>3000</v>
      </c>
      <c r="I239" s="20">
        <v>0</v>
      </c>
      <c r="J239" s="20">
        <v>0</v>
      </c>
      <c r="K239" s="20"/>
      <c r="L239" s="20"/>
      <c r="M239" s="20"/>
      <c r="N239" s="20"/>
      <c r="O239" s="20"/>
      <c r="P239" s="20"/>
      <c r="Q239" s="17"/>
      <c r="T239" s="20">
        <v>1571.79</v>
      </c>
      <c r="U239" s="20">
        <v>1571.79</v>
      </c>
      <c r="V239" s="20">
        <v>1571.79</v>
      </c>
      <c r="W239" s="20">
        <f t="shared" si="7"/>
        <v>1428.21</v>
      </c>
      <c r="X239" s="20">
        <f t="shared" si="7"/>
        <v>-1571.79</v>
      </c>
      <c r="Y239" s="20">
        <f t="shared" si="7"/>
        <v>-1571.79</v>
      </c>
    </row>
    <row r="240" spans="1:25" s="29" customFormat="1" ht="38.25">
      <c r="A240" s="108" t="str">
        <f t="shared" si="6"/>
        <v>602011315 1 04 77310000</v>
      </c>
      <c r="B240" s="214" t="s">
        <v>1178</v>
      </c>
      <c r="C240" s="198" t="s">
        <v>256</v>
      </c>
      <c r="D240" s="203" t="s">
        <v>11</v>
      </c>
      <c r="E240" s="203">
        <v>13</v>
      </c>
      <c r="F240" s="203" t="s">
        <v>1179</v>
      </c>
      <c r="G240" s="203" t="s">
        <v>9</v>
      </c>
      <c r="H240" s="20">
        <v>1400</v>
      </c>
      <c r="I240" s="20">
        <v>0</v>
      </c>
      <c r="J240" s="20">
        <v>0</v>
      </c>
      <c r="K240" s="20"/>
      <c r="L240" s="20"/>
      <c r="M240" s="20"/>
      <c r="N240" s="20"/>
      <c r="O240" s="20"/>
      <c r="P240" s="20"/>
      <c r="Q240" s="17"/>
      <c r="T240" s="20">
        <v>9928.9000000000015</v>
      </c>
      <c r="U240" s="20">
        <v>8947.15</v>
      </c>
      <c r="V240" s="20">
        <v>8947.15</v>
      </c>
      <c r="W240" s="20">
        <f t="shared" si="7"/>
        <v>-8528.9000000000015</v>
      </c>
      <c r="X240" s="20">
        <f t="shared" si="7"/>
        <v>-8947.15</v>
      </c>
      <c r="Y240" s="20">
        <f t="shared" si="7"/>
        <v>-8947.15</v>
      </c>
    </row>
    <row r="241" spans="1:25" s="29" customFormat="1" ht="25.5">
      <c r="A241" s="108" t="str">
        <f t="shared" si="6"/>
        <v>602011315 1 04 77310240</v>
      </c>
      <c r="B241" s="214" t="s">
        <v>28</v>
      </c>
      <c r="C241" s="198" t="s">
        <v>256</v>
      </c>
      <c r="D241" s="203" t="s">
        <v>11</v>
      </c>
      <c r="E241" s="203">
        <v>13</v>
      </c>
      <c r="F241" s="203" t="s">
        <v>1179</v>
      </c>
      <c r="G241" s="203" t="s">
        <v>29</v>
      </c>
      <c r="H241" s="20">
        <v>1400</v>
      </c>
      <c r="I241" s="20">
        <v>0</v>
      </c>
      <c r="J241" s="20">
        <v>0</v>
      </c>
      <c r="K241" s="20"/>
      <c r="L241" s="20"/>
      <c r="M241" s="20"/>
      <c r="N241" s="20"/>
      <c r="O241" s="20"/>
      <c r="P241" s="20"/>
      <c r="Q241" s="17"/>
      <c r="T241" s="20">
        <v>109.7</v>
      </c>
      <c r="U241" s="20">
        <v>79</v>
      </c>
      <c r="V241" s="20">
        <v>79</v>
      </c>
      <c r="W241" s="20">
        <f t="shared" si="7"/>
        <v>1290.3</v>
      </c>
      <c r="X241" s="20">
        <f t="shared" si="7"/>
        <v>-79</v>
      </c>
      <c r="Y241" s="20">
        <f t="shared" si="7"/>
        <v>-79</v>
      </c>
    </row>
    <row r="242" spans="1:25" s="29" customFormat="1" ht="38.25">
      <c r="A242" s="108" t="str">
        <f t="shared" si="6"/>
        <v>602011315 1 04 S7310000</v>
      </c>
      <c r="B242" s="214" t="s">
        <v>1039</v>
      </c>
      <c r="C242" s="198" t="s">
        <v>256</v>
      </c>
      <c r="D242" s="203" t="s">
        <v>11</v>
      </c>
      <c r="E242" s="203">
        <v>13</v>
      </c>
      <c r="F242" s="203" t="s">
        <v>1086</v>
      </c>
      <c r="G242" s="203" t="s">
        <v>9</v>
      </c>
      <c r="H242" s="20">
        <v>350</v>
      </c>
      <c r="I242" s="20">
        <v>0</v>
      </c>
      <c r="J242" s="20">
        <v>0</v>
      </c>
      <c r="K242" s="20"/>
      <c r="L242" s="20"/>
      <c r="M242" s="20"/>
      <c r="N242" s="20"/>
      <c r="O242" s="20"/>
      <c r="P242" s="20"/>
      <c r="Q242" s="17"/>
      <c r="T242" s="20">
        <v>58911.519999999997</v>
      </c>
      <c r="U242" s="20">
        <v>58911.519999999997</v>
      </c>
      <c r="V242" s="20">
        <v>58911.519999999997</v>
      </c>
      <c r="W242" s="20">
        <f t="shared" si="7"/>
        <v>-58561.52</v>
      </c>
      <c r="X242" s="20">
        <f t="shared" si="7"/>
        <v>-58911.519999999997</v>
      </c>
      <c r="Y242" s="20">
        <f t="shared" si="7"/>
        <v>-58911.519999999997</v>
      </c>
    </row>
    <row r="243" spans="1:25" s="29" customFormat="1" ht="25.5">
      <c r="A243" s="108" t="str">
        <f t="shared" si="6"/>
        <v>602011315 1 04 S7310240</v>
      </c>
      <c r="B243" s="214" t="s">
        <v>28</v>
      </c>
      <c r="C243" s="198" t="s">
        <v>256</v>
      </c>
      <c r="D243" s="203" t="s">
        <v>11</v>
      </c>
      <c r="E243" s="203">
        <v>13</v>
      </c>
      <c r="F243" s="203" t="s">
        <v>1086</v>
      </c>
      <c r="G243" s="203" t="s">
        <v>29</v>
      </c>
      <c r="H243" s="20">
        <v>350</v>
      </c>
      <c r="I243" s="20">
        <v>0</v>
      </c>
      <c r="J243" s="20">
        <v>0</v>
      </c>
      <c r="K243" s="20"/>
      <c r="L243" s="20"/>
      <c r="M243" s="20"/>
      <c r="N243" s="20"/>
      <c r="O243" s="20"/>
      <c r="P243" s="20"/>
      <c r="Q243" s="17"/>
      <c r="T243" s="20">
        <v>58911.519999999997</v>
      </c>
      <c r="U243" s="20">
        <v>58911.519999999997</v>
      </c>
      <c r="V243" s="20">
        <v>58911.519999999997</v>
      </c>
      <c r="W243" s="20">
        <f t="shared" si="7"/>
        <v>-58561.52</v>
      </c>
      <c r="X243" s="20">
        <f t="shared" si="7"/>
        <v>-58911.519999999997</v>
      </c>
      <c r="Y243" s="20">
        <f t="shared" si="7"/>
        <v>-58911.519999999997</v>
      </c>
    </row>
    <row r="244" spans="1:25" s="29" customFormat="1" ht="25.5">
      <c r="A244" s="108" t="str">
        <f t="shared" si="6"/>
        <v>602011372 0 00 00000000</v>
      </c>
      <c r="B244" s="197" t="s">
        <v>276</v>
      </c>
      <c r="C244" s="198" t="s">
        <v>256</v>
      </c>
      <c r="D244" s="199" t="s">
        <v>11</v>
      </c>
      <c r="E244" s="199" t="s">
        <v>51</v>
      </c>
      <c r="F244" s="199" t="s">
        <v>277</v>
      </c>
      <c r="G244" s="199" t="s">
        <v>9</v>
      </c>
      <c r="H244" s="20">
        <v>74446.420000000013</v>
      </c>
      <c r="I244" s="20">
        <v>72008.2</v>
      </c>
      <c r="J244" s="20">
        <v>72008.2</v>
      </c>
      <c r="K244" s="20"/>
      <c r="L244" s="20"/>
      <c r="M244" s="20"/>
      <c r="N244" s="20"/>
      <c r="O244" s="20"/>
      <c r="P244" s="20"/>
      <c r="Q244" s="17"/>
      <c r="T244" s="20">
        <v>426.13</v>
      </c>
      <c r="U244" s="20">
        <v>0</v>
      </c>
      <c r="V244" s="20">
        <v>0</v>
      </c>
      <c r="W244" s="20">
        <f t="shared" si="7"/>
        <v>74020.290000000008</v>
      </c>
      <c r="X244" s="20">
        <f t="shared" si="7"/>
        <v>72008.2</v>
      </c>
      <c r="Y244" s="20">
        <f t="shared" si="7"/>
        <v>72008.2</v>
      </c>
    </row>
    <row r="245" spans="1:25" s="29" customFormat="1" ht="38.25">
      <c r="A245" s="108" t="str">
        <f t="shared" si="6"/>
        <v>602011372 1 00 00000000</v>
      </c>
      <c r="B245" s="197" t="s">
        <v>278</v>
      </c>
      <c r="C245" s="198" t="s">
        <v>256</v>
      </c>
      <c r="D245" s="199" t="s">
        <v>11</v>
      </c>
      <c r="E245" s="199" t="s">
        <v>51</v>
      </c>
      <c r="F245" s="199" t="s">
        <v>279</v>
      </c>
      <c r="G245" s="199" t="s">
        <v>9</v>
      </c>
      <c r="H245" s="20">
        <v>73894.430000000008</v>
      </c>
      <c r="I245" s="20">
        <v>72008.2</v>
      </c>
      <c r="J245" s="20">
        <v>72008.2</v>
      </c>
      <c r="K245" s="20"/>
      <c r="L245" s="20"/>
      <c r="M245" s="20"/>
      <c r="N245" s="20"/>
      <c r="O245" s="20"/>
      <c r="P245" s="20"/>
      <c r="Q245" s="17"/>
      <c r="T245" s="20">
        <v>426.13</v>
      </c>
      <c r="U245" s="20">
        <v>0</v>
      </c>
      <c r="V245" s="20">
        <v>0</v>
      </c>
      <c r="W245" s="20">
        <f t="shared" si="7"/>
        <v>73468.3</v>
      </c>
      <c r="X245" s="20">
        <f t="shared" si="7"/>
        <v>72008.2</v>
      </c>
      <c r="Y245" s="20">
        <f t="shared" si="7"/>
        <v>72008.2</v>
      </c>
    </row>
    <row r="246" spans="1:25" s="29" customFormat="1" ht="25.5">
      <c r="A246" s="108" t="str">
        <f t="shared" si="6"/>
        <v>602011372 1 00 10010000</v>
      </c>
      <c r="B246" s="197" t="s">
        <v>18</v>
      </c>
      <c r="C246" s="198" t="s">
        <v>256</v>
      </c>
      <c r="D246" s="199" t="s">
        <v>11</v>
      </c>
      <c r="E246" s="199" t="s">
        <v>51</v>
      </c>
      <c r="F246" s="199" t="s">
        <v>280</v>
      </c>
      <c r="G246" s="199" t="s">
        <v>9</v>
      </c>
      <c r="H246" s="20">
        <v>11610.390000000003</v>
      </c>
      <c r="I246" s="20">
        <v>10597.939999999999</v>
      </c>
      <c r="J246" s="20">
        <v>10597.939999999999</v>
      </c>
      <c r="K246" s="20"/>
      <c r="L246" s="20"/>
      <c r="M246" s="20"/>
      <c r="N246" s="20"/>
      <c r="O246" s="20"/>
      <c r="P246" s="20"/>
      <c r="Q246" s="17"/>
      <c r="T246" s="20">
        <v>426.13</v>
      </c>
      <c r="U246" s="20">
        <v>0</v>
      </c>
      <c r="V246" s="20">
        <v>0</v>
      </c>
      <c r="W246" s="20">
        <f t="shared" si="7"/>
        <v>11184.260000000004</v>
      </c>
      <c r="X246" s="20">
        <f t="shared" si="7"/>
        <v>10597.939999999999</v>
      </c>
      <c r="Y246" s="20">
        <f t="shared" si="7"/>
        <v>10597.939999999999</v>
      </c>
    </row>
    <row r="247" spans="1:25" s="29" customFormat="1" ht="25.5">
      <c r="A247" s="108" t="str">
        <f t="shared" si="6"/>
        <v>602011372 1 00 10010120</v>
      </c>
      <c r="B247" s="200" t="s">
        <v>20</v>
      </c>
      <c r="C247" s="198" t="s">
        <v>256</v>
      </c>
      <c r="D247" s="199" t="s">
        <v>11</v>
      </c>
      <c r="E247" s="199" t="s">
        <v>51</v>
      </c>
      <c r="F247" s="199" t="s">
        <v>280</v>
      </c>
      <c r="G247" s="199" t="s">
        <v>21</v>
      </c>
      <c r="H247" s="20">
        <v>1571.79</v>
      </c>
      <c r="I247" s="20">
        <v>1571.79</v>
      </c>
      <c r="J247" s="20">
        <v>1571.79</v>
      </c>
      <c r="K247" s="20"/>
      <c r="L247" s="20"/>
      <c r="M247" s="20"/>
      <c r="N247" s="20"/>
      <c r="O247" s="20"/>
      <c r="P247" s="20"/>
      <c r="Q247" s="17"/>
      <c r="T247" s="20">
        <v>268</v>
      </c>
      <c r="U247" s="20">
        <v>0</v>
      </c>
      <c r="V247" s="20">
        <v>0</v>
      </c>
      <c r="W247" s="20">
        <f t="shared" si="7"/>
        <v>1303.79</v>
      </c>
      <c r="X247" s="20">
        <f t="shared" si="7"/>
        <v>1571.79</v>
      </c>
      <c r="Y247" s="20">
        <f t="shared" si="7"/>
        <v>1571.79</v>
      </c>
    </row>
    <row r="248" spans="1:25" s="29" customFormat="1" ht="25.5">
      <c r="A248" s="108" t="str">
        <f t="shared" si="6"/>
        <v>602011372 1 00 10010240</v>
      </c>
      <c r="B248" s="197" t="s">
        <v>28</v>
      </c>
      <c r="C248" s="198" t="s">
        <v>256</v>
      </c>
      <c r="D248" s="199" t="s">
        <v>11</v>
      </c>
      <c r="E248" s="199" t="s">
        <v>51</v>
      </c>
      <c r="F248" s="199" t="s">
        <v>280</v>
      </c>
      <c r="G248" s="199" t="s">
        <v>29</v>
      </c>
      <c r="H248" s="20">
        <v>9928.9000000000015</v>
      </c>
      <c r="I248" s="20">
        <v>8947.15</v>
      </c>
      <c r="J248" s="20">
        <v>8947.15</v>
      </c>
      <c r="K248" s="20"/>
      <c r="L248" s="20"/>
      <c r="M248" s="20"/>
      <c r="N248" s="20"/>
      <c r="O248" s="20"/>
      <c r="P248" s="20"/>
      <c r="Q248" s="17"/>
      <c r="T248" s="20">
        <v>268</v>
      </c>
      <c r="U248" s="20">
        <v>0</v>
      </c>
      <c r="V248" s="20">
        <v>0</v>
      </c>
      <c r="W248" s="20">
        <f t="shared" si="7"/>
        <v>9660.9000000000015</v>
      </c>
      <c r="X248" s="20">
        <f t="shared" si="7"/>
        <v>8947.15</v>
      </c>
      <c r="Y248" s="20">
        <f t="shared" si="7"/>
        <v>8947.15</v>
      </c>
    </row>
    <row r="249" spans="1:25" s="29" customFormat="1">
      <c r="A249" s="108" t="str">
        <f t="shared" si="6"/>
        <v>602011372 1 00 10010850</v>
      </c>
      <c r="B249" s="197" t="s">
        <v>32</v>
      </c>
      <c r="C249" s="198" t="s">
        <v>256</v>
      </c>
      <c r="D249" s="199" t="s">
        <v>11</v>
      </c>
      <c r="E249" s="199" t="s">
        <v>51</v>
      </c>
      <c r="F249" s="199" t="s">
        <v>280</v>
      </c>
      <c r="G249" s="199" t="s">
        <v>33</v>
      </c>
      <c r="H249" s="20">
        <v>109.7</v>
      </c>
      <c r="I249" s="20">
        <v>79</v>
      </c>
      <c r="J249" s="20">
        <v>79</v>
      </c>
      <c r="K249" s="20"/>
      <c r="L249" s="20"/>
      <c r="M249" s="20"/>
      <c r="N249" s="20"/>
      <c r="O249" s="20"/>
      <c r="P249" s="20"/>
      <c r="Q249" s="17"/>
      <c r="T249" s="20">
        <v>268</v>
      </c>
      <c r="U249" s="20">
        <v>0</v>
      </c>
      <c r="V249" s="20">
        <v>0</v>
      </c>
      <c r="W249" s="20">
        <f t="shared" si="7"/>
        <v>-158.30000000000001</v>
      </c>
      <c r="X249" s="20">
        <f t="shared" si="7"/>
        <v>79</v>
      </c>
      <c r="Y249" s="20">
        <f t="shared" si="7"/>
        <v>79</v>
      </c>
    </row>
    <row r="250" spans="1:25" s="29" customFormat="1" ht="25.5">
      <c r="A250" s="108" t="str">
        <f t="shared" si="6"/>
        <v>602011372 1 00 10020000</v>
      </c>
      <c r="B250" s="197" t="s">
        <v>38</v>
      </c>
      <c r="C250" s="198" t="s">
        <v>256</v>
      </c>
      <c r="D250" s="199" t="s">
        <v>11</v>
      </c>
      <c r="E250" s="199" t="s">
        <v>51</v>
      </c>
      <c r="F250" s="199" t="s">
        <v>281</v>
      </c>
      <c r="G250" s="199" t="s">
        <v>9</v>
      </c>
      <c r="H250" s="20">
        <v>59444.659999999996</v>
      </c>
      <c r="I250" s="20">
        <v>61410.259999999995</v>
      </c>
      <c r="J250" s="20">
        <v>61410.259999999995</v>
      </c>
      <c r="K250" s="20"/>
      <c r="L250" s="20"/>
      <c r="M250" s="20"/>
      <c r="N250" s="20"/>
      <c r="O250" s="20"/>
      <c r="P250" s="20"/>
      <c r="Q250" s="17"/>
      <c r="T250" s="20">
        <v>268</v>
      </c>
      <c r="U250" s="20">
        <v>0</v>
      </c>
      <c r="V250" s="20">
        <v>0</v>
      </c>
      <c r="W250" s="20">
        <f t="shared" si="7"/>
        <v>59176.659999999996</v>
      </c>
      <c r="X250" s="20">
        <f t="shared" si="7"/>
        <v>61410.259999999995</v>
      </c>
      <c r="Y250" s="20">
        <f t="shared" si="7"/>
        <v>61410.259999999995</v>
      </c>
    </row>
    <row r="251" spans="1:25" s="29" customFormat="1" ht="25.5">
      <c r="A251" s="108" t="str">
        <f t="shared" si="6"/>
        <v>602011372 1 00 10020120</v>
      </c>
      <c r="B251" s="200" t="s">
        <v>20</v>
      </c>
      <c r="C251" s="198" t="s">
        <v>256</v>
      </c>
      <c r="D251" s="199" t="s">
        <v>11</v>
      </c>
      <c r="E251" s="199" t="s">
        <v>51</v>
      </c>
      <c r="F251" s="199" t="s">
        <v>281</v>
      </c>
      <c r="G251" s="199" t="s">
        <v>21</v>
      </c>
      <c r="H251" s="20">
        <v>59444.659999999996</v>
      </c>
      <c r="I251" s="20">
        <v>61410.259999999995</v>
      </c>
      <c r="J251" s="20">
        <v>61410.259999999995</v>
      </c>
      <c r="K251" s="18"/>
      <c r="L251" s="18"/>
      <c r="M251" s="18"/>
      <c r="N251" s="18"/>
      <c r="O251" s="18"/>
      <c r="P251" s="18"/>
      <c r="Q251" s="17"/>
      <c r="T251" s="18">
        <v>43431.74</v>
      </c>
      <c r="U251" s="18">
        <v>15379.13</v>
      </c>
      <c r="V251" s="18">
        <v>792</v>
      </c>
      <c r="W251" s="18">
        <f t="shared" si="7"/>
        <v>16012.919999999998</v>
      </c>
      <c r="X251" s="18">
        <f t="shared" si="7"/>
        <v>46031.13</v>
      </c>
      <c r="Y251" s="18">
        <f t="shared" si="7"/>
        <v>60618.259999999995</v>
      </c>
    </row>
    <row r="252" spans="1:25" s="29" customFormat="1" ht="25.5">
      <c r="A252" s="108" t="str">
        <f t="shared" si="6"/>
        <v>602011372 1 00 20050000</v>
      </c>
      <c r="B252" s="201" t="s">
        <v>187</v>
      </c>
      <c r="C252" s="203" t="s">
        <v>256</v>
      </c>
      <c r="D252" s="204" t="s">
        <v>11</v>
      </c>
      <c r="E252" s="204" t="s">
        <v>51</v>
      </c>
      <c r="F252" s="204" t="s">
        <v>1181</v>
      </c>
      <c r="G252" s="204" t="s">
        <v>9</v>
      </c>
      <c r="H252" s="316">
        <v>873.78</v>
      </c>
      <c r="I252" s="20">
        <v>0</v>
      </c>
      <c r="J252" s="20">
        <v>0</v>
      </c>
      <c r="K252" s="19"/>
      <c r="L252" s="19"/>
      <c r="M252" s="19"/>
      <c r="N252" s="19"/>
      <c r="O252" s="19"/>
      <c r="P252" s="19"/>
      <c r="Q252" s="17"/>
      <c r="T252" s="19">
        <v>43431.74</v>
      </c>
      <c r="U252" s="19">
        <v>15379.13</v>
      </c>
      <c r="V252" s="19">
        <v>792</v>
      </c>
      <c r="W252" s="19">
        <f t="shared" si="7"/>
        <v>-42557.96</v>
      </c>
      <c r="X252" s="19">
        <f t="shared" si="7"/>
        <v>-15379.13</v>
      </c>
      <c r="Y252" s="19">
        <f t="shared" si="7"/>
        <v>-792</v>
      </c>
    </row>
    <row r="253" spans="1:25" s="29" customFormat="1">
      <c r="A253" s="108" t="str">
        <f t="shared" si="6"/>
        <v>602011372 1 00 20050830</v>
      </c>
      <c r="B253" s="216" t="s">
        <v>189</v>
      </c>
      <c r="C253" s="203" t="s">
        <v>256</v>
      </c>
      <c r="D253" s="204" t="s">
        <v>11</v>
      </c>
      <c r="E253" s="204" t="s">
        <v>51</v>
      </c>
      <c r="F253" s="204" t="s">
        <v>1181</v>
      </c>
      <c r="G253" s="204" t="s">
        <v>190</v>
      </c>
      <c r="H253" s="316">
        <v>873.78</v>
      </c>
      <c r="I253" s="20">
        <v>0</v>
      </c>
      <c r="J253" s="20">
        <v>0</v>
      </c>
      <c r="K253" s="20"/>
      <c r="L253" s="20"/>
      <c r="M253" s="20"/>
      <c r="N253" s="20"/>
      <c r="O253" s="20"/>
      <c r="P253" s="20"/>
      <c r="Q253" s="17"/>
      <c r="T253" s="20">
        <v>280</v>
      </c>
      <c r="U253" s="20">
        <v>180</v>
      </c>
      <c r="V253" s="20">
        <v>180</v>
      </c>
      <c r="W253" s="20">
        <f t="shared" si="7"/>
        <v>593.78</v>
      </c>
      <c r="X253" s="20">
        <f t="shared" si="7"/>
        <v>-180</v>
      </c>
      <c r="Y253" s="20">
        <f t="shared" si="7"/>
        <v>-180</v>
      </c>
    </row>
    <row r="254" spans="1:25" s="29" customFormat="1" ht="191.25">
      <c r="A254" s="108" t="str">
        <f t="shared" si="6"/>
        <v>602011372 1 00 77460000</v>
      </c>
      <c r="B254" s="200" t="s">
        <v>1263</v>
      </c>
      <c r="C254" s="198" t="s">
        <v>256</v>
      </c>
      <c r="D254" s="199" t="s">
        <v>11</v>
      </c>
      <c r="E254" s="199" t="s">
        <v>51</v>
      </c>
      <c r="F254" s="199" t="s">
        <v>1270</v>
      </c>
      <c r="G254" s="199" t="s">
        <v>9</v>
      </c>
      <c r="H254" s="20">
        <v>1965.6</v>
      </c>
      <c r="I254" s="20">
        <v>0</v>
      </c>
      <c r="J254" s="20">
        <v>0</v>
      </c>
      <c r="K254" s="20"/>
      <c r="L254" s="20"/>
      <c r="M254" s="20"/>
      <c r="N254" s="20"/>
      <c r="O254" s="20"/>
      <c r="P254" s="20"/>
      <c r="Q254" s="17"/>
      <c r="T254" s="20">
        <v>280</v>
      </c>
      <c r="U254" s="20">
        <v>180</v>
      </c>
      <c r="V254" s="20">
        <v>180</v>
      </c>
      <c r="W254" s="20">
        <f t="shared" si="7"/>
        <v>1685.6</v>
      </c>
      <c r="X254" s="20">
        <f t="shared" si="7"/>
        <v>-180</v>
      </c>
      <c r="Y254" s="20">
        <f t="shared" si="7"/>
        <v>-180</v>
      </c>
    </row>
    <row r="255" spans="1:25" s="29" customFormat="1" ht="25.5">
      <c r="A255" s="108" t="str">
        <f t="shared" si="6"/>
        <v>602011372 1 00 77460120</v>
      </c>
      <c r="B255" s="200" t="s">
        <v>20</v>
      </c>
      <c r="C255" s="198" t="s">
        <v>256</v>
      </c>
      <c r="D255" s="199" t="s">
        <v>11</v>
      </c>
      <c r="E255" s="199" t="s">
        <v>51</v>
      </c>
      <c r="F255" s="199" t="s">
        <v>1270</v>
      </c>
      <c r="G255" s="199" t="s">
        <v>21</v>
      </c>
      <c r="H255" s="20">
        <v>1965.6</v>
      </c>
      <c r="I255" s="20">
        <v>0</v>
      </c>
      <c r="J255" s="20">
        <v>0</v>
      </c>
      <c r="K255" s="20"/>
      <c r="L255" s="20"/>
      <c r="M255" s="20"/>
      <c r="N255" s="20"/>
      <c r="O255" s="20"/>
      <c r="P255" s="20"/>
      <c r="Q255" s="17"/>
      <c r="T255" s="20">
        <v>280</v>
      </c>
      <c r="U255" s="20">
        <v>180</v>
      </c>
      <c r="V255" s="20">
        <v>180</v>
      </c>
      <c r="W255" s="20">
        <f t="shared" si="7"/>
        <v>1685.6</v>
      </c>
      <c r="X255" s="20">
        <f t="shared" si="7"/>
        <v>-180</v>
      </c>
      <c r="Y255" s="20">
        <f t="shared" si="7"/>
        <v>-180</v>
      </c>
    </row>
    <row r="256" spans="1:25" s="29" customFormat="1">
      <c r="A256" s="108" t="str">
        <f t="shared" si="6"/>
        <v>602011372 2 00 00000000</v>
      </c>
      <c r="B256" s="315" t="s">
        <v>52</v>
      </c>
      <c r="C256" s="198" t="s">
        <v>256</v>
      </c>
      <c r="D256" s="199" t="s">
        <v>11</v>
      </c>
      <c r="E256" s="199" t="s">
        <v>51</v>
      </c>
      <c r="F256" s="199" t="s">
        <v>1058</v>
      </c>
      <c r="G256" s="199" t="s">
        <v>9</v>
      </c>
      <c r="H256" s="20">
        <v>551.99</v>
      </c>
      <c r="I256" s="20">
        <v>0</v>
      </c>
      <c r="J256" s="20">
        <v>0</v>
      </c>
      <c r="K256" s="20"/>
      <c r="L256" s="20"/>
      <c r="M256" s="20"/>
      <c r="N256" s="20"/>
      <c r="O256" s="20"/>
      <c r="P256" s="20"/>
      <c r="Q256" s="17"/>
      <c r="T256" s="20">
        <v>280</v>
      </c>
      <c r="U256" s="20">
        <v>180</v>
      </c>
      <c r="V256" s="20">
        <v>180</v>
      </c>
      <c r="W256" s="20">
        <f t="shared" si="7"/>
        <v>271.99</v>
      </c>
      <c r="X256" s="20">
        <f t="shared" si="7"/>
        <v>-180</v>
      </c>
      <c r="Y256" s="20">
        <f t="shared" si="7"/>
        <v>-180</v>
      </c>
    </row>
    <row r="257" spans="1:25" s="29" customFormat="1" ht="25.5">
      <c r="A257" s="108" t="str">
        <f t="shared" si="6"/>
        <v>602011372 2 00 20970000</v>
      </c>
      <c r="B257" s="315" t="s">
        <v>1059</v>
      </c>
      <c r="C257" s="198" t="s">
        <v>256</v>
      </c>
      <c r="D257" s="199" t="s">
        <v>11</v>
      </c>
      <c r="E257" s="199" t="s">
        <v>51</v>
      </c>
      <c r="F257" s="199" t="s">
        <v>1060</v>
      </c>
      <c r="G257" s="199" t="s">
        <v>9</v>
      </c>
      <c r="H257" s="20">
        <v>551.99</v>
      </c>
      <c r="I257" s="20">
        <v>0</v>
      </c>
      <c r="J257" s="20">
        <v>0</v>
      </c>
      <c r="K257" s="20"/>
      <c r="L257" s="20"/>
      <c r="M257" s="20"/>
      <c r="N257" s="20"/>
      <c r="O257" s="20"/>
      <c r="P257" s="20"/>
      <c r="Q257" s="17"/>
      <c r="T257" s="20"/>
      <c r="U257" s="20"/>
      <c r="V257" s="20"/>
      <c r="W257" s="20">
        <f t="shared" si="7"/>
        <v>551.99</v>
      </c>
      <c r="X257" s="20">
        <f t="shared" si="7"/>
        <v>0</v>
      </c>
      <c r="Y257" s="20">
        <f t="shared" si="7"/>
        <v>0</v>
      </c>
    </row>
    <row r="258" spans="1:25" s="225" customFormat="1">
      <c r="A258" s="108" t="str">
        <f t="shared" si="6"/>
        <v>602011372 2 00 20970850</v>
      </c>
      <c r="B258" s="315" t="s">
        <v>32</v>
      </c>
      <c r="C258" s="198" t="s">
        <v>256</v>
      </c>
      <c r="D258" s="199" t="s">
        <v>11</v>
      </c>
      <c r="E258" s="199" t="s">
        <v>51</v>
      </c>
      <c r="F258" s="199" t="s">
        <v>1060</v>
      </c>
      <c r="G258" s="199" t="s">
        <v>33</v>
      </c>
      <c r="H258" s="20">
        <v>551.99</v>
      </c>
      <c r="I258" s="20">
        <v>0</v>
      </c>
      <c r="J258" s="20">
        <v>0</v>
      </c>
      <c r="K258" s="224"/>
      <c r="L258" s="224"/>
      <c r="M258" s="224"/>
      <c r="N258" s="20"/>
      <c r="O258" s="20"/>
      <c r="P258" s="20"/>
      <c r="Q258" s="96"/>
      <c r="T258" s="224">
        <v>100</v>
      </c>
      <c r="U258" s="224">
        <v>0</v>
      </c>
      <c r="V258" s="224">
        <v>0</v>
      </c>
      <c r="W258" s="224">
        <f t="shared" si="7"/>
        <v>451.99</v>
      </c>
      <c r="X258" s="224">
        <f t="shared" si="7"/>
        <v>0</v>
      </c>
      <c r="Y258" s="224">
        <f t="shared" si="7"/>
        <v>0</v>
      </c>
    </row>
    <row r="259" spans="1:25" s="29" customFormat="1" ht="38.25">
      <c r="A259" s="108" t="str">
        <f t="shared" si="6"/>
        <v>602011398 0 00 00000000</v>
      </c>
      <c r="B259" s="315" t="s">
        <v>87</v>
      </c>
      <c r="C259" s="198" t="s">
        <v>256</v>
      </c>
      <c r="D259" s="199" t="s">
        <v>11</v>
      </c>
      <c r="E259" s="199" t="s">
        <v>51</v>
      </c>
      <c r="F259" s="199" t="s">
        <v>88</v>
      </c>
      <c r="G259" s="199" t="s">
        <v>9</v>
      </c>
      <c r="H259" s="20">
        <v>268</v>
      </c>
      <c r="I259" s="20">
        <v>0</v>
      </c>
      <c r="J259" s="20">
        <v>0</v>
      </c>
      <c r="K259" s="20"/>
      <c r="L259" s="20"/>
      <c r="M259" s="20"/>
      <c r="N259" s="20"/>
      <c r="O259" s="20"/>
      <c r="P259" s="20"/>
      <c r="Q259" s="17"/>
      <c r="T259" s="20">
        <v>280</v>
      </c>
      <c r="U259" s="20">
        <v>180</v>
      </c>
      <c r="V259" s="20">
        <v>180</v>
      </c>
      <c r="W259" s="20">
        <f t="shared" si="7"/>
        <v>-12</v>
      </c>
      <c r="X259" s="20">
        <f t="shared" si="7"/>
        <v>-180</v>
      </c>
      <c r="Y259" s="20">
        <f t="shared" si="7"/>
        <v>-180</v>
      </c>
    </row>
    <row r="260" spans="1:25" s="29" customFormat="1">
      <c r="A260" s="108" t="str">
        <f t="shared" si="6"/>
        <v>602011398 1 00 00000000</v>
      </c>
      <c r="B260" s="315" t="s">
        <v>89</v>
      </c>
      <c r="C260" s="198" t="s">
        <v>256</v>
      </c>
      <c r="D260" s="199" t="s">
        <v>11</v>
      </c>
      <c r="E260" s="199" t="s">
        <v>51</v>
      </c>
      <c r="F260" s="199" t="s">
        <v>90</v>
      </c>
      <c r="G260" s="199" t="s">
        <v>9</v>
      </c>
      <c r="H260" s="20">
        <v>268</v>
      </c>
      <c r="I260" s="20">
        <v>0</v>
      </c>
      <c r="J260" s="20">
        <v>0</v>
      </c>
      <c r="K260" s="20"/>
      <c r="L260" s="20"/>
      <c r="M260" s="20"/>
      <c r="N260" s="20"/>
      <c r="O260" s="20"/>
      <c r="P260" s="20"/>
      <c r="Q260" s="17"/>
      <c r="T260" s="20">
        <v>42477.74</v>
      </c>
      <c r="U260" s="20">
        <v>0</v>
      </c>
      <c r="V260" s="20">
        <v>0</v>
      </c>
      <c r="W260" s="20">
        <f t="shared" si="7"/>
        <v>-42209.74</v>
      </c>
      <c r="X260" s="20">
        <f t="shared" si="7"/>
        <v>0</v>
      </c>
      <c r="Y260" s="20">
        <f t="shared" si="7"/>
        <v>0</v>
      </c>
    </row>
    <row r="261" spans="1:25" s="29" customFormat="1">
      <c r="A261" s="108" t="str">
        <f t="shared" si="6"/>
        <v>602011398 1 00 21350000</v>
      </c>
      <c r="B261" s="315" t="s">
        <v>282</v>
      </c>
      <c r="C261" s="198" t="s">
        <v>256</v>
      </c>
      <c r="D261" s="199" t="s">
        <v>11</v>
      </c>
      <c r="E261" s="199" t="s">
        <v>51</v>
      </c>
      <c r="F261" s="199" t="s">
        <v>283</v>
      </c>
      <c r="G261" s="199" t="s">
        <v>9</v>
      </c>
      <c r="H261" s="20">
        <v>268</v>
      </c>
      <c r="I261" s="20">
        <v>0</v>
      </c>
      <c r="J261" s="20">
        <v>0</v>
      </c>
      <c r="K261" s="20"/>
      <c r="L261" s="20"/>
      <c r="M261" s="20"/>
      <c r="N261" s="20"/>
      <c r="O261" s="20"/>
      <c r="P261" s="20"/>
      <c r="Q261" s="17"/>
      <c r="T261" s="20">
        <v>42477.74</v>
      </c>
      <c r="U261" s="20">
        <v>0</v>
      </c>
      <c r="V261" s="20">
        <v>0</v>
      </c>
      <c r="W261" s="20">
        <f t="shared" si="7"/>
        <v>-42209.74</v>
      </c>
      <c r="X261" s="20">
        <f t="shared" si="7"/>
        <v>0</v>
      </c>
      <c r="Y261" s="20">
        <f t="shared" si="7"/>
        <v>0</v>
      </c>
    </row>
    <row r="262" spans="1:25" s="29" customFormat="1">
      <c r="A262" s="108" t="str">
        <f t="shared" ref="A262:A325" si="8">C262&amp;D262&amp;E262&amp;F262&amp;G262</f>
        <v>602011398 1 00 21350830</v>
      </c>
      <c r="B262" s="315" t="s">
        <v>189</v>
      </c>
      <c r="C262" s="198" t="s">
        <v>256</v>
      </c>
      <c r="D262" s="199" t="s">
        <v>11</v>
      </c>
      <c r="E262" s="199" t="s">
        <v>51</v>
      </c>
      <c r="F262" s="199" t="s">
        <v>283</v>
      </c>
      <c r="G262" s="199" t="s">
        <v>190</v>
      </c>
      <c r="H262" s="20">
        <v>268</v>
      </c>
      <c r="I262" s="20">
        <v>0</v>
      </c>
      <c r="J262" s="20">
        <v>0</v>
      </c>
      <c r="K262" s="20"/>
      <c r="L262" s="20"/>
      <c r="M262" s="20"/>
      <c r="N262" s="20"/>
      <c r="O262" s="20"/>
      <c r="P262" s="20"/>
      <c r="Q262" s="17"/>
      <c r="T262" s="20">
        <v>42477.74</v>
      </c>
      <c r="U262" s="20">
        <v>0</v>
      </c>
      <c r="V262" s="20">
        <v>0</v>
      </c>
      <c r="W262" s="20">
        <f t="shared" ref="W262:Y325" si="9">H262-T262</f>
        <v>-42209.74</v>
      </c>
      <c r="X262" s="20">
        <f t="shared" si="9"/>
        <v>0</v>
      </c>
      <c r="Y262" s="20">
        <f t="shared" si="9"/>
        <v>0</v>
      </c>
    </row>
    <row r="263" spans="1:25" s="29" customFormat="1">
      <c r="A263" s="108" t="str">
        <f t="shared" si="8"/>
        <v>602040000 0 00 00000000</v>
      </c>
      <c r="B263" s="191" t="s">
        <v>195</v>
      </c>
      <c r="C263" s="192" t="s">
        <v>256</v>
      </c>
      <c r="D263" s="193" t="s">
        <v>73</v>
      </c>
      <c r="E263" s="193" t="s">
        <v>7</v>
      </c>
      <c r="F263" s="193" t="s">
        <v>8</v>
      </c>
      <c r="G263" s="193" t="s">
        <v>9</v>
      </c>
      <c r="H263" s="18">
        <v>43949.24</v>
      </c>
      <c r="I263" s="18">
        <v>15379.13</v>
      </c>
      <c r="J263" s="18">
        <v>792</v>
      </c>
      <c r="K263" s="20"/>
      <c r="L263" s="20"/>
      <c r="M263" s="20"/>
      <c r="N263" s="20"/>
      <c r="O263" s="20"/>
      <c r="P263" s="20"/>
      <c r="Q263" s="17"/>
      <c r="T263" s="20">
        <v>42477.74</v>
      </c>
      <c r="U263" s="20">
        <v>0</v>
      </c>
      <c r="V263" s="20">
        <v>0</v>
      </c>
      <c r="W263" s="20">
        <f t="shared" si="9"/>
        <v>1471.5</v>
      </c>
      <c r="X263" s="20">
        <f t="shared" si="9"/>
        <v>15379.13</v>
      </c>
      <c r="Y263" s="20">
        <f t="shared" si="9"/>
        <v>792</v>
      </c>
    </row>
    <row r="264" spans="1:25" s="29" customFormat="1">
      <c r="A264" s="108" t="str">
        <f t="shared" si="8"/>
        <v>602041200 0 00 00000000</v>
      </c>
      <c r="B264" s="194" t="s">
        <v>284</v>
      </c>
      <c r="C264" s="195" t="s">
        <v>256</v>
      </c>
      <c r="D264" s="196" t="s">
        <v>73</v>
      </c>
      <c r="E264" s="196" t="s">
        <v>57</v>
      </c>
      <c r="F264" s="219" t="s">
        <v>8</v>
      </c>
      <c r="G264" s="219" t="s">
        <v>9</v>
      </c>
      <c r="H264" s="19">
        <v>43949.24</v>
      </c>
      <c r="I264" s="19">
        <v>15379.13</v>
      </c>
      <c r="J264" s="19">
        <v>792</v>
      </c>
      <c r="K264" s="20"/>
      <c r="L264" s="20"/>
      <c r="M264" s="20"/>
      <c r="N264" s="20"/>
      <c r="O264" s="20"/>
      <c r="P264" s="20"/>
      <c r="Q264" s="17"/>
      <c r="T264" s="20">
        <v>42477.74</v>
      </c>
      <c r="U264" s="20">
        <v>0</v>
      </c>
      <c r="V264" s="20">
        <v>0</v>
      </c>
      <c r="W264" s="20">
        <f t="shared" si="9"/>
        <v>1471.5</v>
      </c>
      <c r="X264" s="20">
        <f t="shared" si="9"/>
        <v>15379.13</v>
      </c>
      <c r="Y264" s="20">
        <f t="shared" si="9"/>
        <v>792</v>
      </c>
    </row>
    <row r="265" spans="1:25" s="29" customFormat="1" ht="38.25">
      <c r="A265" s="108" t="str">
        <f t="shared" si="8"/>
        <v>602041202 0 00 00000000</v>
      </c>
      <c r="B265" s="214" t="s">
        <v>285</v>
      </c>
      <c r="C265" s="198" t="s">
        <v>256</v>
      </c>
      <c r="D265" s="199" t="s">
        <v>73</v>
      </c>
      <c r="E265" s="199" t="s">
        <v>57</v>
      </c>
      <c r="F265" s="199" t="s">
        <v>286</v>
      </c>
      <c r="G265" s="199" t="s">
        <v>9</v>
      </c>
      <c r="H265" s="20">
        <v>280</v>
      </c>
      <c r="I265" s="20">
        <v>180</v>
      </c>
      <c r="J265" s="20">
        <v>180</v>
      </c>
      <c r="K265" s="20"/>
      <c r="L265" s="20"/>
      <c r="M265" s="20"/>
      <c r="N265" s="20"/>
      <c r="O265" s="20"/>
      <c r="P265" s="20"/>
      <c r="Q265" s="17"/>
      <c r="T265" s="20">
        <v>674</v>
      </c>
      <c r="U265" s="20">
        <v>15199.13</v>
      </c>
      <c r="V265" s="20">
        <v>612</v>
      </c>
      <c r="W265" s="20">
        <f t="shared" si="9"/>
        <v>-394</v>
      </c>
      <c r="X265" s="20">
        <f t="shared" si="9"/>
        <v>-15019.13</v>
      </c>
      <c r="Y265" s="20">
        <f t="shared" si="9"/>
        <v>-432</v>
      </c>
    </row>
    <row r="266" spans="1:25" s="29" customFormat="1" ht="54.75" customHeight="1">
      <c r="A266" s="108" t="str">
        <f t="shared" si="8"/>
        <v>602041202 Б 00 00000000</v>
      </c>
      <c r="B266" s="197" t="s">
        <v>287</v>
      </c>
      <c r="C266" s="198" t="s">
        <v>256</v>
      </c>
      <c r="D266" s="199" t="s">
        <v>73</v>
      </c>
      <c r="E266" s="199" t="s">
        <v>57</v>
      </c>
      <c r="F266" s="199" t="s">
        <v>288</v>
      </c>
      <c r="G266" s="199" t="s">
        <v>9</v>
      </c>
      <c r="H266" s="20">
        <v>280</v>
      </c>
      <c r="I266" s="20">
        <v>180</v>
      </c>
      <c r="J266" s="20">
        <v>180</v>
      </c>
      <c r="K266" s="20"/>
      <c r="L266" s="20"/>
      <c r="M266" s="20"/>
      <c r="N266" s="20"/>
      <c r="O266" s="20"/>
      <c r="P266" s="20"/>
      <c r="Q266" s="17"/>
      <c r="T266" s="20">
        <v>674</v>
      </c>
      <c r="U266" s="20">
        <v>15199.13</v>
      </c>
      <c r="V266" s="20">
        <v>612</v>
      </c>
      <c r="W266" s="20">
        <f t="shared" si="9"/>
        <v>-394</v>
      </c>
      <c r="X266" s="20">
        <f t="shared" si="9"/>
        <v>-15019.13</v>
      </c>
      <c r="Y266" s="20">
        <f t="shared" si="9"/>
        <v>-432</v>
      </c>
    </row>
    <row r="267" spans="1:25" s="29" customFormat="1" ht="51">
      <c r="A267" s="108" t="str">
        <f t="shared" si="8"/>
        <v>602041202 Б 01 00000000</v>
      </c>
      <c r="B267" s="197" t="s">
        <v>289</v>
      </c>
      <c r="C267" s="198" t="s">
        <v>256</v>
      </c>
      <c r="D267" s="199" t="s">
        <v>73</v>
      </c>
      <c r="E267" s="199" t="s">
        <v>57</v>
      </c>
      <c r="F267" s="199" t="s">
        <v>290</v>
      </c>
      <c r="G267" s="199" t="s">
        <v>9</v>
      </c>
      <c r="H267" s="20">
        <v>280</v>
      </c>
      <c r="I267" s="20">
        <v>180</v>
      </c>
      <c r="J267" s="20">
        <v>180</v>
      </c>
      <c r="K267" s="20"/>
      <c r="L267" s="20"/>
      <c r="M267" s="20"/>
      <c r="N267" s="20"/>
      <c r="O267" s="20"/>
      <c r="P267" s="20"/>
      <c r="Q267" s="17"/>
      <c r="T267" s="20">
        <v>674</v>
      </c>
      <c r="U267" s="20">
        <v>15199.13</v>
      </c>
      <c r="V267" s="20">
        <v>612</v>
      </c>
      <c r="W267" s="20">
        <f t="shared" si="9"/>
        <v>-394</v>
      </c>
      <c r="X267" s="20">
        <f t="shared" si="9"/>
        <v>-15019.13</v>
      </c>
      <c r="Y267" s="20">
        <f t="shared" si="9"/>
        <v>-432</v>
      </c>
    </row>
    <row r="268" spans="1:25" s="29" customFormat="1" ht="51">
      <c r="A268" s="108" t="str">
        <f t="shared" si="8"/>
        <v>602041202 Б 01 20160000</v>
      </c>
      <c r="B268" s="197" t="s">
        <v>291</v>
      </c>
      <c r="C268" s="198" t="s">
        <v>256</v>
      </c>
      <c r="D268" s="199" t="s">
        <v>73</v>
      </c>
      <c r="E268" s="199" t="s">
        <v>57</v>
      </c>
      <c r="F268" s="199" t="s">
        <v>292</v>
      </c>
      <c r="G268" s="199" t="s">
        <v>9</v>
      </c>
      <c r="H268" s="20">
        <v>280</v>
      </c>
      <c r="I268" s="20">
        <v>180</v>
      </c>
      <c r="J268" s="20">
        <v>180</v>
      </c>
      <c r="K268" s="20"/>
      <c r="L268" s="20"/>
      <c r="M268" s="20"/>
      <c r="N268" s="20"/>
      <c r="O268" s="20"/>
      <c r="P268" s="20"/>
      <c r="Q268" s="17"/>
      <c r="T268" s="20">
        <v>674</v>
      </c>
      <c r="U268" s="20">
        <v>612</v>
      </c>
      <c r="V268" s="20">
        <v>612</v>
      </c>
      <c r="W268" s="20">
        <f t="shared" si="9"/>
        <v>-394</v>
      </c>
      <c r="X268" s="20">
        <f t="shared" si="9"/>
        <v>-432</v>
      </c>
      <c r="Y268" s="20">
        <f t="shared" si="9"/>
        <v>-432</v>
      </c>
    </row>
    <row r="269" spans="1:25" s="29" customFormat="1">
      <c r="A269" s="108" t="str">
        <f t="shared" si="8"/>
        <v/>
      </c>
      <c r="B269" s="220" t="s">
        <v>1104</v>
      </c>
      <c r="C269" s="198"/>
      <c r="D269" s="199"/>
      <c r="E269" s="199"/>
      <c r="F269" s="199"/>
      <c r="G269" s="199"/>
      <c r="H269" s="20"/>
      <c r="I269" s="20"/>
      <c r="J269" s="20"/>
      <c r="K269" s="20"/>
      <c r="L269" s="20"/>
      <c r="M269" s="20"/>
      <c r="N269" s="20"/>
      <c r="O269" s="20"/>
      <c r="P269" s="20"/>
      <c r="Q269" s="17"/>
      <c r="T269" s="20"/>
      <c r="U269" s="20"/>
      <c r="V269" s="20"/>
      <c r="W269" s="20">
        <f t="shared" si="9"/>
        <v>0</v>
      </c>
      <c r="X269" s="20">
        <f t="shared" si="9"/>
        <v>0</v>
      </c>
      <c r="Y269" s="20">
        <f t="shared" si="9"/>
        <v>0</v>
      </c>
    </row>
    <row r="270" spans="1:25" s="225" customFormat="1">
      <c r="A270" s="108" t="str">
        <f t="shared" si="8"/>
        <v>602041202 Б 01 20160000</v>
      </c>
      <c r="B270" s="221" t="s">
        <v>1105</v>
      </c>
      <c r="C270" s="222" t="s">
        <v>256</v>
      </c>
      <c r="D270" s="223" t="s">
        <v>73</v>
      </c>
      <c r="E270" s="223" t="s">
        <v>57</v>
      </c>
      <c r="F270" s="223" t="s">
        <v>292</v>
      </c>
      <c r="G270" s="223" t="s">
        <v>9</v>
      </c>
      <c r="H270" s="224">
        <v>100</v>
      </c>
      <c r="I270" s="224">
        <v>0</v>
      </c>
      <c r="J270" s="224">
        <v>0</v>
      </c>
      <c r="K270" s="224"/>
      <c r="L270" s="224"/>
      <c r="M270" s="224"/>
      <c r="N270" s="20"/>
      <c r="O270" s="20"/>
      <c r="P270" s="20"/>
      <c r="Q270" s="96"/>
      <c r="T270" s="224">
        <v>62</v>
      </c>
      <c r="U270" s="224">
        <v>0</v>
      </c>
      <c r="V270" s="224">
        <v>0</v>
      </c>
      <c r="W270" s="224">
        <f t="shared" si="9"/>
        <v>38</v>
      </c>
      <c r="X270" s="224">
        <f t="shared" si="9"/>
        <v>0</v>
      </c>
      <c r="Y270" s="224">
        <f t="shared" si="9"/>
        <v>0</v>
      </c>
    </row>
    <row r="271" spans="1:25" s="29" customFormat="1" ht="25.5">
      <c r="A271" s="108" t="str">
        <f t="shared" si="8"/>
        <v>602041202 Б 01 20160240</v>
      </c>
      <c r="B271" s="197" t="s">
        <v>28</v>
      </c>
      <c r="C271" s="198" t="s">
        <v>256</v>
      </c>
      <c r="D271" s="199" t="s">
        <v>73</v>
      </c>
      <c r="E271" s="199" t="s">
        <v>57</v>
      </c>
      <c r="F271" s="199" t="s">
        <v>292</v>
      </c>
      <c r="G271" s="199" t="s">
        <v>29</v>
      </c>
      <c r="H271" s="20">
        <v>280</v>
      </c>
      <c r="I271" s="20">
        <v>180</v>
      </c>
      <c r="J271" s="20">
        <v>180</v>
      </c>
      <c r="K271" s="20"/>
      <c r="L271" s="20"/>
      <c r="M271" s="20"/>
      <c r="N271" s="20"/>
      <c r="O271" s="20"/>
      <c r="P271" s="20"/>
      <c r="Q271" s="17"/>
      <c r="T271" s="20">
        <v>674</v>
      </c>
      <c r="U271" s="20">
        <v>612</v>
      </c>
      <c r="V271" s="20">
        <v>612</v>
      </c>
      <c r="W271" s="20">
        <f t="shared" si="9"/>
        <v>-394</v>
      </c>
      <c r="X271" s="20">
        <f t="shared" si="9"/>
        <v>-432</v>
      </c>
      <c r="Y271" s="20">
        <f t="shared" si="9"/>
        <v>-432</v>
      </c>
    </row>
    <row r="272" spans="1:25" s="29" customFormat="1" ht="38.25">
      <c r="A272" s="108" t="str">
        <f t="shared" si="8"/>
        <v>602041204 0 00 00000000</v>
      </c>
      <c r="B272" s="200" t="s">
        <v>293</v>
      </c>
      <c r="C272" s="198" t="s">
        <v>256</v>
      </c>
      <c r="D272" s="199" t="s">
        <v>73</v>
      </c>
      <c r="E272" s="199" t="s">
        <v>57</v>
      </c>
      <c r="F272" s="199" t="s">
        <v>294</v>
      </c>
      <c r="G272" s="199" t="s">
        <v>9</v>
      </c>
      <c r="H272" s="20">
        <v>43017.38</v>
      </c>
      <c r="I272" s="20">
        <v>0</v>
      </c>
      <c r="J272" s="20">
        <v>0</v>
      </c>
      <c r="K272" s="20"/>
      <c r="L272" s="20"/>
      <c r="M272" s="20"/>
      <c r="N272" s="20"/>
      <c r="O272" s="20"/>
      <c r="P272" s="20"/>
      <c r="Q272" s="17"/>
      <c r="T272" s="20">
        <v>0</v>
      </c>
      <c r="U272" s="20">
        <v>14587.13</v>
      </c>
      <c r="V272" s="20">
        <v>0</v>
      </c>
      <c r="W272" s="20">
        <f t="shared" si="9"/>
        <v>43017.38</v>
      </c>
      <c r="X272" s="20">
        <f t="shared" si="9"/>
        <v>-14587.13</v>
      </c>
      <c r="Y272" s="20">
        <f t="shared" si="9"/>
        <v>0</v>
      </c>
    </row>
    <row r="273" spans="1:25" s="29" customFormat="1" ht="38.25">
      <c r="A273" s="108" t="str">
        <f t="shared" si="8"/>
        <v>602041204 2 00 00000000</v>
      </c>
      <c r="B273" s="226" t="s">
        <v>295</v>
      </c>
      <c r="C273" s="198" t="s">
        <v>256</v>
      </c>
      <c r="D273" s="199" t="s">
        <v>73</v>
      </c>
      <c r="E273" s="199" t="s">
        <v>57</v>
      </c>
      <c r="F273" s="199" t="s">
        <v>296</v>
      </c>
      <c r="G273" s="199" t="s">
        <v>9</v>
      </c>
      <c r="H273" s="20">
        <v>43017.38</v>
      </c>
      <c r="I273" s="20">
        <v>0</v>
      </c>
      <c r="J273" s="20">
        <v>0</v>
      </c>
      <c r="K273" s="20"/>
      <c r="L273" s="20"/>
      <c r="M273" s="20"/>
      <c r="N273" s="20"/>
      <c r="O273" s="20"/>
      <c r="P273" s="20"/>
      <c r="Q273" s="17"/>
      <c r="T273" s="20">
        <v>0</v>
      </c>
      <c r="U273" s="20">
        <v>14587.13</v>
      </c>
      <c r="V273" s="20">
        <v>0</v>
      </c>
      <c r="W273" s="20">
        <f t="shared" si="9"/>
        <v>43017.38</v>
      </c>
      <c r="X273" s="20">
        <f t="shared" si="9"/>
        <v>-14587.13</v>
      </c>
      <c r="Y273" s="20">
        <f t="shared" si="9"/>
        <v>0</v>
      </c>
    </row>
    <row r="274" spans="1:25" s="16" customFormat="1" ht="16.5" customHeight="1">
      <c r="A274" s="108" t="str">
        <f t="shared" si="8"/>
        <v>602041204 2 02 00000000</v>
      </c>
      <c r="B274" s="197" t="s">
        <v>297</v>
      </c>
      <c r="C274" s="198" t="s">
        <v>256</v>
      </c>
      <c r="D274" s="199" t="s">
        <v>73</v>
      </c>
      <c r="E274" s="199" t="s">
        <v>57</v>
      </c>
      <c r="F274" s="199" t="s">
        <v>298</v>
      </c>
      <c r="G274" s="199" t="s">
        <v>9</v>
      </c>
      <c r="H274" s="20">
        <v>43017.38</v>
      </c>
      <c r="I274" s="20">
        <v>0</v>
      </c>
      <c r="J274" s="20">
        <v>0</v>
      </c>
      <c r="K274" s="18"/>
      <c r="L274" s="18"/>
      <c r="M274" s="18"/>
      <c r="N274" s="18"/>
      <c r="O274" s="18"/>
      <c r="P274" s="18"/>
      <c r="Q274" s="17"/>
      <c r="T274" s="18">
        <v>11494.77</v>
      </c>
      <c r="U274" s="18">
        <v>0</v>
      </c>
      <c r="V274" s="18">
        <v>0</v>
      </c>
      <c r="W274" s="18">
        <f t="shared" si="9"/>
        <v>31522.609999999997</v>
      </c>
      <c r="X274" s="18">
        <f t="shared" si="9"/>
        <v>0</v>
      </c>
      <c r="Y274" s="18">
        <f t="shared" si="9"/>
        <v>0</v>
      </c>
    </row>
    <row r="275" spans="1:25" s="16" customFormat="1" ht="17.25" customHeight="1">
      <c r="A275" s="108" t="str">
        <f t="shared" si="8"/>
        <v>602041204 2 02 21470000</v>
      </c>
      <c r="B275" s="197" t="s">
        <v>299</v>
      </c>
      <c r="C275" s="198" t="s">
        <v>256</v>
      </c>
      <c r="D275" s="199" t="s">
        <v>73</v>
      </c>
      <c r="E275" s="199" t="s">
        <v>57</v>
      </c>
      <c r="F275" s="199" t="s">
        <v>300</v>
      </c>
      <c r="G275" s="199" t="s">
        <v>9</v>
      </c>
      <c r="H275" s="20">
        <v>42265.35</v>
      </c>
      <c r="I275" s="20">
        <v>0</v>
      </c>
      <c r="J275" s="20">
        <v>0</v>
      </c>
      <c r="K275" s="20"/>
      <c r="L275" s="20"/>
      <c r="M275" s="20"/>
      <c r="N275" s="18"/>
      <c r="O275" s="18"/>
      <c r="P275" s="18"/>
      <c r="Q275" s="17"/>
      <c r="T275" s="20">
        <v>2213.8999999999996</v>
      </c>
      <c r="U275" s="20">
        <v>0</v>
      </c>
      <c r="V275" s="20">
        <v>0</v>
      </c>
      <c r="W275" s="20">
        <f t="shared" si="9"/>
        <v>40051.449999999997</v>
      </c>
      <c r="X275" s="20">
        <f t="shared" si="9"/>
        <v>0</v>
      </c>
      <c r="Y275" s="20">
        <f t="shared" si="9"/>
        <v>0</v>
      </c>
    </row>
    <row r="276" spans="1:25" s="16" customFormat="1" ht="17.25" customHeight="1">
      <c r="A276" s="108" t="str">
        <f t="shared" si="8"/>
        <v>602041204 2 02 21470240</v>
      </c>
      <c r="B276" s="197" t="s">
        <v>28</v>
      </c>
      <c r="C276" s="198" t="s">
        <v>256</v>
      </c>
      <c r="D276" s="199" t="s">
        <v>73</v>
      </c>
      <c r="E276" s="199" t="s">
        <v>57</v>
      </c>
      <c r="F276" s="199" t="s">
        <v>300</v>
      </c>
      <c r="G276" s="199" t="s">
        <v>29</v>
      </c>
      <c r="H276" s="20">
        <v>42265.35</v>
      </c>
      <c r="I276" s="20">
        <v>0</v>
      </c>
      <c r="J276" s="20">
        <v>0</v>
      </c>
      <c r="K276" s="20"/>
      <c r="L276" s="20"/>
      <c r="M276" s="20"/>
      <c r="N276" s="18"/>
      <c r="O276" s="18"/>
      <c r="P276" s="18"/>
      <c r="Q276" s="17"/>
      <c r="T276" s="20">
        <v>2213.8999999999996</v>
      </c>
      <c r="U276" s="20">
        <v>0</v>
      </c>
      <c r="V276" s="20">
        <v>0</v>
      </c>
      <c r="W276" s="20">
        <f t="shared" si="9"/>
        <v>40051.449999999997</v>
      </c>
      <c r="X276" s="20">
        <f t="shared" si="9"/>
        <v>0</v>
      </c>
      <c r="Y276" s="20">
        <f t="shared" si="9"/>
        <v>0</v>
      </c>
    </row>
    <row r="277" spans="1:25" s="16" customFormat="1" ht="25.5">
      <c r="A277" s="108" t="str">
        <f t="shared" si="8"/>
        <v>602041204 2 02 S7480000</v>
      </c>
      <c r="B277" s="197" t="s">
        <v>1271</v>
      </c>
      <c r="C277" s="198" t="s">
        <v>256</v>
      </c>
      <c r="D277" s="199" t="s">
        <v>73</v>
      </c>
      <c r="E277" s="199" t="s">
        <v>57</v>
      </c>
      <c r="F277" s="199" t="s">
        <v>1272</v>
      </c>
      <c r="G277" s="199" t="s">
        <v>9</v>
      </c>
      <c r="H277" s="20">
        <v>752.03</v>
      </c>
      <c r="I277" s="20">
        <v>0</v>
      </c>
      <c r="J277" s="20">
        <v>0</v>
      </c>
      <c r="K277" s="20"/>
      <c r="L277" s="20"/>
      <c r="M277" s="20"/>
      <c r="N277" s="18"/>
      <c r="O277" s="18"/>
      <c r="P277" s="18"/>
      <c r="Q277" s="17"/>
      <c r="T277" s="20">
        <v>2213.8999999999996</v>
      </c>
      <c r="U277" s="20">
        <v>0</v>
      </c>
      <c r="V277" s="20">
        <v>0</v>
      </c>
      <c r="W277" s="20">
        <f t="shared" si="9"/>
        <v>-1461.8699999999997</v>
      </c>
      <c r="X277" s="20">
        <f t="shared" si="9"/>
        <v>0</v>
      </c>
      <c r="Y277" s="20">
        <f t="shared" si="9"/>
        <v>0</v>
      </c>
    </row>
    <row r="278" spans="1:25" s="16" customFormat="1" ht="25.5">
      <c r="A278" s="108" t="str">
        <f t="shared" si="8"/>
        <v>602041204 2 02 S7480240</v>
      </c>
      <c r="B278" s="197" t="s">
        <v>28</v>
      </c>
      <c r="C278" s="198" t="s">
        <v>256</v>
      </c>
      <c r="D278" s="199" t="s">
        <v>73</v>
      </c>
      <c r="E278" s="199" t="s">
        <v>57</v>
      </c>
      <c r="F278" s="199" t="s">
        <v>1272</v>
      </c>
      <c r="G278" s="199" t="s">
        <v>29</v>
      </c>
      <c r="H278" s="20">
        <v>752.03</v>
      </c>
      <c r="I278" s="20">
        <v>0</v>
      </c>
      <c r="J278" s="20">
        <v>0</v>
      </c>
      <c r="K278" s="20"/>
      <c r="L278" s="20"/>
      <c r="M278" s="20"/>
      <c r="N278" s="18"/>
      <c r="O278" s="18"/>
      <c r="P278" s="18"/>
      <c r="Q278" s="17"/>
      <c r="T278" s="20">
        <v>2213.8999999999996</v>
      </c>
      <c r="U278" s="20">
        <v>0</v>
      </c>
      <c r="V278" s="20">
        <v>0</v>
      </c>
      <c r="W278" s="20">
        <f t="shared" si="9"/>
        <v>-1461.8699999999997</v>
      </c>
      <c r="X278" s="20">
        <f t="shared" si="9"/>
        <v>0</v>
      </c>
      <c r="Y278" s="20">
        <f t="shared" si="9"/>
        <v>0</v>
      </c>
    </row>
    <row r="279" spans="1:25" s="16" customFormat="1" ht="17.25" customHeight="1">
      <c r="A279" s="108" t="str">
        <f t="shared" si="8"/>
        <v>602041211 0 00 00000000</v>
      </c>
      <c r="B279" s="205" t="s">
        <v>257</v>
      </c>
      <c r="C279" s="198" t="s">
        <v>256</v>
      </c>
      <c r="D279" s="199" t="s">
        <v>73</v>
      </c>
      <c r="E279" s="199" t="s">
        <v>57</v>
      </c>
      <c r="F279" s="199" t="s">
        <v>258</v>
      </c>
      <c r="G279" s="199" t="s">
        <v>9</v>
      </c>
      <c r="H279" s="20">
        <v>651.86</v>
      </c>
      <c r="I279" s="20">
        <v>15199.13</v>
      </c>
      <c r="J279" s="20">
        <v>612</v>
      </c>
      <c r="K279" s="20"/>
      <c r="L279" s="20"/>
      <c r="M279" s="20"/>
      <c r="N279" s="18"/>
      <c r="O279" s="18"/>
      <c r="P279" s="18"/>
      <c r="Q279" s="17"/>
      <c r="T279" s="20"/>
      <c r="U279" s="20"/>
      <c r="V279" s="20"/>
      <c r="W279" s="20">
        <f t="shared" si="9"/>
        <v>651.86</v>
      </c>
      <c r="X279" s="20">
        <f t="shared" si="9"/>
        <v>15199.13</v>
      </c>
      <c r="Y279" s="20">
        <f t="shared" si="9"/>
        <v>612</v>
      </c>
    </row>
    <row r="280" spans="1:25" s="16" customFormat="1" ht="51">
      <c r="A280" s="108" t="str">
        <f t="shared" si="8"/>
        <v>602041211 Б 00 00000000</v>
      </c>
      <c r="B280" s="205" t="s">
        <v>259</v>
      </c>
      <c r="C280" s="198" t="s">
        <v>256</v>
      </c>
      <c r="D280" s="199" t="s">
        <v>73</v>
      </c>
      <c r="E280" s="199" t="s">
        <v>57</v>
      </c>
      <c r="F280" s="199" t="s">
        <v>260</v>
      </c>
      <c r="G280" s="199" t="s">
        <v>9</v>
      </c>
      <c r="H280" s="20">
        <v>651.86</v>
      </c>
      <c r="I280" s="20">
        <v>15199.13</v>
      </c>
      <c r="J280" s="20">
        <v>612</v>
      </c>
      <c r="K280" s="20"/>
      <c r="L280" s="20"/>
      <c r="M280" s="20"/>
      <c r="N280" s="18"/>
      <c r="O280" s="18"/>
      <c r="P280" s="18"/>
      <c r="Q280" s="17"/>
      <c r="T280" s="20">
        <v>2213.8999999999996</v>
      </c>
      <c r="U280" s="20">
        <v>0</v>
      </c>
      <c r="V280" s="20">
        <v>0</v>
      </c>
      <c r="W280" s="20">
        <f t="shared" si="9"/>
        <v>-1562.0399999999995</v>
      </c>
      <c r="X280" s="20">
        <f t="shared" si="9"/>
        <v>15199.13</v>
      </c>
      <c r="Y280" s="20">
        <f t="shared" si="9"/>
        <v>612</v>
      </c>
    </row>
    <row r="281" spans="1:25" s="16" customFormat="1" ht="17.25" customHeight="1">
      <c r="A281" s="108" t="str">
        <f t="shared" si="8"/>
        <v>602041211 Б 02 00000000</v>
      </c>
      <c r="B281" s="197" t="s">
        <v>301</v>
      </c>
      <c r="C281" s="198" t="s">
        <v>256</v>
      </c>
      <c r="D281" s="199" t="s">
        <v>73</v>
      </c>
      <c r="E281" s="199" t="s">
        <v>57</v>
      </c>
      <c r="F281" s="199" t="s">
        <v>302</v>
      </c>
      <c r="G281" s="199" t="s">
        <v>9</v>
      </c>
      <c r="H281" s="20">
        <v>651.86</v>
      </c>
      <c r="I281" s="20">
        <v>15199.13</v>
      </c>
      <c r="J281" s="20">
        <v>612</v>
      </c>
      <c r="K281" s="20"/>
      <c r="L281" s="20"/>
      <c r="M281" s="20"/>
      <c r="N281" s="18"/>
      <c r="O281" s="18"/>
      <c r="P281" s="18"/>
      <c r="Q281" s="17"/>
      <c r="T281" s="20">
        <v>2213.8999999999996</v>
      </c>
      <c r="U281" s="20">
        <v>0</v>
      </c>
      <c r="V281" s="20">
        <v>0</v>
      </c>
      <c r="W281" s="20">
        <f t="shared" si="9"/>
        <v>-1562.0399999999995</v>
      </c>
      <c r="X281" s="20">
        <f t="shared" si="9"/>
        <v>15199.13</v>
      </c>
      <c r="Y281" s="20">
        <f t="shared" si="9"/>
        <v>612</v>
      </c>
    </row>
    <row r="282" spans="1:25" s="16" customFormat="1" ht="16.899999999999999" customHeight="1">
      <c r="A282" s="108" t="str">
        <f t="shared" si="8"/>
        <v>602041211 Б 02 20180000</v>
      </c>
      <c r="B282" s="197" t="s">
        <v>303</v>
      </c>
      <c r="C282" s="198" t="s">
        <v>256</v>
      </c>
      <c r="D282" s="199" t="s">
        <v>73</v>
      </c>
      <c r="E282" s="199" t="s">
        <v>57</v>
      </c>
      <c r="F282" s="199" t="s">
        <v>304</v>
      </c>
      <c r="G282" s="199" t="s">
        <v>9</v>
      </c>
      <c r="H282" s="20">
        <v>651.86</v>
      </c>
      <c r="I282" s="20">
        <v>612</v>
      </c>
      <c r="J282" s="20">
        <v>612</v>
      </c>
      <c r="K282" s="19"/>
      <c r="L282" s="19"/>
      <c r="M282" s="19"/>
      <c r="N282" s="19"/>
      <c r="O282" s="19"/>
      <c r="P282" s="19"/>
      <c r="Q282" s="17"/>
      <c r="T282" s="19">
        <v>7522.26</v>
      </c>
      <c r="U282" s="19">
        <v>0</v>
      </c>
      <c r="V282" s="19">
        <v>0</v>
      </c>
      <c r="W282" s="19">
        <f t="shared" si="9"/>
        <v>-6870.4000000000005</v>
      </c>
      <c r="X282" s="19">
        <f t="shared" si="9"/>
        <v>612</v>
      </c>
      <c r="Y282" s="19">
        <f t="shared" si="9"/>
        <v>612</v>
      </c>
    </row>
    <row r="283" spans="1:25" s="16" customFormat="1">
      <c r="A283" s="108" t="str">
        <f t="shared" si="8"/>
        <v/>
      </c>
      <c r="B283" s="220" t="s">
        <v>1104</v>
      </c>
      <c r="C283" s="198"/>
      <c r="D283" s="199"/>
      <c r="E283" s="199"/>
      <c r="F283" s="199"/>
      <c r="G283" s="199"/>
      <c r="H283" s="20"/>
      <c r="I283" s="20"/>
      <c r="J283" s="20"/>
      <c r="K283" s="32"/>
      <c r="L283" s="32"/>
      <c r="M283" s="32"/>
      <c r="N283" s="32"/>
      <c r="O283" s="32"/>
      <c r="P283" s="32"/>
      <c r="Q283" s="17"/>
      <c r="T283" s="32">
        <v>7522.26</v>
      </c>
      <c r="U283" s="32">
        <v>0</v>
      </c>
      <c r="V283" s="32">
        <v>0</v>
      </c>
      <c r="W283" s="32">
        <f t="shared" si="9"/>
        <v>-7522.26</v>
      </c>
      <c r="X283" s="32">
        <f t="shared" si="9"/>
        <v>0</v>
      </c>
      <c r="Y283" s="32">
        <f t="shared" si="9"/>
        <v>0</v>
      </c>
    </row>
    <row r="284" spans="1:25" s="16" customFormat="1">
      <c r="A284" s="108" t="str">
        <f t="shared" si="8"/>
        <v>602041211 Б 02 20180000</v>
      </c>
      <c r="B284" s="221" t="s">
        <v>1105</v>
      </c>
      <c r="C284" s="222" t="s">
        <v>256</v>
      </c>
      <c r="D284" s="223" t="s">
        <v>73</v>
      </c>
      <c r="E284" s="223" t="s">
        <v>57</v>
      </c>
      <c r="F284" s="223" t="s">
        <v>304</v>
      </c>
      <c r="G284" s="223" t="s">
        <v>9</v>
      </c>
      <c r="H284" s="224">
        <v>39.86</v>
      </c>
      <c r="I284" s="224">
        <v>0</v>
      </c>
      <c r="J284" s="224">
        <v>0</v>
      </c>
      <c r="K284" s="32"/>
      <c r="L284" s="32"/>
      <c r="M284" s="32"/>
      <c r="N284" s="32"/>
      <c r="O284" s="32"/>
      <c r="P284" s="32"/>
      <c r="Q284" s="17"/>
      <c r="T284" s="32">
        <v>7522.26</v>
      </c>
      <c r="U284" s="32">
        <v>0</v>
      </c>
      <c r="V284" s="32">
        <v>0</v>
      </c>
      <c r="W284" s="32">
        <f t="shared" si="9"/>
        <v>-7482.4000000000005</v>
      </c>
      <c r="X284" s="32">
        <f t="shared" si="9"/>
        <v>0</v>
      </c>
      <c r="Y284" s="32">
        <f t="shared" si="9"/>
        <v>0</v>
      </c>
    </row>
    <row r="285" spans="1:25" s="29" customFormat="1" ht="25.5">
      <c r="A285" s="108" t="str">
        <f t="shared" si="8"/>
        <v>602041211 Б 02 20180240</v>
      </c>
      <c r="B285" s="197" t="s">
        <v>28</v>
      </c>
      <c r="C285" s="198" t="s">
        <v>256</v>
      </c>
      <c r="D285" s="199" t="s">
        <v>73</v>
      </c>
      <c r="E285" s="199" t="s">
        <v>57</v>
      </c>
      <c r="F285" s="199" t="s">
        <v>304</v>
      </c>
      <c r="G285" s="199" t="s">
        <v>29</v>
      </c>
      <c r="H285" s="20">
        <v>651.86</v>
      </c>
      <c r="I285" s="20">
        <v>612</v>
      </c>
      <c r="J285" s="20">
        <v>612</v>
      </c>
      <c r="K285" s="20"/>
      <c r="L285" s="20"/>
      <c r="M285" s="20"/>
      <c r="N285" s="20"/>
      <c r="O285" s="20"/>
      <c r="P285" s="20"/>
      <c r="Q285" s="17"/>
      <c r="T285" s="20">
        <v>7522.26</v>
      </c>
      <c r="U285" s="20">
        <v>0</v>
      </c>
      <c r="V285" s="20">
        <v>0</v>
      </c>
      <c r="W285" s="20">
        <f t="shared" si="9"/>
        <v>-6870.4000000000005</v>
      </c>
      <c r="X285" s="20">
        <f t="shared" si="9"/>
        <v>612</v>
      </c>
      <c r="Y285" s="20">
        <f t="shared" si="9"/>
        <v>612</v>
      </c>
    </row>
    <row r="286" spans="1:25" s="29" customFormat="1" ht="63.75">
      <c r="A286" s="108" t="str">
        <f t="shared" si="8"/>
        <v>602041211 Б 02 21550000</v>
      </c>
      <c r="B286" s="227" t="s">
        <v>1106</v>
      </c>
      <c r="C286" s="198" t="s">
        <v>256</v>
      </c>
      <c r="D286" s="199" t="s">
        <v>73</v>
      </c>
      <c r="E286" s="199" t="s">
        <v>57</v>
      </c>
      <c r="F286" s="199" t="s">
        <v>1107</v>
      </c>
      <c r="G286" s="199" t="s">
        <v>9</v>
      </c>
      <c r="H286" s="20">
        <v>0</v>
      </c>
      <c r="I286" s="20">
        <v>14587.13</v>
      </c>
      <c r="J286" s="20">
        <v>0</v>
      </c>
      <c r="K286" s="20"/>
      <c r="L286" s="20"/>
      <c r="M286" s="20"/>
      <c r="N286" s="20"/>
      <c r="O286" s="20"/>
      <c r="P286" s="20"/>
      <c r="Q286" s="17"/>
      <c r="T286" s="20">
        <v>7522.26</v>
      </c>
      <c r="U286" s="20">
        <v>0</v>
      </c>
      <c r="V286" s="20">
        <v>0</v>
      </c>
      <c r="W286" s="20">
        <f t="shared" si="9"/>
        <v>-7522.26</v>
      </c>
      <c r="X286" s="20">
        <f t="shared" si="9"/>
        <v>14587.13</v>
      </c>
      <c r="Y286" s="20">
        <f t="shared" si="9"/>
        <v>0</v>
      </c>
    </row>
    <row r="287" spans="1:25" s="29" customFormat="1" ht="25.5">
      <c r="A287" s="108" t="str">
        <f t="shared" si="8"/>
        <v>602041211 Б 02 21550240</v>
      </c>
      <c r="B287" s="197" t="s">
        <v>28</v>
      </c>
      <c r="C287" s="198" t="s">
        <v>256</v>
      </c>
      <c r="D287" s="199" t="s">
        <v>73</v>
      </c>
      <c r="E287" s="199" t="s">
        <v>57</v>
      </c>
      <c r="F287" s="199" t="s">
        <v>1107</v>
      </c>
      <c r="G287" s="199" t="s">
        <v>29</v>
      </c>
      <c r="H287" s="20">
        <v>0</v>
      </c>
      <c r="I287" s="20">
        <v>14587.13</v>
      </c>
      <c r="J287" s="20">
        <v>0</v>
      </c>
      <c r="K287" s="20"/>
      <c r="L287" s="20"/>
      <c r="M287" s="20"/>
      <c r="N287" s="20"/>
      <c r="O287" s="20"/>
      <c r="P287" s="20"/>
      <c r="Q287" s="17"/>
      <c r="T287" s="20">
        <v>7522.26</v>
      </c>
      <c r="U287" s="20">
        <v>0</v>
      </c>
      <c r="V287" s="20">
        <v>0</v>
      </c>
      <c r="W287" s="20">
        <f t="shared" si="9"/>
        <v>-7522.26</v>
      </c>
      <c r="X287" s="20">
        <f t="shared" si="9"/>
        <v>14587.13</v>
      </c>
      <c r="Y287" s="20">
        <f t="shared" si="9"/>
        <v>0</v>
      </c>
    </row>
    <row r="288" spans="1:25" s="16" customFormat="1" ht="16.899999999999999" customHeight="1">
      <c r="A288" s="108" t="str">
        <f t="shared" si="8"/>
        <v>602050000 0 00 00000000</v>
      </c>
      <c r="B288" s="191" t="s">
        <v>305</v>
      </c>
      <c r="C288" s="192" t="s">
        <v>256</v>
      </c>
      <c r="D288" s="193" t="s">
        <v>86</v>
      </c>
      <c r="E288" s="193" t="s">
        <v>7</v>
      </c>
      <c r="F288" s="193" t="s">
        <v>8</v>
      </c>
      <c r="G288" s="193" t="s">
        <v>9</v>
      </c>
      <c r="H288" s="18">
        <v>11457.16</v>
      </c>
      <c r="I288" s="18">
        <v>0</v>
      </c>
      <c r="J288" s="18">
        <v>0</v>
      </c>
      <c r="K288" s="19"/>
      <c r="L288" s="19"/>
      <c r="M288" s="19"/>
      <c r="N288" s="19"/>
      <c r="O288" s="19"/>
      <c r="P288" s="19"/>
      <c r="Q288" s="17"/>
      <c r="T288" s="19">
        <v>1758.61</v>
      </c>
      <c r="U288" s="19">
        <v>0</v>
      </c>
      <c r="V288" s="19">
        <v>0</v>
      </c>
      <c r="W288" s="19">
        <f t="shared" si="9"/>
        <v>9698.5499999999993</v>
      </c>
      <c r="X288" s="19">
        <f t="shared" si="9"/>
        <v>0</v>
      </c>
      <c r="Y288" s="19">
        <f t="shared" si="9"/>
        <v>0</v>
      </c>
    </row>
    <row r="289" spans="1:25" s="29" customFormat="1">
      <c r="A289" s="108" t="str">
        <f t="shared" si="8"/>
        <v>602050100 0 00 00000000</v>
      </c>
      <c r="B289" s="194" t="s">
        <v>765</v>
      </c>
      <c r="C289" s="195" t="s">
        <v>256</v>
      </c>
      <c r="D289" s="196" t="s">
        <v>86</v>
      </c>
      <c r="E289" s="196" t="s">
        <v>11</v>
      </c>
      <c r="F289" s="196" t="s">
        <v>8</v>
      </c>
      <c r="G289" s="196" t="s">
        <v>9</v>
      </c>
      <c r="H289" s="19">
        <v>2213.8999999999996</v>
      </c>
      <c r="I289" s="19">
        <v>0</v>
      </c>
      <c r="J289" s="19">
        <v>0</v>
      </c>
      <c r="K289" s="20"/>
      <c r="L289" s="20"/>
      <c r="M289" s="20"/>
      <c r="N289" s="20"/>
      <c r="O289" s="20"/>
      <c r="P289" s="20"/>
      <c r="Q289" s="17"/>
      <c r="T289" s="20">
        <v>1758.61</v>
      </c>
      <c r="U289" s="20">
        <v>0</v>
      </c>
      <c r="V289" s="20">
        <v>0</v>
      </c>
      <c r="W289" s="20">
        <f t="shared" si="9"/>
        <v>455.28999999999974</v>
      </c>
      <c r="X289" s="20">
        <f t="shared" si="9"/>
        <v>0</v>
      </c>
      <c r="Y289" s="20">
        <f t="shared" si="9"/>
        <v>0</v>
      </c>
    </row>
    <row r="290" spans="1:25" s="29" customFormat="1" ht="38.25">
      <c r="A290" s="108" t="str">
        <f t="shared" si="8"/>
        <v>602050198 0 00 00000000</v>
      </c>
      <c r="B290" s="197" t="s">
        <v>87</v>
      </c>
      <c r="C290" s="198" t="s">
        <v>256</v>
      </c>
      <c r="D290" s="199" t="s">
        <v>86</v>
      </c>
      <c r="E290" s="199" t="s">
        <v>11</v>
      </c>
      <c r="F290" s="199" t="s">
        <v>88</v>
      </c>
      <c r="G290" s="199" t="s">
        <v>9</v>
      </c>
      <c r="H290" s="20">
        <v>2213.8999999999996</v>
      </c>
      <c r="I290" s="20">
        <v>0</v>
      </c>
      <c r="J290" s="20">
        <v>0</v>
      </c>
      <c r="K290" s="20"/>
      <c r="L290" s="20"/>
      <c r="M290" s="20"/>
      <c r="N290" s="20"/>
      <c r="O290" s="20"/>
      <c r="P290" s="20"/>
      <c r="Q290" s="17"/>
      <c r="T290" s="20">
        <v>1758.61</v>
      </c>
      <c r="U290" s="20">
        <v>0</v>
      </c>
      <c r="V290" s="20">
        <v>0</v>
      </c>
      <c r="W290" s="20">
        <f t="shared" si="9"/>
        <v>455.28999999999974</v>
      </c>
      <c r="X290" s="20">
        <f t="shared" si="9"/>
        <v>0</v>
      </c>
      <c r="Y290" s="20">
        <f t="shared" si="9"/>
        <v>0</v>
      </c>
    </row>
    <row r="291" spans="1:25" s="29" customFormat="1" ht="38.25">
      <c r="A291" s="108" t="str">
        <f t="shared" si="8"/>
        <v>602050198 2 00 00000000</v>
      </c>
      <c r="B291" s="228" t="s">
        <v>1108</v>
      </c>
      <c r="C291" s="223" t="s">
        <v>256</v>
      </c>
      <c r="D291" s="223" t="s">
        <v>86</v>
      </c>
      <c r="E291" s="223" t="s">
        <v>11</v>
      </c>
      <c r="F291" s="223" t="s">
        <v>1109</v>
      </c>
      <c r="G291" s="222" t="s">
        <v>9</v>
      </c>
      <c r="H291" s="229">
        <v>2213.8999999999996</v>
      </c>
      <c r="I291" s="229">
        <v>0</v>
      </c>
      <c r="J291" s="229">
        <v>0</v>
      </c>
      <c r="K291" s="20"/>
      <c r="L291" s="20"/>
      <c r="M291" s="20"/>
      <c r="N291" s="20"/>
      <c r="O291" s="20"/>
      <c r="P291" s="20"/>
      <c r="Q291" s="17"/>
      <c r="T291" s="20">
        <v>1758.61</v>
      </c>
      <c r="U291" s="20">
        <v>0</v>
      </c>
      <c r="V291" s="20">
        <v>0</v>
      </c>
      <c r="W291" s="20">
        <f t="shared" si="9"/>
        <v>455.28999999999974</v>
      </c>
      <c r="X291" s="20">
        <f t="shared" si="9"/>
        <v>0</v>
      </c>
      <c r="Y291" s="20">
        <f t="shared" si="9"/>
        <v>0</v>
      </c>
    </row>
    <row r="292" spans="1:25" s="29" customFormat="1" ht="25.5">
      <c r="A292" s="108" t="str">
        <f t="shared" si="8"/>
        <v>602050198 2 00 S6910000</v>
      </c>
      <c r="B292" s="197" t="s">
        <v>1110</v>
      </c>
      <c r="C292" s="198" t="s">
        <v>256</v>
      </c>
      <c r="D292" s="199" t="s">
        <v>86</v>
      </c>
      <c r="E292" s="199" t="s">
        <v>11</v>
      </c>
      <c r="F292" s="199" t="s">
        <v>1111</v>
      </c>
      <c r="G292" s="199" t="s">
        <v>9</v>
      </c>
      <c r="H292" s="20">
        <v>2213.8999999999996</v>
      </c>
      <c r="I292" s="20">
        <v>0</v>
      </c>
      <c r="J292" s="20">
        <v>0</v>
      </c>
      <c r="K292" s="20"/>
      <c r="L292" s="20"/>
      <c r="M292" s="20"/>
      <c r="N292" s="20"/>
      <c r="O292" s="20"/>
      <c r="P292" s="20"/>
      <c r="Q292" s="17"/>
      <c r="T292" s="20">
        <v>1758.61</v>
      </c>
      <c r="U292" s="20">
        <v>0</v>
      </c>
      <c r="V292" s="20">
        <v>0</v>
      </c>
      <c r="W292" s="20">
        <f t="shared" si="9"/>
        <v>455.28999999999974</v>
      </c>
      <c r="X292" s="20">
        <f t="shared" si="9"/>
        <v>0</v>
      </c>
      <c r="Y292" s="20">
        <f t="shared" si="9"/>
        <v>0</v>
      </c>
    </row>
    <row r="293" spans="1:25" s="29" customFormat="1">
      <c r="A293" s="108" t="str">
        <f t="shared" si="8"/>
        <v/>
      </c>
      <c r="B293" s="197" t="s">
        <v>1104</v>
      </c>
      <c r="C293" s="198"/>
      <c r="D293" s="199"/>
      <c r="E293" s="199"/>
      <c r="F293" s="230"/>
      <c r="G293" s="199"/>
      <c r="H293" s="20"/>
      <c r="I293" s="32"/>
      <c r="J293" s="32"/>
      <c r="K293" s="18"/>
      <c r="L293" s="18"/>
      <c r="M293" s="18"/>
      <c r="N293" s="18"/>
      <c r="O293" s="18"/>
      <c r="P293" s="18"/>
      <c r="Q293" s="17"/>
      <c r="T293" s="18">
        <v>2676.6800000000003</v>
      </c>
      <c r="U293" s="18">
        <v>2604.63</v>
      </c>
      <c r="V293" s="18">
        <v>7404.63</v>
      </c>
      <c r="W293" s="18">
        <f t="shared" si="9"/>
        <v>-2676.6800000000003</v>
      </c>
      <c r="X293" s="18">
        <f t="shared" si="9"/>
        <v>-2604.63</v>
      </c>
      <c r="Y293" s="18">
        <f t="shared" si="9"/>
        <v>-7404.63</v>
      </c>
    </row>
    <row r="294" spans="1:25" s="29" customFormat="1" ht="63.75">
      <c r="A294" s="108" t="str">
        <f t="shared" si="8"/>
        <v>602050198 2 00 S6910000</v>
      </c>
      <c r="B294" s="197" t="s">
        <v>1112</v>
      </c>
      <c r="C294" s="198" t="s">
        <v>256</v>
      </c>
      <c r="D294" s="199" t="s">
        <v>86</v>
      </c>
      <c r="E294" s="199" t="s">
        <v>11</v>
      </c>
      <c r="F294" s="199" t="s">
        <v>1111</v>
      </c>
      <c r="G294" s="199" t="s">
        <v>9</v>
      </c>
      <c r="H294" s="20">
        <v>2213.8999999999996</v>
      </c>
      <c r="I294" s="32">
        <v>0</v>
      </c>
      <c r="J294" s="32">
        <v>0</v>
      </c>
      <c r="K294" s="19"/>
      <c r="L294" s="19"/>
      <c r="M294" s="19"/>
      <c r="N294" s="19"/>
      <c r="O294" s="19"/>
      <c r="P294" s="19"/>
      <c r="Q294" s="17"/>
      <c r="T294" s="19">
        <v>2676.6800000000003</v>
      </c>
      <c r="U294" s="19">
        <v>2604.63</v>
      </c>
      <c r="V294" s="19">
        <v>7404.63</v>
      </c>
      <c r="W294" s="19">
        <f t="shared" si="9"/>
        <v>-462.78000000000065</v>
      </c>
      <c r="X294" s="19">
        <f t="shared" si="9"/>
        <v>-2604.63</v>
      </c>
      <c r="Y294" s="19">
        <f t="shared" si="9"/>
        <v>-7404.63</v>
      </c>
    </row>
    <row r="295" spans="1:25" s="29" customFormat="1">
      <c r="A295" s="108" t="str">
        <f t="shared" si="8"/>
        <v>602050198 2 00 S6910410</v>
      </c>
      <c r="B295" s="231" t="s">
        <v>937</v>
      </c>
      <c r="C295" s="232" t="s">
        <v>256</v>
      </c>
      <c r="D295" s="233" t="s">
        <v>86</v>
      </c>
      <c r="E295" s="233" t="s">
        <v>11</v>
      </c>
      <c r="F295" s="234" t="s">
        <v>1111</v>
      </c>
      <c r="G295" s="233" t="s">
        <v>838</v>
      </c>
      <c r="H295" s="235">
        <v>2213.8999999999996</v>
      </c>
      <c r="I295" s="235">
        <v>0</v>
      </c>
      <c r="J295" s="235">
        <v>0</v>
      </c>
      <c r="K295" s="26"/>
      <c r="L295" s="26"/>
      <c r="M295" s="26"/>
      <c r="N295" s="26"/>
      <c r="O295" s="26"/>
      <c r="P295" s="26"/>
      <c r="Q295" s="17"/>
      <c r="T295" s="26">
        <v>2676.6800000000003</v>
      </c>
      <c r="U295" s="26">
        <v>2604.63</v>
      </c>
      <c r="V295" s="26">
        <v>7404.63</v>
      </c>
      <c r="W295" s="26">
        <f t="shared" si="9"/>
        <v>-462.78000000000065</v>
      </c>
      <c r="X295" s="26">
        <f t="shared" si="9"/>
        <v>-2604.63</v>
      </c>
      <c r="Y295" s="26">
        <f t="shared" si="9"/>
        <v>-7404.63</v>
      </c>
    </row>
    <row r="296" spans="1:25" s="29" customFormat="1">
      <c r="A296" s="108" t="str">
        <f t="shared" si="8"/>
        <v>602050300 0 00 00000000</v>
      </c>
      <c r="B296" s="194" t="s">
        <v>306</v>
      </c>
      <c r="C296" s="195" t="s">
        <v>256</v>
      </c>
      <c r="D296" s="196" t="s">
        <v>86</v>
      </c>
      <c r="E296" s="196" t="s">
        <v>13</v>
      </c>
      <c r="F296" s="196" t="s">
        <v>8</v>
      </c>
      <c r="G296" s="196" t="s">
        <v>9</v>
      </c>
      <c r="H296" s="19">
        <v>7484.6500000000005</v>
      </c>
      <c r="I296" s="19">
        <v>0</v>
      </c>
      <c r="J296" s="19">
        <v>0</v>
      </c>
      <c r="K296" s="26"/>
      <c r="L296" s="26"/>
      <c r="M296" s="26"/>
      <c r="N296" s="26"/>
      <c r="O296" s="26"/>
      <c r="P296" s="26"/>
      <c r="Q296" s="17"/>
      <c r="T296" s="26">
        <v>2676.6800000000003</v>
      </c>
      <c r="U296" s="26">
        <v>2604.63</v>
      </c>
      <c r="V296" s="26">
        <v>7404.63</v>
      </c>
      <c r="W296" s="26">
        <f t="shared" si="9"/>
        <v>4807.97</v>
      </c>
      <c r="X296" s="26">
        <f t="shared" si="9"/>
        <v>-2604.63</v>
      </c>
      <c r="Y296" s="26">
        <f t="shared" si="9"/>
        <v>-7404.63</v>
      </c>
    </row>
    <row r="297" spans="1:25" s="29" customFormat="1" ht="38.25">
      <c r="A297" s="108" t="str">
        <f t="shared" si="8"/>
        <v>602050304 0 00 00000000</v>
      </c>
      <c r="B297" s="197" t="s">
        <v>293</v>
      </c>
      <c r="C297" s="199" t="s">
        <v>256</v>
      </c>
      <c r="D297" s="199" t="s">
        <v>86</v>
      </c>
      <c r="E297" s="199" t="s">
        <v>13</v>
      </c>
      <c r="F297" s="199" t="s">
        <v>294</v>
      </c>
      <c r="G297" s="199" t="s">
        <v>9</v>
      </c>
      <c r="H297" s="32">
        <v>7484.6500000000005</v>
      </c>
      <c r="I297" s="32">
        <v>0</v>
      </c>
      <c r="J297" s="32">
        <v>0</v>
      </c>
      <c r="K297" s="26"/>
      <c r="L297" s="26"/>
      <c r="M297" s="26"/>
      <c r="N297" s="26"/>
      <c r="O297" s="26"/>
      <c r="P297" s="26"/>
      <c r="Q297" s="17"/>
      <c r="T297" s="26">
        <v>2676.6800000000003</v>
      </c>
      <c r="U297" s="26">
        <v>2604.63</v>
      </c>
      <c r="V297" s="26">
        <v>7404.63</v>
      </c>
      <c r="W297" s="26">
        <f t="shared" si="9"/>
        <v>4807.97</v>
      </c>
      <c r="X297" s="26">
        <f t="shared" si="9"/>
        <v>-2604.63</v>
      </c>
      <c r="Y297" s="26">
        <f t="shared" si="9"/>
        <v>-7404.63</v>
      </c>
    </row>
    <row r="298" spans="1:25" s="237" customFormat="1" ht="25.5">
      <c r="A298" s="108" t="str">
        <f t="shared" si="8"/>
        <v>602050304 3 00 00000000</v>
      </c>
      <c r="B298" s="197" t="s">
        <v>307</v>
      </c>
      <c r="C298" s="199" t="s">
        <v>256</v>
      </c>
      <c r="D298" s="199" t="s">
        <v>86</v>
      </c>
      <c r="E298" s="199" t="s">
        <v>13</v>
      </c>
      <c r="F298" s="199" t="s">
        <v>308</v>
      </c>
      <c r="G298" s="199" t="s">
        <v>9</v>
      </c>
      <c r="H298" s="32">
        <v>7484.6500000000005</v>
      </c>
      <c r="I298" s="32">
        <v>0</v>
      </c>
      <c r="J298" s="32">
        <v>0</v>
      </c>
      <c r="K298" s="218"/>
      <c r="L298" s="218"/>
      <c r="M298" s="218"/>
      <c r="N298" s="218"/>
      <c r="O298" s="218"/>
      <c r="P298" s="218"/>
      <c r="Q298" s="211"/>
      <c r="T298" s="218">
        <v>0</v>
      </c>
      <c r="U298" s="218">
        <v>0</v>
      </c>
      <c r="V298" s="218">
        <v>0</v>
      </c>
      <c r="W298" s="218">
        <f t="shared" si="9"/>
        <v>7484.6500000000005</v>
      </c>
      <c r="X298" s="218">
        <f t="shared" si="9"/>
        <v>0</v>
      </c>
      <c r="Y298" s="218">
        <f t="shared" si="9"/>
        <v>0</v>
      </c>
    </row>
    <row r="299" spans="1:25" s="237" customFormat="1" ht="25.5">
      <c r="A299" s="108" t="str">
        <f t="shared" si="8"/>
        <v>602050304 3 04 00000000</v>
      </c>
      <c r="B299" s="315" t="s">
        <v>309</v>
      </c>
      <c r="C299" s="198" t="s">
        <v>256</v>
      </c>
      <c r="D299" s="199" t="s">
        <v>86</v>
      </c>
      <c r="E299" s="199" t="s">
        <v>13</v>
      </c>
      <c r="F299" s="317" t="s">
        <v>310</v>
      </c>
      <c r="G299" s="199" t="s">
        <v>9</v>
      </c>
      <c r="H299" s="20">
        <v>7484.6500000000005</v>
      </c>
      <c r="I299" s="20">
        <v>0</v>
      </c>
      <c r="J299" s="20">
        <v>0</v>
      </c>
      <c r="K299" s="218"/>
      <c r="L299" s="218"/>
      <c r="M299" s="218"/>
      <c r="N299" s="218"/>
      <c r="O299" s="218"/>
      <c r="P299" s="218"/>
      <c r="Q299" s="211"/>
      <c r="T299" s="218">
        <v>0</v>
      </c>
      <c r="U299" s="218">
        <v>0</v>
      </c>
      <c r="V299" s="218">
        <v>0</v>
      </c>
      <c r="W299" s="218">
        <f t="shared" si="9"/>
        <v>7484.6500000000005</v>
      </c>
      <c r="X299" s="218">
        <f t="shared" si="9"/>
        <v>0</v>
      </c>
      <c r="Y299" s="218">
        <f t="shared" si="9"/>
        <v>0</v>
      </c>
    </row>
    <row r="300" spans="1:25" s="29" customFormat="1" ht="25.5">
      <c r="A300" s="108" t="str">
        <f t="shared" si="8"/>
        <v>602050304 3 04 21510000</v>
      </c>
      <c r="B300" s="197" t="s">
        <v>311</v>
      </c>
      <c r="C300" s="198" t="s">
        <v>256</v>
      </c>
      <c r="D300" s="199" t="s">
        <v>86</v>
      </c>
      <c r="E300" s="199" t="s">
        <v>13</v>
      </c>
      <c r="F300" s="199" t="s">
        <v>312</v>
      </c>
      <c r="G300" s="199" t="s">
        <v>9</v>
      </c>
      <c r="H300" s="20">
        <v>7484.6500000000005</v>
      </c>
      <c r="I300" s="20">
        <v>0</v>
      </c>
      <c r="J300" s="20">
        <v>0</v>
      </c>
      <c r="K300" s="26"/>
      <c r="L300" s="26"/>
      <c r="M300" s="26"/>
      <c r="N300" s="218"/>
      <c r="O300" s="218"/>
      <c r="P300" s="218"/>
      <c r="Q300" s="211"/>
      <c r="R300" s="237"/>
      <c r="T300" s="26">
        <v>2604.63</v>
      </c>
      <c r="U300" s="26">
        <v>2604.63</v>
      </c>
      <c r="V300" s="26">
        <v>7404.63</v>
      </c>
      <c r="W300" s="26">
        <f t="shared" si="9"/>
        <v>4880.0200000000004</v>
      </c>
      <c r="X300" s="26">
        <f t="shared" si="9"/>
        <v>-2604.63</v>
      </c>
      <c r="Y300" s="26">
        <f t="shared" si="9"/>
        <v>-7404.63</v>
      </c>
    </row>
    <row r="301" spans="1:25" s="29" customFormat="1" ht="25.5">
      <c r="A301" s="108" t="str">
        <f t="shared" si="8"/>
        <v>602050304 3 04 21510240</v>
      </c>
      <c r="B301" s="197" t="s">
        <v>28</v>
      </c>
      <c r="C301" s="198" t="s">
        <v>256</v>
      </c>
      <c r="D301" s="199" t="s">
        <v>86</v>
      </c>
      <c r="E301" s="199" t="s">
        <v>13</v>
      </c>
      <c r="F301" s="199" t="s">
        <v>312</v>
      </c>
      <c r="G301" s="199" t="s">
        <v>29</v>
      </c>
      <c r="H301" s="20">
        <v>7484.6500000000005</v>
      </c>
      <c r="I301" s="20">
        <v>0</v>
      </c>
      <c r="J301" s="20">
        <v>0</v>
      </c>
      <c r="K301" s="26"/>
      <c r="L301" s="26"/>
      <c r="M301" s="26"/>
      <c r="N301" s="218"/>
      <c r="O301" s="218"/>
      <c r="P301" s="218"/>
      <c r="Q301" s="211"/>
      <c r="R301" s="237"/>
      <c r="T301" s="26">
        <v>2604.63</v>
      </c>
      <c r="U301" s="26">
        <v>2604.63</v>
      </c>
      <c r="V301" s="26">
        <v>7404.63</v>
      </c>
      <c r="W301" s="26">
        <f t="shared" si="9"/>
        <v>4880.0200000000004</v>
      </c>
      <c r="X301" s="26">
        <f t="shared" si="9"/>
        <v>-2604.63</v>
      </c>
      <c r="Y301" s="26">
        <f t="shared" si="9"/>
        <v>-7404.63</v>
      </c>
    </row>
    <row r="302" spans="1:25" s="29" customFormat="1">
      <c r="A302" s="108" t="str">
        <f t="shared" si="8"/>
        <v>602050500 0 00 00000000</v>
      </c>
      <c r="B302" s="194" t="s">
        <v>313</v>
      </c>
      <c r="C302" s="195" t="s">
        <v>256</v>
      </c>
      <c r="D302" s="196" t="s">
        <v>86</v>
      </c>
      <c r="E302" s="196" t="s">
        <v>86</v>
      </c>
      <c r="F302" s="196" t="s">
        <v>8</v>
      </c>
      <c r="G302" s="196" t="s">
        <v>9</v>
      </c>
      <c r="H302" s="19">
        <v>1758.61</v>
      </c>
      <c r="I302" s="19">
        <v>0</v>
      </c>
      <c r="J302" s="19">
        <v>0</v>
      </c>
      <c r="K302" s="26"/>
      <c r="L302" s="26"/>
      <c r="M302" s="26"/>
      <c r="N302" s="26"/>
      <c r="O302" s="26"/>
      <c r="P302" s="26"/>
      <c r="Q302" s="17"/>
      <c r="T302" s="26">
        <v>72.05</v>
      </c>
      <c r="U302" s="26">
        <v>0</v>
      </c>
      <c r="V302" s="26">
        <v>0</v>
      </c>
      <c r="W302" s="26">
        <f t="shared" si="9"/>
        <v>1686.56</v>
      </c>
      <c r="X302" s="26">
        <f t="shared" si="9"/>
        <v>0</v>
      </c>
      <c r="Y302" s="26">
        <f t="shared" si="9"/>
        <v>0</v>
      </c>
    </row>
    <row r="303" spans="1:25" s="29" customFormat="1" ht="38.25">
      <c r="A303" s="108" t="str">
        <f t="shared" si="8"/>
        <v>602050598 0 00 00000000</v>
      </c>
      <c r="B303" s="315" t="s">
        <v>87</v>
      </c>
      <c r="C303" s="198" t="s">
        <v>256</v>
      </c>
      <c r="D303" s="199" t="s">
        <v>86</v>
      </c>
      <c r="E303" s="199" t="s">
        <v>86</v>
      </c>
      <c r="F303" s="199" t="s">
        <v>88</v>
      </c>
      <c r="G303" s="199" t="s">
        <v>9</v>
      </c>
      <c r="H303" s="20">
        <v>1758.61</v>
      </c>
      <c r="I303" s="20">
        <v>0</v>
      </c>
      <c r="J303" s="20">
        <v>0</v>
      </c>
      <c r="K303" s="26"/>
      <c r="L303" s="26"/>
      <c r="M303" s="26"/>
      <c r="N303" s="26"/>
      <c r="O303" s="26"/>
      <c r="P303" s="26"/>
      <c r="Q303" s="17"/>
      <c r="T303" s="26"/>
      <c r="U303" s="26"/>
      <c r="V303" s="26"/>
      <c r="W303" s="26">
        <f t="shared" si="9"/>
        <v>1758.61</v>
      </c>
      <c r="X303" s="26">
        <f t="shared" si="9"/>
        <v>0</v>
      </c>
      <c r="Y303" s="26">
        <f t="shared" si="9"/>
        <v>0</v>
      </c>
    </row>
    <row r="304" spans="1:25" s="29" customFormat="1">
      <c r="A304" s="108" t="str">
        <f t="shared" si="8"/>
        <v>602050598 1 00 00000000</v>
      </c>
      <c r="B304" s="315" t="s">
        <v>89</v>
      </c>
      <c r="C304" s="198" t="s">
        <v>256</v>
      </c>
      <c r="D304" s="199" t="s">
        <v>86</v>
      </c>
      <c r="E304" s="199" t="s">
        <v>86</v>
      </c>
      <c r="F304" s="199" t="s">
        <v>90</v>
      </c>
      <c r="G304" s="199" t="s">
        <v>9</v>
      </c>
      <c r="H304" s="20">
        <v>1758.61</v>
      </c>
      <c r="I304" s="20">
        <v>0</v>
      </c>
      <c r="J304" s="20">
        <v>0</v>
      </c>
      <c r="K304" s="26"/>
      <c r="L304" s="26"/>
      <c r="M304" s="26"/>
      <c r="N304" s="26"/>
      <c r="O304" s="26"/>
      <c r="P304" s="26"/>
      <c r="Q304" s="17"/>
      <c r="T304" s="26">
        <v>72.05</v>
      </c>
      <c r="U304" s="26">
        <v>0</v>
      </c>
      <c r="V304" s="26">
        <v>0</v>
      </c>
      <c r="W304" s="26">
        <f t="shared" si="9"/>
        <v>1686.56</v>
      </c>
      <c r="X304" s="26">
        <f t="shared" si="9"/>
        <v>0</v>
      </c>
      <c r="Y304" s="26">
        <f t="shared" si="9"/>
        <v>0</v>
      </c>
    </row>
    <row r="305" spans="1:25" s="29" customFormat="1" ht="38.25">
      <c r="A305" s="108" t="str">
        <f t="shared" si="8"/>
        <v>602050598 1 00 20950000</v>
      </c>
      <c r="B305" s="197" t="s">
        <v>314</v>
      </c>
      <c r="C305" s="198" t="s">
        <v>256</v>
      </c>
      <c r="D305" s="199" t="s">
        <v>86</v>
      </c>
      <c r="E305" s="199" t="s">
        <v>86</v>
      </c>
      <c r="F305" s="199" t="s">
        <v>315</v>
      </c>
      <c r="G305" s="199" t="s">
        <v>9</v>
      </c>
      <c r="H305" s="20">
        <v>1758.61</v>
      </c>
      <c r="I305" s="20">
        <v>0</v>
      </c>
      <c r="J305" s="20">
        <v>0</v>
      </c>
      <c r="K305" s="26"/>
      <c r="L305" s="26"/>
      <c r="M305" s="26"/>
      <c r="N305" s="26"/>
      <c r="O305" s="26"/>
      <c r="P305" s="26"/>
      <c r="Q305" s="17"/>
      <c r="T305" s="26">
        <v>72.05</v>
      </c>
      <c r="U305" s="26">
        <v>0</v>
      </c>
      <c r="V305" s="26">
        <v>0</v>
      </c>
      <c r="W305" s="26">
        <f t="shared" si="9"/>
        <v>1686.56</v>
      </c>
      <c r="X305" s="26">
        <f t="shared" si="9"/>
        <v>0</v>
      </c>
      <c r="Y305" s="26">
        <f t="shared" si="9"/>
        <v>0</v>
      </c>
    </row>
    <row r="306" spans="1:25" s="29" customFormat="1" ht="25.5">
      <c r="A306" s="108" t="str">
        <f t="shared" si="8"/>
        <v>602050598 1 00 20950240</v>
      </c>
      <c r="B306" s="197" t="s">
        <v>28</v>
      </c>
      <c r="C306" s="198" t="s">
        <v>256</v>
      </c>
      <c r="D306" s="199" t="s">
        <v>86</v>
      </c>
      <c r="E306" s="199" t="s">
        <v>86</v>
      </c>
      <c r="F306" s="199" t="s">
        <v>315</v>
      </c>
      <c r="G306" s="199" t="s">
        <v>29</v>
      </c>
      <c r="H306" s="20">
        <v>1758.61</v>
      </c>
      <c r="I306" s="20">
        <v>0</v>
      </c>
      <c r="J306" s="20">
        <v>0</v>
      </c>
      <c r="K306" s="20"/>
      <c r="L306" s="20"/>
      <c r="M306" s="20"/>
      <c r="N306" s="20"/>
      <c r="O306" s="20"/>
      <c r="P306" s="20"/>
      <c r="Q306" s="17"/>
      <c r="T306" s="20"/>
      <c r="U306" s="20"/>
      <c r="V306" s="20"/>
      <c r="W306" s="20">
        <f t="shared" si="9"/>
        <v>1758.61</v>
      </c>
      <c r="X306" s="20">
        <f t="shared" si="9"/>
        <v>0</v>
      </c>
      <c r="Y306" s="20">
        <f t="shared" si="9"/>
        <v>0</v>
      </c>
    </row>
    <row r="307" spans="1:25" s="29" customFormat="1">
      <c r="A307" s="108" t="str">
        <f t="shared" si="8"/>
        <v>602100000 0 00 00000000</v>
      </c>
      <c r="B307" s="191" t="s">
        <v>316</v>
      </c>
      <c r="C307" s="192" t="s">
        <v>256</v>
      </c>
      <c r="D307" s="193" t="s">
        <v>317</v>
      </c>
      <c r="E307" s="193" t="s">
        <v>7</v>
      </c>
      <c r="F307" s="193" t="s">
        <v>8</v>
      </c>
      <c r="G307" s="193" t="s">
        <v>9</v>
      </c>
      <c r="H307" s="18">
        <v>7029.29</v>
      </c>
      <c r="I307" s="18">
        <v>2604.63</v>
      </c>
      <c r="J307" s="18">
        <v>7404.63</v>
      </c>
      <c r="K307" s="25"/>
      <c r="L307" s="25"/>
      <c r="M307" s="25"/>
      <c r="N307" s="25"/>
      <c r="O307" s="25"/>
      <c r="P307" s="25"/>
      <c r="Q307" s="17"/>
      <c r="T307" s="25">
        <v>271719.82</v>
      </c>
      <c r="U307" s="25">
        <v>377029.52</v>
      </c>
      <c r="V307" s="25">
        <v>438474.61</v>
      </c>
      <c r="W307" s="25">
        <f t="shared" si="9"/>
        <v>-264690.53000000003</v>
      </c>
      <c r="X307" s="25">
        <f t="shared" si="9"/>
        <v>-374424.89</v>
      </c>
      <c r="Y307" s="25">
        <f t="shared" si="9"/>
        <v>-431069.98</v>
      </c>
    </row>
    <row r="308" spans="1:25" s="29" customFormat="1">
      <c r="A308" s="108" t="str">
        <f t="shared" si="8"/>
        <v>602100300 0 00 00000000</v>
      </c>
      <c r="B308" s="194" t="s">
        <v>318</v>
      </c>
      <c r="C308" s="195" t="s">
        <v>256</v>
      </c>
      <c r="D308" s="196">
        <v>10</v>
      </c>
      <c r="E308" s="196" t="s">
        <v>13</v>
      </c>
      <c r="F308" s="196" t="s">
        <v>8</v>
      </c>
      <c r="G308" s="196" t="s">
        <v>9</v>
      </c>
      <c r="H308" s="19">
        <v>7029.29</v>
      </c>
      <c r="I308" s="19">
        <v>2604.63</v>
      </c>
      <c r="J308" s="19">
        <v>7404.63</v>
      </c>
      <c r="K308" s="18"/>
      <c r="L308" s="18"/>
      <c r="M308" s="18"/>
      <c r="N308" s="18"/>
      <c r="O308" s="18"/>
      <c r="P308" s="18"/>
      <c r="Q308" s="17"/>
      <c r="T308" s="18">
        <v>97004.82</v>
      </c>
      <c r="U308" s="18">
        <v>153659.52000000002</v>
      </c>
      <c r="V308" s="18">
        <v>176536.61</v>
      </c>
      <c r="W308" s="18">
        <f t="shared" si="9"/>
        <v>-89975.530000000013</v>
      </c>
      <c r="X308" s="18">
        <f t="shared" si="9"/>
        <v>-151054.89000000001</v>
      </c>
      <c r="Y308" s="18">
        <f t="shared" si="9"/>
        <v>-169131.97999999998</v>
      </c>
    </row>
    <row r="309" spans="1:25" s="29" customFormat="1" ht="25.5">
      <c r="A309" s="108" t="str">
        <f t="shared" si="8"/>
        <v>602100306 0 00 00000000</v>
      </c>
      <c r="B309" s="197" t="s">
        <v>319</v>
      </c>
      <c r="C309" s="204" t="s">
        <v>256</v>
      </c>
      <c r="D309" s="204" t="s">
        <v>317</v>
      </c>
      <c r="E309" s="204" t="s">
        <v>13</v>
      </c>
      <c r="F309" s="204" t="s">
        <v>320</v>
      </c>
      <c r="G309" s="204" t="s">
        <v>9</v>
      </c>
      <c r="H309" s="26">
        <v>7029.29</v>
      </c>
      <c r="I309" s="26">
        <v>2604.63</v>
      </c>
      <c r="J309" s="26">
        <v>7404.63</v>
      </c>
      <c r="K309" s="19"/>
      <c r="L309" s="19"/>
      <c r="M309" s="19"/>
      <c r="N309" s="19"/>
      <c r="O309" s="19"/>
      <c r="P309" s="19"/>
      <c r="Q309" s="17"/>
      <c r="T309" s="19">
        <v>45844.87</v>
      </c>
      <c r="U309" s="19">
        <v>44344.87</v>
      </c>
      <c r="V309" s="19">
        <v>44344.87</v>
      </c>
      <c r="W309" s="19">
        <f t="shared" si="9"/>
        <v>-38815.58</v>
      </c>
      <c r="X309" s="19">
        <f t="shared" si="9"/>
        <v>-41740.240000000005</v>
      </c>
      <c r="Y309" s="19">
        <f t="shared" si="9"/>
        <v>-36940.240000000005</v>
      </c>
    </row>
    <row r="310" spans="1:25" s="29" customFormat="1" ht="25.5">
      <c r="A310" s="108" t="str">
        <f t="shared" si="8"/>
        <v>602100306 Б 00 00000000</v>
      </c>
      <c r="B310" s="201" t="s">
        <v>321</v>
      </c>
      <c r="C310" s="204" t="s">
        <v>256</v>
      </c>
      <c r="D310" s="204" t="s">
        <v>317</v>
      </c>
      <c r="E310" s="204" t="s">
        <v>13</v>
      </c>
      <c r="F310" s="204" t="s">
        <v>322</v>
      </c>
      <c r="G310" s="204" t="s">
        <v>9</v>
      </c>
      <c r="H310" s="26">
        <v>7029.29</v>
      </c>
      <c r="I310" s="26">
        <v>2604.63</v>
      </c>
      <c r="J310" s="26">
        <v>7404.63</v>
      </c>
      <c r="K310" s="20"/>
      <c r="L310" s="20"/>
      <c r="M310" s="20"/>
      <c r="N310" s="20"/>
      <c r="O310" s="20"/>
      <c r="P310" s="20"/>
      <c r="Q310" s="17"/>
      <c r="T310" s="20">
        <v>45844.87</v>
      </c>
      <c r="U310" s="20">
        <v>44344.87</v>
      </c>
      <c r="V310" s="20">
        <v>44344.87</v>
      </c>
      <c r="W310" s="20">
        <f t="shared" si="9"/>
        <v>-38815.58</v>
      </c>
      <c r="X310" s="20">
        <f t="shared" si="9"/>
        <v>-41740.240000000005</v>
      </c>
      <c r="Y310" s="20">
        <f t="shared" si="9"/>
        <v>-36940.240000000005</v>
      </c>
    </row>
    <row r="311" spans="1:25" s="29" customFormat="1" ht="25.5">
      <c r="A311" s="108" t="str">
        <f t="shared" si="8"/>
        <v>602100306 Б 01 00000000</v>
      </c>
      <c r="B311" s="201" t="s">
        <v>323</v>
      </c>
      <c r="C311" s="204" t="s">
        <v>256</v>
      </c>
      <c r="D311" s="204" t="s">
        <v>317</v>
      </c>
      <c r="E311" s="204" t="s">
        <v>13</v>
      </c>
      <c r="F311" s="204" t="s">
        <v>324</v>
      </c>
      <c r="G311" s="204" t="s">
        <v>9</v>
      </c>
      <c r="H311" s="26">
        <v>7029.29</v>
      </c>
      <c r="I311" s="26">
        <v>2604.63</v>
      </c>
      <c r="J311" s="26">
        <v>7404.63</v>
      </c>
      <c r="K311" s="20"/>
      <c r="L311" s="20"/>
      <c r="M311" s="20"/>
      <c r="N311" s="20"/>
      <c r="O311" s="20"/>
      <c r="P311" s="20"/>
      <c r="Q311" s="17"/>
      <c r="T311" s="20">
        <v>45844.87</v>
      </c>
      <c r="U311" s="20">
        <v>44344.87</v>
      </c>
      <c r="V311" s="20">
        <v>44344.87</v>
      </c>
      <c r="W311" s="20">
        <f t="shared" si="9"/>
        <v>-38815.58</v>
      </c>
      <c r="X311" s="20">
        <f t="shared" si="9"/>
        <v>-41740.240000000005</v>
      </c>
      <c r="Y311" s="20">
        <f t="shared" si="9"/>
        <v>-36940.240000000005</v>
      </c>
    </row>
    <row r="312" spans="1:25" s="29" customFormat="1" ht="102">
      <c r="A312" s="108" t="str">
        <f t="shared" si="8"/>
        <v>602100306 Б 01 77360000</v>
      </c>
      <c r="B312" s="201" t="s">
        <v>1087</v>
      </c>
      <c r="C312" s="204" t="s">
        <v>256</v>
      </c>
      <c r="D312" s="204" t="s">
        <v>317</v>
      </c>
      <c r="E312" s="204" t="s">
        <v>13</v>
      </c>
      <c r="F312" s="204" t="s">
        <v>1088</v>
      </c>
      <c r="G312" s="204" t="s">
        <v>9</v>
      </c>
      <c r="H312" s="26">
        <v>957.24</v>
      </c>
      <c r="I312" s="26">
        <v>0</v>
      </c>
      <c r="J312" s="26">
        <v>0</v>
      </c>
      <c r="K312" s="20"/>
      <c r="L312" s="20"/>
      <c r="M312" s="20"/>
      <c r="N312" s="20"/>
      <c r="O312" s="20"/>
      <c r="P312" s="20"/>
      <c r="Q312" s="17"/>
      <c r="T312" s="20">
        <v>6243.8</v>
      </c>
      <c r="U312" s="20">
        <v>4743.8</v>
      </c>
      <c r="V312" s="20">
        <v>4743.8</v>
      </c>
      <c r="W312" s="20">
        <f t="shared" si="9"/>
        <v>-5286.56</v>
      </c>
      <c r="X312" s="20">
        <f t="shared" si="9"/>
        <v>-4743.8</v>
      </c>
      <c r="Y312" s="20">
        <f t="shared" si="9"/>
        <v>-4743.8</v>
      </c>
    </row>
    <row r="313" spans="1:25" s="29" customFormat="1">
      <c r="A313" s="108" t="str">
        <f t="shared" si="8"/>
        <v/>
      </c>
      <c r="B313" s="220" t="s">
        <v>1104</v>
      </c>
      <c r="C313" s="204"/>
      <c r="D313" s="204"/>
      <c r="E313" s="204"/>
      <c r="F313" s="204"/>
      <c r="G313" s="204"/>
      <c r="H313" s="26"/>
      <c r="I313" s="26"/>
      <c r="J313" s="26"/>
      <c r="K313" s="20"/>
      <c r="L313" s="20"/>
      <c r="M313" s="20"/>
      <c r="N313" s="20"/>
      <c r="O313" s="20"/>
      <c r="P313" s="20"/>
      <c r="Q313" s="17"/>
      <c r="T313" s="20">
        <v>1291.3399999999999</v>
      </c>
      <c r="U313" s="20">
        <v>1291.3399999999999</v>
      </c>
      <c r="V313" s="20">
        <v>1291.3399999999999</v>
      </c>
      <c r="W313" s="20">
        <f t="shared" si="9"/>
        <v>-1291.3399999999999</v>
      </c>
      <c r="X313" s="20">
        <f t="shared" si="9"/>
        <v>-1291.3399999999999</v>
      </c>
      <c r="Y313" s="20">
        <f t="shared" si="9"/>
        <v>-1291.3399999999999</v>
      </c>
    </row>
    <row r="314" spans="1:25" s="29" customFormat="1">
      <c r="A314" s="108" t="str">
        <f t="shared" si="8"/>
        <v>602100306 Б 01 77360000</v>
      </c>
      <c r="B314" s="318" t="s">
        <v>1105</v>
      </c>
      <c r="C314" s="319" t="s">
        <v>256</v>
      </c>
      <c r="D314" s="319" t="s">
        <v>317</v>
      </c>
      <c r="E314" s="319" t="s">
        <v>13</v>
      </c>
      <c r="F314" s="319" t="s">
        <v>1088</v>
      </c>
      <c r="G314" s="319" t="s">
        <v>9</v>
      </c>
      <c r="H314" s="320">
        <v>957.24</v>
      </c>
      <c r="I314" s="320">
        <v>0</v>
      </c>
      <c r="J314" s="320">
        <v>0</v>
      </c>
      <c r="K314" s="20"/>
      <c r="L314" s="20"/>
      <c r="M314" s="20"/>
      <c r="N314" s="20"/>
      <c r="O314" s="20"/>
      <c r="P314" s="20"/>
      <c r="Q314" s="17"/>
      <c r="T314" s="20">
        <v>4891.99</v>
      </c>
      <c r="U314" s="20">
        <v>3391.99</v>
      </c>
      <c r="V314" s="20">
        <v>3391.99</v>
      </c>
      <c r="W314" s="20">
        <f t="shared" si="9"/>
        <v>-3934.75</v>
      </c>
      <c r="X314" s="20">
        <f t="shared" si="9"/>
        <v>-3391.99</v>
      </c>
      <c r="Y314" s="20">
        <f t="shared" si="9"/>
        <v>-3391.99</v>
      </c>
    </row>
    <row r="315" spans="1:25" s="29" customFormat="1" ht="25.5">
      <c r="A315" s="108" t="str">
        <f t="shared" si="8"/>
        <v>602100306 Б 01 77360320</v>
      </c>
      <c r="B315" s="205" t="s">
        <v>327</v>
      </c>
      <c r="C315" s="204" t="s">
        <v>256</v>
      </c>
      <c r="D315" s="204" t="s">
        <v>317</v>
      </c>
      <c r="E315" s="204" t="s">
        <v>13</v>
      </c>
      <c r="F315" s="204" t="s">
        <v>1088</v>
      </c>
      <c r="G315" s="204" t="s">
        <v>328</v>
      </c>
      <c r="H315" s="26">
        <v>957.24</v>
      </c>
      <c r="I315" s="26">
        <v>0</v>
      </c>
      <c r="J315" s="26">
        <v>0</v>
      </c>
      <c r="K315" s="20"/>
      <c r="L315" s="20"/>
      <c r="M315" s="20"/>
      <c r="N315" s="20"/>
      <c r="O315" s="20"/>
      <c r="P315" s="20"/>
      <c r="Q315" s="17"/>
      <c r="T315" s="20">
        <v>60.47</v>
      </c>
      <c r="U315" s="20">
        <v>60.47</v>
      </c>
      <c r="V315" s="20">
        <v>60.47</v>
      </c>
      <c r="W315" s="20">
        <f t="shared" si="9"/>
        <v>896.77</v>
      </c>
      <c r="X315" s="20">
        <f t="shared" si="9"/>
        <v>-60.47</v>
      </c>
      <c r="Y315" s="20">
        <f t="shared" si="9"/>
        <v>-60.47</v>
      </c>
    </row>
    <row r="316" spans="1:25" s="29" customFormat="1" ht="25.5">
      <c r="A316" s="108" t="str">
        <f t="shared" si="8"/>
        <v>602100306 Б 01 L0200000</v>
      </c>
      <c r="B316" s="208" t="s">
        <v>325</v>
      </c>
      <c r="C316" s="236" t="s">
        <v>256</v>
      </c>
      <c r="D316" s="236" t="s">
        <v>317</v>
      </c>
      <c r="E316" s="236" t="s">
        <v>13</v>
      </c>
      <c r="F316" s="236" t="s">
        <v>326</v>
      </c>
      <c r="G316" s="236" t="s">
        <v>9</v>
      </c>
      <c r="H316" s="218">
        <v>0</v>
      </c>
      <c r="I316" s="218">
        <v>0</v>
      </c>
      <c r="J316" s="218">
        <v>0</v>
      </c>
      <c r="K316" s="20"/>
      <c r="L316" s="20"/>
      <c r="M316" s="20"/>
      <c r="N316" s="20"/>
      <c r="O316" s="20"/>
      <c r="P316" s="20"/>
      <c r="Q316" s="17"/>
      <c r="T316" s="20">
        <v>39601.07</v>
      </c>
      <c r="U316" s="20">
        <v>39601.07</v>
      </c>
      <c r="V316" s="20">
        <v>39601.07</v>
      </c>
      <c r="W316" s="20">
        <f t="shared" si="9"/>
        <v>-39601.07</v>
      </c>
      <c r="X316" s="20">
        <f t="shared" si="9"/>
        <v>-39601.07</v>
      </c>
      <c r="Y316" s="20">
        <f t="shared" si="9"/>
        <v>-39601.07</v>
      </c>
    </row>
    <row r="317" spans="1:25" s="29" customFormat="1" ht="25.5">
      <c r="A317" s="108" t="str">
        <f t="shared" si="8"/>
        <v>602100306 Б 01 L0200320</v>
      </c>
      <c r="B317" s="238" t="s">
        <v>327</v>
      </c>
      <c r="C317" s="236" t="s">
        <v>256</v>
      </c>
      <c r="D317" s="236" t="s">
        <v>317</v>
      </c>
      <c r="E317" s="236" t="s">
        <v>13</v>
      </c>
      <c r="F317" s="236" t="s">
        <v>326</v>
      </c>
      <c r="G317" s="236" t="s">
        <v>328</v>
      </c>
      <c r="H317" s="218">
        <v>0</v>
      </c>
      <c r="I317" s="218">
        <v>0</v>
      </c>
      <c r="J317" s="218">
        <v>0</v>
      </c>
      <c r="K317" s="20"/>
      <c r="L317" s="20"/>
      <c r="M317" s="20"/>
      <c r="N317" s="20"/>
      <c r="O317" s="20"/>
      <c r="P317" s="20"/>
      <c r="Q317" s="17"/>
      <c r="T317" s="20">
        <v>39601.07</v>
      </c>
      <c r="U317" s="20">
        <v>39601.07</v>
      </c>
      <c r="V317" s="20">
        <v>39601.07</v>
      </c>
      <c r="W317" s="20">
        <f t="shared" si="9"/>
        <v>-39601.07</v>
      </c>
      <c r="X317" s="20">
        <f t="shared" si="9"/>
        <v>-39601.07</v>
      </c>
      <c r="Y317" s="20">
        <f t="shared" si="9"/>
        <v>-39601.07</v>
      </c>
    </row>
    <row r="318" spans="1:25" s="29" customFormat="1" ht="25.5">
      <c r="A318" s="108" t="str">
        <f t="shared" si="8"/>
        <v>602100306 Б 01 L4970000</v>
      </c>
      <c r="B318" s="208" t="s">
        <v>325</v>
      </c>
      <c r="C318" s="236" t="s">
        <v>256</v>
      </c>
      <c r="D318" s="236" t="s">
        <v>317</v>
      </c>
      <c r="E318" s="236" t="s">
        <v>13</v>
      </c>
      <c r="F318" s="236" t="s">
        <v>1113</v>
      </c>
      <c r="G318" s="236" t="s">
        <v>9</v>
      </c>
      <c r="H318" s="218">
        <v>0</v>
      </c>
      <c r="I318" s="218">
        <v>0</v>
      </c>
      <c r="J318" s="218">
        <v>0</v>
      </c>
      <c r="K318" s="19"/>
      <c r="L318" s="19"/>
      <c r="M318" s="19"/>
      <c r="N318" s="19"/>
      <c r="O318" s="19"/>
      <c r="P318" s="19"/>
      <c r="Q318" s="17"/>
      <c r="T318" s="19">
        <v>12775.54</v>
      </c>
      <c r="U318" s="19">
        <v>12775.54</v>
      </c>
      <c r="V318" s="19">
        <v>12775.54</v>
      </c>
      <c r="W318" s="19">
        <f t="shared" si="9"/>
        <v>-12775.54</v>
      </c>
      <c r="X318" s="19">
        <f t="shared" si="9"/>
        <v>-12775.54</v>
      </c>
      <c r="Y318" s="19">
        <f t="shared" si="9"/>
        <v>-12775.54</v>
      </c>
    </row>
    <row r="319" spans="1:25" s="29" customFormat="1" ht="25.5">
      <c r="A319" s="108" t="str">
        <f t="shared" si="8"/>
        <v>602100306 Б 01 L4970320</v>
      </c>
      <c r="B319" s="238" t="s">
        <v>327</v>
      </c>
      <c r="C319" s="236" t="s">
        <v>256</v>
      </c>
      <c r="D319" s="236" t="s">
        <v>317</v>
      </c>
      <c r="E319" s="236" t="s">
        <v>13</v>
      </c>
      <c r="F319" s="236" t="s">
        <v>1113</v>
      </c>
      <c r="G319" s="236" t="s">
        <v>328</v>
      </c>
      <c r="H319" s="218">
        <v>0</v>
      </c>
      <c r="I319" s="218">
        <v>0</v>
      </c>
      <c r="J319" s="218">
        <v>0</v>
      </c>
      <c r="K319" s="20"/>
      <c r="L319" s="20"/>
      <c r="M319" s="20"/>
      <c r="N319" s="20"/>
      <c r="O319" s="20"/>
      <c r="P319" s="20"/>
      <c r="Q319" s="17"/>
      <c r="T319" s="20">
        <v>12775.54</v>
      </c>
      <c r="U319" s="20">
        <v>12775.54</v>
      </c>
      <c r="V319" s="20">
        <v>12775.54</v>
      </c>
      <c r="W319" s="20">
        <f t="shared" si="9"/>
        <v>-12775.54</v>
      </c>
      <c r="X319" s="20">
        <f t="shared" si="9"/>
        <v>-12775.54</v>
      </c>
      <c r="Y319" s="20">
        <f t="shared" si="9"/>
        <v>-12775.54</v>
      </c>
    </row>
    <row r="320" spans="1:25" s="29" customFormat="1" ht="63.75">
      <c r="A320" s="108" t="str">
        <f t="shared" si="8"/>
        <v>602100306 Б 01 S4970000</v>
      </c>
      <c r="B320" s="205" t="s">
        <v>1273</v>
      </c>
      <c r="C320" s="199" t="s">
        <v>256</v>
      </c>
      <c r="D320" s="199" t="s">
        <v>317</v>
      </c>
      <c r="E320" s="199" t="s">
        <v>13</v>
      </c>
      <c r="F320" s="199" t="s">
        <v>1274</v>
      </c>
      <c r="G320" s="199" t="s">
        <v>9</v>
      </c>
      <c r="H320" s="20">
        <v>6000</v>
      </c>
      <c r="I320" s="20">
        <v>2604.63</v>
      </c>
      <c r="J320" s="20">
        <v>7404.63</v>
      </c>
      <c r="K320" s="20"/>
      <c r="L320" s="20"/>
      <c r="M320" s="20"/>
      <c r="N320" s="20"/>
      <c r="O320" s="20"/>
      <c r="P320" s="20"/>
      <c r="Q320" s="17"/>
      <c r="T320" s="20">
        <v>12775.54</v>
      </c>
      <c r="U320" s="20">
        <v>12775.54</v>
      </c>
      <c r="V320" s="20">
        <v>12775.54</v>
      </c>
      <c r="W320" s="20">
        <f t="shared" si="9"/>
        <v>-6775.5400000000009</v>
      </c>
      <c r="X320" s="20">
        <f t="shared" si="9"/>
        <v>-10170.91</v>
      </c>
      <c r="Y320" s="20">
        <f t="shared" si="9"/>
        <v>-5370.9100000000008</v>
      </c>
    </row>
    <row r="321" spans="1:25" s="29" customFormat="1" ht="25.5">
      <c r="A321" s="108" t="str">
        <f t="shared" si="8"/>
        <v>602100306 Б 01 S4970320</v>
      </c>
      <c r="B321" s="205" t="s">
        <v>327</v>
      </c>
      <c r="C321" s="199" t="s">
        <v>256</v>
      </c>
      <c r="D321" s="199" t="s">
        <v>317</v>
      </c>
      <c r="E321" s="199" t="s">
        <v>13</v>
      </c>
      <c r="F321" s="199" t="s">
        <v>1274</v>
      </c>
      <c r="G321" s="199" t="s">
        <v>328</v>
      </c>
      <c r="H321" s="26">
        <v>6000</v>
      </c>
      <c r="I321" s="26">
        <v>2604.63</v>
      </c>
      <c r="J321" s="26">
        <v>7404.63</v>
      </c>
      <c r="K321" s="20"/>
      <c r="L321" s="20"/>
      <c r="M321" s="20"/>
      <c r="N321" s="20"/>
      <c r="O321" s="20"/>
      <c r="P321" s="20"/>
      <c r="Q321" s="17"/>
      <c r="T321" s="20">
        <v>12775.54</v>
      </c>
      <c r="U321" s="20">
        <v>12775.54</v>
      </c>
      <c r="V321" s="20">
        <v>12775.54</v>
      </c>
      <c r="W321" s="20">
        <f t="shared" si="9"/>
        <v>-6775.5400000000009</v>
      </c>
      <c r="X321" s="20">
        <f t="shared" si="9"/>
        <v>-10170.91</v>
      </c>
      <c r="Y321" s="20">
        <f t="shared" si="9"/>
        <v>-5370.9100000000008</v>
      </c>
    </row>
    <row r="322" spans="1:25" s="29" customFormat="1" ht="114.75">
      <c r="A322" s="108" t="str">
        <f t="shared" si="8"/>
        <v>602100306 Б 01 S7360000</v>
      </c>
      <c r="B322" s="197" t="s">
        <v>1114</v>
      </c>
      <c r="C322" s="198" t="s">
        <v>256</v>
      </c>
      <c r="D322" s="199" t="s">
        <v>317</v>
      </c>
      <c r="E322" s="199" t="s">
        <v>13</v>
      </c>
      <c r="F322" s="199" t="s">
        <v>1115</v>
      </c>
      <c r="G322" s="199" t="s">
        <v>9</v>
      </c>
      <c r="H322" s="20">
        <v>72.05</v>
      </c>
      <c r="I322" s="20">
        <v>0</v>
      </c>
      <c r="J322" s="20">
        <v>0</v>
      </c>
      <c r="K322" s="20"/>
      <c r="L322" s="20"/>
      <c r="M322" s="20"/>
      <c r="N322" s="20"/>
      <c r="O322" s="20"/>
      <c r="P322" s="20"/>
      <c r="Q322" s="17"/>
      <c r="T322" s="20">
        <v>12775.54</v>
      </c>
      <c r="U322" s="20">
        <v>12775.54</v>
      </c>
      <c r="V322" s="20">
        <v>12775.54</v>
      </c>
      <c r="W322" s="20">
        <f t="shared" si="9"/>
        <v>-12703.490000000002</v>
      </c>
      <c r="X322" s="20">
        <f t="shared" si="9"/>
        <v>-12775.54</v>
      </c>
      <c r="Y322" s="20">
        <f t="shared" si="9"/>
        <v>-12775.54</v>
      </c>
    </row>
    <row r="323" spans="1:25" s="29" customFormat="1">
      <c r="A323" s="108" t="str">
        <f t="shared" si="8"/>
        <v/>
      </c>
      <c r="B323" s="220" t="s">
        <v>1104</v>
      </c>
      <c r="C323" s="198"/>
      <c r="D323" s="199"/>
      <c r="E323" s="199"/>
      <c r="F323" s="199"/>
      <c r="G323" s="199"/>
      <c r="H323" s="20"/>
      <c r="I323" s="26"/>
      <c r="J323" s="26"/>
      <c r="K323" s="19"/>
      <c r="L323" s="19"/>
      <c r="M323" s="19"/>
      <c r="N323" s="19"/>
      <c r="O323" s="19"/>
      <c r="P323" s="19"/>
      <c r="Q323" s="17"/>
      <c r="T323" s="19">
        <v>38384.409999999996</v>
      </c>
      <c r="U323" s="19">
        <v>96539.11</v>
      </c>
      <c r="V323" s="19">
        <v>119416.2</v>
      </c>
      <c r="W323" s="19">
        <f t="shared" si="9"/>
        <v>-38384.409999999996</v>
      </c>
      <c r="X323" s="19">
        <f t="shared" si="9"/>
        <v>-96539.11</v>
      </c>
      <c r="Y323" s="19">
        <f t="shared" si="9"/>
        <v>-119416.2</v>
      </c>
    </row>
    <row r="324" spans="1:25" s="29" customFormat="1">
      <c r="A324" s="108" t="str">
        <f t="shared" si="8"/>
        <v>602100306 Б 01 S7360000</v>
      </c>
      <c r="B324" s="221" t="s">
        <v>1105</v>
      </c>
      <c r="C324" s="222" t="s">
        <v>256</v>
      </c>
      <c r="D324" s="223" t="s">
        <v>317</v>
      </c>
      <c r="E324" s="223" t="s">
        <v>13</v>
      </c>
      <c r="F324" s="223" t="s">
        <v>1115</v>
      </c>
      <c r="G324" s="223" t="s">
        <v>9</v>
      </c>
      <c r="H324" s="224">
        <v>72.05</v>
      </c>
      <c r="I324" s="224">
        <v>0</v>
      </c>
      <c r="J324" s="224">
        <v>0</v>
      </c>
      <c r="K324" s="20"/>
      <c r="L324" s="20"/>
      <c r="M324" s="20"/>
      <c r="N324" s="20"/>
      <c r="O324" s="20"/>
      <c r="P324" s="20"/>
      <c r="Q324" s="17"/>
      <c r="T324" s="20">
        <v>3195.1</v>
      </c>
      <c r="U324" s="20">
        <v>9744.42</v>
      </c>
      <c r="V324" s="20">
        <v>9744.42</v>
      </c>
      <c r="W324" s="20">
        <f t="shared" si="9"/>
        <v>-3123.0499999999997</v>
      </c>
      <c r="X324" s="20">
        <f t="shared" si="9"/>
        <v>-9744.42</v>
      </c>
      <c r="Y324" s="20">
        <f t="shared" si="9"/>
        <v>-9744.42</v>
      </c>
    </row>
    <row r="325" spans="1:25" s="29" customFormat="1" ht="25.5">
      <c r="A325" s="108" t="str">
        <f t="shared" si="8"/>
        <v>602100306 Б 01 S7360320</v>
      </c>
      <c r="B325" s="197" t="s">
        <v>327</v>
      </c>
      <c r="C325" s="198" t="s">
        <v>256</v>
      </c>
      <c r="D325" s="199" t="s">
        <v>317</v>
      </c>
      <c r="E325" s="199" t="s">
        <v>13</v>
      </c>
      <c r="F325" s="199" t="s">
        <v>1115</v>
      </c>
      <c r="G325" s="199" t="s">
        <v>328</v>
      </c>
      <c r="H325" s="20">
        <v>72.05</v>
      </c>
      <c r="I325" s="20">
        <v>0</v>
      </c>
      <c r="J325" s="20">
        <v>0</v>
      </c>
      <c r="K325" s="20"/>
      <c r="L325" s="20"/>
      <c r="M325" s="20"/>
      <c r="N325" s="20"/>
      <c r="O325" s="20"/>
      <c r="P325" s="20"/>
      <c r="Q325" s="17"/>
      <c r="T325" s="20">
        <v>3195.1</v>
      </c>
      <c r="U325" s="20">
        <v>9744.42</v>
      </c>
      <c r="V325" s="20">
        <v>9744.42</v>
      </c>
      <c r="W325" s="20">
        <f t="shared" si="9"/>
        <v>-3123.0499999999997</v>
      </c>
      <c r="X325" s="20">
        <f t="shared" si="9"/>
        <v>-9744.42</v>
      </c>
      <c r="Y325" s="20">
        <f t="shared" si="9"/>
        <v>-9744.42</v>
      </c>
    </row>
    <row r="326" spans="1:25" s="29" customFormat="1">
      <c r="A326" s="108" t="str">
        <f t="shared" ref="A326:A389" si="10">C326&amp;D326&amp;E326&amp;F326&amp;G326</f>
        <v/>
      </c>
      <c r="B326" s="197"/>
      <c r="C326" s="198"/>
      <c r="D326" s="199"/>
      <c r="E326" s="199"/>
      <c r="F326" s="199"/>
      <c r="G326" s="199"/>
      <c r="H326" s="20"/>
      <c r="I326" s="20"/>
      <c r="J326" s="20"/>
      <c r="K326" s="20"/>
      <c r="L326" s="20"/>
      <c r="M326" s="20"/>
      <c r="N326" s="20"/>
      <c r="O326" s="20"/>
      <c r="P326" s="20"/>
      <c r="Q326" s="17"/>
      <c r="T326" s="20">
        <v>3195.1</v>
      </c>
      <c r="U326" s="20">
        <v>9744.42</v>
      </c>
      <c r="V326" s="20">
        <v>9744.42</v>
      </c>
      <c r="W326" s="20">
        <f t="shared" ref="W326:Y389" si="11">H326-T326</f>
        <v>-3195.1</v>
      </c>
      <c r="X326" s="20">
        <f t="shared" si="11"/>
        <v>-9744.42</v>
      </c>
      <c r="Y326" s="20">
        <f t="shared" si="11"/>
        <v>-9744.42</v>
      </c>
    </row>
    <row r="327" spans="1:25" s="29" customFormat="1">
      <c r="A327" s="108" t="str">
        <f t="shared" si="10"/>
        <v>604000000 0 00 00000000</v>
      </c>
      <c r="B327" s="202" t="s">
        <v>331</v>
      </c>
      <c r="C327" s="189" t="s">
        <v>332</v>
      </c>
      <c r="D327" s="190" t="s">
        <v>7</v>
      </c>
      <c r="E327" s="190" t="s">
        <v>7</v>
      </c>
      <c r="F327" s="190" t="s">
        <v>8</v>
      </c>
      <c r="G327" s="190" t="s">
        <v>9</v>
      </c>
      <c r="H327" s="25">
        <v>227804.61</v>
      </c>
      <c r="I327" s="25">
        <v>345466.63</v>
      </c>
      <c r="J327" s="25">
        <v>406911.72</v>
      </c>
      <c r="K327" s="20"/>
      <c r="L327" s="20"/>
      <c r="M327" s="20"/>
      <c r="N327" s="20"/>
      <c r="O327" s="20"/>
      <c r="P327" s="20"/>
      <c r="Q327" s="17"/>
      <c r="T327" s="20">
        <v>3195.1</v>
      </c>
      <c r="U327" s="20">
        <v>9744.42</v>
      </c>
      <c r="V327" s="20">
        <v>9744.42</v>
      </c>
      <c r="W327" s="20">
        <f t="shared" si="11"/>
        <v>224609.50999999998</v>
      </c>
      <c r="X327" s="20">
        <f t="shared" si="11"/>
        <v>335722.21</v>
      </c>
      <c r="Y327" s="20">
        <f t="shared" si="11"/>
        <v>397167.3</v>
      </c>
    </row>
    <row r="328" spans="1:25" s="29" customFormat="1">
      <c r="A328" s="108" t="str">
        <f t="shared" si="10"/>
        <v>604010000 0 00 00000000</v>
      </c>
      <c r="B328" s="191" t="s">
        <v>10</v>
      </c>
      <c r="C328" s="192" t="s">
        <v>332</v>
      </c>
      <c r="D328" s="193" t="s">
        <v>11</v>
      </c>
      <c r="E328" s="193" t="s">
        <v>7</v>
      </c>
      <c r="F328" s="193" t="s">
        <v>8</v>
      </c>
      <c r="G328" s="193" t="s">
        <v>9</v>
      </c>
      <c r="H328" s="18">
        <v>65145.14</v>
      </c>
      <c r="I328" s="18">
        <v>122096.63</v>
      </c>
      <c r="J328" s="18">
        <v>144973.72</v>
      </c>
      <c r="K328" s="20"/>
      <c r="L328" s="20"/>
      <c r="M328" s="20"/>
      <c r="N328" s="20"/>
      <c r="O328" s="20"/>
      <c r="P328" s="20"/>
      <c r="Q328" s="17"/>
      <c r="T328" s="20">
        <v>3195.1</v>
      </c>
      <c r="U328" s="20">
        <v>9744.42</v>
      </c>
      <c r="V328" s="20">
        <v>9744.42</v>
      </c>
      <c r="W328" s="20">
        <f t="shared" si="11"/>
        <v>61950.04</v>
      </c>
      <c r="X328" s="20">
        <f t="shared" si="11"/>
        <v>112352.21</v>
      </c>
      <c r="Y328" s="20">
        <f t="shared" si="11"/>
        <v>135229.29999999999</v>
      </c>
    </row>
    <row r="329" spans="1:25" s="29" customFormat="1" ht="25.5">
      <c r="A329" s="108" t="str">
        <f t="shared" si="10"/>
        <v>604010600 0 00 00000000</v>
      </c>
      <c r="B329" s="194" t="s">
        <v>333</v>
      </c>
      <c r="C329" s="195" t="s">
        <v>332</v>
      </c>
      <c r="D329" s="196" t="s">
        <v>11</v>
      </c>
      <c r="E329" s="196" t="s">
        <v>334</v>
      </c>
      <c r="F329" s="196" t="s">
        <v>8</v>
      </c>
      <c r="G329" s="196" t="s">
        <v>9</v>
      </c>
      <c r="H329" s="19">
        <v>47471.29</v>
      </c>
      <c r="I329" s="19">
        <v>45971.29</v>
      </c>
      <c r="J329" s="19">
        <v>45971.29</v>
      </c>
      <c r="K329" s="20"/>
      <c r="L329" s="20"/>
      <c r="M329" s="20"/>
      <c r="N329" s="20"/>
      <c r="O329" s="20"/>
      <c r="P329" s="20"/>
      <c r="Q329" s="17"/>
      <c r="T329" s="20">
        <v>35189.31</v>
      </c>
      <c r="U329" s="20">
        <v>86794.69</v>
      </c>
      <c r="V329" s="20">
        <v>109671.78</v>
      </c>
      <c r="W329" s="20">
        <f t="shared" si="11"/>
        <v>12281.980000000003</v>
      </c>
      <c r="X329" s="20">
        <f t="shared" si="11"/>
        <v>-40823.4</v>
      </c>
      <c r="Y329" s="20">
        <f t="shared" si="11"/>
        <v>-63700.49</v>
      </c>
    </row>
    <row r="330" spans="1:25" s="29" customFormat="1" ht="25.5">
      <c r="A330" s="108" t="str">
        <f t="shared" si="10"/>
        <v>604010673 0 00 00000000</v>
      </c>
      <c r="B330" s="239" t="s">
        <v>335</v>
      </c>
      <c r="C330" s="198" t="s">
        <v>332</v>
      </c>
      <c r="D330" s="199" t="s">
        <v>11</v>
      </c>
      <c r="E330" s="199" t="s">
        <v>334</v>
      </c>
      <c r="F330" s="199" t="s">
        <v>336</v>
      </c>
      <c r="G330" s="199" t="s">
        <v>9</v>
      </c>
      <c r="H330" s="20">
        <v>47471.29</v>
      </c>
      <c r="I330" s="20">
        <v>45971.29</v>
      </c>
      <c r="J330" s="20">
        <v>45971.29</v>
      </c>
      <c r="K330" s="20"/>
      <c r="L330" s="20"/>
      <c r="M330" s="20"/>
      <c r="N330" s="20"/>
      <c r="O330" s="20"/>
      <c r="P330" s="20"/>
      <c r="Q330" s="17"/>
      <c r="T330" s="20">
        <v>35189.31</v>
      </c>
      <c r="U330" s="20">
        <v>86794.69</v>
      </c>
      <c r="V330" s="20">
        <v>109671.78</v>
      </c>
      <c r="W330" s="20">
        <f t="shared" si="11"/>
        <v>12281.980000000003</v>
      </c>
      <c r="X330" s="20">
        <f t="shared" si="11"/>
        <v>-40823.4</v>
      </c>
      <c r="Y330" s="20">
        <f t="shared" si="11"/>
        <v>-63700.49</v>
      </c>
    </row>
    <row r="331" spans="1:25" s="29" customFormat="1" ht="25.5">
      <c r="A331" s="108" t="str">
        <f t="shared" si="10"/>
        <v>604010673 1 00 00000000</v>
      </c>
      <c r="B331" s="239" t="s">
        <v>337</v>
      </c>
      <c r="C331" s="198" t="s">
        <v>332</v>
      </c>
      <c r="D331" s="199" t="s">
        <v>11</v>
      </c>
      <c r="E331" s="199" t="s">
        <v>334</v>
      </c>
      <c r="F331" s="199" t="s">
        <v>338</v>
      </c>
      <c r="G331" s="199" t="s">
        <v>9</v>
      </c>
      <c r="H331" s="20">
        <v>47471.29</v>
      </c>
      <c r="I331" s="20">
        <v>45971.29</v>
      </c>
      <c r="J331" s="20">
        <v>45971.29</v>
      </c>
      <c r="K331" s="20"/>
      <c r="L331" s="20"/>
      <c r="M331" s="20"/>
      <c r="N331" s="20"/>
      <c r="O331" s="20"/>
      <c r="P331" s="20"/>
      <c r="Q331" s="17"/>
      <c r="T331" s="20">
        <v>2000</v>
      </c>
      <c r="U331" s="20">
        <v>2000</v>
      </c>
      <c r="V331" s="20">
        <v>2000</v>
      </c>
      <c r="W331" s="20">
        <f t="shared" si="11"/>
        <v>45471.29</v>
      </c>
      <c r="X331" s="20">
        <f t="shared" si="11"/>
        <v>43971.29</v>
      </c>
      <c r="Y331" s="20">
        <f t="shared" si="11"/>
        <v>43971.29</v>
      </c>
    </row>
    <row r="332" spans="1:25" s="29" customFormat="1" ht="25.5">
      <c r="A332" s="108" t="str">
        <f t="shared" si="10"/>
        <v>604010673 1 00 10010000</v>
      </c>
      <c r="B332" s="240" t="s">
        <v>18</v>
      </c>
      <c r="C332" s="198" t="s">
        <v>332</v>
      </c>
      <c r="D332" s="199" t="s">
        <v>11</v>
      </c>
      <c r="E332" s="199" t="s">
        <v>334</v>
      </c>
      <c r="F332" s="199" t="s">
        <v>339</v>
      </c>
      <c r="G332" s="199" t="s">
        <v>9</v>
      </c>
      <c r="H332" s="20">
        <v>6243.8</v>
      </c>
      <c r="I332" s="20">
        <v>4743.8</v>
      </c>
      <c r="J332" s="20">
        <v>4743.8</v>
      </c>
      <c r="K332" s="20"/>
      <c r="L332" s="20"/>
      <c r="M332" s="20"/>
      <c r="N332" s="20"/>
      <c r="O332" s="20"/>
      <c r="P332" s="20"/>
      <c r="Q332" s="17"/>
      <c r="T332" s="20">
        <v>2000</v>
      </c>
      <c r="U332" s="20">
        <v>2000</v>
      </c>
      <c r="V332" s="20">
        <v>2000</v>
      </c>
      <c r="W332" s="20">
        <f t="shared" si="11"/>
        <v>4243.8</v>
      </c>
      <c r="X332" s="20">
        <f t="shared" si="11"/>
        <v>2743.8</v>
      </c>
      <c r="Y332" s="20">
        <f t="shared" si="11"/>
        <v>2743.8</v>
      </c>
    </row>
    <row r="333" spans="1:25" s="29" customFormat="1" ht="25.5">
      <c r="A333" s="108" t="str">
        <f t="shared" si="10"/>
        <v>604010673 1 00 10010120</v>
      </c>
      <c r="B333" s="200" t="s">
        <v>20</v>
      </c>
      <c r="C333" s="198" t="s">
        <v>332</v>
      </c>
      <c r="D333" s="199" t="s">
        <v>11</v>
      </c>
      <c r="E333" s="199" t="s">
        <v>334</v>
      </c>
      <c r="F333" s="199" t="s">
        <v>339</v>
      </c>
      <c r="G333" s="199" t="s">
        <v>21</v>
      </c>
      <c r="H333" s="20">
        <v>1291.3399999999999</v>
      </c>
      <c r="I333" s="20">
        <v>1291.3399999999999</v>
      </c>
      <c r="J333" s="20">
        <v>1291.3399999999999</v>
      </c>
      <c r="K333" s="20"/>
      <c r="L333" s="20"/>
      <c r="M333" s="20"/>
      <c r="N333" s="20"/>
      <c r="O333" s="20"/>
      <c r="P333" s="20"/>
      <c r="Q333" s="17"/>
      <c r="T333" s="20">
        <v>33189.31</v>
      </c>
      <c r="U333" s="20">
        <v>68381</v>
      </c>
      <c r="V333" s="20">
        <v>74187.88</v>
      </c>
      <c r="W333" s="20">
        <f t="shared" si="11"/>
        <v>-31897.969999999998</v>
      </c>
      <c r="X333" s="20">
        <f t="shared" si="11"/>
        <v>-67089.66</v>
      </c>
      <c r="Y333" s="20">
        <f t="shared" si="11"/>
        <v>-72896.540000000008</v>
      </c>
    </row>
    <row r="334" spans="1:25" s="29" customFormat="1" ht="25.5">
      <c r="A334" s="108" t="str">
        <f t="shared" si="10"/>
        <v>604010673 1 00 10010240</v>
      </c>
      <c r="B334" s="197" t="s">
        <v>28</v>
      </c>
      <c r="C334" s="198" t="s">
        <v>332</v>
      </c>
      <c r="D334" s="199" t="s">
        <v>11</v>
      </c>
      <c r="E334" s="199" t="s">
        <v>334</v>
      </c>
      <c r="F334" s="199" t="s">
        <v>339</v>
      </c>
      <c r="G334" s="199" t="s">
        <v>29</v>
      </c>
      <c r="H334" s="20">
        <v>4891.99</v>
      </c>
      <c r="I334" s="20">
        <v>3391.99</v>
      </c>
      <c r="J334" s="20">
        <v>3391.99</v>
      </c>
      <c r="K334" s="20"/>
      <c r="L334" s="20"/>
      <c r="M334" s="20"/>
      <c r="N334" s="20"/>
      <c r="O334" s="20"/>
      <c r="P334" s="20"/>
      <c r="Q334" s="17"/>
      <c r="T334" s="20">
        <v>33189.31</v>
      </c>
      <c r="U334" s="20">
        <v>68381</v>
      </c>
      <c r="V334" s="20">
        <v>74187.88</v>
      </c>
      <c r="W334" s="20">
        <f t="shared" si="11"/>
        <v>-28297.32</v>
      </c>
      <c r="X334" s="20">
        <f t="shared" si="11"/>
        <v>-64989.01</v>
      </c>
      <c r="Y334" s="20">
        <f t="shared" si="11"/>
        <v>-70795.89</v>
      </c>
    </row>
    <row r="335" spans="1:25" s="29" customFormat="1">
      <c r="A335" s="108" t="str">
        <f t="shared" si="10"/>
        <v>604010673 1 00 10010850</v>
      </c>
      <c r="B335" s="197" t="s">
        <v>32</v>
      </c>
      <c r="C335" s="198" t="s">
        <v>332</v>
      </c>
      <c r="D335" s="199" t="s">
        <v>11</v>
      </c>
      <c r="E335" s="199" t="s">
        <v>334</v>
      </c>
      <c r="F335" s="199" t="s">
        <v>339</v>
      </c>
      <c r="G335" s="199" t="s">
        <v>33</v>
      </c>
      <c r="H335" s="20">
        <v>60.47</v>
      </c>
      <c r="I335" s="20">
        <v>60.47</v>
      </c>
      <c r="J335" s="20">
        <v>60.47</v>
      </c>
      <c r="K335" s="20"/>
      <c r="L335" s="20"/>
      <c r="M335" s="20"/>
      <c r="N335" s="20"/>
      <c r="O335" s="20"/>
      <c r="P335" s="20"/>
      <c r="Q335" s="17"/>
      <c r="T335" s="20">
        <v>0</v>
      </c>
      <c r="U335" s="20">
        <v>16413.689999999999</v>
      </c>
      <c r="V335" s="20">
        <v>33483.9</v>
      </c>
      <c r="W335" s="20">
        <f t="shared" si="11"/>
        <v>60.47</v>
      </c>
      <c r="X335" s="20">
        <f t="shared" si="11"/>
        <v>-16353.22</v>
      </c>
      <c r="Y335" s="20">
        <f t="shared" si="11"/>
        <v>-33423.43</v>
      </c>
    </row>
    <row r="336" spans="1:25" s="29" customFormat="1" ht="25.5">
      <c r="A336" s="108" t="str">
        <f t="shared" si="10"/>
        <v>604010673 1 00 10020000</v>
      </c>
      <c r="B336" s="241" t="s">
        <v>38</v>
      </c>
      <c r="C336" s="198" t="s">
        <v>332</v>
      </c>
      <c r="D336" s="199" t="s">
        <v>11</v>
      </c>
      <c r="E336" s="199" t="s">
        <v>334</v>
      </c>
      <c r="F336" s="199" t="s">
        <v>340</v>
      </c>
      <c r="G336" s="199" t="s">
        <v>9</v>
      </c>
      <c r="H336" s="20">
        <v>39891.53</v>
      </c>
      <c r="I336" s="20">
        <v>41227.49</v>
      </c>
      <c r="J336" s="20">
        <v>41227.49</v>
      </c>
      <c r="K336" s="20"/>
      <c r="L336" s="20"/>
      <c r="M336" s="20"/>
      <c r="N336" s="20"/>
      <c r="O336" s="20"/>
      <c r="P336" s="20"/>
      <c r="Q336" s="17"/>
      <c r="T336" s="20">
        <v>0</v>
      </c>
      <c r="U336" s="20">
        <v>16413.689999999999</v>
      </c>
      <c r="V336" s="20">
        <v>33483.9</v>
      </c>
      <c r="W336" s="20">
        <f t="shared" si="11"/>
        <v>39891.53</v>
      </c>
      <c r="X336" s="20">
        <f t="shared" si="11"/>
        <v>24813.8</v>
      </c>
      <c r="Y336" s="20">
        <f t="shared" si="11"/>
        <v>7743.5899999999965</v>
      </c>
    </row>
    <row r="337" spans="1:25" s="29" customFormat="1" ht="25.5">
      <c r="A337" s="108" t="str">
        <f t="shared" si="10"/>
        <v>604010673 1 00 10020120</v>
      </c>
      <c r="B337" s="200" t="s">
        <v>20</v>
      </c>
      <c r="C337" s="198" t="s">
        <v>332</v>
      </c>
      <c r="D337" s="199" t="s">
        <v>11</v>
      </c>
      <c r="E337" s="199" t="s">
        <v>334</v>
      </c>
      <c r="F337" s="199" t="s">
        <v>340</v>
      </c>
      <c r="G337" s="199" t="s">
        <v>21</v>
      </c>
      <c r="H337" s="20">
        <v>39891.53</v>
      </c>
      <c r="I337" s="20">
        <v>41227.49</v>
      </c>
      <c r="J337" s="20">
        <v>41227.49</v>
      </c>
      <c r="K337" s="18"/>
      <c r="L337" s="18"/>
      <c r="M337" s="18"/>
      <c r="N337" s="18"/>
      <c r="O337" s="18"/>
      <c r="P337" s="18"/>
      <c r="Q337" s="17"/>
      <c r="T337" s="18">
        <v>174715</v>
      </c>
      <c r="U337" s="18">
        <v>223370</v>
      </c>
      <c r="V337" s="18">
        <v>261938</v>
      </c>
      <c r="W337" s="18">
        <f t="shared" si="11"/>
        <v>-134823.47</v>
      </c>
      <c r="X337" s="18">
        <f t="shared" si="11"/>
        <v>-182142.51</v>
      </c>
      <c r="Y337" s="18">
        <f t="shared" si="11"/>
        <v>-220710.51</v>
      </c>
    </row>
    <row r="338" spans="1:25" s="29" customFormat="1" ht="191.25">
      <c r="A338" s="108" t="str">
        <f t="shared" si="10"/>
        <v>604010673 1 00 77460000</v>
      </c>
      <c r="B338" s="200" t="s">
        <v>1263</v>
      </c>
      <c r="C338" s="198" t="s">
        <v>332</v>
      </c>
      <c r="D338" s="199" t="s">
        <v>11</v>
      </c>
      <c r="E338" s="199" t="s">
        <v>334</v>
      </c>
      <c r="F338" s="199" t="s">
        <v>1275</v>
      </c>
      <c r="G338" s="199" t="s">
        <v>9</v>
      </c>
      <c r="H338" s="20">
        <v>1335.96</v>
      </c>
      <c r="I338" s="20">
        <v>0</v>
      </c>
      <c r="J338" s="20">
        <v>0</v>
      </c>
      <c r="K338" s="19"/>
      <c r="L338" s="19"/>
      <c r="M338" s="19"/>
      <c r="N338" s="19"/>
      <c r="O338" s="19"/>
      <c r="P338" s="19"/>
      <c r="Q338" s="17"/>
      <c r="T338" s="19">
        <v>174715</v>
      </c>
      <c r="U338" s="19">
        <v>223370</v>
      </c>
      <c r="V338" s="19">
        <v>261938</v>
      </c>
      <c r="W338" s="19">
        <f t="shared" si="11"/>
        <v>-173379.04</v>
      </c>
      <c r="X338" s="19">
        <f t="shared" si="11"/>
        <v>-223370</v>
      </c>
      <c r="Y338" s="19">
        <f t="shared" si="11"/>
        <v>-261938</v>
      </c>
    </row>
    <row r="339" spans="1:25" s="29" customFormat="1" ht="25.5">
      <c r="A339" s="108" t="str">
        <f t="shared" si="10"/>
        <v>604010673 1 00 77460120</v>
      </c>
      <c r="B339" s="200" t="s">
        <v>20</v>
      </c>
      <c r="C339" s="198" t="s">
        <v>332</v>
      </c>
      <c r="D339" s="199" t="s">
        <v>11</v>
      </c>
      <c r="E339" s="199" t="s">
        <v>334</v>
      </c>
      <c r="F339" s="199" t="s">
        <v>1275</v>
      </c>
      <c r="G339" s="199" t="s">
        <v>21</v>
      </c>
      <c r="H339" s="20">
        <v>1335.96</v>
      </c>
      <c r="I339" s="20">
        <v>0</v>
      </c>
      <c r="J339" s="20">
        <v>0</v>
      </c>
      <c r="K339" s="20"/>
      <c r="L339" s="20"/>
      <c r="M339" s="20"/>
      <c r="N339" s="20"/>
      <c r="O339" s="20"/>
      <c r="P339" s="20"/>
      <c r="Q339" s="17"/>
      <c r="T339" s="20">
        <v>174715</v>
      </c>
      <c r="U339" s="20">
        <v>223370</v>
      </c>
      <c r="V339" s="20">
        <v>261938</v>
      </c>
      <c r="W339" s="20">
        <f t="shared" si="11"/>
        <v>-173379.04</v>
      </c>
      <c r="X339" s="20">
        <f t="shared" si="11"/>
        <v>-223370</v>
      </c>
      <c r="Y339" s="20">
        <f t="shared" si="11"/>
        <v>-261938</v>
      </c>
    </row>
    <row r="340" spans="1:25" s="29" customFormat="1">
      <c r="A340" s="108" t="str">
        <f t="shared" si="10"/>
        <v xml:space="preserve">604011100 0 00 00000000 </v>
      </c>
      <c r="B340" s="194" t="s">
        <v>341</v>
      </c>
      <c r="C340" s="195" t="s">
        <v>332</v>
      </c>
      <c r="D340" s="196" t="s">
        <v>11</v>
      </c>
      <c r="E340" s="196" t="s">
        <v>342</v>
      </c>
      <c r="F340" s="196" t="s">
        <v>8</v>
      </c>
      <c r="G340" s="196" t="s">
        <v>343</v>
      </c>
      <c r="H340" s="19">
        <v>12775.54</v>
      </c>
      <c r="I340" s="19">
        <v>12775.54</v>
      </c>
      <c r="J340" s="19">
        <v>12775.54</v>
      </c>
      <c r="K340" s="20"/>
      <c r="L340" s="20"/>
      <c r="M340" s="20"/>
      <c r="N340" s="20"/>
      <c r="O340" s="20"/>
      <c r="P340" s="20"/>
      <c r="Q340" s="17"/>
      <c r="T340" s="20">
        <v>174715</v>
      </c>
      <c r="U340" s="20">
        <v>223370</v>
      </c>
      <c r="V340" s="20">
        <v>261938</v>
      </c>
      <c r="W340" s="20">
        <f t="shared" si="11"/>
        <v>-161939.46</v>
      </c>
      <c r="X340" s="20">
        <f t="shared" si="11"/>
        <v>-210594.46</v>
      </c>
      <c r="Y340" s="20">
        <f t="shared" si="11"/>
        <v>-249162.46</v>
      </c>
    </row>
    <row r="341" spans="1:25" s="29" customFormat="1" ht="38.25">
      <c r="A341" s="108" t="str">
        <f t="shared" si="10"/>
        <v>604011198 0 00 00000000</v>
      </c>
      <c r="B341" s="197" t="s">
        <v>87</v>
      </c>
      <c r="C341" s="198" t="s">
        <v>332</v>
      </c>
      <c r="D341" s="199" t="s">
        <v>11</v>
      </c>
      <c r="E341" s="199" t="s">
        <v>342</v>
      </c>
      <c r="F341" s="199" t="s">
        <v>88</v>
      </c>
      <c r="G341" s="199" t="s">
        <v>9</v>
      </c>
      <c r="H341" s="20">
        <v>12775.54</v>
      </c>
      <c r="I341" s="20">
        <v>12775.54</v>
      </c>
      <c r="J341" s="20">
        <v>12775.54</v>
      </c>
      <c r="K341" s="20"/>
      <c r="L341" s="20"/>
      <c r="M341" s="20"/>
      <c r="N341" s="20"/>
      <c r="O341" s="20"/>
      <c r="P341" s="20"/>
      <c r="Q341" s="17"/>
      <c r="T341" s="20">
        <v>174715</v>
      </c>
      <c r="U341" s="20">
        <v>223370</v>
      </c>
      <c r="V341" s="20">
        <v>261938</v>
      </c>
      <c r="W341" s="20">
        <f t="shared" si="11"/>
        <v>-161939.46</v>
      </c>
      <c r="X341" s="20">
        <f t="shared" si="11"/>
        <v>-210594.46</v>
      </c>
      <c r="Y341" s="20">
        <f t="shared" si="11"/>
        <v>-249162.46</v>
      </c>
    </row>
    <row r="342" spans="1:25" s="29" customFormat="1">
      <c r="A342" s="108" t="str">
        <f t="shared" si="10"/>
        <v>604011198 1 00 00000000</v>
      </c>
      <c r="B342" s="197" t="s">
        <v>89</v>
      </c>
      <c r="C342" s="198" t="s">
        <v>332</v>
      </c>
      <c r="D342" s="199" t="s">
        <v>11</v>
      </c>
      <c r="E342" s="199" t="s">
        <v>342</v>
      </c>
      <c r="F342" s="199" t="s">
        <v>90</v>
      </c>
      <c r="G342" s="199" t="s">
        <v>9</v>
      </c>
      <c r="H342" s="20">
        <v>12775.54</v>
      </c>
      <c r="I342" s="20">
        <v>12775.54</v>
      </c>
      <c r="J342" s="20">
        <v>12775.54</v>
      </c>
      <c r="K342" s="20"/>
      <c r="L342" s="20"/>
      <c r="M342" s="20"/>
      <c r="N342" s="20"/>
      <c r="O342" s="20"/>
      <c r="P342" s="20"/>
      <c r="Q342" s="17"/>
      <c r="T342" s="20">
        <v>174715</v>
      </c>
      <c r="U342" s="20">
        <v>223370</v>
      </c>
      <c r="V342" s="20">
        <v>261938</v>
      </c>
      <c r="W342" s="20">
        <f t="shared" si="11"/>
        <v>-161939.46</v>
      </c>
      <c r="X342" s="20">
        <f t="shared" si="11"/>
        <v>-210594.46</v>
      </c>
      <c r="Y342" s="20">
        <f t="shared" si="11"/>
        <v>-249162.46</v>
      </c>
    </row>
    <row r="343" spans="1:25" s="29" customFormat="1">
      <c r="A343" s="108" t="str">
        <f t="shared" si="10"/>
        <v>604011198 1 00 20020000</v>
      </c>
      <c r="B343" s="197" t="s">
        <v>344</v>
      </c>
      <c r="C343" s="198" t="s">
        <v>332</v>
      </c>
      <c r="D343" s="199" t="s">
        <v>11</v>
      </c>
      <c r="E343" s="199" t="s">
        <v>342</v>
      </c>
      <c r="F343" s="199" t="s">
        <v>345</v>
      </c>
      <c r="G343" s="199" t="s">
        <v>9</v>
      </c>
      <c r="H343" s="20">
        <v>12775.54</v>
      </c>
      <c r="I343" s="20">
        <v>12775.54</v>
      </c>
      <c r="J343" s="20">
        <v>12775.54</v>
      </c>
      <c r="K343" s="20"/>
      <c r="L343" s="20"/>
      <c r="M343" s="20"/>
      <c r="N343" s="20"/>
      <c r="O343" s="20"/>
      <c r="P343" s="20"/>
      <c r="Q343" s="17"/>
      <c r="T343" s="20">
        <v>174715</v>
      </c>
      <c r="U343" s="20">
        <v>223370</v>
      </c>
      <c r="V343" s="20">
        <v>261938</v>
      </c>
      <c r="W343" s="20">
        <f t="shared" si="11"/>
        <v>-161939.46</v>
      </c>
      <c r="X343" s="20">
        <f t="shared" si="11"/>
        <v>-210594.46</v>
      </c>
      <c r="Y343" s="20">
        <f t="shared" si="11"/>
        <v>-249162.46</v>
      </c>
    </row>
    <row r="344" spans="1:25" s="29" customFormat="1">
      <c r="A344" s="108" t="str">
        <f t="shared" si="10"/>
        <v>604011198 1 00 20020870</v>
      </c>
      <c r="B344" s="197" t="s">
        <v>346</v>
      </c>
      <c r="C344" s="198" t="s">
        <v>332</v>
      </c>
      <c r="D344" s="199" t="s">
        <v>11</v>
      </c>
      <c r="E344" s="199" t="s">
        <v>342</v>
      </c>
      <c r="F344" s="199" t="s">
        <v>345</v>
      </c>
      <c r="G344" s="199" t="s">
        <v>347</v>
      </c>
      <c r="H344" s="20">
        <v>12775.54</v>
      </c>
      <c r="I344" s="20">
        <v>12775.54</v>
      </c>
      <c r="J344" s="20">
        <v>12775.54</v>
      </c>
      <c r="K344" s="20"/>
      <c r="L344" s="20"/>
      <c r="M344" s="20"/>
      <c r="N344" s="20"/>
      <c r="O344" s="20"/>
      <c r="P344" s="20"/>
      <c r="Q344" s="17"/>
      <c r="T344" s="20"/>
      <c r="U344" s="20"/>
      <c r="V344" s="20"/>
      <c r="W344" s="20">
        <f t="shared" si="11"/>
        <v>12775.54</v>
      </c>
      <c r="X344" s="20">
        <f t="shared" si="11"/>
        <v>12775.54</v>
      </c>
      <c r="Y344" s="20">
        <f t="shared" si="11"/>
        <v>12775.54</v>
      </c>
    </row>
    <row r="345" spans="1:25" s="16" customFormat="1">
      <c r="A345" s="108" t="str">
        <f t="shared" si="10"/>
        <v>604011300 0 00 00000000</v>
      </c>
      <c r="B345" s="194" t="s">
        <v>50</v>
      </c>
      <c r="C345" s="195" t="s">
        <v>332</v>
      </c>
      <c r="D345" s="196" t="s">
        <v>11</v>
      </c>
      <c r="E345" s="196" t="s">
        <v>51</v>
      </c>
      <c r="F345" s="196" t="s">
        <v>8</v>
      </c>
      <c r="G345" s="196" t="s">
        <v>9</v>
      </c>
      <c r="H345" s="19">
        <v>4898.3099999999995</v>
      </c>
      <c r="I345" s="19">
        <v>63349.8</v>
      </c>
      <c r="J345" s="19">
        <v>86226.89</v>
      </c>
      <c r="K345" s="25"/>
      <c r="L345" s="25"/>
      <c r="M345" s="25"/>
      <c r="N345" s="25"/>
      <c r="O345" s="25"/>
      <c r="P345" s="25"/>
      <c r="Q345" s="17"/>
      <c r="T345" s="25">
        <v>32090.590000000004</v>
      </c>
      <c r="U345" s="25">
        <v>32190.38</v>
      </c>
      <c r="V345" s="25">
        <v>32190.38</v>
      </c>
      <c r="W345" s="25">
        <f t="shared" si="11"/>
        <v>-27192.280000000006</v>
      </c>
      <c r="X345" s="25">
        <f t="shared" si="11"/>
        <v>31159.420000000002</v>
      </c>
      <c r="Y345" s="25">
        <f t="shared" si="11"/>
        <v>54036.509999999995</v>
      </c>
    </row>
    <row r="346" spans="1:25" s="34" customFormat="1" ht="25.5">
      <c r="A346" s="108" t="str">
        <f t="shared" si="10"/>
        <v>604011310 0 00 00000000</v>
      </c>
      <c r="B346" s="200" t="s">
        <v>348</v>
      </c>
      <c r="C346" s="198" t="s">
        <v>332</v>
      </c>
      <c r="D346" s="199" t="s">
        <v>11</v>
      </c>
      <c r="E346" s="199" t="s">
        <v>51</v>
      </c>
      <c r="F346" s="199" t="s">
        <v>349</v>
      </c>
      <c r="G346" s="199" t="s">
        <v>9</v>
      </c>
      <c r="H346" s="20">
        <v>2195.1</v>
      </c>
      <c r="I346" s="20">
        <v>9744.42</v>
      </c>
      <c r="J346" s="20">
        <v>9744.42</v>
      </c>
      <c r="K346" s="18"/>
      <c r="L346" s="18"/>
      <c r="M346" s="18"/>
      <c r="N346" s="18"/>
      <c r="O346" s="18"/>
      <c r="P346" s="18"/>
      <c r="Q346" s="17"/>
      <c r="T346" s="18">
        <v>28744.070000000003</v>
      </c>
      <c r="U346" s="18">
        <v>28843.86</v>
      </c>
      <c r="V346" s="18">
        <v>28843.86</v>
      </c>
      <c r="W346" s="18">
        <f t="shared" si="11"/>
        <v>-26548.970000000005</v>
      </c>
      <c r="X346" s="18">
        <f t="shared" si="11"/>
        <v>-19099.440000000002</v>
      </c>
      <c r="Y346" s="18">
        <f t="shared" si="11"/>
        <v>-19099.440000000002</v>
      </c>
    </row>
    <row r="347" spans="1:25" s="23" customFormat="1" ht="38.25">
      <c r="A347" s="108" t="str">
        <f t="shared" si="10"/>
        <v>604011310 Б 00 00000000</v>
      </c>
      <c r="B347" s="200" t="s">
        <v>350</v>
      </c>
      <c r="C347" s="198" t="s">
        <v>332</v>
      </c>
      <c r="D347" s="199" t="s">
        <v>11</v>
      </c>
      <c r="E347" s="199" t="s">
        <v>51</v>
      </c>
      <c r="F347" s="199" t="s">
        <v>351</v>
      </c>
      <c r="G347" s="199" t="s">
        <v>9</v>
      </c>
      <c r="H347" s="20">
        <v>2195.1</v>
      </c>
      <c r="I347" s="20">
        <v>9744.42</v>
      </c>
      <c r="J347" s="20">
        <v>9744.42</v>
      </c>
      <c r="K347" s="19"/>
      <c r="L347" s="19"/>
      <c r="M347" s="19"/>
      <c r="N347" s="19"/>
      <c r="O347" s="19"/>
      <c r="P347" s="19"/>
      <c r="Q347" s="17"/>
      <c r="T347" s="19">
        <v>28744.070000000003</v>
      </c>
      <c r="U347" s="19">
        <v>28843.86</v>
      </c>
      <c r="V347" s="19">
        <v>28843.86</v>
      </c>
      <c r="W347" s="19">
        <f t="shared" si="11"/>
        <v>-26548.970000000005</v>
      </c>
      <c r="X347" s="19">
        <f t="shared" si="11"/>
        <v>-19099.440000000002</v>
      </c>
      <c r="Y347" s="19">
        <f t="shared" si="11"/>
        <v>-19099.440000000002</v>
      </c>
    </row>
    <row r="348" spans="1:25" s="16" customFormat="1" ht="51">
      <c r="A348" s="108" t="str">
        <f t="shared" si="10"/>
        <v>604011310 Б 01 00000000</v>
      </c>
      <c r="B348" s="200" t="s">
        <v>352</v>
      </c>
      <c r="C348" s="198" t="s">
        <v>332</v>
      </c>
      <c r="D348" s="199" t="s">
        <v>11</v>
      </c>
      <c r="E348" s="199" t="s">
        <v>51</v>
      </c>
      <c r="F348" s="199" t="s">
        <v>353</v>
      </c>
      <c r="G348" s="199" t="s">
        <v>9</v>
      </c>
      <c r="H348" s="20">
        <v>2195.1</v>
      </c>
      <c r="I348" s="20">
        <v>9744.42</v>
      </c>
      <c r="J348" s="20">
        <v>9744.42</v>
      </c>
      <c r="K348" s="20"/>
      <c r="L348" s="20"/>
      <c r="M348" s="20"/>
      <c r="N348" s="20"/>
      <c r="O348" s="20"/>
      <c r="P348" s="20"/>
      <c r="Q348" s="17"/>
      <c r="T348" s="20">
        <v>7.6499999999999995</v>
      </c>
      <c r="U348" s="20">
        <v>7.6499999999999995</v>
      </c>
      <c r="V348" s="20">
        <v>7.6499999999999995</v>
      </c>
      <c r="W348" s="20">
        <f t="shared" si="11"/>
        <v>2187.4499999999998</v>
      </c>
      <c r="X348" s="20">
        <f t="shared" si="11"/>
        <v>9736.77</v>
      </c>
      <c r="Y348" s="20">
        <f t="shared" si="11"/>
        <v>9736.77</v>
      </c>
    </row>
    <row r="349" spans="1:25" s="16" customFormat="1" ht="25.5">
      <c r="A349" s="108" t="str">
        <f t="shared" si="10"/>
        <v>604011310 Б 01 20050000</v>
      </c>
      <c r="B349" s="197" t="s">
        <v>187</v>
      </c>
      <c r="C349" s="198" t="s">
        <v>332</v>
      </c>
      <c r="D349" s="199" t="s">
        <v>11</v>
      </c>
      <c r="E349" s="199" t="s">
        <v>51</v>
      </c>
      <c r="F349" s="199" t="s">
        <v>354</v>
      </c>
      <c r="G349" s="199" t="s">
        <v>9</v>
      </c>
      <c r="H349" s="20">
        <v>2195.1</v>
      </c>
      <c r="I349" s="20">
        <v>9744.42</v>
      </c>
      <c r="J349" s="20">
        <v>9744.42</v>
      </c>
      <c r="K349" s="20"/>
      <c r="L349" s="20"/>
      <c r="M349" s="20"/>
      <c r="N349" s="20"/>
      <c r="O349" s="20"/>
      <c r="P349" s="20"/>
      <c r="Q349" s="17"/>
      <c r="T349" s="20">
        <v>7.6499999999999995</v>
      </c>
      <c r="U349" s="20">
        <v>7.6499999999999995</v>
      </c>
      <c r="V349" s="20">
        <v>7.6499999999999995</v>
      </c>
      <c r="W349" s="20">
        <f t="shared" si="11"/>
        <v>2187.4499999999998</v>
      </c>
      <c r="X349" s="20">
        <f t="shared" si="11"/>
        <v>9736.77</v>
      </c>
      <c r="Y349" s="20">
        <f t="shared" si="11"/>
        <v>9736.77</v>
      </c>
    </row>
    <row r="350" spans="1:25" s="16" customFormat="1">
      <c r="A350" s="108" t="str">
        <f t="shared" si="10"/>
        <v>604011310 Б 01 20050830</v>
      </c>
      <c r="B350" s="197" t="s">
        <v>189</v>
      </c>
      <c r="C350" s="198" t="s">
        <v>332</v>
      </c>
      <c r="D350" s="199" t="s">
        <v>11</v>
      </c>
      <c r="E350" s="199" t="s">
        <v>51</v>
      </c>
      <c r="F350" s="199" t="s">
        <v>354</v>
      </c>
      <c r="G350" s="199" t="s">
        <v>190</v>
      </c>
      <c r="H350" s="20">
        <v>2195.1</v>
      </c>
      <c r="I350" s="20">
        <v>9744.42</v>
      </c>
      <c r="J350" s="20">
        <v>9744.42</v>
      </c>
      <c r="K350" s="20"/>
      <c r="L350" s="20"/>
      <c r="M350" s="20"/>
      <c r="N350" s="20"/>
      <c r="O350" s="20"/>
      <c r="P350" s="20"/>
      <c r="Q350" s="17"/>
      <c r="T350" s="20">
        <v>7.6499999999999995</v>
      </c>
      <c r="U350" s="20">
        <v>7.6499999999999995</v>
      </c>
      <c r="V350" s="20">
        <v>7.6499999999999995</v>
      </c>
      <c r="W350" s="20">
        <f t="shared" si="11"/>
        <v>2187.4499999999998</v>
      </c>
      <c r="X350" s="20">
        <f t="shared" si="11"/>
        <v>9736.77</v>
      </c>
      <c r="Y350" s="20">
        <f t="shared" si="11"/>
        <v>9736.77</v>
      </c>
    </row>
    <row r="351" spans="1:25" s="16" customFormat="1" ht="38.25">
      <c r="A351" s="108" t="str">
        <f t="shared" si="10"/>
        <v>604011398 0 00 00000000</v>
      </c>
      <c r="B351" s="197" t="s">
        <v>87</v>
      </c>
      <c r="C351" s="198" t="s">
        <v>332</v>
      </c>
      <c r="D351" s="199" t="s">
        <v>11</v>
      </c>
      <c r="E351" s="199" t="s">
        <v>51</v>
      </c>
      <c r="F351" s="199" t="s">
        <v>88</v>
      </c>
      <c r="G351" s="199" t="s">
        <v>9</v>
      </c>
      <c r="H351" s="20">
        <v>2703.21</v>
      </c>
      <c r="I351" s="20">
        <v>53605.380000000005</v>
      </c>
      <c r="J351" s="20">
        <v>76482.47</v>
      </c>
      <c r="K351" s="20"/>
      <c r="L351" s="20"/>
      <c r="M351" s="20"/>
      <c r="N351" s="20"/>
      <c r="O351" s="20"/>
      <c r="P351" s="20"/>
      <c r="Q351" s="17"/>
      <c r="T351" s="20">
        <v>7.6499999999999995</v>
      </c>
      <c r="U351" s="20">
        <v>7.6499999999999995</v>
      </c>
      <c r="V351" s="20">
        <v>7.6499999999999995</v>
      </c>
      <c r="W351" s="20">
        <f t="shared" si="11"/>
        <v>2695.56</v>
      </c>
      <c r="X351" s="20">
        <f t="shared" si="11"/>
        <v>53597.73</v>
      </c>
      <c r="Y351" s="20">
        <f t="shared" si="11"/>
        <v>76474.820000000007</v>
      </c>
    </row>
    <row r="352" spans="1:25" s="16" customFormat="1">
      <c r="A352" s="108" t="str">
        <f t="shared" si="10"/>
        <v>604011398 1 00 00000000</v>
      </c>
      <c r="B352" s="197" t="s">
        <v>89</v>
      </c>
      <c r="C352" s="198" t="s">
        <v>332</v>
      </c>
      <c r="D352" s="199" t="s">
        <v>11</v>
      </c>
      <c r="E352" s="199" t="s">
        <v>51</v>
      </c>
      <c r="F352" s="199" t="s">
        <v>90</v>
      </c>
      <c r="G352" s="199" t="s">
        <v>9</v>
      </c>
      <c r="H352" s="20">
        <v>2703.21</v>
      </c>
      <c r="I352" s="20">
        <v>53605.380000000005</v>
      </c>
      <c r="J352" s="20">
        <v>76482.47</v>
      </c>
      <c r="K352" s="20"/>
      <c r="L352" s="20"/>
      <c r="M352" s="20"/>
      <c r="N352" s="20"/>
      <c r="O352" s="20"/>
      <c r="P352" s="20"/>
      <c r="Q352" s="17"/>
      <c r="T352" s="20">
        <v>7.6499999999999995</v>
      </c>
      <c r="U352" s="20">
        <v>7.6499999999999995</v>
      </c>
      <c r="V352" s="20">
        <v>7.6499999999999995</v>
      </c>
      <c r="W352" s="20">
        <f t="shared" si="11"/>
        <v>2695.56</v>
      </c>
      <c r="X352" s="20">
        <f t="shared" si="11"/>
        <v>53597.73</v>
      </c>
      <c r="Y352" s="20">
        <f t="shared" si="11"/>
        <v>76474.820000000007</v>
      </c>
    </row>
    <row r="353" spans="1:25" s="16" customFormat="1" ht="25.5">
      <c r="A353" s="108" t="str">
        <f t="shared" si="10"/>
        <v>604011398 1 00 10050000</v>
      </c>
      <c r="B353" s="197" t="s">
        <v>355</v>
      </c>
      <c r="C353" s="198" t="s">
        <v>332</v>
      </c>
      <c r="D353" s="199" t="s">
        <v>11</v>
      </c>
      <c r="E353" s="199" t="s">
        <v>51</v>
      </c>
      <c r="F353" s="199" t="s">
        <v>356</v>
      </c>
      <c r="G353" s="199" t="s">
        <v>9</v>
      </c>
      <c r="H353" s="20">
        <v>2203.21</v>
      </c>
      <c r="I353" s="20">
        <v>2000</v>
      </c>
      <c r="J353" s="20">
        <v>2000</v>
      </c>
      <c r="K353" s="20"/>
      <c r="L353" s="20"/>
      <c r="M353" s="20"/>
      <c r="N353" s="20"/>
      <c r="O353" s="20"/>
      <c r="P353" s="20"/>
      <c r="Q353" s="17"/>
      <c r="T353" s="20">
        <v>28736.420000000002</v>
      </c>
      <c r="U353" s="20">
        <v>28836.21</v>
      </c>
      <c r="V353" s="20">
        <v>28836.21</v>
      </c>
      <c r="W353" s="20">
        <f t="shared" si="11"/>
        <v>-26533.210000000003</v>
      </c>
      <c r="X353" s="20">
        <f t="shared" si="11"/>
        <v>-26836.21</v>
      </c>
      <c r="Y353" s="20">
        <f t="shared" si="11"/>
        <v>-26836.21</v>
      </c>
    </row>
    <row r="354" spans="1:25" s="16" customFormat="1">
      <c r="A354" s="108" t="str">
        <f t="shared" si="10"/>
        <v>604011398 1 00 10050880</v>
      </c>
      <c r="B354" s="201" t="s">
        <v>357</v>
      </c>
      <c r="C354" s="198" t="s">
        <v>332</v>
      </c>
      <c r="D354" s="199" t="s">
        <v>11</v>
      </c>
      <c r="E354" s="199" t="s">
        <v>51</v>
      </c>
      <c r="F354" s="199" t="s">
        <v>356</v>
      </c>
      <c r="G354" s="199" t="s">
        <v>358</v>
      </c>
      <c r="H354" s="20">
        <v>2203.21</v>
      </c>
      <c r="I354" s="20">
        <v>2000</v>
      </c>
      <c r="J354" s="20">
        <v>2000</v>
      </c>
      <c r="K354" s="20"/>
      <c r="L354" s="20"/>
      <c r="M354" s="20"/>
      <c r="N354" s="20"/>
      <c r="O354" s="20"/>
      <c r="P354" s="20"/>
      <c r="Q354" s="17"/>
      <c r="T354" s="20">
        <v>28736.420000000002</v>
      </c>
      <c r="U354" s="20">
        <v>28836.21</v>
      </c>
      <c r="V354" s="20">
        <v>28836.21</v>
      </c>
      <c r="W354" s="20">
        <f t="shared" si="11"/>
        <v>-26533.210000000003</v>
      </c>
      <c r="X354" s="20">
        <f t="shared" si="11"/>
        <v>-26836.21</v>
      </c>
      <c r="Y354" s="20">
        <f t="shared" si="11"/>
        <v>-26836.21</v>
      </c>
    </row>
    <row r="355" spans="1:25" s="16" customFormat="1">
      <c r="A355" s="108" t="str">
        <f t="shared" si="10"/>
        <v>604011398 1 00 21350000</v>
      </c>
      <c r="B355" s="315" t="s">
        <v>282</v>
      </c>
      <c r="C355" s="198" t="s">
        <v>332</v>
      </c>
      <c r="D355" s="199" t="s">
        <v>11</v>
      </c>
      <c r="E355" s="199" t="s">
        <v>51</v>
      </c>
      <c r="F355" s="199" t="s">
        <v>283</v>
      </c>
      <c r="G355" s="199" t="s">
        <v>9</v>
      </c>
      <c r="H355" s="20">
        <v>500</v>
      </c>
      <c r="I355" s="20">
        <v>0</v>
      </c>
      <c r="J355" s="20">
        <v>0</v>
      </c>
      <c r="K355" s="20"/>
      <c r="L355" s="20"/>
      <c r="M355" s="20"/>
      <c r="N355" s="20"/>
      <c r="O355" s="20"/>
      <c r="P355" s="20"/>
      <c r="Q355" s="17"/>
      <c r="T355" s="20">
        <v>3516.3799999999997</v>
      </c>
      <c r="U355" s="20">
        <v>3616.1699999999996</v>
      </c>
      <c r="V355" s="20">
        <v>3616.1699999999996</v>
      </c>
      <c r="W355" s="20">
        <f t="shared" si="11"/>
        <v>-3016.3799999999997</v>
      </c>
      <c r="X355" s="20">
        <f t="shared" si="11"/>
        <v>-3616.1699999999996</v>
      </c>
      <c r="Y355" s="20">
        <f t="shared" si="11"/>
        <v>-3616.1699999999996</v>
      </c>
    </row>
    <row r="356" spans="1:25" s="16" customFormat="1" ht="25.5">
      <c r="A356" s="108" t="str">
        <f t="shared" si="10"/>
        <v>604011398 1 00 21350240</v>
      </c>
      <c r="B356" s="197" t="s">
        <v>28</v>
      </c>
      <c r="C356" s="198" t="s">
        <v>332</v>
      </c>
      <c r="D356" s="199" t="s">
        <v>11</v>
      </c>
      <c r="E356" s="199" t="s">
        <v>51</v>
      </c>
      <c r="F356" s="199" t="s">
        <v>283</v>
      </c>
      <c r="G356" s="199" t="s">
        <v>29</v>
      </c>
      <c r="H356" s="20">
        <v>500</v>
      </c>
      <c r="I356" s="20">
        <v>0</v>
      </c>
      <c r="J356" s="20">
        <v>0</v>
      </c>
      <c r="K356" s="20"/>
      <c r="L356" s="20"/>
      <c r="M356" s="20"/>
      <c r="N356" s="20"/>
      <c r="O356" s="20"/>
      <c r="P356" s="20"/>
      <c r="Q356" s="17"/>
      <c r="T356" s="20">
        <v>757.89</v>
      </c>
      <c r="U356" s="20">
        <v>757.89</v>
      </c>
      <c r="V356" s="20">
        <v>757.89</v>
      </c>
      <c r="W356" s="20">
        <f t="shared" si="11"/>
        <v>-257.89</v>
      </c>
      <c r="X356" s="20">
        <f t="shared" si="11"/>
        <v>-757.89</v>
      </c>
      <c r="Y356" s="20">
        <f t="shared" si="11"/>
        <v>-757.89</v>
      </c>
    </row>
    <row r="357" spans="1:25" s="16" customFormat="1" ht="38.25">
      <c r="A357" s="108" t="str">
        <f t="shared" si="10"/>
        <v>604011398 1 00 21440000</v>
      </c>
      <c r="B357" s="214" t="s">
        <v>359</v>
      </c>
      <c r="C357" s="198" t="s">
        <v>332</v>
      </c>
      <c r="D357" s="199" t="s">
        <v>11</v>
      </c>
      <c r="E357" s="199" t="s">
        <v>51</v>
      </c>
      <c r="F357" s="199" t="s">
        <v>360</v>
      </c>
      <c r="G357" s="199" t="s">
        <v>9</v>
      </c>
      <c r="H357" s="218">
        <v>0</v>
      </c>
      <c r="I357" s="20">
        <v>35191.69</v>
      </c>
      <c r="J357" s="20">
        <v>40998.570000000007</v>
      </c>
      <c r="K357" s="20"/>
      <c r="L357" s="20"/>
      <c r="M357" s="20"/>
      <c r="N357" s="20"/>
      <c r="O357" s="20"/>
      <c r="P357" s="20"/>
      <c r="Q357" s="17"/>
      <c r="T357" s="20">
        <v>2742.5299999999997</v>
      </c>
      <c r="U357" s="20">
        <v>2842.3199999999997</v>
      </c>
      <c r="V357" s="20">
        <v>2842.3199999999997</v>
      </c>
      <c r="W357" s="20">
        <f t="shared" si="11"/>
        <v>-2742.5299999999997</v>
      </c>
      <c r="X357" s="20">
        <f t="shared" si="11"/>
        <v>32349.370000000003</v>
      </c>
      <c r="Y357" s="20">
        <f t="shared" si="11"/>
        <v>38156.250000000007</v>
      </c>
    </row>
    <row r="358" spans="1:25" s="16" customFormat="1">
      <c r="A358" s="108" t="str">
        <f t="shared" si="10"/>
        <v>604011398 1 00 21440880</v>
      </c>
      <c r="B358" s="201" t="s">
        <v>357</v>
      </c>
      <c r="C358" s="198" t="s">
        <v>332</v>
      </c>
      <c r="D358" s="199" t="s">
        <v>11</v>
      </c>
      <c r="E358" s="199" t="s">
        <v>51</v>
      </c>
      <c r="F358" s="199" t="s">
        <v>360</v>
      </c>
      <c r="G358" s="199" t="s">
        <v>358</v>
      </c>
      <c r="H358" s="218">
        <v>0</v>
      </c>
      <c r="I358" s="20">
        <v>35191.69</v>
      </c>
      <c r="J358" s="20">
        <v>40998.570000000007</v>
      </c>
      <c r="K358" s="20"/>
      <c r="L358" s="20"/>
      <c r="M358" s="20"/>
      <c r="N358" s="20"/>
      <c r="O358" s="20"/>
      <c r="P358" s="20"/>
      <c r="Q358" s="17"/>
      <c r="T358" s="20"/>
      <c r="U358" s="20"/>
      <c r="V358" s="20"/>
      <c r="W358" s="20">
        <f t="shared" si="11"/>
        <v>0</v>
      </c>
      <c r="X358" s="20">
        <f t="shared" si="11"/>
        <v>35191.69</v>
      </c>
      <c r="Y358" s="20">
        <f t="shared" si="11"/>
        <v>40998.570000000007</v>
      </c>
    </row>
    <row r="359" spans="1:25" s="16" customFormat="1" ht="51">
      <c r="A359" s="108" t="str">
        <f t="shared" si="10"/>
        <v>604011398 1 00 21520000</v>
      </c>
      <c r="B359" s="227" t="s">
        <v>1116</v>
      </c>
      <c r="C359" s="198" t="s">
        <v>332</v>
      </c>
      <c r="D359" s="199" t="s">
        <v>11</v>
      </c>
      <c r="E359" s="199" t="s">
        <v>51</v>
      </c>
      <c r="F359" s="199" t="s">
        <v>1117</v>
      </c>
      <c r="G359" s="199" t="s">
        <v>9</v>
      </c>
      <c r="H359" s="218">
        <v>0</v>
      </c>
      <c r="I359" s="20">
        <v>16413.689999999999</v>
      </c>
      <c r="J359" s="20">
        <v>33483.9</v>
      </c>
      <c r="K359" s="20"/>
      <c r="L359" s="20"/>
      <c r="M359" s="20"/>
      <c r="N359" s="20"/>
      <c r="O359" s="20"/>
      <c r="P359" s="20"/>
      <c r="Q359" s="17"/>
      <c r="T359" s="20">
        <v>8.2100000000000009</v>
      </c>
      <c r="U359" s="20">
        <v>0</v>
      </c>
      <c r="V359" s="20">
        <v>0</v>
      </c>
      <c r="W359" s="20">
        <f t="shared" si="11"/>
        <v>-8.2100000000000009</v>
      </c>
      <c r="X359" s="20">
        <f t="shared" si="11"/>
        <v>16413.689999999999</v>
      </c>
      <c r="Y359" s="20">
        <f t="shared" si="11"/>
        <v>33483.9</v>
      </c>
    </row>
    <row r="360" spans="1:25" s="16" customFormat="1">
      <c r="A360" s="108" t="str">
        <f t="shared" si="10"/>
        <v>604011398 1 00 21520880</v>
      </c>
      <c r="B360" s="201" t="s">
        <v>357</v>
      </c>
      <c r="C360" s="198" t="s">
        <v>332</v>
      </c>
      <c r="D360" s="199" t="s">
        <v>11</v>
      </c>
      <c r="E360" s="199" t="s">
        <v>51</v>
      </c>
      <c r="F360" s="199" t="s">
        <v>1117</v>
      </c>
      <c r="G360" s="199" t="s">
        <v>358</v>
      </c>
      <c r="H360" s="218">
        <v>0</v>
      </c>
      <c r="I360" s="20">
        <v>16413.689999999999</v>
      </c>
      <c r="J360" s="20">
        <v>33483.9</v>
      </c>
      <c r="K360" s="20"/>
      <c r="L360" s="20"/>
      <c r="M360" s="20"/>
      <c r="N360" s="20"/>
      <c r="O360" s="20"/>
      <c r="P360" s="20"/>
      <c r="Q360" s="17"/>
      <c r="T360" s="20">
        <v>15.96</v>
      </c>
      <c r="U360" s="20">
        <v>15.96</v>
      </c>
      <c r="V360" s="20">
        <v>15.96</v>
      </c>
      <c r="W360" s="20">
        <f t="shared" si="11"/>
        <v>-15.96</v>
      </c>
      <c r="X360" s="20">
        <f t="shared" si="11"/>
        <v>16397.73</v>
      </c>
      <c r="Y360" s="20">
        <f t="shared" si="11"/>
        <v>33467.94</v>
      </c>
    </row>
    <row r="361" spans="1:25" s="16" customFormat="1">
      <c r="A361" s="108" t="str">
        <f t="shared" si="10"/>
        <v>604130000 0 00 00000000</v>
      </c>
      <c r="B361" s="191" t="s">
        <v>363</v>
      </c>
      <c r="C361" s="192" t="s">
        <v>332</v>
      </c>
      <c r="D361" s="193" t="s">
        <v>51</v>
      </c>
      <c r="E361" s="193" t="s">
        <v>7</v>
      </c>
      <c r="F361" s="193" t="s">
        <v>8</v>
      </c>
      <c r="G361" s="193" t="s">
        <v>9</v>
      </c>
      <c r="H361" s="18">
        <v>162659.47</v>
      </c>
      <c r="I361" s="18">
        <v>223370</v>
      </c>
      <c r="J361" s="18">
        <v>261938</v>
      </c>
      <c r="K361" s="20"/>
      <c r="L361" s="20"/>
      <c r="M361" s="20"/>
      <c r="N361" s="20"/>
      <c r="O361" s="20"/>
      <c r="P361" s="20"/>
      <c r="Q361" s="17"/>
      <c r="T361" s="20">
        <v>25220.04</v>
      </c>
      <c r="U361" s="20">
        <v>25220.04</v>
      </c>
      <c r="V361" s="20">
        <v>25220.04</v>
      </c>
      <c r="W361" s="20">
        <f t="shared" si="11"/>
        <v>137439.43</v>
      </c>
      <c r="X361" s="20">
        <f t="shared" si="11"/>
        <v>198149.96</v>
      </c>
      <c r="Y361" s="20">
        <f t="shared" si="11"/>
        <v>236717.96</v>
      </c>
    </row>
    <row r="362" spans="1:25" s="16" customFormat="1" ht="25.5">
      <c r="A362" s="108" t="str">
        <f t="shared" si="10"/>
        <v>604130100 0 00 00000000</v>
      </c>
      <c r="B362" s="194" t="s">
        <v>364</v>
      </c>
      <c r="C362" s="195" t="s">
        <v>332</v>
      </c>
      <c r="D362" s="196" t="s">
        <v>51</v>
      </c>
      <c r="E362" s="196" t="s">
        <v>11</v>
      </c>
      <c r="F362" s="196" t="s">
        <v>8</v>
      </c>
      <c r="G362" s="196" t="s">
        <v>9</v>
      </c>
      <c r="H362" s="19">
        <v>162659.47</v>
      </c>
      <c r="I362" s="19">
        <v>223370</v>
      </c>
      <c r="J362" s="19">
        <v>261938</v>
      </c>
      <c r="K362" s="20"/>
      <c r="L362" s="20"/>
      <c r="M362" s="20"/>
      <c r="N362" s="20"/>
      <c r="O362" s="20"/>
      <c r="P362" s="20"/>
      <c r="Q362" s="17"/>
      <c r="T362" s="20">
        <v>25220.04</v>
      </c>
      <c r="U362" s="20">
        <v>25220.04</v>
      </c>
      <c r="V362" s="20">
        <v>25220.04</v>
      </c>
      <c r="W362" s="20">
        <f t="shared" si="11"/>
        <v>137439.43</v>
      </c>
      <c r="X362" s="20">
        <f t="shared" si="11"/>
        <v>198149.96</v>
      </c>
      <c r="Y362" s="20">
        <f t="shared" si="11"/>
        <v>236717.96</v>
      </c>
    </row>
    <row r="363" spans="1:25" s="16" customFormat="1" ht="25.5">
      <c r="A363" s="108" t="str">
        <f t="shared" si="10"/>
        <v>604130110 0 00 00000000</v>
      </c>
      <c r="B363" s="200" t="s">
        <v>348</v>
      </c>
      <c r="C363" s="198" t="s">
        <v>332</v>
      </c>
      <c r="D363" s="199" t="s">
        <v>51</v>
      </c>
      <c r="E363" s="199" t="s">
        <v>11</v>
      </c>
      <c r="F363" s="199" t="s">
        <v>349</v>
      </c>
      <c r="G363" s="199" t="s">
        <v>9</v>
      </c>
      <c r="H363" s="20">
        <v>162659.47</v>
      </c>
      <c r="I363" s="20">
        <v>223370</v>
      </c>
      <c r="J363" s="20">
        <v>261938</v>
      </c>
      <c r="K363" s="18"/>
      <c r="L363" s="18"/>
      <c r="M363" s="18"/>
      <c r="N363" s="18"/>
      <c r="O363" s="18"/>
      <c r="P363" s="18"/>
      <c r="Q363" s="17"/>
      <c r="T363" s="18">
        <v>1096.2</v>
      </c>
      <c r="U363" s="18">
        <v>1096.2</v>
      </c>
      <c r="V363" s="18">
        <v>1096.2</v>
      </c>
      <c r="W363" s="18">
        <f t="shared" si="11"/>
        <v>161563.26999999999</v>
      </c>
      <c r="X363" s="18">
        <f t="shared" si="11"/>
        <v>222273.8</v>
      </c>
      <c r="Y363" s="18">
        <f t="shared" si="11"/>
        <v>260841.8</v>
      </c>
    </row>
    <row r="364" spans="1:25" s="16" customFormat="1" ht="38.25">
      <c r="A364" s="108" t="str">
        <f t="shared" si="10"/>
        <v>604130110 Б 00 00000000</v>
      </c>
      <c r="B364" s="200" t="s">
        <v>350</v>
      </c>
      <c r="C364" s="198" t="s">
        <v>332</v>
      </c>
      <c r="D364" s="199" t="s">
        <v>51</v>
      </c>
      <c r="E364" s="199" t="s">
        <v>11</v>
      </c>
      <c r="F364" s="199" t="s">
        <v>351</v>
      </c>
      <c r="G364" s="199" t="s">
        <v>9</v>
      </c>
      <c r="H364" s="20">
        <v>162659.47</v>
      </c>
      <c r="I364" s="20">
        <v>223370</v>
      </c>
      <c r="J364" s="20">
        <v>261938</v>
      </c>
      <c r="K364" s="19"/>
      <c r="L364" s="19"/>
      <c r="M364" s="19"/>
      <c r="N364" s="19"/>
      <c r="O364" s="19"/>
      <c r="P364" s="19"/>
      <c r="Q364" s="17"/>
      <c r="T364" s="19">
        <v>1096.2</v>
      </c>
      <c r="U364" s="19">
        <v>1096.2</v>
      </c>
      <c r="V364" s="19">
        <v>1096.2</v>
      </c>
      <c r="W364" s="19">
        <f t="shared" si="11"/>
        <v>161563.26999999999</v>
      </c>
      <c r="X364" s="19">
        <f t="shared" si="11"/>
        <v>222273.8</v>
      </c>
      <c r="Y364" s="19">
        <f t="shared" si="11"/>
        <v>260841.8</v>
      </c>
    </row>
    <row r="365" spans="1:25" s="16" customFormat="1" ht="38.25">
      <c r="A365" s="108" t="str">
        <f t="shared" si="10"/>
        <v>604130110 Б 02 00000000</v>
      </c>
      <c r="B365" s="200" t="s">
        <v>365</v>
      </c>
      <c r="C365" s="198" t="s">
        <v>332</v>
      </c>
      <c r="D365" s="199" t="s">
        <v>51</v>
      </c>
      <c r="E365" s="199" t="s">
        <v>11</v>
      </c>
      <c r="F365" s="199" t="s">
        <v>366</v>
      </c>
      <c r="G365" s="199" t="s">
        <v>9</v>
      </c>
      <c r="H365" s="20">
        <v>162659.47</v>
      </c>
      <c r="I365" s="20">
        <v>223370</v>
      </c>
      <c r="J365" s="20">
        <v>261938</v>
      </c>
      <c r="K365" s="26"/>
      <c r="L365" s="26"/>
      <c r="M365" s="26"/>
      <c r="N365" s="26"/>
      <c r="O365" s="26"/>
      <c r="P365" s="26"/>
      <c r="Q365" s="17"/>
      <c r="T365" s="26">
        <v>1096.2</v>
      </c>
      <c r="U365" s="26">
        <v>1096.2</v>
      </c>
      <c r="V365" s="26">
        <v>1096.2</v>
      </c>
      <c r="W365" s="26">
        <f t="shared" si="11"/>
        <v>161563.26999999999</v>
      </c>
      <c r="X365" s="26">
        <f t="shared" si="11"/>
        <v>222273.8</v>
      </c>
      <c r="Y365" s="26">
        <f t="shared" si="11"/>
        <v>260841.8</v>
      </c>
    </row>
    <row r="366" spans="1:25" s="16" customFormat="1">
      <c r="A366" s="108" t="str">
        <f t="shared" si="10"/>
        <v>604130110 Б 02 20010000</v>
      </c>
      <c r="B366" s="200" t="s">
        <v>367</v>
      </c>
      <c r="C366" s="198" t="s">
        <v>332</v>
      </c>
      <c r="D366" s="199" t="s">
        <v>51</v>
      </c>
      <c r="E366" s="199" t="s">
        <v>11</v>
      </c>
      <c r="F366" s="199" t="s">
        <v>368</v>
      </c>
      <c r="G366" s="199" t="s">
        <v>9</v>
      </c>
      <c r="H366" s="20">
        <v>162659.47</v>
      </c>
      <c r="I366" s="20">
        <v>223370</v>
      </c>
      <c r="J366" s="20">
        <v>261938</v>
      </c>
      <c r="K366" s="26"/>
      <c r="L366" s="26"/>
      <c r="M366" s="26"/>
      <c r="N366" s="26"/>
      <c r="O366" s="26"/>
      <c r="P366" s="26"/>
      <c r="Q366" s="17"/>
      <c r="T366" s="26">
        <v>1096.2</v>
      </c>
      <c r="U366" s="26">
        <v>1096.2</v>
      </c>
      <c r="V366" s="26">
        <v>1096.2</v>
      </c>
      <c r="W366" s="26">
        <f t="shared" si="11"/>
        <v>161563.26999999999</v>
      </c>
      <c r="X366" s="26">
        <f t="shared" si="11"/>
        <v>222273.8</v>
      </c>
      <c r="Y366" s="26">
        <f t="shared" si="11"/>
        <v>260841.8</v>
      </c>
    </row>
    <row r="367" spans="1:25" s="16" customFormat="1">
      <c r="A367" s="108" t="str">
        <f t="shared" si="10"/>
        <v>604130110 Б 02 20010730</v>
      </c>
      <c r="B367" s="200" t="s">
        <v>369</v>
      </c>
      <c r="C367" s="198" t="s">
        <v>332</v>
      </c>
      <c r="D367" s="199" t="s">
        <v>51</v>
      </c>
      <c r="E367" s="199" t="s">
        <v>11</v>
      </c>
      <c r="F367" s="199" t="s">
        <v>368</v>
      </c>
      <c r="G367" s="199" t="s">
        <v>370</v>
      </c>
      <c r="H367" s="20">
        <v>162659.47</v>
      </c>
      <c r="I367" s="20">
        <v>223370</v>
      </c>
      <c r="J367" s="20">
        <v>261938</v>
      </c>
      <c r="K367" s="26"/>
      <c r="L367" s="26"/>
      <c r="M367" s="26"/>
      <c r="N367" s="26"/>
      <c r="O367" s="26"/>
      <c r="P367" s="26"/>
      <c r="Q367" s="17"/>
      <c r="T367" s="26">
        <v>1096.2</v>
      </c>
      <c r="U367" s="26">
        <v>1096.2</v>
      </c>
      <c r="V367" s="26">
        <v>1096.2</v>
      </c>
      <c r="W367" s="26">
        <f t="shared" si="11"/>
        <v>161563.26999999999</v>
      </c>
      <c r="X367" s="26">
        <f t="shared" si="11"/>
        <v>222273.8</v>
      </c>
      <c r="Y367" s="26">
        <f t="shared" si="11"/>
        <v>260841.8</v>
      </c>
    </row>
    <row r="368" spans="1:25" s="16" customFormat="1">
      <c r="A368" s="108" t="str">
        <f t="shared" si="10"/>
        <v/>
      </c>
      <c r="B368" s="200"/>
      <c r="C368" s="198"/>
      <c r="D368" s="199"/>
      <c r="E368" s="199"/>
      <c r="F368" s="199"/>
      <c r="G368" s="199"/>
      <c r="H368" s="20"/>
      <c r="I368" s="20"/>
      <c r="J368" s="20"/>
      <c r="K368" s="26"/>
      <c r="L368" s="26"/>
      <c r="M368" s="26"/>
      <c r="N368" s="26"/>
      <c r="O368" s="26"/>
      <c r="P368" s="26"/>
      <c r="Q368" s="17"/>
      <c r="T368" s="26">
        <v>1096.2</v>
      </c>
      <c r="U368" s="26">
        <v>1096.2</v>
      </c>
      <c r="V368" s="26">
        <v>1096.2</v>
      </c>
      <c r="W368" s="26">
        <f t="shared" si="11"/>
        <v>-1096.2</v>
      </c>
      <c r="X368" s="26">
        <f t="shared" si="11"/>
        <v>-1096.2</v>
      </c>
      <c r="Y368" s="26">
        <f t="shared" si="11"/>
        <v>-1096.2</v>
      </c>
    </row>
    <row r="369" spans="1:25" s="16" customFormat="1" ht="25.5">
      <c r="A369" s="108" t="str">
        <f t="shared" si="10"/>
        <v>605000000 0 00 00000000</v>
      </c>
      <c r="B369" s="202" t="s">
        <v>371</v>
      </c>
      <c r="C369" s="189" t="s">
        <v>372</v>
      </c>
      <c r="D369" s="190" t="s">
        <v>7</v>
      </c>
      <c r="E369" s="190" t="s">
        <v>7</v>
      </c>
      <c r="F369" s="190" t="s">
        <v>8</v>
      </c>
      <c r="G369" s="190" t="s">
        <v>9</v>
      </c>
      <c r="H369" s="25">
        <v>33192.71</v>
      </c>
      <c r="I369" s="25">
        <v>33297.78</v>
      </c>
      <c r="J369" s="25">
        <v>33297.78</v>
      </c>
      <c r="K369" s="20"/>
      <c r="L369" s="20"/>
      <c r="M369" s="20"/>
      <c r="N369" s="20"/>
      <c r="O369" s="20"/>
      <c r="P369" s="20"/>
      <c r="Q369" s="17"/>
      <c r="T369" s="20">
        <v>1096.2</v>
      </c>
      <c r="U369" s="20">
        <v>1096.2</v>
      </c>
      <c r="V369" s="20">
        <v>1096.2</v>
      </c>
      <c r="W369" s="20">
        <f t="shared" si="11"/>
        <v>32096.51</v>
      </c>
      <c r="X369" s="20">
        <f t="shared" si="11"/>
        <v>32201.579999999998</v>
      </c>
      <c r="Y369" s="20">
        <f t="shared" si="11"/>
        <v>32201.579999999998</v>
      </c>
    </row>
    <row r="370" spans="1:25" s="34" customFormat="1">
      <c r="A370" s="108" t="str">
        <f t="shared" si="10"/>
        <v>605010000 0 00 00000000</v>
      </c>
      <c r="B370" s="191" t="s">
        <v>10</v>
      </c>
      <c r="C370" s="192" t="s">
        <v>372</v>
      </c>
      <c r="D370" s="193" t="s">
        <v>11</v>
      </c>
      <c r="E370" s="193" t="s">
        <v>7</v>
      </c>
      <c r="F370" s="193" t="s">
        <v>8</v>
      </c>
      <c r="G370" s="193" t="s">
        <v>9</v>
      </c>
      <c r="H370" s="18">
        <v>29847.19</v>
      </c>
      <c r="I370" s="18">
        <v>29951.26</v>
      </c>
      <c r="J370" s="18">
        <v>29951.26</v>
      </c>
      <c r="K370" s="18"/>
      <c r="L370" s="18"/>
      <c r="M370" s="18"/>
      <c r="N370" s="18"/>
      <c r="O370" s="18"/>
      <c r="P370" s="18"/>
      <c r="Q370" s="17"/>
      <c r="T370" s="18">
        <v>2250.3200000000002</v>
      </c>
      <c r="U370" s="18">
        <v>2250.3200000000002</v>
      </c>
      <c r="V370" s="18">
        <v>2250.3200000000002</v>
      </c>
      <c r="W370" s="18">
        <f t="shared" si="11"/>
        <v>27596.87</v>
      </c>
      <c r="X370" s="18">
        <f t="shared" si="11"/>
        <v>27700.94</v>
      </c>
      <c r="Y370" s="18">
        <f t="shared" si="11"/>
        <v>27700.94</v>
      </c>
    </row>
    <row r="371" spans="1:25" s="23" customFormat="1">
      <c r="A371" s="108" t="str">
        <f t="shared" si="10"/>
        <v>605011300 0 00 00000000</v>
      </c>
      <c r="B371" s="194" t="s">
        <v>50</v>
      </c>
      <c r="C371" s="195" t="s">
        <v>372</v>
      </c>
      <c r="D371" s="196" t="s">
        <v>11</v>
      </c>
      <c r="E371" s="196" t="s">
        <v>51</v>
      </c>
      <c r="F371" s="196" t="s">
        <v>8</v>
      </c>
      <c r="G371" s="196" t="s">
        <v>9</v>
      </c>
      <c r="H371" s="19">
        <v>29847.19</v>
      </c>
      <c r="I371" s="19">
        <v>29951.26</v>
      </c>
      <c r="J371" s="19">
        <v>29951.26</v>
      </c>
      <c r="K371" s="19"/>
      <c r="L371" s="19"/>
      <c r="M371" s="19"/>
      <c r="N371" s="19"/>
      <c r="O371" s="19"/>
      <c r="P371" s="19"/>
      <c r="Q371" s="17"/>
      <c r="T371" s="19">
        <v>2250.3200000000002</v>
      </c>
      <c r="U371" s="19">
        <v>2250.3200000000002</v>
      </c>
      <c r="V371" s="19">
        <v>2250.3200000000002</v>
      </c>
      <c r="W371" s="19">
        <f t="shared" si="11"/>
        <v>27596.87</v>
      </c>
      <c r="X371" s="19">
        <f t="shared" si="11"/>
        <v>27700.94</v>
      </c>
      <c r="Y371" s="19">
        <f t="shared" si="11"/>
        <v>27700.94</v>
      </c>
    </row>
    <row r="372" spans="1:25" s="16" customFormat="1" ht="38.25">
      <c r="A372" s="108" t="str">
        <f t="shared" si="10"/>
        <v>605011315 0 00 00000000</v>
      </c>
      <c r="B372" s="197" t="s">
        <v>146</v>
      </c>
      <c r="C372" s="198" t="s">
        <v>372</v>
      </c>
      <c r="D372" s="199" t="s">
        <v>11</v>
      </c>
      <c r="E372" s="199" t="s">
        <v>51</v>
      </c>
      <c r="F372" s="199" t="s">
        <v>147</v>
      </c>
      <c r="G372" s="199" t="s">
        <v>9</v>
      </c>
      <c r="H372" s="20">
        <v>7.6499999999999995</v>
      </c>
      <c r="I372" s="20">
        <v>7.6499999999999995</v>
      </c>
      <c r="J372" s="20">
        <v>7.6499999999999995</v>
      </c>
      <c r="K372" s="20"/>
      <c r="L372" s="20"/>
      <c r="M372" s="20"/>
      <c r="N372" s="20"/>
      <c r="O372" s="20"/>
      <c r="P372" s="20"/>
      <c r="Q372" s="17"/>
      <c r="T372" s="20">
        <v>2250.3200000000002</v>
      </c>
      <c r="U372" s="20">
        <v>2250.3200000000002</v>
      </c>
      <c r="V372" s="20">
        <v>2250.3200000000002</v>
      </c>
      <c r="W372" s="20">
        <f t="shared" si="11"/>
        <v>-2242.67</v>
      </c>
      <c r="X372" s="20">
        <f t="shared" si="11"/>
        <v>-2242.67</v>
      </c>
      <c r="Y372" s="20">
        <f t="shared" si="11"/>
        <v>-2242.67</v>
      </c>
    </row>
    <row r="373" spans="1:25" s="16" customFormat="1" ht="25.5">
      <c r="A373" s="108" t="str">
        <f t="shared" si="10"/>
        <v>605011315 3 00 00000000</v>
      </c>
      <c r="B373" s="197" t="s">
        <v>373</v>
      </c>
      <c r="C373" s="198" t="s">
        <v>372</v>
      </c>
      <c r="D373" s="199" t="s">
        <v>11</v>
      </c>
      <c r="E373" s="199" t="s">
        <v>51</v>
      </c>
      <c r="F373" s="199" t="s">
        <v>169</v>
      </c>
      <c r="G373" s="199" t="s">
        <v>9</v>
      </c>
      <c r="H373" s="20">
        <v>7.6499999999999995</v>
      </c>
      <c r="I373" s="20">
        <v>7.6499999999999995</v>
      </c>
      <c r="J373" s="20">
        <v>7.6499999999999995</v>
      </c>
      <c r="K373" s="20"/>
      <c r="L373" s="20"/>
      <c r="M373" s="20"/>
      <c r="N373" s="20"/>
      <c r="O373" s="20"/>
      <c r="P373" s="20"/>
      <c r="Q373" s="17"/>
      <c r="T373" s="20">
        <v>2250.3200000000002</v>
      </c>
      <c r="U373" s="20">
        <v>2250.3200000000002</v>
      </c>
      <c r="V373" s="20">
        <v>2250.3200000000002</v>
      </c>
      <c r="W373" s="20">
        <f t="shared" si="11"/>
        <v>-2242.67</v>
      </c>
      <c r="X373" s="20">
        <f t="shared" si="11"/>
        <v>-2242.67</v>
      </c>
      <c r="Y373" s="20">
        <f t="shared" si="11"/>
        <v>-2242.67</v>
      </c>
    </row>
    <row r="374" spans="1:25" s="16" customFormat="1" ht="25.5">
      <c r="A374" s="108" t="str">
        <f t="shared" si="10"/>
        <v>605011315 3 01 00000000</v>
      </c>
      <c r="B374" s="197" t="s">
        <v>374</v>
      </c>
      <c r="C374" s="198" t="s">
        <v>372</v>
      </c>
      <c r="D374" s="199" t="s">
        <v>11</v>
      </c>
      <c r="E374" s="199" t="s">
        <v>51</v>
      </c>
      <c r="F374" s="199" t="s">
        <v>375</v>
      </c>
      <c r="G374" s="199" t="s">
        <v>9</v>
      </c>
      <c r="H374" s="20">
        <v>7.6499999999999995</v>
      </c>
      <c r="I374" s="20">
        <v>7.6499999999999995</v>
      </c>
      <c r="J374" s="20">
        <v>7.6499999999999995</v>
      </c>
      <c r="K374" s="20"/>
      <c r="L374" s="20"/>
      <c r="M374" s="20"/>
      <c r="N374" s="20"/>
      <c r="O374" s="20"/>
      <c r="P374" s="20"/>
      <c r="Q374" s="17"/>
      <c r="T374" s="20">
        <v>2250.3200000000002</v>
      </c>
      <c r="U374" s="20">
        <v>2250.3200000000002</v>
      </c>
      <c r="V374" s="20">
        <v>2250.3200000000002</v>
      </c>
      <c r="W374" s="20">
        <f t="shared" si="11"/>
        <v>-2242.67</v>
      </c>
      <c r="X374" s="20">
        <f t="shared" si="11"/>
        <v>-2242.67</v>
      </c>
      <c r="Y374" s="20">
        <f t="shared" si="11"/>
        <v>-2242.67</v>
      </c>
    </row>
    <row r="375" spans="1:25" s="16" customFormat="1" ht="25.5">
      <c r="A375" s="108" t="str">
        <f t="shared" si="10"/>
        <v>605011315 3 01 20660000</v>
      </c>
      <c r="B375" s="197" t="s">
        <v>376</v>
      </c>
      <c r="C375" s="198" t="s">
        <v>372</v>
      </c>
      <c r="D375" s="199" t="s">
        <v>11</v>
      </c>
      <c r="E375" s="199" t="s">
        <v>51</v>
      </c>
      <c r="F375" s="199" t="s">
        <v>377</v>
      </c>
      <c r="G375" s="199" t="s">
        <v>9</v>
      </c>
      <c r="H375" s="20">
        <v>7.6499999999999995</v>
      </c>
      <c r="I375" s="20">
        <v>7.6499999999999995</v>
      </c>
      <c r="J375" s="20">
        <v>7.6499999999999995</v>
      </c>
      <c r="K375" s="20"/>
      <c r="L375" s="20"/>
      <c r="M375" s="20"/>
      <c r="N375" s="20"/>
      <c r="O375" s="20"/>
      <c r="P375" s="20"/>
      <c r="Q375" s="17"/>
      <c r="T375" s="20">
        <v>2250.3200000000002</v>
      </c>
      <c r="U375" s="20">
        <v>2250.3200000000002</v>
      </c>
      <c r="V375" s="20">
        <v>2250.3200000000002</v>
      </c>
      <c r="W375" s="20">
        <f t="shared" si="11"/>
        <v>-2242.67</v>
      </c>
      <c r="X375" s="20">
        <f t="shared" si="11"/>
        <v>-2242.67</v>
      </c>
      <c r="Y375" s="20">
        <f t="shared" si="11"/>
        <v>-2242.67</v>
      </c>
    </row>
    <row r="376" spans="1:25" s="16" customFormat="1" ht="25.5">
      <c r="A376" s="108" t="str">
        <f t="shared" si="10"/>
        <v>605011315 3 01 20660240</v>
      </c>
      <c r="B376" s="197" t="s">
        <v>28</v>
      </c>
      <c r="C376" s="198" t="s">
        <v>372</v>
      </c>
      <c r="D376" s="199" t="s">
        <v>11</v>
      </c>
      <c r="E376" s="199" t="s">
        <v>51</v>
      </c>
      <c r="F376" s="199" t="s">
        <v>377</v>
      </c>
      <c r="G376" s="199" t="s">
        <v>29</v>
      </c>
      <c r="H376" s="20">
        <v>7.6499999999999995</v>
      </c>
      <c r="I376" s="20">
        <v>7.6499999999999995</v>
      </c>
      <c r="J376" s="20">
        <v>7.6499999999999995</v>
      </c>
      <c r="K376" s="20"/>
      <c r="L376" s="20"/>
      <c r="M376" s="20"/>
      <c r="N376" s="20"/>
      <c r="O376" s="20"/>
      <c r="P376" s="20"/>
      <c r="Q376" s="17"/>
      <c r="T376" s="20">
        <v>2250.3200000000002</v>
      </c>
      <c r="U376" s="20">
        <v>2250.3200000000002</v>
      </c>
      <c r="V376" s="20">
        <v>2250.3200000000002</v>
      </c>
      <c r="W376" s="20">
        <f t="shared" si="11"/>
        <v>-2242.67</v>
      </c>
      <c r="X376" s="20">
        <f t="shared" si="11"/>
        <v>-2242.67</v>
      </c>
      <c r="Y376" s="20">
        <f t="shared" si="11"/>
        <v>-2242.67</v>
      </c>
    </row>
    <row r="377" spans="1:25" s="16" customFormat="1" ht="25.5">
      <c r="A377" s="108" t="str">
        <f t="shared" si="10"/>
        <v>605011374 0 00 00000000</v>
      </c>
      <c r="B377" s="197" t="s">
        <v>378</v>
      </c>
      <c r="C377" s="198" t="s">
        <v>372</v>
      </c>
      <c r="D377" s="199" t="s">
        <v>11</v>
      </c>
      <c r="E377" s="199" t="s">
        <v>51</v>
      </c>
      <c r="F377" s="199" t="s">
        <v>379</v>
      </c>
      <c r="G377" s="199" t="s">
        <v>9</v>
      </c>
      <c r="H377" s="20">
        <v>29839.539999999997</v>
      </c>
      <c r="I377" s="20">
        <v>29943.609999999997</v>
      </c>
      <c r="J377" s="20">
        <v>29943.609999999997</v>
      </c>
      <c r="K377" s="20"/>
      <c r="L377" s="20"/>
      <c r="M377" s="20"/>
      <c r="N377" s="20"/>
      <c r="O377" s="20"/>
      <c r="P377" s="20"/>
      <c r="Q377" s="17"/>
      <c r="T377" s="20"/>
      <c r="U377" s="20"/>
      <c r="V377" s="20"/>
      <c r="W377" s="20">
        <f t="shared" si="11"/>
        <v>29839.539999999997</v>
      </c>
      <c r="X377" s="20">
        <f t="shared" si="11"/>
        <v>29943.609999999997</v>
      </c>
      <c r="Y377" s="20">
        <f t="shared" si="11"/>
        <v>29943.609999999997</v>
      </c>
    </row>
    <row r="378" spans="1:25" s="17" customFormat="1" ht="38.25">
      <c r="A378" s="108" t="str">
        <f t="shared" si="10"/>
        <v>605011374 1 00 00000000</v>
      </c>
      <c r="B378" s="197" t="s">
        <v>380</v>
      </c>
      <c r="C378" s="198" t="s">
        <v>372</v>
      </c>
      <c r="D378" s="199" t="s">
        <v>11</v>
      </c>
      <c r="E378" s="199" t="s">
        <v>51</v>
      </c>
      <c r="F378" s="199" t="s">
        <v>381</v>
      </c>
      <c r="G378" s="199" t="s">
        <v>9</v>
      </c>
      <c r="H378" s="20">
        <v>29839.539999999997</v>
      </c>
      <c r="I378" s="20">
        <v>29943.609999999997</v>
      </c>
      <c r="J378" s="20">
        <v>29943.609999999997</v>
      </c>
      <c r="K378" s="25"/>
      <c r="L378" s="25"/>
      <c r="M378" s="25"/>
      <c r="N378" s="25"/>
      <c r="O378" s="25"/>
      <c r="P378" s="25"/>
      <c r="T378" s="25">
        <v>3605867.2200000007</v>
      </c>
      <c r="U378" s="25">
        <v>3544735.11</v>
      </c>
      <c r="V378" s="25">
        <v>3539794.3999999994</v>
      </c>
      <c r="W378" s="25">
        <f t="shared" si="11"/>
        <v>-3576027.6800000006</v>
      </c>
      <c r="X378" s="25">
        <f t="shared" si="11"/>
        <v>-3514791.5</v>
      </c>
      <c r="Y378" s="25">
        <f t="shared" si="11"/>
        <v>-3509850.7899999996</v>
      </c>
    </row>
    <row r="379" spans="1:25" s="17" customFormat="1" ht="25.5">
      <c r="A379" s="108" t="str">
        <f t="shared" si="10"/>
        <v>605011374 1 00 10010000</v>
      </c>
      <c r="B379" s="197" t="s">
        <v>18</v>
      </c>
      <c r="C379" s="198" t="s">
        <v>372</v>
      </c>
      <c r="D379" s="199" t="s">
        <v>11</v>
      </c>
      <c r="E379" s="199" t="s">
        <v>51</v>
      </c>
      <c r="F379" s="199" t="s">
        <v>382</v>
      </c>
      <c r="G379" s="199" t="s">
        <v>9</v>
      </c>
      <c r="H379" s="20">
        <v>3512.0999999999995</v>
      </c>
      <c r="I379" s="20">
        <v>3616.1699999999996</v>
      </c>
      <c r="J379" s="20">
        <v>3616.1699999999996</v>
      </c>
      <c r="K379" s="18"/>
      <c r="L379" s="18"/>
      <c r="M379" s="18"/>
      <c r="N379" s="18"/>
      <c r="O379" s="18"/>
      <c r="P379" s="18"/>
      <c r="T379" s="18">
        <v>3475312.3300000005</v>
      </c>
      <c r="U379" s="18">
        <v>3414180.2199999997</v>
      </c>
      <c r="V379" s="18">
        <v>3409239.5099999993</v>
      </c>
      <c r="W379" s="18">
        <f t="shared" si="11"/>
        <v>-3471800.2300000004</v>
      </c>
      <c r="X379" s="18">
        <f t="shared" si="11"/>
        <v>-3410564.05</v>
      </c>
      <c r="Y379" s="18">
        <f t="shared" si="11"/>
        <v>-3405623.3399999994</v>
      </c>
    </row>
    <row r="380" spans="1:25" s="17" customFormat="1" ht="25.5">
      <c r="A380" s="108" t="str">
        <f t="shared" si="10"/>
        <v>605011374 1 00 10010120</v>
      </c>
      <c r="B380" s="200" t="s">
        <v>20</v>
      </c>
      <c r="C380" s="198" t="s">
        <v>372</v>
      </c>
      <c r="D380" s="199" t="s">
        <v>11</v>
      </c>
      <c r="E380" s="199" t="s">
        <v>51</v>
      </c>
      <c r="F380" s="199" t="s">
        <v>382</v>
      </c>
      <c r="G380" s="199" t="s">
        <v>21</v>
      </c>
      <c r="H380" s="20">
        <v>757.89</v>
      </c>
      <c r="I380" s="20">
        <v>757.89</v>
      </c>
      <c r="J380" s="20">
        <v>757.89</v>
      </c>
      <c r="K380" s="19"/>
      <c r="L380" s="19"/>
      <c r="M380" s="19"/>
      <c r="N380" s="19"/>
      <c r="O380" s="19"/>
      <c r="P380" s="19"/>
      <c r="T380" s="19">
        <v>1478850.74</v>
      </c>
      <c r="U380" s="19">
        <v>1477974.55</v>
      </c>
      <c r="V380" s="19">
        <v>1470182.6999999997</v>
      </c>
      <c r="W380" s="19">
        <f t="shared" si="11"/>
        <v>-1478092.85</v>
      </c>
      <c r="X380" s="19">
        <f t="shared" si="11"/>
        <v>-1477216.6600000001</v>
      </c>
      <c r="Y380" s="19">
        <f t="shared" si="11"/>
        <v>-1469424.8099999998</v>
      </c>
    </row>
    <row r="381" spans="1:25" s="17" customFormat="1" ht="25.5">
      <c r="A381" s="108" t="str">
        <f t="shared" si="10"/>
        <v>605011374 1 00 10010240</v>
      </c>
      <c r="B381" s="197" t="s">
        <v>28</v>
      </c>
      <c r="C381" s="198" t="s">
        <v>372</v>
      </c>
      <c r="D381" s="199" t="s">
        <v>11</v>
      </c>
      <c r="E381" s="199" t="s">
        <v>51</v>
      </c>
      <c r="F381" s="199" t="s">
        <v>382</v>
      </c>
      <c r="G381" s="199" t="s">
        <v>29</v>
      </c>
      <c r="H381" s="20">
        <v>2738.2499999999995</v>
      </c>
      <c r="I381" s="20">
        <v>2842.3199999999997</v>
      </c>
      <c r="J381" s="20">
        <v>2842.3199999999997</v>
      </c>
      <c r="K381" s="20"/>
      <c r="L381" s="20"/>
      <c r="M381" s="20"/>
      <c r="N381" s="20"/>
      <c r="O381" s="20"/>
      <c r="P381" s="20"/>
      <c r="T381" s="20">
        <v>1467254.3199999998</v>
      </c>
      <c r="U381" s="20">
        <v>1451343.04</v>
      </c>
      <c r="V381" s="20">
        <v>1463801.1899999997</v>
      </c>
      <c r="W381" s="20">
        <f t="shared" si="11"/>
        <v>-1464516.0699999998</v>
      </c>
      <c r="X381" s="20">
        <f t="shared" si="11"/>
        <v>-1448500.72</v>
      </c>
      <c r="Y381" s="20">
        <f t="shared" si="11"/>
        <v>-1460958.8699999996</v>
      </c>
    </row>
    <row r="382" spans="1:25" s="17" customFormat="1">
      <c r="A382" s="108" t="str">
        <f t="shared" si="10"/>
        <v/>
      </c>
      <c r="B382" s="220" t="s">
        <v>1104</v>
      </c>
      <c r="C382" s="198"/>
      <c r="D382" s="199"/>
      <c r="E382" s="199"/>
      <c r="F382" s="199"/>
      <c r="G382" s="199"/>
      <c r="H382" s="20"/>
      <c r="I382" s="20"/>
      <c r="J382" s="20"/>
      <c r="K382" s="20"/>
      <c r="L382" s="20"/>
      <c r="M382" s="20"/>
      <c r="N382" s="20"/>
      <c r="O382" s="20"/>
      <c r="P382" s="20"/>
      <c r="T382" s="20">
        <v>1467254.3199999998</v>
      </c>
      <c r="U382" s="20">
        <v>1451343.04</v>
      </c>
      <c r="V382" s="20">
        <v>1463801.1899999997</v>
      </c>
      <c r="W382" s="20">
        <f t="shared" si="11"/>
        <v>-1467254.3199999998</v>
      </c>
      <c r="X382" s="20">
        <f t="shared" si="11"/>
        <v>-1451343.04</v>
      </c>
      <c r="Y382" s="20">
        <f t="shared" si="11"/>
        <v>-1463801.1899999997</v>
      </c>
    </row>
    <row r="383" spans="1:25" s="17" customFormat="1">
      <c r="A383" s="108" t="str">
        <f t="shared" si="10"/>
        <v>605011374 1 00 10010240</v>
      </c>
      <c r="B383" s="221" t="s">
        <v>1105</v>
      </c>
      <c r="C383" s="222" t="s">
        <v>372</v>
      </c>
      <c r="D383" s="223" t="s">
        <v>11</v>
      </c>
      <c r="E383" s="223" t="s">
        <v>51</v>
      </c>
      <c r="F383" s="223" t="s">
        <v>382</v>
      </c>
      <c r="G383" s="223" t="s">
        <v>29</v>
      </c>
      <c r="H383" s="224">
        <v>8.2100000000000009</v>
      </c>
      <c r="I383" s="224">
        <v>0</v>
      </c>
      <c r="J383" s="224">
        <v>0</v>
      </c>
      <c r="K383" s="20"/>
      <c r="L383" s="20"/>
      <c r="M383" s="20"/>
      <c r="N383" s="20"/>
      <c r="O383" s="20"/>
      <c r="P383" s="20"/>
      <c r="T383" s="20">
        <v>1434502.17</v>
      </c>
      <c r="U383" s="20">
        <v>1437812.3800000001</v>
      </c>
      <c r="V383" s="20">
        <v>1450270.5299999998</v>
      </c>
      <c r="W383" s="20">
        <f t="shared" si="11"/>
        <v>-1434493.96</v>
      </c>
      <c r="X383" s="20">
        <f t="shared" si="11"/>
        <v>-1437812.3800000001</v>
      </c>
      <c r="Y383" s="20">
        <f t="shared" si="11"/>
        <v>-1450270.5299999998</v>
      </c>
    </row>
    <row r="384" spans="1:25" s="17" customFormat="1">
      <c r="A384" s="108" t="str">
        <f t="shared" si="10"/>
        <v>605011374 1 00 10010850</v>
      </c>
      <c r="B384" s="197" t="s">
        <v>32</v>
      </c>
      <c r="C384" s="198" t="s">
        <v>372</v>
      </c>
      <c r="D384" s="199" t="s">
        <v>11</v>
      </c>
      <c r="E384" s="199" t="s">
        <v>51</v>
      </c>
      <c r="F384" s="199" t="s">
        <v>382</v>
      </c>
      <c r="G384" s="199" t="s">
        <v>33</v>
      </c>
      <c r="H384" s="20">
        <v>15.96</v>
      </c>
      <c r="I384" s="20">
        <v>15.96</v>
      </c>
      <c r="J384" s="20">
        <v>15.96</v>
      </c>
      <c r="K384" s="20"/>
      <c r="L384" s="20"/>
      <c r="M384" s="20"/>
      <c r="N384" s="20"/>
      <c r="O384" s="20"/>
      <c r="P384" s="20"/>
      <c r="T384" s="20">
        <v>694327.47</v>
      </c>
      <c r="U384" s="20">
        <v>690348.79</v>
      </c>
      <c r="V384" s="20">
        <v>690348.79</v>
      </c>
      <c r="W384" s="20">
        <f t="shared" si="11"/>
        <v>-694311.51</v>
      </c>
      <c r="X384" s="20">
        <f t="shared" si="11"/>
        <v>-690332.83000000007</v>
      </c>
      <c r="Y384" s="20">
        <f t="shared" si="11"/>
        <v>-690332.83000000007</v>
      </c>
    </row>
    <row r="385" spans="1:25" s="17" customFormat="1" ht="25.5">
      <c r="A385" s="108" t="str">
        <f t="shared" si="10"/>
        <v>605011374 1 00 10020000</v>
      </c>
      <c r="B385" s="197" t="s">
        <v>38</v>
      </c>
      <c r="C385" s="198" t="s">
        <v>372</v>
      </c>
      <c r="D385" s="199" t="s">
        <v>11</v>
      </c>
      <c r="E385" s="199" t="s">
        <v>51</v>
      </c>
      <c r="F385" s="199" t="s">
        <v>383</v>
      </c>
      <c r="G385" s="199" t="s">
        <v>9</v>
      </c>
      <c r="H385" s="20">
        <v>25496.23</v>
      </c>
      <c r="I385" s="20">
        <v>26327.439999999999</v>
      </c>
      <c r="J385" s="20">
        <v>26327.439999999999</v>
      </c>
      <c r="K385" s="20"/>
      <c r="L385" s="20"/>
      <c r="M385" s="20"/>
      <c r="N385" s="20"/>
      <c r="O385" s="20"/>
      <c r="P385" s="20"/>
      <c r="T385" s="20">
        <v>663610.75</v>
      </c>
      <c r="U385" s="20">
        <v>660072.98</v>
      </c>
      <c r="V385" s="20">
        <v>660072.98</v>
      </c>
      <c r="W385" s="20">
        <f t="shared" si="11"/>
        <v>-638114.52</v>
      </c>
      <c r="X385" s="20">
        <f t="shared" si="11"/>
        <v>-633745.54</v>
      </c>
      <c r="Y385" s="20">
        <f t="shared" si="11"/>
        <v>-633745.54</v>
      </c>
    </row>
    <row r="386" spans="1:25" s="17" customFormat="1" ht="25.5">
      <c r="A386" s="108" t="str">
        <f t="shared" si="10"/>
        <v>605011374 1 00 10020120</v>
      </c>
      <c r="B386" s="200" t="s">
        <v>20</v>
      </c>
      <c r="C386" s="198" t="s">
        <v>372</v>
      </c>
      <c r="D386" s="199" t="s">
        <v>11</v>
      </c>
      <c r="E386" s="199" t="s">
        <v>51</v>
      </c>
      <c r="F386" s="199" t="s">
        <v>383</v>
      </c>
      <c r="G386" s="199" t="s">
        <v>21</v>
      </c>
      <c r="H386" s="20">
        <v>25496.23</v>
      </c>
      <c r="I386" s="20">
        <v>26327.439999999999</v>
      </c>
      <c r="J386" s="20">
        <v>26327.439999999999</v>
      </c>
      <c r="K386" s="20"/>
      <c r="L386" s="20"/>
      <c r="M386" s="20"/>
      <c r="N386" s="20"/>
      <c r="O386" s="20"/>
      <c r="P386" s="20"/>
      <c r="T386" s="20"/>
      <c r="U386" s="20"/>
      <c r="V386" s="20"/>
      <c r="W386" s="20">
        <f t="shared" si="11"/>
        <v>25496.23</v>
      </c>
      <c r="X386" s="20">
        <f t="shared" si="11"/>
        <v>26327.439999999999</v>
      </c>
      <c r="Y386" s="20">
        <f t="shared" si="11"/>
        <v>26327.439999999999</v>
      </c>
    </row>
    <row r="387" spans="1:25" s="17" customFormat="1" ht="191.25">
      <c r="A387" s="108" t="str">
        <f t="shared" si="10"/>
        <v>605011374 1 00 77460000</v>
      </c>
      <c r="B387" s="200" t="s">
        <v>1263</v>
      </c>
      <c r="C387" s="198" t="s">
        <v>372</v>
      </c>
      <c r="D387" s="199" t="s">
        <v>11</v>
      </c>
      <c r="E387" s="199" t="s">
        <v>51</v>
      </c>
      <c r="F387" s="199" t="s">
        <v>1276</v>
      </c>
      <c r="G387" s="199" t="s">
        <v>9</v>
      </c>
      <c r="H387" s="20">
        <v>831.21</v>
      </c>
      <c r="I387" s="20">
        <v>0</v>
      </c>
      <c r="J387" s="20">
        <v>0</v>
      </c>
      <c r="K387" s="20"/>
      <c r="L387" s="20"/>
      <c r="M387" s="20"/>
      <c r="N387" s="20"/>
      <c r="O387" s="20"/>
      <c r="P387" s="20"/>
      <c r="T387" s="20">
        <v>3537.77</v>
      </c>
      <c r="U387" s="20">
        <v>0</v>
      </c>
      <c r="V387" s="20">
        <v>0</v>
      </c>
      <c r="W387" s="20">
        <f t="shared" si="11"/>
        <v>-2706.56</v>
      </c>
      <c r="X387" s="20">
        <f t="shared" si="11"/>
        <v>0</v>
      </c>
      <c r="Y387" s="20">
        <f t="shared" si="11"/>
        <v>0</v>
      </c>
    </row>
    <row r="388" spans="1:25" s="17" customFormat="1" ht="25.5">
      <c r="A388" s="108" t="str">
        <f t="shared" si="10"/>
        <v>605011374 1 00 77460120</v>
      </c>
      <c r="B388" s="200" t="s">
        <v>20</v>
      </c>
      <c r="C388" s="198" t="s">
        <v>372</v>
      </c>
      <c r="D388" s="199" t="s">
        <v>11</v>
      </c>
      <c r="E388" s="199" t="s">
        <v>51</v>
      </c>
      <c r="F388" s="199" t="s">
        <v>1276</v>
      </c>
      <c r="G388" s="199" t="s">
        <v>21</v>
      </c>
      <c r="H388" s="20">
        <v>831.21</v>
      </c>
      <c r="I388" s="20">
        <v>0</v>
      </c>
      <c r="J388" s="20">
        <v>0</v>
      </c>
      <c r="K388" s="20"/>
      <c r="L388" s="20"/>
      <c r="M388" s="20"/>
      <c r="N388" s="20"/>
      <c r="O388" s="20"/>
      <c r="P388" s="20"/>
      <c r="T388" s="20">
        <v>30716.720000000001</v>
      </c>
      <c r="U388" s="20">
        <v>30275.81</v>
      </c>
      <c r="V388" s="20">
        <v>30275.81</v>
      </c>
      <c r="W388" s="20">
        <f t="shared" si="11"/>
        <v>-29885.510000000002</v>
      </c>
      <c r="X388" s="20">
        <f t="shared" si="11"/>
        <v>-30275.81</v>
      </c>
      <c r="Y388" s="20">
        <f t="shared" si="11"/>
        <v>-30275.81</v>
      </c>
    </row>
    <row r="389" spans="1:25" s="17" customFormat="1">
      <c r="A389" s="108" t="str">
        <f t="shared" si="10"/>
        <v>605080000 0 00 00000000</v>
      </c>
      <c r="B389" s="191" t="s">
        <v>237</v>
      </c>
      <c r="C389" s="192" t="s">
        <v>372</v>
      </c>
      <c r="D389" s="193" t="s">
        <v>238</v>
      </c>
      <c r="E389" s="193" t="s">
        <v>7</v>
      </c>
      <c r="F389" s="193" t="s">
        <v>8</v>
      </c>
      <c r="G389" s="193" t="s">
        <v>9</v>
      </c>
      <c r="H389" s="18">
        <v>1095.2</v>
      </c>
      <c r="I389" s="18">
        <v>1096.2</v>
      </c>
      <c r="J389" s="18">
        <v>1096.2</v>
      </c>
      <c r="K389" s="20"/>
      <c r="L389" s="20"/>
      <c r="M389" s="20"/>
      <c r="N389" s="20"/>
      <c r="O389" s="20"/>
      <c r="P389" s="20"/>
      <c r="T389" s="20"/>
      <c r="U389" s="20"/>
      <c r="V389" s="20"/>
      <c r="W389" s="20">
        <f t="shared" si="11"/>
        <v>1095.2</v>
      </c>
      <c r="X389" s="20">
        <f t="shared" si="11"/>
        <v>1096.2</v>
      </c>
      <c r="Y389" s="20">
        <f t="shared" si="11"/>
        <v>1096.2</v>
      </c>
    </row>
    <row r="390" spans="1:25" s="17" customFormat="1">
      <c r="A390" s="108" t="str">
        <f t="shared" ref="A390:A453" si="12">C390&amp;D390&amp;E390&amp;F390&amp;G390</f>
        <v>605080100 0 00 00000000</v>
      </c>
      <c r="B390" s="194" t="s">
        <v>239</v>
      </c>
      <c r="C390" s="195" t="s">
        <v>372</v>
      </c>
      <c r="D390" s="196" t="s">
        <v>238</v>
      </c>
      <c r="E390" s="196" t="s">
        <v>11</v>
      </c>
      <c r="F390" s="196" t="s">
        <v>8</v>
      </c>
      <c r="G390" s="196" t="s">
        <v>9</v>
      </c>
      <c r="H390" s="19">
        <v>1095.2</v>
      </c>
      <c r="I390" s="19">
        <v>1096.2</v>
      </c>
      <c r="J390" s="19">
        <v>1096.2</v>
      </c>
      <c r="K390" s="20"/>
      <c r="L390" s="20"/>
      <c r="M390" s="20"/>
      <c r="N390" s="20"/>
      <c r="O390" s="20"/>
      <c r="P390" s="20"/>
      <c r="T390" s="20">
        <v>440.91</v>
      </c>
      <c r="U390" s="20">
        <v>0</v>
      </c>
      <c r="V390" s="20">
        <v>0</v>
      </c>
      <c r="W390" s="20">
        <f t="shared" ref="W390:Y455" si="13">H390-T390</f>
        <v>654.29</v>
      </c>
      <c r="X390" s="20">
        <f t="shared" si="13"/>
        <v>1096.2</v>
      </c>
      <c r="Y390" s="20">
        <f t="shared" si="13"/>
        <v>1096.2</v>
      </c>
    </row>
    <row r="391" spans="1:25" s="17" customFormat="1">
      <c r="A391" s="108" t="str">
        <f t="shared" si="12"/>
        <v>605080107 0 00 00000000</v>
      </c>
      <c r="B391" s="197" t="s">
        <v>240</v>
      </c>
      <c r="C391" s="203" t="s">
        <v>372</v>
      </c>
      <c r="D391" s="204" t="s">
        <v>238</v>
      </c>
      <c r="E391" s="204" t="s">
        <v>11</v>
      </c>
      <c r="F391" s="204" t="s">
        <v>241</v>
      </c>
      <c r="G391" s="204" t="s">
        <v>9</v>
      </c>
      <c r="H391" s="26">
        <v>1095.2</v>
      </c>
      <c r="I391" s="26">
        <v>1096.2</v>
      </c>
      <c r="J391" s="26">
        <v>1096.2</v>
      </c>
      <c r="K391" s="20"/>
      <c r="L391" s="20"/>
      <c r="M391" s="20"/>
      <c r="N391" s="20"/>
      <c r="O391" s="20"/>
      <c r="P391" s="20"/>
      <c r="T391" s="20">
        <v>740174.7</v>
      </c>
      <c r="U391" s="20">
        <v>747463.59000000008</v>
      </c>
      <c r="V391" s="20">
        <v>759921.73999999987</v>
      </c>
      <c r="W391" s="20">
        <f t="shared" si="13"/>
        <v>-739079.5</v>
      </c>
      <c r="X391" s="20">
        <f t="shared" si="13"/>
        <v>-746367.39000000013</v>
      </c>
      <c r="Y391" s="20">
        <f t="shared" si="13"/>
        <v>-758825.53999999992</v>
      </c>
    </row>
    <row r="392" spans="1:25" s="17" customFormat="1" ht="51">
      <c r="A392" s="108" t="str">
        <f t="shared" si="12"/>
        <v>605080107 1 00 00000000</v>
      </c>
      <c r="B392" s="197" t="s">
        <v>384</v>
      </c>
      <c r="C392" s="203" t="s">
        <v>372</v>
      </c>
      <c r="D392" s="204" t="s">
        <v>238</v>
      </c>
      <c r="E392" s="204" t="s">
        <v>11</v>
      </c>
      <c r="F392" s="204" t="s">
        <v>243</v>
      </c>
      <c r="G392" s="204" t="s">
        <v>9</v>
      </c>
      <c r="H392" s="26">
        <v>1095.2</v>
      </c>
      <c r="I392" s="26">
        <v>1096.2</v>
      </c>
      <c r="J392" s="26">
        <v>1096.2</v>
      </c>
      <c r="K392" s="20"/>
      <c r="L392" s="20"/>
      <c r="M392" s="20"/>
      <c r="N392" s="20"/>
      <c r="O392" s="20"/>
      <c r="P392" s="20"/>
      <c r="T392" s="20">
        <v>702664.58</v>
      </c>
      <c r="U392" s="20">
        <v>709342.29</v>
      </c>
      <c r="V392" s="20">
        <v>721037.94</v>
      </c>
      <c r="W392" s="20">
        <f t="shared" si="13"/>
        <v>-701569.38</v>
      </c>
      <c r="X392" s="20">
        <f t="shared" si="13"/>
        <v>-708246.09000000008</v>
      </c>
      <c r="Y392" s="20">
        <f t="shared" si="13"/>
        <v>-719941.74</v>
      </c>
    </row>
    <row r="393" spans="1:25" s="17" customFormat="1" ht="63.75">
      <c r="A393" s="108" t="str">
        <f t="shared" si="12"/>
        <v>605080107 1 01 00000000</v>
      </c>
      <c r="B393" s="197" t="s">
        <v>244</v>
      </c>
      <c r="C393" s="203" t="s">
        <v>372</v>
      </c>
      <c r="D393" s="204" t="s">
        <v>238</v>
      </c>
      <c r="E393" s="204" t="s">
        <v>11</v>
      </c>
      <c r="F393" s="204" t="s">
        <v>245</v>
      </c>
      <c r="G393" s="204" t="s">
        <v>9</v>
      </c>
      <c r="H393" s="26">
        <v>1095.2</v>
      </c>
      <c r="I393" s="26">
        <v>1096.2</v>
      </c>
      <c r="J393" s="26">
        <v>1096.2</v>
      </c>
      <c r="K393" s="20"/>
      <c r="L393" s="20"/>
      <c r="M393" s="20"/>
      <c r="N393" s="20"/>
      <c r="O393" s="20"/>
      <c r="P393" s="20"/>
      <c r="T393" s="20">
        <v>32582.5</v>
      </c>
      <c r="U393" s="20">
        <v>33113.4</v>
      </c>
      <c r="V393" s="20">
        <v>33775.699999999997</v>
      </c>
      <c r="W393" s="20">
        <f t="shared" si="13"/>
        <v>-31487.3</v>
      </c>
      <c r="X393" s="20">
        <f t="shared" si="13"/>
        <v>-32017.200000000001</v>
      </c>
      <c r="Y393" s="20">
        <f t="shared" si="13"/>
        <v>-32679.499999999996</v>
      </c>
    </row>
    <row r="394" spans="1:25" s="17" customFormat="1" ht="25.5">
      <c r="A394" s="108" t="str">
        <f t="shared" si="12"/>
        <v>605080107 1 01 20060000</v>
      </c>
      <c r="B394" s="197" t="s">
        <v>246</v>
      </c>
      <c r="C394" s="203" t="s">
        <v>372</v>
      </c>
      <c r="D394" s="204" t="s">
        <v>238</v>
      </c>
      <c r="E394" s="204" t="s">
        <v>11</v>
      </c>
      <c r="F394" s="204" t="s">
        <v>247</v>
      </c>
      <c r="G394" s="204" t="s">
        <v>9</v>
      </c>
      <c r="H394" s="26">
        <v>1095.2</v>
      </c>
      <c r="I394" s="26">
        <v>1096.2</v>
      </c>
      <c r="J394" s="26">
        <v>1096.2</v>
      </c>
      <c r="K394" s="20"/>
      <c r="L394" s="20"/>
      <c r="M394" s="20"/>
      <c r="N394" s="20"/>
      <c r="O394" s="20"/>
      <c r="P394" s="20"/>
      <c r="T394" s="20">
        <v>4927.62</v>
      </c>
      <c r="U394" s="20">
        <v>5007.8999999999996</v>
      </c>
      <c r="V394" s="20">
        <v>5108.1000000000004</v>
      </c>
      <c r="W394" s="20">
        <f t="shared" si="13"/>
        <v>-3832.42</v>
      </c>
      <c r="X394" s="20">
        <f t="shared" si="13"/>
        <v>-3911.7</v>
      </c>
      <c r="Y394" s="20">
        <f t="shared" si="13"/>
        <v>-4011.9000000000005</v>
      </c>
    </row>
    <row r="395" spans="1:25" s="17" customFormat="1" ht="25.5">
      <c r="A395" s="108" t="str">
        <f t="shared" si="12"/>
        <v>605080107 1 01 20060240</v>
      </c>
      <c r="B395" s="197" t="s">
        <v>28</v>
      </c>
      <c r="C395" s="203" t="s">
        <v>372</v>
      </c>
      <c r="D395" s="204" t="s">
        <v>238</v>
      </c>
      <c r="E395" s="204" t="s">
        <v>11</v>
      </c>
      <c r="F395" s="204" t="s">
        <v>247</v>
      </c>
      <c r="G395" s="204" t="s">
        <v>29</v>
      </c>
      <c r="H395" s="20">
        <v>1095.2</v>
      </c>
      <c r="I395" s="20">
        <v>1096.2</v>
      </c>
      <c r="J395" s="20">
        <v>1096.2</v>
      </c>
      <c r="K395" s="20"/>
      <c r="L395" s="20"/>
      <c r="M395" s="20"/>
      <c r="N395" s="20"/>
      <c r="O395" s="20"/>
      <c r="P395" s="20"/>
      <c r="T395" s="20">
        <v>32752.149999999998</v>
      </c>
      <c r="U395" s="20">
        <v>13530.66</v>
      </c>
      <c r="V395" s="20">
        <v>13530.66</v>
      </c>
      <c r="W395" s="20">
        <f t="shared" si="13"/>
        <v>-31656.949999999997</v>
      </c>
      <c r="X395" s="20">
        <f t="shared" si="13"/>
        <v>-12434.46</v>
      </c>
      <c r="Y395" s="20">
        <f t="shared" si="13"/>
        <v>-12434.46</v>
      </c>
    </row>
    <row r="396" spans="1:25" s="17" customFormat="1">
      <c r="A396" s="108" t="str">
        <f t="shared" si="12"/>
        <v>605100000 0 00 00000000</v>
      </c>
      <c r="B396" s="191" t="s">
        <v>316</v>
      </c>
      <c r="C396" s="192" t="s">
        <v>372</v>
      </c>
      <c r="D396" s="193" t="s">
        <v>317</v>
      </c>
      <c r="E396" s="193" t="s">
        <v>7</v>
      </c>
      <c r="F396" s="193" t="s">
        <v>8</v>
      </c>
      <c r="G396" s="193" t="s">
        <v>9</v>
      </c>
      <c r="H396" s="18">
        <v>2250.3200000000002</v>
      </c>
      <c r="I396" s="18">
        <v>2250.3200000000002</v>
      </c>
      <c r="J396" s="18">
        <v>2250.3200000000002</v>
      </c>
      <c r="K396" s="20"/>
      <c r="L396" s="20"/>
      <c r="M396" s="20"/>
      <c r="N396" s="20"/>
      <c r="O396" s="20"/>
      <c r="P396" s="20"/>
      <c r="T396" s="20">
        <v>32752.149999999998</v>
      </c>
      <c r="U396" s="20">
        <v>13530.66</v>
      </c>
      <c r="V396" s="20">
        <v>13530.66</v>
      </c>
      <c r="W396" s="20">
        <f t="shared" si="13"/>
        <v>-30501.829999999998</v>
      </c>
      <c r="X396" s="20">
        <f t="shared" si="13"/>
        <v>-11280.34</v>
      </c>
      <c r="Y396" s="20">
        <f t="shared" si="13"/>
        <v>-11280.34</v>
      </c>
    </row>
    <row r="397" spans="1:25" s="17" customFormat="1">
      <c r="A397" s="108" t="str">
        <f t="shared" si="12"/>
        <v>605100300 0 00 00000000</v>
      </c>
      <c r="B397" s="194" t="s">
        <v>318</v>
      </c>
      <c r="C397" s="195" t="s">
        <v>372</v>
      </c>
      <c r="D397" s="196" t="s">
        <v>317</v>
      </c>
      <c r="E397" s="196" t="s">
        <v>13</v>
      </c>
      <c r="F397" s="196" t="s">
        <v>8</v>
      </c>
      <c r="G397" s="196" t="s">
        <v>9</v>
      </c>
      <c r="H397" s="19">
        <v>2250.3200000000002</v>
      </c>
      <c r="I397" s="19">
        <v>2250.3200000000002</v>
      </c>
      <c r="J397" s="19">
        <v>2250.3200000000002</v>
      </c>
      <c r="K397" s="20"/>
      <c r="L397" s="20"/>
      <c r="M397" s="20"/>
      <c r="N397" s="20"/>
      <c r="O397" s="20"/>
      <c r="P397" s="20"/>
      <c r="T397" s="20"/>
      <c r="U397" s="20"/>
      <c r="V397" s="20"/>
      <c r="W397" s="20">
        <f t="shared" si="13"/>
        <v>2250.3200000000002</v>
      </c>
      <c r="X397" s="20">
        <f t="shared" si="13"/>
        <v>2250.3200000000002</v>
      </c>
      <c r="Y397" s="20">
        <f t="shared" si="13"/>
        <v>2250.3200000000002</v>
      </c>
    </row>
    <row r="398" spans="1:25" s="17" customFormat="1" ht="25.5">
      <c r="A398" s="108" t="str">
        <f t="shared" si="12"/>
        <v>605100303 0 00 00000000</v>
      </c>
      <c r="B398" s="214" t="s">
        <v>385</v>
      </c>
      <c r="C398" s="198" t="s">
        <v>372</v>
      </c>
      <c r="D398" s="199" t="s">
        <v>317</v>
      </c>
      <c r="E398" s="199" t="s">
        <v>13</v>
      </c>
      <c r="F398" s="199" t="s">
        <v>386</v>
      </c>
      <c r="G398" s="199" t="s">
        <v>9</v>
      </c>
      <c r="H398" s="20">
        <v>2250.3200000000002</v>
      </c>
      <c r="I398" s="20">
        <v>2250.3200000000002</v>
      </c>
      <c r="J398" s="20">
        <v>2250.3200000000002</v>
      </c>
      <c r="K398" s="20"/>
      <c r="L398" s="20"/>
      <c r="M398" s="20"/>
      <c r="N398" s="20"/>
      <c r="O398" s="20"/>
      <c r="P398" s="20"/>
      <c r="T398" s="20">
        <v>55.36</v>
      </c>
      <c r="U398" s="20">
        <v>0</v>
      </c>
      <c r="V398" s="20">
        <v>0</v>
      </c>
      <c r="W398" s="20">
        <f t="shared" si="13"/>
        <v>2194.96</v>
      </c>
      <c r="X398" s="20">
        <f t="shared" si="13"/>
        <v>2250.3200000000002</v>
      </c>
      <c r="Y398" s="20">
        <f t="shared" si="13"/>
        <v>2250.3200000000002</v>
      </c>
    </row>
    <row r="399" spans="1:25" s="17" customFormat="1" ht="38.25">
      <c r="A399" s="108" t="str">
        <f t="shared" si="12"/>
        <v>605100303 2 00 00000000</v>
      </c>
      <c r="B399" s="214" t="s">
        <v>387</v>
      </c>
      <c r="C399" s="198" t="s">
        <v>372</v>
      </c>
      <c r="D399" s="199" t="s">
        <v>317</v>
      </c>
      <c r="E399" s="199" t="s">
        <v>13</v>
      </c>
      <c r="F399" s="199" t="s">
        <v>388</v>
      </c>
      <c r="G399" s="199" t="s">
        <v>9</v>
      </c>
      <c r="H399" s="20">
        <v>2250.3200000000002</v>
      </c>
      <c r="I399" s="20">
        <v>2250.3200000000002</v>
      </c>
      <c r="J399" s="20">
        <v>2250.3200000000002</v>
      </c>
      <c r="K399" s="20"/>
      <c r="L399" s="20"/>
      <c r="M399" s="20"/>
      <c r="N399" s="20"/>
      <c r="O399" s="20"/>
      <c r="P399" s="20"/>
      <c r="T399" s="20">
        <v>32752.149999999998</v>
      </c>
      <c r="U399" s="20">
        <v>13530.66</v>
      </c>
      <c r="V399" s="20">
        <v>13530.66</v>
      </c>
      <c r="W399" s="20">
        <f t="shared" si="13"/>
        <v>-30501.829999999998</v>
      </c>
      <c r="X399" s="20">
        <f t="shared" si="13"/>
        <v>-11280.34</v>
      </c>
      <c r="Y399" s="20">
        <f t="shared" si="13"/>
        <v>-11280.34</v>
      </c>
    </row>
    <row r="400" spans="1:25" s="17" customFormat="1" ht="38.25">
      <c r="A400" s="108" t="str">
        <f t="shared" si="12"/>
        <v>605100303 2 02 00000000</v>
      </c>
      <c r="B400" s="197" t="s">
        <v>389</v>
      </c>
      <c r="C400" s="198" t="s">
        <v>372</v>
      </c>
      <c r="D400" s="199" t="s">
        <v>317</v>
      </c>
      <c r="E400" s="199" t="s">
        <v>13</v>
      </c>
      <c r="F400" s="199" t="s">
        <v>390</v>
      </c>
      <c r="G400" s="199" t="s">
        <v>9</v>
      </c>
      <c r="H400" s="20">
        <v>2250.3200000000002</v>
      </c>
      <c r="I400" s="20">
        <v>2250.3200000000002</v>
      </c>
      <c r="J400" s="20">
        <v>2250.3200000000002</v>
      </c>
      <c r="K400" s="20"/>
      <c r="L400" s="20"/>
      <c r="M400" s="20"/>
      <c r="N400" s="20"/>
      <c r="O400" s="20"/>
      <c r="P400" s="20"/>
      <c r="T400" s="20">
        <v>5166.93</v>
      </c>
      <c r="U400" s="20">
        <v>20250</v>
      </c>
      <c r="V400" s="20">
        <v>0</v>
      </c>
      <c r="W400" s="20">
        <f t="shared" si="13"/>
        <v>-2916.61</v>
      </c>
      <c r="X400" s="20">
        <f t="shared" si="13"/>
        <v>-17999.68</v>
      </c>
      <c r="Y400" s="20">
        <f t="shared" si="13"/>
        <v>2250.3200000000002</v>
      </c>
    </row>
    <row r="401" spans="1:25" s="17" customFormat="1" ht="25.5">
      <c r="A401" s="108" t="str">
        <f t="shared" si="12"/>
        <v>605100303 2 02 80240000</v>
      </c>
      <c r="B401" s="197" t="s">
        <v>391</v>
      </c>
      <c r="C401" s="198" t="s">
        <v>372</v>
      </c>
      <c r="D401" s="199" t="s">
        <v>317</v>
      </c>
      <c r="E401" s="199" t="s">
        <v>13</v>
      </c>
      <c r="F401" s="199" t="s">
        <v>392</v>
      </c>
      <c r="G401" s="199" t="s">
        <v>9</v>
      </c>
      <c r="H401" s="20">
        <v>2250.3200000000002</v>
      </c>
      <c r="I401" s="20">
        <v>2250.3200000000002</v>
      </c>
      <c r="J401" s="20">
        <v>2250.3200000000002</v>
      </c>
      <c r="K401" s="20"/>
      <c r="L401" s="20"/>
      <c r="M401" s="20"/>
      <c r="N401" s="20"/>
      <c r="O401" s="20"/>
      <c r="P401" s="20"/>
      <c r="T401" s="20">
        <v>5166.93</v>
      </c>
      <c r="U401" s="20">
        <v>20250</v>
      </c>
      <c r="V401" s="20">
        <v>0</v>
      </c>
      <c r="W401" s="20">
        <f t="shared" si="13"/>
        <v>-2916.61</v>
      </c>
      <c r="X401" s="20">
        <f t="shared" si="13"/>
        <v>-17999.68</v>
      </c>
      <c r="Y401" s="20">
        <f t="shared" si="13"/>
        <v>2250.3200000000002</v>
      </c>
    </row>
    <row r="402" spans="1:25" s="17" customFormat="1" ht="38.25">
      <c r="A402" s="108" t="str">
        <f t="shared" si="12"/>
        <v>605100303 2 02 80240810</v>
      </c>
      <c r="B402" s="201" t="s">
        <v>203</v>
      </c>
      <c r="C402" s="198" t="s">
        <v>372</v>
      </c>
      <c r="D402" s="199" t="s">
        <v>317</v>
      </c>
      <c r="E402" s="199" t="s">
        <v>13</v>
      </c>
      <c r="F402" s="199" t="s">
        <v>392</v>
      </c>
      <c r="G402" s="199" t="s">
        <v>204</v>
      </c>
      <c r="H402" s="20">
        <v>2250.3200000000002</v>
      </c>
      <c r="I402" s="20">
        <v>2250.3200000000002</v>
      </c>
      <c r="J402" s="20">
        <v>2250.3200000000002</v>
      </c>
      <c r="K402" s="20"/>
      <c r="L402" s="20"/>
      <c r="M402" s="20"/>
      <c r="N402" s="20"/>
      <c r="O402" s="20"/>
      <c r="P402" s="20"/>
      <c r="T402" s="20">
        <v>0</v>
      </c>
      <c r="U402" s="20">
        <v>0</v>
      </c>
      <c r="V402" s="20">
        <v>0</v>
      </c>
      <c r="W402" s="20">
        <f t="shared" si="13"/>
        <v>2250.3200000000002</v>
      </c>
      <c r="X402" s="20">
        <f t="shared" si="13"/>
        <v>2250.3200000000002</v>
      </c>
      <c r="Y402" s="20">
        <f t="shared" si="13"/>
        <v>2250.3200000000002</v>
      </c>
    </row>
    <row r="403" spans="1:25" s="17" customFormat="1">
      <c r="A403" s="108" t="str">
        <f t="shared" si="12"/>
        <v/>
      </c>
      <c r="B403" s="201"/>
      <c r="C403" s="198"/>
      <c r="D403" s="199"/>
      <c r="E403" s="199"/>
      <c r="F403" s="199"/>
      <c r="G403" s="199"/>
      <c r="H403" s="20"/>
      <c r="I403" s="20"/>
      <c r="J403" s="20"/>
      <c r="K403" s="20"/>
      <c r="L403" s="20"/>
      <c r="M403" s="20"/>
      <c r="N403" s="20"/>
      <c r="O403" s="20"/>
      <c r="P403" s="20"/>
      <c r="T403" s="20">
        <v>0</v>
      </c>
      <c r="U403" s="20">
        <v>0</v>
      </c>
      <c r="V403" s="20">
        <v>0</v>
      </c>
      <c r="W403" s="20">
        <f t="shared" si="13"/>
        <v>0</v>
      </c>
      <c r="X403" s="20">
        <f t="shared" si="13"/>
        <v>0</v>
      </c>
      <c r="Y403" s="20">
        <f t="shared" si="13"/>
        <v>0</v>
      </c>
    </row>
    <row r="404" spans="1:25" s="17" customFormat="1">
      <c r="A404" s="108" t="str">
        <f t="shared" si="12"/>
        <v>606000000 0 00 00000000</v>
      </c>
      <c r="B404" s="202" t="s">
        <v>393</v>
      </c>
      <c r="C404" s="189" t="s">
        <v>394</v>
      </c>
      <c r="D404" s="190" t="s">
        <v>7</v>
      </c>
      <c r="E404" s="190" t="s">
        <v>7</v>
      </c>
      <c r="F404" s="190" t="s">
        <v>8</v>
      </c>
      <c r="G404" s="190" t="s">
        <v>9</v>
      </c>
      <c r="H404" s="25">
        <v>3731471.4800000004</v>
      </c>
      <c r="I404" s="25">
        <v>3600564.7000000007</v>
      </c>
      <c r="J404" s="25">
        <v>3595623.9899999998</v>
      </c>
      <c r="K404" s="20"/>
      <c r="L404" s="20"/>
      <c r="M404" s="20"/>
      <c r="N404" s="20"/>
      <c r="O404" s="20"/>
      <c r="P404" s="20"/>
      <c r="T404" s="20">
        <v>0</v>
      </c>
      <c r="U404" s="20">
        <v>0</v>
      </c>
      <c r="V404" s="20">
        <v>0</v>
      </c>
      <c r="W404" s="20">
        <f t="shared" si="13"/>
        <v>3731471.4800000004</v>
      </c>
      <c r="X404" s="20">
        <f t="shared" si="13"/>
        <v>3600564.7000000007</v>
      </c>
      <c r="Y404" s="20">
        <f t="shared" si="13"/>
        <v>3595623.9899999998</v>
      </c>
    </row>
    <row r="405" spans="1:25" s="17" customFormat="1">
      <c r="A405" s="108" t="str">
        <f t="shared" si="12"/>
        <v>606070000 0 00 00000000</v>
      </c>
      <c r="B405" s="191" t="s">
        <v>228</v>
      </c>
      <c r="C405" s="192" t="s">
        <v>394</v>
      </c>
      <c r="D405" s="193" t="s">
        <v>229</v>
      </c>
      <c r="E405" s="193" t="s">
        <v>7</v>
      </c>
      <c r="F405" s="193" t="s">
        <v>8</v>
      </c>
      <c r="G405" s="193" t="s">
        <v>9</v>
      </c>
      <c r="H405" s="18">
        <v>3596510.2900000005</v>
      </c>
      <c r="I405" s="18">
        <v>3470009.8100000005</v>
      </c>
      <c r="J405" s="18">
        <v>3465069.0999999996</v>
      </c>
      <c r="K405" s="20"/>
      <c r="L405" s="20"/>
      <c r="M405" s="20"/>
      <c r="N405" s="20"/>
      <c r="O405" s="20"/>
      <c r="P405" s="20"/>
      <c r="T405" s="20">
        <v>5166.93</v>
      </c>
      <c r="U405" s="20">
        <v>20250</v>
      </c>
      <c r="V405" s="20">
        <v>0</v>
      </c>
      <c r="W405" s="20">
        <f t="shared" si="13"/>
        <v>3591343.3600000003</v>
      </c>
      <c r="X405" s="20">
        <f t="shared" si="13"/>
        <v>3449759.8100000005</v>
      </c>
      <c r="Y405" s="20">
        <f t="shared" si="13"/>
        <v>3465069.0999999996</v>
      </c>
    </row>
    <row r="406" spans="1:25" s="17" customFormat="1">
      <c r="A406" s="108" t="str">
        <f t="shared" si="12"/>
        <v>606070100 0 00 00000000</v>
      </c>
      <c r="B406" s="194" t="s">
        <v>395</v>
      </c>
      <c r="C406" s="195" t="s">
        <v>394</v>
      </c>
      <c r="D406" s="196" t="s">
        <v>229</v>
      </c>
      <c r="E406" s="196" t="s">
        <v>11</v>
      </c>
      <c r="F406" s="196" t="s">
        <v>8</v>
      </c>
      <c r="G406" s="196" t="s">
        <v>9</v>
      </c>
      <c r="H406" s="19">
        <v>1540342.4100000001</v>
      </c>
      <c r="I406" s="19">
        <v>1508832.28</v>
      </c>
      <c r="J406" s="19">
        <v>1501040.4299999997</v>
      </c>
      <c r="K406" s="20"/>
      <c r="L406" s="20"/>
      <c r="M406" s="20"/>
      <c r="N406" s="20"/>
      <c r="O406" s="20"/>
      <c r="P406" s="20"/>
      <c r="T406" s="20">
        <v>5166.93</v>
      </c>
      <c r="U406" s="20">
        <v>20250</v>
      </c>
      <c r="V406" s="20">
        <v>0</v>
      </c>
      <c r="W406" s="20">
        <f t="shared" si="13"/>
        <v>1535175.4800000002</v>
      </c>
      <c r="X406" s="20">
        <f t="shared" si="13"/>
        <v>1488582.28</v>
      </c>
      <c r="Y406" s="20">
        <f t="shared" si="13"/>
        <v>1501040.4299999997</v>
      </c>
    </row>
    <row r="407" spans="1:25" s="17" customFormat="1" ht="25.5">
      <c r="A407" s="108" t="str">
        <f t="shared" si="12"/>
        <v>606070101 0 00 00000000</v>
      </c>
      <c r="B407" s="205" t="s">
        <v>396</v>
      </c>
      <c r="C407" s="198" t="s">
        <v>394</v>
      </c>
      <c r="D407" s="199" t="s">
        <v>229</v>
      </c>
      <c r="E407" s="199" t="s">
        <v>11</v>
      </c>
      <c r="F407" s="199" t="s">
        <v>397</v>
      </c>
      <c r="G407" s="199" t="s">
        <v>9</v>
      </c>
      <c r="H407" s="20">
        <v>1528745.99</v>
      </c>
      <c r="I407" s="20">
        <v>1482200.77</v>
      </c>
      <c r="J407" s="20">
        <v>1494658.9199999997</v>
      </c>
      <c r="K407" s="20"/>
      <c r="L407" s="20"/>
      <c r="M407" s="20"/>
      <c r="N407" s="20"/>
      <c r="O407" s="20"/>
      <c r="P407" s="20"/>
      <c r="T407" s="20">
        <v>5166.93</v>
      </c>
      <c r="U407" s="20">
        <v>20250</v>
      </c>
      <c r="V407" s="20">
        <v>0</v>
      </c>
      <c r="W407" s="20">
        <f t="shared" si="13"/>
        <v>1523579.06</v>
      </c>
      <c r="X407" s="20">
        <f t="shared" si="13"/>
        <v>1461950.77</v>
      </c>
      <c r="Y407" s="20">
        <f t="shared" si="13"/>
        <v>1494658.9199999997</v>
      </c>
    </row>
    <row r="408" spans="1:25" s="17" customFormat="1" ht="25.5">
      <c r="A408" s="108" t="str">
        <f t="shared" si="12"/>
        <v>606070101 1 00 00000000</v>
      </c>
      <c r="B408" s="205" t="s">
        <v>398</v>
      </c>
      <c r="C408" s="198" t="s">
        <v>394</v>
      </c>
      <c r="D408" s="199" t="s">
        <v>229</v>
      </c>
      <c r="E408" s="199" t="s">
        <v>11</v>
      </c>
      <c r="F408" s="199" t="s">
        <v>399</v>
      </c>
      <c r="G408" s="199" t="s">
        <v>9</v>
      </c>
      <c r="H408" s="20">
        <v>1528745.99</v>
      </c>
      <c r="I408" s="20">
        <v>1482200.77</v>
      </c>
      <c r="J408" s="20">
        <v>1494658.9199999997</v>
      </c>
      <c r="K408" s="20"/>
      <c r="L408" s="20"/>
      <c r="M408" s="20"/>
      <c r="N408" s="20"/>
      <c r="O408" s="20"/>
      <c r="P408" s="20"/>
      <c r="T408" s="20">
        <v>3890.62</v>
      </c>
      <c r="U408" s="20">
        <v>3842.64</v>
      </c>
      <c r="V408" s="20">
        <v>3842.64</v>
      </c>
      <c r="W408" s="20">
        <f t="shared" si="13"/>
        <v>1524855.3699999999</v>
      </c>
      <c r="X408" s="20">
        <f t="shared" si="13"/>
        <v>1478358.1300000001</v>
      </c>
      <c r="Y408" s="20">
        <f t="shared" si="13"/>
        <v>1490816.2799999998</v>
      </c>
    </row>
    <row r="409" spans="1:25" s="17" customFormat="1" ht="25.5">
      <c r="A409" s="108" t="str">
        <f t="shared" si="12"/>
        <v>606070101 1 01 00000000</v>
      </c>
      <c r="B409" s="205" t="s">
        <v>400</v>
      </c>
      <c r="C409" s="198" t="s">
        <v>394</v>
      </c>
      <c r="D409" s="199" t="s">
        <v>229</v>
      </c>
      <c r="E409" s="199" t="s">
        <v>11</v>
      </c>
      <c r="F409" s="199" t="s">
        <v>401</v>
      </c>
      <c r="G409" s="199" t="s">
        <v>9</v>
      </c>
      <c r="H409" s="20">
        <v>1498124.44</v>
      </c>
      <c r="I409" s="20">
        <v>1468670.11</v>
      </c>
      <c r="J409" s="20">
        <v>1481128.2599999998</v>
      </c>
      <c r="K409" s="20"/>
      <c r="L409" s="20"/>
      <c r="M409" s="20"/>
      <c r="N409" s="20"/>
      <c r="O409" s="20"/>
      <c r="P409" s="20"/>
      <c r="T409" s="20">
        <v>3890.62</v>
      </c>
      <c r="U409" s="20">
        <v>3842.64</v>
      </c>
      <c r="V409" s="20">
        <v>3842.64</v>
      </c>
      <c r="W409" s="20">
        <f t="shared" si="13"/>
        <v>1494233.8199999998</v>
      </c>
      <c r="X409" s="20">
        <f t="shared" si="13"/>
        <v>1464827.4700000002</v>
      </c>
      <c r="Y409" s="20">
        <f t="shared" si="13"/>
        <v>1477285.6199999999</v>
      </c>
    </row>
    <row r="410" spans="1:25" s="17" customFormat="1" ht="25.5">
      <c r="A410" s="108" t="str">
        <f t="shared" si="12"/>
        <v>606070101 1 01 11010000</v>
      </c>
      <c r="B410" s="205" t="s">
        <v>136</v>
      </c>
      <c r="C410" s="198" t="s">
        <v>394</v>
      </c>
      <c r="D410" s="199" t="s">
        <v>229</v>
      </c>
      <c r="E410" s="199" t="s">
        <v>11</v>
      </c>
      <c r="F410" s="199" t="s">
        <v>402</v>
      </c>
      <c r="G410" s="199" t="s">
        <v>9</v>
      </c>
      <c r="H410" s="20">
        <v>715227.04999999993</v>
      </c>
      <c r="I410" s="20">
        <v>721206.52</v>
      </c>
      <c r="J410" s="20">
        <v>721206.52</v>
      </c>
      <c r="K410" s="20"/>
      <c r="L410" s="20"/>
      <c r="M410" s="20"/>
      <c r="N410" s="20"/>
      <c r="O410" s="20"/>
      <c r="P410" s="20"/>
      <c r="T410" s="20">
        <v>3890.62</v>
      </c>
      <c r="U410" s="20">
        <v>3842.64</v>
      </c>
      <c r="V410" s="20">
        <v>3842.64</v>
      </c>
      <c r="W410" s="20">
        <f t="shared" si="13"/>
        <v>711336.42999999993</v>
      </c>
      <c r="X410" s="20">
        <f t="shared" si="13"/>
        <v>717363.88</v>
      </c>
      <c r="Y410" s="20">
        <f t="shared" si="13"/>
        <v>717363.88</v>
      </c>
    </row>
    <row r="411" spans="1:25" s="17" customFormat="1">
      <c r="A411" s="108" t="str">
        <f t="shared" si="12"/>
        <v>606070101 1 01 11010610</v>
      </c>
      <c r="B411" s="205" t="s">
        <v>403</v>
      </c>
      <c r="C411" s="198" t="s">
        <v>394</v>
      </c>
      <c r="D411" s="199" t="s">
        <v>229</v>
      </c>
      <c r="E411" s="199" t="s">
        <v>11</v>
      </c>
      <c r="F411" s="199" t="s">
        <v>402</v>
      </c>
      <c r="G411" s="199" t="s">
        <v>404</v>
      </c>
      <c r="H411" s="20">
        <v>683675.46</v>
      </c>
      <c r="I411" s="20">
        <v>689701.6</v>
      </c>
      <c r="J411" s="20">
        <v>689701.6</v>
      </c>
      <c r="K411" s="20"/>
      <c r="L411" s="20"/>
      <c r="M411" s="20"/>
      <c r="N411" s="20"/>
      <c r="O411" s="20"/>
      <c r="P411" s="20"/>
      <c r="T411" s="20">
        <v>3890.62</v>
      </c>
      <c r="U411" s="20">
        <v>3842.64</v>
      </c>
      <c r="V411" s="20">
        <v>3842.64</v>
      </c>
      <c r="W411" s="20">
        <f t="shared" si="13"/>
        <v>679784.84</v>
      </c>
      <c r="X411" s="20">
        <f t="shared" si="13"/>
        <v>685858.96</v>
      </c>
      <c r="Y411" s="20">
        <f t="shared" si="13"/>
        <v>685858.96</v>
      </c>
    </row>
    <row r="412" spans="1:25" s="17" customFormat="1">
      <c r="A412" s="108" t="str">
        <f t="shared" si="12"/>
        <v/>
      </c>
      <c r="B412" s="220" t="s">
        <v>1104</v>
      </c>
      <c r="C412" s="198"/>
      <c r="D412" s="199"/>
      <c r="E412" s="199"/>
      <c r="F412" s="199"/>
      <c r="G412" s="199"/>
      <c r="H412" s="20"/>
      <c r="I412" s="20"/>
      <c r="J412" s="20"/>
      <c r="K412" s="20"/>
      <c r="L412" s="20"/>
      <c r="M412" s="20"/>
      <c r="N412" s="20"/>
      <c r="O412" s="20"/>
      <c r="P412" s="20"/>
      <c r="T412" s="20">
        <v>3792.12</v>
      </c>
      <c r="U412" s="20">
        <v>3744.14</v>
      </c>
      <c r="V412" s="20">
        <v>3744.14</v>
      </c>
      <c r="W412" s="20">
        <f t="shared" si="13"/>
        <v>-3792.12</v>
      </c>
      <c r="X412" s="20">
        <f t="shared" si="13"/>
        <v>-3744.14</v>
      </c>
      <c r="Y412" s="20">
        <f t="shared" si="13"/>
        <v>-3744.14</v>
      </c>
    </row>
    <row r="413" spans="1:25" s="17" customFormat="1">
      <c r="A413" s="108" t="str">
        <f t="shared" si="12"/>
        <v>606070101 1 01 11010610</v>
      </c>
      <c r="B413" s="221" t="s">
        <v>1105</v>
      </c>
      <c r="C413" s="222" t="s">
        <v>394</v>
      </c>
      <c r="D413" s="223" t="s">
        <v>229</v>
      </c>
      <c r="E413" s="223" t="s">
        <v>11</v>
      </c>
      <c r="F413" s="223" t="s">
        <v>402</v>
      </c>
      <c r="G413" s="223" t="s">
        <v>404</v>
      </c>
      <c r="H413" s="224">
        <v>3537.77</v>
      </c>
      <c r="I413" s="224">
        <v>0</v>
      </c>
      <c r="J413" s="224">
        <v>0</v>
      </c>
      <c r="K413" s="20"/>
      <c r="L413" s="20"/>
      <c r="M413" s="20"/>
      <c r="N413" s="20"/>
      <c r="O413" s="20"/>
      <c r="P413" s="20"/>
      <c r="T413" s="20"/>
      <c r="U413" s="20"/>
      <c r="V413" s="20"/>
      <c r="W413" s="20">
        <f t="shared" si="13"/>
        <v>3537.77</v>
      </c>
      <c r="X413" s="20">
        <f t="shared" si="13"/>
        <v>0</v>
      </c>
      <c r="Y413" s="20">
        <f t="shared" si="13"/>
        <v>0</v>
      </c>
    </row>
    <row r="414" spans="1:25" s="17" customFormat="1">
      <c r="A414" s="108" t="str">
        <f t="shared" si="12"/>
        <v>606070101 1 01 11010620</v>
      </c>
      <c r="B414" s="205" t="s">
        <v>409</v>
      </c>
      <c r="C414" s="198" t="s">
        <v>394</v>
      </c>
      <c r="D414" s="199" t="s">
        <v>229</v>
      </c>
      <c r="E414" s="199" t="s">
        <v>11</v>
      </c>
      <c r="F414" s="199" t="s">
        <v>402</v>
      </c>
      <c r="G414" s="199" t="s">
        <v>410</v>
      </c>
      <c r="H414" s="20">
        <v>31551.59</v>
      </c>
      <c r="I414" s="20">
        <v>31504.920000000002</v>
      </c>
      <c r="J414" s="20">
        <v>31504.920000000002</v>
      </c>
      <c r="K414" s="20"/>
      <c r="L414" s="20"/>
      <c r="M414" s="20"/>
      <c r="N414" s="20"/>
      <c r="O414" s="20"/>
      <c r="P414" s="20"/>
      <c r="T414" s="20">
        <v>47.98</v>
      </c>
      <c r="U414" s="20">
        <v>0</v>
      </c>
      <c r="V414" s="20">
        <v>0</v>
      </c>
      <c r="W414" s="20">
        <f t="shared" si="13"/>
        <v>31503.61</v>
      </c>
      <c r="X414" s="20">
        <f t="shared" si="13"/>
        <v>31504.920000000002</v>
      </c>
      <c r="Y414" s="20">
        <f t="shared" si="13"/>
        <v>31504.920000000002</v>
      </c>
    </row>
    <row r="415" spans="1:25" s="17" customFormat="1">
      <c r="A415" s="108" t="str">
        <f t="shared" si="12"/>
        <v/>
      </c>
      <c r="B415" s="220" t="s">
        <v>1104</v>
      </c>
      <c r="C415" s="198"/>
      <c r="D415" s="199"/>
      <c r="E415" s="199"/>
      <c r="F415" s="199"/>
      <c r="G415" s="199"/>
      <c r="H415" s="20"/>
      <c r="I415" s="20"/>
      <c r="J415" s="20"/>
      <c r="K415" s="20"/>
      <c r="L415" s="20"/>
      <c r="M415" s="20"/>
      <c r="N415" s="20"/>
      <c r="O415" s="20"/>
      <c r="P415" s="20"/>
      <c r="T415" s="20">
        <v>98.5</v>
      </c>
      <c r="U415" s="20">
        <v>98.5</v>
      </c>
      <c r="V415" s="20">
        <v>98.5</v>
      </c>
      <c r="W415" s="20">
        <f t="shared" si="13"/>
        <v>-98.5</v>
      </c>
      <c r="X415" s="20">
        <f t="shared" si="13"/>
        <v>-98.5</v>
      </c>
      <c r="Y415" s="20">
        <f t="shared" si="13"/>
        <v>-98.5</v>
      </c>
    </row>
    <row r="416" spans="1:25" s="17" customFormat="1">
      <c r="A416" s="108" t="str">
        <f t="shared" si="12"/>
        <v>606070101 1 01 11010620</v>
      </c>
      <c r="B416" s="221" t="s">
        <v>1105</v>
      </c>
      <c r="C416" s="222" t="s">
        <v>394</v>
      </c>
      <c r="D416" s="223" t="s">
        <v>229</v>
      </c>
      <c r="E416" s="223" t="s">
        <v>11</v>
      </c>
      <c r="F416" s="223" t="s">
        <v>402</v>
      </c>
      <c r="G416" s="223" t="s">
        <v>410</v>
      </c>
      <c r="H416" s="224">
        <v>440.91</v>
      </c>
      <c r="I416" s="224">
        <v>0</v>
      </c>
      <c r="J416" s="224">
        <v>0</v>
      </c>
      <c r="K416" s="20"/>
      <c r="L416" s="20"/>
      <c r="M416" s="20"/>
      <c r="N416" s="20"/>
      <c r="O416" s="20"/>
      <c r="P416" s="20"/>
      <c r="T416" s="20">
        <v>2538.87</v>
      </c>
      <c r="U416" s="20">
        <v>2538.87</v>
      </c>
      <c r="V416" s="20">
        <v>2538.87</v>
      </c>
      <c r="W416" s="20">
        <f t="shared" si="13"/>
        <v>-2097.96</v>
      </c>
      <c r="X416" s="20">
        <f t="shared" si="13"/>
        <v>-2538.87</v>
      </c>
      <c r="Y416" s="20">
        <f t="shared" si="13"/>
        <v>-2538.87</v>
      </c>
    </row>
    <row r="417" spans="1:25" s="17" customFormat="1" ht="76.5">
      <c r="A417" s="108" t="str">
        <f t="shared" si="12"/>
        <v>606070101 1 01 77170000</v>
      </c>
      <c r="B417" s="197" t="s">
        <v>413</v>
      </c>
      <c r="C417" s="198" t="s">
        <v>394</v>
      </c>
      <c r="D417" s="199" t="s">
        <v>229</v>
      </c>
      <c r="E417" s="199" t="s">
        <v>11</v>
      </c>
      <c r="F417" s="199" t="s">
        <v>414</v>
      </c>
      <c r="G417" s="199" t="s">
        <v>9</v>
      </c>
      <c r="H417" s="20">
        <v>770174.7</v>
      </c>
      <c r="I417" s="20">
        <v>747463.59000000008</v>
      </c>
      <c r="J417" s="20">
        <v>759921.73999999987</v>
      </c>
      <c r="K417" s="20"/>
      <c r="L417" s="20"/>
      <c r="M417" s="20"/>
      <c r="N417" s="20"/>
      <c r="O417" s="20"/>
      <c r="P417" s="20"/>
      <c r="T417" s="20">
        <v>2538.87</v>
      </c>
      <c r="U417" s="20">
        <v>2538.87</v>
      </c>
      <c r="V417" s="20">
        <v>2538.87</v>
      </c>
      <c r="W417" s="20">
        <f t="shared" si="13"/>
        <v>767635.83</v>
      </c>
      <c r="X417" s="20">
        <f t="shared" si="13"/>
        <v>744924.72000000009</v>
      </c>
      <c r="Y417" s="20">
        <f t="shared" si="13"/>
        <v>757382.86999999988</v>
      </c>
    </row>
    <row r="418" spans="1:25" s="17" customFormat="1">
      <c r="A418" s="108" t="str">
        <f t="shared" si="12"/>
        <v>606070101 1 01 77170610</v>
      </c>
      <c r="B418" s="205" t="s">
        <v>403</v>
      </c>
      <c r="C418" s="198" t="s">
        <v>394</v>
      </c>
      <c r="D418" s="199" t="s">
        <v>229</v>
      </c>
      <c r="E418" s="199" t="s">
        <v>11</v>
      </c>
      <c r="F418" s="199" t="s">
        <v>414</v>
      </c>
      <c r="G418" s="199" t="s">
        <v>404</v>
      </c>
      <c r="H418" s="20">
        <v>731598.25</v>
      </c>
      <c r="I418" s="20">
        <v>709342.29</v>
      </c>
      <c r="J418" s="20">
        <v>721037.94</v>
      </c>
      <c r="K418" s="20"/>
      <c r="L418" s="20"/>
      <c r="M418" s="20"/>
      <c r="N418" s="20"/>
      <c r="O418" s="20"/>
      <c r="P418" s="20"/>
      <c r="T418" s="20">
        <v>2538.87</v>
      </c>
      <c r="U418" s="20">
        <v>2538.87</v>
      </c>
      <c r="V418" s="20">
        <v>2538.87</v>
      </c>
      <c r="W418" s="20">
        <f t="shared" si="13"/>
        <v>729059.38</v>
      </c>
      <c r="X418" s="20">
        <f t="shared" si="13"/>
        <v>706803.42</v>
      </c>
      <c r="Y418" s="20">
        <f t="shared" si="13"/>
        <v>718499.07</v>
      </c>
    </row>
    <row r="419" spans="1:25" s="17" customFormat="1">
      <c r="A419" s="108" t="str">
        <f t="shared" si="12"/>
        <v>606070101 1 01 77170620</v>
      </c>
      <c r="B419" s="205" t="s">
        <v>409</v>
      </c>
      <c r="C419" s="198" t="s">
        <v>394</v>
      </c>
      <c r="D419" s="199" t="s">
        <v>229</v>
      </c>
      <c r="E419" s="199" t="s">
        <v>11</v>
      </c>
      <c r="F419" s="199" t="s">
        <v>414</v>
      </c>
      <c r="G419" s="199" t="s">
        <v>410</v>
      </c>
      <c r="H419" s="20">
        <v>33648.83</v>
      </c>
      <c r="I419" s="20">
        <v>33113.4</v>
      </c>
      <c r="J419" s="20">
        <v>33775.699999999997</v>
      </c>
      <c r="K419" s="20"/>
      <c r="L419" s="20"/>
      <c r="M419" s="20"/>
      <c r="N419" s="20"/>
      <c r="O419" s="20"/>
      <c r="P419" s="20"/>
      <c r="T419" s="20">
        <v>2538.87</v>
      </c>
      <c r="U419" s="20">
        <v>2538.87</v>
      </c>
      <c r="V419" s="20">
        <v>2538.87</v>
      </c>
      <c r="W419" s="20">
        <f t="shared" si="13"/>
        <v>31109.960000000003</v>
      </c>
      <c r="X419" s="20">
        <f t="shared" si="13"/>
        <v>30574.530000000002</v>
      </c>
      <c r="Y419" s="20">
        <f t="shared" si="13"/>
        <v>31236.829999999998</v>
      </c>
    </row>
    <row r="420" spans="1:25" s="17" customFormat="1" ht="25.5">
      <c r="A420" s="108" t="str">
        <f t="shared" si="12"/>
        <v>606070101 1 01 77170630</v>
      </c>
      <c r="B420" s="197" t="s">
        <v>182</v>
      </c>
      <c r="C420" s="198" t="s">
        <v>394</v>
      </c>
      <c r="D420" s="199" t="s">
        <v>229</v>
      </c>
      <c r="E420" s="199" t="s">
        <v>11</v>
      </c>
      <c r="F420" s="199" t="s">
        <v>414</v>
      </c>
      <c r="G420" s="199" t="s">
        <v>183</v>
      </c>
      <c r="H420" s="20">
        <v>4927.62</v>
      </c>
      <c r="I420" s="20">
        <v>5007.8999999999996</v>
      </c>
      <c r="J420" s="20">
        <v>5108.1000000000004</v>
      </c>
      <c r="K420" s="20"/>
      <c r="L420" s="20"/>
      <c r="M420" s="20"/>
      <c r="N420" s="20"/>
      <c r="O420" s="20"/>
      <c r="P420" s="20"/>
      <c r="T420" s="20">
        <v>2538.87</v>
      </c>
      <c r="U420" s="20">
        <v>2538.87</v>
      </c>
      <c r="V420" s="20">
        <v>2538.87</v>
      </c>
      <c r="W420" s="20">
        <f t="shared" si="13"/>
        <v>2388.75</v>
      </c>
      <c r="X420" s="20">
        <f t="shared" si="13"/>
        <v>2469.0299999999997</v>
      </c>
      <c r="Y420" s="20">
        <f t="shared" si="13"/>
        <v>2569.2300000000005</v>
      </c>
    </row>
    <row r="421" spans="1:25" s="17" customFormat="1" ht="191.25">
      <c r="A421" s="108" t="str">
        <f t="shared" si="12"/>
        <v>606070101 1 01 77460000</v>
      </c>
      <c r="B421" s="197" t="s">
        <v>1263</v>
      </c>
      <c r="C421" s="198" t="s">
        <v>394</v>
      </c>
      <c r="D421" s="199" t="s">
        <v>229</v>
      </c>
      <c r="E421" s="199" t="s">
        <v>11</v>
      </c>
      <c r="F421" s="199" t="s">
        <v>1277</v>
      </c>
      <c r="G421" s="199" t="s">
        <v>9</v>
      </c>
      <c r="H421" s="20">
        <v>12722.69</v>
      </c>
      <c r="I421" s="20">
        <v>0</v>
      </c>
      <c r="J421" s="20">
        <v>0</v>
      </c>
      <c r="K421" s="19"/>
      <c r="L421" s="19"/>
      <c r="M421" s="19"/>
      <c r="N421" s="19"/>
      <c r="O421" s="19"/>
      <c r="P421" s="19"/>
      <c r="T421" s="19">
        <v>1728049.2200000002</v>
      </c>
      <c r="U421" s="19">
        <v>1670357.1300000001</v>
      </c>
      <c r="V421" s="19">
        <v>1673208.27</v>
      </c>
      <c r="W421" s="19">
        <f t="shared" si="13"/>
        <v>-1715326.5300000003</v>
      </c>
      <c r="X421" s="19">
        <f t="shared" si="13"/>
        <v>-1670357.1300000001</v>
      </c>
      <c r="Y421" s="19">
        <f t="shared" si="13"/>
        <v>-1673208.27</v>
      </c>
    </row>
    <row r="422" spans="1:25" s="17" customFormat="1">
      <c r="A422" s="108" t="str">
        <f t="shared" si="12"/>
        <v>606070101 1 01 77460610</v>
      </c>
      <c r="B422" s="205" t="s">
        <v>403</v>
      </c>
      <c r="C422" s="198" t="s">
        <v>394</v>
      </c>
      <c r="D422" s="199" t="s">
        <v>229</v>
      </c>
      <c r="E422" s="199" t="s">
        <v>11</v>
      </c>
      <c r="F422" s="199" t="s">
        <v>1277</v>
      </c>
      <c r="G422" s="199" t="s">
        <v>404</v>
      </c>
      <c r="H422" s="20">
        <v>12215.67</v>
      </c>
      <c r="I422" s="20">
        <v>0</v>
      </c>
      <c r="J422" s="20">
        <v>0</v>
      </c>
      <c r="K422" s="20"/>
      <c r="L422" s="20"/>
      <c r="M422" s="20"/>
      <c r="N422" s="20"/>
      <c r="O422" s="20"/>
      <c r="P422" s="20"/>
      <c r="T422" s="20">
        <v>1710660.8</v>
      </c>
      <c r="U422" s="20">
        <v>1662278.45</v>
      </c>
      <c r="V422" s="20">
        <v>1665909.5899999999</v>
      </c>
      <c r="W422" s="20">
        <f t="shared" si="13"/>
        <v>-1698445.1300000001</v>
      </c>
      <c r="X422" s="20">
        <f t="shared" si="13"/>
        <v>-1662278.45</v>
      </c>
      <c r="Y422" s="20">
        <f t="shared" si="13"/>
        <v>-1665909.5899999999</v>
      </c>
    </row>
    <row r="423" spans="1:25" s="17" customFormat="1">
      <c r="A423" s="108" t="str">
        <f t="shared" si="12"/>
        <v>606070101 1 01 77460620</v>
      </c>
      <c r="B423" s="205" t="s">
        <v>409</v>
      </c>
      <c r="C423" s="198" t="s">
        <v>394</v>
      </c>
      <c r="D423" s="199" t="s">
        <v>229</v>
      </c>
      <c r="E423" s="199" t="s">
        <v>11</v>
      </c>
      <c r="F423" s="199" t="s">
        <v>1277</v>
      </c>
      <c r="G423" s="199" t="s">
        <v>410</v>
      </c>
      <c r="H423" s="20">
        <v>507.02</v>
      </c>
      <c r="I423" s="20">
        <v>0</v>
      </c>
      <c r="J423" s="20">
        <v>0</v>
      </c>
      <c r="K423" s="20"/>
      <c r="L423" s="20"/>
      <c r="M423" s="20"/>
      <c r="N423" s="20"/>
      <c r="O423" s="20"/>
      <c r="P423" s="20"/>
      <c r="T423" s="20">
        <v>1706940.8</v>
      </c>
      <c r="U423" s="20">
        <v>1655458.8299999998</v>
      </c>
      <c r="V423" s="20">
        <v>1665909.5899999999</v>
      </c>
      <c r="W423" s="20">
        <f t="shared" si="13"/>
        <v>-1706433.78</v>
      </c>
      <c r="X423" s="20">
        <f t="shared" si="13"/>
        <v>-1655458.8299999998</v>
      </c>
      <c r="Y423" s="20">
        <f t="shared" si="13"/>
        <v>-1665909.5899999999</v>
      </c>
    </row>
    <row r="424" spans="1:25" s="17" customFormat="1" ht="51">
      <c r="A424" s="108" t="str">
        <f t="shared" si="12"/>
        <v>606070101 1 06 00000000</v>
      </c>
      <c r="B424" s="197" t="s">
        <v>417</v>
      </c>
      <c r="C424" s="198" t="s">
        <v>394</v>
      </c>
      <c r="D424" s="199" t="s">
        <v>229</v>
      </c>
      <c r="E424" s="199" t="s">
        <v>11</v>
      </c>
      <c r="F424" s="199" t="s">
        <v>418</v>
      </c>
      <c r="G424" s="199" t="s">
        <v>9</v>
      </c>
      <c r="H424" s="20">
        <v>30621.55</v>
      </c>
      <c r="I424" s="20">
        <v>13530.66</v>
      </c>
      <c r="J424" s="20">
        <v>13530.66</v>
      </c>
      <c r="K424" s="20"/>
      <c r="L424" s="20"/>
      <c r="M424" s="20"/>
      <c r="N424" s="20"/>
      <c r="O424" s="20"/>
      <c r="P424" s="20"/>
      <c r="T424" s="20">
        <v>1646742.56</v>
      </c>
      <c r="U424" s="20">
        <v>1651458.8299999998</v>
      </c>
      <c r="V424" s="20">
        <v>1661909.5899999999</v>
      </c>
      <c r="W424" s="20">
        <f t="shared" si="13"/>
        <v>-1616121.01</v>
      </c>
      <c r="X424" s="20">
        <f t="shared" si="13"/>
        <v>-1637928.17</v>
      </c>
      <c r="Y424" s="20">
        <f t="shared" si="13"/>
        <v>-1648378.93</v>
      </c>
    </row>
    <row r="425" spans="1:25" s="17" customFormat="1" ht="25.5">
      <c r="A425" s="108" t="str">
        <f t="shared" si="12"/>
        <v>606070101 1 06 11010000</v>
      </c>
      <c r="B425" s="205" t="s">
        <v>136</v>
      </c>
      <c r="C425" s="198" t="s">
        <v>394</v>
      </c>
      <c r="D425" s="199" t="s">
        <v>229</v>
      </c>
      <c r="E425" s="199" t="s">
        <v>11</v>
      </c>
      <c r="F425" s="199" t="s">
        <v>419</v>
      </c>
      <c r="G425" s="199" t="s">
        <v>9</v>
      </c>
      <c r="H425" s="20">
        <v>30621.55</v>
      </c>
      <c r="I425" s="20">
        <v>13530.66</v>
      </c>
      <c r="J425" s="20">
        <v>13530.66</v>
      </c>
      <c r="K425" s="20"/>
      <c r="L425" s="20"/>
      <c r="M425" s="20"/>
      <c r="N425" s="20"/>
      <c r="O425" s="20"/>
      <c r="P425" s="20"/>
      <c r="T425" s="20">
        <v>575739.28</v>
      </c>
      <c r="U425" s="20">
        <v>569815.42999999993</v>
      </c>
      <c r="V425" s="20">
        <v>569815.42999999993</v>
      </c>
      <c r="W425" s="20">
        <f t="shared" si="13"/>
        <v>-545117.73</v>
      </c>
      <c r="X425" s="20">
        <f t="shared" si="13"/>
        <v>-556284.7699999999</v>
      </c>
      <c r="Y425" s="20">
        <f t="shared" si="13"/>
        <v>-556284.7699999999</v>
      </c>
    </row>
    <row r="426" spans="1:25" s="17" customFormat="1">
      <c r="A426" s="108" t="str">
        <f t="shared" si="12"/>
        <v/>
      </c>
      <c r="B426" s="220" t="s">
        <v>1104</v>
      </c>
      <c r="C426" s="198"/>
      <c r="D426" s="199"/>
      <c r="E426" s="199"/>
      <c r="F426" s="199"/>
      <c r="G426" s="199"/>
      <c r="H426" s="20"/>
      <c r="I426" s="20"/>
      <c r="J426" s="20"/>
      <c r="K426" s="20"/>
      <c r="L426" s="20"/>
      <c r="M426" s="20"/>
      <c r="N426" s="20"/>
      <c r="O426" s="20"/>
      <c r="P426" s="20"/>
      <c r="T426" s="20"/>
      <c r="U426" s="20"/>
      <c r="V426" s="20"/>
      <c r="W426" s="20">
        <f t="shared" si="13"/>
        <v>0</v>
      </c>
      <c r="X426" s="20">
        <f t="shared" si="13"/>
        <v>0</v>
      </c>
      <c r="Y426" s="20">
        <f t="shared" si="13"/>
        <v>0</v>
      </c>
    </row>
    <row r="427" spans="1:25" s="17" customFormat="1">
      <c r="A427" s="108" t="str">
        <f t="shared" si="12"/>
        <v>606070101 1 06 11010000</v>
      </c>
      <c r="B427" s="221" t="s">
        <v>1105</v>
      </c>
      <c r="C427" s="222" t="s">
        <v>394</v>
      </c>
      <c r="D427" s="223" t="s">
        <v>229</v>
      </c>
      <c r="E427" s="223" t="s">
        <v>11</v>
      </c>
      <c r="F427" s="223" t="s">
        <v>419</v>
      </c>
      <c r="G427" s="223" t="s">
        <v>9</v>
      </c>
      <c r="H427" s="224">
        <v>55.36</v>
      </c>
      <c r="I427" s="224">
        <v>0</v>
      </c>
      <c r="J427" s="224">
        <v>0</v>
      </c>
      <c r="K427" s="20"/>
      <c r="L427" s="20"/>
      <c r="M427" s="20"/>
      <c r="N427" s="20"/>
      <c r="O427" s="20"/>
      <c r="P427" s="20"/>
      <c r="T427" s="20">
        <v>531567.69999999995</v>
      </c>
      <c r="U427" s="20">
        <v>526570.96</v>
      </c>
      <c r="V427" s="20">
        <v>526570.96</v>
      </c>
      <c r="W427" s="20">
        <f t="shared" si="13"/>
        <v>-531512.34</v>
      </c>
      <c r="X427" s="20">
        <f t="shared" si="13"/>
        <v>-526570.96</v>
      </c>
      <c r="Y427" s="20">
        <f t="shared" si="13"/>
        <v>-526570.96</v>
      </c>
    </row>
    <row r="428" spans="1:25" s="17" customFormat="1">
      <c r="A428" s="108" t="str">
        <f t="shared" si="12"/>
        <v>606070101 1 06 11010610</v>
      </c>
      <c r="B428" s="205" t="s">
        <v>403</v>
      </c>
      <c r="C428" s="198" t="s">
        <v>394</v>
      </c>
      <c r="D428" s="199" t="s">
        <v>229</v>
      </c>
      <c r="E428" s="199" t="s">
        <v>11</v>
      </c>
      <c r="F428" s="199" t="s">
        <v>419</v>
      </c>
      <c r="G428" s="199" t="s">
        <v>404</v>
      </c>
      <c r="H428" s="20">
        <v>30621.55</v>
      </c>
      <c r="I428" s="20">
        <v>13530.66</v>
      </c>
      <c r="J428" s="20">
        <v>13530.66</v>
      </c>
      <c r="K428" s="20"/>
      <c r="L428" s="20"/>
      <c r="M428" s="20"/>
      <c r="N428" s="20"/>
      <c r="O428" s="20"/>
      <c r="P428" s="20"/>
      <c r="T428" s="20"/>
      <c r="U428" s="20"/>
      <c r="V428" s="20"/>
      <c r="W428" s="20">
        <f t="shared" si="13"/>
        <v>30621.55</v>
      </c>
      <c r="X428" s="20">
        <f t="shared" si="13"/>
        <v>13530.66</v>
      </c>
      <c r="Y428" s="20">
        <f t="shared" si="13"/>
        <v>13530.66</v>
      </c>
    </row>
    <row r="429" spans="1:25" s="17" customFormat="1" ht="38.25">
      <c r="A429" s="108" t="str">
        <f t="shared" si="12"/>
        <v>606070115 0 00 00000000</v>
      </c>
      <c r="B429" s="205" t="s">
        <v>146</v>
      </c>
      <c r="C429" s="198" t="s">
        <v>394</v>
      </c>
      <c r="D429" s="199" t="s">
        <v>229</v>
      </c>
      <c r="E429" s="199" t="s">
        <v>11</v>
      </c>
      <c r="F429" s="199" t="s">
        <v>147</v>
      </c>
      <c r="G429" s="199" t="s">
        <v>9</v>
      </c>
      <c r="H429" s="20">
        <v>5166.93</v>
      </c>
      <c r="I429" s="20">
        <v>20250</v>
      </c>
      <c r="J429" s="20">
        <v>0</v>
      </c>
      <c r="K429" s="20"/>
      <c r="L429" s="20"/>
      <c r="M429" s="20"/>
      <c r="N429" s="20"/>
      <c r="O429" s="20"/>
      <c r="P429" s="20"/>
      <c r="T429" s="20">
        <v>3650.03</v>
      </c>
      <c r="U429" s="20">
        <v>0</v>
      </c>
      <c r="V429" s="20">
        <v>0</v>
      </c>
      <c r="W429" s="20">
        <f t="shared" si="13"/>
        <v>1516.9</v>
      </c>
      <c r="X429" s="20">
        <f t="shared" si="13"/>
        <v>20250</v>
      </c>
      <c r="Y429" s="20">
        <f t="shared" si="13"/>
        <v>0</v>
      </c>
    </row>
    <row r="430" spans="1:25" s="17" customFormat="1" ht="38.25">
      <c r="A430" s="108" t="str">
        <f t="shared" si="12"/>
        <v>606070115 1 00 00000000</v>
      </c>
      <c r="B430" s="197" t="s">
        <v>1065</v>
      </c>
      <c r="C430" s="198" t="s">
        <v>394</v>
      </c>
      <c r="D430" s="199" t="s">
        <v>229</v>
      </c>
      <c r="E430" s="199" t="s">
        <v>11</v>
      </c>
      <c r="F430" s="199" t="s">
        <v>149</v>
      </c>
      <c r="G430" s="199" t="s">
        <v>9</v>
      </c>
      <c r="H430" s="20">
        <v>5166.93</v>
      </c>
      <c r="I430" s="20">
        <v>20250</v>
      </c>
      <c r="J430" s="20">
        <v>0</v>
      </c>
      <c r="K430" s="20"/>
      <c r="L430" s="20"/>
      <c r="M430" s="20"/>
      <c r="N430" s="20"/>
      <c r="O430" s="20"/>
      <c r="P430" s="20"/>
      <c r="T430" s="20">
        <v>40724.900000000009</v>
      </c>
      <c r="U430" s="20">
        <v>40167.490000000005</v>
      </c>
      <c r="V430" s="20">
        <v>40167.490000000005</v>
      </c>
      <c r="W430" s="20">
        <f t="shared" si="13"/>
        <v>-35557.970000000008</v>
      </c>
      <c r="X430" s="20">
        <f t="shared" si="13"/>
        <v>-19917.490000000005</v>
      </c>
      <c r="Y430" s="20">
        <f t="shared" si="13"/>
        <v>-40167.490000000005</v>
      </c>
    </row>
    <row r="431" spans="1:25" s="17" customFormat="1" ht="38.25">
      <c r="A431" s="108" t="str">
        <f t="shared" si="12"/>
        <v>606070115 1 02 00000000</v>
      </c>
      <c r="B431" s="213" t="s">
        <v>273</v>
      </c>
      <c r="C431" s="209" t="s">
        <v>394</v>
      </c>
      <c r="D431" s="236" t="s">
        <v>229</v>
      </c>
      <c r="E431" s="236" t="s">
        <v>11</v>
      </c>
      <c r="F431" s="236" t="s">
        <v>274</v>
      </c>
      <c r="G431" s="236" t="s">
        <v>9</v>
      </c>
      <c r="H431" s="218">
        <v>0</v>
      </c>
      <c r="I431" s="218">
        <v>0</v>
      </c>
      <c r="J431" s="218">
        <v>0</v>
      </c>
      <c r="K431" s="20"/>
      <c r="L431" s="20"/>
      <c r="M431" s="20"/>
      <c r="N431" s="20"/>
      <c r="O431" s="20"/>
      <c r="P431" s="20"/>
      <c r="T431" s="20"/>
      <c r="U431" s="20"/>
      <c r="V431" s="20"/>
      <c r="W431" s="20">
        <f t="shared" si="13"/>
        <v>0</v>
      </c>
      <c r="X431" s="20">
        <f t="shared" si="13"/>
        <v>0</v>
      </c>
      <c r="Y431" s="20">
        <f t="shared" si="13"/>
        <v>0</v>
      </c>
    </row>
    <row r="432" spans="1:25" s="17" customFormat="1" ht="25.5">
      <c r="A432" s="108" t="str">
        <f t="shared" si="12"/>
        <v>606070115 1 02 20350000</v>
      </c>
      <c r="B432" s="238" t="s">
        <v>152</v>
      </c>
      <c r="C432" s="209" t="s">
        <v>394</v>
      </c>
      <c r="D432" s="236" t="s">
        <v>229</v>
      </c>
      <c r="E432" s="236" t="s">
        <v>11</v>
      </c>
      <c r="F432" s="236" t="s">
        <v>275</v>
      </c>
      <c r="G432" s="236" t="s">
        <v>9</v>
      </c>
      <c r="H432" s="218">
        <v>0</v>
      </c>
      <c r="I432" s="218">
        <v>0</v>
      </c>
      <c r="J432" s="218">
        <v>0</v>
      </c>
      <c r="K432" s="20"/>
      <c r="L432" s="20"/>
      <c r="M432" s="20"/>
      <c r="N432" s="20"/>
      <c r="O432" s="20"/>
      <c r="P432" s="20"/>
      <c r="T432" s="20">
        <v>557.41</v>
      </c>
      <c r="U432" s="20">
        <v>0</v>
      </c>
      <c r="V432" s="20">
        <v>0</v>
      </c>
      <c r="W432" s="20">
        <f t="shared" si="13"/>
        <v>-557.41</v>
      </c>
      <c r="X432" s="20">
        <f t="shared" si="13"/>
        <v>0</v>
      </c>
      <c r="Y432" s="20">
        <f t="shared" si="13"/>
        <v>0</v>
      </c>
    </row>
    <row r="433" spans="1:25" s="17" customFormat="1">
      <c r="A433" s="108" t="str">
        <f t="shared" si="12"/>
        <v>606070115 1 02 20350610</v>
      </c>
      <c r="B433" s="238" t="s">
        <v>403</v>
      </c>
      <c r="C433" s="209" t="s">
        <v>394</v>
      </c>
      <c r="D433" s="236" t="s">
        <v>229</v>
      </c>
      <c r="E433" s="236" t="s">
        <v>11</v>
      </c>
      <c r="F433" s="236" t="s">
        <v>275</v>
      </c>
      <c r="G433" s="236" t="s">
        <v>404</v>
      </c>
      <c r="H433" s="218">
        <v>0</v>
      </c>
      <c r="I433" s="218">
        <v>0</v>
      </c>
      <c r="J433" s="218">
        <v>0</v>
      </c>
      <c r="K433" s="20"/>
      <c r="L433" s="20"/>
      <c r="M433" s="20"/>
      <c r="N433" s="20"/>
      <c r="O433" s="20"/>
      <c r="P433" s="20"/>
      <c r="T433" s="20">
        <v>3446.68</v>
      </c>
      <c r="U433" s="20">
        <v>3076.98</v>
      </c>
      <c r="V433" s="20">
        <v>3076.98</v>
      </c>
      <c r="W433" s="20">
        <f t="shared" si="13"/>
        <v>-3446.68</v>
      </c>
      <c r="X433" s="20">
        <f t="shared" si="13"/>
        <v>-3076.98</v>
      </c>
      <c r="Y433" s="20">
        <f t="shared" si="13"/>
        <v>-3076.98</v>
      </c>
    </row>
    <row r="434" spans="1:25" s="17" customFormat="1" ht="51">
      <c r="A434" s="108" t="str">
        <f t="shared" si="12"/>
        <v>606070115 1 04 00000000</v>
      </c>
      <c r="B434" s="214" t="s">
        <v>1068</v>
      </c>
      <c r="C434" s="198" t="s">
        <v>394</v>
      </c>
      <c r="D434" s="199" t="s">
        <v>229</v>
      </c>
      <c r="E434" s="199" t="s">
        <v>11</v>
      </c>
      <c r="F434" s="199" t="s">
        <v>1069</v>
      </c>
      <c r="G434" s="199" t="s">
        <v>9</v>
      </c>
      <c r="H434" s="20">
        <v>5166.93</v>
      </c>
      <c r="I434" s="20">
        <v>20250</v>
      </c>
      <c r="J434" s="20">
        <v>0</v>
      </c>
      <c r="K434" s="20"/>
      <c r="L434" s="20"/>
      <c r="M434" s="20"/>
      <c r="N434" s="20"/>
      <c r="O434" s="20"/>
      <c r="P434" s="20"/>
      <c r="T434" s="20"/>
      <c r="U434" s="20"/>
      <c r="V434" s="20"/>
      <c r="W434" s="20">
        <f t="shared" si="13"/>
        <v>5166.93</v>
      </c>
      <c r="X434" s="20">
        <f t="shared" si="13"/>
        <v>20250</v>
      </c>
      <c r="Y434" s="20">
        <f t="shared" si="13"/>
        <v>0</v>
      </c>
    </row>
    <row r="435" spans="1:25" s="17" customFormat="1" ht="25.5">
      <c r="A435" s="108" t="str">
        <f t="shared" si="12"/>
        <v>606070115 1 04 20350000</v>
      </c>
      <c r="B435" s="205" t="s">
        <v>152</v>
      </c>
      <c r="C435" s="198" t="s">
        <v>394</v>
      </c>
      <c r="D435" s="199" t="s">
        <v>229</v>
      </c>
      <c r="E435" s="199" t="s">
        <v>11</v>
      </c>
      <c r="F435" s="199" t="s">
        <v>1070</v>
      </c>
      <c r="G435" s="199" t="s">
        <v>9</v>
      </c>
      <c r="H435" s="20">
        <v>5166.93</v>
      </c>
      <c r="I435" s="20">
        <v>20250</v>
      </c>
      <c r="J435" s="20">
        <v>0</v>
      </c>
      <c r="K435" s="20"/>
      <c r="L435" s="20"/>
      <c r="M435" s="20"/>
      <c r="N435" s="20"/>
      <c r="O435" s="20"/>
      <c r="P435" s="20"/>
      <c r="T435" s="20">
        <v>369.7</v>
      </c>
      <c r="U435" s="20">
        <v>0</v>
      </c>
      <c r="V435" s="20">
        <v>0</v>
      </c>
      <c r="W435" s="20">
        <f t="shared" si="13"/>
        <v>4797.2300000000005</v>
      </c>
      <c r="X435" s="20">
        <f t="shared" si="13"/>
        <v>20250</v>
      </c>
      <c r="Y435" s="20">
        <f t="shared" si="13"/>
        <v>0</v>
      </c>
    </row>
    <row r="436" spans="1:25" s="17" customFormat="1">
      <c r="A436" s="108" t="str">
        <f t="shared" si="12"/>
        <v>606070115 1 04 20350610</v>
      </c>
      <c r="B436" s="205" t="s">
        <v>403</v>
      </c>
      <c r="C436" s="198" t="s">
        <v>394</v>
      </c>
      <c r="D436" s="199" t="s">
        <v>229</v>
      </c>
      <c r="E436" s="199" t="s">
        <v>11</v>
      </c>
      <c r="F436" s="199" t="s">
        <v>1070</v>
      </c>
      <c r="G436" s="199" t="s">
        <v>404</v>
      </c>
      <c r="H436" s="20">
        <v>5166.93</v>
      </c>
      <c r="I436" s="20">
        <v>20250</v>
      </c>
      <c r="J436" s="20">
        <v>0</v>
      </c>
      <c r="K436" s="20"/>
      <c r="L436" s="20"/>
      <c r="M436" s="20"/>
      <c r="N436" s="20"/>
      <c r="O436" s="20"/>
      <c r="P436" s="20"/>
      <c r="T436" s="20">
        <v>1071003.28</v>
      </c>
      <c r="U436" s="20">
        <v>1081643.3999999999</v>
      </c>
      <c r="V436" s="20">
        <v>1092094.1599999999</v>
      </c>
      <c r="W436" s="20">
        <f t="shared" si="13"/>
        <v>-1065836.3500000001</v>
      </c>
      <c r="X436" s="20">
        <f t="shared" si="13"/>
        <v>-1061393.3999999999</v>
      </c>
      <c r="Y436" s="20">
        <f t="shared" si="13"/>
        <v>-1092094.1599999999</v>
      </c>
    </row>
    <row r="437" spans="1:25" s="17" customFormat="1" ht="63.75">
      <c r="A437" s="108" t="str">
        <f t="shared" si="12"/>
        <v>606070116 0 00 00000000</v>
      </c>
      <c r="B437" s="197" t="s">
        <v>420</v>
      </c>
      <c r="C437" s="198" t="s">
        <v>394</v>
      </c>
      <c r="D437" s="199" t="s">
        <v>229</v>
      </c>
      <c r="E437" s="199" t="s">
        <v>11</v>
      </c>
      <c r="F437" s="199" t="s">
        <v>421</v>
      </c>
      <c r="G437" s="199" t="s">
        <v>9</v>
      </c>
      <c r="H437" s="20">
        <v>3890.62</v>
      </c>
      <c r="I437" s="20">
        <v>3842.64</v>
      </c>
      <c r="J437" s="20">
        <v>3842.64</v>
      </c>
      <c r="K437" s="20"/>
      <c r="L437" s="20"/>
      <c r="M437" s="20"/>
      <c r="N437" s="20"/>
      <c r="O437" s="20"/>
      <c r="P437" s="20"/>
      <c r="T437" s="20"/>
      <c r="U437" s="20"/>
      <c r="V437" s="20"/>
      <c r="W437" s="20">
        <f t="shared" si="13"/>
        <v>3890.62</v>
      </c>
      <c r="X437" s="20">
        <f t="shared" si="13"/>
        <v>3842.64</v>
      </c>
      <c r="Y437" s="20">
        <f t="shared" si="13"/>
        <v>3842.64</v>
      </c>
    </row>
    <row r="438" spans="1:25" s="17" customFormat="1" ht="25.5">
      <c r="A438" s="108" t="str">
        <f t="shared" si="12"/>
        <v>606070116 2 00 00000000</v>
      </c>
      <c r="B438" s="197" t="s">
        <v>422</v>
      </c>
      <c r="C438" s="198" t="s">
        <v>394</v>
      </c>
      <c r="D438" s="199" t="s">
        <v>229</v>
      </c>
      <c r="E438" s="199" t="s">
        <v>11</v>
      </c>
      <c r="F438" s="199" t="s">
        <v>423</v>
      </c>
      <c r="G438" s="199" t="s">
        <v>9</v>
      </c>
      <c r="H438" s="20">
        <v>3890.62</v>
      </c>
      <c r="I438" s="20">
        <v>3842.64</v>
      </c>
      <c r="J438" s="20">
        <v>3842.64</v>
      </c>
      <c r="K438" s="20"/>
      <c r="L438" s="20"/>
      <c r="M438" s="20"/>
      <c r="N438" s="20"/>
      <c r="O438" s="20"/>
      <c r="P438" s="20"/>
      <c r="T438" s="20">
        <v>952596.89</v>
      </c>
      <c r="U438" s="20">
        <v>961646.5</v>
      </c>
      <c r="V438" s="20">
        <v>971150.7</v>
      </c>
      <c r="W438" s="20">
        <f t="shared" si="13"/>
        <v>-948706.27</v>
      </c>
      <c r="X438" s="20">
        <f t="shared" si="13"/>
        <v>-957803.86</v>
      </c>
      <c r="Y438" s="20">
        <f t="shared" si="13"/>
        <v>-967308.05999999994</v>
      </c>
    </row>
    <row r="439" spans="1:25" s="17" customFormat="1" ht="25.5">
      <c r="A439" s="108" t="str">
        <f t="shared" si="12"/>
        <v>606070116 2 02 00000000</v>
      </c>
      <c r="B439" s="197" t="s">
        <v>424</v>
      </c>
      <c r="C439" s="198" t="s">
        <v>394</v>
      </c>
      <c r="D439" s="199" t="s">
        <v>229</v>
      </c>
      <c r="E439" s="199" t="s">
        <v>11</v>
      </c>
      <c r="F439" s="199" t="s">
        <v>425</v>
      </c>
      <c r="G439" s="199" t="s">
        <v>9</v>
      </c>
      <c r="H439" s="20">
        <v>3890.62</v>
      </c>
      <c r="I439" s="20">
        <v>3842.64</v>
      </c>
      <c r="J439" s="20">
        <v>3842.64</v>
      </c>
      <c r="K439" s="20"/>
      <c r="L439" s="20"/>
      <c r="M439" s="20"/>
      <c r="N439" s="20"/>
      <c r="O439" s="20"/>
      <c r="P439" s="20"/>
      <c r="T439" s="20">
        <v>113674.55</v>
      </c>
      <c r="U439" s="20">
        <v>115222.5</v>
      </c>
      <c r="V439" s="20">
        <v>116121.72</v>
      </c>
      <c r="W439" s="20">
        <f t="shared" si="13"/>
        <v>-109783.93000000001</v>
      </c>
      <c r="X439" s="20">
        <f t="shared" si="13"/>
        <v>-111379.86</v>
      </c>
      <c r="Y439" s="20">
        <f t="shared" si="13"/>
        <v>-112279.08</v>
      </c>
    </row>
    <row r="440" spans="1:25" s="17" customFormat="1" ht="38.25">
      <c r="A440" s="108" t="str">
        <f t="shared" si="12"/>
        <v>606070116 2 02 20550000</v>
      </c>
      <c r="B440" s="197" t="s">
        <v>426</v>
      </c>
      <c r="C440" s="198" t="s">
        <v>394</v>
      </c>
      <c r="D440" s="199" t="s">
        <v>229</v>
      </c>
      <c r="E440" s="199" t="s">
        <v>11</v>
      </c>
      <c r="F440" s="199" t="s">
        <v>427</v>
      </c>
      <c r="G440" s="199" t="s">
        <v>9</v>
      </c>
      <c r="H440" s="20">
        <v>3890.62</v>
      </c>
      <c r="I440" s="20">
        <v>3842.64</v>
      </c>
      <c r="J440" s="20">
        <v>3842.64</v>
      </c>
      <c r="K440" s="20"/>
      <c r="L440" s="20"/>
      <c r="M440" s="20"/>
      <c r="N440" s="20"/>
      <c r="O440" s="20"/>
      <c r="P440" s="20"/>
      <c r="T440" s="20">
        <v>4731.84</v>
      </c>
      <c r="U440" s="20">
        <v>4774.3999999999996</v>
      </c>
      <c r="V440" s="20">
        <v>4821.74</v>
      </c>
      <c r="W440" s="20">
        <f t="shared" si="13"/>
        <v>-841.22000000000025</v>
      </c>
      <c r="X440" s="20">
        <f t="shared" si="13"/>
        <v>-931.75999999999976</v>
      </c>
      <c r="Y440" s="20">
        <f t="shared" si="13"/>
        <v>-979.09999999999991</v>
      </c>
    </row>
    <row r="441" spans="1:25" s="17" customFormat="1">
      <c r="A441" s="108" t="str">
        <f t="shared" si="12"/>
        <v>606070116 2 02 20550610</v>
      </c>
      <c r="B441" s="205" t="s">
        <v>403</v>
      </c>
      <c r="C441" s="198" t="s">
        <v>394</v>
      </c>
      <c r="D441" s="199" t="s">
        <v>229</v>
      </c>
      <c r="E441" s="199" t="s">
        <v>11</v>
      </c>
      <c r="F441" s="199" t="s">
        <v>427</v>
      </c>
      <c r="G441" s="199" t="s">
        <v>404</v>
      </c>
      <c r="H441" s="20">
        <v>3792.12</v>
      </c>
      <c r="I441" s="20">
        <v>3744.14</v>
      </c>
      <c r="J441" s="20">
        <v>3744.14</v>
      </c>
      <c r="K441" s="20"/>
      <c r="L441" s="20"/>
      <c r="M441" s="20"/>
      <c r="N441" s="20"/>
      <c r="O441" s="20"/>
      <c r="P441" s="20"/>
      <c r="T441" s="20">
        <v>60198.239999999998</v>
      </c>
      <c r="U441" s="20">
        <v>4000</v>
      </c>
      <c r="V441" s="20">
        <v>4000</v>
      </c>
      <c r="W441" s="20">
        <f t="shared" si="13"/>
        <v>-56406.119999999995</v>
      </c>
      <c r="X441" s="20">
        <f t="shared" si="13"/>
        <v>-255.86000000000013</v>
      </c>
      <c r="Y441" s="20">
        <f t="shared" si="13"/>
        <v>-255.86000000000013</v>
      </c>
    </row>
    <row r="442" spans="1:25" s="17" customFormat="1">
      <c r="A442" s="108" t="str">
        <f t="shared" si="12"/>
        <v/>
      </c>
      <c r="B442" s="220" t="s">
        <v>1104</v>
      </c>
      <c r="C442" s="198"/>
      <c r="D442" s="199"/>
      <c r="E442" s="199"/>
      <c r="F442" s="199"/>
      <c r="G442" s="199"/>
      <c r="H442" s="20"/>
      <c r="I442" s="20"/>
      <c r="J442" s="20"/>
      <c r="K442" s="20"/>
      <c r="L442" s="20"/>
      <c r="M442" s="20"/>
      <c r="N442" s="20"/>
      <c r="O442" s="20"/>
      <c r="P442" s="20"/>
      <c r="T442" s="20">
        <v>59735.229999999996</v>
      </c>
      <c r="U442" s="20">
        <v>4000</v>
      </c>
      <c r="V442" s="20">
        <v>4000</v>
      </c>
      <c r="W442" s="20">
        <f t="shared" si="13"/>
        <v>-59735.229999999996</v>
      </c>
      <c r="X442" s="20">
        <f t="shared" si="13"/>
        <v>-4000</v>
      </c>
      <c r="Y442" s="20">
        <f t="shared" si="13"/>
        <v>-4000</v>
      </c>
    </row>
    <row r="443" spans="1:25" s="17" customFormat="1">
      <c r="A443" s="108" t="str">
        <f t="shared" si="12"/>
        <v>606070116 2 02 20550610</v>
      </c>
      <c r="B443" s="221" t="s">
        <v>1105</v>
      </c>
      <c r="C443" s="222" t="s">
        <v>394</v>
      </c>
      <c r="D443" s="223" t="s">
        <v>229</v>
      </c>
      <c r="E443" s="223" t="s">
        <v>11</v>
      </c>
      <c r="F443" s="223" t="s">
        <v>427</v>
      </c>
      <c r="G443" s="223" t="s">
        <v>404</v>
      </c>
      <c r="H443" s="224">
        <v>47.98</v>
      </c>
      <c r="I443" s="224">
        <v>0</v>
      </c>
      <c r="J443" s="224">
        <v>0</v>
      </c>
      <c r="K443" s="20"/>
      <c r="L443" s="20"/>
      <c r="M443" s="20"/>
      <c r="N443" s="20"/>
      <c r="O443" s="20"/>
      <c r="P443" s="20"/>
      <c r="T443" s="20">
        <v>53893.46</v>
      </c>
      <c r="U443" s="20">
        <v>4000</v>
      </c>
      <c r="V443" s="20">
        <v>4000</v>
      </c>
      <c r="W443" s="20">
        <f t="shared" si="13"/>
        <v>-53845.479999999996</v>
      </c>
      <c r="X443" s="20">
        <f t="shared" si="13"/>
        <v>-4000</v>
      </c>
      <c r="Y443" s="20">
        <f t="shared" si="13"/>
        <v>-4000</v>
      </c>
    </row>
    <row r="444" spans="1:25" s="17" customFormat="1">
      <c r="A444" s="108" t="str">
        <f t="shared" si="12"/>
        <v>606070116 2 02 20550620</v>
      </c>
      <c r="B444" s="205" t="s">
        <v>409</v>
      </c>
      <c r="C444" s="198" t="s">
        <v>394</v>
      </c>
      <c r="D444" s="199" t="s">
        <v>229</v>
      </c>
      <c r="E444" s="199" t="s">
        <v>11</v>
      </c>
      <c r="F444" s="199" t="s">
        <v>427</v>
      </c>
      <c r="G444" s="199" t="s">
        <v>410</v>
      </c>
      <c r="H444" s="20">
        <v>98.5</v>
      </c>
      <c r="I444" s="20">
        <v>98.5</v>
      </c>
      <c r="J444" s="20">
        <v>98.5</v>
      </c>
      <c r="K444" s="20"/>
      <c r="L444" s="20"/>
      <c r="M444" s="20"/>
      <c r="N444" s="20"/>
      <c r="O444" s="20"/>
      <c r="P444" s="20"/>
      <c r="T444" s="20"/>
      <c r="U444" s="20"/>
      <c r="V444" s="20"/>
      <c r="W444" s="20">
        <f t="shared" si="13"/>
        <v>98.5</v>
      </c>
      <c r="X444" s="20">
        <f t="shared" si="13"/>
        <v>98.5</v>
      </c>
      <c r="Y444" s="20">
        <f t="shared" si="13"/>
        <v>98.5</v>
      </c>
    </row>
    <row r="445" spans="1:25" s="17" customFormat="1" ht="25.5">
      <c r="A445" s="108" t="str">
        <f t="shared" si="12"/>
        <v>606070117 0 00 00000000</v>
      </c>
      <c r="B445" s="197" t="s">
        <v>430</v>
      </c>
      <c r="C445" s="198" t="s">
        <v>394</v>
      </c>
      <c r="D445" s="199" t="s">
        <v>229</v>
      </c>
      <c r="E445" s="199" t="s">
        <v>11</v>
      </c>
      <c r="F445" s="199" t="s">
        <v>431</v>
      </c>
      <c r="G445" s="199" t="s">
        <v>9</v>
      </c>
      <c r="H445" s="20">
        <v>2538.87</v>
      </c>
      <c r="I445" s="20">
        <v>2538.87</v>
      </c>
      <c r="J445" s="20">
        <v>2538.87</v>
      </c>
      <c r="K445" s="20"/>
      <c r="L445" s="20"/>
      <c r="M445" s="20"/>
      <c r="N445" s="20"/>
      <c r="O445" s="20"/>
      <c r="P445" s="20"/>
      <c r="T445" s="20">
        <v>21.5</v>
      </c>
      <c r="U445" s="20">
        <v>0</v>
      </c>
      <c r="V445" s="20">
        <v>0</v>
      </c>
      <c r="W445" s="20">
        <f t="shared" si="13"/>
        <v>2517.37</v>
      </c>
      <c r="X445" s="20">
        <f t="shared" si="13"/>
        <v>2538.87</v>
      </c>
      <c r="Y445" s="20">
        <f t="shared" si="13"/>
        <v>2538.87</v>
      </c>
    </row>
    <row r="446" spans="1:25" s="17" customFormat="1" ht="38.25">
      <c r="A446" s="108" t="str">
        <f t="shared" si="12"/>
        <v>606070117 Б 00 00000000</v>
      </c>
      <c r="B446" s="201" t="s">
        <v>432</v>
      </c>
      <c r="C446" s="198" t="s">
        <v>394</v>
      </c>
      <c r="D446" s="199" t="s">
        <v>229</v>
      </c>
      <c r="E446" s="199" t="s">
        <v>11</v>
      </c>
      <c r="F446" s="199" t="s">
        <v>433</v>
      </c>
      <c r="G446" s="199" t="s">
        <v>9</v>
      </c>
      <c r="H446" s="20">
        <v>2538.87</v>
      </c>
      <c r="I446" s="20">
        <v>2538.87</v>
      </c>
      <c r="J446" s="20">
        <v>2538.87</v>
      </c>
      <c r="K446" s="20"/>
      <c r="L446" s="20"/>
      <c r="M446" s="20"/>
      <c r="N446" s="20"/>
      <c r="O446" s="20"/>
      <c r="P446" s="20"/>
      <c r="T446" s="20">
        <v>5841.77</v>
      </c>
      <c r="U446" s="20">
        <v>0</v>
      </c>
      <c r="V446" s="20">
        <v>0</v>
      </c>
      <c r="W446" s="20">
        <f t="shared" si="13"/>
        <v>-3302.9000000000005</v>
      </c>
      <c r="X446" s="20">
        <f t="shared" si="13"/>
        <v>2538.87</v>
      </c>
      <c r="Y446" s="20">
        <f t="shared" si="13"/>
        <v>2538.87</v>
      </c>
    </row>
    <row r="447" spans="1:25" s="17" customFormat="1" ht="25.5">
      <c r="A447" s="108" t="str">
        <f t="shared" si="12"/>
        <v>606070117 Б 01 00000000</v>
      </c>
      <c r="B447" s="197" t="s">
        <v>434</v>
      </c>
      <c r="C447" s="198" t="s">
        <v>394</v>
      </c>
      <c r="D447" s="199" t="s">
        <v>229</v>
      </c>
      <c r="E447" s="199" t="s">
        <v>11</v>
      </c>
      <c r="F447" s="199" t="s">
        <v>435</v>
      </c>
      <c r="G447" s="199" t="s">
        <v>9</v>
      </c>
      <c r="H447" s="20">
        <v>2538.87</v>
      </c>
      <c r="I447" s="20">
        <v>2538.87</v>
      </c>
      <c r="J447" s="20">
        <v>2538.87</v>
      </c>
      <c r="K447" s="20"/>
      <c r="L447" s="20"/>
      <c r="M447" s="20"/>
      <c r="N447" s="20"/>
      <c r="O447" s="20"/>
      <c r="P447" s="20"/>
      <c r="T447" s="20">
        <v>463.01</v>
      </c>
      <c r="U447" s="20">
        <v>0</v>
      </c>
      <c r="V447" s="20">
        <v>0</v>
      </c>
      <c r="W447" s="20">
        <f t="shared" si="13"/>
        <v>2075.8599999999997</v>
      </c>
      <c r="X447" s="20">
        <f t="shared" si="13"/>
        <v>2538.87</v>
      </c>
      <c r="Y447" s="20">
        <f t="shared" si="13"/>
        <v>2538.87</v>
      </c>
    </row>
    <row r="448" spans="1:25" s="17" customFormat="1" ht="25.5">
      <c r="A448" s="108" t="str">
        <f t="shared" si="12"/>
        <v>606070117 Б 01 20490000</v>
      </c>
      <c r="B448" s="205" t="s">
        <v>436</v>
      </c>
      <c r="C448" s="198" t="s">
        <v>394</v>
      </c>
      <c r="D448" s="199" t="s">
        <v>229</v>
      </c>
      <c r="E448" s="199" t="s">
        <v>11</v>
      </c>
      <c r="F448" s="199" t="s">
        <v>437</v>
      </c>
      <c r="G448" s="199" t="s">
        <v>9</v>
      </c>
      <c r="H448" s="20">
        <v>2538.87</v>
      </c>
      <c r="I448" s="20">
        <v>2538.87</v>
      </c>
      <c r="J448" s="20">
        <v>2538.87</v>
      </c>
      <c r="K448" s="20"/>
      <c r="L448" s="20"/>
      <c r="M448" s="20"/>
      <c r="N448" s="20"/>
      <c r="O448" s="20"/>
      <c r="P448" s="20"/>
      <c r="T448" s="20"/>
      <c r="U448" s="20"/>
      <c r="V448" s="20"/>
      <c r="W448" s="20">
        <f t="shared" si="13"/>
        <v>2538.87</v>
      </c>
      <c r="X448" s="20">
        <f t="shared" si="13"/>
        <v>2538.87</v>
      </c>
      <c r="Y448" s="20">
        <f t="shared" si="13"/>
        <v>2538.87</v>
      </c>
    </row>
    <row r="449" spans="1:25" s="17" customFormat="1">
      <c r="A449" s="108" t="str">
        <f t="shared" si="12"/>
        <v>606070117 Б 01 20490610</v>
      </c>
      <c r="B449" s="205" t="s">
        <v>403</v>
      </c>
      <c r="C449" s="198" t="s">
        <v>394</v>
      </c>
      <c r="D449" s="199" t="s">
        <v>229</v>
      </c>
      <c r="E449" s="199" t="s">
        <v>11</v>
      </c>
      <c r="F449" s="199" t="s">
        <v>437</v>
      </c>
      <c r="G449" s="199" t="s">
        <v>404</v>
      </c>
      <c r="H449" s="20">
        <v>2538.87</v>
      </c>
      <c r="I449" s="20">
        <v>2538.87</v>
      </c>
      <c r="J449" s="20">
        <v>2538.87</v>
      </c>
      <c r="K449" s="20"/>
      <c r="L449" s="20"/>
      <c r="M449" s="20"/>
      <c r="N449" s="20"/>
      <c r="O449" s="20"/>
      <c r="P449" s="20"/>
      <c r="T449" s="20">
        <v>463.01</v>
      </c>
      <c r="U449" s="20">
        <v>0</v>
      </c>
      <c r="V449" s="20">
        <v>0</v>
      </c>
      <c r="W449" s="20">
        <f t="shared" si="13"/>
        <v>2075.8599999999997</v>
      </c>
      <c r="X449" s="20">
        <f t="shared" si="13"/>
        <v>2538.87</v>
      </c>
      <c r="Y449" s="20">
        <f t="shared" si="13"/>
        <v>2538.87</v>
      </c>
    </row>
    <row r="450" spans="1:25" s="17" customFormat="1">
      <c r="A450" s="108" t="str">
        <f t="shared" si="12"/>
        <v>606070200 0 00 00000000</v>
      </c>
      <c r="B450" s="194" t="s">
        <v>438</v>
      </c>
      <c r="C450" s="195" t="s">
        <v>394</v>
      </c>
      <c r="D450" s="196" t="s">
        <v>229</v>
      </c>
      <c r="E450" s="196" t="s">
        <v>62</v>
      </c>
      <c r="F450" s="196" t="s">
        <v>8</v>
      </c>
      <c r="G450" s="196" t="s">
        <v>9</v>
      </c>
      <c r="H450" s="19">
        <v>1775188.7200000002</v>
      </c>
      <c r="I450" s="19">
        <v>1688783.83</v>
      </c>
      <c r="J450" s="19">
        <v>1691634.97</v>
      </c>
      <c r="K450" s="20"/>
      <c r="L450" s="20"/>
      <c r="M450" s="20"/>
      <c r="N450" s="20"/>
      <c r="O450" s="20"/>
      <c r="P450" s="20"/>
      <c r="T450" s="20">
        <v>463.01</v>
      </c>
      <c r="U450" s="20">
        <v>0</v>
      </c>
      <c r="V450" s="20">
        <v>0</v>
      </c>
      <c r="W450" s="20">
        <f t="shared" si="13"/>
        <v>1774725.7100000002</v>
      </c>
      <c r="X450" s="20">
        <f t="shared" si="13"/>
        <v>1688783.83</v>
      </c>
      <c r="Y450" s="20">
        <f t="shared" si="13"/>
        <v>1691634.97</v>
      </c>
    </row>
    <row r="451" spans="1:25" s="17" customFormat="1" ht="25.5">
      <c r="A451" s="108" t="str">
        <f t="shared" si="12"/>
        <v>606070201 0 00 00000000</v>
      </c>
      <c r="B451" s="205" t="s">
        <v>396</v>
      </c>
      <c r="C451" s="198" t="s">
        <v>394</v>
      </c>
      <c r="D451" s="199" t="s">
        <v>229</v>
      </c>
      <c r="E451" s="199" t="s">
        <v>62</v>
      </c>
      <c r="F451" s="199" t="s">
        <v>397</v>
      </c>
      <c r="G451" s="199" t="s">
        <v>9</v>
      </c>
      <c r="H451" s="20">
        <v>1756209.3900000001</v>
      </c>
      <c r="I451" s="20">
        <v>1680705.15</v>
      </c>
      <c r="J451" s="20">
        <v>1684336.2899999998</v>
      </c>
      <c r="K451" s="20"/>
      <c r="L451" s="20"/>
      <c r="M451" s="20"/>
      <c r="N451" s="20"/>
      <c r="O451" s="20"/>
      <c r="P451" s="20"/>
      <c r="T451" s="20">
        <v>3720</v>
      </c>
      <c r="U451" s="20">
        <v>6819.62</v>
      </c>
      <c r="V451" s="20">
        <v>0</v>
      </c>
      <c r="W451" s="20">
        <f t="shared" si="13"/>
        <v>1752489.3900000001</v>
      </c>
      <c r="X451" s="20">
        <f t="shared" si="13"/>
        <v>1673885.5299999998</v>
      </c>
      <c r="Y451" s="20">
        <f t="shared" si="13"/>
        <v>1684336.2899999998</v>
      </c>
    </row>
    <row r="452" spans="1:25" s="17" customFormat="1" ht="25.5">
      <c r="A452" s="108" t="str">
        <f t="shared" si="12"/>
        <v>606070201 1 00 00000000</v>
      </c>
      <c r="B452" s="205" t="s">
        <v>398</v>
      </c>
      <c r="C452" s="198" t="s">
        <v>394</v>
      </c>
      <c r="D452" s="199" t="s">
        <v>229</v>
      </c>
      <c r="E452" s="199" t="s">
        <v>62</v>
      </c>
      <c r="F452" s="199" t="s">
        <v>399</v>
      </c>
      <c r="G452" s="199" t="s">
        <v>9</v>
      </c>
      <c r="H452" s="20">
        <v>1756209.3900000001</v>
      </c>
      <c r="I452" s="20">
        <v>1673885.5299999998</v>
      </c>
      <c r="J452" s="20">
        <v>1684336.2899999998</v>
      </c>
      <c r="K452" s="20"/>
      <c r="L452" s="20"/>
      <c r="M452" s="20"/>
      <c r="N452" s="20"/>
      <c r="O452" s="20"/>
      <c r="P452" s="20"/>
      <c r="T452" s="20">
        <v>3720</v>
      </c>
      <c r="U452" s="20">
        <v>6819.62</v>
      </c>
      <c r="V452" s="20">
        <v>0</v>
      </c>
      <c r="W452" s="20">
        <f t="shared" si="13"/>
        <v>1752489.3900000001</v>
      </c>
      <c r="X452" s="20">
        <f t="shared" si="13"/>
        <v>1667065.9099999997</v>
      </c>
      <c r="Y452" s="20">
        <f t="shared" si="13"/>
        <v>1684336.2899999998</v>
      </c>
    </row>
    <row r="453" spans="1:25" s="17" customFormat="1" ht="38.25">
      <c r="A453" s="108" t="str">
        <f t="shared" si="12"/>
        <v>606070201 1 02 00000000</v>
      </c>
      <c r="B453" s="205" t="s">
        <v>439</v>
      </c>
      <c r="C453" s="198" t="s">
        <v>394</v>
      </c>
      <c r="D453" s="199" t="s">
        <v>229</v>
      </c>
      <c r="E453" s="199" t="s">
        <v>62</v>
      </c>
      <c r="F453" s="199" t="s">
        <v>440</v>
      </c>
      <c r="G453" s="199" t="s">
        <v>9</v>
      </c>
      <c r="H453" s="20">
        <v>1678176.7700000003</v>
      </c>
      <c r="I453" s="20">
        <v>1669885.5299999998</v>
      </c>
      <c r="J453" s="20">
        <v>1680336.2899999998</v>
      </c>
      <c r="K453" s="20"/>
      <c r="L453" s="20"/>
      <c r="M453" s="20"/>
      <c r="N453" s="20"/>
      <c r="O453" s="20"/>
      <c r="P453" s="20"/>
      <c r="T453" s="20">
        <v>3720</v>
      </c>
      <c r="U453" s="20">
        <v>6819.62</v>
      </c>
      <c r="V453" s="20">
        <v>0</v>
      </c>
      <c r="W453" s="20">
        <f t="shared" si="13"/>
        <v>1674456.7700000003</v>
      </c>
      <c r="X453" s="20">
        <f t="shared" si="13"/>
        <v>1663065.9099999997</v>
      </c>
      <c r="Y453" s="20">
        <f t="shared" si="13"/>
        <v>1680336.2899999998</v>
      </c>
    </row>
    <row r="454" spans="1:25" s="17" customFormat="1" ht="25.5">
      <c r="A454" s="108" t="str">
        <f t="shared" ref="A454:A517" si="14">C454&amp;D454&amp;E454&amp;F454&amp;G454</f>
        <v>606070201 1 02 11010000</v>
      </c>
      <c r="B454" s="205" t="s">
        <v>136</v>
      </c>
      <c r="C454" s="198" t="s">
        <v>394</v>
      </c>
      <c r="D454" s="199" t="s">
        <v>229</v>
      </c>
      <c r="E454" s="199" t="s">
        <v>62</v>
      </c>
      <c r="F454" s="199" t="s">
        <v>441</v>
      </c>
      <c r="G454" s="199" t="s">
        <v>9</v>
      </c>
      <c r="H454" s="20">
        <v>586409.53</v>
      </c>
      <c r="I454" s="20">
        <v>588242.12999999989</v>
      </c>
      <c r="J454" s="20">
        <v>588242.12999999989</v>
      </c>
      <c r="K454" s="20"/>
      <c r="L454" s="20"/>
      <c r="M454" s="20"/>
      <c r="N454" s="20"/>
      <c r="O454" s="20"/>
      <c r="P454" s="20"/>
      <c r="T454" s="20"/>
      <c r="U454" s="20"/>
      <c r="V454" s="20"/>
      <c r="W454" s="20">
        <f t="shared" si="13"/>
        <v>586409.53</v>
      </c>
      <c r="X454" s="20">
        <f t="shared" si="13"/>
        <v>588242.12999999989</v>
      </c>
      <c r="Y454" s="20">
        <f t="shared" si="13"/>
        <v>588242.12999999989</v>
      </c>
    </row>
    <row r="455" spans="1:25" s="17" customFormat="1">
      <c r="A455" s="108" t="str">
        <f t="shared" si="14"/>
        <v>606070201 1 02 11010110</v>
      </c>
      <c r="B455" s="321" t="s">
        <v>138</v>
      </c>
      <c r="C455" s="198" t="s">
        <v>394</v>
      </c>
      <c r="D455" s="199" t="s">
        <v>229</v>
      </c>
      <c r="E455" s="199" t="s">
        <v>62</v>
      </c>
      <c r="F455" s="199" t="s">
        <v>441</v>
      </c>
      <c r="G455" s="199" t="s">
        <v>139</v>
      </c>
      <c r="H455" s="20">
        <v>395.39</v>
      </c>
      <c r="I455" s="20">
        <v>0</v>
      </c>
      <c r="J455" s="20">
        <v>0</v>
      </c>
      <c r="K455" s="20"/>
      <c r="L455" s="20"/>
      <c r="M455" s="20"/>
      <c r="N455" s="20"/>
      <c r="O455" s="20"/>
      <c r="P455" s="20"/>
      <c r="T455" s="20">
        <v>3720</v>
      </c>
      <c r="U455" s="20">
        <v>6819.62</v>
      </c>
      <c r="V455" s="20">
        <v>0</v>
      </c>
      <c r="W455" s="20">
        <f t="shared" si="13"/>
        <v>-3324.61</v>
      </c>
      <c r="X455" s="20">
        <f t="shared" si="13"/>
        <v>-6819.62</v>
      </c>
      <c r="Y455" s="20">
        <f t="shared" si="13"/>
        <v>0</v>
      </c>
    </row>
    <row r="456" spans="1:25" s="62" customFormat="1">
      <c r="A456" s="108" t="str">
        <f t="shared" si="14"/>
        <v>606070201 1 02 11010610</v>
      </c>
      <c r="B456" s="205" t="s">
        <v>403</v>
      </c>
      <c r="C456" s="198" t="s">
        <v>394</v>
      </c>
      <c r="D456" s="199" t="s">
        <v>229</v>
      </c>
      <c r="E456" s="199" t="s">
        <v>62</v>
      </c>
      <c r="F456" s="199" t="s">
        <v>441</v>
      </c>
      <c r="G456" s="199" t="s">
        <v>404</v>
      </c>
      <c r="H456" s="20">
        <v>541633.42999999993</v>
      </c>
      <c r="I456" s="20">
        <v>544023.74999999988</v>
      </c>
      <c r="J456" s="20">
        <v>544023.74999999988</v>
      </c>
      <c r="K456" s="235"/>
      <c r="L456" s="235"/>
      <c r="M456" s="235"/>
      <c r="N456" s="235"/>
      <c r="O456" s="235"/>
      <c r="P456" s="235"/>
      <c r="Q456" s="17"/>
      <c r="T456" s="235">
        <v>3720</v>
      </c>
      <c r="U456" s="235">
        <v>6819.62</v>
      </c>
      <c r="V456" s="235">
        <v>0</v>
      </c>
      <c r="W456" s="235">
        <f t="shared" ref="W456:Y519" si="15">H456-T456</f>
        <v>537913.42999999993</v>
      </c>
      <c r="X456" s="235">
        <f t="shared" si="15"/>
        <v>537204.12999999989</v>
      </c>
      <c r="Y456" s="235">
        <f t="shared" si="15"/>
        <v>544023.74999999988</v>
      </c>
    </row>
    <row r="457" spans="1:25" s="17" customFormat="1">
      <c r="A457" s="108" t="str">
        <f t="shared" si="14"/>
        <v/>
      </c>
      <c r="B457" s="220" t="s">
        <v>1104</v>
      </c>
      <c r="C457" s="198"/>
      <c r="D457" s="199"/>
      <c r="E457" s="199"/>
      <c r="F457" s="199"/>
      <c r="G457" s="199"/>
      <c r="H457" s="20"/>
      <c r="I457" s="20"/>
      <c r="J457" s="20"/>
      <c r="K457" s="20"/>
      <c r="L457" s="20"/>
      <c r="M457" s="20"/>
      <c r="N457" s="20"/>
      <c r="O457" s="20"/>
      <c r="P457" s="20"/>
      <c r="T457" s="20">
        <v>11981.689999999999</v>
      </c>
      <c r="U457" s="20">
        <v>2671.95</v>
      </c>
      <c r="V457" s="20">
        <v>1891.95</v>
      </c>
      <c r="W457" s="20">
        <f t="shared" si="15"/>
        <v>-11981.689999999999</v>
      </c>
      <c r="X457" s="20">
        <f t="shared" si="15"/>
        <v>-2671.95</v>
      </c>
      <c r="Y457" s="20">
        <f t="shared" si="15"/>
        <v>-1891.95</v>
      </c>
    </row>
    <row r="458" spans="1:25" s="17" customFormat="1">
      <c r="A458" s="108" t="str">
        <f t="shared" si="14"/>
        <v>606070201 1 02 11010610</v>
      </c>
      <c r="B458" s="221" t="s">
        <v>1105</v>
      </c>
      <c r="C458" s="222" t="s">
        <v>394</v>
      </c>
      <c r="D458" s="223" t="s">
        <v>229</v>
      </c>
      <c r="E458" s="223" t="s">
        <v>62</v>
      </c>
      <c r="F458" s="223" t="s">
        <v>441</v>
      </c>
      <c r="G458" s="223" t="s">
        <v>404</v>
      </c>
      <c r="H458" s="224">
        <v>3650.03</v>
      </c>
      <c r="I458" s="224">
        <v>0</v>
      </c>
      <c r="J458" s="224">
        <v>0</v>
      </c>
      <c r="K458" s="20"/>
      <c r="L458" s="20"/>
      <c r="M458" s="20"/>
      <c r="N458" s="20"/>
      <c r="O458" s="20"/>
      <c r="P458" s="20"/>
      <c r="T458" s="20">
        <v>10083.07</v>
      </c>
      <c r="U458" s="20">
        <v>780</v>
      </c>
      <c r="V458" s="20">
        <v>0</v>
      </c>
      <c r="W458" s="20">
        <f t="shared" si="15"/>
        <v>-6433.0399999999991</v>
      </c>
      <c r="X458" s="20">
        <f t="shared" si="15"/>
        <v>-780</v>
      </c>
      <c r="Y458" s="20">
        <f t="shared" si="15"/>
        <v>0</v>
      </c>
    </row>
    <row r="459" spans="1:25" s="211" customFormat="1">
      <c r="A459" s="108" t="str">
        <f t="shared" si="14"/>
        <v>606070201 1 02 11010620</v>
      </c>
      <c r="B459" s="205" t="s">
        <v>409</v>
      </c>
      <c r="C459" s="198" t="s">
        <v>394</v>
      </c>
      <c r="D459" s="199" t="s">
        <v>229</v>
      </c>
      <c r="E459" s="199" t="s">
        <v>62</v>
      </c>
      <c r="F459" s="199" t="s">
        <v>441</v>
      </c>
      <c r="G459" s="199" t="s">
        <v>410</v>
      </c>
      <c r="H459" s="20">
        <v>40934.030000000006</v>
      </c>
      <c r="I459" s="20">
        <v>41141.4</v>
      </c>
      <c r="J459" s="20">
        <v>41141.4</v>
      </c>
      <c r="K459" s="218"/>
      <c r="L459" s="218"/>
      <c r="M459" s="218"/>
      <c r="N459" s="218"/>
      <c r="O459" s="218"/>
      <c r="P459" s="218"/>
      <c r="T459" s="218">
        <v>0</v>
      </c>
      <c r="U459" s="218">
        <v>0</v>
      </c>
      <c r="V459" s="218">
        <v>0</v>
      </c>
      <c r="W459" s="218">
        <f t="shared" si="15"/>
        <v>40934.030000000006</v>
      </c>
      <c r="X459" s="218">
        <f t="shared" si="15"/>
        <v>41141.4</v>
      </c>
      <c r="Y459" s="218">
        <f t="shared" si="15"/>
        <v>41141.4</v>
      </c>
    </row>
    <row r="460" spans="1:25" s="211" customFormat="1">
      <c r="A460" s="108" t="str">
        <f t="shared" si="14"/>
        <v/>
      </c>
      <c r="B460" s="220" t="s">
        <v>1104</v>
      </c>
      <c r="C460" s="198"/>
      <c r="D460" s="199"/>
      <c r="E460" s="199"/>
      <c r="F460" s="199"/>
      <c r="G460" s="199"/>
      <c r="H460" s="20"/>
      <c r="I460" s="20"/>
      <c r="J460" s="20"/>
      <c r="K460" s="218"/>
      <c r="L460" s="218"/>
      <c r="M460" s="218"/>
      <c r="N460" s="218"/>
      <c r="O460" s="218"/>
      <c r="P460" s="218"/>
      <c r="T460" s="218">
        <v>0</v>
      </c>
      <c r="U460" s="218">
        <v>0</v>
      </c>
      <c r="V460" s="218">
        <v>0</v>
      </c>
      <c r="W460" s="218">
        <f t="shared" si="15"/>
        <v>0</v>
      </c>
      <c r="X460" s="218">
        <f t="shared" si="15"/>
        <v>0</v>
      </c>
      <c r="Y460" s="218">
        <f t="shared" si="15"/>
        <v>0</v>
      </c>
    </row>
    <row r="461" spans="1:25" s="211" customFormat="1">
      <c r="A461" s="108" t="str">
        <f t="shared" si="14"/>
        <v>606070201 1 02 11010620</v>
      </c>
      <c r="B461" s="221" t="s">
        <v>1105</v>
      </c>
      <c r="C461" s="222" t="s">
        <v>394</v>
      </c>
      <c r="D461" s="223" t="s">
        <v>229</v>
      </c>
      <c r="E461" s="223" t="s">
        <v>62</v>
      </c>
      <c r="F461" s="223" t="s">
        <v>441</v>
      </c>
      <c r="G461" s="223" t="s">
        <v>410</v>
      </c>
      <c r="H461" s="224">
        <v>557.41</v>
      </c>
      <c r="I461" s="224">
        <v>0</v>
      </c>
      <c r="J461" s="224">
        <v>0</v>
      </c>
      <c r="K461" s="218"/>
      <c r="L461" s="218"/>
      <c r="M461" s="218"/>
      <c r="N461" s="218"/>
      <c r="O461" s="218"/>
      <c r="P461" s="218"/>
      <c r="T461" s="218">
        <v>0</v>
      </c>
      <c r="U461" s="218">
        <v>0</v>
      </c>
      <c r="V461" s="218">
        <v>0</v>
      </c>
      <c r="W461" s="218">
        <f t="shared" si="15"/>
        <v>557.41</v>
      </c>
      <c r="X461" s="218">
        <f t="shared" si="15"/>
        <v>0</v>
      </c>
      <c r="Y461" s="218">
        <f t="shared" si="15"/>
        <v>0</v>
      </c>
    </row>
    <row r="462" spans="1:25" s="17" customFormat="1" ht="25.5">
      <c r="A462" s="108" t="str">
        <f t="shared" si="14"/>
        <v>606070201 1 02 11010630</v>
      </c>
      <c r="B462" s="197" t="s">
        <v>182</v>
      </c>
      <c r="C462" s="198" t="s">
        <v>394</v>
      </c>
      <c r="D462" s="199" t="s">
        <v>229</v>
      </c>
      <c r="E462" s="199" t="s">
        <v>62</v>
      </c>
      <c r="F462" s="199" t="s">
        <v>441</v>
      </c>
      <c r="G462" s="199" t="s">
        <v>183</v>
      </c>
      <c r="H462" s="20">
        <v>3446.68</v>
      </c>
      <c r="I462" s="20">
        <v>3076.98</v>
      </c>
      <c r="J462" s="20">
        <v>3076.98</v>
      </c>
      <c r="K462" s="20"/>
      <c r="L462" s="20"/>
      <c r="M462" s="20"/>
      <c r="N462" s="20"/>
      <c r="O462" s="20"/>
      <c r="P462" s="20"/>
      <c r="T462" s="20">
        <v>10083.07</v>
      </c>
      <c r="U462" s="20">
        <v>780</v>
      </c>
      <c r="V462" s="20">
        <v>0</v>
      </c>
      <c r="W462" s="20">
        <f t="shared" si="15"/>
        <v>-6636.3899999999994</v>
      </c>
      <c r="X462" s="20">
        <f t="shared" si="15"/>
        <v>2296.98</v>
      </c>
      <c r="Y462" s="20">
        <f t="shared" si="15"/>
        <v>3076.98</v>
      </c>
    </row>
    <row r="463" spans="1:25" s="17" customFormat="1">
      <c r="A463" s="108" t="str">
        <f t="shared" si="14"/>
        <v/>
      </c>
      <c r="B463" s="220" t="s">
        <v>1104</v>
      </c>
      <c r="C463" s="198"/>
      <c r="D463" s="199"/>
      <c r="E463" s="199"/>
      <c r="F463" s="199"/>
      <c r="G463" s="199"/>
      <c r="H463" s="20"/>
      <c r="I463" s="20"/>
      <c r="J463" s="20"/>
      <c r="K463" s="20"/>
      <c r="L463" s="20"/>
      <c r="M463" s="20"/>
      <c r="N463" s="20"/>
      <c r="O463" s="20"/>
      <c r="P463" s="20"/>
      <c r="T463" s="20">
        <v>10083.07</v>
      </c>
      <c r="U463" s="20">
        <v>780</v>
      </c>
      <c r="V463" s="20">
        <v>0</v>
      </c>
      <c r="W463" s="20">
        <f t="shared" si="15"/>
        <v>-10083.07</v>
      </c>
      <c r="X463" s="20">
        <f t="shared" si="15"/>
        <v>-780</v>
      </c>
      <c r="Y463" s="20">
        <f t="shared" si="15"/>
        <v>0</v>
      </c>
    </row>
    <row r="464" spans="1:25" s="17" customFormat="1">
      <c r="A464" s="108" t="str">
        <f t="shared" si="14"/>
        <v>606070201 1 02 11010630</v>
      </c>
      <c r="B464" s="221" t="s">
        <v>1105</v>
      </c>
      <c r="C464" s="222" t="s">
        <v>394</v>
      </c>
      <c r="D464" s="223" t="s">
        <v>229</v>
      </c>
      <c r="E464" s="223" t="s">
        <v>62</v>
      </c>
      <c r="F464" s="223" t="s">
        <v>441</v>
      </c>
      <c r="G464" s="223" t="s">
        <v>183</v>
      </c>
      <c r="H464" s="224">
        <v>369.7</v>
      </c>
      <c r="I464" s="224">
        <v>0</v>
      </c>
      <c r="J464" s="224">
        <v>0</v>
      </c>
      <c r="K464" s="20"/>
      <c r="L464" s="20"/>
      <c r="M464" s="20"/>
      <c r="N464" s="20"/>
      <c r="O464" s="20"/>
      <c r="P464" s="20"/>
      <c r="T464" s="20">
        <v>10083.07</v>
      </c>
      <c r="U464" s="20">
        <v>780</v>
      </c>
      <c r="V464" s="20">
        <v>0</v>
      </c>
      <c r="W464" s="20">
        <f t="shared" si="15"/>
        <v>-9713.369999999999</v>
      </c>
      <c r="X464" s="20">
        <f t="shared" si="15"/>
        <v>-780</v>
      </c>
      <c r="Y464" s="20">
        <f t="shared" si="15"/>
        <v>0</v>
      </c>
    </row>
    <row r="465" spans="1:25" s="17" customFormat="1" ht="102">
      <c r="A465" s="108" t="str">
        <f t="shared" si="14"/>
        <v>606070201 1 02 77160000</v>
      </c>
      <c r="B465" s="200" t="s">
        <v>442</v>
      </c>
      <c r="C465" s="198" t="s">
        <v>394</v>
      </c>
      <c r="D465" s="199" t="s">
        <v>229</v>
      </c>
      <c r="E465" s="199" t="s">
        <v>62</v>
      </c>
      <c r="F465" s="199" t="s">
        <v>443</v>
      </c>
      <c r="G465" s="199" t="s">
        <v>9</v>
      </c>
      <c r="H465" s="20">
        <v>1084010.7900000003</v>
      </c>
      <c r="I465" s="20">
        <v>1081643.3999999999</v>
      </c>
      <c r="J465" s="20">
        <v>1092094.1599999999</v>
      </c>
      <c r="K465" s="20"/>
      <c r="L465" s="20"/>
      <c r="M465" s="20"/>
      <c r="N465" s="20"/>
      <c r="O465" s="20"/>
      <c r="P465" s="20"/>
      <c r="T465" s="20">
        <v>223.82</v>
      </c>
      <c r="U465" s="20">
        <v>217.15</v>
      </c>
      <c r="V465" s="20">
        <v>217.15</v>
      </c>
      <c r="W465" s="20">
        <f t="shared" si="15"/>
        <v>1083786.9700000002</v>
      </c>
      <c r="X465" s="20">
        <f t="shared" si="15"/>
        <v>1081426.25</v>
      </c>
      <c r="Y465" s="20">
        <f t="shared" si="15"/>
        <v>1091877.01</v>
      </c>
    </row>
    <row r="466" spans="1:25" s="17" customFormat="1">
      <c r="A466" s="108" t="str">
        <f t="shared" si="14"/>
        <v>606070201 1 02 77160110</v>
      </c>
      <c r="B466" s="321" t="s">
        <v>138</v>
      </c>
      <c r="C466" s="198" t="s">
        <v>394</v>
      </c>
      <c r="D466" s="199" t="s">
        <v>229</v>
      </c>
      <c r="E466" s="199" t="s">
        <v>62</v>
      </c>
      <c r="F466" s="199" t="s">
        <v>443</v>
      </c>
      <c r="G466" s="199" t="s">
        <v>139</v>
      </c>
      <c r="H466" s="20">
        <v>3114.87</v>
      </c>
      <c r="I466" s="20">
        <v>0</v>
      </c>
      <c r="J466" s="20">
        <v>0</v>
      </c>
      <c r="K466" s="20"/>
      <c r="L466" s="20"/>
      <c r="M466" s="20"/>
      <c r="N466" s="20"/>
      <c r="O466" s="20"/>
      <c r="P466" s="20"/>
      <c r="T466" s="20">
        <v>223.82</v>
      </c>
      <c r="U466" s="20">
        <v>217.15</v>
      </c>
      <c r="V466" s="20">
        <v>217.15</v>
      </c>
      <c r="W466" s="20">
        <f t="shared" si="15"/>
        <v>2891.0499999999997</v>
      </c>
      <c r="X466" s="20">
        <f t="shared" si="15"/>
        <v>-217.15</v>
      </c>
      <c r="Y466" s="20">
        <f t="shared" si="15"/>
        <v>-217.15</v>
      </c>
    </row>
    <row r="467" spans="1:25" s="17" customFormat="1">
      <c r="A467" s="108" t="str">
        <f t="shared" si="14"/>
        <v>606070201 1 02 77160610</v>
      </c>
      <c r="B467" s="205" t="s">
        <v>403</v>
      </c>
      <c r="C467" s="198" t="s">
        <v>394</v>
      </c>
      <c r="D467" s="199" t="s">
        <v>229</v>
      </c>
      <c r="E467" s="199" t="s">
        <v>62</v>
      </c>
      <c r="F467" s="199" t="s">
        <v>443</v>
      </c>
      <c r="G467" s="199" t="s">
        <v>404</v>
      </c>
      <c r="H467" s="20">
        <v>961267.38</v>
      </c>
      <c r="I467" s="20">
        <v>961646.5</v>
      </c>
      <c r="J467" s="20">
        <v>971150.7</v>
      </c>
      <c r="K467" s="20"/>
      <c r="L467" s="20"/>
      <c r="M467" s="20"/>
      <c r="N467" s="20"/>
      <c r="O467" s="20"/>
      <c r="P467" s="20"/>
      <c r="T467" s="20">
        <v>223.82</v>
      </c>
      <c r="U467" s="20">
        <v>217.15</v>
      </c>
      <c r="V467" s="20">
        <v>217.15</v>
      </c>
      <c r="W467" s="20">
        <f t="shared" si="15"/>
        <v>961043.56</v>
      </c>
      <c r="X467" s="20">
        <f t="shared" si="15"/>
        <v>961429.35</v>
      </c>
      <c r="Y467" s="20">
        <f t="shared" si="15"/>
        <v>970933.54999999993</v>
      </c>
    </row>
    <row r="468" spans="1:25" s="17" customFormat="1">
      <c r="A468" s="108" t="str">
        <f t="shared" si="14"/>
        <v>606070201 1 02 77160620</v>
      </c>
      <c r="B468" s="205" t="s">
        <v>409</v>
      </c>
      <c r="C468" s="198" t="s">
        <v>394</v>
      </c>
      <c r="D468" s="199" t="s">
        <v>229</v>
      </c>
      <c r="E468" s="199" t="s">
        <v>62</v>
      </c>
      <c r="F468" s="199" t="s">
        <v>443</v>
      </c>
      <c r="G468" s="199" t="s">
        <v>410</v>
      </c>
      <c r="H468" s="20">
        <v>114896.7</v>
      </c>
      <c r="I468" s="20">
        <v>115222.5</v>
      </c>
      <c r="J468" s="20">
        <v>116121.72</v>
      </c>
      <c r="K468" s="20"/>
      <c r="L468" s="20"/>
      <c r="M468" s="20"/>
      <c r="N468" s="20"/>
      <c r="O468" s="20"/>
      <c r="P468" s="20"/>
      <c r="T468" s="20"/>
      <c r="U468" s="20"/>
      <c r="V468" s="20"/>
      <c r="W468" s="20">
        <f t="shared" si="15"/>
        <v>114896.7</v>
      </c>
      <c r="X468" s="20">
        <f t="shared" si="15"/>
        <v>115222.5</v>
      </c>
      <c r="Y468" s="20">
        <f t="shared" si="15"/>
        <v>116121.72</v>
      </c>
    </row>
    <row r="469" spans="1:25" s="17" customFormat="1" ht="25.5">
      <c r="A469" s="108" t="str">
        <f t="shared" si="14"/>
        <v>606070201 1 02 77160630</v>
      </c>
      <c r="B469" s="197" t="s">
        <v>182</v>
      </c>
      <c r="C469" s="198" t="s">
        <v>394</v>
      </c>
      <c r="D469" s="199" t="s">
        <v>229</v>
      </c>
      <c r="E469" s="199" t="s">
        <v>62</v>
      </c>
      <c r="F469" s="199" t="s">
        <v>443</v>
      </c>
      <c r="G469" s="199" t="s">
        <v>183</v>
      </c>
      <c r="H469" s="20">
        <v>4731.84</v>
      </c>
      <c r="I469" s="20">
        <v>4774.3999999999996</v>
      </c>
      <c r="J469" s="20">
        <v>4821.74</v>
      </c>
      <c r="K469" s="20"/>
      <c r="L469" s="20"/>
      <c r="M469" s="20"/>
      <c r="N469" s="20"/>
      <c r="O469" s="20"/>
      <c r="P469" s="20"/>
      <c r="T469" s="20">
        <v>6.67</v>
      </c>
      <c r="U469" s="20">
        <v>0</v>
      </c>
      <c r="V469" s="20">
        <v>0</v>
      </c>
      <c r="W469" s="20">
        <f t="shared" si="15"/>
        <v>4725.17</v>
      </c>
      <c r="X469" s="20">
        <f t="shared" si="15"/>
        <v>4774.3999999999996</v>
      </c>
      <c r="Y469" s="20">
        <f t="shared" si="15"/>
        <v>4821.74</v>
      </c>
    </row>
    <row r="470" spans="1:25" s="17" customFormat="1" ht="191.25">
      <c r="A470" s="108" t="str">
        <f t="shared" si="14"/>
        <v>606070201 1 02 77460000</v>
      </c>
      <c r="B470" s="197" t="s">
        <v>1263</v>
      </c>
      <c r="C470" s="198" t="s">
        <v>394</v>
      </c>
      <c r="D470" s="199" t="s">
        <v>229</v>
      </c>
      <c r="E470" s="199" t="s">
        <v>62</v>
      </c>
      <c r="F470" s="199" t="s">
        <v>1278</v>
      </c>
      <c r="G470" s="199" t="s">
        <v>9</v>
      </c>
      <c r="H470" s="20">
        <v>7756.4500000000007</v>
      </c>
      <c r="I470" s="20">
        <v>0</v>
      </c>
      <c r="J470" s="20">
        <v>0</v>
      </c>
      <c r="K470" s="20"/>
      <c r="L470" s="20"/>
      <c r="M470" s="20"/>
      <c r="N470" s="20"/>
      <c r="O470" s="20"/>
      <c r="P470" s="20"/>
      <c r="T470" s="20">
        <v>223.82</v>
      </c>
      <c r="U470" s="20">
        <v>217.15</v>
      </c>
      <c r="V470" s="20">
        <v>217.15</v>
      </c>
      <c r="W470" s="20">
        <f t="shared" si="15"/>
        <v>7532.630000000001</v>
      </c>
      <c r="X470" s="20">
        <f t="shared" si="15"/>
        <v>-217.15</v>
      </c>
      <c r="Y470" s="20">
        <f t="shared" si="15"/>
        <v>-217.15</v>
      </c>
    </row>
    <row r="471" spans="1:25" s="17" customFormat="1">
      <c r="A471" s="108" t="str">
        <f t="shared" si="14"/>
        <v>606070201 1 02 77460610</v>
      </c>
      <c r="B471" s="205" t="s">
        <v>403</v>
      </c>
      <c r="C471" s="198" t="s">
        <v>394</v>
      </c>
      <c r="D471" s="199" t="s">
        <v>229</v>
      </c>
      <c r="E471" s="199" t="s">
        <v>62</v>
      </c>
      <c r="F471" s="199" t="s">
        <v>1278</v>
      </c>
      <c r="G471" s="199" t="s">
        <v>404</v>
      </c>
      <c r="H471" s="20">
        <v>6991.68</v>
      </c>
      <c r="I471" s="20">
        <v>0</v>
      </c>
      <c r="J471" s="20">
        <v>0</v>
      </c>
      <c r="K471" s="20"/>
      <c r="L471" s="20"/>
      <c r="M471" s="20"/>
      <c r="N471" s="20"/>
      <c r="O471" s="20"/>
      <c r="P471" s="20"/>
      <c r="T471" s="20">
        <v>1674.8</v>
      </c>
      <c r="U471" s="20">
        <v>1674.8</v>
      </c>
      <c r="V471" s="20">
        <v>1674.8</v>
      </c>
      <c r="W471" s="20">
        <f t="shared" si="15"/>
        <v>5316.88</v>
      </c>
      <c r="X471" s="20">
        <f t="shared" si="15"/>
        <v>-1674.8</v>
      </c>
      <c r="Y471" s="20">
        <f t="shared" si="15"/>
        <v>-1674.8</v>
      </c>
    </row>
    <row r="472" spans="1:25" s="17" customFormat="1">
      <c r="A472" s="108" t="str">
        <f t="shared" si="14"/>
        <v>606070201 1 02 77460620</v>
      </c>
      <c r="B472" s="205" t="s">
        <v>409</v>
      </c>
      <c r="C472" s="198" t="s">
        <v>394</v>
      </c>
      <c r="D472" s="199" t="s">
        <v>229</v>
      </c>
      <c r="E472" s="199" t="s">
        <v>62</v>
      </c>
      <c r="F472" s="199" t="s">
        <v>1278</v>
      </c>
      <c r="G472" s="199" t="s">
        <v>410</v>
      </c>
      <c r="H472" s="20">
        <v>764.77</v>
      </c>
      <c r="I472" s="20">
        <v>0</v>
      </c>
      <c r="J472" s="20">
        <v>0</v>
      </c>
      <c r="K472" s="20"/>
      <c r="L472" s="20"/>
      <c r="M472" s="20"/>
      <c r="N472" s="20"/>
      <c r="O472" s="20"/>
      <c r="P472" s="20"/>
      <c r="T472" s="20">
        <v>1674.8</v>
      </c>
      <c r="U472" s="20">
        <v>1674.8</v>
      </c>
      <c r="V472" s="20">
        <v>1674.8</v>
      </c>
      <c r="W472" s="20">
        <f t="shared" si="15"/>
        <v>-910.03</v>
      </c>
      <c r="X472" s="20">
        <f t="shared" si="15"/>
        <v>-1674.8</v>
      </c>
      <c r="Y472" s="20">
        <f t="shared" si="15"/>
        <v>-1674.8</v>
      </c>
    </row>
    <row r="473" spans="1:25" s="17" customFormat="1" ht="51">
      <c r="A473" s="108" t="str">
        <f t="shared" si="14"/>
        <v>606070201 1 06 00000000</v>
      </c>
      <c r="B473" s="197" t="s">
        <v>417</v>
      </c>
      <c r="C473" s="198" t="s">
        <v>394</v>
      </c>
      <c r="D473" s="199" t="s">
        <v>229</v>
      </c>
      <c r="E473" s="199" t="s">
        <v>62</v>
      </c>
      <c r="F473" s="199" t="s">
        <v>418</v>
      </c>
      <c r="G473" s="199" t="s">
        <v>9</v>
      </c>
      <c r="H473" s="20">
        <v>78032.62</v>
      </c>
      <c r="I473" s="20">
        <v>4000</v>
      </c>
      <c r="J473" s="20">
        <v>4000</v>
      </c>
      <c r="K473" s="20"/>
      <c r="L473" s="20"/>
      <c r="M473" s="20"/>
      <c r="N473" s="20"/>
      <c r="O473" s="20"/>
      <c r="P473" s="20"/>
      <c r="T473" s="20">
        <v>1674.8</v>
      </c>
      <c r="U473" s="20">
        <v>1674.8</v>
      </c>
      <c r="V473" s="20">
        <v>1674.8</v>
      </c>
      <c r="W473" s="20">
        <f t="shared" si="15"/>
        <v>76357.819999999992</v>
      </c>
      <c r="X473" s="20">
        <f t="shared" si="15"/>
        <v>2325.1999999999998</v>
      </c>
      <c r="Y473" s="20">
        <f t="shared" si="15"/>
        <v>2325.1999999999998</v>
      </c>
    </row>
    <row r="474" spans="1:25" s="17" customFormat="1" ht="25.5">
      <c r="A474" s="108" t="str">
        <f t="shared" si="14"/>
        <v>606070201 1 06 11010000</v>
      </c>
      <c r="B474" s="205" t="s">
        <v>136</v>
      </c>
      <c r="C474" s="198" t="s">
        <v>394</v>
      </c>
      <c r="D474" s="199" t="s">
        <v>229</v>
      </c>
      <c r="E474" s="199" t="s">
        <v>62</v>
      </c>
      <c r="F474" s="199" t="s">
        <v>419</v>
      </c>
      <c r="G474" s="199" t="s">
        <v>9</v>
      </c>
      <c r="H474" s="20">
        <v>60028.649999999994</v>
      </c>
      <c r="I474" s="20">
        <v>4000</v>
      </c>
      <c r="J474" s="20">
        <v>4000</v>
      </c>
      <c r="K474" s="20"/>
      <c r="L474" s="20"/>
      <c r="M474" s="20"/>
      <c r="N474" s="20"/>
      <c r="O474" s="20"/>
      <c r="P474" s="20"/>
      <c r="T474" s="20">
        <v>1674.8</v>
      </c>
      <c r="U474" s="20">
        <v>1674.8</v>
      </c>
      <c r="V474" s="20">
        <v>1674.8</v>
      </c>
      <c r="W474" s="20">
        <f t="shared" si="15"/>
        <v>58353.849999999991</v>
      </c>
      <c r="X474" s="20">
        <f t="shared" si="15"/>
        <v>2325.1999999999998</v>
      </c>
      <c r="Y474" s="20">
        <f t="shared" si="15"/>
        <v>2325.1999999999998</v>
      </c>
    </row>
    <row r="475" spans="1:25" s="17" customFormat="1">
      <c r="A475" s="108" t="str">
        <f t="shared" si="14"/>
        <v>606070201 1 06 11010610</v>
      </c>
      <c r="B475" s="205" t="s">
        <v>403</v>
      </c>
      <c r="C475" s="198" t="s">
        <v>394</v>
      </c>
      <c r="D475" s="199" t="s">
        <v>229</v>
      </c>
      <c r="E475" s="199" t="s">
        <v>62</v>
      </c>
      <c r="F475" s="199" t="s">
        <v>419</v>
      </c>
      <c r="G475" s="199" t="s">
        <v>404</v>
      </c>
      <c r="H475" s="20">
        <v>54186.879999999997</v>
      </c>
      <c r="I475" s="20">
        <v>4000</v>
      </c>
      <c r="J475" s="20">
        <v>4000</v>
      </c>
      <c r="K475" s="20"/>
      <c r="L475" s="20"/>
      <c r="M475" s="20"/>
      <c r="N475" s="20"/>
      <c r="O475" s="20"/>
      <c r="P475" s="20"/>
      <c r="T475" s="20">
        <v>2776.06</v>
      </c>
      <c r="U475" s="20">
        <v>2776.06</v>
      </c>
      <c r="V475" s="20">
        <v>2776.06</v>
      </c>
      <c r="W475" s="20">
        <f t="shared" si="15"/>
        <v>51410.82</v>
      </c>
      <c r="X475" s="20">
        <f t="shared" si="15"/>
        <v>1223.94</v>
      </c>
      <c r="Y475" s="20">
        <f t="shared" si="15"/>
        <v>1223.94</v>
      </c>
    </row>
    <row r="476" spans="1:25" s="17" customFormat="1">
      <c r="A476" s="108" t="str">
        <f t="shared" si="14"/>
        <v/>
      </c>
      <c r="B476" s="220" t="s">
        <v>1104</v>
      </c>
      <c r="C476" s="198"/>
      <c r="D476" s="199"/>
      <c r="E476" s="199"/>
      <c r="F476" s="199"/>
      <c r="G476" s="199"/>
      <c r="H476" s="20"/>
      <c r="I476" s="20"/>
      <c r="J476" s="20"/>
      <c r="K476" s="20"/>
      <c r="L476" s="20"/>
      <c r="M476" s="20"/>
      <c r="N476" s="20"/>
      <c r="O476" s="20"/>
      <c r="P476" s="20"/>
      <c r="T476" s="20">
        <v>2776.06</v>
      </c>
      <c r="U476" s="20">
        <v>2776.06</v>
      </c>
      <c r="V476" s="20">
        <v>2776.06</v>
      </c>
      <c r="W476" s="20">
        <f t="shared" si="15"/>
        <v>-2776.06</v>
      </c>
      <c r="X476" s="20">
        <f t="shared" si="15"/>
        <v>-2776.06</v>
      </c>
      <c r="Y476" s="20">
        <f t="shared" si="15"/>
        <v>-2776.06</v>
      </c>
    </row>
    <row r="477" spans="1:25" s="17" customFormat="1">
      <c r="A477" s="108" t="str">
        <f t="shared" si="14"/>
        <v>606070201 1 06 11010610</v>
      </c>
      <c r="B477" s="221" t="s">
        <v>1105</v>
      </c>
      <c r="C477" s="222" t="s">
        <v>394</v>
      </c>
      <c r="D477" s="223" t="s">
        <v>229</v>
      </c>
      <c r="E477" s="223" t="s">
        <v>62</v>
      </c>
      <c r="F477" s="223" t="s">
        <v>419</v>
      </c>
      <c r="G477" s="223" t="s">
        <v>404</v>
      </c>
      <c r="H477" s="224">
        <v>21.5</v>
      </c>
      <c r="I477" s="224">
        <v>0</v>
      </c>
      <c r="J477" s="224">
        <v>0</v>
      </c>
      <c r="K477" s="20"/>
      <c r="L477" s="20"/>
      <c r="M477" s="20"/>
      <c r="N477" s="20"/>
      <c r="O477" s="20"/>
      <c r="P477" s="20"/>
      <c r="T477" s="20">
        <v>2776.06</v>
      </c>
      <c r="U477" s="20">
        <v>2776.06</v>
      </c>
      <c r="V477" s="20">
        <v>2776.06</v>
      </c>
      <c r="W477" s="20">
        <f t="shared" si="15"/>
        <v>-2754.56</v>
      </c>
      <c r="X477" s="20">
        <f t="shared" si="15"/>
        <v>-2776.06</v>
      </c>
      <c r="Y477" s="20">
        <f t="shared" si="15"/>
        <v>-2776.06</v>
      </c>
    </row>
    <row r="478" spans="1:25" s="17" customFormat="1">
      <c r="A478" s="108" t="str">
        <f t="shared" si="14"/>
        <v>606070201 1 06 11010620</v>
      </c>
      <c r="B478" s="205" t="s">
        <v>409</v>
      </c>
      <c r="C478" s="198" t="s">
        <v>394</v>
      </c>
      <c r="D478" s="199" t="s">
        <v>229</v>
      </c>
      <c r="E478" s="199" t="s">
        <v>62</v>
      </c>
      <c r="F478" s="199" t="s">
        <v>419</v>
      </c>
      <c r="G478" s="199" t="s">
        <v>410</v>
      </c>
      <c r="H478" s="20">
        <v>5841.77</v>
      </c>
      <c r="I478" s="20">
        <v>0</v>
      </c>
      <c r="J478" s="20">
        <v>0</v>
      </c>
      <c r="K478" s="20"/>
      <c r="L478" s="20"/>
      <c r="M478" s="20"/>
      <c r="N478" s="20"/>
      <c r="O478" s="20"/>
      <c r="P478" s="20"/>
      <c r="T478" s="20">
        <v>2776.06</v>
      </c>
      <c r="U478" s="20">
        <v>2776.06</v>
      </c>
      <c r="V478" s="20">
        <v>2776.06</v>
      </c>
      <c r="W478" s="20">
        <f t="shared" si="15"/>
        <v>3065.7100000000005</v>
      </c>
      <c r="X478" s="20">
        <f t="shared" si="15"/>
        <v>-2776.06</v>
      </c>
      <c r="Y478" s="20">
        <f t="shared" si="15"/>
        <v>-2776.06</v>
      </c>
    </row>
    <row r="479" spans="1:25" s="17" customFormat="1" ht="25.5">
      <c r="A479" s="108" t="str">
        <f t="shared" si="14"/>
        <v>606070201 1 06 S6690000</v>
      </c>
      <c r="B479" s="205" t="s">
        <v>1279</v>
      </c>
      <c r="C479" s="198" t="s">
        <v>394</v>
      </c>
      <c r="D479" s="199" t="s">
        <v>229</v>
      </c>
      <c r="E479" s="199" t="s">
        <v>62</v>
      </c>
      <c r="F479" s="199" t="s">
        <v>463</v>
      </c>
      <c r="G479" s="199" t="s">
        <v>9</v>
      </c>
      <c r="H479" s="316">
        <v>2182.42</v>
      </c>
      <c r="I479" s="316">
        <v>0</v>
      </c>
      <c r="J479" s="316">
        <v>0</v>
      </c>
      <c r="K479" s="20"/>
      <c r="L479" s="20"/>
      <c r="M479" s="20"/>
      <c r="N479" s="20"/>
      <c r="O479" s="20"/>
      <c r="P479" s="20"/>
      <c r="T479" s="20">
        <v>2627.36</v>
      </c>
      <c r="U479" s="20">
        <v>2627.36</v>
      </c>
      <c r="V479" s="20">
        <v>2627.36</v>
      </c>
      <c r="W479" s="20">
        <f t="shared" si="15"/>
        <v>-444.94000000000005</v>
      </c>
      <c r="X479" s="20">
        <f t="shared" si="15"/>
        <v>-2627.36</v>
      </c>
      <c r="Y479" s="20">
        <f t="shared" si="15"/>
        <v>-2627.36</v>
      </c>
    </row>
    <row r="480" spans="1:25" s="17" customFormat="1">
      <c r="A480" s="108" t="str">
        <f t="shared" si="14"/>
        <v/>
      </c>
      <c r="B480" s="205" t="s">
        <v>1045</v>
      </c>
      <c r="C480" s="198"/>
      <c r="D480" s="199"/>
      <c r="E480" s="199"/>
      <c r="F480" s="199"/>
      <c r="G480" s="199"/>
      <c r="H480" s="316"/>
      <c r="I480" s="20"/>
      <c r="J480" s="20"/>
      <c r="K480" s="20"/>
      <c r="L480" s="20"/>
      <c r="M480" s="20"/>
      <c r="N480" s="20"/>
      <c r="O480" s="20"/>
      <c r="P480" s="20"/>
      <c r="T480" s="20">
        <v>148.69999999999999</v>
      </c>
      <c r="U480" s="20">
        <v>148.69999999999999</v>
      </c>
      <c r="V480" s="20">
        <v>148.69999999999999</v>
      </c>
      <c r="W480" s="20">
        <f t="shared" si="15"/>
        <v>-148.69999999999999</v>
      </c>
      <c r="X480" s="20">
        <f t="shared" si="15"/>
        <v>-148.69999999999999</v>
      </c>
      <c r="Y480" s="20">
        <f t="shared" si="15"/>
        <v>-148.69999999999999</v>
      </c>
    </row>
    <row r="481" spans="1:25" s="17" customFormat="1">
      <c r="A481" s="108" t="str">
        <f t="shared" si="14"/>
        <v>606070201 1 06 S6690000</v>
      </c>
      <c r="B481" s="197" t="s">
        <v>1050</v>
      </c>
      <c r="C481" s="198" t="s">
        <v>394</v>
      </c>
      <c r="D481" s="199" t="s">
        <v>229</v>
      </c>
      <c r="E481" s="199" t="s">
        <v>62</v>
      </c>
      <c r="F481" s="199" t="s">
        <v>463</v>
      </c>
      <c r="G481" s="199" t="s">
        <v>9</v>
      </c>
      <c r="H481" s="316">
        <v>371.01</v>
      </c>
      <c r="I481" s="20">
        <v>0</v>
      </c>
      <c r="J481" s="20">
        <v>0</v>
      </c>
      <c r="K481" s="20"/>
      <c r="L481" s="20"/>
      <c r="M481" s="20"/>
      <c r="N481" s="20"/>
      <c r="O481" s="20"/>
      <c r="P481" s="20"/>
      <c r="T481" s="20">
        <v>2538.87</v>
      </c>
      <c r="U481" s="20">
        <v>2538.87</v>
      </c>
      <c r="V481" s="20">
        <v>2538.87</v>
      </c>
      <c r="W481" s="20">
        <f t="shared" si="15"/>
        <v>-2167.8599999999997</v>
      </c>
      <c r="X481" s="20">
        <f t="shared" si="15"/>
        <v>-2538.87</v>
      </c>
      <c r="Y481" s="20">
        <f t="shared" si="15"/>
        <v>-2538.87</v>
      </c>
    </row>
    <row r="482" spans="1:25" s="17" customFormat="1">
      <c r="A482" s="108" t="str">
        <f t="shared" si="14"/>
        <v>606070201 1 06 S6690000</v>
      </c>
      <c r="B482" s="197" t="s">
        <v>1051</v>
      </c>
      <c r="C482" s="198" t="s">
        <v>394</v>
      </c>
      <c r="D482" s="199" t="s">
        <v>229</v>
      </c>
      <c r="E482" s="199" t="s">
        <v>62</v>
      </c>
      <c r="F482" s="199" t="s">
        <v>463</v>
      </c>
      <c r="G482" s="199" t="s">
        <v>9</v>
      </c>
      <c r="H482" s="316">
        <v>1811.41</v>
      </c>
      <c r="I482" s="20">
        <v>0</v>
      </c>
      <c r="J482" s="20">
        <v>0</v>
      </c>
      <c r="K482" s="20"/>
      <c r="L482" s="20"/>
      <c r="M482" s="20"/>
      <c r="N482" s="20"/>
      <c r="O482" s="20"/>
      <c r="P482" s="20"/>
      <c r="T482" s="20">
        <v>2538.87</v>
      </c>
      <c r="U482" s="20">
        <v>2538.87</v>
      </c>
      <c r="V482" s="20">
        <v>2538.87</v>
      </c>
      <c r="W482" s="20">
        <f t="shared" si="15"/>
        <v>-727.45999999999981</v>
      </c>
      <c r="X482" s="20">
        <f t="shared" si="15"/>
        <v>-2538.87</v>
      </c>
      <c r="Y482" s="20">
        <f t="shared" si="15"/>
        <v>-2538.87</v>
      </c>
    </row>
    <row r="483" spans="1:25" s="17" customFormat="1">
      <c r="A483" s="108" t="str">
        <f t="shared" si="14"/>
        <v>606070201 1 06 S6690620</v>
      </c>
      <c r="B483" s="205" t="s">
        <v>409</v>
      </c>
      <c r="C483" s="198" t="s">
        <v>394</v>
      </c>
      <c r="D483" s="199" t="s">
        <v>229</v>
      </c>
      <c r="E483" s="199" t="s">
        <v>62</v>
      </c>
      <c r="F483" s="199" t="s">
        <v>463</v>
      </c>
      <c r="G483" s="199" t="s">
        <v>410</v>
      </c>
      <c r="H483" s="316">
        <v>2182.42</v>
      </c>
      <c r="I483" s="20">
        <v>0</v>
      </c>
      <c r="J483" s="20">
        <v>0</v>
      </c>
      <c r="K483" s="20"/>
      <c r="L483" s="20"/>
      <c r="M483" s="20"/>
      <c r="N483" s="20"/>
      <c r="O483" s="20"/>
      <c r="P483" s="20"/>
      <c r="T483" s="20">
        <v>2538.87</v>
      </c>
      <c r="U483" s="20">
        <v>2538.87</v>
      </c>
      <c r="V483" s="20">
        <v>2538.87</v>
      </c>
      <c r="W483" s="20">
        <f t="shared" si="15"/>
        <v>-356.44999999999982</v>
      </c>
      <c r="X483" s="20">
        <f t="shared" si="15"/>
        <v>-2538.87</v>
      </c>
      <c r="Y483" s="20">
        <f t="shared" si="15"/>
        <v>-2538.87</v>
      </c>
    </row>
    <row r="484" spans="1:25" s="17" customFormat="1" ht="25.5">
      <c r="A484" s="108" t="str">
        <f t="shared" si="14"/>
        <v>606070201 1 06 S7300000</v>
      </c>
      <c r="B484" s="207" t="s">
        <v>1280</v>
      </c>
      <c r="C484" s="198" t="s">
        <v>394</v>
      </c>
      <c r="D484" s="199" t="s">
        <v>229</v>
      </c>
      <c r="E484" s="199" t="s">
        <v>62</v>
      </c>
      <c r="F484" s="199" t="s">
        <v>1119</v>
      </c>
      <c r="G484" s="199" t="s">
        <v>9</v>
      </c>
      <c r="H484" s="20">
        <v>7024.380000000001</v>
      </c>
      <c r="I484" s="20">
        <v>0</v>
      </c>
      <c r="J484" s="20">
        <v>0</v>
      </c>
      <c r="K484" s="20"/>
      <c r="L484" s="20"/>
      <c r="M484" s="20"/>
      <c r="N484" s="20"/>
      <c r="O484" s="20"/>
      <c r="P484" s="20"/>
      <c r="T484" s="20">
        <v>2538.87</v>
      </c>
      <c r="U484" s="20">
        <v>2538.87</v>
      </c>
      <c r="V484" s="20">
        <v>2538.87</v>
      </c>
      <c r="W484" s="20">
        <f t="shared" si="15"/>
        <v>4485.5100000000011</v>
      </c>
      <c r="X484" s="20">
        <f t="shared" si="15"/>
        <v>-2538.87</v>
      </c>
      <c r="Y484" s="20">
        <f t="shared" si="15"/>
        <v>-2538.87</v>
      </c>
    </row>
    <row r="485" spans="1:25" s="17" customFormat="1" ht="16.149999999999999" customHeight="1">
      <c r="A485" s="108" t="str">
        <f t="shared" si="14"/>
        <v/>
      </c>
      <c r="B485" s="205" t="s">
        <v>1045</v>
      </c>
      <c r="C485" s="198"/>
      <c r="D485" s="199"/>
      <c r="E485" s="199"/>
      <c r="F485" s="199"/>
      <c r="G485" s="199"/>
      <c r="H485" s="20"/>
      <c r="I485" s="20"/>
      <c r="J485" s="20"/>
      <c r="K485" s="20"/>
      <c r="L485" s="20"/>
      <c r="M485" s="20"/>
      <c r="N485" s="20"/>
      <c r="O485" s="20"/>
      <c r="P485" s="20"/>
      <c r="T485" s="20">
        <v>2538.87</v>
      </c>
      <c r="U485" s="20">
        <v>2538.87</v>
      </c>
      <c r="V485" s="20">
        <v>2538.87</v>
      </c>
      <c r="W485" s="20">
        <f t="shared" si="15"/>
        <v>-2538.87</v>
      </c>
      <c r="X485" s="20">
        <f t="shared" si="15"/>
        <v>-2538.87</v>
      </c>
      <c r="Y485" s="20">
        <f t="shared" si="15"/>
        <v>-2538.87</v>
      </c>
    </row>
    <row r="486" spans="1:25" s="17" customFormat="1">
      <c r="A486" s="108" t="str">
        <f t="shared" si="14"/>
        <v>606070201 1 06 S7300000</v>
      </c>
      <c r="B486" s="197" t="s">
        <v>1050</v>
      </c>
      <c r="C486" s="198" t="s">
        <v>394</v>
      </c>
      <c r="D486" s="199" t="s">
        <v>229</v>
      </c>
      <c r="E486" s="199" t="s">
        <v>62</v>
      </c>
      <c r="F486" s="199" t="s">
        <v>1119</v>
      </c>
      <c r="G486" s="199" t="s">
        <v>9</v>
      </c>
      <c r="H486" s="20">
        <v>2300.19</v>
      </c>
      <c r="I486" s="20">
        <v>0</v>
      </c>
      <c r="J486" s="20">
        <v>0</v>
      </c>
      <c r="K486" s="20"/>
      <c r="L486" s="20"/>
      <c r="M486" s="20"/>
      <c r="N486" s="20"/>
      <c r="O486" s="20"/>
      <c r="P486" s="20"/>
      <c r="T486" s="20">
        <v>91.8</v>
      </c>
      <c r="U486" s="20">
        <v>91.8</v>
      </c>
      <c r="V486" s="20">
        <v>91.8</v>
      </c>
      <c r="W486" s="20">
        <f t="shared" si="15"/>
        <v>2208.39</v>
      </c>
      <c r="X486" s="20">
        <f t="shared" si="15"/>
        <v>-91.8</v>
      </c>
      <c r="Y486" s="20">
        <f t="shared" si="15"/>
        <v>-91.8</v>
      </c>
    </row>
    <row r="487" spans="1:25" s="17" customFormat="1">
      <c r="A487" s="108" t="str">
        <f t="shared" si="14"/>
        <v/>
      </c>
      <c r="B487" s="220" t="s">
        <v>1104</v>
      </c>
      <c r="C487" s="198"/>
      <c r="D487" s="199"/>
      <c r="E487" s="199"/>
      <c r="F487" s="199"/>
      <c r="G487" s="199"/>
      <c r="H487" s="20"/>
      <c r="I487" s="20"/>
      <c r="J487" s="20"/>
      <c r="K487" s="20"/>
      <c r="L487" s="20"/>
      <c r="M487" s="20"/>
      <c r="N487" s="20"/>
      <c r="O487" s="20"/>
      <c r="P487" s="20"/>
      <c r="T487" s="20">
        <v>91.8</v>
      </c>
      <c r="U487" s="20">
        <v>91.8</v>
      </c>
      <c r="V487" s="20">
        <v>91.8</v>
      </c>
      <c r="W487" s="20">
        <f t="shared" si="15"/>
        <v>-91.8</v>
      </c>
      <c r="X487" s="20">
        <f t="shared" si="15"/>
        <v>-91.8</v>
      </c>
      <c r="Y487" s="20">
        <f t="shared" si="15"/>
        <v>-91.8</v>
      </c>
    </row>
    <row r="488" spans="1:25" s="17" customFormat="1">
      <c r="A488" s="108" t="str">
        <f t="shared" si="14"/>
        <v>606070201 1 06 S7300000</v>
      </c>
      <c r="B488" s="221" t="s">
        <v>1105</v>
      </c>
      <c r="C488" s="222" t="s">
        <v>394</v>
      </c>
      <c r="D488" s="223" t="s">
        <v>229</v>
      </c>
      <c r="E488" s="223" t="s">
        <v>62</v>
      </c>
      <c r="F488" s="223" t="s">
        <v>1119</v>
      </c>
      <c r="G488" s="223" t="s">
        <v>9</v>
      </c>
      <c r="H488" s="224">
        <v>463.01</v>
      </c>
      <c r="I488" s="224">
        <v>0</v>
      </c>
      <c r="J488" s="224">
        <v>0</v>
      </c>
      <c r="K488" s="20"/>
      <c r="L488" s="20"/>
      <c r="M488" s="20"/>
      <c r="N488" s="20"/>
      <c r="O488" s="20"/>
      <c r="P488" s="20"/>
      <c r="T488" s="20">
        <v>91.8</v>
      </c>
      <c r="U488" s="20">
        <v>91.8</v>
      </c>
      <c r="V488" s="20">
        <v>91.8</v>
      </c>
      <c r="W488" s="20">
        <f t="shared" si="15"/>
        <v>371.21</v>
      </c>
      <c r="X488" s="20">
        <f t="shared" si="15"/>
        <v>-91.8</v>
      </c>
      <c r="Y488" s="20">
        <f t="shared" si="15"/>
        <v>-91.8</v>
      </c>
    </row>
    <row r="489" spans="1:25" s="17" customFormat="1">
      <c r="A489" s="108" t="str">
        <f t="shared" si="14"/>
        <v>606070201 1 06 S7300000</v>
      </c>
      <c r="B489" s="197" t="s">
        <v>1051</v>
      </c>
      <c r="C489" s="198" t="s">
        <v>394</v>
      </c>
      <c r="D489" s="199" t="s">
        <v>229</v>
      </c>
      <c r="E489" s="199" t="s">
        <v>62</v>
      </c>
      <c r="F489" s="199" t="s">
        <v>1119</v>
      </c>
      <c r="G489" s="199" t="s">
        <v>9</v>
      </c>
      <c r="H489" s="20">
        <v>4724.1900000000005</v>
      </c>
      <c r="I489" s="20"/>
      <c r="J489" s="20"/>
      <c r="K489" s="20"/>
      <c r="L489" s="20"/>
      <c r="M489" s="20"/>
      <c r="N489" s="20"/>
      <c r="O489" s="20"/>
      <c r="P489" s="20"/>
      <c r="T489" s="20">
        <v>91.8</v>
      </c>
      <c r="U489" s="20">
        <v>91.8</v>
      </c>
      <c r="V489" s="20">
        <v>91.8</v>
      </c>
      <c r="W489" s="20">
        <f t="shared" si="15"/>
        <v>4632.3900000000003</v>
      </c>
      <c r="X489" s="20">
        <f t="shared" si="15"/>
        <v>-91.8</v>
      </c>
      <c r="Y489" s="20">
        <f t="shared" si="15"/>
        <v>-91.8</v>
      </c>
    </row>
    <row r="490" spans="1:25" s="17" customFormat="1">
      <c r="A490" s="108" t="str">
        <f t="shared" si="14"/>
        <v>606070201 1 06 S7300610</v>
      </c>
      <c r="B490" s="205" t="s">
        <v>403</v>
      </c>
      <c r="C490" s="198" t="s">
        <v>394</v>
      </c>
      <c r="D490" s="199" t="s">
        <v>229</v>
      </c>
      <c r="E490" s="199" t="s">
        <v>62</v>
      </c>
      <c r="F490" s="199" t="s">
        <v>1119</v>
      </c>
      <c r="G490" s="199" t="s">
        <v>404</v>
      </c>
      <c r="H490" s="20">
        <v>7024.380000000001</v>
      </c>
      <c r="I490" s="20">
        <v>0</v>
      </c>
      <c r="J490" s="20">
        <v>0</v>
      </c>
      <c r="K490" s="20"/>
      <c r="L490" s="20"/>
      <c r="M490" s="20"/>
      <c r="N490" s="20"/>
      <c r="O490" s="20"/>
      <c r="P490" s="20"/>
      <c r="T490" s="20">
        <v>91.8</v>
      </c>
      <c r="U490" s="20">
        <v>91.8</v>
      </c>
      <c r="V490" s="20">
        <v>91.8</v>
      </c>
      <c r="W490" s="20">
        <f t="shared" si="15"/>
        <v>6932.5800000000008</v>
      </c>
      <c r="X490" s="20">
        <f t="shared" si="15"/>
        <v>-91.8</v>
      </c>
      <c r="Y490" s="20">
        <f t="shared" si="15"/>
        <v>-91.8</v>
      </c>
    </row>
    <row r="491" spans="1:25" s="17" customFormat="1" ht="38.25">
      <c r="A491" s="108" t="str">
        <f t="shared" si="14"/>
        <v>606070201 1 06 77300000</v>
      </c>
      <c r="B491" s="207" t="s">
        <v>1281</v>
      </c>
      <c r="C491" s="198" t="s">
        <v>394</v>
      </c>
      <c r="D491" s="199" t="s">
        <v>229</v>
      </c>
      <c r="E491" s="199" t="s">
        <v>62</v>
      </c>
      <c r="F491" s="199" t="s">
        <v>1202</v>
      </c>
      <c r="G491" s="199" t="s">
        <v>9</v>
      </c>
      <c r="H491" s="20">
        <v>8797.17</v>
      </c>
      <c r="I491" s="20">
        <v>0</v>
      </c>
      <c r="J491" s="20">
        <v>0</v>
      </c>
      <c r="K491" s="19"/>
      <c r="L491" s="19"/>
      <c r="M491" s="19"/>
      <c r="N491" s="19"/>
      <c r="O491" s="19"/>
      <c r="P491" s="19"/>
      <c r="T491" s="19">
        <v>198585.72</v>
      </c>
      <c r="U491" s="19">
        <v>196366.84</v>
      </c>
      <c r="V491" s="19">
        <v>196366.84</v>
      </c>
      <c r="W491" s="19">
        <f t="shared" si="15"/>
        <v>-189788.55</v>
      </c>
      <c r="X491" s="19">
        <f t="shared" si="15"/>
        <v>-196366.84</v>
      </c>
      <c r="Y491" s="19">
        <f t="shared" si="15"/>
        <v>-196366.84</v>
      </c>
    </row>
    <row r="492" spans="1:25" s="17" customFormat="1">
      <c r="A492" s="108" t="str">
        <f t="shared" si="14"/>
        <v/>
      </c>
      <c r="B492" s="220" t="s">
        <v>1104</v>
      </c>
      <c r="C492" s="198"/>
      <c r="D492" s="199"/>
      <c r="E492" s="199"/>
      <c r="F492" s="199"/>
      <c r="G492" s="199"/>
      <c r="H492" s="20"/>
      <c r="I492" s="20"/>
      <c r="J492" s="20"/>
      <c r="K492" s="20"/>
      <c r="L492" s="20"/>
      <c r="M492" s="20"/>
      <c r="N492" s="20"/>
      <c r="O492" s="20"/>
      <c r="P492" s="20"/>
      <c r="T492" s="20">
        <v>197205.82</v>
      </c>
      <c r="U492" s="20">
        <v>195886.94</v>
      </c>
      <c r="V492" s="20">
        <v>195886.94</v>
      </c>
      <c r="W492" s="20">
        <f t="shared" si="15"/>
        <v>-197205.82</v>
      </c>
      <c r="X492" s="20">
        <f t="shared" si="15"/>
        <v>-195886.94</v>
      </c>
      <c r="Y492" s="20">
        <f t="shared" si="15"/>
        <v>-195886.94</v>
      </c>
    </row>
    <row r="493" spans="1:25" s="17" customFormat="1">
      <c r="A493" s="108" t="str">
        <f t="shared" si="14"/>
        <v>606070201 1 06 77300000</v>
      </c>
      <c r="B493" s="318" t="s">
        <v>1105</v>
      </c>
      <c r="C493" s="322" t="s">
        <v>394</v>
      </c>
      <c r="D493" s="319" t="s">
        <v>229</v>
      </c>
      <c r="E493" s="319" t="s">
        <v>62</v>
      </c>
      <c r="F493" s="319" t="s">
        <v>1202</v>
      </c>
      <c r="G493" s="319" t="s">
        <v>9</v>
      </c>
      <c r="H493" s="320">
        <v>8797.17</v>
      </c>
      <c r="I493" s="320">
        <v>0</v>
      </c>
      <c r="J493" s="320">
        <v>0</v>
      </c>
      <c r="K493" s="20"/>
      <c r="L493" s="20"/>
      <c r="M493" s="20"/>
      <c r="N493" s="20"/>
      <c r="O493" s="20"/>
      <c r="P493" s="20"/>
      <c r="T493" s="20">
        <v>197205.82</v>
      </c>
      <c r="U493" s="20">
        <v>195886.94</v>
      </c>
      <c r="V493" s="20">
        <v>195886.94</v>
      </c>
      <c r="W493" s="20">
        <f t="shared" si="15"/>
        <v>-188408.65</v>
      </c>
      <c r="X493" s="20">
        <f t="shared" si="15"/>
        <v>-195886.94</v>
      </c>
      <c r="Y493" s="20">
        <f t="shared" si="15"/>
        <v>-195886.94</v>
      </c>
    </row>
    <row r="494" spans="1:25" s="17" customFormat="1">
      <c r="A494" s="108" t="str">
        <f t="shared" si="14"/>
        <v>606070201 1 06 77300610</v>
      </c>
      <c r="B494" s="205" t="s">
        <v>403</v>
      </c>
      <c r="C494" s="198" t="s">
        <v>394</v>
      </c>
      <c r="D494" s="199" t="s">
        <v>229</v>
      </c>
      <c r="E494" s="199" t="s">
        <v>62</v>
      </c>
      <c r="F494" s="199" t="s">
        <v>1202</v>
      </c>
      <c r="G494" s="199" t="s">
        <v>404</v>
      </c>
      <c r="H494" s="20">
        <v>8797.17</v>
      </c>
      <c r="I494" s="20">
        <v>0</v>
      </c>
      <c r="J494" s="20">
        <v>0</v>
      </c>
      <c r="K494" s="26"/>
      <c r="L494" s="26"/>
      <c r="M494" s="26"/>
      <c r="N494" s="26"/>
      <c r="O494" s="26"/>
      <c r="P494" s="26"/>
      <c r="T494" s="26">
        <v>196955.82</v>
      </c>
      <c r="U494" s="26">
        <v>195886.94</v>
      </c>
      <c r="V494" s="26">
        <v>195886.94</v>
      </c>
      <c r="W494" s="26">
        <f t="shared" si="15"/>
        <v>-188158.65</v>
      </c>
      <c r="X494" s="26">
        <f t="shared" si="15"/>
        <v>-195886.94</v>
      </c>
      <c r="Y494" s="26">
        <f t="shared" si="15"/>
        <v>-195886.94</v>
      </c>
    </row>
    <row r="495" spans="1:25" s="17" customFormat="1" ht="25.5">
      <c r="A495" s="108" t="str">
        <f t="shared" si="14"/>
        <v>606070201 2 00 00000000</v>
      </c>
      <c r="B495" s="205" t="s">
        <v>444</v>
      </c>
      <c r="C495" s="198" t="s">
        <v>394</v>
      </c>
      <c r="D495" s="199" t="s">
        <v>229</v>
      </c>
      <c r="E495" s="199" t="s">
        <v>62</v>
      </c>
      <c r="F495" s="199" t="s">
        <v>445</v>
      </c>
      <c r="G495" s="199" t="s">
        <v>9</v>
      </c>
      <c r="H495" s="218">
        <v>0</v>
      </c>
      <c r="I495" s="20">
        <v>6819.62</v>
      </c>
      <c r="J495" s="20">
        <v>0</v>
      </c>
      <c r="K495" s="26"/>
      <c r="L495" s="26"/>
      <c r="M495" s="26"/>
      <c r="N495" s="26"/>
      <c r="O495" s="26"/>
      <c r="P495" s="26"/>
      <c r="T495" s="26">
        <v>196955.82</v>
      </c>
      <c r="U495" s="26">
        <v>195886.94</v>
      </c>
      <c r="V495" s="26">
        <v>195886.94</v>
      </c>
      <c r="W495" s="26">
        <f t="shared" si="15"/>
        <v>-196955.82</v>
      </c>
      <c r="X495" s="26">
        <f t="shared" si="15"/>
        <v>-189067.32</v>
      </c>
      <c r="Y495" s="26">
        <f t="shared" si="15"/>
        <v>-195886.94</v>
      </c>
    </row>
    <row r="496" spans="1:25" s="17" customFormat="1" ht="38.25">
      <c r="A496" s="108" t="str">
        <f t="shared" si="14"/>
        <v>606070201 2 01 00000000</v>
      </c>
      <c r="B496" s="205" t="s">
        <v>446</v>
      </c>
      <c r="C496" s="198" t="s">
        <v>394</v>
      </c>
      <c r="D496" s="199" t="s">
        <v>229</v>
      </c>
      <c r="E496" s="199" t="s">
        <v>62</v>
      </c>
      <c r="F496" s="199" t="s">
        <v>447</v>
      </c>
      <c r="G496" s="199" t="s">
        <v>9</v>
      </c>
      <c r="H496" s="218">
        <v>0</v>
      </c>
      <c r="I496" s="20">
        <v>6819.62</v>
      </c>
      <c r="J496" s="20">
        <v>0</v>
      </c>
      <c r="K496" s="20"/>
      <c r="L496" s="20"/>
      <c r="M496" s="20"/>
      <c r="N496" s="20"/>
      <c r="O496" s="20"/>
      <c r="P496" s="20"/>
      <c r="T496" s="20">
        <v>177788.2</v>
      </c>
      <c r="U496" s="20">
        <v>176969.32</v>
      </c>
      <c r="V496" s="20">
        <v>176969.32</v>
      </c>
      <c r="W496" s="20">
        <f t="shared" si="15"/>
        <v>-177788.2</v>
      </c>
      <c r="X496" s="20">
        <f t="shared" si="15"/>
        <v>-170149.7</v>
      </c>
      <c r="Y496" s="20">
        <f t="shared" si="15"/>
        <v>-176969.32</v>
      </c>
    </row>
    <row r="497" spans="1:25" s="17" customFormat="1" ht="38.25">
      <c r="A497" s="108" t="str">
        <f t="shared" si="14"/>
        <v>606070201 2 01 40010000</v>
      </c>
      <c r="B497" s="205" t="s">
        <v>448</v>
      </c>
      <c r="C497" s="198" t="s">
        <v>394</v>
      </c>
      <c r="D497" s="199" t="s">
        <v>229</v>
      </c>
      <c r="E497" s="199" t="s">
        <v>62</v>
      </c>
      <c r="F497" s="199" t="s">
        <v>449</v>
      </c>
      <c r="G497" s="199" t="s">
        <v>9</v>
      </c>
      <c r="H497" s="218">
        <v>0</v>
      </c>
      <c r="I497" s="20">
        <v>6819.62</v>
      </c>
      <c r="J497" s="20">
        <v>0</v>
      </c>
      <c r="K497" s="20"/>
      <c r="L497" s="20"/>
      <c r="M497" s="20"/>
      <c r="N497" s="20"/>
      <c r="O497" s="20"/>
      <c r="P497" s="20"/>
      <c r="T497" s="20"/>
      <c r="U497" s="20"/>
      <c r="V497" s="20"/>
      <c r="W497" s="20">
        <f t="shared" si="15"/>
        <v>0</v>
      </c>
      <c r="X497" s="20">
        <f t="shared" si="15"/>
        <v>6819.62</v>
      </c>
      <c r="Y497" s="20">
        <f t="shared" si="15"/>
        <v>0</v>
      </c>
    </row>
    <row r="498" spans="1:25" s="17" customFormat="1">
      <c r="A498" s="108" t="str">
        <f t="shared" si="14"/>
        <v/>
      </c>
      <c r="B498" s="197" t="s">
        <v>1104</v>
      </c>
      <c r="C498" s="198"/>
      <c r="D498" s="199"/>
      <c r="E498" s="199"/>
      <c r="F498" s="199"/>
      <c r="G498" s="199"/>
      <c r="H498" s="218"/>
      <c r="I498" s="20"/>
      <c r="J498" s="20"/>
      <c r="K498" s="20"/>
      <c r="L498" s="20"/>
      <c r="M498" s="20"/>
      <c r="N498" s="20"/>
      <c r="O498" s="20"/>
      <c r="P498" s="20"/>
      <c r="T498" s="20">
        <v>77.66</v>
      </c>
      <c r="U498" s="20">
        <v>0</v>
      </c>
      <c r="V498" s="20">
        <v>0</v>
      </c>
      <c r="W498" s="20">
        <f t="shared" si="15"/>
        <v>-77.66</v>
      </c>
      <c r="X498" s="20">
        <f t="shared" si="15"/>
        <v>0</v>
      </c>
      <c r="Y498" s="20">
        <f t="shared" si="15"/>
        <v>0</v>
      </c>
    </row>
    <row r="499" spans="1:25" s="17" customFormat="1" ht="63.75">
      <c r="A499" s="108" t="str">
        <f t="shared" si="14"/>
        <v>606070201 2 01 40010000</v>
      </c>
      <c r="B499" s="205" t="s">
        <v>1120</v>
      </c>
      <c r="C499" s="198" t="s">
        <v>394</v>
      </c>
      <c r="D499" s="199" t="s">
        <v>229</v>
      </c>
      <c r="E499" s="199" t="s">
        <v>62</v>
      </c>
      <c r="F499" s="199" t="s">
        <v>449</v>
      </c>
      <c r="G499" s="199" t="s">
        <v>9</v>
      </c>
      <c r="H499" s="218">
        <v>0</v>
      </c>
      <c r="I499" s="20">
        <v>6819.62</v>
      </c>
      <c r="J499" s="20">
        <v>0</v>
      </c>
      <c r="K499" s="20"/>
      <c r="L499" s="20"/>
      <c r="M499" s="20"/>
      <c r="N499" s="20"/>
      <c r="O499" s="20"/>
      <c r="P499" s="20"/>
      <c r="T499" s="20">
        <v>19167.62</v>
      </c>
      <c r="U499" s="20">
        <v>18917.62</v>
      </c>
      <c r="V499" s="20">
        <v>18917.62</v>
      </c>
      <c r="W499" s="20">
        <f t="shared" si="15"/>
        <v>-19167.62</v>
      </c>
      <c r="X499" s="20">
        <f t="shared" si="15"/>
        <v>-12098</v>
      </c>
      <c r="Y499" s="20">
        <f t="shared" si="15"/>
        <v>-18917.62</v>
      </c>
    </row>
    <row r="500" spans="1:25" s="17" customFormat="1" ht="89.25">
      <c r="A500" s="108" t="str">
        <f t="shared" si="14"/>
        <v>606070201 2 01 40010460</v>
      </c>
      <c r="B500" s="243" t="s">
        <v>450</v>
      </c>
      <c r="C500" s="232" t="s">
        <v>394</v>
      </c>
      <c r="D500" s="233" t="s">
        <v>229</v>
      </c>
      <c r="E500" s="233" t="s">
        <v>62</v>
      </c>
      <c r="F500" s="233" t="s">
        <v>449</v>
      </c>
      <c r="G500" s="233" t="s">
        <v>451</v>
      </c>
      <c r="H500" s="218">
        <v>0</v>
      </c>
      <c r="I500" s="235">
        <v>6819.62</v>
      </c>
      <c r="J500" s="235">
        <v>0</v>
      </c>
      <c r="K500" s="20"/>
      <c r="L500" s="20"/>
      <c r="M500" s="20"/>
      <c r="N500" s="20"/>
      <c r="O500" s="20"/>
      <c r="P500" s="20"/>
      <c r="T500" s="20">
        <v>250</v>
      </c>
      <c r="U500" s="20">
        <v>0</v>
      </c>
      <c r="V500" s="20">
        <v>0</v>
      </c>
      <c r="W500" s="20">
        <f t="shared" si="15"/>
        <v>-250</v>
      </c>
      <c r="X500" s="20">
        <f t="shared" si="15"/>
        <v>6819.62</v>
      </c>
      <c r="Y500" s="20">
        <f t="shared" si="15"/>
        <v>0</v>
      </c>
    </row>
    <row r="501" spans="1:25" s="17" customFormat="1" ht="38.25">
      <c r="A501" s="108" t="str">
        <f t="shared" si="14"/>
        <v>606070215 0 00 00000000</v>
      </c>
      <c r="B501" s="200" t="s">
        <v>146</v>
      </c>
      <c r="C501" s="198" t="s">
        <v>394</v>
      </c>
      <c r="D501" s="199" t="s">
        <v>229</v>
      </c>
      <c r="E501" s="199" t="s">
        <v>62</v>
      </c>
      <c r="F501" s="199" t="s">
        <v>147</v>
      </c>
      <c r="G501" s="199" t="s">
        <v>9</v>
      </c>
      <c r="H501" s="20">
        <v>11981.689999999999</v>
      </c>
      <c r="I501" s="20">
        <v>2671.95</v>
      </c>
      <c r="J501" s="20">
        <v>1891.95</v>
      </c>
      <c r="K501" s="20"/>
      <c r="L501" s="20"/>
      <c r="M501" s="20"/>
      <c r="N501" s="20"/>
      <c r="O501" s="20"/>
      <c r="P501" s="20"/>
      <c r="T501" s="20">
        <v>250</v>
      </c>
      <c r="U501" s="20">
        <v>0</v>
      </c>
      <c r="V501" s="20">
        <v>0</v>
      </c>
      <c r="W501" s="20">
        <f t="shared" si="15"/>
        <v>11731.689999999999</v>
      </c>
      <c r="X501" s="20">
        <f t="shared" si="15"/>
        <v>2671.95</v>
      </c>
      <c r="Y501" s="20">
        <f t="shared" si="15"/>
        <v>1891.95</v>
      </c>
    </row>
    <row r="502" spans="1:25" s="17" customFormat="1" ht="38.25">
      <c r="A502" s="108" t="str">
        <f t="shared" si="14"/>
        <v>606070215 1 00 00000000</v>
      </c>
      <c r="B502" s="197" t="s">
        <v>1065</v>
      </c>
      <c r="C502" s="198" t="s">
        <v>394</v>
      </c>
      <c r="D502" s="199" t="s">
        <v>229</v>
      </c>
      <c r="E502" s="199" t="s">
        <v>62</v>
      </c>
      <c r="F502" s="199" t="s">
        <v>149</v>
      </c>
      <c r="G502" s="199" t="s">
        <v>9</v>
      </c>
      <c r="H502" s="20">
        <v>10083.07</v>
      </c>
      <c r="I502" s="20">
        <v>780</v>
      </c>
      <c r="J502" s="20">
        <v>0</v>
      </c>
      <c r="K502" s="20"/>
      <c r="L502" s="20"/>
      <c r="M502" s="20"/>
      <c r="N502" s="20"/>
      <c r="O502" s="20"/>
      <c r="P502" s="20"/>
      <c r="T502" s="20">
        <v>250</v>
      </c>
      <c r="U502" s="20">
        <v>0</v>
      </c>
      <c r="V502" s="20">
        <v>0</v>
      </c>
      <c r="W502" s="20">
        <f t="shared" si="15"/>
        <v>9833.07</v>
      </c>
      <c r="X502" s="20">
        <f t="shared" si="15"/>
        <v>780</v>
      </c>
      <c r="Y502" s="20">
        <f t="shared" si="15"/>
        <v>0</v>
      </c>
    </row>
    <row r="503" spans="1:25" s="17" customFormat="1" ht="51">
      <c r="A503" s="108" t="str">
        <f t="shared" si="14"/>
        <v>606070215 1 04 00000000</v>
      </c>
      <c r="B503" s="214" t="s">
        <v>1068</v>
      </c>
      <c r="C503" s="198" t="s">
        <v>394</v>
      </c>
      <c r="D503" s="199" t="s">
        <v>229</v>
      </c>
      <c r="E503" s="199" t="s">
        <v>62</v>
      </c>
      <c r="F503" s="199" t="s">
        <v>1069</v>
      </c>
      <c r="G503" s="199" t="s">
        <v>9</v>
      </c>
      <c r="H503" s="20">
        <v>10083.07</v>
      </c>
      <c r="I503" s="20">
        <v>780</v>
      </c>
      <c r="J503" s="20">
        <v>0</v>
      </c>
      <c r="K503" s="20"/>
      <c r="L503" s="20"/>
      <c r="M503" s="20"/>
      <c r="N503" s="20"/>
      <c r="O503" s="20"/>
      <c r="P503" s="20"/>
      <c r="T503" s="20">
        <v>1020</v>
      </c>
      <c r="U503" s="20">
        <v>120</v>
      </c>
      <c r="V503" s="20">
        <v>120</v>
      </c>
      <c r="W503" s="20">
        <f t="shared" si="15"/>
        <v>9063.07</v>
      </c>
      <c r="X503" s="20">
        <f t="shared" si="15"/>
        <v>660</v>
      </c>
      <c r="Y503" s="20">
        <f t="shared" si="15"/>
        <v>-120</v>
      </c>
    </row>
    <row r="504" spans="1:25" s="17" customFormat="1" ht="25.5">
      <c r="A504" s="108" t="str">
        <f t="shared" si="14"/>
        <v>606070215 1 04 20350000</v>
      </c>
      <c r="B504" s="205" t="s">
        <v>152</v>
      </c>
      <c r="C504" s="198" t="s">
        <v>394</v>
      </c>
      <c r="D504" s="199" t="s">
        <v>229</v>
      </c>
      <c r="E504" s="199" t="s">
        <v>62</v>
      </c>
      <c r="F504" s="199" t="s">
        <v>1070</v>
      </c>
      <c r="G504" s="199" t="s">
        <v>9</v>
      </c>
      <c r="H504" s="20">
        <v>10083.07</v>
      </c>
      <c r="I504" s="20">
        <v>780</v>
      </c>
      <c r="J504" s="20">
        <v>0</v>
      </c>
      <c r="K504" s="20"/>
      <c r="L504" s="20"/>
      <c r="M504" s="20"/>
      <c r="N504" s="20"/>
      <c r="O504" s="20"/>
      <c r="P504" s="20"/>
      <c r="T504" s="20">
        <v>900</v>
      </c>
      <c r="U504" s="20">
        <v>0</v>
      </c>
      <c r="V504" s="20">
        <v>0</v>
      </c>
      <c r="W504" s="20">
        <f t="shared" si="15"/>
        <v>9183.07</v>
      </c>
      <c r="X504" s="20">
        <f t="shared" si="15"/>
        <v>780</v>
      </c>
      <c r="Y504" s="20">
        <f t="shared" si="15"/>
        <v>0</v>
      </c>
    </row>
    <row r="505" spans="1:25" s="17" customFormat="1">
      <c r="A505" s="108" t="str">
        <f t="shared" si="14"/>
        <v>606070215 1 04 20350610</v>
      </c>
      <c r="B505" s="205" t="s">
        <v>403</v>
      </c>
      <c r="C505" s="198" t="s">
        <v>394</v>
      </c>
      <c r="D505" s="199" t="s">
        <v>229</v>
      </c>
      <c r="E505" s="199" t="s">
        <v>62</v>
      </c>
      <c r="F505" s="199" t="s">
        <v>1070</v>
      </c>
      <c r="G505" s="199" t="s">
        <v>404</v>
      </c>
      <c r="H505" s="20">
        <v>10083.07</v>
      </c>
      <c r="I505" s="20">
        <v>780</v>
      </c>
      <c r="J505" s="20">
        <v>0</v>
      </c>
      <c r="K505" s="20"/>
      <c r="L505" s="20"/>
      <c r="M505" s="20"/>
      <c r="N505" s="20"/>
      <c r="O505" s="20"/>
      <c r="P505" s="20"/>
      <c r="T505" s="20">
        <v>0</v>
      </c>
      <c r="U505" s="20">
        <v>0</v>
      </c>
      <c r="V505" s="20">
        <v>0</v>
      </c>
      <c r="W505" s="20">
        <f t="shared" si="15"/>
        <v>10083.07</v>
      </c>
      <c r="X505" s="20">
        <f t="shared" si="15"/>
        <v>780</v>
      </c>
      <c r="Y505" s="20">
        <f t="shared" si="15"/>
        <v>0</v>
      </c>
    </row>
    <row r="506" spans="1:25" s="17" customFormat="1">
      <c r="A506" s="108" t="str">
        <f t="shared" si="14"/>
        <v>606070215 2 00 00000000</v>
      </c>
      <c r="B506" s="200" t="s">
        <v>154</v>
      </c>
      <c r="C506" s="198" t="s">
        <v>394</v>
      </c>
      <c r="D506" s="199" t="s">
        <v>229</v>
      </c>
      <c r="E506" s="199" t="s">
        <v>62</v>
      </c>
      <c r="F506" s="199" t="s">
        <v>155</v>
      </c>
      <c r="G506" s="199" t="s">
        <v>9</v>
      </c>
      <c r="H506" s="20">
        <v>223.82</v>
      </c>
      <c r="I506" s="20">
        <v>217.15</v>
      </c>
      <c r="J506" s="20">
        <v>217.15</v>
      </c>
      <c r="K506" s="20"/>
      <c r="L506" s="20"/>
      <c r="M506" s="20"/>
      <c r="N506" s="20"/>
      <c r="O506" s="20"/>
      <c r="P506" s="20"/>
      <c r="T506" s="20">
        <v>0</v>
      </c>
      <c r="U506" s="20">
        <v>0</v>
      </c>
      <c r="V506" s="20">
        <v>0</v>
      </c>
      <c r="W506" s="20">
        <f t="shared" si="15"/>
        <v>223.82</v>
      </c>
      <c r="X506" s="20">
        <f t="shared" si="15"/>
        <v>217.15</v>
      </c>
      <c r="Y506" s="20">
        <f t="shared" si="15"/>
        <v>217.15</v>
      </c>
    </row>
    <row r="507" spans="1:25" s="17" customFormat="1" ht="38.25">
      <c r="A507" s="108" t="str">
        <f t="shared" si="14"/>
        <v>606070215 2 02 00000000</v>
      </c>
      <c r="B507" s="200" t="s">
        <v>160</v>
      </c>
      <c r="C507" s="198" t="s">
        <v>394</v>
      </c>
      <c r="D507" s="199" t="s">
        <v>229</v>
      </c>
      <c r="E507" s="199" t="s">
        <v>62</v>
      </c>
      <c r="F507" s="199" t="s">
        <v>161</v>
      </c>
      <c r="G507" s="199" t="s">
        <v>9</v>
      </c>
      <c r="H507" s="20">
        <v>223.82</v>
      </c>
      <c r="I507" s="20">
        <v>217.15</v>
      </c>
      <c r="J507" s="20">
        <v>217.15</v>
      </c>
      <c r="K507" s="20"/>
      <c r="L507" s="20"/>
      <c r="M507" s="20"/>
      <c r="N507" s="20"/>
      <c r="O507" s="20"/>
      <c r="P507" s="20"/>
      <c r="T507" s="20">
        <v>0</v>
      </c>
      <c r="U507" s="20">
        <v>0</v>
      </c>
      <c r="V507" s="20">
        <v>0</v>
      </c>
      <c r="W507" s="20">
        <f t="shared" si="15"/>
        <v>223.82</v>
      </c>
      <c r="X507" s="20">
        <f t="shared" si="15"/>
        <v>217.15</v>
      </c>
      <c r="Y507" s="20">
        <f t="shared" si="15"/>
        <v>217.15</v>
      </c>
    </row>
    <row r="508" spans="1:25" s="17" customFormat="1" ht="51">
      <c r="A508" s="108" t="str">
        <f t="shared" si="14"/>
        <v>606070215 2 02 20370000</v>
      </c>
      <c r="B508" s="201" t="s">
        <v>158</v>
      </c>
      <c r="C508" s="198" t="s">
        <v>394</v>
      </c>
      <c r="D508" s="199" t="s">
        <v>229</v>
      </c>
      <c r="E508" s="199" t="s">
        <v>62</v>
      </c>
      <c r="F508" s="199" t="s">
        <v>162</v>
      </c>
      <c r="G508" s="199" t="s">
        <v>9</v>
      </c>
      <c r="H508" s="20">
        <v>223.82</v>
      </c>
      <c r="I508" s="20">
        <v>217.15</v>
      </c>
      <c r="J508" s="20">
        <v>217.15</v>
      </c>
      <c r="K508" s="20"/>
      <c r="L508" s="20"/>
      <c r="M508" s="20"/>
      <c r="N508" s="20"/>
      <c r="O508" s="20"/>
      <c r="P508" s="20"/>
      <c r="T508" s="20">
        <v>900</v>
      </c>
      <c r="U508" s="20">
        <v>0</v>
      </c>
      <c r="V508" s="20">
        <v>0</v>
      </c>
      <c r="W508" s="20">
        <f t="shared" si="15"/>
        <v>-676.18000000000006</v>
      </c>
      <c r="X508" s="20">
        <f t="shared" si="15"/>
        <v>217.15</v>
      </c>
      <c r="Y508" s="20">
        <f t="shared" si="15"/>
        <v>217.15</v>
      </c>
    </row>
    <row r="509" spans="1:25" s="17" customFormat="1">
      <c r="A509" s="108" t="str">
        <f t="shared" si="14"/>
        <v/>
      </c>
      <c r="B509" s="220" t="s">
        <v>1104</v>
      </c>
      <c r="C509" s="198"/>
      <c r="D509" s="199"/>
      <c r="E509" s="199"/>
      <c r="F509" s="199"/>
      <c r="G509" s="199"/>
      <c r="H509" s="20"/>
      <c r="I509" s="20"/>
      <c r="J509" s="20"/>
      <c r="K509" s="20"/>
      <c r="L509" s="20"/>
      <c r="M509" s="20"/>
      <c r="N509" s="20"/>
      <c r="O509" s="20"/>
      <c r="P509" s="20"/>
      <c r="T509" s="20">
        <v>900</v>
      </c>
      <c r="U509" s="20">
        <v>0</v>
      </c>
      <c r="V509" s="20">
        <v>0</v>
      </c>
      <c r="W509" s="20">
        <f t="shared" si="15"/>
        <v>-900</v>
      </c>
      <c r="X509" s="20">
        <f t="shared" si="15"/>
        <v>0</v>
      </c>
      <c r="Y509" s="20">
        <f t="shared" si="15"/>
        <v>0</v>
      </c>
    </row>
    <row r="510" spans="1:25" s="17" customFormat="1">
      <c r="A510" s="108" t="str">
        <f t="shared" si="14"/>
        <v>606070215 2 02 20370000</v>
      </c>
      <c r="B510" s="221" t="s">
        <v>1105</v>
      </c>
      <c r="C510" s="222" t="s">
        <v>394</v>
      </c>
      <c r="D510" s="223" t="s">
        <v>229</v>
      </c>
      <c r="E510" s="223" t="s">
        <v>62</v>
      </c>
      <c r="F510" s="223" t="s">
        <v>162</v>
      </c>
      <c r="G510" s="223" t="s">
        <v>9</v>
      </c>
      <c r="H510" s="224">
        <v>6.67</v>
      </c>
      <c r="I510" s="224">
        <v>0</v>
      </c>
      <c r="J510" s="224">
        <v>0</v>
      </c>
      <c r="K510" s="20"/>
      <c r="L510" s="20"/>
      <c r="M510" s="20"/>
      <c r="N510" s="20"/>
      <c r="O510" s="20"/>
      <c r="P510" s="20"/>
      <c r="T510" s="20">
        <v>900</v>
      </c>
      <c r="U510" s="20">
        <v>0</v>
      </c>
      <c r="V510" s="20">
        <v>0</v>
      </c>
      <c r="W510" s="20">
        <f t="shared" si="15"/>
        <v>-893.33</v>
      </c>
      <c r="X510" s="20">
        <f t="shared" si="15"/>
        <v>0</v>
      </c>
      <c r="Y510" s="20">
        <f t="shared" si="15"/>
        <v>0</v>
      </c>
    </row>
    <row r="511" spans="1:25" s="17" customFormat="1">
      <c r="A511" s="108" t="str">
        <f t="shared" si="14"/>
        <v>606070215 2 02 20370610</v>
      </c>
      <c r="B511" s="205" t="s">
        <v>403</v>
      </c>
      <c r="C511" s="198" t="s">
        <v>394</v>
      </c>
      <c r="D511" s="199" t="s">
        <v>229</v>
      </c>
      <c r="E511" s="199" t="s">
        <v>62</v>
      </c>
      <c r="F511" s="199" t="s">
        <v>162</v>
      </c>
      <c r="G511" s="199" t="s">
        <v>404</v>
      </c>
      <c r="H511" s="20">
        <v>223.82</v>
      </c>
      <c r="I511" s="20">
        <v>217.15</v>
      </c>
      <c r="J511" s="20">
        <v>217.15</v>
      </c>
      <c r="K511" s="20"/>
      <c r="L511" s="20"/>
      <c r="M511" s="20"/>
      <c r="N511" s="20"/>
      <c r="O511" s="20"/>
      <c r="P511" s="20"/>
      <c r="T511" s="20">
        <v>20</v>
      </c>
      <c r="U511" s="20">
        <v>20</v>
      </c>
      <c r="V511" s="20">
        <v>20</v>
      </c>
      <c r="W511" s="20">
        <f t="shared" si="15"/>
        <v>203.82</v>
      </c>
      <c r="X511" s="20">
        <f t="shared" si="15"/>
        <v>197.15</v>
      </c>
      <c r="Y511" s="20">
        <f t="shared" si="15"/>
        <v>197.15</v>
      </c>
    </row>
    <row r="512" spans="1:25" s="17" customFormat="1" ht="25.5">
      <c r="A512" s="108" t="str">
        <f t="shared" si="14"/>
        <v>606070215 3 00 00000000</v>
      </c>
      <c r="B512" s="197" t="s">
        <v>168</v>
      </c>
      <c r="C512" s="198" t="s">
        <v>394</v>
      </c>
      <c r="D512" s="199" t="s">
        <v>229</v>
      </c>
      <c r="E512" s="199" t="s">
        <v>62</v>
      </c>
      <c r="F512" s="199" t="s">
        <v>169</v>
      </c>
      <c r="G512" s="199" t="s">
        <v>9</v>
      </c>
      <c r="H512" s="20">
        <v>1674.8</v>
      </c>
      <c r="I512" s="20">
        <v>1674.8</v>
      </c>
      <c r="J512" s="20">
        <v>1674.8</v>
      </c>
      <c r="K512" s="20"/>
      <c r="L512" s="20"/>
      <c r="M512" s="20"/>
      <c r="N512" s="20"/>
      <c r="O512" s="20"/>
      <c r="P512" s="20"/>
      <c r="T512" s="20">
        <v>20</v>
      </c>
      <c r="U512" s="20">
        <v>20</v>
      </c>
      <c r="V512" s="20">
        <v>20</v>
      </c>
      <c r="W512" s="20">
        <f t="shared" si="15"/>
        <v>1654.8</v>
      </c>
      <c r="X512" s="20">
        <f t="shared" si="15"/>
        <v>1654.8</v>
      </c>
      <c r="Y512" s="20">
        <f t="shared" si="15"/>
        <v>1654.8</v>
      </c>
    </row>
    <row r="513" spans="1:25" s="17" customFormat="1" ht="25.5">
      <c r="A513" s="108" t="str">
        <f t="shared" si="14"/>
        <v>606070215 3 01 00000000</v>
      </c>
      <c r="B513" s="197" t="s">
        <v>374</v>
      </c>
      <c r="C513" s="198" t="s">
        <v>394</v>
      </c>
      <c r="D513" s="199" t="s">
        <v>229</v>
      </c>
      <c r="E513" s="199" t="s">
        <v>62</v>
      </c>
      <c r="F513" s="199" t="s">
        <v>375</v>
      </c>
      <c r="G513" s="199" t="s">
        <v>9</v>
      </c>
      <c r="H513" s="20">
        <v>1674.8</v>
      </c>
      <c r="I513" s="20">
        <v>1674.8</v>
      </c>
      <c r="J513" s="20">
        <v>1674.8</v>
      </c>
      <c r="K513" s="20"/>
      <c r="L513" s="20"/>
      <c r="M513" s="20"/>
      <c r="N513" s="20"/>
      <c r="O513" s="20"/>
      <c r="P513" s="20"/>
      <c r="T513" s="20">
        <v>20</v>
      </c>
      <c r="U513" s="20">
        <v>20</v>
      </c>
      <c r="V513" s="20">
        <v>20</v>
      </c>
      <c r="W513" s="20">
        <f t="shared" si="15"/>
        <v>1654.8</v>
      </c>
      <c r="X513" s="20">
        <f t="shared" si="15"/>
        <v>1654.8</v>
      </c>
      <c r="Y513" s="20">
        <f t="shared" si="15"/>
        <v>1654.8</v>
      </c>
    </row>
    <row r="514" spans="1:25" s="17" customFormat="1" ht="25.5">
      <c r="A514" s="108" t="str">
        <f t="shared" si="14"/>
        <v>606070215 3 01 20660000</v>
      </c>
      <c r="B514" s="197" t="s">
        <v>376</v>
      </c>
      <c r="C514" s="198" t="s">
        <v>394</v>
      </c>
      <c r="D514" s="199" t="s">
        <v>229</v>
      </c>
      <c r="E514" s="199" t="s">
        <v>62</v>
      </c>
      <c r="F514" s="199" t="s">
        <v>377</v>
      </c>
      <c r="G514" s="199" t="s">
        <v>9</v>
      </c>
      <c r="H514" s="20">
        <v>1674.8</v>
      </c>
      <c r="I514" s="20">
        <v>1674.8</v>
      </c>
      <c r="J514" s="20">
        <v>1674.8</v>
      </c>
      <c r="K514" s="20"/>
      <c r="L514" s="20"/>
      <c r="M514" s="20"/>
      <c r="N514" s="20"/>
      <c r="O514" s="20"/>
      <c r="P514" s="20"/>
      <c r="T514" s="20">
        <v>20</v>
      </c>
      <c r="U514" s="20">
        <v>20</v>
      </c>
      <c r="V514" s="20">
        <v>20</v>
      </c>
      <c r="W514" s="20">
        <f t="shared" si="15"/>
        <v>1654.8</v>
      </c>
      <c r="X514" s="20">
        <f t="shared" si="15"/>
        <v>1654.8</v>
      </c>
      <c r="Y514" s="20">
        <f t="shared" si="15"/>
        <v>1654.8</v>
      </c>
    </row>
    <row r="515" spans="1:25" s="17" customFormat="1">
      <c r="A515" s="108" t="str">
        <f t="shared" si="14"/>
        <v>606070215 3 01 20660610</v>
      </c>
      <c r="B515" s="205" t="s">
        <v>403</v>
      </c>
      <c r="C515" s="198" t="s">
        <v>394</v>
      </c>
      <c r="D515" s="199" t="s">
        <v>229</v>
      </c>
      <c r="E515" s="199" t="s">
        <v>62</v>
      </c>
      <c r="F515" s="199" t="s">
        <v>377</v>
      </c>
      <c r="G515" s="199" t="s">
        <v>404</v>
      </c>
      <c r="H515" s="20">
        <v>1674.8</v>
      </c>
      <c r="I515" s="20">
        <v>1674.8</v>
      </c>
      <c r="J515" s="20">
        <v>1674.8</v>
      </c>
      <c r="K515" s="20"/>
      <c r="L515" s="20"/>
      <c r="M515" s="20"/>
      <c r="N515" s="20"/>
      <c r="O515" s="20"/>
      <c r="P515" s="20"/>
      <c r="T515" s="20">
        <v>100</v>
      </c>
      <c r="U515" s="20">
        <v>100</v>
      </c>
      <c r="V515" s="20">
        <v>100</v>
      </c>
      <c r="W515" s="20">
        <f t="shared" si="15"/>
        <v>1574.8</v>
      </c>
      <c r="X515" s="20">
        <f t="shared" si="15"/>
        <v>1574.8</v>
      </c>
      <c r="Y515" s="20">
        <f t="shared" si="15"/>
        <v>1574.8</v>
      </c>
    </row>
    <row r="516" spans="1:25" s="17" customFormat="1" ht="63.75">
      <c r="A516" s="108" t="str">
        <f t="shared" si="14"/>
        <v>606070216 0 00 00000000</v>
      </c>
      <c r="B516" s="197" t="s">
        <v>420</v>
      </c>
      <c r="C516" s="198" t="s">
        <v>394</v>
      </c>
      <c r="D516" s="199" t="s">
        <v>229</v>
      </c>
      <c r="E516" s="199" t="s">
        <v>62</v>
      </c>
      <c r="F516" s="199" t="s">
        <v>421</v>
      </c>
      <c r="G516" s="199" t="s">
        <v>9</v>
      </c>
      <c r="H516" s="20">
        <v>4366.97</v>
      </c>
      <c r="I516" s="20">
        <v>2776.06</v>
      </c>
      <c r="J516" s="20">
        <v>2776.06</v>
      </c>
      <c r="K516" s="20"/>
      <c r="L516" s="20"/>
      <c r="M516" s="20"/>
      <c r="N516" s="20"/>
      <c r="O516" s="20"/>
      <c r="P516" s="20"/>
      <c r="T516" s="20">
        <v>100</v>
      </c>
      <c r="U516" s="20">
        <v>100</v>
      </c>
      <c r="V516" s="20">
        <v>100</v>
      </c>
      <c r="W516" s="20">
        <f t="shared" si="15"/>
        <v>4266.97</v>
      </c>
      <c r="X516" s="20">
        <f t="shared" si="15"/>
        <v>2676.06</v>
      </c>
      <c r="Y516" s="20">
        <f t="shared" si="15"/>
        <v>2676.06</v>
      </c>
    </row>
    <row r="517" spans="1:25" s="17" customFormat="1" ht="25.5">
      <c r="A517" s="108" t="str">
        <f t="shared" si="14"/>
        <v>606070216 2 00 00000000</v>
      </c>
      <c r="B517" s="197" t="s">
        <v>422</v>
      </c>
      <c r="C517" s="198" t="s">
        <v>394</v>
      </c>
      <c r="D517" s="199" t="s">
        <v>229</v>
      </c>
      <c r="E517" s="199" t="s">
        <v>62</v>
      </c>
      <c r="F517" s="199" t="s">
        <v>423</v>
      </c>
      <c r="G517" s="199" t="s">
        <v>9</v>
      </c>
      <c r="H517" s="20">
        <v>4366.97</v>
      </c>
      <c r="I517" s="20">
        <v>2776.06</v>
      </c>
      <c r="J517" s="20">
        <v>2776.06</v>
      </c>
      <c r="K517" s="20"/>
      <c r="L517" s="20"/>
      <c r="M517" s="20"/>
      <c r="N517" s="20"/>
      <c r="O517" s="20"/>
      <c r="P517" s="20"/>
      <c r="T517" s="20">
        <v>100</v>
      </c>
      <c r="U517" s="20">
        <v>100</v>
      </c>
      <c r="V517" s="20">
        <v>100</v>
      </c>
      <c r="W517" s="20">
        <f t="shared" si="15"/>
        <v>4266.97</v>
      </c>
      <c r="X517" s="20">
        <f t="shared" si="15"/>
        <v>2676.06</v>
      </c>
      <c r="Y517" s="20">
        <f t="shared" si="15"/>
        <v>2676.06</v>
      </c>
    </row>
    <row r="518" spans="1:25" s="17" customFormat="1" ht="25.5">
      <c r="A518" s="108" t="str">
        <f t="shared" ref="A518:A581" si="16">C518&amp;D518&amp;E518&amp;F518&amp;G518</f>
        <v>606070216 2 02 00000000</v>
      </c>
      <c r="B518" s="197" t="s">
        <v>424</v>
      </c>
      <c r="C518" s="198" t="s">
        <v>394</v>
      </c>
      <c r="D518" s="199" t="s">
        <v>229</v>
      </c>
      <c r="E518" s="199" t="s">
        <v>62</v>
      </c>
      <c r="F518" s="199" t="s">
        <v>425</v>
      </c>
      <c r="G518" s="199" t="s">
        <v>9</v>
      </c>
      <c r="H518" s="20">
        <v>4366.97</v>
      </c>
      <c r="I518" s="20">
        <v>2776.06</v>
      </c>
      <c r="J518" s="20">
        <v>2776.06</v>
      </c>
      <c r="K518" s="20"/>
      <c r="L518" s="20"/>
      <c r="M518" s="20"/>
      <c r="N518" s="20"/>
      <c r="O518" s="20"/>
      <c r="P518" s="20"/>
      <c r="T518" s="20">
        <v>100</v>
      </c>
      <c r="U518" s="20">
        <v>100</v>
      </c>
      <c r="V518" s="20">
        <v>100</v>
      </c>
      <c r="W518" s="20">
        <f t="shared" si="15"/>
        <v>4266.97</v>
      </c>
      <c r="X518" s="20">
        <f t="shared" si="15"/>
        <v>2676.06</v>
      </c>
      <c r="Y518" s="20">
        <f t="shared" si="15"/>
        <v>2676.06</v>
      </c>
    </row>
    <row r="519" spans="1:25" s="17" customFormat="1" ht="38.25">
      <c r="A519" s="108" t="str">
        <f t="shared" si="16"/>
        <v>606070216 2 02 20550000</v>
      </c>
      <c r="B519" s="197" t="s">
        <v>426</v>
      </c>
      <c r="C519" s="198" t="s">
        <v>394</v>
      </c>
      <c r="D519" s="199" t="s">
        <v>229</v>
      </c>
      <c r="E519" s="199" t="s">
        <v>62</v>
      </c>
      <c r="F519" s="199" t="s">
        <v>427</v>
      </c>
      <c r="G519" s="199" t="s">
        <v>9</v>
      </c>
      <c r="H519" s="20">
        <v>4366.97</v>
      </c>
      <c r="I519" s="20">
        <v>2776.06</v>
      </c>
      <c r="J519" s="20">
        <v>2776.06</v>
      </c>
      <c r="K519" s="20"/>
      <c r="L519" s="20"/>
      <c r="M519" s="20"/>
      <c r="N519" s="20"/>
      <c r="O519" s="20"/>
      <c r="P519" s="20"/>
      <c r="T519" s="20">
        <v>359.90000000000003</v>
      </c>
      <c r="U519" s="20">
        <v>359.90000000000003</v>
      </c>
      <c r="V519" s="20">
        <v>359.90000000000003</v>
      </c>
      <c r="W519" s="20">
        <f t="shared" si="15"/>
        <v>4007.07</v>
      </c>
      <c r="X519" s="20">
        <f t="shared" si="15"/>
        <v>2416.16</v>
      </c>
      <c r="Y519" s="20">
        <f t="shared" si="15"/>
        <v>2416.16</v>
      </c>
    </row>
    <row r="520" spans="1:25" s="17" customFormat="1">
      <c r="A520" s="108" t="str">
        <f t="shared" si="16"/>
        <v>606070216 2 02 20550610</v>
      </c>
      <c r="B520" s="205" t="s">
        <v>403</v>
      </c>
      <c r="C520" s="198" t="s">
        <v>394</v>
      </c>
      <c r="D520" s="199" t="s">
        <v>229</v>
      </c>
      <c r="E520" s="199" t="s">
        <v>62</v>
      </c>
      <c r="F520" s="199" t="s">
        <v>427</v>
      </c>
      <c r="G520" s="199" t="s">
        <v>404</v>
      </c>
      <c r="H520" s="20">
        <v>4218.2700000000004</v>
      </c>
      <c r="I520" s="20">
        <v>2627.36</v>
      </c>
      <c r="J520" s="20">
        <v>2627.36</v>
      </c>
      <c r="K520" s="20"/>
      <c r="L520" s="20"/>
      <c r="M520" s="20"/>
      <c r="N520" s="20"/>
      <c r="O520" s="20"/>
      <c r="P520" s="20"/>
      <c r="T520" s="20">
        <v>359.90000000000003</v>
      </c>
      <c r="U520" s="20">
        <v>359.90000000000003</v>
      </c>
      <c r="V520" s="20">
        <v>359.90000000000003</v>
      </c>
      <c r="W520" s="20">
        <f t="shared" ref="W520:Y583" si="17">H520-T520</f>
        <v>3858.3700000000003</v>
      </c>
      <c r="X520" s="20">
        <f t="shared" si="17"/>
        <v>2267.46</v>
      </c>
      <c r="Y520" s="20">
        <f t="shared" si="17"/>
        <v>2267.46</v>
      </c>
    </row>
    <row r="521" spans="1:25" s="17" customFormat="1">
      <c r="A521" s="108" t="str">
        <f t="shared" si="16"/>
        <v>606070216 2 02 20550620</v>
      </c>
      <c r="B521" s="205" t="s">
        <v>409</v>
      </c>
      <c r="C521" s="198" t="s">
        <v>394</v>
      </c>
      <c r="D521" s="199" t="s">
        <v>229</v>
      </c>
      <c r="E521" s="199" t="s">
        <v>62</v>
      </c>
      <c r="F521" s="199" t="s">
        <v>427</v>
      </c>
      <c r="G521" s="199" t="s">
        <v>410</v>
      </c>
      <c r="H521" s="20">
        <v>148.69999999999999</v>
      </c>
      <c r="I521" s="20">
        <v>148.69999999999999</v>
      </c>
      <c r="J521" s="20">
        <v>148.69999999999999</v>
      </c>
      <c r="K521" s="20"/>
      <c r="L521" s="20"/>
      <c r="M521" s="20"/>
      <c r="N521" s="20"/>
      <c r="O521" s="20"/>
      <c r="P521" s="20"/>
      <c r="T521" s="20">
        <v>359.90000000000003</v>
      </c>
      <c r="U521" s="20">
        <v>359.90000000000003</v>
      </c>
      <c r="V521" s="20">
        <v>359.90000000000003</v>
      </c>
      <c r="W521" s="20">
        <f t="shared" si="17"/>
        <v>-211.20000000000005</v>
      </c>
      <c r="X521" s="20">
        <f t="shared" si="17"/>
        <v>-211.20000000000005</v>
      </c>
      <c r="Y521" s="20">
        <f t="shared" si="17"/>
        <v>-211.20000000000005</v>
      </c>
    </row>
    <row r="522" spans="1:25" s="17" customFormat="1" ht="25.5">
      <c r="A522" s="108" t="str">
        <f t="shared" si="16"/>
        <v>606070217 0 00 00000000</v>
      </c>
      <c r="B522" s="197" t="s">
        <v>430</v>
      </c>
      <c r="C522" s="198" t="s">
        <v>394</v>
      </c>
      <c r="D522" s="199" t="s">
        <v>229</v>
      </c>
      <c r="E522" s="199" t="s">
        <v>62</v>
      </c>
      <c r="F522" s="199" t="s">
        <v>431</v>
      </c>
      <c r="G522" s="199" t="s">
        <v>9</v>
      </c>
      <c r="H522" s="20">
        <v>2538.87</v>
      </c>
      <c r="I522" s="20">
        <v>2538.87</v>
      </c>
      <c r="J522" s="20">
        <v>2538.87</v>
      </c>
      <c r="K522" s="20"/>
      <c r="L522" s="20"/>
      <c r="M522" s="20"/>
      <c r="N522" s="20"/>
      <c r="O522" s="20"/>
      <c r="P522" s="20"/>
      <c r="T522" s="20">
        <v>359.90000000000003</v>
      </c>
      <c r="U522" s="20">
        <v>359.90000000000003</v>
      </c>
      <c r="V522" s="20">
        <v>359.90000000000003</v>
      </c>
      <c r="W522" s="20">
        <f t="shared" si="17"/>
        <v>2178.9699999999998</v>
      </c>
      <c r="X522" s="20">
        <f t="shared" si="17"/>
        <v>2178.9699999999998</v>
      </c>
      <c r="Y522" s="20">
        <f t="shared" si="17"/>
        <v>2178.9699999999998</v>
      </c>
    </row>
    <row r="523" spans="1:25" s="17" customFormat="1" ht="38.25">
      <c r="A523" s="108" t="str">
        <f t="shared" si="16"/>
        <v>606070217 Б 00 00000000</v>
      </c>
      <c r="B523" s="201" t="s">
        <v>432</v>
      </c>
      <c r="C523" s="198" t="s">
        <v>394</v>
      </c>
      <c r="D523" s="199" t="s">
        <v>229</v>
      </c>
      <c r="E523" s="199" t="s">
        <v>62</v>
      </c>
      <c r="F523" s="199" t="s">
        <v>433</v>
      </c>
      <c r="G523" s="199" t="s">
        <v>9</v>
      </c>
      <c r="H523" s="20">
        <v>2538.87</v>
      </c>
      <c r="I523" s="20">
        <v>2538.87</v>
      </c>
      <c r="J523" s="20">
        <v>2538.87</v>
      </c>
      <c r="K523" s="20"/>
      <c r="L523" s="20"/>
      <c r="M523" s="20"/>
      <c r="N523" s="20"/>
      <c r="O523" s="20"/>
      <c r="P523" s="20"/>
      <c r="T523" s="20">
        <v>301.3</v>
      </c>
      <c r="U523" s="20">
        <v>301.3</v>
      </c>
      <c r="V523" s="20">
        <v>301.3</v>
      </c>
      <c r="W523" s="20">
        <f t="shared" si="17"/>
        <v>2237.5699999999997</v>
      </c>
      <c r="X523" s="20">
        <f t="shared" si="17"/>
        <v>2237.5699999999997</v>
      </c>
      <c r="Y523" s="20">
        <f t="shared" si="17"/>
        <v>2237.5699999999997</v>
      </c>
    </row>
    <row r="524" spans="1:25" s="17" customFormat="1" ht="25.5">
      <c r="A524" s="108" t="str">
        <f t="shared" si="16"/>
        <v>606070217 Б 01 00000000</v>
      </c>
      <c r="B524" s="197" t="s">
        <v>434</v>
      </c>
      <c r="C524" s="198" t="s">
        <v>394</v>
      </c>
      <c r="D524" s="199" t="s">
        <v>229</v>
      </c>
      <c r="E524" s="199" t="s">
        <v>62</v>
      </c>
      <c r="F524" s="199" t="s">
        <v>435</v>
      </c>
      <c r="G524" s="199" t="s">
        <v>9</v>
      </c>
      <c r="H524" s="20">
        <v>2538.87</v>
      </c>
      <c r="I524" s="20">
        <v>2538.87</v>
      </c>
      <c r="J524" s="20">
        <v>2538.87</v>
      </c>
      <c r="K524" s="20"/>
      <c r="L524" s="20"/>
      <c r="M524" s="20"/>
      <c r="N524" s="20"/>
      <c r="O524" s="20"/>
      <c r="P524" s="20"/>
      <c r="T524" s="20">
        <v>58.6</v>
      </c>
      <c r="U524" s="20">
        <v>58.6</v>
      </c>
      <c r="V524" s="20">
        <v>58.6</v>
      </c>
      <c r="W524" s="20">
        <f t="shared" si="17"/>
        <v>2480.27</v>
      </c>
      <c r="X524" s="20">
        <f t="shared" si="17"/>
        <v>2480.27</v>
      </c>
      <c r="Y524" s="20">
        <f t="shared" si="17"/>
        <v>2480.27</v>
      </c>
    </row>
    <row r="525" spans="1:25" s="17" customFormat="1" ht="25.5">
      <c r="A525" s="108" t="str">
        <f t="shared" si="16"/>
        <v>606070217 Б 01 20490000</v>
      </c>
      <c r="B525" s="205" t="s">
        <v>436</v>
      </c>
      <c r="C525" s="198" t="s">
        <v>394</v>
      </c>
      <c r="D525" s="199" t="s">
        <v>229</v>
      </c>
      <c r="E525" s="199" t="s">
        <v>62</v>
      </c>
      <c r="F525" s="199" t="s">
        <v>437</v>
      </c>
      <c r="G525" s="199" t="s">
        <v>9</v>
      </c>
      <c r="H525" s="20">
        <v>2538.87</v>
      </c>
      <c r="I525" s="20">
        <v>2538.87</v>
      </c>
      <c r="J525" s="20">
        <v>2538.87</v>
      </c>
      <c r="K525" s="19"/>
      <c r="L525" s="19"/>
      <c r="M525" s="19"/>
      <c r="N525" s="19"/>
      <c r="O525" s="19"/>
      <c r="P525" s="19"/>
      <c r="T525" s="19">
        <v>24987.45</v>
      </c>
      <c r="U525" s="19">
        <v>24978.05</v>
      </c>
      <c r="V525" s="19">
        <v>24978.05</v>
      </c>
      <c r="W525" s="19">
        <f t="shared" si="17"/>
        <v>-22448.58</v>
      </c>
      <c r="X525" s="19">
        <f t="shared" si="17"/>
        <v>-22439.18</v>
      </c>
      <c r="Y525" s="19">
        <f t="shared" si="17"/>
        <v>-22439.18</v>
      </c>
    </row>
    <row r="526" spans="1:25" s="17" customFormat="1">
      <c r="A526" s="108" t="str">
        <f t="shared" si="16"/>
        <v>606070217 Б 01 20490610</v>
      </c>
      <c r="B526" s="205" t="s">
        <v>403</v>
      </c>
      <c r="C526" s="198" t="s">
        <v>394</v>
      </c>
      <c r="D526" s="199" t="s">
        <v>229</v>
      </c>
      <c r="E526" s="199" t="s">
        <v>62</v>
      </c>
      <c r="F526" s="199" t="s">
        <v>437</v>
      </c>
      <c r="G526" s="199" t="s">
        <v>404</v>
      </c>
      <c r="H526" s="20">
        <v>2538.87</v>
      </c>
      <c r="I526" s="20">
        <v>2538.87</v>
      </c>
      <c r="J526" s="20">
        <v>2538.87</v>
      </c>
      <c r="K526" s="20"/>
      <c r="L526" s="20"/>
      <c r="M526" s="20"/>
      <c r="N526" s="20"/>
      <c r="O526" s="20"/>
      <c r="P526" s="20"/>
      <c r="T526" s="20">
        <v>24942.25</v>
      </c>
      <c r="U526" s="20">
        <v>24932.85</v>
      </c>
      <c r="V526" s="20">
        <v>24932.85</v>
      </c>
      <c r="W526" s="20">
        <f t="shared" si="17"/>
        <v>-22403.38</v>
      </c>
      <c r="X526" s="20">
        <f t="shared" si="17"/>
        <v>-22393.98</v>
      </c>
      <c r="Y526" s="20">
        <f t="shared" si="17"/>
        <v>-22393.98</v>
      </c>
    </row>
    <row r="527" spans="1:25" s="17" customFormat="1" ht="25.5">
      <c r="A527" s="108" t="str">
        <f t="shared" si="16"/>
        <v>606070218 0 00 00000000</v>
      </c>
      <c r="B527" s="205" t="s">
        <v>174</v>
      </c>
      <c r="C527" s="198" t="s">
        <v>394</v>
      </c>
      <c r="D527" s="199" t="s">
        <v>229</v>
      </c>
      <c r="E527" s="199" t="s">
        <v>62</v>
      </c>
      <c r="F527" s="199" t="s">
        <v>175</v>
      </c>
      <c r="G527" s="199" t="s">
        <v>9</v>
      </c>
      <c r="H527" s="20">
        <v>91.8</v>
      </c>
      <c r="I527" s="20">
        <v>91.8</v>
      </c>
      <c r="J527" s="20">
        <v>91.8</v>
      </c>
      <c r="K527" s="20"/>
      <c r="L527" s="20"/>
      <c r="M527" s="20"/>
      <c r="N527" s="20"/>
      <c r="O527" s="20"/>
      <c r="P527" s="20"/>
      <c r="T527" s="20">
        <v>24942.25</v>
      </c>
      <c r="U527" s="20">
        <v>24932.85</v>
      </c>
      <c r="V527" s="20">
        <v>24932.85</v>
      </c>
      <c r="W527" s="20">
        <f t="shared" si="17"/>
        <v>-24850.45</v>
      </c>
      <c r="X527" s="20">
        <f t="shared" si="17"/>
        <v>-24841.05</v>
      </c>
      <c r="Y527" s="20">
        <f t="shared" si="17"/>
        <v>-24841.05</v>
      </c>
    </row>
    <row r="528" spans="1:25" s="17" customFormat="1" ht="25.5">
      <c r="A528" s="108" t="str">
        <f t="shared" si="16"/>
        <v>606070218 Б 00 00000000</v>
      </c>
      <c r="B528" s="205" t="s">
        <v>176</v>
      </c>
      <c r="C528" s="198" t="s">
        <v>394</v>
      </c>
      <c r="D528" s="199" t="s">
        <v>229</v>
      </c>
      <c r="E528" s="199" t="s">
        <v>62</v>
      </c>
      <c r="F528" s="199" t="s">
        <v>177</v>
      </c>
      <c r="G528" s="199" t="s">
        <v>9</v>
      </c>
      <c r="H528" s="20">
        <v>91.8</v>
      </c>
      <c r="I528" s="20">
        <v>91.8</v>
      </c>
      <c r="J528" s="20">
        <v>91.8</v>
      </c>
      <c r="K528" s="20"/>
      <c r="L528" s="20"/>
      <c r="M528" s="20"/>
      <c r="N528" s="20"/>
      <c r="O528" s="20"/>
      <c r="P528" s="20"/>
      <c r="T528" s="20">
        <v>24942.25</v>
      </c>
      <c r="U528" s="20">
        <v>24932.85</v>
      </c>
      <c r="V528" s="20">
        <v>24932.85</v>
      </c>
      <c r="W528" s="20">
        <f t="shared" si="17"/>
        <v>-24850.45</v>
      </c>
      <c r="X528" s="20">
        <f t="shared" si="17"/>
        <v>-24841.05</v>
      </c>
      <c r="Y528" s="20">
        <f t="shared" si="17"/>
        <v>-24841.05</v>
      </c>
    </row>
    <row r="529" spans="1:25" s="17" customFormat="1" ht="51">
      <c r="A529" s="108" t="str">
        <f t="shared" si="16"/>
        <v>606070218 Б 02 00000000</v>
      </c>
      <c r="B529" s="197" t="s">
        <v>454</v>
      </c>
      <c r="C529" s="198" t="s">
        <v>394</v>
      </c>
      <c r="D529" s="199" t="s">
        <v>229</v>
      </c>
      <c r="E529" s="199" t="s">
        <v>62</v>
      </c>
      <c r="F529" s="199" t="s">
        <v>455</v>
      </c>
      <c r="G529" s="199" t="s">
        <v>9</v>
      </c>
      <c r="H529" s="20">
        <v>91.8</v>
      </c>
      <c r="I529" s="20">
        <v>91.8</v>
      </c>
      <c r="J529" s="20">
        <v>91.8</v>
      </c>
      <c r="K529" s="20"/>
      <c r="L529" s="20"/>
      <c r="M529" s="20"/>
      <c r="N529" s="20"/>
      <c r="O529" s="20"/>
      <c r="P529" s="20"/>
      <c r="T529" s="20">
        <v>7074.8799999999992</v>
      </c>
      <c r="U529" s="20">
        <v>7065.48</v>
      </c>
      <c r="V529" s="20">
        <v>7065.48</v>
      </c>
      <c r="W529" s="20">
        <f t="shared" si="17"/>
        <v>-6983.079999999999</v>
      </c>
      <c r="X529" s="20">
        <f t="shared" si="17"/>
        <v>-6973.6799999999994</v>
      </c>
      <c r="Y529" s="20">
        <f t="shared" si="17"/>
        <v>-6973.6799999999994</v>
      </c>
    </row>
    <row r="530" spans="1:25" s="17" customFormat="1" ht="25.5">
      <c r="A530" s="108" t="str">
        <f t="shared" si="16"/>
        <v>606070218 Б 02 20360000</v>
      </c>
      <c r="B530" s="197" t="s">
        <v>456</v>
      </c>
      <c r="C530" s="198" t="s">
        <v>394</v>
      </c>
      <c r="D530" s="199" t="s">
        <v>229</v>
      </c>
      <c r="E530" s="199" t="s">
        <v>62</v>
      </c>
      <c r="F530" s="199" t="s">
        <v>457</v>
      </c>
      <c r="G530" s="199" t="s">
        <v>9</v>
      </c>
      <c r="H530" s="20">
        <v>91.8</v>
      </c>
      <c r="I530" s="20">
        <v>91.8</v>
      </c>
      <c r="J530" s="20">
        <v>91.8</v>
      </c>
      <c r="K530" s="20"/>
      <c r="L530" s="20"/>
      <c r="M530" s="20"/>
      <c r="N530" s="20"/>
      <c r="O530" s="20"/>
      <c r="P530" s="20"/>
      <c r="T530" s="20"/>
      <c r="U530" s="20"/>
      <c r="V530" s="20"/>
      <c r="W530" s="20">
        <f t="shared" si="17"/>
        <v>91.8</v>
      </c>
      <c r="X530" s="20">
        <f t="shared" si="17"/>
        <v>91.8</v>
      </c>
      <c r="Y530" s="20">
        <f t="shared" si="17"/>
        <v>91.8</v>
      </c>
    </row>
    <row r="531" spans="1:25" s="17" customFormat="1">
      <c r="A531" s="108" t="str">
        <f t="shared" si="16"/>
        <v>606070218 Б 02 20360610</v>
      </c>
      <c r="B531" s="205" t="s">
        <v>403</v>
      </c>
      <c r="C531" s="198" t="s">
        <v>394</v>
      </c>
      <c r="D531" s="199" t="s">
        <v>229</v>
      </c>
      <c r="E531" s="199" t="s">
        <v>62</v>
      </c>
      <c r="F531" s="199" t="s">
        <v>457</v>
      </c>
      <c r="G531" s="199" t="s">
        <v>404</v>
      </c>
      <c r="H531" s="20">
        <v>91.8</v>
      </c>
      <c r="I531" s="20">
        <v>91.8</v>
      </c>
      <c r="J531" s="20">
        <v>91.8</v>
      </c>
      <c r="K531" s="20"/>
      <c r="L531" s="20"/>
      <c r="M531" s="20"/>
      <c r="N531" s="20"/>
      <c r="O531" s="20"/>
      <c r="P531" s="20"/>
      <c r="T531" s="20">
        <v>9.4</v>
      </c>
      <c r="U531" s="20">
        <v>0</v>
      </c>
      <c r="V531" s="20">
        <v>0</v>
      </c>
      <c r="W531" s="20">
        <f t="shared" si="17"/>
        <v>82.399999999999991</v>
      </c>
      <c r="X531" s="20">
        <f t="shared" si="17"/>
        <v>91.8</v>
      </c>
      <c r="Y531" s="20">
        <f t="shared" si="17"/>
        <v>91.8</v>
      </c>
    </row>
    <row r="532" spans="1:25" s="17" customFormat="1">
      <c r="A532" s="108" t="str">
        <f t="shared" si="16"/>
        <v>606070300 0 00 00000000</v>
      </c>
      <c r="B532" s="194" t="s">
        <v>458</v>
      </c>
      <c r="C532" s="195" t="s">
        <v>394</v>
      </c>
      <c r="D532" s="196" t="s">
        <v>229</v>
      </c>
      <c r="E532" s="196" t="s">
        <v>13</v>
      </c>
      <c r="F532" s="196" t="s">
        <v>8</v>
      </c>
      <c r="G532" s="196" t="s">
        <v>9</v>
      </c>
      <c r="H532" s="19">
        <v>208756.05000000002</v>
      </c>
      <c r="I532" s="19">
        <v>200683.62999999998</v>
      </c>
      <c r="J532" s="19">
        <v>200683.62999999998</v>
      </c>
      <c r="K532" s="20"/>
      <c r="L532" s="20"/>
      <c r="M532" s="20"/>
      <c r="N532" s="20"/>
      <c r="O532" s="20"/>
      <c r="P532" s="20"/>
      <c r="T532" s="20">
        <v>7074.8799999999992</v>
      </c>
      <c r="U532" s="20">
        <v>7065.48</v>
      </c>
      <c r="V532" s="20">
        <v>7065.48</v>
      </c>
      <c r="W532" s="20">
        <f t="shared" si="17"/>
        <v>201681.17</v>
      </c>
      <c r="X532" s="20">
        <f t="shared" si="17"/>
        <v>193618.14999999997</v>
      </c>
      <c r="Y532" s="20">
        <f t="shared" si="17"/>
        <v>193618.14999999997</v>
      </c>
    </row>
    <row r="533" spans="1:25" s="17" customFormat="1" ht="25.5">
      <c r="A533" s="108" t="str">
        <f t="shared" si="16"/>
        <v>606070301 0 00 00000000</v>
      </c>
      <c r="B533" s="205" t="s">
        <v>396</v>
      </c>
      <c r="C533" s="198" t="s">
        <v>394</v>
      </c>
      <c r="D533" s="199" t="s">
        <v>229</v>
      </c>
      <c r="E533" s="199" t="s">
        <v>13</v>
      </c>
      <c r="F533" s="199" t="s">
        <v>397</v>
      </c>
      <c r="G533" s="199" t="s">
        <v>9</v>
      </c>
      <c r="H533" s="20">
        <v>207376.15000000002</v>
      </c>
      <c r="I533" s="20">
        <v>200203.72999999998</v>
      </c>
      <c r="J533" s="20">
        <v>200203.72999999998</v>
      </c>
      <c r="K533" s="20"/>
      <c r="L533" s="20"/>
      <c r="M533" s="20"/>
      <c r="N533" s="20"/>
      <c r="O533" s="20"/>
      <c r="P533" s="20"/>
      <c r="T533" s="20">
        <v>17867.37</v>
      </c>
      <c r="U533" s="20">
        <v>17867.37</v>
      </c>
      <c r="V533" s="20">
        <v>17867.37</v>
      </c>
      <c r="W533" s="20">
        <f t="shared" si="17"/>
        <v>189508.78000000003</v>
      </c>
      <c r="X533" s="20">
        <f t="shared" si="17"/>
        <v>182336.36</v>
      </c>
      <c r="Y533" s="20">
        <f t="shared" si="17"/>
        <v>182336.36</v>
      </c>
    </row>
    <row r="534" spans="1:25" s="17" customFormat="1" ht="25.5">
      <c r="A534" s="108" t="str">
        <f t="shared" si="16"/>
        <v>606070301 1 00 00000000</v>
      </c>
      <c r="B534" s="205" t="s">
        <v>398</v>
      </c>
      <c r="C534" s="198" t="s">
        <v>394</v>
      </c>
      <c r="D534" s="199" t="s">
        <v>229</v>
      </c>
      <c r="E534" s="199" t="s">
        <v>13</v>
      </c>
      <c r="F534" s="199" t="s">
        <v>399</v>
      </c>
      <c r="G534" s="199" t="s">
        <v>9</v>
      </c>
      <c r="H534" s="20">
        <v>207376.15000000002</v>
      </c>
      <c r="I534" s="20">
        <v>200203.72999999998</v>
      </c>
      <c r="J534" s="20">
        <v>200203.72999999998</v>
      </c>
      <c r="K534" s="20"/>
      <c r="L534" s="20"/>
      <c r="M534" s="20"/>
      <c r="N534" s="20"/>
      <c r="O534" s="20"/>
      <c r="P534" s="20"/>
      <c r="T534" s="20">
        <v>17867.37</v>
      </c>
      <c r="U534" s="20">
        <v>17867.37</v>
      </c>
      <c r="V534" s="20">
        <v>17867.37</v>
      </c>
      <c r="W534" s="20">
        <f t="shared" si="17"/>
        <v>189508.78000000003</v>
      </c>
      <c r="X534" s="20">
        <f t="shared" si="17"/>
        <v>182336.36</v>
      </c>
      <c r="Y534" s="20">
        <f t="shared" si="17"/>
        <v>182336.36</v>
      </c>
    </row>
    <row r="535" spans="1:25" s="17" customFormat="1" ht="38.25">
      <c r="A535" s="108" t="str">
        <f t="shared" si="16"/>
        <v>606070301 1 03 00000000</v>
      </c>
      <c r="B535" s="201" t="s">
        <v>459</v>
      </c>
      <c r="C535" s="203" t="s">
        <v>394</v>
      </c>
      <c r="D535" s="204" t="s">
        <v>229</v>
      </c>
      <c r="E535" s="204" t="s">
        <v>13</v>
      </c>
      <c r="F535" s="204" t="s">
        <v>460</v>
      </c>
      <c r="G535" s="204" t="s">
        <v>9</v>
      </c>
      <c r="H535" s="26">
        <v>201477.83000000002</v>
      </c>
      <c r="I535" s="26">
        <v>200203.72999999998</v>
      </c>
      <c r="J535" s="26">
        <v>200203.72999999998</v>
      </c>
      <c r="K535" s="20"/>
      <c r="L535" s="20"/>
      <c r="M535" s="20"/>
      <c r="N535" s="20"/>
      <c r="O535" s="20"/>
      <c r="P535" s="20"/>
      <c r="T535" s="20">
        <v>45.2</v>
      </c>
      <c r="U535" s="20">
        <v>45.2</v>
      </c>
      <c r="V535" s="20">
        <v>45.2</v>
      </c>
      <c r="W535" s="20">
        <f t="shared" si="17"/>
        <v>201432.63</v>
      </c>
      <c r="X535" s="20">
        <f t="shared" si="17"/>
        <v>200158.52999999997</v>
      </c>
      <c r="Y535" s="20">
        <f t="shared" si="17"/>
        <v>200158.52999999997</v>
      </c>
    </row>
    <row r="536" spans="1:25" s="17" customFormat="1" ht="25.5">
      <c r="A536" s="108" t="str">
        <f t="shared" si="16"/>
        <v>606070301 1 03 11010000</v>
      </c>
      <c r="B536" s="226" t="s">
        <v>136</v>
      </c>
      <c r="C536" s="203" t="s">
        <v>394</v>
      </c>
      <c r="D536" s="204" t="s">
        <v>229</v>
      </c>
      <c r="E536" s="204" t="s">
        <v>13</v>
      </c>
      <c r="F536" s="204" t="s">
        <v>461</v>
      </c>
      <c r="G536" s="204" t="s">
        <v>9</v>
      </c>
      <c r="H536" s="26">
        <v>199722.67</v>
      </c>
      <c r="I536" s="26">
        <v>200203.72999999998</v>
      </c>
      <c r="J536" s="26">
        <v>200203.72999999998</v>
      </c>
      <c r="K536" s="20"/>
      <c r="L536" s="20"/>
      <c r="M536" s="20"/>
      <c r="N536" s="20"/>
      <c r="O536" s="20"/>
      <c r="P536" s="20"/>
      <c r="T536" s="20">
        <v>45.2</v>
      </c>
      <c r="U536" s="20">
        <v>45.2</v>
      </c>
      <c r="V536" s="20">
        <v>45.2</v>
      </c>
      <c r="W536" s="20">
        <f t="shared" si="17"/>
        <v>199677.47</v>
      </c>
      <c r="X536" s="20">
        <f t="shared" si="17"/>
        <v>200158.52999999997</v>
      </c>
      <c r="Y536" s="20">
        <f t="shared" si="17"/>
        <v>200158.52999999997</v>
      </c>
    </row>
    <row r="537" spans="1:25" s="17" customFormat="1">
      <c r="A537" s="108" t="str">
        <f t="shared" si="16"/>
        <v>606070301 1 03 11010610</v>
      </c>
      <c r="B537" s="226" t="s">
        <v>403</v>
      </c>
      <c r="C537" s="203" t="s">
        <v>394</v>
      </c>
      <c r="D537" s="204" t="s">
        <v>229</v>
      </c>
      <c r="E537" s="204" t="s">
        <v>13</v>
      </c>
      <c r="F537" s="204" t="s">
        <v>461</v>
      </c>
      <c r="G537" s="204" t="s">
        <v>404</v>
      </c>
      <c r="H537" s="20">
        <v>178785.98</v>
      </c>
      <c r="I537" s="20">
        <v>179332.15</v>
      </c>
      <c r="J537" s="20">
        <v>179332.15</v>
      </c>
      <c r="K537" s="20"/>
      <c r="L537" s="20"/>
      <c r="M537" s="20"/>
      <c r="N537" s="20"/>
      <c r="O537" s="20"/>
      <c r="P537" s="20"/>
      <c r="T537" s="20">
        <v>45.2</v>
      </c>
      <c r="U537" s="20">
        <v>45.2</v>
      </c>
      <c r="V537" s="20">
        <v>45.2</v>
      </c>
      <c r="W537" s="20">
        <f t="shared" si="17"/>
        <v>178740.78</v>
      </c>
      <c r="X537" s="20">
        <f t="shared" si="17"/>
        <v>179286.94999999998</v>
      </c>
      <c r="Y537" s="20">
        <f t="shared" si="17"/>
        <v>179286.94999999998</v>
      </c>
    </row>
    <row r="538" spans="1:25" s="17" customFormat="1">
      <c r="A538" s="108" t="str">
        <f t="shared" si="16"/>
        <v/>
      </c>
      <c r="B538" s="220" t="s">
        <v>1104</v>
      </c>
      <c r="C538" s="203"/>
      <c r="D538" s="204"/>
      <c r="E538" s="204"/>
      <c r="F538" s="204"/>
      <c r="G538" s="204"/>
      <c r="H538" s="20"/>
      <c r="I538" s="20"/>
      <c r="J538" s="20"/>
      <c r="K538" s="20"/>
      <c r="L538" s="20"/>
      <c r="M538" s="20"/>
      <c r="N538" s="20"/>
      <c r="O538" s="20"/>
      <c r="P538" s="20"/>
      <c r="T538" s="20">
        <v>45.2</v>
      </c>
      <c r="U538" s="20">
        <v>45.2</v>
      </c>
      <c r="V538" s="20">
        <v>45.2</v>
      </c>
      <c r="W538" s="20">
        <f t="shared" si="17"/>
        <v>-45.2</v>
      </c>
      <c r="X538" s="20">
        <f t="shared" si="17"/>
        <v>-45.2</v>
      </c>
      <c r="Y538" s="20">
        <f t="shared" si="17"/>
        <v>-45.2</v>
      </c>
    </row>
    <row r="539" spans="1:25" s="17" customFormat="1">
      <c r="A539" s="108" t="str">
        <f t="shared" si="16"/>
        <v>606070301 1 03 11010610</v>
      </c>
      <c r="B539" s="221" t="s">
        <v>1105</v>
      </c>
      <c r="C539" s="222" t="s">
        <v>394</v>
      </c>
      <c r="D539" s="223" t="s">
        <v>229</v>
      </c>
      <c r="E539" s="223" t="s">
        <v>13</v>
      </c>
      <c r="F539" s="223" t="s">
        <v>461</v>
      </c>
      <c r="G539" s="223" t="s">
        <v>404</v>
      </c>
      <c r="H539" s="224">
        <v>77.66</v>
      </c>
      <c r="I539" s="224">
        <v>0</v>
      </c>
      <c r="J539" s="224">
        <v>0</v>
      </c>
      <c r="K539" s="20"/>
      <c r="L539" s="20"/>
      <c r="M539" s="20"/>
      <c r="N539" s="20"/>
      <c r="O539" s="20"/>
      <c r="P539" s="20"/>
      <c r="T539" s="20">
        <v>45.2</v>
      </c>
      <c r="U539" s="20">
        <v>45.2</v>
      </c>
      <c r="V539" s="20">
        <v>45.2</v>
      </c>
      <c r="W539" s="20">
        <f t="shared" si="17"/>
        <v>32.459999999999994</v>
      </c>
      <c r="X539" s="20">
        <f t="shared" si="17"/>
        <v>-45.2</v>
      </c>
      <c r="Y539" s="20">
        <f t="shared" si="17"/>
        <v>-45.2</v>
      </c>
    </row>
    <row r="540" spans="1:25" s="17" customFormat="1">
      <c r="A540" s="108" t="str">
        <f t="shared" si="16"/>
        <v>606070301 1 03 11010620</v>
      </c>
      <c r="B540" s="226" t="s">
        <v>409</v>
      </c>
      <c r="C540" s="203" t="s">
        <v>394</v>
      </c>
      <c r="D540" s="204" t="s">
        <v>229</v>
      </c>
      <c r="E540" s="204" t="s">
        <v>13</v>
      </c>
      <c r="F540" s="204" t="s">
        <v>461</v>
      </c>
      <c r="G540" s="204" t="s">
        <v>410</v>
      </c>
      <c r="H540" s="20">
        <v>20936.689999999999</v>
      </c>
      <c r="I540" s="20">
        <v>20871.579999999998</v>
      </c>
      <c r="J540" s="20">
        <v>20871.579999999998</v>
      </c>
      <c r="K540" s="19"/>
      <c r="L540" s="19"/>
      <c r="M540" s="19"/>
      <c r="N540" s="19"/>
      <c r="O540" s="19"/>
      <c r="P540" s="19"/>
      <c r="T540" s="19">
        <v>44839.199999999997</v>
      </c>
      <c r="U540" s="19">
        <v>44503.65</v>
      </c>
      <c r="V540" s="19">
        <v>44503.65</v>
      </c>
      <c r="W540" s="19">
        <f t="shared" si="17"/>
        <v>-23902.51</v>
      </c>
      <c r="X540" s="19">
        <f t="shared" si="17"/>
        <v>-23632.070000000003</v>
      </c>
      <c r="Y540" s="19">
        <f t="shared" si="17"/>
        <v>-23632.070000000003</v>
      </c>
    </row>
    <row r="541" spans="1:25" s="17" customFormat="1" ht="191.25">
      <c r="A541" s="108" t="str">
        <f t="shared" si="16"/>
        <v>606070301 1 03 77460000</v>
      </c>
      <c r="B541" s="197" t="s">
        <v>1263</v>
      </c>
      <c r="C541" s="203" t="s">
        <v>394</v>
      </c>
      <c r="D541" s="204" t="s">
        <v>229</v>
      </c>
      <c r="E541" s="204" t="s">
        <v>13</v>
      </c>
      <c r="F541" s="204" t="s">
        <v>1282</v>
      </c>
      <c r="G541" s="204" t="s">
        <v>9</v>
      </c>
      <c r="H541" s="20">
        <v>1755.1599999999999</v>
      </c>
      <c r="I541" s="20">
        <v>0</v>
      </c>
      <c r="J541" s="20">
        <v>0</v>
      </c>
      <c r="K541" s="20"/>
      <c r="L541" s="20"/>
      <c r="M541" s="20"/>
      <c r="N541" s="20"/>
      <c r="O541" s="20"/>
      <c r="P541" s="20"/>
      <c r="T541" s="20">
        <v>12109.32</v>
      </c>
      <c r="U541" s="20">
        <v>12029.32</v>
      </c>
      <c r="V541" s="20">
        <v>12029.32</v>
      </c>
      <c r="W541" s="20">
        <f t="shared" si="17"/>
        <v>-10354.16</v>
      </c>
      <c r="X541" s="20">
        <f t="shared" si="17"/>
        <v>-12029.32</v>
      </c>
      <c r="Y541" s="20">
        <f t="shared" si="17"/>
        <v>-12029.32</v>
      </c>
    </row>
    <row r="542" spans="1:25" s="17" customFormat="1">
      <c r="A542" s="108" t="str">
        <f t="shared" si="16"/>
        <v>606070301 1 03 77460610</v>
      </c>
      <c r="B542" s="205" t="s">
        <v>403</v>
      </c>
      <c r="C542" s="203" t="s">
        <v>394</v>
      </c>
      <c r="D542" s="204" t="s">
        <v>229</v>
      </c>
      <c r="E542" s="204" t="s">
        <v>13</v>
      </c>
      <c r="F542" s="204" t="s">
        <v>1282</v>
      </c>
      <c r="G542" s="204" t="s">
        <v>404</v>
      </c>
      <c r="H542" s="20">
        <v>1570.28</v>
      </c>
      <c r="I542" s="20">
        <v>0</v>
      </c>
      <c r="J542" s="20">
        <v>0</v>
      </c>
      <c r="K542" s="20"/>
      <c r="L542" s="20"/>
      <c r="M542" s="20"/>
      <c r="N542" s="20"/>
      <c r="O542" s="20"/>
      <c r="P542" s="20"/>
      <c r="T542" s="20">
        <v>12109.32</v>
      </c>
      <c r="U542" s="20">
        <v>12029.32</v>
      </c>
      <c r="V542" s="20">
        <v>12029.32</v>
      </c>
      <c r="W542" s="20">
        <f t="shared" si="17"/>
        <v>-10539.039999999999</v>
      </c>
      <c r="X542" s="20">
        <f t="shared" si="17"/>
        <v>-12029.32</v>
      </c>
      <c r="Y542" s="20">
        <f t="shared" si="17"/>
        <v>-12029.32</v>
      </c>
    </row>
    <row r="543" spans="1:25" s="17" customFormat="1">
      <c r="A543" s="108" t="str">
        <f t="shared" si="16"/>
        <v>606070301 1 03 77460620</v>
      </c>
      <c r="B543" s="205" t="s">
        <v>409</v>
      </c>
      <c r="C543" s="203" t="s">
        <v>394</v>
      </c>
      <c r="D543" s="204" t="s">
        <v>229</v>
      </c>
      <c r="E543" s="204" t="s">
        <v>13</v>
      </c>
      <c r="F543" s="204" t="s">
        <v>1282</v>
      </c>
      <c r="G543" s="204" t="s">
        <v>410</v>
      </c>
      <c r="H543" s="20">
        <v>184.88</v>
      </c>
      <c r="I543" s="20">
        <v>0</v>
      </c>
      <c r="J543" s="20">
        <v>0</v>
      </c>
      <c r="K543" s="20"/>
      <c r="L543" s="20"/>
      <c r="M543" s="20"/>
      <c r="N543" s="20"/>
      <c r="O543" s="20"/>
      <c r="P543" s="20"/>
      <c r="T543" s="20">
        <v>5158.79</v>
      </c>
      <c r="U543" s="20">
        <v>5078.79</v>
      </c>
      <c r="V543" s="20">
        <v>5078.79</v>
      </c>
      <c r="W543" s="20">
        <f t="shared" si="17"/>
        <v>-4973.91</v>
      </c>
      <c r="X543" s="20">
        <f t="shared" si="17"/>
        <v>-5078.79</v>
      </c>
      <c r="Y543" s="20">
        <f t="shared" si="17"/>
        <v>-5078.79</v>
      </c>
    </row>
    <row r="544" spans="1:25" s="17" customFormat="1" ht="51">
      <c r="A544" s="108" t="str">
        <f t="shared" si="16"/>
        <v>606070301 1 06 00000000</v>
      </c>
      <c r="B544" s="197" t="s">
        <v>417</v>
      </c>
      <c r="C544" s="198" t="s">
        <v>394</v>
      </c>
      <c r="D544" s="199" t="s">
        <v>229</v>
      </c>
      <c r="E544" s="204" t="s">
        <v>13</v>
      </c>
      <c r="F544" s="199" t="s">
        <v>418</v>
      </c>
      <c r="G544" s="199" t="s">
        <v>9</v>
      </c>
      <c r="H544" s="20">
        <v>5898.3200000000006</v>
      </c>
      <c r="I544" s="20">
        <v>0</v>
      </c>
      <c r="J544" s="20">
        <v>0</v>
      </c>
      <c r="K544" s="20"/>
      <c r="L544" s="20"/>
      <c r="M544" s="20"/>
      <c r="N544" s="20"/>
      <c r="O544" s="20"/>
      <c r="P544" s="20"/>
      <c r="T544" s="20">
        <v>5158.79</v>
      </c>
      <c r="U544" s="20">
        <v>5078.79</v>
      </c>
      <c r="V544" s="20">
        <v>5078.79</v>
      </c>
      <c r="W544" s="20">
        <f t="shared" si="17"/>
        <v>739.53000000000065</v>
      </c>
      <c r="X544" s="20">
        <f t="shared" si="17"/>
        <v>-5078.79</v>
      </c>
      <c r="Y544" s="20">
        <f t="shared" si="17"/>
        <v>-5078.79</v>
      </c>
    </row>
    <row r="545" spans="1:25" s="17" customFormat="1" ht="25.5">
      <c r="A545" s="108" t="str">
        <f t="shared" si="16"/>
        <v>606070301 1 06 11010000</v>
      </c>
      <c r="B545" s="226" t="s">
        <v>136</v>
      </c>
      <c r="C545" s="203" t="s">
        <v>394</v>
      </c>
      <c r="D545" s="204" t="s">
        <v>229</v>
      </c>
      <c r="E545" s="204" t="s">
        <v>13</v>
      </c>
      <c r="F545" s="204" t="s">
        <v>419</v>
      </c>
      <c r="G545" s="204" t="s">
        <v>9</v>
      </c>
      <c r="H545" s="316">
        <v>1574.64</v>
      </c>
      <c r="I545" s="26">
        <v>0</v>
      </c>
      <c r="J545" s="26">
        <v>0</v>
      </c>
      <c r="K545" s="20"/>
      <c r="L545" s="20"/>
      <c r="M545" s="20"/>
      <c r="N545" s="20"/>
      <c r="O545" s="20"/>
      <c r="P545" s="20"/>
      <c r="T545" s="20">
        <v>200</v>
      </c>
      <c r="U545" s="20">
        <v>200</v>
      </c>
      <c r="V545" s="20">
        <v>200</v>
      </c>
      <c r="W545" s="20">
        <f t="shared" si="17"/>
        <v>1374.64</v>
      </c>
      <c r="X545" s="20">
        <f t="shared" si="17"/>
        <v>-200</v>
      </c>
      <c r="Y545" s="20">
        <f t="shared" si="17"/>
        <v>-200</v>
      </c>
    </row>
    <row r="546" spans="1:25" s="17" customFormat="1">
      <c r="A546" s="108" t="str">
        <f t="shared" si="16"/>
        <v>606070301 1 06 11010620</v>
      </c>
      <c r="B546" s="205" t="s">
        <v>409</v>
      </c>
      <c r="C546" s="203" t="s">
        <v>394</v>
      </c>
      <c r="D546" s="204" t="s">
        <v>229</v>
      </c>
      <c r="E546" s="204" t="s">
        <v>13</v>
      </c>
      <c r="F546" s="204" t="s">
        <v>419</v>
      </c>
      <c r="G546" s="204" t="s">
        <v>410</v>
      </c>
      <c r="H546" s="316">
        <v>1574.64</v>
      </c>
      <c r="I546" s="20">
        <v>0</v>
      </c>
      <c r="J546" s="20">
        <v>0</v>
      </c>
      <c r="K546" s="20"/>
      <c r="L546" s="20"/>
      <c r="M546" s="20"/>
      <c r="N546" s="20"/>
      <c r="O546" s="20"/>
      <c r="P546" s="20"/>
      <c r="T546" s="20">
        <v>4607.5</v>
      </c>
      <c r="U546" s="20">
        <v>4533.5</v>
      </c>
      <c r="V546" s="20">
        <v>4533.5</v>
      </c>
      <c r="W546" s="20">
        <f t="shared" si="17"/>
        <v>-3032.8599999999997</v>
      </c>
      <c r="X546" s="20">
        <f t="shared" si="17"/>
        <v>-4533.5</v>
      </c>
      <c r="Y546" s="20">
        <f t="shared" si="17"/>
        <v>-4533.5</v>
      </c>
    </row>
    <row r="547" spans="1:25" s="17" customFormat="1" ht="38.25">
      <c r="A547" s="108" t="str">
        <f t="shared" si="16"/>
        <v>606070301 1 06 S6690000</v>
      </c>
      <c r="B547" s="205" t="s">
        <v>462</v>
      </c>
      <c r="C547" s="198" t="s">
        <v>394</v>
      </c>
      <c r="D547" s="199" t="s">
        <v>229</v>
      </c>
      <c r="E547" s="204" t="s">
        <v>13</v>
      </c>
      <c r="F547" s="199" t="s">
        <v>463</v>
      </c>
      <c r="G547" s="199" t="s">
        <v>9</v>
      </c>
      <c r="H547" s="20">
        <v>4323.68</v>
      </c>
      <c r="I547" s="20">
        <v>0</v>
      </c>
      <c r="J547" s="20">
        <v>0</v>
      </c>
      <c r="K547" s="20"/>
      <c r="L547" s="20"/>
      <c r="M547" s="20"/>
      <c r="N547" s="20"/>
      <c r="O547" s="20"/>
      <c r="P547" s="20"/>
      <c r="T547" s="20"/>
      <c r="U547" s="20"/>
      <c r="V547" s="20"/>
      <c r="W547" s="20">
        <f t="shared" si="17"/>
        <v>4323.68</v>
      </c>
      <c r="X547" s="20">
        <f t="shared" si="17"/>
        <v>0</v>
      </c>
      <c r="Y547" s="20">
        <f t="shared" si="17"/>
        <v>0</v>
      </c>
    </row>
    <row r="548" spans="1:25" s="17" customFormat="1">
      <c r="A548" s="108" t="str">
        <f t="shared" si="16"/>
        <v/>
      </c>
      <c r="B548" s="205" t="s">
        <v>1045</v>
      </c>
      <c r="C548" s="198"/>
      <c r="D548" s="199"/>
      <c r="E548" s="204"/>
      <c r="F548" s="199"/>
      <c r="G548" s="199"/>
      <c r="H548" s="20"/>
      <c r="I548" s="20"/>
      <c r="J548" s="20"/>
      <c r="K548" s="20"/>
      <c r="L548" s="20"/>
      <c r="M548" s="20"/>
      <c r="N548" s="20"/>
      <c r="O548" s="20"/>
      <c r="P548" s="20"/>
      <c r="T548" s="20">
        <v>74</v>
      </c>
      <c r="U548" s="20">
        <v>0</v>
      </c>
      <c r="V548" s="20">
        <v>0</v>
      </c>
      <c r="W548" s="20">
        <f t="shared" si="17"/>
        <v>-74</v>
      </c>
      <c r="X548" s="20">
        <f t="shared" si="17"/>
        <v>0</v>
      </c>
      <c r="Y548" s="20">
        <f t="shared" si="17"/>
        <v>0</v>
      </c>
    </row>
    <row r="549" spans="1:25" s="17" customFormat="1">
      <c r="A549" s="108" t="str">
        <f t="shared" si="16"/>
        <v>606070301 1 06 S6690000</v>
      </c>
      <c r="B549" s="197" t="s">
        <v>1050</v>
      </c>
      <c r="C549" s="198" t="s">
        <v>394</v>
      </c>
      <c r="D549" s="199" t="s">
        <v>229</v>
      </c>
      <c r="E549" s="204" t="s">
        <v>13</v>
      </c>
      <c r="F549" s="199" t="s">
        <v>463</v>
      </c>
      <c r="G549" s="199" t="s">
        <v>9</v>
      </c>
      <c r="H549" s="20">
        <v>735.02</v>
      </c>
      <c r="I549" s="20">
        <v>0</v>
      </c>
      <c r="J549" s="20">
        <v>0</v>
      </c>
      <c r="K549" s="20"/>
      <c r="L549" s="20"/>
      <c r="M549" s="20"/>
      <c r="N549" s="20"/>
      <c r="O549" s="20"/>
      <c r="P549" s="20"/>
      <c r="T549" s="20">
        <v>351.29</v>
      </c>
      <c r="U549" s="20">
        <v>345.29</v>
      </c>
      <c r="V549" s="20">
        <v>345.29</v>
      </c>
      <c r="W549" s="20">
        <f t="shared" si="17"/>
        <v>383.72999999999996</v>
      </c>
      <c r="X549" s="20">
        <f t="shared" si="17"/>
        <v>-345.29</v>
      </c>
      <c r="Y549" s="20">
        <f t="shared" si="17"/>
        <v>-345.29</v>
      </c>
    </row>
    <row r="550" spans="1:25" s="17" customFormat="1">
      <c r="A550" s="108" t="str">
        <f t="shared" si="16"/>
        <v>606070301 1 06 S6690000</v>
      </c>
      <c r="B550" s="197" t="s">
        <v>1051</v>
      </c>
      <c r="C550" s="198" t="s">
        <v>394</v>
      </c>
      <c r="D550" s="199" t="s">
        <v>229</v>
      </c>
      <c r="E550" s="204" t="s">
        <v>13</v>
      </c>
      <c r="F550" s="199" t="s">
        <v>463</v>
      </c>
      <c r="G550" s="199" t="s">
        <v>9</v>
      </c>
      <c r="H550" s="20">
        <v>3588.66</v>
      </c>
      <c r="I550" s="20">
        <v>0</v>
      </c>
      <c r="J550" s="20">
        <v>0</v>
      </c>
      <c r="K550" s="20"/>
      <c r="L550" s="20"/>
      <c r="M550" s="20"/>
      <c r="N550" s="20"/>
      <c r="O550" s="20"/>
      <c r="P550" s="20"/>
      <c r="T550" s="20"/>
      <c r="U550" s="20"/>
      <c r="V550" s="20"/>
      <c r="W550" s="20">
        <f t="shared" si="17"/>
        <v>3588.66</v>
      </c>
      <c r="X550" s="20">
        <f t="shared" si="17"/>
        <v>0</v>
      </c>
      <c r="Y550" s="20">
        <f t="shared" si="17"/>
        <v>0</v>
      </c>
    </row>
    <row r="551" spans="1:25" s="17" customFormat="1">
      <c r="A551" s="108" t="str">
        <f t="shared" si="16"/>
        <v>606070301 1 06 S6690610</v>
      </c>
      <c r="B551" s="205" t="s">
        <v>403</v>
      </c>
      <c r="C551" s="198" t="s">
        <v>394</v>
      </c>
      <c r="D551" s="199" t="s">
        <v>229</v>
      </c>
      <c r="E551" s="204" t="s">
        <v>13</v>
      </c>
      <c r="F551" s="199" t="s">
        <v>463</v>
      </c>
      <c r="G551" s="199" t="s">
        <v>404</v>
      </c>
      <c r="H551" s="20">
        <v>250</v>
      </c>
      <c r="I551" s="20">
        <v>0</v>
      </c>
      <c r="J551" s="20">
        <v>0</v>
      </c>
      <c r="K551" s="20"/>
      <c r="L551" s="20"/>
      <c r="M551" s="20"/>
      <c r="N551" s="20"/>
      <c r="O551" s="20"/>
      <c r="P551" s="20"/>
      <c r="T551" s="20">
        <v>6</v>
      </c>
      <c r="U551" s="20">
        <v>0</v>
      </c>
      <c r="V551" s="20">
        <v>0</v>
      </c>
      <c r="W551" s="20">
        <f t="shared" si="17"/>
        <v>244</v>
      </c>
      <c r="X551" s="20">
        <f t="shared" si="17"/>
        <v>0</v>
      </c>
      <c r="Y551" s="20">
        <f t="shared" si="17"/>
        <v>0</v>
      </c>
    </row>
    <row r="552" spans="1:25" s="17" customFormat="1">
      <c r="A552" s="108" t="str">
        <f t="shared" si="16"/>
        <v>606070301 1 06 S6690620</v>
      </c>
      <c r="B552" s="205" t="s">
        <v>409</v>
      </c>
      <c r="C552" s="203" t="s">
        <v>394</v>
      </c>
      <c r="D552" s="204" t="s">
        <v>229</v>
      </c>
      <c r="E552" s="204" t="s">
        <v>13</v>
      </c>
      <c r="F552" s="199" t="s">
        <v>463</v>
      </c>
      <c r="G552" s="204" t="s">
        <v>410</v>
      </c>
      <c r="H552" s="20">
        <v>4073.68</v>
      </c>
      <c r="I552" s="20">
        <v>0</v>
      </c>
      <c r="J552" s="20">
        <v>0</v>
      </c>
      <c r="K552" s="26"/>
      <c r="L552" s="26"/>
      <c r="M552" s="26"/>
      <c r="N552" s="26"/>
      <c r="O552" s="26"/>
      <c r="P552" s="26"/>
      <c r="T552" s="26">
        <v>6950.5300000000007</v>
      </c>
      <c r="U552" s="26">
        <v>6950.5300000000007</v>
      </c>
      <c r="V552" s="26">
        <v>6950.5300000000007</v>
      </c>
      <c r="W552" s="26">
        <f t="shared" si="17"/>
        <v>-2876.8500000000008</v>
      </c>
      <c r="X552" s="26">
        <f t="shared" si="17"/>
        <v>-6950.5300000000007</v>
      </c>
      <c r="Y552" s="26">
        <f t="shared" si="17"/>
        <v>-6950.5300000000007</v>
      </c>
    </row>
    <row r="553" spans="1:25" s="17" customFormat="1" ht="38.25">
      <c r="A553" s="108" t="str">
        <f t="shared" si="16"/>
        <v>606070315 0 00 00000000</v>
      </c>
      <c r="B553" s="200" t="s">
        <v>146</v>
      </c>
      <c r="C553" s="198" t="s">
        <v>394</v>
      </c>
      <c r="D553" s="199" t="s">
        <v>229</v>
      </c>
      <c r="E553" s="204" t="s">
        <v>13</v>
      </c>
      <c r="F553" s="199" t="s">
        <v>147</v>
      </c>
      <c r="G553" s="199" t="s">
        <v>9</v>
      </c>
      <c r="H553" s="20">
        <v>1020</v>
      </c>
      <c r="I553" s="20">
        <v>120</v>
      </c>
      <c r="J553" s="20">
        <v>120</v>
      </c>
      <c r="K553" s="26"/>
      <c r="L553" s="26"/>
      <c r="M553" s="26"/>
      <c r="N553" s="26"/>
      <c r="O553" s="26"/>
      <c r="P553" s="26"/>
      <c r="T553" s="26">
        <v>6950.5300000000007</v>
      </c>
      <c r="U553" s="26">
        <v>6950.5300000000007</v>
      </c>
      <c r="V553" s="26">
        <v>6950.5300000000007</v>
      </c>
      <c r="W553" s="26">
        <f t="shared" si="17"/>
        <v>-5930.5300000000007</v>
      </c>
      <c r="X553" s="26">
        <f t="shared" si="17"/>
        <v>-6830.5300000000007</v>
      </c>
      <c r="Y553" s="26">
        <f t="shared" si="17"/>
        <v>-6830.5300000000007</v>
      </c>
    </row>
    <row r="554" spans="1:25" s="17" customFormat="1" ht="38.25">
      <c r="A554" s="108" t="str">
        <f t="shared" si="16"/>
        <v>606070315 1 00 00000000</v>
      </c>
      <c r="B554" s="197" t="s">
        <v>1065</v>
      </c>
      <c r="C554" s="198" t="s">
        <v>394</v>
      </c>
      <c r="D554" s="199" t="s">
        <v>229</v>
      </c>
      <c r="E554" s="204" t="s">
        <v>13</v>
      </c>
      <c r="F554" s="199" t="s">
        <v>149</v>
      </c>
      <c r="G554" s="199" t="s">
        <v>9</v>
      </c>
      <c r="H554" s="20">
        <v>900</v>
      </c>
      <c r="I554" s="20">
        <v>0</v>
      </c>
      <c r="J554" s="20">
        <v>0</v>
      </c>
      <c r="K554" s="20"/>
      <c r="L554" s="20"/>
      <c r="M554" s="20"/>
      <c r="N554" s="20"/>
      <c r="O554" s="20"/>
      <c r="P554" s="20"/>
      <c r="T554" s="20">
        <v>6950.5300000000007</v>
      </c>
      <c r="U554" s="20">
        <v>6950.5300000000007</v>
      </c>
      <c r="V554" s="20">
        <v>6950.5300000000007</v>
      </c>
      <c r="W554" s="20">
        <f t="shared" si="17"/>
        <v>-6050.5300000000007</v>
      </c>
      <c r="X554" s="20">
        <f t="shared" si="17"/>
        <v>-6950.5300000000007</v>
      </c>
      <c r="Y554" s="20">
        <f t="shared" si="17"/>
        <v>-6950.5300000000007</v>
      </c>
    </row>
    <row r="555" spans="1:25" s="17" customFormat="1" ht="38.25">
      <c r="A555" s="108" t="str">
        <f t="shared" si="16"/>
        <v>606070315 1 02 00000000</v>
      </c>
      <c r="B555" s="213" t="s">
        <v>273</v>
      </c>
      <c r="C555" s="209" t="s">
        <v>394</v>
      </c>
      <c r="D555" s="236" t="s">
        <v>229</v>
      </c>
      <c r="E555" s="236" t="s">
        <v>13</v>
      </c>
      <c r="F555" s="236" t="s">
        <v>274</v>
      </c>
      <c r="G555" s="236" t="s">
        <v>9</v>
      </c>
      <c r="H555" s="218">
        <v>0</v>
      </c>
      <c r="I555" s="218">
        <v>0</v>
      </c>
      <c r="J555" s="218">
        <v>0</v>
      </c>
      <c r="K555" s="20"/>
      <c r="L555" s="20"/>
      <c r="M555" s="20"/>
      <c r="N555" s="20"/>
      <c r="O555" s="20"/>
      <c r="P555" s="20"/>
      <c r="T555" s="20">
        <v>68.599999999999994</v>
      </c>
      <c r="U555" s="20">
        <v>58.6</v>
      </c>
      <c r="V555" s="20">
        <v>58.6</v>
      </c>
      <c r="W555" s="20">
        <f t="shared" si="17"/>
        <v>-68.599999999999994</v>
      </c>
      <c r="X555" s="20">
        <f t="shared" si="17"/>
        <v>-58.6</v>
      </c>
      <c r="Y555" s="20">
        <f t="shared" si="17"/>
        <v>-58.6</v>
      </c>
    </row>
    <row r="556" spans="1:25" s="17" customFormat="1" ht="25.5">
      <c r="A556" s="108" t="str">
        <f t="shared" si="16"/>
        <v>606070315 1 02 20350000</v>
      </c>
      <c r="B556" s="238" t="s">
        <v>152</v>
      </c>
      <c r="C556" s="209" t="s">
        <v>394</v>
      </c>
      <c r="D556" s="236" t="s">
        <v>229</v>
      </c>
      <c r="E556" s="236" t="s">
        <v>13</v>
      </c>
      <c r="F556" s="236" t="s">
        <v>275</v>
      </c>
      <c r="G556" s="236" t="s">
        <v>9</v>
      </c>
      <c r="H556" s="218">
        <v>0</v>
      </c>
      <c r="I556" s="218">
        <v>0</v>
      </c>
      <c r="J556" s="218">
        <v>0</v>
      </c>
      <c r="K556" s="20"/>
      <c r="L556" s="20"/>
      <c r="M556" s="20"/>
      <c r="N556" s="20"/>
      <c r="O556" s="20"/>
      <c r="P556" s="20"/>
      <c r="T556" s="20">
        <v>68.599999999999994</v>
      </c>
      <c r="U556" s="20">
        <v>58.6</v>
      </c>
      <c r="V556" s="20">
        <v>58.6</v>
      </c>
      <c r="W556" s="20">
        <f t="shared" si="17"/>
        <v>-68.599999999999994</v>
      </c>
      <c r="X556" s="20">
        <f t="shared" si="17"/>
        <v>-58.6</v>
      </c>
      <c r="Y556" s="20">
        <f t="shared" si="17"/>
        <v>-58.6</v>
      </c>
    </row>
    <row r="557" spans="1:25" s="17" customFormat="1">
      <c r="A557" s="108" t="str">
        <f t="shared" si="16"/>
        <v>606070315 1 02 20350610</v>
      </c>
      <c r="B557" s="238" t="s">
        <v>403</v>
      </c>
      <c r="C557" s="209" t="s">
        <v>394</v>
      </c>
      <c r="D557" s="236" t="s">
        <v>229</v>
      </c>
      <c r="E557" s="236" t="s">
        <v>13</v>
      </c>
      <c r="F557" s="236" t="s">
        <v>275</v>
      </c>
      <c r="G557" s="236" t="s">
        <v>404</v>
      </c>
      <c r="H557" s="218">
        <v>0</v>
      </c>
      <c r="I557" s="218">
        <v>0</v>
      </c>
      <c r="J557" s="218">
        <v>0</v>
      </c>
      <c r="K557" s="20"/>
      <c r="L557" s="20"/>
      <c r="M557" s="20"/>
      <c r="N557" s="20"/>
      <c r="O557" s="20"/>
      <c r="P557" s="20"/>
      <c r="T557" s="20">
        <v>68.599999999999994</v>
      </c>
      <c r="U557" s="20">
        <v>58.6</v>
      </c>
      <c r="V557" s="20">
        <v>58.6</v>
      </c>
      <c r="W557" s="20">
        <f t="shared" si="17"/>
        <v>-68.599999999999994</v>
      </c>
      <c r="X557" s="20">
        <f t="shared" si="17"/>
        <v>-58.6</v>
      </c>
      <c r="Y557" s="20">
        <f t="shared" si="17"/>
        <v>-58.6</v>
      </c>
    </row>
    <row r="558" spans="1:25" s="17" customFormat="1" ht="51">
      <c r="A558" s="108" t="str">
        <f t="shared" si="16"/>
        <v>606070315 1 04 00000000</v>
      </c>
      <c r="B558" s="214" t="s">
        <v>1068</v>
      </c>
      <c r="C558" s="198" t="s">
        <v>394</v>
      </c>
      <c r="D558" s="199" t="s">
        <v>229</v>
      </c>
      <c r="E558" s="204" t="s">
        <v>13</v>
      </c>
      <c r="F558" s="199" t="s">
        <v>1069</v>
      </c>
      <c r="G558" s="199" t="s">
        <v>9</v>
      </c>
      <c r="H558" s="20">
        <v>900</v>
      </c>
      <c r="I558" s="20">
        <v>0</v>
      </c>
      <c r="J558" s="20">
        <v>0</v>
      </c>
      <c r="K558" s="20"/>
      <c r="L558" s="20"/>
      <c r="M558" s="20"/>
      <c r="N558" s="20"/>
      <c r="O558" s="20"/>
      <c r="P558" s="20"/>
      <c r="T558" s="20">
        <v>68.599999999999994</v>
      </c>
      <c r="U558" s="20">
        <v>58.6</v>
      </c>
      <c r="V558" s="20">
        <v>58.6</v>
      </c>
      <c r="W558" s="20">
        <f t="shared" si="17"/>
        <v>831.4</v>
      </c>
      <c r="X558" s="20">
        <f t="shared" si="17"/>
        <v>-58.6</v>
      </c>
      <c r="Y558" s="20">
        <f t="shared" si="17"/>
        <v>-58.6</v>
      </c>
    </row>
    <row r="559" spans="1:25" s="17" customFormat="1" ht="25.5">
      <c r="A559" s="108" t="str">
        <f t="shared" si="16"/>
        <v>606070315 1 04 20350000</v>
      </c>
      <c r="B559" s="205" t="s">
        <v>152</v>
      </c>
      <c r="C559" s="198" t="s">
        <v>394</v>
      </c>
      <c r="D559" s="199" t="s">
        <v>229</v>
      </c>
      <c r="E559" s="204" t="s">
        <v>13</v>
      </c>
      <c r="F559" s="199" t="s">
        <v>1070</v>
      </c>
      <c r="G559" s="199" t="s">
        <v>9</v>
      </c>
      <c r="H559" s="20">
        <v>900</v>
      </c>
      <c r="I559" s="20">
        <v>0</v>
      </c>
      <c r="J559" s="20">
        <v>0</v>
      </c>
      <c r="K559" s="20"/>
      <c r="L559" s="20"/>
      <c r="M559" s="20"/>
      <c r="N559" s="20"/>
      <c r="O559" s="20"/>
      <c r="P559" s="20"/>
      <c r="T559" s="20"/>
      <c r="U559" s="20"/>
      <c r="V559" s="20"/>
      <c r="W559" s="20">
        <f t="shared" si="17"/>
        <v>900</v>
      </c>
      <c r="X559" s="20">
        <f t="shared" si="17"/>
        <v>0</v>
      </c>
      <c r="Y559" s="20">
        <f t="shared" si="17"/>
        <v>0</v>
      </c>
    </row>
    <row r="560" spans="1:25" s="17" customFormat="1">
      <c r="A560" s="108" t="str">
        <f t="shared" si="16"/>
        <v>606070315 1 04 20350610</v>
      </c>
      <c r="B560" s="205" t="s">
        <v>403</v>
      </c>
      <c r="C560" s="198" t="s">
        <v>394</v>
      </c>
      <c r="D560" s="199" t="s">
        <v>229</v>
      </c>
      <c r="E560" s="204" t="s">
        <v>13</v>
      </c>
      <c r="F560" s="199" t="s">
        <v>1070</v>
      </c>
      <c r="G560" s="199" t="s">
        <v>404</v>
      </c>
      <c r="H560" s="20">
        <v>900</v>
      </c>
      <c r="I560" s="20">
        <v>0</v>
      </c>
      <c r="J560" s="20">
        <v>0</v>
      </c>
      <c r="K560" s="20"/>
      <c r="L560" s="20"/>
      <c r="M560" s="20"/>
      <c r="N560" s="20"/>
      <c r="O560" s="20"/>
      <c r="P560" s="20"/>
      <c r="T560" s="20">
        <v>10</v>
      </c>
      <c r="U560" s="20">
        <v>0</v>
      </c>
      <c r="V560" s="20">
        <v>0</v>
      </c>
      <c r="W560" s="20">
        <f t="shared" si="17"/>
        <v>890</v>
      </c>
      <c r="X560" s="20">
        <f t="shared" si="17"/>
        <v>0</v>
      </c>
      <c r="Y560" s="20">
        <f t="shared" si="17"/>
        <v>0</v>
      </c>
    </row>
    <row r="561" spans="1:25" s="17" customFormat="1">
      <c r="A561" s="108" t="str">
        <f t="shared" si="16"/>
        <v>606070315 2 00 00000000</v>
      </c>
      <c r="B561" s="200" t="s">
        <v>154</v>
      </c>
      <c r="C561" s="198" t="s">
        <v>394</v>
      </c>
      <c r="D561" s="199" t="s">
        <v>229</v>
      </c>
      <c r="E561" s="204" t="s">
        <v>13</v>
      </c>
      <c r="F561" s="199" t="s">
        <v>155</v>
      </c>
      <c r="G561" s="199" t="s">
        <v>9</v>
      </c>
      <c r="H561" s="20">
        <v>20</v>
      </c>
      <c r="I561" s="20">
        <v>20</v>
      </c>
      <c r="J561" s="20">
        <v>20</v>
      </c>
      <c r="K561" s="20"/>
      <c r="L561" s="20"/>
      <c r="M561" s="20"/>
      <c r="N561" s="20"/>
      <c r="O561" s="20"/>
      <c r="P561" s="20"/>
      <c r="T561" s="20">
        <v>68.599999999999994</v>
      </c>
      <c r="U561" s="20">
        <v>58.6</v>
      </c>
      <c r="V561" s="20">
        <v>58.6</v>
      </c>
      <c r="W561" s="20">
        <f t="shared" si="17"/>
        <v>-48.599999999999994</v>
      </c>
      <c r="X561" s="20">
        <f t="shared" si="17"/>
        <v>-38.6</v>
      </c>
      <c r="Y561" s="20">
        <f t="shared" si="17"/>
        <v>-38.6</v>
      </c>
    </row>
    <row r="562" spans="1:25" s="17" customFormat="1" ht="38.25">
      <c r="A562" s="108" t="str">
        <f t="shared" si="16"/>
        <v>606070315 2 02 00000000</v>
      </c>
      <c r="B562" s="200" t="s">
        <v>160</v>
      </c>
      <c r="C562" s="198" t="s">
        <v>394</v>
      </c>
      <c r="D562" s="199" t="s">
        <v>229</v>
      </c>
      <c r="E562" s="204" t="s">
        <v>13</v>
      </c>
      <c r="F562" s="199" t="s">
        <v>161</v>
      </c>
      <c r="G562" s="199" t="s">
        <v>9</v>
      </c>
      <c r="H562" s="20">
        <v>20</v>
      </c>
      <c r="I562" s="20">
        <v>20</v>
      </c>
      <c r="J562" s="20">
        <v>20</v>
      </c>
      <c r="K562" s="20"/>
      <c r="L562" s="20"/>
      <c r="M562" s="20"/>
      <c r="N562" s="20"/>
      <c r="O562" s="20"/>
      <c r="P562" s="20"/>
      <c r="T562" s="20">
        <v>32661.279999999999</v>
      </c>
      <c r="U562" s="20">
        <v>32415.73</v>
      </c>
      <c r="V562" s="20">
        <v>32415.73</v>
      </c>
      <c r="W562" s="20">
        <f t="shared" si="17"/>
        <v>-32641.279999999999</v>
      </c>
      <c r="X562" s="20">
        <f t="shared" si="17"/>
        <v>-32395.73</v>
      </c>
      <c r="Y562" s="20">
        <f t="shared" si="17"/>
        <v>-32395.73</v>
      </c>
    </row>
    <row r="563" spans="1:25" s="17" customFormat="1" ht="51">
      <c r="A563" s="108" t="str">
        <f t="shared" si="16"/>
        <v>606070315 2 02 20370000</v>
      </c>
      <c r="B563" s="201" t="s">
        <v>158</v>
      </c>
      <c r="C563" s="198" t="s">
        <v>394</v>
      </c>
      <c r="D563" s="199" t="s">
        <v>229</v>
      </c>
      <c r="E563" s="204" t="s">
        <v>13</v>
      </c>
      <c r="F563" s="199" t="s">
        <v>162</v>
      </c>
      <c r="G563" s="199" t="s">
        <v>9</v>
      </c>
      <c r="H563" s="20">
        <v>20</v>
      </c>
      <c r="I563" s="20">
        <v>20</v>
      </c>
      <c r="J563" s="20">
        <v>20</v>
      </c>
      <c r="K563" s="20"/>
      <c r="L563" s="20"/>
      <c r="M563" s="20"/>
      <c r="N563" s="20"/>
      <c r="O563" s="20"/>
      <c r="P563" s="20"/>
      <c r="T563" s="20">
        <v>32661.279999999999</v>
      </c>
      <c r="U563" s="20">
        <v>32415.73</v>
      </c>
      <c r="V563" s="20">
        <v>32415.73</v>
      </c>
      <c r="W563" s="20">
        <f t="shared" si="17"/>
        <v>-32641.279999999999</v>
      </c>
      <c r="X563" s="20">
        <f t="shared" si="17"/>
        <v>-32395.73</v>
      </c>
      <c r="Y563" s="20">
        <f t="shared" si="17"/>
        <v>-32395.73</v>
      </c>
    </row>
    <row r="564" spans="1:25" s="17" customFormat="1">
      <c r="A564" s="108" t="str">
        <f t="shared" si="16"/>
        <v>606070315 2 02 20370610</v>
      </c>
      <c r="B564" s="205" t="s">
        <v>403</v>
      </c>
      <c r="C564" s="198" t="s">
        <v>394</v>
      </c>
      <c r="D564" s="199" t="s">
        <v>229</v>
      </c>
      <c r="E564" s="204" t="s">
        <v>13</v>
      </c>
      <c r="F564" s="199" t="s">
        <v>162</v>
      </c>
      <c r="G564" s="199" t="s">
        <v>404</v>
      </c>
      <c r="H564" s="20">
        <v>20</v>
      </c>
      <c r="I564" s="20">
        <v>20</v>
      </c>
      <c r="J564" s="20">
        <v>20</v>
      </c>
      <c r="K564" s="20"/>
      <c r="L564" s="20"/>
      <c r="M564" s="20"/>
      <c r="N564" s="20"/>
      <c r="O564" s="20"/>
      <c r="P564" s="20"/>
      <c r="T564" s="20">
        <v>2502.1699999999996</v>
      </c>
      <c r="U564" s="20">
        <v>2420.89</v>
      </c>
      <c r="V564" s="20">
        <v>2420.89</v>
      </c>
      <c r="W564" s="20">
        <f t="shared" si="17"/>
        <v>-2482.1699999999996</v>
      </c>
      <c r="X564" s="20">
        <f t="shared" si="17"/>
        <v>-2400.89</v>
      </c>
      <c r="Y564" s="20">
        <f t="shared" si="17"/>
        <v>-2400.89</v>
      </c>
    </row>
    <row r="565" spans="1:25" s="17" customFormat="1" ht="25.5">
      <c r="A565" s="108" t="str">
        <f t="shared" si="16"/>
        <v>606070315 3 00 00000000</v>
      </c>
      <c r="B565" s="197" t="s">
        <v>168</v>
      </c>
      <c r="C565" s="198" t="s">
        <v>394</v>
      </c>
      <c r="D565" s="199" t="s">
        <v>229</v>
      </c>
      <c r="E565" s="204" t="s">
        <v>13</v>
      </c>
      <c r="F565" s="199" t="s">
        <v>169</v>
      </c>
      <c r="G565" s="199" t="s">
        <v>9</v>
      </c>
      <c r="H565" s="20">
        <v>100</v>
      </c>
      <c r="I565" s="20">
        <v>100</v>
      </c>
      <c r="J565" s="20">
        <v>100</v>
      </c>
      <c r="K565" s="20"/>
      <c r="L565" s="20"/>
      <c r="M565" s="20"/>
      <c r="N565" s="20"/>
      <c r="O565" s="20"/>
      <c r="P565" s="20"/>
      <c r="T565" s="20">
        <v>677.24</v>
      </c>
      <c r="U565" s="20">
        <v>677.24</v>
      </c>
      <c r="V565" s="20">
        <v>677.24</v>
      </c>
      <c r="W565" s="20">
        <f t="shared" si="17"/>
        <v>-577.24</v>
      </c>
      <c r="X565" s="20">
        <f t="shared" si="17"/>
        <v>-577.24</v>
      </c>
      <c r="Y565" s="20">
        <f t="shared" si="17"/>
        <v>-577.24</v>
      </c>
    </row>
    <row r="566" spans="1:25" s="17" customFormat="1" ht="25.5">
      <c r="A566" s="108" t="str">
        <f t="shared" si="16"/>
        <v>606070315 3 01 00000000</v>
      </c>
      <c r="B566" s="197" t="s">
        <v>374</v>
      </c>
      <c r="C566" s="198" t="s">
        <v>394</v>
      </c>
      <c r="D566" s="199" t="s">
        <v>229</v>
      </c>
      <c r="E566" s="204" t="s">
        <v>13</v>
      </c>
      <c r="F566" s="199" t="s">
        <v>375</v>
      </c>
      <c r="G566" s="199" t="s">
        <v>9</v>
      </c>
      <c r="H566" s="20">
        <v>100</v>
      </c>
      <c r="I566" s="20">
        <v>100</v>
      </c>
      <c r="J566" s="20">
        <v>100</v>
      </c>
      <c r="K566" s="20"/>
      <c r="L566" s="20"/>
      <c r="M566" s="20"/>
      <c r="N566" s="20"/>
      <c r="O566" s="20"/>
      <c r="P566" s="20"/>
      <c r="T566" s="20">
        <v>1771.79</v>
      </c>
      <c r="U566" s="20">
        <v>1690.51</v>
      </c>
      <c r="V566" s="20">
        <v>1690.51</v>
      </c>
      <c r="W566" s="20">
        <f t="shared" si="17"/>
        <v>-1671.79</v>
      </c>
      <c r="X566" s="20">
        <f t="shared" si="17"/>
        <v>-1590.51</v>
      </c>
      <c r="Y566" s="20">
        <f t="shared" si="17"/>
        <v>-1590.51</v>
      </c>
    </row>
    <row r="567" spans="1:25" s="17" customFormat="1" ht="25.5">
      <c r="A567" s="108" t="str">
        <f t="shared" si="16"/>
        <v>606070315 3 01 20660000</v>
      </c>
      <c r="B567" s="197" t="s">
        <v>376</v>
      </c>
      <c r="C567" s="198" t="s">
        <v>394</v>
      </c>
      <c r="D567" s="199" t="s">
        <v>229</v>
      </c>
      <c r="E567" s="204" t="s">
        <v>13</v>
      </c>
      <c r="F567" s="199" t="s">
        <v>377</v>
      </c>
      <c r="G567" s="199" t="s">
        <v>9</v>
      </c>
      <c r="H567" s="20">
        <v>100</v>
      </c>
      <c r="I567" s="20">
        <v>100</v>
      </c>
      <c r="J567" s="20">
        <v>100</v>
      </c>
      <c r="K567" s="20"/>
      <c r="L567" s="20"/>
      <c r="M567" s="20"/>
      <c r="N567" s="20"/>
      <c r="O567" s="20"/>
      <c r="P567" s="20"/>
      <c r="T567" s="20"/>
      <c r="U567" s="20"/>
      <c r="V567" s="20"/>
      <c r="W567" s="20">
        <f t="shared" si="17"/>
        <v>100</v>
      </c>
      <c r="X567" s="20">
        <f t="shared" si="17"/>
        <v>100</v>
      </c>
      <c r="Y567" s="20">
        <f t="shared" si="17"/>
        <v>100</v>
      </c>
    </row>
    <row r="568" spans="1:25" s="17" customFormat="1">
      <c r="A568" s="108" t="str">
        <f t="shared" si="16"/>
        <v>606070315 3 01 20660610</v>
      </c>
      <c r="B568" s="205" t="s">
        <v>403</v>
      </c>
      <c r="C568" s="198" t="s">
        <v>394</v>
      </c>
      <c r="D568" s="199" t="s">
        <v>229</v>
      </c>
      <c r="E568" s="204" t="s">
        <v>13</v>
      </c>
      <c r="F568" s="199" t="s">
        <v>377</v>
      </c>
      <c r="G568" s="199" t="s">
        <v>404</v>
      </c>
      <c r="H568" s="20">
        <v>100</v>
      </c>
      <c r="I568" s="20">
        <v>100</v>
      </c>
      <c r="J568" s="20">
        <v>100</v>
      </c>
      <c r="K568" s="20"/>
      <c r="L568" s="20"/>
      <c r="M568" s="20"/>
      <c r="N568" s="20"/>
      <c r="O568" s="20"/>
      <c r="P568" s="20"/>
      <c r="T568" s="20">
        <v>81.28</v>
      </c>
      <c r="U568" s="20">
        <v>0</v>
      </c>
      <c r="V568" s="20">
        <v>0</v>
      </c>
      <c r="W568" s="20">
        <f t="shared" si="17"/>
        <v>18.72</v>
      </c>
      <c r="X568" s="20">
        <f t="shared" si="17"/>
        <v>100</v>
      </c>
      <c r="Y568" s="20">
        <f t="shared" si="17"/>
        <v>100</v>
      </c>
    </row>
    <row r="569" spans="1:25" s="17" customFormat="1" ht="63.75">
      <c r="A569" s="108" t="str">
        <f t="shared" si="16"/>
        <v>606070316 0 00 00000000</v>
      </c>
      <c r="B569" s="197" t="s">
        <v>420</v>
      </c>
      <c r="C569" s="198" t="s">
        <v>394</v>
      </c>
      <c r="D569" s="204" t="s">
        <v>229</v>
      </c>
      <c r="E569" s="204" t="s">
        <v>13</v>
      </c>
      <c r="F569" s="199" t="s">
        <v>421</v>
      </c>
      <c r="G569" s="199" t="s">
        <v>9</v>
      </c>
      <c r="H569" s="20">
        <v>359.90000000000003</v>
      </c>
      <c r="I569" s="20">
        <v>359.90000000000003</v>
      </c>
      <c r="J569" s="20">
        <v>359.90000000000003</v>
      </c>
      <c r="K569" s="20"/>
      <c r="L569" s="20"/>
      <c r="M569" s="20"/>
      <c r="N569" s="20"/>
      <c r="O569" s="20"/>
      <c r="P569" s="20"/>
      <c r="T569" s="20">
        <v>53.14</v>
      </c>
      <c r="U569" s="20">
        <v>53.14</v>
      </c>
      <c r="V569" s="20">
        <v>53.14</v>
      </c>
      <c r="W569" s="20">
        <f t="shared" si="17"/>
        <v>306.76000000000005</v>
      </c>
      <c r="X569" s="20">
        <f t="shared" si="17"/>
        <v>306.76000000000005</v>
      </c>
      <c r="Y569" s="20">
        <f t="shared" si="17"/>
        <v>306.76000000000005</v>
      </c>
    </row>
    <row r="570" spans="1:25" s="17" customFormat="1" ht="25.5">
      <c r="A570" s="108" t="str">
        <f t="shared" si="16"/>
        <v>606070316 2 00 00000000</v>
      </c>
      <c r="B570" s="197" t="s">
        <v>422</v>
      </c>
      <c r="C570" s="198" t="s">
        <v>394</v>
      </c>
      <c r="D570" s="204" t="s">
        <v>229</v>
      </c>
      <c r="E570" s="204" t="s">
        <v>13</v>
      </c>
      <c r="F570" s="199" t="s">
        <v>423</v>
      </c>
      <c r="G570" s="199" t="s">
        <v>9</v>
      </c>
      <c r="H570" s="20">
        <v>359.90000000000003</v>
      </c>
      <c r="I570" s="20">
        <v>359.90000000000003</v>
      </c>
      <c r="J570" s="20">
        <v>359.90000000000003</v>
      </c>
      <c r="K570" s="20"/>
      <c r="L570" s="20"/>
      <c r="M570" s="20"/>
      <c r="N570" s="20"/>
      <c r="O570" s="20"/>
      <c r="P570" s="20"/>
      <c r="T570" s="20">
        <v>21313.48</v>
      </c>
      <c r="U570" s="20">
        <v>21313.48</v>
      </c>
      <c r="V570" s="20">
        <v>21313.48</v>
      </c>
      <c r="W570" s="20">
        <f t="shared" si="17"/>
        <v>-20953.579999999998</v>
      </c>
      <c r="X570" s="20">
        <f t="shared" si="17"/>
        <v>-20953.579999999998</v>
      </c>
      <c r="Y570" s="20">
        <f t="shared" si="17"/>
        <v>-20953.579999999998</v>
      </c>
    </row>
    <row r="571" spans="1:25" s="17" customFormat="1" ht="25.5">
      <c r="A571" s="108" t="str">
        <f t="shared" si="16"/>
        <v>606070316 2 02 00000000</v>
      </c>
      <c r="B571" s="197" t="s">
        <v>424</v>
      </c>
      <c r="C571" s="198" t="s">
        <v>394</v>
      </c>
      <c r="D571" s="204" t="s">
        <v>229</v>
      </c>
      <c r="E571" s="204" t="s">
        <v>13</v>
      </c>
      <c r="F571" s="199" t="s">
        <v>425</v>
      </c>
      <c r="G571" s="199" t="s">
        <v>9</v>
      </c>
      <c r="H571" s="20">
        <v>359.90000000000003</v>
      </c>
      <c r="I571" s="20">
        <v>359.90000000000003</v>
      </c>
      <c r="J571" s="20">
        <v>359.90000000000003</v>
      </c>
      <c r="K571" s="20"/>
      <c r="L571" s="20"/>
      <c r="M571" s="20"/>
      <c r="N571" s="20"/>
      <c r="O571" s="20"/>
      <c r="P571" s="20"/>
      <c r="T571" s="20">
        <v>21313.48</v>
      </c>
      <c r="U571" s="20">
        <v>21313.48</v>
      </c>
      <c r="V571" s="20">
        <v>21313.48</v>
      </c>
      <c r="W571" s="20">
        <f t="shared" si="17"/>
        <v>-20953.579999999998</v>
      </c>
      <c r="X571" s="20">
        <f t="shared" si="17"/>
        <v>-20953.579999999998</v>
      </c>
      <c r="Y571" s="20">
        <f t="shared" si="17"/>
        <v>-20953.579999999998</v>
      </c>
    </row>
    <row r="572" spans="1:25" s="17" customFormat="1" ht="38.25">
      <c r="A572" s="108" t="str">
        <f t="shared" si="16"/>
        <v>606070316 2 02 20550000</v>
      </c>
      <c r="B572" s="197" t="s">
        <v>426</v>
      </c>
      <c r="C572" s="198" t="s">
        <v>394</v>
      </c>
      <c r="D572" s="204" t="s">
        <v>229</v>
      </c>
      <c r="E572" s="204" t="s">
        <v>13</v>
      </c>
      <c r="F572" s="199" t="s">
        <v>427</v>
      </c>
      <c r="G572" s="199" t="s">
        <v>9</v>
      </c>
      <c r="H572" s="20">
        <v>359.90000000000003</v>
      </c>
      <c r="I572" s="20">
        <v>359.90000000000003</v>
      </c>
      <c r="J572" s="20">
        <v>359.90000000000003</v>
      </c>
      <c r="K572" s="20"/>
      <c r="L572" s="20"/>
      <c r="M572" s="20"/>
      <c r="N572" s="20"/>
      <c r="O572" s="20"/>
      <c r="P572" s="20"/>
      <c r="T572" s="20">
        <v>6806.64</v>
      </c>
      <c r="U572" s="20">
        <v>6709.94</v>
      </c>
      <c r="V572" s="20">
        <v>6709.94</v>
      </c>
      <c r="W572" s="20">
        <f t="shared" si="17"/>
        <v>-6446.7400000000007</v>
      </c>
      <c r="X572" s="20">
        <f t="shared" si="17"/>
        <v>-6350.04</v>
      </c>
      <c r="Y572" s="20">
        <f t="shared" si="17"/>
        <v>-6350.04</v>
      </c>
    </row>
    <row r="573" spans="1:25" s="17" customFormat="1">
      <c r="A573" s="108" t="str">
        <f t="shared" si="16"/>
        <v>606070316 2 02 20550610</v>
      </c>
      <c r="B573" s="226" t="s">
        <v>403</v>
      </c>
      <c r="C573" s="198" t="s">
        <v>394</v>
      </c>
      <c r="D573" s="204" t="s">
        <v>229</v>
      </c>
      <c r="E573" s="204" t="s">
        <v>13</v>
      </c>
      <c r="F573" s="199" t="s">
        <v>427</v>
      </c>
      <c r="G573" s="199" t="s">
        <v>404</v>
      </c>
      <c r="H573" s="20">
        <v>301.3</v>
      </c>
      <c r="I573" s="20">
        <v>301.3</v>
      </c>
      <c r="J573" s="20">
        <v>301.3</v>
      </c>
      <c r="K573" s="20"/>
      <c r="L573" s="20"/>
      <c r="M573" s="20"/>
      <c r="N573" s="20"/>
      <c r="O573" s="20"/>
      <c r="P573" s="20"/>
      <c r="T573" s="20">
        <v>5943.04</v>
      </c>
      <c r="U573" s="20">
        <v>6483.32</v>
      </c>
      <c r="V573" s="20">
        <v>6483.32</v>
      </c>
      <c r="W573" s="20">
        <f t="shared" si="17"/>
        <v>-5641.74</v>
      </c>
      <c r="X573" s="20">
        <f t="shared" si="17"/>
        <v>-6182.0199999999995</v>
      </c>
      <c r="Y573" s="20">
        <f t="shared" si="17"/>
        <v>-6182.0199999999995</v>
      </c>
    </row>
    <row r="574" spans="1:25" s="17" customFormat="1">
      <c r="A574" s="108" t="str">
        <f t="shared" si="16"/>
        <v>606070316 2 02 20550620</v>
      </c>
      <c r="B574" s="205" t="s">
        <v>409</v>
      </c>
      <c r="C574" s="198" t="s">
        <v>394</v>
      </c>
      <c r="D574" s="204" t="s">
        <v>229</v>
      </c>
      <c r="E574" s="204" t="s">
        <v>13</v>
      </c>
      <c r="F574" s="199" t="s">
        <v>427</v>
      </c>
      <c r="G574" s="199" t="s">
        <v>410</v>
      </c>
      <c r="H574" s="20">
        <v>58.6</v>
      </c>
      <c r="I574" s="20">
        <v>58.6</v>
      </c>
      <c r="J574" s="20">
        <v>58.6</v>
      </c>
      <c r="K574" s="20"/>
      <c r="L574" s="20"/>
      <c r="M574" s="20"/>
      <c r="N574" s="20"/>
      <c r="O574" s="20"/>
      <c r="P574" s="20"/>
      <c r="T574" s="20">
        <v>863.6</v>
      </c>
      <c r="U574" s="20">
        <v>226.62</v>
      </c>
      <c r="V574" s="20">
        <v>226.62</v>
      </c>
      <c r="W574" s="20">
        <f t="shared" si="17"/>
        <v>-805</v>
      </c>
      <c r="X574" s="20">
        <f t="shared" si="17"/>
        <v>-168.02</v>
      </c>
      <c r="Y574" s="20">
        <f t="shared" si="17"/>
        <v>-168.02</v>
      </c>
    </row>
    <row r="575" spans="1:25" s="17" customFormat="1">
      <c r="A575" s="108" t="str">
        <f t="shared" si="16"/>
        <v>606070700 0 00 00000000</v>
      </c>
      <c r="B575" s="194" t="s">
        <v>464</v>
      </c>
      <c r="C575" s="195" t="s">
        <v>394</v>
      </c>
      <c r="D575" s="196" t="s">
        <v>229</v>
      </c>
      <c r="E575" s="196" t="s">
        <v>229</v>
      </c>
      <c r="F575" s="196" t="s">
        <v>8</v>
      </c>
      <c r="G575" s="196" t="s">
        <v>9</v>
      </c>
      <c r="H575" s="19">
        <v>25947.41</v>
      </c>
      <c r="I575" s="19">
        <v>25769.93</v>
      </c>
      <c r="J575" s="19">
        <v>25769.93</v>
      </c>
      <c r="K575" s="20"/>
      <c r="L575" s="20"/>
      <c r="M575" s="20"/>
      <c r="N575" s="20"/>
      <c r="O575" s="20"/>
      <c r="P575" s="20"/>
      <c r="T575" s="20">
        <v>2038.99</v>
      </c>
      <c r="U575" s="20">
        <v>1971.42</v>
      </c>
      <c r="V575" s="20">
        <v>1971.42</v>
      </c>
      <c r="W575" s="20">
        <f t="shared" si="17"/>
        <v>23908.42</v>
      </c>
      <c r="X575" s="20">
        <f t="shared" si="17"/>
        <v>23798.510000000002</v>
      </c>
      <c r="Y575" s="20">
        <f t="shared" si="17"/>
        <v>23798.510000000002</v>
      </c>
    </row>
    <row r="576" spans="1:25" s="17" customFormat="1" ht="25.5">
      <c r="A576" s="108" t="str">
        <f t="shared" si="16"/>
        <v>606070701 0 00 00000000</v>
      </c>
      <c r="B576" s="205" t="s">
        <v>396</v>
      </c>
      <c r="C576" s="198" t="s">
        <v>394</v>
      </c>
      <c r="D576" s="199" t="s">
        <v>229</v>
      </c>
      <c r="E576" s="199" t="s">
        <v>229</v>
      </c>
      <c r="F576" s="199" t="s">
        <v>397</v>
      </c>
      <c r="G576" s="199" t="s">
        <v>9</v>
      </c>
      <c r="H576" s="20">
        <v>25902.21</v>
      </c>
      <c r="I576" s="20">
        <v>25724.73</v>
      </c>
      <c r="J576" s="20">
        <v>25724.73</v>
      </c>
      <c r="K576" s="20"/>
      <c r="L576" s="20"/>
      <c r="M576" s="20"/>
      <c r="N576" s="20"/>
      <c r="O576" s="20"/>
      <c r="P576" s="20"/>
      <c r="T576" s="20">
        <v>2019.5</v>
      </c>
      <c r="U576" s="20">
        <v>1951.93</v>
      </c>
      <c r="V576" s="20">
        <v>1951.93</v>
      </c>
      <c r="W576" s="20">
        <f t="shared" si="17"/>
        <v>23882.71</v>
      </c>
      <c r="X576" s="20">
        <f t="shared" si="17"/>
        <v>23772.799999999999</v>
      </c>
      <c r="Y576" s="20">
        <f t="shared" si="17"/>
        <v>23772.799999999999</v>
      </c>
    </row>
    <row r="577" spans="1:25" s="17" customFormat="1" ht="25.5">
      <c r="A577" s="108" t="str">
        <f t="shared" si="16"/>
        <v>606070701 1 00 00000000</v>
      </c>
      <c r="B577" s="205" t="s">
        <v>398</v>
      </c>
      <c r="C577" s="198" t="s">
        <v>394</v>
      </c>
      <c r="D577" s="199" t="s">
        <v>229</v>
      </c>
      <c r="E577" s="199" t="s">
        <v>229</v>
      </c>
      <c r="F577" s="199" t="s">
        <v>399</v>
      </c>
      <c r="G577" s="199" t="s">
        <v>9</v>
      </c>
      <c r="H577" s="20">
        <v>25902.21</v>
      </c>
      <c r="I577" s="20">
        <v>25724.73</v>
      </c>
      <c r="J577" s="20">
        <v>25724.73</v>
      </c>
      <c r="K577" s="20"/>
      <c r="L577" s="20"/>
      <c r="M577" s="20"/>
      <c r="N577" s="20"/>
      <c r="O577" s="20"/>
      <c r="P577" s="20"/>
      <c r="T577" s="20">
        <v>19.489999999999998</v>
      </c>
      <c r="U577" s="20">
        <v>19.489999999999998</v>
      </c>
      <c r="V577" s="20">
        <v>19.489999999999998</v>
      </c>
      <c r="W577" s="20">
        <f t="shared" si="17"/>
        <v>25882.719999999998</v>
      </c>
      <c r="X577" s="20">
        <f t="shared" si="17"/>
        <v>25705.239999999998</v>
      </c>
      <c r="Y577" s="20">
        <f t="shared" si="17"/>
        <v>25705.239999999998</v>
      </c>
    </row>
    <row r="578" spans="1:25" s="17" customFormat="1" ht="25.5">
      <c r="A578" s="108" t="str">
        <f t="shared" si="16"/>
        <v>606070701 1 04 00000000</v>
      </c>
      <c r="B578" s="205" t="s">
        <v>465</v>
      </c>
      <c r="C578" s="198" t="s">
        <v>394</v>
      </c>
      <c r="D578" s="199" t="s">
        <v>229</v>
      </c>
      <c r="E578" s="199" t="s">
        <v>229</v>
      </c>
      <c r="F578" s="199" t="s">
        <v>466</v>
      </c>
      <c r="G578" s="199" t="s">
        <v>9</v>
      </c>
      <c r="H578" s="20">
        <v>25902.21</v>
      </c>
      <c r="I578" s="20">
        <v>25724.73</v>
      </c>
      <c r="J578" s="20">
        <v>25724.73</v>
      </c>
      <c r="K578" s="18"/>
      <c r="L578" s="18"/>
      <c r="M578" s="18"/>
      <c r="N578" s="18"/>
      <c r="O578" s="18"/>
      <c r="P578" s="18"/>
      <c r="T578" s="18">
        <v>130554.89</v>
      </c>
      <c r="U578" s="18">
        <v>130554.89</v>
      </c>
      <c r="V578" s="18">
        <v>130554.89</v>
      </c>
      <c r="W578" s="18">
        <f t="shared" si="17"/>
        <v>-104652.68</v>
      </c>
      <c r="X578" s="18">
        <f t="shared" si="17"/>
        <v>-104830.16</v>
      </c>
      <c r="Y578" s="18">
        <f t="shared" si="17"/>
        <v>-104830.16</v>
      </c>
    </row>
    <row r="579" spans="1:25" s="17" customFormat="1" ht="25.5">
      <c r="A579" s="108" t="str">
        <f t="shared" si="16"/>
        <v>606070701 1 04 11010000</v>
      </c>
      <c r="B579" s="205" t="s">
        <v>136</v>
      </c>
      <c r="C579" s="198" t="s">
        <v>394</v>
      </c>
      <c r="D579" s="199" t="s">
        <v>229</v>
      </c>
      <c r="E579" s="199" t="s">
        <v>229</v>
      </c>
      <c r="F579" s="199" t="s">
        <v>467</v>
      </c>
      <c r="G579" s="199" t="s">
        <v>9</v>
      </c>
      <c r="H579" s="20">
        <v>7868.9599999999991</v>
      </c>
      <c r="I579" s="20">
        <v>7857.36</v>
      </c>
      <c r="J579" s="20">
        <v>7857.36</v>
      </c>
      <c r="K579" s="19"/>
      <c r="L579" s="19"/>
      <c r="M579" s="19"/>
      <c r="N579" s="19"/>
      <c r="O579" s="19"/>
      <c r="P579" s="19"/>
      <c r="T579" s="19">
        <v>130554.89</v>
      </c>
      <c r="U579" s="19">
        <v>130554.89</v>
      </c>
      <c r="V579" s="19">
        <v>130554.89</v>
      </c>
      <c r="W579" s="19">
        <f t="shared" si="17"/>
        <v>-122685.93</v>
      </c>
      <c r="X579" s="19">
        <f t="shared" si="17"/>
        <v>-122697.53</v>
      </c>
      <c r="Y579" s="19">
        <f t="shared" si="17"/>
        <v>-122697.53</v>
      </c>
    </row>
    <row r="580" spans="1:25" s="17" customFormat="1">
      <c r="A580" s="108" t="str">
        <f t="shared" si="16"/>
        <v/>
      </c>
      <c r="B580" s="220" t="s">
        <v>1104</v>
      </c>
      <c r="C580" s="198"/>
      <c r="D580" s="199"/>
      <c r="E580" s="199"/>
      <c r="F580" s="199"/>
      <c r="G580" s="199"/>
      <c r="H580" s="20"/>
      <c r="I580" s="20"/>
      <c r="J580" s="20"/>
      <c r="K580" s="20"/>
      <c r="L580" s="20"/>
      <c r="M580" s="20"/>
      <c r="N580" s="20"/>
      <c r="O580" s="20"/>
      <c r="P580" s="20"/>
      <c r="T580" s="20">
        <v>130554.89</v>
      </c>
      <c r="U580" s="20">
        <v>130554.89</v>
      </c>
      <c r="V580" s="20">
        <v>130554.89</v>
      </c>
      <c r="W580" s="20">
        <f t="shared" si="17"/>
        <v>-130554.89</v>
      </c>
      <c r="X580" s="20">
        <f t="shared" si="17"/>
        <v>-130554.89</v>
      </c>
      <c r="Y580" s="20">
        <f t="shared" si="17"/>
        <v>-130554.89</v>
      </c>
    </row>
    <row r="581" spans="1:25" s="17" customFormat="1">
      <c r="A581" s="108" t="str">
        <f t="shared" si="16"/>
        <v>606070701 1 04 11010000</v>
      </c>
      <c r="B581" s="221" t="s">
        <v>1105</v>
      </c>
      <c r="C581" s="222" t="s">
        <v>394</v>
      </c>
      <c r="D581" s="223" t="s">
        <v>229</v>
      </c>
      <c r="E581" s="223" t="s">
        <v>229</v>
      </c>
      <c r="F581" s="223" t="s">
        <v>467</v>
      </c>
      <c r="G581" s="223" t="s">
        <v>9</v>
      </c>
      <c r="H581" s="224">
        <v>9.4</v>
      </c>
      <c r="I581" s="224">
        <v>0</v>
      </c>
      <c r="J581" s="224">
        <v>0</v>
      </c>
      <c r="K581" s="20"/>
      <c r="L581" s="20"/>
      <c r="M581" s="20"/>
      <c r="N581" s="20"/>
      <c r="O581" s="20"/>
      <c r="P581" s="20"/>
      <c r="T581" s="20">
        <v>130554.89</v>
      </c>
      <c r="U581" s="20">
        <v>130554.89</v>
      </c>
      <c r="V581" s="20">
        <v>130554.89</v>
      </c>
      <c r="W581" s="20">
        <f t="shared" si="17"/>
        <v>-130545.49</v>
      </c>
      <c r="X581" s="20">
        <f t="shared" si="17"/>
        <v>-130554.89</v>
      </c>
      <c r="Y581" s="20">
        <f t="shared" si="17"/>
        <v>-130554.89</v>
      </c>
    </row>
    <row r="582" spans="1:25" s="17" customFormat="1">
      <c r="A582" s="108" t="str">
        <f t="shared" ref="A582:A645" si="18">C582&amp;D582&amp;E582&amp;F582&amp;G582</f>
        <v>606070701 1 04 11010620</v>
      </c>
      <c r="B582" s="205" t="s">
        <v>409</v>
      </c>
      <c r="C582" s="198" t="s">
        <v>394</v>
      </c>
      <c r="D582" s="199" t="s">
        <v>229</v>
      </c>
      <c r="E582" s="199" t="s">
        <v>229</v>
      </c>
      <c r="F582" s="199" t="s">
        <v>467</v>
      </c>
      <c r="G582" s="199" t="s">
        <v>410</v>
      </c>
      <c r="H582" s="20">
        <v>7868.9599999999991</v>
      </c>
      <c r="I582" s="20">
        <v>7857.36</v>
      </c>
      <c r="J582" s="20">
        <v>7857.36</v>
      </c>
      <c r="K582" s="20"/>
      <c r="L582" s="20"/>
      <c r="M582" s="20"/>
      <c r="N582" s="20"/>
      <c r="O582" s="20"/>
      <c r="P582" s="20"/>
      <c r="T582" s="20">
        <v>83933.4</v>
      </c>
      <c r="U582" s="20">
        <v>83933.4</v>
      </c>
      <c r="V582" s="20">
        <v>83933.4</v>
      </c>
      <c r="W582" s="20">
        <f t="shared" si="17"/>
        <v>-76064.44</v>
      </c>
      <c r="X582" s="20">
        <f t="shared" si="17"/>
        <v>-76076.039999999994</v>
      </c>
      <c r="Y582" s="20">
        <f t="shared" si="17"/>
        <v>-76076.039999999994</v>
      </c>
    </row>
    <row r="583" spans="1:25" s="17" customFormat="1">
      <c r="A583" s="108" t="str">
        <f t="shared" si="18"/>
        <v>606070701 1 04 20330000</v>
      </c>
      <c r="B583" s="197" t="s">
        <v>468</v>
      </c>
      <c r="C583" s="198" t="s">
        <v>394</v>
      </c>
      <c r="D583" s="199" t="s">
        <v>229</v>
      </c>
      <c r="E583" s="199" t="s">
        <v>229</v>
      </c>
      <c r="F583" s="199" t="s">
        <v>469</v>
      </c>
      <c r="G583" s="199" t="s">
        <v>9</v>
      </c>
      <c r="H583" s="20">
        <v>17867.37</v>
      </c>
      <c r="I583" s="20">
        <v>17867.37</v>
      </c>
      <c r="J583" s="20">
        <v>17867.37</v>
      </c>
      <c r="K583" s="20"/>
      <c r="L583" s="20"/>
      <c r="M583" s="20"/>
      <c r="N583" s="20"/>
      <c r="O583" s="20"/>
      <c r="P583" s="20"/>
      <c r="T583" s="20">
        <v>83933.4</v>
      </c>
      <c r="U583" s="20">
        <v>83933.4</v>
      </c>
      <c r="V583" s="20">
        <v>83933.4</v>
      </c>
      <c r="W583" s="20">
        <f t="shared" si="17"/>
        <v>-66066.03</v>
      </c>
      <c r="X583" s="20">
        <f t="shared" si="17"/>
        <v>-66066.03</v>
      </c>
      <c r="Y583" s="20">
        <f t="shared" si="17"/>
        <v>-66066.03</v>
      </c>
    </row>
    <row r="584" spans="1:25" s="17" customFormat="1">
      <c r="A584" s="108" t="str">
        <f t="shared" si="18"/>
        <v>606070701 1 04 20330610</v>
      </c>
      <c r="B584" s="205" t="s">
        <v>403</v>
      </c>
      <c r="C584" s="198" t="s">
        <v>394</v>
      </c>
      <c r="D584" s="199" t="s">
        <v>229</v>
      </c>
      <c r="E584" s="199" t="s">
        <v>229</v>
      </c>
      <c r="F584" s="199" t="s">
        <v>469</v>
      </c>
      <c r="G584" s="199" t="s">
        <v>404</v>
      </c>
      <c r="H584" s="20">
        <v>17867.37</v>
      </c>
      <c r="I584" s="20">
        <v>17867.37</v>
      </c>
      <c r="J584" s="20">
        <v>17867.37</v>
      </c>
      <c r="K584" s="20"/>
      <c r="L584" s="20"/>
      <c r="M584" s="20"/>
      <c r="N584" s="20"/>
      <c r="O584" s="20"/>
      <c r="P584" s="20"/>
      <c r="T584" s="20">
        <v>1259</v>
      </c>
      <c r="U584" s="20">
        <v>1259</v>
      </c>
      <c r="V584" s="20">
        <v>1259</v>
      </c>
      <c r="W584" s="20">
        <f t="shared" ref="W584:Y647" si="19">H584-T584</f>
        <v>16608.37</v>
      </c>
      <c r="X584" s="20">
        <f t="shared" si="19"/>
        <v>16608.37</v>
      </c>
      <c r="Y584" s="20">
        <f t="shared" si="19"/>
        <v>16608.37</v>
      </c>
    </row>
    <row r="585" spans="1:25" s="17" customFormat="1" ht="191.25">
      <c r="A585" s="108" t="str">
        <f t="shared" si="18"/>
        <v>606070701 1 04 77460000</v>
      </c>
      <c r="B585" s="197" t="s">
        <v>1263</v>
      </c>
      <c r="C585" s="198" t="s">
        <v>394</v>
      </c>
      <c r="D585" s="199" t="s">
        <v>229</v>
      </c>
      <c r="E585" s="199" t="s">
        <v>229</v>
      </c>
      <c r="F585" s="199" t="s">
        <v>1283</v>
      </c>
      <c r="G585" s="199" t="s">
        <v>9</v>
      </c>
      <c r="H585" s="20">
        <v>165.88</v>
      </c>
      <c r="I585" s="20">
        <v>0</v>
      </c>
      <c r="J585" s="20">
        <v>0</v>
      </c>
      <c r="K585" s="20"/>
      <c r="L585" s="20"/>
      <c r="M585" s="20"/>
      <c r="N585" s="20"/>
      <c r="O585" s="20"/>
      <c r="P585" s="20"/>
      <c r="T585" s="20">
        <v>82674.399999999994</v>
      </c>
      <c r="U585" s="20">
        <v>82674.399999999994</v>
      </c>
      <c r="V585" s="20">
        <v>82674.399999999994</v>
      </c>
      <c r="W585" s="20">
        <f t="shared" si="19"/>
        <v>-82508.51999999999</v>
      </c>
      <c r="X585" s="20">
        <f t="shared" si="19"/>
        <v>-82674.399999999994</v>
      </c>
      <c r="Y585" s="20">
        <f t="shared" si="19"/>
        <v>-82674.399999999994</v>
      </c>
    </row>
    <row r="586" spans="1:25" s="17" customFormat="1">
      <c r="A586" s="108" t="str">
        <f t="shared" si="18"/>
        <v>606070701 1 04 77460620</v>
      </c>
      <c r="B586" s="205" t="s">
        <v>409</v>
      </c>
      <c r="C586" s="198" t="s">
        <v>394</v>
      </c>
      <c r="D586" s="199" t="s">
        <v>229</v>
      </c>
      <c r="E586" s="199" t="s">
        <v>229</v>
      </c>
      <c r="F586" s="199" t="s">
        <v>1283</v>
      </c>
      <c r="G586" s="199" t="s">
        <v>410</v>
      </c>
      <c r="H586" s="20">
        <v>165.88</v>
      </c>
      <c r="I586" s="20">
        <v>0</v>
      </c>
      <c r="J586" s="20">
        <v>0</v>
      </c>
      <c r="K586" s="20"/>
      <c r="L586" s="20"/>
      <c r="M586" s="20"/>
      <c r="N586" s="20"/>
      <c r="O586" s="20"/>
      <c r="P586" s="20"/>
      <c r="T586" s="20">
        <v>46621.490000000005</v>
      </c>
      <c r="U586" s="20">
        <v>46621.490000000005</v>
      </c>
      <c r="V586" s="20">
        <v>46621.490000000005</v>
      </c>
      <c r="W586" s="20">
        <f t="shared" si="19"/>
        <v>-46455.610000000008</v>
      </c>
      <c r="X586" s="20">
        <f t="shared" si="19"/>
        <v>-46621.490000000005</v>
      </c>
      <c r="Y586" s="20">
        <f t="shared" si="19"/>
        <v>-46621.490000000005</v>
      </c>
    </row>
    <row r="587" spans="1:25" s="17" customFormat="1" ht="63.75">
      <c r="A587" s="108" t="str">
        <f t="shared" si="18"/>
        <v>606070716 0 00 00000000</v>
      </c>
      <c r="B587" s="197" t="s">
        <v>420</v>
      </c>
      <c r="C587" s="198" t="s">
        <v>394</v>
      </c>
      <c r="D587" s="199" t="s">
        <v>229</v>
      </c>
      <c r="E587" s="199" t="s">
        <v>229</v>
      </c>
      <c r="F587" s="199" t="s">
        <v>421</v>
      </c>
      <c r="G587" s="199" t="s">
        <v>9</v>
      </c>
      <c r="H587" s="20">
        <v>45.2</v>
      </c>
      <c r="I587" s="20">
        <v>45.2</v>
      </c>
      <c r="J587" s="20">
        <v>45.2</v>
      </c>
      <c r="K587" s="20"/>
      <c r="L587" s="20"/>
      <c r="M587" s="20"/>
      <c r="N587" s="20"/>
      <c r="O587" s="20"/>
      <c r="P587" s="20"/>
      <c r="T587" s="20">
        <v>28714.45</v>
      </c>
      <c r="U587" s="20">
        <v>28714.45</v>
      </c>
      <c r="V587" s="20">
        <v>28714.45</v>
      </c>
      <c r="W587" s="20">
        <f t="shared" si="19"/>
        <v>-28669.25</v>
      </c>
      <c r="X587" s="20">
        <f t="shared" si="19"/>
        <v>-28669.25</v>
      </c>
      <c r="Y587" s="20">
        <f t="shared" si="19"/>
        <v>-28669.25</v>
      </c>
    </row>
    <row r="588" spans="1:25" s="17" customFormat="1" ht="25.5">
      <c r="A588" s="108" t="str">
        <f t="shared" si="18"/>
        <v>606070716 2 00 00000000</v>
      </c>
      <c r="B588" s="197" t="s">
        <v>422</v>
      </c>
      <c r="C588" s="198" t="s">
        <v>394</v>
      </c>
      <c r="D588" s="199" t="s">
        <v>229</v>
      </c>
      <c r="E588" s="199" t="s">
        <v>229</v>
      </c>
      <c r="F588" s="199" t="s">
        <v>423</v>
      </c>
      <c r="G588" s="199" t="s">
        <v>9</v>
      </c>
      <c r="H588" s="20">
        <v>45.2</v>
      </c>
      <c r="I588" s="20">
        <v>45.2</v>
      </c>
      <c r="J588" s="20">
        <v>45.2</v>
      </c>
      <c r="K588" s="20"/>
      <c r="L588" s="20"/>
      <c r="M588" s="20"/>
      <c r="N588" s="20"/>
      <c r="O588" s="20"/>
      <c r="P588" s="20"/>
      <c r="T588" s="20">
        <v>28714.45</v>
      </c>
      <c r="U588" s="20">
        <v>28714.45</v>
      </c>
      <c r="V588" s="20">
        <v>28714.45</v>
      </c>
      <c r="W588" s="20">
        <f t="shared" si="19"/>
        <v>-28669.25</v>
      </c>
      <c r="X588" s="20">
        <f t="shared" si="19"/>
        <v>-28669.25</v>
      </c>
      <c r="Y588" s="20">
        <f t="shared" si="19"/>
        <v>-28669.25</v>
      </c>
    </row>
    <row r="589" spans="1:25" s="17" customFormat="1" ht="67.150000000000006" customHeight="1">
      <c r="A589" s="108" t="str">
        <f t="shared" si="18"/>
        <v>606070716 2 02 00000000</v>
      </c>
      <c r="B589" s="197" t="s">
        <v>424</v>
      </c>
      <c r="C589" s="198" t="s">
        <v>394</v>
      </c>
      <c r="D589" s="199" t="s">
        <v>229</v>
      </c>
      <c r="E589" s="199" t="s">
        <v>229</v>
      </c>
      <c r="F589" s="199" t="s">
        <v>425</v>
      </c>
      <c r="G589" s="199" t="s">
        <v>9</v>
      </c>
      <c r="H589" s="20">
        <v>45.2</v>
      </c>
      <c r="I589" s="20">
        <v>45.2</v>
      </c>
      <c r="J589" s="20">
        <v>45.2</v>
      </c>
      <c r="K589" s="20"/>
      <c r="L589" s="20"/>
      <c r="M589" s="20"/>
      <c r="N589" s="20"/>
      <c r="O589" s="20"/>
      <c r="P589" s="20"/>
      <c r="T589" s="20">
        <v>1642.42</v>
      </c>
      <c r="U589" s="20">
        <v>1642.42</v>
      </c>
      <c r="V589" s="20">
        <v>1642.42</v>
      </c>
      <c r="W589" s="20">
        <f t="shared" si="19"/>
        <v>-1597.22</v>
      </c>
      <c r="X589" s="20">
        <f t="shared" si="19"/>
        <v>-1597.22</v>
      </c>
      <c r="Y589" s="20">
        <f t="shared" si="19"/>
        <v>-1597.22</v>
      </c>
    </row>
    <row r="590" spans="1:25" s="17" customFormat="1" ht="38.25">
      <c r="A590" s="108" t="str">
        <f t="shared" si="18"/>
        <v>606070716 2 02 20550000</v>
      </c>
      <c r="B590" s="197" t="s">
        <v>426</v>
      </c>
      <c r="C590" s="198" t="s">
        <v>394</v>
      </c>
      <c r="D590" s="199" t="s">
        <v>229</v>
      </c>
      <c r="E590" s="199" t="s">
        <v>229</v>
      </c>
      <c r="F590" s="199" t="s">
        <v>427</v>
      </c>
      <c r="G590" s="199" t="s">
        <v>9</v>
      </c>
      <c r="H590" s="20">
        <v>45.2</v>
      </c>
      <c r="I590" s="20">
        <v>45.2</v>
      </c>
      <c r="J590" s="20">
        <v>45.2</v>
      </c>
      <c r="K590" s="20"/>
      <c r="L590" s="20"/>
      <c r="M590" s="20"/>
      <c r="N590" s="20"/>
      <c r="O590" s="20"/>
      <c r="P590" s="20"/>
      <c r="T590" s="20">
        <v>1642.42</v>
      </c>
      <c r="U590" s="20">
        <v>1642.42</v>
      </c>
      <c r="V590" s="20">
        <v>1642.42</v>
      </c>
      <c r="W590" s="20">
        <f t="shared" si="19"/>
        <v>-1597.22</v>
      </c>
      <c r="X590" s="20">
        <f t="shared" si="19"/>
        <v>-1597.22</v>
      </c>
      <c r="Y590" s="20">
        <f t="shared" si="19"/>
        <v>-1597.22</v>
      </c>
    </row>
    <row r="591" spans="1:25" s="17" customFormat="1">
      <c r="A591" s="108" t="str">
        <f t="shared" si="18"/>
        <v>606070716 2 02 20550620</v>
      </c>
      <c r="B591" s="205" t="s">
        <v>409</v>
      </c>
      <c r="C591" s="198" t="s">
        <v>394</v>
      </c>
      <c r="D591" s="199" t="s">
        <v>229</v>
      </c>
      <c r="E591" s="199" t="s">
        <v>229</v>
      </c>
      <c r="F591" s="199" t="s">
        <v>427</v>
      </c>
      <c r="G591" s="199" t="s">
        <v>410</v>
      </c>
      <c r="H591" s="20">
        <v>45.2</v>
      </c>
      <c r="I591" s="20">
        <v>45.2</v>
      </c>
      <c r="J591" s="20">
        <v>45.2</v>
      </c>
      <c r="K591" s="20"/>
      <c r="L591" s="20"/>
      <c r="M591" s="20"/>
      <c r="N591" s="20"/>
      <c r="O591" s="20"/>
      <c r="P591" s="20"/>
      <c r="T591" s="20">
        <v>12987.12</v>
      </c>
      <c r="U591" s="20">
        <v>12987.12</v>
      </c>
      <c r="V591" s="20">
        <v>12987.12</v>
      </c>
      <c r="W591" s="20">
        <f t="shared" si="19"/>
        <v>-12941.92</v>
      </c>
      <c r="X591" s="20">
        <f t="shared" si="19"/>
        <v>-12941.92</v>
      </c>
      <c r="Y591" s="20">
        <f t="shared" si="19"/>
        <v>-12941.92</v>
      </c>
    </row>
    <row r="592" spans="1:25" s="17" customFormat="1">
      <c r="A592" s="108" t="str">
        <f t="shared" si="18"/>
        <v>606070900 0 00 00000000</v>
      </c>
      <c r="B592" s="194" t="s">
        <v>470</v>
      </c>
      <c r="C592" s="195" t="s">
        <v>394</v>
      </c>
      <c r="D592" s="196" t="s">
        <v>229</v>
      </c>
      <c r="E592" s="196" t="s">
        <v>471</v>
      </c>
      <c r="F592" s="196" t="s">
        <v>8</v>
      </c>
      <c r="G592" s="196" t="s">
        <v>9</v>
      </c>
      <c r="H592" s="19">
        <v>46275.700000000004</v>
      </c>
      <c r="I592" s="19">
        <v>45940.14</v>
      </c>
      <c r="J592" s="19">
        <v>45940.14</v>
      </c>
      <c r="K592" s="20"/>
      <c r="L592" s="20"/>
      <c r="M592" s="20"/>
      <c r="N592" s="20"/>
      <c r="O592" s="20"/>
      <c r="P592" s="20"/>
      <c r="T592" s="20">
        <v>12987.12</v>
      </c>
      <c r="U592" s="20">
        <v>12987.12</v>
      </c>
      <c r="V592" s="20">
        <v>12987.12</v>
      </c>
      <c r="W592" s="20">
        <f t="shared" si="19"/>
        <v>33288.58</v>
      </c>
      <c r="X592" s="20">
        <f t="shared" si="19"/>
        <v>32953.019999999997</v>
      </c>
      <c r="Y592" s="20">
        <f t="shared" si="19"/>
        <v>32953.019999999997</v>
      </c>
    </row>
    <row r="593" spans="1:25" s="17" customFormat="1" ht="25.5">
      <c r="A593" s="108" t="str">
        <f t="shared" si="18"/>
        <v>606070901 0 00 00000000</v>
      </c>
      <c r="B593" s="205" t="s">
        <v>396</v>
      </c>
      <c r="C593" s="198" t="s">
        <v>394</v>
      </c>
      <c r="D593" s="199" t="s">
        <v>229</v>
      </c>
      <c r="E593" s="199" t="s">
        <v>471</v>
      </c>
      <c r="F593" s="199" t="s">
        <v>397</v>
      </c>
      <c r="G593" s="199" t="s">
        <v>9</v>
      </c>
      <c r="H593" s="20">
        <v>12438.630000000001</v>
      </c>
      <c r="I593" s="20">
        <v>12358.619999999999</v>
      </c>
      <c r="J593" s="20">
        <v>12358.619999999999</v>
      </c>
      <c r="K593" s="20"/>
      <c r="L593" s="20"/>
      <c r="M593" s="20"/>
      <c r="N593" s="20"/>
      <c r="O593" s="20"/>
      <c r="P593" s="20"/>
      <c r="T593" s="20">
        <v>3277.5</v>
      </c>
      <c r="U593" s="20">
        <v>3277.5</v>
      </c>
      <c r="V593" s="20">
        <v>3277.5</v>
      </c>
      <c r="W593" s="20">
        <f t="shared" si="19"/>
        <v>9161.130000000001</v>
      </c>
      <c r="X593" s="20">
        <f t="shared" si="19"/>
        <v>9081.119999999999</v>
      </c>
      <c r="Y593" s="20">
        <f t="shared" si="19"/>
        <v>9081.119999999999</v>
      </c>
    </row>
    <row r="594" spans="1:25" s="17" customFormat="1" ht="25.5">
      <c r="A594" s="108" t="str">
        <f t="shared" si="18"/>
        <v>606070901 1 00 00000000</v>
      </c>
      <c r="B594" s="205" t="s">
        <v>398</v>
      </c>
      <c r="C594" s="198" t="s">
        <v>394</v>
      </c>
      <c r="D594" s="199" t="s">
        <v>229</v>
      </c>
      <c r="E594" s="199" t="s">
        <v>471</v>
      </c>
      <c r="F594" s="199" t="s">
        <v>399</v>
      </c>
      <c r="G594" s="199" t="s">
        <v>9</v>
      </c>
      <c r="H594" s="20">
        <v>12438.630000000001</v>
      </c>
      <c r="I594" s="20">
        <v>12358.619999999999</v>
      </c>
      <c r="J594" s="20">
        <v>12358.619999999999</v>
      </c>
      <c r="K594" s="20"/>
      <c r="L594" s="20"/>
      <c r="M594" s="20"/>
      <c r="N594" s="20"/>
      <c r="O594" s="20"/>
      <c r="P594" s="20"/>
      <c r="T594" s="20">
        <v>3277.5</v>
      </c>
      <c r="U594" s="20">
        <v>3277.5</v>
      </c>
      <c r="V594" s="20">
        <v>3277.5</v>
      </c>
      <c r="W594" s="20">
        <f t="shared" si="19"/>
        <v>9161.130000000001</v>
      </c>
      <c r="X594" s="20">
        <f t="shared" si="19"/>
        <v>9081.119999999999</v>
      </c>
      <c r="Y594" s="20">
        <f t="shared" si="19"/>
        <v>9081.119999999999</v>
      </c>
    </row>
    <row r="595" spans="1:25" s="17" customFormat="1" ht="38.25">
      <c r="A595" s="108" t="str">
        <f t="shared" si="18"/>
        <v>606070901 1 05 00000000</v>
      </c>
      <c r="B595" s="205" t="s">
        <v>472</v>
      </c>
      <c r="C595" s="198" t="s">
        <v>394</v>
      </c>
      <c r="D595" s="199" t="s">
        <v>229</v>
      </c>
      <c r="E595" s="199" t="s">
        <v>471</v>
      </c>
      <c r="F595" s="199" t="s">
        <v>473</v>
      </c>
      <c r="G595" s="199" t="s">
        <v>9</v>
      </c>
      <c r="H595" s="20">
        <v>5158.79</v>
      </c>
      <c r="I595" s="20">
        <v>5078.79</v>
      </c>
      <c r="J595" s="20">
        <v>5078.79</v>
      </c>
      <c r="K595" s="20"/>
      <c r="L595" s="20"/>
      <c r="M595" s="20"/>
      <c r="N595" s="20"/>
      <c r="O595" s="20"/>
      <c r="P595" s="20"/>
      <c r="T595" s="20"/>
      <c r="U595" s="20"/>
      <c r="V595" s="20"/>
      <c r="W595" s="20">
        <f t="shared" si="19"/>
        <v>5158.79</v>
      </c>
      <c r="X595" s="20">
        <f t="shared" si="19"/>
        <v>5078.79</v>
      </c>
      <c r="Y595" s="20">
        <f t="shared" si="19"/>
        <v>5078.79</v>
      </c>
    </row>
    <row r="596" spans="1:25" s="16" customFormat="1">
      <c r="A596" s="108" t="str">
        <f t="shared" si="18"/>
        <v>606070901 1 05 20240000</v>
      </c>
      <c r="B596" s="205" t="s">
        <v>474</v>
      </c>
      <c r="C596" s="198" t="s">
        <v>394</v>
      </c>
      <c r="D596" s="199" t="s">
        <v>229</v>
      </c>
      <c r="E596" s="199" t="s">
        <v>471</v>
      </c>
      <c r="F596" s="199" t="s">
        <v>475</v>
      </c>
      <c r="G596" s="199" t="s">
        <v>9</v>
      </c>
      <c r="H596" s="20">
        <v>5158.79</v>
      </c>
      <c r="I596" s="20">
        <v>5078.79</v>
      </c>
      <c r="J596" s="20">
        <v>5078.79</v>
      </c>
      <c r="K596" s="25"/>
      <c r="L596" s="25"/>
      <c r="M596" s="25"/>
      <c r="N596" s="25"/>
      <c r="O596" s="25"/>
      <c r="P596" s="25"/>
      <c r="Q596" s="17"/>
      <c r="T596" s="25">
        <v>384070.94999999995</v>
      </c>
      <c r="U596" s="25">
        <v>338559.18</v>
      </c>
      <c r="V596" s="25">
        <v>338559.18</v>
      </c>
      <c r="W596" s="25">
        <f t="shared" si="19"/>
        <v>-378912.16</v>
      </c>
      <c r="X596" s="25">
        <f t="shared" si="19"/>
        <v>-333480.39</v>
      </c>
      <c r="Y596" s="25">
        <f t="shared" si="19"/>
        <v>-333480.39</v>
      </c>
    </row>
    <row r="597" spans="1:25" s="16" customFormat="1" ht="25.5">
      <c r="A597" s="108" t="str">
        <f t="shared" si="18"/>
        <v>606070901 1 05 20240240</v>
      </c>
      <c r="B597" s="197" t="s">
        <v>28</v>
      </c>
      <c r="C597" s="198" t="s">
        <v>394</v>
      </c>
      <c r="D597" s="199" t="s">
        <v>229</v>
      </c>
      <c r="E597" s="199" t="s">
        <v>471</v>
      </c>
      <c r="F597" s="199" t="s">
        <v>475</v>
      </c>
      <c r="G597" s="199" t="s">
        <v>29</v>
      </c>
      <c r="H597" s="20">
        <v>200</v>
      </c>
      <c r="I597" s="20">
        <v>200</v>
      </c>
      <c r="J597" s="20">
        <v>200</v>
      </c>
      <c r="K597" s="18"/>
      <c r="L597" s="18"/>
      <c r="M597" s="18"/>
      <c r="N597" s="18"/>
      <c r="O597" s="18"/>
      <c r="P597" s="18"/>
      <c r="Q597" s="17"/>
      <c r="T597" s="18">
        <v>1386.7</v>
      </c>
      <c r="U597" s="18">
        <v>1386.7</v>
      </c>
      <c r="V597" s="18">
        <v>1386.7</v>
      </c>
      <c r="W597" s="18">
        <f t="shared" si="19"/>
        <v>-1186.7</v>
      </c>
      <c r="X597" s="18">
        <f t="shared" si="19"/>
        <v>-1186.7</v>
      </c>
      <c r="Y597" s="18">
        <f t="shared" si="19"/>
        <v>-1186.7</v>
      </c>
    </row>
    <row r="598" spans="1:25" s="16" customFormat="1">
      <c r="A598" s="108" t="str">
        <f t="shared" si="18"/>
        <v>606070901 1 05 20240610</v>
      </c>
      <c r="B598" s="205" t="s">
        <v>403</v>
      </c>
      <c r="C598" s="198" t="s">
        <v>394</v>
      </c>
      <c r="D598" s="199" t="s">
        <v>229</v>
      </c>
      <c r="E598" s="199" t="s">
        <v>471</v>
      </c>
      <c r="F598" s="199" t="s">
        <v>475</v>
      </c>
      <c r="G598" s="199" t="s">
        <v>404</v>
      </c>
      <c r="H598" s="20">
        <v>4607.5</v>
      </c>
      <c r="I598" s="20">
        <v>4533.5</v>
      </c>
      <c r="J598" s="20">
        <v>4533.5</v>
      </c>
      <c r="K598" s="19"/>
      <c r="L598" s="19"/>
      <c r="M598" s="19"/>
      <c r="N598" s="19"/>
      <c r="O598" s="19"/>
      <c r="P598" s="19"/>
      <c r="Q598" s="17"/>
      <c r="T598" s="19">
        <v>1386.7</v>
      </c>
      <c r="U598" s="19">
        <v>1386.7</v>
      </c>
      <c r="V598" s="19">
        <v>1386.7</v>
      </c>
      <c r="W598" s="19">
        <f t="shared" si="19"/>
        <v>3220.8</v>
      </c>
      <c r="X598" s="19">
        <f t="shared" si="19"/>
        <v>3146.8</v>
      </c>
      <c r="Y598" s="19">
        <f t="shared" si="19"/>
        <v>3146.8</v>
      </c>
    </row>
    <row r="599" spans="1:25" s="16" customFormat="1">
      <c r="A599" s="108" t="str">
        <f t="shared" si="18"/>
        <v/>
      </c>
      <c r="B599" s="220" t="s">
        <v>1104</v>
      </c>
      <c r="C599" s="198"/>
      <c r="D599" s="199"/>
      <c r="E599" s="199"/>
      <c r="F599" s="199"/>
      <c r="G599" s="199"/>
      <c r="H599" s="20"/>
      <c r="I599" s="20"/>
      <c r="J599" s="20"/>
      <c r="K599" s="20"/>
      <c r="L599" s="20"/>
      <c r="M599" s="20"/>
      <c r="N599" s="20"/>
      <c r="O599" s="20"/>
      <c r="P599" s="20"/>
      <c r="Q599" s="17"/>
      <c r="T599" s="20">
        <v>1386.7</v>
      </c>
      <c r="U599" s="20">
        <v>1386.7</v>
      </c>
      <c r="V599" s="20">
        <v>1386.7</v>
      </c>
      <c r="W599" s="20">
        <f t="shared" si="19"/>
        <v>-1386.7</v>
      </c>
      <c r="X599" s="20">
        <f t="shared" si="19"/>
        <v>-1386.7</v>
      </c>
      <c r="Y599" s="20">
        <f t="shared" si="19"/>
        <v>-1386.7</v>
      </c>
    </row>
    <row r="600" spans="1:25" s="16" customFormat="1">
      <c r="A600" s="108" t="str">
        <f t="shared" si="18"/>
        <v>606070901 1 05 20240610</v>
      </c>
      <c r="B600" s="221" t="s">
        <v>1105</v>
      </c>
      <c r="C600" s="222" t="s">
        <v>394</v>
      </c>
      <c r="D600" s="223" t="s">
        <v>229</v>
      </c>
      <c r="E600" s="223" t="s">
        <v>471</v>
      </c>
      <c r="F600" s="223" t="s">
        <v>475</v>
      </c>
      <c r="G600" s="223" t="s">
        <v>404</v>
      </c>
      <c r="H600" s="224">
        <v>74</v>
      </c>
      <c r="I600" s="224">
        <v>0</v>
      </c>
      <c r="J600" s="224">
        <v>0</v>
      </c>
      <c r="K600" s="20"/>
      <c r="L600" s="20"/>
      <c r="M600" s="20"/>
      <c r="N600" s="20"/>
      <c r="O600" s="20"/>
      <c r="P600" s="20"/>
      <c r="Q600" s="17"/>
      <c r="T600" s="20">
        <v>1386.7</v>
      </c>
      <c r="U600" s="20">
        <v>1386.7</v>
      </c>
      <c r="V600" s="20">
        <v>1386.7</v>
      </c>
      <c r="W600" s="20">
        <f t="shared" si="19"/>
        <v>-1312.7</v>
      </c>
      <c r="X600" s="20">
        <f t="shared" si="19"/>
        <v>-1386.7</v>
      </c>
      <c r="Y600" s="20">
        <f t="shared" si="19"/>
        <v>-1386.7</v>
      </c>
    </row>
    <row r="601" spans="1:25" s="16" customFormat="1">
      <c r="A601" s="108" t="str">
        <f t="shared" si="18"/>
        <v>606070901 1 05 20240620</v>
      </c>
      <c r="B601" s="205" t="s">
        <v>409</v>
      </c>
      <c r="C601" s="198" t="s">
        <v>394</v>
      </c>
      <c r="D601" s="199" t="s">
        <v>229</v>
      </c>
      <c r="E601" s="199" t="s">
        <v>471</v>
      </c>
      <c r="F601" s="199" t="s">
        <v>475</v>
      </c>
      <c r="G601" s="199" t="s">
        <v>410</v>
      </c>
      <c r="H601" s="20">
        <v>351.29</v>
      </c>
      <c r="I601" s="20">
        <v>345.29</v>
      </c>
      <c r="J601" s="20">
        <v>345.29</v>
      </c>
      <c r="K601" s="20"/>
      <c r="L601" s="20"/>
      <c r="M601" s="20"/>
      <c r="N601" s="20"/>
      <c r="O601" s="20"/>
      <c r="P601" s="20"/>
      <c r="Q601" s="17"/>
      <c r="T601" s="20">
        <v>1386.7</v>
      </c>
      <c r="U601" s="20">
        <v>1386.7</v>
      </c>
      <c r="V601" s="20">
        <v>1386.7</v>
      </c>
      <c r="W601" s="20">
        <f t="shared" si="19"/>
        <v>-1035.4100000000001</v>
      </c>
      <c r="X601" s="20">
        <f t="shared" si="19"/>
        <v>-1041.4100000000001</v>
      </c>
      <c r="Y601" s="20">
        <f t="shared" si="19"/>
        <v>-1041.4100000000001</v>
      </c>
    </row>
    <row r="602" spans="1:25" s="16" customFormat="1">
      <c r="A602" s="108" t="str">
        <f t="shared" si="18"/>
        <v/>
      </c>
      <c r="B602" s="220" t="s">
        <v>1104</v>
      </c>
      <c r="C602" s="198"/>
      <c r="D602" s="199"/>
      <c r="E602" s="199"/>
      <c r="F602" s="199"/>
      <c r="G602" s="199"/>
      <c r="H602" s="20"/>
      <c r="I602" s="20"/>
      <c r="J602" s="20"/>
      <c r="K602" s="20"/>
      <c r="L602" s="20"/>
      <c r="M602" s="20"/>
      <c r="N602" s="20"/>
      <c r="O602" s="20"/>
      <c r="P602" s="20"/>
      <c r="Q602" s="17"/>
      <c r="T602" s="20">
        <v>1058.3</v>
      </c>
      <c r="U602" s="20">
        <v>1058.3</v>
      </c>
      <c r="V602" s="20">
        <v>1058.3</v>
      </c>
      <c r="W602" s="20">
        <f t="shared" si="19"/>
        <v>-1058.3</v>
      </c>
      <c r="X602" s="20">
        <f t="shared" si="19"/>
        <v>-1058.3</v>
      </c>
      <c r="Y602" s="20">
        <f t="shared" si="19"/>
        <v>-1058.3</v>
      </c>
    </row>
    <row r="603" spans="1:25" s="16" customFormat="1">
      <c r="A603" s="108" t="str">
        <f t="shared" si="18"/>
        <v>606070901 1 05 20240620</v>
      </c>
      <c r="B603" s="221" t="s">
        <v>1105</v>
      </c>
      <c r="C603" s="222" t="s">
        <v>394</v>
      </c>
      <c r="D603" s="223" t="s">
        <v>229</v>
      </c>
      <c r="E603" s="223" t="s">
        <v>471</v>
      </c>
      <c r="F603" s="223" t="s">
        <v>475</v>
      </c>
      <c r="G603" s="223" t="s">
        <v>410</v>
      </c>
      <c r="H603" s="224">
        <v>6</v>
      </c>
      <c r="I603" s="224">
        <v>0</v>
      </c>
      <c r="J603" s="224">
        <v>0</v>
      </c>
      <c r="K603" s="20"/>
      <c r="L603" s="20"/>
      <c r="M603" s="20"/>
      <c r="N603" s="20"/>
      <c r="O603" s="20"/>
      <c r="P603" s="20"/>
      <c r="Q603" s="17"/>
      <c r="T603" s="20">
        <v>26.4</v>
      </c>
      <c r="U603" s="20">
        <v>26.4</v>
      </c>
      <c r="V603" s="20">
        <v>26.4</v>
      </c>
      <c r="W603" s="20">
        <f t="shared" si="19"/>
        <v>-20.399999999999999</v>
      </c>
      <c r="X603" s="20">
        <f t="shared" si="19"/>
        <v>-26.4</v>
      </c>
      <c r="Y603" s="20">
        <f t="shared" si="19"/>
        <v>-26.4</v>
      </c>
    </row>
    <row r="604" spans="1:25" s="16" customFormat="1" ht="16.149999999999999" customHeight="1">
      <c r="A604" s="108" t="str">
        <f t="shared" si="18"/>
        <v>606070901 1 08 00000000</v>
      </c>
      <c r="B604" s="201" t="s">
        <v>476</v>
      </c>
      <c r="C604" s="203" t="s">
        <v>394</v>
      </c>
      <c r="D604" s="204" t="s">
        <v>229</v>
      </c>
      <c r="E604" s="204" t="s">
        <v>471</v>
      </c>
      <c r="F604" s="204" t="s">
        <v>477</v>
      </c>
      <c r="G604" s="204" t="s">
        <v>9</v>
      </c>
      <c r="H604" s="26">
        <v>7279.84</v>
      </c>
      <c r="I604" s="26">
        <v>7279.83</v>
      </c>
      <c r="J604" s="26">
        <v>7279.83</v>
      </c>
      <c r="K604" s="20"/>
      <c r="L604" s="20"/>
      <c r="M604" s="20"/>
      <c r="N604" s="20"/>
      <c r="O604" s="20"/>
      <c r="P604" s="20"/>
      <c r="Q604" s="17"/>
      <c r="T604" s="20">
        <v>42</v>
      </c>
      <c r="U604" s="20">
        <v>42</v>
      </c>
      <c r="V604" s="20">
        <v>42</v>
      </c>
      <c r="W604" s="20">
        <f t="shared" si="19"/>
        <v>7237.84</v>
      </c>
      <c r="X604" s="20">
        <f t="shared" si="19"/>
        <v>7237.83</v>
      </c>
      <c r="Y604" s="20">
        <f t="shared" si="19"/>
        <v>7237.83</v>
      </c>
    </row>
    <row r="605" spans="1:25" s="16" customFormat="1" ht="25.5">
      <c r="A605" s="108" t="str">
        <f t="shared" si="18"/>
        <v>606070901 1 08 11010000</v>
      </c>
      <c r="B605" s="226" t="s">
        <v>136</v>
      </c>
      <c r="C605" s="203" t="s">
        <v>394</v>
      </c>
      <c r="D605" s="204" t="s">
        <v>229</v>
      </c>
      <c r="E605" s="204" t="s">
        <v>471</v>
      </c>
      <c r="F605" s="204" t="s">
        <v>478</v>
      </c>
      <c r="G605" s="204" t="s">
        <v>9</v>
      </c>
      <c r="H605" s="26">
        <v>7051.51</v>
      </c>
      <c r="I605" s="26">
        <v>7279.83</v>
      </c>
      <c r="J605" s="26">
        <v>7279.83</v>
      </c>
      <c r="K605" s="20"/>
      <c r="L605" s="20"/>
      <c r="M605" s="20"/>
      <c r="N605" s="20"/>
      <c r="O605" s="20"/>
      <c r="P605" s="20"/>
      <c r="Q605" s="17"/>
      <c r="T605" s="20">
        <v>260</v>
      </c>
      <c r="U605" s="20">
        <v>260</v>
      </c>
      <c r="V605" s="20">
        <v>260</v>
      </c>
      <c r="W605" s="20">
        <f t="shared" si="19"/>
        <v>6791.51</v>
      </c>
      <c r="X605" s="20">
        <f t="shared" si="19"/>
        <v>7019.83</v>
      </c>
      <c r="Y605" s="20">
        <f t="shared" si="19"/>
        <v>7019.83</v>
      </c>
    </row>
    <row r="606" spans="1:25" s="16" customFormat="1">
      <c r="A606" s="108" t="str">
        <f t="shared" si="18"/>
        <v>606070901 1 08 11010610</v>
      </c>
      <c r="B606" s="226" t="s">
        <v>403</v>
      </c>
      <c r="C606" s="203" t="s">
        <v>394</v>
      </c>
      <c r="D606" s="204" t="s">
        <v>229</v>
      </c>
      <c r="E606" s="204" t="s">
        <v>471</v>
      </c>
      <c r="F606" s="204" t="s">
        <v>478</v>
      </c>
      <c r="G606" s="204" t="s">
        <v>404</v>
      </c>
      <c r="H606" s="20">
        <v>7051.51</v>
      </c>
      <c r="I606" s="20">
        <v>7279.83</v>
      </c>
      <c r="J606" s="20">
        <v>7279.83</v>
      </c>
      <c r="K606" s="18"/>
      <c r="L606" s="18"/>
      <c r="M606" s="18"/>
      <c r="N606" s="18"/>
      <c r="O606" s="18"/>
      <c r="P606" s="18"/>
      <c r="Q606" s="17"/>
      <c r="T606" s="18">
        <v>175199.90999999997</v>
      </c>
      <c r="U606" s="18">
        <v>141348.04999999999</v>
      </c>
      <c r="V606" s="18">
        <v>140686.62</v>
      </c>
      <c r="W606" s="18">
        <f t="shared" si="19"/>
        <v>-168148.39999999997</v>
      </c>
      <c r="X606" s="18">
        <f t="shared" si="19"/>
        <v>-134068.22</v>
      </c>
      <c r="Y606" s="18">
        <f t="shared" si="19"/>
        <v>-133406.79</v>
      </c>
    </row>
    <row r="607" spans="1:25" s="16" customFormat="1" ht="191.25">
      <c r="A607" s="108" t="str">
        <f t="shared" si="18"/>
        <v>606070901 1 08 77460000</v>
      </c>
      <c r="B607" s="197" t="s">
        <v>1263</v>
      </c>
      <c r="C607" s="203" t="s">
        <v>394</v>
      </c>
      <c r="D607" s="204" t="s">
        <v>229</v>
      </c>
      <c r="E607" s="204" t="s">
        <v>471</v>
      </c>
      <c r="F607" s="204" t="s">
        <v>1284</v>
      </c>
      <c r="G607" s="204" t="s">
        <v>9</v>
      </c>
      <c r="H607" s="20">
        <v>228.33</v>
      </c>
      <c r="I607" s="20">
        <v>0</v>
      </c>
      <c r="J607" s="20">
        <v>0</v>
      </c>
      <c r="K607" s="19"/>
      <c r="L607" s="19"/>
      <c r="M607" s="19"/>
      <c r="N607" s="19"/>
      <c r="O607" s="19"/>
      <c r="P607" s="19"/>
      <c r="Q607" s="17"/>
      <c r="T607" s="19">
        <v>141211.70999999996</v>
      </c>
      <c r="U607" s="19">
        <v>131694.84999999998</v>
      </c>
      <c r="V607" s="19">
        <v>131033.42</v>
      </c>
      <c r="W607" s="19">
        <f t="shared" si="19"/>
        <v>-140983.37999999998</v>
      </c>
      <c r="X607" s="19">
        <f t="shared" si="19"/>
        <v>-131694.84999999998</v>
      </c>
      <c r="Y607" s="19">
        <f t="shared" si="19"/>
        <v>-131033.42</v>
      </c>
    </row>
    <row r="608" spans="1:25" s="16" customFormat="1">
      <c r="A608" s="108" t="str">
        <f t="shared" si="18"/>
        <v>606070901 1 08 77460610</v>
      </c>
      <c r="B608" s="205" t="s">
        <v>403</v>
      </c>
      <c r="C608" s="203" t="s">
        <v>394</v>
      </c>
      <c r="D608" s="204" t="s">
        <v>229</v>
      </c>
      <c r="E608" s="204" t="s">
        <v>471</v>
      </c>
      <c r="F608" s="204" t="s">
        <v>1284</v>
      </c>
      <c r="G608" s="204" t="s">
        <v>404</v>
      </c>
      <c r="H608" s="20">
        <v>228.33</v>
      </c>
      <c r="I608" s="20">
        <v>0</v>
      </c>
      <c r="J608" s="20">
        <v>0</v>
      </c>
      <c r="K608" s="20"/>
      <c r="L608" s="20"/>
      <c r="M608" s="20"/>
      <c r="N608" s="20"/>
      <c r="O608" s="20"/>
      <c r="P608" s="20"/>
      <c r="Q608" s="17"/>
      <c r="T608" s="20">
        <v>131916.00999999998</v>
      </c>
      <c r="U608" s="20">
        <v>130609.79999999999</v>
      </c>
      <c r="V608" s="20">
        <v>129948.37</v>
      </c>
      <c r="W608" s="20">
        <f t="shared" si="19"/>
        <v>-131687.67999999999</v>
      </c>
      <c r="X608" s="20">
        <f t="shared" si="19"/>
        <v>-130609.79999999999</v>
      </c>
      <c r="Y608" s="20">
        <f t="shared" si="19"/>
        <v>-129948.37</v>
      </c>
    </row>
    <row r="609" spans="1:25" s="16" customFormat="1" ht="63.75">
      <c r="A609" s="108" t="str">
        <f t="shared" si="18"/>
        <v>606070916 0 00 00000000</v>
      </c>
      <c r="B609" s="197" t="s">
        <v>420</v>
      </c>
      <c r="C609" s="198" t="s">
        <v>394</v>
      </c>
      <c r="D609" s="199" t="s">
        <v>229</v>
      </c>
      <c r="E609" s="199" t="s">
        <v>471</v>
      </c>
      <c r="F609" s="199" t="s">
        <v>421</v>
      </c>
      <c r="G609" s="199" t="s">
        <v>9</v>
      </c>
      <c r="H609" s="20">
        <v>68.599999999999994</v>
      </c>
      <c r="I609" s="20">
        <v>58.6</v>
      </c>
      <c r="J609" s="20">
        <v>58.6</v>
      </c>
      <c r="K609" s="20"/>
      <c r="L609" s="20"/>
      <c r="M609" s="20"/>
      <c r="N609" s="20"/>
      <c r="O609" s="20"/>
      <c r="P609" s="20"/>
      <c r="Q609" s="17"/>
      <c r="T609" s="20">
        <v>361.5</v>
      </c>
      <c r="U609" s="20">
        <v>361.5</v>
      </c>
      <c r="V609" s="20">
        <v>361.5</v>
      </c>
      <c r="W609" s="20">
        <f t="shared" si="19"/>
        <v>-292.89999999999998</v>
      </c>
      <c r="X609" s="20">
        <f t="shared" si="19"/>
        <v>-302.89999999999998</v>
      </c>
      <c r="Y609" s="20">
        <f t="shared" si="19"/>
        <v>-302.89999999999998</v>
      </c>
    </row>
    <row r="610" spans="1:25" s="16" customFormat="1" ht="25.5">
      <c r="A610" s="108" t="str">
        <f t="shared" si="18"/>
        <v>606070916 2 00 00000000</v>
      </c>
      <c r="B610" s="197" t="s">
        <v>422</v>
      </c>
      <c r="C610" s="198" t="s">
        <v>394</v>
      </c>
      <c r="D610" s="199" t="s">
        <v>229</v>
      </c>
      <c r="E610" s="199" t="s">
        <v>471</v>
      </c>
      <c r="F610" s="199" t="s">
        <v>423</v>
      </c>
      <c r="G610" s="199" t="s">
        <v>9</v>
      </c>
      <c r="H610" s="20">
        <v>68.599999999999994</v>
      </c>
      <c r="I610" s="20">
        <v>58.6</v>
      </c>
      <c r="J610" s="20">
        <v>58.6</v>
      </c>
      <c r="K610" s="20"/>
      <c r="L610" s="20"/>
      <c r="M610" s="20"/>
      <c r="N610" s="20"/>
      <c r="O610" s="20"/>
      <c r="P610" s="20"/>
      <c r="Q610" s="17"/>
      <c r="T610" s="20">
        <v>361.5</v>
      </c>
      <c r="U610" s="20">
        <v>361.5</v>
      </c>
      <c r="V610" s="20">
        <v>361.5</v>
      </c>
      <c r="W610" s="20">
        <f t="shared" si="19"/>
        <v>-292.89999999999998</v>
      </c>
      <c r="X610" s="20">
        <f t="shared" si="19"/>
        <v>-302.89999999999998</v>
      </c>
      <c r="Y610" s="20">
        <f t="shared" si="19"/>
        <v>-302.89999999999998</v>
      </c>
    </row>
    <row r="611" spans="1:25" s="16" customFormat="1" ht="25.5">
      <c r="A611" s="108" t="str">
        <f t="shared" si="18"/>
        <v>606070916 2 02 00000000</v>
      </c>
      <c r="B611" s="197" t="s">
        <v>424</v>
      </c>
      <c r="C611" s="198" t="s">
        <v>394</v>
      </c>
      <c r="D611" s="199" t="s">
        <v>229</v>
      </c>
      <c r="E611" s="199" t="s">
        <v>471</v>
      </c>
      <c r="F611" s="199" t="s">
        <v>425</v>
      </c>
      <c r="G611" s="199" t="s">
        <v>9</v>
      </c>
      <c r="H611" s="20">
        <v>68.599999999999994</v>
      </c>
      <c r="I611" s="20">
        <v>58.6</v>
      </c>
      <c r="J611" s="20">
        <v>58.6</v>
      </c>
      <c r="K611" s="20"/>
      <c r="L611" s="20"/>
      <c r="M611" s="20"/>
      <c r="N611" s="20"/>
      <c r="O611" s="20"/>
      <c r="P611" s="20"/>
      <c r="Q611" s="17"/>
      <c r="T611" s="20">
        <v>361.5</v>
      </c>
      <c r="U611" s="20">
        <v>361.5</v>
      </c>
      <c r="V611" s="20">
        <v>361.5</v>
      </c>
      <c r="W611" s="20">
        <f t="shared" si="19"/>
        <v>-292.89999999999998</v>
      </c>
      <c r="X611" s="20">
        <f t="shared" si="19"/>
        <v>-302.89999999999998</v>
      </c>
      <c r="Y611" s="20">
        <f t="shared" si="19"/>
        <v>-302.89999999999998</v>
      </c>
    </row>
    <row r="612" spans="1:25" s="16" customFormat="1" ht="38.25">
      <c r="A612" s="108" t="str">
        <f t="shared" si="18"/>
        <v>606070916 2 02 20550000</v>
      </c>
      <c r="B612" s="197" t="s">
        <v>426</v>
      </c>
      <c r="C612" s="198" t="s">
        <v>394</v>
      </c>
      <c r="D612" s="199" t="s">
        <v>229</v>
      </c>
      <c r="E612" s="199" t="s">
        <v>471</v>
      </c>
      <c r="F612" s="199" t="s">
        <v>427</v>
      </c>
      <c r="G612" s="199" t="s">
        <v>9</v>
      </c>
      <c r="H612" s="20">
        <v>68.599999999999994</v>
      </c>
      <c r="I612" s="20">
        <v>58.6</v>
      </c>
      <c r="J612" s="20">
        <v>58.6</v>
      </c>
      <c r="K612" s="20"/>
      <c r="L612" s="20"/>
      <c r="M612" s="20"/>
      <c r="N612" s="20"/>
      <c r="O612" s="20"/>
      <c r="P612" s="20"/>
      <c r="Q612" s="17"/>
      <c r="T612" s="20">
        <v>296.5</v>
      </c>
      <c r="U612" s="20">
        <v>296.5</v>
      </c>
      <c r="V612" s="20">
        <v>296.5</v>
      </c>
      <c r="W612" s="20">
        <f t="shared" si="19"/>
        <v>-227.9</v>
      </c>
      <c r="X612" s="20">
        <f t="shared" si="19"/>
        <v>-237.9</v>
      </c>
      <c r="Y612" s="20">
        <f t="shared" si="19"/>
        <v>-237.9</v>
      </c>
    </row>
    <row r="613" spans="1:25" s="16" customFormat="1">
      <c r="A613" s="108" t="str">
        <f t="shared" si="18"/>
        <v/>
      </c>
      <c r="B613" s="220" t="s">
        <v>1104</v>
      </c>
      <c r="C613" s="198"/>
      <c r="D613" s="199"/>
      <c r="E613" s="199"/>
      <c r="F613" s="199"/>
      <c r="G613" s="199"/>
      <c r="H613" s="20"/>
      <c r="I613" s="20"/>
      <c r="J613" s="20"/>
      <c r="K613" s="20"/>
      <c r="L613" s="20"/>
      <c r="M613" s="20"/>
      <c r="N613" s="20"/>
      <c r="O613" s="20"/>
      <c r="P613" s="20"/>
      <c r="Q613" s="17"/>
      <c r="T613" s="20">
        <v>65</v>
      </c>
      <c r="U613" s="20">
        <v>65</v>
      </c>
      <c r="V613" s="20">
        <v>65</v>
      </c>
      <c r="W613" s="20">
        <f t="shared" si="19"/>
        <v>-65</v>
      </c>
      <c r="X613" s="20">
        <f t="shared" si="19"/>
        <v>-65</v>
      </c>
      <c r="Y613" s="20">
        <f t="shared" si="19"/>
        <v>-65</v>
      </c>
    </row>
    <row r="614" spans="1:25" s="16" customFormat="1">
      <c r="A614" s="108" t="str">
        <f t="shared" si="18"/>
        <v>606070916 2 02 20550000</v>
      </c>
      <c r="B614" s="221" t="s">
        <v>1105</v>
      </c>
      <c r="C614" s="222" t="s">
        <v>394</v>
      </c>
      <c r="D614" s="223" t="s">
        <v>229</v>
      </c>
      <c r="E614" s="223" t="s">
        <v>471</v>
      </c>
      <c r="F614" s="223" t="s">
        <v>427</v>
      </c>
      <c r="G614" s="223" t="s">
        <v>9</v>
      </c>
      <c r="H614" s="224">
        <v>10</v>
      </c>
      <c r="I614" s="224">
        <v>0</v>
      </c>
      <c r="J614" s="224">
        <v>0</v>
      </c>
      <c r="K614" s="20"/>
      <c r="L614" s="20"/>
      <c r="M614" s="20"/>
      <c r="N614" s="20"/>
      <c r="O614" s="20"/>
      <c r="P614" s="20"/>
      <c r="Q614" s="17"/>
      <c r="T614" s="20">
        <v>131554.50999999998</v>
      </c>
      <c r="U614" s="20">
        <v>130248.29999999999</v>
      </c>
      <c r="V614" s="20">
        <v>129586.87</v>
      </c>
      <c r="W614" s="20">
        <f t="shared" si="19"/>
        <v>-131544.50999999998</v>
      </c>
      <c r="X614" s="20">
        <f t="shared" si="19"/>
        <v>-130248.29999999999</v>
      </c>
      <c r="Y614" s="20">
        <f t="shared" si="19"/>
        <v>-129586.87</v>
      </c>
    </row>
    <row r="615" spans="1:25" s="16" customFormat="1">
      <c r="A615" s="108" t="str">
        <f t="shared" si="18"/>
        <v>606070916 2 02 20550610</v>
      </c>
      <c r="B615" s="205" t="s">
        <v>403</v>
      </c>
      <c r="C615" s="198" t="s">
        <v>394</v>
      </c>
      <c r="D615" s="199" t="s">
        <v>229</v>
      </c>
      <c r="E615" s="199" t="s">
        <v>471</v>
      </c>
      <c r="F615" s="199" t="s">
        <v>427</v>
      </c>
      <c r="G615" s="199" t="s">
        <v>404</v>
      </c>
      <c r="H615" s="20">
        <v>68.599999999999994</v>
      </c>
      <c r="I615" s="20">
        <v>58.6</v>
      </c>
      <c r="J615" s="20">
        <v>58.6</v>
      </c>
      <c r="K615" s="20"/>
      <c r="L615" s="20"/>
      <c r="M615" s="20"/>
      <c r="N615" s="20"/>
      <c r="O615" s="20"/>
      <c r="P615" s="20"/>
      <c r="Q615" s="17"/>
      <c r="T615" s="20">
        <v>129218.47</v>
      </c>
      <c r="U615" s="20">
        <v>129218.47</v>
      </c>
      <c r="V615" s="20">
        <v>129218.47</v>
      </c>
      <c r="W615" s="20">
        <f t="shared" si="19"/>
        <v>-129149.87</v>
      </c>
      <c r="X615" s="20">
        <f t="shared" si="19"/>
        <v>-129159.87</v>
      </c>
      <c r="Y615" s="20">
        <f t="shared" si="19"/>
        <v>-129159.87</v>
      </c>
    </row>
    <row r="616" spans="1:25" s="16" customFormat="1" ht="25.5">
      <c r="A616" s="108" t="str">
        <f t="shared" si="18"/>
        <v>606070975 0 00 00000000</v>
      </c>
      <c r="B616" s="197" t="s">
        <v>479</v>
      </c>
      <c r="C616" s="198" t="s">
        <v>394</v>
      </c>
      <c r="D616" s="199" t="s">
        <v>229</v>
      </c>
      <c r="E616" s="199" t="s">
        <v>471</v>
      </c>
      <c r="F616" s="199" t="s">
        <v>480</v>
      </c>
      <c r="G616" s="199" t="s">
        <v>9</v>
      </c>
      <c r="H616" s="20">
        <v>33768.47</v>
      </c>
      <c r="I616" s="20">
        <v>33522.92</v>
      </c>
      <c r="J616" s="20">
        <v>33522.92</v>
      </c>
      <c r="K616" s="20"/>
      <c r="L616" s="20"/>
      <c r="M616" s="20"/>
      <c r="N616" s="20"/>
      <c r="O616" s="20"/>
      <c r="P616" s="20"/>
      <c r="Q616" s="17"/>
      <c r="T616" s="20">
        <v>129218.47</v>
      </c>
      <c r="U616" s="20">
        <v>129218.47</v>
      </c>
      <c r="V616" s="20">
        <v>129218.47</v>
      </c>
      <c r="W616" s="20">
        <f t="shared" si="19"/>
        <v>-95450</v>
      </c>
      <c r="X616" s="20">
        <f t="shared" si="19"/>
        <v>-95695.55</v>
      </c>
      <c r="Y616" s="20">
        <f t="shared" si="19"/>
        <v>-95695.55</v>
      </c>
    </row>
    <row r="617" spans="1:25" s="16" customFormat="1" ht="25.5">
      <c r="A617" s="108" t="str">
        <f t="shared" si="18"/>
        <v>606070975 1 00 00000000</v>
      </c>
      <c r="B617" s="197" t="s">
        <v>481</v>
      </c>
      <c r="C617" s="198" t="s">
        <v>394</v>
      </c>
      <c r="D617" s="199" t="s">
        <v>229</v>
      </c>
      <c r="E617" s="199" t="s">
        <v>471</v>
      </c>
      <c r="F617" s="199" t="s">
        <v>482</v>
      </c>
      <c r="G617" s="199" t="s">
        <v>9</v>
      </c>
      <c r="H617" s="20">
        <v>33768.47</v>
      </c>
      <c r="I617" s="20">
        <v>33522.92</v>
      </c>
      <c r="J617" s="20">
        <v>33522.92</v>
      </c>
      <c r="K617" s="20"/>
      <c r="L617" s="20"/>
      <c r="M617" s="20"/>
      <c r="N617" s="20"/>
      <c r="O617" s="20"/>
      <c r="P617" s="20"/>
      <c r="Q617" s="17"/>
      <c r="T617" s="20">
        <v>114674.89</v>
      </c>
      <c r="U617" s="20">
        <v>114674.89</v>
      </c>
      <c r="V617" s="20">
        <v>114674.89</v>
      </c>
      <c r="W617" s="20">
        <f t="shared" si="19"/>
        <v>-80906.42</v>
      </c>
      <c r="X617" s="20">
        <f t="shared" si="19"/>
        <v>-81151.97</v>
      </c>
      <c r="Y617" s="20">
        <f t="shared" si="19"/>
        <v>-81151.97</v>
      </c>
    </row>
    <row r="618" spans="1:25" s="17" customFormat="1" ht="25.5">
      <c r="A618" s="108" t="str">
        <f t="shared" si="18"/>
        <v>606070975 1 00 10010000</v>
      </c>
      <c r="B618" s="197" t="s">
        <v>18</v>
      </c>
      <c r="C618" s="198" t="s">
        <v>394</v>
      </c>
      <c r="D618" s="199" t="s">
        <v>229</v>
      </c>
      <c r="E618" s="199" t="s">
        <v>471</v>
      </c>
      <c r="F618" s="199" t="s">
        <v>483</v>
      </c>
      <c r="G618" s="199" t="s">
        <v>9</v>
      </c>
      <c r="H618" s="20">
        <v>2502.1699999999996</v>
      </c>
      <c r="I618" s="20">
        <v>2420.89</v>
      </c>
      <c r="J618" s="20">
        <v>2420.89</v>
      </c>
      <c r="K618" s="20"/>
      <c r="L618" s="20"/>
      <c r="M618" s="20"/>
      <c r="N618" s="20"/>
      <c r="O618" s="20"/>
      <c r="P618" s="20"/>
      <c r="T618" s="20">
        <v>14543.58</v>
      </c>
      <c r="U618" s="20">
        <v>14543.58</v>
      </c>
      <c r="V618" s="20">
        <v>14543.58</v>
      </c>
      <c r="W618" s="20">
        <f t="shared" si="19"/>
        <v>-12041.41</v>
      </c>
      <c r="X618" s="20">
        <f t="shared" si="19"/>
        <v>-12122.69</v>
      </c>
      <c r="Y618" s="20">
        <f t="shared" si="19"/>
        <v>-12122.69</v>
      </c>
    </row>
    <row r="619" spans="1:25" s="16" customFormat="1" ht="25.5">
      <c r="A619" s="108" t="str">
        <f t="shared" si="18"/>
        <v>606070975 1 00 10010120</v>
      </c>
      <c r="B619" s="197" t="s">
        <v>484</v>
      </c>
      <c r="C619" s="198" t="s">
        <v>394</v>
      </c>
      <c r="D619" s="199" t="s">
        <v>229</v>
      </c>
      <c r="E619" s="199" t="s">
        <v>471</v>
      </c>
      <c r="F619" s="199" t="s">
        <v>483</v>
      </c>
      <c r="G619" s="199" t="s">
        <v>21</v>
      </c>
      <c r="H619" s="20">
        <v>677.24</v>
      </c>
      <c r="I619" s="20">
        <v>677.24</v>
      </c>
      <c r="J619" s="20">
        <v>677.24</v>
      </c>
      <c r="K619" s="20"/>
      <c r="L619" s="20"/>
      <c r="M619" s="20"/>
      <c r="N619" s="20"/>
      <c r="O619" s="20"/>
      <c r="P619" s="20"/>
      <c r="Q619" s="17"/>
      <c r="T619" s="20">
        <v>0</v>
      </c>
      <c r="U619" s="20">
        <v>661.43</v>
      </c>
      <c r="V619" s="20">
        <v>0</v>
      </c>
      <c r="W619" s="20">
        <f t="shared" si="19"/>
        <v>677.24</v>
      </c>
      <c r="X619" s="20">
        <f t="shared" si="19"/>
        <v>15.810000000000059</v>
      </c>
      <c r="Y619" s="20">
        <f t="shared" si="19"/>
        <v>677.24</v>
      </c>
    </row>
    <row r="620" spans="1:25" s="16" customFormat="1" ht="25.5">
      <c r="A620" s="108" t="str">
        <f t="shared" si="18"/>
        <v>606070975 1 00 10010240</v>
      </c>
      <c r="B620" s="197" t="s">
        <v>28</v>
      </c>
      <c r="C620" s="198" t="s">
        <v>394</v>
      </c>
      <c r="D620" s="199" t="s">
        <v>229</v>
      </c>
      <c r="E620" s="199" t="s">
        <v>471</v>
      </c>
      <c r="F620" s="199" t="s">
        <v>483</v>
      </c>
      <c r="G620" s="199" t="s">
        <v>29</v>
      </c>
      <c r="H620" s="20">
        <v>1771.79</v>
      </c>
      <c r="I620" s="20">
        <v>1690.51</v>
      </c>
      <c r="J620" s="20">
        <v>1690.51</v>
      </c>
      <c r="K620" s="20"/>
      <c r="L620" s="20"/>
      <c r="M620" s="20"/>
      <c r="N620" s="20"/>
      <c r="O620" s="20"/>
      <c r="P620" s="20"/>
      <c r="Q620" s="17"/>
      <c r="T620" s="20">
        <v>0</v>
      </c>
      <c r="U620" s="20">
        <v>661.43</v>
      </c>
      <c r="V620" s="20">
        <v>0</v>
      </c>
      <c r="W620" s="20">
        <f t="shared" si="19"/>
        <v>1771.79</v>
      </c>
      <c r="X620" s="20">
        <f t="shared" si="19"/>
        <v>1029.08</v>
      </c>
      <c r="Y620" s="20">
        <f t="shared" si="19"/>
        <v>1690.51</v>
      </c>
    </row>
    <row r="621" spans="1:25" s="16" customFormat="1">
      <c r="A621" s="108" t="str">
        <f t="shared" si="18"/>
        <v/>
      </c>
      <c r="B621" s="220" t="s">
        <v>1104</v>
      </c>
      <c r="C621" s="198"/>
      <c r="D621" s="199"/>
      <c r="E621" s="199"/>
      <c r="F621" s="199"/>
      <c r="G621" s="199"/>
      <c r="H621" s="20"/>
      <c r="I621" s="20"/>
      <c r="J621" s="20"/>
      <c r="K621" s="20"/>
      <c r="L621" s="20"/>
      <c r="M621" s="20"/>
      <c r="N621" s="20"/>
      <c r="O621" s="20"/>
      <c r="P621" s="20"/>
      <c r="Q621" s="17"/>
      <c r="T621" s="20">
        <v>0</v>
      </c>
      <c r="U621" s="20">
        <v>661.43</v>
      </c>
      <c r="V621" s="20">
        <v>0</v>
      </c>
      <c r="W621" s="20">
        <f t="shared" si="19"/>
        <v>0</v>
      </c>
      <c r="X621" s="20">
        <f t="shared" si="19"/>
        <v>-661.43</v>
      </c>
      <c r="Y621" s="20">
        <f t="shared" si="19"/>
        <v>0</v>
      </c>
    </row>
    <row r="622" spans="1:25" s="16" customFormat="1">
      <c r="A622" s="108" t="str">
        <f t="shared" si="18"/>
        <v>606070975 1 00 10010240</v>
      </c>
      <c r="B622" s="221" t="s">
        <v>1105</v>
      </c>
      <c r="C622" s="222" t="s">
        <v>394</v>
      </c>
      <c r="D622" s="223" t="s">
        <v>229</v>
      </c>
      <c r="E622" s="223" t="s">
        <v>471</v>
      </c>
      <c r="F622" s="223" t="s">
        <v>483</v>
      </c>
      <c r="G622" s="223" t="s">
        <v>29</v>
      </c>
      <c r="H622" s="224">
        <v>81.28</v>
      </c>
      <c r="I622" s="224">
        <v>0</v>
      </c>
      <c r="J622" s="224">
        <v>0</v>
      </c>
      <c r="K622" s="20"/>
      <c r="L622" s="20"/>
      <c r="M622" s="20"/>
      <c r="N622" s="20"/>
      <c r="O622" s="20"/>
      <c r="P622" s="20"/>
      <c r="Q622" s="17"/>
      <c r="T622" s="20">
        <v>955.2</v>
      </c>
      <c r="U622" s="20">
        <v>150</v>
      </c>
      <c r="V622" s="20">
        <v>150</v>
      </c>
      <c r="W622" s="20">
        <f t="shared" si="19"/>
        <v>-873.92000000000007</v>
      </c>
      <c r="X622" s="20">
        <f t="shared" si="19"/>
        <v>-150</v>
      </c>
      <c r="Y622" s="20">
        <f t="shared" si="19"/>
        <v>-150</v>
      </c>
    </row>
    <row r="623" spans="1:25" s="16" customFormat="1">
      <c r="A623" s="108" t="str">
        <f t="shared" si="18"/>
        <v>606070975 1 00 10010850</v>
      </c>
      <c r="B623" s="197" t="s">
        <v>32</v>
      </c>
      <c r="C623" s="198" t="s">
        <v>394</v>
      </c>
      <c r="D623" s="199" t="s">
        <v>229</v>
      </c>
      <c r="E623" s="199" t="s">
        <v>471</v>
      </c>
      <c r="F623" s="199" t="s">
        <v>483</v>
      </c>
      <c r="G623" s="199" t="s">
        <v>33</v>
      </c>
      <c r="H623" s="20">
        <v>53.14</v>
      </c>
      <c r="I623" s="20">
        <v>53.14</v>
      </c>
      <c r="J623" s="20">
        <v>53.14</v>
      </c>
      <c r="K623" s="20"/>
      <c r="L623" s="20"/>
      <c r="M623" s="20"/>
      <c r="N623" s="20"/>
      <c r="O623" s="20"/>
      <c r="P623" s="20"/>
      <c r="Q623" s="17"/>
      <c r="T623" s="20">
        <v>955.2</v>
      </c>
      <c r="U623" s="20">
        <v>150</v>
      </c>
      <c r="V623" s="20">
        <v>150</v>
      </c>
      <c r="W623" s="20">
        <f t="shared" si="19"/>
        <v>-902.06000000000006</v>
      </c>
      <c r="X623" s="20">
        <f t="shared" si="19"/>
        <v>-96.86</v>
      </c>
      <c r="Y623" s="20">
        <f t="shared" si="19"/>
        <v>-96.86</v>
      </c>
    </row>
    <row r="624" spans="1:25" s="16" customFormat="1" ht="25.5">
      <c r="A624" s="108" t="str">
        <f t="shared" si="18"/>
        <v>606070975 1 00 10020000</v>
      </c>
      <c r="B624" s="197" t="s">
        <v>38</v>
      </c>
      <c r="C624" s="198" t="s">
        <v>394</v>
      </c>
      <c r="D624" s="199" t="s">
        <v>229</v>
      </c>
      <c r="E624" s="199" t="s">
        <v>471</v>
      </c>
      <c r="F624" s="199" t="s">
        <v>485</v>
      </c>
      <c r="G624" s="199" t="s">
        <v>9</v>
      </c>
      <c r="H624" s="20">
        <v>21456.76</v>
      </c>
      <c r="I624" s="20">
        <v>22182.95</v>
      </c>
      <c r="J624" s="20">
        <v>22182.95</v>
      </c>
      <c r="K624" s="20"/>
      <c r="L624" s="20"/>
      <c r="M624" s="20"/>
      <c r="N624" s="20"/>
      <c r="O624" s="20"/>
      <c r="P624" s="20"/>
      <c r="Q624" s="17"/>
      <c r="T624" s="20">
        <v>955.2</v>
      </c>
      <c r="U624" s="20">
        <v>150</v>
      </c>
      <c r="V624" s="20">
        <v>150</v>
      </c>
      <c r="W624" s="20">
        <f t="shared" si="19"/>
        <v>20501.559999999998</v>
      </c>
      <c r="X624" s="20">
        <f t="shared" si="19"/>
        <v>22032.95</v>
      </c>
      <c r="Y624" s="20">
        <f t="shared" si="19"/>
        <v>22032.95</v>
      </c>
    </row>
    <row r="625" spans="1:25" s="16" customFormat="1" ht="25.5">
      <c r="A625" s="108" t="str">
        <f t="shared" si="18"/>
        <v>606070975 1 00 10020120</v>
      </c>
      <c r="B625" s="197" t="s">
        <v>484</v>
      </c>
      <c r="C625" s="198" t="s">
        <v>394</v>
      </c>
      <c r="D625" s="199" t="s">
        <v>229</v>
      </c>
      <c r="E625" s="199" t="s">
        <v>471</v>
      </c>
      <c r="F625" s="199" t="s">
        <v>485</v>
      </c>
      <c r="G625" s="199" t="s">
        <v>21</v>
      </c>
      <c r="H625" s="20">
        <v>21456.76</v>
      </c>
      <c r="I625" s="20">
        <v>22182.95</v>
      </c>
      <c r="J625" s="20">
        <v>22182.95</v>
      </c>
      <c r="K625" s="20"/>
      <c r="L625" s="20"/>
      <c r="M625" s="20"/>
      <c r="N625" s="20"/>
      <c r="O625" s="20"/>
      <c r="P625" s="20"/>
      <c r="Q625" s="17"/>
      <c r="T625" s="20">
        <v>218.4</v>
      </c>
      <c r="U625" s="20">
        <v>218.4</v>
      </c>
      <c r="V625" s="20">
        <v>218.4</v>
      </c>
      <c r="W625" s="20">
        <f t="shared" si="19"/>
        <v>21238.359999999997</v>
      </c>
      <c r="X625" s="20">
        <f t="shared" si="19"/>
        <v>21964.55</v>
      </c>
      <c r="Y625" s="20">
        <f t="shared" si="19"/>
        <v>21964.55</v>
      </c>
    </row>
    <row r="626" spans="1:25" s="16" customFormat="1" ht="25.5">
      <c r="A626" s="108" t="str">
        <f t="shared" si="18"/>
        <v>606070975 1 00 11010000</v>
      </c>
      <c r="B626" s="315" t="s">
        <v>136</v>
      </c>
      <c r="C626" s="198" t="s">
        <v>394</v>
      </c>
      <c r="D626" s="199" t="s">
        <v>229</v>
      </c>
      <c r="E626" s="199" t="s">
        <v>471</v>
      </c>
      <c r="F626" s="199" t="s">
        <v>486</v>
      </c>
      <c r="G626" s="199" t="s">
        <v>9</v>
      </c>
      <c r="H626" s="20">
        <v>7044.3600000000006</v>
      </c>
      <c r="I626" s="20">
        <v>6947.66</v>
      </c>
      <c r="J626" s="20">
        <v>6947.66</v>
      </c>
      <c r="K626" s="20"/>
      <c r="L626" s="20"/>
      <c r="M626" s="20"/>
      <c r="N626" s="20"/>
      <c r="O626" s="20"/>
      <c r="P626" s="20"/>
      <c r="Q626" s="17"/>
      <c r="T626" s="20">
        <v>218.4</v>
      </c>
      <c r="U626" s="20">
        <v>218.4</v>
      </c>
      <c r="V626" s="20">
        <v>218.4</v>
      </c>
      <c r="W626" s="20">
        <f t="shared" si="19"/>
        <v>6825.9600000000009</v>
      </c>
      <c r="X626" s="20">
        <f t="shared" si="19"/>
        <v>6729.26</v>
      </c>
      <c r="Y626" s="20">
        <f t="shared" si="19"/>
        <v>6729.26</v>
      </c>
    </row>
    <row r="627" spans="1:25" s="16" customFormat="1">
      <c r="A627" s="108" t="str">
        <f t="shared" si="18"/>
        <v>606070975 1 00 11010110</v>
      </c>
      <c r="B627" s="314" t="s">
        <v>138</v>
      </c>
      <c r="C627" s="198" t="s">
        <v>394</v>
      </c>
      <c r="D627" s="199" t="s">
        <v>229</v>
      </c>
      <c r="E627" s="199" t="s">
        <v>471</v>
      </c>
      <c r="F627" s="199" t="s">
        <v>486</v>
      </c>
      <c r="G627" s="199" t="s">
        <v>139</v>
      </c>
      <c r="H627" s="20">
        <v>6180.76</v>
      </c>
      <c r="I627" s="20">
        <v>6721.04</v>
      </c>
      <c r="J627" s="20">
        <v>6721.04</v>
      </c>
      <c r="K627" s="20"/>
      <c r="L627" s="20"/>
      <c r="M627" s="20"/>
      <c r="N627" s="20"/>
      <c r="O627" s="20"/>
      <c r="P627" s="20"/>
      <c r="Q627" s="17"/>
      <c r="T627" s="20">
        <v>163.80000000000001</v>
      </c>
      <c r="U627" s="20">
        <v>163.80000000000001</v>
      </c>
      <c r="V627" s="20">
        <v>163.80000000000001</v>
      </c>
      <c r="W627" s="20">
        <f t="shared" si="19"/>
        <v>6016.96</v>
      </c>
      <c r="X627" s="20">
        <f t="shared" si="19"/>
        <v>6557.24</v>
      </c>
      <c r="Y627" s="20">
        <f t="shared" si="19"/>
        <v>6557.24</v>
      </c>
    </row>
    <row r="628" spans="1:25" s="16" customFormat="1" ht="25.5">
      <c r="A628" s="108" t="str">
        <f t="shared" si="18"/>
        <v>606070975 1 00 11010240</v>
      </c>
      <c r="B628" s="197" t="s">
        <v>28</v>
      </c>
      <c r="C628" s="198" t="s">
        <v>394</v>
      </c>
      <c r="D628" s="199" t="s">
        <v>229</v>
      </c>
      <c r="E628" s="199" t="s">
        <v>471</v>
      </c>
      <c r="F628" s="199" t="s">
        <v>486</v>
      </c>
      <c r="G628" s="199" t="s">
        <v>29</v>
      </c>
      <c r="H628" s="20">
        <v>863.6</v>
      </c>
      <c r="I628" s="20">
        <v>226.62</v>
      </c>
      <c r="J628" s="20">
        <v>226.62</v>
      </c>
      <c r="K628" s="20"/>
      <c r="L628" s="20"/>
      <c r="M628" s="20"/>
      <c r="N628" s="20"/>
      <c r="O628" s="20"/>
      <c r="P628" s="20"/>
      <c r="Q628" s="17"/>
      <c r="T628" s="20">
        <v>54.6</v>
      </c>
      <c r="U628" s="20">
        <v>54.6</v>
      </c>
      <c r="V628" s="20">
        <v>54.6</v>
      </c>
      <c r="W628" s="20">
        <f t="shared" si="19"/>
        <v>809</v>
      </c>
      <c r="X628" s="20">
        <f t="shared" si="19"/>
        <v>172.02</v>
      </c>
      <c r="Y628" s="20">
        <f t="shared" si="19"/>
        <v>172.02</v>
      </c>
    </row>
    <row r="629" spans="1:25" s="16" customFormat="1" ht="51">
      <c r="A629" s="108" t="str">
        <f t="shared" si="18"/>
        <v>606070975 1 00 76200000</v>
      </c>
      <c r="B629" s="197" t="s">
        <v>488</v>
      </c>
      <c r="C629" s="198" t="s">
        <v>394</v>
      </c>
      <c r="D629" s="199" t="s">
        <v>229</v>
      </c>
      <c r="E629" s="199" t="s">
        <v>471</v>
      </c>
      <c r="F629" s="199" t="s">
        <v>489</v>
      </c>
      <c r="G629" s="199" t="s">
        <v>9</v>
      </c>
      <c r="H629" s="20">
        <v>2038.99</v>
      </c>
      <c r="I629" s="20">
        <v>1971.42</v>
      </c>
      <c r="J629" s="20">
        <v>1971.42</v>
      </c>
      <c r="K629" s="20"/>
      <c r="L629" s="20"/>
      <c r="M629" s="20"/>
      <c r="N629" s="20"/>
      <c r="O629" s="20"/>
      <c r="P629" s="20"/>
      <c r="Q629" s="17"/>
      <c r="T629" s="20">
        <v>1162.44</v>
      </c>
      <c r="U629" s="20">
        <v>0</v>
      </c>
      <c r="V629" s="20">
        <v>0</v>
      </c>
      <c r="W629" s="20">
        <f t="shared" si="19"/>
        <v>876.55</v>
      </c>
      <c r="X629" s="20">
        <f t="shared" si="19"/>
        <v>1971.42</v>
      </c>
      <c r="Y629" s="20">
        <f t="shared" si="19"/>
        <v>1971.42</v>
      </c>
    </row>
    <row r="630" spans="1:25" s="16" customFormat="1" ht="25.5">
      <c r="A630" s="108" t="str">
        <f t="shared" si="18"/>
        <v>606070975 1 00 76200120</v>
      </c>
      <c r="B630" s="197" t="s">
        <v>484</v>
      </c>
      <c r="C630" s="198" t="s">
        <v>394</v>
      </c>
      <c r="D630" s="199" t="s">
        <v>229</v>
      </c>
      <c r="E630" s="199" t="s">
        <v>471</v>
      </c>
      <c r="F630" s="199" t="s">
        <v>489</v>
      </c>
      <c r="G630" s="199" t="s">
        <v>21</v>
      </c>
      <c r="H630" s="20">
        <v>2019.5</v>
      </c>
      <c r="I630" s="20">
        <v>1951.93</v>
      </c>
      <c r="J630" s="20">
        <v>1951.93</v>
      </c>
      <c r="K630" s="20"/>
      <c r="L630" s="20"/>
      <c r="M630" s="20"/>
      <c r="N630" s="20"/>
      <c r="O630" s="20"/>
      <c r="P630" s="20"/>
      <c r="Q630" s="17"/>
      <c r="T630" s="20">
        <v>1162.44</v>
      </c>
      <c r="U630" s="20">
        <v>0</v>
      </c>
      <c r="V630" s="20">
        <v>0</v>
      </c>
      <c r="W630" s="20">
        <f t="shared" si="19"/>
        <v>857.06</v>
      </c>
      <c r="X630" s="20">
        <f t="shared" si="19"/>
        <v>1951.93</v>
      </c>
      <c r="Y630" s="20">
        <f t="shared" si="19"/>
        <v>1951.93</v>
      </c>
    </row>
    <row r="631" spans="1:25" s="16" customFormat="1" ht="25.5">
      <c r="A631" s="108" t="str">
        <f t="shared" si="18"/>
        <v>606070975 1 00 76200240</v>
      </c>
      <c r="B631" s="197" t="s">
        <v>28</v>
      </c>
      <c r="C631" s="198" t="s">
        <v>394</v>
      </c>
      <c r="D631" s="199" t="s">
        <v>229</v>
      </c>
      <c r="E631" s="199" t="s">
        <v>471</v>
      </c>
      <c r="F631" s="199" t="s">
        <v>489</v>
      </c>
      <c r="G631" s="199" t="s">
        <v>29</v>
      </c>
      <c r="H631" s="20">
        <v>19.489999999999998</v>
      </c>
      <c r="I631" s="20">
        <v>19.489999999999998</v>
      </c>
      <c r="J631" s="20">
        <v>19.489999999999998</v>
      </c>
      <c r="K631" s="20"/>
      <c r="L631" s="20"/>
      <c r="M631" s="20"/>
      <c r="N631" s="20"/>
      <c r="O631" s="20"/>
      <c r="P631" s="20"/>
      <c r="Q631" s="17"/>
      <c r="T631" s="20">
        <v>1162.44</v>
      </c>
      <c r="U631" s="20">
        <v>0</v>
      </c>
      <c r="V631" s="20">
        <v>0</v>
      </c>
      <c r="W631" s="20">
        <f t="shared" si="19"/>
        <v>-1142.95</v>
      </c>
      <c r="X631" s="20">
        <f t="shared" si="19"/>
        <v>19.489999999999998</v>
      </c>
      <c r="Y631" s="20">
        <f t="shared" si="19"/>
        <v>19.489999999999998</v>
      </c>
    </row>
    <row r="632" spans="1:25" s="16" customFormat="1" ht="191.25">
      <c r="A632" s="108" t="str">
        <f t="shared" si="18"/>
        <v>606070975 1 00 77460000</v>
      </c>
      <c r="B632" s="197" t="s">
        <v>1263</v>
      </c>
      <c r="C632" s="198" t="s">
        <v>394</v>
      </c>
      <c r="D632" s="199" t="s">
        <v>229</v>
      </c>
      <c r="E632" s="199" t="s">
        <v>471</v>
      </c>
      <c r="F632" s="199" t="s">
        <v>1285</v>
      </c>
      <c r="G632" s="199" t="s">
        <v>9</v>
      </c>
      <c r="H632" s="20">
        <v>726.19</v>
      </c>
      <c r="I632" s="20">
        <v>0</v>
      </c>
      <c r="J632" s="20">
        <v>0</v>
      </c>
      <c r="K632" s="20"/>
      <c r="L632" s="20"/>
      <c r="M632" s="20"/>
      <c r="N632" s="20"/>
      <c r="O632" s="20"/>
      <c r="P632" s="20"/>
      <c r="Q632" s="17"/>
      <c r="T632" s="20">
        <v>392.8</v>
      </c>
      <c r="U632" s="20">
        <v>392.8</v>
      </c>
      <c r="V632" s="20">
        <v>392.8</v>
      </c>
      <c r="W632" s="20">
        <f t="shared" si="19"/>
        <v>333.39000000000004</v>
      </c>
      <c r="X632" s="20">
        <f t="shared" si="19"/>
        <v>-392.8</v>
      </c>
      <c r="Y632" s="20">
        <f t="shared" si="19"/>
        <v>-392.8</v>
      </c>
    </row>
    <row r="633" spans="1:25" s="16" customFormat="1" ht="25.5">
      <c r="A633" s="108" t="str">
        <f t="shared" si="18"/>
        <v>606070975 1 00 77460120</v>
      </c>
      <c r="B633" s="197" t="s">
        <v>484</v>
      </c>
      <c r="C633" s="198" t="s">
        <v>394</v>
      </c>
      <c r="D633" s="199" t="s">
        <v>229</v>
      </c>
      <c r="E633" s="199" t="s">
        <v>471</v>
      </c>
      <c r="F633" s="199" t="s">
        <v>1285</v>
      </c>
      <c r="G633" s="199" t="s">
        <v>21</v>
      </c>
      <c r="H633" s="20">
        <v>726.19</v>
      </c>
      <c r="I633" s="20">
        <v>0</v>
      </c>
      <c r="J633" s="20">
        <v>0</v>
      </c>
      <c r="K633" s="20"/>
      <c r="L633" s="20"/>
      <c r="M633" s="20"/>
      <c r="N633" s="20"/>
      <c r="O633" s="20"/>
      <c r="P633" s="20"/>
      <c r="Q633" s="17"/>
      <c r="T633" s="20">
        <v>392.8</v>
      </c>
      <c r="U633" s="20">
        <v>392.8</v>
      </c>
      <c r="V633" s="20">
        <v>392.8</v>
      </c>
      <c r="W633" s="20">
        <f t="shared" si="19"/>
        <v>333.39000000000004</v>
      </c>
      <c r="X633" s="20">
        <f t="shared" si="19"/>
        <v>-392.8</v>
      </c>
      <c r="Y633" s="20">
        <f t="shared" si="19"/>
        <v>-392.8</v>
      </c>
    </row>
    <row r="634" spans="1:25" s="16" customFormat="1">
      <c r="A634" s="108" t="str">
        <f t="shared" si="18"/>
        <v>606100000 0 00 00000000</v>
      </c>
      <c r="B634" s="191" t="s">
        <v>316</v>
      </c>
      <c r="C634" s="192" t="s">
        <v>394</v>
      </c>
      <c r="D634" s="193" t="s">
        <v>317</v>
      </c>
      <c r="E634" s="193" t="s">
        <v>7</v>
      </c>
      <c r="F634" s="193" t="s">
        <v>8</v>
      </c>
      <c r="G634" s="193" t="s">
        <v>9</v>
      </c>
      <c r="H634" s="18">
        <v>134961.19</v>
      </c>
      <c r="I634" s="18">
        <v>130554.89</v>
      </c>
      <c r="J634" s="18">
        <v>130554.89</v>
      </c>
      <c r="K634" s="20"/>
      <c r="L634" s="20"/>
      <c r="M634" s="20"/>
      <c r="N634" s="20"/>
      <c r="O634" s="20"/>
      <c r="P634" s="20"/>
      <c r="Q634" s="17"/>
      <c r="T634" s="20">
        <v>392.8</v>
      </c>
      <c r="U634" s="20">
        <v>392.8</v>
      </c>
      <c r="V634" s="20">
        <v>392.8</v>
      </c>
      <c r="W634" s="20">
        <f t="shared" si="19"/>
        <v>134568.39000000001</v>
      </c>
      <c r="X634" s="20">
        <f t="shared" si="19"/>
        <v>130162.09</v>
      </c>
      <c r="Y634" s="20">
        <f t="shared" si="19"/>
        <v>130162.09</v>
      </c>
    </row>
    <row r="635" spans="1:25" s="16" customFormat="1">
      <c r="A635" s="108" t="str">
        <f t="shared" si="18"/>
        <v>606100400 0 00 00000000</v>
      </c>
      <c r="B635" s="194" t="s">
        <v>490</v>
      </c>
      <c r="C635" s="195" t="s">
        <v>394</v>
      </c>
      <c r="D635" s="196" t="s">
        <v>317</v>
      </c>
      <c r="E635" s="196" t="s">
        <v>73</v>
      </c>
      <c r="F635" s="196" t="s">
        <v>8</v>
      </c>
      <c r="G635" s="196" t="s">
        <v>9</v>
      </c>
      <c r="H635" s="19">
        <v>134961.19</v>
      </c>
      <c r="I635" s="19">
        <v>130554.89</v>
      </c>
      <c r="J635" s="19">
        <v>130554.89</v>
      </c>
      <c r="K635" s="20"/>
      <c r="L635" s="20"/>
      <c r="M635" s="20"/>
      <c r="N635" s="20"/>
      <c r="O635" s="20"/>
      <c r="P635" s="20"/>
      <c r="Q635" s="17"/>
      <c r="T635" s="20">
        <v>392.8</v>
      </c>
      <c r="U635" s="20">
        <v>392.8</v>
      </c>
      <c r="V635" s="20">
        <v>392.8</v>
      </c>
      <c r="W635" s="20">
        <f t="shared" si="19"/>
        <v>134568.39000000001</v>
      </c>
      <c r="X635" s="20">
        <f t="shared" si="19"/>
        <v>130162.09</v>
      </c>
      <c r="Y635" s="20">
        <f t="shared" si="19"/>
        <v>130162.09</v>
      </c>
    </row>
    <row r="636" spans="1:25" s="16" customFormat="1" ht="25.5">
      <c r="A636" s="108" t="str">
        <f t="shared" si="18"/>
        <v>606100401 0 00 00000000</v>
      </c>
      <c r="B636" s="205" t="s">
        <v>396</v>
      </c>
      <c r="C636" s="198" t="s">
        <v>394</v>
      </c>
      <c r="D636" s="199" t="s">
        <v>317</v>
      </c>
      <c r="E636" s="199" t="s">
        <v>73</v>
      </c>
      <c r="F636" s="199" t="s">
        <v>397</v>
      </c>
      <c r="G636" s="199" t="s">
        <v>9</v>
      </c>
      <c r="H636" s="20">
        <v>134961.19</v>
      </c>
      <c r="I636" s="20">
        <v>130554.89</v>
      </c>
      <c r="J636" s="20">
        <v>130554.89</v>
      </c>
      <c r="K636" s="20"/>
      <c r="L636" s="20"/>
      <c r="M636" s="20"/>
      <c r="N636" s="20"/>
      <c r="O636" s="20"/>
      <c r="P636" s="20"/>
      <c r="Q636" s="17"/>
      <c r="T636" s="20">
        <v>344.8</v>
      </c>
      <c r="U636" s="20">
        <v>344.8</v>
      </c>
      <c r="V636" s="20">
        <v>344.8</v>
      </c>
      <c r="W636" s="20">
        <f t="shared" si="19"/>
        <v>134616.39000000001</v>
      </c>
      <c r="X636" s="20">
        <f t="shared" si="19"/>
        <v>130210.09</v>
      </c>
      <c r="Y636" s="20">
        <f t="shared" si="19"/>
        <v>130210.09</v>
      </c>
    </row>
    <row r="637" spans="1:25" s="17" customFormat="1" ht="25.5">
      <c r="A637" s="108" t="str">
        <f t="shared" si="18"/>
        <v>606100401 1 00 00000000</v>
      </c>
      <c r="B637" s="205" t="s">
        <v>398</v>
      </c>
      <c r="C637" s="198" t="s">
        <v>394</v>
      </c>
      <c r="D637" s="199" t="s">
        <v>317</v>
      </c>
      <c r="E637" s="199" t="s">
        <v>73</v>
      </c>
      <c r="F637" s="199" t="s">
        <v>399</v>
      </c>
      <c r="G637" s="199" t="s">
        <v>9</v>
      </c>
      <c r="H637" s="20">
        <v>134961.19</v>
      </c>
      <c r="I637" s="20">
        <v>130554.89</v>
      </c>
      <c r="J637" s="20">
        <v>130554.89</v>
      </c>
      <c r="K637" s="20"/>
      <c r="L637" s="20"/>
      <c r="M637" s="20"/>
      <c r="N637" s="20"/>
      <c r="O637" s="20"/>
      <c r="P637" s="20"/>
      <c r="T637" s="20">
        <v>48</v>
      </c>
      <c r="U637" s="20">
        <v>48</v>
      </c>
      <c r="V637" s="20">
        <v>48</v>
      </c>
      <c r="W637" s="20">
        <f t="shared" si="19"/>
        <v>134913.19</v>
      </c>
      <c r="X637" s="20">
        <f t="shared" si="19"/>
        <v>130506.89</v>
      </c>
      <c r="Y637" s="20">
        <f t="shared" si="19"/>
        <v>130506.89</v>
      </c>
    </row>
    <row r="638" spans="1:25" s="17" customFormat="1" ht="25.5">
      <c r="A638" s="108" t="str">
        <f t="shared" si="18"/>
        <v>606100401 1 01 00000000</v>
      </c>
      <c r="B638" s="205" t="s">
        <v>400</v>
      </c>
      <c r="C638" s="198" t="s">
        <v>394</v>
      </c>
      <c r="D638" s="199" t="s">
        <v>317</v>
      </c>
      <c r="E638" s="199" t="s">
        <v>73</v>
      </c>
      <c r="F638" s="199" t="s">
        <v>401</v>
      </c>
      <c r="G638" s="199" t="s">
        <v>9</v>
      </c>
      <c r="H638" s="20">
        <v>83933.4</v>
      </c>
      <c r="I638" s="20">
        <v>83933.4</v>
      </c>
      <c r="J638" s="20">
        <v>83933.4</v>
      </c>
      <c r="K638" s="20"/>
      <c r="L638" s="20"/>
      <c r="M638" s="20"/>
      <c r="N638" s="20"/>
      <c r="O638" s="20"/>
      <c r="P638" s="20"/>
      <c r="T638" s="20">
        <v>692.25</v>
      </c>
      <c r="U638" s="20">
        <v>692.25</v>
      </c>
      <c r="V638" s="20">
        <v>692.25</v>
      </c>
      <c r="W638" s="20">
        <f t="shared" si="19"/>
        <v>83241.149999999994</v>
      </c>
      <c r="X638" s="20">
        <f t="shared" si="19"/>
        <v>83241.149999999994</v>
      </c>
      <c r="Y638" s="20">
        <f t="shared" si="19"/>
        <v>83241.149999999994</v>
      </c>
    </row>
    <row r="639" spans="1:25" s="17" customFormat="1" ht="51">
      <c r="A639" s="108" t="str">
        <f t="shared" si="18"/>
        <v>606100401 1 01 76140000</v>
      </c>
      <c r="B639" s="205" t="s">
        <v>491</v>
      </c>
      <c r="C639" s="198" t="s">
        <v>394</v>
      </c>
      <c r="D639" s="199" t="s">
        <v>317</v>
      </c>
      <c r="E639" s="199" t="s">
        <v>73</v>
      </c>
      <c r="F639" s="199" t="s">
        <v>492</v>
      </c>
      <c r="G639" s="199" t="s">
        <v>9</v>
      </c>
      <c r="H639" s="20">
        <v>83933.4</v>
      </c>
      <c r="I639" s="20">
        <v>83933.4</v>
      </c>
      <c r="J639" s="20">
        <v>83933.4</v>
      </c>
      <c r="K639" s="20"/>
      <c r="L639" s="20"/>
      <c r="M639" s="20"/>
      <c r="N639" s="20"/>
      <c r="O639" s="20"/>
      <c r="P639" s="20"/>
      <c r="T639" s="20">
        <v>692.25</v>
      </c>
      <c r="U639" s="20">
        <v>692.25</v>
      </c>
      <c r="V639" s="20">
        <v>692.25</v>
      </c>
      <c r="W639" s="20">
        <f t="shared" si="19"/>
        <v>83241.149999999994</v>
      </c>
      <c r="X639" s="20">
        <f t="shared" si="19"/>
        <v>83241.149999999994</v>
      </c>
      <c r="Y639" s="20">
        <f t="shared" si="19"/>
        <v>83241.149999999994</v>
      </c>
    </row>
    <row r="640" spans="1:25" s="17" customFormat="1" ht="25.5">
      <c r="A640" s="108" t="str">
        <f t="shared" si="18"/>
        <v>606100401 1 01 76140240</v>
      </c>
      <c r="B640" s="197" t="s">
        <v>28</v>
      </c>
      <c r="C640" s="198" t="s">
        <v>394</v>
      </c>
      <c r="D640" s="199" t="s">
        <v>317</v>
      </c>
      <c r="E640" s="199" t="s">
        <v>73</v>
      </c>
      <c r="F640" s="199" t="s">
        <v>492</v>
      </c>
      <c r="G640" s="199" t="s">
        <v>29</v>
      </c>
      <c r="H640" s="20">
        <v>1259</v>
      </c>
      <c r="I640" s="20">
        <v>1259</v>
      </c>
      <c r="J640" s="20">
        <v>1259</v>
      </c>
      <c r="K640" s="20"/>
      <c r="L640" s="20"/>
      <c r="M640" s="20"/>
      <c r="N640" s="20"/>
      <c r="O640" s="20"/>
      <c r="P640" s="20"/>
      <c r="T640" s="20">
        <v>692.25</v>
      </c>
      <c r="U640" s="20">
        <v>692.25</v>
      </c>
      <c r="V640" s="20">
        <v>692.25</v>
      </c>
      <c r="W640" s="20">
        <f t="shared" si="19"/>
        <v>566.75</v>
      </c>
      <c r="X640" s="20">
        <f t="shared" si="19"/>
        <v>566.75</v>
      </c>
      <c r="Y640" s="20">
        <f t="shared" si="19"/>
        <v>566.75</v>
      </c>
    </row>
    <row r="641" spans="1:25" s="17" customFormat="1">
      <c r="A641" s="108" t="str">
        <f t="shared" si="18"/>
        <v>606100401 1 01 76140310</v>
      </c>
      <c r="B641" s="205" t="s">
        <v>493</v>
      </c>
      <c r="C641" s="198" t="s">
        <v>394</v>
      </c>
      <c r="D641" s="199" t="s">
        <v>317</v>
      </c>
      <c r="E641" s="199" t="s">
        <v>73</v>
      </c>
      <c r="F641" s="199" t="s">
        <v>492</v>
      </c>
      <c r="G641" s="199" t="s">
        <v>494</v>
      </c>
      <c r="H641" s="20">
        <v>82674.399999999994</v>
      </c>
      <c r="I641" s="20">
        <v>82674.399999999994</v>
      </c>
      <c r="J641" s="20">
        <v>82674.399999999994</v>
      </c>
      <c r="K641" s="20"/>
      <c r="L641" s="20"/>
      <c r="M641" s="20"/>
      <c r="N641" s="20"/>
      <c r="O641" s="20"/>
      <c r="P641" s="20"/>
      <c r="T641" s="20">
        <v>692.25</v>
      </c>
      <c r="U641" s="20">
        <v>692.25</v>
      </c>
      <c r="V641" s="20">
        <v>692.25</v>
      </c>
      <c r="W641" s="20">
        <f t="shared" si="19"/>
        <v>81982.149999999994</v>
      </c>
      <c r="X641" s="20">
        <f t="shared" si="19"/>
        <v>81982.149999999994</v>
      </c>
      <c r="Y641" s="20">
        <f t="shared" si="19"/>
        <v>81982.149999999994</v>
      </c>
    </row>
    <row r="642" spans="1:25" s="17" customFormat="1" ht="38.25">
      <c r="A642" s="108" t="str">
        <f t="shared" si="18"/>
        <v>606100401 1 02 00000000</v>
      </c>
      <c r="B642" s="314" t="s">
        <v>439</v>
      </c>
      <c r="C642" s="198" t="s">
        <v>394</v>
      </c>
      <c r="D642" s="199" t="s">
        <v>317</v>
      </c>
      <c r="E642" s="199" t="s">
        <v>73</v>
      </c>
      <c r="F642" s="199" t="s">
        <v>440</v>
      </c>
      <c r="G642" s="199" t="s">
        <v>9</v>
      </c>
      <c r="H642" s="20">
        <v>1711.62</v>
      </c>
      <c r="I642" s="20">
        <v>0</v>
      </c>
      <c r="J642" s="20">
        <v>0</v>
      </c>
      <c r="K642" s="20"/>
      <c r="L642" s="20"/>
      <c r="M642" s="20"/>
      <c r="N642" s="20"/>
      <c r="O642" s="20"/>
      <c r="P642" s="20"/>
      <c r="T642" s="20">
        <v>692.25</v>
      </c>
      <c r="U642" s="20">
        <v>692.25</v>
      </c>
      <c r="V642" s="20">
        <v>692.25</v>
      </c>
      <c r="W642" s="20">
        <f t="shared" si="19"/>
        <v>1019.3699999999999</v>
      </c>
      <c r="X642" s="20">
        <f t="shared" si="19"/>
        <v>-692.25</v>
      </c>
      <c r="Y642" s="20">
        <f t="shared" si="19"/>
        <v>-692.25</v>
      </c>
    </row>
    <row r="643" spans="1:25" s="17" customFormat="1" ht="38.25">
      <c r="A643" s="108" t="str">
        <f t="shared" si="18"/>
        <v>606100401 1 02 80260000</v>
      </c>
      <c r="B643" s="323" t="s">
        <v>1286</v>
      </c>
      <c r="C643" s="198" t="s">
        <v>394</v>
      </c>
      <c r="D643" s="199" t="s">
        <v>317</v>
      </c>
      <c r="E643" s="199" t="s">
        <v>73</v>
      </c>
      <c r="F643" s="199" t="s">
        <v>1287</v>
      </c>
      <c r="G643" s="199" t="s">
        <v>9</v>
      </c>
      <c r="H643" s="20">
        <v>1711.62</v>
      </c>
      <c r="I643" s="20">
        <v>0</v>
      </c>
      <c r="J643" s="20">
        <v>0</v>
      </c>
      <c r="K643" s="20"/>
      <c r="L643" s="20"/>
      <c r="M643" s="20"/>
      <c r="N643" s="20"/>
      <c r="O643" s="20"/>
      <c r="P643" s="20"/>
      <c r="T643" s="20">
        <v>8210.65</v>
      </c>
      <c r="U643" s="20">
        <v>0</v>
      </c>
      <c r="V643" s="20">
        <v>0</v>
      </c>
      <c r="W643" s="20">
        <f t="shared" si="19"/>
        <v>-6499.03</v>
      </c>
      <c r="X643" s="20">
        <f t="shared" si="19"/>
        <v>0</v>
      </c>
      <c r="Y643" s="20">
        <f t="shared" si="19"/>
        <v>0</v>
      </c>
    </row>
    <row r="644" spans="1:25" s="17" customFormat="1" ht="25.5">
      <c r="A644" s="108" t="str">
        <f t="shared" si="18"/>
        <v>606100401 1 02 80260320</v>
      </c>
      <c r="B644" s="205" t="s">
        <v>327</v>
      </c>
      <c r="C644" s="198" t="s">
        <v>394</v>
      </c>
      <c r="D644" s="199" t="s">
        <v>317</v>
      </c>
      <c r="E644" s="199" t="s">
        <v>73</v>
      </c>
      <c r="F644" s="199" t="s">
        <v>1287</v>
      </c>
      <c r="G644" s="199" t="s">
        <v>328</v>
      </c>
      <c r="H644" s="20">
        <v>1711.62</v>
      </c>
      <c r="I644" s="20">
        <v>0</v>
      </c>
      <c r="J644" s="20">
        <v>0</v>
      </c>
      <c r="K644" s="20"/>
      <c r="L644" s="20"/>
      <c r="M644" s="20"/>
      <c r="N644" s="20"/>
      <c r="O644" s="20"/>
      <c r="P644" s="20"/>
      <c r="T644" s="20">
        <v>8210.65</v>
      </c>
      <c r="U644" s="20">
        <v>0</v>
      </c>
      <c r="V644" s="20">
        <v>0</v>
      </c>
      <c r="W644" s="20">
        <f t="shared" si="19"/>
        <v>-6499.03</v>
      </c>
      <c r="X644" s="20">
        <f t="shared" si="19"/>
        <v>0</v>
      </c>
      <c r="Y644" s="20">
        <f t="shared" si="19"/>
        <v>0</v>
      </c>
    </row>
    <row r="645" spans="1:25" s="17" customFormat="1" ht="124.5" customHeight="1">
      <c r="A645" s="108" t="str">
        <f t="shared" si="18"/>
        <v>606100401 1 07 00000000</v>
      </c>
      <c r="B645" s="205" t="s">
        <v>497</v>
      </c>
      <c r="C645" s="198" t="s">
        <v>394</v>
      </c>
      <c r="D645" s="199" t="s">
        <v>317</v>
      </c>
      <c r="E645" s="199" t="s">
        <v>73</v>
      </c>
      <c r="F645" s="199" t="s">
        <v>498</v>
      </c>
      <c r="G645" s="199" t="s">
        <v>9</v>
      </c>
      <c r="H645" s="20">
        <v>49316.17</v>
      </c>
      <c r="I645" s="20">
        <v>46621.490000000005</v>
      </c>
      <c r="J645" s="20">
        <v>46621.490000000005</v>
      </c>
      <c r="K645" s="20"/>
      <c r="L645" s="20"/>
      <c r="M645" s="20"/>
      <c r="N645" s="20"/>
      <c r="O645" s="20"/>
      <c r="P645" s="20"/>
      <c r="T645" s="20">
        <v>8210.65</v>
      </c>
      <c r="U645" s="20">
        <v>0</v>
      </c>
      <c r="V645" s="20">
        <v>0</v>
      </c>
      <c r="W645" s="20">
        <f t="shared" si="19"/>
        <v>41105.519999999997</v>
      </c>
      <c r="X645" s="20">
        <f t="shared" si="19"/>
        <v>46621.490000000005</v>
      </c>
      <c r="Y645" s="20">
        <f t="shared" si="19"/>
        <v>46621.490000000005</v>
      </c>
    </row>
    <row r="646" spans="1:25" s="17" customFormat="1" ht="25.5">
      <c r="A646" s="108" t="str">
        <f t="shared" ref="A646:A709" si="20">C646&amp;D646&amp;E646&amp;F646&amp;G646</f>
        <v>606100401 1 07 78110000</v>
      </c>
      <c r="B646" s="205" t="s">
        <v>499</v>
      </c>
      <c r="C646" s="198" t="s">
        <v>394</v>
      </c>
      <c r="D646" s="199" t="s">
        <v>317</v>
      </c>
      <c r="E646" s="199" t="s">
        <v>73</v>
      </c>
      <c r="F646" s="199" t="s">
        <v>500</v>
      </c>
      <c r="G646" s="199" t="s">
        <v>9</v>
      </c>
      <c r="H646" s="20">
        <v>28715.37</v>
      </c>
      <c r="I646" s="20">
        <v>28714.45</v>
      </c>
      <c r="J646" s="20">
        <v>28714.45</v>
      </c>
      <c r="K646" s="20"/>
      <c r="L646" s="20"/>
      <c r="M646" s="20"/>
      <c r="N646" s="20"/>
      <c r="O646" s="20"/>
      <c r="P646" s="20"/>
      <c r="T646" s="20">
        <v>6949.73</v>
      </c>
      <c r="U646" s="20">
        <v>0</v>
      </c>
      <c r="V646" s="20">
        <v>0</v>
      </c>
      <c r="W646" s="20">
        <f t="shared" si="19"/>
        <v>21765.64</v>
      </c>
      <c r="X646" s="20">
        <f t="shared" si="19"/>
        <v>28714.45</v>
      </c>
      <c r="Y646" s="20">
        <f t="shared" si="19"/>
        <v>28714.45</v>
      </c>
    </row>
    <row r="647" spans="1:25" s="17" customFormat="1" ht="25.5">
      <c r="A647" s="108" t="str">
        <f t="shared" si="20"/>
        <v>606100401 1 07 78110320</v>
      </c>
      <c r="B647" s="205" t="s">
        <v>327</v>
      </c>
      <c r="C647" s="198" t="s">
        <v>394</v>
      </c>
      <c r="D647" s="199" t="s">
        <v>317</v>
      </c>
      <c r="E647" s="199" t="s">
        <v>73</v>
      </c>
      <c r="F647" s="199" t="s">
        <v>500</v>
      </c>
      <c r="G647" s="199" t="s">
        <v>328</v>
      </c>
      <c r="H647" s="20">
        <v>28715.37</v>
      </c>
      <c r="I647" s="20">
        <v>28714.45</v>
      </c>
      <c r="J647" s="20">
        <v>28714.45</v>
      </c>
      <c r="K647" s="20"/>
      <c r="L647" s="20"/>
      <c r="M647" s="20"/>
      <c r="N647" s="20"/>
      <c r="O647" s="20"/>
      <c r="P647" s="20"/>
      <c r="T647" s="20">
        <v>1260.92</v>
      </c>
      <c r="U647" s="20">
        <v>0</v>
      </c>
      <c r="V647" s="20">
        <v>0</v>
      </c>
      <c r="W647" s="20">
        <f t="shared" si="19"/>
        <v>27454.449999999997</v>
      </c>
      <c r="X647" s="20">
        <f t="shared" si="19"/>
        <v>28714.45</v>
      </c>
      <c r="Y647" s="20">
        <f t="shared" si="19"/>
        <v>28714.45</v>
      </c>
    </row>
    <row r="648" spans="1:25" s="17" customFormat="1" ht="51">
      <c r="A648" s="108" t="str">
        <f t="shared" si="20"/>
        <v>606100401 1 07 78120000</v>
      </c>
      <c r="B648" s="197" t="s">
        <v>503</v>
      </c>
      <c r="C648" s="198" t="s">
        <v>394</v>
      </c>
      <c r="D648" s="199" t="s">
        <v>317</v>
      </c>
      <c r="E648" s="199" t="s">
        <v>73</v>
      </c>
      <c r="F648" s="199" t="s">
        <v>504</v>
      </c>
      <c r="G648" s="199" t="s">
        <v>9</v>
      </c>
      <c r="H648" s="20">
        <v>1642.42</v>
      </c>
      <c r="I648" s="20">
        <v>1642.42</v>
      </c>
      <c r="J648" s="20">
        <v>1642.42</v>
      </c>
      <c r="K648" s="19"/>
      <c r="L648" s="19"/>
      <c r="M648" s="19"/>
      <c r="N648" s="19"/>
      <c r="O648" s="19"/>
      <c r="P648" s="19"/>
      <c r="T648" s="19">
        <v>33988.199999999997</v>
      </c>
      <c r="U648" s="19">
        <v>9653.2000000000007</v>
      </c>
      <c r="V648" s="19">
        <v>9653.2000000000007</v>
      </c>
      <c r="W648" s="19">
        <f t="shared" ref="W648:Y711" si="21">H648-T648</f>
        <v>-32345.78</v>
      </c>
      <c r="X648" s="19">
        <f t="shared" si="21"/>
        <v>-8010.7800000000007</v>
      </c>
      <c r="Y648" s="19">
        <f t="shared" si="21"/>
        <v>-8010.7800000000007</v>
      </c>
    </row>
    <row r="649" spans="1:25" s="17" customFormat="1" ht="25.5">
      <c r="A649" s="108" t="str">
        <f t="shared" si="20"/>
        <v>606100401 1 07 78120320</v>
      </c>
      <c r="B649" s="205" t="s">
        <v>327</v>
      </c>
      <c r="C649" s="198" t="s">
        <v>394</v>
      </c>
      <c r="D649" s="199" t="s">
        <v>317</v>
      </c>
      <c r="E649" s="199" t="s">
        <v>73</v>
      </c>
      <c r="F649" s="199" t="s">
        <v>504</v>
      </c>
      <c r="G649" s="199" t="s">
        <v>328</v>
      </c>
      <c r="H649" s="20">
        <v>1642.42</v>
      </c>
      <c r="I649" s="20">
        <v>1642.42</v>
      </c>
      <c r="J649" s="20">
        <v>1642.42</v>
      </c>
      <c r="K649" s="20"/>
      <c r="L649" s="20"/>
      <c r="M649" s="20"/>
      <c r="N649" s="20"/>
      <c r="O649" s="20"/>
      <c r="P649" s="20"/>
      <c r="T649" s="20">
        <v>187.5</v>
      </c>
      <c r="U649" s="20">
        <v>187.5</v>
      </c>
      <c r="V649" s="20">
        <v>187.5</v>
      </c>
      <c r="W649" s="20">
        <f t="shared" si="21"/>
        <v>1454.92</v>
      </c>
      <c r="X649" s="20">
        <f t="shared" si="21"/>
        <v>1454.92</v>
      </c>
      <c r="Y649" s="20">
        <f t="shared" si="21"/>
        <v>1454.92</v>
      </c>
    </row>
    <row r="650" spans="1:25" s="17" customFormat="1" ht="38.25">
      <c r="A650" s="108" t="str">
        <f t="shared" si="20"/>
        <v>606100401 1 07 78130000</v>
      </c>
      <c r="B650" s="197" t="s">
        <v>505</v>
      </c>
      <c r="C650" s="198" t="s">
        <v>394</v>
      </c>
      <c r="D650" s="199" t="s">
        <v>317</v>
      </c>
      <c r="E650" s="199" t="s">
        <v>73</v>
      </c>
      <c r="F650" s="199" t="s">
        <v>506</v>
      </c>
      <c r="G650" s="199" t="s">
        <v>9</v>
      </c>
      <c r="H650" s="20">
        <v>15680.880000000001</v>
      </c>
      <c r="I650" s="20">
        <v>12987.12</v>
      </c>
      <c r="J650" s="20">
        <v>12987.12</v>
      </c>
      <c r="K650" s="20"/>
      <c r="L650" s="20"/>
      <c r="M650" s="20"/>
      <c r="N650" s="20"/>
      <c r="O650" s="20"/>
      <c r="P650" s="20"/>
      <c r="T650" s="20">
        <v>187.5</v>
      </c>
      <c r="U650" s="20">
        <v>187.5</v>
      </c>
      <c r="V650" s="20">
        <v>187.5</v>
      </c>
      <c r="W650" s="20">
        <f t="shared" si="21"/>
        <v>15493.380000000001</v>
      </c>
      <c r="X650" s="20">
        <f t="shared" si="21"/>
        <v>12799.62</v>
      </c>
      <c r="Y650" s="20">
        <f t="shared" si="21"/>
        <v>12799.62</v>
      </c>
    </row>
    <row r="651" spans="1:25" s="17" customFormat="1" ht="25.5">
      <c r="A651" s="108" t="str">
        <f t="shared" si="20"/>
        <v>606100401 1 07 78130320</v>
      </c>
      <c r="B651" s="205" t="s">
        <v>327</v>
      </c>
      <c r="C651" s="198" t="s">
        <v>394</v>
      </c>
      <c r="D651" s="199" t="s">
        <v>317</v>
      </c>
      <c r="E651" s="199" t="s">
        <v>73</v>
      </c>
      <c r="F651" s="199" t="s">
        <v>506</v>
      </c>
      <c r="G651" s="199" t="s">
        <v>328</v>
      </c>
      <c r="H651" s="20">
        <v>15680.880000000001</v>
      </c>
      <c r="I651" s="20">
        <v>12987.12</v>
      </c>
      <c r="J651" s="20">
        <v>12987.12</v>
      </c>
      <c r="K651" s="20"/>
      <c r="L651" s="20"/>
      <c r="M651" s="20"/>
      <c r="N651" s="20"/>
      <c r="O651" s="20"/>
      <c r="P651" s="20"/>
      <c r="T651" s="20">
        <v>187.5</v>
      </c>
      <c r="U651" s="20">
        <v>187.5</v>
      </c>
      <c r="V651" s="20">
        <v>187.5</v>
      </c>
      <c r="W651" s="20">
        <f t="shared" si="21"/>
        <v>15493.380000000001</v>
      </c>
      <c r="X651" s="20">
        <f t="shared" si="21"/>
        <v>12799.62</v>
      </c>
      <c r="Y651" s="20">
        <f t="shared" si="21"/>
        <v>12799.62</v>
      </c>
    </row>
    <row r="652" spans="1:25" s="17" customFormat="1">
      <c r="A652" s="108" t="str">
        <f t="shared" si="20"/>
        <v>606100401 1 07 78140000</v>
      </c>
      <c r="B652" s="197" t="s">
        <v>507</v>
      </c>
      <c r="C652" s="198" t="s">
        <v>394</v>
      </c>
      <c r="D652" s="199" t="s">
        <v>317</v>
      </c>
      <c r="E652" s="199" t="s">
        <v>73</v>
      </c>
      <c r="F652" s="199" t="s">
        <v>508</v>
      </c>
      <c r="G652" s="199" t="s">
        <v>9</v>
      </c>
      <c r="H652" s="20">
        <v>3277.5</v>
      </c>
      <c r="I652" s="20">
        <v>3277.5</v>
      </c>
      <c r="J652" s="20">
        <v>3277.5</v>
      </c>
      <c r="K652" s="20"/>
      <c r="L652" s="20"/>
      <c r="M652" s="20"/>
      <c r="N652" s="20"/>
      <c r="O652" s="20"/>
      <c r="P652" s="20"/>
      <c r="T652" s="20">
        <v>187.5</v>
      </c>
      <c r="U652" s="20">
        <v>187.5</v>
      </c>
      <c r="V652" s="20">
        <v>187.5</v>
      </c>
      <c r="W652" s="20">
        <f t="shared" si="21"/>
        <v>3090</v>
      </c>
      <c r="X652" s="20">
        <f t="shared" si="21"/>
        <v>3090</v>
      </c>
      <c r="Y652" s="20">
        <f t="shared" si="21"/>
        <v>3090</v>
      </c>
    </row>
    <row r="653" spans="1:25" s="17" customFormat="1" ht="25.5">
      <c r="A653" s="108" t="str">
        <f t="shared" si="20"/>
        <v>606100401 1 07 78140320</v>
      </c>
      <c r="B653" s="205" t="s">
        <v>327</v>
      </c>
      <c r="C653" s="198" t="s">
        <v>394</v>
      </c>
      <c r="D653" s="199" t="s">
        <v>317</v>
      </c>
      <c r="E653" s="199" t="s">
        <v>73</v>
      </c>
      <c r="F653" s="199" t="s">
        <v>508</v>
      </c>
      <c r="G653" s="199" t="s">
        <v>328</v>
      </c>
      <c r="H653" s="20">
        <v>3277.5</v>
      </c>
      <c r="I653" s="20">
        <v>3277.5</v>
      </c>
      <c r="J653" s="20">
        <v>3277.5</v>
      </c>
      <c r="K653" s="20"/>
      <c r="L653" s="20"/>
      <c r="M653" s="20"/>
      <c r="N653" s="20"/>
      <c r="O653" s="20"/>
      <c r="P653" s="20"/>
      <c r="T653" s="20">
        <v>187.5</v>
      </c>
      <c r="U653" s="20">
        <v>187.5</v>
      </c>
      <c r="V653" s="20">
        <v>187.5</v>
      </c>
      <c r="W653" s="20">
        <f t="shared" si="21"/>
        <v>3090</v>
      </c>
      <c r="X653" s="20">
        <f t="shared" si="21"/>
        <v>3090</v>
      </c>
      <c r="Y653" s="20">
        <f t="shared" si="21"/>
        <v>3090</v>
      </c>
    </row>
    <row r="654" spans="1:25" s="17" customFormat="1">
      <c r="A654" s="108" t="str">
        <f t="shared" si="20"/>
        <v/>
      </c>
      <c r="B654" s="205"/>
      <c r="C654" s="198"/>
      <c r="D654" s="199"/>
      <c r="E654" s="199"/>
      <c r="F654" s="199"/>
      <c r="G654" s="199"/>
      <c r="H654" s="20"/>
      <c r="I654" s="20"/>
      <c r="J654" s="20"/>
      <c r="K654" s="20"/>
      <c r="L654" s="20"/>
      <c r="M654" s="20"/>
      <c r="N654" s="20"/>
      <c r="O654" s="20"/>
      <c r="P654" s="20"/>
      <c r="T654" s="20">
        <v>33410.699999999997</v>
      </c>
      <c r="U654" s="20">
        <v>9465.7000000000007</v>
      </c>
      <c r="V654" s="20">
        <v>9465.7000000000007</v>
      </c>
      <c r="W654" s="20">
        <f t="shared" si="21"/>
        <v>-33410.699999999997</v>
      </c>
      <c r="X654" s="20">
        <f t="shared" si="21"/>
        <v>-9465.7000000000007</v>
      </c>
      <c r="Y654" s="20">
        <f t="shared" si="21"/>
        <v>-9465.7000000000007</v>
      </c>
    </row>
    <row r="655" spans="1:25" s="17" customFormat="1" ht="38.25">
      <c r="A655" s="108" t="str">
        <f t="shared" si="20"/>
        <v>607000000 0 00 00000000</v>
      </c>
      <c r="B655" s="202" t="s">
        <v>1121</v>
      </c>
      <c r="C655" s="189" t="s">
        <v>510</v>
      </c>
      <c r="D655" s="190" t="s">
        <v>7</v>
      </c>
      <c r="E655" s="190" t="s">
        <v>7</v>
      </c>
      <c r="F655" s="190" t="s">
        <v>8</v>
      </c>
      <c r="G655" s="190" t="s">
        <v>9</v>
      </c>
      <c r="H655" s="25">
        <v>400748.40999999992</v>
      </c>
      <c r="I655" s="25">
        <v>342060.79999999999</v>
      </c>
      <c r="J655" s="25">
        <v>342060.79999999999</v>
      </c>
      <c r="K655" s="20"/>
      <c r="L655" s="20"/>
      <c r="M655" s="20"/>
      <c r="N655" s="20"/>
      <c r="O655" s="20"/>
      <c r="P655" s="20"/>
      <c r="T655" s="20">
        <v>33410.699999999997</v>
      </c>
      <c r="U655" s="20">
        <v>9465.7000000000007</v>
      </c>
      <c r="V655" s="20">
        <v>9465.7000000000007</v>
      </c>
      <c r="W655" s="20">
        <f t="shared" si="21"/>
        <v>367337.7099999999</v>
      </c>
      <c r="X655" s="20">
        <f t="shared" si="21"/>
        <v>332595.09999999998</v>
      </c>
      <c r="Y655" s="20">
        <f t="shared" si="21"/>
        <v>332595.09999999998</v>
      </c>
    </row>
    <row r="656" spans="1:25" s="17" customFormat="1">
      <c r="A656" s="108" t="str">
        <f t="shared" si="20"/>
        <v>607010000 0 00 00000000</v>
      </c>
      <c r="B656" s="191" t="s">
        <v>10</v>
      </c>
      <c r="C656" s="192" t="s">
        <v>510</v>
      </c>
      <c r="D656" s="193" t="s">
        <v>11</v>
      </c>
      <c r="E656" s="193" t="s">
        <v>7</v>
      </c>
      <c r="F656" s="193" t="s">
        <v>8</v>
      </c>
      <c r="G656" s="193" t="s">
        <v>9</v>
      </c>
      <c r="H656" s="18">
        <v>328.4</v>
      </c>
      <c r="I656" s="18">
        <v>1386.7</v>
      </c>
      <c r="J656" s="18">
        <v>1386.7</v>
      </c>
      <c r="K656" s="20"/>
      <c r="L656" s="20"/>
      <c r="M656" s="20"/>
      <c r="N656" s="20"/>
      <c r="O656" s="20"/>
      <c r="P656" s="20"/>
      <c r="T656" s="20">
        <v>779</v>
      </c>
      <c r="U656" s="20">
        <v>779</v>
      </c>
      <c r="V656" s="20">
        <v>779</v>
      </c>
      <c r="W656" s="20">
        <f t="shared" si="21"/>
        <v>-450.6</v>
      </c>
      <c r="X656" s="20">
        <f t="shared" si="21"/>
        <v>607.70000000000005</v>
      </c>
      <c r="Y656" s="20">
        <f t="shared" si="21"/>
        <v>607.70000000000005</v>
      </c>
    </row>
    <row r="657" spans="1:25" s="17" customFormat="1">
      <c r="A657" s="108" t="str">
        <f t="shared" si="20"/>
        <v>607011300 0 00 00000000</v>
      </c>
      <c r="B657" s="194" t="s">
        <v>50</v>
      </c>
      <c r="C657" s="195" t="s">
        <v>510</v>
      </c>
      <c r="D657" s="196" t="s">
        <v>11</v>
      </c>
      <c r="E657" s="196" t="s">
        <v>51</v>
      </c>
      <c r="F657" s="196" t="s">
        <v>8</v>
      </c>
      <c r="G657" s="196" t="s">
        <v>9</v>
      </c>
      <c r="H657" s="19">
        <v>328.4</v>
      </c>
      <c r="I657" s="19">
        <v>1386.7</v>
      </c>
      <c r="J657" s="19">
        <v>1386.7</v>
      </c>
      <c r="K657" s="20"/>
      <c r="L657" s="20"/>
      <c r="M657" s="20"/>
      <c r="N657" s="20"/>
      <c r="O657" s="20"/>
      <c r="P657" s="20"/>
      <c r="T657" s="20">
        <v>779</v>
      </c>
      <c r="U657" s="20">
        <v>779</v>
      </c>
      <c r="V657" s="20">
        <v>779</v>
      </c>
      <c r="W657" s="20">
        <f t="shared" si="21"/>
        <v>-450.6</v>
      </c>
      <c r="X657" s="20">
        <f t="shared" si="21"/>
        <v>607.70000000000005</v>
      </c>
      <c r="Y657" s="20">
        <f t="shared" si="21"/>
        <v>607.70000000000005</v>
      </c>
    </row>
    <row r="658" spans="1:25" s="17" customFormat="1" ht="38.25">
      <c r="A658" s="108" t="str">
        <f t="shared" si="20"/>
        <v>607011398 0 00 00000000</v>
      </c>
      <c r="B658" s="197" t="s">
        <v>87</v>
      </c>
      <c r="C658" s="198" t="s">
        <v>510</v>
      </c>
      <c r="D658" s="199" t="s">
        <v>11</v>
      </c>
      <c r="E658" s="199" t="s">
        <v>51</v>
      </c>
      <c r="F658" s="199" t="s">
        <v>88</v>
      </c>
      <c r="G658" s="199" t="s">
        <v>9</v>
      </c>
      <c r="H658" s="20">
        <v>328.4</v>
      </c>
      <c r="I658" s="20">
        <v>1386.7</v>
      </c>
      <c r="J658" s="20">
        <v>1386.7</v>
      </c>
      <c r="K658" s="20"/>
      <c r="L658" s="20"/>
      <c r="M658" s="20"/>
      <c r="N658" s="20"/>
      <c r="O658" s="20"/>
      <c r="P658" s="20"/>
      <c r="T658" s="20">
        <v>779</v>
      </c>
      <c r="U658" s="20">
        <v>779</v>
      </c>
      <c r="V658" s="20">
        <v>779</v>
      </c>
      <c r="W658" s="20">
        <f t="shared" si="21"/>
        <v>-450.6</v>
      </c>
      <c r="X658" s="20">
        <f t="shared" si="21"/>
        <v>607.70000000000005</v>
      </c>
      <c r="Y658" s="20">
        <f t="shared" si="21"/>
        <v>607.70000000000005</v>
      </c>
    </row>
    <row r="659" spans="1:25" s="17" customFormat="1">
      <c r="A659" s="108" t="str">
        <f t="shared" si="20"/>
        <v>607011398 1 00 00000000</v>
      </c>
      <c r="B659" s="197" t="s">
        <v>89</v>
      </c>
      <c r="C659" s="198" t="s">
        <v>510</v>
      </c>
      <c r="D659" s="199" t="s">
        <v>11</v>
      </c>
      <c r="E659" s="199" t="s">
        <v>51</v>
      </c>
      <c r="F659" s="199" t="s">
        <v>90</v>
      </c>
      <c r="G659" s="199" t="s">
        <v>9</v>
      </c>
      <c r="H659" s="20">
        <v>328.4</v>
      </c>
      <c r="I659" s="20">
        <v>1386.7</v>
      </c>
      <c r="J659" s="20">
        <v>1386.7</v>
      </c>
      <c r="K659" s="20"/>
      <c r="L659" s="20"/>
      <c r="M659" s="20"/>
      <c r="N659" s="20"/>
      <c r="O659" s="20"/>
      <c r="P659" s="20"/>
      <c r="T659" s="20">
        <v>28649.5</v>
      </c>
      <c r="U659" s="20">
        <v>4764.5</v>
      </c>
      <c r="V659" s="20">
        <v>4764.5</v>
      </c>
      <c r="W659" s="20">
        <f t="shared" si="21"/>
        <v>-28321.1</v>
      </c>
      <c r="X659" s="20">
        <f t="shared" si="21"/>
        <v>-3377.8</v>
      </c>
      <c r="Y659" s="20">
        <f t="shared" si="21"/>
        <v>-3377.8</v>
      </c>
    </row>
    <row r="660" spans="1:25" s="17" customFormat="1" ht="25.5">
      <c r="A660" s="108" t="str">
        <f t="shared" si="20"/>
        <v>607011398 1 00 20110000</v>
      </c>
      <c r="B660" s="197" t="s">
        <v>511</v>
      </c>
      <c r="C660" s="198" t="s">
        <v>510</v>
      </c>
      <c r="D660" s="199" t="s">
        <v>11</v>
      </c>
      <c r="E660" s="199" t="s">
        <v>51</v>
      </c>
      <c r="F660" s="199" t="s">
        <v>512</v>
      </c>
      <c r="G660" s="199" t="s">
        <v>9</v>
      </c>
      <c r="H660" s="20">
        <v>328.4</v>
      </c>
      <c r="I660" s="20">
        <v>1386.7</v>
      </c>
      <c r="J660" s="20">
        <v>1386.7</v>
      </c>
      <c r="K660" s="20"/>
      <c r="L660" s="20"/>
      <c r="M660" s="20"/>
      <c r="N660" s="20"/>
      <c r="O660" s="20"/>
      <c r="P660" s="20"/>
      <c r="T660" s="20">
        <v>4764.5</v>
      </c>
      <c r="U660" s="20">
        <v>4764.5</v>
      </c>
      <c r="V660" s="20">
        <v>4764.5</v>
      </c>
      <c r="W660" s="20">
        <f t="shared" si="21"/>
        <v>-4436.1000000000004</v>
      </c>
      <c r="X660" s="20">
        <f t="shared" si="21"/>
        <v>-3377.8</v>
      </c>
      <c r="Y660" s="20">
        <f t="shared" si="21"/>
        <v>-3377.8</v>
      </c>
    </row>
    <row r="661" spans="1:25" s="17" customFormat="1" ht="25.5">
      <c r="A661" s="108" t="str">
        <f t="shared" si="20"/>
        <v>607011398 1 00 20110240</v>
      </c>
      <c r="B661" s="197" t="s">
        <v>28</v>
      </c>
      <c r="C661" s="198" t="s">
        <v>510</v>
      </c>
      <c r="D661" s="199" t="s">
        <v>11</v>
      </c>
      <c r="E661" s="199" t="s">
        <v>51</v>
      </c>
      <c r="F661" s="199" t="s">
        <v>512</v>
      </c>
      <c r="G661" s="199" t="s">
        <v>29</v>
      </c>
      <c r="H661" s="218">
        <v>0</v>
      </c>
      <c r="I661" s="20">
        <v>1058.3</v>
      </c>
      <c r="J661" s="20">
        <v>1058.3</v>
      </c>
      <c r="K661" s="20"/>
      <c r="L661" s="20"/>
      <c r="M661" s="20"/>
      <c r="N661" s="20"/>
      <c r="O661" s="20"/>
      <c r="P661" s="20"/>
      <c r="T661" s="20">
        <v>549.5</v>
      </c>
      <c r="U661" s="20">
        <v>549.5</v>
      </c>
      <c r="V661" s="20">
        <v>549.5</v>
      </c>
      <c r="W661" s="20">
        <f t="shared" si="21"/>
        <v>-549.5</v>
      </c>
      <c r="X661" s="20">
        <f t="shared" si="21"/>
        <v>508.79999999999995</v>
      </c>
      <c r="Y661" s="20">
        <f t="shared" si="21"/>
        <v>508.79999999999995</v>
      </c>
    </row>
    <row r="662" spans="1:25" s="17" customFormat="1">
      <c r="A662" s="108" t="str">
        <f t="shared" si="20"/>
        <v>607011398 1 00 20110360</v>
      </c>
      <c r="B662" s="197" t="s">
        <v>513</v>
      </c>
      <c r="C662" s="198" t="s">
        <v>510</v>
      </c>
      <c r="D662" s="199" t="s">
        <v>11</v>
      </c>
      <c r="E662" s="199" t="s">
        <v>51</v>
      </c>
      <c r="F662" s="199" t="s">
        <v>512</v>
      </c>
      <c r="G662" s="199" t="s">
        <v>514</v>
      </c>
      <c r="H662" s="20">
        <v>26.4</v>
      </c>
      <c r="I662" s="20">
        <v>26.4</v>
      </c>
      <c r="J662" s="20">
        <v>26.4</v>
      </c>
      <c r="K662" s="20"/>
      <c r="L662" s="20"/>
      <c r="M662" s="20"/>
      <c r="N662" s="20"/>
      <c r="O662" s="20"/>
      <c r="P662" s="20"/>
      <c r="T662" s="20">
        <v>2835</v>
      </c>
      <c r="U662" s="20">
        <v>2835</v>
      </c>
      <c r="V662" s="20">
        <v>2835</v>
      </c>
      <c r="W662" s="20">
        <f t="shared" si="21"/>
        <v>-2808.6</v>
      </c>
      <c r="X662" s="20">
        <f t="shared" si="21"/>
        <v>-2808.6</v>
      </c>
      <c r="Y662" s="20">
        <f t="shared" si="21"/>
        <v>-2808.6</v>
      </c>
    </row>
    <row r="663" spans="1:25" s="17" customFormat="1">
      <c r="A663" s="108" t="str">
        <f t="shared" si="20"/>
        <v>607011398 1 00 20110850</v>
      </c>
      <c r="B663" s="197" t="s">
        <v>32</v>
      </c>
      <c r="C663" s="198" t="s">
        <v>510</v>
      </c>
      <c r="D663" s="199" t="s">
        <v>11</v>
      </c>
      <c r="E663" s="199" t="s">
        <v>51</v>
      </c>
      <c r="F663" s="199" t="s">
        <v>512</v>
      </c>
      <c r="G663" s="199" t="s">
        <v>33</v>
      </c>
      <c r="H663" s="20">
        <v>42</v>
      </c>
      <c r="I663" s="20">
        <v>42</v>
      </c>
      <c r="J663" s="20">
        <v>42</v>
      </c>
      <c r="K663" s="20"/>
      <c r="L663" s="20"/>
      <c r="M663" s="20"/>
      <c r="N663" s="20"/>
      <c r="O663" s="20"/>
      <c r="P663" s="20"/>
      <c r="T663" s="20">
        <v>250</v>
      </c>
      <c r="U663" s="20">
        <v>250</v>
      </c>
      <c r="V663" s="20">
        <v>250</v>
      </c>
      <c r="W663" s="20">
        <f t="shared" si="21"/>
        <v>-208</v>
      </c>
      <c r="X663" s="20">
        <f t="shared" si="21"/>
        <v>-208</v>
      </c>
      <c r="Y663" s="20">
        <f t="shared" si="21"/>
        <v>-208</v>
      </c>
    </row>
    <row r="664" spans="1:25" s="17" customFormat="1" ht="25.5">
      <c r="A664" s="108" t="str">
        <f t="shared" si="20"/>
        <v>607011398 1 00 20110860</v>
      </c>
      <c r="B664" s="197" t="s">
        <v>515</v>
      </c>
      <c r="C664" s="198" t="s">
        <v>510</v>
      </c>
      <c r="D664" s="199" t="s">
        <v>11</v>
      </c>
      <c r="E664" s="199" t="s">
        <v>51</v>
      </c>
      <c r="F664" s="199" t="s">
        <v>512</v>
      </c>
      <c r="G664" s="199" t="s">
        <v>516</v>
      </c>
      <c r="H664" s="20">
        <v>260</v>
      </c>
      <c r="I664" s="20">
        <v>260</v>
      </c>
      <c r="J664" s="20">
        <v>260</v>
      </c>
      <c r="K664" s="20"/>
      <c r="L664" s="20"/>
      <c r="M664" s="20"/>
      <c r="N664" s="20"/>
      <c r="O664" s="20"/>
      <c r="P664" s="20"/>
      <c r="T664" s="20">
        <v>1130</v>
      </c>
      <c r="U664" s="20">
        <v>1130</v>
      </c>
      <c r="V664" s="20">
        <v>1130</v>
      </c>
      <c r="W664" s="20">
        <f t="shared" si="21"/>
        <v>-870</v>
      </c>
      <c r="X664" s="20">
        <f t="shared" si="21"/>
        <v>-870</v>
      </c>
      <c r="Y664" s="20">
        <f t="shared" si="21"/>
        <v>-870</v>
      </c>
    </row>
    <row r="665" spans="1:25" s="248" customFormat="1">
      <c r="A665" s="108" t="str">
        <f t="shared" si="20"/>
        <v>607070000 0 00 00000000</v>
      </c>
      <c r="B665" s="191" t="s">
        <v>228</v>
      </c>
      <c r="C665" s="192" t="s">
        <v>510</v>
      </c>
      <c r="D665" s="193" t="s">
        <v>229</v>
      </c>
      <c r="E665" s="193" t="s">
        <v>7</v>
      </c>
      <c r="F665" s="193" t="s">
        <v>8</v>
      </c>
      <c r="G665" s="193" t="s">
        <v>9</v>
      </c>
      <c r="H665" s="18">
        <v>178185.58999999997</v>
      </c>
      <c r="I665" s="18">
        <v>144333.72999999998</v>
      </c>
      <c r="J665" s="18">
        <v>143672.29999999999</v>
      </c>
      <c r="K665" s="247"/>
      <c r="L665" s="247"/>
      <c r="M665" s="247"/>
      <c r="N665" s="20"/>
      <c r="O665" s="20"/>
      <c r="P665" s="20"/>
      <c r="T665" s="247">
        <v>23885</v>
      </c>
      <c r="U665" s="247">
        <v>0</v>
      </c>
      <c r="V665" s="247">
        <v>0</v>
      </c>
      <c r="W665" s="247">
        <f t="shared" si="21"/>
        <v>154300.58999999997</v>
      </c>
      <c r="X665" s="247">
        <f t="shared" si="21"/>
        <v>144333.72999999998</v>
      </c>
      <c r="Y665" s="247">
        <f t="shared" si="21"/>
        <v>143672.29999999999</v>
      </c>
    </row>
    <row r="666" spans="1:25" s="248" customFormat="1">
      <c r="A666" s="108" t="str">
        <f t="shared" si="20"/>
        <v>607070300 0 00 00000000</v>
      </c>
      <c r="B666" s="194" t="s">
        <v>458</v>
      </c>
      <c r="C666" s="195" t="s">
        <v>510</v>
      </c>
      <c r="D666" s="196" t="s">
        <v>229</v>
      </c>
      <c r="E666" s="196" t="s">
        <v>13</v>
      </c>
      <c r="F666" s="196" t="s">
        <v>8</v>
      </c>
      <c r="G666" s="196" t="s">
        <v>9</v>
      </c>
      <c r="H666" s="19">
        <v>144082.94999999998</v>
      </c>
      <c r="I666" s="19">
        <v>134566.08999999997</v>
      </c>
      <c r="J666" s="19">
        <v>133904.65999999997</v>
      </c>
      <c r="K666" s="247"/>
      <c r="L666" s="247"/>
      <c r="M666" s="247"/>
      <c r="N666" s="20"/>
      <c r="O666" s="20"/>
      <c r="P666" s="20"/>
      <c r="T666" s="247">
        <v>23885</v>
      </c>
      <c r="U666" s="247">
        <v>0</v>
      </c>
      <c r="V666" s="247">
        <v>0</v>
      </c>
      <c r="W666" s="247">
        <f t="shared" si="21"/>
        <v>120197.94999999998</v>
      </c>
      <c r="X666" s="247">
        <f t="shared" si="21"/>
        <v>134566.08999999997</v>
      </c>
      <c r="Y666" s="247">
        <f t="shared" si="21"/>
        <v>133904.65999999997</v>
      </c>
    </row>
    <row r="667" spans="1:25" s="17" customFormat="1">
      <c r="A667" s="108" t="str">
        <f t="shared" si="20"/>
        <v>607070307 0 00 00000000</v>
      </c>
      <c r="B667" s="197" t="s">
        <v>240</v>
      </c>
      <c r="C667" s="198" t="s">
        <v>510</v>
      </c>
      <c r="D667" s="199" t="s">
        <v>229</v>
      </c>
      <c r="E667" s="199" t="s">
        <v>13</v>
      </c>
      <c r="F667" s="199" t="s">
        <v>241</v>
      </c>
      <c r="G667" s="199" t="s">
        <v>9</v>
      </c>
      <c r="H667" s="20">
        <v>134787.25</v>
      </c>
      <c r="I667" s="20">
        <v>133481.03999999998</v>
      </c>
      <c r="J667" s="20">
        <v>132819.60999999999</v>
      </c>
      <c r="K667" s="20"/>
      <c r="L667" s="20"/>
      <c r="M667" s="20"/>
      <c r="N667" s="20"/>
      <c r="O667" s="20"/>
      <c r="P667" s="20"/>
      <c r="T667" s="20">
        <v>180</v>
      </c>
      <c r="U667" s="20">
        <v>180</v>
      </c>
      <c r="V667" s="20">
        <v>180</v>
      </c>
      <c r="W667" s="20">
        <f t="shared" si="21"/>
        <v>134607.25</v>
      </c>
      <c r="X667" s="20">
        <f t="shared" si="21"/>
        <v>133301.03999999998</v>
      </c>
      <c r="Y667" s="20">
        <f t="shared" si="21"/>
        <v>132639.60999999999</v>
      </c>
    </row>
    <row r="668" spans="1:25" s="17" customFormat="1" ht="51">
      <c r="A668" s="108" t="str">
        <f t="shared" si="20"/>
        <v>607070307 1 00 00000000</v>
      </c>
      <c r="B668" s="197" t="s">
        <v>242</v>
      </c>
      <c r="C668" s="198" t="s">
        <v>510</v>
      </c>
      <c r="D668" s="199" t="s">
        <v>229</v>
      </c>
      <c r="E668" s="199" t="s">
        <v>13</v>
      </c>
      <c r="F668" s="199" t="s">
        <v>243</v>
      </c>
      <c r="G668" s="199" t="s">
        <v>9</v>
      </c>
      <c r="H668" s="20">
        <v>361.5</v>
      </c>
      <c r="I668" s="20">
        <v>361.5</v>
      </c>
      <c r="J668" s="20">
        <v>361.5</v>
      </c>
      <c r="K668" s="20"/>
      <c r="L668" s="20"/>
      <c r="M668" s="20"/>
      <c r="N668" s="20"/>
      <c r="O668" s="20"/>
      <c r="P668" s="20"/>
      <c r="T668" s="20">
        <v>180</v>
      </c>
      <c r="U668" s="20">
        <v>180</v>
      </c>
      <c r="V668" s="20">
        <v>180</v>
      </c>
      <c r="W668" s="20">
        <f t="shared" si="21"/>
        <v>181.5</v>
      </c>
      <c r="X668" s="20">
        <f t="shared" si="21"/>
        <v>181.5</v>
      </c>
      <c r="Y668" s="20">
        <f t="shared" si="21"/>
        <v>181.5</v>
      </c>
    </row>
    <row r="669" spans="1:25" s="17" customFormat="1" ht="63.75">
      <c r="A669" s="108" t="str">
        <f t="shared" si="20"/>
        <v>607070307 1 01 00000000</v>
      </c>
      <c r="B669" s="197" t="s">
        <v>244</v>
      </c>
      <c r="C669" s="198" t="s">
        <v>510</v>
      </c>
      <c r="D669" s="199" t="s">
        <v>229</v>
      </c>
      <c r="E669" s="199" t="s">
        <v>13</v>
      </c>
      <c r="F669" s="199" t="s">
        <v>245</v>
      </c>
      <c r="G669" s="199" t="s">
        <v>9</v>
      </c>
      <c r="H669" s="20">
        <v>361.5</v>
      </c>
      <c r="I669" s="20">
        <v>361.5</v>
      </c>
      <c r="J669" s="20">
        <v>361.5</v>
      </c>
      <c r="K669" s="20"/>
      <c r="L669" s="20"/>
      <c r="M669" s="20"/>
      <c r="N669" s="20"/>
      <c r="O669" s="20"/>
      <c r="P669" s="20"/>
      <c r="T669" s="20">
        <v>180</v>
      </c>
      <c r="U669" s="20">
        <v>180</v>
      </c>
      <c r="V669" s="20">
        <v>180</v>
      </c>
      <c r="W669" s="20">
        <f t="shared" si="21"/>
        <v>181.5</v>
      </c>
      <c r="X669" s="20">
        <f t="shared" si="21"/>
        <v>181.5</v>
      </c>
      <c r="Y669" s="20">
        <f t="shared" si="21"/>
        <v>181.5</v>
      </c>
    </row>
    <row r="670" spans="1:25" s="17" customFormat="1" ht="25.5">
      <c r="A670" s="108" t="str">
        <f t="shared" si="20"/>
        <v>607070307 1 01 20060000</v>
      </c>
      <c r="B670" s="197" t="s">
        <v>246</v>
      </c>
      <c r="C670" s="198" t="s">
        <v>510</v>
      </c>
      <c r="D670" s="199" t="s">
        <v>229</v>
      </c>
      <c r="E670" s="199" t="s">
        <v>13</v>
      </c>
      <c r="F670" s="199" t="s">
        <v>247</v>
      </c>
      <c r="G670" s="199" t="s">
        <v>9</v>
      </c>
      <c r="H670" s="20">
        <v>361.5</v>
      </c>
      <c r="I670" s="20">
        <v>361.5</v>
      </c>
      <c r="J670" s="20">
        <v>361.5</v>
      </c>
      <c r="K670" s="20"/>
      <c r="L670" s="20"/>
      <c r="M670" s="20"/>
      <c r="N670" s="20"/>
      <c r="O670" s="20"/>
      <c r="P670" s="20"/>
      <c r="T670" s="20">
        <v>310</v>
      </c>
      <c r="U670" s="20">
        <v>310</v>
      </c>
      <c r="V670" s="20">
        <v>310</v>
      </c>
      <c r="W670" s="20">
        <f t="shared" si="21"/>
        <v>51.5</v>
      </c>
      <c r="X670" s="20">
        <f t="shared" si="21"/>
        <v>51.5</v>
      </c>
      <c r="Y670" s="20">
        <f t="shared" si="21"/>
        <v>51.5</v>
      </c>
    </row>
    <row r="671" spans="1:25" s="17" customFormat="1">
      <c r="A671" s="108" t="str">
        <f t="shared" si="20"/>
        <v>607070307 1 01 20060610</v>
      </c>
      <c r="B671" s="205" t="s">
        <v>403</v>
      </c>
      <c r="C671" s="198" t="s">
        <v>510</v>
      </c>
      <c r="D671" s="199" t="s">
        <v>229</v>
      </c>
      <c r="E671" s="199" t="s">
        <v>13</v>
      </c>
      <c r="F671" s="199" t="s">
        <v>247</v>
      </c>
      <c r="G671" s="199" t="s">
        <v>404</v>
      </c>
      <c r="H671" s="20">
        <v>296.5</v>
      </c>
      <c r="I671" s="20">
        <v>296.5</v>
      </c>
      <c r="J671" s="20">
        <v>296.5</v>
      </c>
      <c r="K671" s="20"/>
      <c r="L671" s="20"/>
      <c r="M671" s="20"/>
      <c r="N671" s="20"/>
      <c r="O671" s="20"/>
      <c r="P671" s="20"/>
      <c r="T671" s="20">
        <v>310</v>
      </c>
      <c r="U671" s="20">
        <v>310</v>
      </c>
      <c r="V671" s="20">
        <v>310</v>
      </c>
      <c r="W671" s="20">
        <f t="shared" si="21"/>
        <v>-13.5</v>
      </c>
      <c r="X671" s="20">
        <f t="shared" si="21"/>
        <v>-13.5</v>
      </c>
      <c r="Y671" s="20">
        <f t="shared" si="21"/>
        <v>-13.5</v>
      </c>
    </row>
    <row r="672" spans="1:25" s="17" customFormat="1">
      <c r="A672" s="108" t="str">
        <f t="shared" si="20"/>
        <v>607070307 1 01 20060620</v>
      </c>
      <c r="B672" s="226" t="s">
        <v>409</v>
      </c>
      <c r="C672" s="198" t="s">
        <v>510</v>
      </c>
      <c r="D672" s="199" t="s">
        <v>229</v>
      </c>
      <c r="E672" s="199" t="s">
        <v>13</v>
      </c>
      <c r="F672" s="199" t="s">
        <v>247</v>
      </c>
      <c r="G672" s="199" t="s">
        <v>410</v>
      </c>
      <c r="H672" s="20">
        <v>65</v>
      </c>
      <c r="I672" s="20">
        <v>65</v>
      </c>
      <c r="J672" s="20">
        <v>65</v>
      </c>
      <c r="K672" s="20"/>
      <c r="L672" s="20"/>
      <c r="M672" s="20"/>
      <c r="N672" s="20"/>
      <c r="O672" s="20"/>
      <c r="P672" s="20"/>
      <c r="T672" s="20">
        <v>310</v>
      </c>
      <c r="U672" s="20">
        <v>310</v>
      </c>
      <c r="V672" s="20">
        <v>310</v>
      </c>
      <c r="W672" s="20">
        <f t="shared" si="21"/>
        <v>-245</v>
      </c>
      <c r="X672" s="20">
        <f t="shared" si="21"/>
        <v>-245</v>
      </c>
      <c r="Y672" s="20">
        <f t="shared" si="21"/>
        <v>-245</v>
      </c>
    </row>
    <row r="673" spans="1:25" s="17" customFormat="1">
      <c r="A673" s="108" t="str">
        <f t="shared" si="20"/>
        <v>607070307 2 00 00000000</v>
      </c>
      <c r="B673" s="197" t="s">
        <v>519</v>
      </c>
      <c r="C673" s="198" t="s">
        <v>510</v>
      </c>
      <c r="D673" s="199" t="s">
        <v>229</v>
      </c>
      <c r="E673" s="199" t="s">
        <v>13</v>
      </c>
      <c r="F673" s="199" t="s">
        <v>520</v>
      </c>
      <c r="G673" s="199" t="s">
        <v>9</v>
      </c>
      <c r="H673" s="20">
        <v>134425.75</v>
      </c>
      <c r="I673" s="20">
        <v>133119.53999999998</v>
      </c>
      <c r="J673" s="20">
        <v>132458.10999999999</v>
      </c>
      <c r="K673" s="20"/>
      <c r="L673" s="20"/>
      <c r="M673" s="20"/>
      <c r="N673" s="20"/>
      <c r="O673" s="20"/>
      <c r="P673" s="20"/>
      <c r="T673" s="20">
        <v>25.54</v>
      </c>
      <c r="U673" s="20">
        <v>25.54</v>
      </c>
      <c r="V673" s="20">
        <v>25.54</v>
      </c>
      <c r="W673" s="20">
        <f t="shared" si="21"/>
        <v>134400.21</v>
      </c>
      <c r="X673" s="20">
        <f t="shared" si="21"/>
        <v>133093.99999999997</v>
      </c>
      <c r="Y673" s="20">
        <f t="shared" si="21"/>
        <v>132432.56999999998</v>
      </c>
    </row>
    <row r="674" spans="1:25" s="17" customFormat="1" ht="38.25">
      <c r="A674" s="108" t="str">
        <f t="shared" si="20"/>
        <v>607070307 2 01 00000000</v>
      </c>
      <c r="B674" s="197" t="s">
        <v>521</v>
      </c>
      <c r="C674" s="198" t="s">
        <v>510</v>
      </c>
      <c r="D674" s="199" t="s">
        <v>229</v>
      </c>
      <c r="E674" s="199" t="s">
        <v>13</v>
      </c>
      <c r="F674" s="199" t="s">
        <v>522</v>
      </c>
      <c r="G674" s="199" t="s">
        <v>9</v>
      </c>
      <c r="H674" s="20">
        <v>132089.71</v>
      </c>
      <c r="I674" s="20">
        <v>132089.71</v>
      </c>
      <c r="J674" s="20">
        <v>132089.71</v>
      </c>
      <c r="K674" s="20"/>
      <c r="L674" s="20"/>
      <c r="M674" s="20"/>
      <c r="N674" s="20"/>
      <c r="O674" s="20"/>
      <c r="P674" s="20"/>
      <c r="T674" s="20">
        <v>25.54</v>
      </c>
      <c r="U674" s="20">
        <v>25.54</v>
      </c>
      <c r="V674" s="20">
        <v>25.54</v>
      </c>
      <c r="W674" s="20">
        <f t="shared" si="21"/>
        <v>132064.16999999998</v>
      </c>
      <c r="X674" s="20">
        <f t="shared" si="21"/>
        <v>132064.16999999998</v>
      </c>
      <c r="Y674" s="20">
        <f t="shared" si="21"/>
        <v>132064.16999999998</v>
      </c>
    </row>
    <row r="675" spans="1:25" s="17" customFormat="1" ht="25.5">
      <c r="A675" s="108" t="str">
        <f t="shared" si="20"/>
        <v>607070307 2 01 11010000</v>
      </c>
      <c r="B675" s="197" t="s">
        <v>136</v>
      </c>
      <c r="C675" s="198" t="s">
        <v>510</v>
      </c>
      <c r="D675" s="199" t="s">
        <v>229</v>
      </c>
      <c r="E675" s="199" t="s">
        <v>13</v>
      </c>
      <c r="F675" s="199" t="s">
        <v>523</v>
      </c>
      <c r="G675" s="199" t="s">
        <v>9</v>
      </c>
      <c r="H675" s="20">
        <v>130913.14</v>
      </c>
      <c r="I675" s="20">
        <v>132089.71</v>
      </c>
      <c r="J675" s="20">
        <v>132089.71</v>
      </c>
      <c r="K675" s="20"/>
      <c r="L675" s="20"/>
      <c r="M675" s="20"/>
      <c r="N675" s="20"/>
      <c r="O675" s="20"/>
      <c r="P675" s="20"/>
      <c r="T675" s="20">
        <v>25.54</v>
      </c>
      <c r="U675" s="20">
        <v>25.54</v>
      </c>
      <c r="V675" s="20">
        <v>25.54</v>
      </c>
      <c r="W675" s="20">
        <f t="shared" si="21"/>
        <v>130887.6</v>
      </c>
      <c r="X675" s="20">
        <f t="shared" si="21"/>
        <v>132064.16999999998</v>
      </c>
      <c r="Y675" s="20">
        <f t="shared" si="21"/>
        <v>132064.16999999998</v>
      </c>
    </row>
    <row r="676" spans="1:25" s="17" customFormat="1">
      <c r="A676" s="108" t="str">
        <f t="shared" si="20"/>
        <v>607070307 2 01 11010610</v>
      </c>
      <c r="B676" s="197" t="s">
        <v>403</v>
      </c>
      <c r="C676" s="198" t="s">
        <v>510</v>
      </c>
      <c r="D676" s="199" t="s">
        <v>229</v>
      </c>
      <c r="E676" s="199" t="s">
        <v>13</v>
      </c>
      <c r="F676" s="199" t="s">
        <v>523</v>
      </c>
      <c r="G676" s="199" t="s">
        <v>404</v>
      </c>
      <c r="H676" s="20">
        <v>116224.8</v>
      </c>
      <c r="I676" s="20">
        <v>117286.56</v>
      </c>
      <c r="J676" s="20">
        <v>117286.56</v>
      </c>
      <c r="K676" s="20"/>
      <c r="L676" s="20"/>
      <c r="M676" s="20"/>
      <c r="N676" s="20"/>
      <c r="O676" s="20"/>
      <c r="P676" s="20"/>
      <c r="T676" s="20">
        <v>3466.66</v>
      </c>
      <c r="U676" s="20">
        <v>3406.66</v>
      </c>
      <c r="V676" s="20">
        <v>3406.66</v>
      </c>
      <c r="W676" s="20">
        <f t="shared" si="21"/>
        <v>112758.14</v>
      </c>
      <c r="X676" s="20">
        <f t="shared" si="21"/>
        <v>113879.9</v>
      </c>
      <c r="Y676" s="20">
        <f t="shared" si="21"/>
        <v>113879.9</v>
      </c>
    </row>
    <row r="677" spans="1:25" s="17" customFormat="1">
      <c r="A677" s="108" t="str">
        <f t="shared" si="20"/>
        <v>607070307 2 01 11010620</v>
      </c>
      <c r="B677" s="197" t="s">
        <v>409</v>
      </c>
      <c r="C677" s="198" t="s">
        <v>510</v>
      </c>
      <c r="D677" s="199" t="s">
        <v>229</v>
      </c>
      <c r="E677" s="199" t="s">
        <v>13</v>
      </c>
      <c r="F677" s="199" t="s">
        <v>523</v>
      </c>
      <c r="G677" s="199" t="s">
        <v>410</v>
      </c>
      <c r="H677" s="20">
        <v>14688.34</v>
      </c>
      <c r="I677" s="20">
        <v>14803.15</v>
      </c>
      <c r="J677" s="20">
        <v>14803.15</v>
      </c>
      <c r="K677" s="20"/>
      <c r="L677" s="20"/>
      <c r="M677" s="20"/>
      <c r="N677" s="20"/>
      <c r="O677" s="20"/>
      <c r="P677" s="20"/>
      <c r="T677" s="20">
        <v>3466.66</v>
      </c>
      <c r="U677" s="20">
        <v>3406.66</v>
      </c>
      <c r="V677" s="20">
        <v>3406.66</v>
      </c>
      <c r="W677" s="20">
        <f t="shared" si="21"/>
        <v>11221.68</v>
      </c>
      <c r="X677" s="20">
        <f t="shared" si="21"/>
        <v>11396.49</v>
      </c>
      <c r="Y677" s="20">
        <f t="shared" si="21"/>
        <v>11396.49</v>
      </c>
    </row>
    <row r="678" spans="1:25" s="17" customFormat="1" ht="191.25">
      <c r="A678" s="108" t="str">
        <f t="shared" si="20"/>
        <v>607070307 2 01 77460000</v>
      </c>
      <c r="B678" s="197" t="s">
        <v>1263</v>
      </c>
      <c r="C678" s="198" t="s">
        <v>510</v>
      </c>
      <c r="D678" s="199" t="s">
        <v>229</v>
      </c>
      <c r="E678" s="199" t="s">
        <v>13</v>
      </c>
      <c r="F678" s="199" t="s">
        <v>1288</v>
      </c>
      <c r="G678" s="199" t="s">
        <v>9</v>
      </c>
      <c r="H678" s="20">
        <v>1176.57</v>
      </c>
      <c r="I678" s="20">
        <v>0</v>
      </c>
      <c r="J678" s="20">
        <v>0</v>
      </c>
      <c r="K678" s="20"/>
      <c r="L678" s="20"/>
      <c r="M678" s="20"/>
      <c r="N678" s="20"/>
      <c r="O678" s="20"/>
      <c r="P678" s="20"/>
      <c r="T678" s="20">
        <v>3466.66</v>
      </c>
      <c r="U678" s="20">
        <v>3406.66</v>
      </c>
      <c r="V678" s="20">
        <v>3406.66</v>
      </c>
      <c r="W678" s="20">
        <f t="shared" si="21"/>
        <v>-2290.09</v>
      </c>
      <c r="X678" s="20">
        <f t="shared" si="21"/>
        <v>-3406.66</v>
      </c>
      <c r="Y678" s="20">
        <f t="shared" si="21"/>
        <v>-3406.66</v>
      </c>
    </row>
    <row r="679" spans="1:25" s="16" customFormat="1">
      <c r="A679" s="108" t="str">
        <f t="shared" si="20"/>
        <v>607070307 2 01 77460610</v>
      </c>
      <c r="B679" s="205" t="s">
        <v>403</v>
      </c>
      <c r="C679" s="198" t="s">
        <v>510</v>
      </c>
      <c r="D679" s="199" t="s">
        <v>229</v>
      </c>
      <c r="E679" s="199" t="s">
        <v>13</v>
      </c>
      <c r="F679" s="199" t="s">
        <v>1288</v>
      </c>
      <c r="G679" s="199" t="s">
        <v>404</v>
      </c>
      <c r="H679" s="20">
        <v>1061.76</v>
      </c>
      <c r="I679" s="20">
        <v>0</v>
      </c>
      <c r="J679" s="20">
        <v>0</v>
      </c>
      <c r="K679" s="27"/>
      <c r="L679" s="27"/>
      <c r="M679" s="27"/>
      <c r="N679" s="27"/>
      <c r="O679" s="27"/>
      <c r="P679" s="27"/>
      <c r="Q679" s="17"/>
      <c r="T679" s="27">
        <v>390</v>
      </c>
      <c r="U679" s="27">
        <v>0</v>
      </c>
      <c r="V679" s="27">
        <v>0</v>
      </c>
      <c r="W679" s="27">
        <f t="shared" si="21"/>
        <v>671.76</v>
      </c>
      <c r="X679" s="27">
        <f t="shared" si="21"/>
        <v>0</v>
      </c>
      <c r="Y679" s="27">
        <f t="shared" si="21"/>
        <v>0</v>
      </c>
    </row>
    <row r="680" spans="1:25" s="16" customFormat="1">
      <c r="A680" s="108" t="str">
        <f t="shared" si="20"/>
        <v>607070307 2 01 77460620</v>
      </c>
      <c r="B680" s="205" t="s">
        <v>409</v>
      </c>
      <c r="C680" s="198" t="s">
        <v>510</v>
      </c>
      <c r="D680" s="199" t="s">
        <v>229</v>
      </c>
      <c r="E680" s="199" t="s">
        <v>13</v>
      </c>
      <c r="F680" s="199" t="s">
        <v>1288</v>
      </c>
      <c r="G680" s="199" t="s">
        <v>410</v>
      </c>
      <c r="H680" s="20">
        <v>114.81</v>
      </c>
      <c r="I680" s="20">
        <v>0</v>
      </c>
      <c r="J680" s="20">
        <v>0</v>
      </c>
      <c r="K680" s="27"/>
      <c r="L680" s="27"/>
      <c r="M680" s="27"/>
      <c r="N680" s="27"/>
      <c r="O680" s="27"/>
      <c r="P680" s="27"/>
      <c r="Q680" s="17"/>
      <c r="T680" s="27">
        <v>390</v>
      </c>
      <c r="U680" s="27">
        <v>0</v>
      </c>
      <c r="V680" s="27">
        <v>0</v>
      </c>
      <c r="W680" s="27">
        <f t="shared" si="21"/>
        <v>-275.19</v>
      </c>
      <c r="X680" s="27">
        <f t="shared" si="21"/>
        <v>0</v>
      </c>
      <c r="Y680" s="27">
        <f t="shared" si="21"/>
        <v>0</v>
      </c>
    </row>
    <row r="681" spans="1:25" s="16" customFormat="1" ht="38.25">
      <c r="A681" s="108" t="str">
        <f t="shared" si="20"/>
        <v>607070307 2 06 00000000</v>
      </c>
      <c r="B681" s="197" t="s">
        <v>524</v>
      </c>
      <c r="C681" s="198" t="s">
        <v>510</v>
      </c>
      <c r="D681" s="199" t="s">
        <v>229</v>
      </c>
      <c r="E681" s="199" t="s">
        <v>13</v>
      </c>
      <c r="F681" s="199" t="s">
        <v>525</v>
      </c>
      <c r="G681" s="199" t="s">
        <v>9</v>
      </c>
      <c r="H681" s="20">
        <v>0</v>
      </c>
      <c r="I681" s="20">
        <v>661.43</v>
      </c>
      <c r="J681" s="20">
        <v>0</v>
      </c>
      <c r="K681" s="27"/>
      <c r="L681" s="27"/>
      <c r="M681" s="27"/>
      <c r="N681" s="27"/>
      <c r="O681" s="27"/>
      <c r="P681" s="27"/>
      <c r="Q681" s="17"/>
      <c r="T681" s="27">
        <v>0</v>
      </c>
      <c r="U681" s="27">
        <v>0</v>
      </c>
      <c r="V681" s="27">
        <v>0</v>
      </c>
      <c r="W681" s="27">
        <f t="shared" si="21"/>
        <v>0</v>
      </c>
      <c r="X681" s="27">
        <f t="shared" si="21"/>
        <v>661.43</v>
      </c>
      <c r="Y681" s="27">
        <f t="shared" si="21"/>
        <v>0</v>
      </c>
    </row>
    <row r="682" spans="1:25" s="16" customFormat="1" ht="25.5">
      <c r="A682" s="108" t="str">
        <f t="shared" si="20"/>
        <v>607070307 2 06 20400000</v>
      </c>
      <c r="B682" s="197" t="s">
        <v>526</v>
      </c>
      <c r="C682" s="198" t="s">
        <v>510</v>
      </c>
      <c r="D682" s="199" t="s">
        <v>229</v>
      </c>
      <c r="E682" s="199" t="s">
        <v>13</v>
      </c>
      <c r="F682" s="199" t="s">
        <v>527</v>
      </c>
      <c r="G682" s="199" t="s">
        <v>9</v>
      </c>
      <c r="H682" s="20">
        <v>0</v>
      </c>
      <c r="I682" s="20">
        <v>661.43</v>
      </c>
      <c r="J682" s="20">
        <v>0</v>
      </c>
      <c r="K682" s="27"/>
      <c r="L682" s="27"/>
      <c r="M682" s="27"/>
      <c r="N682" s="27"/>
      <c r="O682" s="27"/>
      <c r="P682" s="27"/>
      <c r="Q682" s="17"/>
      <c r="T682" s="27">
        <v>0</v>
      </c>
      <c r="U682" s="27">
        <v>0</v>
      </c>
      <c r="V682" s="27">
        <v>0</v>
      </c>
      <c r="W682" s="27">
        <f t="shared" si="21"/>
        <v>0</v>
      </c>
      <c r="X682" s="27">
        <f t="shared" si="21"/>
        <v>661.43</v>
      </c>
      <c r="Y682" s="27">
        <f t="shared" si="21"/>
        <v>0</v>
      </c>
    </row>
    <row r="683" spans="1:25" s="16" customFormat="1">
      <c r="A683" s="108" t="str">
        <f t="shared" si="20"/>
        <v>607070307 2 06 20400610</v>
      </c>
      <c r="B683" s="205" t="s">
        <v>403</v>
      </c>
      <c r="C683" s="198" t="s">
        <v>510</v>
      </c>
      <c r="D683" s="199" t="s">
        <v>229</v>
      </c>
      <c r="E683" s="199" t="s">
        <v>13</v>
      </c>
      <c r="F683" s="199" t="s">
        <v>527</v>
      </c>
      <c r="G683" s="199" t="s">
        <v>404</v>
      </c>
      <c r="H683" s="20">
        <v>0</v>
      </c>
      <c r="I683" s="20">
        <v>661.43</v>
      </c>
      <c r="J683" s="20">
        <v>0</v>
      </c>
      <c r="K683" s="20"/>
      <c r="L683" s="20"/>
      <c r="M683" s="20"/>
      <c r="N683" s="20"/>
      <c r="O683" s="20"/>
      <c r="P683" s="20"/>
      <c r="Q683" s="17"/>
      <c r="T683" s="20">
        <v>0</v>
      </c>
      <c r="U683" s="20">
        <v>0</v>
      </c>
      <c r="V683" s="20">
        <v>0</v>
      </c>
      <c r="W683" s="20">
        <f t="shared" si="21"/>
        <v>0</v>
      </c>
      <c r="X683" s="20">
        <f t="shared" si="21"/>
        <v>661.43</v>
      </c>
      <c r="Y683" s="20">
        <f t="shared" si="21"/>
        <v>0</v>
      </c>
    </row>
    <row r="684" spans="1:25" s="16" customFormat="1" ht="89.25">
      <c r="A684" s="108" t="str">
        <f t="shared" si="20"/>
        <v>607070307 2 08 00000000</v>
      </c>
      <c r="B684" s="205" t="s">
        <v>528</v>
      </c>
      <c r="C684" s="198" t="s">
        <v>510</v>
      </c>
      <c r="D684" s="199" t="s">
        <v>229</v>
      </c>
      <c r="E684" s="199" t="s">
        <v>13</v>
      </c>
      <c r="F684" s="199" t="s">
        <v>529</v>
      </c>
      <c r="G684" s="199" t="s">
        <v>9</v>
      </c>
      <c r="H684" s="20">
        <v>955.2</v>
      </c>
      <c r="I684" s="20">
        <v>150</v>
      </c>
      <c r="J684" s="20">
        <v>150</v>
      </c>
      <c r="K684" s="20"/>
      <c r="L684" s="20"/>
      <c r="M684" s="20"/>
      <c r="N684" s="20"/>
      <c r="O684" s="20"/>
      <c r="P684" s="20"/>
      <c r="Q684" s="17"/>
      <c r="T684" s="20">
        <v>390</v>
      </c>
      <c r="U684" s="20">
        <v>0</v>
      </c>
      <c r="V684" s="20">
        <v>0</v>
      </c>
      <c r="W684" s="20">
        <f t="shared" si="21"/>
        <v>565.20000000000005</v>
      </c>
      <c r="X684" s="20">
        <f t="shared" si="21"/>
        <v>150</v>
      </c>
      <c r="Y684" s="20">
        <f t="shared" si="21"/>
        <v>150</v>
      </c>
    </row>
    <row r="685" spans="1:25" s="16" customFormat="1" ht="76.5">
      <c r="A685" s="108" t="str">
        <f t="shared" si="20"/>
        <v>607070307 2 08 21230000</v>
      </c>
      <c r="B685" s="197" t="s">
        <v>530</v>
      </c>
      <c r="C685" s="198" t="s">
        <v>510</v>
      </c>
      <c r="D685" s="199" t="s">
        <v>229</v>
      </c>
      <c r="E685" s="199" t="s">
        <v>13</v>
      </c>
      <c r="F685" s="199" t="s">
        <v>531</v>
      </c>
      <c r="G685" s="199" t="s">
        <v>9</v>
      </c>
      <c r="H685" s="20">
        <v>955.2</v>
      </c>
      <c r="I685" s="20">
        <v>150</v>
      </c>
      <c r="J685" s="20">
        <v>150</v>
      </c>
      <c r="K685" s="20"/>
      <c r="L685" s="20"/>
      <c r="M685" s="20"/>
      <c r="N685" s="20"/>
      <c r="O685" s="20"/>
      <c r="P685" s="20"/>
      <c r="Q685" s="17"/>
      <c r="T685" s="20">
        <v>390</v>
      </c>
      <c r="U685" s="20">
        <v>0</v>
      </c>
      <c r="V685" s="20">
        <v>0</v>
      </c>
      <c r="W685" s="20">
        <f t="shared" si="21"/>
        <v>565.20000000000005</v>
      </c>
      <c r="X685" s="20">
        <f t="shared" si="21"/>
        <v>150</v>
      </c>
      <c r="Y685" s="20">
        <f t="shared" si="21"/>
        <v>150</v>
      </c>
    </row>
    <row r="686" spans="1:25" s="16" customFormat="1">
      <c r="A686" s="108" t="str">
        <f t="shared" si="20"/>
        <v>607070307 2 08 21230610</v>
      </c>
      <c r="B686" s="205" t="s">
        <v>403</v>
      </c>
      <c r="C686" s="198" t="s">
        <v>510</v>
      </c>
      <c r="D686" s="199" t="s">
        <v>229</v>
      </c>
      <c r="E686" s="199" t="s">
        <v>13</v>
      </c>
      <c r="F686" s="199" t="s">
        <v>531</v>
      </c>
      <c r="G686" s="199" t="s">
        <v>404</v>
      </c>
      <c r="H686" s="20">
        <v>955.2</v>
      </c>
      <c r="I686" s="20">
        <v>150</v>
      </c>
      <c r="J686" s="20">
        <v>150</v>
      </c>
      <c r="K686" s="20"/>
      <c r="L686" s="20"/>
      <c r="M686" s="20"/>
      <c r="N686" s="20"/>
      <c r="O686" s="20"/>
      <c r="P686" s="20"/>
      <c r="Q686" s="17"/>
      <c r="T686" s="20">
        <v>390</v>
      </c>
      <c r="U686" s="20">
        <v>0</v>
      </c>
      <c r="V686" s="20">
        <v>0</v>
      </c>
      <c r="W686" s="20">
        <f t="shared" si="21"/>
        <v>565.20000000000005</v>
      </c>
      <c r="X686" s="20">
        <f t="shared" si="21"/>
        <v>150</v>
      </c>
      <c r="Y686" s="20">
        <f t="shared" si="21"/>
        <v>150</v>
      </c>
    </row>
    <row r="687" spans="1:25" s="16" customFormat="1" ht="38.25">
      <c r="A687" s="108" t="str">
        <f t="shared" si="20"/>
        <v>607070307 2 09 00000000</v>
      </c>
      <c r="B687" s="205" t="s">
        <v>532</v>
      </c>
      <c r="C687" s="198" t="s">
        <v>510</v>
      </c>
      <c r="D687" s="199" t="s">
        <v>229</v>
      </c>
      <c r="E687" s="199" t="s">
        <v>13</v>
      </c>
      <c r="F687" s="199" t="s">
        <v>533</v>
      </c>
      <c r="G687" s="199" t="s">
        <v>9</v>
      </c>
      <c r="H687" s="20">
        <v>218.4</v>
      </c>
      <c r="I687" s="20">
        <v>218.4</v>
      </c>
      <c r="J687" s="20">
        <v>218.4</v>
      </c>
      <c r="K687" s="18"/>
      <c r="L687" s="18"/>
      <c r="M687" s="18"/>
      <c r="N687" s="18"/>
      <c r="O687" s="18"/>
      <c r="P687" s="18"/>
      <c r="Q687" s="17"/>
      <c r="T687" s="18">
        <v>207484.33999999994</v>
      </c>
      <c r="U687" s="18">
        <v>195824.43</v>
      </c>
      <c r="V687" s="18">
        <v>196485.86</v>
      </c>
      <c r="W687" s="18">
        <f t="shared" si="21"/>
        <v>-207265.93999999994</v>
      </c>
      <c r="X687" s="18">
        <f t="shared" si="21"/>
        <v>-195606.03</v>
      </c>
      <c r="Y687" s="18">
        <f t="shared" si="21"/>
        <v>-196267.46</v>
      </c>
    </row>
    <row r="688" spans="1:25" s="16" customFormat="1" ht="38.25">
      <c r="A688" s="108" t="str">
        <f t="shared" si="20"/>
        <v>607070307 2 09 21280000</v>
      </c>
      <c r="B688" s="205" t="s">
        <v>534</v>
      </c>
      <c r="C688" s="198" t="s">
        <v>510</v>
      </c>
      <c r="D688" s="199" t="s">
        <v>229</v>
      </c>
      <c r="E688" s="199" t="s">
        <v>13</v>
      </c>
      <c r="F688" s="199" t="s">
        <v>535</v>
      </c>
      <c r="G688" s="199" t="s">
        <v>9</v>
      </c>
      <c r="H688" s="20">
        <v>218.4</v>
      </c>
      <c r="I688" s="20">
        <v>218.4</v>
      </c>
      <c r="J688" s="20">
        <v>218.4</v>
      </c>
      <c r="K688" s="19"/>
      <c r="L688" s="19"/>
      <c r="M688" s="19"/>
      <c r="N688" s="19"/>
      <c r="O688" s="19"/>
      <c r="P688" s="19"/>
      <c r="Q688" s="17"/>
      <c r="T688" s="19">
        <v>193873.87999999995</v>
      </c>
      <c r="U688" s="19">
        <v>182213.97</v>
      </c>
      <c r="V688" s="19">
        <v>182875.4</v>
      </c>
      <c r="W688" s="19">
        <f t="shared" si="21"/>
        <v>-193655.47999999995</v>
      </c>
      <c r="X688" s="19">
        <f t="shared" si="21"/>
        <v>-181995.57</v>
      </c>
      <c r="Y688" s="19">
        <f t="shared" si="21"/>
        <v>-182657</v>
      </c>
    </row>
    <row r="689" spans="1:25" s="16" customFormat="1">
      <c r="A689" s="108" t="str">
        <f t="shared" si="20"/>
        <v>607070307 2 09 21280610</v>
      </c>
      <c r="B689" s="205" t="s">
        <v>403</v>
      </c>
      <c r="C689" s="198" t="s">
        <v>510</v>
      </c>
      <c r="D689" s="199" t="s">
        <v>229</v>
      </c>
      <c r="E689" s="199" t="s">
        <v>13</v>
      </c>
      <c r="F689" s="199" t="s">
        <v>535</v>
      </c>
      <c r="G689" s="199" t="s">
        <v>404</v>
      </c>
      <c r="H689" s="20">
        <v>163.80000000000001</v>
      </c>
      <c r="I689" s="20">
        <v>163.80000000000001</v>
      </c>
      <c r="J689" s="20">
        <v>163.80000000000001</v>
      </c>
      <c r="K689" s="20"/>
      <c r="L689" s="20"/>
      <c r="M689" s="20"/>
      <c r="N689" s="20"/>
      <c r="O689" s="20"/>
      <c r="P689" s="20"/>
      <c r="Q689" s="17"/>
      <c r="T689" s="20">
        <v>192988.67999999996</v>
      </c>
      <c r="U689" s="20">
        <v>181385.79</v>
      </c>
      <c r="V689" s="20">
        <v>182047.22</v>
      </c>
      <c r="W689" s="20">
        <f t="shared" si="21"/>
        <v>-192824.87999999998</v>
      </c>
      <c r="X689" s="20">
        <f t="shared" si="21"/>
        <v>-181221.99000000002</v>
      </c>
      <c r="Y689" s="20">
        <f t="shared" si="21"/>
        <v>-181883.42</v>
      </c>
    </row>
    <row r="690" spans="1:25" s="16" customFormat="1">
      <c r="A690" s="108" t="str">
        <f t="shared" si="20"/>
        <v>607070307 2 09 21280620</v>
      </c>
      <c r="B690" s="205" t="s">
        <v>409</v>
      </c>
      <c r="C690" s="198" t="s">
        <v>510</v>
      </c>
      <c r="D690" s="199" t="s">
        <v>229</v>
      </c>
      <c r="E690" s="199" t="s">
        <v>13</v>
      </c>
      <c r="F690" s="199" t="s">
        <v>535</v>
      </c>
      <c r="G690" s="199" t="s">
        <v>410</v>
      </c>
      <c r="H690" s="20">
        <v>54.6</v>
      </c>
      <c r="I690" s="20">
        <v>54.6</v>
      </c>
      <c r="J690" s="20">
        <v>54.6</v>
      </c>
      <c r="K690" s="20"/>
      <c r="L690" s="20"/>
      <c r="M690" s="20"/>
      <c r="N690" s="20"/>
      <c r="O690" s="20"/>
      <c r="P690" s="20"/>
      <c r="Q690" s="17"/>
      <c r="T690" s="20">
        <v>5644</v>
      </c>
      <c r="U690" s="20">
        <v>5644</v>
      </c>
      <c r="V690" s="20">
        <v>5644</v>
      </c>
      <c r="W690" s="20">
        <f t="shared" si="21"/>
        <v>-5589.4</v>
      </c>
      <c r="X690" s="20">
        <f t="shared" si="21"/>
        <v>-5589.4</v>
      </c>
      <c r="Y690" s="20">
        <f t="shared" si="21"/>
        <v>-5589.4</v>
      </c>
    </row>
    <row r="691" spans="1:25" s="16" customFormat="1" ht="51">
      <c r="A691" s="108" t="str">
        <f t="shared" si="20"/>
        <v>607070307 2 12 00000000</v>
      </c>
      <c r="B691" s="205" t="s">
        <v>536</v>
      </c>
      <c r="C691" s="198" t="s">
        <v>510</v>
      </c>
      <c r="D691" s="199" t="s">
        <v>229</v>
      </c>
      <c r="E691" s="199" t="s">
        <v>13</v>
      </c>
      <c r="F691" s="199" t="s">
        <v>537</v>
      </c>
      <c r="G691" s="199" t="s">
        <v>9</v>
      </c>
      <c r="H691" s="20">
        <v>1162.44</v>
      </c>
      <c r="I691" s="20">
        <v>0</v>
      </c>
      <c r="J691" s="20">
        <v>0</v>
      </c>
      <c r="K691" s="20"/>
      <c r="L691" s="20"/>
      <c r="M691" s="20"/>
      <c r="N691" s="20"/>
      <c r="O691" s="20"/>
      <c r="P691" s="20"/>
      <c r="Q691" s="17"/>
      <c r="T691" s="20">
        <v>5644</v>
      </c>
      <c r="U691" s="20">
        <v>5644</v>
      </c>
      <c r="V691" s="20">
        <v>5644</v>
      </c>
      <c r="W691" s="20">
        <f t="shared" si="21"/>
        <v>-4481.5599999999995</v>
      </c>
      <c r="X691" s="20">
        <f t="shared" si="21"/>
        <v>-5644</v>
      </c>
      <c r="Y691" s="20">
        <f t="shared" si="21"/>
        <v>-5644</v>
      </c>
    </row>
    <row r="692" spans="1:25" s="16" customFormat="1" ht="38.25">
      <c r="A692" s="108" t="str">
        <f t="shared" si="20"/>
        <v>607070307 2 12 21430000</v>
      </c>
      <c r="B692" s="315" t="s">
        <v>538</v>
      </c>
      <c r="C692" s="198" t="s">
        <v>510</v>
      </c>
      <c r="D692" s="199" t="s">
        <v>229</v>
      </c>
      <c r="E692" s="199" t="s">
        <v>13</v>
      </c>
      <c r="F692" s="199" t="s">
        <v>539</v>
      </c>
      <c r="G692" s="199" t="s">
        <v>9</v>
      </c>
      <c r="H692" s="20">
        <v>1162.44</v>
      </c>
      <c r="I692" s="20">
        <v>0</v>
      </c>
      <c r="J692" s="20">
        <v>0</v>
      </c>
      <c r="K692" s="20"/>
      <c r="L692" s="20"/>
      <c r="M692" s="20"/>
      <c r="N692" s="20"/>
      <c r="O692" s="20"/>
      <c r="P692" s="20"/>
      <c r="Q692" s="17"/>
      <c r="T692" s="20">
        <v>5644</v>
      </c>
      <c r="U692" s="20">
        <v>5644</v>
      </c>
      <c r="V692" s="20">
        <v>5644</v>
      </c>
      <c r="W692" s="20">
        <f t="shared" si="21"/>
        <v>-4481.5599999999995</v>
      </c>
      <c r="X692" s="20">
        <f t="shared" si="21"/>
        <v>-5644</v>
      </c>
      <c r="Y692" s="20">
        <f t="shared" si="21"/>
        <v>-5644</v>
      </c>
    </row>
    <row r="693" spans="1:25" s="16" customFormat="1">
      <c r="A693" s="108" t="str">
        <f t="shared" si="20"/>
        <v>607070307 2 12 21430620</v>
      </c>
      <c r="B693" s="205" t="s">
        <v>409</v>
      </c>
      <c r="C693" s="198" t="s">
        <v>510</v>
      </c>
      <c r="D693" s="199" t="s">
        <v>229</v>
      </c>
      <c r="E693" s="199" t="s">
        <v>13</v>
      </c>
      <c r="F693" s="199" t="s">
        <v>539</v>
      </c>
      <c r="G693" s="199" t="s">
        <v>410</v>
      </c>
      <c r="H693" s="20">
        <v>1162.44</v>
      </c>
      <c r="I693" s="20">
        <v>0</v>
      </c>
      <c r="J693" s="20">
        <v>0</v>
      </c>
      <c r="K693" s="20"/>
      <c r="L693" s="20"/>
      <c r="M693" s="20"/>
      <c r="N693" s="20"/>
      <c r="O693" s="20"/>
      <c r="P693" s="20"/>
      <c r="Q693" s="17"/>
      <c r="T693" s="20">
        <v>3172.5</v>
      </c>
      <c r="U693" s="20">
        <v>3172.5</v>
      </c>
      <c r="V693" s="20">
        <v>3172.5</v>
      </c>
      <c r="W693" s="20">
        <f t="shared" si="21"/>
        <v>-2010.06</v>
      </c>
      <c r="X693" s="20">
        <f t="shared" si="21"/>
        <v>-3172.5</v>
      </c>
      <c r="Y693" s="20">
        <f t="shared" si="21"/>
        <v>-3172.5</v>
      </c>
    </row>
    <row r="694" spans="1:25" s="16" customFormat="1" ht="63.75">
      <c r="A694" s="108" t="str">
        <f t="shared" si="20"/>
        <v>607070316 0 00 00000000</v>
      </c>
      <c r="B694" s="197" t="s">
        <v>420</v>
      </c>
      <c r="C694" s="198" t="s">
        <v>510</v>
      </c>
      <c r="D694" s="199" t="s">
        <v>229</v>
      </c>
      <c r="E694" s="199" t="s">
        <v>13</v>
      </c>
      <c r="F694" s="199" t="s">
        <v>421</v>
      </c>
      <c r="G694" s="199" t="s">
        <v>9</v>
      </c>
      <c r="H694" s="20">
        <v>392.8</v>
      </c>
      <c r="I694" s="20">
        <v>392.8</v>
      </c>
      <c r="J694" s="20">
        <v>392.8</v>
      </c>
      <c r="K694" s="20"/>
      <c r="L694" s="20"/>
      <c r="M694" s="20"/>
      <c r="N694" s="20"/>
      <c r="O694" s="20"/>
      <c r="P694" s="20"/>
      <c r="Q694" s="17"/>
      <c r="T694" s="20">
        <v>2471.5</v>
      </c>
      <c r="U694" s="20">
        <v>2471.5</v>
      </c>
      <c r="V694" s="20">
        <v>2471.5</v>
      </c>
      <c r="W694" s="20">
        <f t="shared" si="21"/>
        <v>-2078.6999999999998</v>
      </c>
      <c r="X694" s="20">
        <f t="shared" si="21"/>
        <v>-2078.6999999999998</v>
      </c>
      <c r="Y694" s="20">
        <f t="shared" si="21"/>
        <v>-2078.6999999999998</v>
      </c>
    </row>
    <row r="695" spans="1:25" s="16" customFormat="1" ht="25.5">
      <c r="A695" s="108" t="str">
        <f t="shared" si="20"/>
        <v>607070316 2 00 00000000</v>
      </c>
      <c r="B695" s="197" t="s">
        <v>422</v>
      </c>
      <c r="C695" s="198" t="s">
        <v>510</v>
      </c>
      <c r="D695" s="199" t="s">
        <v>229</v>
      </c>
      <c r="E695" s="199" t="s">
        <v>13</v>
      </c>
      <c r="F695" s="199" t="s">
        <v>423</v>
      </c>
      <c r="G695" s="199" t="s">
        <v>9</v>
      </c>
      <c r="H695" s="20">
        <v>392.8</v>
      </c>
      <c r="I695" s="20">
        <v>392.8</v>
      </c>
      <c r="J695" s="20">
        <v>392.8</v>
      </c>
      <c r="K695" s="20"/>
      <c r="L695" s="20"/>
      <c r="M695" s="20"/>
      <c r="N695" s="20"/>
      <c r="O695" s="20"/>
      <c r="P695" s="20"/>
      <c r="Q695" s="17"/>
      <c r="T695" s="20">
        <v>187344.67999999996</v>
      </c>
      <c r="U695" s="20">
        <v>175741.79</v>
      </c>
      <c r="V695" s="20">
        <v>176403.22</v>
      </c>
      <c r="W695" s="20">
        <f t="shared" si="21"/>
        <v>-186951.87999999998</v>
      </c>
      <c r="X695" s="20">
        <f t="shared" si="21"/>
        <v>-175348.99000000002</v>
      </c>
      <c r="Y695" s="20">
        <f t="shared" si="21"/>
        <v>-176010.42</v>
      </c>
    </row>
    <row r="696" spans="1:25" s="16" customFormat="1" ht="25.5">
      <c r="A696" s="108" t="str">
        <f t="shared" si="20"/>
        <v>607070316 2 02 00000000</v>
      </c>
      <c r="B696" s="197" t="s">
        <v>424</v>
      </c>
      <c r="C696" s="198" t="s">
        <v>510</v>
      </c>
      <c r="D696" s="199" t="s">
        <v>229</v>
      </c>
      <c r="E696" s="199" t="s">
        <v>13</v>
      </c>
      <c r="F696" s="199" t="s">
        <v>425</v>
      </c>
      <c r="G696" s="199" t="s">
        <v>9</v>
      </c>
      <c r="H696" s="20">
        <v>392.8</v>
      </c>
      <c r="I696" s="20">
        <v>392.8</v>
      </c>
      <c r="J696" s="20">
        <v>392.8</v>
      </c>
      <c r="K696" s="20"/>
      <c r="L696" s="20"/>
      <c r="M696" s="20"/>
      <c r="N696" s="20"/>
      <c r="O696" s="20"/>
      <c r="P696" s="20"/>
      <c r="Q696" s="17"/>
      <c r="T696" s="20">
        <v>62967.81</v>
      </c>
      <c r="U696" s="20">
        <v>61284.66</v>
      </c>
      <c r="V696" s="20">
        <v>61284.66</v>
      </c>
      <c r="W696" s="20">
        <f t="shared" si="21"/>
        <v>-62575.009999999995</v>
      </c>
      <c r="X696" s="20">
        <f t="shared" si="21"/>
        <v>-60891.86</v>
      </c>
      <c r="Y696" s="20">
        <f t="shared" si="21"/>
        <v>-60891.86</v>
      </c>
    </row>
    <row r="697" spans="1:25" s="16" customFormat="1" ht="38.25">
      <c r="A697" s="108" t="str">
        <f t="shared" si="20"/>
        <v>607070316 2 02 20550000</v>
      </c>
      <c r="B697" s="197" t="s">
        <v>426</v>
      </c>
      <c r="C697" s="198" t="s">
        <v>510</v>
      </c>
      <c r="D697" s="199" t="s">
        <v>229</v>
      </c>
      <c r="E697" s="199" t="s">
        <v>13</v>
      </c>
      <c r="F697" s="199" t="s">
        <v>427</v>
      </c>
      <c r="G697" s="199" t="s">
        <v>9</v>
      </c>
      <c r="H697" s="20">
        <v>392.8</v>
      </c>
      <c r="I697" s="20">
        <v>392.8</v>
      </c>
      <c r="J697" s="20">
        <v>392.8</v>
      </c>
      <c r="K697" s="20"/>
      <c r="L697" s="20"/>
      <c r="M697" s="20"/>
      <c r="N697" s="20"/>
      <c r="O697" s="20"/>
      <c r="P697" s="20"/>
      <c r="Q697" s="17"/>
      <c r="T697" s="20">
        <v>62967.81</v>
      </c>
      <c r="U697" s="20">
        <v>61284.66</v>
      </c>
      <c r="V697" s="20">
        <v>61284.66</v>
      </c>
      <c r="W697" s="20">
        <f t="shared" si="21"/>
        <v>-62575.009999999995</v>
      </c>
      <c r="X697" s="20">
        <f t="shared" si="21"/>
        <v>-60891.86</v>
      </c>
      <c r="Y697" s="20">
        <f t="shared" si="21"/>
        <v>-60891.86</v>
      </c>
    </row>
    <row r="698" spans="1:25" s="16" customFormat="1">
      <c r="A698" s="108" t="str">
        <f t="shared" si="20"/>
        <v>607070316 2 02 20550610</v>
      </c>
      <c r="B698" s="205" t="s">
        <v>403</v>
      </c>
      <c r="C698" s="198" t="s">
        <v>510</v>
      </c>
      <c r="D698" s="199" t="s">
        <v>229</v>
      </c>
      <c r="E698" s="199" t="s">
        <v>13</v>
      </c>
      <c r="F698" s="199" t="s">
        <v>427</v>
      </c>
      <c r="G698" s="199" t="s">
        <v>404</v>
      </c>
      <c r="H698" s="20">
        <v>344.8</v>
      </c>
      <c r="I698" s="20">
        <v>344.8</v>
      </c>
      <c r="J698" s="20">
        <v>344.8</v>
      </c>
      <c r="K698" s="20"/>
      <c r="L698" s="20"/>
      <c r="M698" s="20"/>
      <c r="N698" s="20"/>
      <c r="O698" s="20"/>
      <c r="P698" s="20"/>
      <c r="Q698" s="17"/>
      <c r="T698" s="20">
        <v>40143.19</v>
      </c>
      <c r="U698" s="20">
        <v>40143.19</v>
      </c>
      <c r="V698" s="20">
        <v>40143.19</v>
      </c>
      <c r="W698" s="20">
        <f t="shared" si="21"/>
        <v>-39798.39</v>
      </c>
      <c r="X698" s="20">
        <f t="shared" si="21"/>
        <v>-39798.39</v>
      </c>
      <c r="Y698" s="20">
        <f t="shared" si="21"/>
        <v>-39798.39</v>
      </c>
    </row>
    <row r="699" spans="1:25" s="16" customFormat="1">
      <c r="A699" s="108" t="str">
        <f t="shared" si="20"/>
        <v>607070316 2 02 20550620</v>
      </c>
      <c r="B699" s="205" t="s">
        <v>409</v>
      </c>
      <c r="C699" s="198" t="s">
        <v>510</v>
      </c>
      <c r="D699" s="199" t="s">
        <v>229</v>
      </c>
      <c r="E699" s="199" t="s">
        <v>13</v>
      </c>
      <c r="F699" s="199" t="s">
        <v>427</v>
      </c>
      <c r="G699" s="199" t="s">
        <v>410</v>
      </c>
      <c r="H699" s="20">
        <v>48</v>
      </c>
      <c r="I699" s="20">
        <v>48</v>
      </c>
      <c r="J699" s="20">
        <v>48</v>
      </c>
      <c r="K699" s="20"/>
      <c r="L699" s="20"/>
      <c r="M699" s="20"/>
      <c r="N699" s="20"/>
      <c r="O699" s="20"/>
      <c r="P699" s="20"/>
      <c r="Q699" s="17"/>
      <c r="T699" s="20">
        <v>22824.62</v>
      </c>
      <c r="U699" s="20">
        <v>21141.47</v>
      </c>
      <c r="V699" s="20">
        <v>21141.47</v>
      </c>
      <c r="W699" s="20">
        <f t="shared" si="21"/>
        <v>-22776.62</v>
      </c>
      <c r="X699" s="20">
        <f t="shared" si="21"/>
        <v>-21093.47</v>
      </c>
      <c r="Y699" s="20">
        <f t="shared" si="21"/>
        <v>-21093.47</v>
      </c>
    </row>
    <row r="700" spans="1:25" s="16" customFormat="1" ht="25.5">
      <c r="A700" s="108" t="str">
        <f t="shared" si="20"/>
        <v>607070317 0 00 00000000</v>
      </c>
      <c r="B700" s="197" t="s">
        <v>430</v>
      </c>
      <c r="C700" s="198" t="s">
        <v>510</v>
      </c>
      <c r="D700" s="199" t="s">
        <v>229</v>
      </c>
      <c r="E700" s="199" t="s">
        <v>13</v>
      </c>
      <c r="F700" s="199" t="s">
        <v>431</v>
      </c>
      <c r="G700" s="199" t="s">
        <v>9</v>
      </c>
      <c r="H700" s="20">
        <v>692.25</v>
      </c>
      <c r="I700" s="20">
        <v>692.25</v>
      </c>
      <c r="J700" s="20">
        <v>692.25</v>
      </c>
      <c r="K700" s="20"/>
      <c r="L700" s="20"/>
      <c r="M700" s="20"/>
      <c r="N700" s="20"/>
      <c r="O700" s="20"/>
      <c r="P700" s="20"/>
      <c r="Q700" s="17"/>
      <c r="T700" s="20">
        <v>3557.02</v>
      </c>
      <c r="U700" s="20">
        <v>3557.02</v>
      </c>
      <c r="V700" s="20">
        <v>3557.02</v>
      </c>
      <c r="W700" s="20">
        <f t="shared" si="21"/>
        <v>-2864.77</v>
      </c>
      <c r="X700" s="20">
        <f t="shared" si="21"/>
        <v>-2864.77</v>
      </c>
      <c r="Y700" s="20">
        <f t="shared" si="21"/>
        <v>-2864.77</v>
      </c>
    </row>
    <row r="701" spans="1:25" s="16" customFormat="1" ht="38.25">
      <c r="A701" s="108" t="str">
        <f t="shared" si="20"/>
        <v>607070317 Б 00 00000000</v>
      </c>
      <c r="B701" s="201" t="s">
        <v>432</v>
      </c>
      <c r="C701" s="198" t="s">
        <v>510</v>
      </c>
      <c r="D701" s="199" t="s">
        <v>229</v>
      </c>
      <c r="E701" s="199" t="s">
        <v>13</v>
      </c>
      <c r="F701" s="199" t="s">
        <v>433</v>
      </c>
      <c r="G701" s="199" t="s">
        <v>9</v>
      </c>
      <c r="H701" s="20">
        <v>692.25</v>
      </c>
      <c r="I701" s="20">
        <v>692.25</v>
      </c>
      <c r="J701" s="20">
        <v>692.25</v>
      </c>
      <c r="K701" s="20"/>
      <c r="L701" s="20"/>
      <c r="M701" s="20"/>
      <c r="N701" s="20"/>
      <c r="O701" s="20"/>
      <c r="P701" s="20"/>
      <c r="Q701" s="17"/>
      <c r="T701" s="20">
        <v>3557.02</v>
      </c>
      <c r="U701" s="20">
        <v>3557.02</v>
      </c>
      <c r="V701" s="20">
        <v>3557.02</v>
      </c>
      <c r="W701" s="20">
        <f t="shared" si="21"/>
        <v>-2864.77</v>
      </c>
      <c r="X701" s="20">
        <f t="shared" si="21"/>
        <v>-2864.77</v>
      </c>
      <c r="Y701" s="20">
        <f t="shared" si="21"/>
        <v>-2864.77</v>
      </c>
    </row>
    <row r="702" spans="1:25" s="16" customFormat="1" ht="25.5">
      <c r="A702" s="108" t="str">
        <f t="shared" si="20"/>
        <v>607070317 Б 01 00000000</v>
      </c>
      <c r="B702" s="197" t="s">
        <v>434</v>
      </c>
      <c r="C702" s="198" t="s">
        <v>510</v>
      </c>
      <c r="D702" s="199" t="s">
        <v>229</v>
      </c>
      <c r="E702" s="199" t="s">
        <v>13</v>
      </c>
      <c r="F702" s="199" t="s">
        <v>435</v>
      </c>
      <c r="G702" s="199" t="s">
        <v>9</v>
      </c>
      <c r="H702" s="20">
        <v>692.25</v>
      </c>
      <c r="I702" s="20">
        <v>692.25</v>
      </c>
      <c r="J702" s="20">
        <v>692.25</v>
      </c>
      <c r="K702" s="20"/>
      <c r="L702" s="20"/>
      <c r="M702" s="20"/>
      <c r="N702" s="20"/>
      <c r="O702" s="20"/>
      <c r="P702" s="20"/>
      <c r="Q702" s="17"/>
      <c r="T702" s="20">
        <v>3557.02</v>
      </c>
      <c r="U702" s="20">
        <v>3557.02</v>
      </c>
      <c r="V702" s="20">
        <v>3557.02</v>
      </c>
      <c r="W702" s="20">
        <f t="shared" si="21"/>
        <v>-2864.77</v>
      </c>
      <c r="X702" s="20">
        <f t="shared" si="21"/>
        <v>-2864.77</v>
      </c>
      <c r="Y702" s="20">
        <f t="shared" si="21"/>
        <v>-2864.77</v>
      </c>
    </row>
    <row r="703" spans="1:25" s="16" customFormat="1" ht="25.5">
      <c r="A703" s="108" t="str">
        <f t="shared" si="20"/>
        <v>607070317 Б 01 20490000</v>
      </c>
      <c r="B703" s="205" t="s">
        <v>436</v>
      </c>
      <c r="C703" s="198" t="s">
        <v>510</v>
      </c>
      <c r="D703" s="199" t="s">
        <v>229</v>
      </c>
      <c r="E703" s="199" t="s">
        <v>13</v>
      </c>
      <c r="F703" s="199" t="s">
        <v>437</v>
      </c>
      <c r="G703" s="199" t="s">
        <v>9</v>
      </c>
      <c r="H703" s="20">
        <v>692.25</v>
      </c>
      <c r="I703" s="20">
        <v>692.25</v>
      </c>
      <c r="J703" s="20">
        <v>692.25</v>
      </c>
      <c r="K703" s="20"/>
      <c r="L703" s="20"/>
      <c r="M703" s="20"/>
      <c r="N703" s="20"/>
      <c r="O703" s="20"/>
      <c r="P703" s="20"/>
      <c r="Q703" s="17"/>
      <c r="T703" s="20">
        <v>50161.369999999995</v>
      </c>
      <c r="U703" s="20">
        <v>50816.57</v>
      </c>
      <c r="V703" s="20">
        <v>50816.57</v>
      </c>
      <c r="W703" s="20">
        <f t="shared" si="21"/>
        <v>-49469.119999999995</v>
      </c>
      <c r="X703" s="20">
        <f t="shared" si="21"/>
        <v>-50124.32</v>
      </c>
      <c r="Y703" s="20">
        <f t="shared" si="21"/>
        <v>-50124.32</v>
      </c>
    </row>
    <row r="704" spans="1:25" s="16" customFormat="1">
      <c r="A704" s="108" t="str">
        <f t="shared" si="20"/>
        <v>607070317 Б 01 20490620</v>
      </c>
      <c r="B704" s="205" t="s">
        <v>409</v>
      </c>
      <c r="C704" s="198" t="s">
        <v>510</v>
      </c>
      <c r="D704" s="199" t="s">
        <v>229</v>
      </c>
      <c r="E704" s="199" t="s">
        <v>13</v>
      </c>
      <c r="F704" s="199" t="s">
        <v>437</v>
      </c>
      <c r="G704" s="199" t="s">
        <v>410</v>
      </c>
      <c r="H704" s="20">
        <v>692.25</v>
      </c>
      <c r="I704" s="20">
        <v>692.25</v>
      </c>
      <c r="J704" s="20">
        <v>692.25</v>
      </c>
      <c r="K704" s="20"/>
      <c r="L704" s="20"/>
      <c r="M704" s="20"/>
      <c r="N704" s="20"/>
      <c r="O704" s="20"/>
      <c r="P704" s="20"/>
      <c r="Q704" s="17"/>
      <c r="T704" s="20">
        <v>49039.27</v>
      </c>
      <c r="U704" s="20">
        <v>49039.27</v>
      </c>
      <c r="V704" s="20">
        <v>49039.27</v>
      </c>
      <c r="W704" s="20">
        <f t="shared" si="21"/>
        <v>-48347.02</v>
      </c>
      <c r="X704" s="20">
        <f t="shared" si="21"/>
        <v>-48347.02</v>
      </c>
      <c r="Y704" s="20">
        <f t="shared" si="21"/>
        <v>-48347.02</v>
      </c>
    </row>
    <row r="705" spans="1:25" s="16" customFormat="1" ht="38.25">
      <c r="A705" s="108" t="str">
        <f t="shared" si="20"/>
        <v>607070398 0 00 00000000</v>
      </c>
      <c r="B705" s="197" t="s">
        <v>87</v>
      </c>
      <c r="C705" s="198" t="s">
        <v>510</v>
      </c>
      <c r="D705" s="199" t="s">
        <v>229</v>
      </c>
      <c r="E705" s="199" t="s">
        <v>13</v>
      </c>
      <c r="F705" s="199" t="s">
        <v>88</v>
      </c>
      <c r="G705" s="199" t="s">
        <v>9</v>
      </c>
      <c r="H705" s="20">
        <v>8210.65</v>
      </c>
      <c r="I705" s="20">
        <v>0</v>
      </c>
      <c r="J705" s="20">
        <v>0</v>
      </c>
      <c r="K705" s="20"/>
      <c r="L705" s="20"/>
      <c r="M705" s="20"/>
      <c r="N705" s="20"/>
      <c r="O705" s="20"/>
      <c r="P705" s="20"/>
      <c r="Q705" s="17"/>
      <c r="T705" s="20">
        <v>49039.27</v>
      </c>
      <c r="U705" s="20">
        <v>49039.27</v>
      </c>
      <c r="V705" s="20">
        <v>49039.27</v>
      </c>
      <c r="W705" s="20">
        <f t="shared" si="21"/>
        <v>-40828.619999999995</v>
      </c>
      <c r="X705" s="20">
        <f t="shared" si="21"/>
        <v>-49039.27</v>
      </c>
      <c r="Y705" s="20">
        <f t="shared" si="21"/>
        <v>-49039.27</v>
      </c>
    </row>
    <row r="706" spans="1:25" s="16" customFormat="1">
      <c r="A706" s="108" t="str">
        <f t="shared" si="20"/>
        <v>607070398 1 00 00000000</v>
      </c>
      <c r="B706" s="197" t="s">
        <v>89</v>
      </c>
      <c r="C706" s="198" t="s">
        <v>510</v>
      </c>
      <c r="D706" s="199" t="s">
        <v>229</v>
      </c>
      <c r="E706" s="199" t="s">
        <v>13</v>
      </c>
      <c r="F706" s="199" t="s">
        <v>90</v>
      </c>
      <c r="G706" s="199" t="s">
        <v>9</v>
      </c>
      <c r="H706" s="20">
        <v>8210.65</v>
      </c>
      <c r="I706" s="20">
        <v>0</v>
      </c>
      <c r="J706" s="20">
        <v>0</v>
      </c>
      <c r="K706" s="20"/>
      <c r="L706" s="20"/>
      <c r="M706" s="20"/>
      <c r="N706" s="20"/>
      <c r="O706" s="20"/>
      <c r="P706" s="20"/>
      <c r="Q706" s="17"/>
      <c r="T706" s="20">
        <v>1122.0999999999999</v>
      </c>
      <c r="U706" s="20">
        <v>1777.3</v>
      </c>
      <c r="V706" s="20">
        <v>1777.3</v>
      </c>
      <c r="W706" s="20">
        <f t="shared" si="21"/>
        <v>7088.5499999999993</v>
      </c>
      <c r="X706" s="20">
        <f t="shared" si="21"/>
        <v>-1777.3</v>
      </c>
      <c r="Y706" s="20">
        <f t="shared" si="21"/>
        <v>-1777.3</v>
      </c>
    </row>
    <row r="707" spans="1:25" s="16" customFormat="1" ht="102">
      <c r="A707" s="108" t="str">
        <f t="shared" si="20"/>
        <v>607070398 1 00 21530000</v>
      </c>
      <c r="B707" s="197" t="s">
        <v>540</v>
      </c>
      <c r="C707" s="198" t="s">
        <v>510</v>
      </c>
      <c r="D707" s="199" t="s">
        <v>229</v>
      </c>
      <c r="E707" s="199" t="s">
        <v>13</v>
      </c>
      <c r="F707" s="199" t="s">
        <v>541</v>
      </c>
      <c r="G707" s="199" t="s">
        <v>9</v>
      </c>
      <c r="H707" s="20">
        <v>8210.65</v>
      </c>
      <c r="I707" s="20">
        <v>0</v>
      </c>
      <c r="J707" s="20">
        <v>0</v>
      </c>
      <c r="K707" s="20"/>
      <c r="L707" s="20"/>
      <c r="M707" s="20"/>
      <c r="N707" s="20"/>
      <c r="O707" s="20"/>
      <c r="P707" s="20"/>
      <c r="Q707" s="17"/>
      <c r="T707" s="20">
        <v>1122.0999999999999</v>
      </c>
      <c r="U707" s="20">
        <v>1777.3</v>
      </c>
      <c r="V707" s="20">
        <v>1777.3</v>
      </c>
      <c r="W707" s="20">
        <f t="shared" si="21"/>
        <v>7088.5499999999993</v>
      </c>
      <c r="X707" s="20">
        <f t="shared" si="21"/>
        <v>-1777.3</v>
      </c>
      <c r="Y707" s="20">
        <f t="shared" si="21"/>
        <v>-1777.3</v>
      </c>
    </row>
    <row r="708" spans="1:25" s="16" customFormat="1">
      <c r="A708" s="108" t="str">
        <f t="shared" si="20"/>
        <v>607070398 1 00 21530610</v>
      </c>
      <c r="B708" s="205" t="s">
        <v>403</v>
      </c>
      <c r="C708" s="198" t="s">
        <v>510</v>
      </c>
      <c r="D708" s="199" t="s">
        <v>229</v>
      </c>
      <c r="E708" s="199" t="s">
        <v>13</v>
      </c>
      <c r="F708" s="199" t="s">
        <v>541</v>
      </c>
      <c r="G708" s="199" t="s">
        <v>404</v>
      </c>
      <c r="H708" s="20">
        <v>6949.73</v>
      </c>
      <c r="I708" s="20">
        <v>0</v>
      </c>
      <c r="J708" s="20">
        <v>0</v>
      </c>
      <c r="K708" s="20"/>
      <c r="L708" s="20"/>
      <c r="M708" s="20"/>
      <c r="N708" s="20"/>
      <c r="O708" s="20"/>
      <c r="P708" s="20"/>
      <c r="Q708" s="17"/>
      <c r="T708" s="20">
        <v>57181.409999999996</v>
      </c>
      <c r="U708" s="20">
        <v>57181.409999999996</v>
      </c>
      <c r="V708" s="20">
        <v>57181.409999999996</v>
      </c>
      <c r="W708" s="20">
        <f t="shared" si="21"/>
        <v>-50231.679999999993</v>
      </c>
      <c r="X708" s="20">
        <f t="shared" si="21"/>
        <v>-57181.409999999996</v>
      </c>
      <c r="Y708" s="20">
        <f t="shared" si="21"/>
        <v>-57181.409999999996</v>
      </c>
    </row>
    <row r="709" spans="1:25" s="16" customFormat="1">
      <c r="A709" s="108" t="str">
        <f t="shared" si="20"/>
        <v>607070398 1 00 21530620</v>
      </c>
      <c r="B709" s="205" t="s">
        <v>409</v>
      </c>
      <c r="C709" s="198" t="s">
        <v>510</v>
      </c>
      <c r="D709" s="199" t="s">
        <v>229</v>
      </c>
      <c r="E709" s="199" t="s">
        <v>13</v>
      </c>
      <c r="F709" s="199" t="s">
        <v>541</v>
      </c>
      <c r="G709" s="199" t="s">
        <v>410</v>
      </c>
      <c r="H709" s="20">
        <v>1260.92</v>
      </c>
      <c r="I709" s="20">
        <v>0</v>
      </c>
      <c r="J709" s="20">
        <v>0</v>
      </c>
      <c r="K709" s="20"/>
      <c r="L709" s="20"/>
      <c r="M709" s="20"/>
      <c r="N709" s="20"/>
      <c r="O709" s="20"/>
      <c r="P709" s="20"/>
      <c r="Q709" s="17"/>
      <c r="T709" s="20">
        <v>57181.409999999996</v>
      </c>
      <c r="U709" s="20">
        <v>57181.409999999996</v>
      </c>
      <c r="V709" s="20">
        <v>57181.409999999996</v>
      </c>
      <c r="W709" s="20">
        <f t="shared" si="21"/>
        <v>-55920.49</v>
      </c>
      <c r="X709" s="20">
        <f t="shared" si="21"/>
        <v>-57181.409999999996</v>
      </c>
      <c r="Y709" s="20">
        <f t="shared" si="21"/>
        <v>-57181.409999999996</v>
      </c>
    </row>
    <row r="710" spans="1:25" s="16" customFormat="1">
      <c r="A710" s="108" t="str">
        <f t="shared" ref="A710:A773" si="22">C710&amp;D710&amp;E710&amp;F710&amp;G710</f>
        <v>607070700 0 00 00000000</v>
      </c>
      <c r="B710" s="194" t="s">
        <v>464</v>
      </c>
      <c r="C710" s="195" t="s">
        <v>510</v>
      </c>
      <c r="D710" s="196" t="s">
        <v>229</v>
      </c>
      <c r="E710" s="196" t="s">
        <v>229</v>
      </c>
      <c r="F710" s="196" t="s">
        <v>8</v>
      </c>
      <c r="G710" s="196" t="s">
        <v>9</v>
      </c>
      <c r="H710" s="19">
        <v>34102.639999999999</v>
      </c>
      <c r="I710" s="19">
        <v>9767.64</v>
      </c>
      <c r="J710" s="19">
        <v>9767.64</v>
      </c>
      <c r="K710" s="20"/>
      <c r="L710" s="20"/>
      <c r="M710" s="20"/>
      <c r="N710" s="20"/>
      <c r="O710" s="20"/>
      <c r="P710" s="20"/>
      <c r="Q710" s="17"/>
      <c r="T710" s="20">
        <v>46565.7</v>
      </c>
      <c r="U710" s="20">
        <v>46565.7</v>
      </c>
      <c r="V710" s="20">
        <v>46565.7</v>
      </c>
      <c r="W710" s="20">
        <f t="shared" si="21"/>
        <v>-12463.059999999998</v>
      </c>
      <c r="X710" s="20">
        <f t="shared" si="21"/>
        <v>-36798.06</v>
      </c>
      <c r="Y710" s="20">
        <f t="shared" si="21"/>
        <v>-36798.06</v>
      </c>
    </row>
    <row r="711" spans="1:25" s="16" customFormat="1" ht="38.25">
      <c r="A711" s="108" t="str">
        <f t="shared" si="22"/>
        <v>607070704 0 00 00000000</v>
      </c>
      <c r="B711" s="200" t="s">
        <v>293</v>
      </c>
      <c r="C711" s="198" t="s">
        <v>510</v>
      </c>
      <c r="D711" s="199" t="s">
        <v>229</v>
      </c>
      <c r="E711" s="199" t="s">
        <v>229</v>
      </c>
      <c r="F711" s="199" t="s">
        <v>294</v>
      </c>
      <c r="G711" s="199" t="s">
        <v>9</v>
      </c>
      <c r="H711" s="20">
        <v>187.5</v>
      </c>
      <c r="I711" s="20">
        <v>187.5</v>
      </c>
      <c r="J711" s="20">
        <v>187.5</v>
      </c>
      <c r="K711" s="20"/>
      <c r="L711" s="20"/>
      <c r="M711" s="20"/>
      <c r="N711" s="20"/>
      <c r="O711" s="20"/>
      <c r="P711" s="20"/>
      <c r="Q711" s="17"/>
      <c r="T711" s="20">
        <v>10615.71</v>
      </c>
      <c r="U711" s="20">
        <v>10615.71</v>
      </c>
      <c r="V711" s="20">
        <v>10615.71</v>
      </c>
      <c r="W711" s="20">
        <f t="shared" si="21"/>
        <v>-10428.209999999999</v>
      </c>
      <c r="X711" s="20">
        <f t="shared" si="21"/>
        <v>-10428.209999999999</v>
      </c>
      <c r="Y711" s="20">
        <f t="shared" si="21"/>
        <v>-10428.209999999999</v>
      </c>
    </row>
    <row r="712" spans="1:25" s="16" customFormat="1" ht="25.5">
      <c r="A712" s="108" t="str">
        <f t="shared" si="22"/>
        <v>607070704 3 00 00000000</v>
      </c>
      <c r="B712" s="197" t="s">
        <v>307</v>
      </c>
      <c r="C712" s="198" t="s">
        <v>510</v>
      </c>
      <c r="D712" s="199" t="s">
        <v>229</v>
      </c>
      <c r="E712" s="199" t="s">
        <v>229</v>
      </c>
      <c r="F712" s="199" t="s">
        <v>308</v>
      </c>
      <c r="G712" s="199" t="s">
        <v>9</v>
      </c>
      <c r="H712" s="20">
        <v>187.5</v>
      </c>
      <c r="I712" s="20">
        <v>187.5</v>
      </c>
      <c r="J712" s="20">
        <v>187.5</v>
      </c>
      <c r="K712" s="20"/>
      <c r="L712" s="20"/>
      <c r="M712" s="20"/>
      <c r="N712" s="20"/>
      <c r="O712" s="20"/>
      <c r="P712" s="20"/>
      <c r="Q712" s="17"/>
      <c r="T712" s="20">
        <v>1034.08</v>
      </c>
      <c r="U712" s="20">
        <v>1934.53</v>
      </c>
      <c r="V712" s="20">
        <v>2595.96</v>
      </c>
      <c r="W712" s="20">
        <f t="shared" ref="W712:Y775" si="23">H712-T712</f>
        <v>-846.57999999999993</v>
      </c>
      <c r="X712" s="20">
        <f t="shared" si="23"/>
        <v>-1747.03</v>
      </c>
      <c r="Y712" s="20">
        <f t="shared" si="23"/>
        <v>-2408.46</v>
      </c>
    </row>
    <row r="713" spans="1:25" s="16" customFormat="1" ht="25.5">
      <c r="A713" s="108" t="str">
        <f t="shared" si="22"/>
        <v>607070704 3 04 00000000</v>
      </c>
      <c r="B713" s="315" t="s">
        <v>309</v>
      </c>
      <c r="C713" s="198" t="s">
        <v>510</v>
      </c>
      <c r="D713" s="199" t="s">
        <v>229</v>
      </c>
      <c r="E713" s="199" t="s">
        <v>229</v>
      </c>
      <c r="F713" s="199" t="s">
        <v>310</v>
      </c>
      <c r="G713" s="199" t="s">
        <v>9</v>
      </c>
      <c r="H713" s="20">
        <v>187.5</v>
      </c>
      <c r="I713" s="20">
        <v>187.5</v>
      </c>
      <c r="J713" s="20">
        <v>187.5</v>
      </c>
      <c r="K713" s="20"/>
      <c r="L713" s="20"/>
      <c r="M713" s="20"/>
      <c r="N713" s="20"/>
      <c r="O713" s="20"/>
      <c r="P713" s="20"/>
      <c r="Q713" s="17"/>
      <c r="T713" s="20">
        <v>1034.08</v>
      </c>
      <c r="U713" s="20">
        <v>1934.53</v>
      </c>
      <c r="V713" s="20">
        <v>2595.96</v>
      </c>
      <c r="W713" s="20">
        <f t="shared" si="23"/>
        <v>-846.57999999999993</v>
      </c>
      <c r="X713" s="20">
        <f t="shared" si="23"/>
        <v>-1747.03</v>
      </c>
      <c r="Y713" s="20">
        <f t="shared" si="23"/>
        <v>-2408.46</v>
      </c>
    </row>
    <row r="714" spans="1:25" s="16" customFormat="1" ht="25.5">
      <c r="A714" s="108" t="str">
        <f t="shared" si="22"/>
        <v>607070704 3 04 20300000</v>
      </c>
      <c r="B714" s="200" t="s">
        <v>542</v>
      </c>
      <c r="C714" s="198" t="s">
        <v>510</v>
      </c>
      <c r="D714" s="199" t="s">
        <v>229</v>
      </c>
      <c r="E714" s="199" t="s">
        <v>229</v>
      </c>
      <c r="F714" s="199" t="s">
        <v>543</v>
      </c>
      <c r="G714" s="199" t="s">
        <v>9</v>
      </c>
      <c r="H714" s="20">
        <v>187.5</v>
      </c>
      <c r="I714" s="20">
        <v>187.5</v>
      </c>
      <c r="J714" s="20">
        <v>187.5</v>
      </c>
      <c r="K714" s="20"/>
      <c r="L714" s="20"/>
      <c r="M714" s="20"/>
      <c r="N714" s="20"/>
      <c r="O714" s="20"/>
      <c r="P714" s="20"/>
      <c r="Q714" s="17"/>
      <c r="T714" s="20">
        <v>1034.08</v>
      </c>
      <c r="U714" s="20">
        <v>1934.53</v>
      </c>
      <c r="V714" s="20">
        <v>2595.96</v>
      </c>
      <c r="W714" s="20">
        <f t="shared" si="23"/>
        <v>-846.57999999999993</v>
      </c>
      <c r="X714" s="20">
        <f t="shared" si="23"/>
        <v>-1747.03</v>
      </c>
      <c r="Y714" s="20">
        <f t="shared" si="23"/>
        <v>-2408.46</v>
      </c>
    </row>
    <row r="715" spans="1:25" s="16" customFormat="1" ht="25.5">
      <c r="A715" s="108" t="str">
        <f t="shared" si="22"/>
        <v>607070704 3 04 20300240</v>
      </c>
      <c r="B715" s="197" t="s">
        <v>28</v>
      </c>
      <c r="C715" s="198" t="s">
        <v>510</v>
      </c>
      <c r="D715" s="199" t="s">
        <v>229</v>
      </c>
      <c r="E715" s="199" t="s">
        <v>229</v>
      </c>
      <c r="F715" s="199" t="s">
        <v>543</v>
      </c>
      <c r="G715" s="199" t="s">
        <v>29</v>
      </c>
      <c r="H715" s="20">
        <v>187.5</v>
      </c>
      <c r="I715" s="20">
        <v>187.5</v>
      </c>
      <c r="J715" s="20">
        <v>187.5</v>
      </c>
      <c r="K715" s="20"/>
      <c r="L715" s="20"/>
      <c r="M715" s="20"/>
      <c r="N715" s="20"/>
      <c r="O715" s="20"/>
      <c r="P715" s="20"/>
      <c r="Q715" s="17"/>
      <c r="T715" s="20">
        <v>10220.02</v>
      </c>
      <c r="U715" s="20">
        <v>0</v>
      </c>
      <c r="V715" s="20">
        <v>0</v>
      </c>
      <c r="W715" s="20">
        <f t="shared" si="23"/>
        <v>-10032.52</v>
      </c>
      <c r="X715" s="20">
        <f t="shared" si="23"/>
        <v>187.5</v>
      </c>
      <c r="Y715" s="20">
        <f t="shared" si="23"/>
        <v>187.5</v>
      </c>
    </row>
    <row r="716" spans="1:25" s="16" customFormat="1">
      <c r="A716" s="108" t="str">
        <f t="shared" si="22"/>
        <v>607070709 0 00 00000000</v>
      </c>
      <c r="B716" s="244" t="s">
        <v>544</v>
      </c>
      <c r="C716" s="198" t="s">
        <v>510</v>
      </c>
      <c r="D716" s="199" t="s">
        <v>229</v>
      </c>
      <c r="E716" s="199" t="s">
        <v>229</v>
      </c>
      <c r="F716" s="199" t="s">
        <v>545</v>
      </c>
      <c r="G716" s="199" t="s">
        <v>9</v>
      </c>
      <c r="H716" s="20">
        <v>33525.14</v>
      </c>
      <c r="I716" s="20">
        <v>9580.14</v>
      </c>
      <c r="J716" s="20">
        <v>9580.14</v>
      </c>
      <c r="K716" s="20"/>
      <c r="L716" s="20"/>
      <c r="M716" s="20"/>
      <c r="N716" s="20"/>
      <c r="O716" s="20"/>
      <c r="P716" s="20"/>
      <c r="Q716" s="17"/>
      <c r="T716" s="20">
        <v>1521</v>
      </c>
      <c r="U716" s="20">
        <v>0</v>
      </c>
      <c r="V716" s="20">
        <v>0</v>
      </c>
      <c r="W716" s="20">
        <f t="shared" si="23"/>
        <v>32004.14</v>
      </c>
      <c r="X716" s="20">
        <f t="shared" si="23"/>
        <v>9580.14</v>
      </c>
      <c r="Y716" s="20">
        <f t="shared" si="23"/>
        <v>9580.14</v>
      </c>
    </row>
    <row r="717" spans="1:25" s="16" customFormat="1" ht="25.5">
      <c r="A717" s="108" t="str">
        <f t="shared" si="22"/>
        <v>607070709 Б 00 00000000</v>
      </c>
      <c r="B717" s="244" t="s">
        <v>546</v>
      </c>
      <c r="C717" s="198" t="s">
        <v>510</v>
      </c>
      <c r="D717" s="199" t="s">
        <v>229</v>
      </c>
      <c r="E717" s="199" t="s">
        <v>229</v>
      </c>
      <c r="F717" s="199" t="s">
        <v>547</v>
      </c>
      <c r="G717" s="199" t="s">
        <v>9</v>
      </c>
      <c r="H717" s="20">
        <v>33525.14</v>
      </c>
      <c r="I717" s="20">
        <v>9580.14</v>
      </c>
      <c r="J717" s="20">
        <v>9580.14</v>
      </c>
      <c r="K717" s="20"/>
      <c r="L717" s="20"/>
      <c r="M717" s="20"/>
      <c r="N717" s="20"/>
      <c r="O717" s="20"/>
      <c r="P717" s="20"/>
      <c r="Q717" s="17"/>
      <c r="T717" s="20"/>
      <c r="U717" s="20"/>
      <c r="V717" s="20"/>
      <c r="W717" s="20">
        <f t="shared" si="23"/>
        <v>33525.14</v>
      </c>
      <c r="X717" s="20">
        <f t="shared" si="23"/>
        <v>9580.14</v>
      </c>
      <c r="Y717" s="20">
        <f t="shared" si="23"/>
        <v>9580.14</v>
      </c>
    </row>
    <row r="718" spans="1:25" s="16" customFormat="1" ht="25.5">
      <c r="A718" s="108" t="str">
        <f t="shared" si="22"/>
        <v>607070709 Б 01 00000000</v>
      </c>
      <c r="B718" s="200" t="s">
        <v>548</v>
      </c>
      <c r="C718" s="198" t="s">
        <v>510</v>
      </c>
      <c r="D718" s="199" t="s">
        <v>229</v>
      </c>
      <c r="E718" s="199" t="s">
        <v>229</v>
      </c>
      <c r="F718" s="199" t="s">
        <v>549</v>
      </c>
      <c r="G718" s="199" t="s">
        <v>9</v>
      </c>
      <c r="H718" s="20">
        <v>779</v>
      </c>
      <c r="I718" s="20">
        <v>779</v>
      </c>
      <c r="J718" s="20">
        <v>779</v>
      </c>
      <c r="K718" s="20"/>
      <c r="L718" s="20"/>
      <c r="M718" s="20"/>
      <c r="N718" s="20"/>
      <c r="O718" s="20"/>
      <c r="P718" s="20"/>
      <c r="Q718" s="17"/>
      <c r="T718" s="20">
        <v>301</v>
      </c>
      <c r="U718" s="20">
        <v>0</v>
      </c>
      <c r="V718" s="20">
        <v>0</v>
      </c>
      <c r="W718" s="20">
        <f t="shared" si="23"/>
        <v>478</v>
      </c>
      <c r="X718" s="20">
        <f t="shared" si="23"/>
        <v>779</v>
      </c>
      <c r="Y718" s="20">
        <f t="shared" si="23"/>
        <v>779</v>
      </c>
    </row>
    <row r="719" spans="1:25" s="16" customFormat="1" ht="38.25">
      <c r="A719" s="108" t="str">
        <f t="shared" si="22"/>
        <v>607070709 Б 01 20460000</v>
      </c>
      <c r="B719" s="197" t="s">
        <v>550</v>
      </c>
      <c r="C719" s="198" t="s">
        <v>510</v>
      </c>
      <c r="D719" s="199" t="s">
        <v>229</v>
      </c>
      <c r="E719" s="199" t="s">
        <v>229</v>
      </c>
      <c r="F719" s="199" t="s">
        <v>551</v>
      </c>
      <c r="G719" s="199" t="s">
        <v>9</v>
      </c>
      <c r="H719" s="20">
        <v>779</v>
      </c>
      <c r="I719" s="20">
        <v>779</v>
      </c>
      <c r="J719" s="20">
        <v>779</v>
      </c>
      <c r="K719" s="20"/>
      <c r="L719" s="20"/>
      <c r="M719" s="20"/>
      <c r="N719" s="20"/>
      <c r="O719" s="20"/>
      <c r="P719" s="20"/>
      <c r="Q719" s="17"/>
      <c r="T719" s="20">
        <v>1220</v>
      </c>
      <c r="U719" s="20">
        <v>0</v>
      </c>
      <c r="V719" s="20">
        <v>0</v>
      </c>
      <c r="W719" s="20">
        <f t="shared" si="23"/>
        <v>-441</v>
      </c>
      <c r="X719" s="20">
        <f t="shared" si="23"/>
        <v>779</v>
      </c>
      <c r="Y719" s="20">
        <f t="shared" si="23"/>
        <v>779</v>
      </c>
    </row>
    <row r="720" spans="1:25" s="16" customFormat="1">
      <c r="A720" s="108" t="str">
        <f t="shared" si="22"/>
        <v>607070709 Б 01 20460610</v>
      </c>
      <c r="B720" s="205" t="s">
        <v>403</v>
      </c>
      <c r="C720" s="198" t="s">
        <v>510</v>
      </c>
      <c r="D720" s="199" t="s">
        <v>229</v>
      </c>
      <c r="E720" s="199" t="s">
        <v>229</v>
      </c>
      <c r="F720" s="199" t="s">
        <v>551</v>
      </c>
      <c r="G720" s="199" t="s">
        <v>404</v>
      </c>
      <c r="H720" s="20">
        <v>779</v>
      </c>
      <c r="I720" s="20">
        <v>779</v>
      </c>
      <c r="J720" s="20">
        <v>779</v>
      </c>
      <c r="K720" s="20"/>
      <c r="L720" s="20"/>
      <c r="M720" s="20"/>
      <c r="N720" s="20"/>
      <c r="O720" s="20"/>
      <c r="P720" s="20"/>
      <c r="Q720" s="17"/>
      <c r="T720" s="20">
        <v>1521</v>
      </c>
      <c r="U720" s="20">
        <v>0</v>
      </c>
      <c r="V720" s="20">
        <v>0</v>
      </c>
      <c r="W720" s="20">
        <f t="shared" si="23"/>
        <v>-742</v>
      </c>
      <c r="X720" s="20">
        <f t="shared" si="23"/>
        <v>779</v>
      </c>
      <c r="Y720" s="20">
        <f t="shared" si="23"/>
        <v>779</v>
      </c>
    </row>
    <row r="721" spans="1:25" s="16" customFormat="1" ht="25.5">
      <c r="A721" s="108" t="str">
        <f t="shared" si="22"/>
        <v>607070709 Б 02 00000000</v>
      </c>
      <c r="B721" s="200" t="s">
        <v>552</v>
      </c>
      <c r="C721" s="198" t="s">
        <v>510</v>
      </c>
      <c r="D721" s="199" t="s">
        <v>229</v>
      </c>
      <c r="E721" s="199" t="s">
        <v>229</v>
      </c>
      <c r="F721" s="199" t="s">
        <v>553</v>
      </c>
      <c r="G721" s="199" t="s">
        <v>9</v>
      </c>
      <c r="H721" s="20">
        <v>28649.5</v>
      </c>
      <c r="I721" s="20">
        <v>4764.5</v>
      </c>
      <c r="J721" s="20">
        <v>4764.5</v>
      </c>
      <c r="K721" s="20"/>
      <c r="L721" s="20"/>
      <c r="M721" s="20"/>
      <c r="N721" s="20"/>
      <c r="O721" s="20"/>
      <c r="P721" s="20"/>
      <c r="Q721" s="17"/>
      <c r="T721" s="20">
        <v>8699.02</v>
      </c>
      <c r="U721" s="20">
        <v>0</v>
      </c>
      <c r="V721" s="20">
        <v>0</v>
      </c>
      <c r="W721" s="20">
        <f t="shared" si="23"/>
        <v>19950.48</v>
      </c>
      <c r="X721" s="20">
        <f t="shared" si="23"/>
        <v>4764.5</v>
      </c>
      <c r="Y721" s="20">
        <f t="shared" si="23"/>
        <v>4764.5</v>
      </c>
    </row>
    <row r="722" spans="1:25" s="16" customFormat="1" ht="38.25">
      <c r="A722" s="108" t="str">
        <f t="shared" si="22"/>
        <v>607070709 Б 02 20460000</v>
      </c>
      <c r="B722" s="197" t="s">
        <v>550</v>
      </c>
      <c r="C722" s="198" t="s">
        <v>510</v>
      </c>
      <c r="D722" s="199" t="s">
        <v>229</v>
      </c>
      <c r="E722" s="199" t="s">
        <v>229</v>
      </c>
      <c r="F722" s="199" t="s">
        <v>554</v>
      </c>
      <c r="G722" s="199" t="s">
        <v>9</v>
      </c>
      <c r="H722" s="20">
        <v>4764.5</v>
      </c>
      <c r="I722" s="20">
        <v>4764.5</v>
      </c>
      <c r="J722" s="20">
        <v>4764.5</v>
      </c>
      <c r="K722" s="20"/>
      <c r="L722" s="20"/>
      <c r="M722" s="20"/>
      <c r="N722" s="20"/>
      <c r="O722" s="20"/>
      <c r="P722" s="20"/>
      <c r="Q722" s="17"/>
      <c r="T722" s="20"/>
      <c r="U722" s="20"/>
      <c r="V722" s="20"/>
      <c r="W722" s="20">
        <f t="shared" si="23"/>
        <v>4764.5</v>
      </c>
      <c r="X722" s="20">
        <f t="shared" si="23"/>
        <v>4764.5</v>
      </c>
      <c r="Y722" s="20">
        <f t="shared" si="23"/>
        <v>4764.5</v>
      </c>
    </row>
    <row r="723" spans="1:25" s="16" customFormat="1" ht="25.5">
      <c r="A723" s="108" t="str">
        <f t="shared" si="22"/>
        <v>607070709 Б 02 20460240</v>
      </c>
      <c r="B723" s="197" t="s">
        <v>28</v>
      </c>
      <c r="C723" s="198" t="s">
        <v>510</v>
      </c>
      <c r="D723" s="199" t="s">
        <v>229</v>
      </c>
      <c r="E723" s="199" t="s">
        <v>229</v>
      </c>
      <c r="F723" s="199" t="s">
        <v>554</v>
      </c>
      <c r="G723" s="199" t="s">
        <v>29</v>
      </c>
      <c r="H723" s="20">
        <v>549.5</v>
      </c>
      <c r="I723" s="20">
        <v>549.5</v>
      </c>
      <c r="J723" s="20">
        <v>549.5</v>
      </c>
      <c r="K723" s="20"/>
      <c r="L723" s="20"/>
      <c r="M723" s="20"/>
      <c r="N723" s="20"/>
      <c r="O723" s="20"/>
      <c r="P723" s="20"/>
      <c r="Q723" s="17"/>
      <c r="T723" s="20">
        <v>2700.02</v>
      </c>
      <c r="U723" s="20">
        <v>0</v>
      </c>
      <c r="V723" s="20">
        <v>0</v>
      </c>
      <c r="W723" s="20">
        <f t="shared" si="23"/>
        <v>-2150.52</v>
      </c>
      <c r="X723" s="20">
        <f t="shared" si="23"/>
        <v>549.5</v>
      </c>
      <c r="Y723" s="20">
        <f t="shared" si="23"/>
        <v>549.5</v>
      </c>
    </row>
    <row r="724" spans="1:25" s="16" customFormat="1">
      <c r="A724" s="108" t="str">
        <f t="shared" si="22"/>
        <v>607070709 Б 02 20460340</v>
      </c>
      <c r="B724" s="197" t="s">
        <v>555</v>
      </c>
      <c r="C724" s="198" t="s">
        <v>510</v>
      </c>
      <c r="D724" s="199" t="s">
        <v>229</v>
      </c>
      <c r="E724" s="199" t="s">
        <v>229</v>
      </c>
      <c r="F724" s="199" t="s">
        <v>554</v>
      </c>
      <c r="G724" s="199" t="s">
        <v>556</v>
      </c>
      <c r="H724" s="20">
        <v>2835</v>
      </c>
      <c r="I724" s="20">
        <v>2835</v>
      </c>
      <c r="J724" s="20">
        <v>2835</v>
      </c>
      <c r="K724" s="20"/>
      <c r="L724" s="20"/>
      <c r="M724" s="20"/>
      <c r="N724" s="20"/>
      <c r="O724" s="20"/>
      <c r="P724" s="20"/>
      <c r="Q724" s="17"/>
      <c r="T724" s="20">
        <v>5999</v>
      </c>
      <c r="U724" s="20">
        <v>0</v>
      </c>
      <c r="V724" s="20">
        <v>0</v>
      </c>
      <c r="W724" s="20">
        <f t="shared" si="23"/>
        <v>-3164</v>
      </c>
      <c r="X724" s="20">
        <f t="shared" si="23"/>
        <v>2835</v>
      </c>
      <c r="Y724" s="20">
        <f t="shared" si="23"/>
        <v>2835</v>
      </c>
    </row>
    <row r="725" spans="1:25" s="16" customFormat="1">
      <c r="A725" s="108" t="str">
        <f t="shared" si="22"/>
        <v>607070709 Б 02 20460350</v>
      </c>
      <c r="B725" s="197" t="s">
        <v>163</v>
      </c>
      <c r="C725" s="198" t="s">
        <v>510</v>
      </c>
      <c r="D725" s="199" t="s">
        <v>229</v>
      </c>
      <c r="E725" s="199" t="s">
        <v>229</v>
      </c>
      <c r="F725" s="199" t="s">
        <v>554</v>
      </c>
      <c r="G725" s="199" t="s">
        <v>164</v>
      </c>
      <c r="H725" s="20">
        <v>250</v>
      </c>
      <c r="I725" s="20">
        <v>250</v>
      </c>
      <c r="J725" s="20">
        <v>250</v>
      </c>
      <c r="K725" s="20"/>
      <c r="L725" s="20"/>
      <c r="M725" s="20"/>
      <c r="N725" s="20"/>
      <c r="O725" s="20"/>
      <c r="P725" s="20"/>
      <c r="Q725" s="17"/>
      <c r="T725" s="20">
        <v>8699.02</v>
      </c>
      <c r="U725" s="20">
        <v>0</v>
      </c>
      <c r="V725" s="20">
        <v>0</v>
      </c>
      <c r="W725" s="20">
        <f t="shared" si="23"/>
        <v>-8449.02</v>
      </c>
      <c r="X725" s="20">
        <f t="shared" si="23"/>
        <v>250</v>
      </c>
      <c r="Y725" s="20">
        <f t="shared" si="23"/>
        <v>250</v>
      </c>
    </row>
    <row r="726" spans="1:25" s="16" customFormat="1">
      <c r="A726" s="108" t="str">
        <f t="shared" si="22"/>
        <v>607070709 Б 02 20460610</v>
      </c>
      <c r="B726" s="205" t="s">
        <v>403</v>
      </c>
      <c r="C726" s="198" t="s">
        <v>510</v>
      </c>
      <c r="D726" s="199" t="s">
        <v>229</v>
      </c>
      <c r="E726" s="199" t="s">
        <v>229</v>
      </c>
      <c r="F726" s="199" t="s">
        <v>554</v>
      </c>
      <c r="G726" s="199" t="s">
        <v>404</v>
      </c>
      <c r="H726" s="20">
        <v>1130</v>
      </c>
      <c r="I726" s="20">
        <v>1130</v>
      </c>
      <c r="J726" s="20">
        <v>1130</v>
      </c>
      <c r="K726" s="20"/>
      <c r="L726" s="20"/>
      <c r="M726" s="20"/>
      <c r="N726" s="20"/>
      <c r="O726" s="20"/>
      <c r="P726" s="20"/>
      <c r="Q726" s="17"/>
      <c r="T726" s="20">
        <v>0</v>
      </c>
      <c r="U726" s="20">
        <v>150</v>
      </c>
      <c r="V726" s="20">
        <v>150</v>
      </c>
      <c r="W726" s="20">
        <f t="shared" si="23"/>
        <v>1130</v>
      </c>
      <c r="X726" s="20">
        <f t="shared" si="23"/>
        <v>980</v>
      </c>
      <c r="Y726" s="20">
        <f t="shared" si="23"/>
        <v>980</v>
      </c>
    </row>
    <row r="727" spans="1:25" s="16" customFormat="1" ht="25.5">
      <c r="A727" s="108" t="str">
        <f t="shared" si="22"/>
        <v>607070709 Б 02 77430000</v>
      </c>
      <c r="B727" s="205" t="s">
        <v>1041</v>
      </c>
      <c r="C727" s="198" t="s">
        <v>510</v>
      </c>
      <c r="D727" s="199" t="s">
        <v>229</v>
      </c>
      <c r="E727" s="199" t="s">
        <v>229</v>
      </c>
      <c r="F727" s="199" t="s">
        <v>1042</v>
      </c>
      <c r="G727" s="199" t="s">
        <v>9</v>
      </c>
      <c r="H727" s="20">
        <v>23885</v>
      </c>
      <c r="I727" s="20">
        <v>0</v>
      </c>
      <c r="J727" s="20">
        <v>0</v>
      </c>
      <c r="K727" s="20"/>
      <c r="L727" s="20"/>
      <c r="M727" s="20"/>
      <c r="N727" s="20"/>
      <c r="O727" s="20"/>
      <c r="P727" s="20"/>
      <c r="Q727" s="17"/>
      <c r="T727" s="20">
        <v>0</v>
      </c>
      <c r="U727" s="20">
        <v>150</v>
      </c>
      <c r="V727" s="20">
        <v>150</v>
      </c>
      <c r="W727" s="20">
        <f t="shared" si="23"/>
        <v>23885</v>
      </c>
      <c r="X727" s="20">
        <f t="shared" si="23"/>
        <v>-150</v>
      </c>
      <c r="Y727" s="20">
        <f t="shared" si="23"/>
        <v>-150</v>
      </c>
    </row>
    <row r="728" spans="1:25" s="16" customFormat="1">
      <c r="A728" s="108" t="str">
        <f t="shared" si="22"/>
        <v>607070709 Б 02 77430620</v>
      </c>
      <c r="B728" s="314" t="s">
        <v>409</v>
      </c>
      <c r="C728" s="198" t="s">
        <v>510</v>
      </c>
      <c r="D728" s="199" t="s">
        <v>229</v>
      </c>
      <c r="E728" s="199" t="s">
        <v>229</v>
      </c>
      <c r="F728" s="199" t="s">
        <v>1042</v>
      </c>
      <c r="G728" s="199" t="s">
        <v>410</v>
      </c>
      <c r="H728" s="20">
        <v>23885</v>
      </c>
      <c r="I728" s="20">
        <v>0</v>
      </c>
      <c r="J728" s="20">
        <v>0</v>
      </c>
      <c r="K728" s="20"/>
      <c r="L728" s="20"/>
      <c r="M728" s="20"/>
      <c r="N728" s="20"/>
      <c r="O728" s="20"/>
      <c r="P728" s="20"/>
      <c r="Q728" s="17"/>
      <c r="T728" s="20">
        <v>0</v>
      </c>
      <c r="U728" s="20">
        <v>150</v>
      </c>
      <c r="V728" s="20">
        <v>150</v>
      </c>
      <c r="W728" s="20">
        <f t="shared" si="23"/>
        <v>23885</v>
      </c>
      <c r="X728" s="20">
        <f t="shared" si="23"/>
        <v>-150</v>
      </c>
      <c r="Y728" s="20">
        <f t="shared" si="23"/>
        <v>-150</v>
      </c>
    </row>
    <row r="729" spans="1:25" s="16" customFormat="1" ht="25.5">
      <c r="A729" s="108" t="str">
        <f t="shared" si="22"/>
        <v>607070709 Б 03 00000000</v>
      </c>
      <c r="B729" s="200" t="s">
        <v>557</v>
      </c>
      <c r="C729" s="198" t="s">
        <v>510</v>
      </c>
      <c r="D729" s="199" t="s">
        <v>229</v>
      </c>
      <c r="E729" s="199" t="s">
        <v>229</v>
      </c>
      <c r="F729" s="199" t="s">
        <v>558</v>
      </c>
      <c r="G729" s="199" t="s">
        <v>9</v>
      </c>
      <c r="H729" s="20">
        <v>180</v>
      </c>
      <c r="I729" s="20">
        <v>180</v>
      </c>
      <c r="J729" s="20">
        <v>180</v>
      </c>
      <c r="K729" s="20"/>
      <c r="L729" s="20"/>
      <c r="M729" s="20"/>
      <c r="N729" s="20"/>
      <c r="O729" s="20"/>
      <c r="P729" s="20"/>
      <c r="Q729" s="17"/>
      <c r="T729" s="20">
        <v>817.6</v>
      </c>
      <c r="U729" s="20">
        <v>817.6</v>
      </c>
      <c r="V729" s="20">
        <v>817.6</v>
      </c>
      <c r="W729" s="20">
        <f t="shared" si="23"/>
        <v>-637.6</v>
      </c>
      <c r="X729" s="20">
        <f t="shared" si="23"/>
        <v>-637.6</v>
      </c>
      <c r="Y729" s="20">
        <f t="shared" si="23"/>
        <v>-637.6</v>
      </c>
    </row>
    <row r="730" spans="1:25" s="16" customFormat="1" ht="38.25">
      <c r="A730" s="108" t="str">
        <f t="shared" si="22"/>
        <v>607070709 Б 03 20460000</v>
      </c>
      <c r="B730" s="197" t="s">
        <v>550</v>
      </c>
      <c r="C730" s="198" t="s">
        <v>510</v>
      </c>
      <c r="D730" s="199" t="s">
        <v>229</v>
      </c>
      <c r="E730" s="199" t="s">
        <v>229</v>
      </c>
      <c r="F730" s="199" t="s">
        <v>559</v>
      </c>
      <c r="G730" s="199" t="s">
        <v>9</v>
      </c>
      <c r="H730" s="20">
        <v>180</v>
      </c>
      <c r="I730" s="20">
        <v>180</v>
      </c>
      <c r="J730" s="20">
        <v>180</v>
      </c>
      <c r="K730" s="20"/>
      <c r="L730" s="20"/>
      <c r="M730" s="20"/>
      <c r="N730" s="20"/>
      <c r="O730" s="20"/>
      <c r="P730" s="20"/>
      <c r="Q730" s="17"/>
      <c r="T730" s="20">
        <v>817.6</v>
      </c>
      <c r="U730" s="20">
        <v>817.6</v>
      </c>
      <c r="V730" s="20">
        <v>817.6</v>
      </c>
      <c r="W730" s="20">
        <f t="shared" si="23"/>
        <v>-637.6</v>
      </c>
      <c r="X730" s="20">
        <f t="shared" si="23"/>
        <v>-637.6</v>
      </c>
      <c r="Y730" s="20">
        <f t="shared" si="23"/>
        <v>-637.6</v>
      </c>
    </row>
    <row r="731" spans="1:25" s="16" customFormat="1">
      <c r="A731" s="108" t="str">
        <f t="shared" si="22"/>
        <v>607070709 Б 03 20460610</v>
      </c>
      <c r="B731" s="205" t="s">
        <v>403</v>
      </c>
      <c r="C731" s="198" t="s">
        <v>510</v>
      </c>
      <c r="D731" s="199" t="s">
        <v>229</v>
      </c>
      <c r="E731" s="199" t="s">
        <v>229</v>
      </c>
      <c r="F731" s="199" t="s">
        <v>559</v>
      </c>
      <c r="G731" s="199" t="s">
        <v>404</v>
      </c>
      <c r="H731" s="20">
        <v>180</v>
      </c>
      <c r="I731" s="20">
        <v>180</v>
      </c>
      <c r="J731" s="20">
        <v>180</v>
      </c>
      <c r="K731" s="20"/>
      <c r="L731" s="20"/>
      <c r="M731" s="20"/>
      <c r="N731" s="20"/>
      <c r="O731" s="20"/>
      <c r="P731" s="20"/>
      <c r="Q731" s="17"/>
      <c r="T731" s="20">
        <v>817.6</v>
      </c>
      <c r="U731" s="20">
        <v>817.6</v>
      </c>
      <c r="V731" s="20">
        <v>817.6</v>
      </c>
      <c r="W731" s="20">
        <f t="shared" si="23"/>
        <v>-637.6</v>
      </c>
      <c r="X731" s="20">
        <f t="shared" si="23"/>
        <v>-637.6</v>
      </c>
      <c r="Y731" s="20">
        <f t="shared" si="23"/>
        <v>-637.6</v>
      </c>
    </row>
    <row r="732" spans="1:25" s="16" customFormat="1" ht="38.25">
      <c r="A732" s="108" t="str">
        <f t="shared" si="22"/>
        <v>607070709 Б 04 00000000</v>
      </c>
      <c r="B732" s="200" t="s">
        <v>560</v>
      </c>
      <c r="C732" s="198" t="s">
        <v>510</v>
      </c>
      <c r="D732" s="199" t="s">
        <v>229</v>
      </c>
      <c r="E732" s="199" t="s">
        <v>229</v>
      </c>
      <c r="F732" s="199" t="s">
        <v>561</v>
      </c>
      <c r="G732" s="199" t="s">
        <v>9</v>
      </c>
      <c r="H732" s="20">
        <v>310</v>
      </c>
      <c r="I732" s="20">
        <v>310</v>
      </c>
      <c r="J732" s="20">
        <v>310</v>
      </c>
      <c r="K732" s="20"/>
      <c r="L732" s="20"/>
      <c r="M732" s="20"/>
      <c r="N732" s="20"/>
      <c r="O732" s="20"/>
      <c r="P732" s="20"/>
      <c r="Q732" s="17"/>
      <c r="T732" s="20">
        <v>1405.3700000000001</v>
      </c>
      <c r="U732" s="20">
        <v>0</v>
      </c>
      <c r="V732" s="20">
        <v>0</v>
      </c>
      <c r="W732" s="20">
        <f t="shared" si="23"/>
        <v>-1095.3700000000001</v>
      </c>
      <c r="X732" s="20">
        <f t="shared" si="23"/>
        <v>310</v>
      </c>
      <c r="Y732" s="20">
        <f t="shared" si="23"/>
        <v>310</v>
      </c>
    </row>
    <row r="733" spans="1:25" s="16" customFormat="1" ht="38.25">
      <c r="A733" s="108" t="str">
        <f t="shared" si="22"/>
        <v>607070709 Б 04 20460000</v>
      </c>
      <c r="B733" s="197" t="s">
        <v>550</v>
      </c>
      <c r="C733" s="198" t="s">
        <v>510</v>
      </c>
      <c r="D733" s="199" t="s">
        <v>229</v>
      </c>
      <c r="E733" s="199" t="s">
        <v>229</v>
      </c>
      <c r="F733" s="199" t="s">
        <v>562</v>
      </c>
      <c r="G733" s="199" t="s">
        <v>9</v>
      </c>
      <c r="H733" s="20">
        <v>310</v>
      </c>
      <c r="I733" s="20">
        <v>310</v>
      </c>
      <c r="J733" s="20">
        <v>310</v>
      </c>
      <c r="K733" s="20"/>
      <c r="L733" s="20"/>
      <c r="M733" s="20"/>
      <c r="N733" s="20"/>
      <c r="O733" s="20"/>
      <c r="P733" s="20"/>
      <c r="Q733" s="17"/>
      <c r="T733" s="20">
        <v>1405.3700000000001</v>
      </c>
      <c r="U733" s="20">
        <v>0</v>
      </c>
      <c r="V733" s="20">
        <v>0</v>
      </c>
      <c r="W733" s="20">
        <f t="shared" si="23"/>
        <v>-1095.3700000000001</v>
      </c>
      <c r="X733" s="20">
        <f t="shared" si="23"/>
        <v>310</v>
      </c>
      <c r="Y733" s="20">
        <f t="shared" si="23"/>
        <v>310</v>
      </c>
    </row>
    <row r="734" spans="1:25" s="16" customFormat="1">
      <c r="A734" s="108" t="str">
        <f t="shared" si="22"/>
        <v>607070709 Б 04 20460610</v>
      </c>
      <c r="B734" s="205" t="s">
        <v>403</v>
      </c>
      <c r="C734" s="198" t="s">
        <v>510</v>
      </c>
      <c r="D734" s="199" t="s">
        <v>229</v>
      </c>
      <c r="E734" s="199" t="s">
        <v>229</v>
      </c>
      <c r="F734" s="199" t="s">
        <v>562</v>
      </c>
      <c r="G734" s="199" t="s">
        <v>404</v>
      </c>
      <c r="H734" s="20">
        <v>310</v>
      </c>
      <c r="I734" s="20">
        <v>310</v>
      </c>
      <c r="J734" s="20">
        <v>310</v>
      </c>
      <c r="K734" s="20"/>
      <c r="L734" s="20"/>
      <c r="M734" s="20"/>
      <c r="N734" s="20"/>
      <c r="O734" s="20"/>
      <c r="P734" s="20"/>
      <c r="Q734" s="17"/>
      <c r="T734" s="20">
        <v>1099.44</v>
      </c>
      <c r="U734" s="20">
        <v>0</v>
      </c>
      <c r="V734" s="20">
        <v>0</v>
      </c>
      <c r="W734" s="20">
        <f t="shared" si="23"/>
        <v>-789.44</v>
      </c>
      <c r="X734" s="20">
        <f t="shared" si="23"/>
        <v>310</v>
      </c>
      <c r="Y734" s="20">
        <f t="shared" si="23"/>
        <v>310</v>
      </c>
    </row>
    <row r="735" spans="1:25" s="16" customFormat="1" ht="38.25">
      <c r="A735" s="108" t="str">
        <f t="shared" si="22"/>
        <v>607070709 Б 05 00000000</v>
      </c>
      <c r="B735" s="200" t="s">
        <v>563</v>
      </c>
      <c r="C735" s="198" t="s">
        <v>510</v>
      </c>
      <c r="D735" s="199" t="s">
        <v>229</v>
      </c>
      <c r="E735" s="199" t="s">
        <v>229</v>
      </c>
      <c r="F735" s="199" t="s">
        <v>564</v>
      </c>
      <c r="G735" s="199" t="s">
        <v>9</v>
      </c>
      <c r="H735" s="20">
        <v>25.54</v>
      </c>
      <c r="I735" s="20">
        <v>25.54</v>
      </c>
      <c r="J735" s="20">
        <v>25.54</v>
      </c>
      <c r="K735" s="20"/>
      <c r="L735" s="20"/>
      <c r="M735" s="20"/>
      <c r="N735" s="20"/>
      <c r="O735" s="20"/>
      <c r="P735" s="20"/>
      <c r="Q735" s="17"/>
      <c r="T735" s="20">
        <v>305.93</v>
      </c>
      <c r="U735" s="20">
        <v>0</v>
      </c>
      <c r="V735" s="20">
        <v>0</v>
      </c>
      <c r="W735" s="20">
        <f t="shared" si="23"/>
        <v>-280.39</v>
      </c>
      <c r="X735" s="20">
        <f t="shared" si="23"/>
        <v>25.54</v>
      </c>
      <c r="Y735" s="20">
        <f t="shared" si="23"/>
        <v>25.54</v>
      </c>
    </row>
    <row r="736" spans="1:25" s="16" customFormat="1" ht="38.25">
      <c r="A736" s="108" t="str">
        <f t="shared" si="22"/>
        <v>607070709 Б 05 20460000</v>
      </c>
      <c r="B736" s="197" t="s">
        <v>550</v>
      </c>
      <c r="C736" s="198" t="s">
        <v>510</v>
      </c>
      <c r="D736" s="199" t="s">
        <v>229</v>
      </c>
      <c r="E736" s="199" t="s">
        <v>229</v>
      </c>
      <c r="F736" s="199" t="s">
        <v>565</v>
      </c>
      <c r="G736" s="199" t="s">
        <v>9</v>
      </c>
      <c r="H736" s="20">
        <v>25.54</v>
      </c>
      <c r="I736" s="20">
        <v>25.54</v>
      </c>
      <c r="J736" s="20">
        <v>25.54</v>
      </c>
      <c r="K736" s="27"/>
      <c r="L736" s="27"/>
      <c r="M736" s="27"/>
      <c r="N736" s="20"/>
      <c r="O736" s="20"/>
      <c r="P736" s="20"/>
      <c r="Q736" s="17"/>
      <c r="T736" s="27">
        <v>76.5</v>
      </c>
      <c r="U736" s="27">
        <v>76.5</v>
      </c>
      <c r="V736" s="27">
        <v>76.5</v>
      </c>
      <c r="W736" s="27">
        <f t="shared" si="23"/>
        <v>-50.96</v>
      </c>
      <c r="X736" s="27">
        <f t="shared" si="23"/>
        <v>-50.96</v>
      </c>
      <c r="Y736" s="27">
        <f t="shared" si="23"/>
        <v>-50.96</v>
      </c>
    </row>
    <row r="737" spans="1:25" s="16" customFormat="1">
      <c r="A737" s="108" t="str">
        <f t="shared" si="22"/>
        <v>607070709 Б 05 20460610</v>
      </c>
      <c r="B737" s="205" t="s">
        <v>403</v>
      </c>
      <c r="C737" s="198" t="s">
        <v>510</v>
      </c>
      <c r="D737" s="199" t="s">
        <v>229</v>
      </c>
      <c r="E737" s="199" t="s">
        <v>229</v>
      </c>
      <c r="F737" s="199" t="s">
        <v>565</v>
      </c>
      <c r="G737" s="199" t="s">
        <v>404</v>
      </c>
      <c r="H737" s="20">
        <v>25.54</v>
      </c>
      <c r="I737" s="20">
        <v>25.54</v>
      </c>
      <c r="J737" s="20">
        <v>25.54</v>
      </c>
      <c r="K737" s="27"/>
      <c r="L737" s="27"/>
      <c r="M737" s="27"/>
      <c r="N737" s="27"/>
      <c r="O737" s="27"/>
      <c r="P737" s="27"/>
      <c r="Q737" s="17"/>
      <c r="T737" s="27">
        <v>76.5</v>
      </c>
      <c r="U737" s="27">
        <v>76.5</v>
      </c>
      <c r="V737" s="27">
        <v>76.5</v>
      </c>
      <c r="W737" s="27">
        <f t="shared" si="23"/>
        <v>-50.96</v>
      </c>
      <c r="X737" s="27">
        <f t="shared" si="23"/>
        <v>-50.96</v>
      </c>
      <c r="Y737" s="27">
        <f t="shared" si="23"/>
        <v>-50.96</v>
      </c>
    </row>
    <row r="738" spans="1:25" s="212" customFormat="1" ht="25.5">
      <c r="A738" s="108" t="str">
        <f t="shared" si="22"/>
        <v>607070709 Б 06 00000000</v>
      </c>
      <c r="B738" s="200" t="s">
        <v>566</v>
      </c>
      <c r="C738" s="198" t="s">
        <v>510</v>
      </c>
      <c r="D738" s="199" t="s">
        <v>229</v>
      </c>
      <c r="E738" s="199" t="s">
        <v>229</v>
      </c>
      <c r="F738" s="199" t="s">
        <v>567</v>
      </c>
      <c r="G738" s="199" t="s">
        <v>9</v>
      </c>
      <c r="H738" s="20">
        <v>3581.1</v>
      </c>
      <c r="I738" s="20">
        <v>3521.1</v>
      </c>
      <c r="J738" s="20">
        <v>3521.1</v>
      </c>
      <c r="K738" s="210"/>
      <c r="L738" s="210"/>
      <c r="M738" s="210"/>
      <c r="N738" s="210"/>
      <c r="O738" s="210"/>
      <c r="P738" s="210"/>
      <c r="Q738" s="211"/>
      <c r="T738" s="210">
        <v>0</v>
      </c>
      <c r="U738" s="210">
        <v>0</v>
      </c>
      <c r="V738" s="210">
        <v>0</v>
      </c>
      <c r="W738" s="210">
        <f t="shared" si="23"/>
        <v>3581.1</v>
      </c>
      <c r="X738" s="210">
        <f t="shared" si="23"/>
        <v>3521.1</v>
      </c>
      <c r="Y738" s="210">
        <f t="shared" si="23"/>
        <v>3521.1</v>
      </c>
    </row>
    <row r="739" spans="1:25" s="212" customFormat="1" ht="25.5">
      <c r="A739" s="108" t="str">
        <f t="shared" si="22"/>
        <v>607070709 Б 06 11010000</v>
      </c>
      <c r="B739" s="249" t="s">
        <v>136</v>
      </c>
      <c r="C739" s="198" t="s">
        <v>510</v>
      </c>
      <c r="D739" s="199" t="s">
        <v>229</v>
      </c>
      <c r="E739" s="199" t="s">
        <v>229</v>
      </c>
      <c r="F739" s="199" t="s">
        <v>568</v>
      </c>
      <c r="G739" s="199" t="s">
        <v>9</v>
      </c>
      <c r="H739" s="20">
        <v>3468.37</v>
      </c>
      <c r="I739" s="20">
        <v>3521.1</v>
      </c>
      <c r="J739" s="20">
        <v>3521.1</v>
      </c>
      <c r="K739" s="210"/>
      <c r="L739" s="210"/>
      <c r="M739" s="210"/>
      <c r="N739" s="210"/>
      <c r="O739" s="210"/>
      <c r="P739" s="210"/>
      <c r="Q739" s="211"/>
      <c r="T739" s="210">
        <v>0</v>
      </c>
      <c r="U739" s="210">
        <v>0</v>
      </c>
      <c r="V739" s="210">
        <v>0</v>
      </c>
      <c r="W739" s="210">
        <f t="shared" si="23"/>
        <v>3468.37</v>
      </c>
      <c r="X739" s="210">
        <f t="shared" si="23"/>
        <v>3521.1</v>
      </c>
      <c r="Y739" s="210">
        <f t="shared" si="23"/>
        <v>3521.1</v>
      </c>
    </row>
    <row r="740" spans="1:25" s="212" customFormat="1">
      <c r="A740" s="108" t="str">
        <f t="shared" si="22"/>
        <v>607070709 Б 06 11010610</v>
      </c>
      <c r="B740" s="205" t="s">
        <v>403</v>
      </c>
      <c r="C740" s="198" t="s">
        <v>510</v>
      </c>
      <c r="D740" s="199" t="s">
        <v>229</v>
      </c>
      <c r="E740" s="199" t="s">
        <v>229</v>
      </c>
      <c r="F740" s="199" t="s">
        <v>568</v>
      </c>
      <c r="G740" s="199" t="s">
        <v>404</v>
      </c>
      <c r="H740" s="20">
        <v>3468.37</v>
      </c>
      <c r="I740" s="20">
        <v>3521.1</v>
      </c>
      <c r="J740" s="20">
        <v>3521.1</v>
      </c>
      <c r="K740" s="218"/>
      <c r="L740" s="218"/>
      <c r="M740" s="218"/>
      <c r="N740" s="210"/>
      <c r="O740" s="210"/>
      <c r="P740" s="210"/>
      <c r="Q740" s="211"/>
      <c r="T740" s="218">
        <v>0</v>
      </c>
      <c r="U740" s="218">
        <v>0</v>
      </c>
      <c r="V740" s="218">
        <v>0</v>
      </c>
      <c r="W740" s="218">
        <f t="shared" si="23"/>
        <v>3468.37</v>
      </c>
      <c r="X740" s="218">
        <f t="shared" si="23"/>
        <v>3521.1</v>
      </c>
      <c r="Y740" s="218">
        <f t="shared" si="23"/>
        <v>3521.1</v>
      </c>
    </row>
    <row r="741" spans="1:25" s="16" customFormat="1" ht="191.25">
      <c r="A741" s="108" t="str">
        <f t="shared" si="22"/>
        <v>607070709 Б 06 77460000</v>
      </c>
      <c r="B741" s="197" t="s">
        <v>1263</v>
      </c>
      <c r="C741" s="198" t="s">
        <v>510</v>
      </c>
      <c r="D741" s="199" t="s">
        <v>229</v>
      </c>
      <c r="E741" s="199" t="s">
        <v>229</v>
      </c>
      <c r="F741" s="199" t="s">
        <v>1289</v>
      </c>
      <c r="G741" s="199" t="s">
        <v>9</v>
      </c>
      <c r="H741" s="20">
        <v>112.73</v>
      </c>
      <c r="I741" s="20">
        <v>0</v>
      </c>
      <c r="J741" s="20">
        <v>0</v>
      </c>
      <c r="K741" s="20"/>
      <c r="L741" s="20"/>
      <c r="M741" s="20"/>
      <c r="N741" s="210"/>
      <c r="O741" s="210"/>
      <c r="P741" s="210"/>
      <c r="Q741" s="211"/>
      <c r="T741" s="20">
        <v>76.5</v>
      </c>
      <c r="U741" s="20">
        <v>76.5</v>
      </c>
      <c r="V741" s="20">
        <v>76.5</v>
      </c>
      <c r="W741" s="20">
        <f t="shared" si="23"/>
        <v>36.230000000000004</v>
      </c>
      <c r="X741" s="20">
        <f t="shared" si="23"/>
        <v>-76.5</v>
      </c>
      <c r="Y741" s="20">
        <f t="shared" si="23"/>
        <v>-76.5</v>
      </c>
    </row>
    <row r="742" spans="1:25" s="16" customFormat="1">
      <c r="A742" s="108" t="str">
        <f t="shared" si="22"/>
        <v>607070709 Б 06 77460610</v>
      </c>
      <c r="B742" s="205" t="s">
        <v>403</v>
      </c>
      <c r="C742" s="198" t="s">
        <v>510</v>
      </c>
      <c r="D742" s="199" t="s">
        <v>229</v>
      </c>
      <c r="E742" s="199" t="s">
        <v>229</v>
      </c>
      <c r="F742" s="199" t="s">
        <v>1289</v>
      </c>
      <c r="G742" s="199" t="s">
        <v>404</v>
      </c>
      <c r="H742" s="20">
        <v>112.73</v>
      </c>
      <c r="I742" s="20">
        <v>0</v>
      </c>
      <c r="J742" s="20">
        <v>0</v>
      </c>
      <c r="K742" s="20"/>
      <c r="L742" s="20"/>
      <c r="M742" s="20"/>
      <c r="N742" s="210"/>
      <c r="O742" s="210"/>
      <c r="P742" s="210"/>
      <c r="Q742" s="211"/>
      <c r="T742" s="20">
        <v>76.5</v>
      </c>
      <c r="U742" s="20">
        <v>76.5</v>
      </c>
      <c r="V742" s="20">
        <v>76.5</v>
      </c>
      <c r="W742" s="20">
        <f t="shared" si="23"/>
        <v>36.230000000000004</v>
      </c>
      <c r="X742" s="20">
        <f t="shared" si="23"/>
        <v>-76.5</v>
      </c>
      <c r="Y742" s="20">
        <f t="shared" si="23"/>
        <v>-76.5</v>
      </c>
    </row>
    <row r="743" spans="1:25" s="16" customFormat="1" ht="38.25">
      <c r="A743" s="108" t="str">
        <f t="shared" si="22"/>
        <v>607070715 0 00 00000000</v>
      </c>
      <c r="B743" s="200" t="s">
        <v>146</v>
      </c>
      <c r="C743" s="198" t="s">
        <v>510</v>
      </c>
      <c r="D743" s="199" t="s">
        <v>229</v>
      </c>
      <c r="E743" s="199" t="s">
        <v>229</v>
      </c>
      <c r="F743" s="203" t="s">
        <v>147</v>
      </c>
      <c r="G743" s="203" t="s">
        <v>9</v>
      </c>
      <c r="H743" s="27">
        <v>390</v>
      </c>
      <c r="I743" s="27">
        <v>0</v>
      </c>
      <c r="J743" s="27">
        <v>0</v>
      </c>
      <c r="K743" s="20"/>
      <c r="L743" s="20"/>
      <c r="M743" s="20"/>
      <c r="N743" s="210"/>
      <c r="O743" s="210"/>
      <c r="P743" s="210"/>
      <c r="Q743" s="211"/>
      <c r="T743" s="20">
        <v>76.5</v>
      </c>
      <c r="U743" s="20">
        <v>76.5</v>
      </c>
      <c r="V743" s="20">
        <v>76.5</v>
      </c>
      <c r="W743" s="20">
        <f t="shared" si="23"/>
        <v>313.5</v>
      </c>
      <c r="X743" s="20">
        <f t="shared" si="23"/>
        <v>-76.5</v>
      </c>
      <c r="Y743" s="20">
        <f t="shared" si="23"/>
        <v>-76.5</v>
      </c>
    </row>
    <row r="744" spans="1:25" s="16" customFormat="1" ht="38.25">
      <c r="A744" s="108" t="str">
        <f t="shared" si="22"/>
        <v>607070715 1 00 00000000</v>
      </c>
      <c r="B744" s="197" t="s">
        <v>1065</v>
      </c>
      <c r="C744" s="198" t="s">
        <v>510</v>
      </c>
      <c r="D744" s="199" t="s">
        <v>229</v>
      </c>
      <c r="E744" s="199" t="s">
        <v>229</v>
      </c>
      <c r="F744" s="203" t="s">
        <v>149</v>
      </c>
      <c r="G744" s="203" t="s">
        <v>9</v>
      </c>
      <c r="H744" s="27">
        <v>390</v>
      </c>
      <c r="I744" s="27">
        <v>0</v>
      </c>
      <c r="J744" s="27">
        <v>0</v>
      </c>
      <c r="K744" s="20"/>
      <c r="L744" s="20"/>
      <c r="M744" s="20"/>
      <c r="N744" s="20"/>
      <c r="O744" s="20"/>
      <c r="P744" s="20"/>
      <c r="Q744" s="17"/>
      <c r="T744" s="20">
        <v>547.85</v>
      </c>
      <c r="U744" s="20">
        <v>547.85</v>
      </c>
      <c r="V744" s="20">
        <v>547.85</v>
      </c>
      <c r="W744" s="20">
        <f t="shared" si="23"/>
        <v>-157.85000000000002</v>
      </c>
      <c r="X744" s="20">
        <f t="shared" si="23"/>
        <v>-547.85</v>
      </c>
      <c r="Y744" s="20">
        <f t="shared" si="23"/>
        <v>-547.85</v>
      </c>
    </row>
    <row r="745" spans="1:25" s="16" customFormat="1" ht="51">
      <c r="A745" s="108" t="str">
        <f t="shared" si="22"/>
        <v>607070715 1 01 00000000</v>
      </c>
      <c r="B745" s="208" t="s">
        <v>150</v>
      </c>
      <c r="C745" s="209" t="s">
        <v>510</v>
      </c>
      <c r="D745" s="236" t="s">
        <v>229</v>
      </c>
      <c r="E745" s="236" t="s">
        <v>229</v>
      </c>
      <c r="F745" s="209" t="s">
        <v>151</v>
      </c>
      <c r="G745" s="209" t="s">
        <v>9</v>
      </c>
      <c r="H745" s="210">
        <v>0</v>
      </c>
      <c r="I745" s="210">
        <v>0</v>
      </c>
      <c r="J745" s="210">
        <v>0</v>
      </c>
      <c r="K745" s="20"/>
      <c r="L745" s="20"/>
      <c r="M745" s="20"/>
      <c r="N745" s="20"/>
      <c r="O745" s="20"/>
      <c r="P745" s="20"/>
      <c r="Q745" s="17"/>
      <c r="T745" s="20">
        <v>547.85</v>
      </c>
      <c r="U745" s="20">
        <v>547.85</v>
      </c>
      <c r="V745" s="20">
        <v>547.85</v>
      </c>
      <c r="W745" s="20">
        <f t="shared" si="23"/>
        <v>-547.85</v>
      </c>
      <c r="X745" s="20">
        <f t="shared" si="23"/>
        <v>-547.85</v>
      </c>
      <c r="Y745" s="20">
        <f t="shared" si="23"/>
        <v>-547.85</v>
      </c>
    </row>
    <row r="746" spans="1:25" s="16" customFormat="1" ht="25.5">
      <c r="A746" s="108" t="str">
        <f t="shared" si="22"/>
        <v>607070715 1 01 20350000</v>
      </c>
      <c r="B746" s="208" t="s">
        <v>152</v>
      </c>
      <c r="C746" s="209" t="s">
        <v>510</v>
      </c>
      <c r="D746" s="236" t="s">
        <v>229</v>
      </c>
      <c r="E746" s="236" t="s">
        <v>229</v>
      </c>
      <c r="F746" s="209" t="s">
        <v>153</v>
      </c>
      <c r="G746" s="209" t="s">
        <v>9</v>
      </c>
      <c r="H746" s="210">
        <v>0</v>
      </c>
      <c r="I746" s="210">
        <v>0</v>
      </c>
      <c r="J746" s="210">
        <v>0</v>
      </c>
      <c r="K746" s="20"/>
      <c r="L746" s="20"/>
      <c r="M746" s="20"/>
      <c r="N746" s="20"/>
      <c r="O746" s="20"/>
      <c r="P746" s="20"/>
      <c r="Q746" s="17"/>
      <c r="T746" s="20">
        <v>547.85</v>
      </c>
      <c r="U746" s="20">
        <v>547.85</v>
      </c>
      <c r="V746" s="20">
        <v>547.85</v>
      </c>
      <c r="W746" s="20">
        <f t="shared" si="23"/>
        <v>-547.85</v>
      </c>
      <c r="X746" s="20">
        <f t="shared" si="23"/>
        <v>-547.85</v>
      </c>
      <c r="Y746" s="20">
        <f t="shared" si="23"/>
        <v>-547.85</v>
      </c>
    </row>
    <row r="747" spans="1:25" s="16" customFormat="1">
      <c r="A747" s="108" t="str">
        <f t="shared" si="22"/>
        <v>607070715 1 01 20350610</v>
      </c>
      <c r="B747" s="238" t="s">
        <v>403</v>
      </c>
      <c r="C747" s="209" t="s">
        <v>510</v>
      </c>
      <c r="D747" s="236" t="s">
        <v>229</v>
      </c>
      <c r="E747" s="236" t="s">
        <v>229</v>
      </c>
      <c r="F747" s="209" t="s">
        <v>153</v>
      </c>
      <c r="G747" s="209" t="s">
        <v>404</v>
      </c>
      <c r="H747" s="218">
        <v>0</v>
      </c>
      <c r="I747" s="218">
        <v>0</v>
      </c>
      <c r="J747" s="218">
        <v>0</v>
      </c>
      <c r="K747" s="20"/>
      <c r="L747" s="20"/>
      <c r="M747" s="20"/>
      <c r="N747" s="20"/>
      <c r="O747" s="20"/>
      <c r="P747" s="20"/>
      <c r="Q747" s="17"/>
      <c r="T747" s="20">
        <v>547.85</v>
      </c>
      <c r="U747" s="20">
        <v>547.85</v>
      </c>
      <c r="V747" s="20">
        <v>547.85</v>
      </c>
      <c r="W747" s="20">
        <f t="shared" si="23"/>
        <v>-547.85</v>
      </c>
      <c r="X747" s="20">
        <f t="shared" si="23"/>
        <v>-547.85</v>
      </c>
      <c r="Y747" s="20">
        <f t="shared" si="23"/>
        <v>-547.85</v>
      </c>
    </row>
    <row r="748" spans="1:25" s="16" customFormat="1" ht="38.25">
      <c r="A748" s="108" t="str">
        <f t="shared" si="22"/>
        <v>607070715 1 02 00000000</v>
      </c>
      <c r="B748" s="197" t="s">
        <v>1071</v>
      </c>
      <c r="C748" s="198" t="s">
        <v>510</v>
      </c>
      <c r="D748" s="199" t="s">
        <v>229</v>
      </c>
      <c r="E748" s="199" t="s">
        <v>229</v>
      </c>
      <c r="F748" s="198" t="s">
        <v>274</v>
      </c>
      <c r="G748" s="203" t="s">
        <v>9</v>
      </c>
      <c r="H748" s="20">
        <v>390</v>
      </c>
      <c r="I748" s="20">
        <v>0</v>
      </c>
      <c r="J748" s="20">
        <v>0</v>
      </c>
      <c r="K748" s="20"/>
      <c r="L748" s="20"/>
      <c r="M748" s="20"/>
      <c r="N748" s="20"/>
      <c r="O748" s="20"/>
      <c r="P748" s="20"/>
      <c r="Q748" s="17"/>
      <c r="T748" s="20">
        <v>547.85</v>
      </c>
      <c r="U748" s="20">
        <v>547.85</v>
      </c>
      <c r="V748" s="20">
        <v>547.85</v>
      </c>
      <c r="W748" s="20">
        <f t="shared" si="23"/>
        <v>-157.85000000000002</v>
      </c>
      <c r="X748" s="20">
        <f t="shared" si="23"/>
        <v>-547.85</v>
      </c>
      <c r="Y748" s="20">
        <f t="shared" si="23"/>
        <v>-547.85</v>
      </c>
    </row>
    <row r="749" spans="1:25" s="16" customFormat="1" ht="25.5">
      <c r="A749" s="108" t="str">
        <f t="shared" si="22"/>
        <v>607070715 1 02 20350000</v>
      </c>
      <c r="B749" s="201" t="s">
        <v>152</v>
      </c>
      <c r="C749" s="198" t="s">
        <v>510</v>
      </c>
      <c r="D749" s="199" t="s">
        <v>229</v>
      </c>
      <c r="E749" s="199" t="s">
        <v>229</v>
      </c>
      <c r="F749" s="198" t="s">
        <v>275</v>
      </c>
      <c r="G749" s="203" t="s">
        <v>9</v>
      </c>
      <c r="H749" s="27">
        <v>390</v>
      </c>
      <c r="I749" s="27">
        <v>0</v>
      </c>
      <c r="J749" s="27">
        <v>0</v>
      </c>
      <c r="K749" s="20"/>
      <c r="L749" s="20"/>
      <c r="M749" s="20"/>
      <c r="N749" s="20"/>
      <c r="O749" s="20"/>
      <c r="P749" s="20"/>
      <c r="Q749" s="17"/>
      <c r="T749" s="20">
        <v>203.83</v>
      </c>
      <c r="U749" s="20">
        <v>203.83</v>
      </c>
      <c r="V749" s="20">
        <v>203.83</v>
      </c>
      <c r="W749" s="20">
        <f t="shared" si="23"/>
        <v>186.17</v>
      </c>
      <c r="X749" s="20">
        <f t="shared" si="23"/>
        <v>-203.83</v>
      </c>
      <c r="Y749" s="20">
        <f t="shared" si="23"/>
        <v>-203.83</v>
      </c>
    </row>
    <row r="750" spans="1:25" s="16" customFormat="1">
      <c r="A750" s="108" t="str">
        <f t="shared" si="22"/>
        <v>607070715 1 02 20350610</v>
      </c>
      <c r="B750" s="205" t="s">
        <v>403</v>
      </c>
      <c r="C750" s="198" t="s">
        <v>510</v>
      </c>
      <c r="D750" s="199" t="s">
        <v>229</v>
      </c>
      <c r="E750" s="199" t="s">
        <v>229</v>
      </c>
      <c r="F750" s="198" t="s">
        <v>275</v>
      </c>
      <c r="G750" s="203" t="s">
        <v>404</v>
      </c>
      <c r="H750" s="20">
        <v>390</v>
      </c>
      <c r="I750" s="20">
        <v>0</v>
      </c>
      <c r="J750" s="20">
        <v>0</v>
      </c>
      <c r="K750" s="20"/>
      <c r="L750" s="20"/>
      <c r="M750" s="20"/>
      <c r="N750" s="20"/>
      <c r="O750" s="20"/>
      <c r="P750" s="20"/>
      <c r="Q750" s="17"/>
      <c r="T750" s="20">
        <v>203.83</v>
      </c>
      <c r="U750" s="20">
        <v>203.83</v>
      </c>
      <c r="V750" s="20">
        <v>203.83</v>
      </c>
      <c r="W750" s="20">
        <f t="shared" si="23"/>
        <v>186.17</v>
      </c>
      <c r="X750" s="20">
        <f t="shared" si="23"/>
        <v>-203.83</v>
      </c>
      <c r="Y750" s="20">
        <f t="shared" si="23"/>
        <v>-203.83</v>
      </c>
    </row>
    <row r="751" spans="1:25" s="16" customFormat="1">
      <c r="A751" s="108" t="str">
        <f t="shared" si="22"/>
        <v>607080000 0 00 00000000</v>
      </c>
      <c r="B751" s="191" t="s">
        <v>569</v>
      </c>
      <c r="C751" s="192" t="s">
        <v>510</v>
      </c>
      <c r="D751" s="193" t="s">
        <v>238</v>
      </c>
      <c r="E751" s="193" t="s">
        <v>7</v>
      </c>
      <c r="F751" s="193" t="s">
        <v>8</v>
      </c>
      <c r="G751" s="193" t="s">
        <v>9</v>
      </c>
      <c r="H751" s="18">
        <v>222234.41999999995</v>
      </c>
      <c r="I751" s="18">
        <v>196340.37</v>
      </c>
      <c r="J751" s="18">
        <v>197001.8</v>
      </c>
      <c r="K751" s="20"/>
      <c r="L751" s="20"/>
      <c r="M751" s="20"/>
      <c r="N751" s="20"/>
      <c r="O751" s="20"/>
      <c r="P751" s="20"/>
      <c r="Q751" s="17"/>
      <c r="T751" s="20">
        <v>203.83</v>
      </c>
      <c r="U751" s="20">
        <v>203.83</v>
      </c>
      <c r="V751" s="20">
        <v>203.83</v>
      </c>
      <c r="W751" s="20">
        <f t="shared" si="23"/>
        <v>222030.58999999997</v>
      </c>
      <c r="X751" s="20">
        <f t="shared" si="23"/>
        <v>196136.54</v>
      </c>
      <c r="Y751" s="20">
        <f t="shared" si="23"/>
        <v>196797.97</v>
      </c>
    </row>
    <row r="752" spans="1:25" s="16" customFormat="1">
      <c r="A752" s="108" t="str">
        <f t="shared" si="22"/>
        <v>607080100 0 00 00000000</v>
      </c>
      <c r="B752" s="194" t="s">
        <v>239</v>
      </c>
      <c r="C752" s="195" t="s">
        <v>510</v>
      </c>
      <c r="D752" s="196" t="s">
        <v>238</v>
      </c>
      <c r="E752" s="196" t="s">
        <v>11</v>
      </c>
      <c r="F752" s="196" t="s">
        <v>8</v>
      </c>
      <c r="G752" s="196" t="s">
        <v>9</v>
      </c>
      <c r="H752" s="19">
        <v>206608.01999999996</v>
      </c>
      <c r="I752" s="19">
        <v>182213.97</v>
      </c>
      <c r="J752" s="19">
        <v>182875.4</v>
      </c>
      <c r="K752" s="20"/>
      <c r="L752" s="20"/>
      <c r="M752" s="20"/>
      <c r="N752" s="20"/>
      <c r="O752" s="20"/>
      <c r="P752" s="20"/>
      <c r="Q752" s="17"/>
      <c r="T752" s="20">
        <v>203.83</v>
      </c>
      <c r="U752" s="20">
        <v>203.83</v>
      </c>
      <c r="V752" s="20">
        <v>203.83</v>
      </c>
      <c r="W752" s="20">
        <f t="shared" si="23"/>
        <v>206404.18999999997</v>
      </c>
      <c r="X752" s="20">
        <f t="shared" si="23"/>
        <v>182010.14</v>
      </c>
      <c r="Y752" s="20">
        <f t="shared" si="23"/>
        <v>182671.57</v>
      </c>
    </row>
    <row r="753" spans="1:25" s="16" customFormat="1">
      <c r="A753" s="108" t="str">
        <f t="shared" si="22"/>
        <v>607080107 0 00 00000000</v>
      </c>
      <c r="B753" s="197" t="s">
        <v>240</v>
      </c>
      <c r="C753" s="198" t="s">
        <v>510</v>
      </c>
      <c r="D753" s="199" t="s">
        <v>238</v>
      </c>
      <c r="E753" s="199" t="s">
        <v>11</v>
      </c>
      <c r="F753" s="199" t="s">
        <v>241</v>
      </c>
      <c r="G753" s="199" t="s">
        <v>9</v>
      </c>
      <c r="H753" s="20">
        <v>200722.81999999998</v>
      </c>
      <c r="I753" s="20">
        <v>181385.79</v>
      </c>
      <c r="J753" s="20">
        <v>182047.22</v>
      </c>
      <c r="K753" s="20"/>
      <c r="L753" s="20"/>
      <c r="M753" s="20"/>
      <c r="N753" s="20"/>
      <c r="O753" s="20"/>
      <c r="P753" s="20"/>
      <c r="Q753" s="17"/>
      <c r="T753" s="20">
        <v>203.83</v>
      </c>
      <c r="U753" s="20">
        <v>203.83</v>
      </c>
      <c r="V753" s="20">
        <v>203.83</v>
      </c>
      <c r="W753" s="20">
        <f t="shared" si="23"/>
        <v>200518.99</v>
      </c>
      <c r="X753" s="20">
        <f t="shared" si="23"/>
        <v>181181.96000000002</v>
      </c>
      <c r="Y753" s="20">
        <f t="shared" si="23"/>
        <v>181843.39</v>
      </c>
    </row>
    <row r="754" spans="1:25" s="16" customFormat="1" ht="51">
      <c r="A754" s="108" t="str">
        <f t="shared" si="22"/>
        <v>607080107 1 00 00000000</v>
      </c>
      <c r="B754" s="197" t="s">
        <v>242</v>
      </c>
      <c r="C754" s="198" t="s">
        <v>510</v>
      </c>
      <c r="D754" s="199" t="s">
        <v>238</v>
      </c>
      <c r="E754" s="199" t="s">
        <v>11</v>
      </c>
      <c r="F754" s="199" t="s">
        <v>243</v>
      </c>
      <c r="G754" s="199" t="s">
        <v>9</v>
      </c>
      <c r="H754" s="20">
        <v>5644</v>
      </c>
      <c r="I754" s="20">
        <v>5644</v>
      </c>
      <c r="J754" s="20">
        <v>5644</v>
      </c>
      <c r="K754" s="20"/>
      <c r="L754" s="20"/>
      <c r="M754" s="20"/>
      <c r="N754" s="20"/>
      <c r="O754" s="20"/>
      <c r="P754" s="20"/>
      <c r="Q754" s="17"/>
      <c r="T754" s="20">
        <v>57.02</v>
      </c>
      <c r="U754" s="20">
        <v>0</v>
      </c>
      <c r="V754" s="20">
        <v>0</v>
      </c>
      <c r="W754" s="20">
        <f t="shared" si="23"/>
        <v>5586.98</v>
      </c>
      <c r="X754" s="20">
        <f t="shared" si="23"/>
        <v>5644</v>
      </c>
      <c r="Y754" s="20">
        <f t="shared" si="23"/>
        <v>5644</v>
      </c>
    </row>
    <row r="755" spans="1:25" s="16" customFormat="1" ht="63.75">
      <c r="A755" s="108" t="str">
        <f t="shared" si="22"/>
        <v>607080107 1 01 00000000</v>
      </c>
      <c r="B755" s="197" t="s">
        <v>244</v>
      </c>
      <c r="C755" s="198" t="s">
        <v>510</v>
      </c>
      <c r="D755" s="199" t="s">
        <v>238</v>
      </c>
      <c r="E755" s="199" t="s">
        <v>11</v>
      </c>
      <c r="F755" s="199" t="s">
        <v>245</v>
      </c>
      <c r="G755" s="199" t="s">
        <v>9</v>
      </c>
      <c r="H755" s="20">
        <v>5644</v>
      </c>
      <c r="I755" s="20">
        <v>5644</v>
      </c>
      <c r="J755" s="20">
        <v>5644</v>
      </c>
      <c r="K755" s="20"/>
      <c r="L755" s="20"/>
      <c r="M755" s="20"/>
      <c r="N755" s="20"/>
      <c r="O755" s="20"/>
      <c r="P755" s="20"/>
      <c r="Q755" s="17"/>
      <c r="T755" s="20">
        <v>57.02</v>
      </c>
      <c r="U755" s="20">
        <v>0</v>
      </c>
      <c r="V755" s="20">
        <v>0</v>
      </c>
      <c r="W755" s="20">
        <f t="shared" si="23"/>
        <v>5586.98</v>
      </c>
      <c r="X755" s="20">
        <f t="shared" si="23"/>
        <v>5644</v>
      </c>
      <c r="Y755" s="20">
        <f t="shared" si="23"/>
        <v>5644</v>
      </c>
    </row>
    <row r="756" spans="1:25" s="16" customFormat="1" ht="25.5">
      <c r="A756" s="108" t="str">
        <f t="shared" si="22"/>
        <v>607080107 1 01 20060000</v>
      </c>
      <c r="B756" s="197" t="s">
        <v>246</v>
      </c>
      <c r="C756" s="198" t="s">
        <v>510</v>
      </c>
      <c r="D756" s="199" t="s">
        <v>238</v>
      </c>
      <c r="E756" s="199" t="s">
        <v>11</v>
      </c>
      <c r="F756" s="199" t="s">
        <v>247</v>
      </c>
      <c r="G756" s="199" t="s">
        <v>9</v>
      </c>
      <c r="H756" s="20">
        <v>5644</v>
      </c>
      <c r="I756" s="20">
        <v>5644</v>
      </c>
      <c r="J756" s="20">
        <v>5644</v>
      </c>
      <c r="K756" s="20"/>
      <c r="L756" s="20"/>
      <c r="M756" s="20"/>
      <c r="N756" s="20"/>
      <c r="O756" s="20"/>
      <c r="P756" s="20"/>
      <c r="Q756" s="17"/>
      <c r="T756" s="20">
        <v>57.02</v>
      </c>
      <c r="U756" s="20">
        <v>0</v>
      </c>
      <c r="V756" s="20">
        <v>0</v>
      </c>
      <c r="W756" s="20">
        <f t="shared" si="23"/>
        <v>5586.98</v>
      </c>
      <c r="X756" s="20">
        <f t="shared" si="23"/>
        <v>5644</v>
      </c>
      <c r="Y756" s="20">
        <f t="shared" si="23"/>
        <v>5644</v>
      </c>
    </row>
    <row r="757" spans="1:25" s="16" customFormat="1">
      <c r="A757" s="108" t="str">
        <f t="shared" si="22"/>
        <v>607080107 1 01 20060610</v>
      </c>
      <c r="B757" s="205" t="s">
        <v>403</v>
      </c>
      <c r="C757" s="198" t="s">
        <v>510</v>
      </c>
      <c r="D757" s="199" t="s">
        <v>238</v>
      </c>
      <c r="E757" s="199" t="s">
        <v>11</v>
      </c>
      <c r="F757" s="199" t="s">
        <v>247</v>
      </c>
      <c r="G757" s="199" t="s">
        <v>404</v>
      </c>
      <c r="H757" s="20">
        <v>3172.5</v>
      </c>
      <c r="I757" s="20">
        <v>3172.5</v>
      </c>
      <c r="J757" s="20">
        <v>3172.5</v>
      </c>
      <c r="K757" s="20"/>
      <c r="L757" s="20"/>
      <c r="M757" s="20"/>
      <c r="N757" s="20"/>
      <c r="O757" s="20"/>
      <c r="P757" s="20"/>
      <c r="Q757" s="17"/>
      <c r="T757" s="20">
        <v>57.02</v>
      </c>
      <c r="U757" s="20">
        <v>0</v>
      </c>
      <c r="V757" s="20">
        <v>0</v>
      </c>
      <c r="W757" s="20">
        <f t="shared" si="23"/>
        <v>3115.48</v>
      </c>
      <c r="X757" s="20">
        <f t="shared" si="23"/>
        <v>3172.5</v>
      </c>
      <c r="Y757" s="20">
        <f t="shared" si="23"/>
        <v>3172.5</v>
      </c>
    </row>
    <row r="758" spans="1:25" s="16" customFormat="1">
      <c r="A758" s="108" t="str">
        <f t="shared" si="22"/>
        <v>607080107 1 01 20060620</v>
      </c>
      <c r="B758" s="205" t="s">
        <v>409</v>
      </c>
      <c r="C758" s="198" t="s">
        <v>510</v>
      </c>
      <c r="D758" s="199" t="s">
        <v>238</v>
      </c>
      <c r="E758" s="199" t="s">
        <v>11</v>
      </c>
      <c r="F758" s="199" t="s">
        <v>247</v>
      </c>
      <c r="G758" s="199" t="s">
        <v>410</v>
      </c>
      <c r="H758" s="20">
        <v>2471.5</v>
      </c>
      <c r="I758" s="20">
        <v>2471.5</v>
      </c>
      <c r="J758" s="20">
        <v>2471.5</v>
      </c>
      <c r="K758" s="19"/>
      <c r="L758" s="19"/>
      <c r="M758" s="19"/>
      <c r="N758" s="19"/>
      <c r="O758" s="19"/>
      <c r="P758" s="19"/>
      <c r="Q758" s="17"/>
      <c r="T758" s="19">
        <v>13610.46</v>
      </c>
      <c r="U758" s="19">
        <v>13610.46</v>
      </c>
      <c r="V758" s="19">
        <v>13610.46</v>
      </c>
      <c r="W758" s="19">
        <f t="shared" si="23"/>
        <v>-11138.96</v>
      </c>
      <c r="X758" s="19">
        <f t="shared" si="23"/>
        <v>-11138.96</v>
      </c>
      <c r="Y758" s="19">
        <f t="shared" si="23"/>
        <v>-11138.96</v>
      </c>
    </row>
    <row r="759" spans="1:25" s="16" customFormat="1">
      <c r="A759" s="108" t="str">
        <f t="shared" si="22"/>
        <v>607080107 2 00 00000000</v>
      </c>
      <c r="B759" s="197" t="s">
        <v>519</v>
      </c>
      <c r="C759" s="198" t="s">
        <v>510</v>
      </c>
      <c r="D759" s="199" t="s">
        <v>238</v>
      </c>
      <c r="E759" s="199" t="s">
        <v>11</v>
      </c>
      <c r="F759" s="199" t="s">
        <v>520</v>
      </c>
      <c r="G759" s="199" t="s">
        <v>9</v>
      </c>
      <c r="H759" s="20">
        <v>195078.81999999998</v>
      </c>
      <c r="I759" s="20">
        <v>175741.79</v>
      </c>
      <c r="J759" s="20">
        <v>176403.22</v>
      </c>
      <c r="K759" s="20"/>
      <c r="L759" s="20"/>
      <c r="M759" s="20"/>
      <c r="N759" s="20"/>
      <c r="O759" s="20"/>
      <c r="P759" s="20"/>
      <c r="Q759" s="17"/>
      <c r="T759" s="20">
        <v>13610.46</v>
      </c>
      <c r="U759" s="20">
        <v>13610.46</v>
      </c>
      <c r="V759" s="20">
        <v>13610.46</v>
      </c>
      <c r="W759" s="20">
        <f t="shared" si="23"/>
        <v>181468.36</v>
      </c>
      <c r="X759" s="20">
        <f t="shared" si="23"/>
        <v>162131.33000000002</v>
      </c>
      <c r="Y759" s="20">
        <f t="shared" si="23"/>
        <v>162792.76</v>
      </c>
    </row>
    <row r="760" spans="1:25" s="16" customFormat="1" ht="25.5">
      <c r="A760" s="108" t="str">
        <f t="shared" si="22"/>
        <v>607080107 2 02 00000000</v>
      </c>
      <c r="B760" s="197" t="s">
        <v>570</v>
      </c>
      <c r="C760" s="198" t="s">
        <v>510</v>
      </c>
      <c r="D760" s="199" t="s">
        <v>238</v>
      </c>
      <c r="E760" s="199" t="s">
        <v>11</v>
      </c>
      <c r="F760" s="199" t="s">
        <v>571</v>
      </c>
      <c r="G760" s="199" t="s">
        <v>9</v>
      </c>
      <c r="H760" s="20">
        <v>65214.22</v>
      </c>
      <c r="I760" s="20">
        <v>61284.66</v>
      </c>
      <c r="J760" s="20">
        <v>61284.66</v>
      </c>
      <c r="K760" s="20"/>
      <c r="L760" s="20"/>
      <c r="M760" s="20"/>
      <c r="N760" s="20"/>
      <c r="O760" s="20"/>
      <c r="P760" s="20"/>
      <c r="Q760" s="17"/>
      <c r="T760" s="20">
        <v>13450.46</v>
      </c>
      <c r="U760" s="20">
        <v>13450.46</v>
      </c>
      <c r="V760" s="20">
        <v>13450.46</v>
      </c>
      <c r="W760" s="20">
        <f t="shared" si="23"/>
        <v>51763.76</v>
      </c>
      <c r="X760" s="20">
        <f t="shared" si="23"/>
        <v>47834.200000000004</v>
      </c>
      <c r="Y760" s="20">
        <f t="shared" si="23"/>
        <v>47834.200000000004</v>
      </c>
    </row>
    <row r="761" spans="1:25" s="16" customFormat="1" ht="25.5">
      <c r="A761" s="108" t="str">
        <f t="shared" si="22"/>
        <v>607080107 2 02 11010000</v>
      </c>
      <c r="B761" s="197" t="s">
        <v>136</v>
      </c>
      <c r="C761" s="198" t="s">
        <v>510</v>
      </c>
      <c r="D761" s="199" t="s">
        <v>238</v>
      </c>
      <c r="E761" s="199" t="s">
        <v>11</v>
      </c>
      <c r="F761" s="199" t="s">
        <v>572</v>
      </c>
      <c r="G761" s="199" t="s">
        <v>9</v>
      </c>
      <c r="H761" s="20">
        <v>62967.81</v>
      </c>
      <c r="I761" s="20">
        <v>61284.66</v>
      </c>
      <c r="J761" s="20">
        <v>61284.66</v>
      </c>
      <c r="K761" s="20"/>
      <c r="L761" s="20"/>
      <c r="M761" s="20"/>
      <c r="N761" s="20"/>
      <c r="O761" s="20"/>
      <c r="P761" s="20"/>
      <c r="Q761" s="17"/>
      <c r="T761" s="20">
        <v>1480.34</v>
      </c>
      <c r="U761" s="20">
        <v>1480.34</v>
      </c>
      <c r="V761" s="20">
        <v>1480.34</v>
      </c>
      <c r="W761" s="20">
        <f t="shared" si="23"/>
        <v>61487.47</v>
      </c>
      <c r="X761" s="20">
        <f t="shared" si="23"/>
        <v>59804.320000000007</v>
      </c>
      <c r="Y761" s="20">
        <f t="shared" si="23"/>
        <v>59804.320000000007</v>
      </c>
    </row>
    <row r="762" spans="1:25" s="16" customFormat="1">
      <c r="A762" s="108" t="str">
        <f t="shared" si="22"/>
        <v>607080107 2 02 11010610</v>
      </c>
      <c r="B762" s="205" t="s">
        <v>403</v>
      </c>
      <c r="C762" s="198" t="s">
        <v>510</v>
      </c>
      <c r="D762" s="199" t="s">
        <v>238</v>
      </c>
      <c r="E762" s="199" t="s">
        <v>11</v>
      </c>
      <c r="F762" s="199" t="s">
        <v>572</v>
      </c>
      <c r="G762" s="199" t="s">
        <v>404</v>
      </c>
      <c r="H762" s="20">
        <v>40143.19</v>
      </c>
      <c r="I762" s="20">
        <v>40143.19</v>
      </c>
      <c r="J762" s="20">
        <v>40143.19</v>
      </c>
      <c r="K762" s="20"/>
      <c r="L762" s="20"/>
      <c r="M762" s="20"/>
      <c r="N762" s="20"/>
      <c r="O762" s="20"/>
      <c r="P762" s="20"/>
      <c r="Q762" s="17"/>
      <c r="T762" s="20">
        <v>357.33</v>
      </c>
      <c r="U762" s="20">
        <v>357.33</v>
      </c>
      <c r="V762" s="20">
        <v>357.33</v>
      </c>
      <c r="W762" s="20">
        <f t="shared" si="23"/>
        <v>39785.86</v>
      </c>
      <c r="X762" s="20">
        <f t="shared" si="23"/>
        <v>39785.86</v>
      </c>
      <c r="Y762" s="20">
        <f t="shared" si="23"/>
        <v>39785.86</v>
      </c>
    </row>
    <row r="763" spans="1:25" s="16" customFormat="1">
      <c r="A763" s="108" t="str">
        <f t="shared" si="22"/>
        <v>607080107 2 02 11010620</v>
      </c>
      <c r="B763" s="205" t="s">
        <v>409</v>
      </c>
      <c r="C763" s="198" t="s">
        <v>510</v>
      </c>
      <c r="D763" s="199" t="s">
        <v>238</v>
      </c>
      <c r="E763" s="199" t="s">
        <v>11</v>
      </c>
      <c r="F763" s="199" t="s">
        <v>572</v>
      </c>
      <c r="G763" s="199" t="s">
        <v>410</v>
      </c>
      <c r="H763" s="20">
        <v>22824.62</v>
      </c>
      <c r="I763" s="20">
        <v>21141.47</v>
      </c>
      <c r="J763" s="20">
        <v>21141.47</v>
      </c>
      <c r="K763" s="20"/>
      <c r="L763" s="20"/>
      <c r="M763" s="20"/>
      <c r="N763" s="20"/>
      <c r="O763" s="20"/>
      <c r="P763" s="20"/>
      <c r="Q763" s="17"/>
      <c r="T763" s="20">
        <v>941.81</v>
      </c>
      <c r="U763" s="20">
        <v>941.81</v>
      </c>
      <c r="V763" s="20">
        <v>941.81</v>
      </c>
      <c r="W763" s="20">
        <f t="shared" si="23"/>
        <v>21882.809999999998</v>
      </c>
      <c r="X763" s="20">
        <f t="shared" si="23"/>
        <v>20199.66</v>
      </c>
      <c r="Y763" s="20">
        <f t="shared" si="23"/>
        <v>20199.66</v>
      </c>
    </row>
    <row r="764" spans="1:25" s="16" customFormat="1" ht="38.25">
      <c r="A764" s="108" t="str">
        <f t="shared" si="22"/>
        <v>607080107 2 02 77090000</v>
      </c>
      <c r="B764" s="205" t="s">
        <v>1290</v>
      </c>
      <c r="C764" s="198" t="s">
        <v>510</v>
      </c>
      <c r="D764" s="199" t="s">
        <v>238</v>
      </c>
      <c r="E764" s="199" t="s">
        <v>11</v>
      </c>
      <c r="F764" s="199" t="s">
        <v>1291</v>
      </c>
      <c r="G764" s="199" t="s">
        <v>9</v>
      </c>
      <c r="H764" s="20">
        <v>2118.2600000000002</v>
      </c>
      <c r="I764" s="20">
        <v>0</v>
      </c>
      <c r="J764" s="20">
        <v>0</v>
      </c>
      <c r="K764" s="20"/>
      <c r="L764" s="20"/>
      <c r="M764" s="20"/>
      <c r="N764" s="20"/>
      <c r="O764" s="20"/>
      <c r="P764" s="20"/>
      <c r="Q764" s="17"/>
      <c r="T764" s="20">
        <v>181.2</v>
      </c>
      <c r="U764" s="20">
        <v>181.2</v>
      </c>
      <c r="V764" s="20">
        <v>181.2</v>
      </c>
      <c r="W764" s="20">
        <f t="shared" si="23"/>
        <v>1937.0600000000002</v>
      </c>
      <c r="X764" s="20">
        <f t="shared" si="23"/>
        <v>-181.2</v>
      </c>
      <c r="Y764" s="20">
        <f t="shared" si="23"/>
        <v>-181.2</v>
      </c>
    </row>
    <row r="765" spans="1:25" s="16" customFormat="1">
      <c r="A765" s="108" t="str">
        <f t="shared" si="22"/>
        <v>607080107 2 02 77090610</v>
      </c>
      <c r="B765" s="205" t="s">
        <v>403</v>
      </c>
      <c r="C765" s="198" t="s">
        <v>510</v>
      </c>
      <c r="D765" s="199" t="s">
        <v>238</v>
      </c>
      <c r="E765" s="199" t="s">
        <v>11</v>
      </c>
      <c r="F765" s="199" t="s">
        <v>1291</v>
      </c>
      <c r="G765" s="199" t="s">
        <v>404</v>
      </c>
      <c r="H765" s="20">
        <v>1675.44</v>
      </c>
      <c r="I765" s="20">
        <v>0</v>
      </c>
      <c r="J765" s="20">
        <v>0</v>
      </c>
      <c r="K765" s="20"/>
      <c r="L765" s="20"/>
      <c r="M765" s="20"/>
      <c r="N765" s="20"/>
      <c r="O765" s="20"/>
      <c r="P765" s="20"/>
      <c r="Q765" s="17"/>
      <c r="T765" s="20">
        <v>11970.119999999999</v>
      </c>
      <c r="U765" s="20">
        <v>11970.119999999999</v>
      </c>
      <c r="V765" s="20">
        <v>11970.119999999999</v>
      </c>
      <c r="W765" s="20">
        <f t="shared" si="23"/>
        <v>-10294.679999999998</v>
      </c>
      <c r="X765" s="20">
        <f t="shared" si="23"/>
        <v>-11970.119999999999</v>
      </c>
      <c r="Y765" s="20">
        <f t="shared" si="23"/>
        <v>-11970.119999999999</v>
      </c>
    </row>
    <row r="766" spans="1:25" s="16" customFormat="1">
      <c r="A766" s="108" t="str">
        <f t="shared" si="22"/>
        <v>607080107 2 02 77090620</v>
      </c>
      <c r="B766" s="205" t="s">
        <v>409</v>
      </c>
      <c r="C766" s="198" t="s">
        <v>510</v>
      </c>
      <c r="D766" s="199" t="s">
        <v>238</v>
      </c>
      <c r="E766" s="199" t="s">
        <v>11</v>
      </c>
      <c r="F766" s="199" t="s">
        <v>1291</v>
      </c>
      <c r="G766" s="199" t="s">
        <v>410</v>
      </c>
      <c r="H766" s="20">
        <v>442.82</v>
      </c>
      <c r="I766" s="20">
        <v>0</v>
      </c>
      <c r="J766" s="20">
        <v>0</v>
      </c>
      <c r="K766" s="20"/>
      <c r="L766" s="20"/>
      <c r="M766" s="20"/>
      <c r="N766" s="20"/>
      <c r="O766" s="20"/>
      <c r="P766" s="20"/>
      <c r="Q766" s="17"/>
      <c r="T766" s="20">
        <v>11970.119999999999</v>
      </c>
      <c r="U766" s="20">
        <v>11970.119999999999</v>
      </c>
      <c r="V766" s="20">
        <v>11970.119999999999</v>
      </c>
      <c r="W766" s="20">
        <f t="shared" si="23"/>
        <v>-11527.3</v>
      </c>
      <c r="X766" s="20">
        <f t="shared" si="23"/>
        <v>-11970.119999999999</v>
      </c>
      <c r="Y766" s="20">
        <f t="shared" si="23"/>
        <v>-11970.119999999999</v>
      </c>
    </row>
    <row r="767" spans="1:25" s="16" customFormat="1" ht="25.5">
      <c r="A767" s="108" t="str">
        <f t="shared" si="22"/>
        <v>607080107 2 02 S7090000</v>
      </c>
      <c r="B767" s="205" t="s">
        <v>1292</v>
      </c>
      <c r="C767" s="198" t="s">
        <v>510</v>
      </c>
      <c r="D767" s="199" t="s">
        <v>238</v>
      </c>
      <c r="E767" s="199" t="s">
        <v>11</v>
      </c>
      <c r="F767" s="199" t="s">
        <v>1293</v>
      </c>
      <c r="G767" s="199" t="s">
        <v>9</v>
      </c>
      <c r="H767" s="20">
        <v>128.15</v>
      </c>
      <c r="I767" s="20">
        <v>0</v>
      </c>
      <c r="J767" s="20">
        <v>0</v>
      </c>
      <c r="K767" s="20"/>
      <c r="L767" s="20"/>
      <c r="M767" s="20"/>
      <c r="N767" s="20"/>
      <c r="O767" s="20"/>
      <c r="P767" s="20"/>
      <c r="Q767" s="17"/>
      <c r="T767" s="20">
        <v>160</v>
      </c>
      <c r="U767" s="20">
        <v>160</v>
      </c>
      <c r="V767" s="20">
        <v>160</v>
      </c>
      <c r="W767" s="20">
        <f t="shared" si="23"/>
        <v>-31.849999999999994</v>
      </c>
      <c r="X767" s="20">
        <f t="shared" si="23"/>
        <v>-160</v>
      </c>
      <c r="Y767" s="20">
        <f t="shared" si="23"/>
        <v>-160</v>
      </c>
    </row>
    <row r="768" spans="1:25" s="16" customFormat="1">
      <c r="A768" s="108" t="str">
        <f t="shared" si="22"/>
        <v>607080107 2 02 S7090610</v>
      </c>
      <c r="B768" s="205" t="s">
        <v>403</v>
      </c>
      <c r="C768" s="198" t="s">
        <v>510</v>
      </c>
      <c r="D768" s="199" t="s">
        <v>238</v>
      </c>
      <c r="E768" s="199" t="s">
        <v>11</v>
      </c>
      <c r="F768" s="199" t="s">
        <v>1293</v>
      </c>
      <c r="G768" s="199" t="s">
        <v>404</v>
      </c>
      <c r="H768" s="20">
        <v>78.75</v>
      </c>
      <c r="I768" s="20">
        <v>0</v>
      </c>
      <c r="J768" s="20">
        <v>0</v>
      </c>
      <c r="K768" s="20"/>
      <c r="L768" s="20"/>
      <c r="M768" s="20"/>
      <c r="N768" s="20"/>
      <c r="O768" s="20"/>
      <c r="P768" s="20"/>
      <c r="Q768" s="17"/>
      <c r="T768" s="20">
        <v>160</v>
      </c>
      <c r="U768" s="20">
        <v>160</v>
      </c>
      <c r="V768" s="20">
        <v>160</v>
      </c>
      <c r="W768" s="20">
        <f t="shared" si="23"/>
        <v>-81.25</v>
      </c>
      <c r="X768" s="20">
        <f t="shared" si="23"/>
        <v>-160</v>
      </c>
      <c r="Y768" s="20">
        <f t="shared" si="23"/>
        <v>-160</v>
      </c>
    </row>
    <row r="769" spans="1:25" s="16" customFormat="1">
      <c r="A769" s="108" t="str">
        <f t="shared" si="22"/>
        <v>607080107 2 02 S7090620</v>
      </c>
      <c r="B769" s="205" t="s">
        <v>409</v>
      </c>
      <c r="C769" s="198" t="s">
        <v>510</v>
      </c>
      <c r="D769" s="199" t="s">
        <v>238</v>
      </c>
      <c r="E769" s="199" t="s">
        <v>11</v>
      </c>
      <c r="F769" s="199" t="s">
        <v>1293</v>
      </c>
      <c r="G769" s="199" t="s">
        <v>410</v>
      </c>
      <c r="H769" s="20">
        <v>49.4</v>
      </c>
      <c r="I769" s="20">
        <v>0</v>
      </c>
      <c r="J769" s="20">
        <v>0</v>
      </c>
      <c r="K769" s="20"/>
      <c r="L769" s="20"/>
      <c r="M769" s="20"/>
      <c r="N769" s="20"/>
      <c r="O769" s="20"/>
      <c r="P769" s="20"/>
      <c r="Q769" s="17"/>
      <c r="T769" s="20">
        <v>160</v>
      </c>
      <c r="U769" s="20">
        <v>160</v>
      </c>
      <c r="V769" s="20">
        <v>160</v>
      </c>
      <c r="W769" s="20">
        <f t="shared" si="23"/>
        <v>-110.6</v>
      </c>
      <c r="X769" s="20">
        <f t="shared" si="23"/>
        <v>-160</v>
      </c>
      <c r="Y769" s="20">
        <f t="shared" si="23"/>
        <v>-160</v>
      </c>
    </row>
    <row r="770" spans="1:25" s="16" customFormat="1" ht="25.5">
      <c r="A770" s="108" t="str">
        <f t="shared" si="22"/>
        <v>607080107 2 03 00000000</v>
      </c>
      <c r="B770" s="197" t="s">
        <v>573</v>
      </c>
      <c r="C770" s="198" t="s">
        <v>510</v>
      </c>
      <c r="D770" s="199" t="s">
        <v>238</v>
      </c>
      <c r="E770" s="199" t="s">
        <v>11</v>
      </c>
      <c r="F770" s="199" t="s">
        <v>574</v>
      </c>
      <c r="G770" s="199" t="s">
        <v>9</v>
      </c>
      <c r="H770" s="20">
        <v>3595.67</v>
      </c>
      <c r="I770" s="20">
        <v>3557.02</v>
      </c>
      <c r="J770" s="20">
        <v>3557.02</v>
      </c>
      <c r="K770" s="20"/>
      <c r="L770" s="20"/>
      <c r="M770" s="20"/>
      <c r="N770" s="20"/>
      <c r="O770" s="20"/>
      <c r="P770" s="20"/>
      <c r="Q770" s="17"/>
      <c r="T770" s="20"/>
      <c r="U770" s="20"/>
      <c r="V770" s="20"/>
      <c r="W770" s="20">
        <f t="shared" si="23"/>
        <v>3595.67</v>
      </c>
      <c r="X770" s="20">
        <f t="shared" si="23"/>
        <v>3557.02</v>
      </c>
      <c r="Y770" s="20">
        <f t="shared" si="23"/>
        <v>3557.02</v>
      </c>
    </row>
    <row r="771" spans="1:25" s="13" customFormat="1" ht="25.5">
      <c r="A771" s="108" t="str">
        <f t="shared" si="22"/>
        <v>607080107 2 03 11010000</v>
      </c>
      <c r="B771" s="197" t="s">
        <v>136</v>
      </c>
      <c r="C771" s="198" t="s">
        <v>510</v>
      </c>
      <c r="D771" s="199" t="s">
        <v>238</v>
      </c>
      <c r="E771" s="199" t="s">
        <v>11</v>
      </c>
      <c r="F771" s="199" t="s">
        <v>575</v>
      </c>
      <c r="G771" s="199" t="s">
        <v>9</v>
      </c>
      <c r="H771" s="20">
        <v>3557.02</v>
      </c>
      <c r="I771" s="20">
        <v>3557.02</v>
      </c>
      <c r="J771" s="20">
        <v>3557.02</v>
      </c>
      <c r="K771" s="35"/>
      <c r="L771" s="35"/>
      <c r="M771" s="35"/>
      <c r="N771" s="35"/>
      <c r="O771" s="35"/>
      <c r="P771" s="35"/>
      <c r="Q771" s="17"/>
      <c r="T771" s="35">
        <v>1859360.6500000001</v>
      </c>
      <c r="U771" s="35">
        <v>1920934.9</v>
      </c>
      <c r="V771" s="35">
        <v>1970574.1000000003</v>
      </c>
      <c r="W771" s="35">
        <f t="shared" si="23"/>
        <v>-1855803.6300000001</v>
      </c>
      <c r="X771" s="35">
        <f t="shared" si="23"/>
        <v>-1917377.88</v>
      </c>
      <c r="Y771" s="35">
        <f t="shared" si="23"/>
        <v>-1967017.0800000003</v>
      </c>
    </row>
    <row r="772" spans="1:25" s="29" customFormat="1">
      <c r="A772" s="108" t="str">
        <f t="shared" si="22"/>
        <v>607080107 2 03 11010610</v>
      </c>
      <c r="B772" s="205" t="s">
        <v>403</v>
      </c>
      <c r="C772" s="198" t="s">
        <v>510</v>
      </c>
      <c r="D772" s="199" t="s">
        <v>238</v>
      </c>
      <c r="E772" s="199" t="s">
        <v>11</v>
      </c>
      <c r="F772" s="199" t="s">
        <v>575</v>
      </c>
      <c r="G772" s="199" t="s">
        <v>404</v>
      </c>
      <c r="H772" s="20">
        <v>3557.02</v>
      </c>
      <c r="I772" s="20">
        <v>3557.02</v>
      </c>
      <c r="J772" s="20">
        <v>3557.02</v>
      </c>
      <c r="K772" s="18"/>
      <c r="L772" s="18"/>
      <c r="M772" s="18"/>
      <c r="N772" s="18"/>
      <c r="O772" s="18"/>
      <c r="P772" s="18"/>
      <c r="Q772" s="17"/>
      <c r="T772" s="18">
        <v>6.98</v>
      </c>
      <c r="U772" s="18">
        <v>6.98</v>
      </c>
      <c r="V772" s="18">
        <v>6.98</v>
      </c>
      <c r="W772" s="18">
        <f t="shared" si="23"/>
        <v>3550.04</v>
      </c>
      <c r="X772" s="18">
        <f t="shared" si="23"/>
        <v>3550.04</v>
      </c>
      <c r="Y772" s="18">
        <f t="shared" si="23"/>
        <v>3550.04</v>
      </c>
    </row>
    <row r="773" spans="1:25" s="29" customFormat="1" ht="38.25">
      <c r="A773" s="108" t="str">
        <f t="shared" si="22"/>
        <v>607080107 2 03 77090000</v>
      </c>
      <c r="B773" s="205" t="s">
        <v>1290</v>
      </c>
      <c r="C773" s="198" t="s">
        <v>510</v>
      </c>
      <c r="D773" s="199" t="s">
        <v>238</v>
      </c>
      <c r="E773" s="199" t="s">
        <v>11</v>
      </c>
      <c r="F773" s="199" t="s">
        <v>1294</v>
      </c>
      <c r="G773" s="199" t="s">
        <v>9</v>
      </c>
      <c r="H773" s="20">
        <v>35</v>
      </c>
      <c r="I773" s="20">
        <v>0</v>
      </c>
      <c r="J773" s="20">
        <v>0</v>
      </c>
      <c r="K773" s="19"/>
      <c r="L773" s="19"/>
      <c r="M773" s="19"/>
      <c r="N773" s="19"/>
      <c r="O773" s="19"/>
      <c r="P773" s="19"/>
      <c r="Q773" s="17"/>
      <c r="T773" s="19">
        <v>6.98</v>
      </c>
      <c r="U773" s="19">
        <v>6.98</v>
      </c>
      <c r="V773" s="19">
        <v>6.98</v>
      </c>
      <c r="W773" s="19">
        <f t="shared" si="23"/>
        <v>28.02</v>
      </c>
      <c r="X773" s="19">
        <f t="shared" si="23"/>
        <v>-6.98</v>
      </c>
      <c r="Y773" s="19">
        <f t="shared" si="23"/>
        <v>-6.98</v>
      </c>
    </row>
    <row r="774" spans="1:25" s="29" customFormat="1">
      <c r="A774" s="108" t="str">
        <f t="shared" ref="A774:A837" si="24">C774&amp;D774&amp;E774&amp;F774&amp;G774</f>
        <v>607080107 2 03 77090610</v>
      </c>
      <c r="B774" s="205" t="s">
        <v>403</v>
      </c>
      <c r="C774" s="198" t="s">
        <v>510</v>
      </c>
      <c r="D774" s="199" t="s">
        <v>238</v>
      </c>
      <c r="E774" s="199" t="s">
        <v>11</v>
      </c>
      <c r="F774" s="199" t="s">
        <v>1294</v>
      </c>
      <c r="G774" s="199" t="s">
        <v>404</v>
      </c>
      <c r="H774" s="20">
        <v>35</v>
      </c>
      <c r="I774" s="20">
        <v>0</v>
      </c>
      <c r="J774" s="20">
        <v>0</v>
      </c>
      <c r="K774" s="20"/>
      <c r="L774" s="20"/>
      <c r="M774" s="20"/>
      <c r="N774" s="20"/>
      <c r="O774" s="20"/>
      <c r="P774" s="20"/>
      <c r="Q774" s="17"/>
      <c r="T774" s="20">
        <v>6.98</v>
      </c>
      <c r="U774" s="20">
        <v>6.98</v>
      </c>
      <c r="V774" s="20">
        <v>6.98</v>
      </c>
      <c r="W774" s="20">
        <f t="shared" si="23"/>
        <v>28.02</v>
      </c>
      <c r="X774" s="20">
        <f t="shared" si="23"/>
        <v>-6.98</v>
      </c>
      <c r="Y774" s="20">
        <f t="shared" si="23"/>
        <v>-6.98</v>
      </c>
    </row>
    <row r="775" spans="1:25" s="29" customFormat="1" ht="25.5">
      <c r="A775" s="108" t="str">
        <f t="shared" si="24"/>
        <v>607080107 2 03 S7090000</v>
      </c>
      <c r="B775" s="205" t="s">
        <v>1292</v>
      </c>
      <c r="C775" s="198" t="s">
        <v>510</v>
      </c>
      <c r="D775" s="199" t="s">
        <v>238</v>
      </c>
      <c r="E775" s="199" t="s">
        <v>11</v>
      </c>
      <c r="F775" s="199" t="s">
        <v>1295</v>
      </c>
      <c r="G775" s="199" t="s">
        <v>9</v>
      </c>
      <c r="H775" s="20">
        <v>3.65</v>
      </c>
      <c r="I775" s="20">
        <v>0</v>
      </c>
      <c r="J775" s="20">
        <v>0</v>
      </c>
      <c r="K775" s="20"/>
      <c r="L775" s="20"/>
      <c r="M775" s="20"/>
      <c r="N775" s="20"/>
      <c r="O775" s="20"/>
      <c r="P775" s="20"/>
      <c r="Q775" s="17"/>
      <c r="T775" s="20">
        <v>6.98</v>
      </c>
      <c r="U775" s="20">
        <v>6.98</v>
      </c>
      <c r="V775" s="20">
        <v>6.98</v>
      </c>
      <c r="W775" s="20">
        <f t="shared" si="23"/>
        <v>-3.3300000000000005</v>
      </c>
      <c r="X775" s="20">
        <f t="shared" si="23"/>
        <v>-6.98</v>
      </c>
      <c r="Y775" s="20">
        <f t="shared" si="23"/>
        <v>-6.98</v>
      </c>
    </row>
    <row r="776" spans="1:25" s="29" customFormat="1">
      <c r="A776" s="108" t="str">
        <f t="shared" si="24"/>
        <v>607080107 2 03 S7090610</v>
      </c>
      <c r="B776" s="205" t="s">
        <v>403</v>
      </c>
      <c r="C776" s="198" t="s">
        <v>510</v>
      </c>
      <c r="D776" s="199" t="s">
        <v>238</v>
      </c>
      <c r="E776" s="199" t="s">
        <v>11</v>
      </c>
      <c r="F776" s="199" t="s">
        <v>1295</v>
      </c>
      <c r="G776" s="199" t="s">
        <v>404</v>
      </c>
      <c r="H776" s="20">
        <v>3.65</v>
      </c>
      <c r="I776" s="20">
        <v>0</v>
      </c>
      <c r="J776" s="20">
        <v>0</v>
      </c>
      <c r="K776" s="20"/>
      <c r="L776" s="20"/>
      <c r="M776" s="20"/>
      <c r="N776" s="20"/>
      <c r="O776" s="20"/>
      <c r="P776" s="20"/>
      <c r="Q776" s="17"/>
      <c r="T776" s="20">
        <v>6.98</v>
      </c>
      <c r="U776" s="20">
        <v>6.98</v>
      </c>
      <c r="V776" s="20">
        <v>6.98</v>
      </c>
      <c r="W776" s="20">
        <f t="shared" ref="W776:Y839" si="25">H776-T776</f>
        <v>-3.3300000000000005</v>
      </c>
      <c r="X776" s="20">
        <f t="shared" si="25"/>
        <v>-6.98</v>
      </c>
      <c r="Y776" s="20">
        <f t="shared" si="25"/>
        <v>-6.98</v>
      </c>
    </row>
    <row r="777" spans="1:25" s="13" customFormat="1" ht="38.25">
      <c r="A777" s="108" t="str">
        <f t="shared" si="24"/>
        <v>607080107 2 04 00000000</v>
      </c>
      <c r="B777" s="197" t="s">
        <v>576</v>
      </c>
      <c r="C777" s="198" t="s">
        <v>510</v>
      </c>
      <c r="D777" s="199" t="s">
        <v>238</v>
      </c>
      <c r="E777" s="199" t="s">
        <v>11</v>
      </c>
      <c r="F777" s="199" t="s">
        <v>577</v>
      </c>
      <c r="G777" s="199" t="s">
        <v>9</v>
      </c>
      <c r="H777" s="20">
        <v>54130.89</v>
      </c>
      <c r="I777" s="20">
        <v>50816.57</v>
      </c>
      <c r="J777" s="20">
        <v>50816.57</v>
      </c>
      <c r="K777" s="20"/>
      <c r="L777" s="20"/>
      <c r="M777" s="20"/>
      <c r="N777" s="20"/>
      <c r="O777" s="20"/>
      <c r="P777" s="20"/>
      <c r="Q777" s="17"/>
      <c r="T777" s="20">
        <v>6.98</v>
      </c>
      <c r="U777" s="20">
        <v>6.98</v>
      </c>
      <c r="V777" s="20">
        <v>6.98</v>
      </c>
      <c r="W777" s="20">
        <f t="shared" si="25"/>
        <v>54123.909999999996</v>
      </c>
      <c r="X777" s="20">
        <f t="shared" si="25"/>
        <v>50809.59</v>
      </c>
      <c r="Y777" s="20">
        <f t="shared" si="25"/>
        <v>50809.59</v>
      </c>
    </row>
    <row r="778" spans="1:25" s="13" customFormat="1" ht="25.5">
      <c r="A778" s="108" t="str">
        <f t="shared" si="24"/>
        <v>607080107 2 04 11010000</v>
      </c>
      <c r="B778" s="197" t="s">
        <v>136</v>
      </c>
      <c r="C778" s="198" t="s">
        <v>510</v>
      </c>
      <c r="D778" s="199" t="s">
        <v>238</v>
      </c>
      <c r="E778" s="199" t="s">
        <v>11</v>
      </c>
      <c r="F778" s="199" t="s">
        <v>578</v>
      </c>
      <c r="G778" s="199" t="s">
        <v>9</v>
      </c>
      <c r="H778" s="20">
        <v>49039.27</v>
      </c>
      <c r="I778" s="20">
        <v>49039.27</v>
      </c>
      <c r="J778" s="20">
        <v>49039.27</v>
      </c>
      <c r="K778" s="20"/>
      <c r="L778" s="20"/>
      <c r="M778" s="20"/>
      <c r="N778" s="20"/>
      <c r="O778" s="20"/>
      <c r="P778" s="20"/>
      <c r="Q778" s="17"/>
      <c r="T778" s="20">
        <v>6.98</v>
      </c>
      <c r="U778" s="20">
        <v>6.98</v>
      </c>
      <c r="V778" s="20">
        <v>6.98</v>
      </c>
      <c r="W778" s="20">
        <f t="shared" si="25"/>
        <v>49032.289999999994</v>
      </c>
      <c r="X778" s="20">
        <f t="shared" si="25"/>
        <v>49032.289999999994</v>
      </c>
      <c r="Y778" s="20">
        <f t="shared" si="25"/>
        <v>49032.289999999994</v>
      </c>
    </row>
    <row r="779" spans="1:25" s="13" customFormat="1">
      <c r="A779" s="108" t="str">
        <f t="shared" si="24"/>
        <v>607080107 2 04 11010610</v>
      </c>
      <c r="B779" s="205" t="s">
        <v>403</v>
      </c>
      <c r="C779" s="198" t="s">
        <v>510</v>
      </c>
      <c r="D779" s="199" t="s">
        <v>238</v>
      </c>
      <c r="E779" s="199" t="s">
        <v>11</v>
      </c>
      <c r="F779" s="199" t="s">
        <v>578</v>
      </c>
      <c r="G779" s="199" t="s">
        <v>404</v>
      </c>
      <c r="H779" s="20">
        <v>49039.27</v>
      </c>
      <c r="I779" s="20">
        <v>49039.27</v>
      </c>
      <c r="J779" s="20">
        <v>49039.27</v>
      </c>
      <c r="K779" s="18"/>
      <c r="L779" s="18"/>
      <c r="M779" s="18"/>
      <c r="N779" s="18"/>
      <c r="O779" s="18"/>
      <c r="P779" s="18"/>
      <c r="Q779" s="17"/>
      <c r="T779" s="18">
        <v>2704.98</v>
      </c>
      <c r="U779" s="18">
        <v>2704.98</v>
      </c>
      <c r="V779" s="18">
        <v>2704.98</v>
      </c>
      <c r="W779" s="18">
        <f t="shared" si="25"/>
        <v>46334.289999999994</v>
      </c>
      <c r="X779" s="18">
        <f t="shared" si="25"/>
        <v>46334.289999999994</v>
      </c>
      <c r="Y779" s="18">
        <f t="shared" si="25"/>
        <v>46334.289999999994</v>
      </c>
    </row>
    <row r="780" spans="1:25" s="13" customFormat="1" ht="38.25">
      <c r="A780" s="108" t="str">
        <f t="shared" si="24"/>
        <v>607080107 2 04 77090000</v>
      </c>
      <c r="B780" s="205" t="s">
        <v>1290</v>
      </c>
      <c r="C780" s="198" t="s">
        <v>510</v>
      </c>
      <c r="D780" s="199" t="s">
        <v>238</v>
      </c>
      <c r="E780" s="199" t="s">
        <v>11</v>
      </c>
      <c r="F780" s="199" t="s">
        <v>1296</v>
      </c>
      <c r="G780" s="199" t="s">
        <v>9</v>
      </c>
      <c r="H780" s="20">
        <v>3035.2</v>
      </c>
      <c r="I780" s="20">
        <v>0</v>
      </c>
      <c r="J780" s="20">
        <v>0</v>
      </c>
      <c r="K780" s="19"/>
      <c r="L780" s="19"/>
      <c r="M780" s="19"/>
      <c r="N780" s="19"/>
      <c r="O780" s="19"/>
      <c r="P780" s="19"/>
      <c r="Q780" s="17"/>
      <c r="T780" s="19">
        <v>2704.98</v>
      </c>
      <c r="U780" s="19">
        <v>2704.98</v>
      </c>
      <c r="V780" s="19">
        <v>2704.98</v>
      </c>
      <c r="W780" s="19">
        <f t="shared" si="25"/>
        <v>330.2199999999998</v>
      </c>
      <c r="X780" s="19">
        <f t="shared" si="25"/>
        <v>-2704.98</v>
      </c>
      <c r="Y780" s="19">
        <f t="shared" si="25"/>
        <v>-2704.98</v>
      </c>
    </row>
    <row r="781" spans="1:25" s="13" customFormat="1">
      <c r="A781" s="108" t="str">
        <f t="shared" si="24"/>
        <v>607080107 2 04 77090610</v>
      </c>
      <c r="B781" s="205" t="s">
        <v>403</v>
      </c>
      <c r="C781" s="198" t="s">
        <v>510</v>
      </c>
      <c r="D781" s="199" t="s">
        <v>238</v>
      </c>
      <c r="E781" s="199" t="s">
        <v>11</v>
      </c>
      <c r="F781" s="199" t="s">
        <v>1296</v>
      </c>
      <c r="G781" s="199" t="s">
        <v>404</v>
      </c>
      <c r="H781" s="20">
        <v>3035.2</v>
      </c>
      <c r="I781" s="20">
        <v>0</v>
      </c>
      <c r="J781" s="20">
        <v>0</v>
      </c>
      <c r="K781" s="20"/>
      <c r="L781" s="20"/>
      <c r="M781" s="20"/>
      <c r="N781" s="20"/>
      <c r="O781" s="20"/>
      <c r="P781" s="20"/>
      <c r="Q781" s="17"/>
      <c r="T781" s="20">
        <v>2704.98</v>
      </c>
      <c r="U781" s="20">
        <v>2704.98</v>
      </c>
      <c r="V781" s="20">
        <v>2704.98</v>
      </c>
      <c r="W781" s="20">
        <f t="shared" si="25"/>
        <v>330.2199999999998</v>
      </c>
      <c r="X781" s="20">
        <f t="shared" si="25"/>
        <v>-2704.98</v>
      </c>
      <c r="Y781" s="20">
        <f t="shared" si="25"/>
        <v>-2704.98</v>
      </c>
    </row>
    <row r="782" spans="1:25" s="13" customFormat="1" ht="25.5">
      <c r="A782" s="108" t="str">
        <f t="shared" si="24"/>
        <v>607080107 2 04 L5194000</v>
      </c>
      <c r="B782" s="205" t="s">
        <v>1297</v>
      </c>
      <c r="C782" s="198" t="s">
        <v>510</v>
      </c>
      <c r="D782" s="199" t="s">
        <v>238</v>
      </c>
      <c r="E782" s="199" t="s">
        <v>11</v>
      </c>
      <c r="F782" s="199" t="s">
        <v>580</v>
      </c>
      <c r="G782" s="199" t="s">
        <v>9</v>
      </c>
      <c r="H782" s="20">
        <v>1920.44</v>
      </c>
      <c r="I782" s="20">
        <v>1777.3</v>
      </c>
      <c r="J782" s="20">
        <v>1777.3</v>
      </c>
      <c r="K782" s="20"/>
      <c r="L782" s="20"/>
      <c r="M782" s="20"/>
      <c r="N782" s="20"/>
      <c r="O782" s="20"/>
      <c r="P782" s="20"/>
      <c r="Q782" s="17"/>
      <c r="T782" s="20">
        <v>2704.98</v>
      </c>
      <c r="U782" s="20">
        <v>2704.98</v>
      </c>
      <c r="V782" s="20">
        <v>2704.98</v>
      </c>
      <c r="W782" s="20">
        <f t="shared" si="25"/>
        <v>-784.54</v>
      </c>
      <c r="X782" s="20">
        <f t="shared" si="25"/>
        <v>-927.68000000000006</v>
      </c>
      <c r="Y782" s="20">
        <f t="shared" si="25"/>
        <v>-927.68000000000006</v>
      </c>
    </row>
    <row r="783" spans="1:25" s="13" customFormat="1">
      <c r="A783" s="108" t="str">
        <f t="shared" si="24"/>
        <v/>
      </c>
      <c r="B783" s="205" t="s">
        <v>1045</v>
      </c>
      <c r="C783" s="198"/>
      <c r="D783" s="199"/>
      <c r="E783" s="199"/>
      <c r="F783" s="199"/>
      <c r="G783" s="199"/>
      <c r="H783" s="20"/>
      <c r="I783" s="20"/>
      <c r="J783" s="20"/>
      <c r="K783" s="20"/>
      <c r="L783" s="20"/>
      <c r="M783" s="20"/>
      <c r="N783" s="20"/>
      <c r="O783" s="20"/>
      <c r="P783" s="20"/>
      <c r="Q783" s="17"/>
      <c r="T783" s="20">
        <v>2704.98</v>
      </c>
      <c r="U783" s="20">
        <v>2704.98</v>
      </c>
      <c r="V783" s="20">
        <v>2704.98</v>
      </c>
      <c r="W783" s="20">
        <f t="shared" si="25"/>
        <v>-2704.98</v>
      </c>
      <c r="X783" s="20">
        <f t="shared" si="25"/>
        <v>-2704.98</v>
      </c>
      <c r="Y783" s="20">
        <f t="shared" si="25"/>
        <v>-2704.98</v>
      </c>
    </row>
    <row r="784" spans="1:25" s="13" customFormat="1">
      <c r="A784" s="108" t="str">
        <f t="shared" si="24"/>
        <v>607080107 2 04 L5194000</v>
      </c>
      <c r="B784" s="197" t="s">
        <v>1050</v>
      </c>
      <c r="C784" s="198" t="s">
        <v>510</v>
      </c>
      <c r="D784" s="199" t="s">
        <v>238</v>
      </c>
      <c r="E784" s="199" t="s">
        <v>11</v>
      </c>
      <c r="F784" s="199" t="s">
        <v>580</v>
      </c>
      <c r="G784" s="199" t="s">
        <v>9</v>
      </c>
      <c r="H784" s="20">
        <v>1122.0999999999999</v>
      </c>
      <c r="I784" s="20">
        <v>1777.3</v>
      </c>
      <c r="J784" s="20">
        <v>1777.3</v>
      </c>
      <c r="K784" s="20"/>
      <c r="L784" s="20"/>
      <c r="M784" s="20"/>
      <c r="N784" s="20"/>
      <c r="O784" s="20"/>
      <c r="P784" s="20"/>
      <c r="Q784" s="17"/>
      <c r="T784" s="20">
        <v>2704.98</v>
      </c>
      <c r="U784" s="20">
        <v>2704.98</v>
      </c>
      <c r="V784" s="20">
        <v>2704.98</v>
      </c>
      <c r="W784" s="20">
        <f t="shared" si="25"/>
        <v>-1582.88</v>
      </c>
      <c r="X784" s="20">
        <f t="shared" si="25"/>
        <v>-927.68000000000006</v>
      </c>
      <c r="Y784" s="20">
        <f t="shared" si="25"/>
        <v>-927.68000000000006</v>
      </c>
    </row>
    <row r="785" spans="1:25" s="13" customFormat="1">
      <c r="A785" s="108" t="str">
        <f t="shared" si="24"/>
        <v>607080107 2 04 L5194000</v>
      </c>
      <c r="B785" s="197" t="s">
        <v>1298</v>
      </c>
      <c r="C785" s="198" t="s">
        <v>510</v>
      </c>
      <c r="D785" s="199" t="s">
        <v>238</v>
      </c>
      <c r="E785" s="199" t="s">
        <v>11</v>
      </c>
      <c r="F785" s="199" t="s">
        <v>580</v>
      </c>
      <c r="G785" s="199" t="s">
        <v>9</v>
      </c>
      <c r="H785" s="20">
        <v>798.34</v>
      </c>
      <c r="I785" s="20">
        <v>0</v>
      </c>
      <c r="J785" s="20">
        <v>0</v>
      </c>
      <c r="K785" s="20"/>
      <c r="L785" s="20"/>
      <c r="M785" s="20"/>
      <c r="N785" s="20"/>
      <c r="O785" s="20"/>
      <c r="P785" s="20"/>
      <c r="Q785" s="17"/>
      <c r="T785" s="20">
        <v>2704.98</v>
      </c>
      <c r="U785" s="20">
        <v>2704.98</v>
      </c>
      <c r="V785" s="20">
        <v>2704.98</v>
      </c>
      <c r="W785" s="20">
        <f t="shared" si="25"/>
        <v>-1906.6399999999999</v>
      </c>
      <c r="X785" s="20">
        <f t="shared" si="25"/>
        <v>-2704.98</v>
      </c>
      <c r="Y785" s="20">
        <f t="shared" si="25"/>
        <v>-2704.98</v>
      </c>
    </row>
    <row r="786" spans="1:25" s="17" customFormat="1">
      <c r="A786" s="108" t="str">
        <f t="shared" si="24"/>
        <v>607080107 2 04 L5194610</v>
      </c>
      <c r="B786" s="205" t="s">
        <v>403</v>
      </c>
      <c r="C786" s="198" t="s">
        <v>510</v>
      </c>
      <c r="D786" s="199" t="s">
        <v>238</v>
      </c>
      <c r="E786" s="199" t="s">
        <v>11</v>
      </c>
      <c r="F786" s="199" t="s">
        <v>580</v>
      </c>
      <c r="G786" s="199" t="s">
        <v>404</v>
      </c>
      <c r="H786" s="20">
        <v>1920.44</v>
      </c>
      <c r="I786" s="20">
        <v>1777.3</v>
      </c>
      <c r="J786" s="20">
        <v>1777.3</v>
      </c>
      <c r="K786" s="18"/>
      <c r="L786" s="18"/>
      <c r="M786" s="18"/>
      <c r="N786" s="18"/>
      <c r="O786" s="18"/>
      <c r="P786" s="18"/>
      <c r="T786" s="18">
        <v>1856648.6900000002</v>
      </c>
      <c r="U786" s="18">
        <v>1918222.94</v>
      </c>
      <c r="V786" s="18">
        <v>1967862.1400000004</v>
      </c>
      <c r="W786" s="18">
        <f t="shared" si="25"/>
        <v>-1854728.2500000002</v>
      </c>
      <c r="X786" s="18">
        <f t="shared" si="25"/>
        <v>-1916445.64</v>
      </c>
      <c r="Y786" s="18">
        <f t="shared" si="25"/>
        <v>-1966084.8400000003</v>
      </c>
    </row>
    <row r="787" spans="1:25" s="17" customFormat="1" ht="25.5">
      <c r="A787" s="108" t="str">
        <f t="shared" si="24"/>
        <v>607080107 2 04 S7090000</v>
      </c>
      <c r="B787" s="205" t="s">
        <v>1292</v>
      </c>
      <c r="C787" s="198" t="s">
        <v>510</v>
      </c>
      <c r="D787" s="199" t="s">
        <v>238</v>
      </c>
      <c r="E787" s="199" t="s">
        <v>11</v>
      </c>
      <c r="F787" s="199" t="s">
        <v>1299</v>
      </c>
      <c r="G787" s="199" t="s">
        <v>9</v>
      </c>
      <c r="H787" s="20">
        <v>135.97999999999999</v>
      </c>
      <c r="I787" s="20">
        <v>0</v>
      </c>
      <c r="J787" s="20">
        <v>0</v>
      </c>
      <c r="K787" s="19"/>
      <c r="L787" s="19"/>
      <c r="M787" s="19"/>
      <c r="N787" s="19"/>
      <c r="O787" s="19"/>
      <c r="P787" s="19"/>
      <c r="T787" s="19">
        <v>1548698.7</v>
      </c>
      <c r="U787" s="19">
        <v>1612381.46</v>
      </c>
      <c r="V787" s="19">
        <v>1661982.6000000003</v>
      </c>
      <c r="W787" s="19">
        <f t="shared" si="25"/>
        <v>-1548562.72</v>
      </c>
      <c r="X787" s="19">
        <f t="shared" si="25"/>
        <v>-1612381.46</v>
      </c>
      <c r="Y787" s="19">
        <f t="shared" si="25"/>
        <v>-1661982.6000000003</v>
      </c>
    </row>
    <row r="788" spans="1:25" s="17" customFormat="1">
      <c r="A788" s="108" t="str">
        <f t="shared" si="24"/>
        <v>607080107 2 04 S7090610</v>
      </c>
      <c r="B788" s="205" t="s">
        <v>403</v>
      </c>
      <c r="C788" s="198" t="s">
        <v>510</v>
      </c>
      <c r="D788" s="199" t="s">
        <v>238</v>
      </c>
      <c r="E788" s="199" t="s">
        <v>11</v>
      </c>
      <c r="F788" s="199" t="s">
        <v>1299</v>
      </c>
      <c r="G788" s="199" t="s">
        <v>404</v>
      </c>
      <c r="H788" s="20">
        <v>135.97999999999999</v>
      </c>
      <c r="I788" s="20">
        <v>0</v>
      </c>
      <c r="J788" s="20">
        <v>0</v>
      </c>
      <c r="K788" s="36"/>
      <c r="L788" s="36"/>
      <c r="M788" s="36"/>
      <c r="N788" s="36"/>
      <c r="O788" s="36"/>
      <c r="P788" s="36"/>
      <c r="T788" s="36">
        <v>1548698.7</v>
      </c>
      <c r="U788" s="36">
        <v>1612381.46</v>
      </c>
      <c r="V788" s="36">
        <v>1661982.6000000003</v>
      </c>
      <c r="W788" s="36">
        <f t="shared" si="25"/>
        <v>-1548562.72</v>
      </c>
      <c r="X788" s="36">
        <f t="shared" si="25"/>
        <v>-1612381.46</v>
      </c>
      <c r="Y788" s="36">
        <f t="shared" si="25"/>
        <v>-1661982.6000000003</v>
      </c>
    </row>
    <row r="789" spans="1:25" s="17" customFormat="1" ht="38.25">
      <c r="A789" s="108" t="str">
        <f t="shared" si="24"/>
        <v>607080107 2 05 00000000</v>
      </c>
      <c r="B789" s="197" t="s">
        <v>581</v>
      </c>
      <c r="C789" s="198" t="s">
        <v>510</v>
      </c>
      <c r="D789" s="199" t="s">
        <v>238</v>
      </c>
      <c r="E789" s="199" t="s">
        <v>11</v>
      </c>
      <c r="F789" s="199" t="s">
        <v>582</v>
      </c>
      <c r="G789" s="199" t="s">
        <v>9</v>
      </c>
      <c r="H789" s="20">
        <v>58660.97</v>
      </c>
      <c r="I789" s="20">
        <v>57181.409999999996</v>
      </c>
      <c r="J789" s="20">
        <v>57181.409999999996</v>
      </c>
      <c r="K789" s="36"/>
      <c r="L789" s="36"/>
      <c r="M789" s="36"/>
      <c r="N789" s="36"/>
      <c r="O789" s="36"/>
      <c r="P789" s="36"/>
      <c r="T789" s="36">
        <v>1525369.46</v>
      </c>
      <c r="U789" s="36">
        <v>1588986.22</v>
      </c>
      <c r="V789" s="36">
        <v>1608541.0100000002</v>
      </c>
      <c r="W789" s="36">
        <f t="shared" si="25"/>
        <v>-1466708.49</v>
      </c>
      <c r="X789" s="36">
        <f t="shared" si="25"/>
        <v>-1531804.81</v>
      </c>
      <c r="Y789" s="36">
        <f t="shared" si="25"/>
        <v>-1551359.6000000003</v>
      </c>
    </row>
    <row r="790" spans="1:25" s="17" customFormat="1" ht="25.5">
      <c r="A790" s="108" t="str">
        <f t="shared" si="24"/>
        <v>607080107 2 05 11010000</v>
      </c>
      <c r="B790" s="197" t="s">
        <v>136</v>
      </c>
      <c r="C790" s="198" t="s">
        <v>510</v>
      </c>
      <c r="D790" s="199" t="s">
        <v>238</v>
      </c>
      <c r="E790" s="199" t="s">
        <v>11</v>
      </c>
      <c r="F790" s="199" t="s">
        <v>583</v>
      </c>
      <c r="G790" s="199" t="s">
        <v>9</v>
      </c>
      <c r="H790" s="20">
        <v>57181.409999999996</v>
      </c>
      <c r="I790" s="20">
        <v>57181.409999999996</v>
      </c>
      <c r="J790" s="20">
        <v>57181.409999999996</v>
      </c>
      <c r="K790" s="37"/>
      <c r="L790" s="37"/>
      <c r="M790" s="37"/>
      <c r="N790" s="37"/>
      <c r="O790" s="37"/>
      <c r="P790" s="37"/>
      <c r="T790" s="37">
        <v>1290390.1000000001</v>
      </c>
      <c r="U790" s="37">
        <v>1343336.88</v>
      </c>
      <c r="V790" s="37">
        <v>1347527.1500000001</v>
      </c>
      <c r="W790" s="37">
        <f t="shared" si="25"/>
        <v>-1233208.6900000002</v>
      </c>
      <c r="X790" s="37">
        <f t="shared" si="25"/>
        <v>-1286155.47</v>
      </c>
      <c r="Y790" s="37">
        <f t="shared" si="25"/>
        <v>-1290345.7400000002</v>
      </c>
    </row>
    <row r="791" spans="1:25" s="17" customFormat="1">
      <c r="A791" s="108" t="str">
        <f t="shared" si="24"/>
        <v>607080107 2 05 11010610</v>
      </c>
      <c r="B791" s="205" t="s">
        <v>403</v>
      </c>
      <c r="C791" s="198" t="s">
        <v>510</v>
      </c>
      <c r="D791" s="199" t="s">
        <v>238</v>
      </c>
      <c r="E791" s="199" t="s">
        <v>11</v>
      </c>
      <c r="F791" s="199" t="s">
        <v>583</v>
      </c>
      <c r="G791" s="199" t="s">
        <v>404</v>
      </c>
      <c r="H791" s="20">
        <v>46565.7</v>
      </c>
      <c r="I791" s="20">
        <v>46565.7</v>
      </c>
      <c r="J791" s="20">
        <v>46565.7</v>
      </c>
      <c r="K791" s="37"/>
      <c r="L791" s="37"/>
      <c r="M791" s="37"/>
      <c r="N791" s="37"/>
      <c r="O791" s="37"/>
      <c r="P791" s="37"/>
      <c r="T791" s="37">
        <v>15217.199999999999</v>
      </c>
      <c r="U791" s="37">
        <v>15825.1</v>
      </c>
      <c r="V791" s="37">
        <v>16463.5</v>
      </c>
      <c r="W791" s="37">
        <f t="shared" si="25"/>
        <v>31348.5</v>
      </c>
      <c r="X791" s="37">
        <f t="shared" si="25"/>
        <v>30740.6</v>
      </c>
      <c r="Y791" s="37">
        <f t="shared" si="25"/>
        <v>30102.199999999997</v>
      </c>
    </row>
    <row r="792" spans="1:25" s="17" customFormat="1">
      <c r="A792" s="108" t="str">
        <f t="shared" si="24"/>
        <v>607080107 2 05 11010620</v>
      </c>
      <c r="B792" s="205" t="s">
        <v>409</v>
      </c>
      <c r="C792" s="198" t="s">
        <v>510</v>
      </c>
      <c r="D792" s="199" t="s">
        <v>238</v>
      </c>
      <c r="E792" s="199" t="s">
        <v>11</v>
      </c>
      <c r="F792" s="199" t="s">
        <v>583</v>
      </c>
      <c r="G792" s="199" t="s">
        <v>410</v>
      </c>
      <c r="H792" s="20">
        <v>10615.71</v>
      </c>
      <c r="I792" s="20">
        <v>10615.71</v>
      </c>
      <c r="J792" s="20">
        <v>10615.71</v>
      </c>
      <c r="K792" s="37"/>
      <c r="L792" s="37"/>
      <c r="M792" s="37"/>
      <c r="N792" s="37"/>
      <c r="O792" s="37"/>
      <c r="P792" s="37"/>
      <c r="T792" s="37">
        <v>224.88</v>
      </c>
      <c r="U792" s="37">
        <v>233.87</v>
      </c>
      <c r="V792" s="37">
        <v>243.3</v>
      </c>
      <c r="W792" s="37">
        <f t="shared" si="25"/>
        <v>10390.83</v>
      </c>
      <c r="X792" s="37">
        <f t="shared" si="25"/>
        <v>10381.839999999998</v>
      </c>
      <c r="Y792" s="37">
        <f t="shared" si="25"/>
        <v>10372.41</v>
      </c>
    </row>
    <row r="793" spans="1:25" s="17" customFormat="1" ht="38.25">
      <c r="A793" s="108" t="str">
        <f t="shared" si="24"/>
        <v>607080107 2 05 77090000</v>
      </c>
      <c r="B793" s="205" t="s">
        <v>1290</v>
      </c>
      <c r="C793" s="198" t="s">
        <v>510</v>
      </c>
      <c r="D793" s="199" t="s">
        <v>238</v>
      </c>
      <c r="E793" s="199" t="s">
        <v>11</v>
      </c>
      <c r="F793" s="199" t="s">
        <v>1300</v>
      </c>
      <c r="G793" s="199" t="s">
        <v>9</v>
      </c>
      <c r="H793" s="20">
        <v>1400.55</v>
      </c>
      <c r="I793" s="20">
        <v>0</v>
      </c>
      <c r="J793" s="20">
        <v>0</v>
      </c>
      <c r="K793" s="37"/>
      <c r="L793" s="37"/>
      <c r="M793" s="37"/>
      <c r="N793" s="37"/>
      <c r="O793" s="37"/>
      <c r="P793" s="37"/>
      <c r="T793" s="37">
        <v>14992.32</v>
      </c>
      <c r="U793" s="37">
        <v>15591.23</v>
      </c>
      <c r="V793" s="37">
        <v>16220.2</v>
      </c>
      <c r="W793" s="37">
        <f t="shared" si="25"/>
        <v>-13591.77</v>
      </c>
      <c r="X793" s="37">
        <f t="shared" si="25"/>
        <v>-15591.23</v>
      </c>
      <c r="Y793" s="37">
        <f t="shared" si="25"/>
        <v>-16220.2</v>
      </c>
    </row>
    <row r="794" spans="1:25" s="17" customFormat="1">
      <c r="A794" s="108" t="str">
        <f t="shared" si="24"/>
        <v>607080107 2 05 77090610</v>
      </c>
      <c r="B794" s="205" t="s">
        <v>403</v>
      </c>
      <c r="C794" s="198" t="s">
        <v>510</v>
      </c>
      <c r="D794" s="199" t="s">
        <v>238</v>
      </c>
      <c r="E794" s="199" t="s">
        <v>11</v>
      </c>
      <c r="F794" s="199" t="s">
        <v>1300</v>
      </c>
      <c r="G794" s="199" t="s">
        <v>404</v>
      </c>
      <c r="H794" s="20">
        <v>1283.3699999999999</v>
      </c>
      <c r="I794" s="20">
        <v>0</v>
      </c>
      <c r="J794" s="20">
        <v>0</v>
      </c>
      <c r="K794" s="37"/>
      <c r="L794" s="37"/>
      <c r="M794" s="37"/>
      <c r="N794" s="37"/>
      <c r="O794" s="37"/>
      <c r="P794" s="37"/>
      <c r="T794" s="37">
        <v>335846.3</v>
      </c>
      <c r="U794" s="37">
        <v>342847.89999999997</v>
      </c>
      <c r="V794" s="37">
        <v>342746.10000000003</v>
      </c>
      <c r="W794" s="37">
        <f t="shared" si="25"/>
        <v>-334562.93</v>
      </c>
      <c r="X794" s="37">
        <f t="shared" si="25"/>
        <v>-342847.89999999997</v>
      </c>
      <c r="Y794" s="37">
        <f t="shared" si="25"/>
        <v>-342746.10000000003</v>
      </c>
    </row>
    <row r="795" spans="1:25" s="17" customFormat="1">
      <c r="A795" s="108" t="str">
        <f t="shared" si="24"/>
        <v>607080107 2 05 77090620</v>
      </c>
      <c r="B795" s="205" t="s">
        <v>409</v>
      </c>
      <c r="C795" s="198" t="s">
        <v>510</v>
      </c>
      <c r="D795" s="199" t="s">
        <v>238</v>
      </c>
      <c r="E795" s="199" t="s">
        <v>11</v>
      </c>
      <c r="F795" s="199" t="s">
        <v>1300</v>
      </c>
      <c r="G795" s="199" t="s">
        <v>410</v>
      </c>
      <c r="H795" s="20">
        <v>117.18</v>
      </c>
      <c r="I795" s="20">
        <v>0</v>
      </c>
      <c r="J795" s="20">
        <v>0</v>
      </c>
      <c r="K795" s="37"/>
      <c r="L795" s="37"/>
      <c r="M795" s="37"/>
      <c r="N795" s="37"/>
      <c r="O795" s="37"/>
      <c r="P795" s="37"/>
      <c r="T795" s="37">
        <v>2454.87</v>
      </c>
      <c r="U795" s="37">
        <v>2558.35</v>
      </c>
      <c r="V795" s="37">
        <v>2556.84</v>
      </c>
      <c r="W795" s="37">
        <f t="shared" si="25"/>
        <v>-2337.69</v>
      </c>
      <c r="X795" s="37">
        <f t="shared" si="25"/>
        <v>-2558.35</v>
      </c>
      <c r="Y795" s="37">
        <f t="shared" si="25"/>
        <v>-2556.84</v>
      </c>
    </row>
    <row r="796" spans="1:25" s="17" customFormat="1" ht="25.5">
      <c r="A796" s="108" t="str">
        <f t="shared" si="24"/>
        <v>607080107 2 05 S7090000</v>
      </c>
      <c r="B796" s="205" t="s">
        <v>1292</v>
      </c>
      <c r="C796" s="198" t="s">
        <v>510</v>
      </c>
      <c r="D796" s="199" t="s">
        <v>238</v>
      </c>
      <c r="E796" s="199" t="s">
        <v>11</v>
      </c>
      <c r="F796" s="199" t="s">
        <v>1301</v>
      </c>
      <c r="G796" s="199" t="s">
        <v>9</v>
      </c>
      <c r="H796" s="20">
        <v>79.010000000000005</v>
      </c>
      <c r="I796" s="20">
        <v>0</v>
      </c>
      <c r="J796" s="20">
        <v>0</v>
      </c>
      <c r="K796" s="37"/>
      <c r="L796" s="37"/>
      <c r="M796" s="37"/>
      <c r="N796" s="37"/>
      <c r="O796" s="37"/>
      <c r="P796" s="37"/>
      <c r="T796" s="37">
        <v>333391.43</v>
      </c>
      <c r="U796" s="37">
        <v>340289.55</v>
      </c>
      <c r="V796" s="37">
        <v>340189.26</v>
      </c>
      <c r="W796" s="37">
        <f t="shared" si="25"/>
        <v>-333312.42</v>
      </c>
      <c r="X796" s="37">
        <f t="shared" si="25"/>
        <v>-340289.55</v>
      </c>
      <c r="Y796" s="37">
        <f t="shared" si="25"/>
        <v>-340189.26</v>
      </c>
    </row>
    <row r="797" spans="1:25" s="17" customFormat="1">
      <c r="A797" s="108" t="str">
        <f t="shared" si="24"/>
        <v>607080107 2 05 S7090610</v>
      </c>
      <c r="B797" s="205" t="s">
        <v>403</v>
      </c>
      <c r="C797" s="198" t="s">
        <v>510</v>
      </c>
      <c r="D797" s="199" t="s">
        <v>238</v>
      </c>
      <c r="E797" s="199" t="s">
        <v>11</v>
      </c>
      <c r="F797" s="199" t="s">
        <v>1301</v>
      </c>
      <c r="G797" s="199" t="s">
        <v>404</v>
      </c>
      <c r="H797" s="20">
        <v>79.010000000000005</v>
      </c>
      <c r="I797" s="20">
        <v>0</v>
      </c>
      <c r="J797" s="20">
        <v>0</v>
      </c>
      <c r="K797" s="37"/>
      <c r="L797" s="37"/>
      <c r="M797" s="37"/>
      <c r="N797" s="37"/>
      <c r="O797" s="37"/>
      <c r="P797" s="37"/>
      <c r="T797" s="37">
        <v>107.80000000000001</v>
      </c>
      <c r="U797" s="37">
        <v>74.900000000000006</v>
      </c>
      <c r="V797" s="37">
        <v>74.900000000000006</v>
      </c>
      <c r="W797" s="37">
        <f t="shared" si="25"/>
        <v>-28.790000000000006</v>
      </c>
      <c r="X797" s="37">
        <f t="shared" si="25"/>
        <v>-74.900000000000006</v>
      </c>
      <c r="Y797" s="37">
        <f t="shared" si="25"/>
        <v>-74.900000000000006</v>
      </c>
    </row>
    <row r="798" spans="1:25" s="17" customFormat="1" ht="38.25">
      <c r="A798" s="108" t="str">
        <f t="shared" si="24"/>
        <v>607080107 2 06 00000000</v>
      </c>
      <c r="B798" s="197" t="s">
        <v>524</v>
      </c>
      <c r="C798" s="198" t="s">
        <v>510</v>
      </c>
      <c r="D798" s="199" t="s">
        <v>238</v>
      </c>
      <c r="E798" s="199" t="s">
        <v>11</v>
      </c>
      <c r="F798" s="199" t="s">
        <v>525</v>
      </c>
      <c r="G798" s="199" t="s">
        <v>9</v>
      </c>
      <c r="H798" s="20">
        <v>1034.08</v>
      </c>
      <c r="I798" s="20">
        <v>1934.53</v>
      </c>
      <c r="J798" s="20">
        <v>2595.96</v>
      </c>
      <c r="K798" s="37"/>
      <c r="L798" s="37"/>
      <c r="M798" s="37"/>
      <c r="N798" s="37"/>
      <c r="O798" s="37"/>
      <c r="P798" s="37"/>
      <c r="T798" s="37">
        <v>1.43</v>
      </c>
      <c r="U798" s="37">
        <v>1</v>
      </c>
      <c r="V798" s="37">
        <v>1</v>
      </c>
      <c r="W798" s="37">
        <f t="shared" si="25"/>
        <v>1032.6499999999999</v>
      </c>
      <c r="X798" s="37">
        <f t="shared" si="25"/>
        <v>1933.53</v>
      </c>
      <c r="Y798" s="37">
        <f t="shared" si="25"/>
        <v>2594.96</v>
      </c>
    </row>
    <row r="799" spans="1:25" s="17" customFormat="1" ht="25.5">
      <c r="A799" s="108" t="str">
        <f t="shared" si="24"/>
        <v>607080107 2 06 20400000</v>
      </c>
      <c r="B799" s="197" t="s">
        <v>526</v>
      </c>
      <c r="C799" s="198" t="s">
        <v>510</v>
      </c>
      <c r="D799" s="199" t="s">
        <v>238</v>
      </c>
      <c r="E799" s="199" t="s">
        <v>11</v>
      </c>
      <c r="F799" s="199" t="s">
        <v>527</v>
      </c>
      <c r="G799" s="199" t="s">
        <v>9</v>
      </c>
      <c r="H799" s="20">
        <v>1034.08</v>
      </c>
      <c r="I799" s="20">
        <v>1934.53</v>
      </c>
      <c r="J799" s="20">
        <v>2595.96</v>
      </c>
      <c r="K799" s="37"/>
      <c r="L799" s="37"/>
      <c r="M799" s="37"/>
      <c r="N799" s="37"/>
      <c r="O799" s="37"/>
      <c r="P799" s="37"/>
      <c r="T799" s="37">
        <v>106.37</v>
      </c>
      <c r="U799" s="37">
        <v>73.900000000000006</v>
      </c>
      <c r="V799" s="37">
        <v>73.900000000000006</v>
      </c>
      <c r="W799" s="37">
        <f t="shared" si="25"/>
        <v>927.70999999999992</v>
      </c>
      <c r="X799" s="37">
        <f t="shared" si="25"/>
        <v>1860.6299999999999</v>
      </c>
      <c r="Y799" s="37">
        <f t="shared" si="25"/>
        <v>2522.06</v>
      </c>
    </row>
    <row r="800" spans="1:25" s="17" customFormat="1">
      <c r="A800" s="108" t="str">
        <f t="shared" si="24"/>
        <v>607080107 2 06 20400610</v>
      </c>
      <c r="B800" s="205" t="s">
        <v>403</v>
      </c>
      <c r="C800" s="198" t="s">
        <v>510</v>
      </c>
      <c r="D800" s="199" t="s">
        <v>238</v>
      </c>
      <c r="E800" s="199" t="s">
        <v>11</v>
      </c>
      <c r="F800" s="199" t="s">
        <v>527</v>
      </c>
      <c r="G800" s="199" t="s">
        <v>404</v>
      </c>
      <c r="H800" s="20">
        <v>1034.08</v>
      </c>
      <c r="I800" s="20">
        <v>1934.53</v>
      </c>
      <c r="J800" s="20">
        <v>2595.96</v>
      </c>
      <c r="K800" s="37"/>
      <c r="L800" s="37"/>
      <c r="M800" s="37"/>
      <c r="N800" s="37"/>
      <c r="O800" s="37"/>
      <c r="P800" s="37"/>
      <c r="T800" s="37">
        <v>7961.36</v>
      </c>
      <c r="U800" s="37">
        <v>7961.36</v>
      </c>
      <c r="V800" s="37">
        <v>7961.36</v>
      </c>
      <c r="W800" s="37">
        <f t="shared" si="25"/>
        <v>-6927.28</v>
      </c>
      <c r="X800" s="37">
        <f t="shared" si="25"/>
        <v>-6026.83</v>
      </c>
      <c r="Y800" s="37">
        <f t="shared" si="25"/>
        <v>-5365.4</v>
      </c>
    </row>
    <row r="801" spans="1:25" s="17" customFormat="1" ht="51">
      <c r="A801" s="108" t="str">
        <f t="shared" si="24"/>
        <v>607080107 2 07 00000000</v>
      </c>
      <c r="B801" s="197" t="s">
        <v>1052</v>
      </c>
      <c r="C801" s="198" t="s">
        <v>510</v>
      </c>
      <c r="D801" s="199" t="s">
        <v>238</v>
      </c>
      <c r="E801" s="199" t="s">
        <v>11</v>
      </c>
      <c r="F801" s="199" t="s">
        <v>1053</v>
      </c>
      <c r="G801" s="199" t="s">
        <v>9</v>
      </c>
      <c r="H801" s="20">
        <v>10220.02</v>
      </c>
      <c r="I801" s="20">
        <v>0</v>
      </c>
      <c r="J801" s="20">
        <v>0</v>
      </c>
      <c r="K801" s="37"/>
      <c r="L801" s="37"/>
      <c r="M801" s="37"/>
      <c r="N801" s="37"/>
      <c r="O801" s="37"/>
      <c r="P801" s="37"/>
      <c r="T801" s="37">
        <v>7961.36</v>
      </c>
      <c r="U801" s="37">
        <v>7961.36</v>
      </c>
      <c r="V801" s="37">
        <v>7961.36</v>
      </c>
      <c r="W801" s="37">
        <f t="shared" si="25"/>
        <v>2258.6600000000008</v>
      </c>
      <c r="X801" s="37">
        <f t="shared" si="25"/>
        <v>-7961.36</v>
      </c>
      <c r="Y801" s="37">
        <f t="shared" si="25"/>
        <v>-7961.36</v>
      </c>
    </row>
    <row r="802" spans="1:25" s="17" customFormat="1" ht="38.25">
      <c r="A802" s="108" t="str">
        <f t="shared" si="24"/>
        <v>607080107 2 07 G6420000</v>
      </c>
      <c r="B802" s="197" t="s">
        <v>1043</v>
      </c>
      <c r="C802" s="198" t="s">
        <v>510</v>
      </c>
      <c r="D802" s="199" t="s">
        <v>238</v>
      </c>
      <c r="E802" s="199" t="s">
        <v>11</v>
      </c>
      <c r="F802" s="199" t="s">
        <v>1044</v>
      </c>
      <c r="G802" s="199" t="s">
        <v>9</v>
      </c>
      <c r="H802" s="20">
        <v>1521</v>
      </c>
      <c r="I802" s="20">
        <v>0</v>
      </c>
      <c r="J802" s="20">
        <v>0</v>
      </c>
      <c r="K802" s="20"/>
      <c r="L802" s="20"/>
      <c r="M802" s="20"/>
      <c r="N802" s="20"/>
      <c r="O802" s="20"/>
      <c r="P802" s="20"/>
      <c r="T802" s="20">
        <v>2079.8999999999996</v>
      </c>
      <c r="U802" s="20">
        <v>2079.8999999999996</v>
      </c>
      <c r="V802" s="20">
        <v>2079.8999999999996</v>
      </c>
      <c r="W802" s="20">
        <f t="shared" si="25"/>
        <v>-558.89999999999964</v>
      </c>
      <c r="X802" s="20">
        <f t="shared" si="25"/>
        <v>-2079.8999999999996</v>
      </c>
      <c r="Y802" s="20">
        <f t="shared" si="25"/>
        <v>-2079.8999999999996</v>
      </c>
    </row>
    <row r="803" spans="1:25" s="17" customFormat="1">
      <c r="A803" s="108" t="str">
        <f t="shared" si="24"/>
        <v/>
      </c>
      <c r="B803" s="205" t="s">
        <v>1045</v>
      </c>
      <c r="C803" s="198"/>
      <c r="D803" s="199"/>
      <c r="E803" s="199"/>
      <c r="F803" s="199"/>
      <c r="G803" s="199"/>
      <c r="H803" s="20"/>
      <c r="I803" s="20"/>
      <c r="J803" s="20"/>
      <c r="K803" s="20"/>
      <c r="L803" s="20"/>
      <c r="M803" s="20"/>
      <c r="N803" s="20"/>
      <c r="O803" s="20"/>
      <c r="P803" s="20"/>
      <c r="T803" s="20">
        <v>24.6</v>
      </c>
      <c r="U803" s="20">
        <v>24.6</v>
      </c>
      <c r="V803" s="20">
        <v>24.6</v>
      </c>
      <c r="W803" s="20">
        <f t="shared" si="25"/>
        <v>-24.6</v>
      </c>
      <c r="X803" s="20">
        <f t="shared" si="25"/>
        <v>-24.6</v>
      </c>
      <c r="Y803" s="20">
        <f t="shared" si="25"/>
        <v>-24.6</v>
      </c>
    </row>
    <row r="804" spans="1:25" s="17" customFormat="1">
      <c r="A804" s="108" t="str">
        <f t="shared" si="24"/>
        <v>607080107 2 07 G6420000</v>
      </c>
      <c r="B804" s="197" t="s">
        <v>1046</v>
      </c>
      <c r="C804" s="198" t="s">
        <v>510</v>
      </c>
      <c r="D804" s="199" t="s">
        <v>238</v>
      </c>
      <c r="E804" s="199" t="s">
        <v>11</v>
      </c>
      <c r="F804" s="199" t="s">
        <v>1044</v>
      </c>
      <c r="G804" s="199" t="s">
        <v>9</v>
      </c>
      <c r="H804" s="20">
        <v>301</v>
      </c>
      <c r="I804" s="20">
        <v>0</v>
      </c>
      <c r="J804" s="20">
        <v>0</v>
      </c>
      <c r="K804" s="20"/>
      <c r="L804" s="20"/>
      <c r="M804" s="20"/>
      <c r="N804" s="20"/>
      <c r="O804" s="20"/>
      <c r="P804" s="20"/>
      <c r="T804" s="20">
        <v>2055.2999999999997</v>
      </c>
      <c r="U804" s="20">
        <v>2055.2999999999997</v>
      </c>
      <c r="V804" s="20">
        <v>2055.2999999999997</v>
      </c>
      <c r="W804" s="20">
        <f t="shared" si="25"/>
        <v>-1754.2999999999997</v>
      </c>
      <c r="X804" s="20">
        <f t="shared" si="25"/>
        <v>-2055.2999999999997</v>
      </c>
      <c r="Y804" s="20">
        <f t="shared" si="25"/>
        <v>-2055.2999999999997</v>
      </c>
    </row>
    <row r="805" spans="1:25" s="17" customFormat="1">
      <c r="A805" s="108" t="str">
        <f t="shared" si="24"/>
        <v>607080107 2 07 G6420000</v>
      </c>
      <c r="B805" s="197" t="s">
        <v>1047</v>
      </c>
      <c r="C805" s="198" t="s">
        <v>510</v>
      </c>
      <c r="D805" s="199" t="s">
        <v>238</v>
      </c>
      <c r="E805" s="199" t="s">
        <v>11</v>
      </c>
      <c r="F805" s="199" t="s">
        <v>1044</v>
      </c>
      <c r="G805" s="199" t="s">
        <v>9</v>
      </c>
      <c r="H805" s="20">
        <v>1220</v>
      </c>
      <c r="I805" s="20">
        <v>0</v>
      </c>
      <c r="J805" s="20">
        <v>0</v>
      </c>
      <c r="K805" s="37"/>
      <c r="L805" s="37"/>
      <c r="M805" s="37"/>
      <c r="N805" s="37"/>
      <c r="O805" s="37"/>
      <c r="P805" s="37"/>
      <c r="T805" s="37">
        <v>362001.94</v>
      </c>
      <c r="U805" s="37">
        <v>363794.9</v>
      </c>
      <c r="V805" s="37">
        <v>365617.96</v>
      </c>
      <c r="W805" s="37">
        <f t="shared" si="25"/>
        <v>-360781.94</v>
      </c>
      <c r="X805" s="37">
        <f t="shared" si="25"/>
        <v>-363794.9</v>
      </c>
      <c r="Y805" s="37">
        <f t="shared" si="25"/>
        <v>-365617.96</v>
      </c>
    </row>
    <row r="806" spans="1:25" s="17" customFormat="1">
      <c r="A806" s="108" t="str">
        <f t="shared" si="24"/>
        <v>607080107 2 07 G6420620</v>
      </c>
      <c r="B806" s="205" t="s">
        <v>409</v>
      </c>
      <c r="C806" s="198" t="s">
        <v>510</v>
      </c>
      <c r="D806" s="199" t="s">
        <v>238</v>
      </c>
      <c r="E806" s="199" t="s">
        <v>11</v>
      </c>
      <c r="F806" s="199" t="s">
        <v>1044</v>
      </c>
      <c r="G806" s="199" t="s">
        <v>410</v>
      </c>
      <c r="H806" s="20">
        <v>1521</v>
      </c>
      <c r="I806" s="20">
        <v>0</v>
      </c>
      <c r="J806" s="20">
        <v>0</v>
      </c>
      <c r="K806" s="37"/>
      <c r="L806" s="37"/>
      <c r="M806" s="37"/>
      <c r="N806" s="37"/>
      <c r="O806" s="37"/>
      <c r="P806" s="37"/>
      <c r="T806" s="37">
        <v>5280</v>
      </c>
      <c r="U806" s="37">
        <v>5280</v>
      </c>
      <c r="V806" s="37">
        <v>5280</v>
      </c>
      <c r="W806" s="37">
        <f t="shared" si="25"/>
        <v>-3759</v>
      </c>
      <c r="X806" s="37">
        <f t="shared" si="25"/>
        <v>-5280</v>
      </c>
      <c r="Y806" s="37">
        <f t="shared" si="25"/>
        <v>-5280</v>
      </c>
    </row>
    <row r="807" spans="1:25" s="17" customFormat="1" ht="25.5">
      <c r="A807" s="108" t="str">
        <f t="shared" si="24"/>
        <v>607080107 2 07 S6420000</v>
      </c>
      <c r="B807" s="200" t="s">
        <v>1048</v>
      </c>
      <c r="C807" s="198" t="s">
        <v>510</v>
      </c>
      <c r="D807" s="199" t="s">
        <v>238</v>
      </c>
      <c r="E807" s="199" t="s">
        <v>11</v>
      </c>
      <c r="F807" s="199" t="s">
        <v>1049</v>
      </c>
      <c r="G807" s="199" t="s">
        <v>9</v>
      </c>
      <c r="H807" s="20">
        <v>8699.02</v>
      </c>
      <c r="I807" s="20">
        <v>0</v>
      </c>
      <c r="J807" s="20">
        <v>0</v>
      </c>
      <c r="K807" s="37"/>
      <c r="L807" s="37"/>
      <c r="M807" s="37"/>
      <c r="N807" s="37"/>
      <c r="O807" s="37"/>
      <c r="P807" s="37"/>
      <c r="T807" s="37">
        <v>356721.94</v>
      </c>
      <c r="U807" s="37">
        <v>358514.9</v>
      </c>
      <c r="V807" s="37">
        <v>360337.96</v>
      </c>
      <c r="W807" s="37">
        <f t="shared" si="25"/>
        <v>-348022.92</v>
      </c>
      <c r="X807" s="37">
        <f t="shared" si="25"/>
        <v>-358514.9</v>
      </c>
      <c r="Y807" s="37">
        <f t="shared" si="25"/>
        <v>-360337.96</v>
      </c>
    </row>
    <row r="808" spans="1:25" s="17" customFormat="1">
      <c r="A808" s="108" t="str">
        <f t="shared" si="24"/>
        <v/>
      </c>
      <c r="B808" s="205" t="s">
        <v>1045</v>
      </c>
      <c r="C808" s="198"/>
      <c r="D808" s="199"/>
      <c r="E808" s="199"/>
      <c r="F808" s="199"/>
      <c r="G808" s="199"/>
      <c r="H808" s="20"/>
      <c r="I808" s="20"/>
      <c r="J808" s="20"/>
      <c r="K808" s="37"/>
      <c r="L808" s="37"/>
      <c r="M808" s="37"/>
      <c r="N808" s="37"/>
      <c r="O808" s="37"/>
      <c r="P808" s="37"/>
      <c r="T808" s="37">
        <v>264670.36</v>
      </c>
      <c r="U808" s="37">
        <v>264670.36</v>
      </c>
      <c r="V808" s="37">
        <v>264670.36</v>
      </c>
      <c r="W808" s="37">
        <f t="shared" si="25"/>
        <v>-264670.36</v>
      </c>
      <c r="X808" s="37">
        <f t="shared" si="25"/>
        <v>-264670.36</v>
      </c>
      <c r="Y808" s="37">
        <f t="shared" si="25"/>
        <v>-264670.36</v>
      </c>
    </row>
    <row r="809" spans="1:25" s="17" customFormat="1">
      <c r="A809" s="108" t="str">
        <f t="shared" si="24"/>
        <v>607080107 2 07 S6420000</v>
      </c>
      <c r="B809" s="197" t="s">
        <v>1050</v>
      </c>
      <c r="C809" s="198" t="s">
        <v>510</v>
      </c>
      <c r="D809" s="199" t="s">
        <v>238</v>
      </c>
      <c r="E809" s="199" t="s">
        <v>11</v>
      </c>
      <c r="F809" s="199" t="s">
        <v>1049</v>
      </c>
      <c r="G809" s="199" t="s">
        <v>9</v>
      </c>
      <c r="H809" s="20">
        <v>2700.02</v>
      </c>
      <c r="I809" s="20">
        <v>0</v>
      </c>
      <c r="J809" s="20">
        <v>0</v>
      </c>
      <c r="K809" s="37"/>
      <c r="L809" s="37"/>
      <c r="M809" s="37"/>
      <c r="N809" s="37"/>
      <c r="O809" s="37"/>
      <c r="P809" s="37"/>
      <c r="T809" s="37">
        <v>3840</v>
      </c>
      <c r="U809" s="37">
        <v>3840</v>
      </c>
      <c r="V809" s="37">
        <v>3840</v>
      </c>
      <c r="W809" s="37">
        <f t="shared" si="25"/>
        <v>-1139.98</v>
      </c>
      <c r="X809" s="37">
        <f t="shared" si="25"/>
        <v>-3840</v>
      </c>
      <c r="Y809" s="37">
        <f t="shared" si="25"/>
        <v>-3840</v>
      </c>
    </row>
    <row r="810" spans="1:25" s="17" customFormat="1">
      <c r="A810" s="108" t="str">
        <f t="shared" si="24"/>
        <v>607080107 2 07 S6420000</v>
      </c>
      <c r="B810" s="197" t="s">
        <v>1051</v>
      </c>
      <c r="C810" s="198" t="s">
        <v>510</v>
      </c>
      <c r="D810" s="199" t="s">
        <v>238</v>
      </c>
      <c r="E810" s="199" t="s">
        <v>11</v>
      </c>
      <c r="F810" s="199" t="s">
        <v>1049</v>
      </c>
      <c r="G810" s="199" t="s">
        <v>9</v>
      </c>
      <c r="H810" s="20">
        <v>5999</v>
      </c>
      <c r="I810" s="20">
        <v>0</v>
      </c>
      <c r="J810" s="20">
        <v>0</v>
      </c>
      <c r="K810" s="37"/>
      <c r="L810" s="37"/>
      <c r="M810" s="37"/>
      <c r="N810" s="37"/>
      <c r="O810" s="37"/>
      <c r="P810" s="37"/>
      <c r="T810" s="37">
        <v>260830.36</v>
      </c>
      <c r="U810" s="37">
        <v>260830.36</v>
      </c>
      <c r="V810" s="37">
        <v>260830.36</v>
      </c>
      <c r="W810" s="37">
        <f t="shared" si="25"/>
        <v>-254831.35999999999</v>
      </c>
      <c r="X810" s="37">
        <f t="shared" si="25"/>
        <v>-260830.36</v>
      </c>
      <c r="Y810" s="37">
        <f t="shared" si="25"/>
        <v>-260830.36</v>
      </c>
    </row>
    <row r="811" spans="1:25" s="17" customFormat="1">
      <c r="A811" s="108" t="str">
        <f t="shared" si="24"/>
        <v>607080107 2 07 S6420620</v>
      </c>
      <c r="B811" s="205" t="s">
        <v>409</v>
      </c>
      <c r="C811" s="198" t="s">
        <v>510</v>
      </c>
      <c r="D811" s="199" t="s">
        <v>238</v>
      </c>
      <c r="E811" s="199" t="s">
        <v>11</v>
      </c>
      <c r="F811" s="199" t="s">
        <v>1049</v>
      </c>
      <c r="G811" s="199" t="s">
        <v>410</v>
      </c>
      <c r="H811" s="20">
        <v>8699.02</v>
      </c>
      <c r="I811" s="20">
        <v>0</v>
      </c>
      <c r="J811" s="20">
        <v>0</v>
      </c>
      <c r="K811" s="37"/>
      <c r="L811" s="37"/>
      <c r="M811" s="37"/>
      <c r="N811" s="37"/>
      <c r="O811" s="37"/>
      <c r="P811" s="37"/>
      <c r="T811" s="37">
        <v>6066.83</v>
      </c>
      <c r="U811" s="37">
        <v>5877.65</v>
      </c>
      <c r="V811" s="37">
        <v>5705.66</v>
      </c>
      <c r="W811" s="37">
        <f t="shared" si="25"/>
        <v>2632.1900000000005</v>
      </c>
      <c r="X811" s="37">
        <f t="shared" si="25"/>
        <v>-5877.65</v>
      </c>
      <c r="Y811" s="37">
        <f t="shared" si="25"/>
        <v>-5705.66</v>
      </c>
    </row>
    <row r="812" spans="1:25" s="17" customFormat="1" ht="89.25">
      <c r="A812" s="108" t="str">
        <f t="shared" si="24"/>
        <v>607080107 2 08 00000000</v>
      </c>
      <c r="B812" s="205" t="s">
        <v>528</v>
      </c>
      <c r="C812" s="198" t="s">
        <v>510</v>
      </c>
      <c r="D812" s="199" t="s">
        <v>238</v>
      </c>
      <c r="E812" s="199" t="s">
        <v>11</v>
      </c>
      <c r="F812" s="199" t="s">
        <v>529</v>
      </c>
      <c r="G812" s="199" t="s">
        <v>9</v>
      </c>
      <c r="H812" s="20">
        <v>0</v>
      </c>
      <c r="I812" s="20">
        <v>150</v>
      </c>
      <c r="J812" s="20">
        <v>150</v>
      </c>
      <c r="K812" s="37"/>
      <c r="L812" s="37"/>
      <c r="M812" s="37"/>
      <c r="N812" s="37"/>
      <c r="O812" s="37"/>
      <c r="P812" s="37"/>
      <c r="T812" s="37">
        <v>94.8</v>
      </c>
      <c r="U812" s="37">
        <v>86</v>
      </c>
      <c r="V812" s="37">
        <v>84.8</v>
      </c>
      <c r="W812" s="37">
        <f t="shared" si="25"/>
        <v>-94.8</v>
      </c>
      <c r="X812" s="37">
        <f t="shared" si="25"/>
        <v>64</v>
      </c>
      <c r="Y812" s="37">
        <f t="shared" si="25"/>
        <v>65.2</v>
      </c>
    </row>
    <row r="813" spans="1:25" s="17" customFormat="1" ht="76.5">
      <c r="A813" s="108" t="str">
        <f t="shared" si="24"/>
        <v>607080107 2 08 21230000</v>
      </c>
      <c r="B813" s="197" t="s">
        <v>530</v>
      </c>
      <c r="C813" s="198" t="s">
        <v>510</v>
      </c>
      <c r="D813" s="199" t="s">
        <v>238</v>
      </c>
      <c r="E813" s="199" t="s">
        <v>11</v>
      </c>
      <c r="F813" s="199" t="s">
        <v>531</v>
      </c>
      <c r="G813" s="199" t="s">
        <v>9</v>
      </c>
      <c r="H813" s="20">
        <v>0</v>
      </c>
      <c r="I813" s="20">
        <v>150</v>
      </c>
      <c r="J813" s="20">
        <v>150</v>
      </c>
      <c r="K813" s="37"/>
      <c r="L813" s="37"/>
      <c r="M813" s="37"/>
      <c r="N813" s="37"/>
      <c r="O813" s="37"/>
      <c r="P813" s="37"/>
      <c r="T813" s="37">
        <v>5972.03</v>
      </c>
      <c r="U813" s="37">
        <v>5791.65</v>
      </c>
      <c r="V813" s="37">
        <v>5620.86</v>
      </c>
      <c r="W813" s="37">
        <f t="shared" si="25"/>
        <v>-5972.03</v>
      </c>
      <c r="X813" s="37">
        <f t="shared" si="25"/>
        <v>-5641.65</v>
      </c>
      <c r="Y813" s="37">
        <f t="shared" si="25"/>
        <v>-5470.86</v>
      </c>
    </row>
    <row r="814" spans="1:25" s="17" customFormat="1">
      <c r="A814" s="108" t="str">
        <f t="shared" si="24"/>
        <v>607080107 2 08 21230610</v>
      </c>
      <c r="B814" s="205" t="s">
        <v>403</v>
      </c>
      <c r="C814" s="198" t="s">
        <v>510</v>
      </c>
      <c r="D814" s="199" t="s">
        <v>238</v>
      </c>
      <c r="E814" s="199" t="s">
        <v>11</v>
      </c>
      <c r="F814" s="199" t="s">
        <v>531</v>
      </c>
      <c r="G814" s="199" t="s">
        <v>404</v>
      </c>
      <c r="H814" s="20">
        <v>0</v>
      </c>
      <c r="I814" s="20">
        <v>150</v>
      </c>
      <c r="J814" s="20">
        <v>150</v>
      </c>
      <c r="K814" s="37"/>
      <c r="L814" s="37"/>
      <c r="M814" s="37"/>
      <c r="N814" s="37"/>
      <c r="O814" s="37"/>
      <c r="P814" s="37"/>
      <c r="T814" s="37">
        <v>178.05</v>
      </c>
      <c r="U814" s="37">
        <v>178.05</v>
      </c>
      <c r="V814" s="37">
        <v>178.05</v>
      </c>
      <c r="W814" s="37">
        <f t="shared" si="25"/>
        <v>-178.05</v>
      </c>
      <c r="X814" s="37">
        <f t="shared" si="25"/>
        <v>-28.050000000000011</v>
      </c>
      <c r="Y814" s="37">
        <f t="shared" si="25"/>
        <v>-28.050000000000011</v>
      </c>
    </row>
    <row r="815" spans="1:25" s="17" customFormat="1" ht="38.25">
      <c r="A815" s="108" t="str">
        <f t="shared" si="24"/>
        <v>607080107 2 09 00000000</v>
      </c>
      <c r="B815" s="205" t="s">
        <v>532</v>
      </c>
      <c r="C815" s="198" t="s">
        <v>510</v>
      </c>
      <c r="D815" s="199" t="s">
        <v>238</v>
      </c>
      <c r="E815" s="199" t="s">
        <v>11</v>
      </c>
      <c r="F815" s="199" t="s">
        <v>533</v>
      </c>
      <c r="G815" s="199" t="s">
        <v>9</v>
      </c>
      <c r="H815" s="20">
        <v>817.6</v>
      </c>
      <c r="I815" s="20">
        <v>817.6</v>
      </c>
      <c r="J815" s="20">
        <v>817.6</v>
      </c>
      <c r="K815" s="37"/>
      <c r="L815" s="37"/>
      <c r="M815" s="37"/>
      <c r="N815" s="37"/>
      <c r="O815" s="37"/>
      <c r="P815" s="37"/>
      <c r="T815" s="37">
        <v>0.84</v>
      </c>
      <c r="U815" s="37">
        <v>0.84</v>
      </c>
      <c r="V815" s="37">
        <v>0.84</v>
      </c>
      <c r="W815" s="37">
        <f t="shared" si="25"/>
        <v>816.76</v>
      </c>
      <c r="X815" s="37">
        <f t="shared" si="25"/>
        <v>816.76</v>
      </c>
      <c r="Y815" s="37">
        <f t="shared" si="25"/>
        <v>816.76</v>
      </c>
    </row>
    <row r="816" spans="1:25" s="17" customFormat="1" ht="38.25">
      <c r="A816" s="108" t="str">
        <f t="shared" si="24"/>
        <v>607080107 2 09 21280000</v>
      </c>
      <c r="B816" s="205" t="s">
        <v>534</v>
      </c>
      <c r="C816" s="198" t="s">
        <v>510</v>
      </c>
      <c r="D816" s="199" t="s">
        <v>238</v>
      </c>
      <c r="E816" s="199" t="s">
        <v>11</v>
      </c>
      <c r="F816" s="199" t="s">
        <v>535</v>
      </c>
      <c r="G816" s="199" t="s">
        <v>9</v>
      </c>
      <c r="H816" s="20">
        <v>817.6</v>
      </c>
      <c r="I816" s="20">
        <v>817.6</v>
      </c>
      <c r="J816" s="20">
        <v>817.6</v>
      </c>
      <c r="K816" s="37"/>
      <c r="L816" s="37"/>
      <c r="M816" s="37"/>
      <c r="N816" s="37"/>
      <c r="O816" s="37"/>
      <c r="P816" s="37"/>
      <c r="T816" s="37">
        <v>177.21</v>
      </c>
      <c r="U816" s="37">
        <v>177.21</v>
      </c>
      <c r="V816" s="37">
        <v>177.21</v>
      </c>
      <c r="W816" s="37">
        <f t="shared" si="25"/>
        <v>640.39</v>
      </c>
      <c r="X816" s="37">
        <f t="shared" si="25"/>
        <v>640.39</v>
      </c>
      <c r="Y816" s="37">
        <f t="shared" si="25"/>
        <v>640.39</v>
      </c>
    </row>
    <row r="817" spans="1:25" s="17" customFormat="1">
      <c r="A817" s="108" t="str">
        <f t="shared" si="24"/>
        <v>607080107 2 09 21280610</v>
      </c>
      <c r="B817" s="205" t="s">
        <v>403</v>
      </c>
      <c r="C817" s="198" t="s">
        <v>510</v>
      </c>
      <c r="D817" s="199" t="s">
        <v>238</v>
      </c>
      <c r="E817" s="199" t="s">
        <v>11</v>
      </c>
      <c r="F817" s="199" t="s">
        <v>535</v>
      </c>
      <c r="G817" s="199" t="s">
        <v>404</v>
      </c>
      <c r="H817" s="20">
        <v>817.6</v>
      </c>
      <c r="I817" s="20">
        <v>817.6</v>
      </c>
      <c r="J817" s="20">
        <v>817.6</v>
      </c>
      <c r="K817" s="37"/>
      <c r="L817" s="37"/>
      <c r="M817" s="37"/>
      <c r="N817" s="37"/>
      <c r="O817" s="37"/>
      <c r="P817" s="37"/>
      <c r="T817" s="37">
        <v>614.26</v>
      </c>
      <c r="U817" s="37">
        <v>614.26</v>
      </c>
      <c r="V817" s="37">
        <v>614.26</v>
      </c>
      <c r="W817" s="37">
        <f t="shared" si="25"/>
        <v>203.34000000000003</v>
      </c>
      <c r="X817" s="37">
        <f t="shared" si="25"/>
        <v>203.34000000000003</v>
      </c>
      <c r="Y817" s="37">
        <f t="shared" si="25"/>
        <v>203.34000000000003</v>
      </c>
    </row>
    <row r="818" spans="1:25" s="17" customFormat="1" ht="51">
      <c r="A818" s="108" t="str">
        <f t="shared" si="24"/>
        <v>607080107 2 12 00000000</v>
      </c>
      <c r="B818" s="205" t="s">
        <v>536</v>
      </c>
      <c r="C818" s="198" t="s">
        <v>510</v>
      </c>
      <c r="D818" s="199" t="s">
        <v>238</v>
      </c>
      <c r="E818" s="199" t="s">
        <v>11</v>
      </c>
      <c r="F818" s="199" t="s">
        <v>537</v>
      </c>
      <c r="G818" s="199" t="s">
        <v>9</v>
      </c>
      <c r="H818" s="20">
        <v>1405.3700000000001</v>
      </c>
      <c r="I818" s="20">
        <v>0</v>
      </c>
      <c r="J818" s="20">
        <v>0</v>
      </c>
      <c r="K818" s="37"/>
      <c r="L818" s="37"/>
      <c r="M818" s="37"/>
      <c r="N818" s="37"/>
      <c r="O818" s="37"/>
      <c r="P818" s="37"/>
      <c r="T818" s="37">
        <v>8.4</v>
      </c>
      <c r="U818" s="37">
        <v>8.4</v>
      </c>
      <c r="V818" s="37">
        <v>8.4</v>
      </c>
      <c r="W818" s="37">
        <f t="shared" si="25"/>
        <v>1396.97</v>
      </c>
      <c r="X818" s="37">
        <f t="shared" si="25"/>
        <v>-8.4</v>
      </c>
      <c r="Y818" s="37">
        <f t="shared" si="25"/>
        <v>-8.4</v>
      </c>
    </row>
    <row r="819" spans="1:25" s="17" customFormat="1" ht="38.25">
      <c r="A819" s="108" t="str">
        <f t="shared" si="24"/>
        <v>607080107 2 12 21430000</v>
      </c>
      <c r="B819" s="315" t="s">
        <v>538</v>
      </c>
      <c r="C819" s="198" t="s">
        <v>510</v>
      </c>
      <c r="D819" s="199" t="s">
        <v>238</v>
      </c>
      <c r="E819" s="199" t="s">
        <v>11</v>
      </c>
      <c r="F819" s="199" t="s">
        <v>539</v>
      </c>
      <c r="G819" s="199" t="s">
        <v>9</v>
      </c>
      <c r="H819" s="20">
        <v>1405.3700000000001</v>
      </c>
      <c r="I819" s="20">
        <v>0</v>
      </c>
      <c r="J819" s="20">
        <v>0</v>
      </c>
      <c r="K819" s="37"/>
      <c r="L819" s="37"/>
      <c r="M819" s="37"/>
      <c r="N819" s="37"/>
      <c r="O819" s="37"/>
      <c r="P819" s="37"/>
      <c r="T819" s="37">
        <v>605.86</v>
      </c>
      <c r="U819" s="37">
        <v>605.86</v>
      </c>
      <c r="V819" s="37">
        <v>605.86</v>
      </c>
      <c r="W819" s="37">
        <f t="shared" si="25"/>
        <v>799.5100000000001</v>
      </c>
      <c r="X819" s="37">
        <f t="shared" si="25"/>
        <v>-605.86</v>
      </c>
      <c r="Y819" s="37">
        <f t="shared" si="25"/>
        <v>-605.86</v>
      </c>
    </row>
    <row r="820" spans="1:25" s="17" customFormat="1">
      <c r="A820" s="108" t="str">
        <f t="shared" si="24"/>
        <v>607080107 2 12 21430610</v>
      </c>
      <c r="B820" s="205" t="s">
        <v>403</v>
      </c>
      <c r="C820" s="198" t="s">
        <v>510</v>
      </c>
      <c r="D820" s="199" t="s">
        <v>238</v>
      </c>
      <c r="E820" s="199" t="s">
        <v>11</v>
      </c>
      <c r="F820" s="199" t="s">
        <v>539</v>
      </c>
      <c r="G820" s="199" t="s">
        <v>404</v>
      </c>
      <c r="H820" s="20">
        <v>1099.44</v>
      </c>
      <c r="I820" s="20">
        <v>0</v>
      </c>
      <c r="J820" s="20">
        <v>0</v>
      </c>
      <c r="K820" s="37"/>
      <c r="L820" s="37"/>
      <c r="M820" s="37"/>
      <c r="N820" s="37"/>
      <c r="O820" s="37"/>
      <c r="P820" s="37"/>
      <c r="T820" s="37">
        <v>292267</v>
      </c>
      <c r="U820" s="37">
        <v>336033.4</v>
      </c>
      <c r="V820" s="37">
        <v>338036</v>
      </c>
      <c r="W820" s="37">
        <f t="shared" si="25"/>
        <v>-291167.56</v>
      </c>
      <c r="X820" s="37">
        <f t="shared" si="25"/>
        <v>-336033.4</v>
      </c>
      <c r="Y820" s="37">
        <f t="shared" si="25"/>
        <v>-338036</v>
      </c>
    </row>
    <row r="821" spans="1:25" s="17" customFormat="1">
      <c r="A821" s="108" t="str">
        <f t="shared" si="24"/>
        <v>607080107 2 12 21430620</v>
      </c>
      <c r="B821" s="314" t="s">
        <v>409</v>
      </c>
      <c r="C821" s="198" t="s">
        <v>510</v>
      </c>
      <c r="D821" s="199" t="s">
        <v>238</v>
      </c>
      <c r="E821" s="199" t="s">
        <v>11</v>
      </c>
      <c r="F821" s="199" t="s">
        <v>539</v>
      </c>
      <c r="G821" s="199" t="s">
        <v>410</v>
      </c>
      <c r="H821" s="20">
        <v>305.93</v>
      </c>
      <c r="I821" s="20">
        <v>0</v>
      </c>
      <c r="J821" s="20">
        <v>0</v>
      </c>
      <c r="K821" s="37"/>
      <c r="L821" s="37"/>
      <c r="M821" s="37"/>
      <c r="N821" s="37"/>
      <c r="O821" s="37"/>
      <c r="P821" s="37"/>
      <c r="T821" s="37">
        <v>4032.4</v>
      </c>
      <c r="U821" s="37">
        <v>4532.3999999999996</v>
      </c>
      <c r="V821" s="37">
        <v>4632.3999999999996</v>
      </c>
      <c r="W821" s="37">
        <f t="shared" si="25"/>
        <v>-3726.4700000000003</v>
      </c>
      <c r="X821" s="37">
        <f t="shared" si="25"/>
        <v>-4532.3999999999996</v>
      </c>
      <c r="Y821" s="37">
        <f t="shared" si="25"/>
        <v>-4632.3999999999996</v>
      </c>
    </row>
    <row r="822" spans="1:25" s="17" customFormat="1" ht="20.45" customHeight="1">
      <c r="A822" s="108" t="str">
        <f t="shared" si="24"/>
        <v>607080115 0 00 00000000</v>
      </c>
      <c r="B822" s="200" t="s">
        <v>146</v>
      </c>
      <c r="C822" s="198" t="s">
        <v>510</v>
      </c>
      <c r="D822" s="199" t="s">
        <v>238</v>
      </c>
      <c r="E822" s="199" t="s">
        <v>11</v>
      </c>
      <c r="F822" s="203" t="s">
        <v>147</v>
      </c>
      <c r="G822" s="203" t="s">
        <v>9</v>
      </c>
      <c r="H822" s="27">
        <v>76.5</v>
      </c>
      <c r="I822" s="27">
        <v>76.5</v>
      </c>
      <c r="J822" s="27">
        <v>76.5</v>
      </c>
      <c r="K822" s="37"/>
      <c r="L822" s="37"/>
      <c r="M822" s="37"/>
      <c r="N822" s="37"/>
      <c r="O822" s="37"/>
      <c r="P822" s="37"/>
      <c r="T822" s="37">
        <v>288234.59999999998</v>
      </c>
      <c r="U822" s="37">
        <v>331501</v>
      </c>
      <c r="V822" s="37">
        <v>333403.59999999998</v>
      </c>
      <c r="W822" s="37">
        <f t="shared" si="25"/>
        <v>-288158.09999999998</v>
      </c>
      <c r="X822" s="37">
        <f t="shared" si="25"/>
        <v>-331424.5</v>
      </c>
      <c r="Y822" s="37">
        <f t="shared" si="25"/>
        <v>-333327.09999999998</v>
      </c>
    </row>
    <row r="823" spans="1:25" s="17" customFormat="1" ht="38.25">
      <c r="A823" s="108" t="str">
        <f t="shared" si="24"/>
        <v>607080115 1 00 00000000</v>
      </c>
      <c r="B823" s="197" t="s">
        <v>1065</v>
      </c>
      <c r="C823" s="198" t="s">
        <v>510</v>
      </c>
      <c r="D823" s="199" t="s">
        <v>238</v>
      </c>
      <c r="E823" s="199" t="s">
        <v>11</v>
      </c>
      <c r="F823" s="203" t="s">
        <v>149</v>
      </c>
      <c r="G823" s="203" t="s">
        <v>9</v>
      </c>
      <c r="H823" s="27">
        <v>76.5</v>
      </c>
      <c r="I823" s="27">
        <v>76.5</v>
      </c>
      <c r="J823" s="27">
        <v>76.5</v>
      </c>
      <c r="K823" s="37"/>
      <c r="L823" s="37"/>
      <c r="M823" s="37"/>
      <c r="N823" s="37"/>
      <c r="O823" s="37"/>
      <c r="P823" s="37"/>
      <c r="T823" s="37">
        <v>3379.1</v>
      </c>
      <c r="U823" s="37">
        <v>3379.1</v>
      </c>
      <c r="V823" s="37">
        <v>3379.1</v>
      </c>
      <c r="W823" s="37">
        <f t="shared" si="25"/>
        <v>-3302.6</v>
      </c>
      <c r="X823" s="37">
        <f t="shared" si="25"/>
        <v>-3302.6</v>
      </c>
      <c r="Y823" s="37">
        <f t="shared" si="25"/>
        <v>-3302.6</v>
      </c>
    </row>
    <row r="824" spans="1:25" s="17" customFormat="1" ht="51">
      <c r="A824" s="108" t="str">
        <f t="shared" si="24"/>
        <v>607080115 1 01 00000000</v>
      </c>
      <c r="B824" s="208" t="s">
        <v>150</v>
      </c>
      <c r="C824" s="209" t="s">
        <v>510</v>
      </c>
      <c r="D824" s="236" t="s">
        <v>238</v>
      </c>
      <c r="E824" s="236" t="s">
        <v>11</v>
      </c>
      <c r="F824" s="209" t="s">
        <v>151</v>
      </c>
      <c r="G824" s="209" t="s">
        <v>9</v>
      </c>
      <c r="H824" s="210">
        <v>0</v>
      </c>
      <c r="I824" s="210">
        <v>0</v>
      </c>
      <c r="J824" s="210">
        <v>0</v>
      </c>
      <c r="K824" s="37"/>
      <c r="L824" s="37"/>
      <c r="M824" s="37"/>
      <c r="N824" s="37"/>
      <c r="O824" s="37"/>
      <c r="P824" s="37"/>
      <c r="T824" s="37">
        <v>28</v>
      </c>
      <c r="U824" s="37">
        <v>28</v>
      </c>
      <c r="V824" s="37">
        <v>28</v>
      </c>
      <c r="W824" s="37">
        <f t="shared" si="25"/>
        <v>-28</v>
      </c>
      <c r="X824" s="37">
        <f t="shared" si="25"/>
        <v>-28</v>
      </c>
      <c r="Y824" s="37">
        <f t="shared" si="25"/>
        <v>-28</v>
      </c>
    </row>
    <row r="825" spans="1:25" s="17" customFormat="1" ht="20.45" customHeight="1">
      <c r="A825" s="108" t="str">
        <f t="shared" si="24"/>
        <v>607080115 1 01 20350000</v>
      </c>
      <c r="B825" s="208" t="s">
        <v>152</v>
      </c>
      <c r="C825" s="209" t="s">
        <v>510</v>
      </c>
      <c r="D825" s="236" t="s">
        <v>238</v>
      </c>
      <c r="E825" s="236" t="s">
        <v>11</v>
      </c>
      <c r="F825" s="209" t="s">
        <v>153</v>
      </c>
      <c r="G825" s="209" t="s">
        <v>9</v>
      </c>
      <c r="H825" s="210">
        <v>0</v>
      </c>
      <c r="I825" s="210">
        <v>0</v>
      </c>
      <c r="J825" s="210">
        <v>0</v>
      </c>
      <c r="K825" s="37"/>
      <c r="L825" s="37"/>
      <c r="M825" s="37"/>
      <c r="N825" s="37"/>
      <c r="O825" s="37"/>
      <c r="P825" s="37"/>
      <c r="T825" s="37">
        <v>3351.1</v>
      </c>
      <c r="U825" s="37">
        <v>3351.1</v>
      </c>
      <c r="V825" s="37">
        <v>3351.1</v>
      </c>
      <c r="W825" s="37">
        <f t="shared" si="25"/>
        <v>-3351.1</v>
      </c>
      <c r="X825" s="37">
        <f t="shared" si="25"/>
        <v>-3351.1</v>
      </c>
      <c r="Y825" s="37">
        <f t="shared" si="25"/>
        <v>-3351.1</v>
      </c>
    </row>
    <row r="826" spans="1:25" s="17" customFormat="1">
      <c r="A826" s="108" t="str">
        <f t="shared" si="24"/>
        <v>607080115 1 01 20350610</v>
      </c>
      <c r="B826" s="238" t="s">
        <v>403</v>
      </c>
      <c r="C826" s="209" t="s">
        <v>510</v>
      </c>
      <c r="D826" s="236" t="s">
        <v>238</v>
      </c>
      <c r="E826" s="236" t="s">
        <v>11</v>
      </c>
      <c r="F826" s="209" t="s">
        <v>153</v>
      </c>
      <c r="G826" s="209" t="s">
        <v>404</v>
      </c>
      <c r="H826" s="218">
        <v>0</v>
      </c>
      <c r="I826" s="218">
        <v>0</v>
      </c>
      <c r="J826" s="218">
        <v>0</v>
      </c>
      <c r="K826" s="36"/>
      <c r="L826" s="36"/>
      <c r="M826" s="36"/>
      <c r="N826" s="36"/>
      <c r="O826" s="36"/>
      <c r="P826" s="36"/>
      <c r="T826" s="36">
        <v>234979.36</v>
      </c>
      <c r="U826" s="36">
        <v>245649.34000000003</v>
      </c>
      <c r="V826" s="36">
        <v>261013.86</v>
      </c>
      <c r="W826" s="36">
        <f t="shared" si="25"/>
        <v>-234979.36</v>
      </c>
      <c r="X826" s="36">
        <f t="shared" si="25"/>
        <v>-245649.34000000003</v>
      </c>
      <c r="Y826" s="36">
        <f t="shared" si="25"/>
        <v>-261013.86</v>
      </c>
    </row>
    <row r="827" spans="1:25" s="17" customFormat="1" ht="25.5">
      <c r="A827" s="108" t="str">
        <f t="shared" si="24"/>
        <v>607080115 1 03 00000000</v>
      </c>
      <c r="B827" s="197" t="s">
        <v>1072</v>
      </c>
      <c r="C827" s="198" t="s">
        <v>510</v>
      </c>
      <c r="D827" s="199" t="s">
        <v>238</v>
      </c>
      <c r="E827" s="199" t="s">
        <v>11</v>
      </c>
      <c r="F827" s="198" t="s">
        <v>1073</v>
      </c>
      <c r="G827" s="203" t="s">
        <v>9</v>
      </c>
      <c r="H827" s="27">
        <v>76.5</v>
      </c>
      <c r="I827" s="27">
        <v>76.5</v>
      </c>
      <c r="J827" s="27">
        <v>76.5</v>
      </c>
      <c r="K827" s="37"/>
      <c r="L827" s="37"/>
      <c r="M827" s="37"/>
      <c r="N827" s="37"/>
      <c r="O827" s="37"/>
      <c r="P827" s="37"/>
      <c r="T827" s="37">
        <v>188631.6</v>
      </c>
      <c r="U827" s="37">
        <v>194738.30000000002</v>
      </c>
      <c r="V827" s="37">
        <v>202950.5</v>
      </c>
      <c r="W827" s="37">
        <f t="shared" si="25"/>
        <v>-188555.1</v>
      </c>
      <c r="X827" s="37">
        <f t="shared" si="25"/>
        <v>-194661.80000000002</v>
      </c>
      <c r="Y827" s="37">
        <f t="shared" si="25"/>
        <v>-202874</v>
      </c>
    </row>
    <row r="828" spans="1:25" s="17" customFormat="1" ht="25.5">
      <c r="A828" s="108" t="str">
        <f t="shared" si="24"/>
        <v>607080115 1 03 20350000</v>
      </c>
      <c r="B828" s="201" t="s">
        <v>152</v>
      </c>
      <c r="C828" s="198" t="s">
        <v>510</v>
      </c>
      <c r="D828" s="199" t="s">
        <v>238</v>
      </c>
      <c r="E828" s="199" t="s">
        <v>11</v>
      </c>
      <c r="F828" s="198" t="s">
        <v>1074</v>
      </c>
      <c r="G828" s="203" t="s">
        <v>9</v>
      </c>
      <c r="H828" s="27">
        <v>76.5</v>
      </c>
      <c r="I828" s="27">
        <v>76.5</v>
      </c>
      <c r="J828" s="27">
        <v>76.5</v>
      </c>
      <c r="K828" s="37"/>
      <c r="L828" s="37"/>
      <c r="M828" s="37"/>
      <c r="N828" s="37"/>
      <c r="O828" s="37"/>
      <c r="P828" s="37"/>
      <c r="T828" s="37">
        <v>2787.66</v>
      </c>
      <c r="U828" s="37">
        <v>2877.91</v>
      </c>
      <c r="V828" s="37">
        <v>2999.27</v>
      </c>
      <c r="W828" s="37">
        <f t="shared" si="25"/>
        <v>-2711.16</v>
      </c>
      <c r="X828" s="37">
        <f t="shared" si="25"/>
        <v>-2801.41</v>
      </c>
      <c r="Y828" s="37">
        <f t="shared" si="25"/>
        <v>-2922.77</v>
      </c>
    </row>
    <row r="829" spans="1:25" s="17" customFormat="1">
      <c r="A829" s="108" t="str">
        <f t="shared" si="24"/>
        <v>607080115 1 03 20350610</v>
      </c>
      <c r="B829" s="205" t="s">
        <v>403</v>
      </c>
      <c r="C829" s="198" t="s">
        <v>510</v>
      </c>
      <c r="D829" s="199" t="s">
        <v>238</v>
      </c>
      <c r="E829" s="199" t="s">
        <v>11</v>
      </c>
      <c r="F829" s="198" t="s">
        <v>1074</v>
      </c>
      <c r="G829" s="203" t="s">
        <v>404</v>
      </c>
      <c r="H829" s="20">
        <v>76.5</v>
      </c>
      <c r="I829" s="20">
        <v>76.5</v>
      </c>
      <c r="J829" s="20">
        <v>76.5</v>
      </c>
      <c r="K829" s="37"/>
      <c r="L829" s="37"/>
      <c r="M829" s="37"/>
      <c r="N829" s="37"/>
      <c r="O829" s="37"/>
      <c r="P829" s="37"/>
      <c r="T829" s="37">
        <v>185843.94</v>
      </c>
      <c r="U829" s="37">
        <v>191860.39</v>
      </c>
      <c r="V829" s="37">
        <v>199951.23</v>
      </c>
      <c r="W829" s="37">
        <f t="shared" si="25"/>
        <v>-185767.44</v>
      </c>
      <c r="X829" s="37">
        <f t="shared" si="25"/>
        <v>-191783.89</v>
      </c>
      <c r="Y829" s="37">
        <f t="shared" si="25"/>
        <v>-199874.73</v>
      </c>
    </row>
    <row r="830" spans="1:25" s="17" customFormat="1" ht="63.75">
      <c r="A830" s="108" t="str">
        <f t="shared" si="24"/>
        <v>607080116 0 00 00000000</v>
      </c>
      <c r="B830" s="197" t="s">
        <v>420</v>
      </c>
      <c r="C830" s="198" t="s">
        <v>510</v>
      </c>
      <c r="D830" s="199" t="s">
        <v>238</v>
      </c>
      <c r="E830" s="199" t="s">
        <v>11</v>
      </c>
      <c r="F830" s="199" t="s">
        <v>421</v>
      </c>
      <c r="G830" s="199" t="s">
        <v>9</v>
      </c>
      <c r="H830" s="20">
        <v>547.85</v>
      </c>
      <c r="I830" s="20">
        <v>547.85</v>
      </c>
      <c r="J830" s="20">
        <v>547.85</v>
      </c>
      <c r="K830" s="37"/>
      <c r="L830" s="37"/>
      <c r="M830" s="37"/>
      <c r="N830" s="37"/>
      <c r="O830" s="37"/>
      <c r="P830" s="37"/>
      <c r="T830" s="37">
        <v>284.65000000000003</v>
      </c>
      <c r="U830" s="37">
        <v>284.65000000000003</v>
      </c>
      <c r="V830" s="37">
        <v>284.65000000000003</v>
      </c>
      <c r="W830" s="37">
        <f t="shared" si="25"/>
        <v>263.2</v>
      </c>
      <c r="X830" s="37">
        <f t="shared" si="25"/>
        <v>263.2</v>
      </c>
      <c r="Y830" s="37">
        <f t="shared" si="25"/>
        <v>263.2</v>
      </c>
    </row>
    <row r="831" spans="1:25" s="17" customFormat="1" ht="25.5">
      <c r="A831" s="108" t="str">
        <f t="shared" si="24"/>
        <v>607080116 2 00 00000000</v>
      </c>
      <c r="B831" s="197" t="s">
        <v>422</v>
      </c>
      <c r="C831" s="198" t="s">
        <v>510</v>
      </c>
      <c r="D831" s="199" t="s">
        <v>238</v>
      </c>
      <c r="E831" s="199" t="s">
        <v>11</v>
      </c>
      <c r="F831" s="199" t="s">
        <v>423</v>
      </c>
      <c r="G831" s="199" t="s">
        <v>9</v>
      </c>
      <c r="H831" s="20">
        <v>547.85</v>
      </c>
      <c r="I831" s="20">
        <v>547.85</v>
      </c>
      <c r="J831" s="20">
        <v>547.85</v>
      </c>
      <c r="K831" s="37"/>
      <c r="L831" s="37"/>
      <c r="M831" s="37"/>
      <c r="N831" s="37"/>
      <c r="O831" s="37"/>
      <c r="P831" s="37"/>
      <c r="T831" s="37">
        <v>3.79</v>
      </c>
      <c r="U831" s="37">
        <v>3.79</v>
      </c>
      <c r="V831" s="37">
        <v>3.79</v>
      </c>
      <c r="W831" s="37">
        <f t="shared" si="25"/>
        <v>544.06000000000006</v>
      </c>
      <c r="X831" s="37">
        <f t="shared" si="25"/>
        <v>544.06000000000006</v>
      </c>
      <c r="Y831" s="37">
        <f t="shared" si="25"/>
        <v>544.06000000000006</v>
      </c>
    </row>
    <row r="832" spans="1:25" s="17" customFormat="1" ht="25.5">
      <c r="A832" s="108" t="str">
        <f t="shared" si="24"/>
        <v>607080116 2 02 00000000</v>
      </c>
      <c r="B832" s="197" t="s">
        <v>424</v>
      </c>
      <c r="C832" s="198" t="s">
        <v>510</v>
      </c>
      <c r="D832" s="199" t="s">
        <v>238</v>
      </c>
      <c r="E832" s="199" t="s">
        <v>11</v>
      </c>
      <c r="F832" s="199" t="s">
        <v>425</v>
      </c>
      <c r="G832" s="199" t="s">
        <v>9</v>
      </c>
      <c r="H832" s="20">
        <v>547.85</v>
      </c>
      <c r="I832" s="20">
        <v>547.85</v>
      </c>
      <c r="J832" s="20">
        <v>547.85</v>
      </c>
      <c r="K832" s="37"/>
      <c r="L832" s="37"/>
      <c r="M832" s="37"/>
      <c r="N832" s="37"/>
      <c r="O832" s="37"/>
      <c r="P832" s="37"/>
      <c r="T832" s="37">
        <v>280.86</v>
      </c>
      <c r="U832" s="37">
        <v>280.86</v>
      </c>
      <c r="V832" s="37">
        <v>280.86</v>
      </c>
      <c r="W832" s="37">
        <f t="shared" si="25"/>
        <v>266.99</v>
      </c>
      <c r="X832" s="37">
        <f t="shared" si="25"/>
        <v>266.99</v>
      </c>
      <c r="Y832" s="37">
        <f t="shared" si="25"/>
        <v>266.99</v>
      </c>
    </row>
    <row r="833" spans="1:25" s="17" customFormat="1" ht="38.25">
      <c r="A833" s="108" t="str">
        <f t="shared" si="24"/>
        <v>607080116 2 02 20550000</v>
      </c>
      <c r="B833" s="197" t="s">
        <v>426</v>
      </c>
      <c r="C833" s="198" t="s">
        <v>510</v>
      </c>
      <c r="D833" s="199" t="s">
        <v>238</v>
      </c>
      <c r="E833" s="199" t="s">
        <v>11</v>
      </c>
      <c r="F833" s="199" t="s">
        <v>427</v>
      </c>
      <c r="G833" s="199" t="s">
        <v>9</v>
      </c>
      <c r="H833" s="20">
        <v>547.85</v>
      </c>
      <c r="I833" s="20">
        <v>547.85</v>
      </c>
      <c r="J833" s="20">
        <v>547.85</v>
      </c>
      <c r="K833" s="36"/>
      <c r="L833" s="36"/>
      <c r="M833" s="36"/>
      <c r="N833" s="36"/>
      <c r="O833" s="36"/>
      <c r="P833" s="36"/>
      <c r="T833" s="36">
        <v>2933.28</v>
      </c>
      <c r="U833" s="36">
        <v>2933.28</v>
      </c>
      <c r="V833" s="36">
        <v>2933.28</v>
      </c>
      <c r="W833" s="36">
        <f t="shared" si="25"/>
        <v>-2385.4300000000003</v>
      </c>
      <c r="X833" s="36">
        <f t="shared" si="25"/>
        <v>-2385.4300000000003</v>
      </c>
      <c r="Y833" s="36">
        <f t="shared" si="25"/>
        <v>-2385.4300000000003</v>
      </c>
    </row>
    <row r="834" spans="1:25" s="17" customFormat="1">
      <c r="A834" s="108" t="str">
        <f t="shared" si="24"/>
        <v>607080116 2 02 20550610</v>
      </c>
      <c r="B834" s="205" t="s">
        <v>403</v>
      </c>
      <c r="C834" s="198" t="s">
        <v>510</v>
      </c>
      <c r="D834" s="199" t="s">
        <v>238</v>
      </c>
      <c r="E834" s="199" t="s">
        <v>11</v>
      </c>
      <c r="F834" s="199" t="s">
        <v>427</v>
      </c>
      <c r="G834" s="199" t="s">
        <v>404</v>
      </c>
      <c r="H834" s="20">
        <v>547.85</v>
      </c>
      <c r="I834" s="20">
        <v>547.85</v>
      </c>
      <c r="J834" s="20">
        <v>547.85</v>
      </c>
      <c r="K834" s="37"/>
      <c r="L834" s="37"/>
      <c r="M834" s="37"/>
      <c r="N834" s="37"/>
      <c r="O834" s="37"/>
      <c r="P834" s="37"/>
      <c r="T834" s="37">
        <v>39.07</v>
      </c>
      <c r="U834" s="37">
        <v>39.07</v>
      </c>
      <c r="V834" s="37">
        <v>39.07</v>
      </c>
      <c r="W834" s="37">
        <f t="shared" si="25"/>
        <v>508.78000000000003</v>
      </c>
      <c r="X834" s="37">
        <f t="shared" si="25"/>
        <v>508.78000000000003</v>
      </c>
      <c r="Y834" s="37">
        <f t="shared" si="25"/>
        <v>508.78000000000003</v>
      </c>
    </row>
    <row r="835" spans="1:25" s="17" customFormat="1" ht="25.5">
      <c r="A835" s="108" t="str">
        <f t="shared" si="24"/>
        <v>607080117 0 00 00000000</v>
      </c>
      <c r="B835" s="197" t="s">
        <v>430</v>
      </c>
      <c r="C835" s="198" t="s">
        <v>510</v>
      </c>
      <c r="D835" s="199" t="s">
        <v>238</v>
      </c>
      <c r="E835" s="199" t="s">
        <v>11</v>
      </c>
      <c r="F835" s="199" t="s">
        <v>431</v>
      </c>
      <c r="G835" s="199" t="s">
        <v>9</v>
      </c>
      <c r="H835" s="20">
        <v>203.83</v>
      </c>
      <c r="I835" s="20">
        <v>203.83</v>
      </c>
      <c r="J835" s="20">
        <v>203.83</v>
      </c>
      <c r="K835" s="37"/>
      <c r="L835" s="37"/>
      <c r="M835" s="37"/>
      <c r="N835" s="37"/>
      <c r="O835" s="37"/>
      <c r="P835" s="37"/>
      <c r="T835" s="37">
        <v>2894.21</v>
      </c>
      <c r="U835" s="37">
        <v>2894.21</v>
      </c>
      <c r="V835" s="37">
        <v>2894.21</v>
      </c>
      <c r="W835" s="37">
        <f t="shared" si="25"/>
        <v>-2690.38</v>
      </c>
      <c r="X835" s="37">
        <f t="shared" si="25"/>
        <v>-2690.38</v>
      </c>
      <c r="Y835" s="37">
        <f t="shared" si="25"/>
        <v>-2690.38</v>
      </c>
    </row>
    <row r="836" spans="1:25" s="17" customFormat="1" ht="38.25">
      <c r="A836" s="108" t="str">
        <f t="shared" si="24"/>
        <v>607080117 Б 00 00000000</v>
      </c>
      <c r="B836" s="197" t="s">
        <v>432</v>
      </c>
      <c r="C836" s="198" t="s">
        <v>510</v>
      </c>
      <c r="D836" s="199" t="s">
        <v>238</v>
      </c>
      <c r="E836" s="199" t="s">
        <v>11</v>
      </c>
      <c r="F836" s="199" t="s">
        <v>433</v>
      </c>
      <c r="G836" s="199" t="s">
        <v>9</v>
      </c>
      <c r="H836" s="20">
        <v>203.83</v>
      </c>
      <c r="I836" s="20">
        <v>203.83</v>
      </c>
      <c r="J836" s="20">
        <v>203.83</v>
      </c>
      <c r="K836" s="37"/>
      <c r="L836" s="37"/>
      <c r="M836" s="37"/>
      <c r="N836" s="37"/>
      <c r="O836" s="37"/>
      <c r="P836" s="37"/>
      <c r="T836" s="37">
        <v>43129.83</v>
      </c>
      <c r="U836" s="37">
        <v>47693.11</v>
      </c>
      <c r="V836" s="37">
        <v>54845.43</v>
      </c>
      <c r="W836" s="37">
        <f t="shared" si="25"/>
        <v>-42926</v>
      </c>
      <c r="X836" s="37">
        <f t="shared" si="25"/>
        <v>-47489.279999999999</v>
      </c>
      <c r="Y836" s="37">
        <f t="shared" si="25"/>
        <v>-54641.599999999999</v>
      </c>
    </row>
    <row r="837" spans="1:25" s="17" customFormat="1" ht="25.5">
      <c r="A837" s="108" t="str">
        <f t="shared" si="24"/>
        <v>607080117 Б 01 00000000</v>
      </c>
      <c r="B837" s="197" t="s">
        <v>434</v>
      </c>
      <c r="C837" s="198" t="s">
        <v>510</v>
      </c>
      <c r="D837" s="199" t="s">
        <v>238</v>
      </c>
      <c r="E837" s="199" t="s">
        <v>11</v>
      </c>
      <c r="F837" s="199" t="s">
        <v>435</v>
      </c>
      <c r="G837" s="199" t="s">
        <v>9</v>
      </c>
      <c r="H837" s="20">
        <v>203.83</v>
      </c>
      <c r="I837" s="20">
        <v>203.83</v>
      </c>
      <c r="J837" s="20">
        <v>203.83</v>
      </c>
      <c r="K837" s="37"/>
      <c r="L837" s="37"/>
      <c r="M837" s="37"/>
      <c r="N837" s="37"/>
      <c r="O837" s="37"/>
      <c r="P837" s="37"/>
      <c r="T837" s="37">
        <v>516.66999999999996</v>
      </c>
      <c r="U837" s="37">
        <v>582.41</v>
      </c>
      <c r="V837" s="37">
        <v>662.53</v>
      </c>
      <c r="W837" s="37">
        <f t="shared" si="25"/>
        <v>-312.83999999999992</v>
      </c>
      <c r="X837" s="37">
        <f t="shared" si="25"/>
        <v>-378.57999999999993</v>
      </c>
      <c r="Y837" s="37">
        <f t="shared" si="25"/>
        <v>-458.69999999999993</v>
      </c>
    </row>
    <row r="838" spans="1:25" s="17" customFormat="1" ht="25.5">
      <c r="A838" s="108" t="str">
        <f t="shared" ref="A838:A901" si="26">C838&amp;D838&amp;E838&amp;F838&amp;G838</f>
        <v>607080117 Б 01 20490000</v>
      </c>
      <c r="B838" s="205" t="s">
        <v>436</v>
      </c>
      <c r="C838" s="198" t="s">
        <v>510</v>
      </c>
      <c r="D838" s="199" t="s">
        <v>238</v>
      </c>
      <c r="E838" s="199" t="s">
        <v>11</v>
      </c>
      <c r="F838" s="199" t="s">
        <v>437</v>
      </c>
      <c r="G838" s="199" t="s">
        <v>9</v>
      </c>
      <c r="H838" s="20">
        <v>203.83</v>
      </c>
      <c r="I838" s="20">
        <v>203.83</v>
      </c>
      <c r="J838" s="20">
        <v>203.83</v>
      </c>
      <c r="K838" s="37"/>
      <c r="L838" s="37"/>
      <c r="M838" s="37"/>
      <c r="N838" s="37"/>
      <c r="O838" s="37"/>
      <c r="P838" s="37"/>
      <c r="T838" s="37">
        <v>42613.16</v>
      </c>
      <c r="U838" s="37">
        <v>47110.7</v>
      </c>
      <c r="V838" s="37">
        <v>54182.9</v>
      </c>
      <c r="W838" s="37">
        <f t="shared" si="25"/>
        <v>-42409.33</v>
      </c>
      <c r="X838" s="37">
        <f t="shared" si="25"/>
        <v>-46906.869999999995</v>
      </c>
      <c r="Y838" s="37">
        <f t="shared" si="25"/>
        <v>-53979.07</v>
      </c>
    </row>
    <row r="839" spans="1:25" s="17" customFormat="1">
      <c r="A839" s="108" t="str">
        <f t="shared" si="26"/>
        <v>607080117 Б 01 20490610</v>
      </c>
      <c r="B839" s="197" t="s">
        <v>403</v>
      </c>
      <c r="C839" s="198" t="s">
        <v>510</v>
      </c>
      <c r="D839" s="199" t="s">
        <v>238</v>
      </c>
      <c r="E839" s="199" t="s">
        <v>11</v>
      </c>
      <c r="F839" s="199" t="s">
        <v>437</v>
      </c>
      <c r="G839" s="199" t="s">
        <v>404</v>
      </c>
      <c r="H839" s="20">
        <v>203.83</v>
      </c>
      <c r="I839" s="20">
        <v>203.83</v>
      </c>
      <c r="J839" s="20">
        <v>203.83</v>
      </c>
      <c r="K839" s="37"/>
      <c r="L839" s="37"/>
      <c r="M839" s="37"/>
      <c r="N839" s="37"/>
      <c r="O839" s="37"/>
      <c r="P839" s="37"/>
      <c r="T839" s="37">
        <v>20720.739999999998</v>
      </c>
      <c r="U839" s="37">
        <v>20786.739999999998</v>
      </c>
      <c r="V839" s="37">
        <v>50833.09</v>
      </c>
      <c r="W839" s="37">
        <f t="shared" si="25"/>
        <v>-20516.909999999996</v>
      </c>
      <c r="X839" s="37">
        <f t="shared" si="25"/>
        <v>-20582.909999999996</v>
      </c>
      <c r="Y839" s="37">
        <f t="shared" si="25"/>
        <v>-50629.259999999995</v>
      </c>
    </row>
    <row r="840" spans="1:25" s="17" customFormat="1" ht="38.25">
      <c r="A840" s="108" t="str">
        <f t="shared" si="26"/>
        <v>607080198 0 00 00000000</v>
      </c>
      <c r="B840" s="197" t="s">
        <v>87</v>
      </c>
      <c r="C840" s="198" t="s">
        <v>510</v>
      </c>
      <c r="D840" s="199" t="s">
        <v>238</v>
      </c>
      <c r="E840" s="199" t="s">
        <v>11</v>
      </c>
      <c r="F840" s="199" t="s">
        <v>88</v>
      </c>
      <c r="G840" s="199" t="s">
        <v>9</v>
      </c>
      <c r="H840" s="20">
        <v>5057.0200000000004</v>
      </c>
      <c r="I840" s="20">
        <v>0</v>
      </c>
      <c r="J840" s="20">
        <v>0</v>
      </c>
      <c r="K840" s="37"/>
      <c r="L840" s="37"/>
      <c r="M840" s="37"/>
      <c r="N840" s="37"/>
      <c r="O840" s="37"/>
      <c r="P840" s="37"/>
      <c r="T840" s="37">
        <v>20539.739999999998</v>
      </c>
      <c r="U840" s="37">
        <v>20605.739999999998</v>
      </c>
      <c r="V840" s="37">
        <v>50652.09</v>
      </c>
      <c r="W840" s="37">
        <f t="shared" ref="W840:Y903" si="27">H840-T840</f>
        <v>-15482.719999999998</v>
      </c>
      <c r="X840" s="37">
        <f t="shared" si="27"/>
        <v>-20605.739999999998</v>
      </c>
      <c r="Y840" s="37">
        <f t="shared" si="27"/>
        <v>-50652.09</v>
      </c>
    </row>
    <row r="841" spans="1:25" s="17" customFormat="1">
      <c r="A841" s="108" t="str">
        <f t="shared" si="26"/>
        <v>607080198 1 00 00000000</v>
      </c>
      <c r="B841" s="197" t="s">
        <v>89</v>
      </c>
      <c r="C841" s="198" t="s">
        <v>510</v>
      </c>
      <c r="D841" s="199" t="s">
        <v>238</v>
      </c>
      <c r="E841" s="199" t="s">
        <v>11</v>
      </c>
      <c r="F841" s="199" t="s">
        <v>90</v>
      </c>
      <c r="G841" s="199" t="s">
        <v>9</v>
      </c>
      <c r="H841" s="20">
        <v>5057.0200000000004</v>
      </c>
      <c r="I841" s="20">
        <v>0</v>
      </c>
      <c r="J841" s="20">
        <v>0</v>
      </c>
      <c r="K841" s="37"/>
      <c r="L841" s="37"/>
      <c r="M841" s="37"/>
      <c r="N841" s="37"/>
      <c r="O841" s="37"/>
      <c r="P841" s="37"/>
      <c r="T841" s="37">
        <v>0</v>
      </c>
      <c r="U841" s="37">
        <v>0</v>
      </c>
      <c r="V841" s="37">
        <v>1650</v>
      </c>
      <c r="W841" s="37">
        <f t="shared" si="27"/>
        <v>5057.0200000000004</v>
      </c>
      <c r="X841" s="37">
        <f t="shared" si="27"/>
        <v>0</v>
      </c>
      <c r="Y841" s="37">
        <f t="shared" si="27"/>
        <v>-1650</v>
      </c>
    </row>
    <row r="842" spans="1:25" s="17" customFormat="1" ht="38.25">
      <c r="A842" s="108" t="str">
        <f t="shared" si="26"/>
        <v>607080198 1 00 21570000</v>
      </c>
      <c r="B842" s="197" t="s">
        <v>1054</v>
      </c>
      <c r="C842" s="198" t="s">
        <v>510</v>
      </c>
      <c r="D842" s="199" t="s">
        <v>238</v>
      </c>
      <c r="E842" s="199" t="s">
        <v>11</v>
      </c>
      <c r="F842" s="199" t="s">
        <v>1055</v>
      </c>
      <c r="G842" s="199" t="s">
        <v>9</v>
      </c>
      <c r="H842" s="20">
        <v>57.02</v>
      </c>
      <c r="I842" s="20">
        <v>0</v>
      </c>
      <c r="J842" s="20">
        <v>0</v>
      </c>
      <c r="K842" s="37"/>
      <c r="L842" s="37"/>
      <c r="M842" s="37"/>
      <c r="N842" s="37"/>
      <c r="O842" s="37"/>
      <c r="P842" s="37"/>
      <c r="T842" s="37">
        <v>0</v>
      </c>
      <c r="U842" s="37">
        <v>0</v>
      </c>
      <c r="V842" s="37">
        <v>1650</v>
      </c>
      <c r="W842" s="37">
        <f t="shared" si="27"/>
        <v>57.02</v>
      </c>
      <c r="X842" s="37">
        <f t="shared" si="27"/>
        <v>0</v>
      </c>
      <c r="Y842" s="37">
        <f t="shared" si="27"/>
        <v>-1650</v>
      </c>
    </row>
    <row r="843" spans="1:25" s="17" customFormat="1">
      <c r="A843" s="108" t="str">
        <f t="shared" si="26"/>
        <v>607080198 1 00 21570610</v>
      </c>
      <c r="B843" s="197" t="s">
        <v>403</v>
      </c>
      <c r="C843" s="198" t="s">
        <v>510</v>
      </c>
      <c r="D843" s="199" t="s">
        <v>238</v>
      </c>
      <c r="E843" s="199" t="s">
        <v>11</v>
      </c>
      <c r="F843" s="199" t="s">
        <v>1055</v>
      </c>
      <c r="G843" s="199" t="s">
        <v>404</v>
      </c>
      <c r="H843" s="20">
        <v>57.02</v>
      </c>
      <c r="I843" s="20">
        <v>0</v>
      </c>
      <c r="J843" s="20">
        <v>0</v>
      </c>
      <c r="K843" s="37"/>
      <c r="L843" s="37"/>
      <c r="M843" s="37"/>
      <c r="N843" s="37"/>
      <c r="O843" s="37"/>
      <c r="P843" s="37"/>
      <c r="T843" s="37">
        <v>6350</v>
      </c>
      <c r="U843" s="37">
        <v>6350</v>
      </c>
      <c r="V843" s="37">
        <v>6350</v>
      </c>
      <c r="W843" s="37">
        <f t="shared" si="27"/>
        <v>-6292.98</v>
      </c>
      <c r="X843" s="37">
        <f t="shared" si="27"/>
        <v>-6350</v>
      </c>
      <c r="Y843" s="37">
        <f t="shared" si="27"/>
        <v>-6350</v>
      </c>
    </row>
    <row r="844" spans="1:25" s="17" customFormat="1" ht="76.5">
      <c r="A844" s="108" t="str">
        <f t="shared" si="26"/>
        <v>607080198 1 00 21590000</v>
      </c>
      <c r="B844" s="324" t="s">
        <v>1302</v>
      </c>
      <c r="C844" s="198" t="s">
        <v>510</v>
      </c>
      <c r="D844" s="199" t="s">
        <v>238</v>
      </c>
      <c r="E844" s="199" t="s">
        <v>11</v>
      </c>
      <c r="F844" s="199" t="s">
        <v>1303</v>
      </c>
      <c r="G844" s="199" t="s">
        <v>9</v>
      </c>
      <c r="H844" s="20">
        <v>5000</v>
      </c>
      <c r="I844" s="20">
        <v>0</v>
      </c>
      <c r="J844" s="20">
        <v>0</v>
      </c>
      <c r="K844" s="37"/>
      <c r="L844" s="37"/>
      <c r="M844" s="37"/>
      <c r="N844" s="37"/>
      <c r="O844" s="37"/>
      <c r="P844" s="37"/>
      <c r="T844" s="37">
        <v>6350</v>
      </c>
      <c r="U844" s="37">
        <v>6350</v>
      </c>
      <c r="V844" s="37">
        <v>6350</v>
      </c>
      <c r="W844" s="37">
        <f t="shared" si="27"/>
        <v>-1350</v>
      </c>
      <c r="X844" s="37">
        <f t="shared" si="27"/>
        <v>-6350</v>
      </c>
      <c r="Y844" s="37">
        <f t="shared" si="27"/>
        <v>-6350</v>
      </c>
    </row>
    <row r="845" spans="1:25" s="17" customFormat="1">
      <c r="A845" s="108" t="str">
        <f t="shared" si="26"/>
        <v>607080198 1 00 21590620</v>
      </c>
      <c r="B845" s="314" t="s">
        <v>409</v>
      </c>
      <c r="C845" s="198" t="s">
        <v>510</v>
      </c>
      <c r="D845" s="199" t="s">
        <v>238</v>
      </c>
      <c r="E845" s="199" t="s">
        <v>11</v>
      </c>
      <c r="F845" s="199" t="s">
        <v>1303</v>
      </c>
      <c r="G845" s="199" t="s">
        <v>410</v>
      </c>
      <c r="H845" s="20">
        <v>5000</v>
      </c>
      <c r="I845" s="20">
        <v>0</v>
      </c>
      <c r="J845" s="20">
        <v>0</v>
      </c>
      <c r="K845" s="37"/>
      <c r="L845" s="37"/>
      <c r="M845" s="37"/>
      <c r="N845" s="37"/>
      <c r="O845" s="37"/>
      <c r="P845" s="37"/>
      <c r="T845" s="37">
        <v>0</v>
      </c>
      <c r="U845" s="37">
        <v>0</v>
      </c>
      <c r="V845" s="37">
        <v>132</v>
      </c>
      <c r="W845" s="37">
        <f t="shared" si="27"/>
        <v>5000</v>
      </c>
      <c r="X845" s="37">
        <f t="shared" si="27"/>
        <v>0</v>
      </c>
      <c r="Y845" s="37">
        <f t="shared" si="27"/>
        <v>-132</v>
      </c>
    </row>
    <row r="846" spans="1:25" s="17" customFormat="1">
      <c r="A846" s="108" t="str">
        <f t="shared" si="26"/>
        <v>607080400 0 00 00000000</v>
      </c>
      <c r="B846" s="194" t="s">
        <v>584</v>
      </c>
      <c r="C846" s="195" t="s">
        <v>510</v>
      </c>
      <c r="D846" s="196" t="s">
        <v>238</v>
      </c>
      <c r="E846" s="196" t="s">
        <v>73</v>
      </c>
      <c r="F846" s="196" t="s">
        <v>8</v>
      </c>
      <c r="G846" s="196" t="s">
        <v>9</v>
      </c>
      <c r="H846" s="19">
        <v>15626.399999999998</v>
      </c>
      <c r="I846" s="19">
        <v>14126.399999999998</v>
      </c>
      <c r="J846" s="19">
        <v>14126.399999999998</v>
      </c>
      <c r="K846" s="37"/>
      <c r="L846" s="37"/>
      <c r="M846" s="37"/>
      <c r="N846" s="37"/>
      <c r="O846" s="37"/>
      <c r="P846" s="37"/>
      <c r="T846" s="37">
        <v>0</v>
      </c>
      <c r="U846" s="37">
        <v>0</v>
      </c>
      <c r="V846" s="37">
        <v>132</v>
      </c>
      <c r="W846" s="37">
        <f t="shared" si="27"/>
        <v>15626.399999999998</v>
      </c>
      <c r="X846" s="37">
        <f t="shared" si="27"/>
        <v>14126.399999999998</v>
      </c>
      <c r="Y846" s="37">
        <f t="shared" si="27"/>
        <v>13994.399999999998</v>
      </c>
    </row>
    <row r="847" spans="1:25" s="17" customFormat="1" ht="25.5">
      <c r="A847" s="108" t="str">
        <f t="shared" si="26"/>
        <v>607080476 0 00 00000000</v>
      </c>
      <c r="B847" s="197" t="s">
        <v>585</v>
      </c>
      <c r="C847" s="198" t="s">
        <v>510</v>
      </c>
      <c r="D847" s="199" t="s">
        <v>238</v>
      </c>
      <c r="E847" s="199" t="s">
        <v>73</v>
      </c>
      <c r="F847" s="199" t="s">
        <v>586</v>
      </c>
      <c r="G847" s="199" t="s">
        <v>9</v>
      </c>
      <c r="H847" s="20">
        <v>15626.399999999998</v>
      </c>
      <c r="I847" s="20">
        <v>14126.399999999998</v>
      </c>
      <c r="J847" s="20">
        <v>14126.399999999998</v>
      </c>
      <c r="K847" s="37"/>
      <c r="L847" s="37"/>
      <c r="M847" s="37"/>
      <c r="N847" s="37"/>
      <c r="O847" s="37"/>
      <c r="P847" s="37"/>
      <c r="T847" s="37">
        <v>0</v>
      </c>
      <c r="U847" s="37">
        <v>0</v>
      </c>
      <c r="V847" s="37">
        <v>8000</v>
      </c>
      <c r="W847" s="37">
        <f t="shared" si="27"/>
        <v>15626.399999999998</v>
      </c>
      <c r="X847" s="37">
        <f t="shared" si="27"/>
        <v>14126.399999999998</v>
      </c>
      <c r="Y847" s="37">
        <f t="shared" si="27"/>
        <v>6126.3999999999978</v>
      </c>
    </row>
    <row r="848" spans="1:25" s="17" customFormat="1" ht="38.25">
      <c r="A848" s="108" t="str">
        <f t="shared" si="26"/>
        <v>607080476 1 00 00000000</v>
      </c>
      <c r="B848" s="197" t="s">
        <v>587</v>
      </c>
      <c r="C848" s="198" t="s">
        <v>510</v>
      </c>
      <c r="D848" s="199" t="s">
        <v>238</v>
      </c>
      <c r="E848" s="199" t="s">
        <v>73</v>
      </c>
      <c r="F848" s="199" t="s">
        <v>588</v>
      </c>
      <c r="G848" s="199" t="s">
        <v>9</v>
      </c>
      <c r="H848" s="20">
        <v>15466.399999999998</v>
      </c>
      <c r="I848" s="20">
        <v>13966.399999999998</v>
      </c>
      <c r="J848" s="20">
        <v>13966.399999999998</v>
      </c>
      <c r="K848" s="37"/>
      <c r="L848" s="37"/>
      <c r="M848" s="37"/>
      <c r="N848" s="37"/>
      <c r="O848" s="37"/>
      <c r="P848" s="37"/>
      <c r="T848" s="37">
        <v>0</v>
      </c>
      <c r="U848" s="37">
        <v>0</v>
      </c>
      <c r="V848" s="37">
        <v>8000</v>
      </c>
      <c r="W848" s="37">
        <f t="shared" si="27"/>
        <v>15466.399999999998</v>
      </c>
      <c r="X848" s="37">
        <f t="shared" si="27"/>
        <v>13966.399999999998</v>
      </c>
      <c r="Y848" s="37">
        <f t="shared" si="27"/>
        <v>5966.3999999999978</v>
      </c>
    </row>
    <row r="849" spans="1:25" s="17" customFormat="1" ht="25.5">
      <c r="A849" s="108" t="str">
        <f t="shared" si="26"/>
        <v>607080476 1 00 10010000</v>
      </c>
      <c r="B849" s="197" t="s">
        <v>18</v>
      </c>
      <c r="C849" s="198" t="s">
        <v>510</v>
      </c>
      <c r="D849" s="199" t="s">
        <v>238</v>
      </c>
      <c r="E849" s="199" t="s">
        <v>73</v>
      </c>
      <c r="F849" s="199" t="s">
        <v>589</v>
      </c>
      <c r="G849" s="199" t="s">
        <v>9</v>
      </c>
      <c r="H849" s="20">
        <v>2980.3399999999997</v>
      </c>
      <c r="I849" s="20">
        <v>1480.34</v>
      </c>
      <c r="J849" s="20">
        <v>1480.34</v>
      </c>
      <c r="K849" s="37"/>
      <c r="L849" s="37"/>
      <c r="M849" s="37"/>
      <c r="N849" s="37"/>
      <c r="O849" s="37"/>
      <c r="P849" s="37"/>
      <c r="T849" s="37">
        <v>694.28</v>
      </c>
      <c r="U849" s="37">
        <v>694.28</v>
      </c>
      <c r="V849" s="37">
        <v>694.28</v>
      </c>
      <c r="W849" s="37">
        <f t="shared" si="27"/>
        <v>2286.0599999999995</v>
      </c>
      <c r="X849" s="37">
        <f t="shared" si="27"/>
        <v>786.06</v>
      </c>
      <c r="Y849" s="37">
        <f t="shared" si="27"/>
        <v>786.06</v>
      </c>
    </row>
    <row r="850" spans="1:25" s="17" customFormat="1" ht="25.5">
      <c r="A850" s="108" t="str">
        <f t="shared" si="26"/>
        <v>607080476 1 00 10010120</v>
      </c>
      <c r="B850" s="200" t="s">
        <v>20</v>
      </c>
      <c r="C850" s="198" t="s">
        <v>510</v>
      </c>
      <c r="D850" s="199" t="s">
        <v>238</v>
      </c>
      <c r="E850" s="199" t="s">
        <v>73</v>
      </c>
      <c r="F850" s="199" t="s">
        <v>589</v>
      </c>
      <c r="G850" s="199" t="s">
        <v>21</v>
      </c>
      <c r="H850" s="20">
        <v>357.33</v>
      </c>
      <c r="I850" s="20">
        <v>357.33</v>
      </c>
      <c r="J850" s="20">
        <v>357.33</v>
      </c>
      <c r="K850" s="37"/>
      <c r="L850" s="37"/>
      <c r="M850" s="37"/>
      <c r="N850" s="37"/>
      <c r="O850" s="37"/>
      <c r="P850" s="37"/>
      <c r="T850" s="37">
        <v>694.28</v>
      </c>
      <c r="U850" s="37">
        <v>694.28</v>
      </c>
      <c r="V850" s="37">
        <v>694.28</v>
      </c>
      <c r="W850" s="37">
        <f t="shared" si="27"/>
        <v>-336.95</v>
      </c>
      <c r="X850" s="37">
        <f t="shared" si="27"/>
        <v>-336.95</v>
      </c>
      <c r="Y850" s="37">
        <f t="shared" si="27"/>
        <v>-336.95</v>
      </c>
    </row>
    <row r="851" spans="1:25" s="17" customFormat="1" ht="25.5">
      <c r="A851" s="108" t="str">
        <f t="shared" si="26"/>
        <v>607080476 1 00 10010240</v>
      </c>
      <c r="B851" s="197" t="s">
        <v>28</v>
      </c>
      <c r="C851" s="198" t="s">
        <v>510</v>
      </c>
      <c r="D851" s="199" t="s">
        <v>238</v>
      </c>
      <c r="E851" s="199" t="s">
        <v>73</v>
      </c>
      <c r="F851" s="199" t="s">
        <v>589</v>
      </c>
      <c r="G851" s="199" t="s">
        <v>29</v>
      </c>
      <c r="H851" s="20">
        <v>2441.81</v>
      </c>
      <c r="I851" s="20">
        <v>941.81</v>
      </c>
      <c r="J851" s="20">
        <v>941.81</v>
      </c>
      <c r="K851" s="37"/>
      <c r="L851" s="37"/>
      <c r="M851" s="37"/>
      <c r="N851" s="37"/>
      <c r="O851" s="37"/>
      <c r="P851" s="37"/>
      <c r="T851" s="37">
        <v>1664</v>
      </c>
      <c r="U851" s="37">
        <v>1730</v>
      </c>
      <c r="V851" s="37">
        <v>1944.35</v>
      </c>
      <c r="W851" s="37">
        <f t="shared" si="27"/>
        <v>777.81</v>
      </c>
      <c r="X851" s="37">
        <f t="shared" si="27"/>
        <v>-788.19</v>
      </c>
      <c r="Y851" s="37">
        <f t="shared" si="27"/>
        <v>-1002.54</v>
      </c>
    </row>
    <row r="852" spans="1:25" s="17" customFormat="1">
      <c r="A852" s="108" t="str">
        <f t="shared" si="26"/>
        <v>607080476 1 00 10010850</v>
      </c>
      <c r="B852" s="197" t="s">
        <v>32</v>
      </c>
      <c r="C852" s="198" t="s">
        <v>510</v>
      </c>
      <c r="D852" s="199" t="s">
        <v>238</v>
      </c>
      <c r="E852" s="199" t="s">
        <v>73</v>
      </c>
      <c r="F852" s="199" t="s">
        <v>589</v>
      </c>
      <c r="G852" s="199" t="s">
        <v>33</v>
      </c>
      <c r="H852" s="20">
        <v>181.2</v>
      </c>
      <c r="I852" s="20">
        <v>181.2</v>
      </c>
      <c r="J852" s="20">
        <v>181.2</v>
      </c>
      <c r="K852" s="37"/>
      <c r="L852" s="37"/>
      <c r="M852" s="37"/>
      <c r="N852" s="37"/>
      <c r="O852" s="37"/>
      <c r="P852" s="37"/>
      <c r="T852" s="37">
        <v>1664</v>
      </c>
      <c r="U852" s="37">
        <v>1730</v>
      </c>
      <c r="V852" s="37">
        <v>1944.35</v>
      </c>
      <c r="W852" s="37">
        <f t="shared" si="27"/>
        <v>-1482.8</v>
      </c>
      <c r="X852" s="37">
        <f t="shared" si="27"/>
        <v>-1548.8</v>
      </c>
      <c r="Y852" s="37">
        <f t="shared" si="27"/>
        <v>-1763.1499999999999</v>
      </c>
    </row>
    <row r="853" spans="1:25" s="17" customFormat="1" ht="25.5">
      <c r="A853" s="108" t="str">
        <f t="shared" si="26"/>
        <v>607080476 1 00 10020000</v>
      </c>
      <c r="B853" s="197" t="s">
        <v>38</v>
      </c>
      <c r="C853" s="198" t="s">
        <v>510</v>
      </c>
      <c r="D853" s="199" t="s">
        <v>238</v>
      </c>
      <c r="E853" s="199" t="s">
        <v>73</v>
      </c>
      <c r="F853" s="199" t="s">
        <v>590</v>
      </c>
      <c r="G853" s="199" t="s">
        <v>9</v>
      </c>
      <c r="H853" s="20">
        <v>12088.919999999998</v>
      </c>
      <c r="I853" s="20">
        <v>12486.059999999998</v>
      </c>
      <c r="J853" s="20">
        <v>12486.059999999998</v>
      </c>
      <c r="K853" s="37"/>
      <c r="L853" s="37"/>
      <c r="M853" s="37"/>
      <c r="N853" s="37"/>
      <c r="O853" s="37"/>
      <c r="P853" s="37"/>
      <c r="T853" s="37">
        <v>0</v>
      </c>
      <c r="U853" s="37">
        <v>0</v>
      </c>
      <c r="V853" s="37">
        <v>10800</v>
      </c>
      <c r="W853" s="37">
        <f t="shared" si="27"/>
        <v>12088.919999999998</v>
      </c>
      <c r="X853" s="37">
        <f t="shared" si="27"/>
        <v>12486.059999999998</v>
      </c>
      <c r="Y853" s="37">
        <f t="shared" si="27"/>
        <v>1686.0599999999977</v>
      </c>
    </row>
    <row r="854" spans="1:25" s="17" customFormat="1" ht="25.5">
      <c r="A854" s="108" t="str">
        <f t="shared" si="26"/>
        <v>607080476 1 00 10020120</v>
      </c>
      <c r="B854" s="200" t="s">
        <v>20</v>
      </c>
      <c r="C854" s="198" t="s">
        <v>510</v>
      </c>
      <c r="D854" s="199" t="s">
        <v>238</v>
      </c>
      <c r="E854" s="199" t="s">
        <v>73</v>
      </c>
      <c r="F854" s="199" t="s">
        <v>590</v>
      </c>
      <c r="G854" s="199" t="s">
        <v>21</v>
      </c>
      <c r="H854" s="20">
        <v>12088.919999999998</v>
      </c>
      <c r="I854" s="20">
        <v>12486.059999999998</v>
      </c>
      <c r="J854" s="20">
        <v>12486.059999999998</v>
      </c>
      <c r="K854" s="37"/>
      <c r="L854" s="37"/>
      <c r="M854" s="37"/>
      <c r="N854" s="37"/>
      <c r="O854" s="37"/>
      <c r="P854" s="37"/>
      <c r="T854" s="37">
        <v>0</v>
      </c>
      <c r="U854" s="37">
        <v>0</v>
      </c>
      <c r="V854" s="37">
        <v>10800</v>
      </c>
      <c r="W854" s="37">
        <f t="shared" si="27"/>
        <v>12088.919999999998</v>
      </c>
      <c r="X854" s="37">
        <f t="shared" si="27"/>
        <v>12486.059999999998</v>
      </c>
      <c r="Y854" s="37">
        <f t="shared" si="27"/>
        <v>1686.0599999999977</v>
      </c>
    </row>
    <row r="855" spans="1:25" s="17" customFormat="1" ht="191.25">
      <c r="A855" s="108" t="str">
        <f t="shared" si="26"/>
        <v>607080476 1 00 77460000</v>
      </c>
      <c r="B855" s="197" t="s">
        <v>1263</v>
      </c>
      <c r="C855" s="198" t="s">
        <v>510</v>
      </c>
      <c r="D855" s="199" t="s">
        <v>238</v>
      </c>
      <c r="E855" s="199" t="s">
        <v>73</v>
      </c>
      <c r="F855" s="199" t="s">
        <v>1304</v>
      </c>
      <c r="G855" s="199" t="s">
        <v>9</v>
      </c>
      <c r="H855" s="20">
        <v>397.14</v>
      </c>
      <c r="I855" s="20">
        <v>0</v>
      </c>
      <c r="J855" s="20">
        <v>0</v>
      </c>
      <c r="K855" s="37"/>
      <c r="L855" s="37"/>
      <c r="M855" s="37"/>
      <c r="N855" s="37"/>
      <c r="O855" s="37"/>
      <c r="P855" s="37"/>
      <c r="T855" s="37">
        <v>5718</v>
      </c>
      <c r="U855" s="37">
        <v>5718</v>
      </c>
      <c r="V855" s="37">
        <v>5718</v>
      </c>
      <c r="W855" s="37">
        <f t="shared" si="27"/>
        <v>-5320.86</v>
      </c>
      <c r="X855" s="37">
        <f t="shared" si="27"/>
        <v>-5718</v>
      </c>
      <c r="Y855" s="37">
        <f t="shared" si="27"/>
        <v>-5718</v>
      </c>
    </row>
    <row r="856" spans="1:25" s="17" customFormat="1" ht="25.5">
      <c r="A856" s="108" t="str">
        <f t="shared" si="26"/>
        <v>607080476 1 00 77460120</v>
      </c>
      <c r="B856" s="200" t="s">
        <v>20</v>
      </c>
      <c r="C856" s="198" t="s">
        <v>510</v>
      </c>
      <c r="D856" s="199" t="s">
        <v>238</v>
      </c>
      <c r="E856" s="199" t="s">
        <v>73</v>
      </c>
      <c r="F856" s="199" t="s">
        <v>1304</v>
      </c>
      <c r="G856" s="199" t="s">
        <v>21</v>
      </c>
      <c r="H856" s="20">
        <v>397.14</v>
      </c>
      <c r="I856" s="20">
        <v>0</v>
      </c>
      <c r="J856" s="20">
        <v>0</v>
      </c>
      <c r="K856" s="37"/>
      <c r="L856" s="37"/>
      <c r="M856" s="37"/>
      <c r="N856" s="37"/>
      <c r="O856" s="37"/>
      <c r="P856" s="37"/>
      <c r="T856" s="37">
        <v>5718</v>
      </c>
      <c r="U856" s="37">
        <v>5718</v>
      </c>
      <c r="V856" s="37">
        <v>5718</v>
      </c>
      <c r="W856" s="37">
        <f t="shared" si="27"/>
        <v>-5320.86</v>
      </c>
      <c r="X856" s="37">
        <f t="shared" si="27"/>
        <v>-5718</v>
      </c>
      <c r="Y856" s="37">
        <f t="shared" si="27"/>
        <v>-5718</v>
      </c>
    </row>
    <row r="857" spans="1:25" s="17" customFormat="1">
      <c r="A857" s="108" t="str">
        <f t="shared" si="26"/>
        <v>607080476 2 00 00000000</v>
      </c>
      <c r="B857" s="200" t="s">
        <v>52</v>
      </c>
      <c r="C857" s="198" t="s">
        <v>510</v>
      </c>
      <c r="D857" s="199" t="s">
        <v>238</v>
      </c>
      <c r="E857" s="199" t="s">
        <v>73</v>
      </c>
      <c r="F857" s="199" t="s">
        <v>591</v>
      </c>
      <c r="G857" s="199" t="s">
        <v>9</v>
      </c>
      <c r="H857" s="20">
        <v>160</v>
      </c>
      <c r="I857" s="20">
        <v>160</v>
      </c>
      <c r="J857" s="20">
        <v>160</v>
      </c>
      <c r="K857" s="37"/>
      <c r="L857" s="37"/>
      <c r="M857" s="37"/>
      <c r="N857" s="37"/>
      <c r="O857" s="37"/>
      <c r="P857" s="37"/>
      <c r="T857" s="37">
        <v>1080</v>
      </c>
      <c r="U857" s="37">
        <v>1080</v>
      </c>
      <c r="V857" s="37">
        <v>1080</v>
      </c>
      <c r="W857" s="37">
        <f t="shared" si="27"/>
        <v>-920</v>
      </c>
      <c r="X857" s="37">
        <f t="shared" si="27"/>
        <v>-920</v>
      </c>
      <c r="Y857" s="37">
        <f t="shared" si="27"/>
        <v>-920</v>
      </c>
    </row>
    <row r="858" spans="1:25" s="17" customFormat="1" ht="38.25">
      <c r="A858" s="108" t="str">
        <f t="shared" si="26"/>
        <v>607080476 2 00 20250000</v>
      </c>
      <c r="B858" s="197" t="s">
        <v>592</v>
      </c>
      <c r="C858" s="198" t="s">
        <v>510</v>
      </c>
      <c r="D858" s="199" t="s">
        <v>238</v>
      </c>
      <c r="E858" s="199" t="s">
        <v>73</v>
      </c>
      <c r="F858" s="199" t="s">
        <v>593</v>
      </c>
      <c r="G858" s="199" t="s">
        <v>9</v>
      </c>
      <c r="H858" s="20">
        <v>160</v>
      </c>
      <c r="I858" s="20">
        <v>160</v>
      </c>
      <c r="J858" s="20">
        <v>160</v>
      </c>
      <c r="K858" s="37"/>
      <c r="L858" s="37"/>
      <c r="M858" s="37"/>
      <c r="N858" s="37"/>
      <c r="O858" s="37"/>
      <c r="P858" s="37"/>
      <c r="T858" s="37">
        <v>1080</v>
      </c>
      <c r="U858" s="37">
        <v>1080</v>
      </c>
      <c r="V858" s="37">
        <v>1080</v>
      </c>
      <c r="W858" s="37">
        <f t="shared" si="27"/>
        <v>-920</v>
      </c>
      <c r="X858" s="37">
        <f t="shared" si="27"/>
        <v>-920</v>
      </c>
      <c r="Y858" s="37">
        <f t="shared" si="27"/>
        <v>-920</v>
      </c>
    </row>
    <row r="859" spans="1:25" s="17" customFormat="1" ht="25.5">
      <c r="A859" s="108" t="str">
        <f t="shared" si="26"/>
        <v>607080476 2 00 20250240</v>
      </c>
      <c r="B859" s="197" t="s">
        <v>28</v>
      </c>
      <c r="C859" s="198" t="s">
        <v>510</v>
      </c>
      <c r="D859" s="199" t="s">
        <v>238</v>
      </c>
      <c r="E859" s="199" t="s">
        <v>73</v>
      </c>
      <c r="F859" s="199" t="s">
        <v>593</v>
      </c>
      <c r="G859" s="199" t="s">
        <v>29</v>
      </c>
      <c r="H859" s="20">
        <v>160</v>
      </c>
      <c r="I859" s="20">
        <v>160</v>
      </c>
      <c r="J859" s="20">
        <v>160</v>
      </c>
      <c r="K859" s="37"/>
      <c r="L859" s="37"/>
      <c r="M859" s="37"/>
      <c r="N859" s="37"/>
      <c r="O859" s="37"/>
      <c r="P859" s="37"/>
      <c r="T859" s="37">
        <v>1025.46</v>
      </c>
      <c r="U859" s="37">
        <v>1025.46</v>
      </c>
      <c r="V859" s="37">
        <v>1025.46</v>
      </c>
      <c r="W859" s="37">
        <f t="shared" si="27"/>
        <v>-865.46</v>
      </c>
      <c r="X859" s="37">
        <f t="shared" si="27"/>
        <v>-865.46</v>
      </c>
      <c r="Y859" s="37">
        <f t="shared" si="27"/>
        <v>-865.46</v>
      </c>
    </row>
    <row r="860" spans="1:25" s="17" customFormat="1">
      <c r="A860" s="108" t="str">
        <f t="shared" si="26"/>
        <v/>
      </c>
      <c r="B860" s="197"/>
      <c r="C860" s="198"/>
      <c r="D860" s="199"/>
      <c r="E860" s="199"/>
      <c r="F860" s="199"/>
      <c r="G860" s="199"/>
      <c r="H860" s="20"/>
      <c r="I860" s="20"/>
      <c r="J860" s="20"/>
      <c r="K860" s="37"/>
      <c r="L860" s="37"/>
      <c r="M860" s="37"/>
      <c r="N860" s="37"/>
      <c r="O860" s="37"/>
      <c r="P860" s="37"/>
      <c r="T860" s="37">
        <v>1025.46</v>
      </c>
      <c r="U860" s="37">
        <v>1025.46</v>
      </c>
      <c r="V860" s="37">
        <v>1025.46</v>
      </c>
      <c r="W860" s="37">
        <f t="shared" si="27"/>
        <v>-1025.46</v>
      </c>
      <c r="X860" s="37">
        <f t="shared" si="27"/>
        <v>-1025.46</v>
      </c>
      <c r="Y860" s="37">
        <f t="shared" si="27"/>
        <v>-1025.46</v>
      </c>
    </row>
    <row r="861" spans="1:25" s="17" customFormat="1" ht="25.5">
      <c r="A861" s="108" t="str">
        <f t="shared" si="26"/>
        <v>609000000 0 00 00000000</v>
      </c>
      <c r="B861" s="202" t="s">
        <v>594</v>
      </c>
      <c r="C861" s="189" t="s">
        <v>595</v>
      </c>
      <c r="D861" s="190" t="s">
        <v>7</v>
      </c>
      <c r="E861" s="190" t="s">
        <v>7</v>
      </c>
      <c r="F861" s="190" t="s">
        <v>8</v>
      </c>
      <c r="G861" s="190" t="s">
        <v>9</v>
      </c>
      <c r="H861" s="35">
        <v>1888181.5899999999</v>
      </c>
      <c r="I861" s="35">
        <v>1921179.9799999997</v>
      </c>
      <c r="J861" s="35">
        <v>1970819.1800000004</v>
      </c>
      <c r="K861" s="37"/>
      <c r="L861" s="37"/>
      <c r="M861" s="37"/>
      <c r="N861" s="37"/>
      <c r="O861" s="37"/>
      <c r="P861" s="37"/>
      <c r="T861" s="37">
        <v>0</v>
      </c>
      <c r="U861" s="37">
        <v>0</v>
      </c>
      <c r="V861" s="37">
        <v>1000</v>
      </c>
      <c r="W861" s="37">
        <f t="shared" si="27"/>
        <v>1888181.5899999999</v>
      </c>
      <c r="X861" s="37">
        <f t="shared" si="27"/>
        <v>1921179.9799999997</v>
      </c>
      <c r="Y861" s="37">
        <f t="shared" si="27"/>
        <v>1969819.1800000004</v>
      </c>
    </row>
    <row r="862" spans="1:25" s="17" customFormat="1">
      <c r="A862" s="108" t="str">
        <f t="shared" si="26"/>
        <v>609010000 0 00 00000000</v>
      </c>
      <c r="B862" s="191" t="s">
        <v>10</v>
      </c>
      <c r="C862" s="192" t="s">
        <v>595</v>
      </c>
      <c r="D862" s="193" t="s">
        <v>11</v>
      </c>
      <c r="E862" s="193" t="s">
        <v>7</v>
      </c>
      <c r="F862" s="193" t="s">
        <v>8</v>
      </c>
      <c r="G862" s="193" t="s">
        <v>9</v>
      </c>
      <c r="H862" s="18">
        <v>6.98</v>
      </c>
      <c r="I862" s="18">
        <v>6.98</v>
      </c>
      <c r="J862" s="18">
        <v>6.98</v>
      </c>
      <c r="K862" s="37"/>
      <c r="L862" s="37"/>
      <c r="M862" s="37"/>
      <c r="N862" s="37"/>
      <c r="O862" s="37"/>
      <c r="P862" s="37"/>
      <c r="T862" s="37">
        <v>0</v>
      </c>
      <c r="U862" s="37">
        <v>0</v>
      </c>
      <c r="V862" s="37">
        <v>1000</v>
      </c>
      <c r="W862" s="37">
        <f t="shared" si="27"/>
        <v>6.98</v>
      </c>
      <c r="X862" s="37">
        <f t="shared" si="27"/>
        <v>6.98</v>
      </c>
      <c r="Y862" s="37">
        <f t="shared" si="27"/>
        <v>-993.02</v>
      </c>
    </row>
    <row r="863" spans="1:25" s="17" customFormat="1">
      <c r="A863" s="108" t="str">
        <f t="shared" si="26"/>
        <v>609011300 0 00 00000000</v>
      </c>
      <c r="B863" s="194" t="s">
        <v>50</v>
      </c>
      <c r="C863" s="195" t="s">
        <v>595</v>
      </c>
      <c r="D863" s="196" t="s">
        <v>11</v>
      </c>
      <c r="E863" s="196" t="s">
        <v>51</v>
      </c>
      <c r="F863" s="196" t="s">
        <v>8</v>
      </c>
      <c r="G863" s="196" t="s">
        <v>9</v>
      </c>
      <c r="H863" s="19">
        <v>6.98</v>
      </c>
      <c r="I863" s="19">
        <v>6.98</v>
      </c>
      <c r="J863" s="19">
        <v>6.98</v>
      </c>
      <c r="K863" s="37"/>
      <c r="L863" s="37"/>
      <c r="M863" s="37"/>
      <c r="N863" s="37"/>
      <c r="O863" s="37"/>
      <c r="P863" s="37"/>
      <c r="T863" s="37">
        <v>714</v>
      </c>
      <c r="U863" s="37">
        <v>714</v>
      </c>
      <c r="V863" s="37">
        <v>714</v>
      </c>
      <c r="W863" s="37">
        <f t="shared" si="27"/>
        <v>-707.02</v>
      </c>
      <c r="X863" s="37">
        <f t="shared" si="27"/>
        <v>-707.02</v>
      </c>
      <c r="Y863" s="37">
        <f t="shared" si="27"/>
        <v>-707.02</v>
      </c>
    </row>
    <row r="864" spans="1:25" s="17" customFormat="1" ht="38.25">
      <c r="A864" s="108" t="str">
        <f t="shared" si="26"/>
        <v>609011311 0 00 00000000</v>
      </c>
      <c r="B864" s="205" t="s">
        <v>257</v>
      </c>
      <c r="C864" s="198" t="s">
        <v>595</v>
      </c>
      <c r="D864" s="199" t="s">
        <v>11</v>
      </c>
      <c r="E864" s="199" t="s">
        <v>51</v>
      </c>
      <c r="F864" s="199" t="s">
        <v>258</v>
      </c>
      <c r="G864" s="199" t="s">
        <v>9</v>
      </c>
      <c r="H864" s="20">
        <v>6.98</v>
      </c>
      <c r="I864" s="20">
        <v>6.98</v>
      </c>
      <c r="J864" s="20">
        <v>6.98</v>
      </c>
      <c r="K864" s="37"/>
      <c r="L864" s="37"/>
      <c r="M864" s="37"/>
      <c r="N864" s="37"/>
      <c r="O864" s="37"/>
      <c r="P864" s="37"/>
      <c r="T864" s="37">
        <v>714</v>
      </c>
      <c r="U864" s="37">
        <v>714</v>
      </c>
      <c r="V864" s="37">
        <v>714</v>
      </c>
      <c r="W864" s="37">
        <f t="shared" si="27"/>
        <v>-707.02</v>
      </c>
      <c r="X864" s="37">
        <f t="shared" si="27"/>
        <v>-707.02</v>
      </c>
      <c r="Y864" s="37">
        <f t="shared" si="27"/>
        <v>-707.02</v>
      </c>
    </row>
    <row r="865" spans="1:25" s="17" customFormat="1" ht="51">
      <c r="A865" s="108" t="str">
        <f t="shared" si="26"/>
        <v>609011311 Б 00 00000000</v>
      </c>
      <c r="B865" s="205" t="s">
        <v>259</v>
      </c>
      <c r="C865" s="198" t="s">
        <v>595</v>
      </c>
      <c r="D865" s="199" t="s">
        <v>11</v>
      </c>
      <c r="E865" s="199" t="s">
        <v>51</v>
      </c>
      <c r="F865" s="199" t="s">
        <v>260</v>
      </c>
      <c r="G865" s="199" t="s">
        <v>9</v>
      </c>
      <c r="H865" s="20">
        <v>6.98</v>
      </c>
      <c r="I865" s="20">
        <v>6.98</v>
      </c>
      <c r="J865" s="20">
        <v>6.98</v>
      </c>
      <c r="K865" s="37"/>
      <c r="L865" s="37"/>
      <c r="M865" s="37"/>
      <c r="N865" s="37"/>
      <c r="O865" s="37"/>
      <c r="P865" s="37"/>
      <c r="T865" s="37">
        <v>300</v>
      </c>
      <c r="U865" s="37">
        <v>300</v>
      </c>
      <c r="V865" s="37">
        <v>300</v>
      </c>
      <c r="W865" s="37">
        <f t="shared" si="27"/>
        <v>-293.02</v>
      </c>
      <c r="X865" s="37">
        <f t="shared" si="27"/>
        <v>-293.02</v>
      </c>
      <c r="Y865" s="37">
        <f t="shared" si="27"/>
        <v>-293.02</v>
      </c>
    </row>
    <row r="866" spans="1:25" s="17" customFormat="1" ht="38.25">
      <c r="A866" s="108" t="str">
        <f t="shared" si="26"/>
        <v>609011311 Б 01 00000000</v>
      </c>
      <c r="B866" s="197" t="s">
        <v>261</v>
      </c>
      <c r="C866" s="198" t="s">
        <v>595</v>
      </c>
      <c r="D866" s="199" t="s">
        <v>11</v>
      </c>
      <c r="E866" s="199" t="s">
        <v>51</v>
      </c>
      <c r="F866" s="199" t="s">
        <v>262</v>
      </c>
      <c r="G866" s="199" t="s">
        <v>9</v>
      </c>
      <c r="H866" s="20">
        <v>6.98</v>
      </c>
      <c r="I866" s="20">
        <v>6.98</v>
      </c>
      <c r="J866" s="20">
        <v>6.98</v>
      </c>
      <c r="K866" s="37"/>
      <c r="L866" s="37"/>
      <c r="M866" s="37"/>
      <c r="N866" s="37"/>
      <c r="O866" s="37"/>
      <c r="P866" s="37"/>
      <c r="T866" s="37">
        <v>300</v>
      </c>
      <c r="U866" s="37">
        <v>300</v>
      </c>
      <c r="V866" s="37">
        <v>300</v>
      </c>
      <c r="W866" s="37">
        <f t="shared" si="27"/>
        <v>-293.02</v>
      </c>
      <c r="X866" s="37">
        <f t="shared" si="27"/>
        <v>-293.02</v>
      </c>
      <c r="Y866" s="37">
        <f t="shared" si="27"/>
        <v>-293.02</v>
      </c>
    </row>
    <row r="867" spans="1:25" s="17" customFormat="1" ht="25.5">
      <c r="A867" s="108" t="str">
        <f t="shared" si="26"/>
        <v>609011311 Б 01 21120000</v>
      </c>
      <c r="B867" s="197" t="s">
        <v>267</v>
      </c>
      <c r="C867" s="198" t="s">
        <v>595</v>
      </c>
      <c r="D867" s="199" t="s">
        <v>11</v>
      </c>
      <c r="E867" s="199" t="s">
        <v>51</v>
      </c>
      <c r="F867" s="199" t="s">
        <v>268</v>
      </c>
      <c r="G867" s="199" t="s">
        <v>9</v>
      </c>
      <c r="H867" s="20">
        <v>6.98</v>
      </c>
      <c r="I867" s="20">
        <v>6.98</v>
      </c>
      <c r="J867" s="20">
        <v>6.98</v>
      </c>
      <c r="K867" s="37"/>
      <c r="L867" s="37"/>
      <c r="M867" s="37"/>
      <c r="N867" s="37"/>
      <c r="O867" s="37"/>
      <c r="P867" s="37"/>
      <c r="T867" s="37">
        <v>1020</v>
      </c>
      <c r="U867" s="37">
        <v>1020</v>
      </c>
      <c r="V867" s="37">
        <v>1020</v>
      </c>
      <c r="W867" s="37">
        <f t="shared" si="27"/>
        <v>-1013.02</v>
      </c>
      <c r="X867" s="37">
        <f t="shared" si="27"/>
        <v>-1013.02</v>
      </c>
      <c r="Y867" s="37">
        <f t="shared" si="27"/>
        <v>-1013.02</v>
      </c>
    </row>
    <row r="868" spans="1:25" s="17" customFormat="1" ht="25.5">
      <c r="A868" s="108" t="str">
        <f t="shared" si="26"/>
        <v>609011311 Б 01 21120240</v>
      </c>
      <c r="B868" s="197" t="s">
        <v>28</v>
      </c>
      <c r="C868" s="198" t="s">
        <v>595</v>
      </c>
      <c r="D868" s="199" t="s">
        <v>11</v>
      </c>
      <c r="E868" s="199" t="s">
        <v>51</v>
      </c>
      <c r="F868" s="199" t="s">
        <v>268</v>
      </c>
      <c r="G868" s="199" t="s">
        <v>29</v>
      </c>
      <c r="H868" s="20">
        <v>6.98</v>
      </c>
      <c r="I868" s="20">
        <v>6.98</v>
      </c>
      <c r="J868" s="20">
        <v>6.98</v>
      </c>
      <c r="K868" s="37"/>
      <c r="L868" s="37"/>
      <c r="M868" s="37"/>
      <c r="N868" s="37"/>
      <c r="O868" s="37"/>
      <c r="P868" s="37"/>
      <c r="T868" s="37">
        <v>1020</v>
      </c>
      <c r="U868" s="37">
        <v>1020</v>
      </c>
      <c r="V868" s="37">
        <v>1020</v>
      </c>
      <c r="W868" s="37">
        <f t="shared" si="27"/>
        <v>-1013.02</v>
      </c>
      <c r="X868" s="37">
        <f t="shared" si="27"/>
        <v>-1013.02</v>
      </c>
      <c r="Y868" s="37">
        <f t="shared" si="27"/>
        <v>-1013.02</v>
      </c>
    </row>
    <row r="869" spans="1:25" s="4" customFormat="1">
      <c r="A869" s="108" t="str">
        <f t="shared" si="26"/>
        <v>609080000 0 00 00000000</v>
      </c>
      <c r="B869" s="191" t="s">
        <v>569</v>
      </c>
      <c r="C869" s="192" t="s">
        <v>595</v>
      </c>
      <c r="D869" s="193" t="s">
        <v>238</v>
      </c>
      <c r="E869" s="193" t="s">
        <v>7</v>
      </c>
      <c r="F869" s="193" t="s">
        <v>8</v>
      </c>
      <c r="G869" s="193" t="s">
        <v>9</v>
      </c>
      <c r="H869" s="18">
        <v>2704.98</v>
      </c>
      <c r="I869" s="18">
        <v>2704.98</v>
      </c>
      <c r="J869" s="18">
        <v>2704.98</v>
      </c>
      <c r="K869" s="37"/>
      <c r="L869" s="37"/>
      <c r="M869" s="37"/>
      <c r="N869" s="37"/>
      <c r="O869" s="37"/>
      <c r="P869" s="37"/>
      <c r="Q869" s="17"/>
      <c r="T869" s="37">
        <v>0</v>
      </c>
      <c r="U869" s="37">
        <v>0</v>
      </c>
      <c r="V869" s="37">
        <v>3750</v>
      </c>
      <c r="W869" s="37">
        <f t="shared" si="27"/>
        <v>2704.98</v>
      </c>
      <c r="X869" s="37">
        <f t="shared" si="27"/>
        <v>2704.98</v>
      </c>
      <c r="Y869" s="37">
        <f t="shared" si="27"/>
        <v>-1045.02</v>
      </c>
    </row>
    <row r="870" spans="1:25" s="4" customFormat="1">
      <c r="A870" s="108" t="str">
        <f t="shared" si="26"/>
        <v>609080100 0 00 00000000</v>
      </c>
      <c r="B870" s="194" t="s">
        <v>239</v>
      </c>
      <c r="C870" s="195" t="s">
        <v>595</v>
      </c>
      <c r="D870" s="196" t="s">
        <v>238</v>
      </c>
      <c r="E870" s="196" t="s">
        <v>11</v>
      </c>
      <c r="F870" s="196" t="s">
        <v>8</v>
      </c>
      <c r="G870" s="196" t="s">
        <v>9</v>
      </c>
      <c r="H870" s="19">
        <v>2704.98</v>
      </c>
      <c r="I870" s="19">
        <v>2704.98</v>
      </c>
      <c r="J870" s="19">
        <v>2704.98</v>
      </c>
      <c r="K870" s="37"/>
      <c r="L870" s="37"/>
      <c r="M870" s="37"/>
      <c r="N870" s="37"/>
      <c r="O870" s="37"/>
      <c r="P870" s="37"/>
      <c r="Q870" s="17"/>
      <c r="T870" s="37">
        <v>0</v>
      </c>
      <c r="U870" s="37">
        <v>0</v>
      </c>
      <c r="V870" s="37">
        <v>3750</v>
      </c>
      <c r="W870" s="37">
        <f t="shared" si="27"/>
        <v>2704.98</v>
      </c>
      <c r="X870" s="37">
        <f t="shared" si="27"/>
        <v>2704.98</v>
      </c>
      <c r="Y870" s="37">
        <f t="shared" si="27"/>
        <v>-1045.02</v>
      </c>
    </row>
    <row r="871" spans="1:25" s="4" customFormat="1">
      <c r="A871" s="108" t="str">
        <f t="shared" si="26"/>
        <v>609080107 0 00 00000000</v>
      </c>
      <c r="B871" s="197" t="s">
        <v>240</v>
      </c>
      <c r="C871" s="198" t="s">
        <v>595</v>
      </c>
      <c r="D871" s="199" t="s">
        <v>238</v>
      </c>
      <c r="E871" s="199" t="s">
        <v>11</v>
      </c>
      <c r="F871" s="204" t="s">
        <v>241</v>
      </c>
      <c r="G871" s="199" t="s">
        <v>9</v>
      </c>
      <c r="H871" s="20">
        <v>2704.98</v>
      </c>
      <c r="I871" s="20">
        <v>2704.98</v>
      </c>
      <c r="J871" s="20">
        <v>2704.98</v>
      </c>
      <c r="K871" s="37"/>
      <c r="L871" s="37"/>
      <c r="M871" s="37"/>
      <c r="N871" s="37"/>
      <c r="O871" s="37"/>
      <c r="P871" s="37"/>
      <c r="Q871" s="17"/>
      <c r="T871" s="37">
        <v>1854</v>
      </c>
      <c r="U871" s="37">
        <v>1854</v>
      </c>
      <c r="V871" s="37">
        <v>1854</v>
      </c>
      <c r="W871" s="37">
        <f t="shared" si="27"/>
        <v>850.98</v>
      </c>
      <c r="X871" s="37">
        <f t="shared" si="27"/>
        <v>850.98</v>
      </c>
      <c r="Y871" s="37">
        <f t="shared" si="27"/>
        <v>850.98</v>
      </c>
    </row>
    <row r="872" spans="1:25" s="4" customFormat="1" ht="51">
      <c r="A872" s="108" t="str">
        <f t="shared" si="26"/>
        <v>609080107 1 00 00000000</v>
      </c>
      <c r="B872" s="197" t="s">
        <v>384</v>
      </c>
      <c r="C872" s="198" t="s">
        <v>595</v>
      </c>
      <c r="D872" s="199" t="s">
        <v>238</v>
      </c>
      <c r="E872" s="199" t="s">
        <v>11</v>
      </c>
      <c r="F872" s="204" t="s">
        <v>243</v>
      </c>
      <c r="G872" s="199" t="s">
        <v>9</v>
      </c>
      <c r="H872" s="20">
        <v>2704.98</v>
      </c>
      <c r="I872" s="20">
        <v>2704.98</v>
      </c>
      <c r="J872" s="20">
        <v>2704.98</v>
      </c>
      <c r="K872" s="37"/>
      <c r="L872" s="37"/>
      <c r="M872" s="37"/>
      <c r="N872" s="37"/>
      <c r="O872" s="37"/>
      <c r="P872" s="37"/>
      <c r="Q872" s="17"/>
      <c r="T872" s="37">
        <v>1854</v>
      </c>
      <c r="U872" s="37">
        <v>1854</v>
      </c>
      <c r="V872" s="37">
        <v>1854</v>
      </c>
      <c r="W872" s="37">
        <f t="shared" si="27"/>
        <v>850.98</v>
      </c>
      <c r="X872" s="37">
        <f t="shared" si="27"/>
        <v>850.98</v>
      </c>
      <c r="Y872" s="37">
        <f t="shared" si="27"/>
        <v>850.98</v>
      </c>
    </row>
    <row r="873" spans="1:25" s="4" customFormat="1" ht="63.75">
      <c r="A873" s="108" t="str">
        <f t="shared" si="26"/>
        <v>609080107 1 01 00000000</v>
      </c>
      <c r="B873" s="197" t="s">
        <v>244</v>
      </c>
      <c r="C873" s="198" t="s">
        <v>595</v>
      </c>
      <c r="D873" s="199" t="s">
        <v>238</v>
      </c>
      <c r="E873" s="199" t="s">
        <v>11</v>
      </c>
      <c r="F873" s="204" t="s">
        <v>245</v>
      </c>
      <c r="G873" s="199" t="s">
        <v>9</v>
      </c>
      <c r="H873" s="20">
        <v>2704.98</v>
      </c>
      <c r="I873" s="20">
        <v>2704.98</v>
      </c>
      <c r="J873" s="20">
        <v>2704.98</v>
      </c>
      <c r="K873" s="37"/>
      <c r="L873" s="37"/>
      <c r="M873" s="37"/>
      <c r="N873" s="37"/>
      <c r="O873" s="37"/>
      <c r="P873" s="37"/>
      <c r="Q873" s="17"/>
      <c r="T873" s="37">
        <v>20</v>
      </c>
      <c r="U873" s="37">
        <v>20</v>
      </c>
      <c r="V873" s="37">
        <v>20</v>
      </c>
      <c r="W873" s="37">
        <f t="shared" si="27"/>
        <v>2684.98</v>
      </c>
      <c r="X873" s="37">
        <f t="shared" si="27"/>
        <v>2684.98</v>
      </c>
      <c r="Y873" s="37">
        <f t="shared" si="27"/>
        <v>2684.98</v>
      </c>
    </row>
    <row r="874" spans="1:25" s="4" customFormat="1" ht="25.5">
      <c r="A874" s="108" t="str">
        <f t="shared" si="26"/>
        <v>609080107 1 01 20060000</v>
      </c>
      <c r="B874" s="197" t="s">
        <v>246</v>
      </c>
      <c r="C874" s="198" t="s">
        <v>595</v>
      </c>
      <c r="D874" s="199" t="s">
        <v>238</v>
      </c>
      <c r="E874" s="199" t="s">
        <v>11</v>
      </c>
      <c r="F874" s="204" t="s">
        <v>247</v>
      </c>
      <c r="G874" s="199" t="s">
        <v>9</v>
      </c>
      <c r="H874" s="20">
        <v>2704.98</v>
      </c>
      <c r="I874" s="20">
        <v>2704.98</v>
      </c>
      <c r="J874" s="20">
        <v>2704.98</v>
      </c>
      <c r="K874" s="37"/>
      <c r="L874" s="37"/>
      <c r="M874" s="37"/>
      <c r="N874" s="37"/>
      <c r="O874" s="37"/>
      <c r="P874" s="37"/>
      <c r="Q874" s="17"/>
      <c r="T874" s="37">
        <v>20</v>
      </c>
      <c r="U874" s="37">
        <v>20</v>
      </c>
      <c r="V874" s="37">
        <v>20</v>
      </c>
      <c r="W874" s="37">
        <f t="shared" si="27"/>
        <v>2684.98</v>
      </c>
      <c r="X874" s="37">
        <f t="shared" si="27"/>
        <v>2684.98</v>
      </c>
      <c r="Y874" s="37">
        <f t="shared" si="27"/>
        <v>2684.98</v>
      </c>
    </row>
    <row r="875" spans="1:25" s="4" customFormat="1" ht="25.5">
      <c r="A875" s="108" t="str">
        <f t="shared" si="26"/>
        <v>609080107 1 01 20060240</v>
      </c>
      <c r="B875" s="200" t="s">
        <v>28</v>
      </c>
      <c r="C875" s="198" t="s">
        <v>595</v>
      </c>
      <c r="D875" s="199" t="s">
        <v>238</v>
      </c>
      <c r="E875" s="199" t="s">
        <v>11</v>
      </c>
      <c r="F875" s="204" t="s">
        <v>247</v>
      </c>
      <c r="G875" s="199" t="s">
        <v>29</v>
      </c>
      <c r="H875" s="20">
        <v>2704.98</v>
      </c>
      <c r="I875" s="20">
        <v>2704.98</v>
      </c>
      <c r="J875" s="20">
        <v>2704.98</v>
      </c>
      <c r="K875" s="39"/>
      <c r="L875" s="39"/>
      <c r="M875" s="39"/>
      <c r="N875" s="39"/>
      <c r="O875" s="39"/>
      <c r="P875" s="39"/>
      <c r="Q875" s="17"/>
      <c r="T875" s="39">
        <v>0</v>
      </c>
      <c r="U875" s="39">
        <v>0</v>
      </c>
      <c r="V875" s="39">
        <v>4500</v>
      </c>
      <c r="W875" s="39">
        <f t="shared" si="27"/>
        <v>2704.98</v>
      </c>
      <c r="X875" s="39">
        <f t="shared" si="27"/>
        <v>2704.98</v>
      </c>
      <c r="Y875" s="39">
        <f t="shared" si="27"/>
        <v>-1795.02</v>
      </c>
    </row>
    <row r="876" spans="1:25" s="4" customFormat="1">
      <c r="A876" s="108" t="str">
        <f t="shared" si="26"/>
        <v>609100000 0 00 00000000</v>
      </c>
      <c r="B876" s="191" t="s">
        <v>316</v>
      </c>
      <c r="C876" s="192" t="s">
        <v>595</v>
      </c>
      <c r="D876" s="193" t="s">
        <v>317</v>
      </c>
      <c r="E876" s="193" t="s">
        <v>7</v>
      </c>
      <c r="F876" s="193" t="s">
        <v>8</v>
      </c>
      <c r="G876" s="193" t="s">
        <v>9</v>
      </c>
      <c r="H876" s="18">
        <v>1885469.63</v>
      </c>
      <c r="I876" s="18">
        <v>1918468.0199999998</v>
      </c>
      <c r="J876" s="18">
        <v>1968107.2200000004</v>
      </c>
      <c r="K876" s="37"/>
      <c r="L876" s="37"/>
      <c r="M876" s="37"/>
      <c r="N876" s="37"/>
      <c r="O876" s="37"/>
      <c r="P876" s="37"/>
      <c r="Q876" s="17"/>
      <c r="T876" s="37">
        <v>0</v>
      </c>
      <c r="U876" s="37">
        <v>0</v>
      </c>
      <c r="V876" s="37">
        <v>4500</v>
      </c>
      <c r="W876" s="37">
        <f t="shared" si="27"/>
        <v>1885469.63</v>
      </c>
      <c r="X876" s="37">
        <f t="shared" si="27"/>
        <v>1918468.0199999998</v>
      </c>
      <c r="Y876" s="37">
        <f t="shared" si="27"/>
        <v>1963607.2200000004</v>
      </c>
    </row>
    <row r="877" spans="1:25" s="4" customFormat="1">
      <c r="A877" s="108" t="str">
        <f t="shared" si="26"/>
        <v>609100300 0 00 00000000</v>
      </c>
      <c r="B877" s="194" t="s">
        <v>318</v>
      </c>
      <c r="C877" s="195" t="s">
        <v>595</v>
      </c>
      <c r="D877" s="196" t="s">
        <v>317</v>
      </c>
      <c r="E877" s="196" t="s">
        <v>13</v>
      </c>
      <c r="F877" s="196" t="s">
        <v>8</v>
      </c>
      <c r="G877" s="196" t="s">
        <v>9</v>
      </c>
      <c r="H877" s="19">
        <v>1574274.5799999998</v>
      </c>
      <c r="I877" s="19">
        <v>1612381.46</v>
      </c>
      <c r="J877" s="19">
        <v>1661982.6000000003</v>
      </c>
      <c r="K877" s="39"/>
      <c r="L877" s="39"/>
      <c r="M877" s="39"/>
      <c r="N877" s="39"/>
      <c r="O877" s="39"/>
      <c r="P877" s="39"/>
      <c r="Q877" s="17"/>
      <c r="T877" s="39">
        <v>100</v>
      </c>
      <c r="U877" s="39">
        <v>100</v>
      </c>
      <c r="V877" s="39">
        <v>100</v>
      </c>
      <c r="W877" s="39">
        <f t="shared" si="27"/>
        <v>1574174.5799999998</v>
      </c>
      <c r="X877" s="39">
        <f t="shared" si="27"/>
        <v>1612281.46</v>
      </c>
      <c r="Y877" s="39">
        <f t="shared" si="27"/>
        <v>1661882.6000000003</v>
      </c>
    </row>
    <row r="878" spans="1:25" s="4" customFormat="1" ht="25.5">
      <c r="A878" s="108" t="str">
        <f t="shared" si="26"/>
        <v>609100303 0 00 00000000</v>
      </c>
      <c r="B878" s="214" t="s">
        <v>385</v>
      </c>
      <c r="C878" s="198" t="s">
        <v>595</v>
      </c>
      <c r="D878" s="199" t="s">
        <v>317</v>
      </c>
      <c r="E878" s="199" t="s">
        <v>13</v>
      </c>
      <c r="F878" s="199" t="s">
        <v>386</v>
      </c>
      <c r="G878" s="199" t="s">
        <v>9</v>
      </c>
      <c r="H878" s="36">
        <v>1574274.5799999998</v>
      </c>
      <c r="I878" s="36">
        <v>1612381.46</v>
      </c>
      <c r="J878" s="36">
        <v>1661982.6000000003</v>
      </c>
      <c r="K878" s="37"/>
      <c r="L878" s="37"/>
      <c r="M878" s="37"/>
      <c r="N878" s="37"/>
      <c r="O878" s="37"/>
      <c r="P878" s="37"/>
      <c r="Q878" s="17"/>
      <c r="T878" s="37">
        <v>100</v>
      </c>
      <c r="U878" s="37">
        <v>100</v>
      </c>
      <c r="V878" s="37">
        <v>100</v>
      </c>
      <c r="W878" s="37">
        <f t="shared" si="27"/>
        <v>1574174.5799999998</v>
      </c>
      <c r="X878" s="37">
        <f t="shared" si="27"/>
        <v>1612281.46</v>
      </c>
      <c r="Y878" s="37">
        <f t="shared" si="27"/>
        <v>1661882.6000000003</v>
      </c>
    </row>
    <row r="879" spans="1:25" s="4" customFormat="1" ht="38.25">
      <c r="A879" s="108" t="str">
        <f t="shared" si="26"/>
        <v>609100303 1 00 00000 000</v>
      </c>
      <c r="B879" s="250" t="s">
        <v>596</v>
      </c>
      <c r="C879" s="198" t="s">
        <v>595</v>
      </c>
      <c r="D879" s="199" t="s">
        <v>317</v>
      </c>
      <c r="E879" s="199" t="s">
        <v>13</v>
      </c>
      <c r="F879" s="199" t="s">
        <v>597</v>
      </c>
      <c r="G879" s="199" t="s">
        <v>9</v>
      </c>
      <c r="H879" s="36">
        <v>1550945.3399999999</v>
      </c>
      <c r="I879" s="36">
        <v>1588986.22</v>
      </c>
      <c r="J879" s="36">
        <v>1608541.0100000002</v>
      </c>
      <c r="K879" s="39"/>
      <c r="L879" s="39"/>
      <c r="M879" s="39"/>
      <c r="N879" s="39"/>
      <c r="O879" s="39"/>
      <c r="P879" s="39"/>
      <c r="Q879" s="17"/>
      <c r="T879" s="39">
        <v>81</v>
      </c>
      <c r="U879" s="39">
        <v>81</v>
      </c>
      <c r="V879" s="39">
        <v>81</v>
      </c>
      <c r="W879" s="39">
        <f t="shared" si="27"/>
        <v>1550864.3399999999</v>
      </c>
      <c r="X879" s="39">
        <f t="shared" si="27"/>
        <v>1588905.22</v>
      </c>
      <c r="Y879" s="39">
        <f t="shared" si="27"/>
        <v>1608460.0100000002</v>
      </c>
    </row>
    <row r="880" spans="1:25" s="4" customFormat="1" ht="25.5">
      <c r="A880" s="108" t="str">
        <f t="shared" si="26"/>
        <v>609100303 1 01 00000 000</v>
      </c>
      <c r="B880" s="251" t="s">
        <v>599</v>
      </c>
      <c r="C880" s="198" t="s">
        <v>595</v>
      </c>
      <c r="D880" s="199" t="s">
        <v>317</v>
      </c>
      <c r="E880" s="199" t="s">
        <v>13</v>
      </c>
      <c r="F880" s="199" t="s">
        <v>600</v>
      </c>
      <c r="G880" s="199" t="s">
        <v>9</v>
      </c>
      <c r="H880" s="37">
        <v>1314470.3399999999</v>
      </c>
      <c r="I880" s="37">
        <v>1343336.88</v>
      </c>
      <c r="J880" s="37">
        <v>1347527.1500000001</v>
      </c>
      <c r="K880" s="39"/>
      <c r="L880" s="39"/>
      <c r="M880" s="39"/>
      <c r="N880" s="39"/>
      <c r="O880" s="39"/>
      <c r="P880" s="39"/>
      <c r="Q880" s="17"/>
      <c r="T880" s="39">
        <v>81</v>
      </c>
      <c r="U880" s="39">
        <v>81</v>
      </c>
      <c r="V880" s="39">
        <v>81</v>
      </c>
      <c r="W880" s="39">
        <f t="shared" si="27"/>
        <v>1314389.3399999999</v>
      </c>
      <c r="X880" s="39">
        <f t="shared" si="27"/>
        <v>1343255.88</v>
      </c>
      <c r="Y880" s="39">
        <f t="shared" si="27"/>
        <v>1347446.1500000001</v>
      </c>
    </row>
    <row r="881" spans="1:25" s="4" customFormat="1" ht="25.5">
      <c r="A881" s="108" t="str">
        <f t="shared" si="26"/>
        <v>609100303 1 01 52200000</v>
      </c>
      <c r="B881" s="214" t="s">
        <v>601</v>
      </c>
      <c r="C881" s="198" t="s">
        <v>595</v>
      </c>
      <c r="D881" s="199" t="s">
        <v>317</v>
      </c>
      <c r="E881" s="199" t="s">
        <v>13</v>
      </c>
      <c r="F881" s="199" t="s">
        <v>602</v>
      </c>
      <c r="G881" s="199" t="s">
        <v>9</v>
      </c>
      <c r="H881" s="37">
        <v>16450.63</v>
      </c>
      <c r="I881" s="37">
        <v>15825.1</v>
      </c>
      <c r="J881" s="37">
        <v>16463.5</v>
      </c>
      <c r="K881" s="37"/>
      <c r="L881" s="37"/>
      <c r="M881" s="37"/>
      <c r="N881" s="37"/>
      <c r="O881" s="37"/>
      <c r="P881" s="37"/>
      <c r="Q881" s="17"/>
      <c r="T881" s="37">
        <v>81</v>
      </c>
      <c r="U881" s="37">
        <v>81</v>
      </c>
      <c r="V881" s="37">
        <v>81</v>
      </c>
      <c r="W881" s="37">
        <f t="shared" si="27"/>
        <v>16369.630000000001</v>
      </c>
      <c r="X881" s="37">
        <f t="shared" si="27"/>
        <v>15744.1</v>
      </c>
      <c r="Y881" s="37">
        <f t="shared" si="27"/>
        <v>16382.5</v>
      </c>
    </row>
    <row r="882" spans="1:25" s="4" customFormat="1" ht="25.5">
      <c r="A882" s="108" t="str">
        <f t="shared" si="26"/>
        <v>609100303 1 01 52200240</v>
      </c>
      <c r="B882" s="197" t="s">
        <v>28</v>
      </c>
      <c r="C882" s="198" t="s">
        <v>595</v>
      </c>
      <c r="D882" s="199" t="s">
        <v>317</v>
      </c>
      <c r="E882" s="199" t="s">
        <v>13</v>
      </c>
      <c r="F882" s="199" t="s">
        <v>602</v>
      </c>
      <c r="G882" s="199" t="s">
        <v>29</v>
      </c>
      <c r="H882" s="37">
        <v>243.10999999999999</v>
      </c>
      <c r="I882" s="37">
        <v>233.87</v>
      </c>
      <c r="J882" s="37">
        <v>243.3</v>
      </c>
      <c r="K882" s="39"/>
      <c r="L882" s="39"/>
      <c r="M882" s="39"/>
      <c r="N882" s="39"/>
      <c r="O882" s="39"/>
      <c r="P882" s="39"/>
      <c r="Q882" s="17"/>
      <c r="T882" s="39">
        <v>25</v>
      </c>
      <c r="U882" s="39">
        <v>25</v>
      </c>
      <c r="V882" s="39">
        <v>25</v>
      </c>
      <c r="W882" s="39">
        <f t="shared" si="27"/>
        <v>218.10999999999999</v>
      </c>
      <c r="X882" s="39">
        <f t="shared" si="27"/>
        <v>208.87</v>
      </c>
      <c r="Y882" s="39">
        <f t="shared" si="27"/>
        <v>218.3</v>
      </c>
    </row>
    <row r="883" spans="1:25" s="4" customFormat="1">
      <c r="A883" s="108" t="str">
        <f t="shared" si="26"/>
        <v>609100303 1 01 52200310</v>
      </c>
      <c r="B883" s="205" t="s">
        <v>493</v>
      </c>
      <c r="C883" s="198" t="s">
        <v>595</v>
      </c>
      <c r="D883" s="199" t="s">
        <v>317</v>
      </c>
      <c r="E883" s="199" t="s">
        <v>13</v>
      </c>
      <c r="F883" s="199" t="s">
        <v>602</v>
      </c>
      <c r="G883" s="199" t="s">
        <v>494</v>
      </c>
      <c r="H883" s="37">
        <v>16207.52</v>
      </c>
      <c r="I883" s="37">
        <v>15591.23</v>
      </c>
      <c r="J883" s="37">
        <v>16220.2</v>
      </c>
      <c r="K883" s="39"/>
      <c r="L883" s="39"/>
      <c r="M883" s="39"/>
      <c r="N883" s="39"/>
      <c r="O883" s="39"/>
      <c r="P883" s="39"/>
      <c r="Q883" s="17"/>
      <c r="T883" s="39">
        <v>25</v>
      </c>
      <c r="U883" s="39">
        <v>25</v>
      </c>
      <c r="V883" s="39">
        <v>25</v>
      </c>
      <c r="W883" s="39">
        <f t="shared" si="27"/>
        <v>16182.52</v>
      </c>
      <c r="X883" s="39">
        <f t="shared" si="27"/>
        <v>15566.23</v>
      </c>
      <c r="Y883" s="39">
        <f t="shared" si="27"/>
        <v>16195.2</v>
      </c>
    </row>
    <row r="884" spans="1:25" s="4" customFormat="1" ht="25.5">
      <c r="A884" s="108" t="str">
        <f t="shared" si="26"/>
        <v>609100303 1 01 52500000</v>
      </c>
      <c r="B884" s="214" t="s">
        <v>603</v>
      </c>
      <c r="C884" s="198" t="s">
        <v>595</v>
      </c>
      <c r="D884" s="199" t="s">
        <v>317</v>
      </c>
      <c r="E884" s="199" t="s">
        <v>13</v>
      </c>
      <c r="F884" s="199" t="s">
        <v>604</v>
      </c>
      <c r="G884" s="199" t="s">
        <v>9</v>
      </c>
      <c r="H884" s="37">
        <v>335846.3</v>
      </c>
      <c r="I884" s="37">
        <v>342847.89999999997</v>
      </c>
      <c r="J884" s="37">
        <v>342746.10000000003</v>
      </c>
      <c r="K884" s="37"/>
      <c r="L884" s="37"/>
      <c r="M884" s="37"/>
      <c r="N884" s="37"/>
      <c r="O884" s="37"/>
      <c r="P884" s="37"/>
      <c r="Q884" s="17"/>
      <c r="T884" s="37">
        <v>25</v>
      </c>
      <c r="U884" s="37">
        <v>25</v>
      </c>
      <c r="V884" s="37">
        <v>25</v>
      </c>
      <c r="W884" s="37">
        <f t="shared" si="27"/>
        <v>335821.3</v>
      </c>
      <c r="X884" s="37">
        <f t="shared" si="27"/>
        <v>342822.89999999997</v>
      </c>
      <c r="Y884" s="37">
        <f t="shared" si="27"/>
        <v>342721.10000000003</v>
      </c>
    </row>
    <row r="885" spans="1:25" s="4" customFormat="1" ht="25.5">
      <c r="A885" s="108" t="str">
        <f t="shared" si="26"/>
        <v>609100303 1 01 52500240</v>
      </c>
      <c r="B885" s="197" t="s">
        <v>28</v>
      </c>
      <c r="C885" s="198" t="s">
        <v>595</v>
      </c>
      <c r="D885" s="199" t="s">
        <v>317</v>
      </c>
      <c r="E885" s="199" t="s">
        <v>13</v>
      </c>
      <c r="F885" s="199" t="s">
        <v>604</v>
      </c>
      <c r="G885" s="199" t="s">
        <v>29</v>
      </c>
      <c r="H885" s="37">
        <v>2454.87</v>
      </c>
      <c r="I885" s="37">
        <v>2558.35</v>
      </c>
      <c r="J885" s="37">
        <v>2556.84</v>
      </c>
      <c r="K885" s="37"/>
      <c r="L885" s="37"/>
      <c r="M885" s="37"/>
      <c r="N885" s="37"/>
      <c r="O885" s="37"/>
      <c r="P885" s="37"/>
      <c r="Q885" s="17"/>
      <c r="T885" s="37">
        <v>75</v>
      </c>
      <c r="U885" s="37">
        <v>75</v>
      </c>
      <c r="V885" s="37">
        <v>75</v>
      </c>
      <c r="W885" s="37">
        <f t="shared" si="27"/>
        <v>2379.87</v>
      </c>
      <c r="X885" s="37">
        <f t="shared" si="27"/>
        <v>2483.35</v>
      </c>
      <c r="Y885" s="37">
        <f t="shared" si="27"/>
        <v>2481.84</v>
      </c>
    </row>
    <row r="886" spans="1:25" s="4" customFormat="1">
      <c r="A886" s="108" t="str">
        <f t="shared" si="26"/>
        <v>609100303 1 01 52500310</v>
      </c>
      <c r="B886" s="205" t="s">
        <v>493</v>
      </c>
      <c r="C886" s="198" t="s">
        <v>595</v>
      </c>
      <c r="D886" s="199" t="s">
        <v>317</v>
      </c>
      <c r="E886" s="199" t="s">
        <v>13</v>
      </c>
      <c r="F886" s="199" t="s">
        <v>604</v>
      </c>
      <c r="G886" s="199" t="s">
        <v>494</v>
      </c>
      <c r="H886" s="37">
        <v>333391.43</v>
      </c>
      <c r="I886" s="37">
        <v>340289.55</v>
      </c>
      <c r="J886" s="37">
        <v>340189.26</v>
      </c>
      <c r="K886" s="39"/>
      <c r="L886" s="39"/>
      <c r="M886" s="39"/>
      <c r="N886" s="39"/>
      <c r="O886" s="39"/>
      <c r="P886" s="39"/>
      <c r="Q886" s="17"/>
      <c r="T886" s="39">
        <v>75</v>
      </c>
      <c r="U886" s="39">
        <v>75</v>
      </c>
      <c r="V886" s="39">
        <v>75</v>
      </c>
      <c r="W886" s="39">
        <f t="shared" si="27"/>
        <v>333316.43</v>
      </c>
      <c r="X886" s="39">
        <f t="shared" si="27"/>
        <v>340214.55</v>
      </c>
      <c r="Y886" s="39">
        <f t="shared" si="27"/>
        <v>340114.26</v>
      </c>
    </row>
    <row r="887" spans="1:25" s="4" customFormat="1" ht="114.75">
      <c r="A887" s="108" t="str">
        <f t="shared" si="26"/>
        <v>609100303 1 01 52800000</v>
      </c>
      <c r="B887" s="314" t="s">
        <v>605</v>
      </c>
      <c r="C887" s="198" t="s">
        <v>595</v>
      </c>
      <c r="D887" s="199" t="s">
        <v>317</v>
      </c>
      <c r="E887" s="199" t="s">
        <v>13</v>
      </c>
      <c r="F887" s="199" t="s">
        <v>606</v>
      </c>
      <c r="G887" s="199" t="s">
        <v>9</v>
      </c>
      <c r="H887" s="37">
        <v>107.80000000000001</v>
      </c>
      <c r="I887" s="37">
        <v>74.900000000000006</v>
      </c>
      <c r="J887" s="37">
        <v>74.900000000000006</v>
      </c>
      <c r="K887" s="37"/>
      <c r="L887" s="37"/>
      <c r="M887" s="37"/>
      <c r="N887" s="37"/>
      <c r="O887" s="37"/>
      <c r="P887" s="37"/>
      <c r="Q887" s="17"/>
      <c r="T887" s="37">
        <v>75</v>
      </c>
      <c r="U887" s="37">
        <v>75</v>
      </c>
      <c r="V887" s="37">
        <v>75</v>
      </c>
      <c r="W887" s="37">
        <f t="shared" si="27"/>
        <v>32.800000000000011</v>
      </c>
      <c r="X887" s="37">
        <f t="shared" si="27"/>
        <v>-9.9999999999994316E-2</v>
      </c>
      <c r="Y887" s="37">
        <f t="shared" si="27"/>
        <v>-9.9999999999994316E-2</v>
      </c>
    </row>
    <row r="888" spans="1:25" s="4" customFormat="1" ht="25.5">
      <c r="A888" s="108" t="str">
        <f t="shared" si="26"/>
        <v>609100303 1 01 52800240</v>
      </c>
      <c r="B888" s="197" t="s">
        <v>28</v>
      </c>
      <c r="C888" s="198" t="s">
        <v>595</v>
      </c>
      <c r="D888" s="199" t="s">
        <v>317</v>
      </c>
      <c r="E888" s="199" t="s">
        <v>13</v>
      </c>
      <c r="F888" s="199" t="s">
        <v>606</v>
      </c>
      <c r="G888" s="199" t="s">
        <v>29</v>
      </c>
      <c r="H888" s="37">
        <v>1.43</v>
      </c>
      <c r="I888" s="37">
        <v>1</v>
      </c>
      <c r="J888" s="37">
        <v>1</v>
      </c>
      <c r="K888" s="39"/>
      <c r="L888" s="39"/>
      <c r="M888" s="39"/>
      <c r="N888" s="39"/>
      <c r="O888" s="39"/>
      <c r="P888" s="39"/>
      <c r="Q888" s="17"/>
      <c r="T888" s="39">
        <v>2608.5</v>
      </c>
      <c r="U888" s="39">
        <v>2608.5</v>
      </c>
      <c r="V888" s="39">
        <v>2608.5</v>
      </c>
      <c r="W888" s="39">
        <f t="shared" si="27"/>
        <v>-2607.0700000000002</v>
      </c>
      <c r="X888" s="39">
        <f t="shared" si="27"/>
        <v>-2607.5</v>
      </c>
      <c r="Y888" s="39">
        <f t="shared" si="27"/>
        <v>-2607.5</v>
      </c>
    </row>
    <row r="889" spans="1:25" s="4" customFormat="1" ht="39" customHeight="1">
      <c r="A889" s="108" t="str">
        <f t="shared" si="26"/>
        <v>609100303 1 01 52800310</v>
      </c>
      <c r="B889" s="205" t="s">
        <v>493</v>
      </c>
      <c r="C889" s="198" t="s">
        <v>595</v>
      </c>
      <c r="D889" s="199" t="s">
        <v>317</v>
      </c>
      <c r="E889" s="199" t="s">
        <v>13</v>
      </c>
      <c r="F889" s="199" t="s">
        <v>606</v>
      </c>
      <c r="G889" s="199" t="s">
        <v>494</v>
      </c>
      <c r="H889" s="37">
        <v>106.37</v>
      </c>
      <c r="I889" s="37">
        <v>73.900000000000006</v>
      </c>
      <c r="J889" s="37">
        <v>73.900000000000006</v>
      </c>
      <c r="K889" s="39"/>
      <c r="L889" s="39"/>
      <c r="M889" s="39"/>
      <c r="N889" s="39"/>
      <c r="O889" s="39"/>
      <c r="P889" s="39"/>
      <c r="Q889" s="17"/>
      <c r="T889" s="39">
        <v>2608.5</v>
      </c>
      <c r="U889" s="39">
        <v>2608.5</v>
      </c>
      <c r="V889" s="39">
        <v>2608.5</v>
      </c>
      <c r="W889" s="39">
        <f t="shared" si="27"/>
        <v>-2502.13</v>
      </c>
      <c r="X889" s="39">
        <f t="shared" si="27"/>
        <v>-2534.6</v>
      </c>
      <c r="Y889" s="39">
        <f t="shared" si="27"/>
        <v>-2534.6</v>
      </c>
    </row>
    <row r="890" spans="1:25" s="4" customFormat="1" ht="25.5">
      <c r="A890" s="108" t="str">
        <f t="shared" si="26"/>
        <v>609100303 1 01 76240000</v>
      </c>
      <c r="B890" s="242" t="s">
        <v>607</v>
      </c>
      <c r="C890" s="198" t="s">
        <v>595</v>
      </c>
      <c r="D890" s="199" t="s">
        <v>317</v>
      </c>
      <c r="E890" s="199" t="s">
        <v>13</v>
      </c>
      <c r="F890" s="199" t="s">
        <v>608</v>
      </c>
      <c r="G890" s="199" t="s">
        <v>9</v>
      </c>
      <c r="H890" s="37">
        <v>7961.36</v>
      </c>
      <c r="I890" s="37">
        <v>7961.36</v>
      </c>
      <c r="J890" s="37">
        <v>7961.36</v>
      </c>
      <c r="K890" s="39"/>
      <c r="L890" s="39"/>
      <c r="M890" s="39"/>
      <c r="N890" s="39"/>
      <c r="O890" s="39"/>
      <c r="P890" s="39"/>
      <c r="Q890" s="17"/>
      <c r="T890" s="39">
        <v>2608.5</v>
      </c>
      <c r="U890" s="39">
        <v>2608.5</v>
      </c>
      <c r="V890" s="39">
        <v>2608.5</v>
      </c>
      <c r="W890" s="39">
        <f t="shared" si="27"/>
        <v>5352.86</v>
      </c>
      <c r="X890" s="39">
        <f t="shared" si="27"/>
        <v>5352.86</v>
      </c>
      <c r="Y890" s="39">
        <f t="shared" si="27"/>
        <v>5352.86</v>
      </c>
    </row>
    <row r="891" spans="1:25" s="4" customFormat="1">
      <c r="A891" s="108" t="str">
        <f t="shared" si="26"/>
        <v>609100303 1 01 76240310</v>
      </c>
      <c r="B891" s="205" t="s">
        <v>493</v>
      </c>
      <c r="C891" s="198" t="s">
        <v>595</v>
      </c>
      <c r="D891" s="199" t="s">
        <v>317</v>
      </c>
      <c r="E891" s="199" t="s">
        <v>13</v>
      </c>
      <c r="F891" s="199" t="s">
        <v>608</v>
      </c>
      <c r="G891" s="199" t="s">
        <v>494</v>
      </c>
      <c r="H891" s="37">
        <v>7961.36</v>
      </c>
      <c r="I891" s="37">
        <v>7961.36</v>
      </c>
      <c r="J891" s="37">
        <v>7961.36</v>
      </c>
      <c r="K891" s="37"/>
      <c r="L891" s="37"/>
      <c r="M891" s="37"/>
      <c r="N891" s="37"/>
      <c r="O891" s="37"/>
      <c r="P891" s="37"/>
      <c r="Q891" s="17"/>
      <c r="T891" s="37">
        <v>2608.5</v>
      </c>
      <c r="U891" s="37">
        <v>2608.5</v>
      </c>
      <c r="V891" s="37">
        <v>2608.5</v>
      </c>
      <c r="W891" s="37">
        <f t="shared" si="27"/>
        <v>5352.86</v>
      </c>
      <c r="X891" s="37">
        <f t="shared" si="27"/>
        <v>5352.86</v>
      </c>
      <c r="Y891" s="37">
        <f t="shared" si="27"/>
        <v>5352.86</v>
      </c>
    </row>
    <row r="892" spans="1:25" s="43" customFormat="1">
      <c r="A892" s="108" t="str">
        <f t="shared" si="26"/>
        <v>609100303 1 01 76250000</v>
      </c>
      <c r="B892" s="205" t="s">
        <v>1225</v>
      </c>
      <c r="C892" s="198" t="s">
        <v>595</v>
      </c>
      <c r="D892" s="199" t="s">
        <v>317</v>
      </c>
      <c r="E892" s="199" t="s">
        <v>13</v>
      </c>
      <c r="F892" s="199" t="s">
        <v>1226</v>
      </c>
      <c r="G892" s="199" t="s">
        <v>9</v>
      </c>
      <c r="H892" s="37">
        <v>585.15</v>
      </c>
      <c r="I892" s="37">
        <v>0</v>
      </c>
      <c r="J892" s="37">
        <v>0</v>
      </c>
      <c r="K892" s="19"/>
      <c r="L892" s="19"/>
      <c r="M892" s="19"/>
      <c r="N892" s="19"/>
      <c r="O892" s="19"/>
      <c r="P892" s="19"/>
      <c r="Q892" s="17"/>
      <c r="T892" s="19">
        <v>237843.88</v>
      </c>
      <c r="U892" s="19">
        <v>237843.88</v>
      </c>
      <c r="V892" s="19">
        <v>237843.88</v>
      </c>
      <c r="W892" s="19">
        <f t="shared" si="27"/>
        <v>-237258.73</v>
      </c>
      <c r="X892" s="19">
        <f t="shared" si="27"/>
        <v>-237843.88</v>
      </c>
      <c r="Y892" s="19">
        <f t="shared" si="27"/>
        <v>-237843.88</v>
      </c>
    </row>
    <row r="893" spans="1:25" s="43" customFormat="1">
      <c r="A893" s="108" t="str">
        <f t="shared" si="26"/>
        <v>609100303 1 01 76250310</v>
      </c>
      <c r="B893" s="205" t="s">
        <v>493</v>
      </c>
      <c r="C893" s="198" t="s">
        <v>595</v>
      </c>
      <c r="D893" s="199" t="s">
        <v>317</v>
      </c>
      <c r="E893" s="199" t="s">
        <v>13</v>
      </c>
      <c r="F893" s="199" t="s">
        <v>1226</v>
      </c>
      <c r="G893" s="199" t="s">
        <v>494</v>
      </c>
      <c r="H893" s="37">
        <v>585.15</v>
      </c>
      <c r="I893" s="37">
        <v>0</v>
      </c>
      <c r="J893" s="37">
        <v>0</v>
      </c>
      <c r="K893" s="39"/>
      <c r="L893" s="39"/>
      <c r="M893" s="39"/>
      <c r="N893" s="39"/>
      <c r="O893" s="39"/>
      <c r="P893" s="39"/>
      <c r="Q893" s="17"/>
      <c r="T893" s="39">
        <v>237843.88</v>
      </c>
      <c r="U893" s="39">
        <v>237843.88</v>
      </c>
      <c r="V893" s="39">
        <v>237843.88</v>
      </c>
      <c r="W893" s="39">
        <f t="shared" si="27"/>
        <v>-237258.73</v>
      </c>
      <c r="X893" s="39">
        <f t="shared" si="27"/>
        <v>-237843.88</v>
      </c>
      <c r="Y893" s="39">
        <f t="shared" si="27"/>
        <v>-237843.88</v>
      </c>
    </row>
    <row r="894" spans="1:25" s="43" customFormat="1" ht="38.25">
      <c r="A894" s="108" t="str">
        <f t="shared" si="26"/>
        <v>609100303 1 01 77220 000</v>
      </c>
      <c r="B894" s="205" t="s">
        <v>609</v>
      </c>
      <c r="C894" s="198" t="s">
        <v>595</v>
      </c>
      <c r="D894" s="199" t="s">
        <v>317</v>
      </c>
      <c r="E894" s="199" t="s">
        <v>13</v>
      </c>
      <c r="F894" s="199" t="s">
        <v>610</v>
      </c>
      <c r="G894" s="199" t="s">
        <v>9</v>
      </c>
      <c r="H894" s="20">
        <v>2079.8999999999996</v>
      </c>
      <c r="I894" s="20">
        <v>2079.8999999999996</v>
      </c>
      <c r="J894" s="20">
        <v>2079.8999999999996</v>
      </c>
      <c r="K894" s="39"/>
      <c r="L894" s="39"/>
      <c r="M894" s="39"/>
      <c r="N894" s="39"/>
      <c r="O894" s="39"/>
      <c r="P894" s="39"/>
      <c r="Q894" s="17"/>
      <c r="T894" s="39">
        <v>237843.88</v>
      </c>
      <c r="U894" s="39">
        <v>237843.88</v>
      </c>
      <c r="V894" s="39">
        <v>237843.88</v>
      </c>
      <c r="W894" s="39">
        <f t="shared" si="27"/>
        <v>-235763.98</v>
      </c>
      <c r="X894" s="39">
        <f t="shared" si="27"/>
        <v>-235763.98</v>
      </c>
      <c r="Y894" s="39">
        <f t="shared" si="27"/>
        <v>-235763.98</v>
      </c>
    </row>
    <row r="895" spans="1:25" s="17" customFormat="1" ht="25.5">
      <c r="A895" s="108" t="str">
        <f t="shared" si="26"/>
        <v>609100303 1 01 77220240</v>
      </c>
      <c r="B895" s="205" t="s">
        <v>28</v>
      </c>
      <c r="C895" s="198" t="s">
        <v>595</v>
      </c>
      <c r="D895" s="199" t="s">
        <v>317</v>
      </c>
      <c r="E895" s="199" t="s">
        <v>13</v>
      </c>
      <c r="F895" s="199" t="s">
        <v>1164</v>
      </c>
      <c r="G895" s="199" t="s">
        <v>29</v>
      </c>
      <c r="H895" s="20">
        <v>24.6</v>
      </c>
      <c r="I895" s="20">
        <v>24.6</v>
      </c>
      <c r="J895" s="20">
        <v>24.6</v>
      </c>
      <c r="K895" s="37"/>
      <c r="L895" s="37"/>
      <c r="M895" s="37"/>
      <c r="N895" s="37"/>
      <c r="O895" s="37"/>
      <c r="P895" s="37"/>
      <c r="T895" s="37">
        <v>237843.88</v>
      </c>
      <c r="U895" s="37">
        <v>237843.88</v>
      </c>
      <c r="V895" s="37">
        <v>237843.88</v>
      </c>
      <c r="W895" s="37">
        <f t="shared" si="27"/>
        <v>-237819.28</v>
      </c>
      <c r="X895" s="37">
        <f t="shared" si="27"/>
        <v>-237819.28</v>
      </c>
      <c r="Y895" s="37">
        <f t="shared" si="27"/>
        <v>-237819.28</v>
      </c>
    </row>
    <row r="896" spans="1:25" s="17" customFormat="1">
      <c r="A896" s="108" t="str">
        <f t="shared" si="26"/>
        <v>609100303 1 01 77220 310</v>
      </c>
      <c r="B896" s="205" t="s">
        <v>493</v>
      </c>
      <c r="C896" s="198" t="s">
        <v>595</v>
      </c>
      <c r="D896" s="199" t="s">
        <v>317</v>
      </c>
      <c r="E896" s="199" t="s">
        <v>13</v>
      </c>
      <c r="F896" s="199" t="s">
        <v>610</v>
      </c>
      <c r="G896" s="199" t="s">
        <v>494</v>
      </c>
      <c r="H896" s="20">
        <v>2055.2999999999997</v>
      </c>
      <c r="I896" s="20">
        <v>2055.2999999999997</v>
      </c>
      <c r="J896" s="20">
        <v>2055.2999999999997</v>
      </c>
      <c r="K896" s="37"/>
      <c r="L896" s="37"/>
      <c r="M896" s="37"/>
      <c r="N896" s="37"/>
      <c r="O896" s="37"/>
      <c r="P896" s="37"/>
      <c r="T896" s="37">
        <v>122664.88</v>
      </c>
      <c r="U896" s="37">
        <v>122664.88</v>
      </c>
      <c r="V896" s="37">
        <v>122664.88</v>
      </c>
      <c r="W896" s="37">
        <f t="shared" si="27"/>
        <v>-120609.58</v>
      </c>
      <c r="X896" s="37">
        <f t="shared" si="27"/>
        <v>-120609.58</v>
      </c>
      <c r="Y896" s="37">
        <f t="shared" si="27"/>
        <v>-120609.58</v>
      </c>
    </row>
    <row r="897" spans="1:25" s="17" customFormat="1" ht="76.5">
      <c r="A897" s="108" t="str">
        <f t="shared" si="26"/>
        <v>609100303 1 01 78210000</v>
      </c>
      <c r="B897" s="242" t="s">
        <v>611</v>
      </c>
      <c r="C897" s="198" t="s">
        <v>595</v>
      </c>
      <c r="D897" s="199" t="s">
        <v>317</v>
      </c>
      <c r="E897" s="199" t="s">
        <v>13</v>
      </c>
      <c r="F897" s="199" t="s">
        <v>612</v>
      </c>
      <c r="G897" s="199" t="s">
        <v>9</v>
      </c>
      <c r="H897" s="37">
        <v>375574.1</v>
      </c>
      <c r="I897" s="37">
        <v>363794.9</v>
      </c>
      <c r="J897" s="37">
        <v>365617.96</v>
      </c>
      <c r="K897" s="37"/>
      <c r="L897" s="37"/>
      <c r="M897" s="37"/>
      <c r="N897" s="37"/>
      <c r="O897" s="37"/>
      <c r="P897" s="37"/>
      <c r="T897" s="37">
        <v>122664.88</v>
      </c>
      <c r="U897" s="37">
        <v>122664.88</v>
      </c>
      <c r="V897" s="37">
        <v>122664.88</v>
      </c>
      <c r="W897" s="37">
        <f t="shared" si="27"/>
        <v>252909.21999999997</v>
      </c>
      <c r="X897" s="37">
        <f t="shared" si="27"/>
        <v>241130.02000000002</v>
      </c>
      <c r="Y897" s="37">
        <f t="shared" si="27"/>
        <v>242953.08000000002</v>
      </c>
    </row>
    <row r="898" spans="1:25" s="17" customFormat="1" ht="25.5">
      <c r="A898" s="108" t="str">
        <f t="shared" si="26"/>
        <v>609100303 1 01 78210240</v>
      </c>
      <c r="B898" s="197" t="s">
        <v>28</v>
      </c>
      <c r="C898" s="198" t="s">
        <v>595</v>
      </c>
      <c r="D898" s="199" t="s">
        <v>317</v>
      </c>
      <c r="E898" s="199" t="s">
        <v>13</v>
      </c>
      <c r="F898" s="199" t="s">
        <v>612</v>
      </c>
      <c r="G898" s="199" t="s">
        <v>29</v>
      </c>
      <c r="H898" s="37">
        <v>5520</v>
      </c>
      <c r="I898" s="37">
        <v>5280</v>
      </c>
      <c r="J898" s="37">
        <v>5280</v>
      </c>
      <c r="K898" s="37"/>
      <c r="L898" s="37"/>
      <c r="M898" s="37"/>
      <c r="N898" s="37"/>
      <c r="O898" s="37"/>
      <c r="P898" s="37"/>
      <c r="T898" s="37">
        <v>115178.99999999999</v>
      </c>
      <c r="U898" s="37">
        <v>115178.99999999999</v>
      </c>
      <c r="V898" s="37">
        <v>115178.99999999999</v>
      </c>
      <c r="W898" s="37">
        <f t="shared" si="27"/>
        <v>-109658.99999999999</v>
      </c>
      <c r="X898" s="37">
        <f t="shared" si="27"/>
        <v>-109898.99999999999</v>
      </c>
      <c r="Y898" s="37">
        <f t="shared" si="27"/>
        <v>-109898.99999999999</v>
      </c>
    </row>
    <row r="899" spans="1:25" s="17" customFormat="1">
      <c r="A899" s="108" t="str">
        <f t="shared" si="26"/>
        <v>609100303 1 01 78210310</v>
      </c>
      <c r="B899" s="205" t="s">
        <v>493</v>
      </c>
      <c r="C899" s="198" t="s">
        <v>595</v>
      </c>
      <c r="D899" s="199" t="s">
        <v>317</v>
      </c>
      <c r="E899" s="199" t="s">
        <v>13</v>
      </c>
      <c r="F899" s="199" t="s">
        <v>612</v>
      </c>
      <c r="G899" s="199" t="s">
        <v>494</v>
      </c>
      <c r="H899" s="37">
        <v>370054.1</v>
      </c>
      <c r="I899" s="37">
        <v>358514.9</v>
      </c>
      <c r="J899" s="37">
        <v>360337.96</v>
      </c>
      <c r="K899" s="37"/>
      <c r="L899" s="37"/>
      <c r="M899" s="37"/>
      <c r="N899" s="37"/>
      <c r="O899" s="37"/>
      <c r="P899" s="37"/>
      <c r="T899" s="37">
        <v>115178.99999999999</v>
      </c>
      <c r="U899" s="37">
        <v>115178.99999999999</v>
      </c>
      <c r="V899" s="37">
        <v>115178.99999999999</v>
      </c>
      <c r="W899" s="37">
        <f t="shared" si="27"/>
        <v>254875.09999999998</v>
      </c>
      <c r="X899" s="37">
        <f t="shared" si="27"/>
        <v>243335.90000000002</v>
      </c>
      <c r="Y899" s="37">
        <f t="shared" si="27"/>
        <v>245158.96000000002</v>
      </c>
    </row>
    <row r="900" spans="1:25" s="45" customFormat="1" ht="38.25">
      <c r="A900" s="108" t="str">
        <f t="shared" si="26"/>
        <v>609100303 1 01 78220000</v>
      </c>
      <c r="B900" s="205" t="s">
        <v>613</v>
      </c>
      <c r="C900" s="198" t="s">
        <v>595</v>
      </c>
      <c r="D900" s="199" t="s">
        <v>317</v>
      </c>
      <c r="E900" s="199" t="s">
        <v>13</v>
      </c>
      <c r="F900" s="199" t="s">
        <v>614</v>
      </c>
      <c r="G900" s="199" t="s">
        <v>9</v>
      </c>
      <c r="H900" s="37">
        <v>273140</v>
      </c>
      <c r="I900" s="37">
        <v>264670.36</v>
      </c>
      <c r="J900" s="37">
        <v>264670.36</v>
      </c>
      <c r="K900" s="19"/>
      <c r="L900" s="19"/>
      <c r="M900" s="19"/>
      <c r="N900" s="19"/>
      <c r="O900" s="19"/>
      <c r="P900" s="19"/>
      <c r="Q900" s="17"/>
      <c r="T900" s="19">
        <v>70106.11</v>
      </c>
      <c r="U900" s="19">
        <v>67997.600000000006</v>
      </c>
      <c r="V900" s="19">
        <v>68035.66</v>
      </c>
      <c r="W900" s="19">
        <f t="shared" si="27"/>
        <v>203033.89</v>
      </c>
      <c r="X900" s="19">
        <f t="shared" si="27"/>
        <v>196672.75999999998</v>
      </c>
      <c r="Y900" s="19">
        <f t="shared" si="27"/>
        <v>196634.69999999998</v>
      </c>
    </row>
    <row r="901" spans="1:25" s="17" customFormat="1" ht="25.5">
      <c r="A901" s="108" t="str">
        <f t="shared" si="26"/>
        <v>609100303 1 01 78220240</v>
      </c>
      <c r="B901" s="205" t="s">
        <v>28</v>
      </c>
      <c r="C901" s="198" t="s">
        <v>595</v>
      </c>
      <c r="D901" s="199" t="s">
        <v>317</v>
      </c>
      <c r="E901" s="199" t="s">
        <v>13</v>
      </c>
      <c r="F901" s="199" t="s">
        <v>614</v>
      </c>
      <c r="G901" s="199" t="s">
        <v>29</v>
      </c>
      <c r="H901" s="37">
        <v>4005</v>
      </c>
      <c r="I901" s="37">
        <v>3840</v>
      </c>
      <c r="J901" s="37">
        <v>3840</v>
      </c>
      <c r="K901" s="37"/>
      <c r="L901" s="37"/>
      <c r="M901" s="37"/>
      <c r="N901" s="37"/>
      <c r="O901" s="37"/>
      <c r="P901" s="37"/>
      <c r="T901" s="37">
        <v>5633.92</v>
      </c>
      <c r="U901" s="37">
        <v>5561.92</v>
      </c>
      <c r="V901" s="37">
        <v>5561.92</v>
      </c>
      <c r="W901" s="37">
        <f t="shared" si="27"/>
        <v>-1628.92</v>
      </c>
      <c r="X901" s="37">
        <f t="shared" si="27"/>
        <v>-1721.92</v>
      </c>
      <c r="Y901" s="37">
        <f t="shared" si="27"/>
        <v>-1721.92</v>
      </c>
    </row>
    <row r="902" spans="1:25" s="4" customFormat="1">
      <c r="A902" s="108" t="str">
        <f t="shared" ref="A902:A965" si="28">C902&amp;D902&amp;E902&amp;F902&amp;G902</f>
        <v>609100303 1 01 78220310</v>
      </c>
      <c r="B902" s="205" t="s">
        <v>493</v>
      </c>
      <c r="C902" s="198" t="s">
        <v>595</v>
      </c>
      <c r="D902" s="199" t="s">
        <v>317</v>
      </c>
      <c r="E902" s="199" t="s">
        <v>13</v>
      </c>
      <c r="F902" s="199" t="s">
        <v>614</v>
      </c>
      <c r="G902" s="199" t="s">
        <v>494</v>
      </c>
      <c r="H902" s="37">
        <v>269135</v>
      </c>
      <c r="I902" s="37">
        <v>260830.36</v>
      </c>
      <c r="J902" s="37">
        <v>260830.36</v>
      </c>
      <c r="K902" s="37"/>
      <c r="L902" s="37"/>
      <c r="M902" s="37"/>
      <c r="N902" s="37"/>
      <c r="O902" s="37"/>
      <c r="P902" s="37"/>
      <c r="Q902" s="17"/>
      <c r="T902" s="37">
        <v>2546</v>
      </c>
      <c r="U902" s="37">
        <v>2546</v>
      </c>
      <c r="V902" s="37">
        <v>2546</v>
      </c>
      <c r="W902" s="37">
        <f t="shared" si="27"/>
        <v>266589</v>
      </c>
      <c r="X902" s="37">
        <f t="shared" si="27"/>
        <v>258284.36</v>
      </c>
      <c r="Y902" s="37">
        <f t="shared" si="27"/>
        <v>258284.36</v>
      </c>
    </row>
    <row r="903" spans="1:25" s="4" customFormat="1" ht="38.25">
      <c r="A903" s="108" t="str">
        <f t="shared" si="28"/>
        <v>609100303 1 01 78230000</v>
      </c>
      <c r="B903" s="242" t="s">
        <v>615</v>
      </c>
      <c r="C903" s="198" t="s">
        <v>595</v>
      </c>
      <c r="D903" s="199" t="s">
        <v>317</v>
      </c>
      <c r="E903" s="199" t="s">
        <v>13</v>
      </c>
      <c r="F903" s="199" t="s">
        <v>616</v>
      </c>
      <c r="G903" s="199" t="s">
        <v>9</v>
      </c>
      <c r="H903" s="37">
        <v>6261</v>
      </c>
      <c r="I903" s="37">
        <v>5877.65</v>
      </c>
      <c r="J903" s="37">
        <v>5705.66</v>
      </c>
      <c r="K903" s="37"/>
      <c r="L903" s="37"/>
      <c r="M903" s="37"/>
      <c r="N903" s="37"/>
      <c r="O903" s="37"/>
      <c r="P903" s="37"/>
      <c r="Q903" s="17"/>
      <c r="T903" s="37">
        <v>2546</v>
      </c>
      <c r="U903" s="37">
        <v>2546</v>
      </c>
      <c r="V903" s="37">
        <v>2546</v>
      </c>
      <c r="W903" s="37">
        <f t="shared" si="27"/>
        <v>3715</v>
      </c>
      <c r="X903" s="37">
        <f t="shared" si="27"/>
        <v>3331.6499999999996</v>
      </c>
      <c r="Y903" s="37">
        <f t="shared" si="27"/>
        <v>3159.66</v>
      </c>
    </row>
    <row r="904" spans="1:25" s="4" customFormat="1" ht="25.5">
      <c r="A904" s="108" t="str">
        <f t="shared" si="28"/>
        <v>609100303 1 01 78230240</v>
      </c>
      <c r="B904" s="197" t="s">
        <v>28</v>
      </c>
      <c r="C904" s="198" t="s">
        <v>595</v>
      </c>
      <c r="D904" s="199" t="s">
        <v>317</v>
      </c>
      <c r="E904" s="199" t="s">
        <v>13</v>
      </c>
      <c r="F904" s="199" t="s">
        <v>616</v>
      </c>
      <c r="G904" s="199" t="s">
        <v>29</v>
      </c>
      <c r="H904" s="37">
        <v>99.97</v>
      </c>
      <c r="I904" s="37">
        <v>86</v>
      </c>
      <c r="J904" s="37">
        <v>84.8</v>
      </c>
      <c r="K904" s="37"/>
      <c r="L904" s="37"/>
      <c r="M904" s="37"/>
      <c r="N904" s="37"/>
      <c r="O904" s="37"/>
      <c r="P904" s="37"/>
      <c r="Q904" s="17"/>
      <c r="T904" s="37">
        <v>2546</v>
      </c>
      <c r="U904" s="37">
        <v>2546</v>
      </c>
      <c r="V904" s="37">
        <v>2546</v>
      </c>
      <c r="W904" s="37">
        <f t="shared" ref="W904:Y967" si="29">H904-T904</f>
        <v>-2446.0300000000002</v>
      </c>
      <c r="X904" s="37">
        <f t="shared" si="29"/>
        <v>-2460</v>
      </c>
      <c r="Y904" s="37">
        <f t="shared" si="29"/>
        <v>-2461.1999999999998</v>
      </c>
    </row>
    <row r="905" spans="1:25" s="4" customFormat="1">
      <c r="A905" s="108" t="str">
        <f t="shared" si="28"/>
        <v>609100303 1 01 78230310</v>
      </c>
      <c r="B905" s="205" t="s">
        <v>493</v>
      </c>
      <c r="C905" s="198" t="s">
        <v>595</v>
      </c>
      <c r="D905" s="199" t="s">
        <v>317</v>
      </c>
      <c r="E905" s="199" t="s">
        <v>13</v>
      </c>
      <c r="F905" s="199" t="s">
        <v>616</v>
      </c>
      <c r="G905" s="199" t="s">
        <v>494</v>
      </c>
      <c r="H905" s="37">
        <v>6161.03</v>
      </c>
      <c r="I905" s="37">
        <v>5791.65</v>
      </c>
      <c r="J905" s="37">
        <v>5620.86</v>
      </c>
      <c r="K905" s="37"/>
      <c r="L905" s="37"/>
      <c r="M905" s="37"/>
      <c r="N905" s="37"/>
      <c r="O905" s="37"/>
      <c r="P905" s="37"/>
      <c r="Q905" s="17"/>
      <c r="T905" s="37">
        <v>2546</v>
      </c>
      <c r="U905" s="37">
        <v>2546</v>
      </c>
      <c r="V905" s="37">
        <v>2546</v>
      </c>
      <c r="W905" s="37">
        <f t="shared" si="29"/>
        <v>3615.0299999999997</v>
      </c>
      <c r="X905" s="37">
        <f t="shared" si="29"/>
        <v>3245.6499999999996</v>
      </c>
      <c r="Y905" s="37">
        <f t="shared" si="29"/>
        <v>3074.8599999999997</v>
      </c>
    </row>
    <row r="906" spans="1:25" s="4" customFormat="1" ht="38.25">
      <c r="A906" s="108" t="str">
        <f t="shared" si="28"/>
        <v>609100303 1 01 78240000</v>
      </c>
      <c r="B906" s="242" t="s">
        <v>617</v>
      </c>
      <c r="C906" s="198" t="s">
        <v>595</v>
      </c>
      <c r="D906" s="199" t="s">
        <v>317</v>
      </c>
      <c r="E906" s="199" t="s">
        <v>13</v>
      </c>
      <c r="F906" s="199" t="s">
        <v>618</v>
      </c>
      <c r="G906" s="199" t="s">
        <v>9</v>
      </c>
      <c r="H906" s="37">
        <v>184</v>
      </c>
      <c r="I906" s="37">
        <v>178.05</v>
      </c>
      <c r="J906" s="37">
        <v>178.05</v>
      </c>
      <c r="K906" s="39"/>
      <c r="L906" s="39"/>
      <c r="M906" s="39"/>
      <c r="N906" s="39"/>
      <c r="O906" s="39"/>
      <c r="P906" s="39"/>
      <c r="Q906" s="17"/>
      <c r="T906" s="39">
        <v>1232.51</v>
      </c>
      <c r="U906" s="39">
        <v>1160.51</v>
      </c>
      <c r="V906" s="39">
        <v>1160.51</v>
      </c>
      <c r="W906" s="39">
        <f t="shared" si="29"/>
        <v>-1048.51</v>
      </c>
      <c r="X906" s="39">
        <f t="shared" si="29"/>
        <v>-982.46</v>
      </c>
      <c r="Y906" s="39">
        <f t="shared" si="29"/>
        <v>-982.46</v>
      </c>
    </row>
    <row r="907" spans="1:25" s="4" customFormat="1" ht="25.5">
      <c r="A907" s="108" t="str">
        <f t="shared" si="28"/>
        <v>609100303 1 01 78240240</v>
      </c>
      <c r="B907" s="197" t="s">
        <v>28</v>
      </c>
      <c r="C907" s="198" t="s">
        <v>595</v>
      </c>
      <c r="D907" s="199" t="s">
        <v>317</v>
      </c>
      <c r="E907" s="199" t="s">
        <v>13</v>
      </c>
      <c r="F907" s="199" t="s">
        <v>618</v>
      </c>
      <c r="G907" s="199" t="s">
        <v>29</v>
      </c>
      <c r="H907" s="37">
        <v>0.89999999999999991</v>
      </c>
      <c r="I907" s="37">
        <v>0.84</v>
      </c>
      <c r="J907" s="37">
        <v>0.84</v>
      </c>
      <c r="K907" s="39"/>
      <c r="L907" s="39"/>
      <c r="M907" s="39"/>
      <c r="N907" s="39"/>
      <c r="O907" s="39"/>
      <c r="P907" s="39"/>
      <c r="Q907" s="17"/>
      <c r="T907" s="39">
        <v>1232.51</v>
      </c>
      <c r="U907" s="39">
        <v>1160.51</v>
      </c>
      <c r="V907" s="39">
        <v>1160.51</v>
      </c>
      <c r="W907" s="39">
        <f t="shared" si="29"/>
        <v>-1231.6099999999999</v>
      </c>
      <c r="X907" s="39">
        <f t="shared" si="29"/>
        <v>-1159.67</v>
      </c>
      <c r="Y907" s="39">
        <f t="shared" si="29"/>
        <v>-1159.67</v>
      </c>
    </row>
    <row r="908" spans="1:25" s="4" customFormat="1">
      <c r="A908" s="108" t="str">
        <f t="shared" si="28"/>
        <v>609100303 1 01 78240310</v>
      </c>
      <c r="B908" s="205" t="s">
        <v>493</v>
      </c>
      <c r="C908" s="198" t="s">
        <v>595</v>
      </c>
      <c r="D908" s="199" t="s">
        <v>317</v>
      </c>
      <c r="E908" s="199" t="s">
        <v>13</v>
      </c>
      <c r="F908" s="199" t="s">
        <v>618</v>
      </c>
      <c r="G908" s="199" t="s">
        <v>494</v>
      </c>
      <c r="H908" s="37">
        <v>183.1</v>
      </c>
      <c r="I908" s="37">
        <v>177.21</v>
      </c>
      <c r="J908" s="37">
        <v>177.21</v>
      </c>
      <c r="K908" s="39"/>
      <c r="L908" s="39"/>
      <c r="M908" s="39"/>
      <c r="N908" s="39"/>
      <c r="O908" s="39"/>
      <c r="P908" s="39"/>
      <c r="Q908" s="17"/>
      <c r="T908" s="39">
        <v>1232.51</v>
      </c>
      <c r="U908" s="39">
        <v>1160.51</v>
      </c>
      <c r="V908" s="39">
        <v>1160.51</v>
      </c>
      <c r="W908" s="39">
        <f t="shared" si="29"/>
        <v>-1049.4100000000001</v>
      </c>
      <c r="X908" s="39">
        <f t="shared" si="29"/>
        <v>-983.3</v>
      </c>
      <c r="Y908" s="39">
        <f t="shared" si="29"/>
        <v>-983.3</v>
      </c>
    </row>
    <row r="909" spans="1:25" s="4" customFormat="1" ht="25.5">
      <c r="A909" s="108" t="str">
        <f t="shared" si="28"/>
        <v>609100303 1 01 78250000</v>
      </c>
      <c r="B909" s="242" t="s">
        <v>619</v>
      </c>
      <c r="C909" s="198" t="s">
        <v>595</v>
      </c>
      <c r="D909" s="199" t="s">
        <v>317</v>
      </c>
      <c r="E909" s="199" t="s">
        <v>13</v>
      </c>
      <c r="F909" s="199" t="s">
        <v>620</v>
      </c>
      <c r="G909" s="199" t="s">
        <v>9</v>
      </c>
      <c r="H909" s="37">
        <v>634</v>
      </c>
      <c r="I909" s="37">
        <v>614.26</v>
      </c>
      <c r="J909" s="37">
        <v>614.26</v>
      </c>
      <c r="K909" s="37"/>
      <c r="L909" s="37"/>
      <c r="M909" s="37"/>
      <c r="N909" s="37"/>
      <c r="O909" s="37"/>
      <c r="P909" s="37"/>
      <c r="Q909" s="17"/>
      <c r="T909" s="37">
        <v>1232.51</v>
      </c>
      <c r="U909" s="37">
        <v>1160.51</v>
      </c>
      <c r="V909" s="37">
        <v>1160.51</v>
      </c>
      <c r="W909" s="37">
        <f t="shared" si="29"/>
        <v>-598.51</v>
      </c>
      <c r="X909" s="37">
        <f t="shared" si="29"/>
        <v>-546.25</v>
      </c>
      <c r="Y909" s="37">
        <f t="shared" si="29"/>
        <v>-546.25</v>
      </c>
    </row>
    <row r="910" spans="1:25" s="4" customFormat="1" ht="25.5">
      <c r="A910" s="108" t="str">
        <f t="shared" si="28"/>
        <v>609100303 1 01 78250240</v>
      </c>
      <c r="B910" s="197" t="s">
        <v>28</v>
      </c>
      <c r="C910" s="198" t="s">
        <v>595</v>
      </c>
      <c r="D910" s="199" t="s">
        <v>317</v>
      </c>
      <c r="E910" s="199" t="s">
        <v>13</v>
      </c>
      <c r="F910" s="199" t="s">
        <v>620</v>
      </c>
      <c r="G910" s="199" t="s">
        <v>29</v>
      </c>
      <c r="H910" s="37">
        <v>9</v>
      </c>
      <c r="I910" s="37">
        <v>8.4</v>
      </c>
      <c r="J910" s="37">
        <v>8.4</v>
      </c>
      <c r="K910" s="37"/>
      <c r="L910" s="37"/>
      <c r="M910" s="37"/>
      <c r="N910" s="37"/>
      <c r="O910" s="37"/>
      <c r="P910" s="37"/>
      <c r="Q910" s="17"/>
      <c r="T910" s="37">
        <v>1855.4099999999999</v>
      </c>
      <c r="U910" s="37">
        <v>1855.4099999999999</v>
      </c>
      <c r="V910" s="37">
        <v>1855.4099999999999</v>
      </c>
      <c r="W910" s="37">
        <f t="shared" si="29"/>
        <v>-1846.4099999999999</v>
      </c>
      <c r="X910" s="37">
        <f t="shared" si="29"/>
        <v>-1847.0099999999998</v>
      </c>
      <c r="Y910" s="37">
        <f t="shared" si="29"/>
        <v>-1847.0099999999998</v>
      </c>
    </row>
    <row r="911" spans="1:25" s="4" customFormat="1">
      <c r="A911" s="108" t="str">
        <f t="shared" si="28"/>
        <v>609100303 1 01 78250310</v>
      </c>
      <c r="B911" s="205" t="s">
        <v>493</v>
      </c>
      <c r="C911" s="198" t="s">
        <v>595</v>
      </c>
      <c r="D911" s="199" t="s">
        <v>317</v>
      </c>
      <c r="E911" s="199" t="s">
        <v>13</v>
      </c>
      <c r="F911" s="199" t="s">
        <v>620</v>
      </c>
      <c r="G911" s="199" t="s">
        <v>494</v>
      </c>
      <c r="H911" s="37">
        <v>625</v>
      </c>
      <c r="I911" s="37">
        <v>605.86</v>
      </c>
      <c r="J911" s="37">
        <v>605.86</v>
      </c>
      <c r="K911" s="37"/>
      <c r="L911" s="37"/>
      <c r="M911" s="37"/>
      <c r="N911" s="37"/>
      <c r="O911" s="37"/>
      <c r="P911" s="37"/>
      <c r="Q911" s="17"/>
      <c r="T911" s="37">
        <v>1855.4099999999999</v>
      </c>
      <c r="U911" s="37">
        <v>1855.4099999999999</v>
      </c>
      <c r="V911" s="37">
        <v>1855.4099999999999</v>
      </c>
      <c r="W911" s="37">
        <f t="shared" si="29"/>
        <v>-1230.4099999999999</v>
      </c>
      <c r="X911" s="37">
        <f t="shared" si="29"/>
        <v>-1249.5499999999997</v>
      </c>
      <c r="Y911" s="37">
        <f t="shared" si="29"/>
        <v>-1249.5499999999997</v>
      </c>
    </row>
    <row r="912" spans="1:25" s="4" customFormat="1" ht="25.5">
      <c r="A912" s="108" t="str">
        <f t="shared" si="28"/>
        <v>609100303 1 01 78260000</v>
      </c>
      <c r="B912" s="242" t="s">
        <v>621</v>
      </c>
      <c r="C912" s="198" t="s">
        <v>595</v>
      </c>
      <c r="D912" s="199" t="s">
        <v>317</v>
      </c>
      <c r="E912" s="199" t="s">
        <v>13</v>
      </c>
      <c r="F912" s="199" t="s">
        <v>622</v>
      </c>
      <c r="G912" s="199" t="s">
        <v>9</v>
      </c>
      <c r="H912" s="37">
        <v>292267</v>
      </c>
      <c r="I912" s="37">
        <v>336033.4</v>
      </c>
      <c r="J912" s="37">
        <v>338036</v>
      </c>
      <c r="K912" s="37"/>
      <c r="L912" s="37"/>
      <c r="M912" s="37"/>
      <c r="N912" s="37"/>
      <c r="O912" s="37"/>
      <c r="P912" s="37"/>
      <c r="Q912" s="17"/>
      <c r="T912" s="37">
        <v>103.55</v>
      </c>
      <c r="U912" s="37">
        <v>103.55</v>
      </c>
      <c r="V912" s="37">
        <v>103.55</v>
      </c>
      <c r="W912" s="37">
        <f t="shared" si="29"/>
        <v>292163.45</v>
      </c>
      <c r="X912" s="37">
        <f t="shared" si="29"/>
        <v>335929.85000000003</v>
      </c>
      <c r="Y912" s="37">
        <f t="shared" si="29"/>
        <v>337932.45</v>
      </c>
    </row>
    <row r="913" spans="1:25" s="4" customFormat="1" ht="25.5">
      <c r="A913" s="108" t="str">
        <f t="shared" si="28"/>
        <v>609100303 1 01 78260240</v>
      </c>
      <c r="B913" s="197" t="s">
        <v>28</v>
      </c>
      <c r="C913" s="198" t="s">
        <v>595</v>
      </c>
      <c r="D913" s="199" t="s">
        <v>317</v>
      </c>
      <c r="E913" s="199" t="s">
        <v>13</v>
      </c>
      <c r="F913" s="199" t="s">
        <v>622</v>
      </c>
      <c r="G913" s="199" t="s">
        <v>29</v>
      </c>
      <c r="H913" s="37">
        <v>4032.4</v>
      </c>
      <c r="I913" s="37">
        <v>4532.3999999999996</v>
      </c>
      <c r="J913" s="37">
        <v>4632.3999999999996</v>
      </c>
      <c r="K913" s="37"/>
      <c r="L913" s="37"/>
      <c r="M913" s="37"/>
      <c r="N913" s="37"/>
      <c r="O913" s="37"/>
      <c r="P913" s="37"/>
      <c r="Q913" s="17"/>
      <c r="T913" s="37">
        <v>68.69</v>
      </c>
      <c r="U913" s="37">
        <v>68.69</v>
      </c>
      <c r="V913" s="37">
        <v>68.69</v>
      </c>
      <c r="W913" s="37">
        <f t="shared" si="29"/>
        <v>3963.71</v>
      </c>
      <c r="X913" s="37">
        <f t="shared" si="29"/>
        <v>4463.71</v>
      </c>
      <c r="Y913" s="37">
        <f t="shared" si="29"/>
        <v>4563.71</v>
      </c>
    </row>
    <row r="914" spans="1:25" s="4" customFormat="1">
      <c r="A914" s="108" t="str">
        <f t="shared" si="28"/>
        <v>609100303 1 01 78260310</v>
      </c>
      <c r="B914" s="205" t="s">
        <v>493</v>
      </c>
      <c r="C914" s="198" t="s">
        <v>595</v>
      </c>
      <c r="D914" s="199" t="s">
        <v>317</v>
      </c>
      <c r="E914" s="199" t="s">
        <v>13</v>
      </c>
      <c r="F914" s="199" t="s">
        <v>622</v>
      </c>
      <c r="G914" s="199" t="s">
        <v>494</v>
      </c>
      <c r="H914" s="37">
        <v>288234.59999999998</v>
      </c>
      <c r="I914" s="37">
        <v>331501</v>
      </c>
      <c r="J914" s="37">
        <v>333403.59999999998</v>
      </c>
      <c r="K914" s="37"/>
      <c r="L914" s="37"/>
      <c r="M914" s="37"/>
      <c r="N914" s="37"/>
      <c r="O914" s="37"/>
      <c r="P914" s="37"/>
      <c r="Q914" s="17"/>
      <c r="T914" s="37">
        <v>34.86</v>
      </c>
      <c r="U914" s="37">
        <v>34.86</v>
      </c>
      <c r="V914" s="37">
        <v>34.86</v>
      </c>
      <c r="W914" s="37">
        <f t="shared" si="29"/>
        <v>288199.74</v>
      </c>
      <c r="X914" s="37">
        <f t="shared" si="29"/>
        <v>331466.14</v>
      </c>
      <c r="Y914" s="37">
        <f t="shared" si="29"/>
        <v>333368.74</v>
      </c>
    </row>
    <row r="915" spans="1:25" s="4" customFormat="1" ht="38.25">
      <c r="A915" s="108" t="str">
        <f t="shared" si="28"/>
        <v>609100303 1 01 R4620000</v>
      </c>
      <c r="B915" s="205" t="s">
        <v>1122</v>
      </c>
      <c r="C915" s="198" t="s">
        <v>595</v>
      </c>
      <c r="D915" s="199" t="s">
        <v>317</v>
      </c>
      <c r="E915" s="199" t="s">
        <v>13</v>
      </c>
      <c r="F915" s="199" t="s">
        <v>1123</v>
      </c>
      <c r="G915" s="199" t="s">
        <v>9</v>
      </c>
      <c r="H915" s="37">
        <v>3379.1</v>
      </c>
      <c r="I915" s="37">
        <v>3379.1</v>
      </c>
      <c r="J915" s="37">
        <v>3379.1</v>
      </c>
      <c r="K915" s="37"/>
      <c r="L915" s="37"/>
      <c r="M915" s="37"/>
      <c r="N915" s="37"/>
      <c r="O915" s="37"/>
      <c r="P915" s="37"/>
      <c r="Q915" s="17"/>
      <c r="T915" s="37">
        <v>1751.86</v>
      </c>
      <c r="U915" s="37">
        <v>1751.86</v>
      </c>
      <c r="V915" s="37">
        <v>1751.86</v>
      </c>
      <c r="W915" s="37">
        <f t="shared" si="29"/>
        <v>1627.24</v>
      </c>
      <c r="X915" s="37">
        <f t="shared" si="29"/>
        <v>1627.24</v>
      </c>
      <c r="Y915" s="37">
        <f t="shared" si="29"/>
        <v>1627.24</v>
      </c>
    </row>
    <row r="916" spans="1:25" s="4" customFormat="1" ht="25.5">
      <c r="A916" s="108" t="str">
        <f t="shared" si="28"/>
        <v>609100303 1 01 R4620240</v>
      </c>
      <c r="B916" s="197" t="s">
        <v>28</v>
      </c>
      <c r="C916" s="198" t="s">
        <v>595</v>
      </c>
      <c r="D916" s="199" t="s">
        <v>317</v>
      </c>
      <c r="E916" s="199" t="s">
        <v>13</v>
      </c>
      <c r="F916" s="199" t="s">
        <v>1123</v>
      </c>
      <c r="G916" s="199" t="s">
        <v>29</v>
      </c>
      <c r="H916" s="37">
        <v>28</v>
      </c>
      <c r="I916" s="37">
        <v>28</v>
      </c>
      <c r="J916" s="37">
        <v>28</v>
      </c>
      <c r="K916" s="37"/>
      <c r="L916" s="37"/>
      <c r="M916" s="37"/>
      <c r="N916" s="37"/>
      <c r="O916" s="37"/>
      <c r="P916" s="37"/>
      <c r="Q916" s="17"/>
      <c r="T916" s="37">
        <v>1751.86</v>
      </c>
      <c r="U916" s="37">
        <v>1751.86</v>
      </c>
      <c r="V916" s="37">
        <v>1751.86</v>
      </c>
      <c r="W916" s="37">
        <f t="shared" si="29"/>
        <v>-1723.86</v>
      </c>
      <c r="X916" s="37">
        <f t="shared" si="29"/>
        <v>-1723.86</v>
      </c>
      <c r="Y916" s="37">
        <f t="shared" si="29"/>
        <v>-1723.86</v>
      </c>
    </row>
    <row r="917" spans="1:25" s="4" customFormat="1">
      <c r="A917" s="108" t="str">
        <f t="shared" si="28"/>
        <v>609100303 1 01 R4620310</v>
      </c>
      <c r="B917" s="205" t="s">
        <v>493</v>
      </c>
      <c r="C917" s="198" t="s">
        <v>595</v>
      </c>
      <c r="D917" s="199" t="s">
        <v>317</v>
      </c>
      <c r="E917" s="199" t="s">
        <v>13</v>
      </c>
      <c r="F917" s="199" t="s">
        <v>1123</v>
      </c>
      <c r="G917" s="199" t="s">
        <v>494</v>
      </c>
      <c r="H917" s="37">
        <v>3351.1</v>
      </c>
      <c r="I917" s="37">
        <v>3351.1</v>
      </c>
      <c r="J917" s="37">
        <v>3351.1</v>
      </c>
      <c r="K917" s="39"/>
      <c r="L917" s="39"/>
      <c r="M917" s="39"/>
      <c r="N917" s="39"/>
      <c r="O917" s="39"/>
      <c r="P917" s="39"/>
      <c r="Q917" s="17"/>
      <c r="T917" s="39">
        <v>64472.19</v>
      </c>
      <c r="U917" s="39">
        <v>62435.68</v>
      </c>
      <c r="V917" s="39">
        <v>62473.740000000005</v>
      </c>
      <c r="W917" s="39">
        <f t="shared" si="29"/>
        <v>-61121.090000000004</v>
      </c>
      <c r="X917" s="39">
        <f t="shared" si="29"/>
        <v>-59084.58</v>
      </c>
      <c r="Y917" s="39">
        <f t="shared" si="29"/>
        <v>-59122.640000000007</v>
      </c>
    </row>
    <row r="918" spans="1:25" s="4" customFormat="1" ht="25.5">
      <c r="A918" s="108" t="str">
        <f t="shared" si="28"/>
        <v>609100303 1 02 00000000</v>
      </c>
      <c r="B918" s="251" t="s">
        <v>623</v>
      </c>
      <c r="C918" s="198" t="s">
        <v>595</v>
      </c>
      <c r="D918" s="199" t="s">
        <v>317</v>
      </c>
      <c r="E918" s="199" t="s">
        <v>13</v>
      </c>
      <c r="F918" s="199" t="s">
        <v>624</v>
      </c>
      <c r="G918" s="199" t="s">
        <v>9</v>
      </c>
      <c r="H918" s="36">
        <v>236475</v>
      </c>
      <c r="I918" s="36">
        <v>245649.34000000003</v>
      </c>
      <c r="J918" s="36">
        <v>261013.86</v>
      </c>
      <c r="K918" s="39"/>
      <c r="L918" s="39"/>
      <c r="M918" s="39"/>
      <c r="N918" s="39"/>
      <c r="O918" s="39"/>
      <c r="P918" s="39"/>
      <c r="Q918" s="17"/>
      <c r="T918" s="39">
        <v>64472.19</v>
      </c>
      <c r="U918" s="39">
        <v>62435.68</v>
      </c>
      <c r="V918" s="39">
        <v>62473.740000000005</v>
      </c>
      <c r="W918" s="39">
        <f t="shared" si="29"/>
        <v>172002.81</v>
      </c>
      <c r="X918" s="39">
        <f t="shared" si="29"/>
        <v>183213.66000000003</v>
      </c>
      <c r="Y918" s="39">
        <f t="shared" si="29"/>
        <v>198540.12</v>
      </c>
    </row>
    <row r="919" spans="1:25" s="4" customFormat="1" ht="63.75">
      <c r="A919" s="108" t="str">
        <f t="shared" si="28"/>
        <v>609100303 1 02 53800000</v>
      </c>
      <c r="B919" s="242" t="s">
        <v>625</v>
      </c>
      <c r="C919" s="198" t="s">
        <v>595</v>
      </c>
      <c r="D919" s="199" t="s">
        <v>317</v>
      </c>
      <c r="E919" s="199" t="s">
        <v>13</v>
      </c>
      <c r="F919" s="199" t="s">
        <v>626</v>
      </c>
      <c r="G919" s="199" t="s">
        <v>9</v>
      </c>
      <c r="H919" s="37">
        <v>188631.6</v>
      </c>
      <c r="I919" s="37">
        <v>194738.30000000002</v>
      </c>
      <c r="J919" s="37">
        <v>202950.5</v>
      </c>
      <c r="K919" s="39"/>
      <c r="L919" s="39"/>
      <c r="M919" s="39"/>
      <c r="N919" s="39"/>
      <c r="O919" s="39"/>
      <c r="P919" s="39"/>
      <c r="Q919" s="17"/>
      <c r="T919" s="39">
        <v>1377.6100000000001</v>
      </c>
      <c r="U919" s="39">
        <v>1138.6100000000001</v>
      </c>
      <c r="V919" s="39">
        <v>1138.6100000000001</v>
      </c>
      <c r="W919" s="39">
        <f t="shared" si="29"/>
        <v>187253.99000000002</v>
      </c>
      <c r="X919" s="39">
        <f t="shared" si="29"/>
        <v>193599.69000000003</v>
      </c>
      <c r="Y919" s="39">
        <f t="shared" si="29"/>
        <v>201811.89</v>
      </c>
    </row>
    <row r="920" spans="1:25" s="4" customFormat="1" ht="25.5">
      <c r="A920" s="108" t="str">
        <f t="shared" si="28"/>
        <v>609100303 1 02 53800240</v>
      </c>
      <c r="B920" s="197" t="s">
        <v>28</v>
      </c>
      <c r="C920" s="198" t="s">
        <v>595</v>
      </c>
      <c r="D920" s="199" t="s">
        <v>317</v>
      </c>
      <c r="E920" s="199" t="s">
        <v>13</v>
      </c>
      <c r="F920" s="199" t="s">
        <v>626</v>
      </c>
      <c r="G920" s="199" t="s">
        <v>29</v>
      </c>
      <c r="H920" s="37">
        <v>2787.66</v>
      </c>
      <c r="I920" s="37">
        <v>2877.91</v>
      </c>
      <c r="J920" s="37">
        <v>2999.27</v>
      </c>
      <c r="K920" s="37"/>
      <c r="L920" s="37"/>
      <c r="M920" s="37"/>
      <c r="N920" s="37"/>
      <c r="O920" s="37"/>
      <c r="P920" s="37"/>
      <c r="Q920" s="17"/>
      <c r="T920" s="37">
        <v>144.04</v>
      </c>
      <c r="U920" s="37">
        <v>144.04</v>
      </c>
      <c r="V920" s="37">
        <v>144.04</v>
      </c>
      <c r="W920" s="37">
        <f t="shared" si="29"/>
        <v>2643.62</v>
      </c>
      <c r="X920" s="37">
        <f t="shared" si="29"/>
        <v>2733.87</v>
      </c>
      <c r="Y920" s="37">
        <f t="shared" si="29"/>
        <v>2855.23</v>
      </c>
    </row>
    <row r="921" spans="1:25" s="4" customFormat="1">
      <c r="A921" s="108" t="str">
        <f t="shared" si="28"/>
        <v>609100303 1 02 53800310</v>
      </c>
      <c r="B921" s="205" t="s">
        <v>493</v>
      </c>
      <c r="C921" s="198" t="s">
        <v>595</v>
      </c>
      <c r="D921" s="199" t="s">
        <v>317</v>
      </c>
      <c r="E921" s="199" t="s">
        <v>13</v>
      </c>
      <c r="F921" s="199" t="s">
        <v>626</v>
      </c>
      <c r="G921" s="199" t="s">
        <v>494</v>
      </c>
      <c r="H921" s="37">
        <v>185843.94</v>
      </c>
      <c r="I921" s="37">
        <v>191860.39</v>
      </c>
      <c r="J921" s="37">
        <v>199951.23</v>
      </c>
      <c r="K921" s="37"/>
      <c r="L921" s="37"/>
      <c r="M921" s="37"/>
      <c r="N921" s="37"/>
      <c r="O921" s="37"/>
      <c r="P921" s="37"/>
      <c r="Q921" s="17"/>
      <c r="T921" s="37">
        <v>1231.6300000000001</v>
      </c>
      <c r="U921" s="37">
        <v>992.63</v>
      </c>
      <c r="V921" s="37">
        <v>992.63</v>
      </c>
      <c r="W921" s="37">
        <f t="shared" si="29"/>
        <v>184612.31</v>
      </c>
      <c r="X921" s="37">
        <f t="shared" si="29"/>
        <v>190867.76</v>
      </c>
      <c r="Y921" s="37">
        <f t="shared" si="29"/>
        <v>198958.6</v>
      </c>
    </row>
    <row r="922" spans="1:25" s="4" customFormat="1">
      <c r="A922" s="108" t="str">
        <f t="shared" si="28"/>
        <v>609100303 1 02 76260000</v>
      </c>
      <c r="B922" s="242" t="s">
        <v>627</v>
      </c>
      <c r="C922" s="198" t="s">
        <v>595</v>
      </c>
      <c r="D922" s="199" t="s">
        <v>317</v>
      </c>
      <c r="E922" s="199" t="s">
        <v>13</v>
      </c>
      <c r="F922" s="199" t="s">
        <v>628</v>
      </c>
      <c r="G922" s="199" t="s">
        <v>9</v>
      </c>
      <c r="H922" s="37">
        <v>305.10000000000002</v>
      </c>
      <c r="I922" s="37">
        <v>284.65000000000003</v>
      </c>
      <c r="J922" s="37">
        <v>284.65000000000003</v>
      </c>
      <c r="K922" s="37"/>
      <c r="L922" s="37"/>
      <c r="M922" s="37"/>
      <c r="N922" s="37"/>
      <c r="O922" s="37"/>
      <c r="P922" s="37"/>
      <c r="Q922" s="17"/>
      <c r="T922" s="37">
        <v>1.94</v>
      </c>
      <c r="U922" s="37">
        <v>1.94</v>
      </c>
      <c r="V922" s="37">
        <v>1.94</v>
      </c>
      <c r="W922" s="37">
        <f t="shared" si="29"/>
        <v>303.16000000000003</v>
      </c>
      <c r="X922" s="37">
        <f t="shared" si="29"/>
        <v>282.71000000000004</v>
      </c>
      <c r="Y922" s="37">
        <f t="shared" si="29"/>
        <v>282.71000000000004</v>
      </c>
    </row>
    <row r="923" spans="1:25" s="4" customFormat="1" ht="25.5">
      <c r="A923" s="108" t="str">
        <f t="shared" si="28"/>
        <v>609100303 1 02 76260240</v>
      </c>
      <c r="B923" s="197" t="s">
        <v>28</v>
      </c>
      <c r="C923" s="198" t="s">
        <v>595</v>
      </c>
      <c r="D923" s="199" t="s">
        <v>317</v>
      </c>
      <c r="E923" s="199" t="s">
        <v>13</v>
      </c>
      <c r="F923" s="199" t="s">
        <v>628</v>
      </c>
      <c r="G923" s="199" t="s">
        <v>29</v>
      </c>
      <c r="H923" s="37">
        <v>3.74</v>
      </c>
      <c r="I923" s="37">
        <v>3.79</v>
      </c>
      <c r="J923" s="37">
        <v>3.79</v>
      </c>
      <c r="K923" s="39"/>
      <c r="L923" s="39"/>
      <c r="M923" s="39"/>
      <c r="N923" s="39"/>
      <c r="O923" s="39"/>
      <c r="P923" s="39"/>
      <c r="Q923" s="17"/>
      <c r="T923" s="39">
        <v>6126.9500000000007</v>
      </c>
      <c r="U923" s="39">
        <v>6126.9500000000007</v>
      </c>
      <c r="V923" s="39">
        <v>6126.9500000000007</v>
      </c>
      <c r="W923" s="39">
        <f t="shared" si="29"/>
        <v>-6123.2100000000009</v>
      </c>
      <c r="X923" s="39">
        <f t="shared" si="29"/>
        <v>-6123.1600000000008</v>
      </c>
      <c r="Y923" s="39">
        <f t="shared" si="29"/>
        <v>-6123.1600000000008</v>
      </c>
    </row>
    <row r="924" spans="1:25" s="4" customFormat="1">
      <c r="A924" s="108" t="str">
        <f t="shared" si="28"/>
        <v>609100303 1 02 76260310</v>
      </c>
      <c r="B924" s="205" t="s">
        <v>493</v>
      </c>
      <c r="C924" s="198" t="s">
        <v>595</v>
      </c>
      <c r="D924" s="199" t="s">
        <v>317</v>
      </c>
      <c r="E924" s="199" t="s">
        <v>13</v>
      </c>
      <c r="F924" s="199" t="s">
        <v>628</v>
      </c>
      <c r="G924" s="199" t="s">
        <v>494</v>
      </c>
      <c r="H924" s="37">
        <v>301.36</v>
      </c>
      <c r="I924" s="37">
        <v>280.86</v>
      </c>
      <c r="J924" s="37">
        <v>280.86</v>
      </c>
      <c r="K924" s="37"/>
      <c r="L924" s="37"/>
      <c r="M924" s="37"/>
      <c r="N924" s="37"/>
      <c r="O924" s="37"/>
      <c r="P924" s="37"/>
      <c r="Q924" s="17"/>
      <c r="T924" s="37">
        <v>6126.9500000000007</v>
      </c>
      <c r="U924" s="37">
        <v>6126.9500000000007</v>
      </c>
      <c r="V924" s="37">
        <v>6126.9500000000007</v>
      </c>
      <c r="W924" s="37">
        <f t="shared" si="29"/>
        <v>-5825.5900000000011</v>
      </c>
      <c r="X924" s="37">
        <f t="shared" si="29"/>
        <v>-5846.0900000000011</v>
      </c>
      <c r="Y924" s="37">
        <f t="shared" si="29"/>
        <v>-5846.0900000000011</v>
      </c>
    </row>
    <row r="925" spans="1:25" s="4" customFormat="1" ht="63.75">
      <c r="A925" s="108" t="str">
        <f t="shared" si="28"/>
        <v>609100303 1 02 77190000</v>
      </c>
      <c r="B925" s="252" t="s">
        <v>629</v>
      </c>
      <c r="C925" s="203" t="s">
        <v>595</v>
      </c>
      <c r="D925" s="204" t="s">
        <v>317</v>
      </c>
      <c r="E925" s="204" t="s">
        <v>13</v>
      </c>
      <c r="F925" s="204" t="s">
        <v>630</v>
      </c>
      <c r="G925" s="204" t="s">
        <v>9</v>
      </c>
      <c r="H925" s="36">
        <v>3028.3</v>
      </c>
      <c r="I925" s="36">
        <v>2933.28</v>
      </c>
      <c r="J925" s="36">
        <v>2933.28</v>
      </c>
      <c r="K925" s="39"/>
      <c r="L925" s="39"/>
      <c r="M925" s="39"/>
      <c r="N925" s="39"/>
      <c r="O925" s="39"/>
      <c r="P925" s="39"/>
      <c r="Q925" s="17"/>
      <c r="T925" s="39">
        <v>1448.93</v>
      </c>
      <c r="U925" s="39">
        <v>1396.91</v>
      </c>
      <c r="V925" s="39">
        <v>1396.91</v>
      </c>
      <c r="W925" s="39">
        <f t="shared" si="29"/>
        <v>1579.3700000000001</v>
      </c>
      <c r="X925" s="39">
        <f t="shared" si="29"/>
        <v>1536.3700000000001</v>
      </c>
      <c r="Y925" s="39">
        <f t="shared" si="29"/>
        <v>1536.3700000000001</v>
      </c>
    </row>
    <row r="926" spans="1:25" s="4" customFormat="1" ht="25.5">
      <c r="A926" s="108" t="str">
        <f t="shared" si="28"/>
        <v>609100303 1 02 77190240</v>
      </c>
      <c r="B926" s="197" t="s">
        <v>28</v>
      </c>
      <c r="C926" s="203" t="s">
        <v>595</v>
      </c>
      <c r="D926" s="204" t="s">
        <v>317</v>
      </c>
      <c r="E926" s="204" t="s">
        <v>13</v>
      </c>
      <c r="F926" s="204" t="s">
        <v>630</v>
      </c>
      <c r="G926" s="204" t="s">
        <v>29</v>
      </c>
      <c r="H926" s="37">
        <v>29.560000000000002</v>
      </c>
      <c r="I926" s="37">
        <v>39.07</v>
      </c>
      <c r="J926" s="37">
        <v>39.07</v>
      </c>
      <c r="K926" s="37"/>
      <c r="L926" s="37"/>
      <c r="M926" s="37"/>
      <c r="N926" s="37"/>
      <c r="O926" s="37"/>
      <c r="P926" s="37"/>
      <c r="Q926" s="17"/>
      <c r="T926" s="37">
        <v>1238.4000000000001</v>
      </c>
      <c r="U926" s="37">
        <v>1193.94</v>
      </c>
      <c r="V926" s="37">
        <v>1193.94</v>
      </c>
      <c r="W926" s="37">
        <f t="shared" si="29"/>
        <v>-1208.8400000000001</v>
      </c>
      <c r="X926" s="37">
        <f t="shared" si="29"/>
        <v>-1154.8700000000001</v>
      </c>
      <c r="Y926" s="37">
        <f t="shared" si="29"/>
        <v>-1154.8700000000001</v>
      </c>
    </row>
    <row r="927" spans="1:25" s="4" customFormat="1">
      <c r="A927" s="108" t="str">
        <f t="shared" si="28"/>
        <v>609100303 1 02 77190310</v>
      </c>
      <c r="B927" s="226" t="s">
        <v>493</v>
      </c>
      <c r="C927" s="203" t="s">
        <v>595</v>
      </c>
      <c r="D927" s="204" t="s">
        <v>317</v>
      </c>
      <c r="E927" s="204" t="s">
        <v>13</v>
      </c>
      <c r="F927" s="204" t="s">
        <v>630</v>
      </c>
      <c r="G927" s="204" t="s">
        <v>494</v>
      </c>
      <c r="H927" s="37">
        <v>2998.7400000000002</v>
      </c>
      <c r="I927" s="37">
        <v>2894.21</v>
      </c>
      <c r="J927" s="37">
        <v>2894.21</v>
      </c>
      <c r="K927" s="37"/>
      <c r="L927" s="37"/>
      <c r="M927" s="37"/>
      <c r="N927" s="37"/>
      <c r="O927" s="37"/>
      <c r="P927" s="37"/>
      <c r="Q927" s="17"/>
      <c r="T927" s="37">
        <v>210.53</v>
      </c>
      <c r="U927" s="37">
        <v>202.97</v>
      </c>
      <c r="V927" s="37">
        <v>202.97</v>
      </c>
      <c r="W927" s="37">
        <f t="shared" si="29"/>
        <v>2788.21</v>
      </c>
      <c r="X927" s="37">
        <f t="shared" si="29"/>
        <v>2691.2400000000002</v>
      </c>
      <c r="Y927" s="37">
        <f t="shared" si="29"/>
        <v>2691.2400000000002</v>
      </c>
    </row>
    <row r="928" spans="1:25" s="4" customFormat="1" ht="25.5">
      <c r="A928" s="108" t="str">
        <f t="shared" si="28"/>
        <v>609100303 1 02 78280000</v>
      </c>
      <c r="B928" s="252" t="s">
        <v>631</v>
      </c>
      <c r="C928" s="198" t="s">
        <v>595</v>
      </c>
      <c r="D928" s="199" t="s">
        <v>317</v>
      </c>
      <c r="E928" s="199" t="s">
        <v>13</v>
      </c>
      <c r="F928" s="199" t="s">
        <v>632</v>
      </c>
      <c r="G928" s="199" t="s">
        <v>9</v>
      </c>
      <c r="H928" s="37">
        <v>44510</v>
      </c>
      <c r="I928" s="37">
        <v>47693.11</v>
      </c>
      <c r="J928" s="37">
        <v>54845.43</v>
      </c>
      <c r="K928" s="39"/>
      <c r="L928" s="39"/>
      <c r="M928" s="39"/>
      <c r="N928" s="39"/>
      <c r="O928" s="39"/>
      <c r="P928" s="39"/>
      <c r="Q928" s="17"/>
      <c r="T928" s="39">
        <v>55518.700000000004</v>
      </c>
      <c r="U928" s="39">
        <v>53773.21</v>
      </c>
      <c r="V928" s="39">
        <v>53811.270000000004</v>
      </c>
      <c r="W928" s="39">
        <f t="shared" si="29"/>
        <v>-11008.700000000004</v>
      </c>
      <c r="X928" s="39">
        <f t="shared" si="29"/>
        <v>-6080.0999999999985</v>
      </c>
      <c r="Y928" s="39">
        <f t="shared" si="29"/>
        <v>1034.1599999999962</v>
      </c>
    </row>
    <row r="929" spans="1:25" s="4" customFormat="1" ht="25.5">
      <c r="A929" s="108" t="str">
        <f t="shared" si="28"/>
        <v>609100303 1 02 78280240</v>
      </c>
      <c r="B929" s="197" t="s">
        <v>28</v>
      </c>
      <c r="C929" s="198" t="s">
        <v>595</v>
      </c>
      <c r="D929" s="199" t="s">
        <v>317</v>
      </c>
      <c r="E929" s="199" t="s">
        <v>13</v>
      </c>
      <c r="F929" s="199" t="s">
        <v>632</v>
      </c>
      <c r="G929" s="199" t="s">
        <v>29</v>
      </c>
      <c r="H929" s="37">
        <v>546.74</v>
      </c>
      <c r="I929" s="37">
        <v>582.41</v>
      </c>
      <c r="J929" s="37">
        <v>662.53</v>
      </c>
      <c r="K929" s="37"/>
      <c r="L929" s="37"/>
      <c r="M929" s="37"/>
      <c r="N929" s="37"/>
      <c r="O929" s="37"/>
      <c r="P929" s="37"/>
      <c r="Q929" s="17"/>
      <c r="T929" s="37">
        <v>54016.200000000004</v>
      </c>
      <c r="U929" s="37">
        <v>52140.04</v>
      </c>
      <c r="V929" s="37">
        <v>52140.04</v>
      </c>
      <c r="W929" s="37">
        <f t="shared" si="29"/>
        <v>-53469.460000000006</v>
      </c>
      <c r="X929" s="37">
        <f t="shared" si="29"/>
        <v>-51557.63</v>
      </c>
      <c r="Y929" s="37">
        <f t="shared" si="29"/>
        <v>-51477.51</v>
      </c>
    </row>
    <row r="930" spans="1:25" s="4" customFormat="1">
      <c r="A930" s="108" t="str">
        <f t="shared" si="28"/>
        <v>609100303 1 02 78280310</v>
      </c>
      <c r="B930" s="205" t="s">
        <v>493</v>
      </c>
      <c r="C930" s="198" t="s">
        <v>595</v>
      </c>
      <c r="D930" s="199" t="s">
        <v>317</v>
      </c>
      <c r="E930" s="199" t="s">
        <v>13</v>
      </c>
      <c r="F930" s="199" t="s">
        <v>632</v>
      </c>
      <c r="G930" s="199" t="s">
        <v>494</v>
      </c>
      <c r="H930" s="37">
        <v>43963.26</v>
      </c>
      <c r="I930" s="37">
        <v>47110.7</v>
      </c>
      <c r="J930" s="37">
        <v>54182.9</v>
      </c>
      <c r="K930" s="37"/>
      <c r="L930" s="37"/>
      <c r="M930" s="37"/>
      <c r="N930" s="37"/>
      <c r="O930" s="37"/>
      <c r="P930" s="37"/>
      <c r="Q930" s="17"/>
      <c r="T930" s="37">
        <v>1400</v>
      </c>
      <c r="U930" s="37">
        <v>1530.67</v>
      </c>
      <c r="V930" s="37">
        <v>1568.73</v>
      </c>
      <c r="W930" s="37">
        <f t="shared" si="29"/>
        <v>42563.26</v>
      </c>
      <c r="X930" s="37">
        <f t="shared" si="29"/>
        <v>45580.03</v>
      </c>
      <c r="Y930" s="37">
        <f t="shared" si="29"/>
        <v>52614.17</v>
      </c>
    </row>
    <row r="931" spans="1:25" s="4" customFormat="1" ht="38.25">
      <c r="A931" s="108" t="str">
        <f t="shared" si="28"/>
        <v>609100303 2 00 00000000</v>
      </c>
      <c r="B931" s="205" t="s">
        <v>387</v>
      </c>
      <c r="C931" s="198" t="s">
        <v>595</v>
      </c>
      <c r="D931" s="199" t="s">
        <v>317</v>
      </c>
      <c r="E931" s="199" t="s">
        <v>13</v>
      </c>
      <c r="F931" s="199" t="s">
        <v>388</v>
      </c>
      <c r="G931" s="199" t="s">
        <v>9</v>
      </c>
      <c r="H931" s="37">
        <v>20720.739999999998</v>
      </c>
      <c r="I931" s="37">
        <v>20786.739999999998</v>
      </c>
      <c r="J931" s="37">
        <v>50833.09</v>
      </c>
      <c r="K931" s="37"/>
      <c r="L931" s="37"/>
      <c r="M931" s="37"/>
      <c r="N931" s="37"/>
      <c r="O931" s="37"/>
      <c r="P931" s="37"/>
      <c r="Q931" s="17"/>
      <c r="T931" s="37">
        <v>102.5</v>
      </c>
      <c r="U931" s="37">
        <v>102.5</v>
      </c>
      <c r="V931" s="37">
        <v>102.5</v>
      </c>
      <c r="W931" s="37">
        <f t="shared" si="29"/>
        <v>20618.239999999998</v>
      </c>
      <c r="X931" s="37">
        <f t="shared" si="29"/>
        <v>20684.239999999998</v>
      </c>
      <c r="Y931" s="37">
        <f t="shared" si="29"/>
        <v>50730.59</v>
      </c>
    </row>
    <row r="932" spans="1:25" s="4" customFormat="1" ht="25.5">
      <c r="A932" s="108" t="str">
        <f t="shared" si="28"/>
        <v>609100303 2 01 00000000</v>
      </c>
      <c r="B932" s="251" t="s">
        <v>633</v>
      </c>
      <c r="C932" s="198" t="s">
        <v>595</v>
      </c>
      <c r="D932" s="199" t="s">
        <v>317</v>
      </c>
      <c r="E932" s="199" t="s">
        <v>13</v>
      </c>
      <c r="F932" s="199" t="s">
        <v>634</v>
      </c>
      <c r="G932" s="199" t="s">
        <v>9</v>
      </c>
      <c r="H932" s="37">
        <v>20539.739999999998</v>
      </c>
      <c r="I932" s="37">
        <v>20605.739999999998</v>
      </c>
      <c r="J932" s="37">
        <v>50652.09</v>
      </c>
      <c r="K932" s="37"/>
      <c r="L932" s="37"/>
      <c r="M932" s="37"/>
      <c r="N932" s="37"/>
      <c r="O932" s="37"/>
      <c r="P932" s="37"/>
      <c r="Q932" s="17"/>
      <c r="T932" s="37"/>
      <c r="U932" s="37"/>
      <c r="V932" s="37"/>
      <c r="W932" s="37">
        <f t="shared" si="29"/>
        <v>20539.739999999998</v>
      </c>
      <c r="X932" s="37">
        <f t="shared" si="29"/>
        <v>20605.739999999998</v>
      </c>
      <c r="Y932" s="37">
        <f t="shared" si="29"/>
        <v>50652.09</v>
      </c>
    </row>
    <row r="933" spans="1:25" s="16" customFormat="1" ht="25.5">
      <c r="A933" s="108" t="str">
        <f t="shared" si="28"/>
        <v>609100303 2 01 80010000</v>
      </c>
      <c r="B933" s="251" t="s">
        <v>1124</v>
      </c>
      <c r="C933" s="198" t="s">
        <v>595</v>
      </c>
      <c r="D933" s="199" t="s">
        <v>317</v>
      </c>
      <c r="E933" s="199" t="s">
        <v>13</v>
      </c>
      <c r="F933" s="199" t="s">
        <v>1125</v>
      </c>
      <c r="G933" s="199" t="s">
        <v>9</v>
      </c>
      <c r="H933" s="37">
        <v>0</v>
      </c>
      <c r="I933" s="37">
        <v>0</v>
      </c>
      <c r="J933" s="37">
        <v>1650</v>
      </c>
      <c r="K933" s="25"/>
      <c r="L933" s="25"/>
      <c r="M933" s="25"/>
      <c r="N933" s="25"/>
      <c r="O933" s="25"/>
      <c r="P933" s="25"/>
      <c r="Q933" s="17"/>
      <c r="T933" s="25">
        <v>209408.94</v>
      </c>
      <c r="U933" s="25">
        <v>186094.76</v>
      </c>
      <c r="V933" s="25">
        <v>186094.76</v>
      </c>
      <c r="W933" s="25">
        <f t="shared" si="29"/>
        <v>-209408.94</v>
      </c>
      <c r="X933" s="25">
        <f t="shared" si="29"/>
        <v>-186094.76</v>
      </c>
      <c r="Y933" s="25">
        <f t="shared" si="29"/>
        <v>-184444.76</v>
      </c>
    </row>
    <row r="934" spans="1:25" s="16" customFormat="1">
      <c r="A934" s="108" t="str">
        <f t="shared" si="28"/>
        <v>609100303 2 01 80010310</v>
      </c>
      <c r="B934" s="205" t="s">
        <v>493</v>
      </c>
      <c r="C934" s="198" t="s">
        <v>595</v>
      </c>
      <c r="D934" s="199" t="s">
        <v>317</v>
      </c>
      <c r="E934" s="199" t="s">
        <v>13</v>
      </c>
      <c r="F934" s="199" t="s">
        <v>1125</v>
      </c>
      <c r="G934" s="199" t="s">
        <v>494</v>
      </c>
      <c r="H934" s="37">
        <v>0</v>
      </c>
      <c r="I934" s="37">
        <v>0</v>
      </c>
      <c r="J934" s="37">
        <v>1650</v>
      </c>
      <c r="K934" s="18"/>
      <c r="L934" s="18"/>
      <c r="M934" s="18"/>
      <c r="N934" s="18"/>
      <c r="O934" s="18"/>
      <c r="P934" s="18"/>
      <c r="Q934" s="17"/>
      <c r="T934" s="18">
        <v>152633.72999999998</v>
      </c>
      <c r="U934" s="18">
        <v>150819.54999999999</v>
      </c>
      <c r="V934" s="18">
        <v>150819.54999999999</v>
      </c>
      <c r="W934" s="18">
        <f t="shared" si="29"/>
        <v>-152633.72999999998</v>
      </c>
      <c r="X934" s="18">
        <f t="shared" si="29"/>
        <v>-150819.54999999999</v>
      </c>
      <c r="Y934" s="18">
        <f t="shared" si="29"/>
        <v>-149169.54999999999</v>
      </c>
    </row>
    <row r="935" spans="1:25" s="16" customFormat="1" ht="38.25">
      <c r="A935" s="108" t="str">
        <f t="shared" si="28"/>
        <v>609100303 2 01 80030000</v>
      </c>
      <c r="B935" s="242" t="s">
        <v>635</v>
      </c>
      <c r="C935" s="198" t="s">
        <v>595</v>
      </c>
      <c r="D935" s="199" t="s">
        <v>317</v>
      </c>
      <c r="E935" s="199" t="s">
        <v>13</v>
      </c>
      <c r="F935" s="199" t="s">
        <v>636</v>
      </c>
      <c r="G935" s="199" t="s">
        <v>9</v>
      </c>
      <c r="H935" s="37">
        <v>6350</v>
      </c>
      <c r="I935" s="37">
        <v>6350</v>
      </c>
      <c r="J935" s="37">
        <v>6350</v>
      </c>
      <c r="K935" s="19"/>
      <c r="L935" s="19"/>
      <c r="M935" s="19"/>
      <c r="N935" s="19"/>
      <c r="O935" s="19"/>
      <c r="P935" s="19"/>
      <c r="Q935" s="17"/>
      <c r="T935" s="19">
        <v>152633.72999999998</v>
      </c>
      <c r="U935" s="19">
        <v>150819.54999999999</v>
      </c>
      <c r="V935" s="19">
        <v>150819.54999999999</v>
      </c>
      <c r="W935" s="19">
        <f t="shared" si="29"/>
        <v>-146283.72999999998</v>
      </c>
      <c r="X935" s="19">
        <f t="shared" si="29"/>
        <v>-144469.54999999999</v>
      </c>
      <c r="Y935" s="19">
        <f t="shared" si="29"/>
        <v>-144469.54999999999</v>
      </c>
    </row>
    <row r="936" spans="1:25" s="16" customFormat="1">
      <c r="A936" s="108" t="str">
        <f t="shared" si="28"/>
        <v>609100303 2 01 80030310</v>
      </c>
      <c r="B936" s="205" t="s">
        <v>493</v>
      </c>
      <c r="C936" s="198" t="s">
        <v>595</v>
      </c>
      <c r="D936" s="199" t="s">
        <v>317</v>
      </c>
      <c r="E936" s="199" t="s">
        <v>13</v>
      </c>
      <c r="F936" s="199" t="s">
        <v>636</v>
      </c>
      <c r="G936" s="199" t="s">
        <v>494</v>
      </c>
      <c r="H936" s="37">
        <v>6350</v>
      </c>
      <c r="I936" s="37">
        <v>6350</v>
      </c>
      <c r="J936" s="37">
        <v>6350</v>
      </c>
      <c r="K936" s="20"/>
      <c r="L936" s="20"/>
      <c r="M936" s="20"/>
      <c r="N936" s="20"/>
      <c r="O936" s="20"/>
      <c r="P936" s="20"/>
      <c r="Q936" s="17"/>
      <c r="T936" s="20">
        <v>152400.18</v>
      </c>
      <c r="U936" s="20">
        <v>150586</v>
      </c>
      <c r="V936" s="20">
        <v>150586</v>
      </c>
      <c r="W936" s="20">
        <f t="shared" si="29"/>
        <v>-146050.18</v>
      </c>
      <c r="X936" s="20">
        <f t="shared" si="29"/>
        <v>-144236</v>
      </c>
      <c r="Y936" s="20">
        <f t="shared" si="29"/>
        <v>-144236</v>
      </c>
    </row>
    <row r="937" spans="1:25" s="16" customFormat="1" ht="25.5">
      <c r="A937" s="108" t="str">
        <f t="shared" si="28"/>
        <v>609100303 2 01 80040000</v>
      </c>
      <c r="B937" s="242" t="s">
        <v>1126</v>
      </c>
      <c r="C937" s="198" t="s">
        <v>595</v>
      </c>
      <c r="D937" s="199" t="s">
        <v>317</v>
      </c>
      <c r="E937" s="199" t="s">
        <v>13</v>
      </c>
      <c r="F937" s="199" t="s">
        <v>1127</v>
      </c>
      <c r="G937" s="199" t="s">
        <v>9</v>
      </c>
      <c r="H937" s="37">
        <v>0</v>
      </c>
      <c r="I937" s="37">
        <v>0</v>
      </c>
      <c r="J937" s="37">
        <v>132</v>
      </c>
      <c r="K937" s="20"/>
      <c r="L937" s="20"/>
      <c r="M937" s="20"/>
      <c r="N937" s="20"/>
      <c r="O937" s="20"/>
      <c r="P937" s="20"/>
      <c r="Q937" s="17"/>
      <c r="T937" s="20">
        <v>152400.18</v>
      </c>
      <c r="U937" s="20">
        <v>150586</v>
      </c>
      <c r="V937" s="20">
        <v>150586</v>
      </c>
      <c r="W937" s="20">
        <f t="shared" si="29"/>
        <v>-152400.18</v>
      </c>
      <c r="X937" s="20">
        <f t="shared" si="29"/>
        <v>-150586</v>
      </c>
      <c r="Y937" s="20">
        <f t="shared" si="29"/>
        <v>-150454</v>
      </c>
    </row>
    <row r="938" spans="1:25" s="16" customFormat="1">
      <c r="A938" s="108" t="str">
        <f t="shared" si="28"/>
        <v>609100303 2 01 80040310</v>
      </c>
      <c r="B938" s="205" t="s">
        <v>493</v>
      </c>
      <c r="C938" s="198" t="s">
        <v>595</v>
      </c>
      <c r="D938" s="199" t="s">
        <v>317</v>
      </c>
      <c r="E938" s="199" t="s">
        <v>13</v>
      </c>
      <c r="F938" s="199" t="s">
        <v>1127</v>
      </c>
      <c r="G938" s="199" t="s">
        <v>494</v>
      </c>
      <c r="H938" s="37">
        <v>0</v>
      </c>
      <c r="I938" s="37">
        <v>0</v>
      </c>
      <c r="J938" s="37">
        <v>132</v>
      </c>
      <c r="K938" s="20"/>
      <c r="L938" s="20"/>
      <c r="M938" s="20"/>
      <c r="N938" s="20"/>
      <c r="O938" s="20"/>
      <c r="P938" s="20"/>
      <c r="Q938" s="17"/>
      <c r="T938" s="20">
        <v>152400.18</v>
      </c>
      <c r="U938" s="20">
        <v>150586</v>
      </c>
      <c r="V938" s="20">
        <v>150586</v>
      </c>
      <c r="W938" s="20">
        <f t="shared" si="29"/>
        <v>-152400.18</v>
      </c>
      <c r="X938" s="20">
        <f t="shared" si="29"/>
        <v>-150586</v>
      </c>
      <c r="Y938" s="20">
        <f t="shared" si="29"/>
        <v>-150454</v>
      </c>
    </row>
    <row r="939" spans="1:25" s="16" customFormat="1" ht="25.5">
      <c r="A939" s="108" t="str">
        <f t="shared" si="28"/>
        <v>609100303 2 01 80050000</v>
      </c>
      <c r="B939" s="242" t="s">
        <v>1128</v>
      </c>
      <c r="C939" s="198" t="s">
        <v>595</v>
      </c>
      <c r="D939" s="199" t="s">
        <v>317</v>
      </c>
      <c r="E939" s="199" t="s">
        <v>13</v>
      </c>
      <c r="F939" s="199" t="s">
        <v>1129</v>
      </c>
      <c r="G939" s="199" t="s">
        <v>9</v>
      </c>
      <c r="H939" s="37">
        <v>0</v>
      </c>
      <c r="I939" s="37">
        <v>0</v>
      </c>
      <c r="J939" s="37">
        <v>8000</v>
      </c>
      <c r="K939" s="20"/>
      <c r="L939" s="20"/>
      <c r="M939" s="20"/>
      <c r="N939" s="20"/>
      <c r="O939" s="20"/>
      <c r="P939" s="20"/>
      <c r="Q939" s="17"/>
      <c r="T939" s="20">
        <v>152400.18</v>
      </c>
      <c r="U939" s="20">
        <v>150586</v>
      </c>
      <c r="V939" s="20">
        <v>150586</v>
      </c>
      <c r="W939" s="20">
        <f t="shared" si="29"/>
        <v>-152400.18</v>
      </c>
      <c r="X939" s="20">
        <f t="shared" si="29"/>
        <v>-150586</v>
      </c>
      <c r="Y939" s="20">
        <f t="shared" si="29"/>
        <v>-142586</v>
      </c>
    </row>
    <row r="940" spans="1:25" s="16" customFormat="1">
      <c r="A940" s="108" t="str">
        <f t="shared" si="28"/>
        <v>609100303 2 01 80050310</v>
      </c>
      <c r="B940" s="205" t="s">
        <v>493</v>
      </c>
      <c r="C940" s="198" t="s">
        <v>595</v>
      </c>
      <c r="D940" s="199" t="s">
        <v>317</v>
      </c>
      <c r="E940" s="199" t="s">
        <v>13</v>
      </c>
      <c r="F940" s="199" t="s">
        <v>1129</v>
      </c>
      <c r="G940" s="199" t="s">
        <v>494</v>
      </c>
      <c r="H940" s="37">
        <v>0</v>
      </c>
      <c r="I940" s="37">
        <v>0</v>
      </c>
      <c r="J940" s="37">
        <v>8000</v>
      </c>
      <c r="K940" s="20"/>
      <c r="L940" s="20"/>
      <c r="M940" s="20"/>
      <c r="N940" s="20"/>
      <c r="O940" s="20"/>
      <c r="P940" s="20"/>
      <c r="Q940" s="17"/>
      <c r="T940" s="20">
        <v>152400.18</v>
      </c>
      <c r="U940" s="20">
        <v>150586</v>
      </c>
      <c r="V940" s="20">
        <v>150586</v>
      </c>
      <c r="W940" s="20">
        <f t="shared" si="29"/>
        <v>-152400.18</v>
      </c>
      <c r="X940" s="20">
        <f t="shared" si="29"/>
        <v>-150586</v>
      </c>
      <c r="Y940" s="20">
        <f t="shared" si="29"/>
        <v>-142586</v>
      </c>
    </row>
    <row r="941" spans="1:25" s="16" customFormat="1" ht="38.25">
      <c r="A941" s="108" t="str">
        <f t="shared" si="28"/>
        <v>609100303 2 01 80070000</v>
      </c>
      <c r="B941" s="242" t="s">
        <v>637</v>
      </c>
      <c r="C941" s="198" t="s">
        <v>595</v>
      </c>
      <c r="D941" s="199" t="s">
        <v>317</v>
      </c>
      <c r="E941" s="199" t="s">
        <v>13</v>
      </c>
      <c r="F941" s="199" t="s">
        <v>638</v>
      </c>
      <c r="G941" s="199" t="s">
        <v>9</v>
      </c>
      <c r="H941" s="37">
        <v>694.28</v>
      </c>
      <c r="I941" s="37">
        <v>694.28</v>
      </c>
      <c r="J941" s="37">
        <v>694.28</v>
      </c>
      <c r="K941" s="20"/>
      <c r="L941" s="20"/>
      <c r="M941" s="20"/>
      <c r="N941" s="20"/>
      <c r="O941" s="20"/>
      <c r="P941" s="20"/>
      <c r="Q941" s="17"/>
      <c r="T941" s="20">
        <v>233.55</v>
      </c>
      <c r="U941" s="20">
        <v>233.55</v>
      </c>
      <c r="V941" s="20">
        <v>233.55</v>
      </c>
      <c r="W941" s="20">
        <f t="shared" si="29"/>
        <v>460.72999999999996</v>
      </c>
      <c r="X941" s="20">
        <f t="shared" si="29"/>
        <v>460.72999999999996</v>
      </c>
      <c r="Y941" s="20">
        <f t="shared" si="29"/>
        <v>460.72999999999996</v>
      </c>
    </row>
    <row r="942" spans="1:25" s="16" customFormat="1">
      <c r="A942" s="108" t="str">
        <f t="shared" si="28"/>
        <v>609100303 2 01 80070310</v>
      </c>
      <c r="B942" s="205" t="s">
        <v>493</v>
      </c>
      <c r="C942" s="198" t="s">
        <v>595</v>
      </c>
      <c r="D942" s="199" t="s">
        <v>317</v>
      </c>
      <c r="E942" s="199" t="s">
        <v>13</v>
      </c>
      <c r="F942" s="199" t="s">
        <v>638</v>
      </c>
      <c r="G942" s="199" t="s">
        <v>494</v>
      </c>
      <c r="H942" s="37">
        <v>694.28</v>
      </c>
      <c r="I942" s="37">
        <v>694.28</v>
      </c>
      <c r="J942" s="37">
        <v>694.28</v>
      </c>
      <c r="K942" s="20"/>
      <c r="L942" s="20"/>
      <c r="M942" s="20"/>
      <c r="N942" s="20"/>
      <c r="O942" s="20"/>
      <c r="P942" s="20"/>
      <c r="Q942" s="17"/>
      <c r="T942" s="20">
        <v>233.55</v>
      </c>
      <c r="U942" s="20">
        <v>233.55</v>
      </c>
      <c r="V942" s="20">
        <v>233.55</v>
      </c>
      <c r="W942" s="20">
        <f t="shared" si="29"/>
        <v>460.72999999999996</v>
      </c>
      <c r="X942" s="20">
        <f t="shared" si="29"/>
        <v>460.72999999999996</v>
      </c>
      <c r="Y942" s="20">
        <f t="shared" si="29"/>
        <v>460.72999999999996</v>
      </c>
    </row>
    <row r="943" spans="1:25" s="16" customFormat="1" ht="25.5">
      <c r="A943" s="108" t="str">
        <f t="shared" si="28"/>
        <v>609100303 2 01 80080000</v>
      </c>
      <c r="B943" s="242" t="s">
        <v>639</v>
      </c>
      <c r="C943" s="198" t="s">
        <v>595</v>
      </c>
      <c r="D943" s="199" t="s">
        <v>317</v>
      </c>
      <c r="E943" s="199" t="s">
        <v>13</v>
      </c>
      <c r="F943" s="199" t="s">
        <v>640</v>
      </c>
      <c r="G943" s="199" t="s">
        <v>9</v>
      </c>
      <c r="H943" s="37">
        <v>1664</v>
      </c>
      <c r="I943" s="37">
        <v>1730</v>
      </c>
      <c r="J943" s="37">
        <v>1944.35</v>
      </c>
      <c r="K943" s="20"/>
      <c r="L943" s="20"/>
      <c r="M943" s="20"/>
      <c r="N943" s="20"/>
      <c r="O943" s="20"/>
      <c r="P943" s="20"/>
      <c r="Q943" s="17"/>
      <c r="T943" s="20">
        <v>233.55</v>
      </c>
      <c r="U943" s="20">
        <v>233.55</v>
      </c>
      <c r="V943" s="20">
        <v>233.55</v>
      </c>
      <c r="W943" s="20">
        <f t="shared" si="29"/>
        <v>1430.45</v>
      </c>
      <c r="X943" s="20">
        <f t="shared" si="29"/>
        <v>1496.45</v>
      </c>
      <c r="Y943" s="20">
        <f t="shared" si="29"/>
        <v>1710.8</v>
      </c>
    </row>
    <row r="944" spans="1:25" s="16" customFormat="1">
      <c r="A944" s="108" t="str">
        <f t="shared" si="28"/>
        <v>609100303 2 01 80080310</v>
      </c>
      <c r="B944" s="205" t="s">
        <v>493</v>
      </c>
      <c r="C944" s="198" t="s">
        <v>595</v>
      </c>
      <c r="D944" s="199" t="s">
        <v>317</v>
      </c>
      <c r="E944" s="199" t="s">
        <v>13</v>
      </c>
      <c r="F944" s="199" t="s">
        <v>640</v>
      </c>
      <c r="G944" s="199" t="s">
        <v>494</v>
      </c>
      <c r="H944" s="37">
        <v>1664</v>
      </c>
      <c r="I944" s="37">
        <v>1730</v>
      </c>
      <c r="J944" s="37">
        <v>1944.35</v>
      </c>
      <c r="K944" s="20"/>
      <c r="L944" s="20"/>
      <c r="M944" s="20"/>
      <c r="N944" s="20"/>
      <c r="O944" s="20"/>
      <c r="P944" s="20"/>
      <c r="Q944" s="17"/>
      <c r="T944" s="20">
        <v>233.55</v>
      </c>
      <c r="U944" s="20">
        <v>233.55</v>
      </c>
      <c r="V944" s="20">
        <v>233.55</v>
      </c>
      <c r="W944" s="20">
        <f t="shared" si="29"/>
        <v>1430.45</v>
      </c>
      <c r="X944" s="20">
        <f t="shared" si="29"/>
        <v>1496.45</v>
      </c>
      <c r="Y944" s="20">
        <f t="shared" si="29"/>
        <v>1710.8</v>
      </c>
    </row>
    <row r="945" spans="1:25" s="16" customFormat="1" ht="25.5">
      <c r="A945" s="108" t="str">
        <f t="shared" si="28"/>
        <v>609100303 2 01 80090000</v>
      </c>
      <c r="B945" s="242" t="s">
        <v>1130</v>
      </c>
      <c r="C945" s="198" t="s">
        <v>595</v>
      </c>
      <c r="D945" s="199" t="s">
        <v>317</v>
      </c>
      <c r="E945" s="199" t="s">
        <v>13</v>
      </c>
      <c r="F945" s="199" t="s">
        <v>1131</v>
      </c>
      <c r="G945" s="199" t="s">
        <v>9</v>
      </c>
      <c r="H945" s="37">
        <v>0</v>
      </c>
      <c r="I945" s="37">
        <v>0</v>
      </c>
      <c r="J945" s="37">
        <v>10800</v>
      </c>
      <c r="K945" s="20"/>
      <c r="L945" s="20"/>
      <c r="M945" s="20"/>
      <c r="N945" s="20"/>
      <c r="O945" s="20"/>
      <c r="P945" s="20"/>
      <c r="Q945" s="17"/>
      <c r="T945" s="20">
        <v>233.55</v>
      </c>
      <c r="U945" s="20">
        <v>233.55</v>
      </c>
      <c r="V945" s="20">
        <v>233.55</v>
      </c>
      <c r="W945" s="20">
        <f t="shared" si="29"/>
        <v>-233.55</v>
      </c>
      <c r="X945" s="20">
        <f t="shared" si="29"/>
        <v>-233.55</v>
      </c>
      <c r="Y945" s="20">
        <f t="shared" si="29"/>
        <v>10566.45</v>
      </c>
    </row>
    <row r="946" spans="1:25" s="16" customFormat="1">
      <c r="A946" s="108" t="str">
        <f t="shared" si="28"/>
        <v>609100303 2 01 80090310</v>
      </c>
      <c r="B946" s="205" t="s">
        <v>493</v>
      </c>
      <c r="C946" s="198" t="s">
        <v>595</v>
      </c>
      <c r="D946" s="199" t="s">
        <v>317</v>
      </c>
      <c r="E946" s="199" t="s">
        <v>13</v>
      </c>
      <c r="F946" s="199" t="s">
        <v>1131</v>
      </c>
      <c r="G946" s="199" t="s">
        <v>494</v>
      </c>
      <c r="H946" s="37">
        <v>0</v>
      </c>
      <c r="I946" s="37">
        <v>0</v>
      </c>
      <c r="J946" s="37">
        <v>10800</v>
      </c>
      <c r="K946" s="18"/>
      <c r="L946" s="18"/>
      <c r="M946" s="18"/>
      <c r="N946" s="18"/>
      <c r="O946" s="18"/>
      <c r="P946" s="18"/>
      <c r="Q946" s="17"/>
      <c r="T946" s="18">
        <v>56775.210000000006</v>
      </c>
      <c r="U946" s="18">
        <v>35275.210000000006</v>
      </c>
      <c r="V946" s="18">
        <v>35275.210000000006</v>
      </c>
      <c r="W946" s="18">
        <f t="shared" si="29"/>
        <v>-56775.210000000006</v>
      </c>
      <c r="X946" s="18">
        <f t="shared" si="29"/>
        <v>-35275.210000000006</v>
      </c>
      <c r="Y946" s="18">
        <f t="shared" si="29"/>
        <v>-24475.210000000006</v>
      </c>
    </row>
    <row r="947" spans="1:25" s="16" customFormat="1" ht="25.5">
      <c r="A947" s="108" t="str">
        <f t="shared" si="28"/>
        <v>609100303 2 01 80100000</v>
      </c>
      <c r="B947" s="242" t="s">
        <v>641</v>
      </c>
      <c r="C947" s="198" t="s">
        <v>595</v>
      </c>
      <c r="D947" s="199" t="s">
        <v>317</v>
      </c>
      <c r="E947" s="199" t="s">
        <v>13</v>
      </c>
      <c r="F947" s="199" t="s">
        <v>642</v>
      </c>
      <c r="G947" s="199" t="s">
        <v>9</v>
      </c>
      <c r="H947" s="37">
        <v>5718</v>
      </c>
      <c r="I947" s="37">
        <v>5718</v>
      </c>
      <c r="J947" s="37">
        <v>5718</v>
      </c>
      <c r="K947" s="19"/>
      <c r="L947" s="19"/>
      <c r="M947" s="19"/>
      <c r="N947" s="19"/>
      <c r="O947" s="19"/>
      <c r="P947" s="19"/>
      <c r="Q947" s="17"/>
      <c r="T947" s="19">
        <v>2903.54</v>
      </c>
      <c r="U947" s="19">
        <v>2903.54</v>
      </c>
      <c r="V947" s="19">
        <v>2903.54</v>
      </c>
      <c r="W947" s="19">
        <f t="shared" si="29"/>
        <v>2814.46</v>
      </c>
      <c r="X947" s="19">
        <f t="shared" si="29"/>
        <v>2814.46</v>
      </c>
      <c r="Y947" s="19">
        <f t="shared" si="29"/>
        <v>2814.46</v>
      </c>
    </row>
    <row r="948" spans="1:25" s="16" customFormat="1">
      <c r="A948" s="108" t="str">
        <f t="shared" si="28"/>
        <v>609100303 2 01 80100310</v>
      </c>
      <c r="B948" s="205" t="s">
        <v>493</v>
      </c>
      <c r="C948" s="198" t="s">
        <v>595</v>
      </c>
      <c r="D948" s="199" t="s">
        <v>317</v>
      </c>
      <c r="E948" s="199" t="s">
        <v>13</v>
      </c>
      <c r="F948" s="199" t="s">
        <v>642</v>
      </c>
      <c r="G948" s="199" t="s">
        <v>494</v>
      </c>
      <c r="H948" s="37">
        <v>5718</v>
      </c>
      <c r="I948" s="37">
        <v>5718</v>
      </c>
      <c r="J948" s="37">
        <v>5718</v>
      </c>
      <c r="K948" s="20"/>
      <c r="L948" s="20"/>
      <c r="M948" s="20"/>
      <c r="N948" s="20"/>
      <c r="O948" s="20"/>
      <c r="P948" s="20"/>
      <c r="Q948" s="17"/>
      <c r="T948" s="20">
        <v>2903.54</v>
      </c>
      <c r="U948" s="20">
        <v>2903.54</v>
      </c>
      <c r="V948" s="20">
        <v>2903.54</v>
      </c>
      <c r="W948" s="20">
        <f t="shared" si="29"/>
        <v>2814.46</v>
      </c>
      <c r="X948" s="20">
        <f t="shared" si="29"/>
        <v>2814.46</v>
      </c>
      <c r="Y948" s="20">
        <f t="shared" si="29"/>
        <v>2814.46</v>
      </c>
    </row>
    <row r="949" spans="1:25" s="16" customFormat="1" ht="25.5">
      <c r="A949" s="108" t="str">
        <f t="shared" si="28"/>
        <v>609100303 2 01 80110000</v>
      </c>
      <c r="B949" s="242" t="s">
        <v>643</v>
      </c>
      <c r="C949" s="198" t="s">
        <v>595</v>
      </c>
      <c r="D949" s="199" t="s">
        <v>317</v>
      </c>
      <c r="E949" s="199" t="s">
        <v>13</v>
      </c>
      <c r="F949" s="199" t="s">
        <v>644</v>
      </c>
      <c r="G949" s="199" t="s">
        <v>9</v>
      </c>
      <c r="H949" s="37">
        <v>1080</v>
      </c>
      <c r="I949" s="37">
        <v>1080</v>
      </c>
      <c r="J949" s="37">
        <v>1080</v>
      </c>
      <c r="K949" s="20"/>
      <c r="L949" s="20"/>
      <c r="M949" s="20"/>
      <c r="N949" s="20"/>
      <c r="O949" s="20"/>
      <c r="P949" s="20"/>
      <c r="Q949" s="17"/>
      <c r="T949" s="20">
        <v>2903.54</v>
      </c>
      <c r="U949" s="20">
        <v>2903.54</v>
      </c>
      <c r="V949" s="20">
        <v>2903.54</v>
      </c>
      <c r="W949" s="20">
        <f t="shared" si="29"/>
        <v>-1823.54</v>
      </c>
      <c r="X949" s="20">
        <f t="shared" si="29"/>
        <v>-1823.54</v>
      </c>
      <c r="Y949" s="20">
        <f t="shared" si="29"/>
        <v>-1823.54</v>
      </c>
    </row>
    <row r="950" spans="1:25" s="16" customFormat="1">
      <c r="A950" s="108" t="str">
        <f t="shared" si="28"/>
        <v>609100303 2 01 80110310</v>
      </c>
      <c r="B950" s="205" t="s">
        <v>493</v>
      </c>
      <c r="C950" s="198" t="s">
        <v>595</v>
      </c>
      <c r="D950" s="199" t="s">
        <v>317</v>
      </c>
      <c r="E950" s="199" t="s">
        <v>13</v>
      </c>
      <c r="F950" s="199" t="s">
        <v>644</v>
      </c>
      <c r="G950" s="199" t="s">
        <v>494</v>
      </c>
      <c r="H950" s="37">
        <v>1080</v>
      </c>
      <c r="I950" s="37">
        <v>1080</v>
      </c>
      <c r="J950" s="37">
        <v>1080</v>
      </c>
      <c r="K950" s="26"/>
      <c r="L950" s="26"/>
      <c r="M950" s="26"/>
      <c r="N950" s="26"/>
      <c r="O950" s="26"/>
      <c r="P950" s="26"/>
      <c r="Q950" s="17"/>
      <c r="T950" s="26">
        <v>2903.54</v>
      </c>
      <c r="U950" s="26">
        <v>2903.54</v>
      </c>
      <c r="V950" s="26">
        <v>2903.54</v>
      </c>
      <c r="W950" s="26">
        <f t="shared" si="29"/>
        <v>-1823.54</v>
      </c>
      <c r="X950" s="26">
        <f t="shared" si="29"/>
        <v>-1823.54</v>
      </c>
      <c r="Y950" s="26">
        <f t="shared" si="29"/>
        <v>-1823.54</v>
      </c>
    </row>
    <row r="951" spans="1:25" s="16" customFormat="1" ht="102">
      <c r="A951" s="108" t="str">
        <f t="shared" si="28"/>
        <v>609100303 2 01 80120000</v>
      </c>
      <c r="B951" s="242" t="s">
        <v>645</v>
      </c>
      <c r="C951" s="198" t="s">
        <v>595</v>
      </c>
      <c r="D951" s="199" t="s">
        <v>317</v>
      </c>
      <c r="E951" s="199" t="s">
        <v>13</v>
      </c>
      <c r="F951" s="199" t="s">
        <v>646</v>
      </c>
      <c r="G951" s="199" t="s">
        <v>9</v>
      </c>
      <c r="H951" s="37">
        <v>1025.46</v>
      </c>
      <c r="I951" s="37">
        <v>1025.46</v>
      </c>
      <c r="J951" s="37">
        <v>1025.46</v>
      </c>
      <c r="K951" s="26"/>
      <c r="L951" s="26"/>
      <c r="M951" s="26"/>
      <c r="N951" s="26"/>
      <c r="O951" s="26"/>
      <c r="P951" s="26"/>
      <c r="Q951" s="17"/>
      <c r="T951" s="26">
        <v>2903.54</v>
      </c>
      <c r="U951" s="26">
        <v>2903.54</v>
      </c>
      <c r="V951" s="26">
        <v>2903.54</v>
      </c>
      <c r="W951" s="26">
        <f t="shared" si="29"/>
        <v>-1878.08</v>
      </c>
      <c r="X951" s="26">
        <f t="shared" si="29"/>
        <v>-1878.08</v>
      </c>
      <c r="Y951" s="26">
        <f t="shared" si="29"/>
        <v>-1878.08</v>
      </c>
    </row>
    <row r="952" spans="1:25" s="16" customFormat="1">
      <c r="A952" s="108" t="str">
        <f t="shared" si="28"/>
        <v>609100303 2 01 80120310</v>
      </c>
      <c r="B952" s="205" t="s">
        <v>493</v>
      </c>
      <c r="C952" s="198" t="s">
        <v>595</v>
      </c>
      <c r="D952" s="199" t="s">
        <v>317</v>
      </c>
      <c r="E952" s="199" t="s">
        <v>13</v>
      </c>
      <c r="F952" s="199" t="s">
        <v>646</v>
      </c>
      <c r="G952" s="199" t="s">
        <v>494</v>
      </c>
      <c r="H952" s="37">
        <v>1025.46</v>
      </c>
      <c r="I952" s="37">
        <v>1025.46</v>
      </c>
      <c r="J952" s="37">
        <v>1025.46</v>
      </c>
      <c r="K952" s="20"/>
      <c r="L952" s="20"/>
      <c r="M952" s="20"/>
      <c r="N952" s="20"/>
      <c r="O952" s="20"/>
      <c r="P952" s="20"/>
      <c r="Q952" s="17"/>
      <c r="T952" s="20">
        <v>2903.54</v>
      </c>
      <c r="U952" s="20">
        <v>2903.54</v>
      </c>
      <c r="V952" s="20">
        <v>2903.54</v>
      </c>
      <c r="W952" s="20">
        <f t="shared" si="29"/>
        <v>-1878.08</v>
      </c>
      <c r="X952" s="20">
        <f t="shared" si="29"/>
        <v>-1878.08</v>
      </c>
      <c r="Y952" s="20">
        <f t="shared" si="29"/>
        <v>-1878.08</v>
      </c>
    </row>
    <row r="953" spans="1:25" s="16" customFormat="1" ht="38.25">
      <c r="A953" s="108" t="str">
        <f t="shared" si="28"/>
        <v>609100303 2 01 80130000</v>
      </c>
      <c r="B953" s="242" t="s">
        <v>1132</v>
      </c>
      <c r="C953" s="198" t="s">
        <v>595</v>
      </c>
      <c r="D953" s="199" t="s">
        <v>317</v>
      </c>
      <c r="E953" s="199" t="s">
        <v>13</v>
      </c>
      <c r="F953" s="199" t="s">
        <v>1133</v>
      </c>
      <c r="G953" s="199" t="s">
        <v>9</v>
      </c>
      <c r="H953" s="37">
        <v>0</v>
      </c>
      <c r="I953" s="37">
        <v>0</v>
      </c>
      <c r="J953" s="37">
        <v>1000</v>
      </c>
      <c r="K953" s="19"/>
      <c r="L953" s="19"/>
      <c r="M953" s="19"/>
      <c r="N953" s="19"/>
      <c r="O953" s="19"/>
      <c r="P953" s="19"/>
      <c r="Q953" s="17"/>
      <c r="T953" s="19">
        <v>14924</v>
      </c>
      <c r="U953" s="19">
        <v>14924</v>
      </c>
      <c r="V953" s="19">
        <v>14924</v>
      </c>
      <c r="W953" s="19">
        <f t="shared" si="29"/>
        <v>-14924</v>
      </c>
      <c r="X953" s="19">
        <f t="shared" si="29"/>
        <v>-14924</v>
      </c>
      <c r="Y953" s="19">
        <f t="shared" si="29"/>
        <v>-13924</v>
      </c>
    </row>
    <row r="954" spans="1:25" s="16" customFormat="1">
      <c r="A954" s="108" t="str">
        <f t="shared" si="28"/>
        <v>609100303 2 01 80130310</v>
      </c>
      <c r="B954" s="205" t="s">
        <v>493</v>
      </c>
      <c r="C954" s="198" t="s">
        <v>595</v>
      </c>
      <c r="D954" s="199" t="s">
        <v>317</v>
      </c>
      <c r="E954" s="199" t="s">
        <v>13</v>
      </c>
      <c r="F954" s="199" t="s">
        <v>1133</v>
      </c>
      <c r="G954" s="199" t="s">
        <v>494</v>
      </c>
      <c r="H954" s="37">
        <v>0</v>
      </c>
      <c r="I954" s="37">
        <v>0</v>
      </c>
      <c r="J954" s="37">
        <v>1000</v>
      </c>
      <c r="K954" s="20"/>
      <c r="L954" s="20"/>
      <c r="M954" s="20"/>
      <c r="N954" s="20"/>
      <c r="O954" s="20"/>
      <c r="P954" s="20"/>
      <c r="Q954" s="17"/>
      <c r="T954" s="20">
        <v>14924</v>
      </c>
      <c r="U954" s="20">
        <v>14924</v>
      </c>
      <c r="V954" s="20">
        <v>14924</v>
      </c>
      <c r="W954" s="20">
        <f t="shared" si="29"/>
        <v>-14924</v>
      </c>
      <c r="X954" s="20">
        <f t="shared" si="29"/>
        <v>-14924</v>
      </c>
      <c r="Y954" s="20">
        <f t="shared" si="29"/>
        <v>-13924</v>
      </c>
    </row>
    <row r="955" spans="1:25" s="16" customFormat="1" ht="25.5">
      <c r="A955" s="108" t="str">
        <f t="shared" si="28"/>
        <v>609100303 2 01 80140000</v>
      </c>
      <c r="B955" s="242" t="s">
        <v>647</v>
      </c>
      <c r="C955" s="198" t="s">
        <v>595</v>
      </c>
      <c r="D955" s="199" t="s">
        <v>317</v>
      </c>
      <c r="E955" s="199" t="s">
        <v>13</v>
      </c>
      <c r="F955" s="199" t="s">
        <v>648</v>
      </c>
      <c r="G955" s="199" t="s">
        <v>9</v>
      </c>
      <c r="H955" s="37">
        <v>714</v>
      </c>
      <c r="I955" s="37">
        <v>714</v>
      </c>
      <c r="J955" s="37">
        <v>714</v>
      </c>
      <c r="K955" s="20"/>
      <c r="L955" s="20"/>
      <c r="M955" s="20"/>
      <c r="N955" s="20"/>
      <c r="O955" s="20"/>
      <c r="P955" s="20"/>
      <c r="Q955" s="17"/>
      <c r="T955" s="20">
        <v>9606.5</v>
      </c>
      <c r="U955" s="20">
        <v>9606.5</v>
      </c>
      <c r="V955" s="20">
        <v>9606.5</v>
      </c>
      <c r="W955" s="20">
        <f t="shared" si="29"/>
        <v>-8892.5</v>
      </c>
      <c r="X955" s="20">
        <f t="shared" si="29"/>
        <v>-8892.5</v>
      </c>
      <c r="Y955" s="20">
        <f t="shared" si="29"/>
        <v>-8892.5</v>
      </c>
    </row>
    <row r="956" spans="1:25" s="16" customFormat="1">
      <c r="A956" s="108" t="str">
        <f t="shared" si="28"/>
        <v>609100303 2 01 80140310</v>
      </c>
      <c r="B956" s="205" t="s">
        <v>493</v>
      </c>
      <c r="C956" s="198" t="s">
        <v>595</v>
      </c>
      <c r="D956" s="199" t="s">
        <v>317</v>
      </c>
      <c r="E956" s="199" t="s">
        <v>13</v>
      </c>
      <c r="F956" s="199" t="s">
        <v>648</v>
      </c>
      <c r="G956" s="199" t="s">
        <v>494</v>
      </c>
      <c r="H956" s="37">
        <v>714</v>
      </c>
      <c r="I956" s="37">
        <v>714</v>
      </c>
      <c r="J956" s="37">
        <v>714</v>
      </c>
      <c r="K956" s="20"/>
      <c r="L956" s="20"/>
      <c r="M956" s="20"/>
      <c r="N956" s="20"/>
      <c r="O956" s="20"/>
      <c r="P956" s="20"/>
      <c r="Q956" s="17"/>
      <c r="T956" s="20">
        <v>9606.5</v>
      </c>
      <c r="U956" s="20">
        <v>9606.5</v>
      </c>
      <c r="V956" s="20">
        <v>9606.5</v>
      </c>
      <c r="W956" s="20">
        <f t="shared" si="29"/>
        <v>-8892.5</v>
      </c>
      <c r="X956" s="20">
        <f t="shared" si="29"/>
        <v>-8892.5</v>
      </c>
      <c r="Y956" s="20">
        <f t="shared" si="29"/>
        <v>-8892.5</v>
      </c>
    </row>
    <row r="957" spans="1:25" s="16" customFormat="1" ht="51">
      <c r="A957" s="108" t="str">
        <f t="shared" si="28"/>
        <v>609100303 2 01 80150000</v>
      </c>
      <c r="B957" s="242" t="s">
        <v>649</v>
      </c>
      <c r="C957" s="198" t="s">
        <v>595</v>
      </c>
      <c r="D957" s="199" t="s">
        <v>317</v>
      </c>
      <c r="E957" s="199" t="s">
        <v>13</v>
      </c>
      <c r="F957" s="199" t="s">
        <v>650</v>
      </c>
      <c r="G957" s="199" t="s">
        <v>9</v>
      </c>
      <c r="H957" s="37">
        <v>300</v>
      </c>
      <c r="I957" s="37">
        <v>300</v>
      </c>
      <c r="J957" s="37">
        <v>300</v>
      </c>
      <c r="K957" s="26"/>
      <c r="L957" s="26"/>
      <c r="M957" s="26"/>
      <c r="N957" s="26"/>
      <c r="O957" s="26"/>
      <c r="P957" s="26"/>
      <c r="Q957" s="17"/>
      <c r="T957" s="26">
        <v>9606.5</v>
      </c>
      <c r="U957" s="26">
        <v>9606.5</v>
      </c>
      <c r="V957" s="26">
        <v>9606.5</v>
      </c>
      <c r="W957" s="26">
        <f t="shared" si="29"/>
        <v>-9306.5</v>
      </c>
      <c r="X957" s="26">
        <f t="shared" si="29"/>
        <v>-9306.5</v>
      </c>
      <c r="Y957" s="26">
        <f t="shared" si="29"/>
        <v>-9306.5</v>
      </c>
    </row>
    <row r="958" spans="1:25" s="16" customFormat="1">
      <c r="A958" s="108" t="str">
        <f t="shared" si="28"/>
        <v>609100303 2 01 80150310</v>
      </c>
      <c r="B958" s="205" t="s">
        <v>493</v>
      </c>
      <c r="C958" s="198" t="s">
        <v>595</v>
      </c>
      <c r="D958" s="199" t="s">
        <v>317</v>
      </c>
      <c r="E958" s="199" t="s">
        <v>13</v>
      </c>
      <c r="F958" s="199" t="s">
        <v>650</v>
      </c>
      <c r="G958" s="199" t="s">
        <v>494</v>
      </c>
      <c r="H958" s="37">
        <v>300</v>
      </c>
      <c r="I958" s="37">
        <v>300</v>
      </c>
      <c r="J958" s="37">
        <v>300</v>
      </c>
      <c r="K958" s="20"/>
      <c r="L958" s="20"/>
      <c r="M958" s="20"/>
      <c r="N958" s="20"/>
      <c r="O958" s="20"/>
      <c r="P958" s="20"/>
      <c r="Q958" s="17"/>
      <c r="T958" s="20">
        <v>9606.5</v>
      </c>
      <c r="U958" s="20">
        <v>9606.5</v>
      </c>
      <c r="V958" s="20">
        <v>9606.5</v>
      </c>
      <c r="W958" s="20">
        <f t="shared" si="29"/>
        <v>-9306.5</v>
      </c>
      <c r="X958" s="20">
        <f t="shared" si="29"/>
        <v>-9306.5</v>
      </c>
      <c r="Y958" s="20">
        <f t="shared" si="29"/>
        <v>-9306.5</v>
      </c>
    </row>
    <row r="959" spans="1:25" s="16" customFormat="1" ht="25.5">
      <c r="A959" s="108" t="str">
        <f t="shared" si="28"/>
        <v>609100303 2 01 80160000</v>
      </c>
      <c r="B959" s="242" t="s">
        <v>651</v>
      </c>
      <c r="C959" s="198" t="s">
        <v>595</v>
      </c>
      <c r="D959" s="199" t="s">
        <v>317</v>
      </c>
      <c r="E959" s="199" t="s">
        <v>13</v>
      </c>
      <c r="F959" s="199" t="s">
        <v>652</v>
      </c>
      <c r="G959" s="199" t="s">
        <v>9</v>
      </c>
      <c r="H959" s="37">
        <v>1020</v>
      </c>
      <c r="I959" s="37">
        <v>1020</v>
      </c>
      <c r="J959" s="37">
        <v>1020</v>
      </c>
      <c r="K959" s="20"/>
      <c r="L959" s="20"/>
      <c r="M959" s="20"/>
      <c r="N959" s="20"/>
      <c r="O959" s="20"/>
      <c r="P959" s="20"/>
      <c r="Q959" s="17"/>
      <c r="T959" s="20">
        <v>5317.5</v>
      </c>
      <c r="U959" s="20">
        <v>5317.5</v>
      </c>
      <c r="V959" s="20">
        <v>5317.5</v>
      </c>
      <c r="W959" s="20">
        <f t="shared" si="29"/>
        <v>-4297.5</v>
      </c>
      <c r="X959" s="20">
        <f t="shared" si="29"/>
        <v>-4297.5</v>
      </c>
      <c r="Y959" s="20">
        <f t="shared" si="29"/>
        <v>-4297.5</v>
      </c>
    </row>
    <row r="960" spans="1:25" s="16" customFormat="1">
      <c r="A960" s="108" t="str">
        <f t="shared" si="28"/>
        <v>609100303 2 01 80160310</v>
      </c>
      <c r="B960" s="205" t="s">
        <v>493</v>
      </c>
      <c r="C960" s="198" t="s">
        <v>595</v>
      </c>
      <c r="D960" s="199" t="s">
        <v>317</v>
      </c>
      <c r="E960" s="199" t="s">
        <v>13</v>
      </c>
      <c r="F960" s="199" t="s">
        <v>652</v>
      </c>
      <c r="G960" s="199" t="s">
        <v>494</v>
      </c>
      <c r="H960" s="37">
        <v>1020</v>
      </c>
      <c r="I960" s="37">
        <v>1020</v>
      </c>
      <c r="J960" s="37">
        <v>1020</v>
      </c>
      <c r="K960" s="20"/>
      <c r="L960" s="20"/>
      <c r="M960" s="20"/>
      <c r="N960" s="20"/>
      <c r="O960" s="20"/>
      <c r="P960" s="20"/>
      <c r="Q960" s="17"/>
      <c r="T960" s="20">
        <v>5250</v>
      </c>
      <c r="U960" s="20">
        <v>5250</v>
      </c>
      <c r="V960" s="20">
        <v>5250</v>
      </c>
      <c r="W960" s="20">
        <f t="shared" si="29"/>
        <v>-4230</v>
      </c>
      <c r="X960" s="20">
        <f t="shared" si="29"/>
        <v>-4230</v>
      </c>
      <c r="Y960" s="20">
        <f t="shared" si="29"/>
        <v>-4230</v>
      </c>
    </row>
    <row r="961" spans="1:25" s="16" customFormat="1" ht="38.25">
      <c r="A961" s="108" t="str">
        <f t="shared" si="28"/>
        <v>609100303 2 01 80170000</v>
      </c>
      <c r="B961" s="242" t="s">
        <v>1134</v>
      </c>
      <c r="C961" s="198" t="s">
        <v>595</v>
      </c>
      <c r="D961" s="199" t="s">
        <v>317</v>
      </c>
      <c r="E961" s="199" t="s">
        <v>13</v>
      </c>
      <c r="F961" s="199" t="s">
        <v>1135</v>
      </c>
      <c r="G961" s="199" t="s">
        <v>9</v>
      </c>
      <c r="H961" s="37">
        <v>0</v>
      </c>
      <c r="I961" s="37">
        <v>0</v>
      </c>
      <c r="J961" s="37">
        <v>3750</v>
      </c>
      <c r="K961" s="20"/>
      <c r="L961" s="20"/>
      <c r="M961" s="20"/>
      <c r="N961" s="20"/>
      <c r="O961" s="20"/>
      <c r="P961" s="20"/>
      <c r="Q961" s="17"/>
      <c r="T961" s="20">
        <v>5250</v>
      </c>
      <c r="U961" s="20">
        <v>5250</v>
      </c>
      <c r="V961" s="20">
        <v>5250</v>
      </c>
      <c r="W961" s="20">
        <f t="shared" si="29"/>
        <v>-5250</v>
      </c>
      <c r="X961" s="20">
        <f t="shared" si="29"/>
        <v>-5250</v>
      </c>
      <c r="Y961" s="20">
        <f t="shared" si="29"/>
        <v>-1500</v>
      </c>
    </row>
    <row r="962" spans="1:25" s="16" customFormat="1">
      <c r="A962" s="108" t="str">
        <f t="shared" si="28"/>
        <v>609100303 2 01 80170310</v>
      </c>
      <c r="B962" s="205" t="s">
        <v>493</v>
      </c>
      <c r="C962" s="198" t="s">
        <v>595</v>
      </c>
      <c r="D962" s="199" t="s">
        <v>317</v>
      </c>
      <c r="E962" s="199" t="s">
        <v>13</v>
      </c>
      <c r="F962" s="199" t="s">
        <v>1135</v>
      </c>
      <c r="G962" s="199" t="s">
        <v>494</v>
      </c>
      <c r="H962" s="37">
        <v>0</v>
      </c>
      <c r="I962" s="37">
        <v>0</v>
      </c>
      <c r="J962" s="37">
        <v>3750</v>
      </c>
      <c r="K962" s="20"/>
      <c r="L962" s="20"/>
      <c r="M962" s="20"/>
      <c r="N962" s="20"/>
      <c r="O962" s="20"/>
      <c r="P962" s="20"/>
      <c r="Q962" s="17"/>
      <c r="T962" s="20">
        <v>3250</v>
      </c>
      <c r="U962" s="20">
        <v>3250</v>
      </c>
      <c r="V962" s="20">
        <v>3250</v>
      </c>
      <c r="W962" s="20">
        <f t="shared" si="29"/>
        <v>-3250</v>
      </c>
      <c r="X962" s="20">
        <f t="shared" si="29"/>
        <v>-3250</v>
      </c>
      <c r="Y962" s="20">
        <f t="shared" si="29"/>
        <v>500</v>
      </c>
    </row>
    <row r="963" spans="1:25" s="16" customFormat="1" ht="25.5">
      <c r="A963" s="108" t="str">
        <f t="shared" si="28"/>
        <v>609100303 2 01 80180000</v>
      </c>
      <c r="B963" s="242" t="s">
        <v>653</v>
      </c>
      <c r="C963" s="198" t="s">
        <v>595</v>
      </c>
      <c r="D963" s="199" t="s">
        <v>317</v>
      </c>
      <c r="E963" s="199" t="s">
        <v>13</v>
      </c>
      <c r="F963" s="199" t="s">
        <v>654</v>
      </c>
      <c r="G963" s="199" t="s">
        <v>9</v>
      </c>
      <c r="H963" s="37">
        <v>1854</v>
      </c>
      <c r="I963" s="37">
        <v>1854</v>
      </c>
      <c r="J963" s="37">
        <v>1854</v>
      </c>
      <c r="K963" s="20"/>
      <c r="L963" s="20"/>
      <c r="M963" s="20"/>
      <c r="N963" s="20"/>
      <c r="O963" s="20"/>
      <c r="P963" s="20"/>
      <c r="Q963" s="17"/>
      <c r="T963" s="20">
        <v>2000</v>
      </c>
      <c r="U963" s="20">
        <v>2000</v>
      </c>
      <c r="V963" s="20">
        <v>2000</v>
      </c>
      <c r="W963" s="20">
        <f t="shared" si="29"/>
        <v>-146</v>
      </c>
      <c r="X963" s="20">
        <f t="shared" si="29"/>
        <v>-146</v>
      </c>
      <c r="Y963" s="20">
        <f t="shared" si="29"/>
        <v>-146</v>
      </c>
    </row>
    <row r="964" spans="1:25" s="16" customFormat="1">
      <c r="A964" s="108" t="str">
        <f t="shared" si="28"/>
        <v>609100303 2 01 80180310</v>
      </c>
      <c r="B964" s="205" t="s">
        <v>493</v>
      </c>
      <c r="C964" s="198" t="s">
        <v>595</v>
      </c>
      <c r="D964" s="199" t="s">
        <v>317</v>
      </c>
      <c r="E964" s="199" t="s">
        <v>13</v>
      </c>
      <c r="F964" s="199" t="s">
        <v>654</v>
      </c>
      <c r="G964" s="199" t="s">
        <v>494</v>
      </c>
      <c r="H964" s="37">
        <v>1854</v>
      </c>
      <c r="I964" s="37">
        <v>1854</v>
      </c>
      <c r="J964" s="37">
        <v>1854</v>
      </c>
      <c r="K964" s="20"/>
      <c r="L964" s="20"/>
      <c r="M964" s="20"/>
      <c r="N964" s="20"/>
      <c r="O964" s="20"/>
      <c r="P964" s="20"/>
      <c r="Q964" s="17"/>
      <c r="T964" s="20">
        <v>11.25</v>
      </c>
      <c r="U964" s="20">
        <v>11.25</v>
      </c>
      <c r="V964" s="20">
        <v>11.25</v>
      </c>
      <c r="W964" s="20">
        <f t="shared" si="29"/>
        <v>1842.75</v>
      </c>
      <c r="X964" s="20">
        <f t="shared" si="29"/>
        <v>1842.75</v>
      </c>
      <c r="Y964" s="20">
        <f t="shared" si="29"/>
        <v>1842.75</v>
      </c>
    </row>
    <row r="965" spans="1:25" s="16" customFormat="1" ht="25.5">
      <c r="A965" s="108" t="str">
        <f t="shared" si="28"/>
        <v>609100303 2 01 80190000</v>
      </c>
      <c r="B965" s="242" t="s">
        <v>655</v>
      </c>
      <c r="C965" s="198" t="s">
        <v>595</v>
      </c>
      <c r="D965" s="199" t="s">
        <v>317</v>
      </c>
      <c r="E965" s="199" t="s">
        <v>13</v>
      </c>
      <c r="F965" s="199" t="s">
        <v>656</v>
      </c>
      <c r="G965" s="199" t="s">
        <v>9</v>
      </c>
      <c r="H965" s="37">
        <v>20</v>
      </c>
      <c r="I965" s="37">
        <v>20</v>
      </c>
      <c r="J965" s="37">
        <v>20</v>
      </c>
      <c r="K965" s="20"/>
      <c r="L965" s="20"/>
      <c r="M965" s="20"/>
      <c r="N965" s="20"/>
      <c r="O965" s="20"/>
      <c r="P965" s="20"/>
      <c r="Q965" s="17"/>
      <c r="T965" s="20">
        <v>11.25</v>
      </c>
      <c r="U965" s="20">
        <v>11.25</v>
      </c>
      <c r="V965" s="20">
        <v>11.25</v>
      </c>
      <c r="W965" s="20">
        <f t="shared" si="29"/>
        <v>8.75</v>
      </c>
      <c r="X965" s="20">
        <f t="shared" si="29"/>
        <v>8.75</v>
      </c>
      <c r="Y965" s="20">
        <f t="shared" si="29"/>
        <v>8.75</v>
      </c>
    </row>
    <row r="966" spans="1:25" s="16" customFormat="1">
      <c r="A966" s="108" t="str">
        <f t="shared" ref="A966:A1029" si="30">C966&amp;D966&amp;E966&amp;F966&amp;G966</f>
        <v>609100303 2 01 80190310</v>
      </c>
      <c r="B966" s="205" t="s">
        <v>493</v>
      </c>
      <c r="C966" s="198" t="s">
        <v>595</v>
      </c>
      <c r="D966" s="199" t="s">
        <v>317</v>
      </c>
      <c r="E966" s="199" t="s">
        <v>13</v>
      </c>
      <c r="F966" s="199" t="s">
        <v>656</v>
      </c>
      <c r="G966" s="199" t="s">
        <v>494</v>
      </c>
      <c r="H966" s="37">
        <v>20</v>
      </c>
      <c r="I966" s="37">
        <v>20</v>
      </c>
      <c r="J966" s="37">
        <v>20</v>
      </c>
      <c r="K966" s="20"/>
      <c r="L966" s="20"/>
      <c r="M966" s="20"/>
      <c r="N966" s="20"/>
      <c r="O966" s="20"/>
      <c r="P966" s="20"/>
      <c r="Q966" s="17"/>
      <c r="T966" s="20">
        <v>11.25</v>
      </c>
      <c r="U966" s="20">
        <v>11.25</v>
      </c>
      <c r="V966" s="20">
        <v>11.25</v>
      </c>
      <c r="W966" s="20">
        <f t="shared" si="29"/>
        <v>8.75</v>
      </c>
      <c r="X966" s="20">
        <f t="shared" si="29"/>
        <v>8.75</v>
      </c>
      <c r="Y966" s="20">
        <f t="shared" si="29"/>
        <v>8.75</v>
      </c>
    </row>
    <row r="967" spans="1:25" s="16" customFormat="1" ht="25.5">
      <c r="A967" s="108" t="str">
        <f t="shared" si="30"/>
        <v>609100303 2 01 80200000</v>
      </c>
      <c r="B967" s="242" t="s">
        <v>1136</v>
      </c>
      <c r="C967" s="198" t="s">
        <v>595</v>
      </c>
      <c r="D967" s="199" t="s">
        <v>317</v>
      </c>
      <c r="E967" s="199" t="s">
        <v>13</v>
      </c>
      <c r="F967" s="199" t="s">
        <v>1137</v>
      </c>
      <c r="G967" s="199" t="s">
        <v>9</v>
      </c>
      <c r="H967" s="39">
        <v>0</v>
      </c>
      <c r="I967" s="39">
        <v>0</v>
      </c>
      <c r="J967" s="39">
        <v>4500</v>
      </c>
      <c r="K967" s="20"/>
      <c r="L967" s="20"/>
      <c r="M967" s="20"/>
      <c r="N967" s="20"/>
      <c r="O967" s="20"/>
      <c r="P967" s="20"/>
      <c r="Q967" s="17"/>
      <c r="T967" s="20">
        <v>56.25</v>
      </c>
      <c r="U967" s="20">
        <v>56.25</v>
      </c>
      <c r="V967" s="20">
        <v>56.25</v>
      </c>
      <c r="W967" s="20">
        <f t="shared" si="29"/>
        <v>-56.25</v>
      </c>
      <c r="X967" s="20">
        <f t="shared" si="29"/>
        <v>-56.25</v>
      </c>
      <c r="Y967" s="20">
        <f t="shared" si="29"/>
        <v>4443.75</v>
      </c>
    </row>
    <row r="968" spans="1:25" s="16" customFormat="1">
      <c r="A968" s="108" t="str">
        <f t="shared" si="30"/>
        <v>609100303 2 01 80200310</v>
      </c>
      <c r="B968" s="205" t="s">
        <v>493</v>
      </c>
      <c r="C968" s="198" t="s">
        <v>595</v>
      </c>
      <c r="D968" s="199" t="s">
        <v>317</v>
      </c>
      <c r="E968" s="199" t="s">
        <v>13</v>
      </c>
      <c r="F968" s="199" t="s">
        <v>1137</v>
      </c>
      <c r="G968" s="199" t="s">
        <v>494</v>
      </c>
      <c r="H968" s="37">
        <v>0</v>
      </c>
      <c r="I968" s="37">
        <v>0</v>
      </c>
      <c r="J968" s="37">
        <v>4500</v>
      </c>
      <c r="K968" s="20"/>
      <c r="L968" s="20"/>
      <c r="M968" s="20"/>
      <c r="N968" s="20"/>
      <c r="O968" s="20"/>
      <c r="P968" s="20"/>
      <c r="Q968" s="17"/>
      <c r="T968" s="20">
        <v>56.25</v>
      </c>
      <c r="U968" s="20">
        <v>56.25</v>
      </c>
      <c r="V968" s="20">
        <v>56.25</v>
      </c>
      <c r="W968" s="20">
        <f t="shared" ref="W968:Y1031" si="31">H968-T968</f>
        <v>-56.25</v>
      </c>
      <c r="X968" s="20">
        <f t="shared" si="31"/>
        <v>-56.25</v>
      </c>
      <c r="Y968" s="20">
        <f t="shared" si="31"/>
        <v>4443.75</v>
      </c>
    </row>
    <row r="969" spans="1:25" s="16" customFormat="1" ht="51">
      <c r="A969" s="108" t="str">
        <f t="shared" si="30"/>
        <v>609100303 2 01 80210000</v>
      </c>
      <c r="B969" s="242" t="s">
        <v>657</v>
      </c>
      <c r="C969" s="198" t="s">
        <v>595</v>
      </c>
      <c r="D969" s="199" t="s">
        <v>317</v>
      </c>
      <c r="E969" s="199" t="s">
        <v>13</v>
      </c>
      <c r="F969" s="199" t="s">
        <v>658</v>
      </c>
      <c r="G969" s="199" t="s">
        <v>9</v>
      </c>
      <c r="H969" s="39">
        <v>100</v>
      </c>
      <c r="I969" s="39">
        <v>100</v>
      </c>
      <c r="J969" s="39">
        <v>100</v>
      </c>
      <c r="K969" s="20"/>
      <c r="L969" s="20"/>
      <c r="M969" s="20"/>
      <c r="N969" s="20"/>
      <c r="O969" s="20"/>
      <c r="P969" s="20"/>
      <c r="Q969" s="17"/>
      <c r="T969" s="20">
        <v>56.25</v>
      </c>
      <c r="U969" s="20">
        <v>56.25</v>
      </c>
      <c r="V969" s="20">
        <v>56.25</v>
      </c>
      <c r="W969" s="20">
        <f t="shared" si="31"/>
        <v>43.75</v>
      </c>
      <c r="X969" s="20">
        <f t="shared" si="31"/>
        <v>43.75</v>
      </c>
      <c r="Y969" s="20">
        <f t="shared" si="31"/>
        <v>43.75</v>
      </c>
    </row>
    <row r="970" spans="1:25" s="16" customFormat="1">
      <c r="A970" s="108" t="str">
        <f t="shared" si="30"/>
        <v>609100303 2 01 80210310</v>
      </c>
      <c r="B970" s="205" t="s">
        <v>493</v>
      </c>
      <c r="C970" s="198" t="s">
        <v>595</v>
      </c>
      <c r="D970" s="199" t="s">
        <v>317</v>
      </c>
      <c r="E970" s="199" t="s">
        <v>13</v>
      </c>
      <c r="F970" s="199" t="s">
        <v>658</v>
      </c>
      <c r="G970" s="199" t="s">
        <v>494</v>
      </c>
      <c r="H970" s="37">
        <v>100</v>
      </c>
      <c r="I970" s="37">
        <v>100</v>
      </c>
      <c r="J970" s="37">
        <v>100</v>
      </c>
      <c r="K970" s="19"/>
      <c r="L970" s="19"/>
      <c r="M970" s="19"/>
      <c r="N970" s="19"/>
      <c r="O970" s="19"/>
      <c r="P970" s="19"/>
      <c r="Q970" s="17"/>
      <c r="T970" s="19">
        <v>21500</v>
      </c>
      <c r="U970" s="19">
        <v>0</v>
      </c>
      <c r="V970" s="19">
        <v>0</v>
      </c>
      <c r="W970" s="19">
        <f t="shared" si="31"/>
        <v>-21400</v>
      </c>
      <c r="X970" s="19">
        <f t="shared" si="31"/>
        <v>100</v>
      </c>
      <c r="Y970" s="19">
        <f t="shared" si="31"/>
        <v>100</v>
      </c>
    </row>
    <row r="971" spans="1:25" s="16" customFormat="1" ht="25.5">
      <c r="A971" s="108" t="str">
        <f t="shared" si="30"/>
        <v>609100303 2 05 00000000</v>
      </c>
      <c r="B971" s="242" t="s">
        <v>659</v>
      </c>
      <c r="C971" s="198" t="s">
        <v>595</v>
      </c>
      <c r="D971" s="199" t="s">
        <v>317</v>
      </c>
      <c r="E971" s="199" t="s">
        <v>13</v>
      </c>
      <c r="F971" s="199" t="s">
        <v>660</v>
      </c>
      <c r="G971" s="199" t="s">
        <v>9</v>
      </c>
      <c r="H971" s="39">
        <v>81</v>
      </c>
      <c r="I971" s="39">
        <v>81</v>
      </c>
      <c r="J971" s="39">
        <v>81</v>
      </c>
      <c r="K971" s="20"/>
      <c r="L971" s="20"/>
      <c r="M971" s="20"/>
      <c r="N971" s="20"/>
      <c r="O971" s="20"/>
      <c r="P971" s="20"/>
      <c r="Q971" s="17"/>
      <c r="T971" s="20">
        <v>21500</v>
      </c>
      <c r="U971" s="20">
        <v>0</v>
      </c>
      <c r="V971" s="20">
        <v>0</v>
      </c>
      <c r="W971" s="20">
        <f t="shared" si="31"/>
        <v>-21419</v>
      </c>
      <c r="X971" s="20">
        <f t="shared" si="31"/>
        <v>81</v>
      </c>
      <c r="Y971" s="20">
        <f t="shared" si="31"/>
        <v>81</v>
      </c>
    </row>
    <row r="972" spans="1:25" s="16" customFormat="1" ht="25.5">
      <c r="A972" s="108" t="str">
        <f t="shared" si="30"/>
        <v>609100303 2 05 20500000</v>
      </c>
      <c r="B972" s="214" t="s">
        <v>661</v>
      </c>
      <c r="C972" s="198" t="s">
        <v>595</v>
      </c>
      <c r="D972" s="199" t="s">
        <v>317</v>
      </c>
      <c r="E972" s="199" t="s">
        <v>13</v>
      </c>
      <c r="F972" s="199" t="s">
        <v>662</v>
      </c>
      <c r="G972" s="199" t="s">
        <v>9</v>
      </c>
      <c r="H972" s="39">
        <v>81</v>
      </c>
      <c r="I972" s="39">
        <v>81</v>
      </c>
      <c r="J972" s="39">
        <v>81</v>
      </c>
      <c r="K972" s="20"/>
      <c r="L972" s="20"/>
      <c r="M972" s="20"/>
      <c r="N972" s="20"/>
      <c r="O972" s="20"/>
      <c r="P972" s="20"/>
      <c r="Q972" s="17"/>
      <c r="T972" s="20">
        <v>21500</v>
      </c>
      <c r="U972" s="20">
        <v>0</v>
      </c>
      <c r="V972" s="20">
        <v>0</v>
      </c>
      <c r="W972" s="20">
        <f t="shared" si="31"/>
        <v>-21419</v>
      </c>
      <c r="X972" s="20">
        <f t="shared" si="31"/>
        <v>81</v>
      </c>
      <c r="Y972" s="20">
        <f t="shared" si="31"/>
        <v>81</v>
      </c>
    </row>
    <row r="973" spans="1:25" s="16" customFormat="1" ht="25.5">
      <c r="A973" s="108" t="str">
        <f t="shared" si="30"/>
        <v>609100303 2 05 20500320</v>
      </c>
      <c r="B973" s="205" t="s">
        <v>327</v>
      </c>
      <c r="C973" s="198" t="s">
        <v>595</v>
      </c>
      <c r="D973" s="199" t="s">
        <v>317</v>
      </c>
      <c r="E973" s="199" t="s">
        <v>13</v>
      </c>
      <c r="F973" s="199" t="s">
        <v>662</v>
      </c>
      <c r="G973" s="199" t="s">
        <v>328</v>
      </c>
      <c r="H973" s="37">
        <v>81</v>
      </c>
      <c r="I973" s="37">
        <v>81</v>
      </c>
      <c r="J973" s="37">
        <v>81</v>
      </c>
      <c r="K973" s="20"/>
      <c r="L973" s="20"/>
      <c r="M973" s="20"/>
      <c r="N973" s="20"/>
      <c r="O973" s="20"/>
      <c r="P973" s="20"/>
      <c r="Q973" s="17"/>
      <c r="T973" s="20">
        <v>21500</v>
      </c>
      <c r="U973" s="20">
        <v>0</v>
      </c>
      <c r="V973" s="20">
        <v>0</v>
      </c>
      <c r="W973" s="20">
        <f t="shared" si="31"/>
        <v>-21419</v>
      </c>
      <c r="X973" s="20">
        <f t="shared" si="31"/>
        <v>81</v>
      </c>
      <c r="Y973" s="20">
        <f t="shared" si="31"/>
        <v>81</v>
      </c>
    </row>
    <row r="974" spans="1:25" s="16" customFormat="1" ht="25.5">
      <c r="A974" s="108" t="str">
        <f t="shared" si="30"/>
        <v>609100303 2 06 00000000</v>
      </c>
      <c r="B974" s="242" t="s">
        <v>663</v>
      </c>
      <c r="C974" s="198" t="s">
        <v>595</v>
      </c>
      <c r="D974" s="199" t="s">
        <v>317</v>
      </c>
      <c r="E974" s="199" t="s">
        <v>13</v>
      </c>
      <c r="F974" s="199" t="s">
        <v>664</v>
      </c>
      <c r="G974" s="199" t="s">
        <v>9</v>
      </c>
      <c r="H974" s="39">
        <v>25</v>
      </c>
      <c r="I974" s="39">
        <v>25</v>
      </c>
      <c r="J974" s="39">
        <v>25</v>
      </c>
      <c r="K974" s="20"/>
      <c r="L974" s="20"/>
      <c r="M974" s="20"/>
      <c r="N974" s="20"/>
      <c r="O974" s="20"/>
      <c r="P974" s="20"/>
      <c r="Q974" s="17"/>
      <c r="T974" s="20">
        <v>1500</v>
      </c>
      <c r="U974" s="20">
        <v>0</v>
      </c>
      <c r="V974" s="20">
        <v>0</v>
      </c>
      <c r="W974" s="20">
        <f t="shared" si="31"/>
        <v>-1475</v>
      </c>
      <c r="X974" s="20">
        <f t="shared" si="31"/>
        <v>25</v>
      </c>
      <c r="Y974" s="20">
        <f t="shared" si="31"/>
        <v>25</v>
      </c>
    </row>
    <row r="975" spans="1:25" s="16" customFormat="1" ht="38.25">
      <c r="A975" s="108" t="str">
        <f t="shared" si="30"/>
        <v>609100303 2 06 20520000</v>
      </c>
      <c r="B975" s="214" t="s">
        <v>665</v>
      </c>
      <c r="C975" s="198" t="s">
        <v>595</v>
      </c>
      <c r="D975" s="199" t="s">
        <v>317</v>
      </c>
      <c r="E975" s="199" t="s">
        <v>13</v>
      </c>
      <c r="F975" s="199" t="s">
        <v>666</v>
      </c>
      <c r="G975" s="199" t="s">
        <v>9</v>
      </c>
      <c r="H975" s="39">
        <v>25</v>
      </c>
      <c r="I975" s="39">
        <v>25</v>
      </c>
      <c r="J975" s="39">
        <v>25</v>
      </c>
      <c r="K975" s="20"/>
      <c r="L975" s="20"/>
      <c r="M975" s="20"/>
      <c r="N975" s="20"/>
      <c r="O975" s="20"/>
      <c r="P975" s="20"/>
      <c r="Q975" s="17"/>
      <c r="T975" s="20">
        <v>1500</v>
      </c>
      <c r="U975" s="20">
        <v>0</v>
      </c>
      <c r="V975" s="20">
        <v>0</v>
      </c>
      <c r="W975" s="20">
        <f t="shared" si="31"/>
        <v>-1475</v>
      </c>
      <c r="X975" s="20">
        <f t="shared" si="31"/>
        <v>25</v>
      </c>
      <c r="Y975" s="20">
        <f t="shared" si="31"/>
        <v>25</v>
      </c>
    </row>
    <row r="976" spans="1:25" s="16" customFormat="1" ht="25.5">
      <c r="A976" s="108" t="str">
        <f t="shared" si="30"/>
        <v>609100303 2 06 20520240</v>
      </c>
      <c r="B976" s="197" t="s">
        <v>28</v>
      </c>
      <c r="C976" s="198" t="s">
        <v>595</v>
      </c>
      <c r="D976" s="199" t="s">
        <v>317</v>
      </c>
      <c r="E976" s="199" t="s">
        <v>13</v>
      </c>
      <c r="F976" s="199" t="s">
        <v>666</v>
      </c>
      <c r="G976" s="199" t="s">
        <v>29</v>
      </c>
      <c r="H976" s="37">
        <v>25</v>
      </c>
      <c r="I976" s="37">
        <v>25</v>
      </c>
      <c r="J976" s="37">
        <v>25</v>
      </c>
      <c r="K976" s="20"/>
      <c r="L976" s="20"/>
      <c r="M976" s="20"/>
      <c r="N976" s="20"/>
      <c r="O976" s="20"/>
      <c r="P976" s="20"/>
      <c r="Q976" s="17"/>
      <c r="T976" s="20">
        <v>20000</v>
      </c>
      <c r="U976" s="20">
        <v>0</v>
      </c>
      <c r="V976" s="20">
        <v>0</v>
      </c>
      <c r="W976" s="20">
        <f t="shared" si="31"/>
        <v>-19975</v>
      </c>
      <c r="X976" s="20">
        <f t="shared" si="31"/>
        <v>25</v>
      </c>
      <c r="Y976" s="20">
        <f t="shared" si="31"/>
        <v>25</v>
      </c>
    </row>
    <row r="977" spans="1:25" s="16" customFormat="1" ht="25.5">
      <c r="A977" s="108" t="str">
        <f t="shared" si="30"/>
        <v>609100303 2 08 00000000</v>
      </c>
      <c r="B977" s="197" t="s">
        <v>667</v>
      </c>
      <c r="C977" s="198" t="s">
        <v>595</v>
      </c>
      <c r="D977" s="199" t="s">
        <v>317</v>
      </c>
      <c r="E977" s="199" t="s">
        <v>13</v>
      </c>
      <c r="F977" s="199" t="s">
        <v>668</v>
      </c>
      <c r="G977" s="199" t="s">
        <v>9</v>
      </c>
      <c r="H977" s="37">
        <v>75</v>
      </c>
      <c r="I977" s="37">
        <v>75</v>
      </c>
      <c r="J977" s="37">
        <v>75</v>
      </c>
      <c r="K977" s="20"/>
      <c r="L977" s="20"/>
      <c r="M977" s="20"/>
      <c r="N977" s="20"/>
      <c r="O977" s="20"/>
      <c r="P977" s="20"/>
      <c r="Q977" s="17"/>
      <c r="T977" s="20">
        <v>20000</v>
      </c>
      <c r="U977" s="20">
        <v>0</v>
      </c>
      <c r="V977" s="20">
        <v>0</v>
      </c>
      <c r="W977" s="20">
        <f t="shared" si="31"/>
        <v>-19925</v>
      </c>
      <c r="X977" s="20">
        <f t="shared" si="31"/>
        <v>75</v>
      </c>
      <c r="Y977" s="20">
        <f t="shared" si="31"/>
        <v>75</v>
      </c>
    </row>
    <row r="978" spans="1:25" s="16" customFormat="1" ht="25.5">
      <c r="A978" s="108" t="str">
        <f t="shared" si="30"/>
        <v>609100303 2 08 20510000</v>
      </c>
      <c r="B978" s="214" t="s">
        <v>669</v>
      </c>
      <c r="C978" s="198" t="s">
        <v>595</v>
      </c>
      <c r="D978" s="199" t="s">
        <v>317</v>
      </c>
      <c r="E978" s="199" t="s">
        <v>13</v>
      </c>
      <c r="F978" s="199" t="s">
        <v>670</v>
      </c>
      <c r="G978" s="199" t="s">
        <v>9</v>
      </c>
      <c r="H978" s="39">
        <v>75</v>
      </c>
      <c r="I978" s="39">
        <v>75</v>
      </c>
      <c r="J978" s="39">
        <v>75</v>
      </c>
      <c r="K978" s="19"/>
      <c r="L978" s="19"/>
      <c r="M978" s="19"/>
      <c r="N978" s="19"/>
      <c r="O978" s="19"/>
      <c r="P978" s="19"/>
      <c r="Q978" s="17"/>
      <c r="T978" s="19">
        <v>17447.670000000002</v>
      </c>
      <c r="U978" s="19">
        <v>17447.670000000002</v>
      </c>
      <c r="V978" s="19">
        <v>17447.670000000002</v>
      </c>
      <c r="W978" s="19">
        <f t="shared" si="31"/>
        <v>-17372.670000000002</v>
      </c>
      <c r="X978" s="19">
        <f t="shared" si="31"/>
        <v>-17372.670000000002</v>
      </c>
      <c r="Y978" s="19">
        <f t="shared" si="31"/>
        <v>-17372.670000000002</v>
      </c>
    </row>
    <row r="979" spans="1:25" s="16" customFormat="1" ht="25.5">
      <c r="A979" s="108" t="str">
        <f t="shared" si="30"/>
        <v>609100303 2 08 20510240</v>
      </c>
      <c r="B979" s="197" t="s">
        <v>28</v>
      </c>
      <c r="C979" s="198" t="s">
        <v>595</v>
      </c>
      <c r="D979" s="199" t="s">
        <v>317</v>
      </c>
      <c r="E979" s="199" t="s">
        <v>13</v>
      </c>
      <c r="F979" s="199" t="s">
        <v>670</v>
      </c>
      <c r="G979" s="199" t="s">
        <v>29</v>
      </c>
      <c r="H979" s="37">
        <v>75</v>
      </c>
      <c r="I979" s="37">
        <v>75</v>
      </c>
      <c r="J979" s="37">
        <v>75</v>
      </c>
      <c r="K979" s="20"/>
      <c r="L979" s="20"/>
      <c r="M979" s="20"/>
      <c r="N979" s="20"/>
      <c r="O979" s="20"/>
      <c r="P979" s="20"/>
      <c r="Q979" s="17"/>
      <c r="T979" s="20">
        <v>17447.670000000002</v>
      </c>
      <c r="U979" s="20">
        <v>17447.670000000002</v>
      </c>
      <c r="V979" s="20">
        <v>17447.670000000002</v>
      </c>
      <c r="W979" s="20">
        <f t="shared" si="31"/>
        <v>-17372.670000000002</v>
      </c>
      <c r="X979" s="20">
        <f t="shared" si="31"/>
        <v>-17372.670000000002</v>
      </c>
      <c r="Y979" s="20">
        <f t="shared" si="31"/>
        <v>-17372.670000000002</v>
      </c>
    </row>
    <row r="980" spans="1:25" s="16" customFormat="1">
      <c r="A980" s="108" t="str">
        <f t="shared" si="30"/>
        <v>609100303 3 00 00000000</v>
      </c>
      <c r="B980" s="214" t="s">
        <v>671</v>
      </c>
      <c r="C980" s="198" t="s">
        <v>595</v>
      </c>
      <c r="D980" s="199" t="s">
        <v>317</v>
      </c>
      <c r="E980" s="199" t="s">
        <v>13</v>
      </c>
      <c r="F980" s="199" t="s">
        <v>672</v>
      </c>
      <c r="G980" s="199" t="s">
        <v>9</v>
      </c>
      <c r="H980" s="39">
        <v>2608.5</v>
      </c>
      <c r="I980" s="39">
        <v>2608.5</v>
      </c>
      <c r="J980" s="39">
        <v>2608.5</v>
      </c>
      <c r="K980" s="20"/>
      <c r="L980" s="20"/>
      <c r="M980" s="20"/>
      <c r="N980" s="20"/>
      <c r="O980" s="20"/>
      <c r="P980" s="20"/>
      <c r="Q980" s="17"/>
      <c r="T980" s="20">
        <v>17447.670000000002</v>
      </c>
      <c r="U980" s="20">
        <v>17447.670000000002</v>
      </c>
      <c r="V980" s="20">
        <v>17447.670000000002</v>
      </c>
      <c r="W980" s="20">
        <f t="shared" si="31"/>
        <v>-14839.170000000002</v>
      </c>
      <c r="X980" s="20">
        <f t="shared" si="31"/>
        <v>-14839.170000000002</v>
      </c>
      <c r="Y980" s="20">
        <f t="shared" si="31"/>
        <v>-14839.170000000002</v>
      </c>
    </row>
    <row r="981" spans="1:25" s="16" customFormat="1" ht="38.25">
      <c r="A981" s="108" t="str">
        <f t="shared" si="30"/>
        <v>609100303 3 01 00000000</v>
      </c>
      <c r="B981" s="250" t="s">
        <v>673</v>
      </c>
      <c r="C981" s="198" t="s">
        <v>595</v>
      </c>
      <c r="D981" s="199" t="s">
        <v>317</v>
      </c>
      <c r="E981" s="199" t="s">
        <v>13</v>
      </c>
      <c r="F981" s="199" t="s">
        <v>674</v>
      </c>
      <c r="G981" s="199" t="s">
        <v>9</v>
      </c>
      <c r="H981" s="39">
        <v>2608.5</v>
      </c>
      <c r="I981" s="39">
        <v>2608.5</v>
      </c>
      <c r="J981" s="39">
        <v>2608.5</v>
      </c>
      <c r="K981" s="20"/>
      <c r="L981" s="20"/>
      <c r="M981" s="20"/>
      <c r="N981" s="20"/>
      <c r="O981" s="20"/>
      <c r="P981" s="20"/>
      <c r="Q981" s="17"/>
      <c r="T981" s="20">
        <v>778.21</v>
      </c>
      <c r="U981" s="20">
        <v>778.21</v>
      </c>
      <c r="V981" s="20">
        <v>778.21</v>
      </c>
      <c r="W981" s="20">
        <f t="shared" si="31"/>
        <v>1830.29</v>
      </c>
      <c r="X981" s="20">
        <f t="shared" si="31"/>
        <v>1830.29</v>
      </c>
      <c r="Y981" s="20">
        <f t="shared" si="31"/>
        <v>1830.29</v>
      </c>
    </row>
    <row r="982" spans="1:25" s="16" customFormat="1" ht="38.25">
      <c r="A982" s="108" t="str">
        <f t="shared" si="30"/>
        <v>609100303 3 01 20530000</v>
      </c>
      <c r="B982" s="214" t="s">
        <v>675</v>
      </c>
      <c r="C982" s="198" t="s">
        <v>595</v>
      </c>
      <c r="D982" s="199" t="s">
        <v>317</v>
      </c>
      <c r="E982" s="199" t="s">
        <v>13</v>
      </c>
      <c r="F982" s="199" t="s">
        <v>676</v>
      </c>
      <c r="G982" s="199" t="s">
        <v>9</v>
      </c>
      <c r="H982" s="39">
        <v>2608.5</v>
      </c>
      <c r="I982" s="39">
        <v>2608.5</v>
      </c>
      <c r="J982" s="39">
        <v>2608.5</v>
      </c>
      <c r="K982" s="20"/>
      <c r="L982" s="20"/>
      <c r="M982" s="20"/>
      <c r="N982" s="20"/>
      <c r="O982" s="20"/>
      <c r="P982" s="20"/>
      <c r="Q982" s="17"/>
      <c r="T982" s="20">
        <v>202.21</v>
      </c>
      <c r="U982" s="20">
        <v>202.21</v>
      </c>
      <c r="V982" s="20">
        <v>202.21</v>
      </c>
      <c r="W982" s="20">
        <f t="shared" si="31"/>
        <v>2406.29</v>
      </c>
      <c r="X982" s="20">
        <f t="shared" si="31"/>
        <v>2406.29</v>
      </c>
      <c r="Y982" s="20">
        <f t="shared" si="31"/>
        <v>2406.29</v>
      </c>
    </row>
    <row r="983" spans="1:25" s="16" customFormat="1" ht="25.5">
      <c r="A983" s="108" t="str">
        <f t="shared" si="30"/>
        <v>609100303 3 01 20530320</v>
      </c>
      <c r="B983" s="205" t="s">
        <v>327</v>
      </c>
      <c r="C983" s="198" t="s">
        <v>595</v>
      </c>
      <c r="D983" s="199" t="s">
        <v>317</v>
      </c>
      <c r="E983" s="199" t="s">
        <v>13</v>
      </c>
      <c r="F983" s="199" t="s">
        <v>676</v>
      </c>
      <c r="G983" s="199" t="s">
        <v>328</v>
      </c>
      <c r="H983" s="37">
        <v>2608.5</v>
      </c>
      <c r="I983" s="37">
        <v>2608.5</v>
      </c>
      <c r="J983" s="37">
        <v>2608.5</v>
      </c>
      <c r="K983" s="20"/>
      <c r="L983" s="20"/>
      <c r="M983" s="20"/>
      <c r="N983" s="20"/>
      <c r="O983" s="20"/>
      <c r="P983" s="20"/>
      <c r="Q983" s="17"/>
      <c r="T983" s="20">
        <v>568</v>
      </c>
      <c r="U983" s="20">
        <v>568</v>
      </c>
      <c r="V983" s="20">
        <v>568</v>
      </c>
      <c r="W983" s="20">
        <f t="shared" si="31"/>
        <v>2040.5</v>
      </c>
      <c r="X983" s="20">
        <f t="shared" si="31"/>
        <v>2040.5</v>
      </c>
      <c r="Y983" s="20">
        <f t="shared" si="31"/>
        <v>2040.5</v>
      </c>
    </row>
    <row r="984" spans="1:25" s="16" customFormat="1">
      <c r="A984" s="108" t="str">
        <f t="shared" si="30"/>
        <v>609100400 0 00 00000000</v>
      </c>
      <c r="B984" s="194" t="s">
        <v>490</v>
      </c>
      <c r="C984" s="195" t="s">
        <v>595</v>
      </c>
      <c r="D984" s="196" t="s">
        <v>317</v>
      </c>
      <c r="E984" s="196" t="s">
        <v>73</v>
      </c>
      <c r="F984" s="196" t="s">
        <v>8</v>
      </c>
      <c r="G984" s="196" t="s">
        <v>9</v>
      </c>
      <c r="H984" s="19">
        <v>240849.2</v>
      </c>
      <c r="I984" s="19">
        <v>237843.88</v>
      </c>
      <c r="J984" s="19">
        <v>237843.88</v>
      </c>
      <c r="K984" s="20"/>
      <c r="L984" s="20"/>
      <c r="M984" s="20"/>
      <c r="N984" s="20"/>
      <c r="O984" s="20"/>
      <c r="P984" s="20"/>
      <c r="Q984" s="17"/>
      <c r="T984" s="20">
        <v>8</v>
      </c>
      <c r="U984" s="20">
        <v>8</v>
      </c>
      <c r="V984" s="20">
        <v>8</v>
      </c>
      <c r="W984" s="20">
        <f t="shared" si="31"/>
        <v>240841.2</v>
      </c>
      <c r="X984" s="20">
        <f t="shared" si="31"/>
        <v>237835.88</v>
      </c>
      <c r="Y984" s="20">
        <f t="shared" si="31"/>
        <v>237835.88</v>
      </c>
    </row>
    <row r="985" spans="1:25" s="16" customFormat="1" ht="25.5">
      <c r="A985" s="108" t="str">
        <f t="shared" si="30"/>
        <v>609100403 0 00 00000000</v>
      </c>
      <c r="B985" s="214" t="s">
        <v>385</v>
      </c>
      <c r="C985" s="198" t="s">
        <v>595</v>
      </c>
      <c r="D985" s="199" t="s">
        <v>317</v>
      </c>
      <c r="E985" s="199" t="s">
        <v>73</v>
      </c>
      <c r="F985" s="199" t="s">
        <v>386</v>
      </c>
      <c r="G985" s="199" t="s">
        <v>9</v>
      </c>
      <c r="H985" s="39">
        <v>240849.2</v>
      </c>
      <c r="I985" s="39">
        <v>237843.88</v>
      </c>
      <c r="J985" s="39">
        <v>237843.88</v>
      </c>
      <c r="K985" s="20"/>
      <c r="L985" s="20"/>
      <c r="M985" s="20"/>
      <c r="N985" s="20"/>
      <c r="O985" s="20"/>
      <c r="P985" s="20"/>
      <c r="Q985" s="17"/>
      <c r="T985" s="20">
        <v>7074.5400000000009</v>
      </c>
      <c r="U985" s="20">
        <v>7074.5400000000009</v>
      </c>
      <c r="V985" s="20">
        <v>7074.5400000000009</v>
      </c>
      <c r="W985" s="20">
        <f t="shared" si="31"/>
        <v>233774.66</v>
      </c>
      <c r="X985" s="20">
        <f t="shared" si="31"/>
        <v>230769.34</v>
      </c>
      <c r="Y985" s="20">
        <f t="shared" si="31"/>
        <v>230769.34</v>
      </c>
    </row>
    <row r="986" spans="1:25" s="16" customFormat="1" ht="38.25">
      <c r="A986" s="108" t="str">
        <f t="shared" si="30"/>
        <v>609100403 1 00 00000 000</v>
      </c>
      <c r="B986" s="250" t="s">
        <v>596</v>
      </c>
      <c r="C986" s="198" t="s">
        <v>595</v>
      </c>
      <c r="D986" s="199" t="s">
        <v>317</v>
      </c>
      <c r="E986" s="199" t="s">
        <v>73</v>
      </c>
      <c r="F986" s="199" t="s">
        <v>597</v>
      </c>
      <c r="G986" s="199" t="s">
        <v>9</v>
      </c>
      <c r="H986" s="39">
        <v>240849.2</v>
      </c>
      <c r="I986" s="39">
        <v>237843.88</v>
      </c>
      <c r="J986" s="39">
        <v>237843.88</v>
      </c>
      <c r="K986" s="20"/>
      <c r="L986" s="20"/>
      <c r="M986" s="20"/>
      <c r="N986" s="20"/>
      <c r="O986" s="20"/>
      <c r="P986" s="20"/>
      <c r="Q986" s="17"/>
      <c r="T986" s="20">
        <v>7074.5400000000009</v>
      </c>
      <c r="U986" s="20">
        <v>7074.5400000000009</v>
      </c>
      <c r="V986" s="20">
        <v>7074.5400000000009</v>
      </c>
      <c r="W986" s="20">
        <f t="shared" si="31"/>
        <v>233774.66</v>
      </c>
      <c r="X986" s="20">
        <f t="shared" si="31"/>
        <v>230769.34</v>
      </c>
      <c r="Y986" s="20">
        <f t="shared" si="31"/>
        <v>230769.34</v>
      </c>
    </row>
    <row r="987" spans="1:25" s="16" customFormat="1" ht="25.5">
      <c r="A987" s="108" t="str">
        <f t="shared" si="30"/>
        <v>609100403 1 02 00000000</v>
      </c>
      <c r="B987" s="251" t="s">
        <v>623</v>
      </c>
      <c r="C987" s="198" t="s">
        <v>595</v>
      </c>
      <c r="D987" s="199" t="s">
        <v>317</v>
      </c>
      <c r="E987" s="199" t="s">
        <v>73</v>
      </c>
      <c r="F987" s="199" t="s">
        <v>624</v>
      </c>
      <c r="G987" s="199" t="s">
        <v>9</v>
      </c>
      <c r="H987" s="37">
        <v>240849.2</v>
      </c>
      <c r="I987" s="37">
        <v>237843.88</v>
      </c>
      <c r="J987" s="37">
        <v>237843.88</v>
      </c>
      <c r="K987" s="20"/>
      <c r="L987" s="20"/>
      <c r="M987" s="20"/>
      <c r="N987" s="20"/>
      <c r="O987" s="20"/>
      <c r="P987" s="20"/>
      <c r="Q987" s="17"/>
      <c r="T987" s="20">
        <v>9594.92</v>
      </c>
      <c r="U987" s="20">
        <v>9594.92</v>
      </c>
      <c r="V987" s="20">
        <v>9594.92</v>
      </c>
      <c r="W987" s="20">
        <f t="shared" si="31"/>
        <v>231254.28</v>
      </c>
      <c r="X987" s="20">
        <f t="shared" si="31"/>
        <v>228248.95999999999</v>
      </c>
      <c r="Y987" s="20">
        <f t="shared" si="31"/>
        <v>228248.95999999999</v>
      </c>
    </row>
    <row r="988" spans="1:25" s="16" customFormat="1">
      <c r="A988" s="108" t="str">
        <f t="shared" si="30"/>
        <v>609100403 1 02 76270000</v>
      </c>
      <c r="B988" s="242" t="s">
        <v>677</v>
      </c>
      <c r="C988" s="198" t="s">
        <v>595</v>
      </c>
      <c r="D988" s="199" t="s">
        <v>317</v>
      </c>
      <c r="E988" s="199" t="s">
        <v>73</v>
      </c>
      <c r="F988" s="199" t="s">
        <v>678</v>
      </c>
      <c r="G988" s="199" t="s">
        <v>9</v>
      </c>
      <c r="H988" s="37">
        <v>125670.20000000001</v>
      </c>
      <c r="I988" s="37">
        <v>122664.88</v>
      </c>
      <c r="J988" s="37">
        <v>122664.88</v>
      </c>
      <c r="K988" s="20"/>
      <c r="L988" s="20"/>
      <c r="M988" s="20"/>
      <c r="N988" s="20"/>
      <c r="O988" s="20"/>
      <c r="P988" s="20"/>
      <c r="Q988" s="17"/>
      <c r="T988" s="20">
        <v>8454.92</v>
      </c>
      <c r="U988" s="20">
        <v>8454.92</v>
      </c>
      <c r="V988" s="20">
        <v>8454.92</v>
      </c>
      <c r="W988" s="20">
        <f t="shared" si="31"/>
        <v>117215.28000000001</v>
      </c>
      <c r="X988" s="20">
        <f t="shared" si="31"/>
        <v>114209.96</v>
      </c>
      <c r="Y988" s="20">
        <f t="shared" si="31"/>
        <v>114209.96</v>
      </c>
    </row>
    <row r="989" spans="1:25" s="16" customFormat="1">
      <c r="A989" s="108" t="str">
        <f t="shared" si="30"/>
        <v>609100403 1 02 76270310</v>
      </c>
      <c r="B989" s="205" t="s">
        <v>493</v>
      </c>
      <c r="C989" s="198" t="s">
        <v>595</v>
      </c>
      <c r="D989" s="199" t="s">
        <v>317</v>
      </c>
      <c r="E989" s="199" t="s">
        <v>73</v>
      </c>
      <c r="F989" s="199" t="s">
        <v>678</v>
      </c>
      <c r="G989" s="199" t="s">
        <v>494</v>
      </c>
      <c r="H989" s="37">
        <v>125670.20000000001</v>
      </c>
      <c r="I989" s="37">
        <v>122664.88</v>
      </c>
      <c r="J989" s="37">
        <v>122664.88</v>
      </c>
      <c r="K989" s="20"/>
      <c r="L989" s="20"/>
      <c r="M989" s="20"/>
      <c r="N989" s="20"/>
      <c r="O989" s="20"/>
      <c r="P989" s="20"/>
      <c r="Q989" s="17"/>
      <c r="T989" s="20">
        <v>1140</v>
      </c>
      <c r="U989" s="20">
        <v>1140</v>
      </c>
      <c r="V989" s="20">
        <v>1140</v>
      </c>
      <c r="W989" s="20">
        <f t="shared" si="31"/>
        <v>124530.20000000001</v>
      </c>
      <c r="X989" s="20">
        <f t="shared" si="31"/>
        <v>121524.88</v>
      </c>
      <c r="Y989" s="20">
        <f t="shared" si="31"/>
        <v>121524.88</v>
      </c>
    </row>
    <row r="990" spans="1:25" s="16" customFormat="1" ht="51">
      <c r="A990" s="108" t="str">
        <f t="shared" si="30"/>
        <v>609100403 1 02 R0840000</v>
      </c>
      <c r="B990" s="242" t="s">
        <v>679</v>
      </c>
      <c r="C990" s="198" t="s">
        <v>595</v>
      </c>
      <c r="D990" s="199" t="s">
        <v>317</v>
      </c>
      <c r="E990" s="199" t="s">
        <v>73</v>
      </c>
      <c r="F990" s="199" t="s">
        <v>680</v>
      </c>
      <c r="G990" s="199" t="s">
        <v>9</v>
      </c>
      <c r="H990" s="37">
        <v>115178.99999999999</v>
      </c>
      <c r="I990" s="37">
        <v>115178.99999999999</v>
      </c>
      <c r="J990" s="37">
        <v>115178.99999999999</v>
      </c>
      <c r="K990" s="20"/>
      <c r="L990" s="20"/>
      <c r="M990" s="20"/>
      <c r="N990" s="20"/>
      <c r="O990" s="20"/>
      <c r="P990" s="20"/>
      <c r="Q990" s="17"/>
      <c r="T990" s="20"/>
      <c r="U990" s="20"/>
      <c r="V990" s="20"/>
      <c r="W990" s="20">
        <f t="shared" si="31"/>
        <v>115178.99999999999</v>
      </c>
      <c r="X990" s="20">
        <f t="shared" si="31"/>
        <v>115178.99999999999</v>
      </c>
      <c r="Y990" s="20">
        <f t="shared" si="31"/>
        <v>115178.99999999999</v>
      </c>
    </row>
    <row r="991" spans="1:25" s="16" customFormat="1">
      <c r="A991" s="108" t="str">
        <f t="shared" si="30"/>
        <v>609100403 1 02 R0840310</v>
      </c>
      <c r="B991" s="205" t="s">
        <v>493</v>
      </c>
      <c r="C991" s="198" t="s">
        <v>595</v>
      </c>
      <c r="D991" s="199" t="s">
        <v>317</v>
      </c>
      <c r="E991" s="199" t="s">
        <v>73</v>
      </c>
      <c r="F991" s="199" t="s">
        <v>680</v>
      </c>
      <c r="G991" s="199" t="s">
        <v>494</v>
      </c>
      <c r="H991" s="37">
        <v>115178.99999999999</v>
      </c>
      <c r="I991" s="37">
        <v>115178.99999999999</v>
      </c>
      <c r="J991" s="37">
        <v>115178.99999999999</v>
      </c>
      <c r="K991" s="25"/>
      <c r="L991" s="25"/>
      <c r="M991" s="25"/>
      <c r="N991" s="25"/>
      <c r="O991" s="25"/>
      <c r="P991" s="25"/>
      <c r="Q991" s="17"/>
      <c r="T991" s="25">
        <v>148270.71000000002</v>
      </c>
      <c r="U991" s="25">
        <v>136743.88999999998</v>
      </c>
      <c r="V991" s="25">
        <v>144115.65</v>
      </c>
      <c r="W991" s="25">
        <f t="shared" si="31"/>
        <v>-33091.710000000036</v>
      </c>
      <c r="X991" s="25">
        <f t="shared" si="31"/>
        <v>-21564.89</v>
      </c>
      <c r="Y991" s="25">
        <f t="shared" si="31"/>
        <v>-28936.650000000009</v>
      </c>
    </row>
    <row r="992" spans="1:25" s="16" customFormat="1">
      <c r="A992" s="108" t="str">
        <f t="shared" si="30"/>
        <v>609100600 0 00 00000000</v>
      </c>
      <c r="B992" s="194" t="s">
        <v>681</v>
      </c>
      <c r="C992" s="195" t="s">
        <v>595</v>
      </c>
      <c r="D992" s="196" t="s">
        <v>317</v>
      </c>
      <c r="E992" s="196" t="s">
        <v>334</v>
      </c>
      <c r="F992" s="196" t="s">
        <v>8</v>
      </c>
      <c r="G992" s="196" t="s">
        <v>9</v>
      </c>
      <c r="H992" s="19">
        <v>70345.850000000006</v>
      </c>
      <c r="I992" s="19">
        <v>68242.680000000008</v>
      </c>
      <c r="J992" s="19">
        <v>68280.740000000005</v>
      </c>
      <c r="K992" s="18"/>
      <c r="L992" s="18"/>
      <c r="M992" s="18"/>
      <c r="N992" s="18"/>
      <c r="O992" s="18"/>
      <c r="P992" s="18"/>
      <c r="Q992" s="17"/>
      <c r="T992" s="18">
        <v>35110.269999999997</v>
      </c>
      <c r="U992" s="18">
        <v>33719.359999999993</v>
      </c>
      <c r="V992" s="18">
        <v>33719.359999999993</v>
      </c>
      <c r="W992" s="18">
        <f t="shared" si="31"/>
        <v>35235.580000000009</v>
      </c>
      <c r="X992" s="18">
        <f t="shared" si="31"/>
        <v>34523.320000000014</v>
      </c>
      <c r="Y992" s="18">
        <f t="shared" si="31"/>
        <v>34561.380000000012</v>
      </c>
    </row>
    <row r="993" spans="1:25" s="16" customFormat="1" ht="25.5">
      <c r="A993" s="108" t="str">
        <f t="shared" si="30"/>
        <v>609100603 0 00 00000000</v>
      </c>
      <c r="B993" s="214" t="s">
        <v>385</v>
      </c>
      <c r="C993" s="198" t="s">
        <v>595</v>
      </c>
      <c r="D993" s="199" t="s">
        <v>317</v>
      </c>
      <c r="E993" s="199" t="s">
        <v>334</v>
      </c>
      <c r="F993" s="199" t="s">
        <v>386</v>
      </c>
      <c r="G993" s="199" t="s">
        <v>9</v>
      </c>
      <c r="H993" s="37">
        <v>5633.92</v>
      </c>
      <c r="I993" s="37">
        <v>5561.92</v>
      </c>
      <c r="J993" s="37">
        <v>5561.92</v>
      </c>
      <c r="K993" s="19"/>
      <c r="L993" s="19"/>
      <c r="M993" s="19"/>
      <c r="N993" s="19"/>
      <c r="O993" s="19"/>
      <c r="P993" s="19"/>
      <c r="Q993" s="17"/>
      <c r="T993" s="19">
        <v>33365.07</v>
      </c>
      <c r="U993" s="19">
        <v>33329.159999999996</v>
      </c>
      <c r="V993" s="19">
        <v>33329.159999999996</v>
      </c>
      <c r="W993" s="19">
        <f t="shared" si="31"/>
        <v>-27731.15</v>
      </c>
      <c r="X993" s="19">
        <f t="shared" si="31"/>
        <v>-27767.239999999998</v>
      </c>
      <c r="Y993" s="19">
        <f t="shared" si="31"/>
        <v>-27767.239999999998</v>
      </c>
    </row>
    <row r="994" spans="1:25" s="16" customFormat="1" ht="38.25">
      <c r="A994" s="108" t="str">
        <f t="shared" si="30"/>
        <v>609100603 1 00 00000 000</v>
      </c>
      <c r="B994" s="250" t="s">
        <v>596</v>
      </c>
      <c r="C994" s="198" t="s">
        <v>595</v>
      </c>
      <c r="D994" s="199" t="s">
        <v>317</v>
      </c>
      <c r="E994" s="199" t="s">
        <v>334</v>
      </c>
      <c r="F994" s="199" t="s">
        <v>597</v>
      </c>
      <c r="G994" s="199" t="s">
        <v>9</v>
      </c>
      <c r="H994" s="37">
        <v>2546</v>
      </c>
      <c r="I994" s="37">
        <v>2546</v>
      </c>
      <c r="J994" s="37">
        <v>2546</v>
      </c>
      <c r="K994" s="26"/>
      <c r="L994" s="26"/>
      <c r="M994" s="26"/>
      <c r="N994" s="26"/>
      <c r="O994" s="26"/>
      <c r="P994" s="26"/>
      <c r="Q994" s="17"/>
      <c r="T994" s="26">
        <v>33365.07</v>
      </c>
      <c r="U994" s="26">
        <v>33329.159999999996</v>
      </c>
      <c r="V994" s="26">
        <v>33329.159999999996</v>
      </c>
      <c r="W994" s="26">
        <f t="shared" si="31"/>
        <v>-30819.07</v>
      </c>
      <c r="X994" s="26">
        <f t="shared" si="31"/>
        <v>-30783.159999999996</v>
      </c>
      <c r="Y994" s="26">
        <f t="shared" si="31"/>
        <v>-30783.159999999996</v>
      </c>
    </row>
    <row r="995" spans="1:25" s="16" customFormat="1" ht="25.5">
      <c r="A995" s="108" t="str">
        <f t="shared" si="30"/>
        <v>609100603 1 01 00000 000</v>
      </c>
      <c r="B995" s="251" t="s">
        <v>599</v>
      </c>
      <c r="C995" s="198" t="s">
        <v>595</v>
      </c>
      <c r="D995" s="199" t="s">
        <v>317</v>
      </c>
      <c r="E995" s="199" t="s">
        <v>334</v>
      </c>
      <c r="F995" s="199" t="s">
        <v>600</v>
      </c>
      <c r="G995" s="199" t="s">
        <v>9</v>
      </c>
      <c r="H995" s="37">
        <v>2546</v>
      </c>
      <c r="I995" s="37">
        <v>2546</v>
      </c>
      <c r="J995" s="37">
        <v>2546</v>
      </c>
      <c r="K995" s="26"/>
      <c r="L995" s="26"/>
      <c r="M995" s="26"/>
      <c r="N995" s="26"/>
      <c r="O995" s="26"/>
      <c r="P995" s="26"/>
      <c r="Q995" s="17"/>
      <c r="T995" s="26">
        <v>33365.07</v>
      </c>
      <c r="U995" s="26">
        <v>33329.159999999996</v>
      </c>
      <c r="V995" s="26">
        <v>33329.159999999996</v>
      </c>
      <c r="W995" s="26">
        <f t="shared" si="31"/>
        <v>-30819.07</v>
      </c>
      <c r="X995" s="26">
        <f t="shared" si="31"/>
        <v>-30783.159999999996</v>
      </c>
      <c r="Y995" s="26">
        <f t="shared" si="31"/>
        <v>-30783.159999999996</v>
      </c>
    </row>
    <row r="996" spans="1:25" s="16" customFormat="1" ht="25.5">
      <c r="A996" s="108" t="str">
        <f t="shared" si="30"/>
        <v>609100603 1 01 52500000</v>
      </c>
      <c r="B996" s="214" t="s">
        <v>603</v>
      </c>
      <c r="C996" s="198" t="s">
        <v>595</v>
      </c>
      <c r="D996" s="199" t="s">
        <v>317</v>
      </c>
      <c r="E996" s="199" t="s">
        <v>334</v>
      </c>
      <c r="F996" s="199" t="s">
        <v>604</v>
      </c>
      <c r="G996" s="199" t="s">
        <v>9</v>
      </c>
      <c r="H996" s="37">
        <v>2546</v>
      </c>
      <c r="I996" s="37">
        <v>2546</v>
      </c>
      <c r="J996" s="37">
        <v>2546</v>
      </c>
      <c r="K996" s="26"/>
      <c r="L996" s="26"/>
      <c r="M996" s="26"/>
      <c r="N996" s="26"/>
      <c r="O996" s="26"/>
      <c r="P996" s="26"/>
      <c r="Q996" s="17"/>
      <c r="T996" s="26">
        <v>4038.21</v>
      </c>
      <c r="U996" s="26">
        <v>4038.21</v>
      </c>
      <c r="V996" s="26">
        <v>4038.21</v>
      </c>
      <c r="W996" s="26">
        <f t="shared" si="31"/>
        <v>-1492.21</v>
      </c>
      <c r="X996" s="26">
        <f t="shared" si="31"/>
        <v>-1492.21</v>
      </c>
      <c r="Y996" s="26">
        <f t="shared" si="31"/>
        <v>-1492.21</v>
      </c>
    </row>
    <row r="997" spans="1:25" s="16" customFormat="1" ht="25.5">
      <c r="A997" s="108" t="str">
        <f t="shared" si="30"/>
        <v>609100603 1 01 52500120</v>
      </c>
      <c r="B997" s="197" t="s">
        <v>20</v>
      </c>
      <c r="C997" s="198" t="s">
        <v>595</v>
      </c>
      <c r="D997" s="199" t="s">
        <v>317</v>
      </c>
      <c r="E997" s="199" t="s">
        <v>334</v>
      </c>
      <c r="F997" s="199" t="s">
        <v>604</v>
      </c>
      <c r="G997" s="199" t="s">
        <v>21</v>
      </c>
      <c r="H997" s="37">
        <v>2546</v>
      </c>
      <c r="I997" s="37">
        <v>2546</v>
      </c>
      <c r="J997" s="37">
        <v>2546</v>
      </c>
      <c r="K997" s="26"/>
      <c r="L997" s="26"/>
      <c r="M997" s="26"/>
      <c r="N997" s="26"/>
      <c r="O997" s="26"/>
      <c r="P997" s="26"/>
      <c r="Q997" s="17"/>
      <c r="T997" s="26">
        <v>620.46</v>
      </c>
      <c r="U997" s="26">
        <v>620.46</v>
      </c>
      <c r="V997" s="26">
        <v>620.46</v>
      </c>
      <c r="W997" s="26">
        <f t="shared" si="31"/>
        <v>1925.54</v>
      </c>
      <c r="X997" s="26">
        <f t="shared" si="31"/>
        <v>1925.54</v>
      </c>
      <c r="Y997" s="26">
        <f t="shared" si="31"/>
        <v>1925.54</v>
      </c>
    </row>
    <row r="998" spans="1:25" s="16" customFormat="1" ht="38.25">
      <c r="A998" s="108" t="str">
        <f t="shared" si="30"/>
        <v>609100603 2 00 00000000</v>
      </c>
      <c r="B998" s="214" t="s">
        <v>387</v>
      </c>
      <c r="C998" s="198" t="s">
        <v>595</v>
      </c>
      <c r="D998" s="199" t="s">
        <v>317</v>
      </c>
      <c r="E998" s="199" t="s">
        <v>334</v>
      </c>
      <c r="F998" s="199" t="s">
        <v>388</v>
      </c>
      <c r="G998" s="199" t="s">
        <v>9</v>
      </c>
      <c r="H998" s="39">
        <v>1232.51</v>
      </c>
      <c r="I998" s="39">
        <v>1160.51</v>
      </c>
      <c r="J998" s="39">
        <v>1160.51</v>
      </c>
      <c r="K998" s="26"/>
      <c r="L998" s="26"/>
      <c r="M998" s="26"/>
      <c r="N998" s="26"/>
      <c r="O998" s="26"/>
      <c r="P998" s="26"/>
      <c r="Q998" s="17"/>
      <c r="T998" s="26">
        <v>3320.75</v>
      </c>
      <c r="U998" s="26">
        <v>3320.75</v>
      </c>
      <c r="V998" s="26">
        <v>3320.75</v>
      </c>
      <c r="W998" s="26">
        <f t="shared" si="31"/>
        <v>-2088.2399999999998</v>
      </c>
      <c r="X998" s="26">
        <f t="shared" si="31"/>
        <v>-2160.2399999999998</v>
      </c>
      <c r="Y998" s="26">
        <f t="shared" si="31"/>
        <v>-2160.2399999999998</v>
      </c>
    </row>
    <row r="999" spans="1:25" s="16" customFormat="1" ht="25.5">
      <c r="A999" s="108" t="str">
        <f t="shared" si="30"/>
        <v>609100603 2 07 00000000</v>
      </c>
      <c r="B999" s="214" t="s">
        <v>683</v>
      </c>
      <c r="C999" s="198" t="s">
        <v>595</v>
      </c>
      <c r="D999" s="199" t="s">
        <v>317</v>
      </c>
      <c r="E999" s="199" t="s">
        <v>334</v>
      </c>
      <c r="F999" s="199" t="s">
        <v>684</v>
      </c>
      <c r="G999" s="199" t="s">
        <v>9</v>
      </c>
      <c r="H999" s="39">
        <v>1232.51</v>
      </c>
      <c r="I999" s="39">
        <v>1160.51</v>
      </c>
      <c r="J999" s="39">
        <v>1160.51</v>
      </c>
      <c r="K999" s="26"/>
      <c r="L999" s="26"/>
      <c r="M999" s="26"/>
      <c r="N999" s="26"/>
      <c r="O999" s="26"/>
      <c r="P999" s="26"/>
      <c r="Q999" s="17"/>
      <c r="T999" s="26">
        <v>97</v>
      </c>
      <c r="U999" s="26">
        <v>97</v>
      </c>
      <c r="V999" s="26">
        <v>97</v>
      </c>
      <c r="W999" s="26">
        <f t="shared" si="31"/>
        <v>1135.51</v>
      </c>
      <c r="X999" s="26">
        <f t="shared" si="31"/>
        <v>1063.51</v>
      </c>
      <c r="Y999" s="26">
        <f t="shared" si="31"/>
        <v>1063.51</v>
      </c>
    </row>
    <row r="1000" spans="1:25" s="16" customFormat="1" ht="25.5">
      <c r="A1000" s="108" t="str">
        <f t="shared" si="30"/>
        <v>609100603 2 07 60040000</v>
      </c>
      <c r="B1000" s="214" t="s">
        <v>685</v>
      </c>
      <c r="C1000" s="198" t="s">
        <v>595</v>
      </c>
      <c r="D1000" s="199" t="s">
        <v>317</v>
      </c>
      <c r="E1000" s="199" t="s">
        <v>334</v>
      </c>
      <c r="F1000" s="199" t="s">
        <v>686</v>
      </c>
      <c r="G1000" s="199" t="s">
        <v>9</v>
      </c>
      <c r="H1000" s="39">
        <v>1232.51</v>
      </c>
      <c r="I1000" s="39">
        <v>1160.51</v>
      </c>
      <c r="J1000" s="39">
        <v>1160.51</v>
      </c>
      <c r="K1000" s="20"/>
      <c r="L1000" s="20"/>
      <c r="M1000" s="20"/>
      <c r="N1000" s="20"/>
      <c r="O1000" s="20"/>
      <c r="P1000" s="20"/>
      <c r="Q1000" s="17"/>
      <c r="T1000" s="20">
        <v>28172.3</v>
      </c>
      <c r="U1000" s="20">
        <v>28172.3</v>
      </c>
      <c r="V1000" s="20">
        <v>28172.3</v>
      </c>
      <c r="W1000" s="20">
        <f t="shared" si="31"/>
        <v>-26939.79</v>
      </c>
      <c r="X1000" s="20">
        <f t="shared" si="31"/>
        <v>-27011.79</v>
      </c>
      <c r="Y1000" s="20">
        <f t="shared" si="31"/>
        <v>-27011.79</v>
      </c>
    </row>
    <row r="1001" spans="1:25" s="16" customFormat="1" ht="25.5">
      <c r="A1001" s="108" t="str">
        <f t="shared" si="30"/>
        <v>609100603 2 07 60040630</v>
      </c>
      <c r="B1001" s="214" t="s">
        <v>182</v>
      </c>
      <c r="C1001" s="198" t="s">
        <v>595</v>
      </c>
      <c r="D1001" s="199" t="s">
        <v>317</v>
      </c>
      <c r="E1001" s="199" t="s">
        <v>334</v>
      </c>
      <c r="F1001" s="199" t="s">
        <v>686</v>
      </c>
      <c r="G1001" s="199" t="s">
        <v>183</v>
      </c>
      <c r="H1001" s="37">
        <v>1232.51</v>
      </c>
      <c r="I1001" s="37">
        <v>1160.51</v>
      </c>
      <c r="J1001" s="37">
        <v>1160.51</v>
      </c>
      <c r="K1001" s="20"/>
      <c r="L1001" s="20"/>
      <c r="M1001" s="20"/>
      <c r="N1001" s="20"/>
      <c r="O1001" s="20"/>
      <c r="P1001" s="20"/>
      <c r="Q1001" s="17"/>
      <c r="T1001" s="20">
        <v>28172.3</v>
      </c>
      <c r="U1001" s="20">
        <v>28172.3</v>
      </c>
      <c r="V1001" s="20">
        <v>28172.3</v>
      </c>
      <c r="W1001" s="20">
        <f t="shared" si="31"/>
        <v>-26939.79</v>
      </c>
      <c r="X1001" s="20">
        <f t="shared" si="31"/>
        <v>-27011.79</v>
      </c>
      <c r="Y1001" s="20">
        <f t="shared" si="31"/>
        <v>-27011.79</v>
      </c>
    </row>
    <row r="1002" spans="1:25" s="16" customFormat="1">
      <c r="A1002" s="108" t="str">
        <f t="shared" si="30"/>
        <v>609100603 3 00 00000000</v>
      </c>
      <c r="B1002" s="214" t="s">
        <v>671</v>
      </c>
      <c r="C1002" s="198" t="s">
        <v>595</v>
      </c>
      <c r="D1002" s="199" t="s">
        <v>317</v>
      </c>
      <c r="E1002" s="199" t="s">
        <v>334</v>
      </c>
      <c r="F1002" s="199" t="s">
        <v>672</v>
      </c>
      <c r="G1002" s="199" t="s">
        <v>9</v>
      </c>
      <c r="H1002" s="37">
        <v>1855.4099999999999</v>
      </c>
      <c r="I1002" s="37">
        <v>1855.4099999999999</v>
      </c>
      <c r="J1002" s="37">
        <v>1855.4099999999999</v>
      </c>
      <c r="K1002" s="20"/>
      <c r="L1002" s="20"/>
      <c r="M1002" s="20"/>
      <c r="N1002" s="20"/>
      <c r="O1002" s="20"/>
      <c r="P1002" s="20"/>
      <c r="Q1002" s="17"/>
      <c r="T1002" s="20">
        <v>1083.6600000000001</v>
      </c>
      <c r="U1002" s="20">
        <v>1047.75</v>
      </c>
      <c r="V1002" s="20">
        <v>1047.75</v>
      </c>
      <c r="W1002" s="20">
        <f t="shared" si="31"/>
        <v>771.74999999999977</v>
      </c>
      <c r="X1002" s="20">
        <f t="shared" si="31"/>
        <v>807.65999999999985</v>
      </c>
      <c r="Y1002" s="20">
        <f t="shared" si="31"/>
        <v>807.65999999999985</v>
      </c>
    </row>
    <row r="1003" spans="1:25" s="16" customFormat="1" ht="38.25">
      <c r="A1003" s="108" t="str">
        <f t="shared" si="30"/>
        <v>609100603 3 01 00000000</v>
      </c>
      <c r="B1003" s="214" t="s">
        <v>673</v>
      </c>
      <c r="C1003" s="198" t="s">
        <v>595</v>
      </c>
      <c r="D1003" s="199" t="s">
        <v>317</v>
      </c>
      <c r="E1003" s="199" t="s">
        <v>334</v>
      </c>
      <c r="F1003" s="199" t="s">
        <v>674</v>
      </c>
      <c r="G1003" s="199" t="s">
        <v>9</v>
      </c>
      <c r="H1003" s="37">
        <v>1855.4099999999999</v>
      </c>
      <c r="I1003" s="37">
        <v>1855.4099999999999</v>
      </c>
      <c r="J1003" s="37">
        <v>1855.4099999999999</v>
      </c>
      <c r="K1003" s="26"/>
      <c r="L1003" s="26"/>
      <c r="M1003" s="26"/>
      <c r="N1003" s="26"/>
      <c r="O1003" s="26"/>
      <c r="P1003" s="26"/>
      <c r="Q1003" s="17"/>
      <c r="T1003" s="26">
        <v>1025.24</v>
      </c>
      <c r="U1003" s="26">
        <v>989.33</v>
      </c>
      <c r="V1003" s="26">
        <v>989.33</v>
      </c>
      <c r="W1003" s="26">
        <f t="shared" si="31"/>
        <v>830.16999999999985</v>
      </c>
      <c r="X1003" s="26">
        <f t="shared" si="31"/>
        <v>866.07999999999981</v>
      </c>
      <c r="Y1003" s="26">
        <f t="shared" si="31"/>
        <v>866.07999999999981</v>
      </c>
    </row>
    <row r="1004" spans="1:25" s="16" customFormat="1" ht="38.25">
      <c r="A1004" s="108" t="str">
        <f t="shared" si="30"/>
        <v>609100603 3 01 20530000</v>
      </c>
      <c r="B1004" s="214" t="s">
        <v>675</v>
      </c>
      <c r="C1004" s="198" t="s">
        <v>595</v>
      </c>
      <c r="D1004" s="199" t="s">
        <v>317</v>
      </c>
      <c r="E1004" s="199" t="s">
        <v>334</v>
      </c>
      <c r="F1004" s="199" t="s">
        <v>676</v>
      </c>
      <c r="G1004" s="199" t="s">
        <v>9</v>
      </c>
      <c r="H1004" s="37">
        <v>103.55</v>
      </c>
      <c r="I1004" s="37">
        <v>103.55</v>
      </c>
      <c r="J1004" s="37">
        <v>103.55</v>
      </c>
      <c r="K1004" s="26"/>
      <c r="L1004" s="26"/>
      <c r="M1004" s="26"/>
      <c r="N1004" s="26"/>
      <c r="O1004" s="26"/>
      <c r="P1004" s="26"/>
      <c r="Q1004" s="17"/>
      <c r="T1004" s="26">
        <v>58.42</v>
      </c>
      <c r="U1004" s="26">
        <v>58.42</v>
      </c>
      <c r="V1004" s="26">
        <v>58.42</v>
      </c>
      <c r="W1004" s="26">
        <f t="shared" si="31"/>
        <v>45.129999999999995</v>
      </c>
      <c r="X1004" s="26">
        <f t="shared" si="31"/>
        <v>45.129999999999995</v>
      </c>
      <c r="Y1004" s="26">
        <f t="shared" si="31"/>
        <v>45.129999999999995</v>
      </c>
    </row>
    <row r="1005" spans="1:25" s="16" customFormat="1" ht="25.5">
      <c r="A1005" s="108" t="str">
        <f t="shared" si="30"/>
        <v>609100603 3 01 20530240</v>
      </c>
      <c r="B1005" s="197" t="s">
        <v>28</v>
      </c>
      <c r="C1005" s="198" t="s">
        <v>595</v>
      </c>
      <c r="D1005" s="199" t="s">
        <v>317</v>
      </c>
      <c r="E1005" s="199" t="s">
        <v>334</v>
      </c>
      <c r="F1005" s="199" t="s">
        <v>676</v>
      </c>
      <c r="G1005" s="199" t="s">
        <v>29</v>
      </c>
      <c r="H1005" s="37">
        <v>68.69</v>
      </c>
      <c r="I1005" s="37">
        <v>68.69</v>
      </c>
      <c r="J1005" s="37">
        <v>68.69</v>
      </c>
      <c r="K1005" s="26"/>
      <c r="L1005" s="26"/>
      <c r="M1005" s="26"/>
      <c r="N1005" s="26"/>
      <c r="O1005" s="26"/>
      <c r="P1005" s="26"/>
      <c r="Q1005" s="17"/>
      <c r="T1005" s="26">
        <v>70.900000000000006</v>
      </c>
      <c r="U1005" s="26">
        <v>70.900000000000006</v>
      </c>
      <c r="V1005" s="26">
        <v>70.900000000000006</v>
      </c>
      <c r="W1005" s="26">
        <f t="shared" si="31"/>
        <v>-2.210000000000008</v>
      </c>
      <c r="X1005" s="26">
        <f t="shared" si="31"/>
        <v>-2.210000000000008</v>
      </c>
      <c r="Y1005" s="26">
        <f t="shared" si="31"/>
        <v>-2.210000000000008</v>
      </c>
    </row>
    <row r="1006" spans="1:25" s="16" customFormat="1">
      <c r="A1006" s="108" t="str">
        <f t="shared" si="30"/>
        <v>609100603 3 01 20530850</v>
      </c>
      <c r="B1006" s="197" t="s">
        <v>32</v>
      </c>
      <c r="C1006" s="198" t="s">
        <v>595</v>
      </c>
      <c r="D1006" s="199" t="s">
        <v>317</v>
      </c>
      <c r="E1006" s="199" t="s">
        <v>334</v>
      </c>
      <c r="F1006" s="199" t="s">
        <v>676</v>
      </c>
      <c r="G1006" s="199" t="s">
        <v>33</v>
      </c>
      <c r="H1006" s="37">
        <v>34.86</v>
      </c>
      <c r="I1006" s="37">
        <v>34.86</v>
      </c>
      <c r="J1006" s="37">
        <v>34.86</v>
      </c>
      <c r="K1006" s="26"/>
      <c r="L1006" s="26"/>
      <c r="M1006" s="26"/>
      <c r="N1006" s="26"/>
      <c r="O1006" s="26"/>
      <c r="P1006" s="26"/>
      <c r="Q1006" s="17"/>
      <c r="T1006" s="26">
        <v>70.900000000000006</v>
      </c>
      <c r="U1006" s="26">
        <v>70.900000000000006</v>
      </c>
      <c r="V1006" s="26">
        <v>70.900000000000006</v>
      </c>
      <c r="W1006" s="26">
        <f t="shared" si="31"/>
        <v>-36.040000000000006</v>
      </c>
      <c r="X1006" s="26">
        <f t="shared" si="31"/>
        <v>-36.040000000000006</v>
      </c>
      <c r="Y1006" s="26">
        <f t="shared" si="31"/>
        <v>-36.040000000000006</v>
      </c>
    </row>
    <row r="1007" spans="1:25" s="16" customFormat="1" ht="38.25">
      <c r="A1007" s="108" t="str">
        <f t="shared" si="30"/>
        <v>609100603 3 01 S0270000</v>
      </c>
      <c r="B1007" s="214" t="s">
        <v>687</v>
      </c>
      <c r="C1007" s="198" t="s">
        <v>595</v>
      </c>
      <c r="D1007" s="199" t="s">
        <v>317</v>
      </c>
      <c r="E1007" s="199" t="s">
        <v>334</v>
      </c>
      <c r="F1007" s="199" t="s">
        <v>688</v>
      </c>
      <c r="G1007" s="199" t="s">
        <v>9</v>
      </c>
      <c r="H1007" s="37">
        <v>1751.86</v>
      </c>
      <c r="I1007" s="37">
        <v>1751.86</v>
      </c>
      <c r="J1007" s="37">
        <v>1751.86</v>
      </c>
      <c r="K1007" s="19"/>
      <c r="L1007" s="19"/>
      <c r="M1007" s="19"/>
      <c r="N1007" s="19"/>
      <c r="O1007" s="19"/>
      <c r="P1007" s="19"/>
      <c r="Q1007" s="17"/>
      <c r="T1007" s="19">
        <v>1745.2</v>
      </c>
      <c r="U1007" s="19">
        <v>390.2</v>
      </c>
      <c r="V1007" s="19">
        <v>390.2</v>
      </c>
      <c r="W1007" s="19">
        <f t="shared" si="31"/>
        <v>6.6599999999998545</v>
      </c>
      <c r="X1007" s="19">
        <f t="shared" si="31"/>
        <v>1361.6599999999999</v>
      </c>
      <c r="Y1007" s="19">
        <f t="shared" si="31"/>
        <v>1361.6599999999999</v>
      </c>
    </row>
    <row r="1008" spans="1:25" s="16" customFormat="1" ht="25.5">
      <c r="A1008" s="108" t="str">
        <f t="shared" si="30"/>
        <v>609100603 3 01 S0270240</v>
      </c>
      <c r="B1008" s="214" t="s">
        <v>28</v>
      </c>
      <c r="C1008" s="198" t="s">
        <v>595</v>
      </c>
      <c r="D1008" s="199" t="s">
        <v>317</v>
      </c>
      <c r="E1008" s="199" t="s">
        <v>334</v>
      </c>
      <c r="F1008" s="199" t="s">
        <v>688</v>
      </c>
      <c r="G1008" s="199" t="s">
        <v>29</v>
      </c>
      <c r="H1008" s="37">
        <v>1751.86</v>
      </c>
      <c r="I1008" s="37">
        <v>1751.86</v>
      </c>
      <c r="J1008" s="37">
        <v>1751.86</v>
      </c>
      <c r="K1008" s="26"/>
      <c r="L1008" s="26"/>
      <c r="M1008" s="26"/>
      <c r="N1008" s="26"/>
      <c r="O1008" s="26"/>
      <c r="P1008" s="26"/>
      <c r="Q1008" s="17"/>
      <c r="T1008" s="26">
        <v>390.2</v>
      </c>
      <c r="U1008" s="26">
        <v>390.2</v>
      </c>
      <c r="V1008" s="26">
        <v>390.2</v>
      </c>
      <c r="W1008" s="26">
        <f t="shared" si="31"/>
        <v>1361.6599999999999</v>
      </c>
      <c r="X1008" s="26">
        <f t="shared" si="31"/>
        <v>1361.6599999999999</v>
      </c>
      <c r="Y1008" s="26">
        <f t="shared" si="31"/>
        <v>1361.6599999999999</v>
      </c>
    </row>
    <row r="1009" spans="1:25" s="16" customFormat="1" ht="25.5">
      <c r="A1009" s="108" t="str">
        <f t="shared" si="30"/>
        <v>609100677 0 00 00000000</v>
      </c>
      <c r="B1009" s="250" t="s">
        <v>689</v>
      </c>
      <c r="C1009" s="198" t="s">
        <v>595</v>
      </c>
      <c r="D1009" s="199" t="s">
        <v>317</v>
      </c>
      <c r="E1009" s="199" t="s">
        <v>334</v>
      </c>
      <c r="F1009" s="198" t="s">
        <v>690</v>
      </c>
      <c r="G1009" s="199" t="s">
        <v>9</v>
      </c>
      <c r="H1009" s="39">
        <v>64711.930000000008</v>
      </c>
      <c r="I1009" s="39">
        <v>62680.76</v>
      </c>
      <c r="J1009" s="39">
        <v>62718.820000000007</v>
      </c>
      <c r="K1009" s="26"/>
      <c r="L1009" s="26"/>
      <c r="M1009" s="26"/>
      <c r="N1009" s="26"/>
      <c r="O1009" s="26"/>
      <c r="P1009" s="26"/>
      <c r="Q1009" s="17"/>
      <c r="T1009" s="26">
        <v>390.2</v>
      </c>
      <c r="U1009" s="26">
        <v>390.2</v>
      </c>
      <c r="V1009" s="26">
        <v>390.2</v>
      </c>
      <c r="W1009" s="26">
        <f t="shared" si="31"/>
        <v>64321.73000000001</v>
      </c>
      <c r="X1009" s="26">
        <f t="shared" si="31"/>
        <v>62290.560000000005</v>
      </c>
      <c r="Y1009" s="26">
        <f t="shared" si="31"/>
        <v>62328.62000000001</v>
      </c>
    </row>
    <row r="1010" spans="1:25" s="16" customFormat="1" ht="38.25">
      <c r="A1010" s="108" t="str">
        <f t="shared" si="30"/>
        <v>609100677 1 00 00000000</v>
      </c>
      <c r="B1010" s="250" t="s">
        <v>691</v>
      </c>
      <c r="C1010" s="198" t="s">
        <v>595</v>
      </c>
      <c r="D1010" s="199" t="s">
        <v>317</v>
      </c>
      <c r="E1010" s="199" t="s">
        <v>334</v>
      </c>
      <c r="F1010" s="198" t="s">
        <v>692</v>
      </c>
      <c r="G1010" s="199" t="s">
        <v>9</v>
      </c>
      <c r="H1010" s="39">
        <v>64711.930000000008</v>
      </c>
      <c r="I1010" s="39">
        <v>62680.76</v>
      </c>
      <c r="J1010" s="39">
        <v>62718.820000000007</v>
      </c>
      <c r="K1010" s="26"/>
      <c r="L1010" s="26"/>
      <c r="M1010" s="26"/>
      <c r="N1010" s="26"/>
      <c r="O1010" s="26"/>
      <c r="P1010" s="26"/>
      <c r="Q1010" s="17"/>
      <c r="T1010" s="26">
        <v>390.2</v>
      </c>
      <c r="U1010" s="26">
        <v>390.2</v>
      </c>
      <c r="V1010" s="26">
        <v>390.2</v>
      </c>
      <c r="W1010" s="26">
        <f t="shared" si="31"/>
        <v>64321.73000000001</v>
      </c>
      <c r="X1010" s="26">
        <f t="shared" si="31"/>
        <v>62290.560000000005</v>
      </c>
      <c r="Y1010" s="26">
        <f t="shared" si="31"/>
        <v>62328.62000000001</v>
      </c>
    </row>
    <row r="1011" spans="1:25" s="16" customFormat="1" ht="25.5">
      <c r="A1011" s="108" t="str">
        <f t="shared" si="30"/>
        <v>609100677 1 00 10010000</v>
      </c>
      <c r="B1011" s="253" t="s">
        <v>18</v>
      </c>
      <c r="C1011" s="198" t="s">
        <v>595</v>
      </c>
      <c r="D1011" s="199" t="s">
        <v>317</v>
      </c>
      <c r="E1011" s="199" t="s">
        <v>334</v>
      </c>
      <c r="F1011" s="254" t="s">
        <v>693</v>
      </c>
      <c r="G1011" s="199" t="s">
        <v>9</v>
      </c>
      <c r="H1011" s="39">
        <v>1372.2700000000002</v>
      </c>
      <c r="I1011" s="39">
        <v>1138.6100000000001</v>
      </c>
      <c r="J1011" s="39">
        <v>1138.6100000000001</v>
      </c>
      <c r="K1011" s="26"/>
      <c r="L1011" s="26"/>
      <c r="M1011" s="26"/>
      <c r="N1011" s="26"/>
      <c r="O1011" s="26"/>
      <c r="P1011" s="26"/>
      <c r="Q1011" s="17"/>
      <c r="T1011" s="26">
        <v>350</v>
      </c>
      <c r="U1011" s="26">
        <v>350</v>
      </c>
      <c r="V1011" s="26">
        <v>350</v>
      </c>
      <c r="W1011" s="26">
        <f t="shared" si="31"/>
        <v>1022.2700000000002</v>
      </c>
      <c r="X1011" s="26">
        <f t="shared" si="31"/>
        <v>788.61000000000013</v>
      </c>
      <c r="Y1011" s="26">
        <f t="shared" si="31"/>
        <v>788.61000000000013</v>
      </c>
    </row>
    <row r="1012" spans="1:25" s="16" customFormat="1" ht="25.5">
      <c r="A1012" s="108" t="str">
        <f t="shared" si="30"/>
        <v>609100677 1 00 10010120</v>
      </c>
      <c r="B1012" s="200" t="s">
        <v>20</v>
      </c>
      <c r="C1012" s="198" t="s">
        <v>595</v>
      </c>
      <c r="D1012" s="199" t="s">
        <v>317</v>
      </c>
      <c r="E1012" s="199" t="s">
        <v>334</v>
      </c>
      <c r="F1012" s="254" t="s">
        <v>693</v>
      </c>
      <c r="G1012" s="199" t="s">
        <v>21</v>
      </c>
      <c r="H1012" s="37">
        <v>144.04</v>
      </c>
      <c r="I1012" s="37">
        <v>144.04</v>
      </c>
      <c r="J1012" s="37">
        <v>144.04</v>
      </c>
      <c r="K1012" s="26"/>
      <c r="L1012" s="26"/>
      <c r="M1012" s="26"/>
      <c r="N1012" s="26"/>
      <c r="O1012" s="26"/>
      <c r="P1012" s="26"/>
      <c r="Q1012" s="17"/>
      <c r="T1012" s="26">
        <v>350</v>
      </c>
      <c r="U1012" s="26">
        <v>350</v>
      </c>
      <c r="V1012" s="26">
        <v>350</v>
      </c>
      <c r="W1012" s="26">
        <f t="shared" si="31"/>
        <v>-205.96</v>
      </c>
      <c r="X1012" s="26">
        <f t="shared" si="31"/>
        <v>-205.96</v>
      </c>
      <c r="Y1012" s="26">
        <f t="shared" si="31"/>
        <v>-205.96</v>
      </c>
    </row>
    <row r="1013" spans="1:25" s="16" customFormat="1" ht="25.5">
      <c r="A1013" s="108" t="str">
        <f t="shared" si="30"/>
        <v>609100677 1 00 10010240</v>
      </c>
      <c r="B1013" s="197" t="s">
        <v>28</v>
      </c>
      <c r="C1013" s="198" t="s">
        <v>595</v>
      </c>
      <c r="D1013" s="199" t="s">
        <v>317</v>
      </c>
      <c r="E1013" s="199" t="s">
        <v>334</v>
      </c>
      <c r="F1013" s="254" t="s">
        <v>693</v>
      </c>
      <c r="G1013" s="199" t="s">
        <v>29</v>
      </c>
      <c r="H1013" s="37">
        <v>1226.2900000000002</v>
      </c>
      <c r="I1013" s="37">
        <v>992.63</v>
      </c>
      <c r="J1013" s="37">
        <v>992.63</v>
      </c>
      <c r="K1013" s="20"/>
      <c r="L1013" s="20"/>
      <c r="M1013" s="20"/>
      <c r="N1013" s="20"/>
      <c r="O1013" s="20"/>
      <c r="P1013" s="20"/>
      <c r="Q1013" s="17"/>
      <c r="T1013" s="20">
        <v>40.200000000000003</v>
      </c>
      <c r="U1013" s="20">
        <v>40.200000000000003</v>
      </c>
      <c r="V1013" s="20">
        <v>40.200000000000003</v>
      </c>
      <c r="W1013" s="20">
        <f t="shared" si="31"/>
        <v>1186.0900000000001</v>
      </c>
      <c r="X1013" s="20">
        <f t="shared" si="31"/>
        <v>952.43</v>
      </c>
      <c r="Y1013" s="20">
        <f t="shared" si="31"/>
        <v>952.43</v>
      </c>
    </row>
    <row r="1014" spans="1:25" s="16" customFormat="1">
      <c r="A1014" s="108" t="str">
        <f t="shared" si="30"/>
        <v>609100677 1 00 10010850</v>
      </c>
      <c r="B1014" s="197" t="s">
        <v>32</v>
      </c>
      <c r="C1014" s="198" t="s">
        <v>595</v>
      </c>
      <c r="D1014" s="199" t="s">
        <v>317</v>
      </c>
      <c r="E1014" s="199" t="s">
        <v>334</v>
      </c>
      <c r="F1014" s="254" t="s">
        <v>693</v>
      </c>
      <c r="G1014" s="199" t="s">
        <v>33</v>
      </c>
      <c r="H1014" s="37">
        <v>1.94</v>
      </c>
      <c r="I1014" s="37">
        <v>1.94</v>
      </c>
      <c r="J1014" s="37">
        <v>1.94</v>
      </c>
      <c r="K1014" s="20"/>
      <c r="L1014" s="20"/>
      <c r="M1014" s="20"/>
      <c r="N1014" s="20"/>
      <c r="O1014" s="20"/>
      <c r="P1014" s="20"/>
      <c r="Q1014" s="17"/>
      <c r="T1014" s="20">
        <v>40.200000000000003</v>
      </c>
      <c r="U1014" s="20">
        <v>40.200000000000003</v>
      </c>
      <c r="V1014" s="20">
        <v>40.200000000000003</v>
      </c>
      <c r="W1014" s="20">
        <f t="shared" si="31"/>
        <v>-38.260000000000005</v>
      </c>
      <c r="X1014" s="20">
        <f t="shared" si="31"/>
        <v>-38.260000000000005</v>
      </c>
      <c r="Y1014" s="20">
        <f t="shared" si="31"/>
        <v>-38.260000000000005</v>
      </c>
    </row>
    <row r="1015" spans="1:25" s="16" customFormat="1" ht="25.5">
      <c r="A1015" s="108" t="str">
        <f t="shared" si="30"/>
        <v>609100677 1 00 10020000</v>
      </c>
      <c r="B1015" s="253" t="s">
        <v>38</v>
      </c>
      <c r="C1015" s="198" t="s">
        <v>595</v>
      </c>
      <c r="D1015" s="199" t="s">
        <v>317</v>
      </c>
      <c r="E1015" s="199" t="s">
        <v>334</v>
      </c>
      <c r="F1015" s="254" t="s">
        <v>694</v>
      </c>
      <c r="G1015" s="199" t="s">
        <v>9</v>
      </c>
      <c r="H1015" s="39">
        <v>6163.630000000001</v>
      </c>
      <c r="I1015" s="39">
        <v>6372.0300000000007</v>
      </c>
      <c r="J1015" s="39">
        <v>6372.0300000000007</v>
      </c>
      <c r="K1015" s="20"/>
      <c r="L1015" s="20"/>
      <c r="M1015" s="20"/>
      <c r="N1015" s="20"/>
      <c r="O1015" s="20"/>
      <c r="P1015" s="20"/>
      <c r="Q1015" s="17"/>
      <c r="T1015" s="20">
        <v>1355</v>
      </c>
      <c r="U1015" s="20">
        <v>0</v>
      </c>
      <c r="V1015" s="20">
        <v>0</v>
      </c>
      <c r="W1015" s="20">
        <f t="shared" si="31"/>
        <v>4808.630000000001</v>
      </c>
      <c r="X1015" s="20">
        <f t="shared" si="31"/>
        <v>6372.0300000000007</v>
      </c>
      <c r="Y1015" s="20">
        <f t="shared" si="31"/>
        <v>6372.0300000000007</v>
      </c>
    </row>
    <row r="1016" spans="1:25" s="16" customFormat="1" ht="25.5">
      <c r="A1016" s="108" t="str">
        <f t="shared" si="30"/>
        <v>609100677 1 00 10020120</v>
      </c>
      <c r="B1016" s="200" t="s">
        <v>20</v>
      </c>
      <c r="C1016" s="198" t="s">
        <v>595</v>
      </c>
      <c r="D1016" s="199" t="s">
        <v>317</v>
      </c>
      <c r="E1016" s="199" t="s">
        <v>334</v>
      </c>
      <c r="F1016" s="254" t="s">
        <v>694</v>
      </c>
      <c r="G1016" s="199" t="s">
        <v>21</v>
      </c>
      <c r="H1016" s="37">
        <v>6163.630000000001</v>
      </c>
      <c r="I1016" s="37">
        <v>6372.0300000000007</v>
      </c>
      <c r="J1016" s="37">
        <v>6372.0300000000007</v>
      </c>
      <c r="K1016" s="20"/>
      <c r="L1016" s="20"/>
      <c r="M1016" s="20"/>
      <c r="N1016" s="20"/>
      <c r="O1016" s="20"/>
      <c r="P1016" s="20"/>
      <c r="Q1016" s="17"/>
      <c r="T1016" s="20">
        <v>1355</v>
      </c>
      <c r="U1016" s="20">
        <v>0</v>
      </c>
      <c r="V1016" s="20">
        <v>0</v>
      </c>
      <c r="W1016" s="20">
        <f t="shared" si="31"/>
        <v>4808.630000000001</v>
      </c>
      <c r="X1016" s="20">
        <f t="shared" si="31"/>
        <v>6372.0300000000007</v>
      </c>
      <c r="Y1016" s="20">
        <f t="shared" si="31"/>
        <v>6372.0300000000007</v>
      </c>
    </row>
    <row r="1017" spans="1:25" s="16" customFormat="1" ht="51">
      <c r="A1017" s="108" t="str">
        <f t="shared" si="30"/>
        <v>609100677 1 00 76100000</v>
      </c>
      <c r="B1017" s="253" t="s">
        <v>695</v>
      </c>
      <c r="C1017" s="198" t="s">
        <v>595</v>
      </c>
      <c r="D1017" s="199" t="s">
        <v>317</v>
      </c>
      <c r="E1017" s="199" t="s">
        <v>334</v>
      </c>
      <c r="F1017" s="254" t="s">
        <v>696</v>
      </c>
      <c r="G1017" s="199" t="s">
        <v>9</v>
      </c>
      <c r="H1017" s="39">
        <v>1448.93</v>
      </c>
      <c r="I1017" s="39">
        <v>1396.91</v>
      </c>
      <c r="J1017" s="39">
        <v>1396.91</v>
      </c>
      <c r="K1017" s="20"/>
      <c r="L1017" s="20"/>
      <c r="M1017" s="20"/>
      <c r="N1017" s="20"/>
      <c r="O1017" s="20"/>
      <c r="P1017" s="20"/>
      <c r="Q1017" s="17"/>
      <c r="T1017" s="20">
        <v>1355</v>
      </c>
      <c r="U1017" s="20">
        <v>0</v>
      </c>
      <c r="V1017" s="20">
        <v>0</v>
      </c>
      <c r="W1017" s="20">
        <f t="shared" si="31"/>
        <v>93.930000000000064</v>
      </c>
      <c r="X1017" s="20">
        <f t="shared" si="31"/>
        <v>1396.91</v>
      </c>
      <c r="Y1017" s="20">
        <f t="shared" si="31"/>
        <v>1396.91</v>
      </c>
    </row>
    <row r="1018" spans="1:25" s="16" customFormat="1" ht="25.5">
      <c r="A1018" s="108" t="str">
        <f t="shared" si="30"/>
        <v>609100677 1 00 76100120</v>
      </c>
      <c r="B1018" s="200" t="s">
        <v>20</v>
      </c>
      <c r="C1018" s="198" t="s">
        <v>595</v>
      </c>
      <c r="D1018" s="199" t="s">
        <v>317</v>
      </c>
      <c r="E1018" s="199" t="s">
        <v>334</v>
      </c>
      <c r="F1018" s="254" t="s">
        <v>696</v>
      </c>
      <c r="G1018" s="199" t="s">
        <v>21</v>
      </c>
      <c r="H1018" s="37">
        <v>1238.4000000000001</v>
      </c>
      <c r="I1018" s="37">
        <v>1193.94</v>
      </c>
      <c r="J1018" s="37">
        <v>1193.94</v>
      </c>
      <c r="K1018" s="20"/>
      <c r="L1018" s="20"/>
      <c r="M1018" s="20"/>
      <c r="N1018" s="20"/>
      <c r="O1018" s="20"/>
      <c r="P1018" s="20"/>
      <c r="Q1018" s="17"/>
      <c r="T1018" s="20">
        <v>1355</v>
      </c>
      <c r="U1018" s="20">
        <v>0</v>
      </c>
      <c r="V1018" s="20">
        <v>0</v>
      </c>
      <c r="W1018" s="20">
        <f t="shared" si="31"/>
        <v>-116.59999999999991</v>
      </c>
      <c r="X1018" s="20">
        <f t="shared" si="31"/>
        <v>1193.94</v>
      </c>
      <c r="Y1018" s="20">
        <f t="shared" si="31"/>
        <v>1193.94</v>
      </c>
    </row>
    <row r="1019" spans="1:25" s="16" customFormat="1" ht="25.5">
      <c r="A1019" s="108" t="str">
        <f t="shared" si="30"/>
        <v>609100677 1 00 76100240</v>
      </c>
      <c r="B1019" s="197" t="s">
        <v>28</v>
      </c>
      <c r="C1019" s="198" t="s">
        <v>595</v>
      </c>
      <c r="D1019" s="199" t="s">
        <v>317</v>
      </c>
      <c r="E1019" s="199" t="s">
        <v>334</v>
      </c>
      <c r="F1019" s="254" t="s">
        <v>696</v>
      </c>
      <c r="G1019" s="199" t="s">
        <v>29</v>
      </c>
      <c r="H1019" s="37">
        <v>210.53</v>
      </c>
      <c r="I1019" s="37">
        <v>202.97</v>
      </c>
      <c r="J1019" s="37">
        <v>202.97</v>
      </c>
      <c r="K1019" s="18"/>
      <c r="L1019" s="18"/>
      <c r="M1019" s="18"/>
      <c r="N1019" s="18"/>
      <c r="O1019" s="18"/>
      <c r="P1019" s="18"/>
      <c r="Q1019" s="17"/>
      <c r="T1019" s="18">
        <v>75141.55</v>
      </c>
      <c r="U1019" s="18">
        <v>81217.409999999989</v>
      </c>
      <c r="V1019" s="18">
        <v>88601.17</v>
      </c>
      <c r="W1019" s="18">
        <f t="shared" si="31"/>
        <v>-74931.02</v>
      </c>
      <c r="X1019" s="18">
        <f t="shared" si="31"/>
        <v>-81014.439999999988</v>
      </c>
      <c r="Y1019" s="18">
        <f t="shared" si="31"/>
        <v>-88398.2</v>
      </c>
    </row>
    <row r="1020" spans="1:25" s="16" customFormat="1" ht="38.25">
      <c r="A1020" s="108" t="str">
        <f t="shared" si="30"/>
        <v>609100677 1 00 76210000</v>
      </c>
      <c r="B1020" s="253" t="s">
        <v>697</v>
      </c>
      <c r="C1020" s="198" t="s">
        <v>595</v>
      </c>
      <c r="D1020" s="199" t="s">
        <v>317</v>
      </c>
      <c r="E1020" s="199" t="s">
        <v>334</v>
      </c>
      <c r="F1020" s="254" t="s">
        <v>698</v>
      </c>
      <c r="G1020" s="199" t="s">
        <v>9</v>
      </c>
      <c r="H1020" s="39">
        <v>55518.700000000004</v>
      </c>
      <c r="I1020" s="39">
        <v>53773.21</v>
      </c>
      <c r="J1020" s="39">
        <v>53811.270000000004</v>
      </c>
      <c r="K1020" s="19"/>
      <c r="L1020" s="19"/>
      <c r="M1020" s="19"/>
      <c r="N1020" s="19"/>
      <c r="O1020" s="19"/>
      <c r="P1020" s="19"/>
      <c r="Q1020" s="17"/>
      <c r="T1020" s="19">
        <v>75141.55</v>
      </c>
      <c r="U1020" s="19">
        <v>81217.409999999989</v>
      </c>
      <c r="V1020" s="19">
        <v>88601.17</v>
      </c>
      <c r="W1020" s="19">
        <f t="shared" si="31"/>
        <v>-19622.849999999999</v>
      </c>
      <c r="X1020" s="19">
        <f t="shared" si="31"/>
        <v>-27444.19999999999</v>
      </c>
      <c r="Y1020" s="19">
        <f t="shared" si="31"/>
        <v>-34789.899999999994</v>
      </c>
    </row>
    <row r="1021" spans="1:25" s="16" customFormat="1" ht="25.5">
      <c r="A1021" s="108" t="str">
        <f t="shared" si="30"/>
        <v>609100677 1 00 76210120</v>
      </c>
      <c r="B1021" s="200" t="s">
        <v>20</v>
      </c>
      <c r="C1021" s="198" t="s">
        <v>595</v>
      </c>
      <c r="D1021" s="199" t="s">
        <v>317</v>
      </c>
      <c r="E1021" s="199" t="s">
        <v>334</v>
      </c>
      <c r="F1021" s="254" t="s">
        <v>698</v>
      </c>
      <c r="G1021" s="199" t="s">
        <v>21</v>
      </c>
      <c r="H1021" s="37">
        <v>54016.200000000004</v>
      </c>
      <c r="I1021" s="37">
        <v>52140.04</v>
      </c>
      <c r="J1021" s="37">
        <v>52140.04</v>
      </c>
      <c r="K1021" s="26"/>
      <c r="L1021" s="26"/>
      <c r="M1021" s="26"/>
      <c r="N1021" s="26"/>
      <c r="O1021" s="26"/>
      <c r="P1021" s="26"/>
      <c r="Q1021" s="17"/>
      <c r="T1021" s="26">
        <v>75141.55</v>
      </c>
      <c r="U1021" s="26">
        <v>81217.409999999989</v>
      </c>
      <c r="V1021" s="26">
        <v>88601.17</v>
      </c>
      <c r="W1021" s="26">
        <f t="shared" si="31"/>
        <v>-21125.35</v>
      </c>
      <c r="X1021" s="26">
        <f t="shared" si="31"/>
        <v>-29077.369999999988</v>
      </c>
      <c r="Y1021" s="26">
        <f t="shared" si="31"/>
        <v>-36461.129999999997</v>
      </c>
    </row>
    <row r="1022" spans="1:25" s="16" customFormat="1" ht="25.5">
      <c r="A1022" s="108" t="str">
        <f t="shared" si="30"/>
        <v>609100677 1 00 76210240</v>
      </c>
      <c r="B1022" s="197" t="s">
        <v>28</v>
      </c>
      <c r="C1022" s="198" t="s">
        <v>595</v>
      </c>
      <c r="D1022" s="199" t="s">
        <v>317</v>
      </c>
      <c r="E1022" s="199" t="s">
        <v>334</v>
      </c>
      <c r="F1022" s="254" t="s">
        <v>698</v>
      </c>
      <c r="G1022" s="199" t="s">
        <v>29</v>
      </c>
      <c r="H1022" s="37">
        <v>1400</v>
      </c>
      <c r="I1022" s="37">
        <v>1530.67</v>
      </c>
      <c r="J1022" s="37">
        <v>1568.73</v>
      </c>
      <c r="K1022" s="26"/>
      <c r="L1022" s="26"/>
      <c r="M1022" s="26"/>
      <c r="N1022" s="26"/>
      <c r="O1022" s="26"/>
      <c r="P1022" s="26"/>
      <c r="Q1022" s="17"/>
      <c r="T1022" s="26">
        <v>75141.55</v>
      </c>
      <c r="U1022" s="26">
        <v>81217.409999999989</v>
      </c>
      <c r="V1022" s="26">
        <v>88601.17</v>
      </c>
      <c r="W1022" s="26">
        <f t="shared" si="31"/>
        <v>-73741.55</v>
      </c>
      <c r="X1022" s="26">
        <f t="shared" si="31"/>
        <v>-79686.739999999991</v>
      </c>
      <c r="Y1022" s="26">
        <f t="shared" si="31"/>
        <v>-87032.44</v>
      </c>
    </row>
    <row r="1023" spans="1:25" s="16" customFormat="1">
      <c r="A1023" s="108" t="str">
        <f t="shared" si="30"/>
        <v>609100677 1 00 76210850</v>
      </c>
      <c r="B1023" s="197" t="s">
        <v>32</v>
      </c>
      <c r="C1023" s="198" t="s">
        <v>595</v>
      </c>
      <c r="D1023" s="199" t="s">
        <v>317</v>
      </c>
      <c r="E1023" s="199" t="s">
        <v>334</v>
      </c>
      <c r="F1023" s="254" t="s">
        <v>698</v>
      </c>
      <c r="G1023" s="199" t="s">
        <v>33</v>
      </c>
      <c r="H1023" s="37">
        <v>102.5</v>
      </c>
      <c r="I1023" s="37">
        <v>102.5</v>
      </c>
      <c r="J1023" s="37">
        <v>102.5</v>
      </c>
      <c r="K1023" s="26"/>
      <c r="L1023" s="26"/>
      <c r="M1023" s="26"/>
      <c r="N1023" s="26"/>
      <c r="O1023" s="26"/>
      <c r="P1023" s="26"/>
      <c r="Q1023" s="17"/>
      <c r="T1023" s="26">
        <v>75141.55</v>
      </c>
      <c r="U1023" s="26">
        <v>81217.409999999989</v>
      </c>
      <c r="V1023" s="26">
        <v>88601.17</v>
      </c>
      <c r="W1023" s="26">
        <f t="shared" si="31"/>
        <v>-75039.05</v>
      </c>
      <c r="X1023" s="26">
        <f t="shared" si="31"/>
        <v>-81114.909999999989</v>
      </c>
      <c r="Y1023" s="26">
        <f t="shared" si="31"/>
        <v>-88498.67</v>
      </c>
    </row>
    <row r="1024" spans="1:25" s="47" customFormat="1" ht="191.25">
      <c r="A1024" s="108" t="str">
        <f t="shared" si="30"/>
        <v>609100677 1 00 77460000</v>
      </c>
      <c r="B1024" s="197" t="s">
        <v>1263</v>
      </c>
      <c r="C1024" s="198" t="s">
        <v>595</v>
      </c>
      <c r="D1024" s="199" t="s">
        <v>317</v>
      </c>
      <c r="E1024" s="199" t="s">
        <v>334</v>
      </c>
      <c r="F1024" s="254" t="s">
        <v>1305</v>
      </c>
      <c r="G1024" s="199" t="s">
        <v>9</v>
      </c>
      <c r="H1024" s="37">
        <v>208.4</v>
      </c>
      <c r="I1024" s="37">
        <v>0</v>
      </c>
      <c r="J1024" s="37">
        <v>0</v>
      </c>
      <c r="K1024" s="20"/>
      <c r="L1024" s="20"/>
      <c r="M1024" s="20"/>
      <c r="N1024" s="20"/>
      <c r="O1024" s="20"/>
      <c r="P1024" s="20"/>
      <c r="Q1024" s="17"/>
      <c r="T1024" s="20">
        <v>10916.41</v>
      </c>
      <c r="U1024" s="20">
        <v>10379.76</v>
      </c>
      <c r="V1024" s="20">
        <v>10379.76</v>
      </c>
      <c r="W1024" s="20">
        <f t="shared" si="31"/>
        <v>-10708.01</v>
      </c>
      <c r="X1024" s="20">
        <f t="shared" si="31"/>
        <v>-10379.76</v>
      </c>
      <c r="Y1024" s="20">
        <f t="shared" si="31"/>
        <v>-10379.76</v>
      </c>
    </row>
    <row r="1025" spans="1:25" s="47" customFormat="1" ht="25.5">
      <c r="A1025" s="108" t="str">
        <f t="shared" si="30"/>
        <v>609100677 1 00 77460120</v>
      </c>
      <c r="B1025" s="200" t="s">
        <v>20</v>
      </c>
      <c r="C1025" s="198" t="s">
        <v>595</v>
      </c>
      <c r="D1025" s="199" t="s">
        <v>317</v>
      </c>
      <c r="E1025" s="199" t="s">
        <v>334</v>
      </c>
      <c r="F1025" s="254" t="s">
        <v>1305</v>
      </c>
      <c r="G1025" s="199" t="s">
        <v>21</v>
      </c>
      <c r="H1025" s="37">
        <v>208.4</v>
      </c>
      <c r="I1025" s="37">
        <v>0</v>
      </c>
      <c r="J1025" s="37">
        <v>0</v>
      </c>
      <c r="K1025" s="20"/>
      <c r="L1025" s="20"/>
      <c r="M1025" s="20"/>
      <c r="N1025" s="20"/>
      <c r="O1025" s="20"/>
      <c r="P1025" s="20"/>
      <c r="Q1025" s="17"/>
      <c r="T1025" s="20"/>
      <c r="U1025" s="20"/>
      <c r="V1025" s="20"/>
      <c r="W1025" s="20">
        <f t="shared" si="31"/>
        <v>208.4</v>
      </c>
      <c r="X1025" s="20">
        <f t="shared" si="31"/>
        <v>0</v>
      </c>
      <c r="Y1025" s="20">
        <f t="shared" si="31"/>
        <v>0</v>
      </c>
    </row>
    <row r="1026" spans="1:25" s="47" customFormat="1">
      <c r="A1026" s="108" t="str">
        <f t="shared" si="30"/>
        <v/>
      </c>
      <c r="B1026" s="197"/>
      <c r="C1026" s="198"/>
      <c r="D1026" s="199"/>
      <c r="E1026" s="199"/>
      <c r="F1026" s="254"/>
      <c r="G1026" s="199"/>
      <c r="H1026" s="37"/>
      <c r="I1026" s="37"/>
      <c r="J1026" s="37"/>
      <c r="K1026" s="20"/>
      <c r="L1026" s="20"/>
      <c r="M1026" s="20"/>
      <c r="N1026" s="20"/>
      <c r="O1026" s="20"/>
      <c r="P1026" s="20"/>
      <c r="Q1026" s="17"/>
      <c r="T1026" s="20">
        <v>689.65</v>
      </c>
      <c r="U1026" s="20">
        <v>0</v>
      </c>
      <c r="V1026" s="20">
        <v>0</v>
      </c>
      <c r="W1026" s="20">
        <f t="shared" si="31"/>
        <v>-689.65</v>
      </c>
      <c r="X1026" s="20">
        <f t="shared" si="31"/>
        <v>0</v>
      </c>
      <c r="Y1026" s="20">
        <f t="shared" si="31"/>
        <v>0</v>
      </c>
    </row>
    <row r="1027" spans="1:25" s="47" customFormat="1" ht="25.5">
      <c r="A1027" s="108" t="str">
        <f t="shared" si="30"/>
        <v>611000000 0 00 00000000</v>
      </c>
      <c r="B1027" s="202" t="s">
        <v>699</v>
      </c>
      <c r="C1027" s="189" t="s">
        <v>406</v>
      </c>
      <c r="D1027" s="190" t="s">
        <v>7</v>
      </c>
      <c r="E1027" s="190" t="s">
        <v>7</v>
      </c>
      <c r="F1027" s="190" t="s">
        <v>8</v>
      </c>
      <c r="G1027" s="190" t="s">
        <v>9</v>
      </c>
      <c r="H1027" s="25">
        <v>213207.00999999998</v>
      </c>
      <c r="I1027" s="25">
        <v>189810.43</v>
      </c>
      <c r="J1027" s="25">
        <v>189810.43</v>
      </c>
      <c r="K1027" s="20"/>
      <c r="L1027" s="20"/>
      <c r="M1027" s="20"/>
      <c r="N1027" s="20"/>
      <c r="O1027" s="20"/>
      <c r="P1027" s="20"/>
      <c r="Q1027" s="17"/>
      <c r="T1027" s="20">
        <v>10916.41</v>
      </c>
      <c r="U1027" s="20">
        <v>10379.76</v>
      </c>
      <c r="V1027" s="20">
        <v>10379.76</v>
      </c>
      <c r="W1027" s="20">
        <f t="shared" si="31"/>
        <v>202290.59999999998</v>
      </c>
      <c r="X1027" s="20">
        <f t="shared" si="31"/>
        <v>179430.66999999998</v>
      </c>
      <c r="Y1027" s="20">
        <f t="shared" si="31"/>
        <v>179430.66999999998</v>
      </c>
    </row>
    <row r="1028" spans="1:25" s="16" customFormat="1">
      <c r="A1028" s="108" t="str">
        <f t="shared" si="30"/>
        <v>611070000 0 00 00000000</v>
      </c>
      <c r="B1028" s="191" t="s">
        <v>228</v>
      </c>
      <c r="C1028" s="192" t="s">
        <v>406</v>
      </c>
      <c r="D1028" s="193" t="s">
        <v>229</v>
      </c>
      <c r="E1028" s="193" t="s">
        <v>7</v>
      </c>
      <c r="F1028" s="193" t="s">
        <v>8</v>
      </c>
      <c r="G1028" s="193" t="s">
        <v>9</v>
      </c>
      <c r="H1028" s="18">
        <v>155783.79999999999</v>
      </c>
      <c r="I1028" s="18">
        <v>153719.62</v>
      </c>
      <c r="J1028" s="18">
        <v>153719.62</v>
      </c>
      <c r="K1028" s="20"/>
      <c r="L1028" s="20"/>
      <c r="M1028" s="20"/>
      <c r="N1028" s="20"/>
      <c r="O1028" s="20"/>
      <c r="P1028" s="20"/>
      <c r="Q1028" s="17"/>
      <c r="T1028" s="20">
        <v>64225.14</v>
      </c>
      <c r="U1028" s="20">
        <v>70837.649999999994</v>
      </c>
      <c r="V1028" s="20">
        <v>78221.41</v>
      </c>
      <c r="W1028" s="20">
        <f t="shared" si="31"/>
        <v>91558.659999999989</v>
      </c>
      <c r="X1028" s="20">
        <f t="shared" si="31"/>
        <v>82881.97</v>
      </c>
      <c r="Y1028" s="20">
        <f t="shared" si="31"/>
        <v>75498.209999999992</v>
      </c>
    </row>
    <row r="1029" spans="1:25" s="16" customFormat="1">
      <c r="A1029" s="108" t="str">
        <f t="shared" si="30"/>
        <v>611070300 0 00 00000000</v>
      </c>
      <c r="B1029" s="194" t="s">
        <v>458</v>
      </c>
      <c r="C1029" s="195" t="s">
        <v>406</v>
      </c>
      <c r="D1029" s="196" t="s">
        <v>229</v>
      </c>
      <c r="E1029" s="196" t="s">
        <v>13</v>
      </c>
      <c r="F1029" s="196" t="s">
        <v>8</v>
      </c>
      <c r="G1029" s="196" t="s">
        <v>9</v>
      </c>
      <c r="H1029" s="19">
        <v>155783.79999999999</v>
      </c>
      <c r="I1029" s="19">
        <v>153719.62</v>
      </c>
      <c r="J1029" s="19">
        <v>153719.62</v>
      </c>
      <c r="K1029" s="20"/>
      <c r="L1029" s="20"/>
      <c r="M1029" s="20"/>
      <c r="N1029" s="20"/>
      <c r="O1029" s="20"/>
      <c r="P1029" s="20"/>
      <c r="Q1029" s="17"/>
      <c r="T1029" s="20">
        <v>64225.14</v>
      </c>
      <c r="U1029" s="20">
        <v>70837.649999999994</v>
      </c>
      <c r="V1029" s="20">
        <v>78221.41</v>
      </c>
      <c r="W1029" s="20">
        <f t="shared" si="31"/>
        <v>91558.659999999989</v>
      </c>
      <c r="X1029" s="20">
        <f t="shared" si="31"/>
        <v>82881.97</v>
      </c>
      <c r="Y1029" s="20">
        <f t="shared" si="31"/>
        <v>75498.209999999992</v>
      </c>
    </row>
    <row r="1030" spans="1:25" s="16" customFormat="1" ht="25.5">
      <c r="A1030" s="108" t="str">
        <f t="shared" ref="A1030:A1093" si="32">C1030&amp;D1030&amp;E1030&amp;F1030&amp;G1030</f>
        <v>611070308 0 00 00000000</v>
      </c>
      <c r="B1030" s="197" t="s">
        <v>700</v>
      </c>
      <c r="C1030" s="198" t="s">
        <v>406</v>
      </c>
      <c r="D1030" s="199" t="s">
        <v>229</v>
      </c>
      <c r="E1030" s="199" t="s">
        <v>13</v>
      </c>
      <c r="F1030" s="199" t="s">
        <v>701</v>
      </c>
      <c r="G1030" s="199" t="s">
        <v>9</v>
      </c>
      <c r="H1030" s="20">
        <v>155550.25</v>
      </c>
      <c r="I1030" s="20">
        <v>153486.07</v>
      </c>
      <c r="J1030" s="20">
        <v>153486.07</v>
      </c>
      <c r="K1030" s="18"/>
      <c r="L1030" s="18"/>
      <c r="M1030" s="18"/>
      <c r="N1030" s="18"/>
      <c r="O1030" s="18"/>
      <c r="P1030" s="18"/>
      <c r="Q1030" s="17"/>
      <c r="T1030" s="18">
        <v>36427.89</v>
      </c>
      <c r="U1030" s="18">
        <v>20216.12</v>
      </c>
      <c r="V1030" s="18">
        <v>20204.12</v>
      </c>
      <c r="W1030" s="18">
        <f t="shared" si="31"/>
        <v>119122.36</v>
      </c>
      <c r="X1030" s="18">
        <f t="shared" si="31"/>
        <v>133269.95000000001</v>
      </c>
      <c r="Y1030" s="18">
        <f t="shared" si="31"/>
        <v>133281.95000000001</v>
      </c>
    </row>
    <row r="1031" spans="1:25" s="16" customFormat="1" ht="38.25">
      <c r="A1031" s="108" t="str">
        <f t="shared" si="32"/>
        <v>611070308 1 00 00000000</v>
      </c>
      <c r="B1031" s="197" t="s">
        <v>702</v>
      </c>
      <c r="C1031" s="198" t="s">
        <v>406</v>
      </c>
      <c r="D1031" s="199" t="s">
        <v>229</v>
      </c>
      <c r="E1031" s="199" t="s">
        <v>13</v>
      </c>
      <c r="F1031" s="199" t="s">
        <v>703</v>
      </c>
      <c r="G1031" s="199" t="s">
        <v>9</v>
      </c>
      <c r="H1031" s="20">
        <v>155550.25</v>
      </c>
      <c r="I1031" s="20">
        <v>153486.07</v>
      </c>
      <c r="J1031" s="20">
        <v>153486.07</v>
      </c>
      <c r="K1031" s="19"/>
      <c r="L1031" s="19"/>
      <c r="M1031" s="19"/>
      <c r="N1031" s="19"/>
      <c r="O1031" s="19"/>
      <c r="P1031" s="19"/>
      <c r="Q1031" s="17"/>
      <c r="T1031" s="19">
        <v>1543</v>
      </c>
      <c r="U1031" s="19">
        <v>1539</v>
      </c>
      <c r="V1031" s="19">
        <v>1527</v>
      </c>
      <c r="W1031" s="19">
        <f t="shared" si="31"/>
        <v>154007.25</v>
      </c>
      <c r="X1031" s="19">
        <f t="shared" si="31"/>
        <v>151947.07</v>
      </c>
      <c r="Y1031" s="19">
        <f t="shared" si="31"/>
        <v>151959.07</v>
      </c>
    </row>
    <row r="1032" spans="1:25" s="16" customFormat="1" ht="38.25">
      <c r="A1032" s="108" t="str">
        <f t="shared" si="32"/>
        <v>611070308 1 01 00000000</v>
      </c>
      <c r="B1032" s="197" t="s">
        <v>704</v>
      </c>
      <c r="C1032" s="198" t="s">
        <v>406</v>
      </c>
      <c r="D1032" s="199" t="s">
        <v>229</v>
      </c>
      <c r="E1032" s="199" t="s">
        <v>13</v>
      </c>
      <c r="F1032" s="199" t="s">
        <v>705</v>
      </c>
      <c r="G1032" s="199" t="s">
        <v>9</v>
      </c>
      <c r="H1032" s="20">
        <v>155550.25</v>
      </c>
      <c r="I1032" s="20">
        <v>153486.07</v>
      </c>
      <c r="J1032" s="20">
        <v>153486.07</v>
      </c>
      <c r="K1032" s="26"/>
      <c r="L1032" s="26"/>
      <c r="M1032" s="26"/>
      <c r="N1032" s="26"/>
      <c r="O1032" s="26"/>
      <c r="P1032" s="26"/>
      <c r="Q1032" s="17"/>
      <c r="T1032" s="26">
        <v>1543</v>
      </c>
      <c r="U1032" s="26">
        <v>1539</v>
      </c>
      <c r="V1032" s="26">
        <v>1527</v>
      </c>
      <c r="W1032" s="26">
        <f t="shared" ref="W1032:Y1095" si="33">H1032-T1032</f>
        <v>154007.25</v>
      </c>
      <c r="X1032" s="26">
        <f t="shared" si="33"/>
        <v>151947.07</v>
      </c>
      <c r="Y1032" s="26">
        <f t="shared" si="33"/>
        <v>151959.07</v>
      </c>
    </row>
    <row r="1033" spans="1:25" s="16" customFormat="1" ht="25.5">
      <c r="A1033" s="108" t="str">
        <f t="shared" si="32"/>
        <v>611070308 1 01 11010000</v>
      </c>
      <c r="B1033" s="249" t="s">
        <v>136</v>
      </c>
      <c r="C1033" s="198" t="s">
        <v>406</v>
      </c>
      <c r="D1033" s="199" t="s">
        <v>229</v>
      </c>
      <c r="E1033" s="199" t="s">
        <v>13</v>
      </c>
      <c r="F1033" s="199" t="s">
        <v>706</v>
      </c>
      <c r="G1033" s="199" t="s">
        <v>9</v>
      </c>
      <c r="H1033" s="20">
        <v>153962.34</v>
      </c>
      <c r="I1033" s="20">
        <v>153486.07</v>
      </c>
      <c r="J1033" s="20">
        <v>153486.07</v>
      </c>
      <c r="K1033" s="26"/>
      <c r="L1033" s="26"/>
      <c r="M1033" s="26"/>
      <c r="N1033" s="26"/>
      <c r="O1033" s="26"/>
      <c r="P1033" s="26"/>
      <c r="Q1033" s="17"/>
      <c r="T1033" s="26">
        <v>1543</v>
      </c>
      <c r="U1033" s="26">
        <v>1539</v>
      </c>
      <c r="V1033" s="26">
        <v>1527</v>
      </c>
      <c r="W1033" s="26">
        <f t="shared" si="33"/>
        <v>152419.34</v>
      </c>
      <c r="X1033" s="26">
        <f t="shared" si="33"/>
        <v>151947.07</v>
      </c>
      <c r="Y1033" s="26">
        <f t="shared" si="33"/>
        <v>151959.07</v>
      </c>
    </row>
    <row r="1034" spans="1:25" s="16" customFormat="1">
      <c r="A1034" s="108" t="str">
        <f t="shared" si="32"/>
        <v>611070308 1 01 11010610</v>
      </c>
      <c r="B1034" s="205" t="s">
        <v>403</v>
      </c>
      <c r="C1034" s="198" t="s">
        <v>406</v>
      </c>
      <c r="D1034" s="199" t="s">
        <v>229</v>
      </c>
      <c r="E1034" s="199" t="s">
        <v>13</v>
      </c>
      <c r="F1034" s="199" t="s">
        <v>706</v>
      </c>
      <c r="G1034" s="199" t="s">
        <v>404</v>
      </c>
      <c r="H1034" s="20">
        <v>153962.34</v>
      </c>
      <c r="I1034" s="20">
        <v>153486.07</v>
      </c>
      <c r="J1034" s="20">
        <v>153486.07</v>
      </c>
      <c r="K1034" s="26"/>
      <c r="L1034" s="26"/>
      <c r="M1034" s="26"/>
      <c r="N1034" s="26"/>
      <c r="O1034" s="26"/>
      <c r="P1034" s="26"/>
      <c r="Q1034" s="17"/>
      <c r="T1034" s="26">
        <v>1543</v>
      </c>
      <c r="U1034" s="26">
        <v>1539</v>
      </c>
      <c r="V1034" s="26">
        <v>1527</v>
      </c>
      <c r="W1034" s="26">
        <f t="shared" si="33"/>
        <v>152419.34</v>
      </c>
      <c r="X1034" s="26">
        <f t="shared" si="33"/>
        <v>151947.07</v>
      </c>
      <c r="Y1034" s="26">
        <f t="shared" si="33"/>
        <v>151959.07</v>
      </c>
    </row>
    <row r="1035" spans="1:25" s="16" customFormat="1" ht="191.25">
      <c r="A1035" s="108" t="str">
        <f t="shared" si="32"/>
        <v>611070308 1 01 77460000</v>
      </c>
      <c r="B1035" s="197" t="s">
        <v>1263</v>
      </c>
      <c r="C1035" s="198" t="s">
        <v>406</v>
      </c>
      <c r="D1035" s="199" t="s">
        <v>229</v>
      </c>
      <c r="E1035" s="199" t="s">
        <v>13</v>
      </c>
      <c r="F1035" s="199" t="s">
        <v>1306</v>
      </c>
      <c r="G1035" s="199" t="s">
        <v>9</v>
      </c>
      <c r="H1035" s="20">
        <v>1587.91</v>
      </c>
      <c r="I1035" s="20">
        <v>0</v>
      </c>
      <c r="J1035" s="20">
        <v>0</v>
      </c>
      <c r="K1035" s="26"/>
      <c r="L1035" s="26"/>
      <c r="M1035" s="26"/>
      <c r="N1035" s="26"/>
      <c r="O1035" s="26"/>
      <c r="P1035" s="26"/>
      <c r="Q1035" s="17"/>
      <c r="T1035" s="26">
        <v>1543</v>
      </c>
      <c r="U1035" s="26">
        <v>1539</v>
      </c>
      <c r="V1035" s="26">
        <v>1527</v>
      </c>
      <c r="W1035" s="26">
        <f t="shared" si="33"/>
        <v>44.910000000000082</v>
      </c>
      <c r="X1035" s="26">
        <f t="shared" si="33"/>
        <v>-1539</v>
      </c>
      <c r="Y1035" s="26">
        <f t="shared" si="33"/>
        <v>-1527</v>
      </c>
    </row>
    <row r="1036" spans="1:25" s="16" customFormat="1">
      <c r="A1036" s="108" t="str">
        <f t="shared" si="32"/>
        <v>611070308 1 01 77460610</v>
      </c>
      <c r="B1036" s="205" t="s">
        <v>403</v>
      </c>
      <c r="C1036" s="198" t="s">
        <v>406</v>
      </c>
      <c r="D1036" s="199" t="s">
        <v>229</v>
      </c>
      <c r="E1036" s="199" t="s">
        <v>13</v>
      </c>
      <c r="F1036" s="199" t="s">
        <v>1306</v>
      </c>
      <c r="G1036" s="199" t="s">
        <v>404</v>
      </c>
      <c r="H1036" s="20">
        <v>1587.91</v>
      </c>
      <c r="I1036" s="20">
        <v>0</v>
      </c>
      <c r="J1036" s="20">
        <v>0</v>
      </c>
      <c r="K1036" s="26"/>
      <c r="L1036" s="26"/>
      <c r="M1036" s="26"/>
      <c r="N1036" s="26"/>
      <c r="O1036" s="26"/>
      <c r="P1036" s="26"/>
      <c r="Q1036" s="17"/>
      <c r="T1036" s="26">
        <v>1543</v>
      </c>
      <c r="U1036" s="26">
        <v>1539</v>
      </c>
      <c r="V1036" s="26">
        <v>1527</v>
      </c>
      <c r="W1036" s="26">
        <f t="shared" si="33"/>
        <v>44.910000000000082</v>
      </c>
      <c r="X1036" s="26">
        <f t="shared" si="33"/>
        <v>-1539</v>
      </c>
      <c r="Y1036" s="26">
        <f t="shared" si="33"/>
        <v>-1527</v>
      </c>
    </row>
    <row r="1037" spans="1:25" s="16" customFormat="1" ht="63.75">
      <c r="A1037" s="108" t="str">
        <f t="shared" si="32"/>
        <v>611070316 0 00 00000000</v>
      </c>
      <c r="B1037" s="197" t="s">
        <v>420</v>
      </c>
      <c r="C1037" s="198" t="s">
        <v>406</v>
      </c>
      <c r="D1037" s="199" t="s">
        <v>229</v>
      </c>
      <c r="E1037" s="199" t="s">
        <v>13</v>
      </c>
      <c r="F1037" s="199" t="s">
        <v>421</v>
      </c>
      <c r="G1037" s="199" t="s">
        <v>9</v>
      </c>
      <c r="H1037" s="20">
        <v>233.55</v>
      </c>
      <c r="I1037" s="20">
        <v>233.55</v>
      </c>
      <c r="J1037" s="20">
        <v>233.55</v>
      </c>
      <c r="K1037" s="19"/>
      <c r="L1037" s="19"/>
      <c r="M1037" s="19"/>
      <c r="N1037" s="19"/>
      <c r="O1037" s="19"/>
      <c r="P1037" s="19"/>
      <c r="Q1037" s="17"/>
      <c r="T1037" s="19">
        <v>34884.89</v>
      </c>
      <c r="U1037" s="19">
        <v>18677.12</v>
      </c>
      <c r="V1037" s="19">
        <v>18677.12</v>
      </c>
      <c r="W1037" s="19">
        <f t="shared" si="33"/>
        <v>-34651.339999999997</v>
      </c>
      <c r="X1037" s="19">
        <f t="shared" si="33"/>
        <v>-18443.57</v>
      </c>
      <c r="Y1037" s="19">
        <f t="shared" si="33"/>
        <v>-18443.57</v>
      </c>
    </row>
    <row r="1038" spans="1:25" s="16" customFormat="1" ht="25.5">
      <c r="A1038" s="108" t="str">
        <f t="shared" si="32"/>
        <v>611070316 2 00 00000000</v>
      </c>
      <c r="B1038" s="197" t="s">
        <v>422</v>
      </c>
      <c r="C1038" s="198" t="s">
        <v>406</v>
      </c>
      <c r="D1038" s="199" t="s">
        <v>229</v>
      </c>
      <c r="E1038" s="199" t="s">
        <v>13</v>
      </c>
      <c r="F1038" s="199" t="s">
        <v>423</v>
      </c>
      <c r="G1038" s="199" t="s">
        <v>9</v>
      </c>
      <c r="H1038" s="20">
        <v>233.55</v>
      </c>
      <c r="I1038" s="20">
        <v>233.55</v>
      </c>
      <c r="J1038" s="20">
        <v>233.55</v>
      </c>
      <c r="K1038" s="26"/>
      <c r="L1038" s="26"/>
      <c r="M1038" s="26"/>
      <c r="N1038" s="26"/>
      <c r="O1038" s="26"/>
      <c r="P1038" s="26"/>
      <c r="Q1038" s="17"/>
      <c r="T1038" s="26">
        <v>32384.89</v>
      </c>
      <c r="U1038" s="26">
        <v>18677.12</v>
      </c>
      <c r="V1038" s="26">
        <v>18677.12</v>
      </c>
      <c r="W1038" s="26">
        <f t="shared" si="33"/>
        <v>-32151.34</v>
      </c>
      <c r="X1038" s="26">
        <f t="shared" si="33"/>
        <v>-18443.57</v>
      </c>
      <c r="Y1038" s="26">
        <f t="shared" si="33"/>
        <v>-18443.57</v>
      </c>
    </row>
    <row r="1039" spans="1:25" s="16" customFormat="1" ht="25.5">
      <c r="A1039" s="108" t="str">
        <f t="shared" si="32"/>
        <v>611070316 2 02 00000000</v>
      </c>
      <c r="B1039" s="197" t="s">
        <v>424</v>
      </c>
      <c r="C1039" s="198" t="s">
        <v>406</v>
      </c>
      <c r="D1039" s="199" t="s">
        <v>229</v>
      </c>
      <c r="E1039" s="199" t="s">
        <v>13</v>
      </c>
      <c r="F1039" s="199" t="s">
        <v>425</v>
      </c>
      <c r="G1039" s="199" t="s">
        <v>9</v>
      </c>
      <c r="H1039" s="20">
        <v>233.55</v>
      </c>
      <c r="I1039" s="20">
        <v>233.55</v>
      </c>
      <c r="J1039" s="20">
        <v>233.55</v>
      </c>
      <c r="K1039" s="26"/>
      <c r="L1039" s="26"/>
      <c r="M1039" s="26"/>
      <c r="N1039" s="26"/>
      <c r="O1039" s="26"/>
      <c r="P1039" s="26"/>
      <c r="Q1039" s="17"/>
      <c r="T1039" s="26">
        <v>32384.89</v>
      </c>
      <c r="U1039" s="26">
        <v>18677.12</v>
      </c>
      <c r="V1039" s="26">
        <v>18677.12</v>
      </c>
      <c r="W1039" s="26">
        <f t="shared" si="33"/>
        <v>-32151.34</v>
      </c>
      <c r="X1039" s="26">
        <f t="shared" si="33"/>
        <v>-18443.57</v>
      </c>
      <c r="Y1039" s="26">
        <f t="shared" si="33"/>
        <v>-18443.57</v>
      </c>
    </row>
    <row r="1040" spans="1:25" s="16" customFormat="1" ht="38.25">
      <c r="A1040" s="108" t="str">
        <f t="shared" si="32"/>
        <v>611070316 2 02 20550000</v>
      </c>
      <c r="B1040" s="197" t="s">
        <v>426</v>
      </c>
      <c r="C1040" s="198" t="s">
        <v>406</v>
      </c>
      <c r="D1040" s="199" t="s">
        <v>229</v>
      </c>
      <c r="E1040" s="199" t="s">
        <v>13</v>
      </c>
      <c r="F1040" s="199" t="s">
        <v>427</v>
      </c>
      <c r="G1040" s="199" t="s">
        <v>9</v>
      </c>
      <c r="H1040" s="20">
        <v>233.55</v>
      </c>
      <c r="I1040" s="20">
        <v>233.55</v>
      </c>
      <c r="J1040" s="20">
        <v>233.55</v>
      </c>
      <c r="K1040" s="26"/>
      <c r="L1040" s="26"/>
      <c r="M1040" s="26"/>
      <c r="N1040" s="26"/>
      <c r="O1040" s="26"/>
      <c r="P1040" s="26"/>
      <c r="Q1040" s="17"/>
      <c r="T1040" s="26">
        <v>32384.89</v>
      </c>
      <c r="U1040" s="26">
        <v>18677.12</v>
      </c>
      <c r="V1040" s="26">
        <v>18677.12</v>
      </c>
      <c r="W1040" s="26">
        <f t="shared" si="33"/>
        <v>-32151.34</v>
      </c>
      <c r="X1040" s="26">
        <f t="shared" si="33"/>
        <v>-18443.57</v>
      </c>
      <c r="Y1040" s="26">
        <f t="shared" si="33"/>
        <v>-18443.57</v>
      </c>
    </row>
    <row r="1041" spans="1:25" s="16" customFormat="1">
      <c r="A1041" s="108" t="str">
        <f t="shared" si="32"/>
        <v>611070316 2 02 20550610</v>
      </c>
      <c r="B1041" s="205" t="s">
        <v>403</v>
      </c>
      <c r="C1041" s="198" t="s">
        <v>406</v>
      </c>
      <c r="D1041" s="199" t="s">
        <v>229</v>
      </c>
      <c r="E1041" s="199" t="s">
        <v>13</v>
      </c>
      <c r="F1041" s="199" t="s">
        <v>427</v>
      </c>
      <c r="G1041" s="199" t="s">
        <v>404</v>
      </c>
      <c r="H1041" s="20">
        <v>233.55</v>
      </c>
      <c r="I1041" s="20">
        <v>233.55</v>
      </c>
      <c r="J1041" s="20">
        <v>233.55</v>
      </c>
      <c r="K1041" s="26"/>
      <c r="L1041" s="26"/>
      <c r="M1041" s="26"/>
      <c r="N1041" s="26"/>
      <c r="O1041" s="26"/>
      <c r="P1041" s="26"/>
      <c r="Q1041" s="17"/>
      <c r="T1041" s="26">
        <v>8748.56</v>
      </c>
      <c r="U1041" s="26">
        <v>8259.32</v>
      </c>
      <c r="V1041" s="26">
        <v>8259.32</v>
      </c>
      <c r="W1041" s="26">
        <f t="shared" si="33"/>
        <v>-8515.01</v>
      </c>
      <c r="X1041" s="26">
        <f t="shared" si="33"/>
        <v>-8025.7699999999995</v>
      </c>
      <c r="Y1041" s="26">
        <f t="shared" si="33"/>
        <v>-8025.7699999999995</v>
      </c>
    </row>
    <row r="1042" spans="1:25" s="16" customFormat="1">
      <c r="A1042" s="108" t="str">
        <f t="shared" si="32"/>
        <v>611110000 0 00 00000000</v>
      </c>
      <c r="B1042" s="191" t="s">
        <v>707</v>
      </c>
      <c r="C1042" s="192" t="s">
        <v>406</v>
      </c>
      <c r="D1042" s="193" t="s">
        <v>342</v>
      </c>
      <c r="E1042" s="193" t="s">
        <v>7</v>
      </c>
      <c r="F1042" s="193" t="s">
        <v>8</v>
      </c>
      <c r="G1042" s="193" t="s">
        <v>9</v>
      </c>
      <c r="H1042" s="18">
        <v>57423.21</v>
      </c>
      <c r="I1042" s="18">
        <v>36090.81</v>
      </c>
      <c r="J1042" s="18">
        <v>36090.81</v>
      </c>
      <c r="K1042" s="26"/>
      <c r="L1042" s="26"/>
      <c r="M1042" s="26"/>
      <c r="N1042" s="26"/>
      <c r="O1042" s="26"/>
      <c r="P1042" s="26"/>
      <c r="Q1042" s="17"/>
      <c r="T1042" s="26">
        <v>8748.56</v>
      </c>
      <c r="U1042" s="26">
        <v>8259.32</v>
      </c>
      <c r="V1042" s="26">
        <v>8259.32</v>
      </c>
      <c r="W1042" s="26">
        <f t="shared" si="33"/>
        <v>48674.65</v>
      </c>
      <c r="X1042" s="26">
        <f t="shared" si="33"/>
        <v>27831.489999999998</v>
      </c>
      <c r="Y1042" s="26">
        <f t="shared" si="33"/>
        <v>27831.489999999998</v>
      </c>
    </row>
    <row r="1043" spans="1:25" s="16" customFormat="1">
      <c r="A1043" s="108" t="str">
        <f t="shared" si="32"/>
        <v>611110100 0 00 00000000</v>
      </c>
      <c r="B1043" s="194" t="s">
        <v>708</v>
      </c>
      <c r="C1043" s="195" t="s">
        <v>406</v>
      </c>
      <c r="D1043" s="196" t="s">
        <v>342</v>
      </c>
      <c r="E1043" s="196" t="s">
        <v>11</v>
      </c>
      <c r="F1043" s="196" t="s">
        <v>8</v>
      </c>
      <c r="G1043" s="196" t="s">
        <v>9</v>
      </c>
      <c r="H1043" s="19">
        <v>3062.7</v>
      </c>
      <c r="I1043" s="19">
        <v>3062.7</v>
      </c>
      <c r="J1043" s="19">
        <v>3062.7</v>
      </c>
      <c r="K1043" s="26"/>
      <c r="L1043" s="26"/>
      <c r="M1043" s="26"/>
      <c r="N1043" s="26"/>
      <c r="O1043" s="26"/>
      <c r="P1043" s="26"/>
      <c r="Q1043" s="17"/>
      <c r="T1043" s="26">
        <v>941.72</v>
      </c>
      <c r="U1043" s="26">
        <v>941.72</v>
      </c>
      <c r="V1043" s="26">
        <v>941.72</v>
      </c>
      <c r="W1043" s="26">
        <f t="shared" si="33"/>
        <v>2120.9799999999996</v>
      </c>
      <c r="X1043" s="26">
        <f t="shared" si="33"/>
        <v>2120.9799999999996</v>
      </c>
      <c r="Y1043" s="26">
        <f t="shared" si="33"/>
        <v>2120.9799999999996</v>
      </c>
    </row>
    <row r="1044" spans="1:25" s="16" customFormat="1" ht="25.5">
      <c r="A1044" s="108" t="str">
        <f t="shared" si="32"/>
        <v>611110108 0 00 00000000</v>
      </c>
      <c r="B1044" s="197" t="s">
        <v>700</v>
      </c>
      <c r="C1044" s="198" t="s">
        <v>406</v>
      </c>
      <c r="D1044" s="199" t="s">
        <v>342</v>
      </c>
      <c r="E1044" s="199" t="s">
        <v>11</v>
      </c>
      <c r="F1044" s="199" t="s">
        <v>701</v>
      </c>
      <c r="G1044" s="199" t="s">
        <v>9</v>
      </c>
      <c r="H1044" s="20">
        <v>3062.7</v>
      </c>
      <c r="I1044" s="20">
        <v>3062.7</v>
      </c>
      <c r="J1044" s="20">
        <v>3062.7</v>
      </c>
      <c r="K1044" s="26"/>
      <c r="L1044" s="26"/>
      <c r="M1044" s="26"/>
      <c r="N1044" s="26"/>
      <c r="O1044" s="26"/>
      <c r="P1044" s="26"/>
      <c r="Q1044" s="17"/>
      <c r="T1044" s="26">
        <v>941.72</v>
      </c>
      <c r="U1044" s="26">
        <v>941.72</v>
      </c>
      <c r="V1044" s="26">
        <v>941.72</v>
      </c>
      <c r="W1044" s="26">
        <f t="shared" si="33"/>
        <v>2120.9799999999996</v>
      </c>
      <c r="X1044" s="26">
        <f t="shared" si="33"/>
        <v>2120.9799999999996</v>
      </c>
      <c r="Y1044" s="26">
        <f t="shared" si="33"/>
        <v>2120.9799999999996</v>
      </c>
    </row>
    <row r="1045" spans="1:25" s="16" customFormat="1" ht="38.25">
      <c r="A1045" s="108" t="str">
        <f t="shared" si="32"/>
        <v>611110108 1 00 00000000</v>
      </c>
      <c r="B1045" s="197" t="s">
        <v>702</v>
      </c>
      <c r="C1045" s="198" t="s">
        <v>406</v>
      </c>
      <c r="D1045" s="199" t="s">
        <v>342</v>
      </c>
      <c r="E1045" s="199" t="s">
        <v>11</v>
      </c>
      <c r="F1045" s="199" t="s">
        <v>703</v>
      </c>
      <c r="G1045" s="199" t="s">
        <v>9</v>
      </c>
      <c r="H1045" s="20">
        <v>3062.7</v>
      </c>
      <c r="I1045" s="20">
        <v>3062.7</v>
      </c>
      <c r="J1045" s="20">
        <v>3062.7</v>
      </c>
      <c r="K1045" s="26"/>
      <c r="L1045" s="26"/>
      <c r="M1045" s="26"/>
      <c r="N1045" s="26"/>
      <c r="O1045" s="26"/>
      <c r="P1045" s="26"/>
      <c r="Q1045" s="17"/>
      <c r="T1045" s="26">
        <v>12476.08</v>
      </c>
      <c r="U1045" s="26">
        <v>9476.08</v>
      </c>
      <c r="V1045" s="26">
        <v>9476.08</v>
      </c>
      <c r="W1045" s="26">
        <f t="shared" si="33"/>
        <v>-9413.380000000001</v>
      </c>
      <c r="X1045" s="26">
        <f t="shared" si="33"/>
        <v>-6413.38</v>
      </c>
      <c r="Y1045" s="26">
        <f t="shared" si="33"/>
        <v>-6413.38</v>
      </c>
    </row>
    <row r="1046" spans="1:25" s="16" customFormat="1" ht="25.5">
      <c r="A1046" s="108" t="str">
        <f t="shared" si="32"/>
        <v>611110108 1 02 00000000</v>
      </c>
      <c r="B1046" s="201" t="s">
        <v>709</v>
      </c>
      <c r="C1046" s="203" t="s">
        <v>406</v>
      </c>
      <c r="D1046" s="204" t="s">
        <v>342</v>
      </c>
      <c r="E1046" s="204" t="s">
        <v>11</v>
      </c>
      <c r="F1046" s="204" t="s">
        <v>710</v>
      </c>
      <c r="G1046" s="204" t="s">
        <v>9</v>
      </c>
      <c r="H1046" s="26">
        <v>3062.7</v>
      </c>
      <c r="I1046" s="26">
        <v>3062.7</v>
      </c>
      <c r="J1046" s="26">
        <v>3062.7</v>
      </c>
      <c r="K1046" s="26"/>
      <c r="L1046" s="26"/>
      <c r="M1046" s="26"/>
      <c r="N1046" s="26"/>
      <c r="O1046" s="26"/>
      <c r="P1046" s="26"/>
      <c r="Q1046" s="17"/>
      <c r="T1046" s="26">
        <v>12476.08</v>
      </c>
      <c r="U1046" s="26">
        <v>9476.08</v>
      </c>
      <c r="V1046" s="26">
        <v>9476.08</v>
      </c>
      <c r="W1046" s="26">
        <f t="shared" si="33"/>
        <v>-9413.380000000001</v>
      </c>
      <c r="X1046" s="26">
        <f t="shared" si="33"/>
        <v>-6413.38</v>
      </c>
      <c r="Y1046" s="26">
        <f t="shared" si="33"/>
        <v>-6413.38</v>
      </c>
    </row>
    <row r="1047" spans="1:25" s="16" customFormat="1" ht="25.5">
      <c r="A1047" s="108" t="str">
        <f t="shared" si="32"/>
        <v>611110108 1 02 11010000</v>
      </c>
      <c r="B1047" s="249" t="s">
        <v>136</v>
      </c>
      <c r="C1047" s="203" t="s">
        <v>406</v>
      </c>
      <c r="D1047" s="204" t="s">
        <v>342</v>
      </c>
      <c r="E1047" s="204" t="s">
        <v>11</v>
      </c>
      <c r="F1047" s="204" t="s">
        <v>711</v>
      </c>
      <c r="G1047" s="204" t="s">
        <v>9</v>
      </c>
      <c r="H1047" s="26">
        <v>2962.1699999999996</v>
      </c>
      <c r="I1047" s="26">
        <v>3062.7</v>
      </c>
      <c r="J1047" s="26">
        <v>3062.7</v>
      </c>
      <c r="K1047" s="26"/>
      <c r="L1047" s="26"/>
      <c r="M1047" s="26"/>
      <c r="N1047" s="26"/>
      <c r="O1047" s="26"/>
      <c r="P1047" s="26"/>
      <c r="Q1047" s="17"/>
      <c r="T1047" s="26">
        <v>1508.53</v>
      </c>
      <c r="U1047" s="26">
        <v>0</v>
      </c>
      <c r="V1047" s="26">
        <v>0</v>
      </c>
      <c r="W1047" s="26">
        <f t="shared" si="33"/>
        <v>1453.6399999999996</v>
      </c>
      <c r="X1047" s="26">
        <f t="shared" si="33"/>
        <v>3062.7</v>
      </c>
      <c r="Y1047" s="26">
        <f t="shared" si="33"/>
        <v>3062.7</v>
      </c>
    </row>
    <row r="1048" spans="1:25" s="16" customFormat="1">
      <c r="A1048" s="108" t="str">
        <f t="shared" si="32"/>
        <v>611110108 1 02 11010610</v>
      </c>
      <c r="B1048" s="205" t="s">
        <v>403</v>
      </c>
      <c r="C1048" s="203" t="s">
        <v>406</v>
      </c>
      <c r="D1048" s="204" t="s">
        <v>342</v>
      </c>
      <c r="E1048" s="204" t="s">
        <v>11</v>
      </c>
      <c r="F1048" s="204" t="s">
        <v>711</v>
      </c>
      <c r="G1048" s="204" t="s">
        <v>404</v>
      </c>
      <c r="H1048" s="20">
        <v>2962.1699999999996</v>
      </c>
      <c r="I1048" s="20">
        <v>3062.7</v>
      </c>
      <c r="J1048" s="20">
        <v>3062.7</v>
      </c>
      <c r="K1048" s="26"/>
      <c r="L1048" s="26"/>
      <c r="M1048" s="26"/>
      <c r="N1048" s="26"/>
      <c r="O1048" s="26"/>
      <c r="P1048" s="26"/>
      <c r="Q1048" s="17"/>
      <c r="T1048" s="26"/>
      <c r="U1048" s="26"/>
      <c r="V1048" s="26"/>
      <c r="W1048" s="26">
        <f t="shared" si="33"/>
        <v>2962.1699999999996</v>
      </c>
      <c r="X1048" s="26">
        <f t="shared" si="33"/>
        <v>3062.7</v>
      </c>
      <c r="Y1048" s="26">
        <f t="shared" si="33"/>
        <v>3062.7</v>
      </c>
    </row>
    <row r="1049" spans="1:25" s="16" customFormat="1" ht="191.25">
      <c r="A1049" s="108" t="str">
        <f t="shared" si="32"/>
        <v>611110108 1 02 77460000</v>
      </c>
      <c r="B1049" s="197" t="s">
        <v>1263</v>
      </c>
      <c r="C1049" s="203" t="s">
        <v>406</v>
      </c>
      <c r="D1049" s="204" t="s">
        <v>342</v>
      </c>
      <c r="E1049" s="204" t="s">
        <v>11</v>
      </c>
      <c r="F1049" s="204" t="s">
        <v>1307</v>
      </c>
      <c r="G1049" s="204" t="s">
        <v>9</v>
      </c>
      <c r="H1049" s="20">
        <v>100.53</v>
      </c>
      <c r="I1049" s="20">
        <v>0</v>
      </c>
      <c r="J1049" s="20">
        <v>0</v>
      </c>
      <c r="K1049" s="26"/>
      <c r="L1049" s="26"/>
      <c r="M1049" s="26"/>
      <c r="N1049" s="26"/>
      <c r="O1049" s="26"/>
      <c r="P1049" s="26"/>
      <c r="Q1049" s="17"/>
      <c r="T1049" s="26">
        <v>305</v>
      </c>
      <c r="U1049" s="26">
        <v>0</v>
      </c>
      <c r="V1049" s="26">
        <v>0</v>
      </c>
      <c r="W1049" s="26">
        <f t="shared" si="33"/>
        <v>-204.47</v>
      </c>
      <c r="X1049" s="26">
        <f t="shared" si="33"/>
        <v>0</v>
      </c>
      <c r="Y1049" s="26">
        <f t="shared" si="33"/>
        <v>0</v>
      </c>
    </row>
    <row r="1050" spans="1:25" s="16" customFormat="1">
      <c r="A1050" s="108" t="str">
        <f t="shared" si="32"/>
        <v>611110108 1 02 77460610</v>
      </c>
      <c r="B1050" s="205" t="s">
        <v>403</v>
      </c>
      <c r="C1050" s="203" t="s">
        <v>406</v>
      </c>
      <c r="D1050" s="204" t="s">
        <v>342</v>
      </c>
      <c r="E1050" s="204" t="s">
        <v>11</v>
      </c>
      <c r="F1050" s="204" t="s">
        <v>1307</v>
      </c>
      <c r="G1050" s="204" t="s">
        <v>404</v>
      </c>
      <c r="H1050" s="20">
        <v>100.53</v>
      </c>
      <c r="I1050" s="20">
        <v>0</v>
      </c>
      <c r="J1050" s="20">
        <v>0</v>
      </c>
      <c r="K1050" s="26"/>
      <c r="L1050" s="26"/>
      <c r="M1050" s="26"/>
      <c r="N1050" s="26"/>
      <c r="O1050" s="26"/>
      <c r="P1050" s="26"/>
      <c r="Q1050" s="17"/>
      <c r="T1050" s="26">
        <v>1203.53</v>
      </c>
      <c r="U1050" s="26">
        <v>0</v>
      </c>
      <c r="V1050" s="26">
        <v>0</v>
      </c>
      <c r="W1050" s="26">
        <f t="shared" si="33"/>
        <v>-1103</v>
      </c>
      <c r="X1050" s="26">
        <f t="shared" si="33"/>
        <v>0</v>
      </c>
      <c r="Y1050" s="26">
        <f t="shared" si="33"/>
        <v>0</v>
      </c>
    </row>
    <row r="1051" spans="1:25" s="16" customFormat="1">
      <c r="A1051" s="108" t="str">
        <f t="shared" si="32"/>
        <v>611110200 0 00 00000000</v>
      </c>
      <c r="B1051" s="194" t="s">
        <v>712</v>
      </c>
      <c r="C1051" s="195" t="s">
        <v>406</v>
      </c>
      <c r="D1051" s="196" t="s">
        <v>342</v>
      </c>
      <c r="E1051" s="196" t="s">
        <v>62</v>
      </c>
      <c r="F1051" s="196" t="s">
        <v>8</v>
      </c>
      <c r="G1051" s="196" t="s">
        <v>9</v>
      </c>
      <c r="H1051" s="19">
        <v>14706.4</v>
      </c>
      <c r="I1051" s="19">
        <v>14924</v>
      </c>
      <c r="J1051" s="19">
        <v>14924</v>
      </c>
      <c r="K1051" s="26"/>
      <c r="L1051" s="26"/>
      <c r="M1051" s="26"/>
      <c r="N1051" s="26"/>
      <c r="O1051" s="26"/>
      <c r="P1051" s="26"/>
      <c r="Q1051" s="17"/>
      <c r="T1051" s="26">
        <v>1508.53</v>
      </c>
      <c r="U1051" s="26">
        <v>0</v>
      </c>
      <c r="V1051" s="26">
        <v>0</v>
      </c>
      <c r="W1051" s="26">
        <f t="shared" si="33"/>
        <v>13197.869999999999</v>
      </c>
      <c r="X1051" s="26">
        <f t="shared" si="33"/>
        <v>14924</v>
      </c>
      <c r="Y1051" s="26">
        <f t="shared" si="33"/>
        <v>14924</v>
      </c>
    </row>
    <row r="1052" spans="1:25" s="16" customFormat="1" ht="25.5">
      <c r="A1052" s="108" t="str">
        <f t="shared" si="32"/>
        <v>611110208 0 00 00000000</v>
      </c>
      <c r="B1052" s="197" t="s">
        <v>700</v>
      </c>
      <c r="C1052" s="198" t="s">
        <v>406</v>
      </c>
      <c r="D1052" s="199" t="s">
        <v>342</v>
      </c>
      <c r="E1052" s="199" t="s">
        <v>62</v>
      </c>
      <c r="F1052" s="199" t="s">
        <v>701</v>
      </c>
      <c r="G1052" s="199" t="s">
        <v>9</v>
      </c>
      <c r="H1052" s="20">
        <v>14706.4</v>
      </c>
      <c r="I1052" s="20">
        <v>14924</v>
      </c>
      <c r="J1052" s="20">
        <v>14924</v>
      </c>
      <c r="K1052" s="26"/>
      <c r="L1052" s="26"/>
      <c r="M1052" s="26"/>
      <c r="N1052" s="26"/>
      <c r="O1052" s="26"/>
      <c r="P1052" s="26"/>
      <c r="Q1052" s="17"/>
      <c r="T1052" s="26">
        <v>8710</v>
      </c>
      <c r="U1052" s="26">
        <v>0</v>
      </c>
      <c r="V1052" s="26">
        <v>0</v>
      </c>
      <c r="W1052" s="26">
        <f t="shared" si="33"/>
        <v>5996.4</v>
      </c>
      <c r="X1052" s="26">
        <f t="shared" si="33"/>
        <v>14924</v>
      </c>
      <c r="Y1052" s="26">
        <f t="shared" si="33"/>
        <v>14924</v>
      </c>
    </row>
    <row r="1053" spans="1:25" s="16" customFormat="1" ht="38.25">
      <c r="A1053" s="108" t="str">
        <f t="shared" si="32"/>
        <v>611110208 1 00 00000000</v>
      </c>
      <c r="B1053" s="197" t="s">
        <v>702</v>
      </c>
      <c r="C1053" s="198" t="s">
        <v>406</v>
      </c>
      <c r="D1053" s="199" t="s">
        <v>342</v>
      </c>
      <c r="E1053" s="199" t="s">
        <v>62</v>
      </c>
      <c r="F1053" s="199" t="s">
        <v>703</v>
      </c>
      <c r="G1053" s="199" t="s">
        <v>9</v>
      </c>
      <c r="H1053" s="20">
        <v>9606.5</v>
      </c>
      <c r="I1053" s="20">
        <v>9606.5</v>
      </c>
      <c r="J1053" s="20">
        <v>9606.5</v>
      </c>
      <c r="K1053" s="26"/>
      <c r="L1053" s="26"/>
      <c r="M1053" s="26"/>
      <c r="N1053" s="26"/>
      <c r="O1053" s="26"/>
      <c r="P1053" s="26"/>
      <c r="Q1053" s="17"/>
      <c r="T1053" s="26"/>
      <c r="U1053" s="26"/>
      <c r="V1053" s="26"/>
      <c r="W1053" s="26">
        <f t="shared" si="33"/>
        <v>9606.5</v>
      </c>
      <c r="X1053" s="26">
        <f t="shared" si="33"/>
        <v>9606.5</v>
      </c>
      <c r="Y1053" s="26">
        <f t="shared" si="33"/>
        <v>9606.5</v>
      </c>
    </row>
    <row r="1054" spans="1:25" s="16" customFormat="1" ht="63.75">
      <c r="A1054" s="108" t="str">
        <f t="shared" si="32"/>
        <v>611110208 1 03 00000000</v>
      </c>
      <c r="B1054" s="197" t="s">
        <v>713</v>
      </c>
      <c r="C1054" s="198" t="s">
        <v>406</v>
      </c>
      <c r="D1054" s="199" t="s">
        <v>342</v>
      </c>
      <c r="E1054" s="199" t="s">
        <v>62</v>
      </c>
      <c r="F1054" s="199" t="s">
        <v>714</v>
      </c>
      <c r="G1054" s="199" t="s">
        <v>9</v>
      </c>
      <c r="H1054" s="20">
        <v>9606.5</v>
      </c>
      <c r="I1054" s="20">
        <v>9606.5</v>
      </c>
      <c r="J1054" s="20">
        <v>9606.5</v>
      </c>
      <c r="K1054" s="26"/>
      <c r="L1054" s="26"/>
      <c r="M1054" s="26"/>
      <c r="N1054" s="26"/>
      <c r="O1054" s="26"/>
      <c r="P1054" s="26"/>
      <c r="Q1054" s="17"/>
      <c r="T1054" s="26">
        <v>2710</v>
      </c>
      <c r="U1054" s="26">
        <v>0</v>
      </c>
      <c r="V1054" s="26">
        <v>0</v>
      </c>
      <c r="W1054" s="26">
        <f t="shared" si="33"/>
        <v>6896.5</v>
      </c>
      <c r="X1054" s="26">
        <f t="shared" si="33"/>
        <v>9606.5</v>
      </c>
      <c r="Y1054" s="26">
        <f t="shared" si="33"/>
        <v>9606.5</v>
      </c>
    </row>
    <row r="1055" spans="1:25" s="16" customFormat="1" ht="25.5">
      <c r="A1055" s="108" t="str">
        <f t="shared" si="32"/>
        <v>611110208 1 03 11010000</v>
      </c>
      <c r="B1055" s="249" t="s">
        <v>136</v>
      </c>
      <c r="C1055" s="203" t="s">
        <v>406</v>
      </c>
      <c r="D1055" s="199" t="s">
        <v>342</v>
      </c>
      <c r="E1055" s="199" t="s">
        <v>62</v>
      </c>
      <c r="F1055" s="204" t="s">
        <v>715</v>
      </c>
      <c r="G1055" s="204" t="s">
        <v>9</v>
      </c>
      <c r="H1055" s="26">
        <v>9606.5</v>
      </c>
      <c r="I1055" s="26">
        <v>9606.5</v>
      </c>
      <c r="J1055" s="26">
        <v>9606.5</v>
      </c>
      <c r="K1055" s="26"/>
      <c r="L1055" s="26"/>
      <c r="M1055" s="26"/>
      <c r="N1055" s="26"/>
      <c r="O1055" s="26"/>
      <c r="P1055" s="26"/>
      <c r="Q1055" s="17"/>
      <c r="T1055" s="26">
        <v>6000</v>
      </c>
      <c r="U1055" s="26">
        <v>0</v>
      </c>
      <c r="V1055" s="26">
        <v>0</v>
      </c>
      <c r="W1055" s="26">
        <f t="shared" si="33"/>
        <v>3606.5</v>
      </c>
      <c r="X1055" s="26">
        <f t="shared" si="33"/>
        <v>9606.5</v>
      </c>
      <c r="Y1055" s="26">
        <f t="shared" si="33"/>
        <v>9606.5</v>
      </c>
    </row>
    <row r="1056" spans="1:25" s="16" customFormat="1">
      <c r="A1056" s="108" t="str">
        <f t="shared" si="32"/>
        <v>611110208 1 03 11010610</v>
      </c>
      <c r="B1056" s="205" t="s">
        <v>403</v>
      </c>
      <c r="C1056" s="203" t="s">
        <v>406</v>
      </c>
      <c r="D1056" s="199" t="s">
        <v>342</v>
      </c>
      <c r="E1056" s="199" t="s">
        <v>62</v>
      </c>
      <c r="F1056" s="204" t="s">
        <v>715</v>
      </c>
      <c r="G1056" s="204" t="s">
        <v>404</v>
      </c>
      <c r="H1056" s="20">
        <v>9606.5</v>
      </c>
      <c r="I1056" s="20">
        <v>9606.5</v>
      </c>
      <c r="J1056" s="20">
        <v>9606.5</v>
      </c>
      <c r="K1056" s="26"/>
      <c r="L1056" s="26"/>
      <c r="M1056" s="26"/>
      <c r="N1056" s="26"/>
      <c r="O1056" s="26"/>
      <c r="P1056" s="26"/>
      <c r="Q1056" s="17"/>
      <c r="T1056" s="26">
        <v>8710</v>
      </c>
      <c r="U1056" s="26">
        <v>0</v>
      </c>
      <c r="V1056" s="26">
        <v>0</v>
      </c>
      <c r="W1056" s="26">
        <f t="shared" si="33"/>
        <v>896.5</v>
      </c>
      <c r="X1056" s="26">
        <f t="shared" si="33"/>
        <v>9606.5</v>
      </c>
      <c r="Y1056" s="26">
        <f t="shared" si="33"/>
        <v>9606.5</v>
      </c>
    </row>
    <row r="1057" spans="1:25" s="16" customFormat="1" ht="25.5">
      <c r="A1057" s="108" t="str">
        <f t="shared" si="32"/>
        <v>611110208 2 00 00000000</v>
      </c>
      <c r="B1057" s="197" t="s">
        <v>716</v>
      </c>
      <c r="C1057" s="198" t="s">
        <v>406</v>
      </c>
      <c r="D1057" s="199" t="s">
        <v>342</v>
      </c>
      <c r="E1057" s="199" t="s">
        <v>62</v>
      </c>
      <c r="F1057" s="199" t="s">
        <v>717</v>
      </c>
      <c r="G1057" s="199" t="s">
        <v>9</v>
      </c>
      <c r="H1057" s="20">
        <v>5099.8999999999996</v>
      </c>
      <c r="I1057" s="20">
        <v>5317.5</v>
      </c>
      <c r="J1057" s="20">
        <v>5317.5</v>
      </c>
      <c r="K1057" s="26"/>
      <c r="L1057" s="26"/>
      <c r="M1057" s="26"/>
      <c r="N1057" s="26"/>
      <c r="O1057" s="26"/>
      <c r="P1057" s="26"/>
      <c r="Q1057" s="17"/>
      <c r="T1057" s="26">
        <v>2500</v>
      </c>
      <c r="U1057" s="26">
        <v>0</v>
      </c>
      <c r="V1057" s="26">
        <v>0</v>
      </c>
      <c r="W1057" s="26">
        <f t="shared" si="33"/>
        <v>2599.8999999999996</v>
      </c>
      <c r="X1057" s="26">
        <f t="shared" si="33"/>
        <v>5317.5</v>
      </c>
      <c r="Y1057" s="26">
        <f t="shared" si="33"/>
        <v>5317.5</v>
      </c>
    </row>
    <row r="1058" spans="1:25" s="16" customFormat="1" ht="25.5">
      <c r="A1058" s="108" t="str">
        <f t="shared" si="32"/>
        <v>611110208 2 01 00000000</v>
      </c>
      <c r="B1058" s="197" t="s">
        <v>718</v>
      </c>
      <c r="C1058" s="198" t="s">
        <v>406</v>
      </c>
      <c r="D1058" s="199" t="s">
        <v>342</v>
      </c>
      <c r="E1058" s="199" t="s">
        <v>62</v>
      </c>
      <c r="F1058" s="199" t="s">
        <v>719</v>
      </c>
      <c r="G1058" s="199" t="s">
        <v>9</v>
      </c>
      <c r="H1058" s="20">
        <v>5032.3999999999996</v>
      </c>
      <c r="I1058" s="20">
        <v>5250</v>
      </c>
      <c r="J1058" s="20">
        <v>5250</v>
      </c>
      <c r="K1058" s="26"/>
      <c r="L1058" s="26"/>
      <c r="M1058" s="26"/>
      <c r="N1058" s="26"/>
      <c r="O1058" s="26"/>
      <c r="P1058" s="26"/>
      <c r="Q1058" s="17"/>
      <c r="T1058" s="26">
        <v>2500</v>
      </c>
      <c r="U1058" s="26">
        <v>0</v>
      </c>
      <c r="V1058" s="26">
        <v>0</v>
      </c>
      <c r="W1058" s="26">
        <f t="shared" si="33"/>
        <v>2532.3999999999996</v>
      </c>
      <c r="X1058" s="26">
        <f t="shared" si="33"/>
        <v>5250</v>
      </c>
      <c r="Y1058" s="26">
        <f t="shared" si="33"/>
        <v>5250</v>
      </c>
    </row>
    <row r="1059" spans="1:25" s="16" customFormat="1" ht="25.5">
      <c r="A1059" s="108" t="str">
        <f t="shared" si="32"/>
        <v>611110208 2 01 20420000</v>
      </c>
      <c r="B1059" s="197" t="s">
        <v>720</v>
      </c>
      <c r="C1059" s="198" t="s">
        <v>406</v>
      </c>
      <c r="D1059" s="199" t="s">
        <v>342</v>
      </c>
      <c r="E1059" s="199" t="s">
        <v>62</v>
      </c>
      <c r="F1059" s="199" t="s">
        <v>721</v>
      </c>
      <c r="G1059" s="199" t="s">
        <v>9</v>
      </c>
      <c r="H1059" s="20">
        <v>5032.3999999999996</v>
      </c>
      <c r="I1059" s="20">
        <v>5250</v>
      </c>
      <c r="J1059" s="20">
        <v>5250</v>
      </c>
      <c r="K1059" s="26"/>
      <c r="L1059" s="26"/>
      <c r="M1059" s="26"/>
      <c r="N1059" s="26"/>
      <c r="O1059" s="26"/>
      <c r="P1059" s="26"/>
      <c r="Q1059" s="17"/>
      <c r="T1059" s="26">
        <v>2500</v>
      </c>
      <c r="U1059" s="26">
        <v>0</v>
      </c>
      <c r="V1059" s="26">
        <v>0</v>
      </c>
      <c r="W1059" s="26">
        <f t="shared" si="33"/>
        <v>2532.3999999999996</v>
      </c>
      <c r="X1059" s="26">
        <f t="shared" si="33"/>
        <v>5250</v>
      </c>
      <c r="Y1059" s="26">
        <f t="shared" si="33"/>
        <v>5250</v>
      </c>
    </row>
    <row r="1060" spans="1:25" s="16" customFormat="1">
      <c r="A1060" s="108" t="str">
        <f t="shared" si="32"/>
        <v>611110208 2 01 20420110</v>
      </c>
      <c r="B1060" s="197" t="s">
        <v>138</v>
      </c>
      <c r="C1060" s="198" t="s">
        <v>406</v>
      </c>
      <c r="D1060" s="199" t="s">
        <v>342</v>
      </c>
      <c r="E1060" s="199" t="s">
        <v>62</v>
      </c>
      <c r="F1060" s="199" t="s">
        <v>721</v>
      </c>
      <c r="G1060" s="199" t="s">
        <v>139</v>
      </c>
      <c r="H1060" s="20">
        <v>3250</v>
      </c>
      <c r="I1060" s="20">
        <v>3250</v>
      </c>
      <c r="J1060" s="20">
        <v>3250</v>
      </c>
      <c r="K1060" s="26"/>
      <c r="L1060" s="26"/>
      <c r="M1060" s="26"/>
      <c r="N1060" s="26"/>
      <c r="O1060" s="26"/>
      <c r="P1060" s="26"/>
      <c r="Q1060" s="17"/>
      <c r="T1060" s="26">
        <v>2500</v>
      </c>
      <c r="U1060" s="26">
        <v>0</v>
      </c>
      <c r="V1060" s="26">
        <v>0</v>
      </c>
      <c r="W1060" s="26">
        <f t="shared" si="33"/>
        <v>750</v>
      </c>
      <c r="X1060" s="26">
        <f t="shared" si="33"/>
        <v>3250</v>
      </c>
      <c r="Y1060" s="26">
        <f t="shared" si="33"/>
        <v>3250</v>
      </c>
    </row>
    <row r="1061" spans="1:25" s="16" customFormat="1" ht="25.5">
      <c r="A1061" s="108" t="str">
        <f t="shared" si="32"/>
        <v>611110208 2 01 20420240</v>
      </c>
      <c r="B1061" s="197" t="s">
        <v>28</v>
      </c>
      <c r="C1061" s="198" t="s">
        <v>406</v>
      </c>
      <c r="D1061" s="199" t="s">
        <v>342</v>
      </c>
      <c r="E1061" s="199" t="s">
        <v>62</v>
      </c>
      <c r="F1061" s="199" t="s">
        <v>721</v>
      </c>
      <c r="G1061" s="199" t="s">
        <v>29</v>
      </c>
      <c r="H1061" s="20">
        <v>1782.4</v>
      </c>
      <c r="I1061" s="20">
        <v>2000</v>
      </c>
      <c r="J1061" s="20">
        <v>2000</v>
      </c>
      <c r="K1061" s="18"/>
      <c r="L1061" s="18"/>
      <c r="M1061" s="18"/>
      <c r="N1061" s="18"/>
      <c r="O1061" s="18"/>
      <c r="P1061" s="18"/>
      <c r="Q1061" s="17"/>
      <c r="T1061" s="18">
        <v>1591</v>
      </c>
      <c r="U1061" s="18">
        <v>1591</v>
      </c>
      <c r="V1061" s="18">
        <v>1591</v>
      </c>
      <c r="W1061" s="18">
        <f t="shared" si="33"/>
        <v>191.40000000000009</v>
      </c>
      <c r="X1061" s="18">
        <f t="shared" si="33"/>
        <v>409</v>
      </c>
      <c r="Y1061" s="18">
        <f t="shared" si="33"/>
        <v>409</v>
      </c>
    </row>
    <row r="1062" spans="1:25" s="16" customFormat="1" ht="38.25">
      <c r="A1062" s="108" t="str">
        <f t="shared" si="32"/>
        <v>611110208 2 02 00000000</v>
      </c>
      <c r="B1062" s="226" t="s">
        <v>723</v>
      </c>
      <c r="C1062" s="198" t="s">
        <v>406</v>
      </c>
      <c r="D1062" s="199" t="s">
        <v>342</v>
      </c>
      <c r="E1062" s="199" t="s">
        <v>62</v>
      </c>
      <c r="F1062" s="199" t="s">
        <v>724</v>
      </c>
      <c r="G1062" s="199" t="s">
        <v>9</v>
      </c>
      <c r="H1062" s="20">
        <v>11.25</v>
      </c>
      <c r="I1062" s="20">
        <v>11.25</v>
      </c>
      <c r="J1062" s="20">
        <v>11.25</v>
      </c>
      <c r="K1062" s="19"/>
      <c r="L1062" s="19"/>
      <c r="M1062" s="19"/>
      <c r="N1062" s="19"/>
      <c r="O1062" s="19"/>
      <c r="P1062" s="19"/>
      <c r="Q1062" s="17"/>
      <c r="T1062" s="19">
        <v>1591</v>
      </c>
      <c r="U1062" s="19">
        <v>1591</v>
      </c>
      <c r="V1062" s="19">
        <v>1591</v>
      </c>
      <c r="W1062" s="19">
        <f t="shared" si="33"/>
        <v>-1579.75</v>
      </c>
      <c r="X1062" s="19">
        <f t="shared" si="33"/>
        <v>-1579.75</v>
      </c>
      <c r="Y1062" s="19">
        <f t="shared" si="33"/>
        <v>-1579.75</v>
      </c>
    </row>
    <row r="1063" spans="1:25" s="16" customFormat="1">
      <c r="A1063" s="108" t="str">
        <f t="shared" si="32"/>
        <v>611110208 2 02 20440000</v>
      </c>
      <c r="B1063" s="200" t="s">
        <v>725</v>
      </c>
      <c r="C1063" s="198" t="s">
        <v>406</v>
      </c>
      <c r="D1063" s="199" t="s">
        <v>342</v>
      </c>
      <c r="E1063" s="199" t="s">
        <v>62</v>
      </c>
      <c r="F1063" s="199" t="s">
        <v>726</v>
      </c>
      <c r="G1063" s="199" t="s">
        <v>9</v>
      </c>
      <c r="H1063" s="20">
        <v>11.25</v>
      </c>
      <c r="I1063" s="20">
        <v>11.25</v>
      </c>
      <c r="J1063" s="20">
        <v>11.25</v>
      </c>
      <c r="K1063" s="26"/>
      <c r="L1063" s="26"/>
      <c r="M1063" s="26"/>
      <c r="N1063" s="26"/>
      <c r="O1063" s="26"/>
      <c r="P1063" s="26"/>
      <c r="Q1063" s="17"/>
      <c r="T1063" s="26">
        <v>1591</v>
      </c>
      <c r="U1063" s="26">
        <v>1591</v>
      </c>
      <c r="V1063" s="26">
        <v>1591</v>
      </c>
      <c r="W1063" s="26">
        <f t="shared" si="33"/>
        <v>-1579.75</v>
      </c>
      <c r="X1063" s="26">
        <f t="shared" si="33"/>
        <v>-1579.75</v>
      </c>
      <c r="Y1063" s="26">
        <f t="shared" si="33"/>
        <v>-1579.75</v>
      </c>
    </row>
    <row r="1064" spans="1:25" s="16" customFormat="1" ht="25.5">
      <c r="A1064" s="108" t="str">
        <f t="shared" si="32"/>
        <v>611110208 2 02 20440240</v>
      </c>
      <c r="B1064" s="197" t="s">
        <v>28</v>
      </c>
      <c r="C1064" s="198" t="s">
        <v>406</v>
      </c>
      <c r="D1064" s="199" t="s">
        <v>342</v>
      </c>
      <c r="E1064" s="199" t="s">
        <v>62</v>
      </c>
      <c r="F1064" s="199" t="s">
        <v>726</v>
      </c>
      <c r="G1064" s="199" t="s">
        <v>29</v>
      </c>
      <c r="H1064" s="20">
        <v>11.25</v>
      </c>
      <c r="I1064" s="20">
        <v>11.25</v>
      </c>
      <c r="J1064" s="20">
        <v>11.25</v>
      </c>
      <c r="K1064" s="26"/>
      <c r="L1064" s="26"/>
      <c r="M1064" s="26"/>
      <c r="N1064" s="26"/>
      <c r="O1064" s="26"/>
      <c r="P1064" s="26"/>
      <c r="Q1064" s="17"/>
      <c r="T1064" s="26">
        <v>1591</v>
      </c>
      <c r="U1064" s="26">
        <v>1591</v>
      </c>
      <c r="V1064" s="26">
        <v>1591</v>
      </c>
      <c r="W1064" s="26">
        <f t="shared" si="33"/>
        <v>-1579.75</v>
      </c>
      <c r="X1064" s="26">
        <f t="shared" si="33"/>
        <v>-1579.75</v>
      </c>
      <c r="Y1064" s="26">
        <f t="shared" si="33"/>
        <v>-1579.75</v>
      </c>
    </row>
    <row r="1065" spans="1:25" s="16" customFormat="1" ht="38.25">
      <c r="A1065" s="108" t="str">
        <f t="shared" si="32"/>
        <v>611110208 2 03 00000000</v>
      </c>
      <c r="B1065" s="226" t="s">
        <v>727</v>
      </c>
      <c r="C1065" s="198" t="s">
        <v>406</v>
      </c>
      <c r="D1065" s="199" t="s">
        <v>342</v>
      </c>
      <c r="E1065" s="199" t="s">
        <v>62</v>
      </c>
      <c r="F1065" s="199" t="s">
        <v>728</v>
      </c>
      <c r="G1065" s="199" t="s">
        <v>9</v>
      </c>
      <c r="H1065" s="20">
        <v>56.25</v>
      </c>
      <c r="I1065" s="20">
        <v>56.25</v>
      </c>
      <c r="J1065" s="20">
        <v>56.25</v>
      </c>
      <c r="K1065" s="26"/>
      <c r="L1065" s="26"/>
      <c r="M1065" s="26"/>
      <c r="N1065" s="26"/>
      <c r="O1065" s="26"/>
      <c r="P1065" s="26"/>
      <c r="Q1065" s="17"/>
      <c r="T1065" s="26">
        <v>1591</v>
      </c>
      <c r="U1065" s="26">
        <v>1591</v>
      </c>
      <c r="V1065" s="26">
        <v>1591</v>
      </c>
      <c r="W1065" s="26">
        <f t="shared" si="33"/>
        <v>-1534.75</v>
      </c>
      <c r="X1065" s="26">
        <f t="shared" si="33"/>
        <v>-1534.75</v>
      </c>
      <c r="Y1065" s="26">
        <f t="shared" si="33"/>
        <v>-1534.75</v>
      </c>
    </row>
    <row r="1066" spans="1:25" s="16" customFormat="1" ht="25.5">
      <c r="A1066" s="108" t="str">
        <f t="shared" si="32"/>
        <v>611110208 2 03 21060000</v>
      </c>
      <c r="B1066" s="200" t="s">
        <v>729</v>
      </c>
      <c r="C1066" s="198" t="s">
        <v>406</v>
      </c>
      <c r="D1066" s="199" t="s">
        <v>342</v>
      </c>
      <c r="E1066" s="199" t="s">
        <v>62</v>
      </c>
      <c r="F1066" s="199" t="s">
        <v>730</v>
      </c>
      <c r="G1066" s="199" t="s">
        <v>9</v>
      </c>
      <c r="H1066" s="20">
        <v>56.25</v>
      </c>
      <c r="I1066" s="20">
        <v>56.25</v>
      </c>
      <c r="J1066" s="20">
        <v>56.25</v>
      </c>
      <c r="K1066" s="26"/>
      <c r="L1066" s="26"/>
      <c r="M1066" s="26"/>
      <c r="N1066" s="26"/>
      <c r="O1066" s="26"/>
      <c r="P1066" s="26"/>
      <c r="Q1066" s="17"/>
      <c r="T1066" s="26">
        <v>1095.45</v>
      </c>
      <c r="U1066" s="26">
        <v>1095.45</v>
      </c>
      <c r="V1066" s="26">
        <v>1095.45</v>
      </c>
      <c r="W1066" s="26">
        <f t="shared" si="33"/>
        <v>-1039.2</v>
      </c>
      <c r="X1066" s="26">
        <f t="shared" si="33"/>
        <v>-1039.2</v>
      </c>
      <c r="Y1066" s="26">
        <f t="shared" si="33"/>
        <v>-1039.2</v>
      </c>
    </row>
    <row r="1067" spans="1:25" s="16" customFormat="1" ht="25.5">
      <c r="A1067" s="108" t="str">
        <f t="shared" si="32"/>
        <v>611110208 2 03 21060240</v>
      </c>
      <c r="B1067" s="197" t="s">
        <v>28</v>
      </c>
      <c r="C1067" s="198" t="s">
        <v>406</v>
      </c>
      <c r="D1067" s="199" t="s">
        <v>342</v>
      </c>
      <c r="E1067" s="199" t="s">
        <v>62</v>
      </c>
      <c r="F1067" s="199" t="s">
        <v>730</v>
      </c>
      <c r="G1067" s="199" t="s">
        <v>29</v>
      </c>
      <c r="H1067" s="20">
        <v>56.25</v>
      </c>
      <c r="I1067" s="20">
        <v>56.25</v>
      </c>
      <c r="J1067" s="20">
        <v>56.25</v>
      </c>
      <c r="K1067" s="26"/>
      <c r="L1067" s="26"/>
      <c r="M1067" s="26"/>
      <c r="N1067" s="26"/>
      <c r="O1067" s="26"/>
      <c r="P1067" s="26"/>
      <c r="Q1067" s="17"/>
      <c r="T1067" s="26">
        <v>1095.45</v>
      </c>
      <c r="U1067" s="26">
        <v>1095.45</v>
      </c>
      <c r="V1067" s="26">
        <v>1095.45</v>
      </c>
      <c r="W1067" s="26">
        <f t="shared" si="33"/>
        <v>-1039.2</v>
      </c>
      <c r="X1067" s="26">
        <f t="shared" si="33"/>
        <v>-1039.2</v>
      </c>
      <c r="Y1067" s="26">
        <f t="shared" si="33"/>
        <v>-1039.2</v>
      </c>
    </row>
    <row r="1068" spans="1:25" s="16" customFormat="1">
      <c r="A1068" s="108" t="str">
        <f t="shared" si="32"/>
        <v>611110300 0 00 00000000</v>
      </c>
      <c r="B1068" s="194" t="s">
        <v>731</v>
      </c>
      <c r="C1068" s="195" t="s">
        <v>406</v>
      </c>
      <c r="D1068" s="196" t="s">
        <v>342</v>
      </c>
      <c r="E1068" s="196" t="s">
        <v>13</v>
      </c>
      <c r="F1068" s="196" t="s">
        <v>8</v>
      </c>
      <c r="G1068" s="196" t="s">
        <v>9</v>
      </c>
      <c r="H1068" s="19">
        <v>21550</v>
      </c>
      <c r="I1068" s="19">
        <v>0</v>
      </c>
      <c r="J1068" s="19">
        <v>0</v>
      </c>
      <c r="K1068" s="26"/>
      <c r="L1068" s="26"/>
      <c r="M1068" s="26"/>
      <c r="N1068" s="26"/>
      <c r="O1068" s="26"/>
      <c r="P1068" s="26"/>
      <c r="Q1068" s="17"/>
      <c r="T1068" s="26">
        <v>495.55</v>
      </c>
      <c r="U1068" s="26">
        <v>495.55</v>
      </c>
      <c r="V1068" s="26">
        <v>495.55</v>
      </c>
      <c r="W1068" s="26">
        <f t="shared" si="33"/>
        <v>21054.45</v>
      </c>
      <c r="X1068" s="26">
        <f t="shared" si="33"/>
        <v>-495.55</v>
      </c>
      <c r="Y1068" s="26">
        <f t="shared" si="33"/>
        <v>-495.55</v>
      </c>
    </row>
    <row r="1069" spans="1:25" ht="25.5">
      <c r="A1069" s="108" t="str">
        <f t="shared" si="32"/>
        <v>611110308 0 00 00000000</v>
      </c>
      <c r="B1069" s="197" t="s">
        <v>700</v>
      </c>
      <c r="C1069" s="198" t="s">
        <v>406</v>
      </c>
      <c r="D1069" s="199" t="s">
        <v>342</v>
      </c>
      <c r="E1069" s="199" t="s">
        <v>13</v>
      </c>
      <c r="F1069" s="199" t="s">
        <v>701</v>
      </c>
      <c r="G1069" s="199" t="s">
        <v>9</v>
      </c>
      <c r="H1069" s="20">
        <v>21550</v>
      </c>
      <c r="I1069" s="20">
        <v>0</v>
      </c>
      <c r="J1069" s="20">
        <v>0</v>
      </c>
      <c r="K1069" s="26"/>
      <c r="L1069" s="26"/>
      <c r="M1069" s="26"/>
      <c r="N1069" s="26"/>
      <c r="O1069" s="26"/>
      <c r="P1069" s="26"/>
      <c r="Q1069" s="17"/>
      <c r="T1069" s="26">
        <v>495.55</v>
      </c>
      <c r="U1069" s="26">
        <v>495.55</v>
      </c>
      <c r="V1069" s="26">
        <v>495.55</v>
      </c>
      <c r="W1069" s="26">
        <f t="shared" si="33"/>
        <v>21054.45</v>
      </c>
      <c r="X1069" s="26">
        <f t="shared" si="33"/>
        <v>-495.55</v>
      </c>
      <c r="Y1069" s="26">
        <f t="shared" si="33"/>
        <v>-495.55</v>
      </c>
    </row>
    <row r="1070" spans="1:25" ht="25.5">
      <c r="A1070" s="108" t="str">
        <f t="shared" si="32"/>
        <v>611110308 2 00 00000000</v>
      </c>
      <c r="B1070" s="197" t="s">
        <v>716</v>
      </c>
      <c r="C1070" s="198" t="s">
        <v>406</v>
      </c>
      <c r="D1070" s="199" t="s">
        <v>342</v>
      </c>
      <c r="E1070" s="199" t="s">
        <v>13</v>
      </c>
      <c r="F1070" s="199" t="s">
        <v>717</v>
      </c>
      <c r="G1070" s="199" t="s">
        <v>9</v>
      </c>
      <c r="H1070" s="20">
        <v>21550</v>
      </c>
      <c r="I1070" s="20">
        <v>0</v>
      </c>
      <c r="J1070" s="20">
        <v>0</v>
      </c>
      <c r="K1070" s="26"/>
      <c r="L1070" s="26"/>
      <c r="M1070" s="26"/>
      <c r="N1070" s="26"/>
      <c r="O1070" s="26"/>
      <c r="P1070" s="26"/>
      <c r="Q1070" s="17"/>
      <c r="T1070" s="26"/>
      <c r="U1070" s="26"/>
      <c r="V1070" s="26"/>
      <c r="W1070" s="26">
        <f t="shared" si="33"/>
        <v>21550</v>
      </c>
      <c r="X1070" s="26">
        <f t="shared" si="33"/>
        <v>0</v>
      </c>
      <c r="Y1070" s="26">
        <f t="shared" si="33"/>
        <v>0</v>
      </c>
    </row>
    <row r="1071" spans="1:25" s="16" customFormat="1" ht="51">
      <c r="A1071" s="108" t="str">
        <f t="shared" si="32"/>
        <v>611110308 2 04 00000000</v>
      </c>
      <c r="B1071" s="197" t="s">
        <v>732</v>
      </c>
      <c r="C1071" s="198" t="s">
        <v>406</v>
      </c>
      <c r="D1071" s="199" t="s">
        <v>342</v>
      </c>
      <c r="E1071" s="199" t="s">
        <v>13</v>
      </c>
      <c r="F1071" s="199" t="s">
        <v>733</v>
      </c>
      <c r="G1071" s="199" t="s">
        <v>9</v>
      </c>
      <c r="H1071" s="20">
        <v>21550</v>
      </c>
      <c r="I1071" s="20">
        <v>0</v>
      </c>
      <c r="J1071" s="20">
        <v>0</v>
      </c>
      <c r="K1071" s="25"/>
      <c r="L1071" s="25"/>
      <c r="M1071" s="25"/>
      <c r="N1071" s="25"/>
      <c r="O1071" s="25"/>
      <c r="P1071" s="25"/>
      <c r="Q1071" s="17"/>
      <c r="T1071" s="25">
        <v>135269.35</v>
      </c>
      <c r="U1071" s="25">
        <v>116997.78</v>
      </c>
      <c r="V1071" s="25">
        <v>122066.77</v>
      </c>
      <c r="W1071" s="25">
        <f t="shared" si="33"/>
        <v>-113719.35</v>
      </c>
      <c r="X1071" s="25">
        <f t="shared" si="33"/>
        <v>-116997.78</v>
      </c>
      <c r="Y1071" s="25">
        <f t="shared" si="33"/>
        <v>-122066.77</v>
      </c>
    </row>
    <row r="1072" spans="1:25" s="16" customFormat="1" ht="63.75">
      <c r="A1072" s="108" t="str">
        <f t="shared" si="32"/>
        <v>611110308 2 04 60120000</v>
      </c>
      <c r="B1072" s="197" t="s">
        <v>734</v>
      </c>
      <c r="C1072" s="198" t="s">
        <v>406</v>
      </c>
      <c r="D1072" s="199" t="s">
        <v>342</v>
      </c>
      <c r="E1072" s="199" t="s">
        <v>13</v>
      </c>
      <c r="F1072" s="199" t="s">
        <v>735</v>
      </c>
      <c r="G1072" s="199" t="s">
        <v>9</v>
      </c>
      <c r="H1072" s="20">
        <v>1550</v>
      </c>
      <c r="I1072" s="20">
        <v>0</v>
      </c>
      <c r="J1072" s="20">
        <v>0</v>
      </c>
      <c r="K1072" s="18"/>
      <c r="L1072" s="18"/>
      <c r="M1072" s="18"/>
      <c r="N1072" s="18"/>
      <c r="O1072" s="18"/>
      <c r="P1072" s="18"/>
      <c r="Q1072" s="17"/>
      <c r="T1072" s="18">
        <v>31521.230000000003</v>
      </c>
      <c r="U1072" s="18">
        <v>31479.460000000003</v>
      </c>
      <c r="V1072" s="18">
        <v>31479.460000000003</v>
      </c>
      <c r="W1072" s="18">
        <f t="shared" si="33"/>
        <v>-29971.230000000003</v>
      </c>
      <c r="X1072" s="18">
        <f t="shared" si="33"/>
        <v>-31479.460000000003</v>
      </c>
      <c r="Y1072" s="18">
        <f t="shared" si="33"/>
        <v>-31479.460000000003</v>
      </c>
    </row>
    <row r="1073" spans="1:25" s="16" customFormat="1" ht="25.5">
      <c r="A1073" s="108" t="str">
        <f t="shared" si="32"/>
        <v>611110308 2 04 60120630</v>
      </c>
      <c r="B1073" s="197" t="s">
        <v>182</v>
      </c>
      <c r="C1073" s="198" t="s">
        <v>406</v>
      </c>
      <c r="D1073" s="199" t="s">
        <v>342</v>
      </c>
      <c r="E1073" s="199" t="s">
        <v>13</v>
      </c>
      <c r="F1073" s="199" t="s">
        <v>735</v>
      </c>
      <c r="G1073" s="199" t="s">
        <v>183</v>
      </c>
      <c r="H1073" s="20">
        <v>1550</v>
      </c>
      <c r="I1073" s="20">
        <v>0</v>
      </c>
      <c r="J1073" s="20">
        <v>0</v>
      </c>
      <c r="K1073" s="19"/>
      <c r="L1073" s="19"/>
      <c r="M1073" s="19"/>
      <c r="N1073" s="19"/>
      <c r="O1073" s="19"/>
      <c r="P1073" s="19"/>
      <c r="Q1073" s="17"/>
      <c r="T1073" s="19">
        <v>31163.380000000005</v>
      </c>
      <c r="U1073" s="19">
        <v>31121.610000000004</v>
      </c>
      <c r="V1073" s="19">
        <v>31121.610000000004</v>
      </c>
      <c r="W1073" s="19">
        <f t="shared" si="33"/>
        <v>-29613.380000000005</v>
      </c>
      <c r="X1073" s="19">
        <f t="shared" si="33"/>
        <v>-31121.610000000004</v>
      </c>
      <c r="Y1073" s="19">
        <f t="shared" si="33"/>
        <v>-31121.610000000004</v>
      </c>
    </row>
    <row r="1074" spans="1:25" s="16" customFormat="1" ht="51">
      <c r="A1074" s="108" t="str">
        <f t="shared" si="32"/>
        <v>611110308 2 04 60150000</v>
      </c>
      <c r="B1074" s="197" t="s">
        <v>1138</v>
      </c>
      <c r="C1074" s="198" t="s">
        <v>406</v>
      </c>
      <c r="D1074" s="199" t="s">
        <v>342</v>
      </c>
      <c r="E1074" s="199" t="s">
        <v>13</v>
      </c>
      <c r="F1074" s="199" t="s">
        <v>1139</v>
      </c>
      <c r="G1074" s="199" t="s">
        <v>9</v>
      </c>
      <c r="H1074" s="20">
        <v>20000</v>
      </c>
      <c r="I1074" s="20">
        <v>0</v>
      </c>
      <c r="J1074" s="20">
        <v>0</v>
      </c>
      <c r="K1074" s="20"/>
      <c r="L1074" s="20"/>
      <c r="M1074" s="20"/>
      <c r="N1074" s="20"/>
      <c r="O1074" s="20"/>
      <c r="P1074" s="20"/>
      <c r="Q1074" s="17"/>
      <c r="T1074" s="20">
        <v>31163.380000000005</v>
      </c>
      <c r="U1074" s="20">
        <v>31121.610000000004</v>
      </c>
      <c r="V1074" s="20">
        <v>31121.610000000004</v>
      </c>
      <c r="W1074" s="20">
        <f t="shared" si="33"/>
        <v>-11163.380000000005</v>
      </c>
      <c r="X1074" s="20">
        <f t="shared" si="33"/>
        <v>-31121.610000000004</v>
      </c>
      <c r="Y1074" s="20">
        <f t="shared" si="33"/>
        <v>-31121.610000000004</v>
      </c>
    </row>
    <row r="1075" spans="1:25" s="16" customFormat="1" ht="25.5">
      <c r="A1075" s="108" t="str">
        <f t="shared" si="32"/>
        <v>611110308 2 04 60150630</v>
      </c>
      <c r="B1075" s="197" t="s">
        <v>182</v>
      </c>
      <c r="C1075" s="198" t="s">
        <v>406</v>
      </c>
      <c r="D1075" s="199" t="s">
        <v>342</v>
      </c>
      <c r="E1075" s="199" t="s">
        <v>13</v>
      </c>
      <c r="F1075" s="199" t="s">
        <v>1139</v>
      </c>
      <c r="G1075" s="199" t="s">
        <v>183</v>
      </c>
      <c r="H1075" s="20">
        <v>20000</v>
      </c>
      <c r="I1075" s="20">
        <v>0</v>
      </c>
      <c r="J1075" s="20">
        <v>0</v>
      </c>
      <c r="K1075" s="20"/>
      <c r="L1075" s="20"/>
      <c r="M1075" s="20"/>
      <c r="N1075" s="20"/>
      <c r="O1075" s="20"/>
      <c r="P1075" s="20"/>
      <c r="Q1075" s="17"/>
      <c r="T1075" s="20">
        <v>31163.380000000005</v>
      </c>
      <c r="U1075" s="20">
        <v>31121.610000000004</v>
      </c>
      <c r="V1075" s="20">
        <v>31121.610000000004</v>
      </c>
      <c r="W1075" s="20">
        <f t="shared" si="33"/>
        <v>-11163.380000000005</v>
      </c>
      <c r="X1075" s="20">
        <f t="shared" si="33"/>
        <v>-31121.610000000004</v>
      </c>
      <c r="Y1075" s="20">
        <f t="shared" si="33"/>
        <v>-31121.610000000004</v>
      </c>
    </row>
    <row r="1076" spans="1:25" s="16" customFormat="1">
      <c r="A1076" s="108" t="str">
        <f t="shared" si="32"/>
        <v>611110500 0 00 00000000</v>
      </c>
      <c r="B1076" s="194" t="s">
        <v>737</v>
      </c>
      <c r="C1076" s="195" t="s">
        <v>406</v>
      </c>
      <c r="D1076" s="196" t="s">
        <v>342</v>
      </c>
      <c r="E1076" s="196" t="s">
        <v>86</v>
      </c>
      <c r="F1076" s="196" t="s">
        <v>8</v>
      </c>
      <c r="G1076" s="196" t="s">
        <v>9</v>
      </c>
      <c r="H1076" s="19">
        <v>18104.11</v>
      </c>
      <c r="I1076" s="19">
        <v>18104.11</v>
      </c>
      <c r="J1076" s="19">
        <v>18104.11</v>
      </c>
      <c r="K1076" s="20"/>
      <c r="L1076" s="20"/>
      <c r="M1076" s="20"/>
      <c r="N1076" s="20"/>
      <c r="O1076" s="20"/>
      <c r="P1076" s="20"/>
      <c r="Q1076" s="17"/>
      <c r="T1076" s="20">
        <v>4289.08</v>
      </c>
      <c r="U1076" s="20">
        <v>4289.08</v>
      </c>
      <c r="V1076" s="20">
        <v>4289.08</v>
      </c>
      <c r="W1076" s="20">
        <f t="shared" si="33"/>
        <v>13815.03</v>
      </c>
      <c r="X1076" s="20">
        <f t="shared" si="33"/>
        <v>13815.03</v>
      </c>
      <c r="Y1076" s="20">
        <f t="shared" si="33"/>
        <v>13815.03</v>
      </c>
    </row>
    <row r="1077" spans="1:25" s="16" customFormat="1" ht="25.5">
      <c r="A1077" s="108" t="str">
        <f t="shared" si="32"/>
        <v>611110578 0 00 00000000</v>
      </c>
      <c r="B1077" s="197" t="s">
        <v>738</v>
      </c>
      <c r="C1077" s="198" t="s">
        <v>406</v>
      </c>
      <c r="D1077" s="199" t="s">
        <v>342</v>
      </c>
      <c r="E1077" s="199" t="s">
        <v>86</v>
      </c>
      <c r="F1077" s="199" t="s">
        <v>739</v>
      </c>
      <c r="G1077" s="199" t="s">
        <v>9</v>
      </c>
      <c r="H1077" s="20">
        <v>18104.11</v>
      </c>
      <c r="I1077" s="20">
        <v>18104.11</v>
      </c>
      <c r="J1077" s="20">
        <v>18104.11</v>
      </c>
      <c r="K1077" s="20"/>
      <c r="L1077" s="20"/>
      <c r="M1077" s="20"/>
      <c r="N1077" s="20"/>
      <c r="O1077" s="20"/>
      <c r="P1077" s="20"/>
      <c r="Q1077" s="17"/>
      <c r="T1077" s="20">
        <v>640.11</v>
      </c>
      <c r="U1077" s="20">
        <v>640.11</v>
      </c>
      <c r="V1077" s="20">
        <v>640.11</v>
      </c>
      <c r="W1077" s="20">
        <f t="shared" si="33"/>
        <v>17464</v>
      </c>
      <c r="X1077" s="20">
        <f t="shared" si="33"/>
        <v>17464</v>
      </c>
      <c r="Y1077" s="20">
        <f t="shared" si="33"/>
        <v>17464</v>
      </c>
    </row>
    <row r="1078" spans="1:25" s="16" customFormat="1" ht="38.25">
      <c r="A1078" s="108" t="str">
        <f t="shared" si="32"/>
        <v>611110578 1 00 00000000</v>
      </c>
      <c r="B1078" s="197" t="s">
        <v>740</v>
      </c>
      <c r="C1078" s="198" t="s">
        <v>406</v>
      </c>
      <c r="D1078" s="199" t="s">
        <v>342</v>
      </c>
      <c r="E1078" s="199" t="s">
        <v>86</v>
      </c>
      <c r="F1078" s="199" t="s">
        <v>741</v>
      </c>
      <c r="G1078" s="199" t="s">
        <v>9</v>
      </c>
      <c r="H1078" s="20">
        <v>18104.11</v>
      </c>
      <c r="I1078" s="20">
        <v>18104.11</v>
      </c>
      <c r="J1078" s="20">
        <v>18104.11</v>
      </c>
      <c r="K1078" s="20"/>
      <c r="L1078" s="20"/>
      <c r="M1078" s="20"/>
      <c r="N1078" s="20"/>
      <c r="O1078" s="20"/>
      <c r="P1078" s="20"/>
      <c r="Q1078" s="17"/>
      <c r="T1078" s="20">
        <v>3598.47</v>
      </c>
      <c r="U1078" s="20">
        <v>3598.47</v>
      </c>
      <c r="V1078" s="20">
        <v>3598.47</v>
      </c>
      <c r="W1078" s="20">
        <f t="shared" si="33"/>
        <v>14505.640000000001</v>
      </c>
      <c r="X1078" s="20">
        <f t="shared" si="33"/>
        <v>14505.640000000001</v>
      </c>
      <c r="Y1078" s="20">
        <f t="shared" si="33"/>
        <v>14505.640000000001</v>
      </c>
    </row>
    <row r="1079" spans="1:25" s="16" customFormat="1" ht="25.5">
      <c r="A1079" s="108" t="str">
        <f t="shared" si="32"/>
        <v>611110578 1 00 10010000</v>
      </c>
      <c r="B1079" s="197" t="s">
        <v>18</v>
      </c>
      <c r="C1079" s="198" t="s">
        <v>406</v>
      </c>
      <c r="D1079" s="199" t="s">
        <v>342</v>
      </c>
      <c r="E1079" s="199" t="s">
        <v>86</v>
      </c>
      <c r="F1079" s="199" t="s">
        <v>742</v>
      </c>
      <c r="G1079" s="199" t="s">
        <v>9</v>
      </c>
      <c r="H1079" s="20">
        <v>778.21</v>
      </c>
      <c r="I1079" s="20">
        <v>778.21</v>
      </c>
      <c r="J1079" s="20">
        <v>778.21</v>
      </c>
      <c r="K1079" s="20"/>
      <c r="L1079" s="20"/>
      <c r="M1079" s="20"/>
      <c r="N1079" s="20"/>
      <c r="O1079" s="20"/>
      <c r="P1079" s="20"/>
      <c r="Q1079" s="17"/>
      <c r="T1079" s="20">
        <v>50.5</v>
      </c>
      <c r="U1079" s="20">
        <v>50.5</v>
      </c>
      <c r="V1079" s="20">
        <v>50.5</v>
      </c>
      <c r="W1079" s="20">
        <f t="shared" si="33"/>
        <v>727.71</v>
      </c>
      <c r="X1079" s="20">
        <f t="shared" si="33"/>
        <v>727.71</v>
      </c>
      <c r="Y1079" s="20">
        <f t="shared" si="33"/>
        <v>727.71</v>
      </c>
    </row>
    <row r="1080" spans="1:25" s="16" customFormat="1" ht="25.5">
      <c r="A1080" s="108" t="str">
        <f t="shared" si="32"/>
        <v>611110578 1 00 10010120</v>
      </c>
      <c r="B1080" s="200" t="s">
        <v>20</v>
      </c>
      <c r="C1080" s="198" t="s">
        <v>406</v>
      </c>
      <c r="D1080" s="199" t="s">
        <v>342</v>
      </c>
      <c r="E1080" s="199" t="s">
        <v>86</v>
      </c>
      <c r="F1080" s="199" t="s">
        <v>742</v>
      </c>
      <c r="G1080" s="199" t="s">
        <v>21</v>
      </c>
      <c r="H1080" s="20">
        <v>202.21</v>
      </c>
      <c r="I1080" s="20">
        <v>202.21</v>
      </c>
      <c r="J1080" s="20">
        <v>202.21</v>
      </c>
      <c r="K1080" s="20"/>
      <c r="L1080" s="20"/>
      <c r="M1080" s="20"/>
      <c r="N1080" s="20"/>
      <c r="O1080" s="20"/>
      <c r="P1080" s="20"/>
      <c r="Q1080" s="17"/>
      <c r="T1080" s="20">
        <v>25543</v>
      </c>
      <c r="U1080" s="20">
        <v>25543</v>
      </c>
      <c r="V1080" s="20">
        <v>25543</v>
      </c>
      <c r="W1080" s="20">
        <f t="shared" si="33"/>
        <v>-25340.79</v>
      </c>
      <c r="X1080" s="20">
        <f t="shared" si="33"/>
        <v>-25340.79</v>
      </c>
      <c r="Y1080" s="20">
        <f t="shared" si="33"/>
        <v>-25340.79</v>
      </c>
    </row>
    <row r="1081" spans="1:25" s="16" customFormat="1" ht="25.5">
      <c r="A1081" s="108" t="str">
        <f t="shared" si="32"/>
        <v>611110578 1 00 10010240</v>
      </c>
      <c r="B1081" s="197" t="s">
        <v>28</v>
      </c>
      <c r="C1081" s="198" t="s">
        <v>406</v>
      </c>
      <c r="D1081" s="199" t="s">
        <v>342</v>
      </c>
      <c r="E1081" s="199" t="s">
        <v>86</v>
      </c>
      <c r="F1081" s="199" t="s">
        <v>742</v>
      </c>
      <c r="G1081" s="199" t="s">
        <v>29</v>
      </c>
      <c r="H1081" s="20">
        <v>568</v>
      </c>
      <c r="I1081" s="20">
        <v>568</v>
      </c>
      <c r="J1081" s="20">
        <v>568</v>
      </c>
      <c r="K1081" s="20"/>
      <c r="L1081" s="20"/>
      <c r="M1081" s="20"/>
      <c r="N1081" s="20"/>
      <c r="O1081" s="20"/>
      <c r="P1081" s="20"/>
      <c r="Q1081" s="17"/>
      <c r="T1081" s="20">
        <v>25543</v>
      </c>
      <c r="U1081" s="20">
        <v>25543</v>
      </c>
      <c r="V1081" s="20">
        <v>25543</v>
      </c>
      <c r="W1081" s="20">
        <f t="shared" si="33"/>
        <v>-24975</v>
      </c>
      <c r="X1081" s="20">
        <f t="shared" si="33"/>
        <v>-24975</v>
      </c>
      <c r="Y1081" s="20">
        <f t="shared" si="33"/>
        <v>-24975</v>
      </c>
    </row>
    <row r="1082" spans="1:25" s="16" customFormat="1">
      <c r="A1082" s="108" t="str">
        <f t="shared" si="32"/>
        <v>611110578 1 00 10010850</v>
      </c>
      <c r="B1082" s="197" t="s">
        <v>32</v>
      </c>
      <c r="C1082" s="198" t="s">
        <v>406</v>
      </c>
      <c r="D1082" s="199" t="s">
        <v>342</v>
      </c>
      <c r="E1082" s="199" t="s">
        <v>86</v>
      </c>
      <c r="F1082" s="199" t="s">
        <v>742</v>
      </c>
      <c r="G1082" s="199" t="s">
        <v>33</v>
      </c>
      <c r="H1082" s="20">
        <v>8</v>
      </c>
      <c r="I1082" s="20">
        <v>8</v>
      </c>
      <c r="J1082" s="20">
        <v>8</v>
      </c>
      <c r="K1082" s="20"/>
      <c r="L1082" s="20"/>
      <c r="M1082" s="20"/>
      <c r="N1082" s="20"/>
      <c r="O1082" s="20"/>
      <c r="P1082" s="20"/>
      <c r="Q1082" s="17"/>
      <c r="T1082" s="20">
        <v>1260.4000000000001</v>
      </c>
      <c r="U1082" s="20">
        <v>1218.6300000000001</v>
      </c>
      <c r="V1082" s="20">
        <v>1218.6300000000001</v>
      </c>
      <c r="W1082" s="20">
        <f t="shared" si="33"/>
        <v>-1252.4000000000001</v>
      </c>
      <c r="X1082" s="20">
        <f t="shared" si="33"/>
        <v>-1210.6300000000001</v>
      </c>
      <c r="Y1082" s="20">
        <f t="shared" si="33"/>
        <v>-1210.6300000000001</v>
      </c>
    </row>
    <row r="1083" spans="1:25" s="16" customFormat="1" ht="25.5">
      <c r="A1083" s="108" t="str">
        <f t="shared" si="32"/>
        <v>611110578 1 00 10020000</v>
      </c>
      <c r="B1083" s="197" t="s">
        <v>38</v>
      </c>
      <c r="C1083" s="198" t="s">
        <v>406</v>
      </c>
      <c r="D1083" s="199" t="s">
        <v>342</v>
      </c>
      <c r="E1083" s="199" t="s">
        <v>86</v>
      </c>
      <c r="F1083" s="199" t="s">
        <v>743</v>
      </c>
      <c r="G1083" s="199" t="s">
        <v>9</v>
      </c>
      <c r="H1083" s="20">
        <v>7163.0200000000013</v>
      </c>
      <c r="I1083" s="20">
        <v>7393.8200000000006</v>
      </c>
      <c r="J1083" s="20">
        <v>7393.8200000000006</v>
      </c>
      <c r="K1083" s="20"/>
      <c r="L1083" s="20"/>
      <c r="M1083" s="20"/>
      <c r="N1083" s="20"/>
      <c r="O1083" s="20"/>
      <c r="P1083" s="20"/>
      <c r="Q1083" s="17"/>
      <c r="T1083" s="20">
        <v>1101.48</v>
      </c>
      <c r="U1083" s="20">
        <v>1059.71</v>
      </c>
      <c r="V1083" s="20">
        <v>1059.71</v>
      </c>
      <c r="W1083" s="20">
        <f t="shared" si="33"/>
        <v>6061.5400000000009</v>
      </c>
      <c r="X1083" s="20">
        <f t="shared" si="33"/>
        <v>6334.1100000000006</v>
      </c>
      <c r="Y1083" s="20">
        <f t="shared" si="33"/>
        <v>6334.1100000000006</v>
      </c>
    </row>
    <row r="1084" spans="1:25" s="16" customFormat="1" ht="25.5">
      <c r="A1084" s="108" t="str">
        <f t="shared" si="32"/>
        <v>611110578 1 00 10020120</v>
      </c>
      <c r="B1084" s="200" t="s">
        <v>20</v>
      </c>
      <c r="C1084" s="198" t="s">
        <v>406</v>
      </c>
      <c r="D1084" s="199" t="s">
        <v>342</v>
      </c>
      <c r="E1084" s="199" t="s">
        <v>86</v>
      </c>
      <c r="F1084" s="199" t="s">
        <v>743</v>
      </c>
      <c r="G1084" s="199" t="s">
        <v>21</v>
      </c>
      <c r="H1084" s="20">
        <v>7163.0200000000013</v>
      </c>
      <c r="I1084" s="20">
        <v>7393.8200000000006</v>
      </c>
      <c r="J1084" s="20">
        <v>7393.8200000000006</v>
      </c>
      <c r="K1084" s="20"/>
      <c r="L1084" s="20"/>
      <c r="M1084" s="20"/>
      <c r="N1084" s="20"/>
      <c r="O1084" s="20"/>
      <c r="P1084" s="20"/>
      <c r="Q1084" s="17"/>
      <c r="T1084" s="20">
        <v>158.91999999999999</v>
      </c>
      <c r="U1084" s="20">
        <v>158.91999999999999</v>
      </c>
      <c r="V1084" s="20">
        <v>158.91999999999999</v>
      </c>
      <c r="W1084" s="20">
        <f t="shared" si="33"/>
        <v>7004.1000000000013</v>
      </c>
      <c r="X1084" s="20">
        <f t="shared" si="33"/>
        <v>7234.9000000000005</v>
      </c>
      <c r="Y1084" s="20">
        <f t="shared" si="33"/>
        <v>7234.9000000000005</v>
      </c>
    </row>
    <row r="1085" spans="1:25" s="16" customFormat="1" ht="25.5">
      <c r="A1085" s="108" t="str">
        <f t="shared" si="32"/>
        <v>611110578 1 00 11010000</v>
      </c>
      <c r="B1085" s="315" t="s">
        <v>136</v>
      </c>
      <c r="C1085" s="198" t="s">
        <v>406</v>
      </c>
      <c r="D1085" s="199" t="s">
        <v>342</v>
      </c>
      <c r="E1085" s="199" t="s">
        <v>86</v>
      </c>
      <c r="F1085" s="317" t="s">
        <v>744</v>
      </c>
      <c r="G1085" s="317" t="s">
        <v>9</v>
      </c>
      <c r="H1085" s="20">
        <v>9599.8799999999992</v>
      </c>
      <c r="I1085" s="20">
        <v>9932.08</v>
      </c>
      <c r="J1085" s="20">
        <v>9932.08</v>
      </c>
      <c r="K1085" s="20"/>
      <c r="L1085" s="20"/>
      <c r="M1085" s="20"/>
      <c r="N1085" s="20"/>
      <c r="O1085" s="20"/>
      <c r="P1085" s="20"/>
      <c r="Q1085" s="17"/>
      <c r="T1085" s="20">
        <v>70.900000000000006</v>
      </c>
      <c r="U1085" s="20">
        <v>70.900000000000006</v>
      </c>
      <c r="V1085" s="20">
        <v>70.900000000000006</v>
      </c>
      <c r="W1085" s="20">
        <f t="shared" si="33"/>
        <v>9528.98</v>
      </c>
      <c r="X1085" s="20">
        <f t="shared" si="33"/>
        <v>9861.18</v>
      </c>
      <c r="Y1085" s="20">
        <f t="shared" si="33"/>
        <v>9861.18</v>
      </c>
    </row>
    <row r="1086" spans="1:25" s="16" customFormat="1">
      <c r="A1086" s="108" t="str">
        <f t="shared" si="32"/>
        <v>611110578 1 00 11010110</v>
      </c>
      <c r="B1086" s="314" t="s">
        <v>138</v>
      </c>
      <c r="C1086" s="198" t="s">
        <v>406</v>
      </c>
      <c r="D1086" s="199" t="s">
        <v>342</v>
      </c>
      <c r="E1086" s="199" t="s">
        <v>86</v>
      </c>
      <c r="F1086" s="317" t="s">
        <v>744</v>
      </c>
      <c r="G1086" s="317" t="s">
        <v>139</v>
      </c>
      <c r="H1086" s="20">
        <v>8459.8799999999992</v>
      </c>
      <c r="I1086" s="20">
        <v>8792.08</v>
      </c>
      <c r="J1086" s="20">
        <v>8792.08</v>
      </c>
      <c r="K1086" s="20"/>
      <c r="L1086" s="20"/>
      <c r="M1086" s="20"/>
      <c r="N1086" s="20"/>
      <c r="O1086" s="20"/>
      <c r="P1086" s="20"/>
      <c r="Q1086" s="17"/>
      <c r="T1086" s="20">
        <v>70.900000000000006</v>
      </c>
      <c r="U1086" s="20">
        <v>70.900000000000006</v>
      </c>
      <c r="V1086" s="20">
        <v>70.900000000000006</v>
      </c>
      <c r="W1086" s="20">
        <f t="shared" si="33"/>
        <v>8388.98</v>
      </c>
      <c r="X1086" s="20">
        <f t="shared" si="33"/>
        <v>8721.18</v>
      </c>
      <c r="Y1086" s="20">
        <f t="shared" si="33"/>
        <v>8721.18</v>
      </c>
    </row>
    <row r="1087" spans="1:25" s="16" customFormat="1" ht="25.5">
      <c r="A1087" s="108" t="str">
        <f t="shared" si="32"/>
        <v>611110578 1 00 11010240</v>
      </c>
      <c r="B1087" s="197" t="s">
        <v>28</v>
      </c>
      <c r="C1087" s="198" t="s">
        <v>406</v>
      </c>
      <c r="D1087" s="199" t="s">
        <v>342</v>
      </c>
      <c r="E1087" s="199" t="s">
        <v>86</v>
      </c>
      <c r="F1087" s="317" t="s">
        <v>744</v>
      </c>
      <c r="G1087" s="317" t="s">
        <v>29</v>
      </c>
      <c r="H1087" s="20">
        <v>1140</v>
      </c>
      <c r="I1087" s="20">
        <v>1140</v>
      </c>
      <c r="J1087" s="20">
        <v>1140</v>
      </c>
      <c r="K1087" s="19"/>
      <c r="L1087" s="19"/>
      <c r="M1087" s="19"/>
      <c r="N1087" s="19"/>
      <c r="O1087" s="19"/>
      <c r="P1087" s="19"/>
      <c r="Q1087" s="17"/>
      <c r="T1087" s="19">
        <v>357.85</v>
      </c>
      <c r="U1087" s="19">
        <v>357.85</v>
      </c>
      <c r="V1087" s="19">
        <v>357.85</v>
      </c>
      <c r="W1087" s="19">
        <f t="shared" si="33"/>
        <v>782.15</v>
      </c>
      <c r="X1087" s="19">
        <f t="shared" si="33"/>
        <v>782.15</v>
      </c>
      <c r="Y1087" s="19">
        <f t="shared" si="33"/>
        <v>782.15</v>
      </c>
    </row>
    <row r="1088" spans="1:25" s="16" customFormat="1" ht="191.25">
      <c r="A1088" s="108" t="str">
        <f t="shared" si="32"/>
        <v>611110578 1 00 77460000</v>
      </c>
      <c r="B1088" s="197" t="s">
        <v>1263</v>
      </c>
      <c r="C1088" s="198" t="s">
        <v>406</v>
      </c>
      <c r="D1088" s="199" t="s">
        <v>342</v>
      </c>
      <c r="E1088" s="199" t="s">
        <v>86</v>
      </c>
      <c r="F1088" s="317" t="s">
        <v>1308</v>
      </c>
      <c r="G1088" s="317" t="s">
        <v>9</v>
      </c>
      <c r="H1088" s="20">
        <v>563</v>
      </c>
      <c r="I1088" s="20">
        <v>0</v>
      </c>
      <c r="J1088" s="20">
        <v>0</v>
      </c>
      <c r="K1088" s="20"/>
      <c r="L1088" s="20"/>
      <c r="M1088" s="20"/>
      <c r="N1088" s="20"/>
      <c r="O1088" s="20"/>
      <c r="P1088" s="20"/>
      <c r="Q1088" s="17"/>
      <c r="T1088" s="20">
        <v>357.85</v>
      </c>
      <c r="U1088" s="20">
        <v>357.85</v>
      </c>
      <c r="V1088" s="20">
        <v>357.85</v>
      </c>
      <c r="W1088" s="20">
        <f t="shared" si="33"/>
        <v>205.14999999999998</v>
      </c>
      <c r="X1088" s="20">
        <f t="shared" si="33"/>
        <v>-357.85</v>
      </c>
      <c r="Y1088" s="20">
        <f t="shared" si="33"/>
        <v>-357.85</v>
      </c>
    </row>
    <row r="1089" spans="1:25" s="16" customFormat="1">
      <c r="A1089" s="108" t="str">
        <f t="shared" si="32"/>
        <v>611110578 1 00 77460110</v>
      </c>
      <c r="B1089" s="314" t="s">
        <v>138</v>
      </c>
      <c r="C1089" s="198" t="s">
        <v>406</v>
      </c>
      <c r="D1089" s="199" t="s">
        <v>342</v>
      </c>
      <c r="E1089" s="199" t="s">
        <v>86</v>
      </c>
      <c r="F1089" s="317" t="s">
        <v>1308</v>
      </c>
      <c r="G1089" s="317" t="s">
        <v>139</v>
      </c>
      <c r="H1089" s="20">
        <v>327.14</v>
      </c>
      <c r="I1089" s="20">
        <v>0</v>
      </c>
      <c r="J1089" s="20">
        <v>0</v>
      </c>
      <c r="K1089" s="20"/>
      <c r="L1089" s="20"/>
      <c r="M1089" s="20"/>
      <c r="N1089" s="20"/>
      <c r="O1089" s="20"/>
      <c r="P1089" s="20"/>
      <c r="Q1089" s="17"/>
      <c r="T1089" s="20">
        <v>357.85</v>
      </c>
      <c r="U1089" s="20">
        <v>357.85</v>
      </c>
      <c r="V1089" s="20">
        <v>357.85</v>
      </c>
      <c r="W1089" s="20">
        <f t="shared" si="33"/>
        <v>-30.710000000000036</v>
      </c>
      <c r="X1089" s="20">
        <f t="shared" si="33"/>
        <v>-357.85</v>
      </c>
      <c r="Y1089" s="20">
        <f t="shared" si="33"/>
        <v>-357.85</v>
      </c>
    </row>
    <row r="1090" spans="1:25" s="16" customFormat="1" ht="25.5">
      <c r="A1090" s="108" t="str">
        <f t="shared" si="32"/>
        <v>611110578 1 00 77460120</v>
      </c>
      <c r="B1090" s="200" t="s">
        <v>20</v>
      </c>
      <c r="C1090" s="198" t="s">
        <v>406</v>
      </c>
      <c r="D1090" s="199" t="s">
        <v>342</v>
      </c>
      <c r="E1090" s="199" t="s">
        <v>86</v>
      </c>
      <c r="F1090" s="317" t="s">
        <v>1308</v>
      </c>
      <c r="G1090" s="317" t="s">
        <v>21</v>
      </c>
      <c r="H1090" s="20">
        <v>235.86</v>
      </c>
      <c r="I1090" s="20">
        <v>0</v>
      </c>
      <c r="J1090" s="20">
        <v>0</v>
      </c>
      <c r="K1090" s="20"/>
      <c r="L1090" s="20"/>
      <c r="M1090" s="20"/>
      <c r="N1090" s="20"/>
      <c r="O1090" s="20"/>
      <c r="P1090" s="20"/>
      <c r="Q1090" s="17"/>
      <c r="T1090" s="20">
        <v>357.85</v>
      </c>
      <c r="U1090" s="20">
        <v>357.85</v>
      </c>
      <c r="V1090" s="20">
        <v>357.85</v>
      </c>
      <c r="W1090" s="20">
        <f t="shared" si="33"/>
        <v>-121.99000000000001</v>
      </c>
      <c r="X1090" s="20">
        <f t="shared" si="33"/>
        <v>-357.85</v>
      </c>
      <c r="Y1090" s="20">
        <f t="shared" si="33"/>
        <v>-357.85</v>
      </c>
    </row>
    <row r="1091" spans="1:25" s="16" customFormat="1">
      <c r="A1091" s="108" t="str">
        <f t="shared" si="32"/>
        <v/>
      </c>
      <c r="B1091" s="200"/>
      <c r="C1091" s="198"/>
      <c r="D1091" s="199"/>
      <c r="E1091" s="199"/>
      <c r="F1091" s="199"/>
      <c r="G1091" s="199"/>
      <c r="H1091" s="20"/>
      <c r="I1091" s="20"/>
      <c r="J1091" s="20"/>
      <c r="K1091" s="20"/>
      <c r="L1091" s="20"/>
      <c r="M1091" s="20"/>
      <c r="N1091" s="20"/>
      <c r="O1091" s="20"/>
      <c r="P1091" s="20"/>
      <c r="Q1091" s="17"/>
      <c r="T1091" s="20">
        <v>357.85</v>
      </c>
      <c r="U1091" s="20">
        <v>357.85</v>
      </c>
      <c r="V1091" s="20">
        <v>357.85</v>
      </c>
      <c r="W1091" s="20">
        <f t="shared" si="33"/>
        <v>-357.85</v>
      </c>
      <c r="X1091" s="20">
        <f t="shared" si="33"/>
        <v>-357.85</v>
      </c>
      <c r="Y1091" s="20">
        <f t="shared" si="33"/>
        <v>-357.85</v>
      </c>
    </row>
    <row r="1092" spans="1:25" s="16" customFormat="1">
      <c r="A1092" s="108" t="str">
        <f t="shared" si="32"/>
        <v>617000000 0 00 00000000</v>
      </c>
      <c r="B1092" s="202" t="s">
        <v>745</v>
      </c>
      <c r="C1092" s="189" t="s">
        <v>746</v>
      </c>
      <c r="D1092" s="190" t="s">
        <v>7</v>
      </c>
      <c r="E1092" s="190" t="s">
        <v>7</v>
      </c>
      <c r="F1092" s="190" t="s">
        <v>8</v>
      </c>
      <c r="G1092" s="190" t="s">
        <v>9</v>
      </c>
      <c r="H1092" s="25">
        <v>154166.56</v>
      </c>
      <c r="I1092" s="25">
        <v>137990.09999999998</v>
      </c>
      <c r="J1092" s="25">
        <v>145361.85999999999</v>
      </c>
      <c r="K1092" s="20"/>
      <c r="L1092" s="20"/>
      <c r="M1092" s="20"/>
      <c r="N1092" s="20"/>
      <c r="O1092" s="20"/>
      <c r="P1092" s="20"/>
      <c r="Q1092" s="17"/>
      <c r="T1092" s="20">
        <v>357.85</v>
      </c>
      <c r="U1092" s="20">
        <v>357.85</v>
      </c>
      <c r="V1092" s="20">
        <v>357.85</v>
      </c>
      <c r="W1092" s="20">
        <f t="shared" si="33"/>
        <v>153808.71</v>
      </c>
      <c r="X1092" s="20">
        <f t="shared" si="33"/>
        <v>137632.24999999997</v>
      </c>
      <c r="Y1092" s="20">
        <f t="shared" si="33"/>
        <v>145004.00999999998</v>
      </c>
    </row>
    <row r="1093" spans="1:25" s="16" customFormat="1">
      <c r="A1093" s="108" t="str">
        <f t="shared" si="32"/>
        <v>617010000 0 00 00000000</v>
      </c>
      <c r="B1093" s="191" t="s">
        <v>10</v>
      </c>
      <c r="C1093" s="192" t="s">
        <v>746</v>
      </c>
      <c r="D1093" s="193" t="s">
        <v>11</v>
      </c>
      <c r="E1093" s="193" t="s">
        <v>7</v>
      </c>
      <c r="F1093" s="193" t="s">
        <v>8</v>
      </c>
      <c r="G1093" s="193" t="s">
        <v>9</v>
      </c>
      <c r="H1093" s="18">
        <v>36386.479999999996</v>
      </c>
      <c r="I1093" s="18">
        <v>34965.57</v>
      </c>
      <c r="J1093" s="18">
        <v>34965.57</v>
      </c>
      <c r="K1093" s="18"/>
      <c r="L1093" s="18"/>
      <c r="M1093" s="18"/>
      <c r="N1093" s="18"/>
      <c r="O1093" s="18"/>
      <c r="P1093" s="18"/>
      <c r="Q1093" s="17"/>
      <c r="T1093" s="18">
        <v>60435.94</v>
      </c>
      <c r="U1093" s="18">
        <v>64831.42</v>
      </c>
      <c r="V1093" s="18">
        <v>69900.41</v>
      </c>
      <c r="W1093" s="18">
        <f t="shared" si="33"/>
        <v>-24049.460000000006</v>
      </c>
      <c r="X1093" s="18">
        <f t="shared" si="33"/>
        <v>-29865.85</v>
      </c>
      <c r="Y1093" s="18">
        <f t="shared" si="33"/>
        <v>-34934.840000000004</v>
      </c>
    </row>
    <row r="1094" spans="1:25" s="16" customFormat="1" ht="38.25">
      <c r="A1094" s="108" t="str">
        <f t="shared" ref="A1094:A1157" si="34">C1094&amp;D1094&amp;E1094&amp;F1094&amp;G1094</f>
        <v>617010400 0 00 00000000</v>
      </c>
      <c r="B1094" s="194" t="s">
        <v>72</v>
      </c>
      <c r="C1094" s="195" t="s">
        <v>746</v>
      </c>
      <c r="D1094" s="196" t="s">
        <v>11</v>
      </c>
      <c r="E1094" s="196" t="s">
        <v>73</v>
      </c>
      <c r="F1094" s="196" t="s">
        <v>8</v>
      </c>
      <c r="G1094" s="196" t="s">
        <v>9</v>
      </c>
      <c r="H1094" s="19">
        <v>34611.279999999999</v>
      </c>
      <c r="I1094" s="19">
        <v>34575.370000000003</v>
      </c>
      <c r="J1094" s="19">
        <v>34575.370000000003</v>
      </c>
      <c r="K1094" s="19"/>
      <c r="L1094" s="19"/>
      <c r="M1094" s="19"/>
      <c r="N1094" s="19"/>
      <c r="O1094" s="19"/>
      <c r="P1094" s="19"/>
      <c r="Q1094" s="17"/>
      <c r="T1094" s="19">
        <v>60435.94</v>
      </c>
      <c r="U1094" s="19">
        <v>64831.42</v>
      </c>
      <c r="V1094" s="19">
        <v>69900.41</v>
      </c>
      <c r="W1094" s="19">
        <f t="shared" si="33"/>
        <v>-25824.660000000003</v>
      </c>
      <c r="X1094" s="19">
        <f t="shared" si="33"/>
        <v>-30256.049999999996</v>
      </c>
      <c r="Y1094" s="19">
        <f t="shared" si="33"/>
        <v>-35325.040000000001</v>
      </c>
    </row>
    <row r="1095" spans="1:25" s="16" customFormat="1" ht="25.5">
      <c r="A1095" s="108" t="str">
        <f t="shared" si="34"/>
        <v>617010480 0 00 00000000</v>
      </c>
      <c r="B1095" s="226" t="s">
        <v>747</v>
      </c>
      <c r="C1095" s="203" t="s">
        <v>746</v>
      </c>
      <c r="D1095" s="204" t="s">
        <v>11</v>
      </c>
      <c r="E1095" s="204" t="s">
        <v>73</v>
      </c>
      <c r="F1095" s="204" t="s">
        <v>748</v>
      </c>
      <c r="G1095" s="204" t="s">
        <v>9</v>
      </c>
      <c r="H1095" s="26">
        <v>34611.279999999999</v>
      </c>
      <c r="I1095" s="26">
        <v>34575.370000000003</v>
      </c>
      <c r="J1095" s="26">
        <v>34575.370000000003</v>
      </c>
      <c r="K1095" s="20"/>
      <c r="L1095" s="20"/>
      <c r="M1095" s="20"/>
      <c r="N1095" s="20"/>
      <c r="O1095" s="20"/>
      <c r="P1095" s="20"/>
      <c r="Q1095" s="17"/>
      <c r="T1095" s="20">
        <v>60435.94</v>
      </c>
      <c r="U1095" s="20">
        <v>64831.42</v>
      </c>
      <c r="V1095" s="20">
        <v>69900.41</v>
      </c>
      <c r="W1095" s="20">
        <f t="shared" si="33"/>
        <v>-25824.660000000003</v>
      </c>
      <c r="X1095" s="20">
        <f t="shared" si="33"/>
        <v>-30256.049999999996</v>
      </c>
      <c r="Y1095" s="20">
        <f t="shared" si="33"/>
        <v>-35325.040000000001</v>
      </c>
    </row>
    <row r="1096" spans="1:25" s="16" customFormat="1" ht="25.5">
      <c r="A1096" s="108" t="str">
        <f t="shared" si="34"/>
        <v>617010480 1 00 00000000</v>
      </c>
      <c r="B1096" s="226" t="s">
        <v>749</v>
      </c>
      <c r="C1096" s="203" t="s">
        <v>746</v>
      </c>
      <c r="D1096" s="204" t="s">
        <v>11</v>
      </c>
      <c r="E1096" s="204" t="s">
        <v>73</v>
      </c>
      <c r="F1096" s="204" t="s">
        <v>750</v>
      </c>
      <c r="G1096" s="204" t="s">
        <v>9</v>
      </c>
      <c r="H1096" s="26">
        <v>34611.279999999999</v>
      </c>
      <c r="I1096" s="26">
        <v>34575.370000000003</v>
      </c>
      <c r="J1096" s="26">
        <v>34575.370000000003</v>
      </c>
      <c r="K1096" s="20"/>
      <c r="L1096" s="20"/>
      <c r="M1096" s="20"/>
      <c r="N1096" s="20"/>
      <c r="O1096" s="20"/>
      <c r="P1096" s="20"/>
      <c r="Q1096" s="17"/>
      <c r="T1096" s="20">
        <v>60435.94</v>
      </c>
      <c r="U1096" s="20">
        <v>64831.42</v>
      </c>
      <c r="V1096" s="20">
        <v>69900.41</v>
      </c>
      <c r="W1096" s="20">
        <f t="shared" ref="W1096:Y1159" si="35">H1096-T1096</f>
        <v>-25824.660000000003</v>
      </c>
      <c r="X1096" s="20">
        <f t="shared" si="35"/>
        <v>-30256.049999999996</v>
      </c>
      <c r="Y1096" s="20">
        <f t="shared" si="35"/>
        <v>-35325.040000000001</v>
      </c>
    </row>
    <row r="1097" spans="1:25" s="16" customFormat="1" ht="25.5">
      <c r="A1097" s="108" t="str">
        <f t="shared" si="34"/>
        <v>617010480 1 00 10010000</v>
      </c>
      <c r="B1097" s="197" t="s">
        <v>18</v>
      </c>
      <c r="C1097" s="203" t="s">
        <v>746</v>
      </c>
      <c r="D1097" s="204" t="s">
        <v>11</v>
      </c>
      <c r="E1097" s="204" t="s">
        <v>73</v>
      </c>
      <c r="F1097" s="204" t="s">
        <v>751</v>
      </c>
      <c r="G1097" s="204" t="s">
        <v>9</v>
      </c>
      <c r="H1097" s="26">
        <v>4038.21</v>
      </c>
      <c r="I1097" s="26">
        <v>4038.21</v>
      </c>
      <c r="J1097" s="26">
        <v>4038.21</v>
      </c>
      <c r="K1097" s="20"/>
      <c r="L1097" s="20"/>
      <c r="M1097" s="20"/>
      <c r="N1097" s="20"/>
      <c r="O1097" s="20"/>
      <c r="P1097" s="20"/>
      <c r="Q1097" s="17"/>
      <c r="T1097" s="20">
        <v>60435.94</v>
      </c>
      <c r="U1097" s="20">
        <v>64831.42</v>
      </c>
      <c r="V1097" s="20">
        <v>69900.41</v>
      </c>
      <c r="W1097" s="20">
        <f t="shared" si="35"/>
        <v>-56397.73</v>
      </c>
      <c r="X1097" s="20">
        <f t="shared" si="35"/>
        <v>-60793.21</v>
      </c>
      <c r="Y1097" s="20">
        <f t="shared" si="35"/>
        <v>-65862.2</v>
      </c>
    </row>
    <row r="1098" spans="1:25" s="16" customFormat="1" ht="25.5">
      <c r="A1098" s="108" t="str">
        <f t="shared" si="34"/>
        <v>617010480 1 00 10010120</v>
      </c>
      <c r="B1098" s="200" t="s">
        <v>20</v>
      </c>
      <c r="C1098" s="203" t="s">
        <v>746</v>
      </c>
      <c r="D1098" s="204" t="s">
        <v>11</v>
      </c>
      <c r="E1098" s="204" t="s">
        <v>73</v>
      </c>
      <c r="F1098" s="204" t="s">
        <v>751</v>
      </c>
      <c r="G1098" s="204" t="s">
        <v>21</v>
      </c>
      <c r="H1098" s="26">
        <v>621.66000000000008</v>
      </c>
      <c r="I1098" s="26">
        <v>620.46</v>
      </c>
      <c r="J1098" s="26">
        <v>620.46</v>
      </c>
      <c r="K1098" s="20"/>
      <c r="L1098" s="20"/>
      <c r="M1098" s="20"/>
      <c r="N1098" s="20"/>
      <c r="O1098" s="20"/>
      <c r="P1098" s="20"/>
      <c r="Q1098" s="17"/>
      <c r="T1098" s="20">
        <v>10300.11</v>
      </c>
      <c r="U1098" s="20">
        <v>10087.43</v>
      </c>
      <c r="V1098" s="20">
        <v>10087.43</v>
      </c>
      <c r="W1098" s="20">
        <f t="shared" si="35"/>
        <v>-9678.4500000000007</v>
      </c>
      <c r="X1098" s="20">
        <f t="shared" si="35"/>
        <v>-9466.9700000000012</v>
      </c>
      <c r="Y1098" s="20">
        <f t="shared" si="35"/>
        <v>-9466.9700000000012</v>
      </c>
    </row>
    <row r="1099" spans="1:25" s="16" customFormat="1" ht="25.5">
      <c r="A1099" s="108" t="str">
        <f t="shared" si="34"/>
        <v>617010480 1 00 10010240</v>
      </c>
      <c r="B1099" s="197" t="s">
        <v>28</v>
      </c>
      <c r="C1099" s="203" t="s">
        <v>746</v>
      </c>
      <c r="D1099" s="204" t="s">
        <v>11</v>
      </c>
      <c r="E1099" s="204" t="s">
        <v>73</v>
      </c>
      <c r="F1099" s="204" t="s">
        <v>751</v>
      </c>
      <c r="G1099" s="204" t="s">
        <v>29</v>
      </c>
      <c r="H1099" s="26">
        <v>3319.55</v>
      </c>
      <c r="I1099" s="26">
        <v>3320.75</v>
      </c>
      <c r="J1099" s="26">
        <v>3320.75</v>
      </c>
      <c r="K1099" s="20"/>
      <c r="L1099" s="20"/>
      <c r="M1099" s="20"/>
      <c r="N1099" s="20"/>
      <c r="O1099" s="20"/>
      <c r="P1099" s="20"/>
      <c r="Q1099" s="17"/>
      <c r="T1099" s="20"/>
      <c r="U1099" s="20"/>
      <c r="V1099" s="20"/>
      <c r="W1099" s="20">
        <f t="shared" si="35"/>
        <v>3319.55</v>
      </c>
      <c r="X1099" s="20">
        <f t="shared" si="35"/>
        <v>3320.75</v>
      </c>
      <c r="Y1099" s="20">
        <f t="shared" si="35"/>
        <v>3320.75</v>
      </c>
    </row>
    <row r="1100" spans="1:25" s="16" customFormat="1">
      <c r="A1100" s="108" t="str">
        <f t="shared" si="34"/>
        <v>617010480 1 00 10010850</v>
      </c>
      <c r="B1100" s="197" t="s">
        <v>32</v>
      </c>
      <c r="C1100" s="203" t="s">
        <v>746</v>
      </c>
      <c r="D1100" s="204" t="s">
        <v>11</v>
      </c>
      <c r="E1100" s="204" t="s">
        <v>73</v>
      </c>
      <c r="F1100" s="204" t="s">
        <v>751</v>
      </c>
      <c r="G1100" s="204" t="s">
        <v>33</v>
      </c>
      <c r="H1100" s="26">
        <v>97</v>
      </c>
      <c r="I1100" s="26">
        <v>97</v>
      </c>
      <c r="J1100" s="26">
        <v>97</v>
      </c>
      <c r="K1100" s="20"/>
      <c r="L1100" s="20"/>
      <c r="M1100" s="20"/>
      <c r="N1100" s="20"/>
      <c r="O1100" s="20"/>
      <c r="P1100" s="20"/>
      <c r="Q1100" s="17"/>
      <c r="T1100" s="20">
        <v>212.68</v>
      </c>
      <c r="U1100" s="20">
        <v>0</v>
      </c>
      <c r="V1100" s="20">
        <v>0</v>
      </c>
      <c r="W1100" s="20">
        <f t="shared" si="35"/>
        <v>-115.68</v>
      </c>
      <c r="X1100" s="20">
        <f t="shared" si="35"/>
        <v>97</v>
      </c>
      <c r="Y1100" s="20">
        <f t="shared" si="35"/>
        <v>97</v>
      </c>
    </row>
    <row r="1101" spans="1:25" s="16" customFormat="1" ht="25.5">
      <c r="A1101" s="108" t="str">
        <f t="shared" si="34"/>
        <v>617010480 1 00 10020000</v>
      </c>
      <c r="B1101" s="197" t="s">
        <v>38</v>
      </c>
      <c r="C1101" s="203" t="s">
        <v>746</v>
      </c>
      <c r="D1101" s="204" t="s">
        <v>11</v>
      </c>
      <c r="E1101" s="204" t="s">
        <v>73</v>
      </c>
      <c r="F1101" s="204" t="s">
        <v>752</v>
      </c>
      <c r="G1101" s="204" t="s">
        <v>9</v>
      </c>
      <c r="H1101" s="20">
        <v>28490.66</v>
      </c>
      <c r="I1101" s="20">
        <v>29418.510000000002</v>
      </c>
      <c r="J1101" s="20">
        <v>29418.510000000002</v>
      </c>
      <c r="K1101" s="20"/>
      <c r="L1101" s="20"/>
      <c r="M1101" s="20"/>
      <c r="N1101" s="20"/>
      <c r="O1101" s="20"/>
      <c r="P1101" s="20"/>
      <c r="Q1101" s="17"/>
      <c r="T1101" s="20">
        <v>10300.11</v>
      </c>
      <c r="U1101" s="20">
        <v>10087.43</v>
      </c>
      <c r="V1101" s="20">
        <v>10087.43</v>
      </c>
      <c r="W1101" s="20">
        <f t="shared" si="35"/>
        <v>18190.55</v>
      </c>
      <c r="X1101" s="20">
        <f t="shared" si="35"/>
        <v>19331.080000000002</v>
      </c>
      <c r="Y1101" s="20">
        <f t="shared" si="35"/>
        <v>19331.080000000002</v>
      </c>
    </row>
    <row r="1102" spans="1:25" s="16" customFormat="1" ht="25.5">
      <c r="A1102" s="108" t="str">
        <f t="shared" si="34"/>
        <v>617010480 1 00 10020120</v>
      </c>
      <c r="B1102" s="200" t="s">
        <v>20</v>
      </c>
      <c r="C1102" s="203" t="s">
        <v>746</v>
      </c>
      <c r="D1102" s="204" t="s">
        <v>11</v>
      </c>
      <c r="E1102" s="204" t="s">
        <v>73</v>
      </c>
      <c r="F1102" s="204" t="s">
        <v>752</v>
      </c>
      <c r="G1102" s="204" t="s">
        <v>21</v>
      </c>
      <c r="H1102" s="20">
        <v>28490.66</v>
      </c>
      <c r="I1102" s="20">
        <v>29418.510000000002</v>
      </c>
      <c r="J1102" s="20">
        <v>29418.510000000002</v>
      </c>
      <c r="K1102" s="20"/>
      <c r="L1102" s="20"/>
      <c r="M1102" s="20"/>
      <c r="N1102" s="20"/>
      <c r="O1102" s="20"/>
      <c r="P1102" s="20"/>
      <c r="Q1102" s="17"/>
      <c r="T1102" s="20">
        <v>50135.83</v>
      </c>
      <c r="U1102" s="20">
        <v>54743.99</v>
      </c>
      <c r="V1102" s="20">
        <v>59812.98</v>
      </c>
      <c r="W1102" s="20">
        <f t="shared" si="35"/>
        <v>-21645.170000000002</v>
      </c>
      <c r="X1102" s="20">
        <f t="shared" si="35"/>
        <v>-25325.479999999996</v>
      </c>
      <c r="Y1102" s="20">
        <f t="shared" si="35"/>
        <v>-30394.47</v>
      </c>
    </row>
    <row r="1103" spans="1:25" s="16" customFormat="1" ht="51">
      <c r="A1103" s="108" t="str">
        <f t="shared" si="34"/>
        <v>617010480 1 00 76200000</v>
      </c>
      <c r="B1103" s="252" t="s">
        <v>488</v>
      </c>
      <c r="C1103" s="203" t="s">
        <v>746</v>
      </c>
      <c r="D1103" s="204" t="s">
        <v>11</v>
      </c>
      <c r="E1103" s="204" t="s">
        <v>73</v>
      </c>
      <c r="F1103" s="204" t="s">
        <v>753</v>
      </c>
      <c r="G1103" s="204" t="s">
        <v>9</v>
      </c>
      <c r="H1103" s="20">
        <v>1083.6600000000001</v>
      </c>
      <c r="I1103" s="20">
        <v>1047.75</v>
      </c>
      <c r="J1103" s="20">
        <v>1047.75</v>
      </c>
      <c r="K1103" s="20"/>
      <c r="L1103" s="20"/>
      <c r="M1103" s="20"/>
      <c r="N1103" s="20"/>
      <c r="O1103" s="20"/>
      <c r="P1103" s="20"/>
      <c r="Q1103" s="17"/>
      <c r="T1103" s="20">
        <v>50135.83</v>
      </c>
      <c r="U1103" s="20">
        <v>54743.99</v>
      </c>
      <c r="V1103" s="20">
        <v>59812.98</v>
      </c>
      <c r="W1103" s="20">
        <f t="shared" si="35"/>
        <v>-49052.17</v>
      </c>
      <c r="X1103" s="20">
        <f t="shared" si="35"/>
        <v>-53696.24</v>
      </c>
      <c r="Y1103" s="20">
        <f t="shared" si="35"/>
        <v>-58765.23</v>
      </c>
    </row>
    <row r="1104" spans="1:25" s="16" customFormat="1" ht="25.5">
      <c r="A1104" s="108" t="str">
        <f t="shared" si="34"/>
        <v>617010480 1 00 76200120</v>
      </c>
      <c r="B1104" s="201" t="s">
        <v>20</v>
      </c>
      <c r="C1104" s="203" t="s">
        <v>746</v>
      </c>
      <c r="D1104" s="204" t="s">
        <v>11</v>
      </c>
      <c r="E1104" s="204" t="s">
        <v>73</v>
      </c>
      <c r="F1104" s="204" t="s">
        <v>753</v>
      </c>
      <c r="G1104" s="204" t="s">
        <v>21</v>
      </c>
      <c r="H1104" s="26">
        <v>1025.24</v>
      </c>
      <c r="I1104" s="26">
        <v>989.33</v>
      </c>
      <c r="J1104" s="26">
        <v>989.33</v>
      </c>
      <c r="K1104" s="18"/>
      <c r="L1104" s="18"/>
      <c r="M1104" s="18"/>
      <c r="N1104" s="18"/>
      <c r="O1104" s="18"/>
      <c r="P1104" s="18"/>
      <c r="Q1104" s="17"/>
      <c r="T1104" s="18">
        <v>41832.18</v>
      </c>
      <c r="U1104" s="18">
        <v>19206.899999999998</v>
      </c>
      <c r="V1104" s="18">
        <v>19206.899999999998</v>
      </c>
      <c r="W1104" s="18">
        <f t="shared" si="35"/>
        <v>-40806.94</v>
      </c>
      <c r="X1104" s="18">
        <f t="shared" si="35"/>
        <v>-18217.569999999996</v>
      </c>
      <c r="Y1104" s="18">
        <f t="shared" si="35"/>
        <v>-18217.569999999996</v>
      </c>
    </row>
    <row r="1105" spans="1:25" s="16" customFormat="1" ht="25.5">
      <c r="A1105" s="108" t="str">
        <f t="shared" si="34"/>
        <v>617010480 1 00 76200240</v>
      </c>
      <c r="B1105" s="197" t="s">
        <v>28</v>
      </c>
      <c r="C1105" s="203" t="s">
        <v>746</v>
      </c>
      <c r="D1105" s="204" t="s">
        <v>11</v>
      </c>
      <c r="E1105" s="204" t="s">
        <v>73</v>
      </c>
      <c r="F1105" s="204" t="s">
        <v>753</v>
      </c>
      <c r="G1105" s="204" t="s">
        <v>29</v>
      </c>
      <c r="H1105" s="26">
        <v>58.42</v>
      </c>
      <c r="I1105" s="26">
        <v>58.42</v>
      </c>
      <c r="J1105" s="26">
        <v>58.42</v>
      </c>
      <c r="K1105" s="19"/>
      <c r="L1105" s="19"/>
      <c r="M1105" s="19"/>
      <c r="N1105" s="19"/>
      <c r="O1105" s="19"/>
      <c r="P1105" s="19"/>
      <c r="Q1105" s="17"/>
      <c r="T1105" s="19">
        <v>2175.54</v>
      </c>
      <c r="U1105" s="19">
        <v>1723.26</v>
      </c>
      <c r="V1105" s="19">
        <v>1723.26</v>
      </c>
      <c r="W1105" s="19">
        <f t="shared" si="35"/>
        <v>-2117.12</v>
      </c>
      <c r="X1105" s="19">
        <f t="shared" si="35"/>
        <v>-1664.84</v>
      </c>
      <c r="Y1105" s="19">
        <f t="shared" si="35"/>
        <v>-1664.84</v>
      </c>
    </row>
    <row r="1106" spans="1:25" s="16" customFormat="1" ht="51">
      <c r="A1106" s="108" t="str">
        <f t="shared" si="34"/>
        <v>617010480 1 00 76360000</v>
      </c>
      <c r="B1106" s="201" t="s">
        <v>754</v>
      </c>
      <c r="C1106" s="203" t="s">
        <v>746</v>
      </c>
      <c r="D1106" s="204" t="s">
        <v>11</v>
      </c>
      <c r="E1106" s="204" t="s">
        <v>73</v>
      </c>
      <c r="F1106" s="204" t="s">
        <v>755</v>
      </c>
      <c r="G1106" s="204" t="s">
        <v>9</v>
      </c>
      <c r="H1106" s="26">
        <v>70.900000000000006</v>
      </c>
      <c r="I1106" s="26">
        <v>70.900000000000006</v>
      </c>
      <c r="J1106" s="26">
        <v>70.900000000000006</v>
      </c>
      <c r="K1106" s="20"/>
      <c r="L1106" s="20"/>
      <c r="M1106" s="20"/>
      <c r="N1106" s="20"/>
      <c r="O1106" s="20"/>
      <c r="P1106" s="20"/>
      <c r="Q1106" s="17"/>
      <c r="T1106" s="20">
        <v>2175.54</v>
      </c>
      <c r="U1106" s="20">
        <v>1723.26</v>
      </c>
      <c r="V1106" s="20">
        <v>1723.26</v>
      </c>
      <c r="W1106" s="20">
        <f t="shared" si="35"/>
        <v>-2104.64</v>
      </c>
      <c r="X1106" s="20">
        <f t="shared" si="35"/>
        <v>-1652.36</v>
      </c>
      <c r="Y1106" s="20">
        <f t="shared" si="35"/>
        <v>-1652.36</v>
      </c>
    </row>
    <row r="1107" spans="1:25" s="16" customFormat="1" ht="25.5">
      <c r="A1107" s="108" t="str">
        <f t="shared" si="34"/>
        <v>617010480 1 00 76360240</v>
      </c>
      <c r="B1107" s="197" t="s">
        <v>28</v>
      </c>
      <c r="C1107" s="203" t="s">
        <v>746</v>
      </c>
      <c r="D1107" s="204" t="s">
        <v>11</v>
      </c>
      <c r="E1107" s="204" t="s">
        <v>73</v>
      </c>
      <c r="F1107" s="204" t="s">
        <v>755</v>
      </c>
      <c r="G1107" s="204" t="s">
        <v>29</v>
      </c>
      <c r="H1107" s="26">
        <v>70.900000000000006</v>
      </c>
      <c r="I1107" s="26">
        <v>70.900000000000006</v>
      </c>
      <c r="J1107" s="26">
        <v>70.900000000000006</v>
      </c>
      <c r="K1107" s="20"/>
      <c r="L1107" s="20"/>
      <c r="M1107" s="20"/>
      <c r="N1107" s="20"/>
      <c r="O1107" s="20"/>
      <c r="P1107" s="20"/>
      <c r="Q1107" s="17"/>
      <c r="T1107" s="20">
        <v>2175.54</v>
      </c>
      <c r="U1107" s="20">
        <v>1723.26</v>
      </c>
      <c r="V1107" s="20">
        <v>1723.26</v>
      </c>
      <c r="W1107" s="20">
        <f t="shared" si="35"/>
        <v>-2104.64</v>
      </c>
      <c r="X1107" s="20">
        <f t="shared" si="35"/>
        <v>-1652.36</v>
      </c>
      <c r="Y1107" s="20">
        <f t="shared" si="35"/>
        <v>-1652.36</v>
      </c>
    </row>
    <row r="1108" spans="1:25" s="16" customFormat="1" ht="191.25">
      <c r="A1108" s="108" t="str">
        <f t="shared" si="34"/>
        <v>617010480 1 00 77460000</v>
      </c>
      <c r="B1108" s="197" t="s">
        <v>1263</v>
      </c>
      <c r="C1108" s="203" t="s">
        <v>746</v>
      </c>
      <c r="D1108" s="204" t="s">
        <v>11</v>
      </c>
      <c r="E1108" s="204" t="s">
        <v>73</v>
      </c>
      <c r="F1108" s="204" t="s">
        <v>1309</v>
      </c>
      <c r="G1108" s="204" t="s">
        <v>9</v>
      </c>
      <c r="H1108" s="26">
        <v>927.85</v>
      </c>
      <c r="I1108" s="26">
        <v>0</v>
      </c>
      <c r="J1108" s="26">
        <v>0</v>
      </c>
      <c r="K1108" s="26"/>
      <c r="L1108" s="26"/>
      <c r="M1108" s="26"/>
      <c r="N1108" s="26"/>
      <c r="O1108" s="26"/>
      <c r="P1108" s="26"/>
      <c r="Q1108" s="17"/>
      <c r="T1108" s="26">
        <v>2175.54</v>
      </c>
      <c r="U1108" s="26">
        <v>1723.26</v>
      </c>
      <c r="V1108" s="26">
        <v>1723.26</v>
      </c>
      <c r="W1108" s="26">
        <f t="shared" si="35"/>
        <v>-1247.69</v>
      </c>
      <c r="X1108" s="26">
        <f t="shared" si="35"/>
        <v>-1723.26</v>
      </c>
      <c r="Y1108" s="26">
        <f t="shared" si="35"/>
        <v>-1723.26</v>
      </c>
    </row>
    <row r="1109" spans="1:25" s="16" customFormat="1" ht="25.5">
      <c r="A1109" s="108" t="str">
        <f t="shared" si="34"/>
        <v>617010480 1 00 77460120</v>
      </c>
      <c r="B1109" s="201" t="s">
        <v>20</v>
      </c>
      <c r="C1109" s="203" t="s">
        <v>746</v>
      </c>
      <c r="D1109" s="204" t="s">
        <v>11</v>
      </c>
      <c r="E1109" s="204" t="s">
        <v>73</v>
      </c>
      <c r="F1109" s="204" t="s">
        <v>1309</v>
      </c>
      <c r="G1109" s="204" t="s">
        <v>21</v>
      </c>
      <c r="H1109" s="26">
        <v>927.85</v>
      </c>
      <c r="I1109" s="26">
        <v>0</v>
      </c>
      <c r="J1109" s="26">
        <v>0</v>
      </c>
      <c r="K1109" s="20"/>
      <c r="L1109" s="20"/>
      <c r="M1109" s="20"/>
      <c r="N1109" s="20"/>
      <c r="O1109" s="20"/>
      <c r="P1109" s="20"/>
      <c r="Q1109" s="17"/>
      <c r="T1109" s="20">
        <v>2175.54</v>
      </c>
      <c r="U1109" s="20">
        <v>1723.26</v>
      </c>
      <c r="V1109" s="20">
        <v>1723.26</v>
      </c>
      <c r="W1109" s="20">
        <f t="shared" si="35"/>
        <v>-1247.69</v>
      </c>
      <c r="X1109" s="20">
        <f t="shared" si="35"/>
        <v>-1723.26</v>
      </c>
      <c r="Y1109" s="20">
        <f t="shared" si="35"/>
        <v>-1723.26</v>
      </c>
    </row>
    <row r="1110" spans="1:25" s="16" customFormat="1">
      <c r="A1110" s="108" t="str">
        <f t="shared" si="34"/>
        <v>617011300 0 00 00000000</v>
      </c>
      <c r="B1110" s="194" t="s">
        <v>50</v>
      </c>
      <c r="C1110" s="195" t="s">
        <v>746</v>
      </c>
      <c r="D1110" s="196" t="s">
        <v>11</v>
      </c>
      <c r="E1110" s="196" t="s">
        <v>51</v>
      </c>
      <c r="F1110" s="196" t="s">
        <v>8</v>
      </c>
      <c r="G1110" s="196" t="s">
        <v>9</v>
      </c>
      <c r="H1110" s="19">
        <v>1775.2</v>
      </c>
      <c r="I1110" s="19">
        <v>390.2</v>
      </c>
      <c r="J1110" s="19">
        <v>390.2</v>
      </c>
      <c r="K1110" s="20"/>
      <c r="L1110" s="20"/>
      <c r="M1110" s="20"/>
      <c r="N1110" s="20"/>
      <c r="O1110" s="20"/>
      <c r="P1110" s="20"/>
      <c r="Q1110" s="17"/>
      <c r="T1110" s="20"/>
      <c r="U1110" s="20"/>
      <c r="V1110" s="20"/>
      <c r="W1110" s="20">
        <f t="shared" si="35"/>
        <v>1775.2</v>
      </c>
      <c r="X1110" s="20">
        <f t="shared" si="35"/>
        <v>390.2</v>
      </c>
      <c r="Y1110" s="20">
        <f t="shared" si="35"/>
        <v>390.2</v>
      </c>
    </row>
    <row r="1111" spans="1:25" s="16" customFormat="1" ht="38.25">
      <c r="A1111" s="108" t="str">
        <f t="shared" si="34"/>
        <v>617011311 0 00 00000000</v>
      </c>
      <c r="B1111" s="205" t="s">
        <v>257</v>
      </c>
      <c r="C1111" s="203" t="s">
        <v>746</v>
      </c>
      <c r="D1111" s="204" t="s">
        <v>11</v>
      </c>
      <c r="E1111" s="204" t="s">
        <v>51</v>
      </c>
      <c r="F1111" s="204" t="s">
        <v>258</v>
      </c>
      <c r="G1111" s="204" t="s">
        <v>9</v>
      </c>
      <c r="H1111" s="26">
        <v>390.2</v>
      </c>
      <c r="I1111" s="26">
        <v>390.2</v>
      </c>
      <c r="J1111" s="26">
        <v>390.2</v>
      </c>
      <c r="K1111" s="20"/>
      <c r="L1111" s="20"/>
      <c r="M1111" s="20"/>
      <c r="N1111" s="20"/>
      <c r="O1111" s="20"/>
      <c r="P1111" s="20"/>
      <c r="Q1111" s="17"/>
      <c r="T1111" s="20">
        <v>452.28</v>
      </c>
      <c r="U1111" s="20">
        <v>0</v>
      </c>
      <c r="V1111" s="20">
        <v>0</v>
      </c>
      <c r="W1111" s="20">
        <f t="shared" si="35"/>
        <v>-62.079999999999984</v>
      </c>
      <c r="X1111" s="20">
        <f t="shared" si="35"/>
        <v>390.2</v>
      </c>
      <c r="Y1111" s="20">
        <f t="shared" si="35"/>
        <v>390.2</v>
      </c>
    </row>
    <row r="1112" spans="1:25" s="16" customFormat="1" ht="51">
      <c r="A1112" s="108" t="str">
        <f t="shared" si="34"/>
        <v>617011311 Б 00 00000000</v>
      </c>
      <c r="B1112" s="205" t="s">
        <v>259</v>
      </c>
      <c r="C1112" s="198" t="s">
        <v>746</v>
      </c>
      <c r="D1112" s="204" t="s">
        <v>11</v>
      </c>
      <c r="E1112" s="204" t="s">
        <v>51</v>
      </c>
      <c r="F1112" s="204" t="s">
        <v>260</v>
      </c>
      <c r="G1112" s="204" t="s">
        <v>9</v>
      </c>
      <c r="H1112" s="26">
        <v>390.2</v>
      </c>
      <c r="I1112" s="26">
        <v>390.2</v>
      </c>
      <c r="J1112" s="26">
        <v>390.2</v>
      </c>
      <c r="K1112" s="20"/>
      <c r="L1112" s="20"/>
      <c r="M1112" s="20"/>
      <c r="N1112" s="20"/>
      <c r="O1112" s="20"/>
      <c r="P1112" s="20"/>
      <c r="Q1112" s="17"/>
      <c r="T1112" s="20">
        <v>2175.54</v>
      </c>
      <c r="U1112" s="20">
        <v>1723.26</v>
      </c>
      <c r="V1112" s="20">
        <v>1723.26</v>
      </c>
      <c r="W1112" s="20">
        <f t="shared" si="35"/>
        <v>-1785.34</v>
      </c>
      <c r="X1112" s="20">
        <f t="shared" si="35"/>
        <v>-1333.06</v>
      </c>
      <c r="Y1112" s="20">
        <f t="shared" si="35"/>
        <v>-1333.06</v>
      </c>
    </row>
    <row r="1113" spans="1:25" s="16" customFormat="1" ht="38.25">
      <c r="A1113" s="108" t="str">
        <f t="shared" si="34"/>
        <v>617011311 Б 01 00000000</v>
      </c>
      <c r="B1113" s="197" t="s">
        <v>261</v>
      </c>
      <c r="C1113" s="198" t="s">
        <v>746</v>
      </c>
      <c r="D1113" s="204" t="s">
        <v>11</v>
      </c>
      <c r="E1113" s="204" t="s">
        <v>51</v>
      </c>
      <c r="F1113" s="204" t="s">
        <v>262</v>
      </c>
      <c r="G1113" s="204" t="s">
        <v>9</v>
      </c>
      <c r="H1113" s="26">
        <v>390.2</v>
      </c>
      <c r="I1113" s="26">
        <v>390.2</v>
      </c>
      <c r="J1113" s="26">
        <v>390.2</v>
      </c>
      <c r="K1113" s="19"/>
      <c r="L1113" s="19"/>
      <c r="M1113" s="19"/>
      <c r="N1113" s="19"/>
      <c r="O1113" s="19"/>
      <c r="P1113" s="19"/>
      <c r="Q1113" s="17"/>
      <c r="T1113" s="19">
        <v>39656.639999999999</v>
      </c>
      <c r="U1113" s="19">
        <v>17483.64</v>
      </c>
      <c r="V1113" s="19">
        <v>17483.64</v>
      </c>
      <c r="W1113" s="19">
        <f t="shared" si="35"/>
        <v>-39266.44</v>
      </c>
      <c r="X1113" s="19">
        <f t="shared" si="35"/>
        <v>-17093.439999999999</v>
      </c>
      <c r="Y1113" s="19">
        <f t="shared" si="35"/>
        <v>-17093.439999999999</v>
      </c>
    </row>
    <row r="1114" spans="1:25" s="16" customFormat="1" ht="25.5">
      <c r="A1114" s="108" t="str">
        <f t="shared" si="34"/>
        <v>617011311 Б 01 20840000</v>
      </c>
      <c r="B1114" s="197" t="s">
        <v>756</v>
      </c>
      <c r="C1114" s="198" t="s">
        <v>746</v>
      </c>
      <c r="D1114" s="204" t="s">
        <v>11</v>
      </c>
      <c r="E1114" s="204" t="s">
        <v>51</v>
      </c>
      <c r="F1114" s="204" t="s">
        <v>757</v>
      </c>
      <c r="G1114" s="204" t="s">
        <v>9</v>
      </c>
      <c r="H1114" s="26">
        <v>350</v>
      </c>
      <c r="I1114" s="26">
        <v>350</v>
      </c>
      <c r="J1114" s="26">
        <v>350</v>
      </c>
      <c r="K1114" s="20"/>
      <c r="L1114" s="20"/>
      <c r="M1114" s="20"/>
      <c r="N1114" s="20"/>
      <c r="O1114" s="20"/>
      <c r="P1114" s="20"/>
      <c r="Q1114" s="17"/>
      <c r="T1114" s="20">
        <v>37656.639999999999</v>
      </c>
      <c r="U1114" s="20">
        <v>17483.64</v>
      </c>
      <c r="V1114" s="20">
        <v>17483.64</v>
      </c>
      <c r="W1114" s="20">
        <f t="shared" si="35"/>
        <v>-37306.639999999999</v>
      </c>
      <c r="X1114" s="20">
        <f t="shared" si="35"/>
        <v>-17133.64</v>
      </c>
      <c r="Y1114" s="20">
        <f t="shared" si="35"/>
        <v>-17133.64</v>
      </c>
    </row>
    <row r="1115" spans="1:25" s="16" customFormat="1" ht="25.5">
      <c r="A1115" s="108" t="str">
        <f t="shared" si="34"/>
        <v>617011311 Б 01 20840240</v>
      </c>
      <c r="B1115" s="197" t="s">
        <v>28</v>
      </c>
      <c r="C1115" s="198" t="s">
        <v>746</v>
      </c>
      <c r="D1115" s="204" t="s">
        <v>11</v>
      </c>
      <c r="E1115" s="204" t="s">
        <v>51</v>
      </c>
      <c r="F1115" s="204" t="s">
        <v>757</v>
      </c>
      <c r="G1115" s="204" t="s">
        <v>29</v>
      </c>
      <c r="H1115" s="26">
        <v>350</v>
      </c>
      <c r="I1115" s="26">
        <v>350</v>
      </c>
      <c r="J1115" s="26">
        <v>350</v>
      </c>
      <c r="K1115" s="20"/>
      <c r="L1115" s="20"/>
      <c r="M1115" s="20"/>
      <c r="N1115" s="20"/>
      <c r="O1115" s="20"/>
      <c r="P1115" s="20"/>
      <c r="Q1115" s="17"/>
      <c r="T1115" s="20">
        <v>37656.639999999999</v>
      </c>
      <c r="U1115" s="20">
        <v>17483.64</v>
      </c>
      <c r="V1115" s="20">
        <v>17483.64</v>
      </c>
      <c r="W1115" s="20">
        <f t="shared" si="35"/>
        <v>-37306.639999999999</v>
      </c>
      <c r="X1115" s="20">
        <f t="shared" si="35"/>
        <v>-17133.64</v>
      </c>
      <c r="Y1115" s="20">
        <f t="shared" si="35"/>
        <v>-17133.64</v>
      </c>
    </row>
    <row r="1116" spans="1:25" s="16" customFormat="1" ht="25.5">
      <c r="A1116" s="108" t="str">
        <f t="shared" si="34"/>
        <v>617011311 Б 01 21120000</v>
      </c>
      <c r="B1116" s="197" t="s">
        <v>267</v>
      </c>
      <c r="C1116" s="198" t="s">
        <v>746</v>
      </c>
      <c r="D1116" s="199" t="s">
        <v>11</v>
      </c>
      <c r="E1116" s="199" t="s">
        <v>51</v>
      </c>
      <c r="F1116" s="230" t="s">
        <v>268</v>
      </c>
      <c r="G1116" s="199" t="s">
        <v>9</v>
      </c>
      <c r="H1116" s="20">
        <v>40.200000000000003</v>
      </c>
      <c r="I1116" s="20">
        <v>40.200000000000003</v>
      </c>
      <c r="J1116" s="20">
        <v>40.200000000000003</v>
      </c>
      <c r="K1116" s="26"/>
      <c r="L1116" s="26"/>
      <c r="M1116" s="26"/>
      <c r="N1116" s="26"/>
      <c r="O1116" s="26"/>
      <c r="P1116" s="26"/>
      <c r="Q1116" s="17"/>
      <c r="T1116" s="26">
        <v>37656.639999999999</v>
      </c>
      <c r="U1116" s="26">
        <v>17483.64</v>
      </c>
      <c r="V1116" s="26">
        <v>17483.64</v>
      </c>
      <c r="W1116" s="26">
        <f t="shared" si="35"/>
        <v>-37616.44</v>
      </c>
      <c r="X1116" s="26">
        <f t="shared" si="35"/>
        <v>-17443.439999999999</v>
      </c>
      <c r="Y1116" s="26">
        <f t="shared" si="35"/>
        <v>-17443.439999999999</v>
      </c>
    </row>
    <row r="1117" spans="1:25" s="16" customFormat="1" ht="25.5">
      <c r="A1117" s="108" t="str">
        <f t="shared" si="34"/>
        <v>617011311 Б 01 21120240</v>
      </c>
      <c r="B1117" s="197" t="s">
        <v>28</v>
      </c>
      <c r="C1117" s="198" t="s">
        <v>746</v>
      </c>
      <c r="D1117" s="199" t="s">
        <v>11</v>
      </c>
      <c r="E1117" s="199" t="s">
        <v>51</v>
      </c>
      <c r="F1117" s="230" t="s">
        <v>268</v>
      </c>
      <c r="G1117" s="199" t="s">
        <v>29</v>
      </c>
      <c r="H1117" s="20">
        <v>40.200000000000003</v>
      </c>
      <c r="I1117" s="20">
        <v>40.200000000000003</v>
      </c>
      <c r="J1117" s="20">
        <v>40.200000000000003</v>
      </c>
      <c r="K1117" s="20"/>
      <c r="L1117" s="20"/>
      <c r="M1117" s="20"/>
      <c r="N1117" s="20"/>
      <c r="O1117" s="20"/>
      <c r="P1117" s="20"/>
      <c r="Q1117" s="17"/>
      <c r="T1117" s="20">
        <v>10518.05</v>
      </c>
      <c r="U1117" s="20">
        <v>9545.0499999999993</v>
      </c>
      <c r="V1117" s="20">
        <v>9545.0499999999993</v>
      </c>
      <c r="W1117" s="20">
        <f t="shared" si="35"/>
        <v>-10477.849999999999</v>
      </c>
      <c r="X1117" s="20">
        <f t="shared" si="35"/>
        <v>-9504.8499999999985</v>
      </c>
      <c r="Y1117" s="20">
        <f t="shared" si="35"/>
        <v>-9504.8499999999985</v>
      </c>
    </row>
    <row r="1118" spans="1:25" s="16" customFormat="1" ht="25.5">
      <c r="A1118" s="108" t="str">
        <f t="shared" si="34"/>
        <v>617011380 0 00 00000000</v>
      </c>
      <c r="B1118" s="226" t="s">
        <v>747</v>
      </c>
      <c r="C1118" s="203" t="s">
        <v>746</v>
      </c>
      <c r="D1118" s="199" t="s">
        <v>11</v>
      </c>
      <c r="E1118" s="199" t="s">
        <v>51</v>
      </c>
      <c r="F1118" s="204" t="s">
        <v>748</v>
      </c>
      <c r="G1118" s="204" t="s">
        <v>9</v>
      </c>
      <c r="H1118" s="316">
        <v>30</v>
      </c>
      <c r="I1118" s="26">
        <v>0</v>
      </c>
      <c r="J1118" s="26">
        <v>0</v>
      </c>
      <c r="K1118" s="20"/>
      <c r="L1118" s="20"/>
      <c r="M1118" s="20"/>
      <c r="N1118" s="20"/>
      <c r="O1118" s="20"/>
      <c r="P1118" s="20"/>
      <c r="Q1118" s="17"/>
      <c r="T1118" s="20">
        <v>10518.05</v>
      </c>
      <c r="U1118" s="20">
        <v>9545.0499999999993</v>
      </c>
      <c r="V1118" s="20">
        <v>9545.0499999999993</v>
      </c>
      <c r="W1118" s="20">
        <f t="shared" si="35"/>
        <v>-10488.05</v>
      </c>
      <c r="X1118" s="20">
        <f t="shared" si="35"/>
        <v>-9545.0499999999993</v>
      </c>
      <c r="Y1118" s="20">
        <f t="shared" si="35"/>
        <v>-9545.0499999999993</v>
      </c>
    </row>
    <row r="1119" spans="1:25" s="16" customFormat="1" ht="25.5">
      <c r="A1119" s="108" t="str">
        <f t="shared" si="34"/>
        <v>617011380 1 00 00000000</v>
      </c>
      <c r="B1119" s="226" t="s">
        <v>749</v>
      </c>
      <c r="C1119" s="203" t="s">
        <v>746</v>
      </c>
      <c r="D1119" s="199" t="s">
        <v>11</v>
      </c>
      <c r="E1119" s="199" t="s">
        <v>51</v>
      </c>
      <c r="F1119" s="204" t="s">
        <v>750</v>
      </c>
      <c r="G1119" s="204" t="s">
        <v>9</v>
      </c>
      <c r="H1119" s="316">
        <v>30</v>
      </c>
      <c r="I1119" s="26">
        <v>0</v>
      </c>
      <c r="J1119" s="26">
        <v>0</v>
      </c>
      <c r="K1119" s="20"/>
      <c r="L1119" s="20"/>
      <c r="M1119" s="20"/>
      <c r="N1119" s="20"/>
      <c r="O1119" s="20"/>
      <c r="P1119" s="20"/>
      <c r="Q1119" s="17"/>
      <c r="T1119" s="20">
        <v>941.72</v>
      </c>
      <c r="U1119" s="20">
        <v>941.72</v>
      </c>
      <c r="V1119" s="20">
        <v>941.72</v>
      </c>
      <c r="W1119" s="20">
        <f t="shared" si="35"/>
        <v>-911.72</v>
      </c>
      <c r="X1119" s="20">
        <f t="shared" si="35"/>
        <v>-941.72</v>
      </c>
      <c r="Y1119" s="20">
        <f t="shared" si="35"/>
        <v>-941.72</v>
      </c>
    </row>
    <row r="1120" spans="1:25" s="16" customFormat="1" ht="25.5">
      <c r="A1120" s="108" t="str">
        <f t="shared" si="34"/>
        <v>617011380 1 00 20050000</v>
      </c>
      <c r="B1120" s="201" t="s">
        <v>187</v>
      </c>
      <c r="C1120" s="203" t="s">
        <v>746</v>
      </c>
      <c r="D1120" s="199" t="s">
        <v>11</v>
      </c>
      <c r="E1120" s="199" t="s">
        <v>51</v>
      </c>
      <c r="F1120" s="204" t="s">
        <v>1310</v>
      </c>
      <c r="G1120" s="204" t="s">
        <v>9</v>
      </c>
      <c r="H1120" s="316">
        <v>30</v>
      </c>
      <c r="I1120" s="26">
        <v>0</v>
      </c>
      <c r="J1120" s="26">
        <v>0</v>
      </c>
      <c r="K1120" s="20"/>
      <c r="L1120" s="20"/>
      <c r="M1120" s="20"/>
      <c r="N1120" s="20"/>
      <c r="O1120" s="20"/>
      <c r="P1120" s="20"/>
      <c r="Q1120" s="17"/>
      <c r="T1120" s="20">
        <v>941.72</v>
      </c>
      <c r="U1120" s="20">
        <v>941.72</v>
      </c>
      <c r="V1120" s="20">
        <v>941.72</v>
      </c>
      <c r="W1120" s="20">
        <f t="shared" si="35"/>
        <v>-911.72</v>
      </c>
      <c r="X1120" s="20">
        <f t="shared" si="35"/>
        <v>-941.72</v>
      </c>
      <c r="Y1120" s="20">
        <f t="shared" si="35"/>
        <v>-941.72</v>
      </c>
    </row>
    <row r="1121" spans="1:25" s="16" customFormat="1">
      <c r="A1121" s="108" t="str">
        <f t="shared" si="34"/>
        <v>617011380 1 00 20050830</v>
      </c>
      <c r="B1121" s="216" t="s">
        <v>189</v>
      </c>
      <c r="C1121" s="203" t="s">
        <v>746</v>
      </c>
      <c r="D1121" s="199" t="s">
        <v>11</v>
      </c>
      <c r="E1121" s="199" t="s">
        <v>51</v>
      </c>
      <c r="F1121" s="204" t="s">
        <v>1310</v>
      </c>
      <c r="G1121" s="204" t="s">
        <v>190</v>
      </c>
      <c r="H1121" s="316">
        <v>30</v>
      </c>
      <c r="I1121" s="26">
        <v>0</v>
      </c>
      <c r="J1121" s="26">
        <v>0</v>
      </c>
      <c r="K1121" s="26"/>
      <c r="L1121" s="26"/>
      <c r="M1121" s="26"/>
      <c r="N1121" s="26"/>
      <c r="O1121" s="26"/>
      <c r="P1121" s="26"/>
      <c r="Q1121" s="17"/>
      <c r="T1121" s="26">
        <v>15996.87</v>
      </c>
      <c r="U1121" s="26">
        <v>6996.87</v>
      </c>
      <c r="V1121" s="26">
        <v>6996.87</v>
      </c>
      <c r="W1121" s="26">
        <f t="shared" si="35"/>
        <v>-15966.87</v>
      </c>
      <c r="X1121" s="26">
        <f t="shared" si="35"/>
        <v>-6996.87</v>
      </c>
      <c r="Y1121" s="26">
        <f t="shared" si="35"/>
        <v>-6996.87</v>
      </c>
    </row>
    <row r="1122" spans="1:25" s="16" customFormat="1" ht="38.25">
      <c r="A1122" s="108" t="str">
        <f t="shared" si="34"/>
        <v>617011398 0 00 00000000</v>
      </c>
      <c r="B1122" s="200" t="s">
        <v>87</v>
      </c>
      <c r="C1122" s="198" t="s">
        <v>746</v>
      </c>
      <c r="D1122" s="199" t="s">
        <v>11</v>
      </c>
      <c r="E1122" s="199" t="s">
        <v>51</v>
      </c>
      <c r="F1122" s="230" t="s">
        <v>88</v>
      </c>
      <c r="G1122" s="199" t="s">
        <v>9</v>
      </c>
      <c r="H1122" s="20">
        <v>1355</v>
      </c>
      <c r="I1122" s="20">
        <v>0</v>
      </c>
      <c r="J1122" s="20">
        <v>0</v>
      </c>
      <c r="K1122" s="20"/>
      <c r="L1122" s="20"/>
      <c r="M1122" s="20"/>
      <c r="N1122" s="20"/>
      <c r="O1122" s="20"/>
      <c r="P1122" s="20"/>
      <c r="Q1122" s="17"/>
      <c r="T1122" s="20">
        <v>15996.87</v>
      </c>
      <c r="U1122" s="20">
        <v>6996.87</v>
      </c>
      <c r="V1122" s="20">
        <v>6996.87</v>
      </c>
      <c r="W1122" s="20">
        <f t="shared" si="35"/>
        <v>-14641.87</v>
      </c>
      <c r="X1122" s="20">
        <f t="shared" si="35"/>
        <v>-6996.87</v>
      </c>
      <c r="Y1122" s="20">
        <f t="shared" si="35"/>
        <v>-6996.87</v>
      </c>
    </row>
    <row r="1123" spans="1:25" s="16" customFormat="1">
      <c r="A1123" s="108" t="str">
        <f t="shared" si="34"/>
        <v>617011398 1 00 00000000</v>
      </c>
      <c r="B1123" s="200" t="s">
        <v>89</v>
      </c>
      <c r="C1123" s="198" t="s">
        <v>746</v>
      </c>
      <c r="D1123" s="199" t="s">
        <v>11</v>
      </c>
      <c r="E1123" s="199" t="s">
        <v>51</v>
      </c>
      <c r="F1123" s="230" t="s">
        <v>90</v>
      </c>
      <c r="G1123" s="199" t="s">
        <v>9</v>
      </c>
      <c r="H1123" s="20">
        <v>1355</v>
      </c>
      <c r="I1123" s="20">
        <v>0</v>
      </c>
      <c r="J1123" s="20">
        <v>0</v>
      </c>
      <c r="K1123" s="20"/>
      <c r="L1123" s="20"/>
      <c r="M1123" s="20"/>
      <c r="N1123" s="20"/>
      <c r="O1123" s="20"/>
      <c r="P1123" s="20"/>
      <c r="Q1123" s="17"/>
      <c r="T1123" s="20">
        <v>1501</v>
      </c>
      <c r="U1123" s="20">
        <v>0</v>
      </c>
      <c r="V1123" s="20">
        <v>0</v>
      </c>
      <c r="W1123" s="20">
        <f t="shared" si="35"/>
        <v>-146</v>
      </c>
      <c r="X1123" s="20">
        <f t="shared" si="35"/>
        <v>0</v>
      </c>
      <c r="Y1123" s="20">
        <f t="shared" si="35"/>
        <v>0</v>
      </c>
    </row>
    <row r="1124" spans="1:25" s="16" customFormat="1" ht="51">
      <c r="A1124" s="108" t="str">
        <f t="shared" si="34"/>
        <v>617011398 1 00 21020000</v>
      </c>
      <c r="B1124" s="200" t="s">
        <v>758</v>
      </c>
      <c r="C1124" s="198" t="s">
        <v>746</v>
      </c>
      <c r="D1124" s="199" t="s">
        <v>11</v>
      </c>
      <c r="E1124" s="199" t="s">
        <v>51</v>
      </c>
      <c r="F1124" s="230" t="s">
        <v>759</v>
      </c>
      <c r="G1124" s="199" t="s">
        <v>9</v>
      </c>
      <c r="H1124" s="20">
        <v>1355</v>
      </c>
      <c r="I1124" s="20">
        <v>0</v>
      </c>
      <c r="J1124" s="20">
        <v>0</v>
      </c>
      <c r="K1124" s="20"/>
      <c r="L1124" s="20"/>
      <c r="M1124" s="20"/>
      <c r="N1124" s="20"/>
      <c r="O1124" s="20"/>
      <c r="P1124" s="20"/>
      <c r="Q1124" s="17"/>
      <c r="T1124" s="20"/>
      <c r="U1124" s="20"/>
      <c r="V1124" s="20"/>
      <c r="W1124" s="20">
        <f t="shared" si="35"/>
        <v>1355</v>
      </c>
      <c r="X1124" s="20">
        <f t="shared" si="35"/>
        <v>0</v>
      </c>
      <c r="Y1124" s="20">
        <f t="shared" si="35"/>
        <v>0</v>
      </c>
    </row>
    <row r="1125" spans="1:25" s="16" customFormat="1" ht="25.5">
      <c r="A1125" s="108" t="str">
        <f t="shared" si="34"/>
        <v>617011398 1 00 21020240</v>
      </c>
      <c r="B1125" s="197" t="s">
        <v>28</v>
      </c>
      <c r="C1125" s="198" t="s">
        <v>746</v>
      </c>
      <c r="D1125" s="199" t="s">
        <v>11</v>
      </c>
      <c r="E1125" s="199" t="s">
        <v>51</v>
      </c>
      <c r="F1125" s="230" t="s">
        <v>759</v>
      </c>
      <c r="G1125" s="204" t="s">
        <v>29</v>
      </c>
      <c r="H1125" s="20">
        <v>1355</v>
      </c>
      <c r="I1125" s="20">
        <v>0</v>
      </c>
      <c r="J1125" s="20">
        <v>0</v>
      </c>
      <c r="K1125" s="20"/>
      <c r="L1125" s="20"/>
      <c r="M1125" s="20"/>
      <c r="N1125" s="20"/>
      <c r="O1125" s="20"/>
      <c r="P1125" s="20"/>
      <c r="Q1125" s="17"/>
      <c r="T1125" s="20">
        <v>301</v>
      </c>
      <c r="U1125" s="20">
        <v>0</v>
      </c>
      <c r="V1125" s="20">
        <v>0</v>
      </c>
      <c r="W1125" s="20">
        <f t="shared" si="35"/>
        <v>1054</v>
      </c>
      <c r="X1125" s="20">
        <f t="shared" si="35"/>
        <v>0</v>
      </c>
      <c r="Y1125" s="20">
        <f t="shared" si="35"/>
        <v>0</v>
      </c>
    </row>
    <row r="1126" spans="1:25" s="16" customFormat="1">
      <c r="A1126" s="108" t="str">
        <f t="shared" si="34"/>
        <v>617040000 0 00 00000000</v>
      </c>
      <c r="B1126" s="191" t="s">
        <v>195</v>
      </c>
      <c r="C1126" s="192" t="s">
        <v>746</v>
      </c>
      <c r="D1126" s="193" t="s">
        <v>73</v>
      </c>
      <c r="E1126" s="193" t="s">
        <v>7</v>
      </c>
      <c r="F1126" s="193" t="s">
        <v>8</v>
      </c>
      <c r="G1126" s="193" t="s">
        <v>9</v>
      </c>
      <c r="H1126" s="18">
        <v>77141.55</v>
      </c>
      <c r="I1126" s="18">
        <v>81217.409999999989</v>
      </c>
      <c r="J1126" s="18">
        <v>88601.17</v>
      </c>
      <c r="K1126" s="20"/>
      <c r="L1126" s="20"/>
      <c r="M1126" s="20"/>
      <c r="N1126" s="20"/>
      <c r="O1126" s="20"/>
      <c r="P1126" s="20"/>
      <c r="Q1126" s="17"/>
      <c r="T1126" s="20">
        <v>1200</v>
      </c>
      <c r="U1126" s="20">
        <v>0</v>
      </c>
      <c r="V1126" s="20">
        <v>0</v>
      </c>
      <c r="W1126" s="20">
        <f t="shared" si="35"/>
        <v>75941.55</v>
      </c>
      <c r="X1126" s="20">
        <f t="shared" si="35"/>
        <v>81217.409999999989</v>
      </c>
      <c r="Y1126" s="20">
        <f t="shared" si="35"/>
        <v>88601.17</v>
      </c>
    </row>
    <row r="1127" spans="1:25" s="16" customFormat="1">
      <c r="A1127" s="108" t="str">
        <f t="shared" si="34"/>
        <v>617040900 0 00 00000000</v>
      </c>
      <c r="B1127" s="194" t="s">
        <v>760</v>
      </c>
      <c r="C1127" s="195" t="s">
        <v>746</v>
      </c>
      <c r="D1127" s="196" t="s">
        <v>73</v>
      </c>
      <c r="E1127" s="196" t="s">
        <v>471</v>
      </c>
      <c r="F1127" s="196" t="s">
        <v>8</v>
      </c>
      <c r="G1127" s="196" t="s">
        <v>9</v>
      </c>
      <c r="H1127" s="19">
        <v>77141.55</v>
      </c>
      <c r="I1127" s="19">
        <v>81217.409999999989</v>
      </c>
      <c r="J1127" s="19">
        <v>88601.17</v>
      </c>
      <c r="K1127" s="20"/>
      <c r="L1127" s="20"/>
      <c r="M1127" s="20"/>
      <c r="N1127" s="20"/>
      <c r="O1127" s="20"/>
      <c r="P1127" s="20"/>
      <c r="Q1127" s="17"/>
      <c r="T1127" s="20">
        <v>1501</v>
      </c>
      <c r="U1127" s="20">
        <v>0</v>
      </c>
      <c r="V1127" s="20">
        <v>0</v>
      </c>
      <c r="W1127" s="20">
        <f t="shared" si="35"/>
        <v>75640.55</v>
      </c>
      <c r="X1127" s="20">
        <f t="shared" si="35"/>
        <v>81217.409999999989</v>
      </c>
      <c r="Y1127" s="20">
        <f t="shared" si="35"/>
        <v>88601.17</v>
      </c>
    </row>
    <row r="1128" spans="1:25" s="16" customFormat="1" ht="38.25">
      <c r="A1128" s="108" t="str">
        <f t="shared" si="34"/>
        <v>617040904 0 00 00000000</v>
      </c>
      <c r="B1128" s="200" t="s">
        <v>293</v>
      </c>
      <c r="C1128" s="203" t="s">
        <v>746</v>
      </c>
      <c r="D1128" s="204" t="s">
        <v>73</v>
      </c>
      <c r="E1128" s="204" t="s">
        <v>471</v>
      </c>
      <c r="F1128" s="204" t="s">
        <v>294</v>
      </c>
      <c r="G1128" s="204" t="s">
        <v>9</v>
      </c>
      <c r="H1128" s="26">
        <v>77141.55</v>
      </c>
      <c r="I1128" s="26">
        <v>81217.409999999989</v>
      </c>
      <c r="J1128" s="26">
        <v>88601.17</v>
      </c>
      <c r="K1128" s="20"/>
      <c r="L1128" s="20"/>
      <c r="M1128" s="20"/>
      <c r="N1128" s="20"/>
      <c r="O1128" s="20"/>
      <c r="P1128" s="20"/>
      <c r="Q1128" s="17"/>
      <c r="T1128" s="20">
        <v>8699</v>
      </c>
      <c r="U1128" s="20">
        <v>0</v>
      </c>
      <c r="V1128" s="20">
        <v>0</v>
      </c>
      <c r="W1128" s="20">
        <f t="shared" si="35"/>
        <v>68442.55</v>
      </c>
      <c r="X1128" s="20">
        <f t="shared" si="35"/>
        <v>81217.409999999989</v>
      </c>
      <c r="Y1128" s="20">
        <f t="shared" si="35"/>
        <v>88601.17</v>
      </c>
    </row>
    <row r="1129" spans="1:25" s="16" customFormat="1" ht="38.25">
      <c r="A1129" s="108" t="str">
        <f t="shared" si="34"/>
        <v>617040904 2 00 00000000</v>
      </c>
      <c r="B1129" s="226" t="s">
        <v>295</v>
      </c>
      <c r="C1129" s="203" t="s">
        <v>746</v>
      </c>
      <c r="D1129" s="204" t="s">
        <v>73</v>
      </c>
      <c r="E1129" s="204" t="s">
        <v>471</v>
      </c>
      <c r="F1129" s="204" t="s">
        <v>296</v>
      </c>
      <c r="G1129" s="204" t="s">
        <v>9</v>
      </c>
      <c r="H1129" s="26">
        <v>77141.55</v>
      </c>
      <c r="I1129" s="26">
        <v>81217.409999999989</v>
      </c>
      <c r="J1129" s="26">
        <v>88601.17</v>
      </c>
      <c r="K1129" s="20"/>
      <c r="L1129" s="20"/>
      <c r="M1129" s="20"/>
      <c r="N1129" s="20"/>
      <c r="O1129" s="20"/>
      <c r="P1129" s="20"/>
      <c r="Q1129" s="17"/>
      <c r="T1129" s="20"/>
      <c r="U1129" s="20"/>
      <c r="V1129" s="20"/>
      <c r="W1129" s="20">
        <f t="shared" si="35"/>
        <v>77141.55</v>
      </c>
      <c r="X1129" s="20">
        <f t="shared" si="35"/>
        <v>81217.409999999989</v>
      </c>
      <c r="Y1129" s="20">
        <f t="shared" si="35"/>
        <v>88601.17</v>
      </c>
    </row>
    <row r="1130" spans="1:25" s="16" customFormat="1" ht="38.25">
      <c r="A1130" s="108" t="str">
        <f t="shared" si="34"/>
        <v>617040904 2 02 00000000</v>
      </c>
      <c r="B1130" s="226" t="s">
        <v>297</v>
      </c>
      <c r="C1130" s="203" t="s">
        <v>746</v>
      </c>
      <c r="D1130" s="204" t="s">
        <v>73</v>
      </c>
      <c r="E1130" s="204" t="s">
        <v>471</v>
      </c>
      <c r="F1130" s="204" t="s">
        <v>298</v>
      </c>
      <c r="G1130" s="204" t="s">
        <v>9</v>
      </c>
      <c r="H1130" s="26">
        <v>77141.55</v>
      </c>
      <c r="I1130" s="26">
        <v>81217.409999999989</v>
      </c>
      <c r="J1130" s="26">
        <v>88601.17</v>
      </c>
      <c r="K1130" s="20"/>
      <c r="L1130" s="20"/>
      <c r="M1130" s="20"/>
      <c r="N1130" s="20"/>
      <c r="O1130" s="20"/>
      <c r="P1130" s="20"/>
      <c r="Q1130" s="17"/>
      <c r="T1130" s="20">
        <v>2705</v>
      </c>
      <c r="U1130" s="20">
        <v>0</v>
      </c>
      <c r="V1130" s="20">
        <v>0</v>
      </c>
      <c r="W1130" s="20">
        <f t="shared" si="35"/>
        <v>74436.55</v>
      </c>
      <c r="X1130" s="20">
        <f t="shared" si="35"/>
        <v>81217.409999999989</v>
      </c>
      <c r="Y1130" s="20">
        <f t="shared" si="35"/>
        <v>88601.17</v>
      </c>
    </row>
    <row r="1131" spans="1:25" s="16" customFormat="1" ht="25.5">
      <c r="A1131" s="108" t="str">
        <f t="shared" si="34"/>
        <v>617040904 2 02 20820000</v>
      </c>
      <c r="B1131" s="197" t="s">
        <v>761</v>
      </c>
      <c r="C1131" s="198" t="s">
        <v>746</v>
      </c>
      <c r="D1131" s="199" t="s">
        <v>73</v>
      </c>
      <c r="E1131" s="199" t="s">
        <v>471</v>
      </c>
      <c r="F1131" s="199" t="s">
        <v>762</v>
      </c>
      <c r="G1131" s="199" t="s">
        <v>9</v>
      </c>
      <c r="H1131" s="20">
        <v>10916.41</v>
      </c>
      <c r="I1131" s="20">
        <v>10379.76</v>
      </c>
      <c r="J1131" s="20">
        <v>10379.76</v>
      </c>
      <c r="K1131" s="20"/>
      <c r="L1131" s="20"/>
      <c r="M1131" s="20"/>
      <c r="N1131" s="20"/>
      <c r="O1131" s="20"/>
      <c r="P1131" s="20"/>
      <c r="Q1131" s="17"/>
      <c r="T1131" s="20">
        <v>5994</v>
      </c>
      <c r="U1131" s="20">
        <v>0</v>
      </c>
      <c r="V1131" s="20">
        <v>0</v>
      </c>
      <c r="W1131" s="20">
        <f t="shared" si="35"/>
        <v>4922.41</v>
      </c>
      <c r="X1131" s="20">
        <f t="shared" si="35"/>
        <v>10379.76</v>
      </c>
      <c r="Y1131" s="20">
        <f t="shared" si="35"/>
        <v>10379.76</v>
      </c>
    </row>
    <row r="1132" spans="1:25" s="16" customFormat="1">
      <c r="A1132" s="108" t="str">
        <f t="shared" si="34"/>
        <v/>
      </c>
      <c r="B1132" s="220" t="s">
        <v>1104</v>
      </c>
      <c r="C1132" s="198"/>
      <c r="D1132" s="199"/>
      <c r="E1132" s="199"/>
      <c r="F1132" s="199"/>
      <c r="G1132" s="199"/>
      <c r="H1132" s="20"/>
      <c r="I1132" s="20"/>
      <c r="J1132" s="20"/>
      <c r="K1132" s="20"/>
      <c r="L1132" s="20"/>
      <c r="M1132" s="20"/>
      <c r="N1132" s="20"/>
      <c r="O1132" s="20"/>
      <c r="P1132" s="20"/>
      <c r="Q1132" s="17"/>
      <c r="T1132" s="20">
        <v>8699</v>
      </c>
      <c r="U1132" s="20">
        <v>0</v>
      </c>
      <c r="V1132" s="20">
        <v>0</v>
      </c>
      <c r="W1132" s="20">
        <f t="shared" si="35"/>
        <v>-8699</v>
      </c>
      <c r="X1132" s="20">
        <f t="shared" si="35"/>
        <v>0</v>
      </c>
      <c r="Y1132" s="20">
        <f t="shared" si="35"/>
        <v>0</v>
      </c>
    </row>
    <row r="1133" spans="1:25" s="16" customFormat="1">
      <c r="A1133" s="108" t="str">
        <f t="shared" si="34"/>
        <v>617040904 2 02 20820000</v>
      </c>
      <c r="B1133" s="221" t="s">
        <v>1105</v>
      </c>
      <c r="C1133" s="222" t="s">
        <v>746</v>
      </c>
      <c r="D1133" s="223" t="s">
        <v>73</v>
      </c>
      <c r="E1133" s="223" t="s">
        <v>471</v>
      </c>
      <c r="F1133" s="223" t="s">
        <v>762</v>
      </c>
      <c r="G1133" s="223" t="s">
        <v>9</v>
      </c>
      <c r="H1133" s="224">
        <v>689.65</v>
      </c>
      <c r="I1133" s="224">
        <v>0</v>
      </c>
      <c r="J1133" s="224">
        <v>0</v>
      </c>
      <c r="K1133" s="26"/>
      <c r="L1133" s="26"/>
      <c r="M1133" s="26"/>
      <c r="N1133" s="26"/>
      <c r="O1133" s="26"/>
      <c r="P1133" s="26"/>
      <c r="Q1133" s="17"/>
      <c r="T1133" s="26">
        <v>2000</v>
      </c>
      <c r="U1133" s="26">
        <v>0</v>
      </c>
      <c r="V1133" s="26">
        <v>0</v>
      </c>
      <c r="W1133" s="26">
        <f t="shared" si="35"/>
        <v>-1310.3499999999999</v>
      </c>
      <c r="X1133" s="26">
        <f t="shared" si="35"/>
        <v>0</v>
      </c>
      <c r="Y1133" s="26">
        <f t="shared" si="35"/>
        <v>0</v>
      </c>
    </row>
    <row r="1134" spans="1:25" s="16" customFormat="1" ht="25.5">
      <c r="A1134" s="108" t="str">
        <f t="shared" si="34"/>
        <v>617040904 2 02 20820240</v>
      </c>
      <c r="B1134" s="197" t="s">
        <v>28</v>
      </c>
      <c r="C1134" s="198" t="s">
        <v>746</v>
      </c>
      <c r="D1134" s="199" t="s">
        <v>73</v>
      </c>
      <c r="E1134" s="199" t="s">
        <v>471</v>
      </c>
      <c r="F1134" s="199" t="s">
        <v>762</v>
      </c>
      <c r="G1134" s="199" t="s">
        <v>29</v>
      </c>
      <c r="H1134" s="20">
        <v>10916.41</v>
      </c>
      <c r="I1134" s="20">
        <v>10379.76</v>
      </c>
      <c r="J1134" s="20">
        <v>10379.76</v>
      </c>
      <c r="K1134" s="26"/>
      <c r="L1134" s="26"/>
      <c r="M1134" s="26"/>
      <c r="N1134" s="26"/>
      <c r="O1134" s="26"/>
      <c r="P1134" s="26"/>
      <c r="Q1134" s="17"/>
      <c r="T1134" s="26">
        <v>2000</v>
      </c>
      <c r="U1134" s="26">
        <v>0</v>
      </c>
      <c r="V1134" s="26">
        <v>0</v>
      </c>
      <c r="W1134" s="26">
        <f t="shared" si="35"/>
        <v>8916.41</v>
      </c>
      <c r="X1134" s="26">
        <f t="shared" si="35"/>
        <v>10379.76</v>
      </c>
      <c r="Y1134" s="26">
        <f t="shared" si="35"/>
        <v>10379.76</v>
      </c>
    </row>
    <row r="1135" spans="1:25" s="16" customFormat="1" ht="25.5">
      <c r="A1135" s="108" t="str">
        <f t="shared" si="34"/>
        <v>617040904 2 02 21090000</v>
      </c>
      <c r="B1135" s="197" t="s">
        <v>763</v>
      </c>
      <c r="C1135" s="198" t="s">
        <v>746</v>
      </c>
      <c r="D1135" s="199" t="s">
        <v>73</v>
      </c>
      <c r="E1135" s="199" t="s">
        <v>471</v>
      </c>
      <c r="F1135" s="199" t="s">
        <v>764</v>
      </c>
      <c r="G1135" s="199" t="s">
        <v>9</v>
      </c>
      <c r="H1135" s="20">
        <v>64225.14</v>
      </c>
      <c r="I1135" s="20">
        <v>70837.649999999994</v>
      </c>
      <c r="J1135" s="20">
        <v>78221.41</v>
      </c>
      <c r="K1135" s="26"/>
      <c r="L1135" s="26"/>
      <c r="M1135" s="26"/>
      <c r="N1135" s="26"/>
      <c r="O1135" s="26"/>
      <c r="P1135" s="26"/>
      <c r="Q1135" s="17"/>
      <c r="T1135" s="26">
        <v>2000</v>
      </c>
      <c r="U1135" s="26">
        <v>0</v>
      </c>
      <c r="V1135" s="26">
        <v>0</v>
      </c>
      <c r="W1135" s="26">
        <f t="shared" si="35"/>
        <v>62225.14</v>
      </c>
      <c r="X1135" s="26">
        <f t="shared" si="35"/>
        <v>70837.649999999994</v>
      </c>
      <c r="Y1135" s="26">
        <f t="shared" si="35"/>
        <v>78221.41</v>
      </c>
    </row>
    <row r="1136" spans="1:25" s="16" customFormat="1" ht="25.5">
      <c r="A1136" s="108" t="str">
        <f t="shared" si="34"/>
        <v>617040904 2 02 21090240</v>
      </c>
      <c r="B1136" s="197" t="s">
        <v>28</v>
      </c>
      <c r="C1136" s="198" t="s">
        <v>746</v>
      </c>
      <c r="D1136" s="199" t="s">
        <v>73</v>
      </c>
      <c r="E1136" s="199" t="s">
        <v>471</v>
      </c>
      <c r="F1136" s="199" t="s">
        <v>764</v>
      </c>
      <c r="G1136" s="199" t="s">
        <v>29</v>
      </c>
      <c r="H1136" s="20">
        <v>64225.14</v>
      </c>
      <c r="I1136" s="20">
        <v>70837.649999999994</v>
      </c>
      <c r="J1136" s="20">
        <v>78221.41</v>
      </c>
      <c r="K1136" s="26"/>
      <c r="L1136" s="26"/>
      <c r="M1136" s="26"/>
      <c r="N1136" s="26"/>
      <c r="O1136" s="26"/>
      <c r="P1136" s="26"/>
      <c r="Q1136" s="17"/>
      <c r="T1136" s="26">
        <v>2000</v>
      </c>
      <c r="U1136" s="26">
        <v>0</v>
      </c>
      <c r="V1136" s="26">
        <v>0</v>
      </c>
      <c r="W1136" s="26">
        <f t="shared" si="35"/>
        <v>62225.14</v>
      </c>
      <c r="X1136" s="26">
        <f t="shared" si="35"/>
        <v>70837.649999999994</v>
      </c>
      <c r="Y1136" s="26">
        <f t="shared" si="35"/>
        <v>78221.41</v>
      </c>
    </row>
    <row r="1137" spans="1:25" s="16" customFormat="1" ht="63.75">
      <c r="A1137" s="108" t="str">
        <f t="shared" si="34"/>
        <v>617040904 2 02 21410000</v>
      </c>
      <c r="B1137" s="197" t="s">
        <v>1075</v>
      </c>
      <c r="C1137" s="198" t="s">
        <v>746</v>
      </c>
      <c r="D1137" s="199" t="s">
        <v>73</v>
      </c>
      <c r="E1137" s="199" t="s">
        <v>471</v>
      </c>
      <c r="F1137" s="199" t="s">
        <v>1076</v>
      </c>
      <c r="G1137" s="199" t="s">
        <v>9</v>
      </c>
      <c r="H1137" s="20">
        <v>2000</v>
      </c>
      <c r="I1137" s="20">
        <v>0</v>
      </c>
      <c r="J1137" s="20">
        <v>0</v>
      </c>
      <c r="K1137" s="18"/>
      <c r="L1137" s="18"/>
      <c r="M1137" s="18"/>
      <c r="N1137" s="18"/>
      <c r="O1137" s="18"/>
      <c r="P1137" s="18"/>
      <c r="Q1137" s="17"/>
      <c r="T1137" s="18">
        <v>1480</v>
      </c>
      <c r="U1137" s="18">
        <v>1480</v>
      </c>
      <c r="V1137" s="18">
        <v>1480</v>
      </c>
      <c r="W1137" s="18">
        <f t="shared" si="35"/>
        <v>520</v>
      </c>
      <c r="X1137" s="18">
        <f t="shared" si="35"/>
        <v>-1480</v>
      </c>
      <c r="Y1137" s="18">
        <f t="shared" si="35"/>
        <v>-1480</v>
      </c>
    </row>
    <row r="1138" spans="1:25" s="16" customFormat="1">
      <c r="A1138" s="108" t="str">
        <f t="shared" si="34"/>
        <v/>
      </c>
      <c r="B1138" s="220" t="s">
        <v>1104</v>
      </c>
      <c r="C1138" s="198"/>
      <c r="D1138" s="199"/>
      <c r="E1138" s="199"/>
      <c r="F1138" s="199"/>
      <c r="G1138" s="199"/>
      <c r="H1138" s="20"/>
      <c r="I1138" s="20"/>
      <c r="J1138" s="20"/>
      <c r="K1138" s="19"/>
      <c r="L1138" s="19"/>
      <c r="M1138" s="19"/>
      <c r="N1138" s="19"/>
      <c r="O1138" s="19"/>
      <c r="P1138" s="19"/>
      <c r="Q1138" s="17"/>
      <c r="T1138" s="19">
        <v>1480</v>
      </c>
      <c r="U1138" s="19">
        <v>1480</v>
      </c>
      <c r="V1138" s="19">
        <v>1480</v>
      </c>
      <c r="W1138" s="19">
        <f t="shared" si="35"/>
        <v>-1480</v>
      </c>
      <c r="X1138" s="19">
        <f t="shared" si="35"/>
        <v>-1480</v>
      </c>
      <c r="Y1138" s="19">
        <f t="shared" si="35"/>
        <v>-1480</v>
      </c>
    </row>
    <row r="1139" spans="1:25" s="16" customFormat="1">
      <c r="A1139" s="108" t="str">
        <f t="shared" si="34"/>
        <v>617040904 2 02 21410000</v>
      </c>
      <c r="B1139" s="318" t="s">
        <v>1105</v>
      </c>
      <c r="C1139" s="322" t="s">
        <v>746</v>
      </c>
      <c r="D1139" s="319" t="s">
        <v>73</v>
      </c>
      <c r="E1139" s="319" t="s">
        <v>471</v>
      </c>
      <c r="F1139" s="319" t="s">
        <v>1076</v>
      </c>
      <c r="G1139" s="319" t="s">
        <v>9</v>
      </c>
      <c r="H1139" s="320">
        <v>2000</v>
      </c>
      <c r="I1139" s="320">
        <v>0</v>
      </c>
      <c r="J1139" s="320">
        <v>0</v>
      </c>
      <c r="K1139" s="20"/>
      <c r="L1139" s="20"/>
      <c r="M1139" s="20"/>
      <c r="N1139" s="20"/>
      <c r="O1139" s="20"/>
      <c r="P1139" s="20"/>
      <c r="Q1139" s="17"/>
      <c r="T1139" s="20">
        <v>1480</v>
      </c>
      <c r="U1139" s="20">
        <v>1480</v>
      </c>
      <c r="V1139" s="20">
        <v>1480</v>
      </c>
      <c r="W1139" s="20">
        <f t="shared" si="35"/>
        <v>520</v>
      </c>
      <c r="X1139" s="20">
        <f t="shared" si="35"/>
        <v>-1480</v>
      </c>
      <c r="Y1139" s="20">
        <f t="shared" si="35"/>
        <v>-1480</v>
      </c>
    </row>
    <row r="1140" spans="1:25" s="16" customFormat="1" ht="25.5">
      <c r="A1140" s="108" t="str">
        <f t="shared" si="34"/>
        <v>617040904 2 02 21410240</v>
      </c>
      <c r="B1140" s="197" t="s">
        <v>28</v>
      </c>
      <c r="C1140" s="198" t="s">
        <v>746</v>
      </c>
      <c r="D1140" s="199" t="s">
        <v>73</v>
      </c>
      <c r="E1140" s="199" t="s">
        <v>471</v>
      </c>
      <c r="F1140" s="199" t="s">
        <v>1076</v>
      </c>
      <c r="G1140" s="199" t="s">
        <v>29</v>
      </c>
      <c r="H1140" s="20">
        <v>2000</v>
      </c>
      <c r="I1140" s="20">
        <v>0</v>
      </c>
      <c r="J1140" s="20">
        <v>0</v>
      </c>
      <c r="K1140" s="20"/>
      <c r="L1140" s="20"/>
      <c r="M1140" s="20"/>
      <c r="N1140" s="20"/>
      <c r="O1140" s="20"/>
      <c r="P1140" s="20"/>
      <c r="Q1140" s="17"/>
      <c r="T1140" s="20">
        <v>1480</v>
      </c>
      <c r="U1140" s="20">
        <v>1480</v>
      </c>
      <c r="V1140" s="20">
        <v>1480</v>
      </c>
      <c r="W1140" s="20">
        <f t="shared" si="35"/>
        <v>520</v>
      </c>
      <c r="X1140" s="20">
        <f t="shared" si="35"/>
        <v>-1480</v>
      </c>
      <c r="Y1140" s="20">
        <f t="shared" si="35"/>
        <v>-1480</v>
      </c>
    </row>
    <row r="1141" spans="1:25" s="16" customFormat="1">
      <c r="A1141" s="108" t="str">
        <f t="shared" si="34"/>
        <v>617050000 0 00 00000000</v>
      </c>
      <c r="B1141" s="191" t="s">
        <v>305</v>
      </c>
      <c r="C1141" s="192" t="s">
        <v>746</v>
      </c>
      <c r="D1141" s="193" t="s">
        <v>86</v>
      </c>
      <c r="E1141" s="193" t="s">
        <v>7</v>
      </c>
      <c r="F1141" s="193" t="s">
        <v>8</v>
      </c>
      <c r="G1141" s="193" t="s">
        <v>9</v>
      </c>
      <c r="H1141" s="18">
        <v>39047.53</v>
      </c>
      <c r="I1141" s="18">
        <v>20216.12</v>
      </c>
      <c r="J1141" s="18">
        <v>20204.12</v>
      </c>
      <c r="K1141" s="26"/>
      <c r="L1141" s="26"/>
      <c r="M1141" s="26"/>
      <c r="N1141" s="26"/>
      <c r="O1141" s="26"/>
      <c r="P1141" s="26"/>
      <c r="Q1141" s="17"/>
      <c r="T1141" s="26">
        <v>1480</v>
      </c>
      <c r="U1141" s="26">
        <v>1480</v>
      </c>
      <c r="V1141" s="26">
        <v>1480</v>
      </c>
      <c r="W1141" s="26">
        <f t="shared" si="35"/>
        <v>37567.53</v>
      </c>
      <c r="X1141" s="26">
        <f t="shared" si="35"/>
        <v>18736.12</v>
      </c>
      <c r="Y1141" s="26">
        <f t="shared" si="35"/>
        <v>18724.12</v>
      </c>
    </row>
    <row r="1142" spans="1:25" s="16" customFormat="1">
      <c r="A1142" s="108" t="str">
        <f t="shared" si="34"/>
        <v>617050100 0 00 00000000</v>
      </c>
      <c r="B1142" s="194" t="s">
        <v>765</v>
      </c>
      <c r="C1142" s="195" t="s">
        <v>746</v>
      </c>
      <c r="D1142" s="196" t="s">
        <v>86</v>
      </c>
      <c r="E1142" s="196" t="s">
        <v>11</v>
      </c>
      <c r="F1142" s="196" t="s">
        <v>8</v>
      </c>
      <c r="G1142" s="196" t="s">
        <v>9</v>
      </c>
      <c r="H1142" s="19">
        <v>1543</v>
      </c>
      <c r="I1142" s="19">
        <v>1539</v>
      </c>
      <c r="J1142" s="19">
        <v>1527</v>
      </c>
      <c r="K1142" s="20"/>
      <c r="L1142" s="20"/>
      <c r="M1142" s="20"/>
      <c r="N1142" s="20"/>
      <c r="O1142" s="20"/>
      <c r="P1142" s="20"/>
      <c r="Q1142" s="17"/>
      <c r="T1142" s="20">
        <v>919</v>
      </c>
      <c r="U1142" s="20">
        <v>919</v>
      </c>
      <c r="V1142" s="20">
        <v>919</v>
      </c>
      <c r="W1142" s="20">
        <f t="shared" si="35"/>
        <v>624</v>
      </c>
      <c r="X1142" s="20">
        <f t="shared" si="35"/>
        <v>620</v>
      </c>
      <c r="Y1142" s="20">
        <f t="shared" si="35"/>
        <v>608</v>
      </c>
    </row>
    <row r="1143" spans="1:25" s="16" customFormat="1" ht="38.25">
      <c r="A1143" s="108" t="str">
        <f t="shared" si="34"/>
        <v>617050104 0 00 00000000</v>
      </c>
      <c r="B1143" s="200" t="s">
        <v>293</v>
      </c>
      <c r="C1143" s="203" t="s">
        <v>746</v>
      </c>
      <c r="D1143" s="204" t="s">
        <v>86</v>
      </c>
      <c r="E1143" s="204" t="s">
        <v>11</v>
      </c>
      <c r="F1143" s="204" t="s">
        <v>294</v>
      </c>
      <c r="G1143" s="204" t="s">
        <v>9</v>
      </c>
      <c r="H1143" s="26">
        <v>1543</v>
      </c>
      <c r="I1143" s="26">
        <v>1539</v>
      </c>
      <c r="J1143" s="26">
        <v>1527</v>
      </c>
      <c r="K1143" s="20"/>
      <c r="L1143" s="20"/>
      <c r="M1143" s="20"/>
      <c r="N1143" s="20"/>
      <c r="O1143" s="20"/>
      <c r="P1143" s="20"/>
      <c r="Q1143" s="17"/>
      <c r="T1143" s="20">
        <v>919</v>
      </c>
      <c r="U1143" s="20">
        <v>919</v>
      </c>
      <c r="V1143" s="20">
        <v>919</v>
      </c>
      <c r="W1143" s="20">
        <f t="shared" si="35"/>
        <v>624</v>
      </c>
      <c r="X1143" s="20">
        <f t="shared" si="35"/>
        <v>620</v>
      </c>
      <c r="Y1143" s="20">
        <f t="shared" si="35"/>
        <v>608</v>
      </c>
    </row>
    <row r="1144" spans="1:25" s="16" customFormat="1" ht="25.5">
      <c r="A1144" s="108" t="str">
        <f t="shared" si="34"/>
        <v>617050104 1 00 00000000</v>
      </c>
      <c r="B1144" s="226" t="s">
        <v>766</v>
      </c>
      <c r="C1144" s="203" t="s">
        <v>746</v>
      </c>
      <c r="D1144" s="204" t="s">
        <v>86</v>
      </c>
      <c r="E1144" s="204" t="s">
        <v>11</v>
      </c>
      <c r="F1144" s="204" t="s">
        <v>767</v>
      </c>
      <c r="G1144" s="204" t="s">
        <v>9</v>
      </c>
      <c r="H1144" s="26">
        <v>1543</v>
      </c>
      <c r="I1144" s="26">
        <v>1539</v>
      </c>
      <c r="J1144" s="26">
        <v>1527</v>
      </c>
      <c r="K1144" s="20"/>
      <c r="L1144" s="20"/>
      <c r="M1144" s="20"/>
      <c r="N1144" s="20"/>
      <c r="O1144" s="20"/>
      <c r="P1144" s="20"/>
      <c r="Q1144" s="17"/>
      <c r="T1144" s="20">
        <v>561</v>
      </c>
      <c r="U1144" s="20">
        <v>561</v>
      </c>
      <c r="V1144" s="20">
        <v>561</v>
      </c>
      <c r="W1144" s="20">
        <f t="shared" si="35"/>
        <v>982</v>
      </c>
      <c r="X1144" s="20">
        <f t="shared" si="35"/>
        <v>978</v>
      </c>
      <c r="Y1144" s="20">
        <f t="shared" si="35"/>
        <v>966</v>
      </c>
    </row>
    <row r="1145" spans="1:25" s="16" customFormat="1" ht="38.25">
      <c r="A1145" s="108" t="str">
        <f t="shared" si="34"/>
        <v>617050104 1 01 00000000</v>
      </c>
      <c r="B1145" s="226" t="s">
        <v>768</v>
      </c>
      <c r="C1145" s="203" t="s">
        <v>746</v>
      </c>
      <c r="D1145" s="204" t="s">
        <v>86</v>
      </c>
      <c r="E1145" s="204" t="s">
        <v>11</v>
      </c>
      <c r="F1145" s="204" t="s">
        <v>769</v>
      </c>
      <c r="G1145" s="204" t="s">
        <v>9</v>
      </c>
      <c r="H1145" s="26">
        <v>1543</v>
      </c>
      <c r="I1145" s="26">
        <v>1539</v>
      </c>
      <c r="J1145" s="26">
        <v>1527</v>
      </c>
      <c r="K1145" s="20"/>
      <c r="L1145" s="20"/>
      <c r="M1145" s="20"/>
      <c r="N1145" s="20"/>
      <c r="O1145" s="20"/>
      <c r="P1145" s="20"/>
      <c r="Q1145" s="17"/>
      <c r="T1145" s="20">
        <v>561</v>
      </c>
      <c r="U1145" s="20">
        <v>561</v>
      </c>
      <c r="V1145" s="20">
        <v>561</v>
      </c>
      <c r="W1145" s="20">
        <f t="shared" si="35"/>
        <v>982</v>
      </c>
      <c r="X1145" s="20">
        <f t="shared" si="35"/>
        <v>978</v>
      </c>
      <c r="Y1145" s="20">
        <f t="shared" si="35"/>
        <v>966</v>
      </c>
    </row>
    <row r="1146" spans="1:25" s="16" customFormat="1" ht="25.5">
      <c r="A1146" s="108" t="str">
        <f t="shared" si="34"/>
        <v>617050104 1 01 20190000</v>
      </c>
      <c r="B1146" s="197" t="s">
        <v>770</v>
      </c>
      <c r="C1146" s="203" t="s">
        <v>746</v>
      </c>
      <c r="D1146" s="204" t="s">
        <v>86</v>
      </c>
      <c r="E1146" s="204" t="s">
        <v>11</v>
      </c>
      <c r="F1146" s="204" t="s">
        <v>771</v>
      </c>
      <c r="G1146" s="204" t="s">
        <v>9</v>
      </c>
      <c r="H1146" s="26">
        <v>1543</v>
      </c>
      <c r="I1146" s="26">
        <v>1539</v>
      </c>
      <c r="J1146" s="26">
        <v>1527</v>
      </c>
      <c r="K1146" s="20"/>
      <c r="L1146" s="20"/>
      <c r="M1146" s="20"/>
      <c r="N1146" s="20"/>
      <c r="O1146" s="20"/>
      <c r="P1146" s="20"/>
      <c r="Q1146" s="17"/>
      <c r="T1146" s="20"/>
      <c r="U1146" s="20"/>
      <c r="V1146" s="20"/>
      <c r="W1146" s="20">
        <f t="shared" si="35"/>
        <v>1543</v>
      </c>
      <c r="X1146" s="20">
        <f t="shared" si="35"/>
        <v>1539</v>
      </c>
      <c r="Y1146" s="20">
        <f t="shared" si="35"/>
        <v>1527</v>
      </c>
    </row>
    <row r="1147" spans="1:25" s="16" customFormat="1" ht="25.5">
      <c r="A1147" s="108" t="str">
        <f t="shared" si="34"/>
        <v>617050104 1 01 20190240</v>
      </c>
      <c r="B1147" s="197" t="s">
        <v>28</v>
      </c>
      <c r="C1147" s="203" t="s">
        <v>746</v>
      </c>
      <c r="D1147" s="204" t="s">
        <v>86</v>
      </c>
      <c r="E1147" s="204" t="s">
        <v>11</v>
      </c>
      <c r="F1147" s="204" t="s">
        <v>771</v>
      </c>
      <c r="G1147" s="204" t="s">
        <v>29</v>
      </c>
      <c r="H1147" s="26">
        <v>1543</v>
      </c>
      <c r="I1147" s="26">
        <v>1539</v>
      </c>
      <c r="J1147" s="26">
        <v>1527</v>
      </c>
      <c r="K1147" s="25"/>
      <c r="L1147" s="25"/>
      <c r="M1147" s="25"/>
      <c r="N1147" s="25"/>
      <c r="O1147" s="25"/>
      <c r="P1147" s="25"/>
      <c r="Q1147" s="17"/>
      <c r="T1147" s="25">
        <v>208562.86000000002</v>
      </c>
      <c r="U1147" s="25">
        <v>199261.83000000002</v>
      </c>
      <c r="V1147" s="25">
        <v>211041.97000000003</v>
      </c>
      <c r="W1147" s="25">
        <f t="shared" si="35"/>
        <v>-207019.86000000002</v>
      </c>
      <c r="X1147" s="25">
        <f t="shared" si="35"/>
        <v>-197722.83000000002</v>
      </c>
      <c r="Y1147" s="25">
        <f t="shared" si="35"/>
        <v>-209514.97000000003</v>
      </c>
    </row>
    <row r="1148" spans="1:25" s="16" customFormat="1">
      <c r="A1148" s="108" t="str">
        <f t="shared" si="34"/>
        <v>617050300 0 00 00000000</v>
      </c>
      <c r="B1148" s="194" t="s">
        <v>306</v>
      </c>
      <c r="C1148" s="195" t="s">
        <v>746</v>
      </c>
      <c r="D1148" s="196" t="s">
        <v>86</v>
      </c>
      <c r="E1148" s="196" t="s">
        <v>13</v>
      </c>
      <c r="F1148" s="196" t="s">
        <v>8</v>
      </c>
      <c r="G1148" s="196" t="s">
        <v>9</v>
      </c>
      <c r="H1148" s="19">
        <v>37504.53</v>
      </c>
      <c r="I1148" s="19">
        <v>18677.12</v>
      </c>
      <c r="J1148" s="19">
        <v>18677.12</v>
      </c>
      <c r="K1148" s="18"/>
      <c r="L1148" s="18"/>
      <c r="M1148" s="18"/>
      <c r="N1148" s="18"/>
      <c r="O1148" s="18"/>
      <c r="P1148" s="18"/>
      <c r="Q1148" s="17"/>
      <c r="T1148" s="18">
        <v>47283.409999999996</v>
      </c>
      <c r="U1148" s="18">
        <v>43253.189999999995</v>
      </c>
      <c r="V1148" s="18">
        <v>43253.189999999995</v>
      </c>
      <c r="W1148" s="18">
        <f t="shared" si="35"/>
        <v>-9778.8799999999974</v>
      </c>
      <c r="X1148" s="18">
        <f t="shared" si="35"/>
        <v>-24576.069999999996</v>
      </c>
      <c r="Y1148" s="18">
        <f t="shared" si="35"/>
        <v>-24576.069999999996</v>
      </c>
    </row>
    <row r="1149" spans="1:25" s="16" customFormat="1" ht="38.25">
      <c r="A1149" s="108" t="str">
        <f t="shared" si="34"/>
        <v>617050304 0 00 00000000</v>
      </c>
      <c r="B1149" s="200" t="s">
        <v>293</v>
      </c>
      <c r="C1149" s="203" t="s">
        <v>746</v>
      </c>
      <c r="D1149" s="204" t="s">
        <v>86</v>
      </c>
      <c r="E1149" s="204" t="s">
        <v>13</v>
      </c>
      <c r="F1149" s="204" t="s">
        <v>294</v>
      </c>
      <c r="G1149" s="204" t="s">
        <v>9</v>
      </c>
      <c r="H1149" s="26">
        <v>35004.53</v>
      </c>
      <c r="I1149" s="26">
        <v>18677.12</v>
      </c>
      <c r="J1149" s="26">
        <v>18677.12</v>
      </c>
      <c r="K1149" s="19"/>
      <c r="L1149" s="19"/>
      <c r="M1149" s="19"/>
      <c r="N1149" s="19"/>
      <c r="O1149" s="19"/>
      <c r="P1149" s="19"/>
      <c r="Q1149" s="17"/>
      <c r="T1149" s="19">
        <v>42729.009999999995</v>
      </c>
      <c r="U1149" s="19">
        <v>42676.389999999992</v>
      </c>
      <c r="V1149" s="19">
        <v>42676.389999999992</v>
      </c>
      <c r="W1149" s="19">
        <f t="shared" si="35"/>
        <v>-7724.4799999999959</v>
      </c>
      <c r="X1149" s="19">
        <f t="shared" si="35"/>
        <v>-23999.269999999993</v>
      </c>
      <c r="Y1149" s="19">
        <f t="shared" si="35"/>
        <v>-23999.269999999993</v>
      </c>
    </row>
    <row r="1150" spans="1:25" s="16" customFormat="1" ht="25.5">
      <c r="A1150" s="108" t="str">
        <f t="shared" si="34"/>
        <v>617050304 3 00 00000000</v>
      </c>
      <c r="B1150" s="197" t="s">
        <v>307</v>
      </c>
      <c r="C1150" s="203" t="s">
        <v>746</v>
      </c>
      <c r="D1150" s="204" t="s">
        <v>86</v>
      </c>
      <c r="E1150" s="204" t="s">
        <v>13</v>
      </c>
      <c r="F1150" s="204" t="s">
        <v>308</v>
      </c>
      <c r="G1150" s="204" t="s">
        <v>9</v>
      </c>
      <c r="H1150" s="26">
        <v>35004.53</v>
      </c>
      <c r="I1150" s="26">
        <v>18677.12</v>
      </c>
      <c r="J1150" s="26">
        <v>18677.12</v>
      </c>
      <c r="K1150" s="20"/>
      <c r="L1150" s="20"/>
      <c r="M1150" s="20"/>
      <c r="N1150" s="20"/>
      <c r="O1150" s="20"/>
      <c r="P1150" s="20"/>
      <c r="Q1150" s="17"/>
      <c r="T1150" s="20">
        <v>42729.009999999995</v>
      </c>
      <c r="U1150" s="20">
        <v>42676.389999999992</v>
      </c>
      <c r="V1150" s="20">
        <v>42676.389999999992</v>
      </c>
      <c r="W1150" s="20">
        <f t="shared" si="35"/>
        <v>-7724.4799999999959</v>
      </c>
      <c r="X1150" s="20">
        <f t="shared" si="35"/>
        <v>-23999.269999999993</v>
      </c>
      <c r="Y1150" s="20">
        <f t="shared" si="35"/>
        <v>-23999.269999999993</v>
      </c>
    </row>
    <row r="1151" spans="1:25" s="16" customFormat="1" ht="25.5">
      <c r="A1151" s="108" t="str">
        <f t="shared" si="34"/>
        <v>617050304 3 04 00000000</v>
      </c>
      <c r="B1151" s="315" t="s">
        <v>309</v>
      </c>
      <c r="C1151" s="203" t="s">
        <v>746</v>
      </c>
      <c r="D1151" s="204" t="s">
        <v>86</v>
      </c>
      <c r="E1151" s="204" t="s">
        <v>13</v>
      </c>
      <c r="F1151" s="199" t="s">
        <v>310</v>
      </c>
      <c r="G1151" s="204" t="s">
        <v>9</v>
      </c>
      <c r="H1151" s="26">
        <v>35004.53</v>
      </c>
      <c r="I1151" s="26">
        <v>18677.12</v>
      </c>
      <c r="J1151" s="26">
        <v>18677.12</v>
      </c>
      <c r="K1151" s="26"/>
      <c r="L1151" s="26"/>
      <c r="M1151" s="26"/>
      <c r="N1151" s="26"/>
      <c r="O1151" s="26"/>
      <c r="P1151" s="26"/>
      <c r="Q1151" s="17"/>
      <c r="T1151" s="26">
        <v>42729.009999999995</v>
      </c>
      <c r="U1151" s="26">
        <v>42676.389999999992</v>
      </c>
      <c r="V1151" s="26">
        <v>42676.389999999992</v>
      </c>
      <c r="W1151" s="26">
        <f t="shared" si="35"/>
        <v>-7724.4799999999959</v>
      </c>
      <c r="X1151" s="26">
        <f t="shared" si="35"/>
        <v>-23999.269999999993</v>
      </c>
      <c r="Y1151" s="26">
        <f t="shared" si="35"/>
        <v>-23999.269999999993</v>
      </c>
    </row>
    <row r="1152" spans="1:25" s="16" customFormat="1" ht="25.5">
      <c r="A1152" s="108" t="str">
        <f t="shared" si="34"/>
        <v>617050304 3 04 20300000</v>
      </c>
      <c r="B1152" s="197" t="s">
        <v>542</v>
      </c>
      <c r="C1152" s="203" t="s">
        <v>746</v>
      </c>
      <c r="D1152" s="204" t="s">
        <v>86</v>
      </c>
      <c r="E1152" s="204" t="s">
        <v>13</v>
      </c>
      <c r="F1152" s="204" t="s">
        <v>543</v>
      </c>
      <c r="G1152" s="204" t="s">
        <v>9</v>
      </c>
      <c r="H1152" s="26">
        <v>11836.92</v>
      </c>
      <c r="I1152" s="26">
        <v>8259.32</v>
      </c>
      <c r="J1152" s="26">
        <v>8259.32</v>
      </c>
      <c r="K1152" s="26"/>
      <c r="L1152" s="26"/>
      <c r="M1152" s="26"/>
      <c r="N1152" s="26"/>
      <c r="O1152" s="26"/>
      <c r="P1152" s="26"/>
      <c r="Q1152" s="17"/>
      <c r="T1152" s="26">
        <v>5112.3100000000004</v>
      </c>
      <c r="U1152" s="26">
        <v>5112.3100000000004</v>
      </c>
      <c r="V1152" s="26">
        <v>5112.3100000000004</v>
      </c>
      <c r="W1152" s="26">
        <f t="shared" si="35"/>
        <v>6724.61</v>
      </c>
      <c r="X1152" s="26">
        <f t="shared" si="35"/>
        <v>3147.0099999999993</v>
      </c>
      <c r="Y1152" s="26">
        <f t="shared" si="35"/>
        <v>3147.0099999999993</v>
      </c>
    </row>
    <row r="1153" spans="1:25" s="50" customFormat="1" ht="25.5">
      <c r="A1153" s="108" t="str">
        <f t="shared" si="34"/>
        <v>617050304 3 04 20300240</v>
      </c>
      <c r="B1153" s="197" t="s">
        <v>28</v>
      </c>
      <c r="C1153" s="203" t="s">
        <v>746</v>
      </c>
      <c r="D1153" s="204" t="s">
        <v>86</v>
      </c>
      <c r="E1153" s="204" t="s">
        <v>13</v>
      </c>
      <c r="F1153" s="204" t="s">
        <v>543</v>
      </c>
      <c r="G1153" s="204" t="s">
        <v>29</v>
      </c>
      <c r="H1153" s="26">
        <v>11836.92</v>
      </c>
      <c r="I1153" s="26">
        <v>8259.32</v>
      </c>
      <c r="J1153" s="26">
        <v>8259.32</v>
      </c>
      <c r="K1153" s="26"/>
      <c r="L1153" s="26"/>
      <c r="M1153" s="26"/>
      <c r="N1153" s="26"/>
      <c r="O1153" s="26"/>
      <c r="P1153" s="26"/>
      <c r="Q1153" s="17"/>
      <c r="T1153" s="26">
        <v>836.55</v>
      </c>
      <c r="U1153" s="26">
        <v>836.55</v>
      </c>
      <c r="V1153" s="26">
        <v>836.55</v>
      </c>
      <c r="W1153" s="26">
        <f t="shared" si="35"/>
        <v>11000.37</v>
      </c>
      <c r="X1153" s="26">
        <f t="shared" si="35"/>
        <v>7422.7699999999995</v>
      </c>
      <c r="Y1153" s="26">
        <f t="shared" si="35"/>
        <v>7422.7699999999995</v>
      </c>
    </row>
    <row r="1154" spans="1:25" s="16" customFormat="1">
      <c r="A1154" s="108" t="str">
        <f t="shared" si="34"/>
        <v>617050304 3 04 21070000</v>
      </c>
      <c r="B1154" s="200" t="s">
        <v>774</v>
      </c>
      <c r="C1154" s="203" t="s">
        <v>746</v>
      </c>
      <c r="D1154" s="204" t="s">
        <v>86</v>
      </c>
      <c r="E1154" s="204" t="s">
        <v>13</v>
      </c>
      <c r="F1154" s="204" t="s">
        <v>775</v>
      </c>
      <c r="G1154" s="204" t="s">
        <v>9</v>
      </c>
      <c r="H1154" s="26">
        <v>473</v>
      </c>
      <c r="I1154" s="26">
        <v>941.72</v>
      </c>
      <c r="J1154" s="26">
        <v>941.72</v>
      </c>
      <c r="K1154" s="26"/>
      <c r="L1154" s="26"/>
      <c r="M1154" s="26"/>
      <c r="N1154" s="26"/>
      <c r="O1154" s="26"/>
      <c r="P1154" s="26"/>
      <c r="Q1154" s="17"/>
      <c r="T1154" s="26">
        <v>3935.76</v>
      </c>
      <c r="U1154" s="26">
        <v>3935.76</v>
      </c>
      <c r="V1154" s="26">
        <v>3935.76</v>
      </c>
      <c r="W1154" s="26">
        <f t="shared" si="35"/>
        <v>-3462.76</v>
      </c>
      <c r="X1154" s="26">
        <f t="shared" si="35"/>
        <v>-2994.04</v>
      </c>
      <c r="Y1154" s="26">
        <f t="shared" si="35"/>
        <v>-2994.04</v>
      </c>
    </row>
    <row r="1155" spans="1:25" s="16" customFormat="1" ht="25.5">
      <c r="A1155" s="108" t="str">
        <f t="shared" si="34"/>
        <v>617050304 3 04 21070240</v>
      </c>
      <c r="B1155" s="197" t="s">
        <v>28</v>
      </c>
      <c r="C1155" s="203" t="s">
        <v>746</v>
      </c>
      <c r="D1155" s="204" t="s">
        <v>86</v>
      </c>
      <c r="E1155" s="204" t="s">
        <v>13</v>
      </c>
      <c r="F1155" s="204" t="s">
        <v>775</v>
      </c>
      <c r="G1155" s="204" t="s">
        <v>29</v>
      </c>
      <c r="H1155" s="26">
        <v>473</v>
      </c>
      <c r="I1155" s="26">
        <v>941.72</v>
      </c>
      <c r="J1155" s="26">
        <v>941.72</v>
      </c>
      <c r="K1155" s="26"/>
      <c r="L1155" s="26"/>
      <c r="M1155" s="26"/>
      <c r="N1155" s="26"/>
      <c r="O1155" s="26"/>
      <c r="P1155" s="26"/>
      <c r="Q1155" s="17"/>
      <c r="T1155" s="26">
        <v>340</v>
      </c>
      <c r="U1155" s="26">
        <v>340</v>
      </c>
      <c r="V1155" s="26">
        <v>340</v>
      </c>
      <c r="W1155" s="26">
        <f t="shared" si="35"/>
        <v>133</v>
      </c>
      <c r="X1155" s="26">
        <f t="shared" si="35"/>
        <v>601.72</v>
      </c>
      <c r="Y1155" s="26">
        <f t="shared" si="35"/>
        <v>601.72</v>
      </c>
    </row>
    <row r="1156" spans="1:25" s="47" customFormat="1" ht="63.75">
      <c r="A1156" s="108" t="str">
        <f t="shared" si="34"/>
        <v>617050304 3 04 21080000</v>
      </c>
      <c r="B1156" s="208" t="s">
        <v>776</v>
      </c>
      <c r="C1156" s="209" t="s">
        <v>746</v>
      </c>
      <c r="D1156" s="236" t="s">
        <v>86</v>
      </c>
      <c r="E1156" s="236" t="s">
        <v>13</v>
      </c>
      <c r="F1156" s="236" t="s">
        <v>777</v>
      </c>
      <c r="G1156" s="236" t="s">
        <v>9</v>
      </c>
      <c r="H1156" s="218">
        <v>0</v>
      </c>
      <c r="I1156" s="218">
        <v>0</v>
      </c>
      <c r="J1156" s="218">
        <v>0</v>
      </c>
      <c r="K1156" s="26"/>
      <c r="L1156" s="26"/>
      <c r="M1156" s="26"/>
      <c r="N1156" s="26"/>
      <c r="O1156" s="26"/>
      <c r="P1156" s="26"/>
      <c r="Q1156" s="17"/>
      <c r="T1156" s="26">
        <v>35958.199999999997</v>
      </c>
      <c r="U1156" s="26">
        <v>35958.199999999997</v>
      </c>
      <c r="V1156" s="26">
        <v>35958.199999999997</v>
      </c>
      <c r="W1156" s="26">
        <f t="shared" si="35"/>
        <v>-35958.199999999997</v>
      </c>
      <c r="X1156" s="26">
        <f t="shared" si="35"/>
        <v>-35958.199999999997</v>
      </c>
      <c r="Y1156" s="26">
        <f t="shared" si="35"/>
        <v>-35958.199999999997</v>
      </c>
    </row>
    <row r="1157" spans="1:25" s="50" customFormat="1" ht="25.5">
      <c r="A1157" s="108" t="str">
        <f t="shared" si="34"/>
        <v>617050304 3 04 21080240</v>
      </c>
      <c r="B1157" s="208" t="s">
        <v>28</v>
      </c>
      <c r="C1157" s="209" t="s">
        <v>746</v>
      </c>
      <c r="D1157" s="236" t="s">
        <v>86</v>
      </c>
      <c r="E1157" s="236" t="s">
        <v>13</v>
      </c>
      <c r="F1157" s="236" t="s">
        <v>777</v>
      </c>
      <c r="G1157" s="236" t="s">
        <v>29</v>
      </c>
      <c r="H1157" s="218">
        <v>0</v>
      </c>
      <c r="I1157" s="218">
        <v>0</v>
      </c>
      <c r="J1157" s="218">
        <v>0</v>
      </c>
      <c r="K1157" s="26"/>
      <c r="L1157" s="26"/>
      <c r="M1157" s="26"/>
      <c r="N1157" s="26"/>
      <c r="O1157" s="26"/>
      <c r="P1157" s="26"/>
      <c r="Q1157" s="17"/>
      <c r="T1157" s="26">
        <v>35958.199999999997</v>
      </c>
      <c r="U1157" s="26">
        <v>35958.199999999997</v>
      </c>
      <c r="V1157" s="26">
        <v>35958.199999999997</v>
      </c>
      <c r="W1157" s="26">
        <f t="shared" si="35"/>
        <v>-35958.199999999997</v>
      </c>
      <c r="X1157" s="26">
        <f t="shared" si="35"/>
        <v>-35958.199999999997</v>
      </c>
      <c r="Y1157" s="26">
        <f t="shared" si="35"/>
        <v>-35958.199999999997</v>
      </c>
    </row>
    <row r="1158" spans="1:25" s="47" customFormat="1" ht="38.25">
      <c r="A1158" s="108" t="str">
        <f t="shared" ref="A1158:A1221" si="36">C1158&amp;D1158&amp;E1158&amp;F1158&amp;G1158</f>
        <v>617050304 3 04 76416000</v>
      </c>
      <c r="B1158" s="207" t="s">
        <v>1311</v>
      </c>
      <c r="C1158" s="325" t="s">
        <v>746</v>
      </c>
      <c r="D1158" s="326" t="s">
        <v>86</v>
      </c>
      <c r="E1158" s="326" t="s">
        <v>13</v>
      </c>
      <c r="F1158" s="326" t="s">
        <v>1312</v>
      </c>
      <c r="G1158" s="326" t="s">
        <v>9</v>
      </c>
      <c r="H1158" s="327">
        <v>12476.08</v>
      </c>
      <c r="I1158" s="327">
        <v>9476.08</v>
      </c>
      <c r="J1158" s="327">
        <v>9476.08</v>
      </c>
      <c r="K1158" s="26"/>
      <c r="L1158" s="26"/>
      <c r="M1158" s="26"/>
      <c r="N1158" s="26"/>
      <c r="O1158" s="26"/>
      <c r="P1158" s="26"/>
      <c r="Q1158" s="17"/>
      <c r="T1158" s="26">
        <v>1587.6</v>
      </c>
      <c r="U1158" s="26">
        <v>1534.98</v>
      </c>
      <c r="V1158" s="26">
        <v>1534.98</v>
      </c>
      <c r="W1158" s="26">
        <f t="shared" si="35"/>
        <v>10888.48</v>
      </c>
      <c r="X1158" s="26">
        <f t="shared" si="35"/>
        <v>7941.1</v>
      </c>
      <c r="Y1158" s="26">
        <f t="shared" si="35"/>
        <v>7941.1</v>
      </c>
    </row>
    <row r="1159" spans="1:25" s="50" customFormat="1" ht="25.5">
      <c r="A1159" s="108" t="str">
        <f t="shared" si="36"/>
        <v>617050304 3 04 76416240</v>
      </c>
      <c r="B1159" s="207" t="s">
        <v>28</v>
      </c>
      <c r="C1159" s="325" t="s">
        <v>746</v>
      </c>
      <c r="D1159" s="326" t="s">
        <v>86</v>
      </c>
      <c r="E1159" s="326" t="s">
        <v>13</v>
      </c>
      <c r="F1159" s="326" t="s">
        <v>1312</v>
      </c>
      <c r="G1159" s="326" t="s">
        <v>29</v>
      </c>
      <c r="H1159" s="327">
        <v>12476.08</v>
      </c>
      <c r="I1159" s="327">
        <v>9476.08</v>
      </c>
      <c r="J1159" s="327">
        <v>9476.08</v>
      </c>
      <c r="K1159" s="26"/>
      <c r="L1159" s="26"/>
      <c r="M1159" s="26"/>
      <c r="N1159" s="26"/>
      <c r="O1159" s="26"/>
      <c r="P1159" s="26"/>
      <c r="Q1159" s="17"/>
      <c r="T1159" s="26">
        <v>1391.3</v>
      </c>
      <c r="U1159" s="26">
        <v>1338.68</v>
      </c>
      <c r="V1159" s="26">
        <v>1338.68</v>
      </c>
      <c r="W1159" s="26">
        <f t="shared" si="35"/>
        <v>11084.78</v>
      </c>
      <c r="X1159" s="26">
        <f t="shared" si="35"/>
        <v>8137.4</v>
      </c>
      <c r="Y1159" s="26">
        <f t="shared" si="35"/>
        <v>8137.4</v>
      </c>
    </row>
    <row r="1160" spans="1:25" s="50" customFormat="1" ht="38.25">
      <c r="A1160" s="108" t="str">
        <f t="shared" si="36"/>
        <v>617050304 3 04 G6420000</v>
      </c>
      <c r="B1160" s="197" t="s">
        <v>1043</v>
      </c>
      <c r="C1160" s="203" t="s">
        <v>746</v>
      </c>
      <c r="D1160" s="204" t="s">
        <v>86</v>
      </c>
      <c r="E1160" s="204" t="s">
        <v>13</v>
      </c>
      <c r="F1160" s="204" t="s">
        <v>1056</v>
      </c>
      <c r="G1160" s="204" t="s">
        <v>9</v>
      </c>
      <c r="H1160" s="26">
        <v>1508.53</v>
      </c>
      <c r="I1160" s="26">
        <v>0</v>
      </c>
      <c r="J1160" s="26">
        <v>0</v>
      </c>
      <c r="K1160" s="26"/>
      <c r="L1160" s="26"/>
      <c r="M1160" s="26"/>
      <c r="N1160" s="26"/>
      <c r="O1160" s="26"/>
      <c r="P1160" s="26"/>
      <c r="Q1160" s="17"/>
      <c r="T1160" s="26">
        <v>196.3</v>
      </c>
      <c r="U1160" s="26">
        <v>196.3</v>
      </c>
      <c r="V1160" s="26">
        <v>196.3</v>
      </c>
      <c r="W1160" s="26">
        <f t="shared" ref="W1160:Y1223" si="37">H1160-T1160</f>
        <v>1312.23</v>
      </c>
      <c r="X1160" s="26">
        <f t="shared" si="37"/>
        <v>-196.3</v>
      </c>
      <c r="Y1160" s="26">
        <f t="shared" si="37"/>
        <v>-196.3</v>
      </c>
    </row>
    <row r="1161" spans="1:25" s="47" customFormat="1">
      <c r="A1161" s="108" t="str">
        <f t="shared" si="36"/>
        <v/>
      </c>
      <c r="B1161" s="205" t="s">
        <v>1045</v>
      </c>
      <c r="C1161" s="203"/>
      <c r="D1161" s="204"/>
      <c r="E1161" s="204"/>
      <c r="F1161" s="204"/>
      <c r="G1161" s="204"/>
      <c r="H1161" s="26"/>
      <c r="I1161" s="26"/>
      <c r="J1161" s="26"/>
      <c r="K1161" s="26"/>
      <c r="L1161" s="26"/>
      <c r="M1161" s="26"/>
      <c r="N1161" s="26"/>
      <c r="O1161" s="26"/>
      <c r="P1161" s="26"/>
      <c r="Q1161" s="17"/>
      <c r="T1161" s="26">
        <v>70.900000000000006</v>
      </c>
      <c r="U1161" s="26">
        <v>70.900000000000006</v>
      </c>
      <c r="V1161" s="26">
        <v>70.900000000000006</v>
      </c>
      <c r="W1161" s="26">
        <f t="shared" si="37"/>
        <v>-70.900000000000006</v>
      </c>
      <c r="X1161" s="26">
        <f t="shared" si="37"/>
        <v>-70.900000000000006</v>
      </c>
      <c r="Y1161" s="26">
        <f t="shared" si="37"/>
        <v>-70.900000000000006</v>
      </c>
    </row>
    <row r="1162" spans="1:25" s="50" customFormat="1">
      <c r="A1162" s="108" t="str">
        <f t="shared" si="36"/>
        <v>617050304 3 04 G6420000</v>
      </c>
      <c r="B1162" s="197" t="s">
        <v>1046</v>
      </c>
      <c r="C1162" s="203" t="s">
        <v>746</v>
      </c>
      <c r="D1162" s="204" t="s">
        <v>86</v>
      </c>
      <c r="E1162" s="204" t="s">
        <v>13</v>
      </c>
      <c r="F1162" s="204" t="s">
        <v>1056</v>
      </c>
      <c r="G1162" s="204" t="s">
        <v>9</v>
      </c>
      <c r="H1162" s="26">
        <v>305</v>
      </c>
      <c r="I1162" s="26">
        <v>0</v>
      </c>
      <c r="J1162" s="26">
        <v>0</v>
      </c>
      <c r="K1162" s="26"/>
      <c r="L1162" s="26"/>
      <c r="M1162" s="26"/>
      <c r="N1162" s="26"/>
      <c r="O1162" s="26"/>
      <c r="P1162" s="26"/>
      <c r="Q1162" s="17"/>
      <c r="T1162" s="26">
        <v>70.900000000000006</v>
      </c>
      <c r="U1162" s="26">
        <v>70.900000000000006</v>
      </c>
      <c r="V1162" s="26">
        <v>70.900000000000006</v>
      </c>
      <c r="W1162" s="26">
        <f t="shared" si="37"/>
        <v>234.1</v>
      </c>
      <c r="X1162" s="26">
        <f t="shared" si="37"/>
        <v>-70.900000000000006</v>
      </c>
      <c r="Y1162" s="26">
        <f t="shared" si="37"/>
        <v>-70.900000000000006</v>
      </c>
    </row>
    <row r="1163" spans="1:25" s="16" customFormat="1">
      <c r="A1163" s="108" t="str">
        <f t="shared" si="36"/>
        <v>617050304 3 04 G6420000</v>
      </c>
      <c r="B1163" s="197" t="s">
        <v>1047</v>
      </c>
      <c r="C1163" s="203" t="s">
        <v>746</v>
      </c>
      <c r="D1163" s="204" t="s">
        <v>86</v>
      </c>
      <c r="E1163" s="204" t="s">
        <v>13</v>
      </c>
      <c r="F1163" s="204" t="s">
        <v>1056</v>
      </c>
      <c r="G1163" s="204" t="s">
        <v>9</v>
      </c>
      <c r="H1163" s="26">
        <v>1203.53</v>
      </c>
      <c r="I1163" s="26">
        <v>0</v>
      </c>
      <c r="J1163" s="26">
        <v>0</v>
      </c>
      <c r="K1163" s="19"/>
      <c r="L1163" s="19"/>
      <c r="M1163" s="19"/>
      <c r="N1163" s="19"/>
      <c r="O1163" s="19"/>
      <c r="P1163" s="19"/>
      <c r="Q1163" s="17"/>
      <c r="T1163" s="19">
        <v>4554.4000000000005</v>
      </c>
      <c r="U1163" s="19">
        <v>576.79999999999995</v>
      </c>
      <c r="V1163" s="19">
        <v>576.79999999999995</v>
      </c>
      <c r="W1163" s="19">
        <f t="shared" si="37"/>
        <v>-3350.8700000000008</v>
      </c>
      <c r="X1163" s="19">
        <f t="shared" si="37"/>
        <v>-576.79999999999995</v>
      </c>
      <c r="Y1163" s="19">
        <f t="shared" si="37"/>
        <v>-576.79999999999995</v>
      </c>
    </row>
    <row r="1164" spans="1:25" s="16" customFormat="1" ht="25.5">
      <c r="A1164" s="108" t="str">
        <f t="shared" si="36"/>
        <v>617050304 3 04 G6420240</v>
      </c>
      <c r="B1164" s="197" t="s">
        <v>28</v>
      </c>
      <c r="C1164" s="203" t="s">
        <v>746</v>
      </c>
      <c r="D1164" s="204" t="s">
        <v>86</v>
      </c>
      <c r="E1164" s="204" t="s">
        <v>13</v>
      </c>
      <c r="F1164" s="204" t="s">
        <v>1056</v>
      </c>
      <c r="G1164" s="204" t="s">
        <v>29</v>
      </c>
      <c r="H1164" s="26">
        <v>1508.53</v>
      </c>
      <c r="I1164" s="26">
        <v>0</v>
      </c>
      <c r="J1164" s="26">
        <v>0</v>
      </c>
      <c r="K1164" s="20"/>
      <c r="L1164" s="20"/>
      <c r="M1164" s="20"/>
      <c r="N1164" s="20"/>
      <c r="O1164" s="20"/>
      <c r="P1164" s="20"/>
      <c r="Q1164" s="17"/>
      <c r="T1164" s="20">
        <v>576.79999999999995</v>
      </c>
      <c r="U1164" s="20">
        <v>576.79999999999995</v>
      </c>
      <c r="V1164" s="20">
        <v>576.79999999999995</v>
      </c>
      <c r="W1164" s="20">
        <f t="shared" si="37"/>
        <v>931.73</v>
      </c>
      <c r="X1164" s="20">
        <f t="shared" si="37"/>
        <v>-576.79999999999995</v>
      </c>
      <c r="Y1164" s="20">
        <f t="shared" si="37"/>
        <v>-576.79999999999995</v>
      </c>
    </row>
    <row r="1165" spans="1:25" s="16" customFormat="1" ht="25.5">
      <c r="A1165" s="108" t="str">
        <f t="shared" si="36"/>
        <v>617050304 3 04 S6420000</v>
      </c>
      <c r="B1165" s="200" t="s">
        <v>1048</v>
      </c>
      <c r="C1165" s="203" t="s">
        <v>746</v>
      </c>
      <c r="D1165" s="204" t="s">
        <v>86</v>
      </c>
      <c r="E1165" s="204" t="s">
        <v>13</v>
      </c>
      <c r="F1165" s="204" t="s">
        <v>1057</v>
      </c>
      <c r="G1165" s="204" t="s">
        <v>9</v>
      </c>
      <c r="H1165" s="26">
        <v>8710</v>
      </c>
      <c r="I1165" s="26">
        <v>0</v>
      </c>
      <c r="J1165" s="26">
        <v>0</v>
      </c>
      <c r="K1165" s="20"/>
      <c r="L1165" s="20"/>
      <c r="M1165" s="20"/>
      <c r="N1165" s="20"/>
      <c r="O1165" s="20"/>
      <c r="P1165" s="20"/>
      <c r="Q1165" s="17"/>
      <c r="T1165" s="20">
        <v>576.79999999999995</v>
      </c>
      <c r="U1165" s="20">
        <v>576.79999999999995</v>
      </c>
      <c r="V1165" s="20">
        <v>576.79999999999995</v>
      </c>
      <c r="W1165" s="20">
        <f t="shared" si="37"/>
        <v>8133.2</v>
      </c>
      <c r="X1165" s="20">
        <f t="shared" si="37"/>
        <v>-576.79999999999995</v>
      </c>
      <c r="Y1165" s="20">
        <f t="shared" si="37"/>
        <v>-576.79999999999995</v>
      </c>
    </row>
    <row r="1166" spans="1:25" s="16" customFormat="1">
      <c r="A1166" s="108" t="str">
        <f t="shared" si="36"/>
        <v/>
      </c>
      <c r="B1166" s="205" t="s">
        <v>1045</v>
      </c>
      <c r="C1166" s="203"/>
      <c r="D1166" s="204"/>
      <c r="E1166" s="204"/>
      <c r="F1166" s="204"/>
      <c r="G1166" s="204"/>
      <c r="H1166" s="26"/>
      <c r="I1166" s="26"/>
      <c r="J1166" s="26"/>
      <c r="K1166" s="20"/>
      <c r="L1166" s="20"/>
      <c r="M1166" s="20"/>
      <c r="N1166" s="20"/>
      <c r="O1166" s="20"/>
      <c r="P1166" s="20"/>
      <c r="Q1166" s="17"/>
      <c r="T1166" s="20">
        <v>576.79999999999995</v>
      </c>
      <c r="U1166" s="20">
        <v>576.79999999999995</v>
      </c>
      <c r="V1166" s="20">
        <v>576.79999999999995</v>
      </c>
      <c r="W1166" s="20">
        <f t="shared" si="37"/>
        <v>-576.79999999999995</v>
      </c>
      <c r="X1166" s="20">
        <f t="shared" si="37"/>
        <v>-576.79999999999995</v>
      </c>
      <c r="Y1166" s="20">
        <f t="shared" si="37"/>
        <v>-576.79999999999995</v>
      </c>
    </row>
    <row r="1167" spans="1:25" s="16" customFormat="1">
      <c r="A1167" s="108" t="str">
        <f t="shared" si="36"/>
        <v>617050304 3 04 S6420000</v>
      </c>
      <c r="B1167" s="197" t="s">
        <v>1050</v>
      </c>
      <c r="C1167" s="203" t="s">
        <v>746</v>
      </c>
      <c r="D1167" s="204" t="s">
        <v>86</v>
      </c>
      <c r="E1167" s="204" t="s">
        <v>13</v>
      </c>
      <c r="F1167" s="204" t="s">
        <v>1057</v>
      </c>
      <c r="G1167" s="204" t="s">
        <v>9</v>
      </c>
      <c r="H1167" s="26">
        <v>2710</v>
      </c>
      <c r="I1167" s="26">
        <v>0</v>
      </c>
      <c r="J1167" s="26">
        <v>0</v>
      </c>
      <c r="K1167" s="20"/>
      <c r="L1167" s="20"/>
      <c r="M1167" s="20"/>
      <c r="N1167" s="20"/>
      <c r="O1167" s="20"/>
      <c r="P1167" s="20"/>
      <c r="Q1167" s="17"/>
      <c r="T1167" s="20">
        <v>476.64</v>
      </c>
      <c r="U1167" s="20">
        <v>476.64</v>
      </c>
      <c r="V1167" s="20">
        <v>476.64</v>
      </c>
      <c r="W1167" s="20">
        <f t="shared" si="37"/>
        <v>2233.36</v>
      </c>
      <c r="X1167" s="20">
        <f t="shared" si="37"/>
        <v>-476.64</v>
      </c>
      <c r="Y1167" s="20">
        <f t="shared" si="37"/>
        <v>-476.64</v>
      </c>
    </row>
    <row r="1168" spans="1:25" s="16" customFormat="1">
      <c r="A1168" s="108" t="str">
        <f t="shared" si="36"/>
        <v>617050304 3 04 S6420000</v>
      </c>
      <c r="B1168" s="197" t="s">
        <v>1051</v>
      </c>
      <c r="C1168" s="203" t="s">
        <v>746</v>
      </c>
      <c r="D1168" s="204" t="s">
        <v>86</v>
      </c>
      <c r="E1168" s="204" t="s">
        <v>13</v>
      </c>
      <c r="F1168" s="204" t="s">
        <v>1057</v>
      </c>
      <c r="G1168" s="204" t="s">
        <v>9</v>
      </c>
      <c r="H1168" s="26">
        <v>6000</v>
      </c>
      <c r="I1168" s="26">
        <v>0</v>
      </c>
      <c r="J1168" s="26">
        <v>0</v>
      </c>
      <c r="K1168" s="26"/>
      <c r="L1168" s="26"/>
      <c r="M1168" s="26"/>
      <c r="N1168" s="26"/>
      <c r="O1168" s="26"/>
      <c r="P1168" s="26"/>
      <c r="Q1168" s="17"/>
      <c r="T1168" s="26">
        <v>476.64</v>
      </c>
      <c r="U1168" s="26">
        <v>476.64</v>
      </c>
      <c r="V1168" s="26">
        <v>476.64</v>
      </c>
      <c r="W1168" s="26">
        <f t="shared" si="37"/>
        <v>5523.36</v>
      </c>
      <c r="X1168" s="26">
        <f t="shared" si="37"/>
        <v>-476.64</v>
      </c>
      <c r="Y1168" s="26">
        <f t="shared" si="37"/>
        <v>-476.64</v>
      </c>
    </row>
    <row r="1169" spans="1:25" s="16" customFormat="1" ht="25.5">
      <c r="A1169" s="108" t="str">
        <f t="shared" si="36"/>
        <v>617050304 3 04 S6420240</v>
      </c>
      <c r="B1169" s="197" t="s">
        <v>28</v>
      </c>
      <c r="C1169" s="203" t="s">
        <v>746</v>
      </c>
      <c r="D1169" s="204" t="s">
        <v>86</v>
      </c>
      <c r="E1169" s="204" t="s">
        <v>13</v>
      </c>
      <c r="F1169" s="204" t="s">
        <v>1057</v>
      </c>
      <c r="G1169" s="204" t="s">
        <v>29</v>
      </c>
      <c r="H1169" s="26">
        <v>8710</v>
      </c>
      <c r="I1169" s="26">
        <v>0</v>
      </c>
      <c r="J1169" s="26">
        <v>0</v>
      </c>
      <c r="K1169" s="20"/>
      <c r="L1169" s="20"/>
      <c r="M1169" s="20"/>
      <c r="N1169" s="20"/>
      <c r="O1169" s="20"/>
      <c r="P1169" s="20"/>
      <c r="Q1169" s="17"/>
      <c r="T1169" s="20">
        <v>100.16</v>
      </c>
      <c r="U1169" s="20">
        <v>100.16</v>
      </c>
      <c r="V1169" s="20">
        <v>100.16</v>
      </c>
      <c r="W1169" s="20">
        <f t="shared" si="37"/>
        <v>8609.84</v>
      </c>
      <c r="X1169" s="20">
        <f t="shared" si="37"/>
        <v>-100.16</v>
      </c>
      <c r="Y1169" s="20">
        <f t="shared" si="37"/>
        <v>-100.16</v>
      </c>
    </row>
    <row r="1170" spans="1:25" s="16" customFormat="1" ht="38.25">
      <c r="A1170" s="108" t="str">
        <f t="shared" si="36"/>
        <v>617050398 0 00 00000000</v>
      </c>
      <c r="B1170" s="226" t="s">
        <v>87</v>
      </c>
      <c r="C1170" s="203" t="s">
        <v>746</v>
      </c>
      <c r="D1170" s="204" t="s">
        <v>86</v>
      </c>
      <c r="E1170" s="204" t="s">
        <v>13</v>
      </c>
      <c r="F1170" s="204" t="s">
        <v>88</v>
      </c>
      <c r="G1170" s="204" t="s">
        <v>9</v>
      </c>
      <c r="H1170" s="26">
        <v>2500</v>
      </c>
      <c r="I1170" s="26">
        <v>0</v>
      </c>
      <c r="J1170" s="26">
        <v>0</v>
      </c>
      <c r="K1170" s="20"/>
      <c r="L1170" s="20"/>
      <c r="M1170" s="20"/>
      <c r="N1170" s="20"/>
      <c r="O1170" s="20"/>
      <c r="P1170" s="20"/>
      <c r="Q1170" s="17"/>
      <c r="T1170" s="20">
        <v>100.16</v>
      </c>
      <c r="U1170" s="20">
        <v>100.16</v>
      </c>
      <c r="V1170" s="20">
        <v>100.16</v>
      </c>
      <c r="W1170" s="20">
        <f t="shared" si="37"/>
        <v>2399.84</v>
      </c>
      <c r="X1170" s="20">
        <f t="shared" si="37"/>
        <v>-100.16</v>
      </c>
      <c r="Y1170" s="20">
        <f t="shared" si="37"/>
        <v>-100.16</v>
      </c>
    </row>
    <row r="1171" spans="1:25" s="16" customFormat="1">
      <c r="A1171" s="108" t="str">
        <f t="shared" si="36"/>
        <v>617050398 1 00 00000000</v>
      </c>
      <c r="B1171" s="226" t="s">
        <v>89</v>
      </c>
      <c r="C1171" s="203" t="s">
        <v>746</v>
      </c>
      <c r="D1171" s="204" t="s">
        <v>86</v>
      </c>
      <c r="E1171" s="204" t="s">
        <v>13</v>
      </c>
      <c r="F1171" s="204" t="s">
        <v>90</v>
      </c>
      <c r="G1171" s="204" t="s">
        <v>9</v>
      </c>
      <c r="H1171" s="26">
        <v>2500</v>
      </c>
      <c r="I1171" s="26">
        <v>0</v>
      </c>
      <c r="J1171" s="26">
        <v>0</v>
      </c>
      <c r="K1171" s="20"/>
      <c r="L1171" s="20"/>
      <c r="M1171" s="20"/>
      <c r="N1171" s="20"/>
      <c r="O1171" s="20"/>
      <c r="P1171" s="20"/>
      <c r="Q1171" s="17"/>
      <c r="T1171" s="20">
        <v>523.64</v>
      </c>
      <c r="U1171" s="20">
        <v>0</v>
      </c>
      <c r="V1171" s="20">
        <v>0</v>
      </c>
      <c r="W1171" s="20">
        <f t="shared" si="37"/>
        <v>1976.3600000000001</v>
      </c>
      <c r="X1171" s="20">
        <f t="shared" si="37"/>
        <v>0</v>
      </c>
      <c r="Y1171" s="20">
        <f t="shared" si="37"/>
        <v>0</v>
      </c>
    </row>
    <row r="1172" spans="1:25" s="16" customFormat="1">
      <c r="A1172" s="108" t="str">
        <f t="shared" si="36"/>
        <v>617050398 1 00 21450000</v>
      </c>
      <c r="B1172" s="197" t="s">
        <v>778</v>
      </c>
      <c r="C1172" s="203" t="s">
        <v>746</v>
      </c>
      <c r="D1172" s="204" t="s">
        <v>86</v>
      </c>
      <c r="E1172" s="204" t="s">
        <v>13</v>
      </c>
      <c r="F1172" s="204" t="s">
        <v>779</v>
      </c>
      <c r="G1172" s="204" t="s">
        <v>9</v>
      </c>
      <c r="H1172" s="26">
        <v>2500</v>
      </c>
      <c r="I1172" s="26">
        <v>0</v>
      </c>
      <c r="J1172" s="26">
        <v>0</v>
      </c>
      <c r="K1172" s="20"/>
      <c r="L1172" s="20"/>
      <c r="M1172" s="20"/>
      <c r="N1172" s="20"/>
      <c r="O1172" s="20"/>
      <c r="P1172" s="20"/>
      <c r="Q1172" s="17"/>
      <c r="T1172" s="20">
        <v>523.64</v>
      </c>
      <c r="U1172" s="20">
        <v>0</v>
      </c>
      <c r="V1172" s="20">
        <v>0</v>
      </c>
      <c r="W1172" s="20">
        <f t="shared" si="37"/>
        <v>1976.3600000000001</v>
      </c>
      <c r="X1172" s="20">
        <f t="shared" si="37"/>
        <v>0</v>
      </c>
      <c r="Y1172" s="20">
        <f t="shared" si="37"/>
        <v>0</v>
      </c>
    </row>
    <row r="1173" spans="1:25" s="16" customFormat="1" ht="25.5">
      <c r="A1173" s="108" t="str">
        <f t="shared" si="36"/>
        <v>617050398 1 00 21450240</v>
      </c>
      <c r="B1173" s="197" t="s">
        <v>28</v>
      </c>
      <c r="C1173" s="203" t="s">
        <v>746</v>
      </c>
      <c r="D1173" s="204" t="s">
        <v>86</v>
      </c>
      <c r="E1173" s="204" t="s">
        <v>13</v>
      </c>
      <c r="F1173" s="204" t="s">
        <v>779</v>
      </c>
      <c r="G1173" s="204" t="s">
        <v>29</v>
      </c>
      <c r="H1173" s="26">
        <v>2500</v>
      </c>
      <c r="I1173" s="26">
        <v>0</v>
      </c>
      <c r="J1173" s="26">
        <v>0</v>
      </c>
      <c r="K1173" s="20"/>
      <c r="L1173" s="20"/>
      <c r="M1173" s="20"/>
      <c r="N1173" s="20"/>
      <c r="O1173" s="20"/>
      <c r="P1173" s="20"/>
      <c r="Q1173" s="17"/>
      <c r="T1173" s="20">
        <v>523.64</v>
      </c>
      <c r="U1173" s="20">
        <v>0</v>
      </c>
      <c r="V1173" s="20">
        <v>0</v>
      </c>
      <c r="W1173" s="20">
        <f t="shared" si="37"/>
        <v>1976.3600000000001</v>
      </c>
      <c r="X1173" s="20">
        <f t="shared" si="37"/>
        <v>0</v>
      </c>
      <c r="Y1173" s="20">
        <f t="shared" si="37"/>
        <v>0</v>
      </c>
    </row>
    <row r="1174" spans="1:25" s="16" customFormat="1">
      <c r="A1174" s="108" t="str">
        <f t="shared" si="36"/>
        <v>617080000 0 00 00000000</v>
      </c>
      <c r="B1174" s="191" t="s">
        <v>237</v>
      </c>
      <c r="C1174" s="192" t="s">
        <v>746</v>
      </c>
      <c r="D1174" s="193" t="s">
        <v>238</v>
      </c>
      <c r="E1174" s="193" t="s">
        <v>7</v>
      </c>
      <c r="F1174" s="193" t="s">
        <v>8</v>
      </c>
      <c r="G1174" s="193" t="s">
        <v>9</v>
      </c>
      <c r="H1174" s="18">
        <v>1591</v>
      </c>
      <c r="I1174" s="18">
        <v>1591</v>
      </c>
      <c r="J1174" s="18">
        <v>1591</v>
      </c>
      <c r="K1174" s="20"/>
      <c r="L1174" s="20"/>
      <c r="M1174" s="20"/>
      <c r="N1174" s="20"/>
      <c r="O1174" s="20"/>
      <c r="P1174" s="20"/>
      <c r="Q1174" s="17"/>
      <c r="T1174" s="20">
        <v>523.64</v>
      </c>
      <c r="U1174" s="20">
        <v>0</v>
      </c>
      <c r="V1174" s="20">
        <v>0</v>
      </c>
      <c r="W1174" s="20">
        <f t="shared" si="37"/>
        <v>1067.3600000000001</v>
      </c>
      <c r="X1174" s="20">
        <f t="shared" si="37"/>
        <v>1591</v>
      </c>
      <c r="Y1174" s="20">
        <f t="shared" si="37"/>
        <v>1591</v>
      </c>
    </row>
    <row r="1175" spans="1:25" s="16" customFormat="1">
      <c r="A1175" s="108" t="str">
        <f t="shared" si="36"/>
        <v>617080100 0 00 00000000</v>
      </c>
      <c r="B1175" s="194" t="s">
        <v>239</v>
      </c>
      <c r="C1175" s="195" t="s">
        <v>746</v>
      </c>
      <c r="D1175" s="196" t="s">
        <v>238</v>
      </c>
      <c r="E1175" s="196" t="s">
        <v>11</v>
      </c>
      <c r="F1175" s="196" t="s">
        <v>8</v>
      </c>
      <c r="G1175" s="196" t="s">
        <v>9</v>
      </c>
      <c r="H1175" s="19">
        <v>1591</v>
      </c>
      <c r="I1175" s="19">
        <v>1591</v>
      </c>
      <c r="J1175" s="19">
        <v>1591</v>
      </c>
      <c r="K1175" s="20"/>
      <c r="L1175" s="20"/>
      <c r="M1175" s="20"/>
      <c r="N1175" s="20"/>
      <c r="O1175" s="20"/>
      <c r="P1175" s="20"/>
      <c r="Q1175" s="17"/>
      <c r="T1175" s="20">
        <v>3453.96</v>
      </c>
      <c r="U1175" s="20">
        <v>0</v>
      </c>
      <c r="V1175" s="20">
        <v>0</v>
      </c>
      <c r="W1175" s="20">
        <f t="shared" si="37"/>
        <v>-1862.96</v>
      </c>
      <c r="X1175" s="20">
        <f t="shared" si="37"/>
        <v>1591</v>
      </c>
      <c r="Y1175" s="20">
        <f t="shared" si="37"/>
        <v>1591</v>
      </c>
    </row>
    <row r="1176" spans="1:25" s="16" customFormat="1">
      <c r="A1176" s="108" t="str">
        <f t="shared" si="36"/>
        <v>617080107 0 00 00000000</v>
      </c>
      <c r="B1176" s="197" t="s">
        <v>240</v>
      </c>
      <c r="C1176" s="203" t="s">
        <v>746</v>
      </c>
      <c r="D1176" s="204" t="s">
        <v>238</v>
      </c>
      <c r="E1176" s="204" t="s">
        <v>11</v>
      </c>
      <c r="F1176" s="204" t="s">
        <v>241</v>
      </c>
      <c r="G1176" s="204" t="s">
        <v>9</v>
      </c>
      <c r="H1176" s="26">
        <v>1591</v>
      </c>
      <c r="I1176" s="26">
        <v>1591</v>
      </c>
      <c r="J1176" s="26">
        <v>1591</v>
      </c>
      <c r="K1176" s="20"/>
      <c r="L1176" s="20"/>
      <c r="M1176" s="20"/>
      <c r="N1176" s="20"/>
      <c r="O1176" s="20"/>
      <c r="P1176" s="20"/>
      <c r="Q1176" s="17"/>
      <c r="T1176" s="20">
        <v>3453.96</v>
      </c>
      <c r="U1176" s="20">
        <v>0</v>
      </c>
      <c r="V1176" s="20">
        <v>0</v>
      </c>
      <c r="W1176" s="20">
        <f t="shared" si="37"/>
        <v>-1862.96</v>
      </c>
      <c r="X1176" s="20">
        <f t="shared" si="37"/>
        <v>1591</v>
      </c>
      <c r="Y1176" s="20">
        <f t="shared" si="37"/>
        <v>1591</v>
      </c>
    </row>
    <row r="1177" spans="1:25" s="16" customFormat="1" ht="51">
      <c r="A1177" s="108" t="str">
        <f t="shared" si="36"/>
        <v>617080107 1 00 00000000</v>
      </c>
      <c r="B1177" s="226" t="s">
        <v>242</v>
      </c>
      <c r="C1177" s="203" t="s">
        <v>746</v>
      </c>
      <c r="D1177" s="204" t="s">
        <v>238</v>
      </c>
      <c r="E1177" s="204" t="s">
        <v>11</v>
      </c>
      <c r="F1177" s="204" t="s">
        <v>243</v>
      </c>
      <c r="G1177" s="204" t="s">
        <v>9</v>
      </c>
      <c r="H1177" s="26">
        <v>1591</v>
      </c>
      <c r="I1177" s="26">
        <v>1591</v>
      </c>
      <c r="J1177" s="26">
        <v>1591</v>
      </c>
      <c r="K1177" s="20"/>
      <c r="L1177" s="20"/>
      <c r="M1177" s="20"/>
      <c r="N1177" s="20"/>
      <c r="O1177" s="20"/>
      <c r="P1177" s="20"/>
      <c r="Q1177" s="17"/>
      <c r="T1177" s="20">
        <v>753.96</v>
      </c>
      <c r="U1177" s="20">
        <v>0</v>
      </c>
      <c r="V1177" s="20">
        <v>0</v>
      </c>
      <c r="W1177" s="20">
        <f t="shared" si="37"/>
        <v>837.04</v>
      </c>
      <c r="X1177" s="20">
        <f t="shared" si="37"/>
        <v>1591</v>
      </c>
      <c r="Y1177" s="20">
        <f t="shared" si="37"/>
        <v>1591</v>
      </c>
    </row>
    <row r="1178" spans="1:25" s="16" customFormat="1" ht="63.75">
      <c r="A1178" s="108" t="str">
        <f t="shared" si="36"/>
        <v>617080107 1 01 00000000</v>
      </c>
      <c r="B1178" s="226" t="s">
        <v>244</v>
      </c>
      <c r="C1178" s="203" t="s">
        <v>746</v>
      </c>
      <c r="D1178" s="204" t="s">
        <v>238</v>
      </c>
      <c r="E1178" s="204" t="s">
        <v>11</v>
      </c>
      <c r="F1178" s="204" t="s">
        <v>245</v>
      </c>
      <c r="G1178" s="204" t="s">
        <v>9</v>
      </c>
      <c r="H1178" s="26">
        <v>1591</v>
      </c>
      <c r="I1178" s="26">
        <v>1591</v>
      </c>
      <c r="J1178" s="26">
        <v>1591</v>
      </c>
      <c r="K1178" s="20"/>
      <c r="L1178" s="20"/>
      <c r="M1178" s="20"/>
      <c r="N1178" s="20"/>
      <c r="O1178" s="20"/>
      <c r="P1178" s="20"/>
      <c r="Q1178" s="17"/>
      <c r="T1178" s="20">
        <v>753.96</v>
      </c>
      <c r="U1178" s="20">
        <v>0</v>
      </c>
      <c r="V1178" s="20">
        <v>0</v>
      </c>
      <c r="W1178" s="20">
        <f t="shared" si="37"/>
        <v>837.04</v>
      </c>
      <c r="X1178" s="20">
        <f t="shared" si="37"/>
        <v>1591</v>
      </c>
      <c r="Y1178" s="20">
        <f t="shared" si="37"/>
        <v>1591</v>
      </c>
    </row>
    <row r="1179" spans="1:25" s="16" customFormat="1" ht="25.5">
      <c r="A1179" s="108" t="str">
        <f t="shared" si="36"/>
        <v>617080107 1 01 20060000</v>
      </c>
      <c r="B1179" s="197" t="s">
        <v>246</v>
      </c>
      <c r="C1179" s="203" t="s">
        <v>746</v>
      </c>
      <c r="D1179" s="204" t="s">
        <v>238</v>
      </c>
      <c r="E1179" s="204" t="s">
        <v>11</v>
      </c>
      <c r="F1179" s="204" t="s">
        <v>247</v>
      </c>
      <c r="G1179" s="204" t="s">
        <v>9</v>
      </c>
      <c r="H1179" s="26">
        <v>1095.45</v>
      </c>
      <c r="I1179" s="26">
        <v>1095.45</v>
      </c>
      <c r="J1179" s="26">
        <v>1095.45</v>
      </c>
      <c r="K1179" s="20"/>
      <c r="L1179" s="20"/>
      <c r="M1179" s="20"/>
      <c r="N1179" s="20"/>
      <c r="O1179" s="20"/>
      <c r="P1179" s="20"/>
      <c r="Q1179" s="17"/>
      <c r="T1179" s="20">
        <v>2700</v>
      </c>
      <c r="U1179" s="20">
        <v>0</v>
      </c>
      <c r="V1179" s="20">
        <v>0</v>
      </c>
      <c r="W1179" s="20">
        <f t="shared" si="37"/>
        <v>-1604.55</v>
      </c>
      <c r="X1179" s="20">
        <f t="shared" si="37"/>
        <v>1095.45</v>
      </c>
      <c r="Y1179" s="20">
        <f t="shared" si="37"/>
        <v>1095.45</v>
      </c>
    </row>
    <row r="1180" spans="1:25" s="16" customFormat="1" ht="25.5">
      <c r="A1180" s="108" t="str">
        <f t="shared" si="36"/>
        <v>617080107 1 01 20060240</v>
      </c>
      <c r="B1180" s="197" t="s">
        <v>28</v>
      </c>
      <c r="C1180" s="203" t="s">
        <v>746</v>
      </c>
      <c r="D1180" s="204" t="s">
        <v>238</v>
      </c>
      <c r="E1180" s="204" t="s">
        <v>11</v>
      </c>
      <c r="F1180" s="204" t="s">
        <v>247</v>
      </c>
      <c r="G1180" s="204" t="s">
        <v>29</v>
      </c>
      <c r="H1180" s="26">
        <v>1095.45</v>
      </c>
      <c r="I1180" s="26">
        <v>1095.45</v>
      </c>
      <c r="J1180" s="26">
        <v>1095.45</v>
      </c>
      <c r="K1180" s="20"/>
      <c r="L1180" s="20"/>
      <c r="M1180" s="20"/>
      <c r="N1180" s="20"/>
      <c r="O1180" s="20"/>
      <c r="P1180" s="20"/>
      <c r="Q1180" s="17"/>
      <c r="T1180" s="20">
        <v>2700</v>
      </c>
      <c r="U1180" s="20">
        <v>0</v>
      </c>
      <c r="V1180" s="20">
        <v>0</v>
      </c>
      <c r="W1180" s="20">
        <f t="shared" si="37"/>
        <v>-1604.55</v>
      </c>
      <c r="X1180" s="20">
        <f t="shared" si="37"/>
        <v>1095.45</v>
      </c>
      <c r="Y1180" s="20">
        <f t="shared" si="37"/>
        <v>1095.45</v>
      </c>
    </row>
    <row r="1181" spans="1:25" s="16" customFormat="1" ht="25.5">
      <c r="A1181" s="108" t="str">
        <f t="shared" si="36"/>
        <v>617080107 1 01 21130000</v>
      </c>
      <c r="B1181" s="200" t="s">
        <v>780</v>
      </c>
      <c r="C1181" s="203" t="s">
        <v>746</v>
      </c>
      <c r="D1181" s="204" t="s">
        <v>238</v>
      </c>
      <c r="E1181" s="204" t="s">
        <v>11</v>
      </c>
      <c r="F1181" s="204" t="s">
        <v>781</v>
      </c>
      <c r="G1181" s="204" t="s">
        <v>9</v>
      </c>
      <c r="H1181" s="26">
        <v>495.55</v>
      </c>
      <c r="I1181" s="26">
        <v>495.55</v>
      </c>
      <c r="J1181" s="26">
        <v>495.55</v>
      </c>
      <c r="K1181" s="18"/>
      <c r="L1181" s="18"/>
      <c r="M1181" s="18"/>
      <c r="N1181" s="18"/>
      <c r="O1181" s="18"/>
      <c r="P1181" s="18"/>
      <c r="Q1181" s="17"/>
      <c r="T1181" s="18">
        <v>120628.13</v>
      </c>
      <c r="U1181" s="18">
        <v>129176.97</v>
      </c>
      <c r="V1181" s="18">
        <v>141145.11000000002</v>
      </c>
      <c r="W1181" s="18">
        <f t="shared" si="37"/>
        <v>-120132.58</v>
      </c>
      <c r="X1181" s="18">
        <f t="shared" si="37"/>
        <v>-128681.42</v>
      </c>
      <c r="Y1181" s="18">
        <f t="shared" si="37"/>
        <v>-140649.56000000003</v>
      </c>
    </row>
    <row r="1182" spans="1:25" s="16" customFormat="1" ht="25.5">
      <c r="A1182" s="108" t="str">
        <f t="shared" si="36"/>
        <v>617080107 1 01 21130240</v>
      </c>
      <c r="B1182" s="197" t="s">
        <v>28</v>
      </c>
      <c r="C1182" s="203" t="s">
        <v>746</v>
      </c>
      <c r="D1182" s="204" t="s">
        <v>238</v>
      </c>
      <c r="E1182" s="204" t="s">
        <v>11</v>
      </c>
      <c r="F1182" s="204" t="s">
        <v>781</v>
      </c>
      <c r="G1182" s="204" t="s">
        <v>29</v>
      </c>
      <c r="H1182" s="26">
        <v>495.55</v>
      </c>
      <c r="I1182" s="26">
        <v>495.55</v>
      </c>
      <c r="J1182" s="26">
        <v>495.55</v>
      </c>
      <c r="K1182" s="19"/>
      <c r="L1182" s="19"/>
      <c r="M1182" s="19"/>
      <c r="N1182" s="19"/>
      <c r="O1182" s="19"/>
      <c r="P1182" s="19"/>
      <c r="Q1182" s="17"/>
      <c r="T1182" s="19">
        <v>120628.13</v>
      </c>
      <c r="U1182" s="19">
        <v>129176.97</v>
      </c>
      <c r="V1182" s="19">
        <v>141145.11000000002</v>
      </c>
      <c r="W1182" s="19">
        <f t="shared" si="37"/>
        <v>-120132.58</v>
      </c>
      <c r="X1182" s="19">
        <f t="shared" si="37"/>
        <v>-128681.42</v>
      </c>
      <c r="Y1182" s="19">
        <f t="shared" si="37"/>
        <v>-140649.56000000003</v>
      </c>
    </row>
    <row r="1183" spans="1:25" s="16" customFormat="1">
      <c r="A1183" s="108" t="str">
        <f t="shared" si="36"/>
        <v/>
      </c>
      <c r="B1183" s="197"/>
      <c r="C1183" s="203"/>
      <c r="D1183" s="204"/>
      <c r="E1183" s="204"/>
      <c r="F1183" s="204"/>
      <c r="G1183" s="204"/>
      <c r="H1183" s="26"/>
      <c r="I1183" s="26"/>
      <c r="J1183" s="26"/>
      <c r="K1183" s="51"/>
      <c r="L1183" s="51"/>
      <c r="M1183" s="51"/>
      <c r="N1183" s="51"/>
      <c r="O1183" s="51"/>
      <c r="P1183" s="51"/>
      <c r="Q1183" s="17"/>
      <c r="T1183" s="51">
        <v>118628.13</v>
      </c>
      <c r="U1183" s="51">
        <v>129176.97</v>
      </c>
      <c r="V1183" s="51">
        <v>141145.11000000002</v>
      </c>
      <c r="W1183" s="51">
        <f t="shared" si="37"/>
        <v>-118628.13</v>
      </c>
      <c r="X1183" s="51">
        <f t="shared" si="37"/>
        <v>-129176.97</v>
      </c>
      <c r="Y1183" s="51">
        <f t="shared" si="37"/>
        <v>-141145.11000000002</v>
      </c>
    </row>
    <row r="1184" spans="1:25" s="16" customFormat="1">
      <c r="A1184" s="108" t="str">
        <f t="shared" si="36"/>
        <v>618000000 0 00 00000000</v>
      </c>
      <c r="B1184" s="202" t="s">
        <v>782</v>
      </c>
      <c r="C1184" s="189" t="s">
        <v>783</v>
      </c>
      <c r="D1184" s="190" t="s">
        <v>7</v>
      </c>
      <c r="E1184" s="190" t="s">
        <v>7</v>
      </c>
      <c r="F1184" s="190" t="s">
        <v>8</v>
      </c>
      <c r="G1184" s="190" t="s">
        <v>9</v>
      </c>
      <c r="H1184" s="25">
        <v>136622.1</v>
      </c>
      <c r="I1184" s="25">
        <v>118167.95999999999</v>
      </c>
      <c r="J1184" s="25">
        <v>123236.95</v>
      </c>
      <c r="K1184" s="26"/>
      <c r="L1184" s="26"/>
      <c r="M1184" s="26"/>
      <c r="N1184" s="26"/>
      <c r="O1184" s="26"/>
      <c r="P1184" s="26"/>
      <c r="Q1184" s="17"/>
      <c r="T1184" s="26">
        <v>118628.13</v>
      </c>
      <c r="U1184" s="26">
        <v>129176.97</v>
      </c>
      <c r="V1184" s="26">
        <v>141145.11000000002</v>
      </c>
      <c r="W1184" s="26">
        <f t="shared" si="37"/>
        <v>17993.97</v>
      </c>
      <c r="X1184" s="26">
        <f t="shared" si="37"/>
        <v>-11009.010000000009</v>
      </c>
      <c r="Y1184" s="26">
        <f t="shared" si="37"/>
        <v>-17908.160000000018</v>
      </c>
    </row>
    <row r="1185" spans="1:25" s="16" customFormat="1">
      <c r="A1185" s="108" t="str">
        <f t="shared" si="36"/>
        <v>618010000 0 00 00000000</v>
      </c>
      <c r="B1185" s="191" t="s">
        <v>10</v>
      </c>
      <c r="C1185" s="192" t="s">
        <v>783</v>
      </c>
      <c r="D1185" s="193" t="s">
        <v>11</v>
      </c>
      <c r="E1185" s="193" t="s">
        <v>7</v>
      </c>
      <c r="F1185" s="193" t="s">
        <v>8</v>
      </c>
      <c r="G1185" s="193" t="s">
        <v>9</v>
      </c>
      <c r="H1185" s="18">
        <v>32691.41</v>
      </c>
      <c r="I1185" s="18">
        <v>32649.640000000003</v>
      </c>
      <c r="J1185" s="18">
        <v>32649.640000000003</v>
      </c>
      <c r="K1185" s="26"/>
      <c r="L1185" s="26"/>
      <c r="M1185" s="26"/>
      <c r="N1185" s="26"/>
      <c r="O1185" s="26"/>
      <c r="P1185" s="26"/>
      <c r="Q1185" s="17"/>
      <c r="T1185" s="26">
        <v>118628.13</v>
      </c>
      <c r="U1185" s="26">
        <v>129176.97</v>
      </c>
      <c r="V1185" s="26">
        <v>141145.11000000002</v>
      </c>
      <c r="W1185" s="26">
        <f t="shared" si="37"/>
        <v>-85936.72</v>
      </c>
      <c r="X1185" s="26">
        <f t="shared" si="37"/>
        <v>-96527.33</v>
      </c>
      <c r="Y1185" s="26">
        <f t="shared" si="37"/>
        <v>-108495.47000000002</v>
      </c>
    </row>
    <row r="1186" spans="1:25" s="16" customFormat="1" ht="38.25">
      <c r="A1186" s="108" t="str">
        <f t="shared" si="36"/>
        <v>618010400 0 00 00000000</v>
      </c>
      <c r="B1186" s="194" t="s">
        <v>72</v>
      </c>
      <c r="C1186" s="195" t="s">
        <v>783</v>
      </c>
      <c r="D1186" s="196" t="s">
        <v>11</v>
      </c>
      <c r="E1186" s="196" t="s">
        <v>73</v>
      </c>
      <c r="F1186" s="196" t="s">
        <v>8</v>
      </c>
      <c r="G1186" s="196" t="s">
        <v>9</v>
      </c>
      <c r="H1186" s="19">
        <v>32333.56</v>
      </c>
      <c r="I1186" s="19">
        <v>32291.790000000005</v>
      </c>
      <c r="J1186" s="19">
        <v>32291.790000000005</v>
      </c>
      <c r="K1186" s="26"/>
      <c r="L1186" s="26"/>
      <c r="M1186" s="26"/>
      <c r="N1186" s="26"/>
      <c r="O1186" s="26"/>
      <c r="P1186" s="26"/>
      <c r="Q1186" s="17"/>
      <c r="T1186" s="26">
        <v>10095.51</v>
      </c>
      <c r="U1186" s="26">
        <v>10095.51</v>
      </c>
      <c r="V1186" s="26">
        <v>10095.51</v>
      </c>
      <c r="W1186" s="26">
        <f t="shared" si="37"/>
        <v>22238.050000000003</v>
      </c>
      <c r="X1186" s="26">
        <f t="shared" si="37"/>
        <v>22196.280000000006</v>
      </c>
      <c r="Y1186" s="26">
        <f t="shared" si="37"/>
        <v>22196.280000000006</v>
      </c>
    </row>
    <row r="1187" spans="1:25" s="47" customFormat="1" ht="25.5">
      <c r="A1187" s="108" t="str">
        <f t="shared" si="36"/>
        <v>618010481 0 00 00000000</v>
      </c>
      <c r="B1187" s="197" t="s">
        <v>784</v>
      </c>
      <c r="C1187" s="198" t="s">
        <v>783</v>
      </c>
      <c r="D1187" s="199" t="s">
        <v>11</v>
      </c>
      <c r="E1187" s="199" t="s">
        <v>73</v>
      </c>
      <c r="F1187" s="199" t="s">
        <v>785</v>
      </c>
      <c r="G1187" s="199" t="s">
        <v>9</v>
      </c>
      <c r="H1187" s="20">
        <v>32333.56</v>
      </c>
      <c r="I1187" s="20">
        <v>32291.790000000005</v>
      </c>
      <c r="J1187" s="20">
        <v>32291.790000000005</v>
      </c>
      <c r="K1187" s="26"/>
      <c r="L1187" s="26"/>
      <c r="M1187" s="26"/>
      <c r="N1187" s="26"/>
      <c r="O1187" s="26"/>
      <c r="P1187" s="26"/>
      <c r="Q1187" s="17"/>
      <c r="T1187" s="26">
        <v>10095.51</v>
      </c>
      <c r="U1187" s="26">
        <v>10095.51</v>
      </c>
      <c r="V1187" s="26">
        <v>10095.51</v>
      </c>
      <c r="W1187" s="26">
        <f t="shared" si="37"/>
        <v>22238.050000000003</v>
      </c>
      <c r="X1187" s="26">
        <f t="shared" si="37"/>
        <v>22196.280000000006</v>
      </c>
      <c r="Y1187" s="26">
        <f t="shared" si="37"/>
        <v>22196.280000000006</v>
      </c>
    </row>
    <row r="1188" spans="1:25" s="16" customFormat="1" ht="25.5">
      <c r="A1188" s="108" t="str">
        <f t="shared" si="36"/>
        <v>618010481 1 00 00000000</v>
      </c>
      <c r="B1188" s="197" t="s">
        <v>786</v>
      </c>
      <c r="C1188" s="198" t="s">
        <v>783</v>
      </c>
      <c r="D1188" s="199" t="s">
        <v>11</v>
      </c>
      <c r="E1188" s="199" t="s">
        <v>73</v>
      </c>
      <c r="F1188" s="199" t="s">
        <v>787</v>
      </c>
      <c r="G1188" s="199" t="s">
        <v>9</v>
      </c>
      <c r="H1188" s="20">
        <v>32333.56</v>
      </c>
      <c r="I1188" s="20">
        <v>32291.790000000005</v>
      </c>
      <c r="J1188" s="20">
        <v>32291.790000000005</v>
      </c>
      <c r="K1188" s="20"/>
      <c r="L1188" s="20"/>
      <c r="M1188" s="20"/>
      <c r="N1188" s="26"/>
      <c r="O1188" s="26"/>
      <c r="P1188" s="26"/>
      <c r="Q1188" s="17"/>
      <c r="R1188" s="47"/>
      <c r="T1188" s="20">
        <v>6818.4</v>
      </c>
      <c r="U1188" s="20">
        <v>0</v>
      </c>
      <c r="V1188" s="20">
        <v>0</v>
      </c>
      <c r="W1188" s="20">
        <f t="shared" si="37"/>
        <v>25515.160000000003</v>
      </c>
      <c r="X1188" s="20">
        <f t="shared" si="37"/>
        <v>32291.790000000005</v>
      </c>
      <c r="Y1188" s="20">
        <f t="shared" si="37"/>
        <v>32291.790000000005</v>
      </c>
    </row>
    <row r="1189" spans="1:25" s="16" customFormat="1" ht="25.5">
      <c r="A1189" s="108" t="str">
        <f t="shared" si="36"/>
        <v>618010481 1 00 10010000</v>
      </c>
      <c r="B1189" s="197" t="s">
        <v>18</v>
      </c>
      <c r="C1189" s="198" t="s">
        <v>783</v>
      </c>
      <c r="D1189" s="199" t="s">
        <v>11</v>
      </c>
      <c r="E1189" s="199" t="s">
        <v>73</v>
      </c>
      <c r="F1189" s="199" t="s">
        <v>788</v>
      </c>
      <c r="G1189" s="199" t="s">
        <v>9</v>
      </c>
      <c r="H1189" s="20">
        <v>4289.08</v>
      </c>
      <c r="I1189" s="20">
        <v>4289.08</v>
      </c>
      <c r="J1189" s="20">
        <v>4289.08</v>
      </c>
      <c r="K1189" s="20"/>
      <c r="L1189" s="20"/>
      <c r="M1189" s="20"/>
      <c r="N1189" s="26"/>
      <c r="O1189" s="26"/>
      <c r="P1189" s="26"/>
      <c r="Q1189" s="17"/>
      <c r="R1189" s="47"/>
      <c r="T1189" s="20">
        <v>6818.4</v>
      </c>
      <c r="U1189" s="20">
        <v>0</v>
      </c>
      <c r="V1189" s="20">
        <v>0</v>
      </c>
      <c r="W1189" s="20">
        <f t="shared" si="37"/>
        <v>-2529.3199999999997</v>
      </c>
      <c r="X1189" s="20">
        <f t="shared" si="37"/>
        <v>4289.08</v>
      </c>
      <c r="Y1189" s="20">
        <f t="shared" si="37"/>
        <v>4289.08</v>
      </c>
    </row>
    <row r="1190" spans="1:25" s="16" customFormat="1" ht="25.5">
      <c r="A1190" s="108" t="str">
        <f t="shared" si="36"/>
        <v>618010481 1 00 10010120</v>
      </c>
      <c r="B1190" s="201" t="s">
        <v>20</v>
      </c>
      <c r="C1190" s="198" t="s">
        <v>783</v>
      </c>
      <c r="D1190" s="199" t="s">
        <v>11</v>
      </c>
      <c r="E1190" s="199" t="s">
        <v>73</v>
      </c>
      <c r="F1190" s="199" t="s">
        <v>788</v>
      </c>
      <c r="G1190" s="199" t="s">
        <v>21</v>
      </c>
      <c r="H1190" s="20">
        <v>640.11</v>
      </c>
      <c r="I1190" s="20">
        <v>640.11</v>
      </c>
      <c r="J1190" s="20">
        <v>640.11</v>
      </c>
      <c r="K1190" s="26"/>
      <c r="L1190" s="26"/>
      <c r="M1190" s="26"/>
      <c r="N1190" s="26"/>
      <c r="O1190" s="26"/>
      <c r="P1190" s="26"/>
      <c r="Q1190" s="17"/>
      <c r="T1190" s="26">
        <v>101714.22000000002</v>
      </c>
      <c r="U1190" s="26">
        <v>119081.46</v>
      </c>
      <c r="V1190" s="26">
        <v>131049.60000000001</v>
      </c>
      <c r="W1190" s="26">
        <f t="shared" si="37"/>
        <v>-101074.11000000002</v>
      </c>
      <c r="X1190" s="26">
        <f t="shared" si="37"/>
        <v>-118441.35</v>
      </c>
      <c r="Y1190" s="26">
        <f t="shared" si="37"/>
        <v>-130409.49</v>
      </c>
    </row>
    <row r="1191" spans="1:25" s="16" customFormat="1" ht="25.5">
      <c r="A1191" s="108" t="str">
        <f t="shared" si="36"/>
        <v>618010481 1 00 10010240</v>
      </c>
      <c r="B1191" s="197" t="s">
        <v>28</v>
      </c>
      <c r="C1191" s="198" t="s">
        <v>783</v>
      </c>
      <c r="D1191" s="199" t="s">
        <v>11</v>
      </c>
      <c r="E1191" s="199" t="s">
        <v>73</v>
      </c>
      <c r="F1191" s="199" t="s">
        <v>788</v>
      </c>
      <c r="G1191" s="199" t="s">
        <v>29</v>
      </c>
      <c r="H1191" s="20">
        <v>3598.47</v>
      </c>
      <c r="I1191" s="20">
        <v>3598.47</v>
      </c>
      <c r="J1191" s="20">
        <v>3598.47</v>
      </c>
      <c r="K1191" s="26"/>
      <c r="L1191" s="26"/>
      <c r="M1191" s="26"/>
      <c r="N1191" s="26"/>
      <c r="O1191" s="26"/>
      <c r="P1191" s="26"/>
      <c r="Q1191" s="17"/>
      <c r="T1191" s="26">
        <v>101714.22000000002</v>
      </c>
      <c r="U1191" s="26">
        <v>119081.46</v>
      </c>
      <c r="V1191" s="26">
        <v>131049.60000000001</v>
      </c>
      <c r="W1191" s="26">
        <f t="shared" si="37"/>
        <v>-98115.750000000015</v>
      </c>
      <c r="X1191" s="26">
        <f t="shared" si="37"/>
        <v>-115482.99</v>
      </c>
      <c r="Y1191" s="26">
        <f t="shared" si="37"/>
        <v>-127451.13</v>
      </c>
    </row>
    <row r="1192" spans="1:25" s="16" customFormat="1">
      <c r="A1192" s="108" t="str">
        <f t="shared" si="36"/>
        <v>618010481 1 00 10010850</v>
      </c>
      <c r="B1192" s="197" t="s">
        <v>32</v>
      </c>
      <c r="C1192" s="198" t="s">
        <v>783</v>
      </c>
      <c r="D1192" s="199" t="s">
        <v>11</v>
      </c>
      <c r="E1192" s="199" t="s">
        <v>73</v>
      </c>
      <c r="F1192" s="199" t="s">
        <v>788</v>
      </c>
      <c r="G1192" s="199" t="s">
        <v>33</v>
      </c>
      <c r="H1192" s="20">
        <v>50.5</v>
      </c>
      <c r="I1192" s="20">
        <v>50.5</v>
      </c>
      <c r="J1192" s="20">
        <v>50.5</v>
      </c>
      <c r="K1192" s="26"/>
      <c r="L1192" s="26"/>
      <c r="M1192" s="26"/>
      <c r="N1192" s="26"/>
      <c r="O1192" s="26"/>
      <c r="P1192" s="26"/>
      <c r="Q1192" s="17"/>
      <c r="T1192" s="26">
        <v>2000</v>
      </c>
      <c r="U1192" s="26">
        <v>0</v>
      </c>
      <c r="V1192" s="26">
        <v>0</v>
      </c>
      <c r="W1192" s="26">
        <f t="shared" si="37"/>
        <v>-1949.5</v>
      </c>
      <c r="X1192" s="26">
        <f t="shared" si="37"/>
        <v>50.5</v>
      </c>
      <c r="Y1192" s="26">
        <f t="shared" si="37"/>
        <v>50.5</v>
      </c>
    </row>
    <row r="1193" spans="1:25" s="16" customFormat="1" ht="25.5">
      <c r="A1193" s="108" t="str">
        <f t="shared" si="36"/>
        <v>618010481 1 00 10020000</v>
      </c>
      <c r="B1193" s="201" t="s">
        <v>789</v>
      </c>
      <c r="C1193" s="198" t="s">
        <v>783</v>
      </c>
      <c r="D1193" s="199" t="s">
        <v>11</v>
      </c>
      <c r="E1193" s="199" t="s">
        <v>73</v>
      </c>
      <c r="F1193" s="199" t="s">
        <v>790</v>
      </c>
      <c r="G1193" s="199" t="s">
        <v>9</v>
      </c>
      <c r="H1193" s="20">
        <v>25886.199999999997</v>
      </c>
      <c r="I1193" s="20">
        <v>26713.18</v>
      </c>
      <c r="J1193" s="20">
        <v>26713.18</v>
      </c>
      <c r="K1193" s="26"/>
      <c r="L1193" s="26"/>
      <c r="M1193" s="26"/>
      <c r="N1193" s="26"/>
      <c r="O1193" s="26"/>
      <c r="P1193" s="26"/>
      <c r="Q1193" s="17"/>
      <c r="T1193" s="26">
        <v>2000</v>
      </c>
      <c r="U1193" s="26">
        <v>0</v>
      </c>
      <c r="V1193" s="26">
        <v>0</v>
      </c>
      <c r="W1193" s="26">
        <f t="shared" si="37"/>
        <v>23886.199999999997</v>
      </c>
      <c r="X1193" s="26">
        <f t="shared" si="37"/>
        <v>26713.18</v>
      </c>
      <c r="Y1193" s="26">
        <f t="shared" si="37"/>
        <v>26713.18</v>
      </c>
    </row>
    <row r="1194" spans="1:25" s="16" customFormat="1" ht="25.5">
      <c r="A1194" s="108" t="str">
        <f t="shared" si="36"/>
        <v>618010481 1 00 10020120</v>
      </c>
      <c r="B1194" s="201" t="s">
        <v>20</v>
      </c>
      <c r="C1194" s="198" t="s">
        <v>783</v>
      </c>
      <c r="D1194" s="199" t="s">
        <v>11</v>
      </c>
      <c r="E1194" s="199" t="s">
        <v>73</v>
      </c>
      <c r="F1194" s="199" t="s">
        <v>790</v>
      </c>
      <c r="G1194" s="199" t="s">
        <v>21</v>
      </c>
      <c r="H1194" s="20">
        <v>25886.199999999997</v>
      </c>
      <c r="I1194" s="20">
        <v>26713.18</v>
      </c>
      <c r="J1194" s="20">
        <v>26713.18</v>
      </c>
      <c r="K1194" s="26"/>
      <c r="L1194" s="26"/>
      <c r="M1194" s="26"/>
      <c r="N1194" s="26"/>
      <c r="O1194" s="26"/>
      <c r="P1194" s="26"/>
      <c r="Q1194" s="17"/>
      <c r="T1194" s="26">
        <v>2000</v>
      </c>
      <c r="U1194" s="26">
        <v>0</v>
      </c>
      <c r="V1194" s="26">
        <v>0</v>
      </c>
      <c r="W1194" s="26">
        <f t="shared" si="37"/>
        <v>23886.199999999997</v>
      </c>
      <c r="X1194" s="26">
        <f t="shared" si="37"/>
        <v>26713.18</v>
      </c>
      <c r="Y1194" s="26">
        <f t="shared" si="37"/>
        <v>26713.18</v>
      </c>
    </row>
    <row r="1195" spans="1:25" s="16" customFormat="1" ht="51">
      <c r="A1195" s="108" t="str">
        <f t="shared" si="36"/>
        <v>618010481 1 00 76200000</v>
      </c>
      <c r="B1195" s="252" t="s">
        <v>488</v>
      </c>
      <c r="C1195" s="198" t="s">
        <v>783</v>
      </c>
      <c r="D1195" s="199" t="s">
        <v>11</v>
      </c>
      <c r="E1195" s="199" t="s">
        <v>73</v>
      </c>
      <c r="F1195" s="199" t="s">
        <v>791</v>
      </c>
      <c r="G1195" s="199" t="s">
        <v>9</v>
      </c>
      <c r="H1195" s="20">
        <v>1260.4000000000001</v>
      </c>
      <c r="I1195" s="20">
        <v>1218.6300000000001</v>
      </c>
      <c r="J1195" s="20">
        <v>1218.6300000000001</v>
      </c>
      <c r="K1195" s="26"/>
      <c r="L1195" s="26"/>
      <c r="M1195" s="26"/>
      <c r="N1195" s="26"/>
      <c r="O1195" s="26"/>
      <c r="P1195" s="26"/>
      <c r="Q1195" s="17"/>
      <c r="T1195" s="26">
        <v>2000</v>
      </c>
      <c r="U1195" s="26">
        <v>0</v>
      </c>
      <c r="V1195" s="26">
        <v>0</v>
      </c>
      <c r="W1195" s="26">
        <f t="shared" si="37"/>
        <v>-739.59999999999991</v>
      </c>
      <c r="X1195" s="26">
        <f t="shared" si="37"/>
        <v>1218.6300000000001</v>
      </c>
      <c r="Y1195" s="26">
        <f t="shared" si="37"/>
        <v>1218.6300000000001</v>
      </c>
    </row>
    <row r="1196" spans="1:25" s="47" customFormat="1" ht="25.5">
      <c r="A1196" s="108" t="str">
        <f t="shared" si="36"/>
        <v>618010481 1 00 76200120</v>
      </c>
      <c r="B1196" s="201" t="s">
        <v>20</v>
      </c>
      <c r="C1196" s="198" t="s">
        <v>783</v>
      </c>
      <c r="D1196" s="199" t="s">
        <v>11</v>
      </c>
      <c r="E1196" s="199" t="s">
        <v>73</v>
      </c>
      <c r="F1196" s="199" t="s">
        <v>791</v>
      </c>
      <c r="G1196" s="199" t="s">
        <v>21</v>
      </c>
      <c r="H1196" s="20">
        <v>1101.48</v>
      </c>
      <c r="I1196" s="20">
        <v>1059.71</v>
      </c>
      <c r="J1196" s="20">
        <v>1059.71</v>
      </c>
      <c r="K1196" s="18"/>
      <c r="L1196" s="18"/>
      <c r="M1196" s="18"/>
      <c r="N1196" s="26"/>
      <c r="O1196" s="26"/>
      <c r="P1196" s="26"/>
      <c r="Q1196" s="17"/>
      <c r="T1196" s="18">
        <v>39102.320000000007</v>
      </c>
      <c r="U1196" s="18">
        <v>25282.670000000002</v>
      </c>
      <c r="V1196" s="18">
        <v>25094.670000000002</v>
      </c>
      <c r="W1196" s="18">
        <f t="shared" si="37"/>
        <v>-38000.840000000004</v>
      </c>
      <c r="X1196" s="18">
        <f t="shared" si="37"/>
        <v>-24222.960000000003</v>
      </c>
      <c r="Y1196" s="18">
        <f t="shared" si="37"/>
        <v>-24034.960000000003</v>
      </c>
    </row>
    <row r="1197" spans="1:25" s="16" customFormat="1" ht="25.5">
      <c r="A1197" s="108" t="str">
        <f t="shared" si="36"/>
        <v>618010481 1 00 76200240</v>
      </c>
      <c r="B1197" s="197" t="s">
        <v>28</v>
      </c>
      <c r="C1197" s="198" t="s">
        <v>783</v>
      </c>
      <c r="D1197" s="199" t="s">
        <v>11</v>
      </c>
      <c r="E1197" s="199" t="s">
        <v>73</v>
      </c>
      <c r="F1197" s="199" t="s">
        <v>791</v>
      </c>
      <c r="G1197" s="199" t="s">
        <v>29</v>
      </c>
      <c r="H1197" s="20">
        <v>158.91999999999999</v>
      </c>
      <c r="I1197" s="20">
        <v>158.91999999999999</v>
      </c>
      <c r="J1197" s="20">
        <v>158.91999999999999</v>
      </c>
      <c r="K1197" s="52"/>
      <c r="L1197" s="52"/>
      <c r="M1197" s="52"/>
      <c r="N1197" s="52"/>
      <c r="O1197" s="52"/>
      <c r="P1197" s="52"/>
      <c r="Q1197" s="17"/>
      <c r="T1197" s="52">
        <v>4092.08</v>
      </c>
      <c r="U1197" s="52">
        <v>3851.93</v>
      </c>
      <c r="V1197" s="52">
        <v>3663.93</v>
      </c>
      <c r="W1197" s="52">
        <f t="shared" si="37"/>
        <v>-3933.16</v>
      </c>
      <c r="X1197" s="52">
        <f t="shared" si="37"/>
        <v>-3693.0099999999998</v>
      </c>
      <c r="Y1197" s="52">
        <f t="shared" si="37"/>
        <v>-3505.0099999999998</v>
      </c>
    </row>
    <row r="1198" spans="1:25" s="16" customFormat="1" ht="51">
      <c r="A1198" s="108" t="str">
        <f t="shared" si="36"/>
        <v>618010481 1 00 76360000</v>
      </c>
      <c r="B1198" s="201" t="s">
        <v>754</v>
      </c>
      <c r="C1198" s="198" t="s">
        <v>783</v>
      </c>
      <c r="D1198" s="199" t="s">
        <v>11</v>
      </c>
      <c r="E1198" s="199" t="s">
        <v>73</v>
      </c>
      <c r="F1198" s="199" t="s">
        <v>792</v>
      </c>
      <c r="G1198" s="199" t="s">
        <v>9</v>
      </c>
      <c r="H1198" s="20">
        <v>70.900000000000006</v>
      </c>
      <c r="I1198" s="20">
        <v>70.900000000000006</v>
      </c>
      <c r="J1198" s="20">
        <v>70.900000000000006</v>
      </c>
      <c r="K1198" s="53"/>
      <c r="L1198" s="53"/>
      <c r="M1198" s="53"/>
      <c r="N1198" s="53"/>
      <c r="O1198" s="53"/>
      <c r="P1198" s="53"/>
      <c r="Q1198" s="17"/>
      <c r="T1198" s="53">
        <v>4092.08</v>
      </c>
      <c r="U1198" s="53">
        <v>3851.93</v>
      </c>
      <c r="V1198" s="53">
        <v>3663.93</v>
      </c>
      <c r="W1198" s="53">
        <f t="shared" si="37"/>
        <v>-4021.18</v>
      </c>
      <c r="X1198" s="53">
        <f t="shared" si="37"/>
        <v>-3781.0299999999997</v>
      </c>
      <c r="Y1198" s="53">
        <f t="shared" si="37"/>
        <v>-3593.0299999999997</v>
      </c>
    </row>
    <row r="1199" spans="1:25" s="47" customFormat="1" ht="25.5">
      <c r="A1199" s="108" t="str">
        <f t="shared" si="36"/>
        <v>618010481 1 00 76360240</v>
      </c>
      <c r="B1199" s="197" t="s">
        <v>28</v>
      </c>
      <c r="C1199" s="198" t="s">
        <v>783</v>
      </c>
      <c r="D1199" s="199" t="s">
        <v>11</v>
      </c>
      <c r="E1199" s="199" t="s">
        <v>73</v>
      </c>
      <c r="F1199" s="199" t="s">
        <v>792</v>
      </c>
      <c r="G1199" s="199" t="s">
        <v>29</v>
      </c>
      <c r="H1199" s="20">
        <v>70.900000000000006</v>
      </c>
      <c r="I1199" s="20">
        <v>70.900000000000006</v>
      </c>
      <c r="J1199" s="20">
        <v>70.900000000000006</v>
      </c>
      <c r="K1199" s="54"/>
      <c r="L1199" s="54"/>
      <c r="M1199" s="54"/>
      <c r="N1199" s="54"/>
      <c r="O1199" s="54"/>
      <c r="P1199" s="54"/>
      <c r="Q1199" s="17"/>
      <c r="T1199" s="54">
        <v>4092.08</v>
      </c>
      <c r="U1199" s="54">
        <v>3851.93</v>
      </c>
      <c r="V1199" s="54">
        <v>3663.93</v>
      </c>
      <c r="W1199" s="54">
        <f t="shared" si="37"/>
        <v>-4021.18</v>
      </c>
      <c r="X1199" s="54">
        <f t="shared" si="37"/>
        <v>-3781.0299999999997</v>
      </c>
      <c r="Y1199" s="54">
        <f t="shared" si="37"/>
        <v>-3593.0299999999997</v>
      </c>
    </row>
    <row r="1200" spans="1:25" s="16" customFormat="1" ht="191.25">
      <c r="A1200" s="108" t="str">
        <f t="shared" si="36"/>
        <v>618010481 1 00 77460000</v>
      </c>
      <c r="B1200" s="197" t="s">
        <v>1263</v>
      </c>
      <c r="C1200" s="198" t="s">
        <v>783</v>
      </c>
      <c r="D1200" s="199" t="s">
        <v>11</v>
      </c>
      <c r="E1200" s="199" t="s">
        <v>73</v>
      </c>
      <c r="F1200" s="199" t="s">
        <v>1313</v>
      </c>
      <c r="G1200" s="199" t="s">
        <v>9</v>
      </c>
      <c r="H1200" s="20">
        <v>826.98</v>
      </c>
      <c r="I1200" s="20">
        <v>0</v>
      </c>
      <c r="J1200" s="20">
        <v>0</v>
      </c>
      <c r="K1200" s="26"/>
      <c r="L1200" s="26"/>
      <c r="M1200" s="26"/>
      <c r="N1200" s="26"/>
      <c r="O1200" s="26"/>
      <c r="P1200" s="26"/>
      <c r="Q1200" s="17"/>
      <c r="T1200" s="26">
        <v>4092.08</v>
      </c>
      <c r="U1200" s="26">
        <v>3851.93</v>
      </c>
      <c r="V1200" s="26">
        <v>3663.93</v>
      </c>
      <c r="W1200" s="26">
        <f t="shared" si="37"/>
        <v>-3265.1</v>
      </c>
      <c r="X1200" s="26">
        <f t="shared" si="37"/>
        <v>-3851.93</v>
      </c>
      <c r="Y1200" s="26">
        <f t="shared" si="37"/>
        <v>-3663.93</v>
      </c>
    </row>
    <row r="1201" spans="1:25" s="16" customFormat="1" ht="25.5">
      <c r="A1201" s="108" t="str">
        <f t="shared" si="36"/>
        <v>618010481 1 00 77460120</v>
      </c>
      <c r="B1201" s="201" t="s">
        <v>20</v>
      </c>
      <c r="C1201" s="198" t="s">
        <v>783</v>
      </c>
      <c r="D1201" s="199" t="s">
        <v>11</v>
      </c>
      <c r="E1201" s="199" t="s">
        <v>73</v>
      </c>
      <c r="F1201" s="199" t="s">
        <v>1313</v>
      </c>
      <c r="G1201" s="199" t="s">
        <v>21</v>
      </c>
      <c r="H1201" s="20">
        <v>826.98</v>
      </c>
      <c r="I1201" s="20">
        <v>0</v>
      </c>
      <c r="J1201" s="20">
        <v>0</v>
      </c>
      <c r="K1201" s="26"/>
      <c r="L1201" s="26"/>
      <c r="M1201" s="26"/>
      <c r="N1201" s="26"/>
      <c r="O1201" s="26"/>
      <c r="P1201" s="26"/>
      <c r="Q1201" s="17"/>
      <c r="T1201" s="26">
        <v>4092.08</v>
      </c>
      <c r="U1201" s="26">
        <v>3851.93</v>
      </c>
      <c r="V1201" s="26">
        <v>3663.93</v>
      </c>
      <c r="W1201" s="26">
        <f t="shared" si="37"/>
        <v>-3265.1</v>
      </c>
      <c r="X1201" s="26">
        <f t="shared" si="37"/>
        <v>-3851.93</v>
      </c>
      <c r="Y1201" s="26">
        <f t="shared" si="37"/>
        <v>-3663.93</v>
      </c>
    </row>
    <row r="1202" spans="1:25" s="16" customFormat="1">
      <c r="A1202" s="108" t="str">
        <f t="shared" si="36"/>
        <v>618011300 0 00 00000000</v>
      </c>
      <c r="B1202" s="194" t="s">
        <v>50</v>
      </c>
      <c r="C1202" s="195" t="s">
        <v>783</v>
      </c>
      <c r="D1202" s="196" t="s">
        <v>11</v>
      </c>
      <c r="E1202" s="196" t="s">
        <v>51</v>
      </c>
      <c r="F1202" s="196" t="s">
        <v>8</v>
      </c>
      <c r="G1202" s="196" t="s">
        <v>9</v>
      </c>
      <c r="H1202" s="19">
        <v>357.85</v>
      </c>
      <c r="I1202" s="19">
        <v>357.85</v>
      </c>
      <c r="J1202" s="19">
        <v>357.85</v>
      </c>
      <c r="K1202" s="26"/>
      <c r="L1202" s="26"/>
      <c r="M1202" s="26"/>
      <c r="N1202" s="26"/>
      <c r="O1202" s="26"/>
      <c r="P1202" s="26"/>
      <c r="Q1202" s="17"/>
      <c r="T1202" s="26"/>
      <c r="U1202" s="26"/>
      <c r="V1202" s="26"/>
      <c r="W1202" s="26">
        <f t="shared" si="37"/>
        <v>357.85</v>
      </c>
      <c r="X1202" s="26">
        <f t="shared" si="37"/>
        <v>357.85</v>
      </c>
      <c r="Y1202" s="26">
        <f t="shared" si="37"/>
        <v>357.85</v>
      </c>
    </row>
    <row r="1203" spans="1:25" s="16" customFormat="1" ht="38.25">
      <c r="A1203" s="108" t="str">
        <f t="shared" si="36"/>
        <v>618011311 0 00 00000000</v>
      </c>
      <c r="B1203" s="205" t="s">
        <v>257</v>
      </c>
      <c r="C1203" s="198" t="s">
        <v>783</v>
      </c>
      <c r="D1203" s="199" t="s">
        <v>11</v>
      </c>
      <c r="E1203" s="199" t="s">
        <v>51</v>
      </c>
      <c r="F1203" s="199" t="s">
        <v>258</v>
      </c>
      <c r="G1203" s="199" t="s">
        <v>9</v>
      </c>
      <c r="H1203" s="20">
        <v>357.85</v>
      </c>
      <c r="I1203" s="20">
        <v>357.85</v>
      </c>
      <c r="J1203" s="20">
        <v>357.85</v>
      </c>
      <c r="K1203" s="26"/>
      <c r="L1203" s="26"/>
      <c r="M1203" s="26"/>
      <c r="N1203" s="26"/>
      <c r="O1203" s="26"/>
      <c r="P1203" s="26"/>
      <c r="Q1203" s="17"/>
      <c r="T1203" s="26">
        <v>22.15</v>
      </c>
      <c r="U1203" s="26">
        <v>0</v>
      </c>
      <c r="V1203" s="26">
        <v>0</v>
      </c>
      <c r="W1203" s="26">
        <f t="shared" si="37"/>
        <v>335.70000000000005</v>
      </c>
      <c r="X1203" s="26">
        <f t="shared" si="37"/>
        <v>357.85</v>
      </c>
      <c r="Y1203" s="26">
        <f t="shared" si="37"/>
        <v>357.85</v>
      </c>
    </row>
    <row r="1204" spans="1:25" s="16" customFormat="1" ht="51">
      <c r="A1204" s="108" t="str">
        <f t="shared" si="36"/>
        <v>618011311 Б 00 00000000</v>
      </c>
      <c r="B1204" s="205" t="s">
        <v>259</v>
      </c>
      <c r="C1204" s="198" t="s">
        <v>783</v>
      </c>
      <c r="D1204" s="199" t="s">
        <v>11</v>
      </c>
      <c r="E1204" s="199" t="s">
        <v>51</v>
      </c>
      <c r="F1204" s="199" t="s">
        <v>260</v>
      </c>
      <c r="G1204" s="199" t="s">
        <v>9</v>
      </c>
      <c r="H1204" s="20">
        <v>357.85</v>
      </c>
      <c r="I1204" s="20">
        <v>357.85</v>
      </c>
      <c r="J1204" s="20">
        <v>357.85</v>
      </c>
      <c r="K1204" s="26"/>
      <c r="L1204" s="26"/>
      <c r="M1204" s="26"/>
      <c r="N1204" s="26"/>
      <c r="O1204" s="26"/>
      <c r="P1204" s="26"/>
      <c r="Q1204" s="17"/>
      <c r="T1204" s="26">
        <v>4092.08</v>
      </c>
      <c r="U1204" s="26">
        <v>3851.93</v>
      </c>
      <c r="V1204" s="26">
        <v>3663.93</v>
      </c>
      <c r="W1204" s="26">
        <f t="shared" si="37"/>
        <v>-3734.23</v>
      </c>
      <c r="X1204" s="26">
        <f t="shared" si="37"/>
        <v>-3494.08</v>
      </c>
      <c r="Y1204" s="26">
        <f t="shared" si="37"/>
        <v>-3306.08</v>
      </c>
    </row>
    <row r="1205" spans="1:25" s="16" customFormat="1" ht="38.25">
      <c r="A1205" s="108" t="str">
        <f t="shared" si="36"/>
        <v>618011311 Б 01 00000000</v>
      </c>
      <c r="B1205" s="255" t="s">
        <v>261</v>
      </c>
      <c r="C1205" s="256" t="s">
        <v>783</v>
      </c>
      <c r="D1205" s="199" t="s">
        <v>11</v>
      </c>
      <c r="E1205" s="199" t="s">
        <v>51</v>
      </c>
      <c r="F1205" s="199" t="s">
        <v>262</v>
      </c>
      <c r="G1205" s="199" t="s">
        <v>9</v>
      </c>
      <c r="H1205" s="20">
        <v>357.85</v>
      </c>
      <c r="I1205" s="20">
        <v>357.85</v>
      </c>
      <c r="J1205" s="20">
        <v>357.85</v>
      </c>
      <c r="K1205" s="19"/>
      <c r="L1205" s="19"/>
      <c r="M1205" s="19"/>
      <c r="N1205" s="19"/>
      <c r="O1205" s="19"/>
      <c r="P1205" s="19"/>
      <c r="Q1205" s="17"/>
      <c r="T1205" s="19">
        <v>35010.240000000005</v>
      </c>
      <c r="U1205" s="19">
        <v>21430.74</v>
      </c>
      <c r="V1205" s="19">
        <v>21430.74</v>
      </c>
      <c r="W1205" s="19">
        <f t="shared" si="37"/>
        <v>-34652.390000000007</v>
      </c>
      <c r="X1205" s="19">
        <f t="shared" si="37"/>
        <v>-21072.890000000003</v>
      </c>
      <c r="Y1205" s="19">
        <f t="shared" si="37"/>
        <v>-21072.890000000003</v>
      </c>
    </row>
    <row r="1206" spans="1:25" s="16" customFormat="1" ht="25.5">
      <c r="A1206" s="108" t="str">
        <f t="shared" si="36"/>
        <v>618011311 Б 01 20840000</v>
      </c>
      <c r="B1206" s="197" t="s">
        <v>756</v>
      </c>
      <c r="C1206" s="198" t="s">
        <v>783</v>
      </c>
      <c r="D1206" s="199" t="s">
        <v>11</v>
      </c>
      <c r="E1206" s="199" t="s">
        <v>51</v>
      </c>
      <c r="F1206" s="199" t="s">
        <v>757</v>
      </c>
      <c r="G1206" s="199" t="s">
        <v>9</v>
      </c>
      <c r="H1206" s="20">
        <v>357.85</v>
      </c>
      <c r="I1206" s="20">
        <v>357.85</v>
      </c>
      <c r="J1206" s="20">
        <v>357.85</v>
      </c>
      <c r="K1206" s="26"/>
      <c r="L1206" s="26"/>
      <c r="M1206" s="26"/>
      <c r="N1206" s="26"/>
      <c r="O1206" s="26"/>
      <c r="P1206" s="26"/>
      <c r="Q1206" s="17"/>
      <c r="T1206" s="26">
        <v>31510.240000000002</v>
      </c>
      <c r="U1206" s="26">
        <v>21430.74</v>
      </c>
      <c r="V1206" s="26">
        <v>21430.74</v>
      </c>
      <c r="W1206" s="26">
        <f t="shared" si="37"/>
        <v>-31152.390000000003</v>
      </c>
      <c r="X1206" s="26">
        <f t="shared" si="37"/>
        <v>-21072.890000000003</v>
      </c>
      <c r="Y1206" s="26">
        <f t="shared" si="37"/>
        <v>-21072.890000000003</v>
      </c>
    </row>
    <row r="1207" spans="1:25" s="16" customFormat="1" ht="25.5">
      <c r="A1207" s="108" t="str">
        <f t="shared" si="36"/>
        <v>618011311 Б 01 20840240</v>
      </c>
      <c r="B1207" s="197" t="s">
        <v>28</v>
      </c>
      <c r="C1207" s="198" t="s">
        <v>783</v>
      </c>
      <c r="D1207" s="199" t="s">
        <v>11</v>
      </c>
      <c r="E1207" s="199" t="s">
        <v>51</v>
      </c>
      <c r="F1207" s="199" t="s">
        <v>757</v>
      </c>
      <c r="G1207" s="199" t="s">
        <v>29</v>
      </c>
      <c r="H1207" s="20">
        <v>357.85</v>
      </c>
      <c r="I1207" s="20">
        <v>357.85</v>
      </c>
      <c r="J1207" s="20">
        <v>357.85</v>
      </c>
      <c r="K1207" s="26"/>
      <c r="L1207" s="26"/>
      <c r="M1207" s="26"/>
      <c r="N1207" s="26"/>
      <c r="O1207" s="26"/>
      <c r="P1207" s="26"/>
      <c r="Q1207" s="17"/>
      <c r="T1207" s="26">
        <v>31510.240000000002</v>
      </c>
      <c r="U1207" s="26">
        <v>21430.74</v>
      </c>
      <c r="V1207" s="26">
        <v>21430.74</v>
      </c>
      <c r="W1207" s="26">
        <f t="shared" si="37"/>
        <v>-31152.390000000003</v>
      </c>
      <c r="X1207" s="26">
        <f t="shared" si="37"/>
        <v>-21072.890000000003</v>
      </c>
      <c r="Y1207" s="26">
        <f t="shared" si="37"/>
        <v>-21072.890000000003</v>
      </c>
    </row>
    <row r="1208" spans="1:25" s="16" customFormat="1">
      <c r="A1208" s="108" t="str">
        <f t="shared" si="36"/>
        <v>618040000 0 00 00000000</v>
      </c>
      <c r="B1208" s="191" t="s">
        <v>195</v>
      </c>
      <c r="C1208" s="192" t="s">
        <v>783</v>
      </c>
      <c r="D1208" s="193" t="s">
        <v>73</v>
      </c>
      <c r="E1208" s="193" t="s">
        <v>7</v>
      </c>
      <c r="F1208" s="193" t="s">
        <v>8</v>
      </c>
      <c r="G1208" s="193" t="s">
        <v>9</v>
      </c>
      <c r="H1208" s="18">
        <v>60435.94</v>
      </c>
      <c r="I1208" s="18">
        <v>64831.42</v>
      </c>
      <c r="J1208" s="18">
        <v>69900.41</v>
      </c>
      <c r="K1208" s="26"/>
      <c r="L1208" s="26"/>
      <c r="M1208" s="26"/>
      <c r="N1208" s="26"/>
      <c r="O1208" s="26"/>
      <c r="P1208" s="26"/>
      <c r="Q1208" s="17"/>
      <c r="T1208" s="26">
        <v>31510.240000000002</v>
      </c>
      <c r="U1208" s="26">
        <v>21430.74</v>
      </c>
      <c r="V1208" s="26">
        <v>21430.74</v>
      </c>
      <c r="W1208" s="26">
        <f t="shared" si="37"/>
        <v>28925.7</v>
      </c>
      <c r="X1208" s="26">
        <f t="shared" si="37"/>
        <v>43400.679999999993</v>
      </c>
      <c r="Y1208" s="26">
        <f t="shared" si="37"/>
        <v>48469.67</v>
      </c>
    </row>
    <row r="1209" spans="1:25" s="16" customFormat="1">
      <c r="A1209" s="108" t="str">
        <f t="shared" si="36"/>
        <v>618040900 0 00 00000000</v>
      </c>
      <c r="B1209" s="194" t="s">
        <v>760</v>
      </c>
      <c r="C1209" s="195" t="s">
        <v>783</v>
      </c>
      <c r="D1209" s="196" t="s">
        <v>73</v>
      </c>
      <c r="E1209" s="196" t="s">
        <v>471</v>
      </c>
      <c r="F1209" s="196" t="s">
        <v>8</v>
      </c>
      <c r="G1209" s="196" t="s">
        <v>9</v>
      </c>
      <c r="H1209" s="19">
        <v>60435.94</v>
      </c>
      <c r="I1209" s="19">
        <v>64831.42</v>
      </c>
      <c r="J1209" s="19">
        <v>69900.41</v>
      </c>
      <c r="K1209" s="26"/>
      <c r="L1209" s="26"/>
      <c r="M1209" s="26"/>
      <c r="N1209" s="26"/>
      <c r="O1209" s="26"/>
      <c r="P1209" s="26"/>
      <c r="Q1209" s="17"/>
      <c r="T1209" s="26">
        <v>20468.52</v>
      </c>
      <c r="U1209" s="26">
        <v>20489.02</v>
      </c>
      <c r="V1209" s="26">
        <v>20489.02</v>
      </c>
      <c r="W1209" s="26">
        <f t="shared" si="37"/>
        <v>39967.42</v>
      </c>
      <c r="X1209" s="26">
        <f t="shared" si="37"/>
        <v>44342.399999999994</v>
      </c>
      <c r="Y1209" s="26">
        <f t="shared" si="37"/>
        <v>49411.39</v>
      </c>
    </row>
    <row r="1210" spans="1:25" s="16" customFormat="1" ht="38.25">
      <c r="A1210" s="108" t="str">
        <f t="shared" si="36"/>
        <v>618040904 0 00 00000000</v>
      </c>
      <c r="B1210" s="200" t="s">
        <v>293</v>
      </c>
      <c r="C1210" s="198" t="s">
        <v>783</v>
      </c>
      <c r="D1210" s="199" t="s">
        <v>73</v>
      </c>
      <c r="E1210" s="199" t="s">
        <v>471</v>
      </c>
      <c r="F1210" s="199" t="s">
        <v>294</v>
      </c>
      <c r="G1210" s="199" t="s">
        <v>9</v>
      </c>
      <c r="H1210" s="20">
        <v>60435.94</v>
      </c>
      <c r="I1210" s="20">
        <v>64831.42</v>
      </c>
      <c r="J1210" s="20">
        <v>69900.41</v>
      </c>
      <c r="K1210" s="20"/>
      <c r="L1210" s="20"/>
      <c r="M1210" s="20"/>
      <c r="N1210" s="20"/>
      <c r="O1210" s="20"/>
      <c r="P1210" s="20"/>
      <c r="Q1210" s="17"/>
      <c r="T1210" s="20">
        <v>20468.52</v>
      </c>
      <c r="U1210" s="20">
        <v>20489.02</v>
      </c>
      <c r="V1210" s="20">
        <v>20489.02</v>
      </c>
      <c r="W1210" s="20">
        <f t="shared" si="37"/>
        <v>39967.42</v>
      </c>
      <c r="X1210" s="20">
        <f t="shared" si="37"/>
        <v>44342.399999999994</v>
      </c>
      <c r="Y1210" s="20">
        <f t="shared" si="37"/>
        <v>49411.39</v>
      </c>
    </row>
    <row r="1211" spans="1:25" s="16" customFormat="1" ht="38.25">
      <c r="A1211" s="108" t="str">
        <f t="shared" si="36"/>
        <v>618040904 2 00 00000000</v>
      </c>
      <c r="B1211" s="226" t="s">
        <v>295</v>
      </c>
      <c r="C1211" s="257" t="s">
        <v>783</v>
      </c>
      <c r="D1211" s="199" t="s">
        <v>73</v>
      </c>
      <c r="E1211" s="199" t="s">
        <v>471</v>
      </c>
      <c r="F1211" s="199" t="s">
        <v>296</v>
      </c>
      <c r="G1211" s="199" t="s">
        <v>9</v>
      </c>
      <c r="H1211" s="20">
        <v>60435.94</v>
      </c>
      <c r="I1211" s="20">
        <v>64831.42</v>
      </c>
      <c r="J1211" s="20">
        <v>69900.41</v>
      </c>
      <c r="K1211" s="26"/>
      <c r="L1211" s="26"/>
      <c r="M1211" s="26"/>
      <c r="N1211" s="26"/>
      <c r="O1211" s="26"/>
      <c r="P1211" s="26"/>
      <c r="Q1211" s="17"/>
      <c r="T1211" s="26">
        <v>941.72</v>
      </c>
      <c r="U1211" s="26">
        <v>941.72</v>
      </c>
      <c r="V1211" s="26">
        <v>941.72</v>
      </c>
      <c r="W1211" s="26">
        <f t="shared" si="37"/>
        <v>59494.22</v>
      </c>
      <c r="X1211" s="26">
        <f t="shared" si="37"/>
        <v>63889.7</v>
      </c>
      <c r="Y1211" s="26">
        <f t="shared" si="37"/>
        <v>68958.69</v>
      </c>
    </row>
    <row r="1212" spans="1:25" s="16" customFormat="1" ht="38.25">
      <c r="A1212" s="108" t="str">
        <f t="shared" si="36"/>
        <v>618040904 2 02 00000000</v>
      </c>
      <c r="B1212" s="226" t="s">
        <v>297</v>
      </c>
      <c r="C1212" s="198" t="s">
        <v>783</v>
      </c>
      <c r="D1212" s="199" t="s">
        <v>73</v>
      </c>
      <c r="E1212" s="199" t="s">
        <v>471</v>
      </c>
      <c r="F1212" s="199" t="s">
        <v>298</v>
      </c>
      <c r="G1212" s="199" t="s">
        <v>9</v>
      </c>
      <c r="H1212" s="20">
        <v>60435.94</v>
      </c>
      <c r="I1212" s="20">
        <v>64831.42</v>
      </c>
      <c r="J1212" s="20">
        <v>69900.41</v>
      </c>
      <c r="K1212" s="20"/>
      <c r="L1212" s="20"/>
      <c r="M1212" s="20"/>
      <c r="N1212" s="20"/>
      <c r="O1212" s="20"/>
      <c r="P1212" s="20"/>
      <c r="Q1212" s="17"/>
      <c r="T1212" s="20">
        <v>941.72</v>
      </c>
      <c r="U1212" s="20">
        <v>941.72</v>
      </c>
      <c r="V1212" s="20">
        <v>941.72</v>
      </c>
      <c r="W1212" s="20">
        <f t="shared" si="37"/>
        <v>59494.22</v>
      </c>
      <c r="X1212" s="20">
        <f t="shared" si="37"/>
        <v>63889.7</v>
      </c>
      <c r="Y1212" s="20">
        <f t="shared" si="37"/>
        <v>68958.69</v>
      </c>
    </row>
    <row r="1213" spans="1:25" s="16" customFormat="1" ht="25.5">
      <c r="A1213" s="108" t="str">
        <f t="shared" si="36"/>
        <v>618040904 2 02 20820000</v>
      </c>
      <c r="B1213" s="200" t="s">
        <v>761</v>
      </c>
      <c r="C1213" s="198" t="s">
        <v>783</v>
      </c>
      <c r="D1213" s="199" t="s">
        <v>73</v>
      </c>
      <c r="E1213" s="199" t="s">
        <v>471</v>
      </c>
      <c r="F1213" s="199" t="s">
        <v>762</v>
      </c>
      <c r="G1213" s="199" t="s">
        <v>9</v>
      </c>
      <c r="H1213" s="20">
        <v>10300.11</v>
      </c>
      <c r="I1213" s="20">
        <v>10087.43</v>
      </c>
      <c r="J1213" s="20">
        <v>10087.43</v>
      </c>
      <c r="K1213" s="20"/>
      <c r="L1213" s="20"/>
      <c r="M1213" s="20"/>
      <c r="N1213" s="20"/>
      <c r="O1213" s="20"/>
      <c r="P1213" s="20"/>
      <c r="Q1213" s="17"/>
      <c r="T1213" s="20">
        <v>1505.5</v>
      </c>
      <c r="U1213" s="20">
        <v>0</v>
      </c>
      <c r="V1213" s="20">
        <v>0</v>
      </c>
      <c r="W1213" s="20">
        <f t="shared" si="37"/>
        <v>8794.61</v>
      </c>
      <c r="X1213" s="20">
        <f t="shared" si="37"/>
        <v>10087.43</v>
      </c>
      <c r="Y1213" s="20">
        <f t="shared" si="37"/>
        <v>10087.43</v>
      </c>
    </row>
    <row r="1214" spans="1:25" s="16" customFormat="1">
      <c r="A1214" s="108" t="str">
        <f t="shared" si="36"/>
        <v/>
      </c>
      <c r="B1214" s="220" t="s">
        <v>1104</v>
      </c>
      <c r="C1214" s="198"/>
      <c r="D1214" s="199"/>
      <c r="E1214" s="199"/>
      <c r="F1214" s="199"/>
      <c r="G1214" s="199"/>
      <c r="H1214" s="20"/>
      <c r="I1214" s="20"/>
      <c r="J1214" s="20"/>
      <c r="K1214" s="20"/>
      <c r="L1214" s="20"/>
      <c r="M1214" s="20"/>
      <c r="N1214" s="20"/>
      <c r="O1214" s="20"/>
      <c r="P1214" s="20"/>
      <c r="Q1214" s="17"/>
      <c r="T1214" s="20"/>
      <c r="U1214" s="20"/>
      <c r="V1214" s="20"/>
      <c r="W1214" s="20">
        <f t="shared" si="37"/>
        <v>0</v>
      </c>
      <c r="X1214" s="20">
        <f t="shared" si="37"/>
        <v>0</v>
      </c>
      <c r="Y1214" s="20">
        <f t="shared" si="37"/>
        <v>0</v>
      </c>
    </row>
    <row r="1215" spans="1:25" s="16" customFormat="1">
      <c r="A1215" s="108" t="str">
        <f t="shared" si="36"/>
        <v>618040904 2 02 20820000</v>
      </c>
      <c r="B1215" s="221" t="s">
        <v>1105</v>
      </c>
      <c r="C1215" s="222" t="s">
        <v>783</v>
      </c>
      <c r="D1215" s="223" t="s">
        <v>73</v>
      </c>
      <c r="E1215" s="223" t="s">
        <v>471</v>
      </c>
      <c r="F1215" s="223" t="s">
        <v>762</v>
      </c>
      <c r="G1215" s="223" t="s">
        <v>9</v>
      </c>
      <c r="H1215" s="224">
        <v>212.68</v>
      </c>
      <c r="I1215" s="224">
        <v>0</v>
      </c>
      <c r="J1215" s="224">
        <v>0</v>
      </c>
      <c r="K1215" s="20"/>
      <c r="L1215" s="20"/>
      <c r="M1215" s="20"/>
      <c r="N1215" s="20"/>
      <c r="O1215" s="20"/>
      <c r="P1215" s="20"/>
      <c r="Q1215" s="17"/>
      <c r="T1215" s="20">
        <v>305.5</v>
      </c>
      <c r="U1215" s="20">
        <v>0</v>
      </c>
      <c r="V1215" s="20">
        <v>0</v>
      </c>
      <c r="W1215" s="20">
        <f t="shared" si="37"/>
        <v>-92.82</v>
      </c>
      <c r="X1215" s="20">
        <f t="shared" si="37"/>
        <v>0</v>
      </c>
      <c r="Y1215" s="20">
        <f t="shared" si="37"/>
        <v>0</v>
      </c>
    </row>
    <row r="1216" spans="1:25" s="16" customFormat="1" ht="25.5">
      <c r="A1216" s="108" t="str">
        <f t="shared" si="36"/>
        <v>618040904 2 02 20820240</v>
      </c>
      <c r="B1216" s="197" t="s">
        <v>28</v>
      </c>
      <c r="C1216" s="198" t="s">
        <v>783</v>
      </c>
      <c r="D1216" s="199" t="s">
        <v>73</v>
      </c>
      <c r="E1216" s="199" t="s">
        <v>471</v>
      </c>
      <c r="F1216" s="199" t="s">
        <v>762</v>
      </c>
      <c r="G1216" s="199" t="s">
        <v>29</v>
      </c>
      <c r="H1216" s="20">
        <v>10300.11</v>
      </c>
      <c r="I1216" s="20">
        <v>10087.43</v>
      </c>
      <c r="J1216" s="20">
        <v>10087.43</v>
      </c>
      <c r="K1216" s="20"/>
      <c r="L1216" s="20"/>
      <c r="M1216" s="20"/>
      <c r="N1216" s="20"/>
      <c r="O1216" s="20"/>
      <c r="P1216" s="20"/>
      <c r="Q1216" s="17"/>
      <c r="T1216" s="20">
        <v>1200</v>
      </c>
      <c r="U1216" s="20">
        <v>0</v>
      </c>
      <c r="V1216" s="20">
        <v>0</v>
      </c>
      <c r="W1216" s="20">
        <f t="shared" si="37"/>
        <v>9100.11</v>
      </c>
      <c r="X1216" s="20">
        <f t="shared" si="37"/>
        <v>10087.43</v>
      </c>
      <c r="Y1216" s="20">
        <f t="shared" si="37"/>
        <v>10087.43</v>
      </c>
    </row>
    <row r="1217" spans="1:25" s="16" customFormat="1" ht="25.5">
      <c r="A1217" s="108" t="str">
        <f t="shared" si="36"/>
        <v>618040904 2 02 21090000</v>
      </c>
      <c r="B1217" s="197" t="s">
        <v>763</v>
      </c>
      <c r="C1217" s="198" t="s">
        <v>783</v>
      </c>
      <c r="D1217" s="199" t="s">
        <v>73</v>
      </c>
      <c r="E1217" s="199" t="s">
        <v>471</v>
      </c>
      <c r="F1217" s="199" t="s">
        <v>764</v>
      </c>
      <c r="G1217" s="199" t="s">
        <v>9</v>
      </c>
      <c r="H1217" s="20">
        <v>50135.83</v>
      </c>
      <c r="I1217" s="20">
        <v>54743.99</v>
      </c>
      <c r="J1217" s="20">
        <v>59812.98</v>
      </c>
      <c r="K1217" s="20"/>
      <c r="L1217" s="20"/>
      <c r="M1217" s="20"/>
      <c r="N1217" s="20"/>
      <c r="O1217" s="20"/>
      <c r="P1217" s="20"/>
      <c r="Q1217" s="17"/>
      <c r="T1217" s="20">
        <v>1505.5</v>
      </c>
      <c r="U1217" s="20">
        <v>0</v>
      </c>
      <c r="V1217" s="20">
        <v>0</v>
      </c>
      <c r="W1217" s="20">
        <f t="shared" si="37"/>
        <v>48630.33</v>
      </c>
      <c r="X1217" s="20">
        <f t="shared" si="37"/>
        <v>54743.99</v>
      </c>
      <c r="Y1217" s="20">
        <f t="shared" si="37"/>
        <v>59812.98</v>
      </c>
    </row>
    <row r="1218" spans="1:25" s="16" customFormat="1" ht="25.5">
      <c r="A1218" s="108" t="str">
        <f t="shared" si="36"/>
        <v>618040904 2 02 21090240</v>
      </c>
      <c r="B1218" s="197" t="s">
        <v>28</v>
      </c>
      <c r="C1218" s="198" t="s">
        <v>783</v>
      </c>
      <c r="D1218" s="199" t="s">
        <v>73</v>
      </c>
      <c r="E1218" s="199" t="s">
        <v>471</v>
      </c>
      <c r="F1218" s="199" t="s">
        <v>764</v>
      </c>
      <c r="G1218" s="199" t="s">
        <v>29</v>
      </c>
      <c r="H1218" s="20">
        <v>50135.83</v>
      </c>
      <c r="I1218" s="20">
        <v>54743.99</v>
      </c>
      <c r="J1218" s="20">
        <v>59812.98</v>
      </c>
      <c r="K1218" s="20"/>
      <c r="L1218" s="20"/>
      <c r="M1218" s="20"/>
      <c r="N1218" s="20"/>
      <c r="O1218" s="20"/>
      <c r="P1218" s="20"/>
      <c r="Q1218" s="17"/>
      <c r="T1218" s="20">
        <v>8594.5</v>
      </c>
      <c r="U1218" s="20">
        <v>0</v>
      </c>
      <c r="V1218" s="20">
        <v>0</v>
      </c>
      <c r="W1218" s="20">
        <f t="shared" si="37"/>
        <v>41541.33</v>
      </c>
      <c r="X1218" s="20">
        <f t="shared" si="37"/>
        <v>54743.99</v>
      </c>
      <c r="Y1218" s="20">
        <f t="shared" si="37"/>
        <v>59812.98</v>
      </c>
    </row>
    <row r="1219" spans="1:25" s="16" customFormat="1">
      <c r="A1219" s="108" t="str">
        <f t="shared" si="36"/>
        <v>618050000 0 00 00000000</v>
      </c>
      <c r="B1219" s="191" t="s">
        <v>305</v>
      </c>
      <c r="C1219" s="192" t="s">
        <v>783</v>
      </c>
      <c r="D1219" s="193" t="s">
        <v>86</v>
      </c>
      <c r="E1219" s="193" t="s">
        <v>7</v>
      </c>
      <c r="F1219" s="193" t="s">
        <v>8</v>
      </c>
      <c r="G1219" s="193" t="s">
        <v>9</v>
      </c>
      <c r="H1219" s="18">
        <v>41634.959999999999</v>
      </c>
      <c r="I1219" s="18">
        <v>19206.899999999998</v>
      </c>
      <c r="J1219" s="18">
        <v>19206.899999999998</v>
      </c>
      <c r="K1219" s="20"/>
      <c r="L1219" s="20"/>
      <c r="M1219" s="20"/>
      <c r="N1219" s="20"/>
      <c r="O1219" s="20"/>
      <c r="P1219" s="20"/>
      <c r="Q1219" s="17"/>
      <c r="T1219" s="20"/>
      <c r="U1219" s="20"/>
      <c r="V1219" s="20"/>
      <c r="W1219" s="20">
        <f t="shared" si="37"/>
        <v>41634.959999999999</v>
      </c>
      <c r="X1219" s="20">
        <f t="shared" si="37"/>
        <v>19206.899999999998</v>
      </c>
      <c r="Y1219" s="20">
        <f t="shared" si="37"/>
        <v>19206.899999999998</v>
      </c>
    </row>
    <row r="1220" spans="1:25" s="16" customFormat="1">
      <c r="A1220" s="108" t="str">
        <f t="shared" si="36"/>
        <v>618050100 0 00 00000000</v>
      </c>
      <c r="B1220" s="194" t="s">
        <v>765</v>
      </c>
      <c r="C1220" s="195" t="s">
        <v>783</v>
      </c>
      <c r="D1220" s="196" t="s">
        <v>86</v>
      </c>
      <c r="E1220" s="196" t="s">
        <v>11</v>
      </c>
      <c r="F1220" s="196" t="s">
        <v>8</v>
      </c>
      <c r="G1220" s="196" t="s">
        <v>9</v>
      </c>
      <c r="H1220" s="19">
        <v>2175.54</v>
      </c>
      <c r="I1220" s="19">
        <v>1723.26</v>
      </c>
      <c r="J1220" s="19">
        <v>1723.26</v>
      </c>
      <c r="K1220" s="20"/>
      <c r="L1220" s="20"/>
      <c r="M1220" s="20"/>
      <c r="N1220" s="20"/>
      <c r="O1220" s="20"/>
      <c r="P1220" s="20"/>
      <c r="Q1220" s="17"/>
      <c r="T1220" s="20">
        <v>2674.5</v>
      </c>
      <c r="U1220" s="20">
        <v>0</v>
      </c>
      <c r="V1220" s="20">
        <v>0</v>
      </c>
      <c r="W1220" s="20">
        <f t="shared" si="37"/>
        <v>-498.96000000000004</v>
      </c>
      <c r="X1220" s="20">
        <f t="shared" si="37"/>
        <v>1723.26</v>
      </c>
      <c r="Y1220" s="20">
        <f t="shared" si="37"/>
        <v>1723.26</v>
      </c>
    </row>
    <row r="1221" spans="1:25" s="16" customFormat="1" ht="38.25">
      <c r="A1221" s="108" t="str">
        <f t="shared" si="36"/>
        <v>618050104 0 00 00000000</v>
      </c>
      <c r="B1221" s="200" t="s">
        <v>293</v>
      </c>
      <c r="C1221" s="198" t="s">
        <v>783</v>
      </c>
      <c r="D1221" s="199" t="s">
        <v>86</v>
      </c>
      <c r="E1221" s="199" t="s">
        <v>11</v>
      </c>
      <c r="F1221" s="199" t="s">
        <v>294</v>
      </c>
      <c r="G1221" s="199" t="s">
        <v>9</v>
      </c>
      <c r="H1221" s="20">
        <v>2175.54</v>
      </c>
      <c r="I1221" s="20">
        <v>1723.26</v>
      </c>
      <c r="J1221" s="20">
        <v>1723.26</v>
      </c>
      <c r="K1221" s="20"/>
      <c r="L1221" s="20"/>
      <c r="M1221" s="20"/>
      <c r="N1221" s="20"/>
      <c r="O1221" s="20"/>
      <c r="P1221" s="20"/>
      <c r="Q1221" s="17"/>
      <c r="T1221" s="20">
        <v>5920</v>
      </c>
      <c r="U1221" s="20">
        <v>0</v>
      </c>
      <c r="V1221" s="20">
        <v>0</v>
      </c>
      <c r="W1221" s="20">
        <f t="shared" si="37"/>
        <v>-3744.46</v>
      </c>
      <c r="X1221" s="20">
        <f t="shared" si="37"/>
        <v>1723.26</v>
      </c>
      <c r="Y1221" s="20">
        <f t="shared" si="37"/>
        <v>1723.26</v>
      </c>
    </row>
    <row r="1222" spans="1:25" s="16" customFormat="1" ht="25.5">
      <c r="A1222" s="108" t="str">
        <f t="shared" ref="A1222:A1285" si="38">C1222&amp;D1222&amp;E1222&amp;F1222&amp;G1222</f>
        <v>618050104 1 00 00000000</v>
      </c>
      <c r="B1222" s="197" t="s">
        <v>766</v>
      </c>
      <c r="C1222" s="198" t="s">
        <v>783</v>
      </c>
      <c r="D1222" s="199" t="s">
        <v>86</v>
      </c>
      <c r="E1222" s="199" t="s">
        <v>11</v>
      </c>
      <c r="F1222" s="199" t="s">
        <v>767</v>
      </c>
      <c r="G1222" s="199" t="s">
        <v>9</v>
      </c>
      <c r="H1222" s="20">
        <v>2175.54</v>
      </c>
      <c r="I1222" s="20">
        <v>1723.26</v>
      </c>
      <c r="J1222" s="20">
        <v>1723.26</v>
      </c>
      <c r="K1222" s="20"/>
      <c r="L1222" s="20"/>
      <c r="M1222" s="20"/>
      <c r="N1222" s="20"/>
      <c r="O1222" s="20"/>
      <c r="P1222" s="20"/>
      <c r="Q1222" s="17"/>
      <c r="T1222" s="20">
        <v>8594.5</v>
      </c>
      <c r="U1222" s="20">
        <v>0</v>
      </c>
      <c r="V1222" s="20">
        <v>0</v>
      </c>
      <c r="W1222" s="20">
        <f t="shared" si="37"/>
        <v>-6418.96</v>
      </c>
      <c r="X1222" s="20">
        <f t="shared" si="37"/>
        <v>1723.26</v>
      </c>
      <c r="Y1222" s="20">
        <f t="shared" si="37"/>
        <v>1723.26</v>
      </c>
    </row>
    <row r="1223" spans="1:25" s="16" customFormat="1" ht="38.25">
      <c r="A1223" s="108" t="str">
        <f t="shared" si="38"/>
        <v>618050104 1 01 00000000</v>
      </c>
      <c r="B1223" s="226" t="s">
        <v>793</v>
      </c>
      <c r="C1223" s="203" t="s">
        <v>783</v>
      </c>
      <c r="D1223" s="204" t="s">
        <v>86</v>
      </c>
      <c r="E1223" s="204" t="s">
        <v>11</v>
      </c>
      <c r="F1223" s="204" t="s">
        <v>769</v>
      </c>
      <c r="G1223" s="204" t="s">
        <v>9</v>
      </c>
      <c r="H1223" s="26">
        <v>2175.54</v>
      </c>
      <c r="I1223" s="26">
        <v>1723.26</v>
      </c>
      <c r="J1223" s="26">
        <v>1723.26</v>
      </c>
      <c r="K1223" s="26"/>
      <c r="L1223" s="26"/>
      <c r="M1223" s="26"/>
      <c r="N1223" s="26"/>
      <c r="O1223" s="26"/>
      <c r="P1223" s="26"/>
      <c r="Q1223" s="17"/>
      <c r="T1223" s="26">
        <v>3500</v>
      </c>
      <c r="U1223" s="26">
        <v>0</v>
      </c>
      <c r="V1223" s="26">
        <v>0</v>
      </c>
      <c r="W1223" s="26">
        <f t="shared" si="37"/>
        <v>-1324.46</v>
      </c>
      <c r="X1223" s="26">
        <f t="shared" si="37"/>
        <v>1723.26</v>
      </c>
      <c r="Y1223" s="26">
        <f t="shared" si="37"/>
        <v>1723.26</v>
      </c>
    </row>
    <row r="1224" spans="1:25" s="16" customFormat="1" ht="25.5">
      <c r="A1224" s="108" t="str">
        <f t="shared" si="38"/>
        <v>618050104 1 01 20190000</v>
      </c>
      <c r="B1224" s="200" t="s">
        <v>770</v>
      </c>
      <c r="C1224" s="198" t="s">
        <v>783</v>
      </c>
      <c r="D1224" s="199" t="s">
        <v>86</v>
      </c>
      <c r="E1224" s="199" t="s">
        <v>11</v>
      </c>
      <c r="F1224" s="199" t="s">
        <v>771</v>
      </c>
      <c r="G1224" s="199" t="s">
        <v>9</v>
      </c>
      <c r="H1224" s="20">
        <v>2175.54</v>
      </c>
      <c r="I1224" s="20">
        <v>1723.26</v>
      </c>
      <c r="J1224" s="20">
        <v>1723.26</v>
      </c>
      <c r="K1224" s="26"/>
      <c r="L1224" s="26"/>
      <c r="M1224" s="26"/>
      <c r="N1224" s="26"/>
      <c r="O1224" s="26"/>
      <c r="P1224" s="26"/>
      <c r="Q1224" s="17"/>
      <c r="T1224" s="26">
        <v>3500</v>
      </c>
      <c r="U1224" s="26">
        <v>0</v>
      </c>
      <c r="V1224" s="26">
        <v>0</v>
      </c>
      <c r="W1224" s="26">
        <f t="shared" ref="W1224:Y1287" si="39">H1224-T1224</f>
        <v>-1324.46</v>
      </c>
      <c r="X1224" s="26">
        <f t="shared" si="39"/>
        <v>1723.26</v>
      </c>
      <c r="Y1224" s="26">
        <f t="shared" si="39"/>
        <v>1723.26</v>
      </c>
    </row>
    <row r="1225" spans="1:25" s="16" customFormat="1">
      <c r="A1225" s="108" t="str">
        <f t="shared" si="38"/>
        <v/>
      </c>
      <c r="B1225" s="220" t="s">
        <v>1104</v>
      </c>
      <c r="C1225" s="198"/>
      <c r="D1225" s="199"/>
      <c r="E1225" s="199"/>
      <c r="F1225" s="199"/>
      <c r="G1225" s="199"/>
      <c r="H1225" s="20"/>
      <c r="I1225" s="20"/>
      <c r="J1225" s="20"/>
      <c r="K1225" s="26"/>
      <c r="L1225" s="26"/>
      <c r="M1225" s="26"/>
      <c r="N1225" s="26"/>
      <c r="O1225" s="26"/>
      <c r="P1225" s="26"/>
      <c r="Q1225" s="17"/>
      <c r="T1225" s="26">
        <v>3500</v>
      </c>
      <c r="U1225" s="26">
        <v>0</v>
      </c>
      <c r="V1225" s="26">
        <v>0</v>
      </c>
      <c r="W1225" s="26">
        <f t="shared" si="39"/>
        <v>-3500</v>
      </c>
      <c r="X1225" s="26">
        <f t="shared" si="39"/>
        <v>0</v>
      </c>
      <c r="Y1225" s="26">
        <f t="shared" si="39"/>
        <v>0</v>
      </c>
    </row>
    <row r="1226" spans="1:25" s="16" customFormat="1">
      <c r="A1226" s="108" t="str">
        <f t="shared" si="38"/>
        <v>618050104 1 01 20190000</v>
      </c>
      <c r="B1226" s="221" t="s">
        <v>1105</v>
      </c>
      <c r="C1226" s="222" t="s">
        <v>783</v>
      </c>
      <c r="D1226" s="223" t="s">
        <v>86</v>
      </c>
      <c r="E1226" s="223" t="s">
        <v>11</v>
      </c>
      <c r="F1226" s="223" t="s">
        <v>771</v>
      </c>
      <c r="G1226" s="223" t="s">
        <v>9</v>
      </c>
      <c r="H1226" s="224">
        <v>452.28</v>
      </c>
      <c r="I1226" s="224">
        <v>0</v>
      </c>
      <c r="J1226" s="224">
        <v>0</v>
      </c>
      <c r="K1226" s="26"/>
      <c r="L1226" s="26"/>
      <c r="M1226" s="26"/>
      <c r="N1226" s="26"/>
      <c r="O1226" s="26"/>
      <c r="P1226" s="26"/>
      <c r="Q1226" s="17"/>
      <c r="T1226" s="26">
        <v>3500</v>
      </c>
      <c r="U1226" s="26">
        <v>0</v>
      </c>
      <c r="V1226" s="26">
        <v>0</v>
      </c>
      <c r="W1226" s="26">
        <f t="shared" si="39"/>
        <v>-3047.7200000000003</v>
      </c>
      <c r="X1226" s="26">
        <f t="shared" si="39"/>
        <v>0</v>
      </c>
      <c r="Y1226" s="26">
        <f t="shared" si="39"/>
        <v>0</v>
      </c>
    </row>
    <row r="1227" spans="1:25" s="16" customFormat="1" ht="25.5">
      <c r="A1227" s="108" t="str">
        <f t="shared" si="38"/>
        <v>618050104 1 01 20190240</v>
      </c>
      <c r="B1227" s="197" t="s">
        <v>28</v>
      </c>
      <c r="C1227" s="198" t="s">
        <v>783</v>
      </c>
      <c r="D1227" s="199" t="s">
        <v>86</v>
      </c>
      <c r="E1227" s="199" t="s">
        <v>11</v>
      </c>
      <c r="F1227" s="199" t="s">
        <v>771</v>
      </c>
      <c r="G1227" s="199" t="s">
        <v>29</v>
      </c>
      <c r="H1227" s="20">
        <v>2175.54</v>
      </c>
      <c r="I1227" s="20">
        <v>1723.26</v>
      </c>
      <c r="J1227" s="20">
        <v>1723.26</v>
      </c>
      <c r="K1227" s="18"/>
      <c r="L1227" s="18"/>
      <c r="M1227" s="18"/>
      <c r="N1227" s="18"/>
      <c r="O1227" s="18"/>
      <c r="P1227" s="18"/>
      <c r="Q1227" s="17"/>
      <c r="T1227" s="18">
        <v>1549</v>
      </c>
      <c r="U1227" s="18">
        <v>1549</v>
      </c>
      <c r="V1227" s="18">
        <v>1549</v>
      </c>
      <c r="W1227" s="18">
        <f t="shared" si="39"/>
        <v>626.54</v>
      </c>
      <c r="X1227" s="18">
        <f t="shared" si="39"/>
        <v>174.26</v>
      </c>
      <c r="Y1227" s="18">
        <f t="shared" si="39"/>
        <v>174.26</v>
      </c>
    </row>
    <row r="1228" spans="1:25" s="16" customFormat="1">
      <c r="A1228" s="108" t="str">
        <f t="shared" si="38"/>
        <v>618050300 0 00 00000000</v>
      </c>
      <c r="B1228" s="194" t="s">
        <v>306</v>
      </c>
      <c r="C1228" s="195" t="s">
        <v>783</v>
      </c>
      <c r="D1228" s="196" t="s">
        <v>86</v>
      </c>
      <c r="E1228" s="196" t="s">
        <v>13</v>
      </c>
      <c r="F1228" s="196" t="s">
        <v>8</v>
      </c>
      <c r="G1228" s="196" t="s">
        <v>9</v>
      </c>
      <c r="H1228" s="19">
        <v>39459.42</v>
      </c>
      <c r="I1228" s="19">
        <v>17483.64</v>
      </c>
      <c r="J1228" s="19">
        <v>17483.64</v>
      </c>
      <c r="K1228" s="19"/>
      <c r="L1228" s="19"/>
      <c r="M1228" s="19"/>
      <c r="N1228" s="19"/>
      <c r="O1228" s="19"/>
      <c r="P1228" s="19"/>
      <c r="Q1228" s="17"/>
      <c r="T1228" s="19">
        <v>1549</v>
      </c>
      <c r="U1228" s="19">
        <v>1549</v>
      </c>
      <c r="V1228" s="19">
        <v>1549</v>
      </c>
      <c r="W1228" s="19">
        <f t="shared" si="39"/>
        <v>37910.42</v>
      </c>
      <c r="X1228" s="19">
        <f t="shared" si="39"/>
        <v>15934.64</v>
      </c>
      <c r="Y1228" s="19">
        <f t="shared" si="39"/>
        <v>15934.64</v>
      </c>
    </row>
    <row r="1229" spans="1:25" s="16" customFormat="1" ht="38.25">
      <c r="A1229" s="108" t="str">
        <f t="shared" si="38"/>
        <v>618050304 0 00 00000000</v>
      </c>
      <c r="B1229" s="200" t="s">
        <v>293</v>
      </c>
      <c r="C1229" s="198" t="s">
        <v>783</v>
      </c>
      <c r="D1229" s="199" t="s">
        <v>86</v>
      </c>
      <c r="E1229" s="199" t="s">
        <v>13</v>
      </c>
      <c r="F1229" s="199" t="s">
        <v>294</v>
      </c>
      <c r="G1229" s="199" t="s">
        <v>9</v>
      </c>
      <c r="H1229" s="20">
        <v>37459.42</v>
      </c>
      <c r="I1229" s="20">
        <v>17483.64</v>
      </c>
      <c r="J1229" s="20">
        <v>17483.64</v>
      </c>
      <c r="K1229" s="20"/>
      <c r="L1229" s="20"/>
      <c r="M1229" s="20"/>
      <c r="N1229" s="20"/>
      <c r="O1229" s="20"/>
      <c r="P1229" s="20"/>
      <c r="Q1229" s="17"/>
      <c r="T1229" s="20">
        <v>1549</v>
      </c>
      <c r="U1229" s="20">
        <v>1549</v>
      </c>
      <c r="V1229" s="20">
        <v>1549</v>
      </c>
      <c r="W1229" s="20">
        <f t="shared" si="39"/>
        <v>35910.42</v>
      </c>
      <c r="X1229" s="20">
        <f t="shared" si="39"/>
        <v>15934.64</v>
      </c>
      <c r="Y1229" s="20">
        <f t="shared" si="39"/>
        <v>15934.64</v>
      </c>
    </row>
    <row r="1230" spans="1:25" s="16" customFormat="1" ht="25.5">
      <c r="A1230" s="108" t="str">
        <f t="shared" si="38"/>
        <v>618050304 3 00 00000000</v>
      </c>
      <c r="B1230" s="197" t="s">
        <v>307</v>
      </c>
      <c r="C1230" s="198" t="s">
        <v>783</v>
      </c>
      <c r="D1230" s="199" t="s">
        <v>86</v>
      </c>
      <c r="E1230" s="199" t="s">
        <v>13</v>
      </c>
      <c r="F1230" s="199" t="s">
        <v>308</v>
      </c>
      <c r="G1230" s="199" t="s">
        <v>9</v>
      </c>
      <c r="H1230" s="20">
        <v>37459.42</v>
      </c>
      <c r="I1230" s="20">
        <v>17483.64</v>
      </c>
      <c r="J1230" s="20">
        <v>17483.64</v>
      </c>
      <c r="K1230" s="26"/>
      <c r="L1230" s="26"/>
      <c r="M1230" s="26"/>
      <c r="N1230" s="26"/>
      <c r="O1230" s="26"/>
      <c r="P1230" s="26"/>
      <c r="Q1230" s="17"/>
      <c r="T1230" s="26">
        <v>1549</v>
      </c>
      <c r="U1230" s="26">
        <v>1549</v>
      </c>
      <c r="V1230" s="26">
        <v>1549</v>
      </c>
      <c r="W1230" s="26">
        <f t="shared" si="39"/>
        <v>35910.42</v>
      </c>
      <c r="X1230" s="26">
        <f t="shared" si="39"/>
        <v>15934.64</v>
      </c>
      <c r="Y1230" s="26">
        <f t="shared" si="39"/>
        <v>15934.64</v>
      </c>
    </row>
    <row r="1231" spans="1:25" s="16" customFormat="1" ht="25.5">
      <c r="A1231" s="108" t="str">
        <f t="shared" si="38"/>
        <v>618050304 3 04 00000000</v>
      </c>
      <c r="B1231" s="315" t="s">
        <v>309</v>
      </c>
      <c r="C1231" s="203" t="s">
        <v>783</v>
      </c>
      <c r="D1231" s="204" t="s">
        <v>86</v>
      </c>
      <c r="E1231" s="204" t="s">
        <v>13</v>
      </c>
      <c r="F1231" s="199" t="s">
        <v>310</v>
      </c>
      <c r="G1231" s="204" t="s">
        <v>9</v>
      </c>
      <c r="H1231" s="26">
        <v>37459.42</v>
      </c>
      <c r="I1231" s="26">
        <v>17483.64</v>
      </c>
      <c r="J1231" s="26">
        <v>17483.64</v>
      </c>
      <c r="K1231" s="26"/>
      <c r="L1231" s="26"/>
      <c r="M1231" s="26"/>
      <c r="N1231" s="26"/>
      <c r="O1231" s="26"/>
      <c r="P1231" s="26"/>
      <c r="Q1231" s="17"/>
      <c r="T1231" s="26">
        <v>1549</v>
      </c>
      <c r="U1231" s="26">
        <v>1549</v>
      </c>
      <c r="V1231" s="26">
        <v>1549</v>
      </c>
      <c r="W1231" s="26">
        <f t="shared" si="39"/>
        <v>35910.42</v>
      </c>
      <c r="X1231" s="26">
        <f t="shared" si="39"/>
        <v>15934.64</v>
      </c>
      <c r="Y1231" s="26">
        <f t="shared" si="39"/>
        <v>15934.64</v>
      </c>
    </row>
    <row r="1232" spans="1:25" s="16" customFormat="1" ht="25.5">
      <c r="A1232" s="108" t="str">
        <f t="shared" si="38"/>
        <v>618050304 3 04 20300000</v>
      </c>
      <c r="B1232" s="197" t="s">
        <v>542</v>
      </c>
      <c r="C1232" s="198" t="s">
        <v>783</v>
      </c>
      <c r="D1232" s="199" t="s">
        <v>86</v>
      </c>
      <c r="E1232" s="199" t="s">
        <v>13</v>
      </c>
      <c r="F1232" s="199" t="s">
        <v>543</v>
      </c>
      <c r="G1232" s="199" t="s">
        <v>9</v>
      </c>
      <c r="H1232" s="20">
        <v>10487.55</v>
      </c>
      <c r="I1232" s="20">
        <v>9545.0499999999993</v>
      </c>
      <c r="J1232" s="20">
        <v>9545.0499999999993</v>
      </c>
      <c r="K1232" s="26"/>
      <c r="L1232" s="26"/>
      <c r="M1232" s="26"/>
      <c r="N1232" s="26"/>
      <c r="O1232" s="26"/>
      <c r="P1232" s="26"/>
      <c r="Q1232" s="17"/>
      <c r="T1232" s="26">
        <v>911.5</v>
      </c>
      <c r="U1232" s="26">
        <v>911.5</v>
      </c>
      <c r="V1232" s="26">
        <v>911.5</v>
      </c>
      <c r="W1232" s="26">
        <f t="shared" si="39"/>
        <v>9576.0499999999993</v>
      </c>
      <c r="X1232" s="26">
        <f t="shared" si="39"/>
        <v>8633.5499999999993</v>
      </c>
      <c r="Y1232" s="26">
        <f t="shared" si="39"/>
        <v>8633.5499999999993</v>
      </c>
    </row>
    <row r="1233" spans="1:25" s="16" customFormat="1" ht="25.5">
      <c r="A1233" s="108" t="str">
        <f t="shared" si="38"/>
        <v>618050304 3 04 20300240</v>
      </c>
      <c r="B1233" s="197" t="s">
        <v>28</v>
      </c>
      <c r="C1233" s="198" t="s">
        <v>783</v>
      </c>
      <c r="D1233" s="199" t="s">
        <v>86</v>
      </c>
      <c r="E1233" s="199" t="s">
        <v>13</v>
      </c>
      <c r="F1233" s="199" t="s">
        <v>543</v>
      </c>
      <c r="G1233" s="199" t="s">
        <v>29</v>
      </c>
      <c r="H1233" s="20">
        <v>10487.55</v>
      </c>
      <c r="I1233" s="20">
        <v>9545.0499999999993</v>
      </c>
      <c r="J1233" s="20">
        <v>9545.0499999999993</v>
      </c>
      <c r="K1233" s="20"/>
      <c r="L1233" s="20"/>
      <c r="M1233" s="20"/>
      <c r="N1233" s="20"/>
      <c r="O1233" s="20"/>
      <c r="P1233" s="20"/>
      <c r="Q1233" s="17"/>
      <c r="T1233" s="20">
        <v>911.5</v>
      </c>
      <c r="U1233" s="20">
        <v>911.5</v>
      </c>
      <c r="V1233" s="20">
        <v>911.5</v>
      </c>
      <c r="W1233" s="20">
        <f t="shared" si="39"/>
        <v>9576.0499999999993</v>
      </c>
      <c r="X1233" s="20">
        <f t="shared" si="39"/>
        <v>8633.5499999999993</v>
      </c>
      <c r="Y1233" s="20">
        <f t="shared" si="39"/>
        <v>8633.5499999999993</v>
      </c>
    </row>
    <row r="1234" spans="1:25" s="16" customFormat="1">
      <c r="A1234" s="108" t="str">
        <f t="shared" si="38"/>
        <v>618050304 3 04 21070000</v>
      </c>
      <c r="B1234" s="200" t="s">
        <v>774</v>
      </c>
      <c r="C1234" s="198" t="s">
        <v>783</v>
      </c>
      <c r="D1234" s="204" t="s">
        <v>86</v>
      </c>
      <c r="E1234" s="204" t="s">
        <v>13</v>
      </c>
      <c r="F1234" s="204" t="s">
        <v>775</v>
      </c>
      <c r="G1234" s="204" t="s">
        <v>9</v>
      </c>
      <c r="H1234" s="20">
        <v>775</v>
      </c>
      <c r="I1234" s="20">
        <v>941.72</v>
      </c>
      <c r="J1234" s="20">
        <v>941.72</v>
      </c>
      <c r="K1234" s="55"/>
      <c r="L1234" s="55"/>
      <c r="M1234" s="55"/>
      <c r="N1234" s="55"/>
      <c r="O1234" s="55"/>
      <c r="P1234" s="55"/>
      <c r="Q1234" s="17"/>
      <c r="T1234" s="55">
        <v>637.5</v>
      </c>
      <c r="U1234" s="55">
        <v>637.5</v>
      </c>
      <c r="V1234" s="55">
        <v>637.5</v>
      </c>
      <c r="W1234" s="55">
        <f t="shared" si="39"/>
        <v>137.5</v>
      </c>
      <c r="X1234" s="55">
        <f t="shared" si="39"/>
        <v>304.22000000000003</v>
      </c>
      <c r="Y1234" s="55">
        <f t="shared" si="39"/>
        <v>304.22000000000003</v>
      </c>
    </row>
    <row r="1235" spans="1:25" s="16" customFormat="1" ht="25.5">
      <c r="A1235" s="108" t="str">
        <f t="shared" si="38"/>
        <v>618050304 3 04 21070240</v>
      </c>
      <c r="B1235" s="197" t="s">
        <v>28</v>
      </c>
      <c r="C1235" s="198" t="s">
        <v>783</v>
      </c>
      <c r="D1235" s="204" t="s">
        <v>86</v>
      </c>
      <c r="E1235" s="204" t="s">
        <v>13</v>
      </c>
      <c r="F1235" s="204" t="s">
        <v>775</v>
      </c>
      <c r="G1235" s="204" t="s">
        <v>29</v>
      </c>
      <c r="H1235" s="20">
        <v>775</v>
      </c>
      <c r="I1235" s="20">
        <v>941.72</v>
      </c>
      <c r="J1235" s="20">
        <v>941.72</v>
      </c>
      <c r="K1235" s="20"/>
      <c r="L1235" s="20"/>
      <c r="M1235" s="20"/>
      <c r="N1235" s="20"/>
      <c r="O1235" s="20"/>
      <c r="P1235" s="20"/>
      <c r="Q1235" s="17"/>
      <c r="T1235" s="20">
        <v>637.5</v>
      </c>
      <c r="U1235" s="20">
        <v>637.5</v>
      </c>
      <c r="V1235" s="20">
        <v>637.5</v>
      </c>
      <c r="W1235" s="20">
        <f t="shared" si="39"/>
        <v>137.5</v>
      </c>
      <c r="X1235" s="20">
        <f t="shared" si="39"/>
        <v>304.22000000000003</v>
      </c>
      <c r="Y1235" s="20">
        <f t="shared" si="39"/>
        <v>304.22000000000003</v>
      </c>
    </row>
    <row r="1236" spans="1:25" s="16" customFormat="1" ht="63.75">
      <c r="A1236" s="108" t="str">
        <f t="shared" si="38"/>
        <v>618050304 3 04 21080000</v>
      </c>
      <c r="B1236" s="208" t="s">
        <v>776</v>
      </c>
      <c r="C1236" s="209" t="s">
        <v>783</v>
      </c>
      <c r="D1236" s="236" t="s">
        <v>86</v>
      </c>
      <c r="E1236" s="236" t="s">
        <v>13</v>
      </c>
      <c r="F1236" s="236" t="s">
        <v>777</v>
      </c>
      <c r="G1236" s="236" t="s">
        <v>9</v>
      </c>
      <c r="H1236" s="218">
        <v>0</v>
      </c>
      <c r="I1236" s="218">
        <v>0</v>
      </c>
      <c r="J1236" s="218">
        <v>0</v>
      </c>
      <c r="K1236" s="20"/>
      <c r="L1236" s="20"/>
      <c r="M1236" s="20"/>
      <c r="N1236" s="20"/>
      <c r="O1236" s="20"/>
      <c r="P1236" s="20"/>
      <c r="Q1236" s="17"/>
      <c r="T1236" s="20"/>
      <c r="U1236" s="20"/>
      <c r="V1236" s="20"/>
      <c r="W1236" s="20">
        <f t="shared" si="39"/>
        <v>0</v>
      </c>
      <c r="X1236" s="20">
        <f t="shared" si="39"/>
        <v>0</v>
      </c>
      <c r="Y1236" s="20">
        <f t="shared" si="39"/>
        <v>0</v>
      </c>
    </row>
    <row r="1237" spans="1:25" s="16" customFormat="1" ht="25.5">
      <c r="A1237" s="108" t="str">
        <f t="shared" si="38"/>
        <v>618050304 3 04 21080240</v>
      </c>
      <c r="B1237" s="208" t="s">
        <v>28</v>
      </c>
      <c r="C1237" s="209" t="s">
        <v>783</v>
      </c>
      <c r="D1237" s="236" t="s">
        <v>86</v>
      </c>
      <c r="E1237" s="236" t="s">
        <v>13</v>
      </c>
      <c r="F1237" s="236" t="s">
        <v>777</v>
      </c>
      <c r="G1237" s="236" t="s">
        <v>29</v>
      </c>
      <c r="H1237" s="218">
        <v>0</v>
      </c>
      <c r="I1237" s="218">
        <v>0</v>
      </c>
      <c r="J1237" s="218">
        <v>0</v>
      </c>
      <c r="K1237" s="56"/>
      <c r="L1237" s="56"/>
      <c r="M1237" s="56"/>
      <c r="N1237" s="56"/>
      <c r="O1237" s="56"/>
      <c r="P1237" s="56"/>
      <c r="Q1237" s="17"/>
      <c r="T1237" s="56">
        <v>843583.37000000011</v>
      </c>
      <c r="U1237" s="56">
        <v>551006.57000000007</v>
      </c>
      <c r="V1237" s="56">
        <v>543634.79</v>
      </c>
      <c r="W1237" s="56">
        <f t="shared" si="39"/>
        <v>-843583.37000000011</v>
      </c>
      <c r="X1237" s="56">
        <f t="shared" si="39"/>
        <v>-551006.57000000007</v>
      </c>
      <c r="Y1237" s="56">
        <f t="shared" si="39"/>
        <v>-543634.79</v>
      </c>
    </row>
    <row r="1238" spans="1:25" s="16" customFormat="1" ht="38.25">
      <c r="A1238" s="108" t="str">
        <f t="shared" si="38"/>
        <v>618050304 3 04 76416000</v>
      </c>
      <c r="B1238" s="207" t="s">
        <v>1311</v>
      </c>
      <c r="C1238" s="328" t="s">
        <v>783</v>
      </c>
      <c r="D1238" s="326" t="s">
        <v>86</v>
      </c>
      <c r="E1238" s="326" t="s">
        <v>13</v>
      </c>
      <c r="F1238" s="326" t="s">
        <v>1312</v>
      </c>
      <c r="G1238" s="326" t="s">
        <v>9</v>
      </c>
      <c r="H1238" s="327">
        <v>15996.87</v>
      </c>
      <c r="I1238" s="327">
        <v>6996.87</v>
      </c>
      <c r="J1238" s="327">
        <v>6996.87</v>
      </c>
      <c r="K1238" s="18"/>
      <c r="L1238" s="18"/>
      <c r="M1238" s="18"/>
      <c r="N1238" s="18"/>
      <c r="O1238" s="18"/>
      <c r="P1238" s="18"/>
      <c r="Q1238" s="17"/>
      <c r="T1238" s="18">
        <v>571.66</v>
      </c>
      <c r="U1238" s="18">
        <v>571.66</v>
      </c>
      <c r="V1238" s="18">
        <v>571.66</v>
      </c>
      <c r="W1238" s="18">
        <f t="shared" si="39"/>
        <v>15425.210000000001</v>
      </c>
      <c r="X1238" s="18">
        <f t="shared" si="39"/>
        <v>6425.21</v>
      </c>
      <c r="Y1238" s="18">
        <f t="shared" si="39"/>
        <v>6425.21</v>
      </c>
    </row>
    <row r="1239" spans="1:25" s="16" customFormat="1" ht="25.5">
      <c r="A1239" s="108" t="str">
        <f t="shared" si="38"/>
        <v>618050304 3 04 76416240</v>
      </c>
      <c r="B1239" s="207" t="s">
        <v>28</v>
      </c>
      <c r="C1239" s="328" t="s">
        <v>783</v>
      </c>
      <c r="D1239" s="326" t="s">
        <v>86</v>
      </c>
      <c r="E1239" s="326" t="s">
        <v>13</v>
      </c>
      <c r="F1239" s="326" t="s">
        <v>1312</v>
      </c>
      <c r="G1239" s="326" t="s">
        <v>29</v>
      </c>
      <c r="H1239" s="329">
        <v>15996.87</v>
      </c>
      <c r="I1239" s="329">
        <v>6996.87</v>
      </c>
      <c r="J1239" s="329">
        <v>6996.87</v>
      </c>
      <c r="K1239" s="19"/>
      <c r="L1239" s="19"/>
      <c r="M1239" s="19"/>
      <c r="N1239" s="19"/>
      <c r="O1239" s="19"/>
      <c r="P1239" s="19"/>
      <c r="Q1239" s="17"/>
      <c r="T1239" s="19">
        <v>571.66</v>
      </c>
      <c r="U1239" s="19">
        <v>571.66</v>
      </c>
      <c r="V1239" s="19">
        <v>571.66</v>
      </c>
      <c r="W1239" s="19">
        <f t="shared" si="39"/>
        <v>15425.210000000001</v>
      </c>
      <c r="X1239" s="19">
        <f t="shared" si="39"/>
        <v>6425.21</v>
      </c>
      <c r="Y1239" s="19">
        <f t="shared" si="39"/>
        <v>6425.21</v>
      </c>
    </row>
    <row r="1240" spans="1:25" s="16" customFormat="1" ht="38.25">
      <c r="A1240" s="108" t="str">
        <f t="shared" si="38"/>
        <v>618050304 3 04 G6420000</v>
      </c>
      <c r="B1240" s="197" t="s">
        <v>1043</v>
      </c>
      <c r="C1240" s="198" t="s">
        <v>783</v>
      </c>
      <c r="D1240" s="199" t="s">
        <v>86</v>
      </c>
      <c r="E1240" s="199" t="s">
        <v>13</v>
      </c>
      <c r="F1240" s="204" t="s">
        <v>1056</v>
      </c>
      <c r="G1240" s="204" t="s">
        <v>9</v>
      </c>
      <c r="H1240" s="20">
        <v>1501</v>
      </c>
      <c r="I1240" s="20">
        <v>0</v>
      </c>
      <c r="J1240" s="20">
        <v>0</v>
      </c>
      <c r="K1240" s="20"/>
      <c r="L1240" s="20"/>
      <c r="M1240" s="20"/>
      <c r="N1240" s="20"/>
      <c r="O1240" s="20"/>
      <c r="P1240" s="20"/>
      <c r="Q1240" s="17"/>
      <c r="T1240" s="20">
        <v>71.66</v>
      </c>
      <c r="U1240" s="20">
        <v>71.66</v>
      </c>
      <c r="V1240" s="20">
        <v>71.66</v>
      </c>
      <c r="W1240" s="20">
        <f t="shared" si="39"/>
        <v>1429.34</v>
      </c>
      <c r="X1240" s="20">
        <f t="shared" si="39"/>
        <v>-71.66</v>
      </c>
      <c r="Y1240" s="20">
        <f t="shared" si="39"/>
        <v>-71.66</v>
      </c>
    </row>
    <row r="1241" spans="1:25" s="16" customFormat="1">
      <c r="A1241" s="108" t="str">
        <f t="shared" si="38"/>
        <v/>
      </c>
      <c r="B1241" s="205" t="s">
        <v>1045</v>
      </c>
      <c r="C1241" s="198"/>
      <c r="D1241" s="199"/>
      <c r="E1241" s="199"/>
      <c r="F1241" s="204"/>
      <c r="G1241" s="204"/>
      <c r="H1241" s="20"/>
      <c r="I1241" s="20"/>
      <c r="J1241" s="20"/>
      <c r="K1241" s="20"/>
      <c r="L1241" s="20"/>
      <c r="M1241" s="20"/>
      <c r="N1241" s="20"/>
      <c r="O1241" s="20"/>
      <c r="P1241" s="20"/>
      <c r="Q1241" s="17"/>
      <c r="T1241" s="20">
        <v>71.66</v>
      </c>
      <c r="U1241" s="20">
        <v>71.66</v>
      </c>
      <c r="V1241" s="20">
        <v>71.66</v>
      </c>
      <c r="W1241" s="20">
        <f t="shared" si="39"/>
        <v>-71.66</v>
      </c>
      <c r="X1241" s="20">
        <f t="shared" si="39"/>
        <v>-71.66</v>
      </c>
      <c r="Y1241" s="20">
        <f t="shared" si="39"/>
        <v>-71.66</v>
      </c>
    </row>
    <row r="1242" spans="1:25" s="16" customFormat="1">
      <c r="A1242" s="108" t="str">
        <f t="shared" si="38"/>
        <v>618050304 3 04 G6420000</v>
      </c>
      <c r="B1242" s="197" t="s">
        <v>1046</v>
      </c>
      <c r="C1242" s="198" t="s">
        <v>783</v>
      </c>
      <c r="D1242" s="199" t="s">
        <v>86</v>
      </c>
      <c r="E1242" s="199" t="s">
        <v>13</v>
      </c>
      <c r="F1242" s="204" t="s">
        <v>1056</v>
      </c>
      <c r="G1242" s="204" t="s">
        <v>9</v>
      </c>
      <c r="H1242" s="20">
        <v>301</v>
      </c>
      <c r="I1242" s="20">
        <v>0</v>
      </c>
      <c r="J1242" s="20">
        <v>0</v>
      </c>
      <c r="K1242" s="20"/>
      <c r="L1242" s="20"/>
      <c r="M1242" s="20"/>
      <c r="N1242" s="20"/>
      <c r="O1242" s="20"/>
      <c r="P1242" s="20"/>
      <c r="Q1242" s="17"/>
      <c r="T1242" s="20">
        <v>71.66</v>
      </c>
      <c r="U1242" s="20">
        <v>71.66</v>
      </c>
      <c r="V1242" s="20">
        <v>71.66</v>
      </c>
      <c r="W1242" s="20">
        <f t="shared" si="39"/>
        <v>229.34</v>
      </c>
      <c r="X1242" s="20">
        <f t="shared" si="39"/>
        <v>-71.66</v>
      </c>
      <c r="Y1242" s="20">
        <f t="shared" si="39"/>
        <v>-71.66</v>
      </c>
    </row>
    <row r="1243" spans="1:25" s="16" customFormat="1">
      <c r="A1243" s="108" t="str">
        <f t="shared" si="38"/>
        <v>618050304 3 04 G6420000</v>
      </c>
      <c r="B1243" s="197" t="s">
        <v>1047</v>
      </c>
      <c r="C1243" s="198" t="s">
        <v>783</v>
      </c>
      <c r="D1243" s="199" t="s">
        <v>86</v>
      </c>
      <c r="E1243" s="199" t="s">
        <v>13</v>
      </c>
      <c r="F1243" s="204" t="s">
        <v>1056</v>
      </c>
      <c r="G1243" s="204" t="s">
        <v>9</v>
      </c>
      <c r="H1243" s="20">
        <v>1200</v>
      </c>
      <c r="I1243" s="20">
        <v>0</v>
      </c>
      <c r="J1243" s="20">
        <v>0</v>
      </c>
      <c r="K1243" s="20"/>
      <c r="L1243" s="20"/>
      <c r="M1243" s="20"/>
      <c r="N1243" s="20"/>
      <c r="O1243" s="20"/>
      <c r="P1243" s="20"/>
      <c r="Q1243" s="17"/>
      <c r="T1243" s="20">
        <v>71.66</v>
      </c>
      <c r="U1243" s="20">
        <v>71.66</v>
      </c>
      <c r="V1243" s="20">
        <v>71.66</v>
      </c>
      <c r="W1243" s="20">
        <f t="shared" si="39"/>
        <v>1128.3399999999999</v>
      </c>
      <c r="X1243" s="20">
        <f t="shared" si="39"/>
        <v>-71.66</v>
      </c>
      <c r="Y1243" s="20">
        <f t="shared" si="39"/>
        <v>-71.66</v>
      </c>
    </row>
    <row r="1244" spans="1:25" s="16" customFormat="1" ht="25.5">
      <c r="A1244" s="108" t="str">
        <f t="shared" si="38"/>
        <v>618050304 3 04 G6420240</v>
      </c>
      <c r="B1244" s="197" t="s">
        <v>28</v>
      </c>
      <c r="C1244" s="198" t="s">
        <v>783</v>
      </c>
      <c r="D1244" s="199" t="s">
        <v>86</v>
      </c>
      <c r="E1244" s="199" t="s">
        <v>13</v>
      </c>
      <c r="F1244" s="204" t="s">
        <v>1056</v>
      </c>
      <c r="G1244" s="204" t="s">
        <v>29</v>
      </c>
      <c r="H1244" s="20">
        <v>1501</v>
      </c>
      <c r="I1244" s="20">
        <v>0</v>
      </c>
      <c r="J1244" s="20">
        <v>0</v>
      </c>
      <c r="K1244" s="20"/>
      <c r="L1244" s="20"/>
      <c r="M1244" s="20"/>
      <c r="N1244" s="20"/>
      <c r="O1244" s="20"/>
      <c r="P1244" s="20"/>
      <c r="Q1244" s="17"/>
      <c r="T1244" s="20">
        <v>71.66</v>
      </c>
      <c r="U1244" s="20">
        <v>71.66</v>
      </c>
      <c r="V1244" s="20">
        <v>71.66</v>
      </c>
      <c r="W1244" s="20">
        <f t="shared" si="39"/>
        <v>1429.34</v>
      </c>
      <c r="X1244" s="20">
        <f t="shared" si="39"/>
        <v>-71.66</v>
      </c>
      <c r="Y1244" s="20">
        <f t="shared" si="39"/>
        <v>-71.66</v>
      </c>
    </row>
    <row r="1245" spans="1:25" s="16" customFormat="1" ht="25.5">
      <c r="A1245" s="108" t="str">
        <f t="shared" si="38"/>
        <v>618050304 3 04 S6420000</v>
      </c>
      <c r="B1245" s="200" t="s">
        <v>1048</v>
      </c>
      <c r="C1245" s="198" t="s">
        <v>783</v>
      </c>
      <c r="D1245" s="199" t="s">
        <v>86</v>
      </c>
      <c r="E1245" s="199" t="s">
        <v>13</v>
      </c>
      <c r="F1245" s="204" t="s">
        <v>1057</v>
      </c>
      <c r="G1245" s="204" t="s">
        <v>9</v>
      </c>
      <c r="H1245" s="20">
        <v>8699</v>
      </c>
      <c r="I1245" s="20">
        <v>0</v>
      </c>
      <c r="J1245" s="20">
        <v>0</v>
      </c>
      <c r="K1245" s="20"/>
      <c r="L1245" s="20"/>
      <c r="M1245" s="20"/>
      <c r="N1245" s="20"/>
      <c r="O1245" s="20"/>
      <c r="P1245" s="20"/>
      <c r="Q1245" s="17"/>
      <c r="T1245" s="20">
        <v>500</v>
      </c>
      <c r="U1245" s="20">
        <v>500</v>
      </c>
      <c r="V1245" s="20">
        <v>500</v>
      </c>
      <c r="W1245" s="20">
        <f t="shared" si="39"/>
        <v>8199</v>
      </c>
      <c r="X1245" s="20">
        <f t="shared" si="39"/>
        <v>-500</v>
      </c>
      <c r="Y1245" s="20">
        <f t="shared" si="39"/>
        <v>-500</v>
      </c>
    </row>
    <row r="1246" spans="1:25" s="16" customFormat="1">
      <c r="A1246" s="108" t="str">
        <f t="shared" si="38"/>
        <v/>
      </c>
      <c r="B1246" s="205" t="s">
        <v>1045</v>
      </c>
      <c r="C1246" s="198"/>
      <c r="D1246" s="199"/>
      <c r="E1246" s="199"/>
      <c r="F1246" s="204"/>
      <c r="G1246" s="204"/>
      <c r="H1246" s="20"/>
      <c r="I1246" s="20"/>
      <c r="J1246" s="20"/>
      <c r="K1246" s="20"/>
      <c r="L1246" s="20"/>
      <c r="M1246" s="20"/>
      <c r="N1246" s="20"/>
      <c r="O1246" s="20"/>
      <c r="P1246" s="20"/>
      <c r="Q1246" s="17"/>
      <c r="T1246" s="20">
        <v>500</v>
      </c>
      <c r="U1246" s="20">
        <v>500</v>
      </c>
      <c r="V1246" s="20">
        <v>500</v>
      </c>
      <c r="W1246" s="20">
        <f t="shared" si="39"/>
        <v>-500</v>
      </c>
      <c r="X1246" s="20">
        <f t="shared" si="39"/>
        <v>-500</v>
      </c>
      <c r="Y1246" s="20">
        <f t="shared" si="39"/>
        <v>-500</v>
      </c>
    </row>
    <row r="1247" spans="1:25" s="16" customFormat="1">
      <c r="A1247" s="108" t="str">
        <f t="shared" si="38"/>
        <v>618050304 3 04 S6420000</v>
      </c>
      <c r="B1247" s="197" t="s">
        <v>1050</v>
      </c>
      <c r="C1247" s="198" t="s">
        <v>783</v>
      </c>
      <c r="D1247" s="199" t="s">
        <v>86</v>
      </c>
      <c r="E1247" s="199" t="s">
        <v>13</v>
      </c>
      <c r="F1247" s="204" t="s">
        <v>1057</v>
      </c>
      <c r="G1247" s="204" t="s">
        <v>9</v>
      </c>
      <c r="H1247" s="20">
        <v>2705</v>
      </c>
      <c r="I1247" s="20">
        <v>0</v>
      </c>
      <c r="J1247" s="20">
        <v>0</v>
      </c>
      <c r="K1247" s="20"/>
      <c r="L1247" s="20"/>
      <c r="M1247" s="20"/>
      <c r="N1247" s="20"/>
      <c r="O1247" s="20"/>
      <c r="P1247" s="20"/>
      <c r="Q1247" s="17"/>
      <c r="T1247" s="20">
        <v>500</v>
      </c>
      <c r="U1247" s="20">
        <v>500</v>
      </c>
      <c r="V1247" s="20">
        <v>500</v>
      </c>
      <c r="W1247" s="20">
        <f t="shared" si="39"/>
        <v>2205</v>
      </c>
      <c r="X1247" s="20">
        <f t="shared" si="39"/>
        <v>-500</v>
      </c>
      <c r="Y1247" s="20">
        <f t="shared" si="39"/>
        <v>-500</v>
      </c>
    </row>
    <row r="1248" spans="1:25" s="16" customFormat="1">
      <c r="A1248" s="108" t="str">
        <f t="shared" si="38"/>
        <v>618050304 3 04 S6420000</v>
      </c>
      <c r="B1248" s="197" t="s">
        <v>1051</v>
      </c>
      <c r="C1248" s="198" t="s">
        <v>783</v>
      </c>
      <c r="D1248" s="199" t="s">
        <v>86</v>
      </c>
      <c r="E1248" s="199" t="s">
        <v>13</v>
      </c>
      <c r="F1248" s="204" t="s">
        <v>1057</v>
      </c>
      <c r="G1248" s="204" t="s">
        <v>9</v>
      </c>
      <c r="H1248" s="20">
        <v>5994</v>
      </c>
      <c r="I1248" s="20">
        <v>0</v>
      </c>
      <c r="J1248" s="20">
        <v>0</v>
      </c>
      <c r="K1248" s="20"/>
      <c r="L1248" s="20"/>
      <c r="M1248" s="20"/>
      <c r="N1248" s="20"/>
      <c r="O1248" s="20"/>
      <c r="P1248" s="20"/>
      <c r="Q1248" s="17"/>
      <c r="T1248" s="20">
        <v>500</v>
      </c>
      <c r="U1248" s="20">
        <v>500</v>
      </c>
      <c r="V1248" s="20">
        <v>500</v>
      </c>
      <c r="W1248" s="20">
        <f t="shared" si="39"/>
        <v>5494</v>
      </c>
      <c r="X1248" s="20">
        <f t="shared" si="39"/>
        <v>-500</v>
      </c>
      <c r="Y1248" s="20">
        <f t="shared" si="39"/>
        <v>-500</v>
      </c>
    </row>
    <row r="1249" spans="1:25" s="16" customFormat="1" ht="25.5">
      <c r="A1249" s="108" t="str">
        <f t="shared" si="38"/>
        <v>618050304 3 04 S6420240</v>
      </c>
      <c r="B1249" s="197" t="s">
        <v>28</v>
      </c>
      <c r="C1249" s="198" t="s">
        <v>783</v>
      </c>
      <c r="D1249" s="199" t="s">
        <v>86</v>
      </c>
      <c r="E1249" s="199" t="s">
        <v>13</v>
      </c>
      <c r="F1249" s="204" t="s">
        <v>1057</v>
      </c>
      <c r="G1249" s="204" t="s">
        <v>29</v>
      </c>
      <c r="H1249" s="20">
        <v>8699</v>
      </c>
      <c r="I1249" s="20">
        <v>0</v>
      </c>
      <c r="J1249" s="20">
        <v>0</v>
      </c>
      <c r="K1249" s="18"/>
      <c r="L1249" s="18"/>
      <c r="M1249" s="18"/>
      <c r="N1249" s="18"/>
      <c r="O1249" s="18"/>
      <c r="P1249" s="18"/>
      <c r="Q1249" s="17"/>
      <c r="T1249" s="18">
        <v>368457.65</v>
      </c>
      <c r="U1249" s="18">
        <v>263240.06</v>
      </c>
      <c r="V1249" s="18">
        <v>252044.32</v>
      </c>
      <c r="W1249" s="18">
        <f t="shared" si="39"/>
        <v>-359758.65</v>
      </c>
      <c r="X1249" s="18">
        <f t="shared" si="39"/>
        <v>-263240.06</v>
      </c>
      <c r="Y1249" s="18">
        <f t="shared" si="39"/>
        <v>-252044.32</v>
      </c>
    </row>
    <row r="1250" spans="1:25" s="16" customFormat="1" ht="38.25">
      <c r="A1250" s="108" t="str">
        <f t="shared" si="38"/>
        <v>618050398 0 00 00000000</v>
      </c>
      <c r="B1250" s="226" t="s">
        <v>87</v>
      </c>
      <c r="C1250" s="198" t="s">
        <v>783</v>
      </c>
      <c r="D1250" s="204" t="s">
        <v>86</v>
      </c>
      <c r="E1250" s="204" t="s">
        <v>13</v>
      </c>
      <c r="F1250" s="204" t="s">
        <v>88</v>
      </c>
      <c r="G1250" s="204" t="s">
        <v>9</v>
      </c>
      <c r="H1250" s="26">
        <v>2000</v>
      </c>
      <c r="I1250" s="26">
        <v>0</v>
      </c>
      <c r="J1250" s="26">
        <v>0</v>
      </c>
      <c r="K1250" s="19"/>
      <c r="L1250" s="19"/>
      <c r="M1250" s="19"/>
      <c r="N1250" s="19"/>
      <c r="O1250" s="19"/>
      <c r="P1250" s="19"/>
      <c r="Q1250" s="17"/>
      <c r="T1250" s="19">
        <v>15009.359999999999</v>
      </c>
      <c r="U1250" s="19">
        <v>13609.359999999999</v>
      </c>
      <c r="V1250" s="19">
        <v>13609.359999999999</v>
      </c>
      <c r="W1250" s="19">
        <f t="shared" si="39"/>
        <v>-13009.359999999999</v>
      </c>
      <c r="X1250" s="19">
        <f t="shared" si="39"/>
        <v>-13609.359999999999</v>
      </c>
      <c r="Y1250" s="19">
        <f t="shared" si="39"/>
        <v>-13609.359999999999</v>
      </c>
    </row>
    <row r="1251" spans="1:25" s="16" customFormat="1">
      <c r="A1251" s="108" t="str">
        <f t="shared" si="38"/>
        <v>618050398 1 00 00000000</v>
      </c>
      <c r="B1251" s="226" t="s">
        <v>89</v>
      </c>
      <c r="C1251" s="198" t="s">
        <v>783</v>
      </c>
      <c r="D1251" s="204" t="s">
        <v>86</v>
      </c>
      <c r="E1251" s="204" t="s">
        <v>13</v>
      </c>
      <c r="F1251" s="204" t="s">
        <v>90</v>
      </c>
      <c r="G1251" s="204" t="s">
        <v>9</v>
      </c>
      <c r="H1251" s="26">
        <v>2000</v>
      </c>
      <c r="I1251" s="26">
        <v>0</v>
      </c>
      <c r="J1251" s="26">
        <v>0</v>
      </c>
      <c r="K1251" s="20"/>
      <c r="L1251" s="20"/>
      <c r="M1251" s="20"/>
      <c r="N1251" s="20"/>
      <c r="O1251" s="20"/>
      <c r="P1251" s="20"/>
      <c r="Q1251" s="17"/>
      <c r="T1251" s="20">
        <v>15009.359999999999</v>
      </c>
      <c r="U1251" s="20">
        <v>13609.359999999999</v>
      </c>
      <c r="V1251" s="20">
        <v>13609.359999999999</v>
      </c>
      <c r="W1251" s="20">
        <f t="shared" si="39"/>
        <v>-13009.359999999999</v>
      </c>
      <c r="X1251" s="20">
        <f t="shared" si="39"/>
        <v>-13609.359999999999</v>
      </c>
      <c r="Y1251" s="20">
        <f t="shared" si="39"/>
        <v>-13609.359999999999</v>
      </c>
    </row>
    <row r="1252" spans="1:25" s="16" customFormat="1">
      <c r="A1252" s="108" t="str">
        <f t="shared" si="38"/>
        <v>618050398 1 00 21450000</v>
      </c>
      <c r="B1252" s="197" t="s">
        <v>778</v>
      </c>
      <c r="C1252" s="198" t="s">
        <v>783</v>
      </c>
      <c r="D1252" s="204" t="s">
        <v>86</v>
      </c>
      <c r="E1252" s="204" t="s">
        <v>13</v>
      </c>
      <c r="F1252" s="204" t="s">
        <v>779</v>
      </c>
      <c r="G1252" s="204" t="s">
        <v>9</v>
      </c>
      <c r="H1252" s="26">
        <v>2000</v>
      </c>
      <c r="I1252" s="26">
        <v>0</v>
      </c>
      <c r="J1252" s="26">
        <v>0</v>
      </c>
      <c r="K1252" s="20"/>
      <c r="L1252" s="20"/>
      <c r="M1252" s="20"/>
      <c r="N1252" s="20"/>
      <c r="O1252" s="20"/>
      <c r="P1252" s="20"/>
      <c r="Q1252" s="17"/>
      <c r="T1252" s="20">
        <v>15009.359999999999</v>
      </c>
      <c r="U1252" s="20">
        <v>13609.359999999999</v>
      </c>
      <c r="V1252" s="20">
        <v>13609.359999999999</v>
      </c>
      <c r="W1252" s="20">
        <f t="shared" si="39"/>
        <v>-13009.359999999999</v>
      </c>
      <c r="X1252" s="20">
        <f t="shared" si="39"/>
        <v>-13609.359999999999</v>
      </c>
      <c r="Y1252" s="20">
        <f t="shared" si="39"/>
        <v>-13609.359999999999</v>
      </c>
    </row>
    <row r="1253" spans="1:25" s="16" customFormat="1" ht="25.5">
      <c r="A1253" s="108" t="str">
        <f t="shared" si="38"/>
        <v>618050398 1 00 21450240</v>
      </c>
      <c r="B1253" s="197" t="s">
        <v>28</v>
      </c>
      <c r="C1253" s="198" t="s">
        <v>783</v>
      </c>
      <c r="D1253" s="204" t="s">
        <v>86</v>
      </c>
      <c r="E1253" s="204" t="s">
        <v>13</v>
      </c>
      <c r="F1253" s="204" t="s">
        <v>779</v>
      </c>
      <c r="G1253" s="204" t="s">
        <v>29</v>
      </c>
      <c r="H1253" s="26">
        <v>2000</v>
      </c>
      <c r="I1253" s="26">
        <v>0</v>
      </c>
      <c r="J1253" s="26">
        <v>0</v>
      </c>
      <c r="K1253" s="20"/>
      <c r="L1253" s="20"/>
      <c r="M1253" s="20"/>
      <c r="N1253" s="20"/>
      <c r="O1253" s="20"/>
      <c r="P1253" s="20"/>
      <c r="Q1253" s="17"/>
      <c r="T1253" s="20">
        <v>15009.359999999999</v>
      </c>
      <c r="U1253" s="20">
        <v>13609.359999999999</v>
      </c>
      <c r="V1253" s="20">
        <v>13609.359999999999</v>
      </c>
      <c r="W1253" s="20">
        <f t="shared" si="39"/>
        <v>-13009.359999999999</v>
      </c>
      <c r="X1253" s="20">
        <f t="shared" si="39"/>
        <v>-13609.359999999999</v>
      </c>
      <c r="Y1253" s="20">
        <f t="shared" si="39"/>
        <v>-13609.359999999999</v>
      </c>
    </row>
    <row r="1254" spans="1:25" s="16" customFormat="1">
      <c r="A1254" s="108" t="str">
        <f t="shared" si="38"/>
        <v>618080000 0 00 00000000</v>
      </c>
      <c r="B1254" s="191" t="s">
        <v>237</v>
      </c>
      <c r="C1254" s="192" t="s">
        <v>783</v>
      </c>
      <c r="D1254" s="193" t="s">
        <v>238</v>
      </c>
      <c r="E1254" s="193" t="s">
        <v>7</v>
      </c>
      <c r="F1254" s="193" t="s">
        <v>8</v>
      </c>
      <c r="G1254" s="193" t="s">
        <v>9</v>
      </c>
      <c r="H1254" s="18">
        <v>1480</v>
      </c>
      <c r="I1254" s="18">
        <v>1480</v>
      </c>
      <c r="J1254" s="18">
        <v>1480</v>
      </c>
      <c r="K1254" s="20"/>
      <c r="L1254" s="20"/>
      <c r="M1254" s="20"/>
      <c r="N1254" s="20"/>
      <c r="O1254" s="20"/>
      <c r="P1254" s="20"/>
      <c r="Q1254" s="17"/>
      <c r="T1254" s="20">
        <v>15009.359999999999</v>
      </c>
      <c r="U1254" s="20">
        <v>13609.359999999999</v>
      </c>
      <c r="V1254" s="20">
        <v>13609.359999999999</v>
      </c>
      <c r="W1254" s="20">
        <f t="shared" si="39"/>
        <v>-13529.359999999999</v>
      </c>
      <c r="X1254" s="20">
        <f t="shared" si="39"/>
        <v>-12129.359999999999</v>
      </c>
      <c r="Y1254" s="20">
        <f t="shared" si="39"/>
        <v>-12129.359999999999</v>
      </c>
    </row>
    <row r="1255" spans="1:25" s="16" customFormat="1">
      <c r="A1255" s="108" t="str">
        <f t="shared" si="38"/>
        <v>618080100 0 00 00000000</v>
      </c>
      <c r="B1255" s="194" t="s">
        <v>239</v>
      </c>
      <c r="C1255" s="195" t="s">
        <v>783</v>
      </c>
      <c r="D1255" s="196" t="s">
        <v>238</v>
      </c>
      <c r="E1255" s="196" t="s">
        <v>11</v>
      </c>
      <c r="F1255" s="196" t="s">
        <v>8</v>
      </c>
      <c r="G1255" s="196" t="s">
        <v>9</v>
      </c>
      <c r="H1255" s="19">
        <v>1480</v>
      </c>
      <c r="I1255" s="19">
        <v>1480</v>
      </c>
      <c r="J1255" s="19">
        <v>1480</v>
      </c>
      <c r="K1255" s="20"/>
      <c r="L1255" s="20"/>
      <c r="M1255" s="20"/>
      <c r="N1255" s="20"/>
      <c r="O1255" s="20"/>
      <c r="P1255" s="20"/>
      <c r="Q1255" s="17"/>
      <c r="T1255" s="20">
        <v>15009.359999999999</v>
      </c>
      <c r="U1255" s="20">
        <v>13609.359999999999</v>
      </c>
      <c r="V1255" s="20">
        <v>13609.359999999999</v>
      </c>
      <c r="W1255" s="20">
        <f t="shared" si="39"/>
        <v>-13529.359999999999</v>
      </c>
      <c r="X1255" s="20">
        <f t="shared" si="39"/>
        <v>-12129.359999999999</v>
      </c>
      <c r="Y1255" s="20">
        <f t="shared" si="39"/>
        <v>-12129.359999999999</v>
      </c>
    </row>
    <row r="1256" spans="1:25" s="16" customFormat="1">
      <c r="A1256" s="108" t="str">
        <f t="shared" si="38"/>
        <v>618080107 0 00 00000000</v>
      </c>
      <c r="B1256" s="197" t="s">
        <v>240</v>
      </c>
      <c r="C1256" s="198" t="s">
        <v>783</v>
      </c>
      <c r="D1256" s="199" t="s">
        <v>238</v>
      </c>
      <c r="E1256" s="199" t="s">
        <v>11</v>
      </c>
      <c r="F1256" s="199" t="s">
        <v>241</v>
      </c>
      <c r="G1256" s="199" t="s">
        <v>9</v>
      </c>
      <c r="H1256" s="20">
        <v>1480</v>
      </c>
      <c r="I1256" s="20">
        <v>1480</v>
      </c>
      <c r="J1256" s="20">
        <v>1480</v>
      </c>
      <c r="K1256" s="19"/>
      <c r="L1256" s="19"/>
      <c r="M1256" s="19"/>
      <c r="N1256" s="19"/>
      <c r="O1256" s="19"/>
      <c r="P1256" s="19"/>
      <c r="Q1256" s="17"/>
      <c r="T1256" s="19">
        <v>72490.98</v>
      </c>
      <c r="U1256" s="19">
        <v>55046.330000000009</v>
      </c>
      <c r="V1256" s="19">
        <v>25587.949999999997</v>
      </c>
      <c r="W1256" s="19">
        <f t="shared" si="39"/>
        <v>-71010.98</v>
      </c>
      <c r="X1256" s="19">
        <f t="shared" si="39"/>
        <v>-53566.330000000009</v>
      </c>
      <c r="Y1256" s="19">
        <f t="shared" si="39"/>
        <v>-24107.949999999997</v>
      </c>
    </row>
    <row r="1257" spans="1:25" s="16" customFormat="1" ht="51">
      <c r="A1257" s="108" t="str">
        <f t="shared" si="38"/>
        <v>618080107 1 00 00000000</v>
      </c>
      <c r="B1257" s="200" t="s">
        <v>384</v>
      </c>
      <c r="C1257" s="198" t="s">
        <v>783</v>
      </c>
      <c r="D1257" s="199" t="s">
        <v>238</v>
      </c>
      <c r="E1257" s="199" t="s">
        <v>11</v>
      </c>
      <c r="F1257" s="199" t="s">
        <v>243</v>
      </c>
      <c r="G1257" s="199" t="s">
        <v>9</v>
      </c>
      <c r="H1257" s="20">
        <v>1480</v>
      </c>
      <c r="I1257" s="20">
        <v>1480</v>
      </c>
      <c r="J1257" s="20">
        <v>1480</v>
      </c>
      <c r="K1257" s="20"/>
      <c r="L1257" s="20"/>
      <c r="M1257" s="20"/>
      <c r="N1257" s="20"/>
      <c r="O1257" s="20"/>
      <c r="P1257" s="20"/>
      <c r="Q1257" s="17"/>
      <c r="T1257" s="20">
        <v>72490.759999999995</v>
      </c>
      <c r="U1257" s="20">
        <v>55046.320000000007</v>
      </c>
      <c r="V1257" s="20">
        <v>25587.94</v>
      </c>
      <c r="W1257" s="20">
        <f t="shared" si="39"/>
        <v>-71010.759999999995</v>
      </c>
      <c r="X1257" s="20">
        <f t="shared" si="39"/>
        <v>-53566.320000000007</v>
      </c>
      <c r="Y1257" s="20">
        <f t="shared" si="39"/>
        <v>-24107.94</v>
      </c>
    </row>
    <row r="1258" spans="1:25" s="16" customFormat="1" ht="63.75">
      <c r="A1258" s="108" t="str">
        <f t="shared" si="38"/>
        <v>618080107 1 01 00000000</v>
      </c>
      <c r="B1258" s="226" t="s">
        <v>244</v>
      </c>
      <c r="C1258" s="203" t="s">
        <v>783</v>
      </c>
      <c r="D1258" s="204" t="s">
        <v>238</v>
      </c>
      <c r="E1258" s="204" t="s">
        <v>11</v>
      </c>
      <c r="F1258" s="204" t="s">
        <v>245</v>
      </c>
      <c r="G1258" s="204" t="s">
        <v>9</v>
      </c>
      <c r="H1258" s="26">
        <v>1480</v>
      </c>
      <c r="I1258" s="26">
        <v>1480</v>
      </c>
      <c r="J1258" s="26">
        <v>1480</v>
      </c>
      <c r="K1258" s="20"/>
      <c r="L1258" s="20"/>
      <c r="M1258" s="20"/>
      <c r="N1258" s="20"/>
      <c r="O1258" s="20"/>
      <c r="P1258" s="20"/>
      <c r="Q1258" s="17"/>
      <c r="T1258" s="20">
        <v>72490.759999999995</v>
      </c>
      <c r="U1258" s="20">
        <v>55046.320000000007</v>
      </c>
      <c r="V1258" s="20">
        <v>25587.94</v>
      </c>
      <c r="W1258" s="20">
        <f t="shared" si="39"/>
        <v>-71010.759999999995</v>
      </c>
      <c r="X1258" s="20">
        <f t="shared" si="39"/>
        <v>-53566.320000000007</v>
      </c>
      <c r="Y1258" s="20">
        <f t="shared" si="39"/>
        <v>-24107.94</v>
      </c>
    </row>
    <row r="1259" spans="1:25" s="16" customFormat="1" ht="25.5">
      <c r="A1259" s="108" t="str">
        <f t="shared" si="38"/>
        <v>618080107 1 01 20060000</v>
      </c>
      <c r="B1259" s="197" t="s">
        <v>246</v>
      </c>
      <c r="C1259" s="198" t="s">
        <v>783</v>
      </c>
      <c r="D1259" s="199" t="s">
        <v>238</v>
      </c>
      <c r="E1259" s="199" t="s">
        <v>11</v>
      </c>
      <c r="F1259" s="199" t="s">
        <v>247</v>
      </c>
      <c r="G1259" s="199" t="s">
        <v>9</v>
      </c>
      <c r="H1259" s="20">
        <v>919</v>
      </c>
      <c r="I1259" s="20">
        <v>919</v>
      </c>
      <c r="J1259" s="20">
        <v>919</v>
      </c>
      <c r="K1259" s="20"/>
      <c r="L1259" s="20"/>
      <c r="M1259" s="20"/>
      <c r="N1259" s="20"/>
      <c r="O1259" s="20"/>
      <c r="P1259" s="20"/>
      <c r="Q1259" s="17"/>
      <c r="T1259" s="20">
        <v>72490.759999999995</v>
      </c>
      <c r="U1259" s="20">
        <v>55046.320000000007</v>
      </c>
      <c r="V1259" s="20">
        <v>25587.94</v>
      </c>
      <c r="W1259" s="20">
        <f t="shared" si="39"/>
        <v>-71571.759999999995</v>
      </c>
      <c r="X1259" s="20">
        <f t="shared" si="39"/>
        <v>-54127.320000000007</v>
      </c>
      <c r="Y1259" s="20">
        <f t="shared" si="39"/>
        <v>-24668.94</v>
      </c>
    </row>
    <row r="1260" spans="1:25" s="16" customFormat="1" ht="25.5">
      <c r="A1260" s="108" t="str">
        <f t="shared" si="38"/>
        <v>618080107 1 01 20060240</v>
      </c>
      <c r="B1260" s="197" t="s">
        <v>28</v>
      </c>
      <c r="C1260" s="198" t="s">
        <v>783</v>
      </c>
      <c r="D1260" s="199" t="s">
        <v>238</v>
      </c>
      <c r="E1260" s="199" t="s">
        <v>11</v>
      </c>
      <c r="F1260" s="199" t="s">
        <v>247</v>
      </c>
      <c r="G1260" s="199" t="s">
        <v>29</v>
      </c>
      <c r="H1260" s="20">
        <v>919</v>
      </c>
      <c r="I1260" s="20">
        <v>919</v>
      </c>
      <c r="J1260" s="20">
        <v>919</v>
      </c>
      <c r="K1260" s="20"/>
      <c r="L1260" s="20"/>
      <c r="M1260" s="20"/>
      <c r="N1260" s="20"/>
      <c r="O1260" s="20"/>
      <c r="P1260" s="20"/>
      <c r="Q1260" s="17"/>
      <c r="T1260" s="20">
        <v>4023.94</v>
      </c>
      <c r="U1260" s="20">
        <v>4023.94</v>
      </c>
      <c r="V1260" s="20">
        <v>4023.94</v>
      </c>
      <c r="W1260" s="20">
        <f t="shared" si="39"/>
        <v>-3104.94</v>
      </c>
      <c r="X1260" s="20">
        <f t="shared" si="39"/>
        <v>-3104.94</v>
      </c>
      <c r="Y1260" s="20">
        <f t="shared" si="39"/>
        <v>-3104.94</v>
      </c>
    </row>
    <row r="1261" spans="1:25" s="16" customFormat="1" ht="25.5">
      <c r="A1261" s="108" t="str">
        <f t="shared" si="38"/>
        <v>618080107 1 01 21130000</v>
      </c>
      <c r="B1261" s="200" t="s">
        <v>780</v>
      </c>
      <c r="C1261" s="198" t="s">
        <v>783</v>
      </c>
      <c r="D1261" s="199" t="s">
        <v>238</v>
      </c>
      <c r="E1261" s="199" t="s">
        <v>11</v>
      </c>
      <c r="F1261" s="199" t="s">
        <v>781</v>
      </c>
      <c r="G1261" s="199" t="s">
        <v>9</v>
      </c>
      <c r="H1261" s="20">
        <v>561</v>
      </c>
      <c r="I1261" s="20">
        <v>561</v>
      </c>
      <c r="J1261" s="20">
        <v>561</v>
      </c>
      <c r="K1261" s="20"/>
      <c r="L1261" s="20"/>
      <c r="M1261" s="20"/>
      <c r="N1261" s="20"/>
      <c r="O1261" s="20"/>
      <c r="P1261" s="20"/>
      <c r="Q1261" s="17"/>
      <c r="T1261" s="20">
        <v>4023.94</v>
      </c>
      <c r="U1261" s="20">
        <v>4023.94</v>
      </c>
      <c r="V1261" s="20">
        <v>4023.94</v>
      </c>
      <c r="W1261" s="20">
        <f t="shared" si="39"/>
        <v>-3462.94</v>
      </c>
      <c r="X1261" s="20">
        <f t="shared" si="39"/>
        <v>-3462.94</v>
      </c>
      <c r="Y1261" s="20">
        <f t="shared" si="39"/>
        <v>-3462.94</v>
      </c>
    </row>
    <row r="1262" spans="1:25" s="16" customFormat="1" ht="25.5">
      <c r="A1262" s="108" t="str">
        <f t="shared" si="38"/>
        <v>618080107 1 01 21130240</v>
      </c>
      <c r="B1262" s="197" t="s">
        <v>28</v>
      </c>
      <c r="C1262" s="198" t="s">
        <v>783</v>
      </c>
      <c r="D1262" s="199" t="s">
        <v>238</v>
      </c>
      <c r="E1262" s="199" t="s">
        <v>11</v>
      </c>
      <c r="F1262" s="199" t="s">
        <v>781</v>
      </c>
      <c r="G1262" s="199" t="s">
        <v>29</v>
      </c>
      <c r="H1262" s="20">
        <v>561</v>
      </c>
      <c r="I1262" s="20">
        <v>561</v>
      </c>
      <c r="J1262" s="20">
        <v>561</v>
      </c>
      <c r="K1262" s="20"/>
      <c r="L1262" s="20"/>
      <c r="M1262" s="20"/>
      <c r="N1262" s="20"/>
      <c r="O1262" s="20"/>
      <c r="P1262" s="20"/>
      <c r="Q1262" s="17"/>
      <c r="T1262" s="20">
        <v>11796.87</v>
      </c>
      <c r="U1262" s="20">
        <v>11796.87</v>
      </c>
      <c r="V1262" s="20">
        <v>21564</v>
      </c>
      <c r="W1262" s="20">
        <f t="shared" si="39"/>
        <v>-11235.87</v>
      </c>
      <c r="X1262" s="20">
        <f t="shared" si="39"/>
        <v>-11235.87</v>
      </c>
      <c r="Y1262" s="20">
        <f t="shared" si="39"/>
        <v>-21003</v>
      </c>
    </row>
    <row r="1263" spans="1:25" s="16" customFormat="1">
      <c r="A1263" s="108" t="str">
        <f t="shared" si="38"/>
        <v>618100000 0 00 00000000</v>
      </c>
      <c r="B1263" s="191" t="s">
        <v>316</v>
      </c>
      <c r="C1263" s="192" t="s">
        <v>783</v>
      </c>
      <c r="D1263" s="193" t="s">
        <v>317</v>
      </c>
      <c r="E1263" s="193" t="s">
        <v>7</v>
      </c>
      <c r="F1263" s="193" t="s">
        <v>8</v>
      </c>
      <c r="G1263" s="193" t="s">
        <v>9</v>
      </c>
      <c r="H1263" s="18">
        <v>379.79</v>
      </c>
      <c r="I1263" s="18">
        <v>0</v>
      </c>
      <c r="J1263" s="18">
        <v>0</v>
      </c>
      <c r="K1263" s="57"/>
      <c r="L1263" s="57"/>
      <c r="M1263" s="57"/>
      <c r="N1263" s="57"/>
      <c r="O1263" s="57"/>
      <c r="P1263" s="57"/>
      <c r="Q1263" s="17"/>
      <c r="T1263" s="57">
        <v>11796.87</v>
      </c>
      <c r="U1263" s="57">
        <v>11796.87</v>
      </c>
      <c r="V1263" s="57">
        <v>21564</v>
      </c>
      <c r="W1263" s="57">
        <f t="shared" si="39"/>
        <v>-11417.08</v>
      </c>
      <c r="X1263" s="57">
        <f t="shared" si="39"/>
        <v>-11796.87</v>
      </c>
      <c r="Y1263" s="57">
        <f t="shared" si="39"/>
        <v>-21564</v>
      </c>
    </row>
    <row r="1264" spans="1:25" s="59" customFormat="1">
      <c r="A1264" s="108" t="str">
        <f t="shared" si="38"/>
        <v>618100300 0 00 00000000</v>
      </c>
      <c r="B1264" s="194" t="s">
        <v>318</v>
      </c>
      <c r="C1264" s="195" t="s">
        <v>783</v>
      </c>
      <c r="D1264" s="196" t="s">
        <v>317</v>
      </c>
      <c r="E1264" s="196" t="s">
        <v>13</v>
      </c>
      <c r="F1264" s="196" t="s">
        <v>8</v>
      </c>
      <c r="G1264" s="196" t="s">
        <v>9</v>
      </c>
      <c r="H1264" s="19">
        <v>379.79</v>
      </c>
      <c r="I1264" s="19">
        <v>0</v>
      </c>
      <c r="J1264" s="19">
        <v>0</v>
      </c>
      <c r="K1264" s="20"/>
      <c r="L1264" s="20"/>
      <c r="M1264" s="20"/>
      <c r="N1264" s="20"/>
      <c r="O1264" s="20"/>
      <c r="P1264" s="20"/>
      <c r="Q1264" s="17"/>
      <c r="T1264" s="20">
        <v>56669.95</v>
      </c>
      <c r="U1264" s="20">
        <v>39225.51</v>
      </c>
      <c r="V1264" s="20">
        <v>0</v>
      </c>
      <c r="W1264" s="20">
        <f t="shared" si="39"/>
        <v>-56290.159999999996</v>
      </c>
      <c r="X1264" s="20">
        <f t="shared" si="39"/>
        <v>-39225.51</v>
      </c>
      <c r="Y1264" s="20">
        <f t="shared" si="39"/>
        <v>0</v>
      </c>
    </row>
    <row r="1265" spans="1:25" s="59" customFormat="1" ht="38.25">
      <c r="A1265" s="108" t="str">
        <f t="shared" si="38"/>
        <v>61810 0398 0 00 00000000</v>
      </c>
      <c r="B1265" s="200" t="s">
        <v>87</v>
      </c>
      <c r="C1265" s="198" t="s">
        <v>783</v>
      </c>
      <c r="D1265" s="199" t="s">
        <v>1314</v>
      </c>
      <c r="E1265" s="199" t="s">
        <v>13</v>
      </c>
      <c r="F1265" s="199" t="s">
        <v>88</v>
      </c>
      <c r="G1265" s="199" t="s">
        <v>9</v>
      </c>
      <c r="H1265" s="20">
        <v>379.79</v>
      </c>
      <c r="I1265" s="20">
        <v>0</v>
      </c>
      <c r="J1265" s="20">
        <v>0</v>
      </c>
      <c r="K1265" s="20"/>
      <c r="L1265" s="20"/>
      <c r="M1265" s="20"/>
      <c r="N1265" s="20"/>
      <c r="O1265" s="20"/>
      <c r="P1265" s="20"/>
      <c r="Q1265" s="17"/>
      <c r="T1265" s="20"/>
      <c r="U1265" s="20"/>
      <c r="V1265" s="20"/>
      <c r="W1265" s="20">
        <f t="shared" si="39"/>
        <v>379.79</v>
      </c>
      <c r="X1265" s="20">
        <f t="shared" si="39"/>
        <v>0</v>
      </c>
      <c r="Y1265" s="20">
        <f t="shared" si="39"/>
        <v>0</v>
      </c>
    </row>
    <row r="1266" spans="1:25" s="59" customFormat="1">
      <c r="A1266" s="108" t="str">
        <f t="shared" si="38"/>
        <v>61810 0398 1 00 00000000</v>
      </c>
      <c r="B1266" s="200" t="s">
        <v>89</v>
      </c>
      <c r="C1266" s="198" t="s">
        <v>783</v>
      </c>
      <c r="D1266" s="199" t="s">
        <v>1314</v>
      </c>
      <c r="E1266" s="199" t="s">
        <v>13</v>
      </c>
      <c r="F1266" s="199" t="s">
        <v>90</v>
      </c>
      <c r="G1266" s="199" t="s">
        <v>9</v>
      </c>
      <c r="H1266" s="20">
        <v>379.79</v>
      </c>
      <c r="I1266" s="20">
        <v>0</v>
      </c>
      <c r="J1266" s="20">
        <v>0</v>
      </c>
      <c r="K1266" s="20"/>
      <c r="L1266" s="20"/>
      <c r="M1266" s="20"/>
      <c r="N1266" s="20"/>
      <c r="O1266" s="20"/>
      <c r="P1266" s="20"/>
      <c r="Q1266" s="17"/>
      <c r="T1266" s="20">
        <v>36669.949999999997</v>
      </c>
      <c r="U1266" s="20">
        <v>39225.51</v>
      </c>
      <c r="V1266" s="20">
        <v>0</v>
      </c>
      <c r="W1266" s="20">
        <f t="shared" si="39"/>
        <v>-36290.159999999996</v>
      </c>
      <c r="X1266" s="20">
        <f t="shared" si="39"/>
        <v>-39225.51</v>
      </c>
      <c r="Y1266" s="20">
        <f t="shared" si="39"/>
        <v>0</v>
      </c>
    </row>
    <row r="1267" spans="1:25" s="59" customFormat="1" ht="76.5">
      <c r="A1267" s="108" t="str">
        <f t="shared" si="38"/>
        <v>618100398 1 00 21560000</v>
      </c>
      <c r="B1267" s="207" t="s">
        <v>1315</v>
      </c>
      <c r="C1267" s="198" t="s">
        <v>783</v>
      </c>
      <c r="D1267" s="199" t="s">
        <v>317</v>
      </c>
      <c r="E1267" s="199" t="s">
        <v>13</v>
      </c>
      <c r="F1267" s="199" t="s">
        <v>1316</v>
      </c>
      <c r="G1267" s="199" t="s">
        <v>9</v>
      </c>
      <c r="H1267" s="20">
        <v>379.79</v>
      </c>
      <c r="I1267" s="20">
        <v>0</v>
      </c>
      <c r="J1267" s="20">
        <v>0</v>
      </c>
      <c r="K1267" s="20"/>
      <c r="L1267" s="20"/>
      <c r="M1267" s="20"/>
      <c r="N1267" s="20"/>
      <c r="O1267" s="20"/>
      <c r="P1267" s="20"/>
      <c r="Q1267" s="17"/>
      <c r="T1267" s="20">
        <v>56669.95</v>
      </c>
      <c r="U1267" s="20">
        <v>39225.51</v>
      </c>
      <c r="V1267" s="20">
        <v>0</v>
      </c>
      <c r="W1267" s="20">
        <f t="shared" si="39"/>
        <v>-56290.159999999996</v>
      </c>
      <c r="X1267" s="20">
        <f t="shared" si="39"/>
        <v>-39225.51</v>
      </c>
      <c r="Y1267" s="20">
        <f t="shared" si="39"/>
        <v>0</v>
      </c>
    </row>
    <row r="1268" spans="1:25" s="59" customFormat="1" ht="38.25">
      <c r="A1268" s="108" t="str">
        <f t="shared" si="38"/>
        <v>618100398 1 00 21560810</v>
      </c>
      <c r="B1268" s="201" t="s">
        <v>203</v>
      </c>
      <c r="C1268" s="198" t="s">
        <v>783</v>
      </c>
      <c r="D1268" s="199" t="s">
        <v>317</v>
      </c>
      <c r="E1268" s="199" t="s">
        <v>13</v>
      </c>
      <c r="F1268" s="199" t="s">
        <v>1316</v>
      </c>
      <c r="G1268" s="199" t="s">
        <v>204</v>
      </c>
      <c r="H1268" s="20">
        <v>379.79</v>
      </c>
      <c r="I1268" s="20">
        <v>0</v>
      </c>
      <c r="J1268" s="20">
        <v>0</v>
      </c>
      <c r="K1268" s="20"/>
      <c r="L1268" s="20"/>
      <c r="M1268" s="20"/>
      <c r="N1268" s="20"/>
      <c r="O1268" s="20"/>
      <c r="P1268" s="20"/>
      <c r="Q1268" s="17"/>
      <c r="T1268" s="20">
        <v>0.22</v>
      </c>
      <c r="U1268" s="20">
        <v>0.01</v>
      </c>
      <c r="V1268" s="20">
        <v>0.01</v>
      </c>
      <c r="W1268" s="20">
        <f t="shared" si="39"/>
        <v>379.57</v>
      </c>
      <c r="X1268" s="20">
        <f t="shared" si="39"/>
        <v>-0.01</v>
      </c>
      <c r="Y1268" s="20">
        <f t="shared" si="39"/>
        <v>-0.01</v>
      </c>
    </row>
    <row r="1269" spans="1:25" s="59" customFormat="1">
      <c r="A1269" s="108" t="str">
        <f t="shared" si="38"/>
        <v/>
      </c>
      <c r="B1269" s="201"/>
      <c r="C1269" s="198"/>
      <c r="D1269" s="199"/>
      <c r="E1269" s="199"/>
      <c r="F1269" s="199"/>
      <c r="G1269" s="199"/>
      <c r="H1269" s="20"/>
      <c r="I1269" s="20"/>
      <c r="J1269" s="20"/>
      <c r="K1269" s="20"/>
      <c r="L1269" s="20"/>
      <c r="M1269" s="20"/>
      <c r="N1269" s="20"/>
      <c r="O1269" s="20"/>
      <c r="P1269" s="20"/>
      <c r="Q1269" s="17"/>
      <c r="T1269" s="20">
        <v>0.22</v>
      </c>
      <c r="U1269" s="20">
        <v>0.01</v>
      </c>
      <c r="V1269" s="20">
        <v>0.01</v>
      </c>
      <c r="W1269" s="20">
        <f t="shared" si="39"/>
        <v>-0.22</v>
      </c>
      <c r="X1269" s="20">
        <f t="shared" si="39"/>
        <v>-0.01</v>
      </c>
      <c r="Y1269" s="20">
        <f t="shared" si="39"/>
        <v>-0.01</v>
      </c>
    </row>
    <row r="1270" spans="1:25" s="59" customFormat="1">
      <c r="A1270" s="108" t="str">
        <f t="shared" si="38"/>
        <v>619000000 0 00 00000000</v>
      </c>
      <c r="B1270" s="202" t="s">
        <v>794</v>
      </c>
      <c r="C1270" s="189" t="s">
        <v>795</v>
      </c>
      <c r="D1270" s="190" t="s">
        <v>7</v>
      </c>
      <c r="E1270" s="190" t="s">
        <v>7</v>
      </c>
      <c r="F1270" s="258" t="s">
        <v>8</v>
      </c>
      <c r="G1270" s="190" t="s">
        <v>9</v>
      </c>
      <c r="H1270" s="25">
        <v>257186.38</v>
      </c>
      <c r="I1270" s="25">
        <v>200845.32</v>
      </c>
      <c r="J1270" s="25">
        <v>212625.46000000002</v>
      </c>
      <c r="K1270" s="20"/>
      <c r="L1270" s="20"/>
      <c r="M1270" s="20"/>
      <c r="N1270" s="20"/>
      <c r="O1270" s="20"/>
      <c r="P1270" s="20"/>
      <c r="Q1270" s="17"/>
      <c r="T1270" s="20">
        <v>0.22</v>
      </c>
      <c r="U1270" s="20">
        <v>0.01</v>
      </c>
      <c r="V1270" s="20">
        <v>0.01</v>
      </c>
      <c r="W1270" s="20">
        <f t="shared" si="39"/>
        <v>257186.16</v>
      </c>
      <c r="X1270" s="20">
        <f t="shared" si="39"/>
        <v>200845.31</v>
      </c>
      <c r="Y1270" s="20">
        <f t="shared" si="39"/>
        <v>212625.45</v>
      </c>
    </row>
    <row r="1271" spans="1:25" s="16" customFormat="1">
      <c r="A1271" s="108" t="str">
        <f t="shared" si="38"/>
        <v>619010000 0 00 00000000</v>
      </c>
      <c r="B1271" s="259" t="s">
        <v>10</v>
      </c>
      <c r="C1271" s="192" t="s">
        <v>795</v>
      </c>
      <c r="D1271" s="193" t="s">
        <v>11</v>
      </c>
      <c r="E1271" s="193" t="s">
        <v>7</v>
      </c>
      <c r="F1271" s="193" t="s">
        <v>8</v>
      </c>
      <c r="G1271" s="193" t="s">
        <v>9</v>
      </c>
      <c r="H1271" s="18">
        <v>48966.529999999992</v>
      </c>
      <c r="I1271" s="18">
        <v>44836.679999999993</v>
      </c>
      <c r="J1271" s="18">
        <v>44836.679999999993</v>
      </c>
      <c r="K1271" s="20"/>
      <c r="L1271" s="20"/>
      <c r="M1271" s="20"/>
      <c r="N1271" s="20"/>
      <c r="O1271" s="20"/>
      <c r="P1271" s="20"/>
      <c r="Q1271" s="17"/>
      <c r="T1271" s="20"/>
      <c r="U1271" s="20"/>
      <c r="V1271" s="20"/>
      <c r="W1271" s="20">
        <f t="shared" si="39"/>
        <v>48966.529999999992</v>
      </c>
      <c r="X1271" s="20">
        <f t="shared" si="39"/>
        <v>44836.679999999993</v>
      </c>
      <c r="Y1271" s="20">
        <f t="shared" si="39"/>
        <v>44836.679999999993</v>
      </c>
    </row>
    <row r="1272" spans="1:25" s="16" customFormat="1" ht="39">
      <c r="A1272" s="108" t="str">
        <f t="shared" si="38"/>
        <v>619010400 0 00 00000000</v>
      </c>
      <c r="B1272" s="260" t="s">
        <v>72</v>
      </c>
      <c r="C1272" s="195" t="s">
        <v>795</v>
      </c>
      <c r="D1272" s="196" t="s">
        <v>11</v>
      </c>
      <c r="E1272" s="196" t="s">
        <v>73</v>
      </c>
      <c r="F1272" s="196" t="s">
        <v>8</v>
      </c>
      <c r="G1272" s="196" t="s">
        <v>9</v>
      </c>
      <c r="H1272" s="19">
        <v>44312.499999999993</v>
      </c>
      <c r="I1272" s="19">
        <v>44259.87999999999</v>
      </c>
      <c r="J1272" s="19">
        <v>44259.87999999999</v>
      </c>
      <c r="K1272" s="20"/>
      <c r="L1272" s="20"/>
      <c r="M1272" s="20"/>
      <c r="N1272" s="20"/>
      <c r="O1272" s="20"/>
      <c r="P1272" s="20"/>
      <c r="Q1272" s="17"/>
      <c r="T1272" s="20">
        <v>0.01</v>
      </c>
      <c r="U1272" s="20">
        <v>0</v>
      </c>
      <c r="V1272" s="20">
        <v>0</v>
      </c>
      <c r="W1272" s="20">
        <f t="shared" si="39"/>
        <v>44312.489999999991</v>
      </c>
      <c r="X1272" s="20">
        <f t="shared" si="39"/>
        <v>44259.87999999999</v>
      </c>
      <c r="Y1272" s="20">
        <f t="shared" si="39"/>
        <v>44259.87999999999</v>
      </c>
    </row>
    <row r="1273" spans="1:25" s="16" customFormat="1" ht="25.5">
      <c r="A1273" s="108" t="str">
        <f t="shared" si="38"/>
        <v>619010482 0 00 00000000</v>
      </c>
      <c r="B1273" s="197" t="s">
        <v>796</v>
      </c>
      <c r="C1273" s="199" t="s">
        <v>795</v>
      </c>
      <c r="D1273" s="199" t="s">
        <v>11</v>
      </c>
      <c r="E1273" s="199" t="s">
        <v>73</v>
      </c>
      <c r="F1273" s="199" t="s">
        <v>797</v>
      </c>
      <c r="G1273" s="199" t="s">
        <v>9</v>
      </c>
      <c r="H1273" s="20">
        <v>44312.499999999993</v>
      </c>
      <c r="I1273" s="20">
        <v>44259.87999999999</v>
      </c>
      <c r="J1273" s="20">
        <v>44259.87999999999</v>
      </c>
      <c r="K1273" s="20"/>
      <c r="L1273" s="20"/>
      <c r="M1273" s="20"/>
      <c r="N1273" s="20"/>
      <c r="O1273" s="20"/>
      <c r="P1273" s="20"/>
      <c r="Q1273" s="17"/>
      <c r="T1273" s="20">
        <v>0.22</v>
      </c>
      <c r="U1273" s="20">
        <v>0.01</v>
      </c>
      <c r="V1273" s="20">
        <v>0.01</v>
      </c>
      <c r="W1273" s="20">
        <f t="shared" si="39"/>
        <v>44312.279999999992</v>
      </c>
      <c r="X1273" s="20">
        <f t="shared" si="39"/>
        <v>44259.869999999988</v>
      </c>
      <c r="Y1273" s="20">
        <f t="shared" si="39"/>
        <v>44259.869999999988</v>
      </c>
    </row>
    <row r="1274" spans="1:25" s="16" customFormat="1" ht="25.5">
      <c r="A1274" s="108" t="str">
        <f t="shared" si="38"/>
        <v>619010482 1 00 00000000</v>
      </c>
      <c r="B1274" s="197" t="s">
        <v>798</v>
      </c>
      <c r="C1274" s="199" t="s">
        <v>795</v>
      </c>
      <c r="D1274" s="199" t="s">
        <v>11</v>
      </c>
      <c r="E1274" s="199" t="s">
        <v>73</v>
      </c>
      <c r="F1274" s="199" t="s">
        <v>799</v>
      </c>
      <c r="G1274" s="199" t="s">
        <v>9</v>
      </c>
      <c r="H1274" s="26">
        <v>44312.499999999993</v>
      </c>
      <c r="I1274" s="26">
        <v>44259.87999999999</v>
      </c>
      <c r="J1274" s="26">
        <v>44259.87999999999</v>
      </c>
      <c r="K1274" s="61"/>
      <c r="L1274" s="61"/>
      <c r="M1274" s="61"/>
      <c r="N1274" s="61"/>
      <c r="O1274" s="61"/>
      <c r="P1274" s="61"/>
      <c r="Q1274" s="17"/>
      <c r="T1274" s="61">
        <v>277957.31</v>
      </c>
      <c r="U1274" s="61">
        <v>194584.37</v>
      </c>
      <c r="V1274" s="61">
        <v>212847.01</v>
      </c>
      <c r="W1274" s="61">
        <f t="shared" si="39"/>
        <v>-233644.81</v>
      </c>
      <c r="X1274" s="61">
        <f t="shared" si="39"/>
        <v>-150324.49</v>
      </c>
      <c r="Y1274" s="61">
        <f t="shared" si="39"/>
        <v>-168587.13</v>
      </c>
    </row>
    <row r="1275" spans="1:25" s="16" customFormat="1" ht="25.5">
      <c r="A1275" s="108" t="str">
        <f t="shared" si="38"/>
        <v>619010482 1 00 10010000</v>
      </c>
      <c r="B1275" s="197" t="s">
        <v>18</v>
      </c>
      <c r="C1275" s="199" t="s">
        <v>795</v>
      </c>
      <c r="D1275" s="199" t="s">
        <v>11</v>
      </c>
      <c r="E1275" s="199" t="s">
        <v>73</v>
      </c>
      <c r="F1275" s="199" t="s">
        <v>800</v>
      </c>
      <c r="G1275" s="199" t="s">
        <v>9</v>
      </c>
      <c r="H1275" s="26">
        <v>5112.3100000000004</v>
      </c>
      <c r="I1275" s="26">
        <v>5112.3100000000004</v>
      </c>
      <c r="J1275" s="26">
        <v>5112.3100000000004</v>
      </c>
      <c r="K1275" s="32"/>
      <c r="L1275" s="32"/>
      <c r="M1275" s="32"/>
      <c r="N1275" s="32"/>
      <c r="O1275" s="32"/>
      <c r="P1275" s="32"/>
      <c r="Q1275" s="17"/>
      <c r="T1275" s="32">
        <v>7251.46</v>
      </c>
      <c r="U1275" s="32">
        <v>5251.46</v>
      </c>
      <c r="V1275" s="32">
        <v>5251.46</v>
      </c>
      <c r="W1275" s="32">
        <f t="shared" si="39"/>
        <v>-2139.1499999999996</v>
      </c>
      <c r="X1275" s="32">
        <f t="shared" si="39"/>
        <v>-139.14999999999964</v>
      </c>
      <c r="Y1275" s="32">
        <f t="shared" si="39"/>
        <v>-139.14999999999964</v>
      </c>
    </row>
    <row r="1276" spans="1:25" s="16" customFormat="1" ht="25.5">
      <c r="A1276" s="108" t="str">
        <f t="shared" si="38"/>
        <v>619010482 1 00 10010120</v>
      </c>
      <c r="B1276" s="201" t="s">
        <v>20</v>
      </c>
      <c r="C1276" s="204" t="s">
        <v>795</v>
      </c>
      <c r="D1276" s="204" t="s">
        <v>11</v>
      </c>
      <c r="E1276" s="204" t="s">
        <v>73</v>
      </c>
      <c r="F1276" s="199" t="s">
        <v>800</v>
      </c>
      <c r="G1276" s="204" t="s">
        <v>21</v>
      </c>
      <c r="H1276" s="26">
        <v>836.55</v>
      </c>
      <c r="I1276" s="26">
        <v>836.55</v>
      </c>
      <c r="J1276" s="26">
        <v>836.55</v>
      </c>
      <c r="K1276" s="32"/>
      <c r="L1276" s="32"/>
      <c r="M1276" s="32"/>
      <c r="N1276" s="32"/>
      <c r="O1276" s="32"/>
      <c r="P1276" s="32"/>
      <c r="Q1276" s="17"/>
      <c r="T1276" s="32">
        <v>7251.46</v>
      </c>
      <c r="U1276" s="32">
        <v>5251.46</v>
      </c>
      <c r="V1276" s="32">
        <v>5251.46</v>
      </c>
      <c r="W1276" s="32">
        <f t="shared" si="39"/>
        <v>-6414.91</v>
      </c>
      <c r="X1276" s="32">
        <f t="shared" si="39"/>
        <v>-4414.91</v>
      </c>
      <c r="Y1276" s="32">
        <f t="shared" si="39"/>
        <v>-4414.91</v>
      </c>
    </row>
    <row r="1277" spans="1:25" s="16" customFormat="1" ht="25.5">
      <c r="A1277" s="108" t="str">
        <f t="shared" si="38"/>
        <v>619010482 1 00 10010240</v>
      </c>
      <c r="B1277" s="197" t="s">
        <v>28</v>
      </c>
      <c r="C1277" s="199" t="s">
        <v>795</v>
      </c>
      <c r="D1277" s="199" t="s">
        <v>11</v>
      </c>
      <c r="E1277" s="199" t="s">
        <v>73</v>
      </c>
      <c r="F1277" s="199" t="s">
        <v>800</v>
      </c>
      <c r="G1277" s="199" t="s">
        <v>29</v>
      </c>
      <c r="H1277" s="26">
        <v>3935.76</v>
      </c>
      <c r="I1277" s="26">
        <v>3935.76</v>
      </c>
      <c r="J1277" s="26">
        <v>3935.76</v>
      </c>
      <c r="K1277" s="32"/>
      <c r="L1277" s="32"/>
      <c r="M1277" s="32"/>
      <c r="N1277" s="32"/>
      <c r="O1277" s="32"/>
      <c r="P1277" s="32"/>
      <c r="Q1277" s="17"/>
      <c r="T1277" s="32">
        <v>7251.46</v>
      </c>
      <c r="U1277" s="32">
        <v>5251.46</v>
      </c>
      <c r="V1277" s="32">
        <v>5251.46</v>
      </c>
      <c r="W1277" s="32">
        <f t="shared" si="39"/>
        <v>-3315.7</v>
      </c>
      <c r="X1277" s="32">
        <f t="shared" si="39"/>
        <v>-1315.6999999999998</v>
      </c>
      <c r="Y1277" s="32">
        <f t="shared" si="39"/>
        <v>-1315.6999999999998</v>
      </c>
    </row>
    <row r="1278" spans="1:25" s="16" customFormat="1">
      <c r="A1278" s="108" t="str">
        <f t="shared" si="38"/>
        <v>619010482 1 00 10010850</v>
      </c>
      <c r="B1278" s="197" t="s">
        <v>32</v>
      </c>
      <c r="C1278" s="204" t="s">
        <v>795</v>
      </c>
      <c r="D1278" s="204" t="s">
        <v>11</v>
      </c>
      <c r="E1278" s="204" t="s">
        <v>73</v>
      </c>
      <c r="F1278" s="199" t="s">
        <v>800</v>
      </c>
      <c r="G1278" s="204" t="s">
        <v>33</v>
      </c>
      <c r="H1278" s="26">
        <v>340</v>
      </c>
      <c r="I1278" s="26">
        <v>340</v>
      </c>
      <c r="J1278" s="26">
        <v>340</v>
      </c>
      <c r="K1278" s="32"/>
      <c r="L1278" s="32"/>
      <c r="M1278" s="32"/>
      <c r="N1278" s="32"/>
      <c r="O1278" s="32"/>
      <c r="P1278" s="32"/>
      <c r="Q1278" s="17"/>
      <c r="T1278" s="32">
        <v>7251.46</v>
      </c>
      <c r="U1278" s="32">
        <v>5251.46</v>
      </c>
      <c r="V1278" s="32">
        <v>5251.46</v>
      </c>
      <c r="W1278" s="32">
        <f t="shared" si="39"/>
        <v>-6911.46</v>
      </c>
      <c r="X1278" s="32">
        <f t="shared" si="39"/>
        <v>-4911.46</v>
      </c>
      <c r="Y1278" s="32">
        <f t="shared" si="39"/>
        <v>-4911.46</v>
      </c>
    </row>
    <row r="1279" spans="1:25" s="16" customFormat="1" ht="25.5">
      <c r="A1279" s="108" t="str">
        <f t="shared" si="38"/>
        <v>619010482 1 00 10020000</v>
      </c>
      <c r="B1279" s="201" t="s">
        <v>789</v>
      </c>
      <c r="C1279" s="204" t="s">
        <v>795</v>
      </c>
      <c r="D1279" s="204" t="s">
        <v>11</v>
      </c>
      <c r="E1279" s="204" t="s">
        <v>73</v>
      </c>
      <c r="F1279" s="204" t="s">
        <v>801</v>
      </c>
      <c r="G1279" s="204" t="s">
        <v>9</v>
      </c>
      <c r="H1279" s="26">
        <v>36359.759999999995</v>
      </c>
      <c r="I1279" s="26">
        <v>37541.689999999995</v>
      </c>
      <c r="J1279" s="26">
        <v>37541.689999999995</v>
      </c>
      <c r="K1279" s="32"/>
      <c r="L1279" s="32"/>
      <c r="M1279" s="32"/>
      <c r="N1279" s="32"/>
      <c r="O1279" s="32"/>
      <c r="P1279" s="32"/>
      <c r="Q1279" s="17"/>
      <c r="T1279" s="32">
        <v>7251.46</v>
      </c>
      <c r="U1279" s="32">
        <v>5251.46</v>
      </c>
      <c r="V1279" s="32">
        <v>5251.46</v>
      </c>
      <c r="W1279" s="32">
        <f t="shared" si="39"/>
        <v>29108.299999999996</v>
      </c>
      <c r="X1279" s="32">
        <f t="shared" si="39"/>
        <v>32290.229999999996</v>
      </c>
      <c r="Y1279" s="32">
        <f t="shared" si="39"/>
        <v>32290.229999999996</v>
      </c>
    </row>
    <row r="1280" spans="1:25" s="16" customFormat="1" ht="25.5">
      <c r="A1280" s="108" t="str">
        <f t="shared" si="38"/>
        <v>619010482 1 00 10020120</v>
      </c>
      <c r="B1280" s="201" t="s">
        <v>20</v>
      </c>
      <c r="C1280" s="204" t="s">
        <v>795</v>
      </c>
      <c r="D1280" s="204" t="s">
        <v>11</v>
      </c>
      <c r="E1280" s="204" t="s">
        <v>73</v>
      </c>
      <c r="F1280" s="204" t="s">
        <v>801</v>
      </c>
      <c r="G1280" s="204" t="s">
        <v>21</v>
      </c>
      <c r="H1280" s="26">
        <v>36359.759999999995</v>
      </c>
      <c r="I1280" s="26">
        <v>37541.689999999995</v>
      </c>
      <c r="J1280" s="26">
        <v>37541.689999999995</v>
      </c>
      <c r="K1280" s="32"/>
      <c r="L1280" s="32"/>
      <c r="M1280" s="32"/>
      <c r="N1280" s="32"/>
      <c r="O1280" s="32"/>
      <c r="P1280" s="32"/>
      <c r="Q1280" s="17"/>
      <c r="T1280" s="32">
        <v>270705.84999999998</v>
      </c>
      <c r="U1280" s="32">
        <v>189332.91</v>
      </c>
      <c r="V1280" s="32">
        <v>207595.55000000002</v>
      </c>
      <c r="W1280" s="32">
        <f t="shared" si="39"/>
        <v>-234346.08999999997</v>
      </c>
      <c r="X1280" s="32">
        <f t="shared" si="39"/>
        <v>-151791.22</v>
      </c>
      <c r="Y1280" s="32">
        <f t="shared" si="39"/>
        <v>-170053.86000000002</v>
      </c>
    </row>
    <row r="1281" spans="1:25" s="16" customFormat="1" ht="51">
      <c r="A1281" s="108" t="str">
        <f t="shared" si="38"/>
        <v>619010482 1 00 76200000</v>
      </c>
      <c r="B1281" s="252" t="s">
        <v>488</v>
      </c>
      <c r="C1281" s="204" t="s">
        <v>795</v>
      </c>
      <c r="D1281" s="204" t="s">
        <v>11</v>
      </c>
      <c r="E1281" s="204" t="s">
        <v>73</v>
      </c>
      <c r="F1281" s="204" t="s">
        <v>802</v>
      </c>
      <c r="G1281" s="204" t="s">
        <v>9</v>
      </c>
      <c r="H1281" s="26">
        <v>1587.6</v>
      </c>
      <c r="I1281" s="26">
        <v>1534.98</v>
      </c>
      <c r="J1281" s="26">
        <v>1534.98</v>
      </c>
      <c r="K1281" s="32"/>
      <c r="L1281" s="32"/>
      <c r="M1281" s="32"/>
      <c r="N1281" s="32"/>
      <c r="O1281" s="32"/>
      <c r="P1281" s="32"/>
      <c r="Q1281" s="17"/>
      <c r="T1281" s="32">
        <v>270705.84999999998</v>
      </c>
      <c r="U1281" s="32">
        <v>189332.91</v>
      </c>
      <c r="V1281" s="32">
        <v>207595.55000000002</v>
      </c>
      <c r="W1281" s="32">
        <f t="shared" si="39"/>
        <v>-269118.25</v>
      </c>
      <c r="X1281" s="32">
        <f t="shared" si="39"/>
        <v>-187797.93</v>
      </c>
      <c r="Y1281" s="32">
        <f t="shared" si="39"/>
        <v>-206060.57</v>
      </c>
    </row>
    <row r="1282" spans="1:25" s="16" customFormat="1" ht="25.5">
      <c r="A1282" s="108" t="str">
        <f t="shared" si="38"/>
        <v>619010482 1 00 76200120</v>
      </c>
      <c r="B1282" s="201" t="s">
        <v>20</v>
      </c>
      <c r="C1282" s="204" t="s">
        <v>795</v>
      </c>
      <c r="D1282" s="204" t="s">
        <v>11</v>
      </c>
      <c r="E1282" s="204" t="s">
        <v>73</v>
      </c>
      <c r="F1282" s="204" t="s">
        <v>802</v>
      </c>
      <c r="G1282" s="204" t="s">
        <v>21</v>
      </c>
      <c r="H1282" s="26">
        <v>1391.3</v>
      </c>
      <c r="I1282" s="26">
        <v>1338.68</v>
      </c>
      <c r="J1282" s="26">
        <v>1338.68</v>
      </c>
      <c r="K1282" s="32"/>
      <c r="L1282" s="32"/>
      <c r="M1282" s="32"/>
      <c r="N1282" s="32"/>
      <c r="O1282" s="32"/>
      <c r="P1282" s="32"/>
      <c r="Q1282" s="17"/>
      <c r="T1282" s="32">
        <v>212438.37999999998</v>
      </c>
      <c r="U1282" s="32">
        <v>137808.31</v>
      </c>
      <c r="V1282" s="32">
        <v>156070.95000000001</v>
      </c>
      <c r="W1282" s="32">
        <f t="shared" si="39"/>
        <v>-211047.08</v>
      </c>
      <c r="X1282" s="32">
        <f t="shared" si="39"/>
        <v>-136469.63</v>
      </c>
      <c r="Y1282" s="32">
        <f t="shared" si="39"/>
        <v>-154732.27000000002</v>
      </c>
    </row>
    <row r="1283" spans="1:25" s="16" customFormat="1" ht="25.5">
      <c r="A1283" s="108" t="str">
        <f t="shared" si="38"/>
        <v>619010482 1 00 76200240</v>
      </c>
      <c r="B1283" s="197" t="s">
        <v>28</v>
      </c>
      <c r="C1283" s="204" t="s">
        <v>795</v>
      </c>
      <c r="D1283" s="204" t="s">
        <v>11</v>
      </c>
      <c r="E1283" s="204" t="s">
        <v>73</v>
      </c>
      <c r="F1283" s="204" t="s">
        <v>802</v>
      </c>
      <c r="G1283" s="204" t="s">
        <v>29</v>
      </c>
      <c r="H1283" s="26">
        <v>196.3</v>
      </c>
      <c r="I1283" s="26">
        <v>196.3</v>
      </c>
      <c r="J1283" s="26">
        <v>196.3</v>
      </c>
      <c r="K1283" s="32"/>
      <c r="L1283" s="32"/>
      <c r="M1283" s="32"/>
      <c r="N1283" s="32"/>
      <c r="O1283" s="32"/>
      <c r="P1283" s="32"/>
      <c r="Q1283" s="17"/>
      <c r="T1283" s="32">
        <v>78675.309999999983</v>
      </c>
      <c r="U1283" s="32">
        <v>72051.709999999992</v>
      </c>
      <c r="V1283" s="32">
        <v>72051.709999999992</v>
      </c>
      <c r="W1283" s="32">
        <f t="shared" si="39"/>
        <v>-78479.00999999998</v>
      </c>
      <c r="X1283" s="32">
        <f t="shared" si="39"/>
        <v>-71855.409999999989</v>
      </c>
      <c r="Y1283" s="32">
        <f t="shared" si="39"/>
        <v>-71855.409999999989</v>
      </c>
    </row>
    <row r="1284" spans="1:25" s="16" customFormat="1" ht="51">
      <c r="A1284" s="108" t="str">
        <f t="shared" si="38"/>
        <v>619010482 1 00 76360000</v>
      </c>
      <c r="B1284" s="201" t="s">
        <v>754</v>
      </c>
      <c r="C1284" s="204" t="s">
        <v>795</v>
      </c>
      <c r="D1284" s="204" t="s">
        <v>11</v>
      </c>
      <c r="E1284" s="204" t="s">
        <v>73</v>
      </c>
      <c r="F1284" s="204" t="s">
        <v>803</v>
      </c>
      <c r="G1284" s="204" t="s">
        <v>9</v>
      </c>
      <c r="H1284" s="26">
        <v>70.900000000000006</v>
      </c>
      <c r="I1284" s="26">
        <v>70.900000000000006</v>
      </c>
      <c r="J1284" s="26">
        <v>70.900000000000006</v>
      </c>
      <c r="K1284" s="32"/>
      <c r="L1284" s="32"/>
      <c r="M1284" s="32"/>
      <c r="N1284" s="32"/>
      <c r="O1284" s="32"/>
      <c r="P1284" s="32"/>
      <c r="Q1284" s="17"/>
      <c r="T1284" s="32"/>
      <c r="U1284" s="32"/>
      <c r="V1284" s="32"/>
      <c r="W1284" s="32">
        <f t="shared" si="39"/>
        <v>70.900000000000006</v>
      </c>
      <c r="X1284" s="32">
        <f t="shared" si="39"/>
        <v>70.900000000000006</v>
      </c>
      <c r="Y1284" s="32">
        <f t="shared" si="39"/>
        <v>70.900000000000006</v>
      </c>
    </row>
    <row r="1285" spans="1:25" s="16" customFormat="1" ht="25.5">
      <c r="A1285" s="108" t="str">
        <f t="shared" si="38"/>
        <v>619010482 1 00 76360240</v>
      </c>
      <c r="B1285" s="197" t="s">
        <v>28</v>
      </c>
      <c r="C1285" s="204" t="s">
        <v>795</v>
      </c>
      <c r="D1285" s="204" t="s">
        <v>11</v>
      </c>
      <c r="E1285" s="204" t="s">
        <v>73</v>
      </c>
      <c r="F1285" s="204" t="s">
        <v>803</v>
      </c>
      <c r="G1285" s="204" t="s">
        <v>29</v>
      </c>
      <c r="H1285" s="26">
        <v>70.900000000000006</v>
      </c>
      <c r="I1285" s="26">
        <v>70.900000000000006</v>
      </c>
      <c r="J1285" s="26">
        <v>70.900000000000006</v>
      </c>
      <c r="K1285" s="32"/>
      <c r="L1285" s="32"/>
      <c r="M1285" s="32"/>
      <c r="N1285" s="32"/>
      <c r="O1285" s="32"/>
      <c r="P1285" s="32"/>
      <c r="Q1285" s="17"/>
      <c r="T1285" s="32">
        <v>891.4</v>
      </c>
      <c r="U1285" s="32">
        <v>0</v>
      </c>
      <c r="V1285" s="32">
        <v>0</v>
      </c>
      <c r="W1285" s="32">
        <f t="shared" si="39"/>
        <v>-820.5</v>
      </c>
      <c r="X1285" s="32">
        <f t="shared" si="39"/>
        <v>70.900000000000006</v>
      </c>
      <c r="Y1285" s="32">
        <f t="shared" si="39"/>
        <v>70.900000000000006</v>
      </c>
    </row>
    <row r="1286" spans="1:25" s="16" customFormat="1" ht="191.25">
      <c r="A1286" s="108" t="str">
        <f t="shared" ref="A1286:A1349" si="40">C1286&amp;D1286&amp;E1286&amp;F1286&amp;G1286</f>
        <v>619010482 1 00 77460000</v>
      </c>
      <c r="B1286" s="197" t="s">
        <v>1263</v>
      </c>
      <c r="C1286" s="204" t="s">
        <v>795</v>
      </c>
      <c r="D1286" s="204" t="s">
        <v>11</v>
      </c>
      <c r="E1286" s="204" t="s">
        <v>73</v>
      </c>
      <c r="F1286" s="204" t="s">
        <v>1317</v>
      </c>
      <c r="G1286" s="204" t="s">
        <v>9</v>
      </c>
      <c r="H1286" s="26">
        <v>1181.93</v>
      </c>
      <c r="I1286" s="26">
        <v>0</v>
      </c>
      <c r="J1286" s="26">
        <v>0</v>
      </c>
      <c r="K1286" s="32"/>
      <c r="L1286" s="32"/>
      <c r="M1286" s="32"/>
      <c r="N1286" s="32"/>
      <c r="O1286" s="32"/>
      <c r="P1286" s="32"/>
      <c r="Q1286" s="17"/>
      <c r="T1286" s="32">
        <v>78675.309999999983</v>
      </c>
      <c r="U1286" s="32">
        <v>72051.709999999992</v>
      </c>
      <c r="V1286" s="32">
        <v>72051.709999999992</v>
      </c>
      <c r="W1286" s="32">
        <f t="shared" si="39"/>
        <v>-77493.37999999999</v>
      </c>
      <c r="X1286" s="32">
        <f t="shared" si="39"/>
        <v>-72051.709999999992</v>
      </c>
      <c r="Y1286" s="32">
        <f t="shared" si="39"/>
        <v>-72051.709999999992</v>
      </c>
    </row>
    <row r="1287" spans="1:25" s="16" customFormat="1" ht="25.5">
      <c r="A1287" s="108" t="str">
        <f t="shared" si="40"/>
        <v>619010482 1 00 77460120</v>
      </c>
      <c r="B1287" s="201" t="s">
        <v>20</v>
      </c>
      <c r="C1287" s="204" t="s">
        <v>795</v>
      </c>
      <c r="D1287" s="204" t="s">
        <v>11</v>
      </c>
      <c r="E1287" s="204" t="s">
        <v>73</v>
      </c>
      <c r="F1287" s="204" t="s">
        <v>1317</v>
      </c>
      <c r="G1287" s="204" t="s">
        <v>21</v>
      </c>
      <c r="H1287" s="26">
        <v>1181.93</v>
      </c>
      <c r="I1287" s="26">
        <v>0</v>
      </c>
      <c r="J1287" s="26">
        <v>0</v>
      </c>
      <c r="K1287" s="32"/>
      <c r="L1287" s="32"/>
      <c r="M1287" s="32"/>
      <c r="N1287" s="32"/>
      <c r="O1287" s="32"/>
      <c r="P1287" s="32"/>
      <c r="Q1287" s="17"/>
      <c r="T1287" s="32">
        <v>44410.990000000005</v>
      </c>
      <c r="U1287" s="32">
        <v>18688.990000000002</v>
      </c>
      <c r="V1287" s="32">
        <v>18688.990000000002</v>
      </c>
      <c r="W1287" s="32">
        <f t="shared" si="39"/>
        <v>-43229.060000000005</v>
      </c>
      <c r="X1287" s="32">
        <f t="shared" si="39"/>
        <v>-18688.990000000002</v>
      </c>
      <c r="Y1287" s="32">
        <f t="shared" si="39"/>
        <v>-18688.990000000002</v>
      </c>
    </row>
    <row r="1288" spans="1:25" s="16" customFormat="1">
      <c r="A1288" s="108" t="str">
        <f t="shared" si="40"/>
        <v>619011300 0 00 00000000</v>
      </c>
      <c r="B1288" s="261" t="s">
        <v>50</v>
      </c>
      <c r="C1288" s="195" t="s">
        <v>795</v>
      </c>
      <c r="D1288" s="196" t="s">
        <v>11</v>
      </c>
      <c r="E1288" s="196" t="s">
        <v>51</v>
      </c>
      <c r="F1288" s="196" t="s">
        <v>8</v>
      </c>
      <c r="G1288" s="196" t="s">
        <v>9</v>
      </c>
      <c r="H1288" s="19">
        <v>4654.0300000000007</v>
      </c>
      <c r="I1288" s="19">
        <v>576.79999999999995</v>
      </c>
      <c r="J1288" s="19">
        <v>576.79999999999995</v>
      </c>
      <c r="K1288" s="32"/>
      <c r="L1288" s="32"/>
      <c r="M1288" s="32"/>
      <c r="N1288" s="32"/>
      <c r="O1288" s="32"/>
      <c r="P1288" s="32"/>
      <c r="Q1288" s="17"/>
      <c r="T1288" s="32">
        <v>44410.990000000005</v>
      </c>
      <c r="U1288" s="32">
        <v>18688.990000000002</v>
      </c>
      <c r="V1288" s="32">
        <v>18688.990000000002</v>
      </c>
      <c r="W1288" s="32">
        <f t="shared" ref="W1288:Y1351" si="41">H1288-T1288</f>
        <v>-39756.960000000006</v>
      </c>
      <c r="X1288" s="32">
        <f t="shared" si="41"/>
        <v>-18112.190000000002</v>
      </c>
      <c r="Y1288" s="32">
        <f t="shared" si="41"/>
        <v>-18112.190000000002</v>
      </c>
    </row>
    <row r="1289" spans="1:25" s="16" customFormat="1" ht="38.25">
      <c r="A1289" s="108" t="str">
        <f t="shared" si="40"/>
        <v>619011311 0 00 00000000</v>
      </c>
      <c r="B1289" s="205" t="s">
        <v>257</v>
      </c>
      <c r="C1289" s="199" t="s">
        <v>795</v>
      </c>
      <c r="D1289" s="199" t="s">
        <v>11</v>
      </c>
      <c r="E1289" s="199" t="s">
        <v>51</v>
      </c>
      <c r="F1289" s="199" t="s">
        <v>258</v>
      </c>
      <c r="G1289" s="199" t="s">
        <v>9</v>
      </c>
      <c r="H1289" s="20">
        <v>576.79999999999995</v>
      </c>
      <c r="I1289" s="20">
        <v>576.79999999999995</v>
      </c>
      <c r="J1289" s="20">
        <v>576.79999999999995</v>
      </c>
      <c r="K1289" s="32"/>
      <c r="L1289" s="32"/>
      <c r="M1289" s="32"/>
      <c r="N1289" s="32"/>
      <c r="O1289" s="32"/>
      <c r="P1289" s="32"/>
      <c r="Q1289" s="17"/>
      <c r="T1289" s="32">
        <v>1697.8</v>
      </c>
      <c r="U1289" s="32">
        <v>1350</v>
      </c>
      <c r="V1289" s="32">
        <v>1350</v>
      </c>
      <c r="W1289" s="32">
        <f t="shared" si="41"/>
        <v>-1121</v>
      </c>
      <c r="X1289" s="32">
        <f t="shared" si="41"/>
        <v>-773.2</v>
      </c>
      <c r="Y1289" s="32">
        <f t="shared" si="41"/>
        <v>-773.2</v>
      </c>
    </row>
    <row r="1290" spans="1:25" s="16" customFormat="1" ht="51">
      <c r="A1290" s="108" t="str">
        <f t="shared" si="40"/>
        <v>619011311 Б 00 00000000</v>
      </c>
      <c r="B1290" s="205" t="s">
        <v>259</v>
      </c>
      <c r="C1290" s="256" t="s">
        <v>795</v>
      </c>
      <c r="D1290" s="199" t="s">
        <v>11</v>
      </c>
      <c r="E1290" s="199" t="s">
        <v>51</v>
      </c>
      <c r="F1290" s="199" t="s">
        <v>260</v>
      </c>
      <c r="G1290" s="199" t="s">
        <v>9</v>
      </c>
      <c r="H1290" s="20">
        <v>576.79999999999995</v>
      </c>
      <c r="I1290" s="20">
        <v>576.79999999999995</v>
      </c>
      <c r="J1290" s="20">
        <v>576.79999999999995</v>
      </c>
      <c r="K1290" s="32"/>
      <c r="L1290" s="32"/>
      <c r="M1290" s="32"/>
      <c r="N1290" s="32"/>
      <c r="O1290" s="32"/>
      <c r="P1290" s="32"/>
      <c r="Q1290" s="17"/>
      <c r="T1290" s="32">
        <v>1697.8</v>
      </c>
      <c r="U1290" s="32">
        <v>1350</v>
      </c>
      <c r="V1290" s="32">
        <v>1350</v>
      </c>
      <c r="W1290" s="32">
        <f t="shared" si="41"/>
        <v>-1121</v>
      </c>
      <c r="X1290" s="32">
        <f t="shared" si="41"/>
        <v>-773.2</v>
      </c>
      <c r="Y1290" s="32">
        <f t="shared" si="41"/>
        <v>-773.2</v>
      </c>
    </row>
    <row r="1291" spans="1:25" s="16" customFormat="1" ht="38.25">
      <c r="A1291" s="108" t="str">
        <f t="shared" si="40"/>
        <v>619011311 Б 01 00000000</v>
      </c>
      <c r="B1291" s="255" t="s">
        <v>261</v>
      </c>
      <c r="C1291" s="256" t="s">
        <v>795</v>
      </c>
      <c r="D1291" s="199" t="s">
        <v>11</v>
      </c>
      <c r="E1291" s="199" t="s">
        <v>51</v>
      </c>
      <c r="F1291" s="199" t="s">
        <v>262</v>
      </c>
      <c r="G1291" s="199" t="s">
        <v>9</v>
      </c>
      <c r="H1291" s="20">
        <v>576.79999999999995</v>
      </c>
      <c r="I1291" s="20">
        <v>576.79999999999995</v>
      </c>
      <c r="J1291" s="20">
        <v>576.79999999999995</v>
      </c>
      <c r="K1291" s="32"/>
      <c r="L1291" s="32"/>
      <c r="M1291" s="32"/>
      <c r="N1291" s="32"/>
      <c r="O1291" s="32"/>
      <c r="P1291" s="32"/>
      <c r="Q1291" s="17"/>
      <c r="T1291" s="32">
        <v>21274.62</v>
      </c>
      <c r="U1291" s="32">
        <v>4435.2800000000007</v>
      </c>
      <c r="V1291" s="32">
        <v>22697.919999999998</v>
      </c>
      <c r="W1291" s="32">
        <f t="shared" si="41"/>
        <v>-20697.82</v>
      </c>
      <c r="X1291" s="32">
        <f t="shared" si="41"/>
        <v>-3858.4800000000005</v>
      </c>
      <c r="Y1291" s="32">
        <f t="shared" si="41"/>
        <v>-22121.119999999999</v>
      </c>
    </row>
    <row r="1292" spans="1:25" s="16" customFormat="1" ht="25.5">
      <c r="A1292" s="108" t="str">
        <f t="shared" si="40"/>
        <v>619011311 Б 01 20840000</v>
      </c>
      <c r="B1292" s="250" t="s">
        <v>756</v>
      </c>
      <c r="C1292" s="256" t="s">
        <v>795</v>
      </c>
      <c r="D1292" s="199" t="s">
        <v>11</v>
      </c>
      <c r="E1292" s="199" t="s">
        <v>51</v>
      </c>
      <c r="F1292" s="199" t="s">
        <v>757</v>
      </c>
      <c r="G1292" s="199" t="s">
        <v>9</v>
      </c>
      <c r="H1292" s="20">
        <v>476.64</v>
      </c>
      <c r="I1292" s="20">
        <v>476.64</v>
      </c>
      <c r="J1292" s="20">
        <v>476.64</v>
      </c>
      <c r="K1292" s="32"/>
      <c r="L1292" s="32"/>
      <c r="M1292" s="32"/>
      <c r="N1292" s="32"/>
      <c r="O1292" s="32"/>
      <c r="P1292" s="32"/>
      <c r="Q1292" s="17"/>
      <c r="T1292" s="32"/>
      <c r="U1292" s="32"/>
      <c r="V1292" s="32"/>
      <c r="W1292" s="32">
        <f t="shared" si="41"/>
        <v>476.64</v>
      </c>
      <c r="X1292" s="32">
        <f t="shared" si="41"/>
        <v>476.64</v>
      </c>
      <c r="Y1292" s="32">
        <f t="shared" si="41"/>
        <v>476.64</v>
      </c>
    </row>
    <row r="1293" spans="1:25" s="16" customFormat="1" ht="25.5">
      <c r="A1293" s="108" t="str">
        <f t="shared" si="40"/>
        <v>619011311 Б 01 20840240</v>
      </c>
      <c r="B1293" s="197" t="s">
        <v>28</v>
      </c>
      <c r="C1293" s="256" t="s">
        <v>795</v>
      </c>
      <c r="D1293" s="199" t="s">
        <v>11</v>
      </c>
      <c r="E1293" s="199" t="s">
        <v>51</v>
      </c>
      <c r="F1293" s="199" t="s">
        <v>757</v>
      </c>
      <c r="G1293" s="199" t="s">
        <v>29</v>
      </c>
      <c r="H1293" s="26">
        <v>476.64</v>
      </c>
      <c r="I1293" s="26">
        <v>476.64</v>
      </c>
      <c r="J1293" s="26">
        <v>476.64</v>
      </c>
      <c r="K1293" s="32"/>
      <c r="L1293" s="32"/>
      <c r="M1293" s="32"/>
      <c r="N1293" s="32"/>
      <c r="O1293" s="32"/>
      <c r="P1293" s="32"/>
      <c r="Q1293" s="17"/>
      <c r="T1293" s="32">
        <v>21274.62</v>
      </c>
      <c r="U1293" s="32">
        <v>4435.2800000000007</v>
      </c>
      <c r="V1293" s="32">
        <v>22697.919999999998</v>
      </c>
      <c r="W1293" s="32">
        <f t="shared" si="41"/>
        <v>-20797.98</v>
      </c>
      <c r="X1293" s="32">
        <f t="shared" si="41"/>
        <v>-3958.6400000000008</v>
      </c>
      <c r="Y1293" s="32">
        <f t="shared" si="41"/>
        <v>-22221.279999999999</v>
      </c>
    </row>
    <row r="1294" spans="1:25" s="275" customFormat="1" ht="25.5">
      <c r="A1294" s="108" t="str">
        <f t="shared" si="40"/>
        <v>619011311 Б 01 21120000</v>
      </c>
      <c r="B1294" s="197" t="s">
        <v>267</v>
      </c>
      <c r="C1294" s="256" t="s">
        <v>795</v>
      </c>
      <c r="D1294" s="204" t="s">
        <v>11</v>
      </c>
      <c r="E1294" s="204" t="s">
        <v>51</v>
      </c>
      <c r="F1294" s="230" t="s">
        <v>268</v>
      </c>
      <c r="G1294" s="199" t="s">
        <v>9</v>
      </c>
      <c r="H1294" s="20">
        <v>100.16</v>
      </c>
      <c r="I1294" s="20">
        <v>100.16</v>
      </c>
      <c r="J1294" s="20">
        <v>100.16</v>
      </c>
      <c r="K1294" s="274"/>
      <c r="L1294" s="274"/>
      <c r="M1294" s="274"/>
      <c r="N1294" s="274"/>
      <c r="O1294" s="274"/>
      <c r="P1294" s="274"/>
      <c r="Q1294" s="62"/>
      <c r="T1294" s="274">
        <v>21274.62</v>
      </c>
      <c r="U1294" s="274">
        <v>4435.2800000000007</v>
      </c>
      <c r="V1294" s="274">
        <v>22697.919999999998</v>
      </c>
      <c r="W1294" s="274">
        <f t="shared" si="41"/>
        <v>-21174.46</v>
      </c>
      <c r="X1294" s="274">
        <f t="shared" si="41"/>
        <v>-4335.1200000000008</v>
      </c>
      <c r="Y1294" s="274">
        <f t="shared" si="41"/>
        <v>-22597.759999999998</v>
      </c>
    </row>
    <row r="1295" spans="1:25" s="16" customFormat="1" ht="25.5">
      <c r="A1295" s="108" t="str">
        <f t="shared" si="40"/>
        <v>619011311 Б 01 21120240</v>
      </c>
      <c r="B1295" s="197" t="s">
        <v>28</v>
      </c>
      <c r="C1295" s="256" t="s">
        <v>795</v>
      </c>
      <c r="D1295" s="204" t="s">
        <v>11</v>
      </c>
      <c r="E1295" s="204" t="s">
        <v>51</v>
      </c>
      <c r="F1295" s="230" t="s">
        <v>268</v>
      </c>
      <c r="G1295" s="199" t="s">
        <v>29</v>
      </c>
      <c r="H1295" s="20">
        <v>100.16</v>
      </c>
      <c r="I1295" s="20">
        <v>100.16</v>
      </c>
      <c r="J1295" s="20">
        <v>100.16</v>
      </c>
      <c r="K1295" s="32"/>
      <c r="L1295" s="32"/>
      <c r="M1295" s="32"/>
      <c r="N1295" s="32"/>
      <c r="O1295" s="32"/>
      <c r="P1295" s="32"/>
      <c r="Q1295" s="62"/>
      <c r="T1295" s="32">
        <v>19287.71</v>
      </c>
      <c r="U1295" s="32">
        <v>0</v>
      </c>
      <c r="V1295" s="32">
        <v>0</v>
      </c>
      <c r="W1295" s="32">
        <f t="shared" si="41"/>
        <v>-19187.55</v>
      </c>
      <c r="X1295" s="32">
        <f t="shared" si="41"/>
        <v>100.16</v>
      </c>
      <c r="Y1295" s="32">
        <f t="shared" si="41"/>
        <v>100.16</v>
      </c>
    </row>
    <row r="1296" spans="1:25" s="16" customFormat="1" ht="25.5">
      <c r="A1296" s="108" t="str">
        <f t="shared" si="40"/>
        <v>619011382 0 00 00000000</v>
      </c>
      <c r="B1296" s="197" t="s">
        <v>796</v>
      </c>
      <c r="C1296" s="199" t="s">
        <v>795</v>
      </c>
      <c r="D1296" s="199" t="s">
        <v>11</v>
      </c>
      <c r="E1296" s="204" t="s">
        <v>51</v>
      </c>
      <c r="F1296" s="199" t="s">
        <v>797</v>
      </c>
      <c r="G1296" s="199" t="s">
        <v>9</v>
      </c>
      <c r="H1296" s="20">
        <v>623.27</v>
      </c>
      <c r="I1296" s="20">
        <v>0</v>
      </c>
      <c r="J1296" s="20">
        <v>0</v>
      </c>
      <c r="K1296" s="32"/>
      <c r="L1296" s="32"/>
      <c r="M1296" s="32"/>
      <c r="N1296" s="32"/>
      <c r="O1296" s="32"/>
      <c r="P1296" s="32"/>
      <c r="Q1296" s="62"/>
      <c r="T1296" s="32">
        <v>19287.71</v>
      </c>
      <c r="U1296" s="32">
        <v>0</v>
      </c>
      <c r="V1296" s="32">
        <v>0</v>
      </c>
      <c r="W1296" s="32">
        <f t="shared" si="41"/>
        <v>-18664.439999999999</v>
      </c>
      <c r="X1296" s="32">
        <f t="shared" si="41"/>
        <v>0</v>
      </c>
      <c r="Y1296" s="32">
        <f t="shared" si="41"/>
        <v>0</v>
      </c>
    </row>
    <row r="1297" spans="1:25" s="16" customFormat="1" ht="25.5">
      <c r="A1297" s="108" t="str">
        <f t="shared" si="40"/>
        <v>619011382 1 00 00000000</v>
      </c>
      <c r="B1297" s="197" t="s">
        <v>798</v>
      </c>
      <c r="C1297" s="199" t="s">
        <v>795</v>
      </c>
      <c r="D1297" s="199" t="s">
        <v>11</v>
      </c>
      <c r="E1297" s="204" t="s">
        <v>51</v>
      </c>
      <c r="F1297" s="199" t="s">
        <v>799</v>
      </c>
      <c r="G1297" s="199" t="s">
        <v>9</v>
      </c>
      <c r="H1297" s="20">
        <v>623.27</v>
      </c>
      <c r="I1297" s="20">
        <v>0</v>
      </c>
      <c r="J1297" s="20">
        <v>0</v>
      </c>
      <c r="K1297" s="32"/>
      <c r="L1297" s="32"/>
      <c r="M1297" s="32"/>
      <c r="N1297" s="32"/>
      <c r="O1297" s="32"/>
      <c r="P1297" s="32"/>
      <c r="Q1297" s="62"/>
      <c r="T1297" s="32">
        <v>6350</v>
      </c>
      <c r="U1297" s="32">
        <v>0</v>
      </c>
      <c r="V1297" s="32">
        <v>0</v>
      </c>
      <c r="W1297" s="32">
        <f t="shared" si="41"/>
        <v>-5726.73</v>
      </c>
      <c r="X1297" s="32">
        <f t="shared" si="41"/>
        <v>0</v>
      </c>
      <c r="Y1297" s="32">
        <f t="shared" si="41"/>
        <v>0</v>
      </c>
    </row>
    <row r="1298" spans="1:25" s="16" customFormat="1" ht="25.5">
      <c r="A1298" s="108" t="str">
        <f t="shared" si="40"/>
        <v>619011382 1 00 20050000</v>
      </c>
      <c r="B1298" s="197" t="s">
        <v>187</v>
      </c>
      <c r="C1298" s="199" t="s">
        <v>795</v>
      </c>
      <c r="D1298" s="204" t="s">
        <v>11</v>
      </c>
      <c r="E1298" s="204" t="s">
        <v>51</v>
      </c>
      <c r="F1298" s="204" t="s">
        <v>1140</v>
      </c>
      <c r="G1298" s="199" t="s">
        <v>9</v>
      </c>
      <c r="H1298" s="20">
        <v>623.27</v>
      </c>
      <c r="I1298" s="20">
        <v>0</v>
      </c>
      <c r="J1298" s="20">
        <v>0</v>
      </c>
      <c r="K1298" s="32"/>
      <c r="L1298" s="32"/>
      <c r="M1298" s="32"/>
      <c r="N1298" s="32"/>
      <c r="O1298" s="32"/>
      <c r="P1298" s="32"/>
      <c r="Q1298" s="62"/>
      <c r="T1298" s="32">
        <v>6350</v>
      </c>
      <c r="U1298" s="32">
        <v>0</v>
      </c>
      <c r="V1298" s="32">
        <v>0</v>
      </c>
      <c r="W1298" s="32">
        <f t="shared" si="41"/>
        <v>-5726.73</v>
      </c>
      <c r="X1298" s="32">
        <f t="shared" si="41"/>
        <v>0</v>
      </c>
      <c r="Y1298" s="32">
        <f t="shared" si="41"/>
        <v>0</v>
      </c>
    </row>
    <row r="1299" spans="1:25" s="16" customFormat="1">
      <c r="A1299" s="108" t="str">
        <f t="shared" si="40"/>
        <v>619011382 1 00 20050830</v>
      </c>
      <c r="B1299" s="197" t="s">
        <v>189</v>
      </c>
      <c r="C1299" s="199" t="s">
        <v>795</v>
      </c>
      <c r="D1299" s="204" t="s">
        <v>11</v>
      </c>
      <c r="E1299" s="204" t="s">
        <v>51</v>
      </c>
      <c r="F1299" s="204" t="s">
        <v>1140</v>
      </c>
      <c r="G1299" s="199" t="s">
        <v>190</v>
      </c>
      <c r="H1299" s="20">
        <v>623.27</v>
      </c>
      <c r="I1299" s="20">
        <v>0</v>
      </c>
      <c r="J1299" s="20">
        <v>0</v>
      </c>
      <c r="K1299" s="32"/>
      <c r="L1299" s="32"/>
      <c r="M1299" s="32"/>
      <c r="N1299" s="32"/>
      <c r="O1299" s="32"/>
      <c r="P1299" s="32"/>
      <c r="Q1299" s="17"/>
      <c r="T1299" s="32">
        <v>17461.53</v>
      </c>
      <c r="U1299" s="32">
        <v>26441.059999999998</v>
      </c>
      <c r="V1299" s="32">
        <v>26441.059999999998</v>
      </c>
      <c r="W1299" s="32">
        <f t="shared" si="41"/>
        <v>-16838.259999999998</v>
      </c>
      <c r="X1299" s="32">
        <f t="shared" si="41"/>
        <v>-26441.059999999998</v>
      </c>
      <c r="Y1299" s="32">
        <f t="shared" si="41"/>
        <v>-26441.059999999998</v>
      </c>
    </row>
    <row r="1300" spans="1:25" s="16" customFormat="1" ht="38.25">
      <c r="A1300" s="108" t="str">
        <f t="shared" si="40"/>
        <v>619011398 0 00 00000000</v>
      </c>
      <c r="B1300" s="200" t="s">
        <v>87</v>
      </c>
      <c r="C1300" s="256" t="s">
        <v>795</v>
      </c>
      <c r="D1300" s="199" t="s">
        <v>11</v>
      </c>
      <c r="E1300" s="199" t="s">
        <v>51</v>
      </c>
      <c r="F1300" s="230" t="s">
        <v>88</v>
      </c>
      <c r="G1300" s="199" t="s">
        <v>9</v>
      </c>
      <c r="H1300" s="20">
        <v>3453.96</v>
      </c>
      <c r="I1300" s="20">
        <v>0</v>
      </c>
      <c r="J1300" s="20">
        <v>0</v>
      </c>
      <c r="K1300" s="32"/>
      <c r="L1300" s="32"/>
      <c r="M1300" s="32"/>
      <c r="N1300" s="32"/>
      <c r="O1300" s="32"/>
      <c r="P1300" s="32"/>
      <c r="Q1300" s="17"/>
      <c r="T1300" s="32"/>
      <c r="U1300" s="32"/>
      <c r="V1300" s="32"/>
      <c r="W1300" s="32">
        <f t="shared" si="41"/>
        <v>3453.96</v>
      </c>
      <c r="X1300" s="32">
        <f t="shared" si="41"/>
        <v>0</v>
      </c>
      <c r="Y1300" s="32">
        <f t="shared" si="41"/>
        <v>0</v>
      </c>
    </row>
    <row r="1301" spans="1:25" s="16" customFormat="1">
      <c r="A1301" s="108" t="str">
        <f t="shared" si="40"/>
        <v>619011398 1 00 00000000</v>
      </c>
      <c r="B1301" s="200" t="s">
        <v>89</v>
      </c>
      <c r="C1301" s="256" t="s">
        <v>795</v>
      </c>
      <c r="D1301" s="199" t="s">
        <v>11</v>
      </c>
      <c r="E1301" s="199" t="s">
        <v>51</v>
      </c>
      <c r="F1301" s="230" t="s">
        <v>90</v>
      </c>
      <c r="G1301" s="199" t="s">
        <v>9</v>
      </c>
      <c r="H1301" s="20">
        <v>3453.96</v>
      </c>
      <c r="I1301" s="20">
        <v>0</v>
      </c>
      <c r="J1301" s="20">
        <v>0</v>
      </c>
      <c r="K1301" s="32"/>
      <c r="L1301" s="32"/>
      <c r="M1301" s="32"/>
      <c r="N1301" s="32"/>
      <c r="O1301" s="32"/>
      <c r="P1301" s="32"/>
      <c r="Q1301" s="17"/>
      <c r="T1301" s="32">
        <v>200.91</v>
      </c>
      <c r="U1301" s="32">
        <v>0</v>
      </c>
      <c r="V1301" s="32">
        <v>0</v>
      </c>
      <c r="W1301" s="32">
        <f t="shared" si="41"/>
        <v>3253.05</v>
      </c>
      <c r="X1301" s="32">
        <f t="shared" si="41"/>
        <v>0</v>
      </c>
      <c r="Y1301" s="32">
        <f t="shared" si="41"/>
        <v>0</v>
      </c>
    </row>
    <row r="1302" spans="1:25" s="16" customFormat="1" ht="51">
      <c r="A1302" s="108" t="str">
        <f t="shared" si="40"/>
        <v>619011398 1 00 21020000</v>
      </c>
      <c r="B1302" s="200" t="s">
        <v>758</v>
      </c>
      <c r="C1302" s="256" t="s">
        <v>795</v>
      </c>
      <c r="D1302" s="199" t="s">
        <v>11</v>
      </c>
      <c r="E1302" s="199" t="s">
        <v>51</v>
      </c>
      <c r="F1302" s="230" t="s">
        <v>759</v>
      </c>
      <c r="G1302" s="199" t="s">
        <v>9</v>
      </c>
      <c r="H1302" s="20">
        <v>753.96</v>
      </c>
      <c r="I1302" s="20">
        <v>0</v>
      </c>
      <c r="J1302" s="20">
        <v>0</v>
      </c>
      <c r="K1302" s="32"/>
      <c r="L1302" s="32"/>
      <c r="M1302" s="32"/>
      <c r="N1302" s="32"/>
      <c r="O1302" s="32"/>
      <c r="P1302" s="32"/>
      <c r="Q1302" s="17"/>
      <c r="T1302" s="32">
        <v>17461.53</v>
      </c>
      <c r="U1302" s="32">
        <v>26441.059999999998</v>
      </c>
      <c r="V1302" s="32">
        <v>26441.059999999998</v>
      </c>
      <c r="W1302" s="32">
        <f t="shared" si="41"/>
        <v>-16707.57</v>
      </c>
      <c r="X1302" s="32">
        <f t="shared" si="41"/>
        <v>-26441.059999999998</v>
      </c>
      <c r="Y1302" s="32">
        <f t="shared" si="41"/>
        <v>-26441.059999999998</v>
      </c>
    </row>
    <row r="1303" spans="1:25" s="16" customFormat="1" ht="25.5">
      <c r="A1303" s="108" t="str">
        <f t="shared" si="40"/>
        <v>619011398 1 00 21020240</v>
      </c>
      <c r="B1303" s="197" t="s">
        <v>28</v>
      </c>
      <c r="C1303" s="256" t="s">
        <v>795</v>
      </c>
      <c r="D1303" s="199" t="s">
        <v>11</v>
      </c>
      <c r="E1303" s="199" t="s">
        <v>51</v>
      </c>
      <c r="F1303" s="230" t="s">
        <v>759</v>
      </c>
      <c r="G1303" s="204" t="s">
        <v>29</v>
      </c>
      <c r="H1303" s="20">
        <v>753.96</v>
      </c>
      <c r="I1303" s="20">
        <v>0</v>
      </c>
      <c r="J1303" s="20">
        <v>0</v>
      </c>
      <c r="K1303" s="32"/>
      <c r="L1303" s="32"/>
      <c r="M1303" s="32"/>
      <c r="N1303" s="32"/>
      <c r="O1303" s="32"/>
      <c r="P1303" s="32"/>
      <c r="Q1303" s="17"/>
      <c r="T1303" s="32">
        <v>23280.42</v>
      </c>
      <c r="U1303" s="32">
        <v>14841.27</v>
      </c>
      <c r="V1303" s="32">
        <v>14841.27</v>
      </c>
      <c r="W1303" s="32">
        <f t="shared" si="41"/>
        <v>-22526.46</v>
      </c>
      <c r="X1303" s="32">
        <f t="shared" si="41"/>
        <v>-14841.27</v>
      </c>
      <c r="Y1303" s="32">
        <f t="shared" si="41"/>
        <v>-14841.27</v>
      </c>
    </row>
    <row r="1304" spans="1:25" s="16" customFormat="1">
      <c r="A1304" s="108" t="str">
        <f t="shared" si="40"/>
        <v>619011398 1 00 21350000</v>
      </c>
      <c r="B1304" s="315" t="s">
        <v>282</v>
      </c>
      <c r="C1304" s="256" t="s">
        <v>795</v>
      </c>
      <c r="D1304" s="199" t="s">
        <v>11</v>
      </c>
      <c r="E1304" s="199" t="s">
        <v>51</v>
      </c>
      <c r="F1304" s="199" t="s">
        <v>283</v>
      </c>
      <c r="G1304" s="199" t="s">
        <v>9</v>
      </c>
      <c r="H1304" s="20">
        <v>2700</v>
      </c>
      <c r="I1304" s="20">
        <v>0</v>
      </c>
      <c r="J1304" s="20">
        <v>0</v>
      </c>
      <c r="K1304" s="32"/>
      <c r="L1304" s="32"/>
      <c r="M1304" s="32"/>
      <c r="N1304" s="32"/>
      <c r="O1304" s="32"/>
      <c r="P1304" s="32"/>
      <c r="Q1304" s="17"/>
      <c r="T1304" s="32">
        <v>23280.42</v>
      </c>
      <c r="U1304" s="32">
        <v>14841.27</v>
      </c>
      <c r="V1304" s="32">
        <v>14841.27</v>
      </c>
      <c r="W1304" s="32">
        <f t="shared" si="41"/>
        <v>-20580.419999999998</v>
      </c>
      <c r="X1304" s="32">
        <f t="shared" si="41"/>
        <v>-14841.27</v>
      </c>
      <c r="Y1304" s="32">
        <f t="shared" si="41"/>
        <v>-14841.27</v>
      </c>
    </row>
    <row r="1305" spans="1:25" s="16" customFormat="1" ht="25.5">
      <c r="A1305" s="108" t="str">
        <f t="shared" si="40"/>
        <v>619011398 1 00 21350240</v>
      </c>
      <c r="B1305" s="197" t="s">
        <v>28</v>
      </c>
      <c r="C1305" s="256" t="s">
        <v>795</v>
      </c>
      <c r="D1305" s="199" t="s">
        <v>11</v>
      </c>
      <c r="E1305" s="199" t="s">
        <v>51</v>
      </c>
      <c r="F1305" s="199" t="s">
        <v>283</v>
      </c>
      <c r="G1305" s="204" t="s">
        <v>29</v>
      </c>
      <c r="H1305" s="20">
        <v>2700</v>
      </c>
      <c r="I1305" s="20">
        <v>0</v>
      </c>
      <c r="J1305" s="20">
        <v>0</v>
      </c>
      <c r="K1305" s="32"/>
      <c r="L1305" s="32"/>
      <c r="M1305" s="32"/>
      <c r="N1305" s="32"/>
      <c r="O1305" s="32"/>
      <c r="P1305" s="32"/>
      <c r="Q1305" s="17"/>
      <c r="T1305" s="32">
        <v>58267.47</v>
      </c>
      <c r="U1305" s="32">
        <v>51524.6</v>
      </c>
      <c r="V1305" s="32">
        <v>51524.6</v>
      </c>
      <c r="W1305" s="32">
        <f t="shared" si="41"/>
        <v>-55567.47</v>
      </c>
      <c r="X1305" s="32">
        <f t="shared" si="41"/>
        <v>-51524.6</v>
      </c>
      <c r="Y1305" s="32">
        <f t="shared" si="41"/>
        <v>-51524.6</v>
      </c>
    </row>
    <row r="1306" spans="1:25" s="16" customFormat="1">
      <c r="A1306" s="108" t="str">
        <f t="shared" si="40"/>
        <v>619040000 0 00 00000000</v>
      </c>
      <c r="B1306" s="259" t="s">
        <v>195</v>
      </c>
      <c r="C1306" s="192" t="s">
        <v>795</v>
      </c>
      <c r="D1306" s="193" t="s">
        <v>73</v>
      </c>
      <c r="E1306" s="193" t="s">
        <v>7</v>
      </c>
      <c r="F1306" s="193" t="s">
        <v>8</v>
      </c>
      <c r="G1306" s="193" t="s">
        <v>9</v>
      </c>
      <c r="H1306" s="18">
        <v>121141.52</v>
      </c>
      <c r="I1306" s="18">
        <v>129176.97</v>
      </c>
      <c r="J1306" s="18">
        <v>141145.11000000002</v>
      </c>
      <c r="K1306" s="20"/>
      <c r="L1306" s="20"/>
      <c r="M1306" s="20"/>
      <c r="N1306" s="20"/>
      <c r="O1306" s="20"/>
      <c r="P1306" s="20"/>
      <c r="Q1306" s="17"/>
      <c r="T1306" s="20">
        <v>42580.75</v>
      </c>
      <c r="U1306" s="20">
        <v>42580.75</v>
      </c>
      <c r="V1306" s="20">
        <v>42580.75</v>
      </c>
      <c r="W1306" s="20">
        <f t="shared" si="41"/>
        <v>78560.77</v>
      </c>
      <c r="X1306" s="20">
        <f t="shared" si="41"/>
        <v>86596.22</v>
      </c>
      <c r="Y1306" s="20">
        <f t="shared" si="41"/>
        <v>98564.360000000015</v>
      </c>
    </row>
    <row r="1307" spans="1:25" s="16" customFormat="1">
      <c r="A1307" s="108" t="str">
        <f t="shared" si="40"/>
        <v>619040900 0 00 00000000</v>
      </c>
      <c r="B1307" s="260" t="s">
        <v>760</v>
      </c>
      <c r="C1307" s="195" t="s">
        <v>795</v>
      </c>
      <c r="D1307" s="196" t="s">
        <v>73</v>
      </c>
      <c r="E1307" s="196" t="s">
        <v>471</v>
      </c>
      <c r="F1307" s="196" t="s">
        <v>8</v>
      </c>
      <c r="G1307" s="196" t="s">
        <v>9</v>
      </c>
      <c r="H1307" s="19">
        <v>121141.52</v>
      </c>
      <c r="I1307" s="19">
        <v>129176.97</v>
      </c>
      <c r="J1307" s="19">
        <v>141145.11000000002</v>
      </c>
      <c r="K1307" s="20"/>
      <c r="L1307" s="20"/>
      <c r="M1307" s="20"/>
      <c r="N1307" s="20"/>
      <c r="O1307" s="20"/>
      <c r="P1307" s="20"/>
      <c r="Q1307" s="17"/>
      <c r="T1307" s="20">
        <v>42580.75</v>
      </c>
      <c r="U1307" s="20">
        <v>42580.75</v>
      </c>
      <c r="V1307" s="20">
        <v>42580.75</v>
      </c>
      <c r="W1307" s="20">
        <f t="shared" si="41"/>
        <v>78560.77</v>
      </c>
      <c r="X1307" s="20">
        <f t="shared" si="41"/>
        <v>86596.22</v>
      </c>
      <c r="Y1307" s="20">
        <f t="shared" si="41"/>
        <v>98564.360000000015</v>
      </c>
    </row>
    <row r="1308" spans="1:25" s="16" customFormat="1" ht="38.25">
      <c r="A1308" s="108" t="str">
        <f t="shared" si="40"/>
        <v>619040904 0 00 00000000</v>
      </c>
      <c r="B1308" s="200" t="s">
        <v>293</v>
      </c>
      <c r="C1308" s="204" t="s">
        <v>795</v>
      </c>
      <c r="D1308" s="203" t="s">
        <v>73</v>
      </c>
      <c r="E1308" s="203" t="s">
        <v>471</v>
      </c>
      <c r="F1308" s="203" t="s">
        <v>294</v>
      </c>
      <c r="G1308" s="204" t="s">
        <v>9</v>
      </c>
      <c r="H1308" s="51">
        <v>119141.52</v>
      </c>
      <c r="I1308" s="51">
        <v>129176.97</v>
      </c>
      <c r="J1308" s="51">
        <v>141145.11000000002</v>
      </c>
      <c r="K1308" s="32"/>
      <c r="L1308" s="32"/>
      <c r="M1308" s="32"/>
      <c r="N1308" s="32"/>
      <c r="O1308" s="32"/>
      <c r="P1308" s="32"/>
      <c r="Q1308" s="17"/>
      <c r="T1308" s="32">
        <v>15686.72</v>
      </c>
      <c r="U1308" s="32">
        <v>8943.85</v>
      </c>
      <c r="V1308" s="32">
        <v>8943.85</v>
      </c>
      <c r="W1308" s="32">
        <f t="shared" si="41"/>
        <v>103454.8</v>
      </c>
      <c r="X1308" s="32">
        <f t="shared" si="41"/>
        <v>120233.12</v>
      </c>
      <c r="Y1308" s="32">
        <f t="shared" si="41"/>
        <v>132201.26</v>
      </c>
    </row>
    <row r="1309" spans="1:25" s="16" customFormat="1" ht="38.25">
      <c r="A1309" s="108" t="str">
        <f t="shared" si="40"/>
        <v>619040904 2 00 00000000</v>
      </c>
      <c r="B1309" s="226" t="s">
        <v>295</v>
      </c>
      <c r="C1309" s="204" t="s">
        <v>795</v>
      </c>
      <c r="D1309" s="203" t="s">
        <v>73</v>
      </c>
      <c r="E1309" s="203" t="s">
        <v>471</v>
      </c>
      <c r="F1309" s="262" t="s">
        <v>296</v>
      </c>
      <c r="G1309" s="262" t="s">
        <v>9</v>
      </c>
      <c r="H1309" s="26">
        <v>119141.52</v>
      </c>
      <c r="I1309" s="26">
        <v>129176.97</v>
      </c>
      <c r="J1309" s="26">
        <v>141145.11000000002</v>
      </c>
      <c r="K1309" s="32"/>
      <c r="L1309" s="32"/>
      <c r="M1309" s="32"/>
      <c r="N1309" s="32"/>
      <c r="O1309" s="32"/>
      <c r="P1309" s="32"/>
      <c r="Q1309" s="17"/>
      <c r="T1309" s="32"/>
      <c r="U1309" s="32"/>
      <c r="V1309" s="32"/>
      <c r="W1309" s="32">
        <f t="shared" si="41"/>
        <v>119141.52</v>
      </c>
      <c r="X1309" s="32">
        <f t="shared" si="41"/>
        <v>129176.97</v>
      </c>
      <c r="Y1309" s="32">
        <f t="shared" si="41"/>
        <v>141145.11000000002</v>
      </c>
    </row>
    <row r="1310" spans="1:25" s="16" customFormat="1" ht="38.25">
      <c r="A1310" s="108" t="str">
        <f t="shared" si="40"/>
        <v>619040904 2 02 00000000</v>
      </c>
      <c r="B1310" s="201" t="s">
        <v>297</v>
      </c>
      <c r="C1310" s="204" t="s">
        <v>795</v>
      </c>
      <c r="D1310" s="204" t="s">
        <v>73</v>
      </c>
      <c r="E1310" s="204" t="s">
        <v>471</v>
      </c>
      <c r="F1310" s="204" t="s">
        <v>298</v>
      </c>
      <c r="G1310" s="204" t="s">
        <v>9</v>
      </c>
      <c r="H1310" s="26">
        <v>119141.52</v>
      </c>
      <c r="I1310" s="26">
        <v>129176.97</v>
      </c>
      <c r="J1310" s="26">
        <v>141145.11000000002</v>
      </c>
      <c r="K1310" s="32"/>
      <c r="L1310" s="32"/>
      <c r="M1310" s="32"/>
      <c r="N1310" s="32"/>
      <c r="O1310" s="32"/>
      <c r="P1310" s="32"/>
      <c r="Q1310" s="17"/>
      <c r="T1310" s="32">
        <v>140.07</v>
      </c>
      <c r="U1310" s="32">
        <v>0</v>
      </c>
      <c r="V1310" s="32">
        <v>0</v>
      </c>
      <c r="W1310" s="32">
        <f t="shared" si="41"/>
        <v>119001.45</v>
      </c>
      <c r="X1310" s="32">
        <f t="shared" si="41"/>
        <v>129176.97</v>
      </c>
      <c r="Y1310" s="32">
        <f t="shared" si="41"/>
        <v>141145.11000000002</v>
      </c>
    </row>
    <row r="1311" spans="1:25" s="16" customFormat="1" ht="25.5">
      <c r="A1311" s="108" t="str">
        <f t="shared" si="40"/>
        <v>619040904 2 02 20820000</v>
      </c>
      <c r="B1311" s="239" t="s">
        <v>761</v>
      </c>
      <c r="C1311" s="204" t="s">
        <v>795</v>
      </c>
      <c r="D1311" s="204" t="s">
        <v>73</v>
      </c>
      <c r="E1311" s="204" t="s">
        <v>471</v>
      </c>
      <c r="F1311" s="204" t="s">
        <v>762</v>
      </c>
      <c r="G1311" s="204" t="s">
        <v>9</v>
      </c>
      <c r="H1311" s="26">
        <v>10608.9</v>
      </c>
      <c r="I1311" s="26">
        <v>10095.51</v>
      </c>
      <c r="J1311" s="26">
        <v>10095.51</v>
      </c>
      <c r="K1311" s="32"/>
      <c r="L1311" s="32"/>
      <c r="M1311" s="32"/>
      <c r="N1311" s="32"/>
      <c r="O1311" s="32"/>
      <c r="P1311" s="32"/>
      <c r="Q1311" s="17"/>
      <c r="T1311" s="32">
        <v>15686.72</v>
      </c>
      <c r="U1311" s="32">
        <v>8943.85</v>
      </c>
      <c r="V1311" s="32">
        <v>8943.85</v>
      </c>
      <c r="W1311" s="32">
        <f t="shared" si="41"/>
        <v>-5077.82</v>
      </c>
      <c r="X1311" s="32">
        <f t="shared" si="41"/>
        <v>1151.6599999999999</v>
      </c>
      <c r="Y1311" s="32">
        <f t="shared" si="41"/>
        <v>1151.6599999999999</v>
      </c>
    </row>
    <row r="1312" spans="1:25" s="16" customFormat="1" ht="25.5">
      <c r="A1312" s="108" t="str">
        <f t="shared" si="40"/>
        <v>619040904 2 02 20820240</v>
      </c>
      <c r="B1312" s="197" t="s">
        <v>28</v>
      </c>
      <c r="C1312" s="204" t="s">
        <v>795</v>
      </c>
      <c r="D1312" s="204" t="s">
        <v>73</v>
      </c>
      <c r="E1312" s="204" t="s">
        <v>471</v>
      </c>
      <c r="F1312" s="204" t="s">
        <v>762</v>
      </c>
      <c r="G1312" s="204" t="s">
        <v>29</v>
      </c>
      <c r="H1312" s="26">
        <v>10608.9</v>
      </c>
      <c r="I1312" s="26">
        <v>10095.51</v>
      </c>
      <c r="J1312" s="26">
        <v>10095.51</v>
      </c>
      <c r="K1312" s="19"/>
      <c r="L1312" s="19"/>
      <c r="M1312" s="19"/>
      <c r="N1312" s="19"/>
      <c r="O1312" s="19"/>
      <c r="P1312" s="19"/>
      <c r="Q1312" s="17"/>
      <c r="T1312" s="19">
        <v>3000</v>
      </c>
      <c r="U1312" s="19">
        <v>0</v>
      </c>
      <c r="V1312" s="19">
        <v>0</v>
      </c>
      <c r="W1312" s="19">
        <f t="shared" si="41"/>
        <v>7608.9</v>
      </c>
      <c r="X1312" s="19">
        <f t="shared" si="41"/>
        <v>10095.51</v>
      </c>
      <c r="Y1312" s="19">
        <f t="shared" si="41"/>
        <v>10095.51</v>
      </c>
    </row>
    <row r="1313" spans="1:25" s="16" customFormat="1" ht="25.5">
      <c r="A1313" s="108" t="str">
        <f t="shared" si="40"/>
        <v>619040904 2 02 21090000</v>
      </c>
      <c r="B1313" s="197" t="s">
        <v>763</v>
      </c>
      <c r="C1313" s="204" t="s">
        <v>795</v>
      </c>
      <c r="D1313" s="204" t="s">
        <v>73</v>
      </c>
      <c r="E1313" s="204" t="s">
        <v>471</v>
      </c>
      <c r="F1313" s="199" t="s">
        <v>764</v>
      </c>
      <c r="G1313" s="204" t="s">
        <v>9</v>
      </c>
      <c r="H1313" s="26">
        <v>101714.22000000002</v>
      </c>
      <c r="I1313" s="26">
        <v>119081.46</v>
      </c>
      <c r="J1313" s="26">
        <v>131049.60000000001</v>
      </c>
      <c r="K1313" s="32"/>
      <c r="L1313" s="32"/>
      <c r="M1313" s="32"/>
      <c r="N1313" s="32"/>
      <c r="O1313" s="32"/>
      <c r="P1313" s="32"/>
      <c r="Q1313" s="17"/>
      <c r="T1313" s="32">
        <v>3000</v>
      </c>
      <c r="U1313" s="32">
        <v>0</v>
      </c>
      <c r="V1313" s="32">
        <v>0</v>
      </c>
      <c r="W1313" s="32">
        <f t="shared" si="41"/>
        <v>98714.220000000016</v>
      </c>
      <c r="X1313" s="32">
        <f t="shared" si="41"/>
        <v>119081.46</v>
      </c>
      <c r="Y1313" s="32">
        <f t="shared" si="41"/>
        <v>131049.60000000001</v>
      </c>
    </row>
    <row r="1314" spans="1:25" s="16" customFormat="1" ht="25.5">
      <c r="A1314" s="108" t="str">
        <f t="shared" si="40"/>
        <v>619040904 2 02 21090240</v>
      </c>
      <c r="B1314" s="197" t="s">
        <v>28</v>
      </c>
      <c r="C1314" s="204" t="s">
        <v>795</v>
      </c>
      <c r="D1314" s="204" t="s">
        <v>73</v>
      </c>
      <c r="E1314" s="204" t="s">
        <v>471</v>
      </c>
      <c r="F1314" s="199" t="s">
        <v>764</v>
      </c>
      <c r="G1314" s="204" t="s">
        <v>29</v>
      </c>
      <c r="H1314" s="26">
        <v>101714.22000000002</v>
      </c>
      <c r="I1314" s="26">
        <v>119081.46</v>
      </c>
      <c r="J1314" s="26">
        <v>131049.60000000001</v>
      </c>
      <c r="K1314" s="32"/>
      <c r="L1314" s="32"/>
      <c r="M1314" s="32"/>
      <c r="N1314" s="32"/>
      <c r="O1314" s="32"/>
      <c r="P1314" s="32"/>
      <c r="Q1314" s="17"/>
      <c r="T1314" s="32">
        <v>3000</v>
      </c>
      <c r="U1314" s="32">
        <v>0</v>
      </c>
      <c r="V1314" s="32">
        <v>0</v>
      </c>
      <c r="W1314" s="32">
        <f t="shared" si="41"/>
        <v>98714.220000000016</v>
      </c>
      <c r="X1314" s="32">
        <f t="shared" si="41"/>
        <v>119081.46</v>
      </c>
      <c r="Y1314" s="32">
        <f t="shared" si="41"/>
        <v>131049.60000000001</v>
      </c>
    </row>
    <row r="1315" spans="1:25" s="16" customFormat="1" ht="51">
      <c r="A1315" s="108" t="str">
        <f t="shared" si="40"/>
        <v>619040904 2 02 76417000</v>
      </c>
      <c r="B1315" s="197" t="s">
        <v>1318</v>
      </c>
      <c r="C1315" s="204" t="s">
        <v>795</v>
      </c>
      <c r="D1315" s="204" t="s">
        <v>73</v>
      </c>
      <c r="E1315" s="204" t="s">
        <v>471</v>
      </c>
      <c r="F1315" s="199" t="s">
        <v>1319</v>
      </c>
      <c r="G1315" s="204" t="s">
        <v>9</v>
      </c>
      <c r="H1315" s="26">
        <v>6818.4</v>
      </c>
      <c r="I1315" s="26">
        <v>0</v>
      </c>
      <c r="J1315" s="26">
        <v>0</v>
      </c>
      <c r="K1315" s="32"/>
      <c r="L1315" s="32"/>
      <c r="M1315" s="32"/>
      <c r="N1315" s="32"/>
      <c r="O1315" s="32"/>
      <c r="P1315" s="32"/>
      <c r="Q1315" s="17"/>
      <c r="T1315" s="32">
        <v>3000</v>
      </c>
      <c r="U1315" s="32">
        <v>0</v>
      </c>
      <c r="V1315" s="32">
        <v>0</v>
      </c>
      <c r="W1315" s="32">
        <f t="shared" si="41"/>
        <v>3818.3999999999996</v>
      </c>
      <c r="X1315" s="32">
        <f t="shared" si="41"/>
        <v>0</v>
      </c>
      <c r="Y1315" s="32">
        <f t="shared" si="41"/>
        <v>0</v>
      </c>
    </row>
    <row r="1316" spans="1:25" s="16" customFormat="1" ht="25.5">
      <c r="A1316" s="108" t="str">
        <f t="shared" si="40"/>
        <v>619040904 2 02 76417240</v>
      </c>
      <c r="B1316" s="197" t="s">
        <v>28</v>
      </c>
      <c r="C1316" s="204" t="s">
        <v>795</v>
      </c>
      <c r="D1316" s="204" t="s">
        <v>73</v>
      </c>
      <c r="E1316" s="204" t="s">
        <v>471</v>
      </c>
      <c r="F1316" s="199" t="s">
        <v>1319</v>
      </c>
      <c r="G1316" s="204" t="s">
        <v>29</v>
      </c>
      <c r="H1316" s="26">
        <v>6818.4</v>
      </c>
      <c r="I1316" s="26">
        <v>0</v>
      </c>
      <c r="J1316" s="26">
        <v>0</v>
      </c>
      <c r="K1316" s="32"/>
      <c r="L1316" s="32"/>
      <c r="M1316" s="32"/>
      <c r="N1316" s="32"/>
      <c r="O1316" s="32"/>
      <c r="P1316" s="32"/>
      <c r="Q1316" s="17"/>
      <c r="T1316" s="32">
        <v>3000</v>
      </c>
      <c r="U1316" s="32">
        <v>0</v>
      </c>
      <c r="V1316" s="32">
        <v>0</v>
      </c>
      <c r="W1316" s="32">
        <f t="shared" si="41"/>
        <v>3818.3999999999996</v>
      </c>
      <c r="X1316" s="32">
        <f t="shared" si="41"/>
        <v>0</v>
      </c>
      <c r="Y1316" s="32">
        <f t="shared" si="41"/>
        <v>0</v>
      </c>
    </row>
    <row r="1317" spans="1:25" s="16" customFormat="1" ht="38.25">
      <c r="A1317" s="108" t="str">
        <f t="shared" si="40"/>
        <v>619040998 0 00 00000000</v>
      </c>
      <c r="B1317" s="226" t="s">
        <v>87</v>
      </c>
      <c r="C1317" s="204" t="s">
        <v>795</v>
      </c>
      <c r="D1317" s="204" t="s">
        <v>73</v>
      </c>
      <c r="E1317" s="204" t="s">
        <v>471</v>
      </c>
      <c r="F1317" s="204" t="s">
        <v>88</v>
      </c>
      <c r="G1317" s="204" t="s">
        <v>9</v>
      </c>
      <c r="H1317" s="26">
        <v>2000</v>
      </c>
      <c r="I1317" s="26">
        <v>0</v>
      </c>
      <c r="J1317" s="26">
        <v>0</v>
      </c>
      <c r="K1317" s="18"/>
      <c r="L1317" s="18"/>
      <c r="M1317" s="18"/>
      <c r="N1317" s="18"/>
      <c r="O1317" s="18"/>
      <c r="P1317" s="18"/>
      <c r="Q1317" s="17"/>
      <c r="T1317" s="18">
        <v>449905.78000000009</v>
      </c>
      <c r="U1317" s="18">
        <v>262546.57</v>
      </c>
      <c r="V1317" s="18">
        <v>265456.62</v>
      </c>
      <c r="W1317" s="18">
        <f t="shared" si="41"/>
        <v>-447905.78000000009</v>
      </c>
      <c r="X1317" s="18">
        <f t="shared" si="41"/>
        <v>-262546.57</v>
      </c>
      <c r="Y1317" s="18">
        <f t="shared" si="41"/>
        <v>-265456.62</v>
      </c>
    </row>
    <row r="1318" spans="1:25" s="16" customFormat="1">
      <c r="A1318" s="108" t="str">
        <f t="shared" si="40"/>
        <v>619040998 1 00 00000000</v>
      </c>
      <c r="B1318" s="226" t="s">
        <v>89</v>
      </c>
      <c r="C1318" s="204" t="s">
        <v>795</v>
      </c>
      <c r="D1318" s="204" t="s">
        <v>73</v>
      </c>
      <c r="E1318" s="204" t="s">
        <v>471</v>
      </c>
      <c r="F1318" s="204" t="s">
        <v>90</v>
      </c>
      <c r="G1318" s="204" t="s">
        <v>9</v>
      </c>
      <c r="H1318" s="26">
        <v>2000</v>
      </c>
      <c r="I1318" s="26">
        <v>0</v>
      </c>
      <c r="J1318" s="26">
        <v>0</v>
      </c>
      <c r="K1318" s="19"/>
      <c r="L1318" s="19"/>
      <c r="M1318" s="19"/>
      <c r="N1318" s="19"/>
      <c r="O1318" s="19"/>
      <c r="P1318" s="19"/>
      <c r="Q1318" s="17"/>
      <c r="T1318" s="19">
        <v>90</v>
      </c>
      <c r="U1318" s="19">
        <v>90</v>
      </c>
      <c r="V1318" s="19">
        <v>90</v>
      </c>
      <c r="W1318" s="19">
        <f t="shared" si="41"/>
        <v>1910</v>
      </c>
      <c r="X1318" s="19">
        <f t="shared" si="41"/>
        <v>-90</v>
      </c>
      <c r="Y1318" s="19">
        <f t="shared" si="41"/>
        <v>-90</v>
      </c>
    </row>
    <row r="1319" spans="1:25" s="16" customFormat="1">
      <c r="A1319" s="108" t="str">
        <f t="shared" si="40"/>
        <v>619040998 1 00 21450000</v>
      </c>
      <c r="B1319" s="197" t="s">
        <v>778</v>
      </c>
      <c r="C1319" s="204" t="s">
        <v>795</v>
      </c>
      <c r="D1319" s="204" t="s">
        <v>73</v>
      </c>
      <c r="E1319" s="204" t="s">
        <v>471</v>
      </c>
      <c r="F1319" s="204" t="s">
        <v>779</v>
      </c>
      <c r="G1319" s="204" t="s">
        <v>9</v>
      </c>
      <c r="H1319" s="26">
        <v>2000</v>
      </c>
      <c r="I1319" s="26">
        <v>0</v>
      </c>
      <c r="J1319" s="26">
        <v>0</v>
      </c>
      <c r="K1319" s="32"/>
      <c r="L1319" s="32"/>
      <c r="M1319" s="32"/>
      <c r="N1319" s="32"/>
      <c r="O1319" s="32"/>
      <c r="P1319" s="32"/>
      <c r="Q1319" s="17"/>
      <c r="T1319" s="32">
        <v>90</v>
      </c>
      <c r="U1319" s="32">
        <v>90</v>
      </c>
      <c r="V1319" s="32">
        <v>90</v>
      </c>
      <c r="W1319" s="32">
        <f t="shared" si="41"/>
        <v>1910</v>
      </c>
      <c r="X1319" s="32">
        <f t="shared" si="41"/>
        <v>-90</v>
      </c>
      <c r="Y1319" s="32">
        <f t="shared" si="41"/>
        <v>-90</v>
      </c>
    </row>
    <row r="1320" spans="1:25" s="16" customFormat="1" ht="25.5">
      <c r="A1320" s="108" t="str">
        <f t="shared" si="40"/>
        <v>619040998 1 00 21450240</v>
      </c>
      <c r="B1320" s="197" t="s">
        <v>28</v>
      </c>
      <c r="C1320" s="204" t="s">
        <v>795</v>
      </c>
      <c r="D1320" s="204" t="s">
        <v>73</v>
      </c>
      <c r="E1320" s="204" t="s">
        <v>471</v>
      </c>
      <c r="F1320" s="204" t="s">
        <v>779</v>
      </c>
      <c r="G1320" s="204" t="s">
        <v>29</v>
      </c>
      <c r="H1320" s="26">
        <v>2000</v>
      </c>
      <c r="I1320" s="26">
        <v>0</v>
      </c>
      <c r="J1320" s="26">
        <v>0</v>
      </c>
      <c r="K1320" s="32"/>
      <c r="L1320" s="32"/>
      <c r="M1320" s="32"/>
      <c r="N1320" s="32"/>
      <c r="O1320" s="32"/>
      <c r="P1320" s="32"/>
      <c r="Q1320" s="17"/>
      <c r="T1320" s="32">
        <v>90</v>
      </c>
      <c r="U1320" s="32">
        <v>90</v>
      </c>
      <c r="V1320" s="32">
        <v>90</v>
      </c>
      <c r="W1320" s="32">
        <f t="shared" si="41"/>
        <v>1910</v>
      </c>
      <c r="X1320" s="32">
        <f t="shared" si="41"/>
        <v>-90</v>
      </c>
      <c r="Y1320" s="32">
        <f t="shared" si="41"/>
        <v>-90</v>
      </c>
    </row>
    <row r="1321" spans="1:25" s="16" customFormat="1">
      <c r="A1321" s="108" t="str">
        <f t="shared" si="40"/>
        <v>619050000 0 00 00000000</v>
      </c>
      <c r="B1321" s="259" t="s">
        <v>305</v>
      </c>
      <c r="C1321" s="192" t="s">
        <v>795</v>
      </c>
      <c r="D1321" s="193" t="s">
        <v>86</v>
      </c>
      <c r="E1321" s="193" t="s">
        <v>7</v>
      </c>
      <c r="F1321" s="193" t="s">
        <v>8</v>
      </c>
      <c r="G1321" s="193" t="s">
        <v>9</v>
      </c>
      <c r="H1321" s="18">
        <v>49328.66</v>
      </c>
      <c r="I1321" s="18">
        <v>25282.670000000002</v>
      </c>
      <c r="J1321" s="18">
        <v>25094.670000000002</v>
      </c>
      <c r="K1321" s="32"/>
      <c r="L1321" s="32"/>
      <c r="M1321" s="32"/>
      <c r="N1321" s="32"/>
      <c r="O1321" s="32"/>
      <c r="P1321" s="32"/>
      <c r="Q1321" s="17"/>
      <c r="T1321" s="32">
        <v>90</v>
      </c>
      <c r="U1321" s="32">
        <v>90</v>
      </c>
      <c r="V1321" s="32">
        <v>90</v>
      </c>
      <c r="W1321" s="32">
        <f t="shared" si="41"/>
        <v>49238.66</v>
      </c>
      <c r="X1321" s="32">
        <f t="shared" si="41"/>
        <v>25192.670000000002</v>
      </c>
      <c r="Y1321" s="32">
        <f t="shared" si="41"/>
        <v>25004.670000000002</v>
      </c>
    </row>
    <row r="1322" spans="1:25" s="16" customFormat="1">
      <c r="A1322" s="108" t="str">
        <f t="shared" si="40"/>
        <v>619050100 0 00 00000000</v>
      </c>
      <c r="B1322" s="263" t="s">
        <v>765</v>
      </c>
      <c r="C1322" s="264" t="s">
        <v>795</v>
      </c>
      <c r="D1322" s="265" t="s">
        <v>86</v>
      </c>
      <c r="E1322" s="265" t="s">
        <v>11</v>
      </c>
      <c r="F1322" s="265" t="s">
        <v>8</v>
      </c>
      <c r="G1322" s="265" t="s">
        <v>9</v>
      </c>
      <c r="H1322" s="52">
        <v>14318.42</v>
      </c>
      <c r="I1322" s="52">
        <v>3851.93</v>
      </c>
      <c r="J1322" s="52">
        <v>3663.93</v>
      </c>
      <c r="K1322" s="32"/>
      <c r="L1322" s="32"/>
      <c r="M1322" s="32"/>
      <c r="N1322" s="32"/>
      <c r="O1322" s="32"/>
      <c r="P1322" s="32"/>
      <c r="Q1322" s="17"/>
      <c r="T1322" s="32">
        <v>90</v>
      </c>
      <c r="U1322" s="32">
        <v>90</v>
      </c>
      <c r="V1322" s="32">
        <v>90</v>
      </c>
      <c r="W1322" s="32">
        <f t="shared" si="41"/>
        <v>14228.42</v>
      </c>
      <c r="X1322" s="32">
        <f t="shared" si="41"/>
        <v>3761.93</v>
      </c>
      <c r="Y1322" s="32">
        <f t="shared" si="41"/>
        <v>3573.93</v>
      </c>
    </row>
    <row r="1323" spans="1:25" s="16" customFormat="1" ht="38.25">
      <c r="A1323" s="108" t="str">
        <f t="shared" si="40"/>
        <v>619050104 0 00 00000000</v>
      </c>
      <c r="B1323" s="200" t="s">
        <v>293</v>
      </c>
      <c r="C1323" s="204" t="s">
        <v>795</v>
      </c>
      <c r="D1323" s="204" t="s">
        <v>86</v>
      </c>
      <c r="E1323" s="204" t="s">
        <v>11</v>
      </c>
      <c r="F1323" s="204" t="s">
        <v>294</v>
      </c>
      <c r="G1323" s="204" t="s">
        <v>9</v>
      </c>
      <c r="H1323" s="53">
        <v>4092.08</v>
      </c>
      <c r="I1323" s="53">
        <v>3851.93</v>
      </c>
      <c r="J1323" s="53">
        <v>3663.93</v>
      </c>
      <c r="K1323" s="32"/>
      <c r="L1323" s="32"/>
      <c r="M1323" s="32"/>
      <c r="N1323" s="32"/>
      <c r="O1323" s="32"/>
      <c r="P1323" s="32"/>
      <c r="Q1323" s="17"/>
      <c r="T1323" s="32">
        <v>90</v>
      </c>
      <c r="U1323" s="32">
        <v>90</v>
      </c>
      <c r="V1323" s="32">
        <v>90</v>
      </c>
      <c r="W1323" s="32">
        <f t="shared" si="41"/>
        <v>4002.08</v>
      </c>
      <c r="X1323" s="32">
        <f t="shared" si="41"/>
        <v>3761.93</v>
      </c>
      <c r="Y1323" s="32">
        <f t="shared" si="41"/>
        <v>3573.93</v>
      </c>
    </row>
    <row r="1324" spans="1:25" s="16" customFormat="1" ht="25.5">
      <c r="A1324" s="108" t="str">
        <f t="shared" si="40"/>
        <v>619050104 1 00 00000000</v>
      </c>
      <c r="B1324" s="266" t="s">
        <v>766</v>
      </c>
      <c r="C1324" s="267" t="s">
        <v>795</v>
      </c>
      <c r="D1324" s="267" t="s">
        <v>86</v>
      </c>
      <c r="E1324" s="267" t="s">
        <v>11</v>
      </c>
      <c r="F1324" s="267" t="s">
        <v>767</v>
      </c>
      <c r="G1324" s="267" t="s">
        <v>9</v>
      </c>
      <c r="H1324" s="54">
        <v>4092.08</v>
      </c>
      <c r="I1324" s="54">
        <v>3851.93</v>
      </c>
      <c r="J1324" s="54">
        <v>3663.93</v>
      </c>
      <c r="K1324" s="19"/>
      <c r="L1324" s="19"/>
      <c r="M1324" s="19"/>
      <c r="N1324" s="19"/>
      <c r="O1324" s="19"/>
      <c r="P1324" s="19"/>
      <c r="Q1324" s="17"/>
      <c r="T1324" s="19">
        <v>13803.59</v>
      </c>
      <c r="U1324" s="19">
        <v>20</v>
      </c>
      <c r="V1324" s="19">
        <v>20</v>
      </c>
      <c r="W1324" s="19">
        <f t="shared" si="41"/>
        <v>-9711.51</v>
      </c>
      <c r="X1324" s="19">
        <f t="shared" si="41"/>
        <v>3831.93</v>
      </c>
      <c r="Y1324" s="19">
        <f t="shared" si="41"/>
        <v>3643.93</v>
      </c>
    </row>
    <row r="1325" spans="1:25" s="16" customFormat="1" ht="38.25">
      <c r="A1325" s="108" t="str">
        <f t="shared" si="40"/>
        <v>619050104 1 01 00000000</v>
      </c>
      <c r="B1325" s="201" t="s">
        <v>793</v>
      </c>
      <c r="C1325" s="204" t="s">
        <v>795</v>
      </c>
      <c r="D1325" s="204" t="s">
        <v>86</v>
      </c>
      <c r="E1325" s="204" t="s">
        <v>11</v>
      </c>
      <c r="F1325" s="204" t="s">
        <v>769</v>
      </c>
      <c r="G1325" s="204" t="s">
        <v>9</v>
      </c>
      <c r="H1325" s="26">
        <v>4092.08</v>
      </c>
      <c r="I1325" s="26">
        <v>3851.93</v>
      </c>
      <c r="J1325" s="26">
        <v>3663.93</v>
      </c>
      <c r="K1325" s="32"/>
      <c r="L1325" s="32"/>
      <c r="M1325" s="32"/>
      <c r="N1325" s="32"/>
      <c r="O1325" s="32"/>
      <c r="P1325" s="32"/>
      <c r="Q1325" s="17"/>
      <c r="T1325" s="32">
        <v>13803.59</v>
      </c>
      <c r="U1325" s="32">
        <v>20</v>
      </c>
      <c r="V1325" s="32">
        <v>20</v>
      </c>
      <c r="W1325" s="32">
        <f t="shared" si="41"/>
        <v>-9711.51</v>
      </c>
      <c r="X1325" s="32">
        <f t="shared" si="41"/>
        <v>3831.93</v>
      </c>
      <c r="Y1325" s="32">
        <f t="shared" si="41"/>
        <v>3643.93</v>
      </c>
    </row>
    <row r="1326" spans="1:25" s="16" customFormat="1" ht="25.5">
      <c r="A1326" s="108" t="str">
        <f t="shared" si="40"/>
        <v>619050104 1 01 20190000</v>
      </c>
      <c r="B1326" s="268" t="s">
        <v>770</v>
      </c>
      <c r="C1326" s="204" t="s">
        <v>795</v>
      </c>
      <c r="D1326" s="204" t="s">
        <v>86</v>
      </c>
      <c r="E1326" s="204" t="s">
        <v>11</v>
      </c>
      <c r="F1326" s="204" t="s">
        <v>771</v>
      </c>
      <c r="G1326" s="204" t="s">
        <v>9</v>
      </c>
      <c r="H1326" s="26">
        <v>4092.08</v>
      </c>
      <c r="I1326" s="26">
        <v>3851.93</v>
      </c>
      <c r="J1326" s="26">
        <v>3663.93</v>
      </c>
      <c r="K1326" s="32"/>
      <c r="L1326" s="32"/>
      <c r="M1326" s="32"/>
      <c r="N1326" s="32"/>
      <c r="O1326" s="32"/>
      <c r="P1326" s="32"/>
      <c r="Q1326" s="17"/>
      <c r="T1326" s="32">
        <v>13803.59</v>
      </c>
      <c r="U1326" s="32">
        <v>20</v>
      </c>
      <c r="V1326" s="32">
        <v>20</v>
      </c>
      <c r="W1326" s="32">
        <f t="shared" si="41"/>
        <v>-9711.51</v>
      </c>
      <c r="X1326" s="32">
        <f t="shared" si="41"/>
        <v>3831.93</v>
      </c>
      <c r="Y1326" s="32">
        <f t="shared" si="41"/>
        <v>3643.93</v>
      </c>
    </row>
    <row r="1327" spans="1:25" s="16" customFormat="1">
      <c r="A1327" s="108" t="str">
        <f t="shared" si="40"/>
        <v/>
      </c>
      <c r="B1327" s="220" t="s">
        <v>1104</v>
      </c>
      <c r="C1327" s="204"/>
      <c r="D1327" s="204"/>
      <c r="E1327" s="204"/>
      <c r="F1327" s="204"/>
      <c r="G1327" s="204"/>
      <c r="H1327" s="26"/>
      <c r="I1327" s="26"/>
      <c r="J1327" s="26"/>
      <c r="K1327" s="32"/>
      <c r="L1327" s="32"/>
      <c r="M1327" s="32"/>
      <c r="N1327" s="32"/>
      <c r="O1327" s="32"/>
      <c r="P1327" s="32"/>
      <c r="Q1327" s="17"/>
      <c r="T1327" s="32">
        <v>20</v>
      </c>
      <c r="U1327" s="32">
        <v>20</v>
      </c>
      <c r="V1327" s="32">
        <v>20</v>
      </c>
      <c r="W1327" s="32">
        <f t="shared" si="41"/>
        <v>-20</v>
      </c>
      <c r="X1327" s="32">
        <f t="shared" si="41"/>
        <v>-20</v>
      </c>
      <c r="Y1327" s="32">
        <f t="shared" si="41"/>
        <v>-20</v>
      </c>
    </row>
    <row r="1328" spans="1:25" s="16" customFormat="1">
      <c r="A1328" s="108" t="str">
        <f t="shared" si="40"/>
        <v>619050104 1 01 20190000</v>
      </c>
      <c r="B1328" s="221" t="s">
        <v>1105</v>
      </c>
      <c r="C1328" s="223" t="s">
        <v>795</v>
      </c>
      <c r="D1328" s="223" t="s">
        <v>86</v>
      </c>
      <c r="E1328" s="223" t="s">
        <v>11</v>
      </c>
      <c r="F1328" s="223" t="s">
        <v>771</v>
      </c>
      <c r="G1328" s="223" t="s">
        <v>9</v>
      </c>
      <c r="H1328" s="224">
        <v>22.15</v>
      </c>
      <c r="I1328" s="224">
        <v>0</v>
      </c>
      <c r="J1328" s="224">
        <v>0</v>
      </c>
      <c r="K1328" s="32"/>
      <c r="L1328" s="32"/>
      <c r="M1328" s="32"/>
      <c r="N1328" s="32"/>
      <c r="O1328" s="32"/>
      <c r="P1328" s="32"/>
      <c r="Q1328" s="17"/>
      <c r="T1328" s="32">
        <v>20</v>
      </c>
      <c r="U1328" s="32">
        <v>20</v>
      </c>
      <c r="V1328" s="32">
        <v>20</v>
      </c>
      <c r="W1328" s="32">
        <f t="shared" si="41"/>
        <v>2.1499999999999986</v>
      </c>
      <c r="X1328" s="32">
        <f t="shared" si="41"/>
        <v>-20</v>
      </c>
      <c r="Y1328" s="32">
        <f t="shared" si="41"/>
        <v>-20</v>
      </c>
    </row>
    <row r="1329" spans="1:25" s="16" customFormat="1" ht="25.5">
      <c r="A1329" s="108" t="str">
        <f t="shared" si="40"/>
        <v>619050104 1 01 20190240</v>
      </c>
      <c r="B1329" s="197" t="s">
        <v>28</v>
      </c>
      <c r="C1329" s="204" t="s">
        <v>795</v>
      </c>
      <c r="D1329" s="204" t="s">
        <v>86</v>
      </c>
      <c r="E1329" s="204" t="s">
        <v>11</v>
      </c>
      <c r="F1329" s="204" t="s">
        <v>771</v>
      </c>
      <c r="G1329" s="204" t="s">
        <v>29</v>
      </c>
      <c r="H1329" s="26">
        <v>4092.08</v>
      </c>
      <c r="I1329" s="26">
        <v>3851.93</v>
      </c>
      <c r="J1329" s="26">
        <v>3663.93</v>
      </c>
      <c r="K1329" s="32"/>
      <c r="L1329" s="32"/>
      <c r="M1329" s="32"/>
      <c r="N1329" s="32"/>
      <c r="O1329" s="32"/>
      <c r="P1329" s="32"/>
      <c r="Q1329" s="17"/>
      <c r="T1329" s="32">
        <v>20</v>
      </c>
      <c r="U1329" s="32">
        <v>20</v>
      </c>
      <c r="V1329" s="32">
        <v>20</v>
      </c>
      <c r="W1329" s="32">
        <f t="shared" si="41"/>
        <v>4072.08</v>
      </c>
      <c r="X1329" s="32">
        <f t="shared" si="41"/>
        <v>3831.93</v>
      </c>
      <c r="Y1329" s="32">
        <f t="shared" si="41"/>
        <v>3643.93</v>
      </c>
    </row>
    <row r="1330" spans="1:25" s="16" customFormat="1" ht="25.5">
      <c r="A1330" s="108" t="str">
        <f t="shared" si="40"/>
        <v>619050182 0 00 00000000</v>
      </c>
      <c r="B1330" s="197" t="s">
        <v>796</v>
      </c>
      <c r="C1330" s="199" t="s">
        <v>795</v>
      </c>
      <c r="D1330" s="204" t="s">
        <v>86</v>
      </c>
      <c r="E1330" s="204" t="s">
        <v>11</v>
      </c>
      <c r="F1330" s="199" t="s">
        <v>797</v>
      </c>
      <c r="G1330" s="199" t="s">
        <v>9</v>
      </c>
      <c r="H1330" s="20">
        <v>10226.34</v>
      </c>
      <c r="I1330" s="20">
        <v>0</v>
      </c>
      <c r="J1330" s="20">
        <v>0</v>
      </c>
      <c r="K1330" s="32"/>
      <c r="L1330" s="32"/>
      <c r="M1330" s="32"/>
      <c r="N1330" s="32"/>
      <c r="O1330" s="32"/>
      <c r="P1330" s="32"/>
      <c r="Q1330" s="17"/>
      <c r="T1330" s="32">
        <v>13783.59</v>
      </c>
      <c r="U1330" s="32">
        <v>0</v>
      </c>
      <c r="V1330" s="32">
        <v>0</v>
      </c>
      <c r="W1330" s="32">
        <f t="shared" si="41"/>
        <v>-3557.25</v>
      </c>
      <c r="X1330" s="32">
        <f t="shared" si="41"/>
        <v>0</v>
      </c>
      <c r="Y1330" s="32">
        <f t="shared" si="41"/>
        <v>0</v>
      </c>
    </row>
    <row r="1331" spans="1:25" s="16" customFormat="1">
      <c r="A1331" s="108" t="str">
        <f t="shared" si="40"/>
        <v>619050182 2 00 00000000</v>
      </c>
      <c r="B1331" s="280" t="s">
        <v>52</v>
      </c>
      <c r="C1331" s="199" t="s">
        <v>795</v>
      </c>
      <c r="D1331" s="204" t="s">
        <v>86</v>
      </c>
      <c r="E1331" s="204" t="s">
        <v>11</v>
      </c>
      <c r="F1331" s="199" t="s">
        <v>1089</v>
      </c>
      <c r="G1331" s="199" t="s">
        <v>9</v>
      </c>
      <c r="H1331" s="20">
        <v>10226.34</v>
      </c>
      <c r="I1331" s="20">
        <v>0</v>
      </c>
      <c r="J1331" s="20">
        <v>0</v>
      </c>
      <c r="K1331" s="32"/>
      <c r="L1331" s="32"/>
      <c r="M1331" s="32"/>
      <c r="N1331" s="32"/>
      <c r="O1331" s="32"/>
      <c r="P1331" s="32"/>
      <c r="Q1331" s="17"/>
      <c r="T1331" s="32">
        <v>13783.59</v>
      </c>
      <c r="U1331" s="32">
        <v>0</v>
      </c>
      <c r="V1331" s="32">
        <v>0</v>
      </c>
      <c r="W1331" s="32">
        <f t="shared" si="41"/>
        <v>-3557.25</v>
      </c>
      <c r="X1331" s="32">
        <f t="shared" si="41"/>
        <v>0</v>
      </c>
      <c r="Y1331" s="32">
        <f t="shared" si="41"/>
        <v>0</v>
      </c>
    </row>
    <row r="1332" spans="1:25" s="16" customFormat="1" ht="25.5">
      <c r="A1332" s="108" t="str">
        <f t="shared" si="40"/>
        <v>619050182 2 00 76900000</v>
      </c>
      <c r="B1332" s="197" t="s">
        <v>1320</v>
      </c>
      <c r="C1332" s="199" t="s">
        <v>795</v>
      </c>
      <c r="D1332" s="204" t="s">
        <v>86</v>
      </c>
      <c r="E1332" s="204" t="s">
        <v>11</v>
      </c>
      <c r="F1332" s="204" t="s">
        <v>1321</v>
      </c>
      <c r="G1332" s="199" t="s">
        <v>9</v>
      </c>
      <c r="H1332" s="20">
        <v>10226.34</v>
      </c>
      <c r="I1332" s="20">
        <v>0</v>
      </c>
      <c r="J1332" s="20">
        <v>0</v>
      </c>
      <c r="K1332" s="32"/>
      <c r="L1332" s="32"/>
      <c r="M1332" s="32"/>
      <c r="N1332" s="32"/>
      <c r="O1332" s="32"/>
      <c r="P1332" s="32"/>
      <c r="Q1332" s="17"/>
      <c r="T1332" s="32">
        <v>13783.59</v>
      </c>
      <c r="U1332" s="32">
        <v>0</v>
      </c>
      <c r="V1332" s="32">
        <v>0</v>
      </c>
      <c r="W1332" s="32">
        <f t="shared" si="41"/>
        <v>-3557.25</v>
      </c>
      <c r="X1332" s="32">
        <f t="shared" si="41"/>
        <v>0</v>
      </c>
      <c r="Y1332" s="32">
        <f t="shared" si="41"/>
        <v>0</v>
      </c>
    </row>
    <row r="1333" spans="1:25" s="16" customFormat="1" ht="25.5">
      <c r="A1333" s="108" t="str">
        <f t="shared" si="40"/>
        <v>619050182 2 00 76900240</v>
      </c>
      <c r="B1333" s="197" t="s">
        <v>28</v>
      </c>
      <c r="C1333" s="199" t="s">
        <v>795</v>
      </c>
      <c r="D1333" s="204" t="s">
        <v>86</v>
      </c>
      <c r="E1333" s="204" t="s">
        <v>11</v>
      </c>
      <c r="F1333" s="204" t="s">
        <v>1321</v>
      </c>
      <c r="G1333" s="199" t="s">
        <v>29</v>
      </c>
      <c r="H1333" s="20">
        <v>10226.34</v>
      </c>
      <c r="I1333" s="20">
        <v>0</v>
      </c>
      <c r="J1333" s="20">
        <v>0</v>
      </c>
      <c r="K1333" s="19"/>
      <c r="L1333" s="19"/>
      <c r="M1333" s="19"/>
      <c r="N1333" s="19"/>
      <c r="O1333" s="19"/>
      <c r="P1333" s="19"/>
      <c r="Q1333" s="17"/>
      <c r="T1333" s="19">
        <v>387753.74000000005</v>
      </c>
      <c r="U1333" s="19">
        <v>214178.12</v>
      </c>
      <c r="V1333" s="19">
        <v>217088.16999999998</v>
      </c>
      <c r="W1333" s="19">
        <f t="shared" si="41"/>
        <v>-377527.4</v>
      </c>
      <c r="X1333" s="19">
        <f t="shared" si="41"/>
        <v>-214178.12</v>
      </c>
      <c r="Y1333" s="19">
        <f t="shared" si="41"/>
        <v>-217088.16999999998</v>
      </c>
    </row>
    <row r="1334" spans="1:25" s="16" customFormat="1">
      <c r="A1334" s="108" t="str">
        <f t="shared" si="40"/>
        <v>619050300 0 00 00000000</v>
      </c>
      <c r="B1334" s="261" t="s">
        <v>306</v>
      </c>
      <c r="C1334" s="195" t="s">
        <v>795</v>
      </c>
      <c r="D1334" s="196" t="s">
        <v>86</v>
      </c>
      <c r="E1334" s="196" t="s">
        <v>13</v>
      </c>
      <c r="F1334" s="196" t="s">
        <v>8</v>
      </c>
      <c r="G1334" s="196" t="s">
        <v>9</v>
      </c>
      <c r="H1334" s="19">
        <v>35010.240000000005</v>
      </c>
      <c r="I1334" s="19">
        <v>21430.74</v>
      </c>
      <c r="J1334" s="19">
        <v>21430.74</v>
      </c>
      <c r="K1334" s="32"/>
      <c r="L1334" s="32"/>
      <c r="M1334" s="32"/>
      <c r="N1334" s="32"/>
      <c r="O1334" s="32"/>
      <c r="P1334" s="32"/>
      <c r="Q1334" s="17"/>
      <c r="T1334" s="32">
        <v>374355.24000000005</v>
      </c>
      <c r="U1334" s="32">
        <v>201612.44</v>
      </c>
      <c r="V1334" s="32">
        <v>201612.44</v>
      </c>
      <c r="W1334" s="32">
        <f t="shared" si="41"/>
        <v>-339345.00000000006</v>
      </c>
      <c r="X1334" s="32">
        <f t="shared" si="41"/>
        <v>-180181.7</v>
      </c>
      <c r="Y1334" s="32">
        <f t="shared" si="41"/>
        <v>-180181.7</v>
      </c>
    </row>
    <row r="1335" spans="1:25" s="16" customFormat="1" ht="38.25">
      <c r="A1335" s="108" t="str">
        <f t="shared" si="40"/>
        <v>619050304 0 00 00000000</v>
      </c>
      <c r="B1335" s="200" t="s">
        <v>293</v>
      </c>
      <c r="C1335" s="204" t="s">
        <v>795</v>
      </c>
      <c r="D1335" s="204" t="s">
        <v>86</v>
      </c>
      <c r="E1335" s="204" t="s">
        <v>13</v>
      </c>
      <c r="F1335" s="204" t="s">
        <v>294</v>
      </c>
      <c r="G1335" s="204" t="s">
        <v>9</v>
      </c>
      <c r="H1335" s="26">
        <v>31510.240000000002</v>
      </c>
      <c r="I1335" s="26">
        <v>21430.74</v>
      </c>
      <c r="J1335" s="26">
        <v>21430.74</v>
      </c>
      <c r="K1335" s="32"/>
      <c r="L1335" s="32"/>
      <c r="M1335" s="32"/>
      <c r="N1335" s="32"/>
      <c r="O1335" s="32"/>
      <c r="P1335" s="32"/>
      <c r="Q1335" s="17"/>
      <c r="T1335" s="32">
        <v>374355.24000000005</v>
      </c>
      <c r="U1335" s="32">
        <v>201612.44</v>
      </c>
      <c r="V1335" s="32">
        <v>201612.44</v>
      </c>
      <c r="W1335" s="32">
        <f t="shared" si="41"/>
        <v>-342845.00000000006</v>
      </c>
      <c r="X1335" s="32">
        <f t="shared" si="41"/>
        <v>-180181.7</v>
      </c>
      <c r="Y1335" s="32">
        <f t="shared" si="41"/>
        <v>-180181.7</v>
      </c>
    </row>
    <row r="1336" spans="1:25" s="16" customFormat="1" ht="25.5">
      <c r="A1336" s="108" t="str">
        <f t="shared" si="40"/>
        <v>619050304 3 00 00000000</v>
      </c>
      <c r="B1336" s="197" t="s">
        <v>307</v>
      </c>
      <c r="C1336" s="204" t="s">
        <v>795</v>
      </c>
      <c r="D1336" s="204" t="s">
        <v>86</v>
      </c>
      <c r="E1336" s="204" t="s">
        <v>13</v>
      </c>
      <c r="F1336" s="204" t="s">
        <v>308</v>
      </c>
      <c r="G1336" s="204" t="s">
        <v>9</v>
      </c>
      <c r="H1336" s="26">
        <v>31510.240000000002</v>
      </c>
      <c r="I1336" s="26">
        <v>21430.74</v>
      </c>
      <c r="J1336" s="26">
        <v>21430.74</v>
      </c>
      <c r="K1336" s="32"/>
      <c r="L1336" s="32"/>
      <c r="M1336" s="32"/>
      <c r="N1336" s="32"/>
      <c r="O1336" s="32"/>
      <c r="P1336" s="32"/>
      <c r="Q1336" s="17"/>
      <c r="T1336" s="32">
        <v>21921.760000000002</v>
      </c>
      <c r="U1336" s="32">
        <v>16821.77</v>
      </c>
      <c r="V1336" s="32">
        <v>16821.77</v>
      </c>
      <c r="W1336" s="32">
        <f t="shared" si="41"/>
        <v>9588.48</v>
      </c>
      <c r="X1336" s="32">
        <f t="shared" si="41"/>
        <v>4608.9700000000012</v>
      </c>
      <c r="Y1336" s="32">
        <f t="shared" si="41"/>
        <v>4608.9700000000012</v>
      </c>
    </row>
    <row r="1337" spans="1:25" s="16" customFormat="1" ht="25.5">
      <c r="A1337" s="108" t="str">
        <f t="shared" si="40"/>
        <v>619050304 3 04 00000000</v>
      </c>
      <c r="B1337" s="315" t="s">
        <v>309</v>
      </c>
      <c r="C1337" s="204" t="s">
        <v>795</v>
      </c>
      <c r="D1337" s="204" t="s">
        <v>86</v>
      </c>
      <c r="E1337" s="204" t="s">
        <v>13</v>
      </c>
      <c r="F1337" s="199" t="s">
        <v>310</v>
      </c>
      <c r="G1337" s="204" t="s">
        <v>9</v>
      </c>
      <c r="H1337" s="26">
        <v>31510.240000000002</v>
      </c>
      <c r="I1337" s="26">
        <v>21430.74</v>
      </c>
      <c r="J1337" s="26">
        <v>21430.74</v>
      </c>
      <c r="K1337" s="32"/>
      <c r="L1337" s="32"/>
      <c r="M1337" s="32"/>
      <c r="N1337" s="32"/>
      <c r="O1337" s="32"/>
      <c r="P1337" s="32"/>
      <c r="Q1337" s="17"/>
      <c r="T1337" s="32">
        <v>21921.760000000002</v>
      </c>
      <c r="U1337" s="32">
        <v>16821.77</v>
      </c>
      <c r="V1337" s="32">
        <v>16821.77</v>
      </c>
      <c r="W1337" s="32">
        <f t="shared" si="41"/>
        <v>9588.48</v>
      </c>
      <c r="X1337" s="32">
        <f t="shared" si="41"/>
        <v>4608.9700000000012</v>
      </c>
      <c r="Y1337" s="32">
        <f t="shared" si="41"/>
        <v>4608.9700000000012</v>
      </c>
    </row>
    <row r="1338" spans="1:25" s="16" customFormat="1" ht="25.5">
      <c r="A1338" s="108" t="str">
        <f t="shared" si="40"/>
        <v>619050304 3 04 20300000</v>
      </c>
      <c r="B1338" s="269" t="s">
        <v>542</v>
      </c>
      <c r="C1338" s="204" t="s">
        <v>795</v>
      </c>
      <c r="D1338" s="204" t="s">
        <v>86</v>
      </c>
      <c r="E1338" s="204" t="s">
        <v>13</v>
      </c>
      <c r="F1338" s="199" t="s">
        <v>543</v>
      </c>
      <c r="G1338" s="204" t="s">
        <v>9</v>
      </c>
      <c r="H1338" s="26">
        <v>20468.52</v>
      </c>
      <c r="I1338" s="26">
        <v>20489.02</v>
      </c>
      <c r="J1338" s="26">
        <v>20489.02</v>
      </c>
      <c r="K1338" s="32"/>
      <c r="L1338" s="32"/>
      <c r="M1338" s="32"/>
      <c r="N1338" s="32"/>
      <c r="O1338" s="32"/>
      <c r="P1338" s="32"/>
      <c r="Q1338" s="17"/>
      <c r="T1338" s="32"/>
      <c r="U1338" s="32"/>
      <c r="V1338" s="32"/>
      <c r="W1338" s="32">
        <f t="shared" si="41"/>
        <v>20468.52</v>
      </c>
      <c r="X1338" s="32">
        <f t="shared" si="41"/>
        <v>20489.02</v>
      </c>
      <c r="Y1338" s="32">
        <f t="shared" si="41"/>
        <v>20489.02</v>
      </c>
    </row>
    <row r="1339" spans="1:25" s="16" customFormat="1" ht="25.5">
      <c r="A1339" s="108" t="str">
        <f t="shared" si="40"/>
        <v>619050304 3 04 20300240</v>
      </c>
      <c r="B1339" s="197" t="s">
        <v>28</v>
      </c>
      <c r="C1339" s="204" t="s">
        <v>795</v>
      </c>
      <c r="D1339" s="204" t="s">
        <v>86</v>
      </c>
      <c r="E1339" s="204" t="s">
        <v>13</v>
      </c>
      <c r="F1339" s="199" t="s">
        <v>543</v>
      </c>
      <c r="G1339" s="204" t="s">
        <v>29</v>
      </c>
      <c r="H1339" s="20">
        <v>20468.52</v>
      </c>
      <c r="I1339" s="20">
        <v>20489.02</v>
      </c>
      <c r="J1339" s="20">
        <v>20489.02</v>
      </c>
      <c r="K1339" s="32"/>
      <c r="L1339" s="32"/>
      <c r="M1339" s="32"/>
      <c r="N1339" s="32"/>
      <c r="O1339" s="32"/>
      <c r="P1339" s="32"/>
      <c r="Q1339" s="17"/>
      <c r="T1339" s="32">
        <v>99.99</v>
      </c>
      <c r="U1339" s="32">
        <v>0</v>
      </c>
      <c r="V1339" s="32">
        <v>0</v>
      </c>
      <c r="W1339" s="32">
        <f t="shared" si="41"/>
        <v>20368.53</v>
      </c>
      <c r="X1339" s="32">
        <f t="shared" si="41"/>
        <v>20489.02</v>
      </c>
      <c r="Y1339" s="32">
        <f t="shared" si="41"/>
        <v>20489.02</v>
      </c>
    </row>
    <row r="1340" spans="1:25" s="16" customFormat="1">
      <c r="A1340" s="108" t="str">
        <f t="shared" si="40"/>
        <v>619050304 3 04 21070000</v>
      </c>
      <c r="B1340" s="200" t="s">
        <v>774</v>
      </c>
      <c r="C1340" s="204" t="s">
        <v>795</v>
      </c>
      <c r="D1340" s="204" t="s">
        <v>86</v>
      </c>
      <c r="E1340" s="204" t="s">
        <v>13</v>
      </c>
      <c r="F1340" s="204" t="s">
        <v>775</v>
      </c>
      <c r="G1340" s="204" t="s">
        <v>9</v>
      </c>
      <c r="H1340" s="26">
        <v>941.72</v>
      </c>
      <c r="I1340" s="26">
        <v>941.72</v>
      </c>
      <c r="J1340" s="26">
        <v>941.72</v>
      </c>
      <c r="K1340" s="32"/>
      <c r="L1340" s="32"/>
      <c r="M1340" s="32"/>
      <c r="N1340" s="32"/>
      <c r="O1340" s="32"/>
      <c r="P1340" s="32"/>
      <c r="Q1340" s="17"/>
      <c r="T1340" s="32">
        <v>21921.760000000002</v>
      </c>
      <c r="U1340" s="32">
        <v>16821.77</v>
      </c>
      <c r="V1340" s="32">
        <v>16821.77</v>
      </c>
      <c r="W1340" s="32">
        <f t="shared" si="41"/>
        <v>-20980.04</v>
      </c>
      <c r="X1340" s="32">
        <f t="shared" si="41"/>
        <v>-15880.050000000001</v>
      </c>
      <c r="Y1340" s="32">
        <f t="shared" si="41"/>
        <v>-15880.050000000001</v>
      </c>
    </row>
    <row r="1341" spans="1:25" s="16" customFormat="1" ht="25.5">
      <c r="A1341" s="108" t="str">
        <f t="shared" si="40"/>
        <v>619050304 3 04 21070240</v>
      </c>
      <c r="B1341" s="197" t="s">
        <v>28</v>
      </c>
      <c r="C1341" s="204" t="s">
        <v>795</v>
      </c>
      <c r="D1341" s="204" t="s">
        <v>86</v>
      </c>
      <c r="E1341" s="204" t="s">
        <v>13</v>
      </c>
      <c r="F1341" s="204" t="s">
        <v>775</v>
      </c>
      <c r="G1341" s="204" t="s">
        <v>29</v>
      </c>
      <c r="H1341" s="20">
        <v>941.72</v>
      </c>
      <c r="I1341" s="20">
        <v>941.72</v>
      </c>
      <c r="J1341" s="20">
        <v>941.72</v>
      </c>
      <c r="K1341" s="32"/>
      <c r="L1341" s="32"/>
      <c r="M1341" s="32"/>
      <c r="N1341" s="32"/>
      <c r="O1341" s="32"/>
      <c r="P1341" s="32"/>
      <c r="Q1341" s="17"/>
      <c r="T1341" s="32">
        <v>2284.56</v>
      </c>
      <c r="U1341" s="32">
        <v>2284.56</v>
      </c>
      <c r="V1341" s="32">
        <v>2284.56</v>
      </c>
      <c r="W1341" s="32">
        <f t="shared" si="41"/>
        <v>-1342.84</v>
      </c>
      <c r="X1341" s="32">
        <f t="shared" si="41"/>
        <v>-1342.84</v>
      </c>
      <c r="Y1341" s="32">
        <f t="shared" si="41"/>
        <v>-1342.84</v>
      </c>
    </row>
    <row r="1342" spans="1:25" s="16" customFormat="1" ht="38.25">
      <c r="A1342" s="108" t="str">
        <f t="shared" si="40"/>
        <v>619050304 3 04 G6420000</v>
      </c>
      <c r="B1342" s="197" t="s">
        <v>1043</v>
      </c>
      <c r="C1342" s="204" t="s">
        <v>795</v>
      </c>
      <c r="D1342" s="204" t="s">
        <v>86</v>
      </c>
      <c r="E1342" s="204" t="s">
        <v>13</v>
      </c>
      <c r="F1342" s="204" t="s">
        <v>1056</v>
      </c>
      <c r="G1342" s="204" t="s">
        <v>9</v>
      </c>
      <c r="H1342" s="26">
        <v>1505.5</v>
      </c>
      <c r="I1342" s="26">
        <v>0</v>
      </c>
      <c r="J1342" s="26">
        <v>0</v>
      </c>
      <c r="K1342" s="32"/>
      <c r="L1342" s="32"/>
      <c r="M1342" s="32"/>
      <c r="N1342" s="32"/>
      <c r="O1342" s="32"/>
      <c r="P1342" s="32"/>
      <c r="Q1342" s="17"/>
      <c r="T1342" s="32">
        <v>2284.56</v>
      </c>
      <c r="U1342" s="32">
        <v>2284.56</v>
      </c>
      <c r="V1342" s="32">
        <v>2284.56</v>
      </c>
      <c r="W1342" s="32">
        <f t="shared" si="41"/>
        <v>-779.06</v>
      </c>
      <c r="X1342" s="32">
        <f t="shared" si="41"/>
        <v>-2284.56</v>
      </c>
      <c r="Y1342" s="32">
        <f t="shared" si="41"/>
        <v>-2284.56</v>
      </c>
    </row>
    <row r="1343" spans="1:25" s="16" customFormat="1">
      <c r="A1343" s="108" t="str">
        <f t="shared" si="40"/>
        <v/>
      </c>
      <c r="B1343" s="205" t="s">
        <v>1045</v>
      </c>
      <c r="C1343" s="204"/>
      <c r="D1343" s="204"/>
      <c r="E1343" s="204"/>
      <c r="F1343" s="204"/>
      <c r="G1343" s="204"/>
      <c r="H1343" s="26"/>
      <c r="I1343" s="26"/>
      <c r="J1343" s="26"/>
      <c r="K1343" s="32"/>
      <c r="L1343" s="32"/>
      <c r="M1343" s="32"/>
      <c r="N1343" s="32"/>
      <c r="O1343" s="32"/>
      <c r="P1343" s="32"/>
      <c r="Q1343" s="17"/>
      <c r="T1343" s="32">
        <v>2284.56</v>
      </c>
      <c r="U1343" s="32">
        <v>2284.56</v>
      </c>
      <c r="V1343" s="32">
        <v>2284.56</v>
      </c>
      <c r="W1343" s="32">
        <f t="shared" si="41"/>
        <v>-2284.56</v>
      </c>
      <c r="X1343" s="32">
        <f t="shared" si="41"/>
        <v>-2284.56</v>
      </c>
      <c r="Y1343" s="32">
        <f t="shared" si="41"/>
        <v>-2284.56</v>
      </c>
    </row>
    <row r="1344" spans="1:25" s="16" customFormat="1">
      <c r="A1344" s="108" t="str">
        <f t="shared" si="40"/>
        <v>619050304 3 04 G6420000</v>
      </c>
      <c r="B1344" s="197" t="s">
        <v>1046</v>
      </c>
      <c r="C1344" s="204" t="s">
        <v>795</v>
      </c>
      <c r="D1344" s="204" t="s">
        <v>86</v>
      </c>
      <c r="E1344" s="204" t="s">
        <v>13</v>
      </c>
      <c r="F1344" s="204" t="s">
        <v>1056</v>
      </c>
      <c r="G1344" s="204" t="s">
        <v>9</v>
      </c>
      <c r="H1344" s="26">
        <v>305.5</v>
      </c>
      <c r="I1344" s="26">
        <v>0</v>
      </c>
      <c r="J1344" s="26">
        <v>0</v>
      </c>
      <c r="K1344" s="32"/>
      <c r="L1344" s="32"/>
      <c r="M1344" s="32"/>
      <c r="N1344" s="32"/>
      <c r="O1344" s="32"/>
      <c r="P1344" s="32"/>
      <c r="Q1344" s="17"/>
      <c r="T1344" s="32">
        <v>350148.92000000004</v>
      </c>
      <c r="U1344" s="32">
        <v>182506.11</v>
      </c>
      <c r="V1344" s="32">
        <v>182506.11</v>
      </c>
      <c r="W1344" s="32">
        <f t="shared" si="41"/>
        <v>-349843.42000000004</v>
      </c>
      <c r="X1344" s="32">
        <f t="shared" si="41"/>
        <v>-182506.11</v>
      </c>
      <c r="Y1344" s="32">
        <f t="shared" si="41"/>
        <v>-182506.11</v>
      </c>
    </row>
    <row r="1345" spans="1:25" s="16" customFormat="1">
      <c r="A1345" s="108" t="str">
        <f t="shared" si="40"/>
        <v>619050304 3 04 G6420000</v>
      </c>
      <c r="B1345" s="197" t="s">
        <v>1047</v>
      </c>
      <c r="C1345" s="204" t="s">
        <v>795</v>
      </c>
      <c r="D1345" s="204" t="s">
        <v>86</v>
      </c>
      <c r="E1345" s="204" t="s">
        <v>13</v>
      </c>
      <c r="F1345" s="204" t="s">
        <v>1056</v>
      </c>
      <c r="G1345" s="204" t="s">
        <v>9</v>
      </c>
      <c r="H1345" s="26">
        <v>1200</v>
      </c>
      <c r="I1345" s="26">
        <v>0</v>
      </c>
      <c r="J1345" s="26">
        <v>0</v>
      </c>
      <c r="K1345" s="32"/>
      <c r="L1345" s="32"/>
      <c r="M1345" s="32"/>
      <c r="N1345" s="32"/>
      <c r="O1345" s="32"/>
      <c r="P1345" s="32"/>
      <c r="Q1345" s="17"/>
      <c r="T1345" s="32">
        <v>17734.23</v>
      </c>
      <c r="U1345" s="32">
        <v>17734.23</v>
      </c>
      <c r="V1345" s="32">
        <v>17734.23</v>
      </c>
      <c r="W1345" s="32">
        <f t="shared" si="41"/>
        <v>-16534.23</v>
      </c>
      <c r="X1345" s="32">
        <f t="shared" si="41"/>
        <v>-17734.23</v>
      </c>
      <c r="Y1345" s="32">
        <f t="shared" si="41"/>
        <v>-17734.23</v>
      </c>
    </row>
    <row r="1346" spans="1:25" s="16" customFormat="1" ht="25.5">
      <c r="A1346" s="108" t="str">
        <f t="shared" si="40"/>
        <v>619050304 3 04 G6420240</v>
      </c>
      <c r="B1346" s="197" t="s">
        <v>28</v>
      </c>
      <c r="C1346" s="204" t="s">
        <v>795</v>
      </c>
      <c r="D1346" s="204" t="s">
        <v>86</v>
      </c>
      <c r="E1346" s="204" t="s">
        <v>13</v>
      </c>
      <c r="F1346" s="204" t="s">
        <v>1056</v>
      </c>
      <c r="G1346" s="204" t="s">
        <v>29</v>
      </c>
      <c r="H1346" s="26">
        <v>1505.5</v>
      </c>
      <c r="I1346" s="26">
        <v>0</v>
      </c>
      <c r="J1346" s="26">
        <v>0</v>
      </c>
      <c r="K1346" s="32"/>
      <c r="L1346" s="32"/>
      <c r="M1346" s="32"/>
      <c r="N1346" s="32"/>
      <c r="O1346" s="32"/>
      <c r="P1346" s="32"/>
      <c r="Q1346" s="17"/>
      <c r="T1346" s="32">
        <v>17734.23</v>
      </c>
      <c r="U1346" s="32">
        <v>17734.23</v>
      </c>
      <c r="V1346" s="32">
        <v>17734.23</v>
      </c>
      <c r="W1346" s="32">
        <f t="shared" si="41"/>
        <v>-16228.73</v>
      </c>
      <c r="X1346" s="32">
        <f t="shared" si="41"/>
        <v>-17734.23</v>
      </c>
      <c r="Y1346" s="32">
        <f t="shared" si="41"/>
        <v>-17734.23</v>
      </c>
    </row>
    <row r="1347" spans="1:25" s="16" customFormat="1" ht="25.5">
      <c r="A1347" s="108" t="str">
        <f t="shared" si="40"/>
        <v>619050304 3 04 S6420000</v>
      </c>
      <c r="B1347" s="200" t="s">
        <v>1048</v>
      </c>
      <c r="C1347" s="204" t="s">
        <v>795</v>
      </c>
      <c r="D1347" s="204" t="s">
        <v>86</v>
      </c>
      <c r="E1347" s="204" t="s">
        <v>13</v>
      </c>
      <c r="F1347" s="204" t="s">
        <v>1057</v>
      </c>
      <c r="G1347" s="204" t="s">
        <v>9</v>
      </c>
      <c r="H1347" s="26">
        <v>8594.5</v>
      </c>
      <c r="I1347" s="26">
        <v>0</v>
      </c>
      <c r="J1347" s="26">
        <v>0</v>
      </c>
      <c r="K1347" s="32"/>
      <c r="L1347" s="32"/>
      <c r="M1347" s="32"/>
      <c r="N1347" s="32"/>
      <c r="O1347" s="32"/>
      <c r="P1347" s="32"/>
      <c r="Q1347" s="17"/>
      <c r="T1347" s="32">
        <v>126566.27</v>
      </c>
      <c r="U1347" s="32">
        <v>105992.62</v>
      </c>
      <c r="V1347" s="32">
        <v>105992.62</v>
      </c>
      <c r="W1347" s="32">
        <f t="shared" si="41"/>
        <v>-117971.77</v>
      </c>
      <c r="X1347" s="32">
        <f t="shared" si="41"/>
        <v>-105992.62</v>
      </c>
      <c r="Y1347" s="32">
        <f t="shared" si="41"/>
        <v>-105992.62</v>
      </c>
    </row>
    <row r="1348" spans="1:25" s="16" customFormat="1">
      <c r="A1348" s="108" t="str">
        <f t="shared" si="40"/>
        <v/>
      </c>
      <c r="B1348" s="205" t="s">
        <v>1045</v>
      </c>
      <c r="C1348" s="204"/>
      <c r="D1348" s="204"/>
      <c r="E1348" s="204"/>
      <c r="F1348" s="204"/>
      <c r="G1348" s="204"/>
      <c r="H1348" s="26"/>
      <c r="I1348" s="26"/>
      <c r="J1348" s="26"/>
      <c r="K1348" s="32"/>
      <c r="L1348" s="32"/>
      <c r="M1348" s="32"/>
      <c r="N1348" s="32"/>
      <c r="O1348" s="32"/>
      <c r="P1348" s="32"/>
      <c r="Q1348" s="17"/>
      <c r="T1348" s="32"/>
      <c r="U1348" s="32"/>
      <c r="V1348" s="32"/>
      <c r="W1348" s="32">
        <f t="shared" si="41"/>
        <v>0</v>
      </c>
      <c r="X1348" s="32">
        <f t="shared" si="41"/>
        <v>0</v>
      </c>
      <c r="Y1348" s="32">
        <f t="shared" si="41"/>
        <v>0</v>
      </c>
    </row>
    <row r="1349" spans="1:25" s="16" customFormat="1">
      <c r="A1349" s="108" t="str">
        <f t="shared" si="40"/>
        <v>619050304 3 04 S6420000</v>
      </c>
      <c r="B1349" s="197" t="s">
        <v>1050</v>
      </c>
      <c r="C1349" s="204" t="s">
        <v>795</v>
      </c>
      <c r="D1349" s="204" t="s">
        <v>86</v>
      </c>
      <c r="E1349" s="204" t="s">
        <v>13</v>
      </c>
      <c r="F1349" s="204" t="s">
        <v>1057</v>
      </c>
      <c r="G1349" s="204" t="s">
        <v>9</v>
      </c>
      <c r="H1349" s="26">
        <v>2674.5</v>
      </c>
      <c r="I1349" s="26">
        <v>0</v>
      </c>
      <c r="J1349" s="26">
        <v>0</v>
      </c>
      <c r="K1349" s="32"/>
      <c r="L1349" s="32"/>
      <c r="M1349" s="32"/>
      <c r="N1349" s="32"/>
      <c r="O1349" s="32"/>
      <c r="P1349" s="32"/>
      <c r="Q1349" s="17"/>
      <c r="T1349" s="32">
        <v>8312.75</v>
      </c>
      <c r="U1349" s="32">
        <v>0</v>
      </c>
      <c r="V1349" s="32">
        <v>0</v>
      </c>
      <c r="W1349" s="32">
        <f t="shared" si="41"/>
        <v>-5638.25</v>
      </c>
      <c r="X1349" s="32">
        <f t="shared" si="41"/>
        <v>0</v>
      </c>
      <c r="Y1349" s="32">
        <f t="shared" si="41"/>
        <v>0</v>
      </c>
    </row>
    <row r="1350" spans="1:25" s="16" customFormat="1">
      <c r="A1350" s="108" t="str">
        <f t="shared" ref="A1350:A1413" si="42">C1350&amp;D1350&amp;E1350&amp;F1350&amp;G1350</f>
        <v>619050304 3 04 S6420000</v>
      </c>
      <c r="B1350" s="197" t="s">
        <v>1051</v>
      </c>
      <c r="C1350" s="204" t="s">
        <v>795</v>
      </c>
      <c r="D1350" s="204" t="s">
        <v>86</v>
      </c>
      <c r="E1350" s="204" t="s">
        <v>13</v>
      </c>
      <c r="F1350" s="204" t="s">
        <v>1057</v>
      </c>
      <c r="G1350" s="204" t="s">
        <v>9</v>
      </c>
      <c r="H1350" s="26">
        <v>5920</v>
      </c>
      <c r="I1350" s="26">
        <v>0</v>
      </c>
      <c r="J1350" s="26">
        <v>0</v>
      </c>
      <c r="K1350" s="32"/>
      <c r="L1350" s="32"/>
      <c r="M1350" s="32"/>
      <c r="N1350" s="32"/>
      <c r="O1350" s="32"/>
      <c r="P1350" s="32"/>
      <c r="Q1350" s="17"/>
      <c r="T1350" s="32">
        <v>126566.27</v>
      </c>
      <c r="U1350" s="32">
        <v>105992.62</v>
      </c>
      <c r="V1350" s="32">
        <v>105992.62</v>
      </c>
      <c r="W1350" s="32">
        <f t="shared" si="41"/>
        <v>-120646.27</v>
      </c>
      <c r="X1350" s="32">
        <f t="shared" si="41"/>
        <v>-105992.62</v>
      </c>
      <c r="Y1350" s="32">
        <f t="shared" si="41"/>
        <v>-105992.62</v>
      </c>
    </row>
    <row r="1351" spans="1:25" s="16" customFormat="1" ht="25.5">
      <c r="A1351" s="108" t="str">
        <f t="shared" si="42"/>
        <v>619050304 3 04 S6420240</v>
      </c>
      <c r="B1351" s="197" t="s">
        <v>28</v>
      </c>
      <c r="C1351" s="204" t="s">
        <v>795</v>
      </c>
      <c r="D1351" s="204" t="s">
        <v>86</v>
      </c>
      <c r="E1351" s="204" t="s">
        <v>13</v>
      </c>
      <c r="F1351" s="204" t="s">
        <v>1057</v>
      </c>
      <c r="G1351" s="204" t="s">
        <v>29</v>
      </c>
      <c r="H1351" s="26">
        <v>8594.5</v>
      </c>
      <c r="I1351" s="26">
        <v>0</v>
      </c>
      <c r="J1351" s="26">
        <v>0</v>
      </c>
      <c r="K1351" s="32"/>
      <c r="L1351" s="32"/>
      <c r="M1351" s="32"/>
      <c r="N1351" s="32"/>
      <c r="O1351" s="32"/>
      <c r="P1351" s="32"/>
      <c r="Q1351" s="17"/>
      <c r="T1351" s="32">
        <v>10962.45</v>
      </c>
      <c r="U1351" s="32">
        <v>8531.51</v>
      </c>
      <c r="V1351" s="32">
        <v>8531.51</v>
      </c>
      <c r="W1351" s="32">
        <f t="shared" si="41"/>
        <v>-2367.9500000000007</v>
      </c>
      <c r="X1351" s="32">
        <f t="shared" si="41"/>
        <v>-8531.51</v>
      </c>
      <c r="Y1351" s="32">
        <f t="shared" si="41"/>
        <v>-8531.51</v>
      </c>
    </row>
    <row r="1352" spans="1:25" s="16" customFormat="1" ht="38.25">
      <c r="A1352" s="108" t="str">
        <f t="shared" si="42"/>
        <v>619050398 0 00 00000000</v>
      </c>
      <c r="B1352" s="226" t="s">
        <v>87</v>
      </c>
      <c r="C1352" s="204" t="s">
        <v>795</v>
      </c>
      <c r="D1352" s="204" t="s">
        <v>86</v>
      </c>
      <c r="E1352" s="204" t="s">
        <v>13</v>
      </c>
      <c r="F1352" s="204" t="s">
        <v>88</v>
      </c>
      <c r="G1352" s="204" t="s">
        <v>9</v>
      </c>
      <c r="H1352" s="26">
        <v>3500</v>
      </c>
      <c r="I1352" s="26">
        <v>0</v>
      </c>
      <c r="J1352" s="26">
        <v>0</v>
      </c>
      <c r="K1352" s="32"/>
      <c r="L1352" s="32"/>
      <c r="M1352" s="32"/>
      <c r="N1352" s="32"/>
      <c r="O1352" s="32"/>
      <c r="P1352" s="32"/>
      <c r="Q1352" s="17"/>
      <c r="T1352" s="32"/>
      <c r="U1352" s="32"/>
      <c r="V1352" s="32"/>
      <c r="W1352" s="32">
        <f t="shared" ref="W1352:Y1415" si="43">H1352-T1352</f>
        <v>3500</v>
      </c>
      <c r="X1352" s="32">
        <f t="shared" si="43"/>
        <v>0</v>
      </c>
      <c r="Y1352" s="32">
        <f t="shared" si="43"/>
        <v>0</v>
      </c>
    </row>
    <row r="1353" spans="1:25" s="16" customFormat="1">
      <c r="A1353" s="108" t="str">
        <f t="shared" si="42"/>
        <v>619050398 1 00 00000000</v>
      </c>
      <c r="B1353" s="226" t="s">
        <v>89</v>
      </c>
      <c r="C1353" s="204" t="s">
        <v>795</v>
      </c>
      <c r="D1353" s="204" t="s">
        <v>86</v>
      </c>
      <c r="E1353" s="204" t="s">
        <v>13</v>
      </c>
      <c r="F1353" s="204" t="s">
        <v>90</v>
      </c>
      <c r="G1353" s="204" t="s">
        <v>9</v>
      </c>
      <c r="H1353" s="26">
        <v>3500</v>
      </c>
      <c r="I1353" s="26">
        <v>0</v>
      </c>
      <c r="J1353" s="26">
        <v>0</v>
      </c>
      <c r="K1353" s="32"/>
      <c r="L1353" s="32"/>
      <c r="M1353" s="32"/>
      <c r="N1353" s="32"/>
      <c r="O1353" s="32"/>
      <c r="P1353" s="32"/>
      <c r="Q1353" s="17"/>
      <c r="T1353" s="32">
        <v>100</v>
      </c>
      <c r="U1353" s="32">
        <v>0</v>
      </c>
      <c r="V1353" s="32">
        <v>0</v>
      </c>
      <c r="W1353" s="32">
        <f t="shared" si="43"/>
        <v>3400</v>
      </c>
      <c r="X1353" s="32">
        <f t="shared" si="43"/>
        <v>0</v>
      </c>
      <c r="Y1353" s="32">
        <f t="shared" si="43"/>
        <v>0</v>
      </c>
    </row>
    <row r="1354" spans="1:25" s="16" customFormat="1">
      <c r="A1354" s="108" t="str">
        <f t="shared" si="42"/>
        <v>619050398 1 00 21450000</v>
      </c>
      <c r="B1354" s="197" t="s">
        <v>778</v>
      </c>
      <c r="C1354" s="204" t="s">
        <v>795</v>
      </c>
      <c r="D1354" s="204" t="s">
        <v>86</v>
      </c>
      <c r="E1354" s="204" t="s">
        <v>13</v>
      </c>
      <c r="F1354" s="204" t="s">
        <v>779</v>
      </c>
      <c r="G1354" s="204" t="s">
        <v>9</v>
      </c>
      <c r="H1354" s="26">
        <v>3500</v>
      </c>
      <c r="I1354" s="26">
        <v>0</v>
      </c>
      <c r="J1354" s="26">
        <v>0</v>
      </c>
      <c r="K1354" s="32"/>
      <c r="L1354" s="32"/>
      <c r="M1354" s="32"/>
      <c r="N1354" s="32"/>
      <c r="O1354" s="32"/>
      <c r="P1354" s="32"/>
      <c r="Q1354" s="17"/>
      <c r="T1354" s="32">
        <v>10712.45</v>
      </c>
      <c r="U1354" s="32">
        <v>8381.51</v>
      </c>
      <c r="V1354" s="32">
        <v>8381.51</v>
      </c>
      <c r="W1354" s="32">
        <f t="shared" si="43"/>
        <v>-7212.4500000000007</v>
      </c>
      <c r="X1354" s="32">
        <f t="shared" si="43"/>
        <v>-8381.51</v>
      </c>
      <c r="Y1354" s="32">
        <f t="shared" si="43"/>
        <v>-8381.51</v>
      </c>
    </row>
    <row r="1355" spans="1:25" s="16" customFormat="1" ht="25.5">
      <c r="A1355" s="108" t="str">
        <f t="shared" si="42"/>
        <v>619050398 1 00 21450240</v>
      </c>
      <c r="B1355" s="197" t="s">
        <v>28</v>
      </c>
      <c r="C1355" s="204" t="s">
        <v>795</v>
      </c>
      <c r="D1355" s="204" t="s">
        <v>86</v>
      </c>
      <c r="E1355" s="204" t="s">
        <v>13</v>
      </c>
      <c r="F1355" s="204" t="s">
        <v>779</v>
      </c>
      <c r="G1355" s="204" t="s">
        <v>29</v>
      </c>
      <c r="H1355" s="26">
        <v>3500</v>
      </c>
      <c r="I1355" s="26">
        <v>0</v>
      </c>
      <c r="J1355" s="26">
        <v>0</v>
      </c>
      <c r="K1355" s="32"/>
      <c r="L1355" s="32"/>
      <c r="M1355" s="32"/>
      <c r="N1355" s="32"/>
      <c r="O1355" s="32"/>
      <c r="P1355" s="32"/>
      <c r="Q1355" s="17"/>
      <c r="T1355" s="32"/>
      <c r="U1355" s="32"/>
      <c r="V1355" s="32"/>
      <c r="W1355" s="32">
        <f t="shared" si="43"/>
        <v>3500</v>
      </c>
      <c r="X1355" s="32">
        <f t="shared" si="43"/>
        <v>0</v>
      </c>
      <c r="Y1355" s="32">
        <f t="shared" si="43"/>
        <v>0</v>
      </c>
    </row>
    <row r="1356" spans="1:25" s="16" customFormat="1">
      <c r="A1356" s="108" t="str">
        <f t="shared" si="42"/>
        <v>619080000 0 00 00000000</v>
      </c>
      <c r="B1356" s="191" t="s">
        <v>569</v>
      </c>
      <c r="C1356" s="192" t="s">
        <v>795</v>
      </c>
      <c r="D1356" s="193" t="s">
        <v>238</v>
      </c>
      <c r="E1356" s="193" t="s">
        <v>7</v>
      </c>
      <c r="F1356" s="193" t="s">
        <v>8</v>
      </c>
      <c r="G1356" s="193" t="s">
        <v>9</v>
      </c>
      <c r="H1356" s="18">
        <v>1549</v>
      </c>
      <c r="I1356" s="18">
        <v>1549</v>
      </c>
      <c r="J1356" s="18">
        <v>1549</v>
      </c>
      <c r="K1356" s="32"/>
      <c r="L1356" s="32"/>
      <c r="M1356" s="32"/>
      <c r="N1356" s="32"/>
      <c r="O1356" s="32"/>
      <c r="P1356" s="32"/>
      <c r="Q1356" s="17"/>
      <c r="T1356" s="32">
        <v>830.93999999999994</v>
      </c>
      <c r="U1356" s="32">
        <v>0</v>
      </c>
      <c r="V1356" s="32">
        <v>0</v>
      </c>
      <c r="W1356" s="32">
        <f t="shared" si="43"/>
        <v>718.06000000000006</v>
      </c>
      <c r="X1356" s="32">
        <f t="shared" si="43"/>
        <v>1549</v>
      </c>
      <c r="Y1356" s="32">
        <f t="shared" si="43"/>
        <v>1549</v>
      </c>
    </row>
    <row r="1357" spans="1:25" s="275" customFormat="1">
      <c r="A1357" s="108" t="str">
        <f t="shared" si="42"/>
        <v>619080100 0 00 00000000</v>
      </c>
      <c r="B1357" s="261" t="s">
        <v>239</v>
      </c>
      <c r="C1357" s="195" t="s">
        <v>795</v>
      </c>
      <c r="D1357" s="196" t="s">
        <v>238</v>
      </c>
      <c r="E1357" s="196" t="s">
        <v>11</v>
      </c>
      <c r="F1357" s="196" t="s">
        <v>8</v>
      </c>
      <c r="G1357" s="196" t="s">
        <v>9</v>
      </c>
      <c r="H1357" s="19">
        <v>1549</v>
      </c>
      <c r="I1357" s="19">
        <v>1549</v>
      </c>
      <c r="J1357" s="19">
        <v>1549</v>
      </c>
      <c r="K1357" s="274"/>
      <c r="L1357" s="274"/>
      <c r="M1357" s="274"/>
      <c r="N1357" s="32"/>
      <c r="O1357" s="32"/>
      <c r="P1357" s="32"/>
      <c r="Q1357" s="62"/>
      <c r="T1357" s="274">
        <v>100</v>
      </c>
      <c r="U1357" s="274">
        <v>0</v>
      </c>
      <c r="V1357" s="274">
        <v>0</v>
      </c>
      <c r="W1357" s="274">
        <f t="shared" si="43"/>
        <v>1449</v>
      </c>
      <c r="X1357" s="274">
        <f t="shared" si="43"/>
        <v>1549</v>
      </c>
      <c r="Y1357" s="274">
        <f t="shared" si="43"/>
        <v>1549</v>
      </c>
    </row>
    <row r="1358" spans="1:25" s="16" customFormat="1">
      <c r="A1358" s="108" t="str">
        <f t="shared" si="42"/>
        <v>619080107 0 00 00000000</v>
      </c>
      <c r="B1358" s="197" t="s">
        <v>240</v>
      </c>
      <c r="C1358" s="199" t="s">
        <v>795</v>
      </c>
      <c r="D1358" s="199" t="s">
        <v>238</v>
      </c>
      <c r="E1358" s="199" t="s">
        <v>11</v>
      </c>
      <c r="F1358" s="199" t="s">
        <v>241</v>
      </c>
      <c r="G1358" s="199" t="s">
        <v>9</v>
      </c>
      <c r="H1358" s="20">
        <v>1549</v>
      </c>
      <c r="I1358" s="20">
        <v>1549</v>
      </c>
      <c r="J1358" s="20">
        <v>1549</v>
      </c>
      <c r="K1358" s="32"/>
      <c r="L1358" s="32"/>
      <c r="M1358" s="32"/>
      <c r="N1358" s="32"/>
      <c r="O1358" s="32"/>
      <c r="P1358" s="32"/>
      <c r="Q1358" s="17"/>
      <c r="T1358" s="32">
        <v>150</v>
      </c>
      <c r="U1358" s="32">
        <v>150</v>
      </c>
      <c r="V1358" s="32">
        <v>150</v>
      </c>
      <c r="W1358" s="32">
        <f t="shared" si="43"/>
        <v>1399</v>
      </c>
      <c r="X1358" s="32">
        <f t="shared" si="43"/>
        <v>1399</v>
      </c>
      <c r="Y1358" s="32">
        <f t="shared" si="43"/>
        <v>1399</v>
      </c>
    </row>
    <row r="1359" spans="1:25" s="16" customFormat="1" ht="51">
      <c r="A1359" s="108" t="str">
        <f t="shared" si="42"/>
        <v>619080107 1 00 00000000</v>
      </c>
      <c r="B1359" s="201" t="s">
        <v>804</v>
      </c>
      <c r="C1359" s="204" t="s">
        <v>795</v>
      </c>
      <c r="D1359" s="204" t="s">
        <v>238</v>
      </c>
      <c r="E1359" s="204" t="s">
        <v>11</v>
      </c>
      <c r="F1359" s="204" t="s">
        <v>243</v>
      </c>
      <c r="G1359" s="204" t="s">
        <v>9</v>
      </c>
      <c r="H1359" s="26">
        <v>1549</v>
      </c>
      <c r="I1359" s="26">
        <v>1549</v>
      </c>
      <c r="J1359" s="26">
        <v>1549</v>
      </c>
      <c r="K1359" s="32"/>
      <c r="L1359" s="32"/>
      <c r="M1359" s="32"/>
      <c r="N1359" s="32"/>
      <c r="O1359" s="32"/>
      <c r="P1359" s="32"/>
      <c r="Q1359" s="17"/>
      <c r="T1359" s="32">
        <v>35504.36</v>
      </c>
      <c r="U1359" s="32">
        <v>35409.69</v>
      </c>
      <c r="V1359" s="32">
        <v>35409.69</v>
      </c>
      <c r="W1359" s="32">
        <f t="shared" si="43"/>
        <v>-33955.360000000001</v>
      </c>
      <c r="X1359" s="32">
        <f t="shared" si="43"/>
        <v>-33860.69</v>
      </c>
      <c r="Y1359" s="32">
        <f t="shared" si="43"/>
        <v>-33860.69</v>
      </c>
    </row>
    <row r="1360" spans="1:25" s="16" customFormat="1" ht="63.75">
      <c r="A1360" s="108" t="str">
        <f t="shared" si="42"/>
        <v>619080107 1 01 00000000</v>
      </c>
      <c r="B1360" s="266" t="s">
        <v>244</v>
      </c>
      <c r="C1360" s="204" t="s">
        <v>795</v>
      </c>
      <c r="D1360" s="204" t="s">
        <v>238</v>
      </c>
      <c r="E1360" s="204" t="s">
        <v>11</v>
      </c>
      <c r="F1360" s="204" t="s">
        <v>245</v>
      </c>
      <c r="G1360" s="204" t="s">
        <v>9</v>
      </c>
      <c r="H1360" s="26">
        <v>1549</v>
      </c>
      <c r="I1360" s="26">
        <v>1549</v>
      </c>
      <c r="J1360" s="26">
        <v>1549</v>
      </c>
      <c r="K1360" s="32"/>
      <c r="L1360" s="32"/>
      <c r="M1360" s="32"/>
      <c r="N1360" s="32"/>
      <c r="O1360" s="32"/>
      <c r="P1360" s="32"/>
      <c r="Q1360" s="17"/>
      <c r="T1360" s="32"/>
      <c r="U1360" s="32"/>
      <c r="V1360" s="32"/>
      <c r="W1360" s="32">
        <f t="shared" si="43"/>
        <v>1549</v>
      </c>
      <c r="X1360" s="32">
        <f t="shared" si="43"/>
        <v>1549</v>
      </c>
      <c r="Y1360" s="32">
        <f t="shared" si="43"/>
        <v>1549</v>
      </c>
    </row>
    <row r="1361" spans="1:25" s="16" customFormat="1" ht="25.5">
      <c r="A1361" s="108" t="str">
        <f t="shared" si="42"/>
        <v>619080107 1 01 20060000</v>
      </c>
      <c r="B1361" s="201" t="s">
        <v>246</v>
      </c>
      <c r="C1361" s="204" t="s">
        <v>795</v>
      </c>
      <c r="D1361" s="204" t="s">
        <v>238</v>
      </c>
      <c r="E1361" s="204" t="s">
        <v>11</v>
      </c>
      <c r="F1361" s="204" t="s">
        <v>247</v>
      </c>
      <c r="G1361" s="204" t="s">
        <v>9</v>
      </c>
      <c r="H1361" s="26">
        <v>911.5</v>
      </c>
      <c r="I1361" s="26">
        <v>911.5</v>
      </c>
      <c r="J1361" s="26">
        <v>911.5</v>
      </c>
      <c r="K1361" s="32"/>
      <c r="L1361" s="32"/>
      <c r="M1361" s="32"/>
      <c r="N1361" s="32"/>
      <c r="O1361" s="32"/>
      <c r="P1361" s="32"/>
      <c r="Q1361" s="17"/>
      <c r="T1361" s="32">
        <v>94.67</v>
      </c>
      <c r="U1361" s="32">
        <v>0</v>
      </c>
      <c r="V1361" s="32">
        <v>0</v>
      </c>
      <c r="W1361" s="32">
        <f t="shared" si="43"/>
        <v>816.83</v>
      </c>
      <c r="X1361" s="32">
        <f t="shared" si="43"/>
        <v>911.5</v>
      </c>
      <c r="Y1361" s="32">
        <f t="shared" si="43"/>
        <v>911.5</v>
      </c>
    </row>
    <row r="1362" spans="1:25" s="16" customFormat="1" ht="25.5">
      <c r="A1362" s="108" t="str">
        <f t="shared" si="42"/>
        <v>619080107 1 01 20060240</v>
      </c>
      <c r="B1362" s="197" t="s">
        <v>28</v>
      </c>
      <c r="C1362" s="204" t="s">
        <v>795</v>
      </c>
      <c r="D1362" s="204" t="s">
        <v>238</v>
      </c>
      <c r="E1362" s="204" t="s">
        <v>11</v>
      </c>
      <c r="F1362" s="204" t="s">
        <v>247</v>
      </c>
      <c r="G1362" s="204" t="s">
        <v>29</v>
      </c>
      <c r="H1362" s="20">
        <v>911.5</v>
      </c>
      <c r="I1362" s="20">
        <v>911.5</v>
      </c>
      <c r="J1362" s="20">
        <v>911.5</v>
      </c>
      <c r="K1362" s="32"/>
      <c r="L1362" s="32"/>
      <c r="M1362" s="32"/>
      <c r="N1362" s="32"/>
      <c r="O1362" s="32"/>
      <c r="P1362" s="32"/>
      <c r="Q1362" s="17"/>
      <c r="T1362" s="32">
        <v>35504.36</v>
      </c>
      <c r="U1362" s="32">
        <v>35409.69</v>
      </c>
      <c r="V1362" s="32">
        <v>35409.69</v>
      </c>
      <c r="W1362" s="32">
        <f t="shared" si="43"/>
        <v>-34592.86</v>
      </c>
      <c r="X1362" s="32">
        <f t="shared" si="43"/>
        <v>-34498.19</v>
      </c>
      <c r="Y1362" s="32">
        <f t="shared" si="43"/>
        <v>-34498.19</v>
      </c>
    </row>
    <row r="1363" spans="1:25" s="16" customFormat="1" ht="25.5">
      <c r="A1363" s="108" t="str">
        <f t="shared" si="42"/>
        <v>619080107 1 01 21130000</v>
      </c>
      <c r="B1363" s="200" t="s">
        <v>780</v>
      </c>
      <c r="C1363" s="204" t="s">
        <v>795</v>
      </c>
      <c r="D1363" s="204" t="s">
        <v>238</v>
      </c>
      <c r="E1363" s="204" t="s">
        <v>11</v>
      </c>
      <c r="F1363" s="204" t="s">
        <v>781</v>
      </c>
      <c r="G1363" s="204" t="s">
        <v>9</v>
      </c>
      <c r="H1363" s="55">
        <v>637.5</v>
      </c>
      <c r="I1363" s="55">
        <v>637.5</v>
      </c>
      <c r="J1363" s="55">
        <v>637.5</v>
      </c>
      <c r="K1363" s="32"/>
      <c r="L1363" s="32"/>
      <c r="M1363" s="32"/>
      <c r="N1363" s="32"/>
      <c r="O1363" s="32"/>
      <c r="P1363" s="32"/>
      <c r="Q1363" s="17"/>
      <c r="T1363" s="32">
        <v>19744.080000000002</v>
      </c>
      <c r="U1363" s="32">
        <v>14838.06</v>
      </c>
      <c r="V1363" s="32">
        <v>14838.06</v>
      </c>
      <c r="W1363" s="32">
        <f t="shared" si="43"/>
        <v>-19106.580000000002</v>
      </c>
      <c r="X1363" s="32">
        <f t="shared" si="43"/>
        <v>-14200.56</v>
      </c>
      <c r="Y1363" s="32">
        <f t="shared" si="43"/>
        <v>-14200.56</v>
      </c>
    </row>
    <row r="1364" spans="1:25" s="16" customFormat="1" ht="25.5">
      <c r="A1364" s="108" t="str">
        <f t="shared" si="42"/>
        <v>619080107 1 01 21130240</v>
      </c>
      <c r="B1364" s="197" t="s">
        <v>28</v>
      </c>
      <c r="C1364" s="204" t="s">
        <v>795</v>
      </c>
      <c r="D1364" s="204" t="s">
        <v>238</v>
      </c>
      <c r="E1364" s="204" t="s">
        <v>11</v>
      </c>
      <c r="F1364" s="204" t="s">
        <v>781</v>
      </c>
      <c r="G1364" s="204" t="s">
        <v>29</v>
      </c>
      <c r="H1364" s="20">
        <v>637.5</v>
      </c>
      <c r="I1364" s="20">
        <v>637.5</v>
      </c>
      <c r="J1364" s="20">
        <v>637.5</v>
      </c>
      <c r="K1364" s="32"/>
      <c r="L1364" s="32"/>
      <c r="M1364" s="32"/>
      <c r="N1364" s="32"/>
      <c r="O1364" s="32"/>
      <c r="P1364" s="32"/>
      <c r="Q1364" s="17"/>
      <c r="T1364" s="32">
        <v>19744.080000000002</v>
      </c>
      <c r="U1364" s="32">
        <v>14838.06</v>
      </c>
      <c r="V1364" s="32">
        <v>14838.06</v>
      </c>
      <c r="W1364" s="32">
        <f t="shared" si="43"/>
        <v>-19106.580000000002</v>
      </c>
      <c r="X1364" s="32">
        <f t="shared" si="43"/>
        <v>-14200.56</v>
      </c>
      <c r="Y1364" s="32">
        <f t="shared" si="43"/>
        <v>-14200.56</v>
      </c>
    </row>
    <row r="1365" spans="1:25" s="16" customFormat="1">
      <c r="A1365" s="108" t="str">
        <f t="shared" si="42"/>
        <v>619100000 0 00 00000000</v>
      </c>
      <c r="B1365" s="191" t="s">
        <v>316</v>
      </c>
      <c r="C1365" s="192" t="s">
        <v>795</v>
      </c>
      <c r="D1365" s="193" t="s">
        <v>317</v>
      </c>
      <c r="E1365" s="193" t="s">
        <v>7</v>
      </c>
      <c r="F1365" s="193" t="s">
        <v>8</v>
      </c>
      <c r="G1365" s="193" t="s">
        <v>9</v>
      </c>
      <c r="H1365" s="18">
        <v>36200.67</v>
      </c>
      <c r="I1365" s="18">
        <v>0</v>
      </c>
      <c r="J1365" s="18">
        <v>0</v>
      </c>
      <c r="K1365" s="26"/>
      <c r="L1365" s="26"/>
      <c r="M1365" s="26"/>
      <c r="N1365" s="26"/>
      <c r="O1365" s="26"/>
      <c r="P1365" s="26"/>
      <c r="Q1365" s="17"/>
      <c r="T1365" s="26">
        <v>7456.27</v>
      </c>
      <c r="U1365" s="26">
        <v>0</v>
      </c>
      <c r="V1365" s="26">
        <v>0</v>
      </c>
      <c r="W1365" s="26">
        <f t="shared" si="43"/>
        <v>28744.399999999998</v>
      </c>
      <c r="X1365" s="26">
        <f t="shared" si="43"/>
        <v>0</v>
      </c>
      <c r="Y1365" s="26">
        <f t="shared" si="43"/>
        <v>0</v>
      </c>
    </row>
    <row r="1366" spans="1:25" s="16" customFormat="1">
      <c r="A1366" s="108" t="str">
        <f t="shared" si="42"/>
        <v>619100300 0 00 00000000</v>
      </c>
      <c r="B1366" s="194" t="s">
        <v>318</v>
      </c>
      <c r="C1366" s="195" t="s">
        <v>795</v>
      </c>
      <c r="D1366" s="196" t="s">
        <v>317</v>
      </c>
      <c r="E1366" s="196" t="s">
        <v>13</v>
      </c>
      <c r="F1366" s="196" t="s">
        <v>8</v>
      </c>
      <c r="G1366" s="196" t="s">
        <v>9</v>
      </c>
      <c r="H1366" s="19">
        <v>36200.67</v>
      </c>
      <c r="I1366" s="19">
        <v>0</v>
      </c>
      <c r="J1366" s="19">
        <v>0</v>
      </c>
      <c r="K1366" s="26"/>
      <c r="L1366" s="26"/>
      <c r="M1366" s="26"/>
      <c r="N1366" s="26"/>
      <c r="O1366" s="26"/>
      <c r="P1366" s="26"/>
      <c r="Q1366" s="17"/>
      <c r="T1366" s="26">
        <v>7456.27</v>
      </c>
      <c r="U1366" s="26">
        <v>0</v>
      </c>
      <c r="V1366" s="26">
        <v>0</v>
      </c>
      <c r="W1366" s="26">
        <f t="shared" si="43"/>
        <v>28744.399999999998</v>
      </c>
      <c r="X1366" s="26">
        <f t="shared" si="43"/>
        <v>0</v>
      </c>
      <c r="Y1366" s="26">
        <f t="shared" si="43"/>
        <v>0</v>
      </c>
    </row>
    <row r="1367" spans="1:25" s="16" customFormat="1" ht="25.5">
      <c r="A1367" s="108" t="str">
        <f t="shared" si="42"/>
        <v>619100303 0 00 00000000</v>
      </c>
      <c r="B1367" s="197" t="s">
        <v>385</v>
      </c>
      <c r="C1367" s="199" t="s">
        <v>795</v>
      </c>
      <c r="D1367" s="199" t="s">
        <v>317</v>
      </c>
      <c r="E1367" s="199" t="s">
        <v>13</v>
      </c>
      <c r="F1367" s="199" t="s">
        <v>386</v>
      </c>
      <c r="G1367" s="199" t="s">
        <v>9</v>
      </c>
      <c r="H1367" s="20">
        <v>36192.86</v>
      </c>
      <c r="I1367" s="20">
        <v>0</v>
      </c>
      <c r="J1367" s="20">
        <v>0</v>
      </c>
      <c r="K1367" s="26"/>
      <c r="L1367" s="26"/>
      <c r="M1367" s="26"/>
      <c r="N1367" s="26"/>
      <c r="O1367" s="26"/>
      <c r="P1367" s="26"/>
      <c r="Q1367" s="17"/>
      <c r="T1367" s="26">
        <v>17290</v>
      </c>
      <c r="U1367" s="26">
        <v>0</v>
      </c>
      <c r="V1367" s="26">
        <v>0</v>
      </c>
      <c r="W1367" s="26">
        <f t="shared" si="43"/>
        <v>18902.86</v>
      </c>
      <c r="X1367" s="26">
        <f t="shared" si="43"/>
        <v>0</v>
      </c>
      <c r="Y1367" s="26">
        <f t="shared" si="43"/>
        <v>0</v>
      </c>
    </row>
    <row r="1368" spans="1:25" s="16" customFormat="1" ht="38.25">
      <c r="A1368" s="108" t="str">
        <f t="shared" si="42"/>
        <v>619100303 2 00 00000000</v>
      </c>
      <c r="B1368" s="197" t="s">
        <v>387</v>
      </c>
      <c r="C1368" s="198" t="s">
        <v>795</v>
      </c>
      <c r="D1368" s="199" t="s">
        <v>317</v>
      </c>
      <c r="E1368" s="199" t="s">
        <v>13</v>
      </c>
      <c r="F1368" s="199" t="s">
        <v>388</v>
      </c>
      <c r="G1368" s="199" t="s">
        <v>9</v>
      </c>
      <c r="H1368" s="20">
        <v>36192.86</v>
      </c>
      <c r="I1368" s="20">
        <v>0</v>
      </c>
      <c r="J1368" s="20">
        <v>0</v>
      </c>
      <c r="K1368" s="26"/>
      <c r="L1368" s="26"/>
      <c r="M1368" s="26"/>
      <c r="N1368" s="26"/>
      <c r="O1368" s="26"/>
      <c r="P1368" s="26"/>
      <c r="Q1368" s="17"/>
      <c r="T1368" s="26"/>
      <c r="U1368" s="26"/>
      <c r="V1368" s="26"/>
      <c r="W1368" s="26">
        <f t="shared" si="43"/>
        <v>36192.86</v>
      </c>
      <c r="X1368" s="26">
        <f t="shared" si="43"/>
        <v>0</v>
      </c>
      <c r="Y1368" s="26">
        <f t="shared" si="43"/>
        <v>0</v>
      </c>
    </row>
    <row r="1369" spans="1:25" s="16" customFormat="1" ht="25.5">
      <c r="A1369" s="108" t="str">
        <f t="shared" si="42"/>
        <v>619100303 2 01 00000000</v>
      </c>
      <c r="B1369" s="314" t="s">
        <v>633</v>
      </c>
      <c r="C1369" s="198" t="s">
        <v>795</v>
      </c>
      <c r="D1369" s="199" t="s">
        <v>317</v>
      </c>
      <c r="E1369" s="199" t="s">
        <v>13</v>
      </c>
      <c r="F1369" s="199" t="s">
        <v>634</v>
      </c>
      <c r="G1369" s="199" t="s">
        <v>9</v>
      </c>
      <c r="H1369" s="20">
        <v>36192.86</v>
      </c>
      <c r="I1369" s="20">
        <v>0</v>
      </c>
      <c r="J1369" s="20">
        <v>0</v>
      </c>
      <c r="K1369" s="26"/>
      <c r="L1369" s="26"/>
      <c r="M1369" s="26"/>
      <c r="N1369" s="26"/>
      <c r="O1369" s="26"/>
      <c r="P1369" s="26"/>
      <c r="Q1369" s="17"/>
      <c r="T1369" s="26">
        <v>17290</v>
      </c>
      <c r="U1369" s="26">
        <v>0</v>
      </c>
      <c r="V1369" s="26">
        <v>0</v>
      </c>
      <c r="W1369" s="26">
        <f t="shared" si="43"/>
        <v>18902.86</v>
      </c>
      <c r="X1369" s="26">
        <f t="shared" si="43"/>
        <v>0</v>
      </c>
      <c r="Y1369" s="26">
        <f t="shared" si="43"/>
        <v>0</v>
      </c>
    </row>
    <row r="1370" spans="1:25" s="275" customFormat="1" ht="51">
      <c r="A1370" s="108" t="str">
        <f t="shared" si="42"/>
        <v>619100303 2 01 80270000</v>
      </c>
      <c r="B1370" s="197" t="s">
        <v>1322</v>
      </c>
      <c r="C1370" s="199" t="s">
        <v>795</v>
      </c>
      <c r="D1370" s="199" t="s">
        <v>317</v>
      </c>
      <c r="E1370" s="199" t="s">
        <v>13</v>
      </c>
      <c r="F1370" s="199" t="s">
        <v>1323</v>
      </c>
      <c r="G1370" s="199" t="s">
        <v>9</v>
      </c>
      <c r="H1370" s="20">
        <v>36192.86</v>
      </c>
      <c r="I1370" s="20">
        <v>0</v>
      </c>
      <c r="J1370" s="20">
        <v>0</v>
      </c>
      <c r="K1370" s="235"/>
      <c r="L1370" s="235"/>
      <c r="M1370" s="235"/>
      <c r="N1370" s="26"/>
      <c r="O1370" s="26"/>
      <c r="P1370" s="26"/>
      <c r="Q1370" s="17"/>
      <c r="T1370" s="235">
        <v>17290</v>
      </c>
      <c r="U1370" s="235">
        <v>0</v>
      </c>
      <c r="V1370" s="235">
        <v>0</v>
      </c>
      <c r="W1370" s="235">
        <f t="shared" si="43"/>
        <v>18902.86</v>
      </c>
      <c r="X1370" s="235">
        <f t="shared" si="43"/>
        <v>0</v>
      </c>
      <c r="Y1370" s="235">
        <f t="shared" si="43"/>
        <v>0</v>
      </c>
    </row>
    <row r="1371" spans="1:25" s="212" customFormat="1" ht="25.5">
      <c r="A1371" s="108" t="str">
        <f t="shared" si="42"/>
        <v>619100303 2 01 80270320</v>
      </c>
      <c r="B1371" s="205" t="s">
        <v>327</v>
      </c>
      <c r="C1371" s="199" t="s">
        <v>795</v>
      </c>
      <c r="D1371" s="199" t="s">
        <v>317</v>
      </c>
      <c r="E1371" s="199" t="s">
        <v>13</v>
      </c>
      <c r="F1371" s="199" t="s">
        <v>1323</v>
      </c>
      <c r="G1371" s="206">
        <v>320</v>
      </c>
      <c r="H1371" s="20">
        <v>36192.86</v>
      </c>
      <c r="I1371" s="20">
        <v>0</v>
      </c>
      <c r="J1371" s="20">
        <v>0</v>
      </c>
      <c r="K1371" s="218"/>
      <c r="L1371" s="218"/>
      <c r="M1371" s="218"/>
      <c r="N1371" s="218"/>
      <c r="O1371" s="218"/>
      <c r="P1371" s="218"/>
      <c r="Q1371" s="211"/>
      <c r="T1371" s="218">
        <v>108377</v>
      </c>
      <c r="U1371" s="218">
        <v>0</v>
      </c>
      <c r="V1371" s="218">
        <v>0</v>
      </c>
      <c r="W1371" s="218">
        <f t="shared" si="43"/>
        <v>-72184.14</v>
      </c>
      <c r="X1371" s="218">
        <f t="shared" si="43"/>
        <v>0</v>
      </c>
      <c r="Y1371" s="218">
        <f t="shared" si="43"/>
        <v>0</v>
      </c>
    </row>
    <row r="1372" spans="1:25" s="212" customFormat="1" ht="38.25">
      <c r="A1372" s="108" t="str">
        <f t="shared" si="42"/>
        <v>61910 0398 0 00 00000000</v>
      </c>
      <c r="B1372" s="200" t="s">
        <v>87</v>
      </c>
      <c r="C1372" s="198" t="s">
        <v>795</v>
      </c>
      <c r="D1372" s="199" t="s">
        <v>1314</v>
      </c>
      <c r="E1372" s="199" t="s">
        <v>13</v>
      </c>
      <c r="F1372" s="199" t="s">
        <v>88</v>
      </c>
      <c r="G1372" s="199" t="s">
        <v>9</v>
      </c>
      <c r="H1372" s="20">
        <v>7.81</v>
      </c>
      <c r="I1372" s="20">
        <v>0</v>
      </c>
      <c r="J1372" s="20">
        <v>0</v>
      </c>
      <c r="K1372" s="218"/>
      <c r="L1372" s="218"/>
      <c r="M1372" s="218"/>
      <c r="N1372" s="218"/>
      <c r="O1372" s="218"/>
      <c r="P1372" s="218"/>
      <c r="Q1372" s="211"/>
      <c r="T1372" s="218">
        <v>108377</v>
      </c>
      <c r="U1372" s="218">
        <v>0</v>
      </c>
      <c r="V1372" s="218">
        <v>0</v>
      </c>
      <c r="W1372" s="218">
        <f t="shared" si="43"/>
        <v>-108369.19</v>
      </c>
      <c r="X1372" s="218">
        <f t="shared" si="43"/>
        <v>0</v>
      </c>
      <c r="Y1372" s="218">
        <f t="shared" si="43"/>
        <v>0</v>
      </c>
    </row>
    <row r="1373" spans="1:25" s="16" customFormat="1">
      <c r="A1373" s="108" t="str">
        <f t="shared" si="42"/>
        <v>61910 0398 1 00 00000000</v>
      </c>
      <c r="B1373" s="200" t="s">
        <v>89</v>
      </c>
      <c r="C1373" s="198" t="s">
        <v>795</v>
      </c>
      <c r="D1373" s="199" t="s">
        <v>1314</v>
      </c>
      <c r="E1373" s="199" t="s">
        <v>13</v>
      </c>
      <c r="F1373" s="199" t="s">
        <v>90</v>
      </c>
      <c r="G1373" s="199" t="s">
        <v>9</v>
      </c>
      <c r="H1373" s="20">
        <v>7.81</v>
      </c>
      <c r="I1373" s="20">
        <v>0</v>
      </c>
      <c r="J1373" s="20">
        <v>0</v>
      </c>
      <c r="K1373" s="26"/>
      <c r="L1373" s="26"/>
      <c r="M1373" s="26"/>
      <c r="N1373" s="26"/>
      <c r="O1373" s="26"/>
      <c r="P1373" s="26"/>
      <c r="Q1373" s="17"/>
      <c r="T1373" s="26">
        <v>810.21</v>
      </c>
      <c r="U1373" s="26">
        <v>0</v>
      </c>
      <c r="V1373" s="26">
        <v>0</v>
      </c>
      <c r="W1373" s="26">
        <f t="shared" si="43"/>
        <v>-802.40000000000009</v>
      </c>
      <c r="X1373" s="26">
        <f t="shared" si="43"/>
        <v>0</v>
      </c>
      <c r="Y1373" s="26">
        <f t="shared" si="43"/>
        <v>0</v>
      </c>
    </row>
    <row r="1374" spans="1:25" s="16" customFormat="1" ht="76.5">
      <c r="A1374" s="108" t="str">
        <f t="shared" si="42"/>
        <v>619100398 1 00 21610000</v>
      </c>
      <c r="B1374" s="207" t="s">
        <v>1324</v>
      </c>
      <c r="C1374" s="198" t="s">
        <v>795</v>
      </c>
      <c r="D1374" s="199" t="s">
        <v>317</v>
      </c>
      <c r="E1374" s="199" t="s">
        <v>13</v>
      </c>
      <c r="F1374" s="199" t="s">
        <v>1325</v>
      </c>
      <c r="G1374" s="199" t="s">
        <v>9</v>
      </c>
      <c r="H1374" s="20">
        <v>7.81</v>
      </c>
      <c r="I1374" s="20">
        <v>0</v>
      </c>
      <c r="J1374" s="20">
        <v>0</v>
      </c>
      <c r="K1374" s="26"/>
      <c r="L1374" s="26"/>
      <c r="M1374" s="26"/>
      <c r="N1374" s="26"/>
      <c r="O1374" s="26"/>
      <c r="P1374" s="26"/>
      <c r="Q1374" s="17"/>
      <c r="T1374" s="26"/>
      <c r="U1374" s="26"/>
      <c r="V1374" s="26"/>
      <c r="W1374" s="26">
        <f t="shared" si="43"/>
        <v>7.81</v>
      </c>
      <c r="X1374" s="26">
        <f t="shared" si="43"/>
        <v>0</v>
      </c>
      <c r="Y1374" s="26">
        <f t="shared" si="43"/>
        <v>0</v>
      </c>
    </row>
    <row r="1375" spans="1:25" s="16" customFormat="1" ht="38.25">
      <c r="A1375" s="108" t="str">
        <f t="shared" si="42"/>
        <v>619100398 1 00 21610810</v>
      </c>
      <c r="B1375" s="201" t="s">
        <v>203</v>
      </c>
      <c r="C1375" s="198" t="s">
        <v>795</v>
      </c>
      <c r="D1375" s="199" t="s">
        <v>317</v>
      </c>
      <c r="E1375" s="199" t="s">
        <v>13</v>
      </c>
      <c r="F1375" s="199" t="s">
        <v>1325</v>
      </c>
      <c r="G1375" s="199" t="s">
        <v>204</v>
      </c>
      <c r="H1375" s="20">
        <v>7.81</v>
      </c>
      <c r="I1375" s="20">
        <v>0</v>
      </c>
      <c r="J1375" s="20">
        <v>0</v>
      </c>
      <c r="K1375" s="26"/>
      <c r="L1375" s="26"/>
      <c r="M1375" s="26"/>
      <c r="N1375" s="26"/>
      <c r="O1375" s="26"/>
      <c r="P1375" s="26"/>
      <c r="Q1375" s="17"/>
      <c r="T1375" s="26">
        <v>810.21</v>
      </c>
      <c r="U1375" s="26">
        <v>0</v>
      </c>
      <c r="V1375" s="26">
        <v>0</v>
      </c>
      <c r="W1375" s="26">
        <f t="shared" si="43"/>
        <v>-802.40000000000009</v>
      </c>
      <c r="X1375" s="26">
        <f t="shared" si="43"/>
        <v>0</v>
      </c>
      <c r="Y1375" s="26">
        <f t="shared" si="43"/>
        <v>0</v>
      </c>
    </row>
    <row r="1376" spans="1:25" s="16" customFormat="1">
      <c r="A1376" s="108" t="str">
        <f t="shared" si="42"/>
        <v/>
      </c>
      <c r="B1376" s="197"/>
      <c r="C1376" s="204"/>
      <c r="D1376" s="204"/>
      <c r="E1376" s="204"/>
      <c r="F1376" s="204"/>
      <c r="G1376" s="204"/>
      <c r="H1376" s="20"/>
      <c r="I1376" s="20"/>
      <c r="J1376" s="20"/>
      <c r="K1376" s="26"/>
      <c r="L1376" s="26"/>
      <c r="M1376" s="26"/>
      <c r="N1376" s="26"/>
      <c r="O1376" s="26"/>
      <c r="P1376" s="26"/>
      <c r="Q1376" s="17"/>
      <c r="T1376" s="26">
        <v>810.21</v>
      </c>
      <c r="U1376" s="26">
        <v>0</v>
      </c>
      <c r="V1376" s="26">
        <v>0</v>
      </c>
      <c r="W1376" s="26">
        <f t="shared" si="43"/>
        <v>-810.21</v>
      </c>
      <c r="X1376" s="26">
        <f t="shared" si="43"/>
        <v>0</v>
      </c>
      <c r="Y1376" s="26">
        <f t="shared" si="43"/>
        <v>0</v>
      </c>
    </row>
    <row r="1377" spans="1:25" s="16" customFormat="1">
      <c r="A1377" s="108" t="str">
        <f t="shared" si="42"/>
        <v>620000000 0 00 00000000</v>
      </c>
      <c r="B1377" s="202" t="s">
        <v>805</v>
      </c>
      <c r="C1377" s="189" t="s">
        <v>410</v>
      </c>
      <c r="D1377" s="190" t="s">
        <v>7</v>
      </c>
      <c r="E1377" s="190" t="s">
        <v>7</v>
      </c>
      <c r="F1377" s="190" t="s">
        <v>8</v>
      </c>
      <c r="G1377" s="190" t="s">
        <v>9</v>
      </c>
      <c r="H1377" s="56">
        <v>1408696.4700000002</v>
      </c>
      <c r="I1377" s="56">
        <v>554825.91999999993</v>
      </c>
      <c r="J1377" s="56">
        <v>547454.1399999999</v>
      </c>
      <c r="K1377" s="26"/>
      <c r="L1377" s="26"/>
      <c r="M1377" s="26"/>
      <c r="N1377" s="26"/>
      <c r="O1377" s="26"/>
      <c r="P1377" s="26"/>
      <c r="Q1377" s="17"/>
      <c r="T1377" s="26">
        <v>5704.05</v>
      </c>
      <c r="U1377" s="26">
        <v>0</v>
      </c>
      <c r="V1377" s="26">
        <v>0</v>
      </c>
      <c r="W1377" s="26">
        <f t="shared" si="43"/>
        <v>1402992.4200000002</v>
      </c>
      <c r="X1377" s="26">
        <f t="shared" si="43"/>
        <v>554825.91999999993</v>
      </c>
      <c r="Y1377" s="26">
        <f t="shared" si="43"/>
        <v>547454.1399999999</v>
      </c>
    </row>
    <row r="1378" spans="1:25" s="16" customFormat="1">
      <c r="A1378" s="108" t="str">
        <f t="shared" si="42"/>
        <v>620010000 0 00 00000000</v>
      </c>
      <c r="B1378" s="191" t="s">
        <v>10</v>
      </c>
      <c r="C1378" s="192" t="s">
        <v>410</v>
      </c>
      <c r="D1378" s="193" t="s">
        <v>11</v>
      </c>
      <c r="E1378" s="193" t="s">
        <v>7</v>
      </c>
      <c r="F1378" s="193" t="s">
        <v>8</v>
      </c>
      <c r="G1378" s="193" t="s">
        <v>9</v>
      </c>
      <c r="H1378" s="18">
        <v>977.05</v>
      </c>
      <c r="I1378" s="18">
        <v>571.66</v>
      </c>
      <c r="J1378" s="18">
        <v>571.66</v>
      </c>
      <c r="K1378" s="26"/>
      <c r="L1378" s="26"/>
      <c r="M1378" s="26"/>
      <c r="N1378" s="26"/>
      <c r="O1378" s="26"/>
      <c r="P1378" s="26"/>
      <c r="Q1378" s="17"/>
      <c r="T1378" s="26">
        <v>5704.05</v>
      </c>
      <c r="U1378" s="26">
        <v>0</v>
      </c>
      <c r="V1378" s="26">
        <v>0</v>
      </c>
      <c r="W1378" s="26">
        <f t="shared" si="43"/>
        <v>-4727</v>
      </c>
      <c r="X1378" s="26">
        <f t="shared" si="43"/>
        <v>571.66</v>
      </c>
      <c r="Y1378" s="26">
        <f t="shared" si="43"/>
        <v>571.66</v>
      </c>
    </row>
    <row r="1379" spans="1:25" s="16" customFormat="1">
      <c r="A1379" s="108" t="str">
        <f t="shared" si="42"/>
        <v>620011300 0 00 00000000</v>
      </c>
      <c r="B1379" s="194" t="s">
        <v>50</v>
      </c>
      <c r="C1379" s="195" t="s">
        <v>410</v>
      </c>
      <c r="D1379" s="196" t="s">
        <v>11</v>
      </c>
      <c r="E1379" s="196" t="s">
        <v>51</v>
      </c>
      <c r="F1379" s="196" t="s">
        <v>8</v>
      </c>
      <c r="G1379" s="196" t="s">
        <v>9</v>
      </c>
      <c r="H1379" s="19">
        <v>977.05</v>
      </c>
      <c r="I1379" s="19">
        <v>571.66</v>
      </c>
      <c r="J1379" s="19">
        <v>571.66</v>
      </c>
      <c r="K1379" s="53"/>
      <c r="L1379" s="53"/>
      <c r="M1379" s="53"/>
      <c r="N1379" s="53"/>
      <c r="O1379" s="53"/>
      <c r="P1379" s="53"/>
      <c r="Q1379" s="17"/>
      <c r="T1379" s="53">
        <v>7128.3899999999994</v>
      </c>
      <c r="U1379" s="53">
        <v>3385.52</v>
      </c>
      <c r="V1379" s="53">
        <v>3385.52</v>
      </c>
      <c r="W1379" s="53">
        <f t="shared" si="43"/>
        <v>-6151.3399999999992</v>
      </c>
      <c r="X1379" s="53">
        <f t="shared" si="43"/>
        <v>-2813.86</v>
      </c>
      <c r="Y1379" s="53">
        <f t="shared" si="43"/>
        <v>-2813.86</v>
      </c>
    </row>
    <row r="1380" spans="1:25" s="16" customFormat="1" ht="38.25">
      <c r="A1380" s="108" t="str">
        <f t="shared" si="42"/>
        <v>620011311 0 00 00000000</v>
      </c>
      <c r="B1380" s="197" t="s">
        <v>257</v>
      </c>
      <c r="C1380" s="198" t="s">
        <v>410</v>
      </c>
      <c r="D1380" s="199" t="s">
        <v>11</v>
      </c>
      <c r="E1380" s="199" t="s">
        <v>51</v>
      </c>
      <c r="F1380" s="230" t="s">
        <v>258</v>
      </c>
      <c r="G1380" s="199" t="s">
        <v>9</v>
      </c>
      <c r="H1380" s="20">
        <v>71.66</v>
      </c>
      <c r="I1380" s="20">
        <v>71.66</v>
      </c>
      <c r="J1380" s="20">
        <v>71.66</v>
      </c>
      <c r="K1380" s="53"/>
      <c r="L1380" s="53"/>
      <c r="M1380" s="53"/>
      <c r="N1380" s="53"/>
      <c r="O1380" s="53"/>
      <c r="P1380" s="53"/>
      <c r="Q1380" s="17"/>
      <c r="T1380" s="53">
        <v>7128.3899999999994</v>
      </c>
      <c r="U1380" s="53">
        <v>3385.52</v>
      </c>
      <c r="V1380" s="53">
        <v>3385.52</v>
      </c>
      <c r="W1380" s="53">
        <f t="shared" si="43"/>
        <v>-7056.73</v>
      </c>
      <c r="X1380" s="53">
        <f t="shared" si="43"/>
        <v>-3313.86</v>
      </c>
      <c r="Y1380" s="53">
        <f t="shared" si="43"/>
        <v>-3313.86</v>
      </c>
    </row>
    <row r="1381" spans="1:25" s="16" customFormat="1" ht="51">
      <c r="A1381" s="108" t="str">
        <f t="shared" si="42"/>
        <v>620011311 Б 00 00000000</v>
      </c>
      <c r="B1381" s="197" t="s">
        <v>259</v>
      </c>
      <c r="C1381" s="198" t="s">
        <v>410</v>
      </c>
      <c r="D1381" s="199" t="s">
        <v>11</v>
      </c>
      <c r="E1381" s="199" t="s">
        <v>51</v>
      </c>
      <c r="F1381" s="230" t="s">
        <v>260</v>
      </c>
      <c r="G1381" s="199" t="s">
        <v>9</v>
      </c>
      <c r="H1381" s="20">
        <v>71.66</v>
      </c>
      <c r="I1381" s="20">
        <v>71.66</v>
      </c>
      <c r="J1381" s="20">
        <v>71.66</v>
      </c>
      <c r="K1381" s="53"/>
      <c r="L1381" s="53"/>
      <c r="M1381" s="53"/>
      <c r="N1381" s="53"/>
      <c r="O1381" s="53"/>
      <c r="P1381" s="53"/>
      <c r="Q1381" s="17"/>
      <c r="T1381" s="53">
        <v>7128.3899999999994</v>
      </c>
      <c r="U1381" s="53">
        <v>3385.52</v>
      </c>
      <c r="V1381" s="53">
        <v>3385.52</v>
      </c>
      <c r="W1381" s="53">
        <f t="shared" si="43"/>
        <v>-7056.73</v>
      </c>
      <c r="X1381" s="53">
        <f t="shared" si="43"/>
        <v>-3313.86</v>
      </c>
      <c r="Y1381" s="53">
        <f t="shared" si="43"/>
        <v>-3313.86</v>
      </c>
    </row>
    <row r="1382" spans="1:25" s="16" customFormat="1" ht="38.25">
      <c r="A1382" s="108" t="str">
        <f t="shared" si="42"/>
        <v>620011311 Б 01 00000000</v>
      </c>
      <c r="B1382" s="197" t="s">
        <v>261</v>
      </c>
      <c r="C1382" s="198" t="s">
        <v>410</v>
      </c>
      <c r="D1382" s="199" t="s">
        <v>11</v>
      </c>
      <c r="E1382" s="199" t="s">
        <v>51</v>
      </c>
      <c r="F1382" s="230" t="s">
        <v>262</v>
      </c>
      <c r="G1382" s="199" t="s">
        <v>9</v>
      </c>
      <c r="H1382" s="20">
        <v>71.66</v>
      </c>
      <c r="I1382" s="20">
        <v>71.66</v>
      </c>
      <c r="J1382" s="20">
        <v>71.66</v>
      </c>
      <c r="K1382" s="64"/>
      <c r="L1382" s="64"/>
      <c r="M1382" s="64"/>
      <c r="N1382" s="64"/>
      <c r="O1382" s="64"/>
      <c r="P1382" s="64"/>
      <c r="Q1382" s="17"/>
      <c r="T1382" s="64">
        <v>7128.3899999999994</v>
      </c>
      <c r="U1382" s="64">
        <v>3385.52</v>
      </c>
      <c r="V1382" s="64">
        <v>3385.52</v>
      </c>
      <c r="W1382" s="64">
        <f t="shared" si="43"/>
        <v>-7056.73</v>
      </c>
      <c r="X1382" s="64">
        <f t="shared" si="43"/>
        <v>-3313.86</v>
      </c>
      <c r="Y1382" s="64">
        <f t="shared" si="43"/>
        <v>-3313.86</v>
      </c>
    </row>
    <row r="1383" spans="1:25" s="16" customFormat="1" ht="25.5">
      <c r="A1383" s="108" t="str">
        <f t="shared" si="42"/>
        <v>620011311 Б 01 21120000</v>
      </c>
      <c r="B1383" s="197" t="s">
        <v>267</v>
      </c>
      <c r="C1383" s="198" t="s">
        <v>410</v>
      </c>
      <c r="D1383" s="199" t="s">
        <v>11</v>
      </c>
      <c r="E1383" s="199" t="s">
        <v>51</v>
      </c>
      <c r="F1383" s="230" t="s">
        <v>268</v>
      </c>
      <c r="G1383" s="199" t="s">
        <v>9</v>
      </c>
      <c r="H1383" s="20">
        <v>71.66</v>
      </c>
      <c r="I1383" s="20">
        <v>71.66</v>
      </c>
      <c r="J1383" s="20">
        <v>71.66</v>
      </c>
      <c r="K1383" s="64"/>
      <c r="L1383" s="64"/>
      <c r="M1383" s="64"/>
      <c r="N1383" s="64"/>
      <c r="O1383" s="64"/>
      <c r="P1383" s="64"/>
      <c r="Q1383" s="17"/>
      <c r="T1383" s="64"/>
      <c r="U1383" s="64"/>
      <c r="V1383" s="64"/>
      <c r="W1383" s="64">
        <f t="shared" si="43"/>
        <v>71.66</v>
      </c>
      <c r="X1383" s="64">
        <f t="shared" si="43"/>
        <v>71.66</v>
      </c>
      <c r="Y1383" s="64">
        <f t="shared" si="43"/>
        <v>71.66</v>
      </c>
    </row>
    <row r="1384" spans="1:25" s="16" customFormat="1" ht="25.5">
      <c r="A1384" s="108" t="str">
        <f t="shared" si="42"/>
        <v>620011311 Б 01 21120240</v>
      </c>
      <c r="B1384" s="197" t="s">
        <v>28</v>
      </c>
      <c r="C1384" s="198" t="s">
        <v>410</v>
      </c>
      <c r="D1384" s="199" t="s">
        <v>11</v>
      </c>
      <c r="E1384" s="199" t="s">
        <v>51</v>
      </c>
      <c r="F1384" s="230" t="s">
        <v>268</v>
      </c>
      <c r="G1384" s="199" t="s">
        <v>29</v>
      </c>
      <c r="H1384" s="20">
        <v>71.66</v>
      </c>
      <c r="I1384" s="20">
        <v>71.66</v>
      </c>
      <c r="J1384" s="20">
        <v>71.66</v>
      </c>
      <c r="K1384" s="64"/>
      <c r="L1384" s="64"/>
      <c r="M1384" s="64"/>
      <c r="N1384" s="64"/>
      <c r="O1384" s="64"/>
      <c r="P1384" s="64"/>
      <c r="Q1384" s="17"/>
      <c r="T1384" s="64">
        <v>3742.87</v>
      </c>
      <c r="U1384" s="64">
        <v>0</v>
      </c>
      <c r="V1384" s="64">
        <v>0</v>
      </c>
      <c r="W1384" s="64">
        <f t="shared" si="43"/>
        <v>-3671.21</v>
      </c>
      <c r="X1384" s="64">
        <f t="shared" si="43"/>
        <v>71.66</v>
      </c>
      <c r="Y1384" s="64">
        <f t="shared" si="43"/>
        <v>71.66</v>
      </c>
    </row>
    <row r="1385" spans="1:25" s="16" customFormat="1" ht="25.5">
      <c r="A1385" s="108" t="str">
        <f t="shared" si="42"/>
        <v>620011383 0 00 00000000</v>
      </c>
      <c r="B1385" s="197" t="s">
        <v>806</v>
      </c>
      <c r="C1385" s="199" t="s">
        <v>410</v>
      </c>
      <c r="D1385" s="199" t="s">
        <v>11</v>
      </c>
      <c r="E1385" s="199" t="s">
        <v>51</v>
      </c>
      <c r="F1385" s="199" t="s">
        <v>807</v>
      </c>
      <c r="G1385" s="199" t="s">
        <v>9</v>
      </c>
      <c r="H1385" s="20">
        <v>905.39</v>
      </c>
      <c r="I1385" s="20">
        <v>500</v>
      </c>
      <c r="J1385" s="20">
        <v>500</v>
      </c>
      <c r="K1385" s="64"/>
      <c r="L1385" s="64"/>
      <c r="M1385" s="64"/>
      <c r="N1385" s="64"/>
      <c r="O1385" s="64"/>
      <c r="P1385" s="64"/>
      <c r="Q1385" s="17"/>
      <c r="T1385" s="64">
        <v>7128.3899999999994</v>
      </c>
      <c r="U1385" s="64">
        <v>3385.52</v>
      </c>
      <c r="V1385" s="64">
        <v>3385.52</v>
      </c>
      <c r="W1385" s="64">
        <f t="shared" si="43"/>
        <v>-6222.9999999999991</v>
      </c>
      <c r="X1385" s="64">
        <f t="shared" si="43"/>
        <v>-2885.52</v>
      </c>
      <c r="Y1385" s="64">
        <f t="shared" si="43"/>
        <v>-2885.52</v>
      </c>
    </row>
    <row r="1386" spans="1:25" s="16" customFormat="1" ht="25.5">
      <c r="A1386" s="108" t="str">
        <f t="shared" si="42"/>
        <v>620011383 1 00 00000000</v>
      </c>
      <c r="B1386" s="197" t="s">
        <v>808</v>
      </c>
      <c r="C1386" s="199" t="s">
        <v>410</v>
      </c>
      <c r="D1386" s="199" t="s">
        <v>11</v>
      </c>
      <c r="E1386" s="199" t="s">
        <v>51</v>
      </c>
      <c r="F1386" s="199" t="s">
        <v>809</v>
      </c>
      <c r="G1386" s="199" t="s">
        <v>9</v>
      </c>
      <c r="H1386" s="20">
        <v>905.39</v>
      </c>
      <c r="I1386" s="20">
        <v>500</v>
      </c>
      <c r="J1386" s="20">
        <v>500</v>
      </c>
      <c r="K1386" s="64"/>
      <c r="L1386" s="64"/>
      <c r="M1386" s="64"/>
      <c r="N1386" s="64"/>
      <c r="O1386" s="64"/>
      <c r="P1386" s="64"/>
      <c r="Q1386" s="17"/>
      <c r="T1386" s="64">
        <v>6270.1100000000006</v>
      </c>
      <c r="U1386" s="64">
        <v>9180.16</v>
      </c>
      <c r="V1386" s="64">
        <v>12090.21</v>
      </c>
      <c r="W1386" s="64">
        <f t="shared" si="43"/>
        <v>-5364.72</v>
      </c>
      <c r="X1386" s="64">
        <f t="shared" si="43"/>
        <v>-8680.16</v>
      </c>
      <c r="Y1386" s="64">
        <f t="shared" si="43"/>
        <v>-11590.21</v>
      </c>
    </row>
    <row r="1387" spans="1:25" s="16" customFormat="1" ht="25.5">
      <c r="A1387" s="108" t="str">
        <f t="shared" si="42"/>
        <v>620011383 1 00 20050000</v>
      </c>
      <c r="B1387" s="197" t="s">
        <v>187</v>
      </c>
      <c r="C1387" s="199" t="s">
        <v>410</v>
      </c>
      <c r="D1387" s="199" t="s">
        <v>11</v>
      </c>
      <c r="E1387" s="199" t="s">
        <v>51</v>
      </c>
      <c r="F1387" s="199" t="s">
        <v>810</v>
      </c>
      <c r="G1387" s="199" t="s">
        <v>9</v>
      </c>
      <c r="H1387" s="20">
        <v>805.39</v>
      </c>
      <c r="I1387" s="20">
        <v>500</v>
      </c>
      <c r="J1387" s="20">
        <v>500</v>
      </c>
      <c r="K1387" s="64"/>
      <c r="L1387" s="64"/>
      <c r="M1387" s="64"/>
      <c r="N1387" s="64"/>
      <c r="O1387" s="64"/>
      <c r="P1387" s="64"/>
      <c r="Q1387" s="17"/>
      <c r="T1387" s="64">
        <v>6270.1100000000006</v>
      </c>
      <c r="U1387" s="64">
        <v>9180.16</v>
      </c>
      <c r="V1387" s="64">
        <v>12090.21</v>
      </c>
      <c r="W1387" s="64">
        <f t="shared" si="43"/>
        <v>-5464.72</v>
      </c>
      <c r="X1387" s="64">
        <f t="shared" si="43"/>
        <v>-8680.16</v>
      </c>
      <c r="Y1387" s="64">
        <f t="shared" si="43"/>
        <v>-11590.21</v>
      </c>
    </row>
    <row r="1388" spans="1:25" s="16" customFormat="1">
      <c r="A1388" s="108" t="str">
        <f t="shared" si="42"/>
        <v>620011383 1 00 20050830</v>
      </c>
      <c r="B1388" s="197" t="s">
        <v>189</v>
      </c>
      <c r="C1388" s="199" t="s">
        <v>410</v>
      </c>
      <c r="D1388" s="199" t="s">
        <v>11</v>
      </c>
      <c r="E1388" s="199" t="s">
        <v>51</v>
      </c>
      <c r="F1388" s="199" t="s">
        <v>810</v>
      </c>
      <c r="G1388" s="199" t="s">
        <v>190</v>
      </c>
      <c r="H1388" s="20">
        <v>805.39</v>
      </c>
      <c r="I1388" s="20">
        <v>500</v>
      </c>
      <c r="J1388" s="20">
        <v>500</v>
      </c>
      <c r="K1388" s="64"/>
      <c r="L1388" s="64"/>
      <c r="M1388" s="64"/>
      <c r="N1388" s="64"/>
      <c r="O1388" s="64"/>
      <c r="P1388" s="64"/>
      <c r="Q1388" s="17"/>
      <c r="T1388" s="64">
        <v>3880.07</v>
      </c>
      <c r="U1388" s="64">
        <v>5820.1</v>
      </c>
      <c r="V1388" s="64">
        <v>7760.13</v>
      </c>
      <c r="W1388" s="64">
        <f t="shared" si="43"/>
        <v>-3074.6800000000003</v>
      </c>
      <c r="X1388" s="64">
        <f t="shared" si="43"/>
        <v>-5320.1</v>
      </c>
      <c r="Y1388" s="64">
        <f t="shared" si="43"/>
        <v>-7260.13</v>
      </c>
    </row>
    <row r="1389" spans="1:25" s="16" customFormat="1">
      <c r="A1389" s="108" t="str">
        <f t="shared" si="42"/>
        <v>620011383 1 00 21040000</v>
      </c>
      <c r="B1389" s="197" t="s">
        <v>1234</v>
      </c>
      <c r="C1389" s="199" t="s">
        <v>410</v>
      </c>
      <c r="D1389" s="199" t="s">
        <v>11</v>
      </c>
      <c r="E1389" s="199" t="s">
        <v>51</v>
      </c>
      <c r="F1389" s="199" t="s">
        <v>1235</v>
      </c>
      <c r="G1389" s="199" t="s">
        <v>9</v>
      </c>
      <c r="H1389" s="20">
        <v>100</v>
      </c>
      <c r="I1389" s="20">
        <v>0</v>
      </c>
      <c r="J1389" s="20">
        <v>0</v>
      </c>
      <c r="K1389" s="64"/>
      <c r="L1389" s="64"/>
      <c r="M1389" s="64"/>
      <c r="N1389" s="64"/>
      <c r="O1389" s="64"/>
      <c r="P1389" s="64"/>
      <c r="Q1389" s="17"/>
      <c r="T1389" s="64">
        <v>3880.07</v>
      </c>
      <c r="U1389" s="64">
        <v>5820.1</v>
      </c>
      <c r="V1389" s="64">
        <v>7760.13</v>
      </c>
      <c r="W1389" s="64">
        <f t="shared" si="43"/>
        <v>-3780.07</v>
      </c>
      <c r="X1389" s="64">
        <f t="shared" si="43"/>
        <v>-5820.1</v>
      </c>
      <c r="Y1389" s="64">
        <f t="shared" si="43"/>
        <v>-7760.13</v>
      </c>
    </row>
    <row r="1390" spans="1:25" s="16" customFormat="1">
      <c r="A1390" s="108" t="str">
        <f t="shared" si="42"/>
        <v>620011383 1 00 21040850</v>
      </c>
      <c r="B1390" s="197" t="s">
        <v>32</v>
      </c>
      <c r="C1390" s="199" t="s">
        <v>410</v>
      </c>
      <c r="D1390" s="199" t="s">
        <v>11</v>
      </c>
      <c r="E1390" s="199" t="s">
        <v>51</v>
      </c>
      <c r="F1390" s="199" t="s">
        <v>1235</v>
      </c>
      <c r="G1390" s="199" t="s">
        <v>33</v>
      </c>
      <c r="H1390" s="20">
        <v>100</v>
      </c>
      <c r="I1390" s="20">
        <v>0</v>
      </c>
      <c r="J1390" s="20">
        <v>0</v>
      </c>
      <c r="K1390" s="32"/>
      <c r="L1390" s="32"/>
      <c r="M1390" s="32"/>
      <c r="N1390" s="32"/>
      <c r="O1390" s="32"/>
      <c r="P1390" s="32"/>
      <c r="Q1390" s="17"/>
      <c r="T1390" s="32">
        <v>3880.07</v>
      </c>
      <c r="U1390" s="32">
        <v>5820.1</v>
      </c>
      <c r="V1390" s="32">
        <v>7760.13</v>
      </c>
      <c r="W1390" s="32">
        <f t="shared" si="43"/>
        <v>-3780.07</v>
      </c>
      <c r="X1390" s="32">
        <f t="shared" si="43"/>
        <v>-5820.1</v>
      </c>
      <c r="Y1390" s="32">
        <f t="shared" si="43"/>
        <v>-7760.13</v>
      </c>
    </row>
    <row r="1391" spans="1:25" s="16" customFormat="1">
      <c r="A1391" s="108" t="str">
        <f t="shared" si="42"/>
        <v>620040000 0 00 00000000</v>
      </c>
      <c r="B1391" s="191" t="s">
        <v>195</v>
      </c>
      <c r="C1391" s="192" t="s">
        <v>410</v>
      </c>
      <c r="D1391" s="193" t="s">
        <v>73</v>
      </c>
      <c r="E1391" s="193" t="s">
        <v>7</v>
      </c>
      <c r="F1391" s="193" t="s">
        <v>8</v>
      </c>
      <c r="G1391" s="193" t="s">
        <v>9</v>
      </c>
      <c r="H1391" s="18">
        <v>849379.76</v>
      </c>
      <c r="I1391" s="18">
        <v>264826.44999999995</v>
      </c>
      <c r="J1391" s="18">
        <v>253630.70999999996</v>
      </c>
      <c r="K1391" s="64"/>
      <c r="L1391" s="64"/>
      <c r="M1391" s="64"/>
      <c r="N1391" s="64"/>
      <c r="O1391" s="64"/>
      <c r="P1391" s="64"/>
      <c r="Q1391" s="17"/>
      <c r="T1391" s="64">
        <v>1940.04</v>
      </c>
      <c r="U1391" s="64">
        <v>2910.06</v>
      </c>
      <c r="V1391" s="64">
        <v>3880.08</v>
      </c>
      <c r="W1391" s="64">
        <f t="shared" si="43"/>
        <v>847439.72</v>
      </c>
      <c r="X1391" s="64">
        <f t="shared" si="43"/>
        <v>261916.38999999996</v>
      </c>
      <c r="Y1391" s="64">
        <f t="shared" si="43"/>
        <v>249750.62999999998</v>
      </c>
    </row>
    <row r="1392" spans="1:25" s="16" customFormat="1">
      <c r="A1392" s="108" t="str">
        <f t="shared" si="42"/>
        <v>620040700 0 00 00000000</v>
      </c>
      <c r="B1392" s="194" t="s">
        <v>811</v>
      </c>
      <c r="C1392" s="195" t="s">
        <v>410</v>
      </c>
      <c r="D1392" s="196" t="s">
        <v>73</v>
      </c>
      <c r="E1392" s="196" t="s">
        <v>229</v>
      </c>
      <c r="F1392" s="196" t="s">
        <v>8</v>
      </c>
      <c r="G1392" s="196" t="s">
        <v>9</v>
      </c>
      <c r="H1392" s="19">
        <v>15494.599999999999</v>
      </c>
      <c r="I1392" s="19">
        <v>14094.599999999999</v>
      </c>
      <c r="J1392" s="19">
        <v>14094.599999999999</v>
      </c>
      <c r="K1392" s="64"/>
      <c r="L1392" s="64"/>
      <c r="M1392" s="64"/>
      <c r="N1392" s="64"/>
      <c r="O1392" s="64"/>
      <c r="P1392" s="64"/>
      <c r="Q1392" s="17"/>
      <c r="T1392" s="64">
        <v>1940.04</v>
      </c>
      <c r="U1392" s="64">
        <v>2910.06</v>
      </c>
      <c r="V1392" s="64">
        <v>3880.08</v>
      </c>
      <c r="W1392" s="64">
        <f t="shared" si="43"/>
        <v>13554.559999999998</v>
      </c>
      <c r="X1392" s="64">
        <f t="shared" si="43"/>
        <v>11184.539999999999</v>
      </c>
      <c r="Y1392" s="64">
        <f t="shared" si="43"/>
        <v>10214.519999999999</v>
      </c>
    </row>
    <row r="1393" spans="1:25" s="16" customFormat="1" ht="38.25">
      <c r="A1393" s="108" t="str">
        <f t="shared" si="42"/>
        <v>620040704 0 00 00000000</v>
      </c>
      <c r="B1393" s="200" t="s">
        <v>293</v>
      </c>
      <c r="C1393" s="199" t="s">
        <v>410</v>
      </c>
      <c r="D1393" s="199" t="s">
        <v>73</v>
      </c>
      <c r="E1393" s="199" t="s">
        <v>229</v>
      </c>
      <c r="F1393" s="199" t="s">
        <v>294</v>
      </c>
      <c r="G1393" s="199" t="s">
        <v>9</v>
      </c>
      <c r="H1393" s="20">
        <v>15494.599999999999</v>
      </c>
      <c r="I1393" s="20">
        <v>14094.599999999999</v>
      </c>
      <c r="J1393" s="20">
        <v>14094.599999999999</v>
      </c>
      <c r="K1393" s="32"/>
      <c r="L1393" s="32"/>
      <c r="M1393" s="32"/>
      <c r="N1393" s="32"/>
      <c r="O1393" s="32"/>
      <c r="P1393" s="32"/>
      <c r="Q1393" s="17"/>
      <c r="T1393" s="32">
        <v>1940.04</v>
      </c>
      <c r="U1393" s="32">
        <v>2910.06</v>
      </c>
      <c r="V1393" s="32">
        <v>3880.08</v>
      </c>
      <c r="W1393" s="32">
        <f t="shared" si="43"/>
        <v>13554.559999999998</v>
      </c>
      <c r="X1393" s="32">
        <f t="shared" si="43"/>
        <v>11184.539999999999</v>
      </c>
      <c r="Y1393" s="32">
        <f t="shared" si="43"/>
        <v>10214.519999999999</v>
      </c>
    </row>
    <row r="1394" spans="1:25" s="16" customFormat="1" ht="25.5">
      <c r="A1394" s="108" t="str">
        <f t="shared" si="42"/>
        <v>620040704 3 00 00000000</v>
      </c>
      <c r="B1394" s="197" t="s">
        <v>307</v>
      </c>
      <c r="C1394" s="199" t="s">
        <v>410</v>
      </c>
      <c r="D1394" s="199" t="s">
        <v>73</v>
      </c>
      <c r="E1394" s="199" t="s">
        <v>229</v>
      </c>
      <c r="F1394" s="199" t="s">
        <v>308</v>
      </c>
      <c r="G1394" s="199" t="s">
        <v>9</v>
      </c>
      <c r="H1394" s="20">
        <v>15494.599999999999</v>
      </c>
      <c r="I1394" s="20">
        <v>14094.599999999999</v>
      </c>
      <c r="J1394" s="20">
        <v>14094.599999999999</v>
      </c>
      <c r="K1394" s="32"/>
      <c r="L1394" s="32"/>
      <c r="M1394" s="32"/>
      <c r="N1394" s="32"/>
      <c r="O1394" s="32"/>
      <c r="P1394" s="32"/>
      <c r="Q1394" s="17"/>
      <c r="T1394" s="32">
        <v>450</v>
      </c>
      <c r="U1394" s="32">
        <v>450</v>
      </c>
      <c r="V1394" s="32">
        <v>450</v>
      </c>
      <c r="W1394" s="32">
        <f t="shared" si="43"/>
        <v>15044.599999999999</v>
      </c>
      <c r="X1394" s="32">
        <f t="shared" si="43"/>
        <v>13644.599999999999</v>
      </c>
      <c r="Y1394" s="32">
        <f t="shared" si="43"/>
        <v>13644.599999999999</v>
      </c>
    </row>
    <row r="1395" spans="1:25" s="16" customFormat="1" ht="38.25">
      <c r="A1395" s="108" t="str">
        <f t="shared" si="42"/>
        <v>620040704 3 01 00000000</v>
      </c>
      <c r="B1395" s="197" t="s">
        <v>812</v>
      </c>
      <c r="C1395" s="199" t="s">
        <v>410</v>
      </c>
      <c r="D1395" s="199" t="s">
        <v>73</v>
      </c>
      <c r="E1395" s="199" t="s">
        <v>229</v>
      </c>
      <c r="F1395" s="199" t="s">
        <v>813</v>
      </c>
      <c r="G1395" s="199" t="s">
        <v>9</v>
      </c>
      <c r="H1395" s="20">
        <v>15494.599999999999</v>
      </c>
      <c r="I1395" s="20">
        <v>14094.599999999999</v>
      </c>
      <c r="J1395" s="20">
        <v>14094.599999999999</v>
      </c>
      <c r="K1395" s="32"/>
      <c r="L1395" s="32"/>
      <c r="M1395" s="32"/>
      <c r="N1395" s="32"/>
      <c r="O1395" s="32"/>
      <c r="P1395" s="32"/>
      <c r="Q1395" s="17"/>
      <c r="T1395" s="32">
        <v>450</v>
      </c>
      <c r="U1395" s="32">
        <v>450</v>
      </c>
      <c r="V1395" s="32">
        <v>450</v>
      </c>
      <c r="W1395" s="32">
        <f t="shared" si="43"/>
        <v>15044.599999999999</v>
      </c>
      <c r="X1395" s="32">
        <f t="shared" si="43"/>
        <v>13644.599999999999</v>
      </c>
      <c r="Y1395" s="32">
        <f t="shared" si="43"/>
        <v>13644.599999999999</v>
      </c>
    </row>
    <row r="1396" spans="1:25" s="16" customFormat="1" ht="25.5">
      <c r="A1396" s="108" t="str">
        <f t="shared" si="42"/>
        <v>620040704 3 01 11010000</v>
      </c>
      <c r="B1396" s="197" t="s">
        <v>136</v>
      </c>
      <c r="C1396" s="199" t="s">
        <v>410</v>
      </c>
      <c r="D1396" s="199" t="s">
        <v>73</v>
      </c>
      <c r="E1396" s="199" t="s">
        <v>229</v>
      </c>
      <c r="F1396" s="199" t="s">
        <v>814</v>
      </c>
      <c r="G1396" s="199" t="s">
        <v>9</v>
      </c>
      <c r="H1396" s="20">
        <v>15042.679999999998</v>
      </c>
      <c r="I1396" s="20">
        <v>14094.599999999999</v>
      </c>
      <c r="J1396" s="20">
        <v>14094.599999999999</v>
      </c>
      <c r="K1396" s="32"/>
      <c r="L1396" s="32"/>
      <c r="M1396" s="32"/>
      <c r="N1396" s="32"/>
      <c r="O1396" s="32"/>
      <c r="P1396" s="32"/>
      <c r="Q1396" s="17"/>
      <c r="T1396" s="32">
        <v>450</v>
      </c>
      <c r="U1396" s="32">
        <v>450</v>
      </c>
      <c r="V1396" s="32">
        <v>450</v>
      </c>
      <c r="W1396" s="32">
        <f t="shared" si="43"/>
        <v>14592.679999999998</v>
      </c>
      <c r="X1396" s="32">
        <f t="shared" si="43"/>
        <v>13644.599999999999</v>
      </c>
      <c r="Y1396" s="32">
        <f t="shared" si="43"/>
        <v>13644.599999999999</v>
      </c>
    </row>
    <row r="1397" spans="1:25" s="16" customFormat="1">
      <c r="A1397" s="108" t="str">
        <f t="shared" si="42"/>
        <v>620040704 3 01 11010610</v>
      </c>
      <c r="B1397" s="205" t="s">
        <v>403</v>
      </c>
      <c r="C1397" s="199" t="s">
        <v>410</v>
      </c>
      <c r="D1397" s="199" t="s">
        <v>73</v>
      </c>
      <c r="E1397" s="199" t="s">
        <v>229</v>
      </c>
      <c r="F1397" s="199" t="s">
        <v>814</v>
      </c>
      <c r="G1397" s="199" t="s">
        <v>404</v>
      </c>
      <c r="H1397" s="20">
        <v>15042.679999999998</v>
      </c>
      <c r="I1397" s="20">
        <v>14094.599999999999</v>
      </c>
      <c r="J1397" s="20">
        <v>14094.599999999999</v>
      </c>
      <c r="K1397" s="19"/>
      <c r="L1397" s="19"/>
      <c r="M1397" s="19"/>
      <c r="N1397" s="19"/>
      <c r="O1397" s="19"/>
      <c r="P1397" s="19"/>
      <c r="Q1397" s="17"/>
      <c r="T1397" s="19">
        <v>48258.450000000004</v>
      </c>
      <c r="U1397" s="19">
        <v>48258.450000000004</v>
      </c>
      <c r="V1397" s="19">
        <v>48258.450000000004</v>
      </c>
      <c r="W1397" s="19">
        <f t="shared" si="43"/>
        <v>-33215.770000000004</v>
      </c>
      <c r="X1397" s="19">
        <f t="shared" si="43"/>
        <v>-34163.850000000006</v>
      </c>
      <c r="Y1397" s="19">
        <f t="shared" si="43"/>
        <v>-34163.850000000006</v>
      </c>
    </row>
    <row r="1398" spans="1:25" s="16" customFormat="1" ht="191.25">
      <c r="A1398" s="108" t="str">
        <f t="shared" si="42"/>
        <v>620040704 3 01 77460000</v>
      </c>
      <c r="B1398" s="197" t="s">
        <v>1263</v>
      </c>
      <c r="C1398" s="199" t="s">
        <v>410</v>
      </c>
      <c r="D1398" s="199" t="s">
        <v>73</v>
      </c>
      <c r="E1398" s="199" t="s">
        <v>229</v>
      </c>
      <c r="F1398" s="199" t="s">
        <v>1326</v>
      </c>
      <c r="G1398" s="199" t="s">
        <v>9</v>
      </c>
      <c r="H1398" s="20">
        <v>451.92</v>
      </c>
      <c r="I1398" s="20">
        <v>0</v>
      </c>
      <c r="J1398" s="20">
        <v>0</v>
      </c>
      <c r="K1398" s="64"/>
      <c r="L1398" s="64"/>
      <c r="M1398" s="64"/>
      <c r="N1398" s="64"/>
      <c r="O1398" s="64"/>
      <c r="P1398" s="64"/>
      <c r="Q1398" s="17"/>
      <c r="T1398" s="64">
        <v>48258.450000000004</v>
      </c>
      <c r="U1398" s="64">
        <v>48258.450000000004</v>
      </c>
      <c r="V1398" s="64">
        <v>48258.450000000004</v>
      </c>
      <c r="W1398" s="64">
        <f t="shared" si="43"/>
        <v>-47806.530000000006</v>
      </c>
      <c r="X1398" s="64">
        <f t="shared" si="43"/>
        <v>-48258.450000000004</v>
      </c>
      <c r="Y1398" s="64">
        <f t="shared" si="43"/>
        <v>-48258.450000000004</v>
      </c>
    </row>
    <row r="1399" spans="1:25" s="16" customFormat="1">
      <c r="A1399" s="108" t="str">
        <f t="shared" si="42"/>
        <v>620040704 3 01 77460610</v>
      </c>
      <c r="B1399" s="205" t="s">
        <v>403</v>
      </c>
      <c r="C1399" s="199" t="s">
        <v>410</v>
      </c>
      <c r="D1399" s="199" t="s">
        <v>73</v>
      </c>
      <c r="E1399" s="199" t="s">
        <v>229</v>
      </c>
      <c r="F1399" s="199" t="s">
        <v>1326</v>
      </c>
      <c r="G1399" s="199" t="s">
        <v>404</v>
      </c>
      <c r="H1399" s="20">
        <v>451.92</v>
      </c>
      <c r="I1399" s="20">
        <v>0</v>
      </c>
      <c r="J1399" s="20">
        <v>0</v>
      </c>
      <c r="K1399" s="64"/>
      <c r="L1399" s="64"/>
      <c r="M1399" s="64"/>
      <c r="N1399" s="64"/>
      <c r="O1399" s="64"/>
      <c r="P1399" s="64"/>
      <c r="Q1399" s="17"/>
      <c r="T1399" s="64">
        <v>48258.450000000004</v>
      </c>
      <c r="U1399" s="64">
        <v>48258.450000000004</v>
      </c>
      <c r="V1399" s="64">
        <v>48258.450000000004</v>
      </c>
      <c r="W1399" s="64">
        <f t="shared" si="43"/>
        <v>-47806.530000000006</v>
      </c>
      <c r="X1399" s="64">
        <f t="shared" si="43"/>
        <v>-48258.450000000004</v>
      </c>
      <c r="Y1399" s="64">
        <f t="shared" si="43"/>
        <v>-48258.450000000004</v>
      </c>
    </row>
    <row r="1400" spans="1:25" s="16" customFormat="1">
      <c r="A1400" s="108" t="str">
        <f t="shared" si="42"/>
        <v>620040800 0 00 00000000</v>
      </c>
      <c r="B1400" s="194" t="s">
        <v>815</v>
      </c>
      <c r="C1400" s="195" t="s">
        <v>410</v>
      </c>
      <c r="D1400" s="196" t="s">
        <v>73</v>
      </c>
      <c r="E1400" s="196" t="s">
        <v>238</v>
      </c>
      <c r="F1400" s="196" t="s">
        <v>8</v>
      </c>
      <c r="G1400" s="196" t="s">
        <v>9</v>
      </c>
      <c r="H1400" s="19">
        <v>99467.34</v>
      </c>
      <c r="I1400" s="19">
        <v>55182.250000000007</v>
      </c>
      <c r="J1400" s="19">
        <v>25723.87</v>
      </c>
      <c r="K1400" s="64"/>
      <c r="L1400" s="64"/>
      <c r="M1400" s="64"/>
      <c r="N1400" s="64"/>
      <c r="O1400" s="64"/>
      <c r="P1400" s="64"/>
      <c r="Q1400" s="17"/>
      <c r="T1400" s="64">
        <v>6747.7300000000005</v>
      </c>
      <c r="U1400" s="64">
        <v>6747.7300000000005</v>
      </c>
      <c r="V1400" s="64">
        <v>6747.7300000000005</v>
      </c>
      <c r="W1400" s="64">
        <f t="shared" si="43"/>
        <v>92719.61</v>
      </c>
      <c r="X1400" s="64">
        <f t="shared" si="43"/>
        <v>48434.520000000004</v>
      </c>
      <c r="Y1400" s="64">
        <f t="shared" si="43"/>
        <v>18976.14</v>
      </c>
    </row>
    <row r="1401" spans="1:25" s="16" customFormat="1" ht="38.25">
      <c r="A1401" s="108" t="str">
        <f t="shared" si="42"/>
        <v>620040804 0 00 00000000</v>
      </c>
      <c r="B1401" s="200" t="s">
        <v>293</v>
      </c>
      <c r="C1401" s="199" t="s">
        <v>410</v>
      </c>
      <c r="D1401" s="199" t="s">
        <v>73</v>
      </c>
      <c r="E1401" s="199" t="s">
        <v>238</v>
      </c>
      <c r="F1401" s="199" t="s">
        <v>294</v>
      </c>
      <c r="G1401" s="199" t="s">
        <v>9</v>
      </c>
      <c r="H1401" s="20">
        <v>99467.12</v>
      </c>
      <c r="I1401" s="20">
        <v>55182.240000000005</v>
      </c>
      <c r="J1401" s="20">
        <v>25723.86</v>
      </c>
      <c r="K1401" s="20"/>
      <c r="L1401" s="20"/>
      <c r="M1401" s="20"/>
      <c r="N1401" s="20"/>
      <c r="O1401" s="20"/>
      <c r="P1401" s="20"/>
      <c r="Q1401" s="17"/>
      <c r="T1401" s="20">
        <v>1182.76</v>
      </c>
      <c r="U1401" s="20">
        <v>1182.76</v>
      </c>
      <c r="V1401" s="20">
        <v>1182.76</v>
      </c>
      <c r="W1401" s="20">
        <f t="shared" si="43"/>
        <v>98284.36</v>
      </c>
      <c r="X1401" s="20">
        <f t="shared" si="43"/>
        <v>53999.48</v>
      </c>
      <c r="Y1401" s="20">
        <f t="shared" si="43"/>
        <v>24541.100000000002</v>
      </c>
    </row>
    <row r="1402" spans="1:25" s="16" customFormat="1" ht="38.25">
      <c r="A1402" s="108" t="str">
        <f t="shared" si="42"/>
        <v>620040804 2 00 00000000</v>
      </c>
      <c r="B1402" s="226" t="s">
        <v>295</v>
      </c>
      <c r="C1402" s="199" t="s">
        <v>410</v>
      </c>
      <c r="D1402" s="199" t="s">
        <v>73</v>
      </c>
      <c r="E1402" s="199" t="s">
        <v>238</v>
      </c>
      <c r="F1402" s="199" t="s">
        <v>296</v>
      </c>
      <c r="G1402" s="199" t="s">
        <v>9</v>
      </c>
      <c r="H1402" s="20">
        <v>99467.12</v>
      </c>
      <c r="I1402" s="20">
        <v>55182.240000000005</v>
      </c>
      <c r="J1402" s="20">
        <v>25723.86</v>
      </c>
      <c r="K1402" s="20"/>
      <c r="L1402" s="20"/>
      <c r="M1402" s="20"/>
      <c r="N1402" s="20"/>
      <c r="O1402" s="20"/>
      <c r="P1402" s="20"/>
      <c r="Q1402" s="17"/>
      <c r="T1402" s="20">
        <v>5455.97</v>
      </c>
      <c r="U1402" s="20">
        <v>5455.97</v>
      </c>
      <c r="V1402" s="20">
        <v>5455.97</v>
      </c>
      <c r="W1402" s="20">
        <f t="shared" si="43"/>
        <v>94011.15</v>
      </c>
      <c r="X1402" s="20">
        <f t="shared" si="43"/>
        <v>49726.270000000004</v>
      </c>
      <c r="Y1402" s="20">
        <f t="shared" si="43"/>
        <v>20267.89</v>
      </c>
    </row>
    <row r="1403" spans="1:25" s="16" customFormat="1" ht="38.25">
      <c r="A1403" s="108" t="str">
        <f t="shared" si="42"/>
        <v>620040804 2 01 00000000</v>
      </c>
      <c r="B1403" s="214" t="s">
        <v>816</v>
      </c>
      <c r="C1403" s="199" t="s">
        <v>410</v>
      </c>
      <c r="D1403" s="199" t="s">
        <v>73</v>
      </c>
      <c r="E1403" s="199" t="s">
        <v>238</v>
      </c>
      <c r="F1403" s="199" t="s">
        <v>817</v>
      </c>
      <c r="G1403" s="199" t="s">
        <v>9</v>
      </c>
      <c r="H1403" s="20">
        <v>99467.12</v>
      </c>
      <c r="I1403" s="20">
        <v>55182.240000000005</v>
      </c>
      <c r="J1403" s="20">
        <v>25723.86</v>
      </c>
      <c r="K1403" s="20"/>
      <c r="L1403" s="20"/>
      <c r="M1403" s="20"/>
      <c r="N1403" s="20"/>
      <c r="O1403" s="20"/>
      <c r="P1403" s="20"/>
      <c r="Q1403" s="17"/>
      <c r="T1403" s="20">
        <v>109</v>
      </c>
      <c r="U1403" s="20">
        <v>109</v>
      </c>
      <c r="V1403" s="20">
        <v>109</v>
      </c>
      <c r="W1403" s="20">
        <f t="shared" si="43"/>
        <v>99358.12</v>
      </c>
      <c r="X1403" s="20">
        <f t="shared" si="43"/>
        <v>55073.240000000005</v>
      </c>
      <c r="Y1403" s="20">
        <f t="shared" si="43"/>
        <v>25614.86</v>
      </c>
    </row>
    <row r="1404" spans="1:25" s="16" customFormat="1" ht="25.5">
      <c r="A1404" s="108" t="str">
        <f t="shared" si="42"/>
        <v>620040804 2 01 11010000</v>
      </c>
      <c r="B1404" s="214" t="s">
        <v>136</v>
      </c>
      <c r="C1404" s="199" t="s">
        <v>410</v>
      </c>
      <c r="D1404" s="199" t="s">
        <v>73</v>
      </c>
      <c r="E1404" s="199" t="s">
        <v>238</v>
      </c>
      <c r="F1404" s="199" t="s">
        <v>818</v>
      </c>
      <c r="G1404" s="199" t="s">
        <v>9</v>
      </c>
      <c r="H1404" s="20">
        <v>4025.94</v>
      </c>
      <c r="I1404" s="20">
        <v>4159.8599999999997</v>
      </c>
      <c r="J1404" s="20">
        <v>4159.8599999999997</v>
      </c>
      <c r="K1404" s="20"/>
      <c r="L1404" s="20"/>
      <c r="M1404" s="20"/>
      <c r="N1404" s="20"/>
      <c r="O1404" s="20"/>
      <c r="P1404" s="20"/>
      <c r="Q1404" s="17"/>
      <c r="T1404" s="20">
        <v>41510.720000000001</v>
      </c>
      <c r="U1404" s="20">
        <v>41510.720000000001</v>
      </c>
      <c r="V1404" s="20">
        <v>41510.720000000001</v>
      </c>
      <c r="W1404" s="20">
        <f t="shared" si="43"/>
        <v>-37484.78</v>
      </c>
      <c r="X1404" s="20">
        <f t="shared" si="43"/>
        <v>-37350.86</v>
      </c>
      <c r="Y1404" s="20">
        <f t="shared" si="43"/>
        <v>-37350.86</v>
      </c>
    </row>
    <row r="1405" spans="1:25" s="16" customFormat="1">
      <c r="A1405" s="108" t="str">
        <f t="shared" si="42"/>
        <v>620040804 2 01 11010610</v>
      </c>
      <c r="B1405" s="205" t="s">
        <v>403</v>
      </c>
      <c r="C1405" s="199" t="s">
        <v>410</v>
      </c>
      <c r="D1405" s="199" t="s">
        <v>73</v>
      </c>
      <c r="E1405" s="199" t="s">
        <v>238</v>
      </c>
      <c r="F1405" s="199" t="s">
        <v>818</v>
      </c>
      <c r="G1405" s="199" t="s">
        <v>404</v>
      </c>
      <c r="H1405" s="20">
        <v>4025.94</v>
      </c>
      <c r="I1405" s="20">
        <v>4159.8599999999997</v>
      </c>
      <c r="J1405" s="20">
        <v>4159.8599999999997</v>
      </c>
      <c r="K1405" s="20"/>
      <c r="L1405" s="20"/>
      <c r="M1405" s="20"/>
      <c r="N1405" s="20"/>
      <c r="O1405" s="20"/>
      <c r="P1405" s="20"/>
      <c r="Q1405" s="17"/>
      <c r="T1405" s="20">
        <v>41510.720000000001</v>
      </c>
      <c r="U1405" s="20">
        <v>41510.720000000001</v>
      </c>
      <c r="V1405" s="20">
        <v>41510.720000000001</v>
      </c>
      <c r="W1405" s="20">
        <f t="shared" si="43"/>
        <v>-37484.78</v>
      </c>
      <c r="X1405" s="20">
        <f t="shared" si="43"/>
        <v>-37350.86</v>
      </c>
      <c r="Y1405" s="20">
        <f t="shared" si="43"/>
        <v>-37350.86</v>
      </c>
    </row>
    <row r="1406" spans="1:25" s="16" customFormat="1" ht="191.25">
      <c r="A1406" s="108" t="str">
        <f t="shared" si="42"/>
        <v>620040804 2 01 77460000</v>
      </c>
      <c r="B1406" s="197" t="s">
        <v>1263</v>
      </c>
      <c r="C1406" s="199" t="s">
        <v>410</v>
      </c>
      <c r="D1406" s="199" t="s">
        <v>73</v>
      </c>
      <c r="E1406" s="199" t="s">
        <v>238</v>
      </c>
      <c r="F1406" s="199" t="s">
        <v>1327</v>
      </c>
      <c r="G1406" s="199" t="s">
        <v>9</v>
      </c>
      <c r="H1406" s="20">
        <v>133.91999999999999</v>
      </c>
      <c r="I1406" s="20">
        <v>0</v>
      </c>
      <c r="J1406" s="20">
        <v>0</v>
      </c>
      <c r="K1406" s="18"/>
      <c r="L1406" s="18"/>
      <c r="M1406" s="18"/>
      <c r="N1406" s="18"/>
      <c r="O1406" s="18"/>
      <c r="P1406" s="18"/>
      <c r="Q1406" s="17"/>
      <c r="T1406" s="18">
        <v>1162.5</v>
      </c>
      <c r="U1406" s="18">
        <v>1162.5</v>
      </c>
      <c r="V1406" s="18">
        <v>1162.5</v>
      </c>
      <c r="W1406" s="18">
        <f t="shared" si="43"/>
        <v>-1028.58</v>
      </c>
      <c r="X1406" s="18">
        <f t="shared" si="43"/>
        <v>-1162.5</v>
      </c>
      <c r="Y1406" s="18">
        <f t="shared" si="43"/>
        <v>-1162.5</v>
      </c>
    </row>
    <row r="1407" spans="1:25" s="16" customFormat="1">
      <c r="A1407" s="108" t="str">
        <f t="shared" si="42"/>
        <v>620040804 2 01 77460610</v>
      </c>
      <c r="B1407" s="205" t="s">
        <v>403</v>
      </c>
      <c r="C1407" s="199" t="s">
        <v>410</v>
      </c>
      <c r="D1407" s="199" t="s">
        <v>73</v>
      </c>
      <c r="E1407" s="199" t="s">
        <v>238</v>
      </c>
      <c r="F1407" s="199" t="s">
        <v>1327</v>
      </c>
      <c r="G1407" s="199" t="s">
        <v>404</v>
      </c>
      <c r="H1407" s="20">
        <v>133.91999999999999</v>
      </c>
      <c r="I1407" s="20">
        <v>0</v>
      </c>
      <c r="J1407" s="20">
        <v>0</v>
      </c>
      <c r="K1407" s="19"/>
      <c r="L1407" s="19"/>
      <c r="M1407" s="19"/>
      <c r="N1407" s="19"/>
      <c r="O1407" s="19"/>
      <c r="P1407" s="19"/>
      <c r="Q1407" s="17"/>
      <c r="T1407" s="19">
        <v>1162.5</v>
      </c>
      <c r="U1407" s="19">
        <v>1162.5</v>
      </c>
      <c r="V1407" s="19">
        <v>1162.5</v>
      </c>
      <c r="W1407" s="19">
        <f t="shared" si="43"/>
        <v>-1028.58</v>
      </c>
      <c r="X1407" s="19">
        <f t="shared" si="43"/>
        <v>-1162.5</v>
      </c>
      <c r="Y1407" s="19">
        <f t="shared" si="43"/>
        <v>-1162.5</v>
      </c>
    </row>
    <row r="1408" spans="1:25" s="16" customFormat="1" ht="25.5">
      <c r="A1408" s="108" t="str">
        <f t="shared" si="42"/>
        <v>620040804 2 01 60020000</v>
      </c>
      <c r="B1408" s="214" t="s">
        <v>819</v>
      </c>
      <c r="C1408" s="199" t="s">
        <v>410</v>
      </c>
      <c r="D1408" s="199" t="s">
        <v>73</v>
      </c>
      <c r="E1408" s="199" t="s">
        <v>238</v>
      </c>
      <c r="F1408" s="199" t="s">
        <v>820</v>
      </c>
      <c r="G1408" s="199" t="s">
        <v>9</v>
      </c>
      <c r="H1408" s="20">
        <v>17447.84</v>
      </c>
      <c r="I1408" s="20">
        <v>11796.87</v>
      </c>
      <c r="J1408" s="20">
        <v>21564</v>
      </c>
      <c r="K1408" s="20"/>
      <c r="L1408" s="20"/>
      <c r="M1408" s="20"/>
      <c r="N1408" s="20"/>
      <c r="O1408" s="20"/>
      <c r="P1408" s="20"/>
      <c r="Q1408" s="17"/>
      <c r="T1408" s="20">
        <v>1162.5</v>
      </c>
      <c r="U1408" s="20">
        <v>1162.5</v>
      </c>
      <c r="V1408" s="20">
        <v>1162.5</v>
      </c>
      <c r="W1408" s="20">
        <f t="shared" si="43"/>
        <v>16285.34</v>
      </c>
      <c r="X1408" s="20">
        <f t="shared" si="43"/>
        <v>10634.37</v>
      </c>
      <c r="Y1408" s="20">
        <f t="shared" si="43"/>
        <v>20401.5</v>
      </c>
    </row>
    <row r="1409" spans="1:25" s="16" customFormat="1" ht="38.25">
      <c r="A1409" s="108" t="str">
        <f t="shared" si="42"/>
        <v>620040804 2 01 60020810</v>
      </c>
      <c r="B1409" s="217" t="s">
        <v>203</v>
      </c>
      <c r="C1409" s="270" t="s">
        <v>410</v>
      </c>
      <c r="D1409" s="270" t="s">
        <v>73</v>
      </c>
      <c r="E1409" s="270" t="s">
        <v>238</v>
      </c>
      <c r="F1409" s="270" t="s">
        <v>820</v>
      </c>
      <c r="G1409" s="270" t="s">
        <v>204</v>
      </c>
      <c r="H1409" s="57">
        <v>17447.84</v>
      </c>
      <c r="I1409" s="57">
        <v>11796.87</v>
      </c>
      <c r="J1409" s="57">
        <v>21564</v>
      </c>
      <c r="K1409" s="20"/>
      <c r="L1409" s="20"/>
      <c r="M1409" s="20"/>
      <c r="N1409" s="20"/>
      <c r="O1409" s="20"/>
      <c r="P1409" s="20"/>
      <c r="Q1409" s="17"/>
      <c r="T1409" s="20">
        <v>1162.5</v>
      </c>
      <c r="U1409" s="20">
        <v>1162.5</v>
      </c>
      <c r="V1409" s="20">
        <v>1162.5</v>
      </c>
      <c r="W1409" s="20">
        <f t="shared" si="43"/>
        <v>16285.34</v>
      </c>
      <c r="X1409" s="20">
        <f t="shared" si="43"/>
        <v>10634.37</v>
      </c>
      <c r="Y1409" s="20">
        <f t="shared" si="43"/>
        <v>20401.5</v>
      </c>
    </row>
    <row r="1410" spans="1:25" s="16" customFormat="1" ht="102">
      <c r="A1410" s="108" t="str">
        <f t="shared" si="42"/>
        <v>620040804 2 01 60070000</v>
      </c>
      <c r="B1410" s="201" t="s">
        <v>821</v>
      </c>
      <c r="C1410" s="199" t="s">
        <v>410</v>
      </c>
      <c r="D1410" s="199" t="s">
        <v>73</v>
      </c>
      <c r="E1410" s="199" t="s">
        <v>238</v>
      </c>
      <c r="F1410" s="199" t="s">
        <v>822</v>
      </c>
      <c r="G1410" s="199" t="s">
        <v>9</v>
      </c>
      <c r="H1410" s="20">
        <v>77859.42</v>
      </c>
      <c r="I1410" s="20">
        <v>39225.51</v>
      </c>
      <c r="J1410" s="20">
        <v>0</v>
      </c>
      <c r="K1410" s="20"/>
      <c r="L1410" s="20"/>
      <c r="M1410" s="20"/>
      <c r="N1410" s="20"/>
      <c r="O1410" s="20"/>
      <c r="P1410" s="20"/>
      <c r="Q1410" s="17"/>
      <c r="T1410" s="20">
        <v>1162.5</v>
      </c>
      <c r="U1410" s="20">
        <v>1162.5</v>
      </c>
      <c r="V1410" s="20">
        <v>1162.5</v>
      </c>
      <c r="W1410" s="20">
        <f t="shared" si="43"/>
        <v>76696.92</v>
      </c>
      <c r="X1410" s="20">
        <f t="shared" si="43"/>
        <v>38063.01</v>
      </c>
      <c r="Y1410" s="20">
        <f t="shared" si="43"/>
        <v>-1162.5</v>
      </c>
    </row>
    <row r="1411" spans="1:25" s="16" customFormat="1">
      <c r="A1411" s="108" t="str">
        <f t="shared" si="42"/>
        <v/>
      </c>
      <c r="B1411" s="201" t="s">
        <v>1104</v>
      </c>
      <c r="C1411" s="199"/>
      <c r="D1411" s="199"/>
      <c r="E1411" s="199"/>
      <c r="F1411" s="199"/>
      <c r="G1411" s="199"/>
      <c r="H1411" s="20"/>
      <c r="I1411" s="20"/>
      <c r="J1411" s="20"/>
      <c r="K1411" s="20"/>
      <c r="L1411" s="20"/>
      <c r="M1411" s="20"/>
      <c r="N1411" s="20"/>
      <c r="O1411" s="20"/>
      <c r="P1411" s="20"/>
      <c r="Q1411" s="17"/>
      <c r="T1411" s="20">
        <v>1162.5</v>
      </c>
      <c r="U1411" s="20">
        <v>1162.5</v>
      </c>
      <c r="V1411" s="20">
        <v>1162.5</v>
      </c>
      <c r="W1411" s="20">
        <f t="shared" si="43"/>
        <v>-1162.5</v>
      </c>
      <c r="X1411" s="20">
        <f t="shared" si="43"/>
        <v>-1162.5</v>
      </c>
      <c r="Y1411" s="20">
        <f t="shared" si="43"/>
        <v>-1162.5</v>
      </c>
    </row>
    <row r="1412" spans="1:25" s="16" customFormat="1" ht="89.25">
      <c r="A1412" s="108" t="str">
        <f t="shared" si="42"/>
        <v>620040804 2 01 60070000</v>
      </c>
      <c r="B1412" s="201" t="s">
        <v>1141</v>
      </c>
      <c r="C1412" s="199" t="s">
        <v>410</v>
      </c>
      <c r="D1412" s="199" t="s">
        <v>73</v>
      </c>
      <c r="E1412" s="199" t="s">
        <v>238</v>
      </c>
      <c r="F1412" s="199" t="s">
        <v>822</v>
      </c>
      <c r="G1412" s="199" t="s">
        <v>9</v>
      </c>
      <c r="H1412" s="20">
        <v>36669.949999999997</v>
      </c>
      <c r="I1412" s="20">
        <v>39225.51</v>
      </c>
      <c r="J1412" s="20">
        <v>0</v>
      </c>
      <c r="K1412" s="20"/>
      <c r="L1412" s="20"/>
      <c r="M1412" s="20"/>
      <c r="N1412" s="20"/>
      <c r="O1412" s="20"/>
      <c r="P1412" s="20"/>
      <c r="Q1412" s="17"/>
      <c r="T1412" s="20">
        <v>1162.5</v>
      </c>
      <c r="U1412" s="20">
        <v>1162.5</v>
      </c>
      <c r="V1412" s="20">
        <v>1162.5</v>
      </c>
      <c r="W1412" s="20">
        <f t="shared" si="43"/>
        <v>35507.449999999997</v>
      </c>
      <c r="X1412" s="20">
        <f t="shared" si="43"/>
        <v>38063.01</v>
      </c>
      <c r="Y1412" s="20">
        <f t="shared" si="43"/>
        <v>-1162.5</v>
      </c>
    </row>
    <row r="1413" spans="1:25" s="16" customFormat="1" ht="38.25">
      <c r="A1413" s="108" t="str">
        <f t="shared" si="42"/>
        <v>620040804 2 01 60070810</v>
      </c>
      <c r="B1413" s="201" t="s">
        <v>203</v>
      </c>
      <c r="C1413" s="199" t="s">
        <v>410</v>
      </c>
      <c r="D1413" s="199" t="s">
        <v>73</v>
      </c>
      <c r="E1413" s="199" t="s">
        <v>238</v>
      </c>
      <c r="F1413" s="199" t="s">
        <v>822</v>
      </c>
      <c r="G1413" s="199" t="s">
        <v>204</v>
      </c>
      <c r="H1413" s="20">
        <v>77859.42</v>
      </c>
      <c r="I1413" s="20">
        <v>39225.51</v>
      </c>
      <c r="J1413" s="20">
        <v>0</v>
      </c>
      <c r="K1413" s="18"/>
      <c r="L1413" s="18"/>
      <c r="M1413" s="18"/>
      <c r="N1413" s="18"/>
      <c r="O1413" s="18"/>
      <c r="P1413" s="18"/>
      <c r="Q1413" s="17"/>
      <c r="T1413" s="18">
        <v>23485.78</v>
      </c>
      <c r="U1413" s="18">
        <v>23485.78</v>
      </c>
      <c r="V1413" s="18">
        <v>24399.690000000002</v>
      </c>
      <c r="W1413" s="18">
        <f t="shared" si="43"/>
        <v>54373.64</v>
      </c>
      <c r="X1413" s="18">
        <f t="shared" si="43"/>
        <v>15739.730000000003</v>
      </c>
      <c r="Y1413" s="18">
        <f t="shared" si="43"/>
        <v>-24399.690000000002</v>
      </c>
    </row>
    <row r="1414" spans="1:25" s="16" customFormat="1" ht="38.25">
      <c r="A1414" s="108" t="str">
        <f t="shared" ref="A1414:A1477" si="44">C1414&amp;D1414&amp;E1414&amp;F1414&amp;G1414</f>
        <v>620040898 0 00 00000000</v>
      </c>
      <c r="B1414" s="201" t="s">
        <v>87</v>
      </c>
      <c r="C1414" s="199" t="s">
        <v>410</v>
      </c>
      <c r="D1414" s="199" t="s">
        <v>73</v>
      </c>
      <c r="E1414" s="199" t="s">
        <v>238</v>
      </c>
      <c r="F1414" s="199" t="s">
        <v>88</v>
      </c>
      <c r="G1414" s="199" t="s">
        <v>9</v>
      </c>
      <c r="H1414" s="20">
        <v>0.22</v>
      </c>
      <c r="I1414" s="20">
        <v>0.01</v>
      </c>
      <c r="J1414" s="20">
        <v>0.01</v>
      </c>
      <c r="K1414" s="19"/>
      <c r="L1414" s="19"/>
      <c r="M1414" s="19"/>
      <c r="N1414" s="19"/>
      <c r="O1414" s="19"/>
      <c r="P1414" s="19"/>
      <c r="Q1414" s="17"/>
      <c r="T1414" s="19">
        <v>23485.78</v>
      </c>
      <c r="U1414" s="19">
        <v>23485.78</v>
      </c>
      <c r="V1414" s="19">
        <v>24399.690000000002</v>
      </c>
      <c r="W1414" s="19">
        <f t="shared" si="43"/>
        <v>-23485.559999999998</v>
      </c>
      <c r="X1414" s="19">
        <f t="shared" si="43"/>
        <v>-23485.77</v>
      </c>
      <c r="Y1414" s="19">
        <f t="shared" si="43"/>
        <v>-24399.680000000004</v>
      </c>
    </row>
    <row r="1415" spans="1:25" s="16" customFormat="1">
      <c r="A1415" s="108" t="str">
        <f t="shared" si="44"/>
        <v>620040898 1 00 00000000</v>
      </c>
      <c r="B1415" s="201" t="s">
        <v>89</v>
      </c>
      <c r="C1415" s="199" t="s">
        <v>410</v>
      </c>
      <c r="D1415" s="199" t="s">
        <v>73</v>
      </c>
      <c r="E1415" s="199" t="s">
        <v>238</v>
      </c>
      <c r="F1415" s="199" t="s">
        <v>90</v>
      </c>
      <c r="G1415" s="199" t="s">
        <v>9</v>
      </c>
      <c r="H1415" s="20">
        <v>0.22</v>
      </c>
      <c r="I1415" s="20">
        <v>0.01</v>
      </c>
      <c r="J1415" s="20">
        <v>0.01</v>
      </c>
      <c r="K1415" s="26"/>
      <c r="L1415" s="26"/>
      <c r="M1415" s="26"/>
      <c r="N1415" s="26"/>
      <c r="O1415" s="26"/>
      <c r="P1415" s="26"/>
      <c r="Q1415" s="17"/>
      <c r="T1415" s="26">
        <v>23485.78</v>
      </c>
      <c r="U1415" s="26">
        <v>23485.78</v>
      </c>
      <c r="V1415" s="26">
        <v>24399.690000000002</v>
      </c>
      <c r="W1415" s="26">
        <f t="shared" si="43"/>
        <v>-23485.559999999998</v>
      </c>
      <c r="X1415" s="26">
        <f t="shared" si="43"/>
        <v>-23485.77</v>
      </c>
      <c r="Y1415" s="26">
        <f t="shared" si="43"/>
        <v>-24399.680000000004</v>
      </c>
    </row>
    <row r="1416" spans="1:25" s="16" customFormat="1" ht="25.5">
      <c r="A1416" s="108" t="str">
        <f t="shared" si="44"/>
        <v>620040898 1 00 21170000</v>
      </c>
      <c r="B1416" s="201" t="s">
        <v>823</v>
      </c>
      <c r="C1416" s="199" t="s">
        <v>410</v>
      </c>
      <c r="D1416" s="199" t="s">
        <v>73</v>
      </c>
      <c r="E1416" s="199" t="s">
        <v>238</v>
      </c>
      <c r="F1416" s="199" t="s">
        <v>824</v>
      </c>
      <c r="G1416" s="199" t="s">
        <v>9</v>
      </c>
      <c r="H1416" s="20">
        <v>0.22</v>
      </c>
      <c r="I1416" s="20">
        <v>0.01</v>
      </c>
      <c r="J1416" s="20">
        <v>0.01</v>
      </c>
      <c r="K1416" s="26"/>
      <c r="L1416" s="26"/>
      <c r="M1416" s="26"/>
      <c r="N1416" s="26"/>
      <c r="O1416" s="26"/>
      <c r="P1416" s="26"/>
      <c r="Q1416" s="17"/>
      <c r="T1416" s="26">
        <v>23485.78</v>
      </c>
      <c r="U1416" s="26">
        <v>23485.78</v>
      </c>
      <c r="V1416" s="26">
        <v>24399.690000000002</v>
      </c>
      <c r="W1416" s="26">
        <f t="shared" ref="W1416:Y1482" si="45">H1416-T1416</f>
        <v>-23485.559999999998</v>
      </c>
      <c r="X1416" s="26">
        <f t="shared" si="45"/>
        <v>-23485.77</v>
      </c>
      <c r="Y1416" s="26">
        <f t="shared" si="45"/>
        <v>-24399.680000000004</v>
      </c>
    </row>
    <row r="1417" spans="1:25" s="16" customFormat="1">
      <c r="A1417" s="108" t="str">
        <f t="shared" si="44"/>
        <v/>
      </c>
      <c r="B1417" s="220" t="s">
        <v>1104</v>
      </c>
      <c r="C1417" s="199"/>
      <c r="D1417" s="199"/>
      <c r="E1417" s="199"/>
      <c r="F1417" s="199"/>
      <c r="G1417" s="199"/>
      <c r="H1417" s="20"/>
      <c r="I1417" s="20"/>
      <c r="J1417" s="20"/>
      <c r="K1417" s="26"/>
      <c r="L1417" s="26"/>
      <c r="M1417" s="26"/>
      <c r="N1417" s="26"/>
      <c r="O1417" s="26"/>
      <c r="P1417" s="26"/>
      <c r="Q1417" s="17"/>
      <c r="T1417" s="26">
        <v>2109.2600000000002</v>
      </c>
      <c r="U1417" s="26">
        <v>2109.2600000000002</v>
      </c>
      <c r="V1417" s="26">
        <v>2109.2600000000002</v>
      </c>
      <c r="W1417" s="26">
        <f t="shared" si="45"/>
        <v>-2109.2600000000002</v>
      </c>
      <c r="X1417" s="26">
        <f t="shared" si="45"/>
        <v>-2109.2600000000002</v>
      </c>
      <c r="Y1417" s="26">
        <f t="shared" si="45"/>
        <v>-2109.2600000000002</v>
      </c>
    </row>
    <row r="1418" spans="1:25" s="16" customFormat="1">
      <c r="A1418" s="108" t="str">
        <f t="shared" si="44"/>
        <v>620040898 1 00 21170000</v>
      </c>
      <c r="B1418" s="221" t="s">
        <v>1105</v>
      </c>
      <c r="C1418" s="223" t="s">
        <v>410</v>
      </c>
      <c r="D1418" s="223" t="s">
        <v>73</v>
      </c>
      <c r="E1418" s="223" t="s">
        <v>238</v>
      </c>
      <c r="F1418" s="223" t="s">
        <v>824</v>
      </c>
      <c r="G1418" s="223" t="s">
        <v>9</v>
      </c>
      <c r="H1418" s="224">
        <v>0.01</v>
      </c>
      <c r="I1418" s="224">
        <v>0</v>
      </c>
      <c r="J1418" s="224">
        <v>0</v>
      </c>
      <c r="K1418" s="20"/>
      <c r="L1418" s="20"/>
      <c r="M1418" s="20"/>
      <c r="N1418" s="20"/>
      <c r="O1418" s="20"/>
      <c r="P1418" s="20"/>
      <c r="Q1418" s="17"/>
      <c r="T1418" s="20">
        <v>2109.2600000000002</v>
      </c>
      <c r="U1418" s="20">
        <v>2109.2600000000002</v>
      </c>
      <c r="V1418" s="20">
        <v>2109.2600000000002</v>
      </c>
      <c r="W1418" s="20">
        <f t="shared" si="45"/>
        <v>-2109.25</v>
      </c>
      <c r="X1418" s="20">
        <f t="shared" si="45"/>
        <v>-2109.2600000000002</v>
      </c>
      <c r="Y1418" s="20">
        <f t="shared" si="45"/>
        <v>-2109.2600000000002</v>
      </c>
    </row>
    <row r="1419" spans="1:25" s="16" customFormat="1" ht="25.5">
      <c r="A1419" s="108" t="str">
        <f t="shared" si="44"/>
        <v>620040898 1 00 21170240</v>
      </c>
      <c r="B1419" s="197" t="s">
        <v>28</v>
      </c>
      <c r="C1419" s="199" t="s">
        <v>410</v>
      </c>
      <c r="D1419" s="199" t="s">
        <v>73</v>
      </c>
      <c r="E1419" s="199" t="s">
        <v>238</v>
      </c>
      <c r="F1419" s="199" t="s">
        <v>824</v>
      </c>
      <c r="G1419" s="199" t="s">
        <v>29</v>
      </c>
      <c r="H1419" s="20">
        <v>0.22</v>
      </c>
      <c r="I1419" s="20">
        <v>0.01</v>
      </c>
      <c r="J1419" s="20">
        <v>0.01</v>
      </c>
      <c r="K1419" s="20"/>
      <c r="L1419" s="20"/>
      <c r="M1419" s="20"/>
      <c r="N1419" s="20"/>
      <c r="O1419" s="20"/>
      <c r="P1419" s="20"/>
      <c r="Q1419" s="17"/>
      <c r="T1419" s="20">
        <v>2109.2600000000002</v>
      </c>
      <c r="U1419" s="20">
        <v>2109.2600000000002</v>
      </c>
      <c r="V1419" s="20">
        <v>2109.2600000000002</v>
      </c>
      <c r="W1419" s="20">
        <f t="shared" si="45"/>
        <v>-2109.0400000000004</v>
      </c>
      <c r="X1419" s="20">
        <f t="shared" si="45"/>
        <v>-2109.25</v>
      </c>
      <c r="Y1419" s="20">
        <f t="shared" si="45"/>
        <v>-2109.25</v>
      </c>
    </row>
    <row r="1420" spans="1:25" s="16" customFormat="1">
      <c r="A1420" s="108" t="str">
        <f t="shared" si="44"/>
        <v>620040900 0 00 00000000</v>
      </c>
      <c r="B1420" s="271" t="s">
        <v>760</v>
      </c>
      <c r="C1420" s="272" t="s">
        <v>410</v>
      </c>
      <c r="D1420" s="273" t="s">
        <v>73</v>
      </c>
      <c r="E1420" s="273" t="s">
        <v>471</v>
      </c>
      <c r="F1420" s="273" t="s">
        <v>8</v>
      </c>
      <c r="G1420" s="273" t="s">
        <v>9</v>
      </c>
      <c r="H1420" s="61">
        <v>731417.82</v>
      </c>
      <c r="I1420" s="61">
        <v>195549.59999999995</v>
      </c>
      <c r="J1420" s="61">
        <v>213812.23999999996</v>
      </c>
      <c r="K1420" s="26"/>
      <c r="L1420" s="26"/>
      <c r="M1420" s="26"/>
      <c r="N1420" s="26"/>
      <c r="O1420" s="26"/>
      <c r="P1420" s="26"/>
      <c r="Q1420" s="17"/>
      <c r="T1420" s="26">
        <v>21376.52</v>
      </c>
      <c r="U1420" s="26">
        <v>21376.52</v>
      </c>
      <c r="V1420" s="26">
        <v>22290.43</v>
      </c>
      <c r="W1420" s="26">
        <f t="shared" si="45"/>
        <v>710041.29999999993</v>
      </c>
      <c r="X1420" s="26">
        <f t="shared" si="45"/>
        <v>174173.07999999996</v>
      </c>
      <c r="Y1420" s="26">
        <f t="shared" si="45"/>
        <v>191521.80999999997</v>
      </c>
    </row>
    <row r="1421" spans="1:25" s="16" customFormat="1" ht="38.25">
      <c r="A1421" s="108" t="str">
        <f t="shared" si="44"/>
        <v>620040902 0 00 00000000</v>
      </c>
      <c r="B1421" s="214" t="s">
        <v>285</v>
      </c>
      <c r="C1421" s="198" t="s">
        <v>410</v>
      </c>
      <c r="D1421" s="198" t="s">
        <v>73</v>
      </c>
      <c r="E1421" s="198" t="s">
        <v>471</v>
      </c>
      <c r="F1421" s="198" t="s">
        <v>286</v>
      </c>
      <c r="G1421" s="198" t="s">
        <v>9</v>
      </c>
      <c r="H1421" s="32">
        <v>5251.46</v>
      </c>
      <c r="I1421" s="32">
        <v>5251.46</v>
      </c>
      <c r="J1421" s="32">
        <v>5251.46</v>
      </c>
      <c r="K1421" s="20"/>
      <c r="L1421" s="20"/>
      <c r="M1421" s="20"/>
      <c r="N1421" s="20"/>
      <c r="O1421" s="20"/>
      <c r="P1421" s="20"/>
      <c r="Q1421" s="17"/>
      <c r="T1421" s="20">
        <v>21376.52</v>
      </c>
      <c r="U1421" s="20">
        <v>21376.52</v>
      </c>
      <c r="V1421" s="20">
        <v>22290.43</v>
      </c>
      <c r="W1421" s="20">
        <f t="shared" si="45"/>
        <v>-16125.060000000001</v>
      </c>
      <c r="X1421" s="20">
        <f t="shared" si="45"/>
        <v>-16125.060000000001</v>
      </c>
      <c r="Y1421" s="20">
        <f t="shared" si="45"/>
        <v>-17038.97</v>
      </c>
    </row>
    <row r="1422" spans="1:25" s="16" customFormat="1" ht="51">
      <c r="A1422" s="108" t="str">
        <f t="shared" si="44"/>
        <v>620040902 Б 00 00000000</v>
      </c>
      <c r="B1422" s="197" t="s">
        <v>287</v>
      </c>
      <c r="C1422" s="198" t="s">
        <v>410</v>
      </c>
      <c r="D1422" s="198" t="s">
        <v>73</v>
      </c>
      <c r="E1422" s="198" t="s">
        <v>471</v>
      </c>
      <c r="F1422" s="198" t="s">
        <v>288</v>
      </c>
      <c r="G1422" s="198" t="s">
        <v>9</v>
      </c>
      <c r="H1422" s="32">
        <v>5251.46</v>
      </c>
      <c r="I1422" s="32">
        <v>5251.46</v>
      </c>
      <c r="J1422" s="32">
        <v>5251.46</v>
      </c>
      <c r="K1422" s="20"/>
      <c r="L1422" s="20"/>
      <c r="M1422" s="20"/>
      <c r="N1422" s="20"/>
      <c r="O1422" s="20"/>
      <c r="P1422" s="20"/>
      <c r="Q1422" s="17"/>
      <c r="T1422" s="20">
        <v>21376.52</v>
      </c>
      <c r="U1422" s="20">
        <v>21376.52</v>
      </c>
      <c r="V1422" s="20">
        <v>22290.43</v>
      </c>
      <c r="W1422" s="20">
        <f t="shared" si="45"/>
        <v>-16125.060000000001</v>
      </c>
      <c r="X1422" s="20">
        <f t="shared" si="45"/>
        <v>-16125.060000000001</v>
      </c>
      <c r="Y1422" s="20">
        <f t="shared" si="45"/>
        <v>-17038.97</v>
      </c>
    </row>
    <row r="1423" spans="1:25" s="16" customFormat="1" ht="51">
      <c r="A1423" s="108" t="str">
        <f t="shared" si="44"/>
        <v>620040902 Б 02 00000000</v>
      </c>
      <c r="B1423" s="200" t="s">
        <v>825</v>
      </c>
      <c r="C1423" s="198" t="s">
        <v>410</v>
      </c>
      <c r="D1423" s="198" t="s">
        <v>73</v>
      </c>
      <c r="E1423" s="198" t="s">
        <v>471</v>
      </c>
      <c r="F1423" s="198" t="s">
        <v>826</v>
      </c>
      <c r="G1423" s="198" t="s">
        <v>9</v>
      </c>
      <c r="H1423" s="32">
        <v>5251.46</v>
      </c>
      <c r="I1423" s="32">
        <v>5251.46</v>
      </c>
      <c r="J1423" s="32">
        <v>5251.46</v>
      </c>
      <c r="K1423" s="26"/>
      <c r="L1423" s="26"/>
      <c r="M1423" s="26"/>
      <c r="N1423" s="26"/>
      <c r="O1423" s="26"/>
      <c r="P1423" s="26"/>
      <c r="Q1423" s="17"/>
      <c r="T1423" s="26"/>
      <c r="U1423" s="26"/>
      <c r="V1423" s="26"/>
      <c r="W1423" s="26">
        <f t="shared" si="45"/>
        <v>5251.46</v>
      </c>
      <c r="X1423" s="26">
        <f t="shared" si="45"/>
        <v>5251.46</v>
      </c>
      <c r="Y1423" s="26">
        <f t="shared" si="45"/>
        <v>5251.46</v>
      </c>
    </row>
    <row r="1424" spans="1:25" s="16" customFormat="1" ht="51">
      <c r="A1424" s="108" t="str">
        <f t="shared" si="44"/>
        <v>620040902 Б 02 20560000</v>
      </c>
      <c r="B1424" s="200" t="s">
        <v>827</v>
      </c>
      <c r="C1424" s="198" t="s">
        <v>410</v>
      </c>
      <c r="D1424" s="198" t="s">
        <v>73</v>
      </c>
      <c r="E1424" s="198" t="s">
        <v>471</v>
      </c>
      <c r="F1424" s="198" t="s">
        <v>828</v>
      </c>
      <c r="G1424" s="198" t="s">
        <v>9</v>
      </c>
      <c r="H1424" s="32">
        <v>5251.46</v>
      </c>
      <c r="I1424" s="32">
        <v>5251.46</v>
      </c>
      <c r="J1424" s="32">
        <v>5251.46</v>
      </c>
      <c r="K1424" s="25"/>
      <c r="L1424" s="25"/>
      <c r="M1424" s="25"/>
      <c r="N1424" s="25"/>
      <c r="O1424" s="25"/>
      <c r="P1424" s="25"/>
      <c r="Q1424" s="17"/>
      <c r="T1424" s="25">
        <v>241024.03999999998</v>
      </c>
      <c r="U1424" s="25">
        <v>89106.85</v>
      </c>
      <c r="V1424" s="25">
        <v>80479.070000000007</v>
      </c>
      <c r="W1424" s="25">
        <f t="shared" si="45"/>
        <v>-235772.58</v>
      </c>
      <c r="X1424" s="25">
        <f t="shared" si="45"/>
        <v>-83855.39</v>
      </c>
      <c r="Y1424" s="25">
        <f t="shared" si="45"/>
        <v>-75227.61</v>
      </c>
    </row>
    <row r="1425" spans="1:25" s="16" customFormat="1" ht="25.5">
      <c r="A1425" s="108" t="str">
        <f t="shared" si="44"/>
        <v>620040902 Б 02 20560240</v>
      </c>
      <c r="B1425" s="197" t="s">
        <v>28</v>
      </c>
      <c r="C1425" s="198" t="s">
        <v>410</v>
      </c>
      <c r="D1425" s="198" t="s">
        <v>73</v>
      </c>
      <c r="E1425" s="198" t="s">
        <v>471</v>
      </c>
      <c r="F1425" s="198" t="s">
        <v>828</v>
      </c>
      <c r="G1425" s="198" t="s">
        <v>29</v>
      </c>
      <c r="H1425" s="32">
        <v>5251.46</v>
      </c>
      <c r="I1425" s="32">
        <v>5251.46</v>
      </c>
      <c r="J1425" s="32">
        <v>5251.46</v>
      </c>
      <c r="K1425" s="18"/>
      <c r="L1425" s="18"/>
      <c r="M1425" s="18"/>
      <c r="N1425" s="18"/>
      <c r="O1425" s="18"/>
      <c r="P1425" s="18"/>
      <c r="Q1425" s="17"/>
      <c r="T1425" s="18">
        <v>51966.91</v>
      </c>
      <c r="U1425" s="18">
        <v>51015.950000000004</v>
      </c>
      <c r="V1425" s="18">
        <v>51015.950000000004</v>
      </c>
      <c r="W1425" s="18">
        <f t="shared" si="45"/>
        <v>-46715.450000000004</v>
      </c>
      <c r="X1425" s="18">
        <f t="shared" si="45"/>
        <v>-45764.490000000005</v>
      </c>
      <c r="Y1425" s="18">
        <f t="shared" si="45"/>
        <v>-45764.490000000005</v>
      </c>
    </row>
    <row r="1426" spans="1:25" s="16" customFormat="1" ht="38.25">
      <c r="A1426" s="108" t="str">
        <f t="shared" si="44"/>
        <v>620040904 0 00 00000000</v>
      </c>
      <c r="B1426" s="200" t="s">
        <v>293</v>
      </c>
      <c r="C1426" s="199" t="s">
        <v>410</v>
      </c>
      <c r="D1426" s="199" t="s">
        <v>73</v>
      </c>
      <c r="E1426" s="199" t="s">
        <v>471</v>
      </c>
      <c r="F1426" s="199" t="s">
        <v>294</v>
      </c>
      <c r="G1426" s="198" t="s">
        <v>9</v>
      </c>
      <c r="H1426" s="32">
        <v>726166.36</v>
      </c>
      <c r="I1426" s="32">
        <v>190298.13999999996</v>
      </c>
      <c r="J1426" s="32">
        <v>208560.77999999997</v>
      </c>
      <c r="K1426" s="19"/>
      <c r="L1426" s="19"/>
      <c r="M1426" s="19"/>
      <c r="N1426" s="19"/>
      <c r="O1426" s="19"/>
      <c r="P1426" s="19"/>
      <c r="Q1426" s="17"/>
      <c r="T1426" s="19">
        <v>51966.91</v>
      </c>
      <c r="U1426" s="19">
        <v>51015.950000000004</v>
      </c>
      <c r="V1426" s="19">
        <v>51015.950000000004</v>
      </c>
      <c r="W1426" s="19">
        <f t="shared" si="45"/>
        <v>674199.45</v>
      </c>
      <c r="X1426" s="19">
        <f t="shared" si="45"/>
        <v>139282.18999999994</v>
      </c>
      <c r="Y1426" s="19">
        <f t="shared" si="45"/>
        <v>157544.82999999996</v>
      </c>
    </row>
    <row r="1427" spans="1:25" s="16" customFormat="1" ht="38.25">
      <c r="A1427" s="108" t="str">
        <f t="shared" si="44"/>
        <v>620040904 2 00 00000000</v>
      </c>
      <c r="B1427" s="226" t="s">
        <v>295</v>
      </c>
      <c r="C1427" s="199" t="s">
        <v>410</v>
      </c>
      <c r="D1427" s="199" t="s">
        <v>73</v>
      </c>
      <c r="E1427" s="199" t="s">
        <v>471</v>
      </c>
      <c r="F1427" s="199" t="s">
        <v>296</v>
      </c>
      <c r="G1427" s="198" t="s">
        <v>9</v>
      </c>
      <c r="H1427" s="32">
        <v>726166.36</v>
      </c>
      <c r="I1427" s="32">
        <v>190298.13999999996</v>
      </c>
      <c r="J1427" s="32">
        <v>208560.77999999997</v>
      </c>
      <c r="K1427" s="20"/>
      <c r="L1427" s="20"/>
      <c r="M1427" s="20"/>
      <c r="N1427" s="20"/>
      <c r="O1427" s="20"/>
      <c r="P1427" s="20"/>
      <c r="Q1427" s="17"/>
      <c r="T1427" s="20">
        <v>51966.91</v>
      </c>
      <c r="U1427" s="20">
        <v>51015.950000000004</v>
      </c>
      <c r="V1427" s="20">
        <v>51015.950000000004</v>
      </c>
      <c r="W1427" s="20">
        <f t="shared" si="45"/>
        <v>674199.45</v>
      </c>
      <c r="X1427" s="20">
        <f t="shared" si="45"/>
        <v>139282.18999999994</v>
      </c>
      <c r="Y1427" s="20">
        <f t="shared" si="45"/>
        <v>157544.82999999996</v>
      </c>
    </row>
    <row r="1428" spans="1:25" s="16" customFormat="1" ht="38.25">
      <c r="A1428" s="108" t="str">
        <f t="shared" si="44"/>
        <v>620040904 2 02 00000000</v>
      </c>
      <c r="B1428" s="197" t="s">
        <v>297</v>
      </c>
      <c r="C1428" s="199" t="s">
        <v>410</v>
      </c>
      <c r="D1428" s="199" t="s">
        <v>73</v>
      </c>
      <c r="E1428" s="199" t="s">
        <v>471</v>
      </c>
      <c r="F1428" s="199" t="s">
        <v>298</v>
      </c>
      <c r="G1428" s="198" t="s">
        <v>9</v>
      </c>
      <c r="H1428" s="32">
        <v>664096.05999999994</v>
      </c>
      <c r="I1428" s="32">
        <v>137808.30999999997</v>
      </c>
      <c r="J1428" s="32">
        <v>156070.94999999998</v>
      </c>
      <c r="K1428" s="20"/>
      <c r="L1428" s="20"/>
      <c r="M1428" s="20"/>
      <c r="N1428" s="20"/>
      <c r="O1428" s="20"/>
      <c r="P1428" s="20"/>
      <c r="Q1428" s="17"/>
      <c r="T1428" s="20">
        <v>47028.36</v>
      </c>
      <c r="U1428" s="20">
        <v>46915.950000000004</v>
      </c>
      <c r="V1428" s="20">
        <v>46915.950000000004</v>
      </c>
      <c r="W1428" s="20">
        <f t="shared" si="45"/>
        <v>617067.69999999995</v>
      </c>
      <c r="X1428" s="20">
        <f t="shared" si="45"/>
        <v>90892.359999999957</v>
      </c>
      <c r="Y1428" s="20">
        <f t="shared" si="45"/>
        <v>109154.99999999997</v>
      </c>
    </row>
    <row r="1429" spans="1:25" s="16" customFormat="1" ht="25.5">
      <c r="A1429" s="108" t="str">
        <f t="shared" si="44"/>
        <v>620040904 2 02 20130000</v>
      </c>
      <c r="B1429" s="197" t="s">
        <v>829</v>
      </c>
      <c r="C1429" s="199" t="s">
        <v>410</v>
      </c>
      <c r="D1429" s="199" t="s">
        <v>73</v>
      </c>
      <c r="E1429" s="199" t="s">
        <v>471</v>
      </c>
      <c r="F1429" s="199" t="s">
        <v>830</v>
      </c>
      <c r="G1429" s="198" t="s">
        <v>9</v>
      </c>
      <c r="H1429" s="32">
        <v>68867.349999999977</v>
      </c>
      <c r="I1429" s="32">
        <v>70362.12999999999</v>
      </c>
      <c r="J1429" s="32">
        <v>70362.12999999999</v>
      </c>
      <c r="K1429" s="20"/>
      <c r="L1429" s="20"/>
      <c r="M1429" s="20"/>
      <c r="N1429" s="20"/>
      <c r="O1429" s="20"/>
      <c r="P1429" s="20"/>
      <c r="Q1429" s="17"/>
      <c r="T1429" s="20">
        <v>4196.99</v>
      </c>
      <c r="U1429" s="20">
        <v>4084.58</v>
      </c>
      <c r="V1429" s="20">
        <v>4084.58</v>
      </c>
      <c r="W1429" s="20">
        <f t="shared" si="45"/>
        <v>64670.359999999979</v>
      </c>
      <c r="X1429" s="20">
        <f t="shared" si="45"/>
        <v>66277.549999999988</v>
      </c>
      <c r="Y1429" s="20">
        <f t="shared" si="45"/>
        <v>66277.549999999988</v>
      </c>
    </row>
    <row r="1430" spans="1:25" s="16" customFormat="1">
      <c r="A1430" s="108" t="str">
        <f t="shared" si="44"/>
        <v/>
      </c>
      <c r="B1430" s="220" t="s">
        <v>1104</v>
      </c>
      <c r="C1430" s="199"/>
      <c r="D1430" s="199"/>
      <c r="E1430" s="199"/>
      <c r="F1430" s="199"/>
      <c r="G1430" s="198"/>
      <c r="H1430" s="32"/>
      <c r="I1430" s="32"/>
      <c r="J1430" s="32"/>
      <c r="K1430" s="20"/>
      <c r="L1430" s="20"/>
      <c r="M1430" s="20"/>
      <c r="N1430" s="20"/>
      <c r="O1430" s="20"/>
      <c r="P1430" s="20"/>
      <c r="Q1430" s="17"/>
      <c r="T1430" s="20">
        <v>994.43</v>
      </c>
      <c r="U1430" s="20">
        <v>994.43</v>
      </c>
      <c r="V1430" s="20">
        <v>994.43</v>
      </c>
      <c r="W1430" s="20">
        <f t="shared" si="45"/>
        <v>-994.43</v>
      </c>
      <c r="X1430" s="20">
        <f t="shared" si="45"/>
        <v>-994.43</v>
      </c>
      <c r="Y1430" s="20">
        <f t="shared" si="45"/>
        <v>-994.43</v>
      </c>
    </row>
    <row r="1431" spans="1:25" s="16" customFormat="1">
      <c r="A1431" s="108" t="str">
        <f t="shared" si="44"/>
        <v>620040904 2 02 20130000</v>
      </c>
      <c r="B1431" s="221" t="s">
        <v>1105</v>
      </c>
      <c r="C1431" s="223" t="s">
        <v>410</v>
      </c>
      <c r="D1431" s="223" t="s">
        <v>73</v>
      </c>
      <c r="E1431" s="223" t="s">
        <v>471</v>
      </c>
      <c r="F1431" s="223" t="s">
        <v>830</v>
      </c>
      <c r="G1431" s="222" t="s">
        <v>9</v>
      </c>
      <c r="H1431" s="229">
        <v>891.4</v>
      </c>
      <c r="I1431" s="229">
        <v>0</v>
      </c>
      <c r="J1431" s="229">
        <v>0</v>
      </c>
      <c r="K1431" s="20"/>
      <c r="L1431" s="20"/>
      <c r="M1431" s="20"/>
      <c r="N1431" s="20"/>
      <c r="O1431" s="20"/>
      <c r="P1431" s="20"/>
      <c r="Q1431" s="17"/>
      <c r="T1431" s="20">
        <v>2976.2599999999998</v>
      </c>
      <c r="U1431" s="20">
        <v>2863.85</v>
      </c>
      <c r="V1431" s="20">
        <v>2863.85</v>
      </c>
      <c r="W1431" s="20">
        <f t="shared" si="45"/>
        <v>-2084.8599999999997</v>
      </c>
      <c r="X1431" s="20">
        <f t="shared" si="45"/>
        <v>-2863.85</v>
      </c>
      <c r="Y1431" s="20">
        <f t="shared" si="45"/>
        <v>-2863.85</v>
      </c>
    </row>
    <row r="1432" spans="1:25" s="16" customFormat="1" ht="25.5">
      <c r="A1432" s="108" t="str">
        <f t="shared" si="44"/>
        <v>620040904 2 02 20130240</v>
      </c>
      <c r="B1432" s="197" t="s">
        <v>28</v>
      </c>
      <c r="C1432" s="199" t="s">
        <v>410</v>
      </c>
      <c r="D1432" s="199" t="s">
        <v>73</v>
      </c>
      <c r="E1432" s="199" t="s">
        <v>471</v>
      </c>
      <c r="F1432" s="199" t="s">
        <v>830</v>
      </c>
      <c r="G1432" s="198" t="s">
        <v>29</v>
      </c>
      <c r="H1432" s="32">
        <v>68867.349999999977</v>
      </c>
      <c r="I1432" s="32">
        <v>70362.12999999999</v>
      </c>
      <c r="J1432" s="32">
        <v>70362.12999999999</v>
      </c>
      <c r="K1432" s="20"/>
      <c r="L1432" s="20"/>
      <c r="M1432" s="20"/>
      <c r="N1432" s="20"/>
      <c r="O1432" s="20"/>
      <c r="P1432" s="20"/>
      <c r="Q1432" s="17"/>
      <c r="T1432" s="20"/>
      <c r="U1432" s="20"/>
      <c r="V1432" s="20"/>
      <c r="W1432" s="20">
        <f t="shared" si="45"/>
        <v>68867.349999999977</v>
      </c>
      <c r="X1432" s="20">
        <f t="shared" si="45"/>
        <v>70362.12999999999</v>
      </c>
      <c r="Y1432" s="20">
        <f t="shared" si="45"/>
        <v>70362.12999999999</v>
      </c>
    </row>
    <row r="1433" spans="1:25" s="16" customFormat="1">
      <c r="A1433" s="108" t="str">
        <f t="shared" si="44"/>
        <v>620040904 2 02 20830000</v>
      </c>
      <c r="B1433" s="197" t="s">
        <v>833</v>
      </c>
      <c r="C1433" s="199" t="s">
        <v>410</v>
      </c>
      <c r="D1433" s="199" t="s">
        <v>73</v>
      </c>
      <c r="E1433" s="199" t="s">
        <v>471</v>
      </c>
      <c r="F1433" s="199" t="s">
        <v>834</v>
      </c>
      <c r="G1433" s="198" t="s">
        <v>9</v>
      </c>
      <c r="H1433" s="32">
        <v>2311.63</v>
      </c>
      <c r="I1433" s="32">
        <v>1350</v>
      </c>
      <c r="J1433" s="32">
        <v>1350</v>
      </c>
      <c r="K1433" s="20"/>
      <c r="L1433" s="20"/>
      <c r="M1433" s="20"/>
      <c r="N1433" s="20"/>
      <c r="O1433" s="20"/>
      <c r="P1433" s="20"/>
      <c r="Q1433" s="17"/>
      <c r="T1433" s="20">
        <v>112.41</v>
      </c>
      <c r="U1433" s="20">
        <v>0</v>
      </c>
      <c r="V1433" s="20">
        <v>0</v>
      </c>
      <c r="W1433" s="20">
        <f t="shared" si="45"/>
        <v>2199.2200000000003</v>
      </c>
      <c r="X1433" s="20">
        <f t="shared" si="45"/>
        <v>1350</v>
      </c>
      <c r="Y1433" s="20">
        <f t="shared" si="45"/>
        <v>1350</v>
      </c>
    </row>
    <row r="1434" spans="1:25" s="16" customFormat="1" ht="25.5">
      <c r="A1434" s="108" t="str">
        <f t="shared" si="44"/>
        <v>620040904 2 02 20830240</v>
      </c>
      <c r="B1434" s="197" t="s">
        <v>28</v>
      </c>
      <c r="C1434" s="199" t="s">
        <v>410</v>
      </c>
      <c r="D1434" s="199" t="s">
        <v>73</v>
      </c>
      <c r="E1434" s="199" t="s">
        <v>471</v>
      </c>
      <c r="F1434" s="199" t="s">
        <v>834</v>
      </c>
      <c r="G1434" s="198" t="s">
        <v>29</v>
      </c>
      <c r="H1434" s="32">
        <v>2311.63</v>
      </c>
      <c r="I1434" s="32">
        <v>1350</v>
      </c>
      <c r="J1434" s="32">
        <v>1350</v>
      </c>
      <c r="K1434" s="20"/>
      <c r="L1434" s="20"/>
      <c r="M1434" s="20"/>
      <c r="N1434" s="20"/>
      <c r="O1434" s="20"/>
      <c r="P1434" s="20"/>
      <c r="Q1434" s="17"/>
      <c r="T1434" s="20">
        <v>226.3</v>
      </c>
      <c r="U1434" s="20">
        <v>226.3</v>
      </c>
      <c r="V1434" s="20">
        <v>226.3</v>
      </c>
      <c r="W1434" s="20">
        <f t="shared" si="45"/>
        <v>2085.33</v>
      </c>
      <c r="X1434" s="20">
        <f t="shared" si="45"/>
        <v>1123.7</v>
      </c>
      <c r="Y1434" s="20">
        <f t="shared" si="45"/>
        <v>1123.7</v>
      </c>
    </row>
    <row r="1435" spans="1:25" s="16" customFormat="1" ht="25.5">
      <c r="A1435" s="108" t="str">
        <f t="shared" si="44"/>
        <v>620040904 2 02 21180000</v>
      </c>
      <c r="B1435" s="197" t="s">
        <v>835</v>
      </c>
      <c r="C1435" s="199" t="s">
        <v>410</v>
      </c>
      <c r="D1435" s="199" t="s">
        <v>73</v>
      </c>
      <c r="E1435" s="199" t="s">
        <v>471</v>
      </c>
      <c r="F1435" s="199" t="s">
        <v>836</v>
      </c>
      <c r="G1435" s="198" t="s">
        <v>9</v>
      </c>
      <c r="H1435" s="32">
        <v>1300</v>
      </c>
      <c r="I1435" s="32">
        <v>4435.2800000000007</v>
      </c>
      <c r="J1435" s="32">
        <v>22697.919999999998</v>
      </c>
      <c r="K1435" s="20"/>
      <c r="L1435" s="20"/>
      <c r="M1435" s="20"/>
      <c r="N1435" s="20"/>
      <c r="O1435" s="20"/>
      <c r="P1435" s="20"/>
      <c r="Q1435" s="17"/>
      <c r="T1435" s="20">
        <v>42831.37</v>
      </c>
      <c r="U1435" s="20">
        <v>42831.37</v>
      </c>
      <c r="V1435" s="20">
        <v>42831.37</v>
      </c>
      <c r="W1435" s="20">
        <f t="shared" si="45"/>
        <v>-41531.370000000003</v>
      </c>
      <c r="X1435" s="20">
        <f t="shared" si="45"/>
        <v>-38396.090000000004</v>
      </c>
      <c r="Y1435" s="20">
        <f t="shared" si="45"/>
        <v>-20133.450000000004</v>
      </c>
    </row>
    <row r="1436" spans="1:25" s="16" customFormat="1">
      <c r="A1436" s="108" t="str">
        <f t="shared" si="44"/>
        <v/>
      </c>
      <c r="B1436" s="197" t="s">
        <v>1045</v>
      </c>
      <c r="C1436" s="199"/>
      <c r="D1436" s="199"/>
      <c r="E1436" s="199"/>
      <c r="F1436" s="199"/>
      <c r="G1436" s="198"/>
      <c r="H1436" s="32"/>
      <c r="I1436" s="32"/>
      <c r="J1436" s="32"/>
      <c r="K1436" s="20"/>
      <c r="L1436" s="20"/>
      <c r="M1436" s="20"/>
      <c r="N1436" s="20"/>
      <c r="O1436" s="20"/>
      <c r="P1436" s="20"/>
      <c r="Q1436" s="17"/>
      <c r="T1436" s="20">
        <v>42831.37</v>
      </c>
      <c r="U1436" s="20">
        <v>42831.37</v>
      </c>
      <c r="V1436" s="20">
        <v>42831.37</v>
      </c>
      <c r="W1436" s="20">
        <f t="shared" si="45"/>
        <v>-42831.37</v>
      </c>
      <c r="X1436" s="20">
        <f t="shared" si="45"/>
        <v>-42831.37</v>
      </c>
      <c r="Y1436" s="20">
        <f t="shared" si="45"/>
        <v>-42831.37</v>
      </c>
    </row>
    <row r="1437" spans="1:25" s="16" customFormat="1" ht="25.5">
      <c r="A1437" s="108" t="str">
        <f t="shared" si="44"/>
        <v>620040904 2 02 21180000</v>
      </c>
      <c r="B1437" s="197" t="s">
        <v>1142</v>
      </c>
      <c r="C1437" s="199" t="s">
        <v>410</v>
      </c>
      <c r="D1437" s="199" t="s">
        <v>73</v>
      </c>
      <c r="E1437" s="199" t="s">
        <v>471</v>
      </c>
      <c r="F1437" s="199" t="s">
        <v>836</v>
      </c>
      <c r="G1437" s="198" t="s">
        <v>9</v>
      </c>
      <c r="H1437" s="210">
        <v>0</v>
      </c>
      <c r="I1437" s="32">
        <v>4435.2800000000007</v>
      </c>
      <c r="J1437" s="32">
        <v>22697.919999999998</v>
      </c>
      <c r="K1437" s="20"/>
      <c r="L1437" s="20"/>
      <c r="M1437" s="20"/>
      <c r="N1437" s="20"/>
      <c r="O1437" s="20"/>
      <c r="P1437" s="20"/>
      <c r="Q1437" s="17"/>
      <c r="T1437" s="20">
        <v>4938.55</v>
      </c>
      <c r="U1437" s="20">
        <v>4100</v>
      </c>
      <c r="V1437" s="20">
        <v>4100</v>
      </c>
      <c r="W1437" s="20">
        <f t="shared" si="45"/>
        <v>-4938.55</v>
      </c>
      <c r="X1437" s="20">
        <f t="shared" si="45"/>
        <v>335.28000000000065</v>
      </c>
      <c r="Y1437" s="20">
        <f t="shared" si="45"/>
        <v>18597.919999999998</v>
      </c>
    </row>
    <row r="1438" spans="1:25" s="16" customFormat="1" ht="38.25">
      <c r="A1438" s="108" t="str">
        <f t="shared" si="44"/>
        <v>620040904 2 02 21180000</v>
      </c>
      <c r="B1438" s="324" t="s">
        <v>1328</v>
      </c>
      <c r="C1438" s="199" t="s">
        <v>410</v>
      </c>
      <c r="D1438" s="199" t="s">
        <v>73</v>
      </c>
      <c r="E1438" s="199" t="s">
        <v>471</v>
      </c>
      <c r="F1438" s="199" t="s">
        <v>836</v>
      </c>
      <c r="G1438" s="198" t="s">
        <v>9</v>
      </c>
      <c r="H1438" s="32">
        <v>1300</v>
      </c>
      <c r="I1438" s="32">
        <v>0</v>
      </c>
      <c r="J1438" s="32">
        <v>0</v>
      </c>
      <c r="K1438" s="20"/>
      <c r="L1438" s="20"/>
      <c r="M1438" s="20"/>
      <c r="N1438" s="20"/>
      <c r="O1438" s="20"/>
      <c r="P1438" s="20"/>
      <c r="Q1438" s="17"/>
      <c r="T1438" s="20">
        <v>600</v>
      </c>
      <c r="U1438" s="20">
        <v>600</v>
      </c>
      <c r="V1438" s="20">
        <v>600</v>
      </c>
      <c r="W1438" s="20">
        <f t="shared" si="45"/>
        <v>700</v>
      </c>
      <c r="X1438" s="20">
        <f t="shared" si="45"/>
        <v>-600</v>
      </c>
      <c r="Y1438" s="20">
        <f t="shared" si="45"/>
        <v>-600</v>
      </c>
    </row>
    <row r="1439" spans="1:25" s="16" customFormat="1">
      <c r="A1439" s="108" t="str">
        <f t="shared" si="44"/>
        <v>620040904 2 02 21180410</v>
      </c>
      <c r="B1439" s="231" t="s">
        <v>837</v>
      </c>
      <c r="C1439" s="233" t="s">
        <v>410</v>
      </c>
      <c r="D1439" s="233" t="s">
        <v>73</v>
      </c>
      <c r="E1439" s="233" t="s">
        <v>471</v>
      </c>
      <c r="F1439" s="233" t="s">
        <v>836</v>
      </c>
      <c r="G1439" s="232" t="s">
        <v>838</v>
      </c>
      <c r="H1439" s="274">
        <v>1300</v>
      </c>
      <c r="I1439" s="274">
        <v>4435.2800000000007</v>
      </c>
      <c r="J1439" s="274">
        <v>22697.919999999998</v>
      </c>
      <c r="K1439" s="20"/>
      <c r="L1439" s="20"/>
      <c r="M1439" s="20"/>
      <c r="N1439" s="20"/>
      <c r="O1439" s="20"/>
      <c r="P1439" s="20"/>
      <c r="Q1439" s="17"/>
      <c r="T1439" s="20">
        <v>150</v>
      </c>
      <c r="U1439" s="20">
        <v>150</v>
      </c>
      <c r="V1439" s="20">
        <v>150</v>
      </c>
      <c r="W1439" s="20">
        <f t="shared" si="45"/>
        <v>1150</v>
      </c>
      <c r="X1439" s="20">
        <f t="shared" si="45"/>
        <v>4285.2800000000007</v>
      </c>
      <c r="Y1439" s="20">
        <f t="shared" si="45"/>
        <v>22547.919999999998</v>
      </c>
    </row>
    <row r="1440" spans="1:25" s="16" customFormat="1" ht="63.75">
      <c r="A1440" s="108" t="str">
        <f t="shared" si="44"/>
        <v>620040904 2 02 21410000</v>
      </c>
      <c r="B1440" s="197" t="s">
        <v>1075</v>
      </c>
      <c r="C1440" s="198" t="s">
        <v>410</v>
      </c>
      <c r="D1440" s="199" t="s">
        <v>73</v>
      </c>
      <c r="E1440" s="199" t="s">
        <v>471</v>
      </c>
      <c r="F1440" s="199" t="s">
        <v>1076</v>
      </c>
      <c r="G1440" s="199" t="s">
        <v>9</v>
      </c>
      <c r="H1440" s="20">
        <v>3.93</v>
      </c>
      <c r="I1440" s="20">
        <v>0</v>
      </c>
      <c r="J1440" s="20">
        <v>0</v>
      </c>
      <c r="K1440" s="20"/>
      <c r="L1440" s="20"/>
      <c r="M1440" s="20"/>
      <c r="N1440" s="20"/>
      <c r="O1440" s="20"/>
      <c r="P1440" s="20"/>
      <c r="Q1440" s="17"/>
      <c r="T1440" s="20">
        <v>450</v>
      </c>
      <c r="U1440" s="20">
        <v>450</v>
      </c>
      <c r="V1440" s="20">
        <v>450</v>
      </c>
      <c r="W1440" s="20">
        <f t="shared" si="45"/>
        <v>-446.07</v>
      </c>
      <c r="X1440" s="20">
        <f t="shared" si="45"/>
        <v>-450</v>
      </c>
      <c r="Y1440" s="20">
        <f t="shared" si="45"/>
        <v>-450</v>
      </c>
    </row>
    <row r="1441" spans="1:25" s="16" customFormat="1">
      <c r="A1441" s="108" t="str">
        <f t="shared" si="44"/>
        <v/>
      </c>
      <c r="B1441" s="220" t="s">
        <v>1104</v>
      </c>
      <c r="C1441" s="198"/>
      <c r="D1441" s="199"/>
      <c r="E1441" s="199"/>
      <c r="F1441" s="199"/>
      <c r="G1441" s="199"/>
      <c r="H1441" s="20"/>
      <c r="I1441" s="20"/>
      <c r="J1441" s="20"/>
      <c r="K1441" s="20"/>
      <c r="L1441" s="20"/>
      <c r="M1441" s="20"/>
      <c r="N1441" s="20"/>
      <c r="O1441" s="20"/>
      <c r="P1441" s="20"/>
      <c r="Q1441" s="17"/>
      <c r="T1441" s="20">
        <v>4338.55</v>
      </c>
      <c r="U1441" s="20">
        <v>3500</v>
      </c>
      <c r="V1441" s="20">
        <v>3500</v>
      </c>
      <c r="W1441" s="20">
        <f t="shared" si="45"/>
        <v>-4338.55</v>
      </c>
      <c r="X1441" s="20">
        <f t="shared" si="45"/>
        <v>-3500</v>
      </c>
      <c r="Y1441" s="20">
        <f t="shared" si="45"/>
        <v>-3500</v>
      </c>
    </row>
    <row r="1442" spans="1:25" s="16" customFormat="1">
      <c r="A1442" s="108" t="str">
        <f t="shared" si="44"/>
        <v>620040904 2 02 21410000</v>
      </c>
      <c r="B1442" s="318" t="s">
        <v>1105</v>
      </c>
      <c r="C1442" s="322" t="s">
        <v>410</v>
      </c>
      <c r="D1442" s="319" t="s">
        <v>73</v>
      </c>
      <c r="E1442" s="319" t="s">
        <v>471</v>
      </c>
      <c r="F1442" s="319" t="s">
        <v>1076</v>
      </c>
      <c r="G1442" s="319" t="s">
        <v>9</v>
      </c>
      <c r="H1442" s="320">
        <v>3.93</v>
      </c>
      <c r="I1442" s="320">
        <v>0</v>
      </c>
      <c r="J1442" s="320">
        <v>0</v>
      </c>
      <c r="K1442" s="20"/>
      <c r="L1442" s="20"/>
      <c r="M1442" s="20"/>
      <c r="N1442" s="20"/>
      <c r="O1442" s="20"/>
      <c r="P1442" s="20"/>
      <c r="Q1442" s="17"/>
      <c r="T1442" s="20"/>
      <c r="U1442" s="20"/>
      <c r="V1442" s="20"/>
      <c r="W1442" s="20">
        <f t="shared" si="45"/>
        <v>3.93</v>
      </c>
      <c r="X1442" s="20">
        <f t="shared" si="45"/>
        <v>0</v>
      </c>
      <c r="Y1442" s="20">
        <f t="shared" si="45"/>
        <v>0</v>
      </c>
    </row>
    <row r="1443" spans="1:25" s="16" customFormat="1" ht="25.5">
      <c r="A1443" s="108" t="str">
        <f t="shared" si="44"/>
        <v>620040904 2 02 21410240</v>
      </c>
      <c r="B1443" s="197" t="s">
        <v>28</v>
      </c>
      <c r="C1443" s="198" t="s">
        <v>410</v>
      </c>
      <c r="D1443" s="199" t="s">
        <v>73</v>
      </c>
      <c r="E1443" s="199" t="s">
        <v>471</v>
      </c>
      <c r="F1443" s="199" t="s">
        <v>1076</v>
      </c>
      <c r="G1443" s="199" t="s">
        <v>29</v>
      </c>
      <c r="H1443" s="20">
        <v>3.93</v>
      </c>
      <c r="I1443" s="20">
        <v>0</v>
      </c>
      <c r="J1443" s="20">
        <v>0</v>
      </c>
      <c r="K1443" s="20"/>
      <c r="L1443" s="20"/>
      <c r="M1443" s="20"/>
      <c r="N1443" s="20"/>
      <c r="O1443" s="20"/>
      <c r="P1443" s="20"/>
      <c r="Q1443" s="17"/>
      <c r="T1443" s="20">
        <v>838.55</v>
      </c>
      <c r="U1443" s="20">
        <v>0</v>
      </c>
      <c r="V1443" s="20">
        <v>0</v>
      </c>
      <c r="W1443" s="20">
        <f t="shared" si="45"/>
        <v>-834.62</v>
      </c>
      <c r="X1443" s="20">
        <f t="shared" si="45"/>
        <v>0</v>
      </c>
      <c r="Y1443" s="20">
        <f t="shared" si="45"/>
        <v>0</v>
      </c>
    </row>
    <row r="1444" spans="1:25" s="16" customFormat="1" ht="63.75">
      <c r="A1444" s="108" t="str">
        <f t="shared" si="44"/>
        <v>620040904 2 02 60090000</v>
      </c>
      <c r="B1444" s="197" t="s">
        <v>845</v>
      </c>
      <c r="C1444" s="198" t="s">
        <v>410</v>
      </c>
      <c r="D1444" s="199" t="s">
        <v>73</v>
      </c>
      <c r="E1444" s="199" t="s">
        <v>471</v>
      </c>
      <c r="F1444" s="230" t="s">
        <v>846</v>
      </c>
      <c r="G1444" s="198" t="s">
        <v>9</v>
      </c>
      <c r="H1444" s="32">
        <v>17461.53</v>
      </c>
      <c r="I1444" s="32">
        <v>26441.059999999998</v>
      </c>
      <c r="J1444" s="32">
        <v>26441.059999999998</v>
      </c>
      <c r="K1444" s="20"/>
      <c r="L1444" s="20"/>
      <c r="M1444" s="20"/>
      <c r="N1444" s="20"/>
      <c r="O1444" s="20"/>
      <c r="P1444" s="20"/>
      <c r="Q1444" s="17"/>
      <c r="T1444" s="20">
        <v>4338.55</v>
      </c>
      <c r="U1444" s="20">
        <v>3500</v>
      </c>
      <c r="V1444" s="20">
        <v>3500</v>
      </c>
      <c r="W1444" s="20">
        <f t="shared" si="45"/>
        <v>13122.98</v>
      </c>
      <c r="X1444" s="20">
        <f t="shared" si="45"/>
        <v>22941.059999999998</v>
      </c>
      <c r="Y1444" s="20">
        <f t="shared" si="45"/>
        <v>22941.059999999998</v>
      </c>
    </row>
    <row r="1445" spans="1:25" s="16" customFormat="1">
      <c r="A1445" s="108" t="str">
        <f t="shared" si="44"/>
        <v/>
      </c>
      <c r="B1445" s="220" t="s">
        <v>1104</v>
      </c>
      <c r="C1445" s="198"/>
      <c r="D1445" s="199"/>
      <c r="E1445" s="199"/>
      <c r="F1445" s="230"/>
      <c r="G1445" s="198"/>
      <c r="H1445" s="32"/>
      <c r="I1445" s="32"/>
      <c r="J1445" s="32"/>
      <c r="K1445" s="18"/>
      <c r="L1445" s="18"/>
      <c r="M1445" s="18"/>
      <c r="N1445" s="18"/>
      <c r="O1445" s="18"/>
      <c r="P1445" s="18"/>
      <c r="Q1445" s="17"/>
      <c r="T1445" s="18">
        <v>10102.08</v>
      </c>
      <c r="U1445" s="18">
        <v>9588.2999999999993</v>
      </c>
      <c r="V1445" s="18">
        <v>9588.2999999999993</v>
      </c>
      <c r="W1445" s="18">
        <f t="shared" si="45"/>
        <v>-10102.08</v>
      </c>
      <c r="X1445" s="18">
        <f t="shared" si="45"/>
        <v>-9588.2999999999993</v>
      </c>
      <c r="Y1445" s="18">
        <f t="shared" si="45"/>
        <v>-9588.2999999999993</v>
      </c>
    </row>
    <row r="1446" spans="1:25" s="16" customFormat="1">
      <c r="A1446" s="108" t="str">
        <f t="shared" si="44"/>
        <v>620040904 2 02 60090000</v>
      </c>
      <c r="B1446" s="221" t="s">
        <v>1105</v>
      </c>
      <c r="C1446" s="222" t="s">
        <v>410</v>
      </c>
      <c r="D1446" s="223" t="s">
        <v>73</v>
      </c>
      <c r="E1446" s="223" t="s">
        <v>471</v>
      </c>
      <c r="F1446" s="276" t="s">
        <v>846</v>
      </c>
      <c r="G1446" s="222" t="s">
        <v>9</v>
      </c>
      <c r="H1446" s="229">
        <v>200.91</v>
      </c>
      <c r="I1446" s="229">
        <v>0</v>
      </c>
      <c r="J1446" s="229">
        <v>0</v>
      </c>
      <c r="K1446" s="19"/>
      <c r="L1446" s="19"/>
      <c r="M1446" s="19"/>
      <c r="N1446" s="19"/>
      <c r="O1446" s="19"/>
      <c r="P1446" s="19"/>
      <c r="Q1446" s="17"/>
      <c r="T1446" s="19">
        <v>10102.08</v>
      </c>
      <c r="U1446" s="19">
        <v>9588.2999999999993</v>
      </c>
      <c r="V1446" s="19">
        <v>9588.2999999999993</v>
      </c>
      <c r="W1446" s="19">
        <f t="shared" si="45"/>
        <v>-9901.17</v>
      </c>
      <c r="X1446" s="19">
        <f t="shared" si="45"/>
        <v>-9588.2999999999993</v>
      </c>
      <c r="Y1446" s="19">
        <f t="shared" si="45"/>
        <v>-9588.2999999999993</v>
      </c>
    </row>
    <row r="1447" spans="1:25" s="16" customFormat="1" ht="38.25">
      <c r="A1447" s="108" t="str">
        <f t="shared" si="44"/>
        <v>620040904 2 02 60090810</v>
      </c>
      <c r="B1447" s="277" t="s">
        <v>203</v>
      </c>
      <c r="C1447" s="198" t="s">
        <v>410</v>
      </c>
      <c r="D1447" s="199" t="s">
        <v>73</v>
      </c>
      <c r="E1447" s="199" t="s">
        <v>471</v>
      </c>
      <c r="F1447" s="230" t="s">
        <v>846</v>
      </c>
      <c r="G1447" s="198" t="s">
        <v>204</v>
      </c>
      <c r="H1447" s="32">
        <v>17461.53</v>
      </c>
      <c r="I1447" s="32">
        <v>26441.059999999998</v>
      </c>
      <c r="J1447" s="32">
        <v>26441.059999999998</v>
      </c>
      <c r="K1447" s="32"/>
      <c r="L1447" s="32"/>
      <c r="M1447" s="32"/>
      <c r="N1447" s="32"/>
      <c r="O1447" s="32"/>
      <c r="P1447" s="32"/>
      <c r="Q1447" s="17"/>
      <c r="T1447" s="32">
        <v>5102.08</v>
      </c>
      <c r="U1447" s="32">
        <v>9488.2999999999993</v>
      </c>
      <c r="V1447" s="32">
        <v>9488.2999999999993</v>
      </c>
      <c r="W1447" s="32">
        <f t="shared" si="45"/>
        <v>12359.449999999999</v>
      </c>
      <c r="X1447" s="32">
        <f t="shared" si="45"/>
        <v>16952.759999999998</v>
      </c>
      <c r="Y1447" s="32">
        <f t="shared" si="45"/>
        <v>16952.759999999998</v>
      </c>
    </row>
    <row r="1448" spans="1:25" s="16" customFormat="1" ht="38.25">
      <c r="A1448" s="108" t="str">
        <f t="shared" si="44"/>
        <v>620040904 2 02 76411000</v>
      </c>
      <c r="B1448" s="277" t="s">
        <v>1329</v>
      </c>
      <c r="C1448" s="198" t="s">
        <v>410</v>
      </c>
      <c r="D1448" s="199" t="s">
        <v>73</v>
      </c>
      <c r="E1448" s="199" t="s">
        <v>471</v>
      </c>
      <c r="F1448" s="230" t="s">
        <v>1330</v>
      </c>
      <c r="G1448" s="198" t="s">
        <v>9</v>
      </c>
      <c r="H1448" s="32">
        <v>44410.99</v>
      </c>
      <c r="I1448" s="32">
        <v>18688.990000000002</v>
      </c>
      <c r="J1448" s="32">
        <v>18688.990000000002</v>
      </c>
      <c r="K1448" s="32"/>
      <c r="L1448" s="32"/>
      <c r="M1448" s="32"/>
      <c r="N1448" s="32"/>
      <c r="O1448" s="32"/>
      <c r="P1448" s="32"/>
      <c r="Q1448" s="17"/>
      <c r="T1448" s="32">
        <v>5102.08</v>
      </c>
      <c r="U1448" s="32">
        <v>9488.2999999999993</v>
      </c>
      <c r="V1448" s="32">
        <v>9488.2999999999993</v>
      </c>
      <c r="W1448" s="32">
        <f t="shared" si="45"/>
        <v>39308.909999999996</v>
      </c>
      <c r="X1448" s="32">
        <f t="shared" si="45"/>
        <v>9200.6900000000023</v>
      </c>
      <c r="Y1448" s="32">
        <f t="shared" si="45"/>
        <v>9200.6900000000023</v>
      </c>
    </row>
    <row r="1449" spans="1:25" s="16" customFormat="1" ht="25.5">
      <c r="A1449" s="108" t="str">
        <f t="shared" si="44"/>
        <v>620040904 2 02 76411240</v>
      </c>
      <c r="B1449" s="197" t="s">
        <v>28</v>
      </c>
      <c r="C1449" s="198" t="s">
        <v>410</v>
      </c>
      <c r="D1449" s="199" t="s">
        <v>73</v>
      </c>
      <c r="E1449" s="199" t="s">
        <v>471</v>
      </c>
      <c r="F1449" s="230" t="s">
        <v>1330</v>
      </c>
      <c r="G1449" s="198" t="s">
        <v>29</v>
      </c>
      <c r="H1449" s="32">
        <v>44410.99</v>
      </c>
      <c r="I1449" s="32">
        <v>18688.990000000002</v>
      </c>
      <c r="J1449" s="32">
        <v>18688.990000000002</v>
      </c>
      <c r="K1449" s="32"/>
      <c r="L1449" s="32"/>
      <c r="M1449" s="32"/>
      <c r="N1449" s="32"/>
      <c r="O1449" s="32"/>
      <c r="P1449" s="32"/>
      <c r="Q1449" s="17"/>
      <c r="T1449" s="32">
        <v>4702.08</v>
      </c>
      <c r="U1449" s="32">
        <v>9488.2999999999993</v>
      </c>
      <c r="V1449" s="32">
        <v>9488.2999999999993</v>
      </c>
      <c r="W1449" s="32">
        <f t="shared" si="45"/>
        <v>39708.909999999996</v>
      </c>
      <c r="X1449" s="32">
        <f t="shared" si="45"/>
        <v>9200.6900000000023</v>
      </c>
      <c r="Y1449" s="32">
        <f t="shared" si="45"/>
        <v>9200.6900000000023</v>
      </c>
    </row>
    <row r="1450" spans="1:25" s="16" customFormat="1" ht="38.25">
      <c r="A1450" s="108" t="str">
        <f t="shared" si="44"/>
        <v>620040904 2 02 76412000</v>
      </c>
      <c r="B1450" s="197" t="s">
        <v>1331</v>
      </c>
      <c r="C1450" s="198" t="s">
        <v>410</v>
      </c>
      <c r="D1450" s="199" t="s">
        <v>73</v>
      </c>
      <c r="E1450" s="199" t="s">
        <v>471</v>
      </c>
      <c r="F1450" s="230" t="s">
        <v>1332</v>
      </c>
      <c r="G1450" s="198" t="s">
        <v>9</v>
      </c>
      <c r="H1450" s="32">
        <v>6350</v>
      </c>
      <c r="I1450" s="32">
        <v>0</v>
      </c>
      <c r="J1450" s="32">
        <v>0</v>
      </c>
      <c r="K1450" s="32"/>
      <c r="L1450" s="32"/>
      <c r="M1450" s="32"/>
      <c r="N1450" s="32"/>
      <c r="O1450" s="32"/>
      <c r="P1450" s="32"/>
      <c r="Q1450" s="17"/>
      <c r="T1450" s="32">
        <v>4702.08</v>
      </c>
      <c r="U1450" s="32">
        <v>9488.2999999999993</v>
      </c>
      <c r="V1450" s="32">
        <v>9488.2999999999993</v>
      </c>
      <c r="W1450" s="32">
        <f t="shared" si="45"/>
        <v>1647.92</v>
      </c>
      <c r="X1450" s="32">
        <f t="shared" si="45"/>
        <v>-9488.2999999999993</v>
      </c>
      <c r="Y1450" s="32">
        <f t="shared" si="45"/>
        <v>-9488.2999999999993</v>
      </c>
    </row>
    <row r="1451" spans="1:25" s="16" customFormat="1" ht="25.5">
      <c r="A1451" s="108" t="str">
        <f t="shared" si="44"/>
        <v>620040904 2 02 76412240</v>
      </c>
      <c r="B1451" s="197" t="s">
        <v>28</v>
      </c>
      <c r="C1451" s="198" t="s">
        <v>410</v>
      </c>
      <c r="D1451" s="199" t="s">
        <v>73</v>
      </c>
      <c r="E1451" s="199" t="s">
        <v>471</v>
      </c>
      <c r="F1451" s="230" t="s">
        <v>1332</v>
      </c>
      <c r="G1451" s="198" t="s">
        <v>29</v>
      </c>
      <c r="H1451" s="32">
        <v>6350</v>
      </c>
      <c r="I1451" s="32">
        <v>0</v>
      </c>
      <c r="J1451" s="32">
        <v>0</v>
      </c>
      <c r="K1451" s="32"/>
      <c r="L1451" s="32"/>
      <c r="M1451" s="32"/>
      <c r="N1451" s="32"/>
      <c r="O1451" s="32"/>
      <c r="P1451" s="32"/>
      <c r="Q1451" s="17"/>
      <c r="T1451" s="32"/>
      <c r="U1451" s="32"/>
      <c r="V1451" s="32"/>
      <c r="W1451" s="32">
        <f t="shared" si="45"/>
        <v>6350</v>
      </c>
      <c r="X1451" s="32">
        <f t="shared" si="45"/>
        <v>0</v>
      </c>
      <c r="Y1451" s="32">
        <f t="shared" si="45"/>
        <v>0</v>
      </c>
    </row>
    <row r="1452" spans="1:25" s="16" customFormat="1" ht="114.75">
      <c r="A1452" s="108" t="str">
        <f t="shared" si="44"/>
        <v>620040904 2 02 76414000</v>
      </c>
      <c r="B1452" s="207" t="s">
        <v>1333</v>
      </c>
      <c r="C1452" s="198" t="s">
        <v>410</v>
      </c>
      <c r="D1452" s="199" t="s">
        <v>73</v>
      </c>
      <c r="E1452" s="199" t="s">
        <v>471</v>
      </c>
      <c r="F1452" s="230" t="s">
        <v>1334</v>
      </c>
      <c r="G1452" s="198" t="s">
        <v>9</v>
      </c>
      <c r="H1452" s="32">
        <v>19287.71</v>
      </c>
      <c r="I1452" s="32">
        <v>0</v>
      </c>
      <c r="J1452" s="32">
        <v>0</v>
      </c>
      <c r="K1452" s="32"/>
      <c r="L1452" s="32"/>
      <c r="M1452" s="32"/>
      <c r="N1452" s="32"/>
      <c r="O1452" s="32"/>
      <c r="P1452" s="32"/>
      <c r="Q1452" s="17"/>
      <c r="T1452" s="32">
        <v>299.08</v>
      </c>
      <c r="U1452" s="32">
        <v>0</v>
      </c>
      <c r="V1452" s="32">
        <v>0</v>
      </c>
      <c r="W1452" s="32">
        <f t="shared" si="45"/>
        <v>18988.629999999997</v>
      </c>
      <c r="X1452" s="32">
        <f t="shared" si="45"/>
        <v>0</v>
      </c>
      <c r="Y1452" s="32">
        <f t="shared" si="45"/>
        <v>0</v>
      </c>
    </row>
    <row r="1453" spans="1:25" s="16" customFormat="1" ht="25.5">
      <c r="A1453" s="108" t="str">
        <f t="shared" si="44"/>
        <v>620040904 2 02 76414240</v>
      </c>
      <c r="B1453" s="197" t="s">
        <v>28</v>
      </c>
      <c r="C1453" s="198" t="s">
        <v>410</v>
      </c>
      <c r="D1453" s="199" t="s">
        <v>73</v>
      </c>
      <c r="E1453" s="199" t="s">
        <v>471</v>
      </c>
      <c r="F1453" s="230" t="s">
        <v>1334</v>
      </c>
      <c r="G1453" s="198" t="s">
        <v>29</v>
      </c>
      <c r="H1453" s="32">
        <v>19287.71</v>
      </c>
      <c r="I1453" s="32">
        <v>0</v>
      </c>
      <c r="J1453" s="32">
        <v>0</v>
      </c>
      <c r="K1453" s="32"/>
      <c r="L1453" s="32"/>
      <c r="M1453" s="32"/>
      <c r="N1453" s="32"/>
      <c r="O1453" s="32"/>
      <c r="P1453" s="32"/>
      <c r="Q1453" s="17"/>
      <c r="T1453" s="32">
        <v>4702.08</v>
      </c>
      <c r="U1453" s="32">
        <v>9488.2999999999993</v>
      </c>
      <c r="V1453" s="32">
        <v>9488.2999999999993</v>
      </c>
      <c r="W1453" s="32">
        <f t="shared" si="45"/>
        <v>14585.63</v>
      </c>
      <c r="X1453" s="32">
        <f t="shared" si="45"/>
        <v>-9488.2999999999993</v>
      </c>
      <c r="Y1453" s="32">
        <f t="shared" si="45"/>
        <v>-9488.2999999999993</v>
      </c>
    </row>
    <row r="1454" spans="1:25" s="16" customFormat="1" ht="25.5">
      <c r="A1454" s="108" t="str">
        <f t="shared" si="44"/>
        <v>620040904 2 02 76460000</v>
      </c>
      <c r="B1454" s="197" t="s">
        <v>1335</v>
      </c>
      <c r="C1454" s="198" t="s">
        <v>410</v>
      </c>
      <c r="D1454" s="199" t="s">
        <v>73</v>
      </c>
      <c r="E1454" s="199" t="s">
        <v>471</v>
      </c>
      <c r="F1454" s="230" t="s">
        <v>1336</v>
      </c>
      <c r="G1454" s="198" t="s">
        <v>9</v>
      </c>
      <c r="H1454" s="32">
        <v>285923.8</v>
      </c>
      <c r="I1454" s="32">
        <v>0</v>
      </c>
      <c r="J1454" s="32">
        <v>0</v>
      </c>
      <c r="K1454" s="32"/>
      <c r="L1454" s="32"/>
      <c r="M1454" s="32"/>
      <c r="N1454" s="32"/>
      <c r="O1454" s="32"/>
      <c r="P1454" s="32"/>
      <c r="Q1454" s="17"/>
      <c r="T1454" s="32">
        <v>400</v>
      </c>
      <c r="U1454" s="32">
        <v>0</v>
      </c>
      <c r="V1454" s="32">
        <v>0</v>
      </c>
      <c r="W1454" s="32">
        <f t="shared" si="45"/>
        <v>285523.8</v>
      </c>
      <c r="X1454" s="32">
        <f t="shared" si="45"/>
        <v>0</v>
      </c>
      <c r="Y1454" s="32">
        <f t="shared" si="45"/>
        <v>0</v>
      </c>
    </row>
    <row r="1455" spans="1:25" s="16" customFormat="1" ht="25.5">
      <c r="A1455" s="108" t="str">
        <f t="shared" si="44"/>
        <v>620040904 2 02 76460240</v>
      </c>
      <c r="B1455" s="197" t="s">
        <v>28</v>
      </c>
      <c r="C1455" s="198" t="s">
        <v>410</v>
      </c>
      <c r="D1455" s="199" t="s">
        <v>73</v>
      </c>
      <c r="E1455" s="199" t="s">
        <v>471</v>
      </c>
      <c r="F1455" s="230" t="s">
        <v>1336</v>
      </c>
      <c r="G1455" s="198" t="s">
        <v>29</v>
      </c>
      <c r="H1455" s="32">
        <v>285923.8</v>
      </c>
      <c r="I1455" s="32">
        <v>0</v>
      </c>
      <c r="J1455" s="32">
        <v>0</v>
      </c>
      <c r="K1455" s="32"/>
      <c r="L1455" s="32"/>
      <c r="M1455" s="32"/>
      <c r="N1455" s="32"/>
      <c r="O1455" s="32"/>
      <c r="P1455" s="32"/>
      <c r="Q1455" s="17"/>
      <c r="T1455" s="32">
        <v>400</v>
      </c>
      <c r="U1455" s="32">
        <v>0</v>
      </c>
      <c r="V1455" s="32">
        <v>0</v>
      </c>
      <c r="W1455" s="32">
        <f t="shared" si="45"/>
        <v>285523.8</v>
      </c>
      <c r="X1455" s="32">
        <f t="shared" si="45"/>
        <v>0</v>
      </c>
      <c r="Y1455" s="32">
        <f t="shared" si="45"/>
        <v>0</v>
      </c>
    </row>
    <row r="1456" spans="1:25" s="16" customFormat="1" ht="25.5">
      <c r="A1456" s="108" t="str">
        <f t="shared" si="44"/>
        <v>620040904 2 02 76490000</v>
      </c>
      <c r="B1456" s="324" t="s">
        <v>1337</v>
      </c>
      <c r="C1456" s="245" t="s">
        <v>410</v>
      </c>
      <c r="D1456" s="246" t="s">
        <v>73</v>
      </c>
      <c r="E1456" s="246" t="s">
        <v>471</v>
      </c>
      <c r="F1456" s="330" t="s">
        <v>1338</v>
      </c>
      <c r="G1456" s="245" t="s">
        <v>9</v>
      </c>
      <c r="H1456" s="331">
        <v>186000</v>
      </c>
      <c r="I1456" s="331">
        <v>0</v>
      </c>
      <c r="J1456" s="331">
        <v>0</v>
      </c>
      <c r="K1456" s="32"/>
      <c r="L1456" s="32"/>
      <c r="M1456" s="32"/>
      <c r="N1456" s="32"/>
      <c r="O1456" s="32"/>
      <c r="P1456" s="32"/>
      <c r="Q1456" s="17"/>
      <c r="T1456" s="32">
        <v>400</v>
      </c>
      <c r="U1456" s="32">
        <v>0</v>
      </c>
      <c r="V1456" s="32">
        <v>0</v>
      </c>
      <c r="W1456" s="32">
        <f t="shared" si="45"/>
        <v>185600</v>
      </c>
      <c r="X1456" s="32">
        <f t="shared" si="45"/>
        <v>0</v>
      </c>
      <c r="Y1456" s="32">
        <f t="shared" si="45"/>
        <v>0</v>
      </c>
    </row>
    <row r="1457" spans="1:25" s="16" customFormat="1">
      <c r="A1457" s="108" t="str">
        <f t="shared" si="44"/>
        <v/>
      </c>
      <c r="B1457" s="324" t="s">
        <v>1045</v>
      </c>
      <c r="C1457" s="245"/>
      <c r="D1457" s="246"/>
      <c r="E1457" s="246"/>
      <c r="F1457" s="330"/>
      <c r="G1457" s="245"/>
      <c r="H1457" s="331"/>
      <c r="I1457" s="331"/>
      <c r="J1457" s="331"/>
      <c r="K1457" s="20"/>
      <c r="L1457" s="20"/>
      <c r="M1457" s="20"/>
      <c r="N1457" s="20"/>
      <c r="O1457" s="20"/>
      <c r="P1457" s="20"/>
      <c r="Q1457" s="17"/>
      <c r="T1457" s="20">
        <v>5000</v>
      </c>
      <c r="U1457" s="20">
        <v>100</v>
      </c>
      <c r="V1457" s="20">
        <v>100</v>
      </c>
      <c r="W1457" s="20">
        <f t="shared" si="45"/>
        <v>-5000</v>
      </c>
      <c r="X1457" s="20">
        <f t="shared" si="45"/>
        <v>-100</v>
      </c>
      <c r="Y1457" s="20">
        <f t="shared" si="45"/>
        <v>-100</v>
      </c>
    </row>
    <row r="1458" spans="1:25" s="16" customFormat="1" ht="25.5">
      <c r="A1458" s="108" t="str">
        <f t="shared" si="44"/>
        <v>620040904 2 02 76490000</v>
      </c>
      <c r="B1458" s="324" t="s">
        <v>1339</v>
      </c>
      <c r="C1458" s="245" t="s">
        <v>410</v>
      </c>
      <c r="D1458" s="246" t="s">
        <v>73</v>
      </c>
      <c r="E1458" s="246" t="s">
        <v>471</v>
      </c>
      <c r="F1458" s="330" t="s">
        <v>1338</v>
      </c>
      <c r="G1458" s="245" t="s">
        <v>9</v>
      </c>
      <c r="H1458" s="331">
        <v>186000</v>
      </c>
      <c r="I1458" s="331">
        <v>0</v>
      </c>
      <c r="J1458" s="331">
        <v>0</v>
      </c>
      <c r="K1458" s="20"/>
      <c r="L1458" s="20"/>
      <c r="M1458" s="20"/>
      <c r="N1458" s="20"/>
      <c r="O1458" s="20"/>
      <c r="P1458" s="20"/>
      <c r="Q1458" s="17"/>
      <c r="T1458" s="20">
        <v>5000</v>
      </c>
      <c r="U1458" s="20">
        <v>100</v>
      </c>
      <c r="V1458" s="20">
        <v>100</v>
      </c>
      <c r="W1458" s="20">
        <f t="shared" si="45"/>
        <v>181000</v>
      </c>
      <c r="X1458" s="20">
        <f t="shared" si="45"/>
        <v>-100</v>
      </c>
      <c r="Y1458" s="20">
        <f t="shared" si="45"/>
        <v>-100</v>
      </c>
    </row>
    <row r="1459" spans="1:25" s="16" customFormat="1">
      <c r="A1459" s="108" t="str">
        <f t="shared" si="44"/>
        <v>620040904 2 02 76490410</v>
      </c>
      <c r="B1459" s="332" t="s">
        <v>837</v>
      </c>
      <c r="C1459" s="333" t="s">
        <v>410</v>
      </c>
      <c r="D1459" s="334" t="s">
        <v>73</v>
      </c>
      <c r="E1459" s="334" t="s">
        <v>471</v>
      </c>
      <c r="F1459" s="335" t="s">
        <v>1338</v>
      </c>
      <c r="G1459" s="333" t="s">
        <v>838</v>
      </c>
      <c r="H1459" s="336">
        <v>186000</v>
      </c>
      <c r="I1459" s="336">
        <v>0</v>
      </c>
      <c r="J1459" s="336">
        <v>0</v>
      </c>
      <c r="K1459" s="20"/>
      <c r="L1459" s="20"/>
      <c r="M1459" s="20"/>
      <c r="N1459" s="20"/>
      <c r="O1459" s="20"/>
      <c r="P1459" s="20"/>
      <c r="Q1459" s="17"/>
      <c r="T1459" s="20">
        <v>5000</v>
      </c>
      <c r="U1459" s="20">
        <v>100</v>
      </c>
      <c r="V1459" s="20">
        <v>100</v>
      </c>
      <c r="W1459" s="20">
        <f t="shared" si="45"/>
        <v>181000</v>
      </c>
      <c r="X1459" s="20">
        <f t="shared" si="45"/>
        <v>-100</v>
      </c>
      <c r="Y1459" s="20">
        <f t="shared" si="45"/>
        <v>-100</v>
      </c>
    </row>
    <row r="1460" spans="1:25" s="16" customFormat="1" ht="38.25">
      <c r="A1460" s="108" t="str">
        <f t="shared" si="44"/>
        <v>620040904 2 02 S6411000</v>
      </c>
      <c r="B1460" s="197" t="s">
        <v>1340</v>
      </c>
      <c r="C1460" s="198" t="s">
        <v>410</v>
      </c>
      <c r="D1460" s="199" t="s">
        <v>73</v>
      </c>
      <c r="E1460" s="199" t="s">
        <v>471</v>
      </c>
      <c r="F1460" s="230" t="s">
        <v>1341</v>
      </c>
      <c r="G1460" s="198" t="s">
        <v>9</v>
      </c>
      <c r="H1460" s="32">
        <v>4712.6499999999996</v>
      </c>
      <c r="I1460" s="32">
        <v>1689.58</v>
      </c>
      <c r="J1460" s="32">
        <v>1689.58</v>
      </c>
      <c r="K1460" s="20"/>
      <c r="L1460" s="20"/>
      <c r="M1460" s="20"/>
      <c r="N1460" s="20"/>
      <c r="O1460" s="20"/>
      <c r="P1460" s="20"/>
      <c r="Q1460" s="17"/>
      <c r="T1460" s="20">
        <v>5000</v>
      </c>
      <c r="U1460" s="20">
        <v>100</v>
      </c>
      <c r="V1460" s="20">
        <v>100</v>
      </c>
      <c r="W1460" s="20">
        <f t="shared" si="45"/>
        <v>-287.35000000000036</v>
      </c>
      <c r="X1460" s="20">
        <f t="shared" si="45"/>
        <v>1589.58</v>
      </c>
      <c r="Y1460" s="20">
        <f t="shared" si="45"/>
        <v>1589.58</v>
      </c>
    </row>
    <row r="1461" spans="1:25" s="16" customFormat="1" ht="25.5">
      <c r="A1461" s="108" t="str">
        <f t="shared" si="44"/>
        <v>620040904 2 02 S6411240</v>
      </c>
      <c r="B1461" s="197" t="s">
        <v>28</v>
      </c>
      <c r="C1461" s="198" t="s">
        <v>410</v>
      </c>
      <c r="D1461" s="199" t="s">
        <v>73</v>
      </c>
      <c r="E1461" s="199" t="s">
        <v>471</v>
      </c>
      <c r="F1461" s="230" t="s">
        <v>1341</v>
      </c>
      <c r="G1461" s="198" t="s">
        <v>29</v>
      </c>
      <c r="H1461" s="32">
        <v>4712.6499999999996</v>
      </c>
      <c r="I1461" s="32">
        <v>1689.58</v>
      </c>
      <c r="J1461" s="32">
        <v>1689.58</v>
      </c>
      <c r="K1461" s="18"/>
      <c r="L1461" s="18"/>
      <c r="M1461" s="18"/>
      <c r="N1461" s="18"/>
      <c r="O1461" s="18"/>
      <c r="P1461" s="18"/>
      <c r="Q1461" s="17"/>
      <c r="T1461" s="18">
        <v>172654.88999999998</v>
      </c>
      <c r="U1461" s="18">
        <v>0</v>
      </c>
      <c r="V1461" s="18">
        <v>0</v>
      </c>
      <c r="W1461" s="18">
        <f t="shared" si="45"/>
        <v>-167942.24</v>
      </c>
      <c r="X1461" s="18">
        <f t="shared" si="45"/>
        <v>1689.58</v>
      </c>
      <c r="Y1461" s="18">
        <f t="shared" si="45"/>
        <v>1689.58</v>
      </c>
    </row>
    <row r="1462" spans="1:25" s="16" customFormat="1" ht="38.25">
      <c r="A1462" s="108" t="str">
        <f t="shared" si="44"/>
        <v>620040904 2 02 S6460000</v>
      </c>
      <c r="B1462" s="197" t="s">
        <v>847</v>
      </c>
      <c r="C1462" s="198" t="s">
        <v>410</v>
      </c>
      <c r="D1462" s="199" t="s">
        <v>73</v>
      </c>
      <c r="E1462" s="199" t="s">
        <v>471</v>
      </c>
      <c r="F1462" s="230" t="s">
        <v>848</v>
      </c>
      <c r="G1462" s="198" t="s">
        <v>9</v>
      </c>
      <c r="H1462" s="32">
        <v>16641.07</v>
      </c>
      <c r="I1462" s="32">
        <v>14841.27</v>
      </c>
      <c r="J1462" s="32">
        <v>14841.27</v>
      </c>
      <c r="K1462" s="18"/>
      <c r="L1462" s="18"/>
      <c r="M1462" s="18"/>
      <c r="N1462" s="18"/>
      <c r="O1462" s="18"/>
      <c r="P1462" s="18"/>
      <c r="Q1462" s="17"/>
      <c r="T1462" s="18">
        <v>1388</v>
      </c>
      <c r="U1462" s="18">
        <v>0</v>
      </c>
      <c r="V1462" s="18">
        <v>0</v>
      </c>
      <c r="W1462" s="18">
        <f t="shared" si="45"/>
        <v>15253.07</v>
      </c>
      <c r="X1462" s="18">
        <f t="shared" si="45"/>
        <v>14841.27</v>
      </c>
      <c r="Y1462" s="18">
        <f t="shared" si="45"/>
        <v>14841.27</v>
      </c>
    </row>
    <row r="1463" spans="1:25" s="16" customFormat="1" ht="25.5">
      <c r="A1463" s="108" t="str">
        <f t="shared" si="44"/>
        <v>620040904 2 02 S6460240</v>
      </c>
      <c r="B1463" s="197" t="s">
        <v>28</v>
      </c>
      <c r="C1463" s="198" t="s">
        <v>410</v>
      </c>
      <c r="D1463" s="199" t="s">
        <v>73</v>
      </c>
      <c r="E1463" s="199" t="s">
        <v>471</v>
      </c>
      <c r="F1463" s="230" t="s">
        <v>848</v>
      </c>
      <c r="G1463" s="198" t="s">
        <v>29</v>
      </c>
      <c r="H1463" s="32">
        <v>16641.07</v>
      </c>
      <c r="I1463" s="32">
        <v>14841.27</v>
      </c>
      <c r="J1463" s="32">
        <v>14841.27</v>
      </c>
      <c r="K1463" s="18"/>
      <c r="L1463" s="18"/>
      <c r="M1463" s="18"/>
      <c r="N1463" s="18"/>
      <c r="O1463" s="18"/>
      <c r="P1463" s="18"/>
      <c r="Q1463" s="17"/>
      <c r="T1463" s="18">
        <v>1388</v>
      </c>
      <c r="U1463" s="18">
        <v>0</v>
      </c>
      <c r="V1463" s="18">
        <v>0</v>
      </c>
      <c r="W1463" s="18">
        <f t="shared" si="45"/>
        <v>15253.07</v>
      </c>
      <c r="X1463" s="18">
        <f t="shared" si="45"/>
        <v>14841.27</v>
      </c>
      <c r="Y1463" s="18">
        <f t="shared" si="45"/>
        <v>14841.27</v>
      </c>
    </row>
    <row r="1464" spans="1:25" s="16" customFormat="1" ht="25.5">
      <c r="A1464" s="108" t="str">
        <f t="shared" si="44"/>
        <v>620040904 2 02 S6490000</v>
      </c>
      <c r="B1464" s="197" t="s">
        <v>1342</v>
      </c>
      <c r="C1464" s="198" t="s">
        <v>410</v>
      </c>
      <c r="D1464" s="199" t="s">
        <v>73</v>
      </c>
      <c r="E1464" s="199" t="s">
        <v>471</v>
      </c>
      <c r="F1464" s="230" t="s">
        <v>1343</v>
      </c>
      <c r="G1464" s="198" t="s">
        <v>9</v>
      </c>
      <c r="H1464" s="32">
        <v>10825.4</v>
      </c>
      <c r="I1464" s="32">
        <v>0</v>
      </c>
      <c r="J1464" s="32">
        <v>0</v>
      </c>
      <c r="K1464" s="18"/>
      <c r="L1464" s="18"/>
      <c r="M1464" s="18"/>
      <c r="N1464" s="18"/>
      <c r="O1464" s="18"/>
      <c r="P1464" s="18"/>
      <c r="Q1464" s="17"/>
      <c r="T1464" s="18">
        <v>1388</v>
      </c>
      <c r="U1464" s="18">
        <v>0</v>
      </c>
      <c r="V1464" s="18">
        <v>0</v>
      </c>
      <c r="W1464" s="18">
        <f t="shared" si="45"/>
        <v>9437.4</v>
      </c>
      <c r="X1464" s="18">
        <f t="shared" si="45"/>
        <v>0</v>
      </c>
      <c r="Y1464" s="18">
        <f t="shared" si="45"/>
        <v>0</v>
      </c>
    </row>
    <row r="1465" spans="1:25" s="16" customFormat="1">
      <c r="A1465" s="108" t="str">
        <f t="shared" si="44"/>
        <v/>
      </c>
      <c r="B1465" s="197" t="s">
        <v>1045</v>
      </c>
      <c r="C1465" s="198"/>
      <c r="D1465" s="199"/>
      <c r="E1465" s="199"/>
      <c r="F1465" s="230"/>
      <c r="G1465" s="198"/>
      <c r="H1465" s="32"/>
      <c r="I1465" s="32"/>
      <c r="J1465" s="32"/>
      <c r="K1465" s="18"/>
      <c r="L1465" s="18"/>
      <c r="M1465" s="18"/>
      <c r="N1465" s="18"/>
      <c r="O1465" s="18"/>
      <c r="P1465" s="18"/>
      <c r="Q1465" s="17"/>
      <c r="T1465" s="18">
        <v>1388</v>
      </c>
      <c r="U1465" s="18">
        <v>0</v>
      </c>
      <c r="V1465" s="18">
        <v>0</v>
      </c>
      <c r="W1465" s="18">
        <f t="shared" si="45"/>
        <v>-1388</v>
      </c>
      <c r="X1465" s="18">
        <f t="shared" si="45"/>
        <v>0</v>
      </c>
      <c r="Y1465" s="18">
        <f t="shared" si="45"/>
        <v>0</v>
      </c>
    </row>
    <row r="1466" spans="1:25" s="16" customFormat="1" ht="25.5">
      <c r="A1466" s="108" t="str">
        <f t="shared" si="44"/>
        <v>620040904 2 02 S6490000</v>
      </c>
      <c r="B1466" s="324" t="s">
        <v>1339</v>
      </c>
      <c r="C1466" s="198" t="s">
        <v>410</v>
      </c>
      <c r="D1466" s="199" t="s">
        <v>73</v>
      </c>
      <c r="E1466" s="199" t="s">
        <v>471</v>
      </c>
      <c r="F1466" s="230" t="s">
        <v>1343</v>
      </c>
      <c r="G1466" s="198" t="s">
        <v>9</v>
      </c>
      <c r="H1466" s="32">
        <v>10825.4</v>
      </c>
      <c r="I1466" s="32">
        <v>0</v>
      </c>
      <c r="J1466" s="32">
        <v>0</v>
      </c>
      <c r="K1466" s="18"/>
      <c r="L1466" s="18"/>
      <c r="M1466" s="18"/>
      <c r="N1466" s="18"/>
      <c r="O1466" s="18"/>
      <c r="P1466" s="18"/>
      <c r="Q1466" s="17"/>
      <c r="T1466" s="18"/>
      <c r="U1466" s="18"/>
      <c r="V1466" s="18"/>
      <c r="W1466" s="18">
        <f t="shared" si="45"/>
        <v>10825.4</v>
      </c>
      <c r="X1466" s="18">
        <f t="shared" si="45"/>
        <v>0</v>
      </c>
      <c r="Y1466" s="18">
        <f t="shared" si="45"/>
        <v>0</v>
      </c>
    </row>
    <row r="1467" spans="1:25" s="16" customFormat="1">
      <c r="A1467" s="108" t="str">
        <f t="shared" si="44"/>
        <v>620040904 2 02 S6490410</v>
      </c>
      <c r="B1467" s="231" t="s">
        <v>837</v>
      </c>
      <c r="C1467" s="232" t="s">
        <v>410</v>
      </c>
      <c r="D1467" s="233" t="s">
        <v>73</v>
      </c>
      <c r="E1467" s="233" t="s">
        <v>471</v>
      </c>
      <c r="F1467" s="234" t="s">
        <v>1343</v>
      </c>
      <c r="G1467" s="232" t="s">
        <v>838</v>
      </c>
      <c r="H1467" s="274">
        <v>10825.4</v>
      </c>
      <c r="I1467" s="274">
        <v>0</v>
      </c>
      <c r="J1467" s="274">
        <v>0</v>
      </c>
      <c r="K1467" s="18"/>
      <c r="L1467" s="18"/>
      <c r="M1467" s="18"/>
      <c r="N1467" s="18"/>
      <c r="O1467" s="18"/>
      <c r="P1467" s="18"/>
      <c r="Q1467" s="17"/>
      <c r="T1467" s="18">
        <v>68</v>
      </c>
      <c r="U1467" s="18">
        <v>0</v>
      </c>
      <c r="V1467" s="18">
        <v>0</v>
      </c>
      <c r="W1467" s="18">
        <f t="shared" si="45"/>
        <v>10757.4</v>
      </c>
      <c r="X1467" s="18">
        <f t="shared" si="45"/>
        <v>0</v>
      </c>
      <c r="Y1467" s="18">
        <f t="shared" si="45"/>
        <v>0</v>
      </c>
    </row>
    <row r="1468" spans="1:25" s="16" customFormat="1" ht="25.5">
      <c r="A1468" s="108" t="str">
        <f t="shared" si="44"/>
        <v>620040904 2 03 00000000</v>
      </c>
      <c r="B1468" s="197" t="s">
        <v>849</v>
      </c>
      <c r="C1468" s="199" t="s">
        <v>410</v>
      </c>
      <c r="D1468" s="199" t="s">
        <v>73</v>
      </c>
      <c r="E1468" s="199" t="s">
        <v>471</v>
      </c>
      <c r="F1468" s="199" t="s">
        <v>850</v>
      </c>
      <c r="G1468" s="198" t="s">
        <v>9</v>
      </c>
      <c r="H1468" s="32">
        <v>62070.299999999996</v>
      </c>
      <c r="I1468" s="32">
        <v>52489.83</v>
      </c>
      <c r="J1468" s="32">
        <v>52489.83</v>
      </c>
      <c r="K1468" s="18"/>
      <c r="L1468" s="18"/>
      <c r="M1468" s="18"/>
      <c r="N1468" s="18"/>
      <c r="O1468" s="18"/>
      <c r="P1468" s="18"/>
      <c r="Q1468" s="17"/>
      <c r="T1468" s="18">
        <v>1388</v>
      </c>
      <c r="U1468" s="18">
        <v>0</v>
      </c>
      <c r="V1468" s="18">
        <v>0</v>
      </c>
      <c r="W1468" s="18">
        <f t="shared" si="45"/>
        <v>60682.299999999996</v>
      </c>
      <c r="X1468" s="18">
        <f t="shared" si="45"/>
        <v>52489.83</v>
      </c>
      <c r="Y1468" s="18">
        <f t="shared" si="45"/>
        <v>52489.83</v>
      </c>
    </row>
    <row r="1469" spans="1:25" s="16" customFormat="1" ht="25.5">
      <c r="A1469" s="108" t="str">
        <f t="shared" si="44"/>
        <v>620040904 2 03 11010000</v>
      </c>
      <c r="B1469" s="214" t="s">
        <v>136</v>
      </c>
      <c r="C1469" s="199" t="s">
        <v>410</v>
      </c>
      <c r="D1469" s="199" t="s">
        <v>73</v>
      </c>
      <c r="E1469" s="199" t="s">
        <v>471</v>
      </c>
      <c r="F1469" s="199" t="s">
        <v>851</v>
      </c>
      <c r="G1469" s="199" t="s">
        <v>9</v>
      </c>
      <c r="H1469" s="20">
        <v>42594.92</v>
      </c>
      <c r="I1469" s="20">
        <v>43545.98</v>
      </c>
      <c r="J1469" s="20">
        <v>43545.98</v>
      </c>
      <c r="K1469" s="19"/>
      <c r="L1469" s="19"/>
      <c r="M1469" s="19"/>
      <c r="N1469" s="19"/>
      <c r="O1469" s="19"/>
      <c r="P1469" s="19"/>
      <c r="Q1469" s="17"/>
      <c r="T1469" s="19">
        <v>171266.88999999998</v>
      </c>
      <c r="U1469" s="19">
        <v>0</v>
      </c>
      <c r="V1469" s="19">
        <v>0</v>
      </c>
      <c r="W1469" s="19">
        <f t="shared" si="45"/>
        <v>-128671.96999999999</v>
      </c>
      <c r="X1469" s="19">
        <f t="shared" si="45"/>
        <v>43545.98</v>
      </c>
      <c r="Y1469" s="19">
        <f t="shared" si="45"/>
        <v>43545.98</v>
      </c>
    </row>
    <row r="1470" spans="1:25" s="16" customFormat="1">
      <c r="A1470" s="108" t="str">
        <f t="shared" si="44"/>
        <v>620040904 2 03 11010610</v>
      </c>
      <c r="B1470" s="205" t="s">
        <v>403</v>
      </c>
      <c r="C1470" s="199" t="s">
        <v>410</v>
      </c>
      <c r="D1470" s="199" t="s">
        <v>73</v>
      </c>
      <c r="E1470" s="199" t="s">
        <v>471</v>
      </c>
      <c r="F1470" s="199" t="s">
        <v>851</v>
      </c>
      <c r="G1470" s="199" t="s">
        <v>404</v>
      </c>
      <c r="H1470" s="20">
        <v>42594.92</v>
      </c>
      <c r="I1470" s="20">
        <v>43545.98</v>
      </c>
      <c r="J1470" s="20">
        <v>43545.98</v>
      </c>
      <c r="K1470" s="32"/>
      <c r="L1470" s="32"/>
      <c r="M1470" s="32"/>
      <c r="N1470" s="32"/>
      <c r="O1470" s="32"/>
      <c r="P1470" s="32"/>
      <c r="Q1470" s="17"/>
      <c r="T1470" s="32">
        <v>171266.88999999998</v>
      </c>
      <c r="U1470" s="32">
        <v>0</v>
      </c>
      <c r="V1470" s="32">
        <v>0</v>
      </c>
      <c r="W1470" s="32">
        <f t="shared" si="45"/>
        <v>-128671.96999999999</v>
      </c>
      <c r="X1470" s="32">
        <f t="shared" si="45"/>
        <v>43545.98</v>
      </c>
      <c r="Y1470" s="32">
        <f t="shared" si="45"/>
        <v>43545.98</v>
      </c>
    </row>
    <row r="1471" spans="1:25" s="16" customFormat="1" ht="38.25">
      <c r="A1471" s="108" t="str">
        <f t="shared" si="44"/>
        <v>620040904 2 03 20570000</v>
      </c>
      <c r="B1471" s="197" t="s">
        <v>852</v>
      </c>
      <c r="C1471" s="199" t="s">
        <v>410</v>
      </c>
      <c r="D1471" s="199" t="s">
        <v>73</v>
      </c>
      <c r="E1471" s="199" t="s">
        <v>471</v>
      </c>
      <c r="F1471" s="199" t="s">
        <v>853</v>
      </c>
      <c r="G1471" s="198" t="s">
        <v>9</v>
      </c>
      <c r="H1471" s="32">
        <v>18524.32</v>
      </c>
      <c r="I1471" s="32">
        <v>8943.85</v>
      </c>
      <c r="J1471" s="32">
        <v>8943.85</v>
      </c>
      <c r="K1471" s="32"/>
      <c r="L1471" s="32"/>
      <c r="M1471" s="32"/>
      <c r="N1471" s="32"/>
      <c r="O1471" s="32"/>
      <c r="P1471" s="32"/>
      <c r="Q1471" s="17"/>
      <c r="T1471" s="32">
        <v>171266.88999999998</v>
      </c>
      <c r="U1471" s="32">
        <v>0</v>
      </c>
      <c r="V1471" s="32">
        <v>0</v>
      </c>
      <c r="W1471" s="32">
        <f t="shared" si="45"/>
        <v>-152742.56999999998</v>
      </c>
      <c r="X1471" s="32">
        <f t="shared" si="45"/>
        <v>8943.85</v>
      </c>
      <c r="Y1471" s="32">
        <f t="shared" si="45"/>
        <v>8943.85</v>
      </c>
    </row>
    <row r="1472" spans="1:25" s="16" customFormat="1">
      <c r="A1472" s="108" t="str">
        <f t="shared" si="44"/>
        <v/>
      </c>
      <c r="B1472" s="220" t="s">
        <v>1104</v>
      </c>
      <c r="C1472" s="199"/>
      <c r="D1472" s="199"/>
      <c r="E1472" s="199"/>
      <c r="F1472" s="199"/>
      <c r="G1472" s="198"/>
      <c r="H1472" s="32"/>
      <c r="I1472" s="32"/>
      <c r="J1472" s="32"/>
      <c r="K1472" s="26"/>
      <c r="L1472" s="26"/>
      <c r="M1472" s="26"/>
      <c r="N1472" s="26"/>
      <c r="O1472" s="26"/>
      <c r="P1472" s="26"/>
      <c r="Q1472" s="17"/>
      <c r="T1472" s="26">
        <v>171266.88999999998</v>
      </c>
      <c r="U1472" s="26">
        <v>0</v>
      </c>
      <c r="V1472" s="26">
        <v>0</v>
      </c>
      <c r="W1472" s="26">
        <f t="shared" si="45"/>
        <v>-171266.88999999998</v>
      </c>
      <c r="X1472" s="26">
        <f t="shared" si="45"/>
        <v>0</v>
      </c>
      <c r="Y1472" s="26">
        <f t="shared" si="45"/>
        <v>0</v>
      </c>
    </row>
    <row r="1473" spans="1:25" s="16" customFormat="1">
      <c r="A1473" s="108" t="str">
        <f t="shared" si="44"/>
        <v>620040904 2 03 20570000</v>
      </c>
      <c r="B1473" s="221" t="s">
        <v>1105</v>
      </c>
      <c r="C1473" s="223" t="s">
        <v>410</v>
      </c>
      <c r="D1473" s="223" t="s">
        <v>73</v>
      </c>
      <c r="E1473" s="223" t="s">
        <v>471</v>
      </c>
      <c r="F1473" s="223" t="s">
        <v>853</v>
      </c>
      <c r="G1473" s="222" t="s">
        <v>9</v>
      </c>
      <c r="H1473" s="229">
        <v>140.07</v>
      </c>
      <c r="I1473" s="229">
        <v>0</v>
      </c>
      <c r="J1473" s="229">
        <v>0</v>
      </c>
      <c r="K1473" s="20"/>
      <c r="L1473" s="20"/>
      <c r="M1473" s="20"/>
      <c r="N1473" s="20"/>
      <c r="O1473" s="20"/>
      <c r="P1473" s="20"/>
      <c r="Q1473" s="17"/>
      <c r="T1473" s="20">
        <v>6868.4</v>
      </c>
      <c r="U1473" s="20">
        <v>0</v>
      </c>
      <c r="V1473" s="20">
        <v>0</v>
      </c>
      <c r="W1473" s="20">
        <f t="shared" si="45"/>
        <v>-6728.33</v>
      </c>
      <c r="X1473" s="20">
        <f t="shared" si="45"/>
        <v>0</v>
      </c>
      <c r="Y1473" s="20">
        <f t="shared" si="45"/>
        <v>0</v>
      </c>
    </row>
    <row r="1474" spans="1:25" s="16" customFormat="1" ht="25.5">
      <c r="A1474" s="108" t="str">
        <f t="shared" si="44"/>
        <v>620040904 2 03 20570240</v>
      </c>
      <c r="B1474" s="197" t="s">
        <v>28</v>
      </c>
      <c r="C1474" s="199" t="s">
        <v>410</v>
      </c>
      <c r="D1474" s="199" t="s">
        <v>73</v>
      </c>
      <c r="E1474" s="199" t="s">
        <v>471</v>
      </c>
      <c r="F1474" s="199" t="s">
        <v>853</v>
      </c>
      <c r="G1474" s="198" t="s">
        <v>29</v>
      </c>
      <c r="H1474" s="32">
        <v>18524.32</v>
      </c>
      <c r="I1474" s="32">
        <v>8943.85</v>
      </c>
      <c r="J1474" s="32">
        <v>8943.85</v>
      </c>
      <c r="K1474" s="20"/>
      <c r="L1474" s="20"/>
      <c r="M1474" s="20"/>
      <c r="N1474" s="20"/>
      <c r="O1474" s="20"/>
      <c r="P1474" s="20"/>
      <c r="Q1474" s="17"/>
      <c r="T1474" s="20"/>
      <c r="U1474" s="20"/>
      <c r="V1474" s="20"/>
      <c r="W1474" s="20">
        <f t="shared" si="45"/>
        <v>18524.32</v>
      </c>
      <c r="X1474" s="20">
        <f t="shared" si="45"/>
        <v>8943.85</v>
      </c>
      <c r="Y1474" s="20">
        <f t="shared" si="45"/>
        <v>8943.85</v>
      </c>
    </row>
    <row r="1475" spans="1:25" s="16" customFormat="1" ht="191.25">
      <c r="A1475" s="108" t="str">
        <f t="shared" si="44"/>
        <v>620040904 2 03 77460000</v>
      </c>
      <c r="B1475" s="197" t="s">
        <v>1263</v>
      </c>
      <c r="C1475" s="199" t="s">
        <v>410</v>
      </c>
      <c r="D1475" s="199" t="s">
        <v>73</v>
      </c>
      <c r="E1475" s="199" t="s">
        <v>471</v>
      </c>
      <c r="F1475" s="199" t="s">
        <v>1344</v>
      </c>
      <c r="G1475" s="199" t="s">
        <v>9</v>
      </c>
      <c r="H1475" s="32">
        <v>951.06</v>
      </c>
      <c r="I1475" s="32">
        <v>0</v>
      </c>
      <c r="J1475" s="32">
        <v>0</v>
      </c>
      <c r="K1475" s="20"/>
      <c r="L1475" s="20"/>
      <c r="M1475" s="20"/>
      <c r="N1475" s="20"/>
      <c r="O1475" s="20"/>
      <c r="P1475" s="20"/>
      <c r="Q1475" s="17"/>
      <c r="T1475" s="20"/>
      <c r="U1475" s="20"/>
      <c r="V1475" s="20"/>
      <c r="W1475" s="20">
        <f t="shared" si="45"/>
        <v>951.06</v>
      </c>
      <c r="X1475" s="20">
        <f t="shared" si="45"/>
        <v>0</v>
      </c>
      <c r="Y1475" s="20">
        <f t="shared" si="45"/>
        <v>0</v>
      </c>
    </row>
    <row r="1476" spans="1:25" s="16" customFormat="1">
      <c r="A1476" s="108" t="str">
        <f t="shared" si="44"/>
        <v>620040904 2 03 77460610</v>
      </c>
      <c r="B1476" s="205" t="s">
        <v>403</v>
      </c>
      <c r="C1476" s="199" t="s">
        <v>410</v>
      </c>
      <c r="D1476" s="199" t="s">
        <v>73</v>
      </c>
      <c r="E1476" s="199" t="s">
        <v>471</v>
      </c>
      <c r="F1476" s="199" t="s">
        <v>1344</v>
      </c>
      <c r="G1476" s="199" t="s">
        <v>404</v>
      </c>
      <c r="H1476" s="32">
        <v>951.06</v>
      </c>
      <c r="I1476" s="32">
        <v>0</v>
      </c>
      <c r="J1476" s="32">
        <v>0</v>
      </c>
      <c r="K1476" s="20"/>
      <c r="L1476" s="20"/>
      <c r="M1476" s="20"/>
      <c r="N1476" s="20"/>
      <c r="O1476" s="20"/>
      <c r="P1476" s="20"/>
      <c r="Q1476" s="17"/>
      <c r="T1476" s="20">
        <v>6868.4</v>
      </c>
      <c r="U1476" s="20">
        <v>0</v>
      </c>
      <c r="V1476" s="20">
        <v>0</v>
      </c>
      <c r="W1476" s="20">
        <f t="shared" si="45"/>
        <v>-5917.34</v>
      </c>
      <c r="X1476" s="20">
        <f t="shared" si="45"/>
        <v>0</v>
      </c>
      <c r="Y1476" s="20">
        <f t="shared" si="45"/>
        <v>0</v>
      </c>
    </row>
    <row r="1477" spans="1:25" s="16" customFormat="1">
      <c r="A1477" s="108" t="str">
        <f t="shared" si="44"/>
        <v>620041200 0 00 00000000</v>
      </c>
      <c r="B1477" s="194" t="s">
        <v>284</v>
      </c>
      <c r="C1477" s="195" t="s">
        <v>410</v>
      </c>
      <c r="D1477" s="196" t="s">
        <v>73</v>
      </c>
      <c r="E1477" s="196" t="s">
        <v>57</v>
      </c>
      <c r="F1477" s="196" t="s">
        <v>8</v>
      </c>
      <c r="G1477" s="196" t="s">
        <v>9</v>
      </c>
      <c r="H1477" s="19">
        <v>3000</v>
      </c>
      <c r="I1477" s="19">
        <v>0</v>
      </c>
      <c r="J1477" s="19">
        <v>0</v>
      </c>
      <c r="K1477" s="20"/>
      <c r="L1477" s="20"/>
      <c r="M1477" s="20"/>
      <c r="N1477" s="20"/>
      <c r="O1477" s="20"/>
      <c r="P1477" s="20"/>
      <c r="Q1477" s="17"/>
      <c r="T1477" s="20"/>
      <c r="U1477" s="20"/>
      <c r="V1477" s="20"/>
      <c r="W1477" s="20">
        <f t="shared" si="45"/>
        <v>3000</v>
      </c>
      <c r="X1477" s="20">
        <f t="shared" si="45"/>
        <v>0</v>
      </c>
      <c r="Y1477" s="20">
        <f t="shared" si="45"/>
        <v>0</v>
      </c>
    </row>
    <row r="1478" spans="1:25" s="16" customFormat="1" ht="38.25">
      <c r="A1478" s="108" t="str">
        <f t="shared" ref="A1478:A1541" si="46">C1478&amp;D1478&amp;E1478&amp;F1478&amp;G1478</f>
        <v>620041298 0 00 00000000</v>
      </c>
      <c r="B1478" s="197" t="s">
        <v>87</v>
      </c>
      <c r="C1478" s="199" t="s">
        <v>410</v>
      </c>
      <c r="D1478" s="199" t="s">
        <v>73</v>
      </c>
      <c r="E1478" s="199" t="s">
        <v>57</v>
      </c>
      <c r="F1478" s="199" t="s">
        <v>88</v>
      </c>
      <c r="G1478" s="198" t="s">
        <v>9</v>
      </c>
      <c r="H1478" s="32">
        <v>3000</v>
      </c>
      <c r="I1478" s="32">
        <v>0</v>
      </c>
      <c r="J1478" s="32">
        <v>0</v>
      </c>
      <c r="K1478" s="20"/>
      <c r="L1478" s="20"/>
      <c r="M1478" s="20"/>
      <c r="N1478" s="20"/>
      <c r="O1478" s="20"/>
      <c r="P1478" s="20"/>
      <c r="Q1478" s="17"/>
      <c r="T1478" s="20">
        <v>10646.69</v>
      </c>
      <c r="U1478" s="20">
        <v>0</v>
      </c>
      <c r="V1478" s="20">
        <v>0</v>
      </c>
      <c r="W1478" s="20">
        <f t="shared" si="45"/>
        <v>-7646.6900000000005</v>
      </c>
      <c r="X1478" s="20">
        <f t="shared" si="45"/>
        <v>0</v>
      </c>
      <c r="Y1478" s="20">
        <f t="shared" si="45"/>
        <v>0</v>
      </c>
    </row>
    <row r="1479" spans="1:25" s="16" customFormat="1">
      <c r="A1479" s="108" t="str">
        <f t="shared" si="46"/>
        <v>620041298 1 00 00000000</v>
      </c>
      <c r="B1479" s="197" t="s">
        <v>89</v>
      </c>
      <c r="C1479" s="199" t="s">
        <v>410</v>
      </c>
      <c r="D1479" s="199" t="s">
        <v>73</v>
      </c>
      <c r="E1479" s="199" t="s">
        <v>57</v>
      </c>
      <c r="F1479" s="199" t="s">
        <v>90</v>
      </c>
      <c r="G1479" s="198" t="s">
        <v>9</v>
      </c>
      <c r="H1479" s="32">
        <v>3000</v>
      </c>
      <c r="I1479" s="32">
        <v>0</v>
      </c>
      <c r="J1479" s="32">
        <v>0</v>
      </c>
      <c r="K1479" s="20"/>
      <c r="L1479" s="20"/>
      <c r="M1479" s="20"/>
      <c r="N1479" s="20"/>
      <c r="O1479" s="20"/>
      <c r="P1479" s="20"/>
      <c r="Q1479" s="17"/>
      <c r="T1479" s="20"/>
      <c r="U1479" s="20"/>
      <c r="V1479" s="20"/>
      <c r="W1479" s="20">
        <f t="shared" si="45"/>
        <v>3000</v>
      </c>
      <c r="X1479" s="20">
        <f t="shared" si="45"/>
        <v>0</v>
      </c>
      <c r="Y1479" s="20">
        <f t="shared" si="45"/>
        <v>0</v>
      </c>
    </row>
    <row r="1480" spans="1:25" s="16" customFormat="1" ht="25.5">
      <c r="A1480" s="108" t="str">
        <f t="shared" si="46"/>
        <v>620041298 1 00 21540000</v>
      </c>
      <c r="B1480" s="197" t="s">
        <v>854</v>
      </c>
      <c r="C1480" s="199" t="s">
        <v>410</v>
      </c>
      <c r="D1480" s="199" t="s">
        <v>73</v>
      </c>
      <c r="E1480" s="199" t="s">
        <v>57</v>
      </c>
      <c r="F1480" s="199" t="s">
        <v>855</v>
      </c>
      <c r="G1480" s="198" t="s">
        <v>9</v>
      </c>
      <c r="H1480" s="32">
        <v>3000</v>
      </c>
      <c r="I1480" s="32">
        <v>0</v>
      </c>
      <c r="J1480" s="32">
        <v>0</v>
      </c>
      <c r="K1480" s="20"/>
      <c r="L1480" s="20"/>
      <c r="M1480" s="20"/>
      <c r="N1480" s="20"/>
      <c r="O1480" s="20"/>
      <c r="P1480" s="20"/>
      <c r="Q1480" s="17"/>
      <c r="T1480" s="20">
        <v>310.2</v>
      </c>
      <c r="U1480" s="20">
        <v>0</v>
      </c>
      <c r="V1480" s="20">
        <v>0</v>
      </c>
      <c r="W1480" s="20">
        <f t="shared" si="45"/>
        <v>2689.8</v>
      </c>
      <c r="X1480" s="20">
        <f t="shared" si="45"/>
        <v>0</v>
      </c>
      <c r="Y1480" s="20">
        <f t="shared" si="45"/>
        <v>0</v>
      </c>
    </row>
    <row r="1481" spans="1:25" s="16" customFormat="1" ht="25.5">
      <c r="A1481" s="108" t="str">
        <f t="shared" si="46"/>
        <v>620041298 1 00 21540240</v>
      </c>
      <c r="B1481" s="197" t="s">
        <v>28</v>
      </c>
      <c r="C1481" s="199" t="s">
        <v>410</v>
      </c>
      <c r="D1481" s="199" t="s">
        <v>73</v>
      </c>
      <c r="E1481" s="199" t="s">
        <v>57</v>
      </c>
      <c r="F1481" s="199" t="s">
        <v>855</v>
      </c>
      <c r="G1481" s="198" t="s">
        <v>29</v>
      </c>
      <c r="H1481" s="32">
        <v>3000</v>
      </c>
      <c r="I1481" s="32">
        <v>0</v>
      </c>
      <c r="J1481" s="32">
        <v>0</v>
      </c>
      <c r="K1481" s="20"/>
      <c r="L1481" s="20"/>
      <c r="M1481" s="20"/>
      <c r="N1481" s="20"/>
      <c r="O1481" s="20"/>
      <c r="P1481" s="20"/>
      <c r="Q1481" s="17"/>
      <c r="T1481" s="20">
        <v>10336.49</v>
      </c>
      <c r="U1481" s="20">
        <v>0</v>
      </c>
      <c r="V1481" s="20">
        <v>0</v>
      </c>
      <c r="W1481" s="20">
        <f t="shared" si="45"/>
        <v>-7336.49</v>
      </c>
      <c r="X1481" s="20">
        <f t="shared" si="45"/>
        <v>0</v>
      </c>
      <c r="Y1481" s="20">
        <f t="shared" si="45"/>
        <v>0</v>
      </c>
    </row>
    <row r="1482" spans="1:25" s="16" customFormat="1">
      <c r="A1482" s="108" t="str">
        <f t="shared" si="46"/>
        <v>620050000 0 00 00000000</v>
      </c>
      <c r="B1482" s="191" t="s">
        <v>305</v>
      </c>
      <c r="C1482" s="192" t="s">
        <v>410</v>
      </c>
      <c r="D1482" s="193" t="s">
        <v>86</v>
      </c>
      <c r="E1482" s="193" t="s">
        <v>7</v>
      </c>
      <c r="F1482" s="193" t="s">
        <v>8</v>
      </c>
      <c r="G1482" s="193" t="s">
        <v>9</v>
      </c>
      <c r="H1482" s="18">
        <v>541792.76000000013</v>
      </c>
      <c r="I1482" s="18">
        <v>264779.53000000003</v>
      </c>
      <c r="J1482" s="18">
        <v>267689.58</v>
      </c>
      <c r="K1482" s="20"/>
      <c r="L1482" s="20"/>
      <c r="M1482" s="20"/>
      <c r="N1482" s="20"/>
      <c r="O1482" s="20"/>
      <c r="P1482" s="20"/>
      <c r="Q1482" s="17"/>
      <c r="T1482" s="20">
        <v>10646.69</v>
      </c>
      <c r="U1482" s="20">
        <v>0</v>
      </c>
      <c r="V1482" s="20">
        <v>0</v>
      </c>
      <c r="W1482" s="20">
        <f t="shared" si="45"/>
        <v>531146.07000000018</v>
      </c>
      <c r="X1482" s="20">
        <f t="shared" si="45"/>
        <v>264779.53000000003</v>
      </c>
      <c r="Y1482" s="20">
        <f t="shared" si="45"/>
        <v>267689.58</v>
      </c>
    </row>
    <row r="1483" spans="1:25" s="16" customFormat="1">
      <c r="A1483" s="108" t="str">
        <f t="shared" si="46"/>
        <v>620050100 0 00 00000000</v>
      </c>
      <c r="B1483" s="194" t="s">
        <v>765</v>
      </c>
      <c r="C1483" s="195" t="s">
        <v>410</v>
      </c>
      <c r="D1483" s="196" t="s">
        <v>86</v>
      </c>
      <c r="E1483" s="196" t="s">
        <v>11</v>
      </c>
      <c r="F1483" s="196" t="s">
        <v>8</v>
      </c>
      <c r="G1483" s="196" t="s">
        <v>9</v>
      </c>
      <c r="H1483" s="19">
        <v>90</v>
      </c>
      <c r="I1483" s="19">
        <v>90</v>
      </c>
      <c r="J1483" s="19">
        <v>90</v>
      </c>
      <c r="K1483" s="20"/>
      <c r="L1483" s="20"/>
      <c r="M1483" s="20"/>
      <c r="N1483" s="20"/>
      <c r="O1483" s="20"/>
      <c r="P1483" s="20"/>
      <c r="Q1483" s="17"/>
      <c r="T1483" s="20">
        <v>8709.7999999999993</v>
      </c>
      <c r="U1483" s="20">
        <v>0</v>
      </c>
      <c r="V1483" s="20">
        <v>0</v>
      </c>
      <c r="W1483" s="20">
        <f t="shared" ref="W1483:Y1546" si="47">H1483-T1483</f>
        <v>-8619.7999999999993</v>
      </c>
      <c r="X1483" s="20">
        <f t="shared" si="47"/>
        <v>90</v>
      </c>
      <c r="Y1483" s="20">
        <f t="shared" si="47"/>
        <v>90</v>
      </c>
    </row>
    <row r="1484" spans="1:25" s="16" customFormat="1" ht="38.25">
      <c r="A1484" s="108" t="str">
        <f t="shared" si="46"/>
        <v>620050104 0 00 00000000</v>
      </c>
      <c r="B1484" s="200" t="s">
        <v>293</v>
      </c>
      <c r="C1484" s="198" t="s">
        <v>410</v>
      </c>
      <c r="D1484" s="199" t="s">
        <v>86</v>
      </c>
      <c r="E1484" s="199" t="s">
        <v>11</v>
      </c>
      <c r="F1484" s="230" t="s">
        <v>294</v>
      </c>
      <c r="G1484" s="199" t="s">
        <v>9</v>
      </c>
      <c r="H1484" s="32">
        <v>90</v>
      </c>
      <c r="I1484" s="32">
        <v>90</v>
      </c>
      <c r="J1484" s="32">
        <v>90</v>
      </c>
      <c r="K1484" s="20"/>
      <c r="L1484" s="20"/>
      <c r="M1484" s="20"/>
      <c r="N1484" s="20"/>
      <c r="O1484" s="20"/>
      <c r="P1484" s="20"/>
      <c r="Q1484" s="17"/>
      <c r="T1484" s="20"/>
      <c r="U1484" s="20"/>
      <c r="V1484" s="20"/>
      <c r="W1484" s="20">
        <f t="shared" si="47"/>
        <v>90</v>
      </c>
      <c r="X1484" s="20">
        <f t="shared" si="47"/>
        <v>90</v>
      </c>
      <c r="Y1484" s="20">
        <f t="shared" si="47"/>
        <v>90</v>
      </c>
    </row>
    <row r="1485" spans="1:25" s="16" customFormat="1" ht="25.5">
      <c r="A1485" s="108" t="str">
        <f t="shared" si="46"/>
        <v>620050104 1 00 00000000</v>
      </c>
      <c r="B1485" s="197" t="s">
        <v>766</v>
      </c>
      <c r="C1485" s="198" t="s">
        <v>410</v>
      </c>
      <c r="D1485" s="199" t="s">
        <v>86</v>
      </c>
      <c r="E1485" s="199" t="s">
        <v>11</v>
      </c>
      <c r="F1485" s="230" t="s">
        <v>767</v>
      </c>
      <c r="G1485" s="199" t="s">
        <v>9</v>
      </c>
      <c r="H1485" s="32">
        <v>90</v>
      </c>
      <c r="I1485" s="32">
        <v>90</v>
      </c>
      <c r="J1485" s="32">
        <v>90</v>
      </c>
      <c r="K1485" s="20"/>
      <c r="L1485" s="20"/>
      <c r="M1485" s="20"/>
      <c r="N1485" s="20"/>
      <c r="O1485" s="20"/>
      <c r="P1485" s="20"/>
      <c r="Q1485" s="17"/>
      <c r="T1485" s="20">
        <v>2709.8</v>
      </c>
      <c r="U1485" s="20">
        <v>0</v>
      </c>
      <c r="V1485" s="20">
        <v>0</v>
      </c>
      <c r="W1485" s="20">
        <f t="shared" si="47"/>
        <v>-2619.8000000000002</v>
      </c>
      <c r="X1485" s="20">
        <f t="shared" si="47"/>
        <v>90</v>
      </c>
      <c r="Y1485" s="20">
        <f t="shared" si="47"/>
        <v>90</v>
      </c>
    </row>
    <row r="1486" spans="1:25" s="16" customFormat="1" ht="38.25">
      <c r="A1486" s="108" t="str">
        <f t="shared" si="46"/>
        <v>620050104 1 01 00000000</v>
      </c>
      <c r="B1486" s="197" t="s">
        <v>793</v>
      </c>
      <c r="C1486" s="198" t="s">
        <v>410</v>
      </c>
      <c r="D1486" s="199" t="s">
        <v>86</v>
      </c>
      <c r="E1486" s="199" t="s">
        <v>11</v>
      </c>
      <c r="F1486" s="230" t="s">
        <v>769</v>
      </c>
      <c r="G1486" s="199" t="s">
        <v>9</v>
      </c>
      <c r="H1486" s="32">
        <v>90</v>
      </c>
      <c r="I1486" s="32">
        <v>90</v>
      </c>
      <c r="J1486" s="32">
        <v>90</v>
      </c>
      <c r="K1486" s="20"/>
      <c r="L1486" s="20"/>
      <c r="M1486" s="20"/>
      <c r="N1486" s="20"/>
      <c r="O1486" s="20"/>
      <c r="P1486" s="20"/>
      <c r="Q1486" s="17"/>
      <c r="T1486" s="20">
        <v>6000</v>
      </c>
      <c r="U1486" s="20">
        <v>0</v>
      </c>
      <c r="V1486" s="20">
        <v>0</v>
      </c>
      <c r="W1486" s="20">
        <f t="shared" si="47"/>
        <v>-5910</v>
      </c>
      <c r="X1486" s="20">
        <f t="shared" si="47"/>
        <v>90</v>
      </c>
      <c r="Y1486" s="20">
        <f t="shared" si="47"/>
        <v>90</v>
      </c>
    </row>
    <row r="1487" spans="1:25" s="16" customFormat="1">
      <c r="A1487" s="108" t="str">
        <f t="shared" si="46"/>
        <v>620050104 1 01 20200000</v>
      </c>
      <c r="B1487" s="197" t="s">
        <v>856</v>
      </c>
      <c r="C1487" s="198" t="s">
        <v>410</v>
      </c>
      <c r="D1487" s="199" t="s">
        <v>86</v>
      </c>
      <c r="E1487" s="199" t="s">
        <v>11</v>
      </c>
      <c r="F1487" s="230" t="s">
        <v>857</v>
      </c>
      <c r="G1487" s="199" t="s">
        <v>9</v>
      </c>
      <c r="H1487" s="32">
        <v>90</v>
      </c>
      <c r="I1487" s="32">
        <v>90</v>
      </c>
      <c r="J1487" s="32">
        <v>90</v>
      </c>
      <c r="K1487" s="20"/>
      <c r="L1487" s="20"/>
      <c r="M1487" s="20"/>
      <c r="N1487" s="20"/>
      <c r="O1487" s="20"/>
      <c r="P1487" s="20"/>
      <c r="Q1487" s="17"/>
      <c r="T1487" s="20">
        <v>8709.7999999999993</v>
      </c>
      <c r="U1487" s="20">
        <v>0</v>
      </c>
      <c r="V1487" s="20">
        <v>0</v>
      </c>
      <c r="W1487" s="20">
        <f t="shared" si="47"/>
        <v>-8619.7999999999993</v>
      </c>
      <c r="X1487" s="20">
        <f t="shared" si="47"/>
        <v>90</v>
      </c>
      <c r="Y1487" s="20">
        <f t="shared" si="47"/>
        <v>90</v>
      </c>
    </row>
    <row r="1488" spans="1:25" s="16" customFormat="1" ht="25.5">
      <c r="A1488" s="108" t="str">
        <f t="shared" si="46"/>
        <v>620050104 1 01 20200240</v>
      </c>
      <c r="B1488" s="197" t="s">
        <v>28</v>
      </c>
      <c r="C1488" s="199" t="s">
        <v>410</v>
      </c>
      <c r="D1488" s="199" t="s">
        <v>86</v>
      </c>
      <c r="E1488" s="199" t="s">
        <v>11</v>
      </c>
      <c r="F1488" s="230" t="s">
        <v>857</v>
      </c>
      <c r="G1488" s="199" t="s">
        <v>29</v>
      </c>
      <c r="H1488" s="32">
        <v>90</v>
      </c>
      <c r="I1488" s="32">
        <v>90</v>
      </c>
      <c r="J1488" s="32">
        <v>90</v>
      </c>
      <c r="K1488" s="20"/>
      <c r="L1488" s="20"/>
      <c r="M1488" s="20"/>
      <c r="N1488" s="20"/>
      <c r="O1488" s="20"/>
      <c r="P1488" s="20"/>
      <c r="Q1488" s="17"/>
      <c r="T1488" s="20">
        <v>137789.9</v>
      </c>
      <c r="U1488" s="20">
        <v>0</v>
      </c>
      <c r="V1488" s="20">
        <v>0</v>
      </c>
      <c r="W1488" s="20">
        <f t="shared" si="47"/>
        <v>-137699.9</v>
      </c>
      <c r="X1488" s="20">
        <f t="shared" si="47"/>
        <v>90</v>
      </c>
      <c r="Y1488" s="20">
        <f t="shared" si="47"/>
        <v>90</v>
      </c>
    </row>
    <row r="1489" spans="1:25" s="16" customFormat="1">
      <c r="A1489" s="108" t="str">
        <f t="shared" si="46"/>
        <v>620050200 0 00 00000000</v>
      </c>
      <c r="B1489" s="194" t="s">
        <v>858</v>
      </c>
      <c r="C1489" s="195">
        <v>620</v>
      </c>
      <c r="D1489" s="196" t="s">
        <v>86</v>
      </c>
      <c r="E1489" s="196" t="s">
        <v>62</v>
      </c>
      <c r="F1489" s="196" t="s">
        <v>8</v>
      </c>
      <c r="G1489" s="196" t="s">
        <v>9</v>
      </c>
      <c r="H1489" s="19">
        <v>13803.59</v>
      </c>
      <c r="I1489" s="19">
        <v>20</v>
      </c>
      <c r="J1489" s="19">
        <v>20</v>
      </c>
      <c r="K1489" s="20"/>
      <c r="L1489" s="20"/>
      <c r="M1489" s="20"/>
      <c r="N1489" s="20"/>
      <c r="O1489" s="20"/>
      <c r="P1489" s="20"/>
      <c r="Q1489" s="17"/>
      <c r="T1489" s="20">
        <v>137789.9</v>
      </c>
      <c r="U1489" s="20">
        <v>0</v>
      </c>
      <c r="V1489" s="20">
        <v>0</v>
      </c>
      <c r="W1489" s="20">
        <f t="shared" si="47"/>
        <v>-123986.31</v>
      </c>
      <c r="X1489" s="20">
        <f t="shared" si="47"/>
        <v>20</v>
      </c>
      <c r="Y1489" s="20">
        <f t="shared" si="47"/>
        <v>20</v>
      </c>
    </row>
    <row r="1490" spans="1:25" s="16" customFormat="1" ht="38.25">
      <c r="A1490" s="108" t="str">
        <f t="shared" si="46"/>
        <v>620050204 0 00 00000000</v>
      </c>
      <c r="B1490" s="200" t="s">
        <v>293</v>
      </c>
      <c r="C1490" s="206">
        <v>620</v>
      </c>
      <c r="D1490" s="199" t="s">
        <v>86</v>
      </c>
      <c r="E1490" s="199" t="s">
        <v>62</v>
      </c>
      <c r="F1490" s="230" t="s">
        <v>294</v>
      </c>
      <c r="G1490" s="199" t="s">
        <v>9</v>
      </c>
      <c r="H1490" s="32">
        <v>13803.59</v>
      </c>
      <c r="I1490" s="32">
        <v>20</v>
      </c>
      <c r="J1490" s="32">
        <v>20</v>
      </c>
      <c r="K1490" s="20"/>
      <c r="L1490" s="20"/>
      <c r="M1490" s="20"/>
      <c r="N1490" s="20"/>
      <c r="O1490" s="20"/>
      <c r="P1490" s="20"/>
      <c r="Q1490" s="17"/>
      <c r="T1490" s="20">
        <v>7252.1</v>
      </c>
      <c r="U1490" s="20">
        <v>0</v>
      </c>
      <c r="V1490" s="20">
        <v>0</v>
      </c>
      <c r="W1490" s="20">
        <f t="shared" si="47"/>
        <v>6551.49</v>
      </c>
      <c r="X1490" s="20">
        <f t="shared" si="47"/>
        <v>20</v>
      </c>
      <c r="Y1490" s="20">
        <f t="shared" si="47"/>
        <v>20</v>
      </c>
    </row>
    <row r="1491" spans="1:25" s="16" customFormat="1" ht="25.5">
      <c r="A1491" s="108" t="str">
        <f t="shared" si="46"/>
        <v>620050204 1 00 00000000</v>
      </c>
      <c r="B1491" s="197" t="s">
        <v>766</v>
      </c>
      <c r="C1491" s="206">
        <v>620</v>
      </c>
      <c r="D1491" s="199" t="s">
        <v>86</v>
      </c>
      <c r="E1491" s="199" t="s">
        <v>62</v>
      </c>
      <c r="F1491" s="230" t="s">
        <v>767</v>
      </c>
      <c r="G1491" s="199" t="s">
        <v>9</v>
      </c>
      <c r="H1491" s="32">
        <v>13803.59</v>
      </c>
      <c r="I1491" s="32">
        <v>20</v>
      </c>
      <c r="J1491" s="32">
        <v>20</v>
      </c>
      <c r="K1491" s="20"/>
      <c r="L1491" s="20"/>
      <c r="M1491" s="20"/>
      <c r="N1491" s="20"/>
      <c r="O1491" s="20"/>
      <c r="P1491" s="20"/>
      <c r="Q1491" s="17"/>
      <c r="T1491" s="20">
        <v>7252.1</v>
      </c>
      <c r="U1491" s="20">
        <v>0</v>
      </c>
      <c r="V1491" s="20">
        <v>0</v>
      </c>
      <c r="W1491" s="20">
        <f t="shared" si="47"/>
        <v>6551.49</v>
      </c>
      <c r="X1491" s="20">
        <f t="shared" si="47"/>
        <v>20</v>
      </c>
      <c r="Y1491" s="20">
        <f t="shared" si="47"/>
        <v>20</v>
      </c>
    </row>
    <row r="1492" spans="1:25" s="16" customFormat="1" ht="38.25">
      <c r="A1492" s="108" t="str">
        <f t="shared" si="46"/>
        <v>620050204 1 02 00000000</v>
      </c>
      <c r="B1492" s="197" t="s">
        <v>859</v>
      </c>
      <c r="C1492" s="206">
        <v>620</v>
      </c>
      <c r="D1492" s="199" t="s">
        <v>86</v>
      </c>
      <c r="E1492" s="199" t="s">
        <v>62</v>
      </c>
      <c r="F1492" s="230" t="s">
        <v>860</v>
      </c>
      <c r="G1492" s="199" t="s">
        <v>9</v>
      </c>
      <c r="H1492" s="32">
        <v>20</v>
      </c>
      <c r="I1492" s="32">
        <v>20</v>
      </c>
      <c r="J1492" s="32">
        <v>20</v>
      </c>
      <c r="K1492" s="18"/>
      <c r="L1492" s="18"/>
      <c r="M1492" s="18"/>
      <c r="N1492" s="18"/>
      <c r="O1492" s="18"/>
      <c r="P1492" s="18"/>
      <c r="Q1492" s="17"/>
      <c r="T1492" s="18">
        <v>5412.1600000000008</v>
      </c>
      <c r="U1492" s="18">
        <v>27702.6</v>
      </c>
      <c r="V1492" s="18">
        <v>19074.82</v>
      </c>
      <c r="W1492" s="18">
        <f t="shared" si="47"/>
        <v>-5392.1600000000008</v>
      </c>
      <c r="X1492" s="18">
        <f t="shared" si="47"/>
        <v>-27682.6</v>
      </c>
      <c r="Y1492" s="18">
        <f t="shared" si="47"/>
        <v>-19054.82</v>
      </c>
    </row>
    <row r="1493" spans="1:25" s="16" customFormat="1">
      <c r="A1493" s="108" t="str">
        <f t="shared" si="46"/>
        <v>620050204 1 02 20220000</v>
      </c>
      <c r="B1493" s="197" t="s">
        <v>861</v>
      </c>
      <c r="C1493" s="206">
        <v>620</v>
      </c>
      <c r="D1493" s="199" t="s">
        <v>86</v>
      </c>
      <c r="E1493" s="199" t="s">
        <v>62</v>
      </c>
      <c r="F1493" s="230" t="s">
        <v>862</v>
      </c>
      <c r="G1493" s="199" t="s">
        <v>9</v>
      </c>
      <c r="H1493" s="32">
        <v>20</v>
      </c>
      <c r="I1493" s="32">
        <v>20</v>
      </c>
      <c r="J1493" s="32">
        <v>20</v>
      </c>
      <c r="K1493" s="19"/>
      <c r="L1493" s="19"/>
      <c r="M1493" s="19"/>
      <c r="N1493" s="19"/>
      <c r="O1493" s="19"/>
      <c r="P1493" s="19"/>
      <c r="Q1493" s="17"/>
      <c r="T1493" s="19">
        <v>0</v>
      </c>
      <c r="U1493" s="19">
        <v>20089.579999999998</v>
      </c>
      <c r="V1493" s="19">
        <v>3495.1099999999997</v>
      </c>
      <c r="W1493" s="19">
        <f t="shared" si="47"/>
        <v>20</v>
      </c>
      <c r="X1493" s="19">
        <f t="shared" si="47"/>
        <v>-20069.579999999998</v>
      </c>
      <c r="Y1493" s="19">
        <f t="shared" si="47"/>
        <v>-3475.1099999999997</v>
      </c>
    </row>
    <row r="1494" spans="1:25" s="16" customFormat="1" ht="25.5">
      <c r="A1494" s="108" t="str">
        <f t="shared" si="46"/>
        <v>620050204 1 02 20220240</v>
      </c>
      <c r="B1494" s="197" t="s">
        <v>28</v>
      </c>
      <c r="C1494" s="199" t="s">
        <v>410</v>
      </c>
      <c r="D1494" s="199" t="s">
        <v>86</v>
      </c>
      <c r="E1494" s="199" t="s">
        <v>62</v>
      </c>
      <c r="F1494" s="230" t="s">
        <v>862</v>
      </c>
      <c r="G1494" s="199" t="s">
        <v>29</v>
      </c>
      <c r="H1494" s="32">
        <v>20</v>
      </c>
      <c r="I1494" s="32">
        <v>20</v>
      </c>
      <c r="J1494" s="32">
        <v>20</v>
      </c>
      <c r="K1494" s="20"/>
      <c r="L1494" s="20"/>
      <c r="M1494" s="20"/>
      <c r="N1494" s="20"/>
      <c r="O1494" s="20"/>
      <c r="P1494" s="20"/>
      <c r="Q1494" s="17"/>
      <c r="T1494" s="20">
        <v>0</v>
      </c>
      <c r="U1494" s="20">
        <v>20089.579999999998</v>
      </c>
      <c r="V1494" s="20">
        <v>3495.1099999999997</v>
      </c>
      <c r="W1494" s="20">
        <f t="shared" si="47"/>
        <v>20</v>
      </c>
      <c r="X1494" s="20">
        <f t="shared" si="47"/>
        <v>-20069.579999999998</v>
      </c>
      <c r="Y1494" s="20">
        <f t="shared" si="47"/>
        <v>-3475.1099999999997</v>
      </c>
    </row>
    <row r="1495" spans="1:25" s="16" customFormat="1" ht="38.25">
      <c r="A1495" s="108" t="str">
        <f t="shared" si="46"/>
        <v>620050204 1 03 00000000</v>
      </c>
      <c r="B1495" s="197" t="s">
        <v>863</v>
      </c>
      <c r="C1495" s="206">
        <v>620</v>
      </c>
      <c r="D1495" s="199" t="s">
        <v>86</v>
      </c>
      <c r="E1495" s="199" t="s">
        <v>62</v>
      </c>
      <c r="F1495" s="230" t="s">
        <v>864</v>
      </c>
      <c r="G1495" s="199" t="s">
        <v>9</v>
      </c>
      <c r="H1495" s="32">
        <v>13783.59</v>
      </c>
      <c r="I1495" s="32">
        <v>0</v>
      </c>
      <c r="J1495" s="32">
        <v>0</v>
      </c>
      <c r="K1495" s="20"/>
      <c r="L1495" s="20"/>
      <c r="M1495" s="20"/>
      <c r="N1495" s="20"/>
      <c r="O1495" s="20"/>
      <c r="P1495" s="20"/>
      <c r="Q1495" s="17"/>
      <c r="T1495" s="20">
        <v>0</v>
      </c>
      <c r="U1495" s="20">
        <v>20089.579999999998</v>
      </c>
      <c r="V1495" s="20">
        <v>3495.1099999999997</v>
      </c>
      <c r="W1495" s="20">
        <f t="shared" si="47"/>
        <v>13783.59</v>
      </c>
      <c r="X1495" s="20">
        <f t="shared" si="47"/>
        <v>-20089.579999999998</v>
      </c>
      <c r="Y1495" s="20">
        <f t="shared" si="47"/>
        <v>-3495.1099999999997</v>
      </c>
    </row>
    <row r="1496" spans="1:25" s="16" customFormat="1">
      <c r="A1496" s="108" t="str">
        <f t="shared" si="46"/>
        <v>620050204 1 03 20220000</v>
      </c>
      <c r="B1496" s="197" t="s">
        <v>861</v>
      </c>
      <c r="C1496" s="206">
        <v>620</v>
      </c>
      <c r="D1496" s="199" t="s">
        <v>86</v>
      </c>
      <c r="E1496" s="199" t="s">
        <v>62</v>
      </c>
      <c r="F1496" s="230" t="s">
        <v>865</v>
      </c>
      <c r="G1496" s="199" t="s">
        <v>9</v>
      </c>
      <c r="H1496" s="32">
        <v>13783.59</v>
      </c>
      <c r="I1496" s="32">
        <v>0</v>
      </c>
      <c r="J1496" s="32">
        <v>0</v>
      </c>
      <c r="K1496" s="20"/>
      <c r="L1496" s="20"/>
      <c r="M1496" s="20"/>
      <c r="N1496" s="20"/>
      <c r="O1496" s="20"/>
      <c r="P1496" s="20"/>
      <c r="Q1496" s="17"/>
      <c r="T1496" s="20">
        <v>0</v>
      </c>
      <c r="U1496" s="20">
        <v>20089.579999999998</v>
      </c>
      <c r="V1496" s="20">
        <v>3495.1099999999997</v>
      </c>
      <c r="W1496" s="20">
        <f t="shared" si="47"/>
        <v>13783.59</v>
      </c>
      <c r="X1496" s="20">
        <f t="shared" si="47"/>
        <v>-20089.579999999998</v>
      </c>
      <c r="Y1496" s="20">
        <f t="shared" si="47"/>
        <v>-3495.1099999999997</v>
      </c>
    </row>
    <row r="1497" spans="1:25" s="16" customFormat="1" ht="25.5">
      <c r="A1497" s="108" t="str">
        <f t="shared" si="46"/>
        <v>620050204 1 03 20220240</v>
      </c>
      <c r="B1497" s="197" t="s">
        <v>28</v>
      </c>
      <c r="C1497" s="206">
        <v>620</v>
      </c>
      <c r="D1497" s="199" t="s">
        <v>86</v>
      </c>
      <c r="E1497" s="199" t="s">
        <v>62</v>
      </c>
      <c r="F1497" s="230" t="s">
        <v>865</v>
      </c>
      <c r="G1497" s="199" t="s">
        <v>29</v>
      </c>
      <c r="H1497" s="32">
        <v>13783.59</v>
      </c>
      <c r="I1497" s="32">
        <v>0</v>
      </c>
      <c r="J1497" s="32">
        <v>0</v>
      </c>
      <c r="K1497" s="20"/>
      <c r="L1497" s="20"/>
      <c r="M1497" s="20"/>
      <c r="N1497" s="20"/>
      <c r="O1497" s="20"/>
      <c r="P1497" s="20"/>
      <c r="Q1497" s="17"/>
      <c r="T1497" s="20">
        <v>0</v>
      </c>
      <c r="U1497" s="20">
        <v>20089.579999999998</v>
      </c>
      <c r="V1497" s="20">
        <v>1006.3199999999997</v>
      </c>
      <c r="W1497" s="20">
        <f t="shared" si="47"/>
        <v>13783.59</v>
      </c>
      <c r="X1497" s="20">
        <f t="shared" si="47"/>
        <v>-20089.579999999998</v>
      </c>
      <c r="Y1497" s="20">
        <f t="shared" si="47"/>
        <v>-1006.3199999999997</v>
      </c>
    </row>
    <row r="1498" spans="1:25" s="16" customFormat="1">
      <c r="A1498" s="108" t="str">
        <f t="shared" si="46"/>
        <v>620050300 0 00 00000000</v>
      </c>
      <c r="B1498" s="194" t="s">
        <v>306</v>
      </c>
      <c r="C1498" s="195" t="s">
        <v>410</v>
      </c>
      <c r="D1498" s="196" t="s">
        <v>86</v>
      </c>
      <c r="E1498" s="196" t="s">
        <v>13</v>
      </c>
      <c r="F1498" s="196" t="s">
        <v>8</v>
      </c>
      <c r="G1498" s="196" t="s">
        <v>9</v>
      </c>
      <c r="H1498" s="19">
        <v>477794.90000000014</v>
      </c>
      <c r="I1498" s="19">
        <v>214607.27000000002</v>
      </c>
      <c r="J1498" s="19">
        <v>217517.32</v>
      </c>
      <c r="K1498" s="20"/>
      <c r="L1498" s="20"/>
      <c r="M1498" s="20"/>
      <c r="N1498" s="20"/>
      <c r="O1498" s="20"/>
      <c r="P1498" s="20"/>
      <c r="Q1498" s="17"/>
      <c r="T1498" s="20"/>
      <c r="U1498" s="20"/>
      <c r="V1498" s="20"/>
      <c r="W1498" s="20">
        <f t="shared" si="47"/>
        <v>477794.90000000014</v>
      </c>
      <c r="X1498" s="20">
        <f t="shared" si="47"/>
        <v>214607.27000000002</v>
      </c>
      <c r="Y1498" s="20">
        <f t="shared" si="47"/>
        <v>217517.32</v>
      </c>
    </row>
    <row r="1499" spans="1:25" s="16" customFormat="1" ht="38.25">
      <c r="A1499" s="108" t="str">
        <f t="shared" si="46"/>
        <v>620050302 0 00 00000000</v>
      </c>
      <c r="B1499" s="197" t="s">
        <v>285</v>
      </c>
      <c r="C1499" s="198" t="s">
        <v>410</v>
      </c>
      <c r="D1499" s="198" t="s">
        <v>86</v>
      </c>
      <c r="E1499" s="198" t="s">
        <v>13</v>
      </c>
      <c r="F1499" s="198" t="s">
        <v>286</v>
      </c>
      <c r="G1499" s="198" t="s">
        <v>9</v>
      </c>
      <c r="H1499" s="32">
        <v>2000</v>
      </c>
      <c r="I1499" s="32">
        <v>0</v>
      </c>
      <c r="J1499" s="32">
        <v>0</v>
      </c>
      <c r="K1499" s="20"/>
      <c r="L1499" s="20"/>
      <c r="M1499" s="20"/>
      <c r="N1499" s="20"/>
      <c r="O1499" s="20"/>
      <c r="P1499" s="20"/>
      <c r="Q1499" s="17"/>
      <c r="T1499" s="20">
        <v>0</v>
      </c>
      <c r="U1499" s="20">
        <v>0</v>
      </c>
      <c r="V1499" s="20">
        <v>0</v>
      </c>
      <c r="W1499" s="20">
        <f t="shared" si="47"/>
        <v>2000</v>
      </c>
      <c r="X1499" s="20">
        <f t="shared" si="47"/>
        <v>0</v>
      </c>
      <c r="Y1499" s="20">
        <f t="shared" si="47"/>
        <v>0</v>
      </c>
    </row>
    <row r="1500" spans="1:25" s="16" customFormat="1" ht="51">
      <c r="A1500" s="108" t="str">
        <f t="shared" si="46"/>
        <v>620050302 Б 00 00000000</v>
      </c>
      <c r="B1500" s="197" t="s">
        <v>287</v>
      </c>
      <c r="C1500" s="198" t="s">
        <v>410</v>
      </c>
      <c r="D1500" s="198" t="s">
        <v>86</v>
      </c>
      <c r="E1500" s="198" t="s">
        <v>13</v>
      </c>
      <c r="F1500" s="198" t="s">
        <v>288</v>
      </c>
      <c r="G1500" s="198" t="s">
        <v>9</v>
      </c>
      <c r="H1500" s="32">
        <v>2000</v>
      </c>
      <c r="I1500" s="32">
        <v>0</v>
      </c>
      <c r="J1500" s="32">
        <v>0</v>
      </c>
      <c r="K1500" s="20"/>
      <c r="L1500" s="20"/>
      <c r="M1500" s="20"/>
      <c r="N1500" s="20"/>
      <c r="O1500" s="20"/>
      <c r="P1500" s="20"/>
      <c r="Q1500" s="17"/>
      <c r="T1500" s="20">
        <v>0</v>
      </c>
      <c r="U1500" s="20">
        <v>8013.7</v>
      </c>
      <c r="V1500" s="20">
        <v>0</v>
      </c>
      <c r="W1500" s="20">
        <f t="shared" si="47"/>
        <v>2000</v>
      </c>
      <c r="X1500" s="20">
        <f t="shared" si="47"/>
        <v>-8013.7</v>
      </c>
      <c r="Y1500" s="20">
        <f t="shared" si="47"/>
        <v>0</v>
      </c>
    </row>
    <row r="1501" spans="1:25" s="16" customFormat="1" ht="51">
      <c r="A1501" s="108" t="str">
        <f t="shared" si="46"/>
        <v>620050302 Б 01 00000000</v>
      </c>
      <c r="B1501" s="315" t="s">
        <v>1345</v>
      </c>
      <c r="C1501" s="198" t="s">
        <v>410</v>
      </c>
      <c r="D1501" s="198" t="s">
        <v>86</v>
      </c>
      <c r="E1501" s="198" t="s">
        <v>13</v>
      </c>
      <c r="F1501" s="198" t="s">
        <v>290</v>
      </c>
      <c r="G1501" s="198" t="s">
        <v>9</v>
      </c>
      <c r="H1501" s="32">
        <v>2000</v>
      </c>
      <c r="I1501" s="32">
        <v>0</v>
      </c>
      <c r="J1501" s="32">
        <v>0</v>
      </c>
      <c r="K1501" s="20"/>
      <c r="L1501" s="20"/>
      <c r="M1501" s="20"/>
      <c r="N1501" s="20"/>
      <c r="O1501" s="20"/>
      <c r="P1501" s="20"/>
      <c r="Q1501" s="17"/>
      <c r="T1501" s="20">
        <v>0</v>
      </c>
      <c r="U1501" s="20">
        <v>12075.88</v>
      </c>
      <c r="V1501" s="20">
        <v>1006.3199999999997</v>
      </c>
      <c r="W1501" s="20">
        <f t="shared" si="47"/>
        <v>2000</v>
      </c>
      <c r="X1501" s="20">
        <f t="shared" si="47"/>
        <v>-12075.88</v>
      </c>
      <c r="Y1501" s="20">
        <f t="shared" si="47"/>
        <v>-1006.3199999999997</v>
      </c>
    </row>
    <row r="1502" spans="1:25" s="16" customFormat="1" ht="38.25">
      <c r="A1502" s="108" t="str">
        <f t="shared" si="46"/>
        <v>620050302 Б 01 60050000</v>
      </c>
      <c r="B1502" s="197" t="s">
        <v>1346</v>
      </c>
      <c r="C1502" s="198" t="s">
        <v>410</v>
      </c>
      <c r="D1502" s="198" t="s">
        <v>86</v>
      </c>
      <c r="E1502" s="198" t="s">
        <v>13</v>
      </c>
      <c r="F1502" s="198" t="s">
        <v>1347</v>
      </c>
      <c r="G1502" s="198" t="s">
        <v>9</v>
      </c>
      <c r="H1502" s="32">
        <v>2000</v>
      </c>
      <c r="I1502" s="32">
        <v>0</v>
      </c>
      <c r="J1502" s="32">
        <v>0</v>
      </c>
      <c r="K1502" s="235"/>
      <c r="L1502" s="235"/>
      <c r="M1502" s="235"/>
      <c r="N1502" s="235"/>
      <c r="O1502" s="235"/>
      <c r="P1502" s="235"/>
      <c r="Q1502" s="17"/>
      <c r="T1502" s="235">
        <v>0</v>
      </c>
      <c r="U1502" s="235">
        <v>20089.579999999998</v>
      </c>
      <c r="V1502" s="235">
        <v>1006.3199999999997</v>
      </c>
      <c r="W1502" s="235">
        <f t="shared" si="47"/>
        <v>2000</v>
      </c>
      <c r="X1502" s="235">
        <f t="shared" si="47"/>
        <v>-20089.579999999998</v>
      </c>
      <c r="Y1502" s="235">
        <f t="shared" si="47"/>
        <v>-1006.3199999999997</v>
      </c>
    </row>
    <row r="1503" spans="1:25" s="16" customFormat="1" ht="25.5">
      <c r="A1503" s="108" t="str">
        <f t="shared" si="46"/>
        <v>620050302 Б 01 60050630</v>
      </c>
      <c r="B1503" s="197" t="s">
        <v>182</v>
      </c>
      <c r="C1503" s="198" t="s">
        <v>410</v>
      </c>
      <c r="D1503" s="198" t="s">
        <v>86</v>
      </c>
      <c r="E1503" s="198" t="s">
        <v>13</v>
      </c>
      <c r="F1503" s="198" t="s">
        <v>1347</v>
      </c>
      <c r="G1503" s="198" t="s">
        <v>183</v>
      </c>
      <c r="H1503" s="32">
        <v>2000</v>
      </c>
      <c r="I1503" s="20">
        <v>0</v>
      </c>
      <c r="J1503" s="20">
        <v>0</v>
      </c>
      <c r="K1503" s="20"/>
      <c r="L1503" s="20"/>
      <c r="M1503" s="20"/>
      <c r="N1503" s="235"/>
      <c r="O1503" s="235"/>
      <c r="P1503" s="235"/>
      <c r="Q1503" s="17"/>
      <c r="T1503" s="20">
        <v>0</v>
      </c>
      <c r="U1503" s="20">
        <v>0</v>
      </c>
      <c r="V1503" s="20">
        <v>2488.79</v>
      </c>
      <c r="W1503" s="20">
        <f t="shared" si="47"/>
        <v>2000</v>
      </c>
      <c r="X1503" s="20">
        <f t="shared" si="47"/>
        <v>0</v>
      </c>
      <c r="Y1503" s="20">
        <f t="shared" si="47"/>
        <v>-2488.79</v>
      </c>
    </row>
    <row r="1504" spans="1:25" s="16" customFormat="1" ht="38.25">
      <c r="A1504" s="108" t="str">
        <f t="shared" si="46"/>
        <v>620050304 0 00 00000000</v>
      </c>
      <c r="B1504" s="200" t="s">
        <v>293</v>
      </c>
      <c r="C1504" s="199" t="s">
        <v>410</v>
      </c>
      <c r="D1504" s="199" t="s">
        <v>86</v>
      </c>
      <c r="E1504" s="199" t="s">
        <v>13</v>
      </c>
      <c r="F1504" s="199" t="s">
        <v>294</v>
      </c>
      <c r="G1504" s="199" t="s">
        <v>9</v>
      </c>
      <c r="H1504" s="32">
        <v>280654.9200000001</v>
      </c>
      <c r="I1504" s="32">
        <v>202041.59000000003</v>
      </c>
      <c r="J1504" s="32">
        <v>202041.59000000003</v>
      </c>
      <c r="K1504" s="20"/>
      <c r="L1504" s="20"/>
      <c r="M1504" s="20"/>
      <c r="N1504" s="235"/>
      <c r="O1504" s="235"/>
      <c r="P1504" s="235"/>
      <c r="Q1504" s="17"/>
      <c r="T1504" s="20"/>
      <c r="U1504" s="20"/>
      <c r="V1504" s="20"/>
      <c r="W1504" s="20">
        <f t="shared" si="47"/>
        <v>280654.9200000001</v>
      </c>
      <c r="X1504" s="20">
        <f t="shared" si="47"/>
        <v>202041.59000000003</v>
      </c>
      <c r="Y1504" s="20">
        <f t="shared" si="47"/>
        <v>202041.59000000003</v>
      </c>
    </row>
    <row r="1505" spans="1:25" s="16" customFormat="1" ht="25.5">
      <c r="A1505" s="108" t="str">
        <f t="shared" si="46"/>
        <v>620050304 3 00 00000000</v>
      </c>
      <c r="B1505" s="197" t="s">
        <v>307</v>
      </c>
      <c r="C1505" s="199" t="s">
        <v>410</v>
      </c>
      <c r="D1505" s="199" t="s">
        <v>86</v>
      </c>
      <c r="E1505" s="199" t="s">
        <v>13</v>
      </c>
      <c r="F1505" s="199" t="s">
        <v>308</v>
      </c>
      <c r="G1505" s="199" t="s">
        <v>9</v>
      </c>
      <c r="H1505" s="32">
        <v>280654.9200000001</v>
      </c>
      <c r="I1505" s="32">
        <v>202041.59000000003</v>
      </c>
      <c r="J1505" s="32">
        <v>202041.59000000003</v>
      </c>
      <c r="K1505" s="20"/>
      <c r="L1505" s="20"/>
      <c r="M1505" s="20"/>
      <c r="N1505" s="235"/>
      <c r="O1505" s="235"/>
      <c r="P1505" s="235"/>
      <c r="Q1505" s="17"/>
      <c r="T1505" s="20">
        <v>0</v>
      </c>
      <c r="U1505" s="20">
        <v>0</v>
      </c>
      <c r="V1505" s="20">
        <v>2488.79</v>
      </c>
      <c r="W1505" s="20">
        <f t="shared" si="47"/>
        <v>280654.9200000001</v>
      </c>
      <c r="X1505" s="20">
        <f t="shared" si="47"/>
        <v>202041.59000000003</v>
      </c>
      <c r="Y1505" s="20">
        <f t="shared" si="47"/>
        <v>199552.80000000002</v>
      </c>
    </row>
    <row r="1506" spans="1:25" s="16" customFormat="1" ht="25.5">
      <c r="A1506" s="108" t="str">
        <f t="shared" si="46"/>
        <v>620050304 3 02 00000000</v>
      </c>
      <c r="B1506" s="197" t="s">
        <v>866</v>
      </c>
      <c r="C1506" s="199" t="s">
        <v>410</v>
      </c>
      <c r="D1506" s="199" t="s">
        <v>86</v>
      </c>
      <c r="E1506" s="199" t="s">
        <v>13</v>
      </c>
      <c r="F1506" s="199" t="s">
        <v>867</v>
      </c>
      <c r="G1506" s="199" t="s">
        <v>9</v>
      </c>
      <c r="H1506" s="32">
        <v>21832.15</v>
      </c>
      <c r="I1506" s="32">
        <v>16821.77</v>
      </c>
      <c r="J1506" s="32">
        <v>16821.77</v>
      </c>
      <c r="K1506" s="235"/>
      <c r="L1506" s="235"/>
      <c r="M1506" s="235"/>
      <c r="N1506" s="235"/>
      <c r="O1506" s="235"/>
      <c r="P1506" s="235"/>
      <c r="Q1506" s="17"/>
      <c r="T1506" s="235">
        <v>0</v>
      </c>
      <c r="U1506" s="235">
        <v>0</v>
      </c>
      <c r="V1506" s="235">
        <v>2488.79</v>
      </c>
      <c r="W1506" s="235">
        <f t="shared" si="47"/>
        <v>21832.15</v>
      </c>
      <c r="X1506" s="235">
        <f t="shared" si="47"/>
        <v>16821.77</v>
      </c>
      <c r="Y1506" s="235">
        <f t="shared" si="47"/>
        <v>14332.98</v>
      </c>
    </row>
    <row r="1507" spans="1:25" s="16" customFormat="1" ht="38.25">
      <c r="A1507" s="108" t="str">
        <f t="shared" si="46"/>
        <v>620050304 3 02 20290000</v>
      </c>
      <c r="B1507" s="197" t="s">
        <v>868</v>
      </c>
      <c r="C1507" s="199" t="s">
        <v>410</v>
      </c>
      <c r="D1507" s="199" t="s">
        <v>86</v>
      </c>
      <c r="E1507" s="199" t="s">
        <v>13</v>
      </c>
      <c r="F1507" s="199" t="s">
        <v>869</v>
      </c>
      <c r="G1507" s="199" t="s">
        <v>9</v>
      </c>
      <c r="H1507" s="32">
        <v>21832.15</v>
      </c>
      <c r="I1507" s="32">
        <v>16821.77</v>
      </c>
      <c r="J1507" s="32">
        <v>16821.77</v>
      </c>
      <c r="K1507" s="19"/>
      <c r="L1507" s="19"/>
      <c r="M1507" s="19"/>
      <c r="N1507" s="19"/>
      <c r="O1507" s="19"/>
      <c r="P1507" s="19"/>
      <c r="Q1507" s="17"/>
      <c r="T1507" s="19">
        <v>5412.1600000000008</v>
      </c>
      <c r="U1507" s="19">
        <v>7613.02</v>
      </c>
      <c r="V1507" s="19">
        <v>15579.71</v>
      </c>
      <c r="W1507" s="19">
        <f t="shared" si="47"/>
        <v>16419.990000000002</v>
      </c>
      <c r="X1507" s="19">
        <f t="shared" si="47"/>
        <v>9208.75</v>
      </c>
      <c r="Y1507" s="19">
        <f t="shared" si="47"/>
        <v>1242.0600000000013</v>
      </c>
    </row>
    <row r="1508" spans="1:25" s="16" customFormat="1">
      <c r="A1508" s="108" t="str">
        <f t="shared" si="46"/>
        <v/>
      </c>
      <c r="B1508" s="220" t="s">
        <v>1104</v>
      </c>
      <c r="C1508" s="199"/>
      <c r="D1508" s="199"/>
      <c r="E1508" s="199"/>
      <c r="F1508" s="199"/>
      <c r="G1508" s="199"/>
      <c r="H1508" s="32"/>
      <c r="I1508" s="32"/>
      <c r="J1508" s="32"/>
      <c r="K1508" s="20"/>
      <c r="L1508" s="20"/>
      <c r="M1508" s="20"/>
      <c r="N1508" s="20"/>
      <c r="O1508" s="20"/>
      <c r="P1508" s="20"/>
      <c r="Q1508" s="17"/>
      <c r="T1508" s="20">
        <v>5412.1600000000008</v>
      </c>
      <c r="U1508" s="20">
        <v>7613.02</v>
      </c>
      <c r="V1508" s="20">
        <v>15579.71</v>
      </c>
      <c r="W1508" s="20">
        <f t="shared" si="47"/>
        <v>-5412.1600000000008</v>
      </c>
      <c r="X1508" s="20">
        <f t="shared" si="47"/>
        <v>-7613.02</v>
      </c>
      <c r="Y1508" s="20">
        <f t="shared" si="47"/>
        <v>-15579.71</v>
      </c>
    </row>
    <row r="1509" spans="1:25" s="16" customFormat="1">
      <c r="A1509" s="108" t="str">
        <f t="shared" si="46"/>
        <v>620050304 3 02 20290000</v>
      </c>
      <c r="B1509" s="221" t="s">
        <v>1105</v>
      </c>
      <c r="C1509" s="223" t="s">
        <v>410</v>
      </c>
      <c r="D1509" s="223" t="s">
        <v>86</v>
      </c>
      <c r="E1509" s="223" t="s">
        <v>13</v>
      </c>
      <c r="F1509" s="223" t="s">
        <v>869</v>
      </c>
      <c r="G1509" s="223" t="s">
        <v>9</v>
      </c>
      <c r="H1509" s="229">
        <v>99.99</v>
      </c>
      <c r="I1509" s="229">
        <v>0</v>
      </c>
      <c r="J1509" s="229">
        <v>0</v>
      </c>
      <c r="K1509" s="20"/>
      <c r="L1509" s="20"/>
      <c r="M1509" s="20"/>
      <c r="N1509" s="20"/>
      <c r="O1509" s="20"/>
      <c r="P1509" s="20"/>
      <c r="Q1509" s="17"/>
      <c r="T1509" s="20">
        <v>5412.1600000000008</v>
      </c>
      <c r="U1509" s="20">
        <v>7613.02</v>
      </c>
      <c r="V1509" s="20">
        <v>15579.71</v>
      </c>
      <c r="W1509" s="20">
        <f t="shared" si="47"/>
        <v>-5312.170000000001</v>
      </c>
      <c r="X1509" s="20">
        <f t="shared" si="47"/>
        <v>-7613.02</v>
      </c>
      <c r="Y1509" s="20">
        <f t="shared" si="47"/>
        <v>-15579.71</v>
      </c>
    </row>
    <row r="1510" spans="1:25" s="16" customFormat="1" ht="25.5">
      <c r="A1510" s="108" t="str">
        <f t="shared" si="46"/>
        <v>620050304 3 02 20290240</v>
      </c>
      <c r="B1510" s="197" t="s">
        <v>28</v>
      </c>
      <c r="C1510" s="199" t="s">
        <v>410</v>
      </c>
      <c r="D1510" s="199" t="s">
        <v>86</v>
      </c>
      <c r="E1510" s="199" t="s">
        <v>13</v>
      </c>
      <c r="F1510" s="199" t="s">
        <v>869</v>
      </c>
      <c r="G1510" s="199" t="s">
        <v>29</v>
      </c>
      <c r="H1510" s="32">
        <v>21832.15</v>
      </c>
      <c r="I1510" s="32">
        <v>16821.77</v>
      </c>
      <c r="J1510" s="32">
        <v>16821.77</v>
      </c>
      <c r="K1510" s="20"/>
      <c r="L1510" s="20"/>
      <c r="M1510" s="20"/>
      <c r="N1510" s="20"/>
      <c r="O1510" s="20"/>
      <c r="P1510" s="20"/>
      <c r="Q1510" s="17"/>
      <c r="T1510" s="20">
        <v>5412.1600000000008</v>
      </c>
      <c r="U1510" s="20">
        <v>7613.02</v>
      </c>
      <c r="V1510" s="20">
        <v>15579.71</v>
      </c>
      <c r="W1510" s="20">
        <f t="shared" si="47"/>
        <v>16419.990000000002</v>
      </c>
      <c r="X1510" s="20">
        <f t="shared" si="47"/>
        <v>9208.75</v>
      </c>
      <c r="Y1510" s="20">
        <f t="shared" si="47"/>
        <v>1242.0600000000013</v>
      </c>
    </row>
    <row r="1511" spans="1:25" s="16" customFormat="1" ht="38.25">
      <c r="A1511" s="108" t="str">
        <f t="shared" si="46"/>
        <v>620050304 3 03 00000000</v>
      </c>
      <c r="B1511" s="197" t="s">
        <v>870</v>
      </c>
      <c r="C1511" s="199" t="s">
        <v>410</v>
      </c>
      <c r="D1511" s="199" t="s">
        <v>86</v>
      </c>
      <c r="E1511" s="199" t="s">
        <v>13</v>
      </c>
      <c r="F1511" s="199" t="s">
        <v>871</v>
      </c>
      <c r="G1511" s="199" t="s">
        <v>9</v>
      </c>
      <c r="H1511" s="32">
        <v>2284.56</v>
      </c>
      <c r="I1511" s="32">
        <v>2284.56</v>
      </c>
      <c r="J1511" s="32">
        <v>2284.56</v>
      </c>
      <c r="K1511" s="20"/>
      <c r="L1511" s="20"/>
      <c r="M1511" s="20"/>
      <c r="N1511" s="20"/>
      <c r="O1511" s="20"/>
      <c r="P1511" s="20"/>
      <c r="Q1511" s="17"/>
      <c r="T1511" s="20">
        <v>5412.1600000000008</v>
      </c>
      <c r="U1511" s="20">
        <v>7613.02</v>
      </c>
      <c r="V1511" s="20">
        <v>15579.71</v>
      </c>
      <c r="W1511" s="20">
        <f t="shared" si="47"/>
        <v>-3127.6000000000008</v>
      </c>
      <c r="X1511" s="20">
        <f t="shared" si="47"/>
        <v>-5328.4600000000009</v>
      </c>
      <c r="Y1511" s="20">
        <f t="shared" si="47"/>
        <v>-13295.15</v>
      </c>
    </row>
    <row r="1512" spans="1:25" s="16" customFormat="1" ht="25.5">
      <c r="A1512" s="108" t="str">
        <f t="shared" si="46"/>
        <v>620050304 3 03 77150000</v>
      </c>
      <c r="B1512" s="197" t="s">
        <v>872</v>
      </c>
      <c r="C1512" s="199" t="s">
        <v>410</v>
      </c>
      <c r="D1512" s="199" t="s">
        <v>86</v>
      </c>
      <c r="E1512" s="199" t="s">
        <v>13</v>
      </c>
      <c r="F1512" s="199" t="s">
        <v>873</v>
      </c>
      <c r="G1512" s="199" t="s">
        <v>9</v>
      </c>
      <c r="H1512" s="32">
        <v>2284.56</v>
      </c>
      <c r="I1512" s="32">
        <v>2284.56</v>
      </c>
      <c r="J1512" s="32">
        <v>2284.56</v>
      </c>
      <c r="K1512" s="20"/>
      <c r="L1512" s="20"/>
      <c r="M1512" s="20"/>
      <c r="N1512" s="20"/>
      <c r="O1512" s="20"/>
      <c r="P1512" s="20"/>
      <c r="Q1512" s="17"/>
      <c r="T1512" s="20"/>
      <c r="U1512" s="20"/>
      <c r="V1512" s="20"/>
      <c r="W1512" s="20">
        <f t="shared" si="47"/>
        <v>2284.56</v>
      </c>
      <c r="X1512" s="20">
        <f t="shared" si="47"/>
        <v>2284.56</v>
      </c>
      <c r="Y1512" s="20">
        <f t="shared" si="47"/>
        <v>2284.56</v>
      </c>
    </row>
    <row r="1513" spans="1:25" s="16" customFormat="1" ht="25.5">
      <c r="A1513" s="108" t="str">
        <f t="shared" si="46"/>
        <v>620050304 3 03 77150240</v>
      </c>
      <c r="B1513" s="197" t="s">
        <v>28</v>
      </c>
      <c r="C1513" s="199" t="s">
        <v>410</v>
      </c>
      <c r="D1513" s="199" t="s">
        <v>86</v>
      </c>
      <c r="E1513" s="199" t="s">
        <v>13</v>
      </c>
      <c r="F1513" s="199" t="s">
        <v>873</v>
      </c>
      <c r="G1513" s="199" t="s">
        <v>29</v>
      </c>
      <c r="H1513" s="32">
        <v>2284.56</v>
      </c>
      <c r="I1513" s="32">
        <v>2284.56</v>
      </c>
      <c r="J1513" s="32">
        <v>2284.56</v>
      </c>
      <c r="K1513" s="20"/>
      <c r="L1513" s="20"/>
      <c r="M1513" s="20"/>
      <c r="N1513" s="20"/>
      <c r="O1513" s="20"/>
      <c r="P1513" s="20"/>
      <c r="Q1513" s="17"/>
      <c r="T1513" s="20">
        <v>5386.85</v>
      </c>
      <c r="U1513" s="20">
        <v>7613.02</v>
      </c>
      <c r="V1513" s="20">
        <v>0</v>
      </c>
      <c r="W1513" s="20">
        <f t="shared" si="47"/>
        <v>-3102.2900000000004</v>
      </c>
      <c r="X1513" s="20">
        <f t="shared" si="47"/>
        <v>-5328.4600000000009</v>
      </c>
      <c r="Y1513" s="20">
        <f t="shared" si="47"/>
        <v>2284.56</v>
      </c>
    </row>
    <row r="1514" spans="1:25" s="16" customFormat="1" ht="25.5">
      <c r="A1514" s="108" t="str">
        <f t="shared" si="46"/>
        <v>620050304 3 04 00000000</v>
      </c>
      <c r="B1514" s="315" t="s">
        <v>309</v>
      </c>
      <c r="C1514" s="199" t="s">
        <v>410</v>
      </c>
      <c r="D1514" s="199" t="s">
        <v>86</v>
      </c>
      <c r="E1514" s="199" t="s">
        <v>13</v>
      </c>
      <c r="F1514" s="199" t="s">
        <v>310</v>
      </c>
      <c r="G1514" s="199" t="s">
        <v>9</v>
      </c>
      <c r="H1514" s="32">
        <v>256538.21000000008</v>
      </c>
      <c r="I1514" s="32">
        <v>182935.26</v>
      </c>
      <c r="J1514" s="32">
        <v>182935.26</v>
      </c>
      <c r="K1514" s="20"/>
      <c r="L1514" s="20"/>
      <c r="M1514" s="20"/>
      <c r="N1514" s="20"/>
      <c r="O1514" s="20"/>
      <c r="P1514" s="20"/>
      <c r="Q1514" s="17"/>
      <c r="T1514" s="20">
        <v>0</v>
      </c>
      <c r="U1514" s="20">
        <v>0</v>
      </c>
      <c r="V1514" s="20">
        <v>15579.71</v>
      </c>
      <c r="W1514" s="20">
        <f t="shared" si="47"/>
        <v>256538.21000000008</v>
      </c>
      <c r="X1514" s="20">
        <f t="shared" si="47"/>
        <v>182935.26</v>
      </c>
      <c r="Y1514" s="20">
        <f t="shared" si="47"/>
        <v>167355.55000000002</v>
      </c>
    </row>
    <row r="1515" spans="1:25" s="16" customFormat="1" ht="25.5">
      <c r="A1515" s="108" t="str">
        <f t="shared" si="46"/>
        <v>620050304 3 04 11010000</v>
      </c>
      <c r="B1515" s="197" t="s">
        <v>136</v>
      </c>
      <c r="C1515" s="199" t="s">
        <v>410</v>
      </c>
      <c r="D1515" s="199" t="s">
        <v>86</v>
      </c>
      <c r="E1515" s="199" t="s">
        <v>13</v>
      </c>
      <c r="F1515" s="199" t="s">
        <v>874</v>
      </c>
      <c r="G1515" s="199" t="s">
        <v>9</v>
      </c>
      <c r="H1515" s="32">
        <v>25020.93</v>
      </c>
      <c r="I1515" s="32">
        <v>18163.38</v>
      </c>
      <c r="J1515" s="32">
        <v>18163.38</v>
      </c>
      <c r="K1515" s="20"/>
      <c r="L1515" s="20"/>
      <c r="M1515" s="20"/>
      <c r="N1515" s="20"/>
      <c r="O1515" s="20"/>
      <c r="P1515" s="20"/>
      <c r="Q1515" s="17"/>
      <c r="T1515" s="20">
        <v>25.31</v>
      </c>
      <c r="U1515" s="20">
        <v>0</v>
      </c>
      <c r="V1515" s="20">
        <v>0</v>
      </c>
      <c r="W1515" s="20">
        <f t="shared" si="47"/>
        <v>24995.62</v>
      </c>
      <c r="X1515" s="20">
        <f t="shared" si="47"/>
        <v>18163.38</v>
      </c>
      <c r="Y1515" s="20">
        <f t="shared" si="47"/>
        <v>18163.38</v>
      </c>
    </row>
    <row r="1516" spans="1:25" s="16" customFormat="1">
      <c r="A1516" s="108" t="str">
        <f t="shared" si="46"/>
        <v>620050304 3 04 11010610</v>
      </c>
      <c r="B1516" s="205" t="s">
        <v>403</v>
      </c>
      <c r="C1516" s="199" t="s">
        <v>410</v>
      </c>
      <c r="D1516" s="199" t="s">
        <v>86</v>
      </c>
      <c r="E1516" s="199" t="s">
        <v>13</v>
      </c>
      <c r="F1516" s="199" t="s">
        <v>874</v>
      </c>
      <c r="G1516" s="199" t="s">
        <v>404</v>
      </c>
      <c r="H1516" s="32">
        <v>25020.93</v>
      </c>
      <c r="I1516" s="32">
        <v>18163.38</v>
      </c>
      <c r="J1516" s="32">
        <v>18163.38</v>
      </c>
      <c r="K1516" s="235"/>
      <c r="L1516" s="235"/>
      <c r="M1516" s="235"/>
      <c r="N1516" s="20"/>
      <c r="O1516" s="20"/>
      <c r="P1516" s="20"/>
      <c r="Q1516" s="17"/>
      <c r="T1516" s="235">
        <v>5412.1600000000008</v>
      </c>
      <c r="U1516" s="235">
        <v>7613.02</v>
      </c>
      <c r="V1516" s="235">
        <v>15579.71</v>
      </c>
      <c r="W1516" s="235">
        <f t="shared" si="47"/>
        <v>19608.77</v>
      </c>
      <c r="X1516" s="235">
        <f t="shared" si="47"/>
        <v>10550.36</v>
      </c>
      <c r="Y1516" s="235">
        <f t="shared" si="47"/>
        <v>2583.6700000000019</v>
      </c>
    </row>
    <row r="1517" spans="1:25" s="16" customFormat="1" ht="25.5">
      <c r="A1517" s="108" t="str">
        <f t="shared" si="46"/>
        <v>620050304 3 04 20280000</v>
      </c>
      <c r="B1517" s="197" t="s">
        <v>875</v>
      </c>
      <c r="C1517" s="199" t="s">
        <v>410</v>
      </c>
      <c r="D1517" s="199" t="s">
        <v>86</v>
      </c>
      <c r="E1517" s="199" t="s">
        <v>13</v>
      </c>
      <c r="F1517" s="199" t="s">
        <v>876</v>
      </c>
      <c r="G1517" s="199" t="s">
        <v>9</v>
      </c>
      <c r="H1517" s="32">
        <v>127050.80000000003</v>
      </c>
      <c r="I1517" s="32">
        <v>105992.62</v>
      </c>
      <c r="J1517" s="32">
        <v>105992.62</v>
      </c>
      <c r="K1517" s="18"/>
      <c r="L1517" s="18"/>
      <c r="M1517" s="18"/>
      <c r="N1517" s="18"/>
      <c r="O1517" s="18"/>
      <c r="P1517" s="18"/>
      <c r="Q1517" s="17"/>
      <c r="T1517" s="18">
        <v>800</v>
      </c>
      <c r="U1517" s="18">
        <v>800</v>
      </c>
      <c r="V1517" s="18">
        <v>800</v>
      </c>
      <c r="W1517" s="18">
        <f t="shared" si="47"/>
        <v>126250.80000000003</v>
      </c>
      <c r="X1517" s="18">
        <f t="shared" si="47"/>
        <v>105192.62</v>
      </c>
      <c r="Y1517" s="18">
        <f t="shared" si="47"/>
        <v>105192.62</v>
      </c>
    </row>
    <row r="1518" spans="1:25" s="16" customFormat="1">
      <c r="A1518" s="108" t="str">
        <f t="shared" si="46"/>
        <v/>
      </c>
      <c r="B1518" s="220" t="s">
        <v>1104</v>
      </c>
      <c r="C1518" s="199"/>
      <c r="D1518" s="199"/>
      <c r="E1518" s="199"/>
      <c r="F1518" s="199"/>
      <c r="G1518" s="199"/>
      <c r="H1518" s="32"/>
      <c r="I1518" s="32"/>
      <c r="J1518" s="32"/>
      <c r="K1518" s="19"/>
      <c r="L1518" s="19"/>
      <c r="M1518" s="19"/>
      <c r="N1518" s="19"/>
      <c r="O1518" s="19"/>
      <c r="P1518" s="19"/>
      <c r="Q1518" s="17"/>
      <c r="T1518" s="19">
        <v>800</v>
      </c>
      <c r="U1518" s="19">
        <v>800</v>
      </c>
      <c r="V1518" s="19">
        <v>800</v>
      </c>
      <c r="W1518" s="19">
        <f t="shared" si="47"/>
        <v>-800</v>
      </c>
      <c r="X1518" s="19">
        <f t="shared" si="47"/>
        <v>-800</v>
      </c>
      <c r="Y1518" s="19">
        <f t="shared" si="47"/>
        <v>-800</v>
      </c>
    </row>
    <row r="1519" spans="1:25" s="16" customFormat="1">
      <c r="A1519" s="108" t="str">
        <f t="shared" si="46"/>
        <v>620050304 3 04 20280000</v>
      </c>
      <c r="B1519" s="221" t="s">
        <v>1105</v>
      </c>
      <c r="C1519" s="223" t="s">
        <v>410</v>
      </c>
      <c r="D1519" s="223" t="s">
        <v>86</v>
      </c>
      <c r="E1519" s="223" t="s">
        <v>13</v>
      </c>
      <c r="F1519" s="223" t="s">
        <v>876</v>
      </c>
      <c r="G1519" s="223" t="s">
        <v>9</v>
      </c>
      <c r="H1519" s="229">
        <v>8312.75</v>
      </c>
      <c r="I1519" s="229">
        <v>0</v>
      </c>
      <c r="J1519" s="229">
        <v>0</v>
      </c>
      <c r="K1519" s="20"/>
      <c r="L1519" s="20"/>
      <c r="M1519" s="20"/>
      <c r="N1519" s="20"/>
      <c r="O1519" s="20"/>
      <c r="P1519" s="20"/>
      <c r="Q1519" s="17"/>
      <c r="T1519" s="20">
        <v>800</v>
      </c>
      <c r="U1519" s="20">
        <v>800</v>
      </c>
      <c r="V1519" s="20">
        <v>800</v>
      </c>
      <c r="W1519" s="20">
        <f t="shared" si="47"/>
        <v>7512.75</v>
      </c>
      <c r="X1519" s="20">
        <f t="shared" si="47"/>
        <v>-800</v>
      </c>
      <c r="Y1519" s="20">
        <f t="shared" si="47"/>
        <v>-800</v>
      </c>
    </row>
    <row r="1520" spans="1:25" s="16" customFormat="1" ht="25.5">
      <c r="A1520" s="108" t="str">
        <f t="shared" si="46"/>
        <v>620050304 3 04 20280240</v>
      </c>
      <c r="B1520" s="197" t="s">
        <v>28</v>
      </c>
      <c r="C1520" s="199" t="s">
        <v>410</v>
      </c>
      <c r="D1520" s="199" t="s">
        <v>86</v>
      </c>
      <c r="E1520" s="199" t="s">
        <v>13</v>
      </c>
      <c r="F1520" s="199" t="s">
        <v>876</v>
      </c>
      <c r="G1520" s="199" t="s">
        <v>29</v>
      </c>
      <c r="H1520" s="32">
        <v>127050.80000000003</v>
      </c>
      <c r="I1520" s="32">
        <v>105992.62</v>
      </c>
      <c r="J1520" s="32">
        <v>105992.62</v>
      </c>
      <c r="K1520" s="20"/>
      <c r="L1520" s="20"/>
      <c r="M1520" s="20"/>
      <c r="N1520" s="20"/>
      <c r="O1520" s="20"/>
      <c r="P1520" s="20"/>
      <c r="Q1520" s="17"/>
      <c r="T1520" s="20">
        <v>800</v>
      </c>
      <c r="U1520" s="20">
        <v>800</v>
      </c>
      <c r="V1520" s="20">
        <v>800</v>
      </c>
      <c r="W1520" s="20">
        <f t="shared" si="47"/>
        <v>126250.80000000003</v>
      </c>
      <c r="X1520" s="20">
        <f t="shared" si="47"/>
        <v>105192.62</v>
      </c>
      <c r="Y1520" s="20">
        <f t="shared" si="47"/>
        <v>105192.62</v>
      </c>
    </row>
    <row r="1521" spans="1:25" s="16" customFormat="1" ht="25.5">
      <c r="A1521" s="108" t="str">
        <f t="shared" si="46"/>
        <v>620050304 3 04 20300000</v>
      </c>
      <c r="B1521" s="197" t="s">
        <v>542</v>
      </c>
      <c r="C1521" s="199" t="s">
        <v>410</v>
      </c>
      <c r="D1521" s="199" t="s">
        <v>86</v>
      </c>
      <c r="E1521" s="199" t="s">
        <v>13</v>
      </c>
      <c r="F1521" s="199" t="s">
        <v>543</v>
      </c>
      <c r="G1521" s="199" t="s">
        <v>9</v>
      </c>
      <c r="H1521" s="32">
        <v>10862.66</v>
      </c>
      <c r="I1521" s="32">
        <v>8531.51</v>
      </c>
      <c r="J1521" s="32">
        <v>8531.51</v>
      </c>
      <c r="K1521" s="20"/>
      <c r="L1521" s="20"/>
      <c r="M1521" s="20"/>
      <c r="N1521" s="20"/>
      <c r="O1521" s="20"/>
      <c r="P1521" s="20"/>
      <c r="Q1521" s="17"/>
      <c r="T1521" s="20">
        <v>800</v>
      </c>
      <c r="U1521" s="20">
        <v>800</v>
      </c>
      <c r="V1521" s="20">
        <v>800</v>
      </c>
      <c r="W1521" s="20">
        <f t="shared" si="47"/>
        <v>10062.66</v>
      </c>
      <c r="X1521" s="20">
        <f t="shared" si="47"/>
        <v>7731.51</v>
      </c>
      <c r="Y1521" s="20">
        <f t="shared" si="47"/>
        <v>7731.51</v>
      </c>
    </row>
    <row r="1522" spans="1:25" s="16" customFormat="1">
      <c r="A1522" s="108" t="str">
        <f t="shared" si="46"/>
        <v/>
      </c>
      <c r="B1522" s="197" t="s">
        <v>1104</v>
      </c>
      <c r="C1522" s="199"/>
      <c r="D1522" s="199"/>
      <c r="E1522" s="199"/>
      <c r="F1522" s="199"/>
      <c r="G1522" s="199"/>
      <c r="H1522" s="32"/>
      <c r="I1522" s="32"/>
      <c r="J1522" s="32"/>
      <c r="K1522" s="20"/>
      <c r="L1522" s="20"/>
      <c r="M1522" s="20"/>
      <c r="N1522" s="20"/>
      <c r="O1522" s="20"/>
      <c r="P1522" s="20"/>
      <c r="Q1522" s="17"/>
      <c r="T1522" s="20">
        <v>800</v>
      </c>
      <c r="U1522" s="20">
        <v>800</v>
      </c>
      <c r="V1522" s="20">
        <v>800</v>
      </c>
      <c r="W1522" s="20">
        <f t="shared" si="47"/>
        <v>-800</v>
      </c>
      <c r="X1522" s="20">
        <f t="shared" si="47"/>
        <v>-800</v>
      </c>
      <c r="Y1522" s="20">
        <f t="shared" si="47"/>
        <v>-800</v>
      </c>
    </row>
    <row r="1523" spans="1:25" s="16" customFormat="1" ht="38.25">
      <c r="A1523" s="108" t="str">
        <f t="shared" si="46"/>
        <v>620050304 3 04 20300000</v>
      </c>
      <c r="B1523" s="197" t="s">
        <v>1143</v>
      </c>
      <c r="C1523" s="199" t="s">
        <v>410</v>
      </c>
      <c r="D1523" s="199" t="s">
        <v>86</v>
      </c>
      <c r="E1523" s="199" t="s">
        <v>13</v>
      </c>
      <c r="F1523" s="199" t="s">
        <v>543</v>
      </c>
      <c r="G1523" s="199" t="s">
        <v>9</v>
      </c>
      <c r="H1523" s="32">
        <v>0.20999999999999375</v>
      </c>
      <c r="I1523" s="32">
        <v>0</v>
      </c>
      <c r="J1523" s="32">
        <v>0</v>
      </c>
      <c r="K1523" s="20"/>
      <c r="L1523" s="20"/>
      <c r="M1523" s="20"/>
      <c r="N1523" s="20"/>
      <c r="O1523" s="20"/>
      <c r="P1523" s="20"/>
      <c r="Q1523" s="17"/>
      <c r="T1523" s="20">
        <v>800</v>
      </c>
      <c r="U1523" s="20">
        <v>800</v>
      </c>
      <c r="V1523" s="20">
        <v>800</v>
      </c>
      <c r="W1523" s="20">
        <f t="shared" si="47"/>
        <v>-799.79</v>
      </c>
      <c r="X1523" s="20">
        <f t="shared" si="47"/>
        <v>-800</v>
      </c>
      <c r="Y1523" s="20">
        <f t="shared" si="47"/>
        <v>-800</v>
      </c>
    </row>
    <row r="1524" spans="1:25" s="16" customFormat="1" ht="25.5">
      <c r="A1524" s="108" t="str">
        <f t="shared" si="46"/>
        <v>620050304 3 04 20300240</v>
      </c>
      <c r="B1524" s="197" t="s">
        <v>28</v>
      </c>
      <c r="C1524" s="199" t="s">
        <v>410</v>
      </c>
      <c r="D1524" s="199" t="s">
        <v>86</v>
      </c>
      <c r="E1524" s="199" t="s">
        <v>13</v>
      </c>
      <c r="F1524" s="199" t="s">
        <v>543</v>
      </c>
      <c r="G1524" s="199" t="s">
        <v>29</v>
      </c>
      <c r="H1524" s="32">
        <v>10862.45</v>
      </c>
      <c r="I1524" s="32">
        <v>8531.51</v>
      </c>
      <c r="J1524" s="32">
        <v>8531.51</v>
      </c>
      <c r="K1524" s="20"/>
      <c r="L1524" s="20"/>
      <c r="M1524" s="20"/>
      <c r="N1524" s="20"/>
      <c r="O1524" s="20"/>
      <c r="P1524" s="20"/>
      <c r="Q1524" s="17"/>
      <c r="T1524" s="20">
        <v>88</v>
      </c>
      <c r="U1524" s="20">
        <v>0</v>
      </c>
      <c r="V1524" s="20">
        <v>0</v>
      </c>
      <c r="W1524" s="20">
        <f t="shared" si="47"/>
        <v>10774.45</v>
      </c>
      <c r="X1524" s="20">
        <f t="shared" si="47"/>
        <v>8531.51</v>
      </c>
      <c r="Y1524" s="20">
        <f t="shared" si="47"/>
        <v>8531.51</v>
      </c>
    </row>
    <row r="1525" spans="1:25" s="16" customFormat="1">
      <c r="A1525" s="108" t="str">
        <f t="shared" si="46"/>
        <v/>
      </c>
      <c r="B1525" s="220" t="s">
        <v>1104</v>
      </c>
      <c r="C1525" s="199"/>
      <c r="D1525" s="199"/>
      <c r="E1525" s="199"/>
      <c r="F1525" s="199"/>
      <c r="G1525" s="199"/>
      <c r="H1525" s="32"/>
      <c r="I1525" s="32"/>
      <c r="J1525" s="32"/>
      <c r="K1525" s="20"/>
      <c r="L1525" s="20"/>
      <c r="M1525" s="20"/>
      <c r="N1525" s="20"/>
      <c r="O1525" s="20"/>
      <c r="P1525" s="20"/>
      <c r="Q1525" s="17"/>
      <c r="T1525" s="20">
        <v>88</v>
      </c>
      <c r="U1525" s="20">
        <v>0</v>
      </c>
      <c r="V1525" s="20">
        <v>0</v>
      </c>
      <c r="W1525" s="20">
        <f t="shared" si="47"/>
        <v>-88</v>
      </c>
      <c r="X1525" s="20">
        <f t="shared" si="47"/>
        <v>0</v>
      </c>
      <c r="Y1525" s="20">
        <f t="shared" si="47"/>
        <v>0</v>
      </c>
    </row>
    <row r="1526" spans="1:25" s="16" customFormat="1">
      <c r="A1526" s="108" t="str">
        <f t="shared" si="46"/>
        <v>620050304 3 04 20300240</v>
      </c>
      <c r="B1526" s="221" t="s">
        <v>1105</v>
      </c>
      <c r="C1526" s="223" t="s">
        <v>410</v>
      </c>
      <c r="D1526" s="223" t="s">
        <v>86</v>
      </c>
      <c r="E1526" s="223" t="s">
        <v>13</v>
      </c>
      <c r="F1526" s="223" t="s">
        <v>543</v>
      </c>
      <c r="G1526" s="223" t="s">
        <v>29</v>
      </c>
      <c r="H1526" s="229">
        <v>830.93999999999994</v>
      </c>
      <c r="I1526" s="229">
        <v>0</v>
      </c>
      <c r="J1526" s="229">
        <v>0</v>
      </c>
      <c r="K1526" s="20"/>
      <c r="L1526" s="20"/>
      <c r="M1526" s="20"/>
      <c r="N1526" s="20"/>
      <c r="O1526" s="20"/>
      <c r="P1526" s="20"/>
      <c r="Q1526" s="17"/>
      <c r="T1526" s="20">
        <v>88</v>
      </c>
      <c r="U1526" s="20">
        <v>0</v>
      </c>
      <c r="V1526" s="20">
        <v>0</v>
      </c>
      <c r="W1526" s="20">
        <f t="shared" si="47"/>
        <v>742.93999999999994</v>
      </c>
      <c r="X1526" s="20">
        <f t="shared" si="47"/>
        <v>0</v>
      </c>
      <c r="Y1526" s="20">
        <f t="shared" si="47"/>
        <v>0</v>
      </c>
    </row>
    <row r="1527" spans="1:25" s="16" customFormat="1">
      <c r="A1527" s="108" t="str">
        <f t="shared" si="46"/>
        <v>620050304 3 04 20300410</v>
      </c>
      <c r="B1527" s="231" t="s">
        <v>837</v>
      </c>
      <c r="C1527" s="233" t="s">
        <v>410</v>
      </c>
      <c r="D1527" s="233" t="s">
        <v>86</v>
      </c>
      <c r="E1527" s="233" t="s">
        <v>13</v>
      </c>
      <c r="F1527" s="233" t="s">
        <v>543</v>
      </c>
      <c r="G1527" s="232" t="s">
        <v>838</v>
      </c>
      <c r="H1527" s="274">
        <v>0.20999999999999375</v>
      </c>
      <c r="I1527" s="274">
        <v>0</v>
      </c>
      <c r="J1527" s="274">
        <v>0</v>
      </c>
      <c r="K1527" s="20"/>
      <c r="L1527" s="20"/>
      <c r="M1527" s="20"/>
      <c r="N1527" s="20"/>
      <c r="O1527" s="20"/>
      <c r="P1527" s="20"/>
      <c r="Q1527" s="17"/>
      <c r="T1527" s="20">
        <v>88</v>
      </c>
      <c r="U1527" s="20">
        <v>0</v>
      </c>
      <c r="V1527" s="20">
        <v>0</v>
      </c>
      <c r="W1527" s="20">
        <f t="shared" si="47"/>
        <v>-87.79</v>
      </c>
      <c r="X1527" s="20">
        <f t="shared" si="47"/>
        <v>0</v>
      </c>
      <c r="Y1527" s="20">
        <f t="shared" si="47"/>
        <v>0</v>
      </c>
    </row>
    <row r="1528" spans="1:25" s="16" customFormat="1" ht="38.25">
      <c r="A1528" s="108" t="str">
        <f t="shared" si="46"/>
        <v>620050304 3 04 20300810</v>
      </c>
      <c r="B1528" s="278" t="s">
        <v>203</v>
      </c>
      <c r="C1528" s="199" t="s">
        <v>410</v>
      </c>
      <c r="D1528" s="199" t="s">
        <v>86</v>
      </c>
      <c r="E1528" s="199" t="s">
        <v>13</v>
      </c>
      <c r="F1528" s="199" t="s">
        <v>543</v>
      </c>
      <c r="G1528" s="199" t="s">
        <v>204</v>
      </c>
      <c r="H1528" s="32">
        <v>0</v>
      </c>
      <c r="I1528" s="32">
        <v>0</v>
      </c>
      <c r="J1528" s="32">
        <v>0</v>
      </c>
      <c r="K1528" s="20"/>
      <c r="L1528" s="20"/>
      <c r="M1528" s="20"/>
      <c r="N1528" s="20"/>
      <c r="O1528" s="20"/>
      <c r="P1528" s="20"/>
      <c r="Q1528" s="17"/>
      <c r="T1528" s="20">
        <v>88</v>
      </c>
      <c r="U1528" s="20">
        <v>0</v>
      </c>
      <c r="V1528" s="20">
        <v>0</v>
      </c>
      <c r="W1528" s="20">
        <f t="shared" si="47"/>
        <v>-88</v>
      </c>
      <c r="X1528" s="20">
        <f t="shared" si="47"/>
        <v>0</v>
      </c>
      <c r="Y1528" s="20">
        <f t="shared" si="47"/>
        <v>0</v>
      </c>
    </row>
    <row r="1529" spans="1:25" s="16" customFormat="1" ht="25.5">
      <c r="A1529" s="108" t="str">
        <f t="shared" si="46"/>
        <v>620050304 3 04 20780000</v>
      </c>
      <c r="B1529" s="214" t="s">
        <v>877</v>
      </c>
      <c r="C1529" s="199" t="s">
        <v>410</v>
      </c>
      <c r="D1529" s="199" t="s">
        <v>86</v>
      </c>
      <c r="E1529" s="199" t="s">
        <v>13</v>
      </c>
      <c r="F1529" s="199" t="s">
        <v>878</v>
      </c>
      <c r="G1529" s="199" t="s">
        <v>9</v>
      </c>
      <c r="H1529" s="32">
        <v>8238.3199999999961</v>
      </c>
      <c r="I1529" s="32">
        <v>34467.69</v>
      </c>
      <c r="J1529" s="32">
        <v>34467.69</v>
      </c>
      <c r="K1529" s="20"/>
      <c r="L1529" s="20"/>
      <c r="M1529" s="20"/>
      <c r="N1529" s="20"/>
      <c r="O1529" s="20"/>
      <c r="P1529" s="20"/>
      <c r="Q1529" s="17"/>
      <c r="T1529" s="20">
        <v>88</v>
      </c>
      <c r="U1529" s="20">
        <v>0</v>
      </c>
      <c r="V1529" s="20">
        <v>0</v>
      </c>
      <c r="W1529" s="20">
        <f t="shared" si="47"/>
        <v>8150.3199999999961</v>
      </c>
      <c r="X1529" s="20">
        <f t="shared" si="47"/>
        <v>34467.69</v>
      </c>
      <c r="Y1529" s="20">
        <f t="shared" si="47"/>
        <v>34467.69</v>
      </c>
    </row>
    <row r="1530" spans="1:25" s="16" customFormat="1">
      <c r="A1530" s="108" t="str">
        <f t="shared" si="46"/>
        <v/>
      </c>
      <c r="B1530" s="220" t="s">
        <v>1104</v>
      </c>
      <c r="C1530" s="199"/>
      <c r="D1530" s="199"/>
      <c r="E1530" s="199"/>
      <c r="F1530" s="199"/>
      <c r="G1530" s="199"/>
      <c r="H1530" s="32"/>
      <c r="I1530" s="32"/>
      <c r="J1530" s="32"/>
      <c r="K1530" s="20"/>
      <c r="L1530" s="20"/>
      <c r="M1530" s="20"/>
      <c r="N1530" s="20"/>
      <c r="O1530" s="20"/>
      <c r="P1530" s="20"/>
      <c r="Q1530" s="17"/>
      <c r="T1530" s="20"/>
      <c r="U1530" s="20"/>
      <c r="V1530" s="20"/>
      <c r="W1530" s="20">
        <f t="shared" si="47"/>
        <v>0</v>
      </c>
      <c r="X1530" s="20">
        <f t="shared" si="47"/>
        <v>0</v>
      </c>
      <c r="Y1530" s="20">
        <f t="shared" si="47"/>
        <v>0</v>
      </c>
    </row>
    <row r="1531" spans="1:25" s="16" customFormat="1">
      <c r="A1531" s="108" t="str">
        <f t="shared" si="46"/>
        <v>620050304 3 04 20780000</v>
      </c>
      <c r="B1531" s="221" t="s">
        <v>1105</v>
      </c>
      <c r="C1531" s="223" t="s">
        <v>410</v>
      </c>
      <c r="D1531" s="223" t="s">
        <v>86</v>
      </c>
      <c r="E1531" s="223" t="s">
        <v>13</v>
      </c>
      <c r="F1531" s="223" t="s">
        <v>878</v>
      </c>
      <c r="G1531" s="223" t="s">
        <v>9</v>
      </c>
      <c r="H1531" s="229">
        <v>94.67</v>
      </c>
      <c r="I1531" s="229">
        <v>0</v>
      </c>
      <c r="J1531" s="229">
        <v>0</v>
      </c>
      <c r="K1531" s="20"/>
      <c r="L1531" s="20"/>
      <c r="M1531" s="20"/>
      <c r="N1531" s="20"/>
      <c r="O1531" s="20"/>
      <c r="P1531" s="20"/>
      <c r="Q1531" s="17"/>
      <c r="T1531" s="20">
        <v>88</v>
      </c>
      <c r="U1531" s="20">
        <v>0</v>
      </c>
      <c r="V1531" s="20">
        <v>0</v>
      </c>
      <c r="W1531" s="20">
        <f t="shared" si="47"/>
        <v>6.6700000000000017</v>
      </c>
      <c r="X1531" s="20">
        <f t="shared" si="47"/>
        <v>0</v>
      </c>
      <c r="Y1531" s="20">
        <f t="shared" si="47"/>
        <v>0</v>
      </c>
    </row>
    <row r="1532" spans="1:25" s="16" customFormat="1" ht="25.5">
      <c r="A1532" s="108" t="str">
        <f t="shared" si="46"/>
        <v>620050304 3 04 20780240</v>
      </c>
      <c r="B1532" s="197" t="s">
        <v>28</v>
      </c>
      <c r="C1532" s="199" t="s">
        <v>410</v>
      </c>
      <c r="D1532" s="199" t="s">
        <v>86</v>
      </c>
      <c r="E1532" s="199" t="s">
        <v>13</v>
      </c>
      <c r="F1532" s="199" t="s">
        <v>878</v>
      </c>
      <c r="G1532" s="199" t="s">
        <v>29</v>
      </c>
      <c r="H1532" s="32">
        <v>8238.3199999999961</v>
      </c>
      <c r="I1532" s="32">
        <v>34467.69</v>
      </c>
      <c r="J1532" s="32">
        <v>34467.69</v>
      </c>
      <c r="K1532" s="20"/>
      <c r="L1532" s="20"/>
      <c r="M1532" s="20"/>
      <c r="N1532" s="20"/>
      <c r="O1532" s="20"/>
      <c r="P1532" s="20"/>
      <c r="Q1532" s="17"/>
      <c r="T1532" s="20">
        <v>88</v>
      </c>
      <c r="U1532" s="20">
        <v>0</v>
      </c>
      <c r="V1532" s="20">
        <v>0</v>
      </c>
      <c r="W1532" s="20">
        <f t="shared" si="47"/>
        <v>8150.3199999999961</v>
      </c>
      <c r="X1532" s="20">
        <f t="shared" si="47"/>
        <v>34467.69</v>
      </c>
      <c r="Y1532" s="20">
        <f t="shared" si="47"/>
        <v>34467.69</v>
      </c>
    </row>
    <row r="1533" spans="1:25" s="16" customFormat="1" ht="38.25">
      <c r="A1533" s="108" t="str">
        <f t="shared" si="46"/>
        <v>620050304 3 04 40010000</v>
      </c>
      <c r="B1533" s="315" t="s">
        <v>448</v>
      </c>
      <c r="C1533" s="236" t="s">
        <v>410</v>
      </c>
      <c r="D1533" s="236" t="s">
        <v>86</v>
      </c>
      <c r="E1533" s="236" t="s">
        <v>13</v>
      </c>
      <c r="F1533" s="236" t="s">
        <v>1348</v>
      </c>
      <c r="G1533" s="236" t="s">
        <v>9</v>
      </c>
      <c r="H1533" s="210">
        <v>0</v>
      </c>
      <c r="I1533" s="210">
        <v>0</v>
      </c>
      <c r="J1533" s="210">
        <v>0</v>
      </c>
      <c r="K1533" s="20"/>
      <c r="L1533" s="20"/>
      <c r="M1533" s="20"/>
      <c r="N1533" s="20"/>
      <c r="O1533" s="20"/>
      <c r="P1533" s="20"/>
      <c r="Q1533" s="17"/>
      <c r="T1533" s="20"/>
      <c r="U1533" s="20"/>
      <c r="V1533" s="20"/>
      <c r="W1533" s="20">
        <f t="shared" si="47"/>
        <v>0</v>
      </c>
      <c r="X1533" s="20">
        <f t="shared" si="47"/>
        <v>0</v>
      </c>
      <c r="Y1533" s="20">
        <f t="shared" si="47"/>
        <v>0</v>
      </c>
    </row>
    <row r="1534" spans="1:25" s="16" customFormat="1">
      <c r="A1534" s="108" t="str">
        <f t="shared" si="46"/>
        <v/>
      </c>
      <c r="B1534" s="197" t="s">
        <v>1104</v>
      </c>
      <c r="C1534" s="236"/>
      <c r="D1534" s="236"/>
      <c r="E1534" s="236"/>
      <c r="F1534" s="236"/>
      <c r="G1534" s="236"/>
      <c r="H1534" s="210"/>
      <c r="I1534" s="210"/>
      <c r="J1534" s="210"/>
      <c r="K1534" s="25"/>
      <c r="L1534" s="25"/>
      <c r="M1534" s="25"/>
      <c r="N1534" s="25"/>
      <c r="O1534" s="25"/>
      <c r="P1534" s="25"/>
      <c r="Q1534" s="17"/>
      <c r="T1534" s="25">
        <v>76236.66</v>
      </c>
      <c r="U1534" s="25">
        <v>76350.38</v>
      </c>
      <c r="V1534" s="25">
        <v>76350.38</v>
      </c>
      <c r="W1534" s="25">
        <f t="shared" si="47"/>
        <v>-76236.66</v>
      </c>
      <c r="X1534" s="25">
        <f t="shared" si="47"/>
        <v>-76350.38</v>
      </c>
      <c r="Y1534" s="25">
        <f t="shared" si="47"/>
        <v>-76350.38</v>
      </c>
    </row>
    <row r="1535" spans="1:25" s="16" customFormat="1" ht="38.25">
      <c r="A1535" s="108" t="str">
        <f t="shared" si="46"/>
        <v>620050304 3 04 40010000</v>
      </c>
      <c r="B1535" s="207" t="s">
        <v>1349</v>
      </c>
      <c r="C1535" s="236" t="s">
        <v>410</v>
      </c>
      <c r="D1535" s="236" t="s">
        <v>86</v>
      </c>
      <c r="E1535" s="236" t="s">
        <v>13</v>
      </c>
      <c r="F1535" s="236" t="s">
        <v>1348</v>
      </c>
      <c r="G1535" s="236" t="s">
        <v>9</v>
      </c>
      <c r="H1535" s="210">
        <v>0</v>
      </c>
      <c r="I1535" s="210">
        <v>0</v>
      </c>
      <c r="J1535" s="210">
        <v>0</v>
      </c>
      <c r="K1535" s="18"/>
      <c r="L1535" s="18"/>
      <c r="M1535" s="18"/>
      <c r="N1535" s="18"/>
      <c r="O1535" s="18"/>
      <c r="P1535" s="18"/>
      <c r="Q1535" s="17"/>
      <c r="T1535" s="18">
        <v>76236.66</v>
      </c>
      <c r="U1535" s="18">
        <v>76350.38</v>
      </c>
      <c r="V1535" s="18">
        <v>76350.38</v>
      </c>
      <c r="W1535" s="18">
        <f t="shared" si="47"/>
        <v>-76236.66</v>
      </c>
      <c r="X1535" s="18">
        <f t="shared" si="47"/>
        <v>-76350.38</v>
      </c>
      <c r="Y1535" s="18">
        <f t="shared" si="47"/>
        <v>-76350.38</v>
      </c>
    </row>
    <row r="1536" spans="1:25" s="16" customFormat="1" ht="76.5">
      <c r="A1536" s="108" t="str">
        <f t="shared" si="46"/>
        <v>620050304 3 04 40010460</v>
      </c>
      <c r="B1536" s="197" t="s">
        <v>1163</v>
      </c>
      <c r="C1536" s="236" t="s">
        <v>410</v>
      </c>
      <c r="D1536" s="236" t="s">
        <v>86</v>
      </c>
      <c r="E1536" s="236" t="s">
        <v>13</v>
      </c>
      <c r="F1536" s="236" t="s">
        <v>1348</v>
      </c>
      <c r="G1536" s="236" t="s">
        <v>451</v>
      </c>
      <c r="H1536" s="210">
        <v>0</v>
      </c>
      <c r="I1536" s="210">
        <v>0</v>
      </c>
      <c r="J1536" s="210">
        <v>0</v>
      </c>
      <c r="K1536" s="19"/>
      <c r="L1536" s="19"/>
      <c r="M1536" s="19"/>
      <c r="N1536" s="19"/>
      <c r="O1536" s="19"/>
      <c r="P1536" s="19"/>
      <c r="Q1536" s="17"/>
      <c r="T1536" s="19">
        <v>76236.66</v>
      </c>
      <c r="U1536" s="19">
        <v>76350.38</v>
      </c>
      <c r="V1536" s="19">
        <v>76350.38</v>
      </c>
      <c r="W1536" s="19">
        <f t="shared" si="47"/>
        <v>-76236.66</v>
      </c>
      <c r="X1536" s="19">
        <f t="shared" si="47"/>
        <v>-76350.38</v>
      </c>
      <c r="Y1536" s="19">
        <f t="shared" si="47"/>
        <v>-76350.38</v>
      </c>
    </row>
    <row r="1537" spans="1:25" s="16" customFormat="1" ht="51">
      <c r="A1537" s="108" t="str">
        <f t="shared" si="46"/>
        <v>620050304 3 04 76413000</v>
      </c>
      <c r="B1537" s="197" t="s">
        <v>1350</v>
      </c>
      <c r="C1537" s="203" t="s">
        <v>410</v>
      </c>
      <c r="D1537" s="204" t="s">
        <v>86</v>
      </c>
      <c r="E1537" s="204" t="s">
        <v>13</v>
      </c>
      <c r="F1537" s="204" t="s">
        <v>1351</v>
      </c>
      <c r="G1537" s="204" t="s">
        <v>9</v>
      </c>
      <c r="H1537" s="26">
        <v>19744.080000000002</v>
      </c>
      <c r="I1537" s="26">
        <v>14838.06</v>
      </c>
      <c r="J1537" s="26">
        <v>14838.06</v>
      </c>
      <c r="K1537" s="20"/>
      <c r="L1537" s="20"/>
      <c r="M1537" s="20"/>
      <c r="N1537" s="20"/>
      <c r="O1537" s="20"/>
      <c r="P1537" s="20"/>
      <c r="Q1537" s="17"/>
      <c r="T1537" s="20">
        <v>22.95</v>
      </c>
      <c r="U1537" s="20">
        <v>22.95</v>
      </c>
      <c r="V1537" s="20">
        <v>22.95</v>
      </c>
      <c r="W1537" s="20">
        <f t="shared" si="47"/>
        <v>19721.13</v>
      </c>
      <c r="X1537" s="20">
        <f t="shared" si="47"/>
        <v>14815.109999999999</v>
      </c>
      <c r="Y1537" s="20">
        <f t="shared" si="47"/>
        <v>14815.109999999999</v>
      </c>
    </row>
    <row r="1538" spans="1:25" s="66" customFormat="1" ht="25.5">
      <c r="A1538" s="108" t="str">
        <f t="shared" si="46"/>
        <v>620050304 3 04 76413240</v>
      </c>
      <c r="B1538" s="197" t="s">
        <v>28</v>
      </c>
      <c r="C1538" s="203" t="s">
        <v>410</v>
      </c>
      <c r="D1538" s="204" t="s">
        <v>86</v>
      </c>
      <c r="E1538" s="204" t="s">
        <v>13</v>
      </c>
      <c r="F1538" s="204" t="s">
        <v>1351</v>
      </c>
      <c r="G1538" s="204" t="s">
        <v>29</v>
      </c>
      <c r="H1538" s="26">
        <v>19744.080000000002</v>
      </c>
      <c r="I1538" s="26">
        <v>14838.06</v>
      </c>
      <c r="J1538" s="26">
        <v>14838.06</v>
      </c>
      <c r="K1538" s="20"/>
      <c r="L1538" s="20"/>
      <c r="M1538" s="20"/>
      <c r="N1538" s="20"/>
      <c r="O1538" s="20"/>
      <c r="P1538" s="20"/>
      <c r="Q1538" s="17"/>
      <c r="T1538" s="20">
        <v>22.95</v>
      </c>
      <c r="U1538" s="20">
        <v>22.95</v>
      </c>
      <c r="V1538" s="20">
        <v>22.95</v>
      </c>
      <c r="W1538" s="20">
        <f t="shared" si="47"/>
        <v>19721.13</v>
      </c>
      <c r="X1538" s="20">
        <f t="shared" si="47"/>
        <v>14815.109999999999</v>
      </c>
      <c r="Y1538" s="20">
        <f t="shared" si="47"/>
        <v>14815.109999999999</v>
      </c>
    </row>
    <row r="1539" spans="1:25" s="16" customFormat="1" ht="76.5">
      <c r="A1539" s="108" t="str">
        <f t="shared" si="46"/>
        <v>620050304 3 04 76415000</v>
      </c>
      <c r="B1539" s="337" t="s">
        <v>1352</v>
      </c>
      <c r="C1539" s="203" t="s">
        <v>410</v>
      </c>
      <c r="D1539" s="204" t="s">
        <v>86</v>
      </c>
      <c r="E1539" s="204" t="s">
        <v>13</v>
      </c>
      <c r="F1539" s="204" t="s">
        <v>1353</v>
      </c>
      <c r="G1539" s="204" t="s">
        <v>9</v>
      </c>
      <c r="H1539" s="26">
        <v>7456.27</v>
      </c>
      <c r="I1539" s="26">
        <v>0</v>
      </c>
      <c r="J1539" s="26">
        <v>0</v>
      </c>
      <c r="K1539" s="20"/>
      <c r="L1539" s="20"/>
      <c r="M1539" s="20"/>
      <c r="N1539" s="20"/>
      <c r="O1539" s="20"/>
      <c r="P1539" s="20"/>
      <c r="Q1539" s="17"/>
      <c r="T1539" s="20">
        <v>22.95</v>
      </c>
      <c r="U1539" s="20">
        <v>22.95</v>
      </c>
      <c r="V1539" s="20">
        <v>22.95</v>
      </c>
      <c r="W1539" s="20">
        <f t="shared" si="47"/>
        <v>7433.3200000000006</v>
      </c>
      <c r="X1539" s="20">
        <f t="shared" si="47"/>
        <v>-22.95</v>
      </c>
      <c r="Y1539" s="20">
        <f t="shared" si="47"/>
        <v>-22.95</v>
      </c>
    </row>
    <row r="1540" spans="1:25" s="16" customFormat="1" ht="25.5">
      <c r="A1540" s="108" t="str">
        <f t="shared" si="46"/>
        <v>620050304 3 04 76415240</v>
      </c>
      <c r="B1540" s="197" t="s">
        <v>28</v>
      </c>
      <c r="C1540" s="203" t="s">
        <v>410</v>
      </c>
      <c r="D1540" s="204" t="s">
        <v>86</v>
      </c>
      <c r="E1540" s="204" t="s">
        <v>13</v>
      </c>
      <c r="F1540" s="204" t="s">
        <v>1353</v>
      </c>
      <c r="G1540" s="204" t="s">
        <v>29</v>
      </c>
      <c r="H1540" s="26">
        <v>7456.27</v>
      </c>
      <c r="I1540" s="26">
        <v>0</v>
      </c>
      <c r="J1540" s="26">
        <v>0</v>
      </c>
      <c r="K1540" s="20"/>
      <c r="L1540" s="20"/>
      <c r="M1540" s="20"/>
      <c r="N1540" s="20"/>
      <c r="O1540" s="20"/>
      <c r="P1540" s="20"/>
      <c r="Q1540" s="17"/>
      <c r="T1540" s="20">
        <v>22.95</v>
      </c>
      <c r="U1540" s="20">
        <v>22.95</v>
      </c>
      <c r="V1540" s="20">
        <v>22.95</v>
      </c>
      <c r="W1540" s="20">
        <f t="shared" si="47"/>
        <v>7433.3200000000006</v>
      </c>
      <c r="X1540" s="20">
        <f t="shared" si="47"/>
        <v>-22.95</v>
      </c>
      <c r="Y1540" s="20">
        <f t="shared" si="47"/>
        <v>-22.95</v>
      </c>
    </row>
    <row r="1541" spans="1:25" s="16" customFormat="1" ht="25.5">
      <c r="A1541" s="108" t="str">
        <f t="shared" si="46"/>
        <v>620050304 3 04 77241000</v>
      </c>
      <c r="B1541" s="197" t="s">
        <v>1144</v>
      </c>
      <c r="C1541" s="203" t="s">
        <v>410</v>
      </c>
      <c r="D1541" s="204" t="s">
        <v>86</v>
      </c>
      <c r="E1541" s="204" t="s">
        <v>13</v>
      </c>
      <c r="F1541" s="204" t="s">
        <v>1145</v>
      </c>
      <c r="G1541" s="204" t="s">
        <v>9</v>
      </c>
      <c r="H1541" s="26">
        <v>17290</v>
      </c>
      <c r="I1541" s="26">
        <v>0</v>
      </c>
      <c r="J1541" s="26">
        <v>0</v>
      </c>
      <c r="K1541" s="20"/>
      <c r="L1541" s="20"/>
      <c r="M1541" s="20"/>
      <c r="N1541" s="20"/>
      <c r="O1541" s="20"/>
      <c r="P1541" s="20"/>
      <c r="Q1541" s="17"/>
      <c r="T1541" s="20">
        <v>22.95</v>
      </c>
      <c r="U1541" s="20">
        <v>22.95</v>
      </c>
      <c r="V1541" s="20">
        <v>22.95</v>
      </c>
      <c r="W1541" s="20">
        <f t="shared" si="47"/>
        <v>17267.05</v>
      </c>
      <c r="X1541" s="20">
        <f t="shared" si="47"/>
        <v>-22.95</v>
      </c>
      <c r="Y1541" s="20">
        <f t="shared" si="47"/>
        <v>-22.95</v>
      </c>
    </row>
    <row r="1542" spans="1:25" s="16" customFormat="1">
      <c r="A1542" s="108" t="str">
        <f t="shared" ref="A1542:A1605" si="48">C1542&amp;D1542&amp;E1542&amp;F1542&amp;G1542</f>
        <v/>
      </c>
      <c r="B1542" s="197" t="s">
        <v>1104</v>
      </c>
      <c r="C1542" s="203"/>
      <c r="D1542" s="204"/>
      <c r="E1542" s="204"/>
      <c r="F1542" s="204"/>
      <c r="G1542" s="204"/>
      <c r="H1542" s="26"/>
      <c r="I1542" s="26"/>
      <c r="J1542" s="26"/>
      <c r="K1542" s="20"/>
      <c r="L1542" s="20"/>
      <c r="M1542" s="20"/>
      <c r="N1542" s="20"/>
      <c r="O1542" s="20"/>
      <c r="P1542" s="20"/>
      <c r="Q1542" s="17"/>
      <c r="T1542" s="20">
        <v>60864.22</v>
      </c>
      <c r="U1542" s="20">
        <v>60977.94</v>
      </c>
      <c r="V1542" s="20">
        <v>60977.94</v>
      </c>
      <c r="W1542" s="20">
        <f t="shared" si="47"/>
        <v>-60864.22</v>
      </c>
      <c r="X1542" s="20">
        <f t="shared" si="47"/>
        <v>-60977.94</v>
      </c>
      <c r="Y1542" s="20">
        <f t="shared" si="47"/>
        <v>-60977.94</v>
      </c>
    </row>
    <row r="1543" spans="1:25" s="66" customFormat="1" ht="38.25">
      <c r="A1543" s="108" t="str">
        <f t="shared" si="48"/>
        <v>620050304 3 04 77241000</v>
      </c>
      <c r="B1543" s="197" t="s">
        <v>1143</v>
      </c>
      <c r="C1543" s="203" t="s">
        <v>410</v>
      </c>
      <c r="D1543" s="204" t="s">
        <v>86</v>
      </c>
      <c r="E1543" s="204" t="s">
        <v>13</v>
      </c>
      <c r="F1543" s="204" t="s">
        <v>1145</v>
      </c>
      <c r="G1543" s="204" t="s">
        <v>9</v>
      </c>
      <c r="H1543" s="26">
        <v>17290</v>
      </c>
      <c r="I1543" s="26">
        <v>0</v>
      </c>
      <c r="J1543" s="26">
        <v>0</v>
      </c>
      <c r="K1543" s="20"/>
      <c r="L1543" s="20"/>
      <c r="M1543" s="20"/>
      <c r="N1543" s="20"/>
      <c r="O1543" s="20"/>
      <c r="P1543" s="20"/>
      <c r="Q1543" s="17"/>
      <c r="T1543" s="20">
        <v>34413.199999999997</v>
      </c>
      <c r="U1543" s="20">
        <v>34413.199999999997</v>
      </c>
      <c r="V1543" s="20">
        <v>34413.199999999997</v>
      </c>
      <c r="W1543" s="20">
        <f t="shared" si="47"/>
        <v>-17123.199999999997</v>
      </c>
      <c r="X1543" s="20">
        <f t="shared" si="47"/>
        <v>-34413.199999999997</v>
      </c>
      <c r="Y1543" s="20">
        <f t="shared" si="47"/>
        <v>-34413.199999999997</v>
      </c>
    </row>
    <row r="1544" spans="1:25" s="16" customFormat="1">
      <c r="A1544" s="108" t="str">
        <f t="shared" si="48"/>
        <v>620050304 3 04 77241410</v>
      </c>
      <c r="B1544" s="231" t="s">
        <v>837</v>
      </c>
      <c r="C1544" s="232" t="s">
        <v>410</v>
      </c>
      <c r="D1544" s="233" t="s">
        <v>86</v>
      </c>
      <c r="E1544" s="233" t="s">
        <v>13</v>
      </c>
      <c r="F1544" s="233" t="s">
        <v>1145</v>
      </c>
      <c r="G1544" s="233" t="s">
        <v>838</v>
      </c>
      <c r="H1544" s="235">
        <v>17290</v>
      </c>
      <c r="I1544" s="235">
        <v>0</v>
      </c>
      <c r="J1544" s="235">
        <v>0</v>
      </c>
      <c r="K1544" s="20"/>
      <c r="L1544" s="20"/>
      <c r="M1544" s="20"/>
      <c r="N1544" s="20"/>
      <c r="O1544" s="20"/>
      <c r="P1544" s="20"/>
      <c r="Q1544" s="17"/>
      <c r="T1544" s="20">
        <v>100</v>
      </c>
      <c r="U1544" s="20">
        <v>100</v>
      </c>
      <c r="V1544" s="20">
        <v>100</v>
      </c>
      <c r="W1544" s="20">
        <f t="shared" si="47"/>
        <v>17190</v>
      </c>
      <c r="X1544" s="20">
        <f t="shared" si="47"/>
        <v>-100</v>
      </c>
      <c r="Y1544" s="20">
        <f t="shared" si="47"/>
        <v>-100</v>
      </c>
    </row>
    <row r="1545" spans="1:25" s="16" customFormat="1" ht="25.5">
      <c r="A1545" s="108" t="str">
        <f t="shared" si="48"/>
        <v>620050304 3 04 77330000</v>
      </c>
      <c r="B1545" s="197" t="s">
        <v>1149</v>
      </c>
      <c r="C1545" s="198" t="s">
        <v>410</v>
      </c>
      <c r="D1545" s="199" t="s">
        <v>86</v>
      </c>
      <c r="E1545" s="199" t="s">
        <v>13</v>
      </c>
      <c r="F1545" s="199" t="s">
        <v>1146</v>
      </c>
      <c r="G1545" s="199" t="s">
        <v>9</v>
      </c>
      <c r="H1545" s="20">
        <v>35434.559999999998</v>
      </c>
      <c r="I1545" s="20">
        <v>0</v>
      </c>
      <c r="J1545" s="20">
        <v>0</v>
      </c>
      <c r="K1545" s="20"/>
      <c r="L1545" s="20"/>
      <c r="M1545" s="20"/>
      <c r="N1545" s="20"/>
      <c r="O1545" s="20"/>
      <c r="P1545" s="20"/>
      <c r="Q1545" s="17"/>
      <c r="T1545" s="20">
        <v>100</v>
      </c>
      <c r="U1545" s="20">
        <v>100</v>
      </c>
      <c r="V1545" s="20">
        <v>100</v>
      </c>
      <c r="W1545" s="20">
        <f t="shared" si="47"/>
        <v>35334.559999999998</v>
      </c>
      <c r="X1545" s="20">
        <f t="shared" si="47"/>
        <v>-100</v>
      </c>
      <c r="Y1545" s="20">
        <f t="shared" si="47"/>
        <v>-100</v>
      </c>
    </row>
    <row r="1546" spans="1:25" s="16" customFormat="1" ht="25.5">
      <c r="A1546" s="108" t="str">
        <f t="shared" si="48"/>
        <v>620050304 3 04 77330240</v>
      </c>
      <c r="B1546" s="197" t="s">
        <v>28</v>
      </c>
      <c r="C1546" s="198" t="s">
        <v>410</v>
      </c>
      <c r="D1546" s="199" t="s">
        <v>86</v>
      </c>
      <c r="E1546" s="199" t="s">
        <v>13</v>
      </c>
      <c r="F1546" s="199" t="s">
        <v>1146</v>
      </c>
      <c r="G1546" s="199" t="s">
        <v>29</v>
      </c>
      <c r="H1546" s="20">
        <v>35434.559999999998</v>
      </c>
      <c r="I1546" s="20">
        <v>0</v>
      </c>
      <c r="J1546" s="20">
        <v>0</v>
      </c>
      <c r="K1546" s="20"/>
      <c r="L1546" s="20"/>
      <c r="M1546" s="20"/>
      <c r="N1546" s="20"/>
      <c r="O1546" s="20"/>
      <c r="P1546" s="20"/>
      <c r="Q1546" s="17"/>
      <c r="T1546" s="20">
        <v>100</v>
      </c>
      <c r="U1546" s="20">
        <v>100</v>
      </c>
      <c r="V1546" s="20">
        <v>100</v>
      </c>
      <c r="W1546" s="20">
        <f t="shared" si="47"/>
        <v>35334.559999999998</v>
      </c>
      <c r="X1546" s="20">
        <f t="shared" si="47"/>
        <v>-100</v>
      </c>
      <c r="Y1546" s="20">
        <f t="shared" si="47"/>
        <v>-100</v>
      </c>
    </row>
    <row r="1547" spans="1:25" s="16" customFormat="1" ht="191.25">
      <c r="A1547" s="108" t="str">
        <f t="shared" si="48"/>
        <v>620050304 3 04 77460000</v>
      </c>
      <c r="B1547" s="197" t="s">
        <v>1263</v>
      </c>
      <c r="C1547" s="199" t="s">
        <v>410</v>
      </c>
      <c r="D1547" s="199" t="s">
        <v>86</v>
      </c>
      <c r="E1547" s="199" t="s">
        <v>13</v>
      </c>
      <c r="F1547" s="199" t="s">
        <v>1354</v>
      </c>
      <c r="G1547" s="199" t="s">
        <v>9</v>
      </c>
      <c r="H1547" s="20">
        <v>402.45</v>
      </c>
      <c r="I1547" s="20">
        <v>0</v>
      </c>
      <c r="J1547" s="20">
        <v>0</v>
      </c>
      <c r="K1547" s="20"/>
      <c r="L1547" s="20"/>
      <c r="M1547" s="20"/>
      <c r="N1547" s="20"/>
      <c r="O1547" s="20"/>
      <c r="P1547" s="20"/>
      <c r="Q1547" s="17"/>
      <c r="T1547" s="20">
        <v>33883.199999999997</v>
      </c>
      <c r="U1547" s="20">
        <v>33883.199999999997</v>
      </c>
      <c r="V1547" s="20">
        <v>33883.199999999997</v>
      </c>
      <c r="W1547" s="20">
        <f t="shared" ref="W1547:Y1596" si="49">H1547-T1547</f>
        <v>-33480.75</v>
      </c>
      <c r="X1547" s="20">
        <f t="shared" si="49"/>
        <v>-33883.199999999997</v>
      </c>
      <c r="Y1547" s="20">
        <f t="shared" si="49"/>
        <v>-33883.199999999997</v>
      </c>
    </row>
    <row r="1548" spans="1:25" s="16" customFormat="1">
      <c r="A1548" s="108" t="str">
        <f t="shared" si="48"/>
        <v>620050304 3 04 77460610</v>
      </c>
      <c r="B1548" s="205" t="s">
        <v>403</v>
      </c>
      <c r="C1548" s="199" t="s">
        <v>410</v>
      </c>
      <c r="D1548" s="199" t="s">
        <v>86</v>
      </c>
      <c r="E1548" s="199" t="s">
        <v>13</v>
      </c>
      <c r="F1548" s="199" t="s">
        <v>1354</v>
      </c>
      <c r="G1548" s="199" t="s">
        <v>404</v>
      </c>
      <c r="H1548" s="20">
        <v>402.45</v>
      </c>
      <c r="I1548" s="20">
        <v>0</v>
      </c>
      <c r="J1548" s="20">
        <v>0</v>
      </c>
      <c r="K1548" s="20"/>
      <c r="L1548" s="20"/>
      <c r="M1548" s="20"/>
      <c r="N1548" s="20"/>
      <c r="O1548" s="20"/>
      <c r="P1548" s="20"/>
      <c r="Q1548" s="17"/>
      <c r="T1548" s="20">
        <v>33883.199999999997</v>
      </c>
      <c r="U1548" s="20">
        <v>33883.199999999997</v>
      </c>
      <c r="V1548" s="20">
        <v>33883.199999999997</v>
      </c>
      <c r="W1548" s="20">
        <f t="shared" si="49"/>
        <v>-33480.75</v>
      </c>
      <c r="X1548" s="20">
        <f t="shared" si="49"/>
        <v>-33883.199999999997</v>
      </c>
      <c r="Y1548" s="20">
        <f t="shared" si="49"/>
        <v>-33883.199999999997</v>
      </c>
    </row>
    <row r="1549" spans="1:25" s="16" customFormat="1" ht="51">
      <c r="A1549" s="108" t="str">
        <f t="shared" si="48"/>
        <v>620050304 3 04 S6413000</v>
      </c>
      <c r="B1549" s="207" t="s">
        <v>1355</v>
      </c>
      <c r="C1549" s="338" t="s">
        <v>410</v>
      </c>
      <c r="D1549" s="338" t="s">
        <v>86</v>
      </c>
      <c r="E1549" s="338" t="s">
        <v>13</v>
      </c>
      <c r="F1549" s="338" t="s">
        <v>1356</v>
      </c>
      <c r="G1549" s="326" t="s">
        <v>9</v>
      </c>
      <c r="H1549" s="329">
        <v>2263.16</v>
      </c>
      <c r="I1549" s="329">
        <v>942</v>
      </c>
      <c r="J1549" s="329">
        <v>942</v>
      </c>
      <c r="K1549" s="20"/>
      <c r="L1549" s="20"/>
      <c r="M1549" s="20"/>
      <c r="N1549" s="20"/>
      <c r="O1549" s="20"/>
      <c r="P1549" s="20"/>
      <c r="Q1549" s="17"/>
      <c r="T1549" s="20">
        <v>28677.98</v>
      </c>
      <c r="U1549" s="20">
        <v>28677.98</v>
      </c>
      <c r="V1549" s="20">
        <v>28677.98</v>
      </c>
      <c r="W1549" s="20">
        <f t="shared" si="49"/>
        <v>-26414.82</v>
      </c>
      <c r="X1549" s="20">
        <f t="shared" si="49"/>
        <v>-27735.98</v>
      </c>
      <c r="Y1549" s="20">
        <f t="shared" si="49"/>
        <v>-27735.98</v>
      </c>
    </row>
    <row r="1550" spans="1:25" s="16" customFormat="1" ht="25.5">
      <c r="A1550" s="108" t="str">
        <f t="shared" si="48"/>
        <v>620050304 3 04 S6413240</v>
      </c>
      <c r="B1550" s="207" t="s">
        <v>28</v>
      </c>
      <c r="C1550" s="338" t="s">
        <v>410</v>
      </c>
      <c r="D1550" s="338" t="s">
        <v>86</v>
      </c>
      <c r="E1550" s="338" t="s">
        <v>13</v>
      </c>
      <c r="F1550" s="338" t="s">
        <v>1356</v>
      </c>
      <c r="G1550" s="326" t="s">
        <v>29</v>
      </c>
      <c r="H1550" s="329">
        <v>2263.16</v>
      </c>
      <c r="I1550" s="329">
        <v>942</v>
      </c>
      <c r="J1550" s="329">
        <v>942</v>
      </c>
      <c r="K1550" s="20"/>
      <c r="L1550" s="20"/>
      <c r="M1550" s="20"/>
      <c r="N1550" s="20"/>
      <c r="O1550" s="20"/>
      <c r="P1550" s="20"/>
      <c r="Q1550" s="17"/>
      <c r="T1550" s="20">
        <v>4264.22</v>
      </c>
      <c r="U1550" s="20">
        <v>4264.22</v>
      </c>
      <c r="V1550" s="20">
        <v>4264.22</v>
      </c>
      <c r="W1550" s="20">
        <f t="shared" si="49"/>
        <v>-2001.0600000000004</v>
      </c>
      <c r="X1550" s="20">
        <f t="shared" si="49"/>
        <v>-3322.2200000000003</v>
      </c>
      <c r="Y1550" s="20">
        <f t="shared" si="49"/>
        <v>-3322.2200000000003</v>
      </c>
    </row>
    <row r="1551" spans="1:25" s="16" customFormat="1" ht="25.5">
      <c r="A1551" s="108" t="str">
        <f t="shared" si="48"/>
        <v>620050304 3 04 S7241000</v>
      </c>
      <c r="B1551" s="197" t="s">
        <v>1063</v>
      </c>
      <c r="C1551" s="203" t="s">
        <v>410</v>
      </c>
      <c r="D1551" s="204" t="s">
        <v>86</v>
      </c>
      <c r="E1551" s="204" t="s">
        <v>13</v>
      </c>
      <c r="F1551" s="204" t="s">
        <v>1064</v>
      </c>
      <c r="G1551" s="204" t="s">
        <v>9</v>
      </c>
      <c r="H1551" s="26">
        <v>910</v>
      </c>
      <c r="I1551" s="26">
        <v>0</v>
      </c>
      <c r="J1551" s="26">
        <v>0</v>
      </c>
      <c r="K1551" s="20"/>
      <c r="L1551" s="20"/>
      <c r="M1551" s="20"/>
      <c r="N1551" s="20"/>
      <c r="O1551" s="20"/>
      <c r="P1551" s="20"/>
      <c r="Q1551" s="17"/>
      <c r="T1551" s="20">
        <v>941</v>
      </c>
      <c r="U1551" s="20">
        <v>941</v>
      </c>
      <c r="V1551" s="20">
        <v>941</v>
      </c>
      <c r="W1551" s="20">
        <f t="shared" si="49"/>
        <v>-31</v>
      </c>
      <c r="X1551" s="20">
        <f t="shared" si="49"/>
        <v>-941</v>
      </c>
      <c r="Y1551" s="20">
        <f t="shared" si="49"/>
        <v>-941</v>
      </c>
    </row>
    <row r="1552" spans="1:25" s="16" customFormat="1">
      <c r="A1552" s="108" t="str">
        <f t="shared" si="48"/>
        <v/>
      </c>
      <c r="B1552" s="197" t="s">
        <v>1104</v>
      </c>
      <c r="C1552" s="203"/>
      <c r="D1552" s="204"/>
      <c r="E1552" s="204"/>
      <c r="F1552" s="204"/>
      <c r="G1552" s="204"/>
      <c r="H1552" s="26"/>
      <c r="I1552" s="26"/>
      <c r="J1552" s="26"/>
      <c r="K1552" s="20"/>
      <c r="L1552" s="20"/>
      <c r="M1552" s="20"/>
      <c r="N1552" s="20"/>
      <c r="O1552" s="20"/>
      <c r="P1552" s="20"/>
      <c r="Q1552" s="17"/>
      <c r="T1552" s="20">
        <v>430</v>
      </c>
      <c r="U1552" s="20">
        <v>430</v>
      </c>
      <c r="V1552" s="20">
        <v>430</v>
      </c>
      <c r="W1552" s="20">
        <f t="shared" si="49"/>
        <v>-430</v>
      </c>
      <c r="X1552" s="20">
        <f t="shared" si="49"/>
        <v>-430</v>
      </c>
      <c r="Y1552" s="20">
        <f t="shared" si="49"/>
        <v>-430</v>
      </c>
    </row>
    <row r="1553" spans="1:25" s="16" customFormat="1" ht="38.25">
      <c r="A1553" s="108" t="str">
        <f t="shared" si="48"/>
        <v>620050304 3 04 S7241000</v>
      </c>
      <c r="B1553" s="197" t="s">
        <v>1143</v>
      </c>
      <c r="C1553" s="203" t="s">
        <v>410</v>
      </c>
      <c r="D1553" s="204" t="s">
        <v>86</v>
      </c>
      <c r="E1553" s="204" t="s">
        <v>13</v>
      </c>
      <c r="F1553" s="204" t="s">
        <v>1064</v>
      </c>
      <c r="G1553" s="204" t="s">
        <v>9</v>
      </c>
      <c r="H1553" s="26">
        <v>910</v>
      </c>
      <c r="I1553" s="26">
        <v>0</v>
      </c>
      <c r="J1553" s="26">
        <v>0</v>
      </c>
      <c r="K1553" s="20"/>
      <c r="L1553" s="20"/>
      <c r="M1553" s="20"/>
      <c r="N1553" s="20"/>
      <c r="O1553" s="20"/>
      <c r="P1553" s="20"/>
      <c r="Q1553" s="17"/>
      <c r="T1553" s="20">
        <v>430</v>
      </c>
      <c r="U1553" s="20">
        <v>430</v>
      </c>
      <c r="V1553" s="20">
        <v>430</v>
      </c>
      <c r="W1553" s="20">
        <f t="shared" si="49"/>
        <v>480</v>
      </c>
      <c r="X1553" s="20">
        <f t="shared" si="49"/>
        <v>-430</v>
      </c>
      <c r="Y1553" s="20">
        <f t="shared" si="49"/>
        <v>-430</v>
      </c>
    </row>
    <row r="1554" spans="1:25" s="16" customFormat="1">
      <c r="A1554" s="108" t="str">
        <f t="shared" si="48"/>
        <v>620050304 3 04 S7241410</v>
      </c>
      <c r="B1554" s="231" t="s">
        <v>837</v>
      </c>
      <c r="C1554" s="232" t="s">
        <v>410</v>
      </c>
      <c r="D1554" s="233" t="s">
        <v>86</v>
      </c>
      <c r="E1554" s="233" t="s">
        <v>13</v>
      </c>
      <c r="F1554" s="233" t="s">
        <v>1064</v>
      </c>
      <c r="G1554" s="233" t="s">
        <v>838</v>
      </c>
      <c r="H1554" s="235">
        <v>910</v>
      </c>
      <c r="I1554" s="235">
        <v>0</v>
      </c>
      <c r="J1554" s="235">
        <v>0</v>
      </c>
      <c r="K1554" s="20"/>
      <c r="L1554" s="20"/>
      <c r="M1554" s="20"/>
      <c r="N1554" s="20"/>
      <c r="O1554" s="20"/>
      <c r="P1554" s="20"/>
      <c r="Q1554" s="17"/>
      <c r="T1554" s="20">
        <v>430</v>
      </c>
      <c r="U1554" s="20">
        <v>430</v>
      </c>
      <c r="V1554" s="20">
        <v>430</v>
      </c>
      <c r="W1554" s="20">
        <f t="shared" si="49"/>
        <v>480</v>
      </c>
      <c r="X1554" s="20">
        <f t="shared" si="49"/>
        <v>-430</v>
      </c>
      <c r="Y1554" s="20">
        <f t="shared" si="49"/>
        <v>-430</v>
      </c>
    </row>
    <row r="1555" spans="1:25" s="66" customFormat="1" ht="25.5">
      <c r="A1555" s="108" t="str">
        <f t="shared" si="48"/>
        <v>620050304 3 04 S7330000</v>
      </c>
      <c r="B1555" s="197" t="s">
        <v>1357</v>
      </c>
      <c r="C1555" s="198" t="s">
        <v>410</v>
      </c>
      <c r="D1555" s="199" t="s">
        <v>86</v>
      </c>
      <c r="E1555" s="199" t="s">
        <v>13</v>
      </c>
      <c r="F1555" s="199" t="s">
        <v>1147</v>
      </c>
      <c r="G1555" s="199" t="s">
        <v>9</v>
      </c>
      <c r="H1555" s="20">
        <v>1864.98</v>
      </c>
      <c r="I1555" s="20">
        <v>0</v>
      </c>
      <c r="J1555" s="20">
        <v>0</v>
      </c>
      <c r="K1555" s="20"/>
      <c r="L1555" s="20"/>
      <c r="M1555" s="20"/>
      <c r="N1555" s="20"/>
      <c r="O1555" s="20"/>
      <c r="P1555" s="20"/>
      <c r="Q1555" s="17"/>
      <c r="T1555" s="20">
        <v>535</v>
      </c>
      <c r="U1555" s="20">
        <v>535</v>
      </c>
      <c r="V1555" s="20">
        <v>535</v>
      </c>
      <c r="W1555" s="20">
        <f t="shared" si="49"/>
        <v>1329.98</v>
      </c>
      <c r="X1555" s="20">
        <f t="shared" si="49"/>
        <v>-535</v>
      </c>
      <c r="Y1555" s="20">
        <f t="shared" si="49"/>
        <v>-535</v>
      </c>
    </row>
    <row r="1556" spans="1:25" s="16" customFormat="1" ht="25.5">
      <c r="A1556" s="108" t="str">
        <f t="shared" si="48"/>
        <v>620050304 3 04 S7330240</v>
      </c>
      <c r="B1556" s="197" t="s">
        <v>28</v>
      </c>
      <c r="C1556" s="198" t="s">
        <v>410</v>
      </c>
      <c r="D1556" s="199" t="s">
        <v>86</v>
      </c>
      <c r="E1556" s="199" t="s">
        <v>13</v>
      </c>
      <c r="F1556" s="199" t="s">
        <v>1147</v>
      </c>
      <c r="G1556" s="199" t="s">
        <v>29</v>
      </c>
      <c r="H1556" s="20">
        <v>1864.98</v>
      </c>
      <c r="I1556" s="20">
        <v>0</v>
      </c>
      <c r="J1556" s="20">
        <v>0</v>
      </c>
      <c r="K1556" s="20"/>
      <c r="L1556" s="20"/>
      <c r="M1556" s="20"/>
      <c r="N1556" s="20"/>
      <c r="O1556" s="20"/>
      <c r="P1556" s="20"/>
      <c r="Q1556" s="17"/>
      <c r="T1556" s="20">
        <v>535</v>
      </c>
      <c r="U1556" s="20">
        <v>535</v>
      </c>
      <c r="V1556" s="20">
        <v>535</v>
      </c>
      <c r="W1556" s="20">
        <f t="shared" si="49"/>
        <v>1329.98</v>
      </c>
      <c r="X1556" s="20">
        <f t="shared" si="49"/>
        <v>-535</v>
      </c>
      <c r="Y1556" s="20">
        <f t="shared" si="49"/>
        <v>-535</v>
      </c>
    </row>
    <row r="1557" spans="1:25" s="16" customFormat="1" ht="25.5">
      <c r="A1557" s="108" t="str">
        <f t="shared" si="48"/>
        <v>620050317 0 00 00000000</v>
      </c>
      <c r="B1557" s="197" t="s">
        <v>430</v>
      </c>
      <c r="C1557" s="204" t="s">
        <v>410</v>
      </c>
      <c r="D1557" s="204" t="s">
        <v>86</v>
      </c>
      <c r="E1557" s="204" t="s">
        <v>13</v>
      </c>
      <c r="F1557" s="204" t="s">
        <v>431</v>
      </c>
      <c r="G1557" s="204" t="s">
        <v>9</v>
      </c>
      <c r="H1557" s="53">
        <v>7128.3899999999994</v>
      </c>
      <c r="I1557" s="53">
        <v>3385.52</v>
      </c>
      <c r="J1557" s="53">
        <v>3385.52</v>
      </c>
      <c r="K1557" s="20"/>
      <c r="L1557" s="20"/>
      <c r="M1557" s="20"/>
      <c r="N1557" s="20"/>
      <c r="O1557" s="20"/>
      <c r="P1557" s="20"/>
      <c r="Q1557" s="17"/>
      <c r="T1557" s="20">
        <v>535</v>
      </c>
      <c r="U1557" s="20">
        <v>535</v>
      </c>
      <c r="V1557" s="20">
        <v>535</v>
      </c>
      <c r="W1557" s="20">
        <f t="shared" si="49"/>
        <v>6593.3899999999994</v>
      </c>
      <c r="X1557" s="20">
        <f t="shared" si="49"/>
        <v>2850.52</v>
      </c>
      <c r="Y1557" s="20">
        <f t="shared" si="49"/>
        <v>2850.52</v>
      </c>
    </row>
    <row r="1558" spans="1:25" s="16" customFormat="1" ht="38.25">
      <c r="A1558" s="108" t="str">
        <f t="shared" si="48"/>
        <v>620050317 Б 00 00000000</v>
      </c>
      <c r="B1558" s="201" t="s">
        <v>432</v>
      </c>
      <c r="C1558" s="204" t="s">
        <v>410</v>
      </c>
      <c r="D1558" s="204" t="s">
        <v>86</v>
      </c>
      <c r="E1558" s="204" t="s">
        <v>13</v>
      </c>
      <c r="F1558" s="204" t="s">
        <v>433</v>
      </c>
      <c r="G1558" s="204" t="s">
        <v>9</v>
      </c>
      <c r="H1558" s="53">
        <v>7128.3899999999994</v>
      </c>
      <c r="I1558" s="53">
        <v>3385.52</v>
      </c>
      <c r="J1558" s="53">
        <v>3385.52</v>
      </c>
      <c r="K1558" s="20"/>
      <c r="L1558" s="20"/>
      <c r="M1558" s="20"/>
      <c r="N1558" s="20"/>
      <c r="O1558" s="20"/>
      <c r="P1558" s="20"/>
      <c r="Q1558" s="17"/>
      <c r="T1558" s="20">
        <v>535</v>
      </c>
      <c r="U1558" s="20">
        <v>535</v>
      </c>
      <c r="V1558" s="20">
        <v>535</v>
      </c>
      <c r="W1558" s="20">
        <f t="shared" si="49"/>
        <v>6593.3899999999994</v>
      </c>
      <c r="X1558" s="20">
        <f t="shared" si="49"/>
        <v>2850.52</v>
      </c>
      <c r="Y1558" s="20">
        <f t="shared" si="49"/>
        <v>2850.52</v>
      </c>
    </row>
    <row r="1559" spans="1:25" s="16" customFormat="1" ht="25.5">
      <c r="A1559" s="108" t="str">
        <f t="shared" si="48"/>
        <v>620050317 Б 02 00000000</v>
      </c>
      <c r="B1559" s="201" t="s">
        <v>883</v>
      </c>
      <c r="C1559" s="204" t="s">
        <v>410</v>
      </c>
      <c r="D1559" s="204" t="s">
        <v>86</v>
      </c>
      <c r="E1559" s="204" t="s">
        <v>13</v>
      </c>
      <c r="F1559" s="204" t="s">
        <v>884</v>
      </c>
      <c r="G1559" s="204" t="s">
        <v>9</v>
      </c>
      <c r="H1559" s="53">
        <v>7128.3899999999994</v>
      </c>
      <c r="I1559" s="53">
        <v>3385.52</v>
      </c>
      <c r="J1559" s="53">
        <v>3385.52</v>
      </c>
      <c r="K1559" s="20"/>
      <c r="L1559" s="20"/>
      <c r="M1559" s="20"/>
      <c r="N1559" s="20"/>
      <c r="O1559" s="20"/>
      <c r="P1559" s="20"/>
      <c r="Q1559" s="17"/>
      <c r="T1559" s="20">
        <v>0</v>
      </c>
      <c r="U1559" s="20">
        <v>0</v>
      </c>
      <c r="V1559" s="20">
        <v>0</v>
      </c>
      <c r="W1559" s="20">
        <f t="shared" si="49"/>
        <v>7128.3899999999994</v>
      </c>
      <c r="X1559" s="20">
        <f t="shared" si="49"/>
        <v>3385.52</v>
      </c>
      <c r="Y1559" s="20">
        <f t="shared" si="49"/>
        <v>3385.52</v>
      </c>
    </row>
    <row r="1560" spans="1:25" s="16" customFormat="1" ht="25.5">
      <c r="A1560" s="108" t="str">
        <f t="shared" si="48"/>
        <v>620050317 Б 02 20490000</v>
      </c>
      <c r="B1560" s="205" t="s">
        <v>436</v>
      </c>
      <c r="C1560" s="199" t="s">
        <v>410</v>
      </c>
      <c r="D1560" s="199" t="s">
        <v>86</v>
      </c>
      <c r="E1560" s="199" t="s">
        <v>13</v>
      </c>
      <c r="F1560" s="199" t="s">
        <v>885</v>
      </c>
      <c r="G1560" s="199" t="s">
        <v>9</v>
      </c>
      <c r="H1560" s="64">
        <v>7128.3899999999994</v>
      </c>
      <c r="I1560" s="64">
        <v>3385.52</v>
      </c>
      <c r="J1560" s="64">
        <v>3385.52</v>
      </c>
      <c r="K1560" s="20"/>
      <c r="L1560" s="20"/>
      <c r="M1560" s="20"/>
      <c r="N1560" s="20"/>
      <c r="O1560" s="20"/>
      <c r="P1560" s="20"/>
      <c r="Q1560" s="17"/>
      <c r="T1560" s="20">
        <v>25916.02</v>
      </c>
      <c r="U1560" s="20">
        <v>26029.74</v>
      </c>
      <c r="V1560" s="20">
        <v>26029.74</v>
      </c>
      <c r="W1560" s="20">
        <f t="shared" si="49"/>
        <v>-18787.63</v>
      </c>
      <c r="X1560" s="20">
        <f t="shared" si="49"/>
        <v>-22644.22</v>
      </c>
      <c r="Y1560" s="20">
        <f t="shared" si="49"/>
        <v>-22644.22</v>
      </c>
    </row>
    <row r="1561" spans="1:25" s="16" customFormat="1">
      <c r="A1561" s="108" t="str">
        <f t="shared" si="48"/>
        <v/>
      </c>
      <c r="B1561" s="220" t="s">
        <v>1104</v>
      </c>
      <c r="C1561" s="199"/>
      <c r="D1561" s="199"/>
      <c r="E1561" s="199"/>
      <c r="F1561" s="199"/>
      <c r="G1561" s="199"/>
      <c r="H1561" s="64"/>
      <c r="I1561" s="64"/>
      <c r="J1561" s="64"/>
      <c r="K1561" s="20"/>
      <c r="L1561" s="20"/>
      <c r="M1561" s="20"/>
      <c r="N1561" s="20"/>
      <c r="O1561" s="20"/>
      <c r="P1561" s="20"/>
      <c r="Q1561" s="17"/>
      <c r="T1561" s="20">
        <v>20249.21</v>
      </c>
      <c r="U1561" s="20">
        <v>20362.93</v>
      </c>
      <c r="V1561" s="20">
        <v>20362.93</v>
      </c>
      <c r="W1561" s="20">
        <f t="shared" si="49"/>
        <v>-20249.21</v>
      </c>
      <c r="X1561" s="20">
        <f t="shared" si="49"/>
        <v>-20362.93</v>
      </c>
      <c r="Y1561" s="20">
        <f t="shared" si="49"/>
        <v>-20362.93</v>
      </c>
    </row>
    <row r="1562" spans="1:25" s="16" customFormat="1">
      <c r="A1562" s="108" t="str">
        <f t="shared" si="48"/>
        <v>620050317 Б 02 20490000</v>
      </c>
      <c r="B1562" s="221" t="s">
        <v>1105</v>
      </c>
      <c r="C1562" s="223" t="s">
        <v>410</v>
      </c>
      <c r="D1562" s="223" t="s">
        <v>86</v>
      </c>
      <c r="E1562" s="223" t="s">
        <v>13</v>
      </c>
      <c r="F1562" s="223" t="s">
        <v>885</v>
      </c>
      <c r="G1562" s="223" t="s">
        <v>9</v>
      </c>
      <c r="H1562" s="279">
        <v>3742.87</v>
      </c>
      <c r="I1562" s="279">
        <v>0</v>
      </c>
      <c r="J1562" s="279">
        <v>0</v>
      </c>
      <c r="K1562" s="20"/>
      <c r="L1562" s="20"/>
      <c r="M1562" s="20"/>
      <c r="N1562" s="20"/>
      <c r="O1562" s="20"/>
      <c r="P1562" s="20"/>
      <c r="Q1562" s="17"/>
      <c r="T1562" s="20">
        <v>20249.21</v>
      </c>
      <c r="U1562" s="20">
        <v>20362.93</v>
      </c>
      <c r="V1562" s="20">
        <v>20362.93</v>
      </c>
      <c r="W1562" s="20">
        <f t="shared" si="49"/>
        <v>-16506.34</v>
      </c>
      <c r="X1562" s="20">
        <f t="shared" si="49"/>
        <v>-20362.93</v>
      </c>
      <c r="Y1562" s="20">
        <f t="shared" si="49"/>
        <v>-20362.93</v>
      </c>
    </row>
    <row r="1563" spans="1:25" s="16" customFormat="1" ht="25.5">
      <c r="A1563" s="108" t="str">
        <f t="shared" si="48"/>
        <v>620050317 Б 02 20490240</v>
      </c>
      <c r="B1563" s="197" t="s">
        <v>28</v>
      </c>
      <c r="C1563" s="199" t="s">
        <v>410</v>
      </c>
      <c r="D1563" s="199" t="s">
        <v>86</v>
      </c>
      <c r="E1563" s="199" t="s">
        <v>13</v>
      </c>
      <c r="F1563" s="199" t="s">
        <v>885</v>
      </c>
      <c r="G1563" s="199" t="s">
        <v>29</v>
      </c>
      <c r="H1563" s="64">
        <v>7128.3899999999994</v>
      </c>
      <c r="I1563" s="64">
        <v>3385.52</v>
      </c>
      <c r="J1563" s="64">
        <v>3385.52</v>
      </c>
      <c r="K1563" s="20"/>
      <c r="L1563" s="20"/>
      <c r="M1563" s="20"/>
      <c r="N1563" s="20"/>
      <c r="O1563" s="20"/>
      <c r="P1563" s="20"/>
      <c r="Q1563" s="17"/>
      <c r="T1563" s="20">
        <v>17832.59</v>
      </c>
      <c r="U1563" s="20">
        <v>18667.77</v>
      </c>
      <c r="V1563" s="20">
        <v>18667.77</v>
      </c>
      <c r="W1563" s="20">
        <f t="shared" si="49"/>
        <v>-10704.2</v>
      </c>
      <c r="X1563" s="20">
        <f t="shared" si="49"/>
        <v>-15282.25</v>
      </c>
      <c r="Y1563" s="20">
        <f t="shared" si="49"/>
        <v>-15282.25</v>
      </c>
    </row>
    <row r="1564" spans="1:25" s="16" customFormat="1" ht="25.5">
      <c r="A1564" s="108" t="str">
        <f t="shared" si="48"/>
        <v>620050320 0 00 00000000</v>
      </c>
      <c r="B1564" s="197" t="s">
        <v>886</v>
      </c>
      <c r="C1564" s="199" t="s">
        <v>410</v>
      </c>
      <c r="D1564" s="199" t="s">
        <v>86</v>
      </c>
      <c r="E1564" s="199" t="s">
        <v>13</v>
      </c>
      <c r="F1564" s="199" t="s">
        <v>887</v>
      </c>
      <c r="G1564" s="199" t="s">
        <v>9</v>
      </c>
      <c r="H1564" s="64">
        <v>188011.59</v>
      </c>
      <c r="I1564" s="64">
        <v>9180.16</v>
      </c>
      <c r="J1564" s="64">
        <v>12090.21</v>
      </c>
      <c r="K1564" s="20"/>
      <c r="L1564" s="20"/>
      <c r="M1564" s="20"/>
      <c r="N1564" s="20"/>
      <c r="O1564" s="20"/>
      <c r="P1564" s="20"/>
      <c r="Q1564" s="17"/>
      <c r="T1564" s="20">
        <v>2059.62</v>
      </c>
      <c r="U1564" s="20">
        <v>1338.16</v>
      </c>
      <c r="V1564" s="20">
        <v>1338.16</v>
      </c>
      <c r="W1564" s="20">
        <f t="shared" si="49"/>
        <v>185951.97</v>
      </c>
      <c r="X1564" s="20">
        <f t="shared" si="49"/>
        <v>7842</v>
      </c>
      <c r="Y1564" s="20">
        <f t="shared" si="49"/>
        <v>10752.05</v>
      </c>
    </row>
    <row r="1565" spans="1:25" s="16" customFormat="1" ht="38.25">
      <c r="A1565" s="108" t="str">
        <f t="shared" si="48"/>
        <v>620050320 Б 00 00000000</v>
      </c>
      <c r="B1565" s="197" t="s">
        <v>888</v>
      </c>
      <c r="C1565" s="199" t="s">
        <v>410</v>
      </c>
      <c r="D1565" s="199" t="s">
        <v>86</v>
      </c>
      <c r="E1565" s="199" t="s">
        <v>13</v>
      </c>
      <c r="F1565" s="199" t="s">
        <v>889</v>
      </c>
      <c r="G1565" s="199" t="s">
        <v>9</v>
      </c>
      <c r="H1565" s="64">
        <v>188011.59</v>
      </c>
      <c r="I1565" s="64">
        <v>9180.16</v>
      </c>
      <c r="J1565" s="64">
        <v>12090.21</v>
      </c>
      <c r="K1565" s="20"/>
      <c r="L1565" s="20"/>
      <c r="M1565" s="20"/>
      <c r="N1565" s="20"/>
      <c r="O1565" s="20"/>
      <c r="P1565" s="20"/>
      <c r="Q1565" s="17"/>
      <c r="T1565" s="20">
        <v>357</v>
      </c>
      <c r="U1565" s="20">
        <v>357</v>
      </c>
      <c r="V1565" s="20">
        <v>357</v>
      </c>
      <c r="W1565" s="20">
        <f t="shared" si="49"/>
        <v>187654.59</v>
      </c>
      <c r="X1565" s="20">
        <f t="shared" si="49"/>
        <v>8823.16</v>
      </c>
      <c r="Y1565" s="20">
        <f t="shared" si="49"/>
        <v>11733.21</v>
      </c>
    </row>
    <row r="1566" spans="1:25" s="16" customFormat="1" ht="25.5">
      <c r="A1566" s="108" t="str">
        <f t="shared" si="48"/>
        <v>620050320 Б 01 00000000</v>
      </c>
      <c r="B1566" s="197" t="s">
        <v>890</v>
      </c>
      <c r="C1566" s="199" t="s">
        <v>410</v>
      </c>
      <c r="D1566" s="199" t="s">
        <v>86</v>
      </c>
      <c r="E1566" s="199" t="s">
        <v>13</v>
      </c>
      <c r="F1566" s="199" t="s">
        <v>891</v>
      </c>
      <c r="G1566" s="199" t="s">
        <v>9</v>
      </c>
      <c r="H1566" s="64">
        <v>81279.789999999994</v>
      </c>
      <c r="I1566" s="64">
        <v>5820.1</v>
      </c>
      <c r="J1566" s="64">
        <v>7760.13</v>
      </c>
      <c r="K1566" s="20"/>
      <c r="L1566" s="20"/>
      <c r="M1566" s="20"/>
      <c r="N1566" s="20"/>
      <c r="O1566" s="20"/>
      <c r="P1566" s="20"/>
      <c r="Q1566" s="17"/>
      <c r="T1566" s="20">
        <v>2201.81</v>
      </c>
      <c r="U1566" s="20">
        <v>2201.81</v>
      </c>
      <c r="V1566" s="20">
        <v>2201.81</v>
      </c>
      <c r="W1566" s="20">
        <f t="shared" si="49"/>
        <v>79077.98</v>
      </c>
      <c r="X1566" s="20">
        <f t="shared" si="49"/>
        <v>3618.2900000000004</v>
      </c>
      <c r="Y1566" s="20">
        <f t="shared" si="49"/>
        <v>5558.32</v>
      </c>
    </row>
    <row r="1567" spans="1:25" s="16" customFormat="1" ht="25.5">
      <c r="A1567" s="108" t="str">
        <f t="shared" si="48"/>
        <v>620050320 Б 01 L5550000</v>
      </c>
      <c r="B1567" s="207" t="s">
        <v>1358</v>
      </c>
      <c r="C1567" s="199" t="s">
        <v>410</v>
      </c>
      <c r="D1567" s="199" t="s">
        <v>86</v>
      </c>
      <c r="E1567" s="199" t="s">
        <v>13</v>
      </c>
      <c r="F1567" s="199" t="s">
        <v>893</v>
      </c>
      <c r="G1567" s="199" t="s">
        <v>9</v>
      </c>
      <c r="H1567" s="64">
        <v>81279.789999999994</v>
      </c>
      <c r="I1567" s="64">
        <v>5820.1</v>
      </c>
      <c r="J1567" s="64">
        <v>7760.13</v>
      </c>
      <c r="K1567" s="20"/>
      <c r="L1567" s="20"/>
      <c r="M1567" s="20"/>
      <c r="N1567" s="20"/>
      <c r="O1567" s="20"/>
      <c r="P1567" s="20"/>
      <c r="Q1567" s="17"/>
      <c r="T1567" s="20">
        <v>2201.81</v>
      </c>
      <c r="U1567" s="20">
        <v>2201.81</v>
      </c>
      <c r="V1567" s="20">
        <v>2201.81</v>
      </c>
      <c r="W1567" s="20">
        <f t="shared" si="49"/>
        <v>79077.98</v>
      </c>
      <c r="X1567" s="20">
        <f t="shared" si="49"/>
        <v>3618.2900000000004</v>
      </c>
      <c r="Y1567" s="20">
        <f t="shared" si="49"/>
        <v>5558.32</v>
      </c>
    </row>
    <row r="1568" spans="1:25" s="16" customFormat="1">
      <c r="A1568" s="108" t="str">
        <f t="shared" si="48"/>
        <v/>
      </c>
      <c r="B1568" s="205" t="s">
        <v>1045</v>
      </c>
      <c r="C1568" s="199"/>
      <c r="D1568" s="199"/>
      <c r="E1568" s="199"/>
      <c r="F1568" s="199"/>
      <c r="G1568" s="199"/>
      <c r="H1568" s="64"/>
      <c r="I1568" s="64"/>
      <c r="J1568" s="64"/>
      <c r="K1568" s="20"/>
      <c r="L1568" s="20"/>
      <c r="M1568" s="20"/>
      <c r="N1568" s="20"/>
      <c r="O1568" s="20"/>
      <c r="P1568" s="20"/>
      <c r="Q1568" s="17"/>
      <c r="T1568" s="20">
        <v>2201.81</v>
      </c>
      <c r="U1568" s="20">
        <v>2201.81</v>
      </c>
      <c r="V1568" s="20">
        <v>2201.81</v>
      </c>
      <c r="W1568" s="20">
        <f t="shared" si="49"/>
        <v>-2201.81</v>
      </c>
      <c r="X1568" s="20">
        <f t="shared" si="49"/>
        <v>-2201.81</v>
      </c>
      <c r="Y1568" s="20">
        <f t="shared" si="49"/>
        <v>-2201.81</v>
      </c>
    </row>
    <row r="1569" spans="1:25" s="16" customFormat="1">
      <c r="A1569" s="108" t="str">
        <f t="shared" si="48"/>
        <v>620050320 Б 01 L5550000</v>
      </c>
      <c r="B1569" s="197" t="s">
        <v>1050</v>
      </c>
      <c r="C1569" s="199" t="s">
        <v>410</v>
      </c>
      <c r="D1569" s="199" t="s">
        <v>86</v>
      </c>
      <c r="E1569" s="199" t="s">
        <v>13</v>
      </c>
      <c r="F1569" s="199" t="s">
        <v>893</v>
      </c>
      <c r="G1569" s="199" t="s">
        <v>9</v>
      </c>
      <c r="H1569" s="32">
        <v>4470.3900000000003</v>
      </c>
      <c r="I1569" s="32">
        <v>5820.1</v>
      </c>
      <c r="J1569" s="32">
        <v>7760.13</v>
      </c>
      <c r="K1569" s="20"/>
      <c r="L1569" s="20"/>
      <c r="M1569" s="20"/>
      <c r="N1569" s="20"/>
      <c r="O1569" s="20"/>
      <c r="P1569" s="20"/>
      <c r="Q1569" s="17"/>
      <c r="T1569" s="20">
        <v>2700</v>
      </c>
      <c r="U1569" s="20">
        <v>2700</v>
      </c>
      <c r="V1569" s="20">
        <v>2700</v>
      </c>
      <c r="W1569" s="20">
        <f t="shared" si="49"/>
        <v>1770.3900000000003</v>
      </c>
      <c r="X1569" s="20">
        <f t="shared" si="49"/>
        <v>3120.1000000000004</v>
      </c>
      <c r="Y1569" s="20">
        <f t="shared" si="49"/>
        <v>5060.13</v>
      </c>
    </row>
    <row r="1570" spans="1:25" s="16" customFormat="1">
      <c r="A1570" s="108" t="str">
        <f t="shared" si="48"/>
        <v>620050320 Б 01 L5550000</v>
      </c>
      <c r="B1570" s="197" t="s">
        <v>1051</v>
      </c>
      <c r="C1570" s="199" t="s">
        <v>410</v>
      </c>
      <c r="D1570" s="199" t="s">
        <v>86</v>
      </c>
      <c r="E1570" s="199" t="s">
        <v>13</v>
      </c>
      <c r="F1570" s="199" t="s">
        <v>893</v>
      </c>
      <c r="G1570" s="199" t="s">
        <v>9</v>
      </c>
      <c r="H1570" s="64">
        <v>76809.399999999994</v>
      </c>
      <c r="I1570" s="64">
        <v>0</v>
      </c>
      <c r="J1570" s="64">
        <v>0</v>
      </c>
      <c r="K1570" s="20"/>
      <c r="L1570" s="20"/>
      <c r="M1570" s="20"/>
      <c r="N1570" s="20"/>
      <c r="O1570" s="20"/>
      <c r="P1570" s="20"/>
      <c r="Q1570" s="17"/>
      <c r="T1570" s="20">
        <v>2700</v>
      </c>
      <c r="U1570" s="20">
        <v>2700</v>
      </c>
      <c r="V1570" s="20">
        <v>2700</v>
      </c>
      <c r="W1570" s="20">
        <f t="shared" si="49"/>
        <v>74109.399999999994</v>
      </c>
      <c r="X1570" s="20">
        <f t="shared" si="49"/>
        <v>-2700</v>
      </c>
      <c r="Y1570" s="20">
        <f t="shared" si="49"/>
        <v>-2700</v>
      </c>
    </row>
    <row r="1571" spans="1:25" s="16" customFormat="1" ht="25.5">
      <c r="A1571" s="108" t="str">
        <f t="shared" si="48"/>
        <v>620050320 Б 01 L5550240</v>
      </c>
      <c r="B1571" s="197" t="s">
        <v>28</v>
      </c>
      <c r="C1571" s="199" t="s">
        <v>410</v>
      </c>
      <c r="D1571" s="199" t="s">
        <v>86</v>
      </c>
      <c r="E1571" s="199" t="s">
        <v>13</v>
      </c>
      <c r="F1571" s="199" t="s">
        <v>893</v>
      </c>
      <c r="G1571" s="199" t="s">
        <v>29</v>
      </c>
      <c r="H1571" s="32">
        <v>81279.789999999994</v>
      </c>
      <c r="I1571" s="32">
        <v>5820.1</v>
      </c>
      <c r="J1571" s="32">
        <v>7760.13</v>
      </c>
      <c r="K1571" s="20"/>
      <c r="L1571" s="20"/>
      <c r="M1571" s="20"/>
      <c r="N1571" s="20"/>
      <c r="O1571" s="20"/>
      <c r="P1571" s="20"/>
      <c r="Q1571" s="17"/>
      <c r="T1571" s="20">
        <v>2700</v>
      </c>
      <c r="U1571" s="20">
        <v>2700</v>
      </c>
      <c r="V1571" s="20">
        <v>2700</v>
      </c>
      <c r="W1571" s="20">
        <f t="shared" si="49"/>
        <v>78579.789999999994</v>
      </c>
      <c r="X1571" s="20">
        <f t="shared" si="49"/>
        <v>3120.1000000000004</v>
      </c>
      <c r="Y1571" s="20">
        <f t="shared" si="49"/>
        <v>5060.13</v>
      </c>
    </row>
    <row r="1572" spans="1:25" s="16" customFormat="1" ht="25.5">
      <c r="A1572" s="108" t="str">
        <f t="shared" si="48"/>
        <v>620050320 Б 02 00000000</v>
      </c>
      <c r="B1572" s="197" t="s">
        <v>894</v>
      </c>
      <c r="C1572" s="199" t="s">
        <v>410</v>
      </c>
      <c r="D1572" s="199" t="s">
        <v>86</v>
      </c>
      <c r="E1572" s="199" t="s">
        <v>13</v>
      </c>
      <c r="F1572" s="199" t="s">
        <v>895</v>
      </c>
      <c r="G1572" s="199" t="s">
        <v>9</v>
      </c>
      <c r="H1572" s="64">
        <v>106021.8</v>
      </c>
      <c r="I1572" s="64">
        <v>2910.06</v>
      </c>
      <c r="J1572" s="64">
        <v>3880.08</v>
      </c>
      <c r="K1572" s="20"/>
      <c r="L1572" s="20"/>
      <c r="M1572" s="20"/>
      <c r="N1572" s="20"/>
      <c r="O1572" s="20"/>
      <c r="P1572" s="20"/>
      <c r="Q1572" s="17"/>
      <c r="T1572" s="20">
        <v>765</v>
      </c>
      <c r="U1572" s="20">
        <v>765</v>
      </c>
      <c r="V1572" s="20">
        <v>765</v>
      </c>
      <c r="W1572" s="20">
        <f t="shared" si="49"/>
        <v>105256.8</v>
      </c>
      <c r="X1572" s="20">
        <f t="shared" si="49"/>
        <v>2145.06</v>
      </c>
      <c r="Y1572" s="20">
        <f t="shared" si="49"/>
        <v>3115.08</v>
      </c>
    </row>
    <row r="1573" spans="1:25" s="16" customFormat="1" ht="25.5">
      <c r="A1573" s="108" t="str">
        <f t="shared" si="48"/>
        <v>620050320 Б 02 L5550000</v>
      </c>
      <c r="B1573" s="207" t="s">
        <v>1358</v>
      </c>
      <c r="C1573" s="199" t="s">
        <v>410</v>
      </c>
      <c r="D1573" s="199" t="s">
        <v>86</v>
      </c>
      <c r="E1573" s="199" t="s">
        <v>13</v>
      </c>
      <c r="F1573" s="199" t="s">
        <v>896</v>
      </c>
      <c r="G1573" s="199" t="s">
        <v>9</v>
      </c>
      <c r="H1573" s="64">
        <v>106021.8</v>
      </c>
      <c r="I1573" s="64">
        <v>2910.06</v>
      </c>
      <c r="J1573" s="64">
        <v>3880.08</v>
      </c>
      <c r="K1573" s="20"/>
      <c r="L1573" s="20"/>
      <c r="M1573" s="20"/>
      <c r="N1573" s="20"/>
      <c r="O1573" s="20"/>
      <c r="P1573" s="20"/>
      <c r="Q1573" s="17"/>
      <c r="T1573" s="20">
        <v>765</v>
      </c>
      <c r="U1573" s="20">
        <v>765</v>
      </c>
      <c r="V1573" s="20">
        <v>765</v>
      </c>
      <c r="W1573" s="20">
        <f t="shared" si="49"/>
        <v>105256.8</v>
      </c>
      <c r="X1573" s="20">
        <f t="shared" si="49"/>
        <v>2145.06</v>
      </c>
      <c r="Y1573" s="20">
        <f t="shared" si="49"/>
        <v>3115.08</v>
      </c>
    </row>
    <row r="1574" spans="1:25" s="16" customFormat="1">
      <c r="A1574" s="108" t="str">
        <f t="shared" si="48"/>
        <v/>
      </c>
      <c r="B1574" s="205" t="s">
        <v>1045</v>
      </c>
      <c r="C1574" s="199"/>
      <c r="D1574" s="199"/>
      <c r="E1574" s="199"/>
      <c r="F1574" s="199"/>
      <c r="G1574" s="199"/>
      <c r="H1574" s="64"/>
      <c r="I1574" s="64"/>
      <c r="J1574" s="64"/>
      <c r="K1574" s="20"/>
      <c r="L1574" s="20"/>
      <c r="M1574" s="20"/>
      <c r="N1574" s="20"/>
      <c r="O1574" s="20"/>
      <c r="P1574" s="20"/>
      <c r="Q1574" s="17"/>
      <c r="T1574" s="20">
        <v>765</v>
      </c>
      <c r="U1574" s="20">
        <v>765</v>
      </c>
      <c r="V1574" s="20">
        <v>765</v>
      </c>
      <c r="W1574" s="20">
        <f t="shared" si="49"/>
        <v>-765</v>
      </c>
      <c r="X1574" s="20">
        <f t="shared" si="49"/>
        <v>-765</v>
      </c>
      <c r="Y1574" s="20">
        <f t="shared" si="49"/>
        <v>-765</v>
      </c>
    </row>
    <row r="1575" spans="1:25" s="16" customFormat="1">
      <c r="A1575" s="108" t="str">
        <f t="shared" si="48"/>
        <v>620050320 Б 02 L5550000</v>
      </c>
      <c r="B1575" s="197" t="s">
        <v>1050</v>
      </c>
      <c r="C1575" s="199" t="s">
        <v>410</v>
      </c>
      <c r="D1575" s="199" t="s">
        <v>86</v>
      </c>
      <c r="E1575" s="199" t="s">
        <v>13</v>
      </c>
      <c r="F1575" s="199" t="s">
        <v>896</v>
      </c>
      <c r="G1575" s="199" t="s">
        <v>9</v>
      </c>
      <c r="H1575" s="32">
        <v>5831.2</v>
      </c>
      <c r="I1575" s="32">
        <v>2910.06</v>
      </c>
      <c r="J1575" s="32">
        <v>3880.08</v>
      </c>
      <c r="K1575" s="20"/>
      <c r="L1575" s="20"/>
      <c r="M1575" s="20"/>
      <c r="N1575" s="20"/>
      <c r="O1575" s="20"/>
      <c r="P1575" s="20"/>
      <c r="Q1575" s="17"/>
      <c r="T1575" s="20">
        <v>15349.49</v>
      </c>
      <c r="U1575" s="20">
        <v>15349.49</v>
      </c>
      <c r="V1575" s="20">
        <v>15349.49</v>
      </c>
      <c r="W1575" s="20">
        <f t="shared" si="49"/>
        <v>-9518.2900000000009</v>
      </c>
      <c r="X1575" s="20">
        <f t="shared" si="49"/>
        <v>-12439.43</v>
      </c>
      <c r="Y1575" s="20">
        <f t="shared" si="49"/>
        <v>-11469.41</v>
      </c>
    </row>
    <row r="1576" spans="1:25" s="66" customFormat="1">
      <c r="A1576" s="108" t="str">
        <f t="shared" si="48"/>
        <v>620050320 Б 02 L5550000</v>
      </c>
      <c r="B1576" s="197" t="s">
        <v>1051</v>
      </c>
      <c r="C1576" s="199" t="s">
        <v>410</v>
      </c>
      <c r="D1576" s="199" t="s">
        <v>86</v>
      </c>
      <c r="E1576" s="199" t="s">
        <v>13</v>
      </c>
      <c r="F1576" s="199" t="s">
        <v>896</v>
      </c>
      <c r="G1576" s="199" t="s">
        <v>9</v>
      </c>
      <c r="H1576" s="64">
        <v>100190.6</v>
      </c>
      <c r="I1576" s="64">
        <v>0</v>
      </c>
      <c r="J1576" s="64">
        <v>0</v>
      </c>
      <c r="K1576" s="20"/>
      <c r="L1576" s="20"/>
      <c r="M1576" s="20"/>
      <c r="N1576" s="20"/>
      <c r="O1576" s="20"/>
      <c r="P1576" s="20"/>
      <c r="Q1576" s="17"/>
      <c r="T1576" s="20">
        <v>15349.49</v>
      </c>
      <c r="U1576" s="20">
        <v>15349.49</v>
      </c>
      <c r="V1576" s="20">
        <v>15349.49</v>
      </c>
      <c r="W1576" s="20">
        <f t="shared" si="49"/>
        <v>84841.11</v>
      </c>
      <c r="X1576" s="20">
        <f t="shared" si="49"/>
        <v>-15349.49</v>
      </c>
      <c r="Y1576" s="20">
        <f t="shared" si="49"/>
        <v>-15349.49</v>
      </c>
    </row>
    <row r="1577" spans="1:25" s="16" customFormat="1" ht="25.5">
      <c r="A1577" s="108" t="str">
        <f t="shared" si="48"/>
        <v>620050320 Б 02 L5550240</v>
      </c>
      <c r="B1577" s="197" t="s">
        <v>28</v>
      </c>
      <c r="C1577" s="199" t="s">
        <v>410</v>
      </c>
      <c r="D1577" s="199" t="s">
        <v>86</v>
      </c>
      <c r="E1577" s="199" t="s">
        <v>13</v>
      </c>
      <c r="F1577" s="199" t="s">
        <v>896</v>
      </c>
      <c r="G1577" s="199" t="s">
        <v>29</v>
      </c>
      <c r="H1577" s="32">
        <v>106021.8</v>
      </c>
      <c r="I1577" s="32">
        <v>2910.06</v>
      </c>
      <c r="J1577" s="32">
        <v>3880.08</v>
      </c>
      <c r="K1577" s="20"/>
      <c r="L1577" s="20"/>
      <c r="M1577" s="20"/>
      <c r="N1577" s="20"/>
      <c r="O1577" s="20"/>
      <c r="P1577" s="20"/>
      <c r="Q1577" s="17"/>
      <c r="T1577" s="20">
        <v>1772.94</v>
      </c>
      <c r="U1577" s="20">
        <v>1772.94</v>
      </c>
      <c r="V1577" s="20">
        <v>1772.94</v>
      </c>
      <c r="W1577" s="20">
        <f t="shared" si="49"/>
        <v>104248.86</v>
      </c>
      <c r="X1577" s="20">
        <f t="shared" si="49"/>
        <v>1137.1199999999999</v>
      </c>
      <c r="Y1577" s="20">
        <f t="shared" si="49"/>
        <v>2107.14</v>
      </c>
    </row>
    <row r="1578" spans="1:25" s="16" customFormat="1" ht="102">
      <c r="A1578" s="108" t="str">
        <f t="shared" si="48"/>
        <v>620050320 Б 03 00000000</v>
      </c>
      <c r="B1578" s="207" t="s">
        <v>1359</v>
      </c>
      <c r="C1578" s="199" t="s">
        <v>410</v>
      </c>
      <c r="D1578" s="199" t="s">
        <v>86</v>
      </c>
      <c r="E1578" s="199" t="s">
        <v>13</v>
      </c>
      <c r="F1578" s="199" t="s">
        <v>898</v>
      </c>
      <c r="G1578" s="199" t="s">
        <v>9</v>
      </c>
      <c r="H1578" s="32">
        <v>710</v>
      </c>
      <c r="I1578" s="32">
        <v>450</v>
      </c>
      <c r="J1578" s="32">
        <v>450</v>
      </c>
      <c r="K1578" s="20"/>
      <c r="L1578" s="20"/>
      <c r="M1578" s="20"/>
      <c r="N1578" s="20"/>
      <c r="O1578" s="20"/>
      <c r="P1578" s="20"/>
      <c r="Q1578" s="17"/>
      <c r="T1578" s="20">
        <v>387.25</v>
      </c>
      <c r="U1578" s="20">
        <v>387.25</v>
      </c>
      <c r="V1578" s="20">
        <v>387.25</v>
      </c>
      <c r="W1578" s="20">
        <f t="shared" si="49"/>
        <v>322.75</v>
      </c>
      <c r="X1578" s="20">
        <f t="shared" si="49"/>
        <v>62.75</v>
      </c>
      <c r="Y1578" s="20">
        <f t="shared" si="49"/>
        <v>62.75</v>
      </c>
    </row>
    <row r="1579" spans="1:25" s="16" customFormat="1" ht="25.5">
      <c r="A1579" s="108" t="str">
        <f t="shared" si="48"/>
        <v>620050320 Б 03 20300000</v>
      </c>
      <c r="B1579" s="315" t="s">
        <v>542</v>
      </c>
      <c r="C1579" s="199" t="s">
        <v>410</v>
      </c>
      <c r="D1579" s="199" t="s">
        <v>86</v>
      </c>
      <c r="E1579" s="199" t="s">
        <v>13</v>
      </c>
      <c r="F1579" s="199" t="s">
        <v>899</v>
      </c>
      <c r="G1579" s="199" t="s">
        <v>9</v>
      </c>
      <c r="H1579" s="32">
        <v>710</v>
      </c>
      <c r="I1579" s="32">
        <v>450</v>
      </c>
      <c r="J1579" s="32">
        <v>450</v>
      </c>
      <c r="K1579" s="20"/>
      <c r="L1579" s="20"/>
      <c r="M1579" s="20"/>
      <c r="N1579" s="20"/>
      <c r="O1579" s="20"/>
      <c r="P1579" s="20"/>
      <c r="Q1579" s="17"/>
      <c r="T1579" s="20">
        <v>1183.98</v>
      </c>
      <c r="U1579" s="20">
        <v>1183.98</v>
      </c>
      <c r="V1579" s="20">
        <v>1183.98</v>
      </c>
      <c r="W1579" s="20">
        <f t="shared" si="49"/>
        <v>-473.98</v>
      </c>
      <c r="X1579" s="20">
        <f t="shared" si="49"/>
        <v>-733.98</v>
      </c>
      <c r="Y1579" s="20">
        <f t="shared" si="49"/>
        <v>-733.98</v>
      </c>
    </row>
    <row r="1580" spans="1:25" s="16" customFormat="1" ht="25.5">
      <c r="A1580" s="108" t="str">
        <f t="shared" si="48"/>
        <v>620050320 Б 03 20300240</v>
      </c>
      <c r="B1580" s="315" t="s">
        <v>28</v>
      </c>
      <c r="C1580" s="199" t="s">
        <v>410</v>
      </c>
      <c r="D1580" s="199" t="s">
        <v>86</v>
      </c>
      <c r="E1580" s="199" t="s">
        <v>13</v>
      </c>
      <c r="F1580" s="199" t="s">
        <v>899</v>
      </c>
      <c r="G1580" s="199" t="s">
        <v>29</v>
      </c>
      <c r="H1580" s="32">
        <v>710</v>
      </c>
      <c r="I1580" s="32">
        <v>450</v>
      </c>
      <c r="J1580" s="32">
        <v>450</v>
      </c>
      <c r="K1580" s="20"/>
      <c r="L1580" s="20"/>
      <c r="M1580" s="20"/>
      <c r="N1580" s="20"/>
      <c r="O1580" s="20"/>
      <c r="P1580" s="20"/>
      <c r="Q1580" s="17"/>
      <c r="T1580" s="20">
        <v>201.71</v>
      </c>
      <c r="U1580" s="20">
        <v>201.71</v>
      </c>
      <c r="V1580" s="20">
        <v>201.71</v>
      </c>
      <c r="W1580" s="20">
        <f t="shared" si="49"/>
        <v>508.28999999999996</v>
      </c>
      <c r="X1580" s="20">
        <f t="shared" si="49"/>
        <v>248.29</v>
      </c>
      <c r="Y1580" s="20">
        <f t="shared" si="49"/>
        <v>248.29</v>
      </c>
    </row>
    <row r="1581" spans="1:25" s="16" customFormat="1">
      <c r="A1581" s="108" t="str">
        <f t="shared" si="48"/>
        <v>620050500 0 00 00000000</v>
      </c>
      <c r="B1581" s="194" t="s">
        <v>313</v>
      </c>
      <c r="C1581" s="195" t="s">
        <v>410</v>
      </c>
      <c r="D1581" s="196" t="s">
        <v>86</v>
      </c>
      <c r="E1581" s="196" t="s">
        <v>86</v>
      </c>
      <c r="F1581" s="196" t="s">
        <v>8</v>
      </c>
      <c r="G1581" s="196" t="s">
        <v>9</v>
      </c>
      <c r="H1581" s="19">
        <v>50104.26999999999</v>
      </c>
      <c r="I1581" s="19">
        <v>50062.26</v>
      </c>
      <c r="J1581" s="19">
        <v>50062.26</v>
      </c>
      <c r="K1581" s="20"/>
      <c r="L1581" s="20"/>
      <c r="M1581" s="20"/>
      <c r="N1581" s="20"/>
      <c r="O1581" s="20"/>
      <c r="P1581" s="20"/>
      <c r="Q1581" s="17"/>
      <c r="T1581" s="20">
        <v>13576.55</v>
      </c>
      <c r="U1581" s="20">
        <v>13576.55</v>
      </c>
      <c r="V1581" s="20">
        <v>13576.55</v>
      </c>
      <c r="W1581" s="20">
        <f t="shared" si="49"/>
        <v>36527.719999999987</v>
      </c>
      <c r="X1581" s="20">
        <f t="shared" si="49"/>
        <v>36485.710000000006</v>
      </c>
      <c r="Y1581" s="20">
        <f t="shared" si="49"/>
        <v>36485.710000000006</v>
      </c>
    </row>
    <row r="1582" spans="1:25" s="16" customFormat="1" ht="25.5">
      <c r="A1582" s="108" t="str">
        <f t="shared" si="48"/>
        <v>620050583 0 00 00000000</v>
      </c>
      <c r="B1582" s="197" t="s">
        <v>806</v>
      </c>
      <c r="C1582" s="199" t="s">
        <v>410</v>
      </c>
      <c r="D1582" s="199" t="s">
        <v>86</v>
      </c>
      <c r="E1582" s="199" t="s">
        <v>86</v>
      </c>
      <c r="F1582" s="199" t="s">
        <v>807</v>
      </c>
      <c r="G1582" s="199" t="s">
        <v>9</v>
      </c>
      <c r="H1582" s="64">
        <v>50104.26999999999</v>
      </c>
      <c r="I1582" s="64">
        <v>50062.26</v>
      </c>
      <c r="J1582" s="64">
        <v>50062.26</v>
      </c>
      <c r="K1582" s="20"/>
      <c r="L1582" s="20"/>
      <c r="M1582" s="20"/>
      <c r="N1582" s="20"/>
      <c r="O1582" s="20"/>
      <c r="P1582" s="20"/>
      <c r="Q1582" s="17"/>
      <c r="T1582" s="20">
        <v>13576.55</v>
      </c>
      <c r="U1582" s="20">
        <v>13576.55</v>
      </c>
      <c r="V1582" s="20">
        <v>13576.55</v>
      </c>
      <c r="W1582" s="20">
        <f t="shared" si="49"/>
        <v>36527.719999999987</v>
      </c>
      <c r="X1582" s="20">
        <f t="shared" si="49"/>
        <v>36485.710000000006</v>
      </c>
      <c r="Y1582" s="20">
        <f t="shared" si="49"/>
        <v>36485.710000000006</v>
      </c>
    </row>
    <row r="1583" spans="1:25" s="16" customFormat="1" ht="25.5">
      <c r="A1583" s="108" t="str">
        <f t="shared" si="48"/>
        <v>620050583 1 00 00000000</v>
      </c>
      <c r="B1583" s="197" t="s">
        <v>808</v>
      </c>
      <c r="C1583" s="199" t="s">
        <v>410</v>
      </c>
      <c r="D1583" s="199" t="s">
        <v>86</v>
      </c>
      <c r="E1583" s="199" t="s">
        <v>86</v>
      </c>
      <c r="F1583" s="199" t="s">
        <v>809</v>
      </c>
      <c r="G1583" s="199" t="s">
        <v>9</v>
      </c>
      <c r="H1583" s="64">
        <v>50104.26999999999</v>
      </c>
      <c r="I1583" s="64">
        <v>50062.26</v>
      </c>
      <c r="J1583" s="64">
        <v>50062.26</v>
      </c>
      <c r="K1583" s="20"/>
      <c r="L1583" s="20"/>
      <c r="M1583" s="20"/>
      <c r="N1583" s="20"/>
      <c r="O1583" s="20"/>
      <c r="P1583" s="20"/>
      <c r="Q1583" s="17"/>
      <c r="T1583" s="20"/>
      <c r="U1583" s="20"/>
      <c r="V1583" s="20"/>
      <c r="W1583" s="20">
        <f t="shared" si="49"/>
        <v>50104.26999999999</v>
      </c>
      <c r="X1583" s="20">
        <f t="shared" si="49"/>
        <v>50062.26</v>
      </c>
      <c r="Y1583" s="20">
        <f t="shared" si="49"/>
        <v>50062.26</v>
      </c>
    </row>
    <row r="1584" spans="1:25" s="16" customFormat="1" ht="25.5">
      <c r="A1584" s="108" t="str">
        <f t="shared" si="48"/>
        <v>620050583 1 00 10010000</v>
      </c>
      <c r="B1584" s="197" t="s">
        <v>18</v>
      </c>
      <c r="C1584" s="199" t="s">
        <v>410</v>
      </c>
      <c r="D1584" s="199" t="s">
        <v>86</v>
      </c>
      <c r="E1584" s="199" t="s">
        <v>86</v>
      </c>
      <c r="F1584" s="199" t="s">
        <v>900</v>
      </c>
      <c r="G1584" s="199" t="s">
        <v>9</v>
      </c>
      <c r="H1584" s="64">
        <v>6689.2400000000007</v>
      </c>
      <c r="I1584" s="64">
        <v>6747.7300000000005</v>
      </c>
      <c r="J1584" s="64">
        <v>6747.7300000000005</v>
      </c>
      <c r="K1584" s="25"/>
      <c r="L1584" s="25"/>
      <c r="M1584" s="25"/>
      <c r="N1584" s="25"/>
      <c r="O1584" s="25"/>
      <c r="P1584" s="25"/>
      <c r="Q1584" s="17"/>
      <c r="T1584" s="25">
        <v>14384</v>
      </c>
      <c r="U1584" s="25">
        <v>14384</v>
      </c>
      <c r="V1584" s="25">
        <v>14384</v>
      </c>
      <c r="W1584" s="25">
        <f t="shared" si="49"/>
        <v>-7694.7599999999993</v>
      </c>
      <c r="X1584" s="25">
        <f t="shared" si="49"/>
        <v>-7636.2699999999995</v>
      </c>
      <c r="Y1584" s="25">
        <f t="shared" si="49"/>
        <v>-7636.2699999999995</v>
      </c>
    </row>
    <row r="1585" spans="1:25" s="16" customFormat="1" ht="25.5">
      <c r="A1585" s="108" t="str">
        <f t="shared" si="48"/>
        <v>620050583 1 00 10010120</v>
      </c>
      <c r="B1585" s="200" t="s">
        <v>20</v>
      </c>
      <c r="C1585" s="199" t="s">
        <v>410</v>
      </c>
      <c r="D1585" s="199" t="s">
        <v>86</v>
      </c>
      <c r="E1585" s="199" t="s">
        <v>86</v>
      </c>
      <c r="F1585" s="199" t="s">
        <v>900</v>
      </c>
      <c r="G1585" s="199" t="s">
        <v>21</v>
      </c>
      <c r="H1585" s="20">
        <v>1182.76</v>
      </c>
      <c r="I1585" s="20">
        <v>1182.76</v>
      </c>
      <c r="J1585" s="20">
        <v>1182.76</v>
      </c>
      <c r="K1585" s="18"/>
      <c r="L1585" s="18"/>
      <c r="M1585" s="18"/>
      <c r="N1585" s="18"/>
      <c r="O1585" s="18"/>
      <c r="P1585" s="18"/>
      <c r="Q1585" s="17"/>
      <c r="T1585" s="18">
        <v>14384</v>
      </c>
      <c r="U1585" s="18">
        <v>14384</v>
      </c>
      <c r="V1585" s="18">
        <v>14384</v>
      </c>
      <c r="W1585" s="18">
        <f t="shared" si="49"/>
        <v>-13201.24</v>
      </c>
      <c r="X1585" s="18">
        <f t="shared" si="49"/>
        <v>-13201.24</v>
      </c>
      <c r="Y1585" s="18">
        <f t="shared" si="49"/>
        <v>-13201.24</v>
      </c>
    </row>
    <row r="1586" spans="1:25" s="16" customFormat="1" ht="25.5">
      <c r="A1586" s="108" t="str">
        <f t="shared" si="48"/>
        <v>620050583 1 00 10010240</v>
      </c>
      <c r="B1586" s="197" t="s">
        <v>28</v>
      </c>
      <c r="C1586" s="199" t="s">
        <v>410</v>
      </c>
      <c r="D1586" s="199" t="s">
        <v>86</v>
      </c>
      <c r="E1586" s="199" t="s">
        <v>86</v>
      </c>
      <c r="F1586" s="199" t="s">
        <v>900</v>
      </c>
      <c r="G1586" s="199" t="s">
        <v>29</v>
      </c>
      <c r="H1586" s="20">
        <v>5397.4800000000005</v>
      </c>
      <c r="I1586" s="20">
        <v>5455.97</v>
      </c>
      <c r="J1586" s="20">
        <v>5455.97</v>
      </c>
      <c r="K1586" s="19"/>
      <c r="L1586" s="19"/>
      <c r="M1586" s="19"/>
      <c r="N1586" s="19"/>
      <c r="O1586" s="19"/>
      <c r="P1586" s="19"/>
      <c r="Q1586" s="17"/>
      <c r="T1586" s="19">
        <v>14384</v>
      </c>
      <c r="U1586" s="19">
        <v>14384</v>
      </c>
      <c r="V1586" s="19">
        <v>14384</v>
      </c>
      <c r="W1586" s="19">
        <f t="shared" si="49"/>
        <v>-8986.52</v>
      </c>
      <c r="X1586" s="19">
        <f t="shared" si="49"/>
        <v>-8928.0299999999988</v>
      </c>
      <c r="Y1586" s="19">
        <f t="shared" si="49"/>
        <v>-8928.0299999999988</v>
      </c>
    </row>
    <row r="1587" spans="1:25" s="16" customFormat="1">
      <c r="A1587" s="108" t="str">
        <f t="shared" si="48"/>
        <v>620050583 1 00 10010850</v>
      </c>
      <c r="B1587" s="197" t="s">
        <v>32</v>
      </c>
      <c r="C1587" s="199" t="s">
        <v>410</v>
      </c>
      <c r="D1587" s="199" t="s">
        <v>86</v>
      </c>
      <c r="E1587" s="199" t="s">
        <v>86</v>
      </c>
      <c r="F1587" s="199" t="s">
        <v>900</v>
      </c>
      <c r="G1587" s="199" t="s">
        <v>33</v>
      </c>
      <c r="H1587" s="20">
        <v>109</v>
      </c>
      <c r="I1587" s="20">
        <v>109</v>
      </c>
      <c r="J1587" s="20">
        <v>109</v>
      </c>
      <c r="K1587" s="20"/>
      <c r="L1587" s="20"/>
      <c r="M1587" s="20"/>
      <c r="N1587" s="20"/>
      <c r="O1587" s="20"/>
      <c r="P1587" s="20"/>
      <c r="Q1587" s="17"/>
      <c r="T1587" s="20">
        <v>14384</v>
      </c>
      <c r="U1587" s="20">
        <v>14384</v>
      </c>
      <c r="V1587" s="20">
        <v>14384</v>
      </c>
      <c r="W1587" s="20">
        <f t="shared" si="49"/>
        <v>-14275</v>
      </c>
      <c r="X1587" s="20">
        <f t="shared" si="49"/>
        <v>-14275</v>
      </c>
      <c r="Y1587" s="20">
        <f t="shared" si="49"/>
        <v>-14275</v>
      </c>
    </row>
    <row r="1588" spans="1:25" s="16" customFormat="1" ht="25.5">
      <c r="A1588" s="108" t="str">
        <f t="shared" si="48"/>
        <v>620050583 1 00 10020000</v>
      </c>
      <c r="B1588" s="197" t="s">
        <v>38</v>
      </c>
      <c r="C1588" s="199" t="s">
        <v>410</v>
      </c>
      <c r="D1588" s="199" t="s">
        <v>86</v>
      </c>
      <c r="E1588" s="199" t="s">
        <v>86</v>
      </c>
      <c r="F1588" s="199" t="s">
        <v>901</v>
      </c>
      <c r="G1588" s="199" t="s">
        <v>9</v>
      </c>
      <c r="H1588" s="20">
        <v>42041.569999999992</v>
      </c>
      <c r="I1588" s="20">
        <v>43314.53</v>
      </c>
      <c r="J1588" s="20">
        <v>43314.53</v>
      </c>
      <c r="K1588" s="20"/>
      <c r="L1588" s="20"/>
      <c r="M1588" s="20"/>
      <c r="N1588" s="20"/>
      <c r="O1588" s="20"/>
      <c r="P1588" s="20"/>
      <c r="Q1588" s="17"/>
      <c r="T1588" s="20">
        <v>14384</v>
      </c>
      <c r="U1588" s="20">
        <v>14384</v>
      </c>
      <c r="V1588" s="20">
        <v>14384</v>
      </c>
      <c r="W1588" s="20">
        <f t="shared" si="49"/>
        <v>27657.569999999992</v>
      </c>
      <c r="X1588" s="20">
        <f t="shared" si="49"/>
        <v>28930.53</v>
      </c>
      <c r="Y1588" s="20">
        <f t="shared" si="49"/>
        <v>28930.53</v>
      </c>
    </row>
    <row r="1589" spans="1:25" s="16" customFormat="1" ht="25.5">
      <c r="A1589" s="108" t="str">
        <f t="shared" si="48"/>
        <v>620050583 1 00 10020120</v>
      </c>
      <c r="B1589" s="200" t="s">
        <v>20</v>
      </c>
      <c r="C1589" s="199" t="s">
        <v>410</v>
      </c>
      <c r="D1589" s="199" t="s">
        <v>86</v>
      </c>
      <c r="E1589" s="199" t="s">
        <v>86</v>
      </c>
      <c r="F1589" s="199" t="s">
        <v>901</v>
      </c>
      <c r="G1589" s="199" t="s">
        <v>21</v>
      </c>
      <c r="H1589" s="20">
        <v>42041.569999999992</v>
      </c>
      <c r="I1589" s="20">
        <v>43314.53</v>
      </c>
      <c r="J1589" s="20">
        <v>43314.53</v>
      </c>
      <c r="K1589" s="20"/>
      <c r="L1589" s="20"/>
      <c r="M1589" s="20"/>
      <c r="N1589" s="20"/>
      <c r="O1589" s="20"/>
      <c r="P1589" s="20"/>
      <c r="Q1589" s="17"/>
      <c r="T1589" s="20">
        <v>3916.21</v>
      </c>
      <c r="U1589" s="20">
        <v>3916.21</v>
      </c>
      <c r="V1589" s="20">
        <v>3916.21</v>
      </c>
      <c r="W1589" s="20">
        <f t="shared" si="49"/>
        <v>38125.359999999993</v>
      </c>
      <c r="X1589" s="20">
        <f t="shared" si="49"/>
        <v>39398.32</v>
      </c>
      <c r="Y1589" s="20">
        <f t="shared" si="49"/>
        <v>39398.32</v>
      </c>
    </row>
    <row r="1590" spans="1:25" s="16" customFormat="1" ht="191.25">
      <c r="A1590" s="108" t="str">
        <f t="shared" si="48"/>
        <v>620050583 1 00 77460000</v>
      </c>
      <c r="B1590" s="197" t="s">
        <v>1263</v>
      </c>
      <c r="C1590" s="199" t="s">
        <v>410</v>
      </c>
      <c r="D1590" s="199" t="s">
        <v>86</v>
      </c>
      <c r="E1590" s="199" t="s">
        <v>86</v>
      </c>
      <c r="F1590" s="199" t="s">
        <v>1360</v>
      </c>
      <c r="G1590" s="199" t="s">
        <v>9</v>
      </c>
      <c r="H1590" s="20">
        <v>1373.46</v>
      </c>
      <c r="I1590" s="20">
        <v>0</v>
      </c>
      <c r="J1590" s="20">
        <v>0</v>
      </c>
      <c r="K1590" s="20"/>
      <c r="L1590" s="20"/>
      <c r="M1590" s="20"/>
      <c r="N1590" s="20"/>
      <c r="O1590" s="20"/>
      <c r="P1590" s="20"/>
      <c r="Q1590" s="17"/>
      <c r="T1590" s="20">
        <v>546.53</v>
      </c>
      <c r="U1590" s="20">
        <v>546.53</v>
      </c>
      <c r="V1590" s="20">
        <v>546.53</v>
      </c>
      <c r="W1590" s="20">
        <f t="shared" si="49"/>
        <v>826.93000000000006</v>
      </c>
      <c r="X1590" s="20">
        <f t="shared" si="49"/>
        <v>-546.53</v>
      </c>
      <c r="Y1590" s="20">
        <f t="shared" si="49"/>
        <v>-546.53</v>
      </c>
    </row>
    <row r="1591" spans="1:25" s="16" customFormat="1" ht="25.5">
      <c r="A1591" s="108" t="str">
        <f t="shared" si="48"/>
        <v>620050583 1 00 77460120</v>
      </c>
      <c r="B1591" s="200" t="s">
        <v>20</v>
      </c>
      <c r="C1591" s="199" t="s">
        <v>410</v>
      </c>
      <c r="D1591" s="199" t="s">
        <v>86</v>
      </c>
      <c r="E1591" s="199" t="s">
        <v>86</v>
      </c>
      <c r="F1591" s="199" t="s">
        <v>1360</v>
      </c>
      <c r="G1591" s="199" t="s">
        <v>21</v>
      </c>
      <c r="H1591" s="20">
        <v>1373.46</v>
      </c>
      <c r="I1591" s="20">
        <v>0</v>
      </c>
      <c r="J1591" s="20">
        <v>0</v>
      </c>
      <c r="K1591" s="20"/>
      <c r="L1591" s="20"/>
      <c r="M1591" s="20"/>
      <c r="N1591" s="20"/>
      <c r="O1591" s="20"/>
      <c r="P1591" s="20"/>
      <c r="Q1591" s="17"/>
      <c r="T1591" s="20">
        <v>3257.98</v>
      </c>
      <c r="U1591" s="20">
        <v>3257.98</v>
      </c>
      <c r="V1591" s="20">
        <v>3257.98</v>
      </c>
      <c r="W1591" s="20">
        <f t="shared" si="49"/>
        <v>-1884.52</v>
      </c>
      <c r="X1591" s="20">
        <f t="shared" si="49"/>
        <v>-3257.98</v>
      </c>
      <c r="Y1591" s="20">
        <f t="shared" si="49"/>
        <v>-3257.98</v>
      </c>
    </row>
    <row r="1592" spans="1:25" s="16" customFormat="1">
      <c r="A1592" s="108" t="str">
        <f t="shared" si="48"/>
        <v>620080000 0 00 00000000</v>
      </c>
      <c r="B1592" s="191" t="s">
        <v>569</v>
      </c>
      <c r="C1592" s="192" t="s">
        <v>410</v>
      </c>
      <c r="D1592" s="193" t="s">
        <v>238</v>
      </c>
      <c r="E1592" s="193" t="s">
        <v>7</v>
      </c>
      <c r="F1592" s="193" t="s">
        <v>8</v>
      </c>
      <c r="G1592" s="193" t="s">
        <v>9</v>
      </c>
      <c r="H1592" s="18">
        <v>1162.5</v>
      </c>
      <c r="I1592" s="18">
        <v>1162.5</v>
      </c>
      <c r="J1592" s="18">
        <v>1162.5</v>
      </c>
      <c r="K1592" s="20"/>
      <c r="L1592" s="20"/>
      <c r="M1592" s="20"/>
      <c r="N1592" s="20"/>
      <c r="O1592" s="20"/>
      <c r="P1592" s="20"/>
      <c r="Q1592" s="17"/>
      <c r="T1592" s="20">
        <v>111.69999999999999</v>
      </c>
      <c r="U1592" s="20">
        <v>111.69999999999999</v>
      </c>
      <c r="V1592" s="20">
        <v>111.69999999999999</v>
      </c>
      <c r="W1592" s="20">
        <f t="shared" si="49"/>
        <v>1050.8</v>
      </c>
      <c r="X1592" s="20">
        <f t="shared" si="49"/>
        <v>1050.8</v>
      </c>
      <c r="Y1592" s="20">
        <f t="shared" si="49"/>
        <v>1050.8</v>
      </c>
    </row>
    <row r="1593" spans="1:25" s="16" customFormat="1">
      <c r="A1593" s="108" t="str">
        <f t="shared" si="48"/>
        <v>620080100 0 00 00000000</v>
      </c>
      <c r="B1593" s="194" t="s">
        <v>239</v>
      </c>
      <c r="C1593" s="195" t="s">
        <v>410</v>
      </c>
      <c r="D1593" s="196" t="s">
        <v>238</v>
      </c>
      <c r="E1593" s="196" t="s">
        <v>11</v>
      </c>
      <c r="F1593" s="196" t="s">
        <v>8</v>
      </c>
      <c r="G1593" s="196" t="s">
        <v>9</v>
      </c>
      <c r="H1593" s="19">
        <v>1162.5</v>
      </c>
      <c r="I1593" s="19">
        <v>1162.5</v>
      </c>
      <c r="J1593" s="19">
        <v>1162.5</v>
      </c>
      <c r="K1593" s="20"/>
      <c r="L1593" s="20"/>
      <c r="M1593" s="20"/>
      <c r="N1593" s="20"/>
      <c r="O1593" s="20"/>
      <c r="P1593" s="20"/>
      <c r="Q1593" s="17"/>
      <c r="T1593" s="20">
        <v>10467.790000000001</v>
      </c>
      <c r="U1593" s="20">
        <v>10467.790000000001</v>
      </c>
      <c r="V1593" s="20">
        <v>10467.790000000001</v>
      </c>
      <c r="W1593" s="20">
        <f t="shared" si="49"/>
        <v>-9305.2900000000009</v>
      </c>
      <c r="X1593" s="20">
        <f t="shared" si="49"/>
        <v>-9305.2900000000009</v>
      </c>
      <c r="Y1593" s="20">
        <f t="shared" si="49"/>
        <v>-9305.2900000000009</v>
      </c>
    </row>
    <row r="1594" spans="1:25" s="16" customFormat="1">
      <c r="A1594" s="108" t="str">
        <f t="shared" si="48"/>
        <v>620080107 0 00 00000000</v>
      </c>
      <c r="B1594" s="197" t="s">
        <v>240</v>
      </c>
      <c r="C1594" s="198" t="s">
        <v>410</v>
      </c>
      <c r="D1594" s="199" t="s">
        <v>238</v>
      </c>
      <c r="E1594" s="199" t="s">
        <v>11</v>
      </c>
      <c r="F1594" s="204" t="s">
        <v>241</v>
      </c>
      <c r="G1594" s="199" t="s">
        <v>9</v>
      </c>
      <c r="H1594" s="20">
        <v>1162.5</v>
      </c>
      <c r="I1594" s="20">
        <v>1162.5</v>
      </c>
      <c r="J1594" s="20">
        <v>1162.5</v>
      </c>
      <c r="K1594" s="20"/>
      <c r="L1594" s="20"/>
      <c r="M1594" s="20"/>
      <c r="N1594" s="20"/>
      <c r="O1594" s="20"/>
      <c r="P1594" s="20"/>
      <c r="Q1594" s="17"/>
      <c r="T1594" s="20">
        <v>10467.790000000001</v>
      </c>
      <c r="U1594" s="20">
        <v>10467.790000000001</v>
      </c>
      <c r="V1594" s="20">
        <v>10467.790000000001</v>
      </c>
      <c r="W1594" s="20">
        <f t="shared" si="49"/>
        <v>-9305.2900000000009</v>
      </c>
      <c r="X1594" s="20">
        <f t="shared" si="49"/>
        <v>-9305.2900000000009</v>
      </c>
      <c r="Y1594" s="20">
        <f t="shared" si="49"/>
        <v>-9305.2900000000009</v>
      </c>
    </row>
    <row r="1595" spans="1:25" s="16" customFormat="1" ht="51">
      <c r="A1595" s="108" t="str">
        <f t="shared" si="48"/>
        <v>620080107 1 00 00000000</v>
      </c>
      <c r="B1595" s="197" t="s">
        <v>384</v>
      </c>
      <c r="C1595" s="198" t="s">
        <v>410</v>
      </c>
      <c r="D1595" s="199" t="s">
        <v>238</v>
      </c>
      <c r="E1595" s="199" t="s">
        <v>11</v>
      </c>
      <c r="F1595" s="204" t="s">
        <v>243</v>
      </c>
      <c r="G1595" s="199" t="s">
        <v>9</v>
      </c>
      <c r="H1595" s="20">
        <v>1162.5</v>
      </c>
      <c r="I1595" s="20">
        <v>1162.5</v>
      </c>
      <c r="J1595" s="20">
        <v>1162.5</v>
      </c>
      <c r="K1595" s="20"/>
      <c r="L1595" s="20"/>
      <c r="M1595" s="20"/>
      <c r="N1595" s="20"/>
      <c r="O1595" s="20"/>
      <c r="P1595" s="20"/>
      <c r="Q1595" s="17"/>
      <c r="T1595" s="20"/>
      <c r="U1595" s="20"/>
      <c r="V1595" s="20"/>
      <c r="W1595" s="20">
        <f t="shared" si="49"/>
        <v>1162.5</v>
      </c>
      <c r="X1595" s="20">
        <f t="shared" si="49"/>
        <v>1162.5</v>
      </c>
      <c r="Y1595" s="20">
        <f t="shared" si="49"/>
        <v>1162.5</v>
      </c>
    </row>
    <row r="1596" spans="1:25" ht="63.75">
      <c r="A1596" s="108" t="str">
        <f t="shared" si="48"/>
        <v>620080107 1 01 00000000</v>
      </c>
      <c r="B1596" s="197" t="s">
        <v>244</v>
      </c>
      <c r="C1596" s="198" t="s">
        <v>410</v>
      </c>
      <c r="D1596" s="199" t="s">
        <v>238</v>
      </c>
      <c r="E1596" s="199" t="s">
        <v>11</v>
      </c>
      <c r="F1596" s="204" t="s">
        <v>245</v>
      </c>
      <c r="G1596" s="199" t="s">
        <v>9</v>
      </c>
      <c r="H1596" s="20">
        <v>1162.5</v>
      </c>
      <c r="I1596" s="20">
        <v>1162.5</v>
      </c>
      <c r="J1596" s="20">
        <v>1162.5</v>
      </c>
      <c r="K1596" s="25"/>
      <c r="L1596" s="25"/>
      <c r="M1596" s="25"/>
      <c r="N1596" s="25"/>
      <c r="O1596" s="25"/>
      <c r="P1596" s="25"/>
      <c r="Q1596" s="17"/>
      <c r="T1596" s="25">
        <v>8518608.540000001</v>
      </c>
      <c r="U1596" s="25">
        <v>8004407.8399999989</v>
      </c>
      <c r="V1596" s="25">
        <v>8109038.7199999997</v>
      </c>
      <c r="W1596" s="25">
        <f t="shared" si="49"/>
        <v>-8517446.040000001</v>
      </c>
      <c r="X1596" s="25">
        <f t="shared" si="49"/>
        <v>-8003245.3399999989</v>
      </c>
      <c r="Y1596" s="25">
        <f t="shared" si="49"/>
        <v>-8107876.2199999997</v>
      </c>
    </row>
    <row r="1597" spans="1:25" ht="25.5">
      <c r="A1597" s="108" t="str">
        <f t="shared" si="48"/>
        <v>620080107 1 01 20060000</v>
      </c>
      <c r="B1597" s="197" t="s">
        <v>246</v>
      </c>
      <c r="C1597" s="198" t="s">
        <v>410</v>
      </c>
      <c r="D1597" s="199" t="s">
        <v>238</v>
      </c>
      <c r="E1597" s="199" t="s">
        <v>11</v>
      </c>
      <c r="F1597" s="204" t="s">
        <v>247</v>
      </c>
      <c r="G1597" s="199" t="s">
        <v>9</v>
      </c>
      <c r="H1597" s="20">
        <v>1162.5</v>
      </c>
      <c r="I1597" s="20">
        <v>1162.5</v>
      </c>
      <c r="J1597" s="20">
        <v>1162.5</v>
      </c>
      <c r="K1597" s="70"/>
      <c r="L1597" s="70"/>
      <c r="M1597" s="18"/>
      <c r="N1597" s="70"/>
      <c r="O1597" s="70"/>
      <c r="P1597" s="18"/>
      <c r="Q1597" s="17"/>
      <c r="T1597" s="70"/>
      <c r="U1597" s="70"/>
      <c r="V1597" s="18"/>
      <c r="W1597" s="70"/>
      <c r="X1597" s="70"/>
      <c r="Y1597" s="18"/>
    </row>
    <row r="1598" spans="1:25" ht="25.5">
      <c r="A1598" s="108" t="str">
        <f t="shared" si="48"/>
        <v>620080107 1 01 20060240</v>
      </c>
      <c r="B1598" s="200" t="s">
        <v>28</v>
      </c>
      <c r="C1598" s="198" t="s">
        <v>410</v>
      </c>
      <c r="D1598" s="199" t="s">
        <v>238</v>
      </c>
      <c r="E1598" s="199" t="s">
        <v>11</v>
      </c>
      <c r="F1598" s="204" t="s">
        <v>247</v>
      </c>
      <c r="G1598" s="199" t="s">
        <v>29</v>
      </c>
      <c r="H1598" s="20">
        <v>1162.5</v>
      </c>
      <c r="I1598" s="20">
        <v>1162.5</v>
      </c>
      <c r="J1598" s="20">
        <v>1162.5</v>
      </c>
      <c r="L1598" s="76"/>
      <c r="M1598" s="18"/>
      <c r="O1598" s="76"/>
      <c r="P1598" s="18"/>
      <c r="Q1598" s="17"/>
      <c r="U1598" s="76"/>
      <c r="V1598" s="18"/>
      <c r="X1598" s="76"/>
      <c r="Y1598" s="18"/>
    </row>
    <row r="1599" spans="1:25">
      <c r="A1599" s="108" t="str">
        <f t="shared" si="48"/>
        <v>620100000 0 00 00000000</v>
      </c>
      <c r="B1599" s="191" t="s">
        <v>316</v>
      </c>
      <c r="C1599" s="192" t="s">
        <v>410</v>
      </c>
      <c r="D1599" s="193" t="s">
        <v>317</v>
      </c>
      <c r="E1599" s="193" t="s">
        <v>7</v>
      </c>
      <c r="F1599" s="193" t="s">
        <v>8</v>
      </c>
      <c r="G1599" s="193" t="s">
        <v>9</v>
      </c>
      <c r="H1599" s="18">
        <v>15384.4</v>
      </c>
      <c r="I1599" s="18">
        <v>23485.78</v>
      </c>
      <c r="J1599" s="18">
        <v>24399.690000000002</v>
      </c>
      <c r="L1599" s="76"/>
      <c r="M1599" s="18"/>
      <c r="O1599" s="76"/>
      <c r="P1599" s="18"/>
      <c r="Q1599" s="17"/>
      <c r="U1599" s="76"/>
      <c r="V1599" s="18"/>
      <c r="X1599" s="76"/>
      <c r="Y1599" s="18"/>
    </row>
    <row r="1600" spans="1:25" s="81" customFormat="1">
      <c r="A1600" s="108" t="str">
        <f t="shared" si="48"/>
        <v>620100300 0 00 00000000</v>
      </c>
      <c r="B1600" s="194" t="s">
        <v>318</v>
      </c>
      <c r="C1600" s="195" t="s">
        <v>410</v>
      </c>
      <c r="D1600" s="196">
        <v>10</v>
      </c>
      <c r="E1600" s="196" t="s">
        <v>13</v>
      </c>
      <c r="F1600" s="196" t="s">
        <v>8</v>
      </c>
      <c r="G1600" s="196" t="s">
        <v>9</v>
      </c>
      <c r="H1600" s="19">
        <v>15384.4</v>
      </c>
      <c r="I1600" s="19">
        <v>23485.78</v>
      </c>
      <c r="J1600" s="19">
        <v>24399.690000000002</v>
      </c>
      <c r="K1600" s="82"/>
      <c r="L1600" s="82"/>
      <c r="M1600" s="82"/>
      <c r="N1600" s="20"/>
      <c r="O1600" s="20"/>
      <c r="P1600" s="20"/>
      <c r="Q1600" s="17"/>
      <c r="T1600" s="82"/>
      <c r="U1600" s="82"/>
      <c r="V1600" s="82"/>
      <c r="W1600" s="82"/>
      <c r="X1600" s="82"/>
      <c r="Y1600" s="82"/>
    </row>
    <row r="1601" spans="1:25" s="81" customFormat="1" ht="25.5">
      <c r="A1601" s="108" t="str">
        <f t="shared" si="48"/>
        <v>620100303 0 00 00000000</v>
      </c>
      <c r="B1601" s="214" t="s">
        <v>385</v>
      </c>
      <c r="C1601" s="204" t="s">
        <v>410</v>
      </c>
      <c r="D1601" s="204">
        <v>10</v>
      </c>
      <c r="E1601" s="204" t="s">
        <v>13</v>
      </c>
      <c r="F1601" s="204" t="s">
        <v>386</v>
      </c>
      <c r="G1601" s="204" t="s">
        <v>9</v>
      </c>
      <c r="H1601" s="26">
        <v>15384.4</v>
      </c>
      <c r="I1601" s="26">
        <v>23485.78</v>
      </c>
      <c r="J1601" s="26">
        <v>24399.690000000002</v>
      </c>
      <c r="K1601" s="82"/>
      <c r="L1601" s="82"/>
      <c r="M1601" s="82"/>
      <c r="N1601" s="20"/>
      <c r="O1601" s="20"/>
      <c r="P1601" s="20"/>
      <c r="Q1601" s="17"/>
      <c r="T1601" s="82"/>
      <c r="U1601" s="82"/>
      <c r="V1601" s="82"/>
      <c r="W1601" s="82"/>
      <c r="X1601" s="82"/>
      <c r="Y1601" s="82"/>
    </row>
    <row r="1602" spans="1:25" s="81" customFormat="1" ht="38.25">
      <c r="A1602" s="108" t="str">
        <f t="shared" si="48"/>
        <v>620100303 2 00 00000000</v>
      </c>
      <c r="B1602" s="214" t="s">
        <v>387</v>
      </c>
      <c r="C1602" s="204" t="s">
        <v>410</v>
      </c>
      <c r="D1602" s="204">
        <v>10</v>
      </c>
      <c r="E1602" s="204" t="s">
        <v>13</v>
      </c>
      <c r="F1602" s="204" t="s">
        <v>388</v>
      </c>
      <c r="G1602" s="204" t="s">
        <v>9</v>
      </c>
      <c r="H1602" s="26">
        <v>15384.4</v>
      </c>
      <c r="I1602" s="26">
        <v>23485.78</v>
      </c>
      <c r="J1602" s="26">
        <v>24399.690000000002</v>
      </c>
      <c r="K1602" s="82"/>
      <c r="L1602" s="82"/>
      <c r="M1602" s="82"/>
      <c r="N1602" s="20"/>
      <c r="O1602" s="20"/>
      <c r="P1602" s="20"/>
      <c r="Q1602" s="17"/>
      <c r="T1602" s="82"/>
      <c r="U1602" s="82"/>
      <c r="V1602" s="82"/>
      <c r="W1602" s="82"/>
      <c r="X1602" s="82"/>
      <c r="Y1602" s="82"/>
    </row>
    <row r="1603" spans="1:25" s="81" customFormat="1" ht="38.25">
      <c r="A1603" s="108" t="str">
        <f t="shared" si="48"/>
        <v>620100303 2 03 00000000</v>
      </c>
      <c r="B1603" s="201" t="s">
        <v>902</v>
      </c>
      <c r="C1603" s="204" t="s">
        <v>410</v>
      </c>
      <c r="D1603" s="204">
        <v>10</v>
      </c>
      <c r="E1603" s="204" t="s">
        <v>13</v>
      </c>
      <c r="F1603" s="204" t="s">
        <v>903</v>
      </c>
      <c r="G1603" s="204" t="s">
        <v>9</v>
      </c>
      <c r="H1603" s="26">
        <v>2109.2600000000002</v>
      </c>
      <c r="I1603" s="26">
        <v>2109.2600000000002</v>
      </c>
      <c r="J1603" s="26">
        <v>2109.2600000000002</v>
      </c>
      <c r="K1603" s="82"/>
      <c r="L1603" s="82"/>
      <c r="M1603" s="82"/>
      <c r="N1603" s="82"/>
      <c r="O1603" s="82"/>
      <c r="P1603" s="82"/>
      <c r="Q1603" s="17"/>
      <c r="T1603" s="82"/>
      <c r="U1603" s="82"/>
      <c r="V1603" s="82"/>
      <c r="W1603" s="82"/>
      <c r="X1603" s="82"/>
      <c r="Y1603" s="82"/>
    </row>
    <row r="1604" spans="1:25" s="81" customFormat="1" ht="38.25">
      <c r="A1604" s="108" t="str">
        <f t="shared" si="48"/>
        <v>620100303 2 03 80020000</v>
      </c>
      <c r="B1604" s="197" t="s">
        <v>904</v>
      </c>
      <c r="C1604" s="199" t="s">
        <v>410</v>
      </c>
      <c r="D1604" s="199">
        <v>10</v>
      </c>
      <c r="E1604" s="199" t="s">
        <v>13</v>
      </c>
      <c r="F1604" s="199" t="s">
        <v>905</v>
      </c>
      <c r="G1604" s="199" t="s">
        <v>9</v>
      </c>
      <c r="H1604" s="20">
        <v>2109.2600000000002</v>
      </c>
      <c r="I1604" s="20">
        <v>2109.2600000000002</v>
      </c>
      <c r="J1604" s="20">
        <v>2109.2600000000002</v>
      </c>
      <c r="K1604" s="82"/>
      <c r="L1604" s="82"/>
      <c r="M1604" s="82"/>
      <c r="N1604" s="82"/>
      <c r="O1604" s="82"/>
      <c r="P1604" s="82"/>
      <c r="Q1604" s="17"/>
      <c r="T1604" s="82"/>
      <c r="U1604" s="82"/>
      <c r="V1604" s="82"/>
      <c r="W1604" s="82"/>
      <c r="X1604" s="82"/>
      <c r="Y1604" s="82"/>
    </row>
    <row r="1605" spans="1:25" s="81" customFormat="1" ht="38.25">
      <c r="A1605" s="108" t="str">
        <f t="shared" si="48"/>
        <v>620100303 2 03 80020810</v>
      </c>
      <c r="B1605" s="278" t="s">
        <v>203</v>
      </c>
      <c r="C1605" s="199" t="s">
        <v>410</v>
      </c>
      <c r="D1605" s="199">
        <v>10</v>
      </c>
      <c r="E1605" s="199" t="s">
        <v>13</v>
      </c>
      <c r="F1605" s="199" t="s">
        <v>905</v>
      </c>
      <c r="G1605" s="199" t="s">
        <v>204</v>
      </c>
      <c r="H1605" s="20">
        <v>2109.2600000000002</v>
      </c>
      <c r="I1605" s="20">
        <v>2109.2600000000002</v>
      </c>
      <c r="J1605" s="20">
        <v>2109.2600000000002</v>
      </c>
      <c r="K1605" s="82"/>
      <c r="L1605" s="82"/>
      <c r="M1605" s="82"/>
      <c r="N1605" s="82"/>
      <c r="O1605" s="82"/>
      <c r="P1605" s="82"/>
      <c r="Q1605" s="17"/>
      <c r="T1605" s="82"/>
      <c r="U1605" s="82"/>
      <c r="V1605" s="82"/>
      <c r="W1605" s="82"/>
      <c r="X1605" s="82"/>
      <c r="Y1605" s="82"/>
    </row>
    <row r="1606" spans="1:25" ht="51">
      <c r="A1606" s="108" t="str">
        <f t="shared" ref="A1606:A1669" si="50">C1606&amp;D1606&amp;E1606&amp;F1606&amp;G1606</f>
        <v>620100303 2 04 00000000</v>
      </c>
      <c r="B1606" s="201" t="s">
        <v>906</v>
      </c>
      <c r="C1606" s="204" t="s">
        <v>410</v>
      </c>
      <c r="D1606" s="204">
        <v>10</v>
      </c>
      <c r="E1606" s="204" t="s">
        <v>13</v>
      </c>
      <c r="F1606" s="204" t="s">
        <v>907</v>
      </c>
      <c r="G1606" s="204" t="s">
        <v>9</v>
      </c>
      <c r="H1606" s="26">
        <v>13275.14</v>
      </c>
      <c r="I1606" s="26">
        <v>21376.52</v>
      </c>
      <c r="J1606" s="26">
        <v>22290.43</v>
      </c>
      <c r="Q1606" s="17"/>
    </row>
    <row r="1607" spans="1:25" ht="38.25">
      <c r="A1607" s="108" t="str">
        <f t="shared" si="50"/>
        <v>620100303 2 04 80220000</v>
      </c>
      <c r="B1607" s="197" t="s">
        <v>908</v>
      </c>
      <c r="C1607" s="199" t="s">
        <v>410</v>
      </c>
      <c r="D1607" s="199">
        <v>10</v>
      </c>
      <c r="E1607" s="199" t="s">
        <v>13</v>
      </c>
      <c r="F1607" s="199" t="s">
        <v>909</v>
      </c>
      <c r="G1607" s="199" t="s">
        <v>9</v>
      </c>
      <c r="H1607" s="20">
        <v>13275.14</v>
      </c>
      <c r="I1607" s="20">
        <v>21376.52</v>
      </c>
      <c r="J1607" s="20">
        <v>22290.43</v>
      </c>
      <c r="Q1607" s="17"/>
    </row>
    <row r="1608" spans="1:25" s="86" customFormat="1" ht="38.25">
      <c r="A1608" s="108" t="str">
        <f t="shared" si="50"/>
        <v>620100303 2 04 80220810</v>
      </c>
      <c r="B1608" s="278" t="s">
        <v>203</v>
      </c>
      <c r="C1608" s="199" t="s">
        <v>410</v>
      </c>
      <c r="D1608" s="199">
        <v>10</v>
      </c>
      <c r="E1608" s="199" t="s">
        <v>13</v>
      </c>
      <c r="F1608" s="199" t="s">
        <v>909</v>
      </c>
      <c r="G1608" s="199" t="s">
        <v>204</v>
      </c>
      <c r="H1608" s="20">
        <v>13275.14</v>
      </c>
      <c r="I1608" s="20">
        <v>21376.52</v>
      </c>
      <c r="J1608" s="20">
        <v>22290.43</v>
      </c>
      <c r="K1608" s="89"/>
      <c r="L1608" s="87"/>
      <c r="N1608" s="89"/>
      <c r="O1608" s="87"/>
      <c r="Q1608" s="17"/>
      <c r="T1608" s="89"/>
      <c r="U1608" s="87"/>
      <c r="W1608" s="89"/>
      <c r="X1608" s="87"/>
    </row>
    <row r="1609" spans="1:25">
      <c r="A1609" s="108" t="str">
        <f t="shared" si="50"/>
        <v/>
      </c>
      <c r="B1609" s="205"/>
      <c r="C1609" s="204"/>
      <c r="D1609" s="204"/>
      <c r="E1609" s="204"/>
      <c r="F1609" s="204"/>
      <c r="G1609" s="204"/>
      <c r="H1609" s="26"/>
      <c r="I1609" s="26"/>
      <c r="J1609" s="26"/>
      <c r="K1609" s="89"/>
      <c r="L1609" s="23"/>
      <c r="M1609" s="48"/>
      <c r="N1609" s="89"/>
      <c r="O1609" s="23"/>
      <c r="P1609" s="48"/>
      <c r="Q1609" s="17"/>
      <c r="T1609" s="89"/>
      <c r="U1609" s="23"/>
      <c r="V1609" s="48"/>
      <c r="W1609" s="89"/>
      <c r="X1609" s="23"/>
      <c r="Y1609" s="48"/>
    </row>
    <row r="1610" spans="1:25">
      <c r="A1610" s="108" t="str">
        <f t="shared" si="50"/>
        <v>621000000 0 00 00000000</v>
      </c>
      <c r="B1610" s="202" t="s">
        <v>910</v>
      </c>
      <c r="C1610" s="189" t="s">
        <v>412</v>
      </c>
      <c r="D1610" s="190" t="s">
        <v>7</v>
      </c>
      <c r="E1610" s="190" t="s">
        <v>7</v>
      </c>
      <c r="F1610" s="190" t="s">
        <v>8</v>
      </c>
      <c r="G1610" s="190" t="s">
        <v>9</v>
      </c>
      <c r="H1610" s="25">
        <v>811093.83</v>
      </c>
      <c r="I1610" s="25">
        <v>780985.57</v>
      </c>
      <c r="J1610" s="25">
        <v>82318.820000000007</v>
      </c>
      <c r="K1610" s="89"/>
      <c r="L1610" s="23"/>
      <c r="M1610" s="48"/>
      <c r="N1610" s="89"/>
      <c r="O1610" s="23"/>
      <c r="P1610" s="48"/>
      <c r="Q1610" s="17"/>
      <c r="T1610" s="89"/>
      <c r="U1610" s="23"/>
      <c r="V1610" s="48"/>
      <c r="W1610" s="89"/>
      <c r="X1610" s="23"/>
      <c r="Y1610" s="48"/>
    </row>
    <row r="1611" spans="1:25">
      <c r="A1611" s="108" t="str">
        <f t="shared" si="50"/>
        <v>621010000 0 00 00000000</v>
      </c>
      <c r="B1611" s="191" t="s">
        <v>10</v>
      </c>
      <c r="C1611" s="192" t="s">
        <v>412</v>
      </c>
      <c r="D1611" s="193" t="s">
        <v>11</v>
      </c>
      <c r="E1611" s="193" t="s">
        <v>7</v>
      </c>
      <c r="F1611" s="193" t="s">
        <v>8</v>
      </c>
      <c r="G1611" s="193" t="s">
        <v>9</v>
      </c>
      <c r="H1611" s="18">
        <v>53819.060000000005</v>
      </c>
      <c r="I1611" s="18">
        <v>52855.700000000004</v>
      </c>
      <c r="J1611" s="18">
        <v>52855.700000000004</v>
      </c>
      <c r="K1611" s="89"/>
      <c r="L1611" s="23"/>
      <c r="M1611" s="48"/>
      <c r="N1611" s="89"/>
      <c r="O1611" s="23"/>
      <c r="P1611" s="48"/>
      <c r="Q1611" s="17"/>
      <c r="T1611" s="89"/>
      <c r="U1611" s="23"/>
      <c r="V1611" s="48"/>
      <c r="W1611" s="89"/>
      <c r="X1611" s="23"/>
      <c r="Y1611" s="48"/>
    </row>
    <row r="1612" spans="1:25">
      <c r="A1612" s="108" t="str">
        <f t="shared" si="50"/>
        <v>621011300 0 00 00000000</v>
      </c>
      <c r="B1612" s="194" t="s">
        <v>50</v>
      </c>
      <c r="C1612" s="195" t="s">
        <v>412</v>
      </c>
      <c r="D1612" s="196" t="s">
        <v>11</v>
      </c>
      <c r="E1612" s="196" t="s">
        <v>51</v>
      </c>
      <c r="F1612" s="196" t="s">
        <v>8</v>
      </c>
      <c r="G1612" s="196" t="s">
        <v>9</v>
      </c>
      <c r="H1612" s="19">
        <v>53819.060000000005</v>
      </c>
      <c r="I1612" s="19">
        <v>52855.700000000004</v>
      </c>
      <c r="J1612" s="19">
        <v>52855.700000000004</v>
      </c>
      <c r="K1612" s="89"/>
      <c r="L1612" s="23"/>
      <c r="M1612" s="48"/>
      <c r="N1612" s="89"/>
      <c r="O1612" s="23"/>
      <c r="P1612" s="48"/>
      <c r="Q1612" s="17"/>
      <c r="T1612" s="89"/>
      <c r="U1612" s="23"/>
      <c r="V1612" s="48"/>
      <c r="W1612" s="89"/>
      <c r="X1612" s="23"/>
      <c r="Y1612" s="48"/>
    </row>
    <row r="1613" spans="1:25" ht="25.5">
      <c r="A1613" s="108" t="str">
        <f t="shared" si="50"/>
        <v>621011384 0 00 00000000</v>
      </c>
      <c r="B1613" s="220" t="s">
        <v>911</v>
      </c>
      <c r="C1613" s="198" t="s">
        <v>412</v>
      </c>
      <c r="D1613" s="199" t="s">
        <v>11</v>
      </c>
      <c r="E1613" s="199" t="s">
        <v>51</v>
      </c>
      <c r="F1613" s="199" t="s">
        <v>912</v>
      </c>
      <c r="G1613" s="199" t="s">
        <v>9</v>
      </c>
      <c r="H1613" s="20">
        <v>53819.060000000005</v>
      </c>
      <c r="I1613" s="20">
        <v>52855.700000000004</v>
      </c>
      <c r="J1613" s="20">
        <v>52855.700000000004</v>
      </c>
      <c r="K1613" s="89"/>
      <c r="L1613" s="77"/>
      <c r="N1613" s="89"/>
      <c r="O1613" s="77"/>
      <c r="Q1613" s="17"/>
      <c r="T1613" s="89"/>
      <c r="U1613" s="77"/>
      <c r="W1613" s="89"/>
      <c r="X1613" s="77"/>
    </row>
    <row r="1614" spans="1:25" ht="25.5">
      <c r="A1614" s="108" t="str">
        <f t="shared" si="50"/>
        <v>621011384 1 00 00000000</v>
      </c>
      <c r="B1614" s="280" t="s">
        <v>913</v>
      </c>
      <c r="C1614" s="198" t="s">
        <v>412</v>
      </c>
      <c r="D1614" s="199" t="s">
        <v>11</v>
      </c>
      <c r="E1614" s="199" t="s">
        <v>51</v>
      </c>
      <c r="F1614" s="199" t="s">
        <v>914</v>
      </c>
      <c r="G1614" s="199" t="s">
        <v>9</v>
      </c>
      <c r="H1614" s="20">
        <v>48880.51</v>
      </c>
      <c r="I1614" s="20">
        <v>48755.700000000004</v>
      </c>
      <c r="J1614" s="20">
        <v>48755.700000000004</v>
      </c>
      <c r="K1614" s="89"/>
      <c r="L1614" s="77"/>
      <c r="N1614" s="89"/>
      <c r="O1614" s="77"/>
      <c r="Q1614" s="17"/>
      <c r="T1614" s="89"/>
      <c r="U1614" s="77"/>
      <c r="W1614" s="89"/>
      <c r="X1614" s="77"/>
    </row>
    <row r="1615" spans="1:25" ht="25.5">
      <c r="A1615" s="108" t="str">
        <f t="shared" si="50"/>
        <v>621011384 1 00 10010000</v>
      </c>
      <c r="B1615" s="220" t="s">
        <v>18</v>
      </c>
      <c r="C1615" s="198" t="s">
        <v>412</v>
      </c>
      <c r="D1615" s="199" t="s">
        <v>11</v>
      </c>
      <c r="E1615" s="199" t="s">
        <v>51</v>
      </c>
      <c r="F1615" s="199" t="s">
        <v>915</v>
      </c>
      <c r="G1615" s="199" t="s">
        <v>9</v>
      </c>
      <c r="H1615" s="20">
        <v>4209.3899999999994</v>
      </c>
      <c r="I1615" s="20">
        <v>4084.58</v>
      </c>
      <c r="J1615" s="20">
        <v>4084.58</v>
      </c>
      <c r="K1615" s="89"/>
      <c r="L1615" s="77"/>
      <c r="N1615" s="89"/>
      <c r="O1615" s="77"/>
      <c r="Q1615" s="17"/>
      <c r="T1615" s="89"/>
      <c r="U1615" s="77"/>
      <c r="W1615" s="89"/>
      <c r="X1615" s="77"/>
    </row>
    <row r="1616" spans="1:25" ht="25.5">
      <c r="A1616" s="108" t="str">
        <f t="shared" si="50"/>
        <v>621011384 1 00 10010120</v>
      </c>
      <c r="B1616" s="220" t="s">
        <v>20</v>
      </c>
      <c r="C1616" s="198" t="s">
        <v>412</v>
      </c>
      <c r="D1616" s="199" t="s">
        <v>11</v>
      </c>
      <c r="E1616" s="199" t="s">
        <v>51</v>
      </c>
      <c r="F1616" s="199" t="s">
        <v>915</v>
      </c>
      <c r="G1616" s="199" t="s">
        <v>21</v>
      </c>
      <c r="H1616" s="20">
        <v>1000.93</v>
      </c>
      <c r="I1616" s="20">
        <v>994.43</v>
      </c>
      <c r="J1616" s="20">
        <v>994.43</v>
      </c>
      <c r="K1616" s="77"/>
      <c r="L1616" s="77"/>
      <c r="N1616" s="77"/>
      <c r="O1616" s="77"/>
      <c r="Q1616" s="17"/>
      <c r="T1616" s="77"/>
      <c r="U1616" s="77"/>
      <c r="W1616" s="77"/>
      <c r="X1616" s="77"/>
    </row>
    <row r="1617" spans="1:25" ht="25.5">
      <c r="A1617" s="108" t="str">
        <f t="shared" si="50"/>
        <v>621011384 1 00 10010240</v>
      </c>
      <c r="B1617" s="220" t="s">
        <v>28</v>
      </c>
      <c r="C1617" s="198" t="s">
        <v>412</v>
      </c>
      <c r="D1617" s="199" t="s">
        <v>11</v>
      </c>
      <c r="E1617" s="199" t="s">
        <v>51</v>
      </c>
      <c r="F1617" s="199" t="s">
        <v>915</v>
      </c>
      <c r="G1617" s="199" t="s">
        <v>29</v>
      </c>
      <c r="H1617" s="20">
        <v>2982.16</v>
      </c>
      <c r="I1617" s="20">
        <v>2863.85</v>
      </c>
      <c r="J1617" s="20">
        <v>2863.85</v>
      </c>
      <c r="Q1617" s="17"/>
    </row>
    <row r="1618" spans="1:25">
      <c r="A1618" s="108" t="str">
        <f t="shared" si="50"/>
        <v/>
      </c>
      <c r="B1618" s="220" t="s">
        <v>1104</v>
      </c>
      <c r="C1618" s="198"/>
      <c r="D1618" s="199"/>
      <c r="E1618" s="199"/>
      <c r="F1618" s="199"/>
      <c r="G1618" s="199"/>
      <c r="H1618" s="20"/>
      <c r="I1618" s="20"/>
      <c r="J1618" s="20"/>
      <c r="K1618" s="77"/>
      <c r="L1618" s="77"/>
      <c r="M1618" s="91"/>
      <c r="N1618" s="77"/>
      <c r="O1618" s="77"/>
      <c r="P1618" s="91"/>
      <c r="Q1618" s="17"/>
      <c r="T1618" s="77"/>
      <c r="U1618" s="77"/>
      <c r="V1618" s="91"/>
      <c r="W1618" s="77"/>
      <c r="X1618" s="77"/>
      <c r="Y1618" s="91"/>
    </row>
    <row r="1619" spans="1:25">
      <c r="A1619" s="108" t="str">
        <f t="shared" si="50"/>
        <v>621011384 1 00 10010240</v>
      </c>
      <c r="B1619" s="221" t="s">
        <v>1105</v>
      </c>
      <c r="C1619" s="222" t="s">
        <v>412</v>
      </c>
      <c r="D1619" s="223" t="s">
        <v>11</v>
      </c>
      <c r="E1619" s="223" t="s">
        <v>51</v>
      </c>
      <c r="F1619" s="223" t="s">
        <v>915</v>
      </c>
      <c r="G1619" s="223" t="s">
        <v>29</v>
      </c>
      <c r="H1619" s="224">
        <v>112.41</v>
      </c>
      <c r="I1619" s="224">
        <v>0</v>
      </c>
      <c r="J1619" s="224">
        <v>0</v>
      </c>
      <c r="K1619" s="77"/>
      <c r="L1619" s="77"/>
      <c r="M1619" s="91"/>
      <c r="N1619" s="77"/>
      <c r="O1619" s="77"/>
      <c r="P1619" s="91"/>
      <c r="Q1619" s="17"/>
      <c r="T1619" s="77"/>
      <c r="U1619" s="77"/>
      <c r="V1619" s="91"/>
      <c r="W1619" s="77"/>
      <c r="X1619" s="77"/>
      <c r="Y1619" s="91"/>
    </row>
    <row r="1620" spans="1:25">
      <c r="A1620" s="108" t="str">
        <f t="shared" si="50"/>
        <v>621011384 1 00 10010850</v>
      </c>
      <c r="B1620" s="220" t="s">
        <v>32</v>
      </c>
      <c r="C1620" s="198" t="s">
        <v>412</v>
      </c>
      <c r="D1620" s="199" t="s">
        <v>11</v>
      </c>
      <c r="E1620" s="199" t="s">
        <v>51</v>
      </c>
      <c r="F1620" s="199" t="s">
        <v>915</v>
      </c>
      <c r="G1620" s="199" t="s">
        <v>33</v>
      </c>
      <c r="H1620" s="20">
        <v>226.3</v>
      </c>
      <c r="I1620" s="20">
        <v>226.3</v>
      </c>
      <c r="J1620" s="20">
        <v>226.3</v>
      </c>
      <c r="K1620" s="77"/>
      <c r="L1620" s="77"/>
      <c r="M1620" s="91"/>
      <c r="N1620" s="77"/>
      <c r="O1620" s="77"/>
      <c r="P1620" s="91"/>
      <c r="Q1620" s="17"/>
      <c r="T1620" s="77"/>
      <c r="U1620" s="77"/>
      <c r="V1620" s="91"/>
      <c r="W1620" s="77"/>
      <c r="X1620" s="77"/>
      <c r="Y1620" s="91"/>
    </row>
    <row r="1621" spans="1:25" ht="25.5">
      <c r="A1621" s="108" t="str">
        <f t="shared" si="50"/>
        <v>621011384 1 00 10020000</v>
      </c>
      <c r="B1621" s="220" t="s">
        <v>38</v>
      </c>
      <c r="C1621" s="198" t="s">
        <v>412</v>
      </c>
      <c r="D1621" s="199" t="s">
        <v>11</v>
      </c>
      <c r="E1621" s="199" t="s">
        <v>51</v>
      </c>
      <c r="F1621" s="199" t="s">
        <v>916</v>
      </c>
      <c r="G1621" s="199" t="s">
        <v>9</v>
      </c>
      <c r="H1621" s="20">
        <v>43245.280000000006</v>
      </c>
      <c r="I1621" s="20">
        <v>44671.12</v>
      </c>
      <c r="J1621" s="20">
        <v>44671.12</v>
      </c>
      <c r="K1621" s="76"/>
      <c r="L1621" s="77"/>
      <c r="M1621" s="77"/>
      <c r="N1621" s="76"/>
      <c r="O1621" s="77"/>
      <c r="P1621" s="77"/>
      <c r="Q1621" s="17"/>
      <c r="T1621" s="76"/>
      <c r="U1621" s="77"/>
      <c r="V1621" s="77"/>
      <c r="W1621" s="76"/>
      <c r="X1621" s="77"/>
      <c r="Y1621" s="77"/>
    </row>
    <row r="1622" spans="1:25" ht="25.5">
      <c r="A1622" s="108" t="str">
        <f t="shared" si="50"/>
        <v>621011384 1 00 10020120</v>
      </c>
      <c r="B1622" s="220" t="s">
        <v>20</v>
      </c>
      <c r="C1622" s="198" t="s">
        <v>412</v>
      </c>
      <c r="D1622" s="199" t="s">
        <v>11</v>
      </c>
      <c r="E1622" s="199" t="s">
        <v>51</v>
      </c>
      <c r="F1622" s="199" t="s">
        <v>916</v>
      </c>
      <c r="G1622" s="199" t="s">
        <v>21</v>
      </c>
      <c r="H1622" s="20">
        <v>43245.280000000006</v>
      </c>
      <c r="I1622" s="20">
        <v>44671.12</v>
      </c>
      <c r="J1622" s="20">
        <v>44671.12</v>
      </c>
      <c r="K1622" s="76"/>
      <c r="L1622" s="77"/>
      <c r="M1622" s="77"/>
      <c r="N1622" s="76"/>
      <c r="O1622" s="77"/>
      <c r="P1622" s="77"/>
      <c r="Q1622" s="17"/>
      <c r="T1622" s="76"/>
      <c r="U1622" s="77"/>
      <c r="V1622" s="77"/>
      <c r="W1622" s="76"/>
      <c r="X1622" s="77"/>
      <c r="Y1622" s="77"/>
    </row>
    <row r="1623" spans="1:25" ht="191.25">
      <c r="A1623" s="108" t="str">
        <f t="shared" si="50"/>
        <v>621011384 1 00 77460000</v>
      </c>
      <c r="B1623" s="197" t="s">
        <v>1263</v>
      </c>
      <c r="C1623" s="198" t="s">
        <v>412</v>
      </c>
      <c r="D1623" s="199" t="s">
        <v>11</v>
      </c>
      <c r="E1623" s="199" t="s">
        <v>51</v>
      </c>
      <c r="F1623" s="199" t="s">
        <v>1361</v>
      </c>
      <c r="G1623" s="199" t="s">
        <v>9</v>
      </c>
      <c r="H1623" s="20">
        <v>1425.84</v>
      </c>
      <c r="I1623" s="20">
        <v>0</v>
      </c>
      <c r="J1623" s="20">
        <v>0</v>
      </c>
      <c r="K1623" s="76"/>
      <c r="L1623" s="77"/>
      <c r="M1623" s="77"/>
      <c r="N1623" s="76"/>
      <c r="O1623" s="77"/>
      <c r="P1623" s="77"/>
      <c r="Q1623" s="17"/>
      <c r="T1623" s="76"/>
      <c r="U1623" s="77"/>
      <c r="V1623" s="77"/>
      <c r="W1623" s="76"/>
      <c r="X1623" s="77"/>
      <c r="Y1623" s="77"/>
    </row>
    <row r="1624" spans="1:25" ht="25.5">
      <c r="A1624" s="108" t="str">
        <f t="shared" si="50"/>
        <v>621011384 1 00 77460120</v>
      </c>
      <c r="B1624" s="220" t="s">
        <v>20</v>
      </c>
      <c r="C1624" s="198" t="s">
        <v>412</v>
      </c>
      <c r="D1624" s="199" t="s">
        <v>11</v>
      </c>
      <c r="E1624" s="199" t="s">
        <v>51</v>
      </c>
      <c r="F1624" s="199" t="s">
        <v>1361</v>
      </c>
      <c r="G1624" s="199" t="s">
        <v>21</v>
      </c>
      <c r="H1624" s="20">
        <v>1425.84</v>
      </c>
      <c r="I1624" s="20">
        <v>0</v>
      </c>
      <c r="J1624" s="20">
        <v>0</v>
      </c>
      <c r="K1624" s="76"/>
      <c r="L1624" s="77"/>
      <c r="M1624" s="77"/>
      <c r="N1624" s="76"/>
      <c r="O1624" s="77"/>
      <c r="P1624" s="77"/>
      <c r="Q1624" s="17"/>
      <c r="T1624" s="76"/>
      <c r="U1624" s="77"/>
      <c r="V1624" s="77"/>
      <c r="W1624" s="76"/>
      <c r="X1624" s="77"/>
      <c r="Y1624" s="77"/>
    </row>
    <row r="1625" spans="1:25">
      <c r="A1625" s="108" t="str">
        <f t="shared" si="50"/>
        <v>621011384 2 00 00000000</v>
      </c>
      <c r="B1625" s="280" t="s">
        <v>52</v>
      </c>
      <c r="C1625" s="198" t="s">
        <v>412</v>
      </c>
      <c r="D1625" s="199" t="s">
        <v>11</v>
      </c>
      <c r="E1625" s="199" t="s">
        <v>51</v>
      </c>
      <c r="F1625" s="199" t="s">
        <v>917</v>
      </c>
      <c r="G1625" s="199" t="s">
        <v>9</v>
      </c>
      <c r="H1625" s="20">
        <v>4938.55</v>
      </c>
      <c r="I1625" s="20">
        <v>4100</v>
      </c>
      <c r="J1625" s="20">
        <v>4100</v>
      </c>
      <c r="K1625" s="77"/>
      <c r="L1625" s="77"/>
      <c r="M1625" s="91"/>
      <c r="N1625" s="77"/>
      <c r="O1625" s="77"/>
      <c r="P1625" s="91"/>
      <c r="Q1625" s="17"/>
      <c r="T1625" s="77"/>
      <c r="U1625" s="77"/>
      <c r="V1625" s="91"/>
      <c r="W1625" s="77"/>
      <c r="X1625" s="77"/>
      <c r="Y1625" s="91"/>
    </row>
    <row r="1626" spans="1:25" ht="38.25">
      <c r="A1626" s="108" t="str">
        <f t="shared" si="50"/>
        <v>621011384 2 00 20740000</v>
      </c>
      <c r="B1626" s="220" t="s">
        <v>918</v>
      </c>
      <c r="C1626" s="198" t="s">
        <v>412</v>
      </c>
      <c r="D1626" s="199" t="s">
        <v>11</v>
      </c>
      <c r="E1626" s="199" t="s">
        <v>51</v>
      </c>
      <c r="F1626" s="199" t="s">
        <v>919</v>
      </c>
      <c r="G1626" s="199" t="s">
        <v>9</v>
      </c>
      <c r="H1626" s="20">
        <v>600</v>
      </c>
      <c r="I1626" s="20">
        <v>600</v>
      </c>
      <c r="J1626" s="20">
        <v>600</v>
      </c>
      <c r="K1626" s="77"/>
      <c r="L1626" s="77"/>
      <c r="M1626" s="91"/>
      <c r="N1626" s="77"/>
      <c r="O1626" s="77"/>
      <c r="P1626" s="91"/>
      <c r="Q1626" s="17"/>
      <c r="T1626" s="77"/>
      <c r="U1626" s="77"/>
      <c r="V1626" s="91"/>
      <c r="W1626" s="77"/>
      <c r="X1626" s="77"/>
      <c r="Y1626" s="91"/>
    </row>
    <row r="1627" spans="1:25" ht="25.5">
      <c r="A1627" s="108" t="str">
        <f t="shared" si="50"/>
        <v>621011384 2 00 20740240</v>
      </c>
      <c r="B1627" s="197" t="s">
        <v>28</v>
      </c>
      <c r="C1627" s="198" t="s">
        <v>412</v>
      </c>
      <c r="D1627" s="199" t="s">
        <v>11</v>
      </c>
      <c r="E1627" s="199" t="s">
        <v>51</v>
      </c>
      <c r="F1627" s="199" t="s">
        <v>919</v>
      </c>
      <c r="G1627" s="199" t="s">
        <v>29</v>
      </c>
      <c r="H1627" s="20">
        <v>150</v>
      </c>
      <c r="I1627" s="20">
        <v>150</v>
      </c>
      <c r="J1627" s="20">
        <v>150</v>
      </c>
      <c r="K1627" s="77"/>
      <c r="L1627" s="77"/>
      <c r="M1627" s="91"/>
      <c r="N1627" s="77"/>
      <c r="O1627" s="77"/>
      <c r="P1627" s="91"/>
      <c r="Q1627" s="17"/>
      <c r="T1627" s="77"/>
      <c r="U1627" s="77"/>
      <c r="V1627" s="91"/>
      <c r="W1627" s="77"/>
      <c r="X1627" s="77"/>
      <c r="Y1627" s="91"/>
    </row>
    <row r="1628" spans="1:25">
      <c r="A1628" s="108" t="str">
        <f t="shared" si="50"/>
        <v>621011384 2 00 20740830</v>
      </c>
      <c r="B1628" s="205" t="s">
        <v>189</v>
      </c>
      <c r="C1628" s="198" t="s">
        <v>412</v>
      </c>
      <c r="D1628" s="199" t="s">
        <v>11</v>
      </c>
      <c r="E1628" s="199" t="s">
        <v>51</v>
      </c>
      <c r="F1628" s="199" t="s">
        <v>919</v>
      </c>
      <c r="G1628" s="199" t="s">
        <v>190</v>
      </c>
      <c r="H1628" s="20">
        <v>450</v>
      </c>
      <c r="I1628" s="20">
        <v>450</v>
      </c>
      <c r="J1628" s="20">
        <v>450</v>
      </c>
      <c r="K1628" s="77"/>
      <c r="L1628" s="77"/>
      <c r="M1628" s="91"/>
      <c r="N1628" s="77"/>
      <c r="O1628" s="77"/>
      <c r="P1628" s="91"/>
      <c r="Q1628" s="17"/>
      <c r="T1628" s="77"/>
      <c r="U1628" s="77"/>
      <c r="V1628" s="91"/>
      <c r="W1628" s="77"/>
      <c r="X1628" s="77"/>
      <c r="Y1628" s="91"/>
    </row>
    <row r="1629" spans="1:25" ht="25.5">
      <c r="A1629" s="108" t="str">
        <f t="shared" si="50"/>
        <v>621011384 2 00 21100000</v>
      </c>
      <c r="B1629" s="205" t="s">
        <v>920</v>
      </c>
      <c r="C1629" s="198" t="s">
        <v>412</v>
      </c>
      <c r="D1629" s="199" t="s">
        <v>11</v>
      </c>
      <c r="E1629" s="199" t="s">
        <v>51</v>
      </c>
      <c r="F1629" s="199" t="s">
        <v>921</v>
      </c>
      <c r="G1629" s="199" t="s">
        <v>9</v>
      </c>
      <c r="H1629" s="20">
        <v>4338.55</v>
      </c>
      <c r="I1629" s="20">
        <v>3500</v>
      </c>
      <c r="J1629" s="20">
        <v>3500</v>
      </c>
      <c r="K1629" s="77"/>
      <c r="L1629" s="77"/>
      <c r="M1629" s="91"/>
      <c r="N1629" s="77"/>
      <c r="O1629" s="77"/>
      <c r="P1629" s="91"/>
      <c r="Q1629" s="17"/>
      <c r="T1629" s="77"/>
      <c r="U1629" s="77"/>
      <c r="V1629" s="91"/>
      <c r="W1629" s="77"/>
      <c r="X1629" s="77"/>
      <c r="Y1629" s="91"/>
    </row>
    <row r="1630" spans="1:25">
      <c r="A1630" s="108" t="str">
        <f t="shared" si="50"/>
        <v/>
      </c>
      <c r="B1630" s="220" t="s">
        <v>1104</v>
      </c>
      <c r="C1630" s="198"/>
      <c r="D1630" s="199"/>
      <c r="E1630" s="199"/>
      <c r="F1630" s="199"/>
      <c r="G1630" s="199"/>
      <c r="H1630" s="20"/>
      <c r="I1630" s="20"/>
      <c r="J1630" s="20"/>
      <c r="Q1630" s="17"/>
    </row>
    <row r="1631" spans="1:25">
      <c r="A1631" s="108" t="str">
        <f t="shared" si="50"/>
        <v>621011384 2 00 21100000</v>
      </c>
      <c r="B1631" s="221" t="s">
        <v>1105</v>
      </c>
      <c r="C1631" s="222" t="s">
        <v>412</v>
      </c>
      <c r="D1631" s="223" t="s">
        <v>11</v>
      </c>
      <c r="E1631" s="223" t="s">
        <v>51</v>
      </c>
      <c r="F1631" s="223" t="s">
        <v>921</v>
      </c>
      <c r="G1631" s="223" t="s">
        <v>9</v>
      </c>
      <c r="H1631" s="224">
        <v>838.55</v>
      </c>
      <c r="I1631" s="224">
        <v>0</v>
      </c>
      <c r="J1631" s="224">
        <v>0</v>
      </c>
      <c r="Q1631" s="17"/>
    </row>
    <row r="1632" spans="1:25" ht="25.5">
      <c r="A1632" s="108" t="str">
        <f t="shared" si="50"/>
        <v>621011384 2 00 21100240</v>
      </c>
      <c r="B1632" s="197" t="s">
        <v>28</v>
      </c>
      <c r="C1632" s="198" t="s">
        <v>412</v>
      </c>
      <c r="D1632" s="199" t="s">
        <v>11</v>
      </c>
      <c r="E1632" s="199" t="s">
        <v>51</v>
      </c>
      <c r="F1632" s="199" t="s">
        <v>921</v>
      </c>
      <c r="G1632" s="199" t="s">
        <v>29</v>
      </c>
      <c r="H1632" s="20">
        <v>4338.55</v>
      </c>
      <c r="I1632" s="20">
        <v>3500</v>
      </c>
      <c r="J1632" s="20">
        <v>3500</v>
      </c>
      <c r="Q1632" s="17"/>
    </row>
    <row r="1633" spans="1:17">
      <c r="A1633" s="108" t="str">
        <f t="shared" si="50"/>
        <v>621040000 0 00 00000000</v>
      </c>
      <c r="B1633" s="191" t="s">
        <v>195</v>
      </c>
      <c r="C1633" s="192" t="s">
        <v>412</v>
      </c>
      <c r="D1633" s="193" t="s">
        <v>73</v>
      </c>
      <c r="E1633" s="193" t="s">
        <v>7</v>
      </c>
      <c r="F1633" s="193" t="s">
        <v>8</v>
      </c>
      <c r="G1633" s="193" t="s">
        <v>9</v>
      </c>
      <c r="H1633" s="18">
        <v>10102.08</v>
      </c>
      <c r="I1633" s="18">
        <v>9588.2999999999993</v>
      </c>
      <c r="J1633" s="18">
        <v>9588.2999999999993</v>
      </c>
      <c r="Q1633" s="17"/>
    </row>
    <row r="1634" spans="1:17">
      <c r="A1634" s="108" t="str">
        <f t="shared" si="50"/>
        <v>621041200 0 00 00000000</v>
      </c>
      <c r="B1634" s="194" t="s">
        <v>284</v>
      </c>
      <c r="C1634" s="195" t="s">
        <v>412</v>
      </c>
      <c r="D1634" s="196" t="s">
        <v>73</v>
      </c>
      <c r="E1634" s="196" t="s">
        <v>57</v>
      </c>
      <c r="F1634" s="196" t="s">
        <v>8</v>
      </c>
      <c r="G1634" s="196" t="s">
        <v>9</v>
      </c>
      <c r="H1634" s="19">
        <v>10102.08</v>
      </c>
      <c r="I1634" s="19">
        <v>9588.2999999999993</v>
      </c>
      <c r="J1634" s="19">
        <v>9588.2999999999993</v>
      </c>
      <c r="Q1634" s="17"/>
    </row>
    <row r="1635" spans="1:17" ht="25.5">
      <c r="A1635" s="108" t="str">
        <f t="shared" si="50"/>
        <v>621041205 0 00 00000000</v>
      </c>
      <c r="B1635" s="197" t="s">
        <v>922</v>
      </c>
      <c r="C1635" s="198" t="s">
        <v>412</v>
      </c>
      <c r="D1635" s="198" t="s">
        <v>73</v>
      </c>
      <c r="E1635" s="198" t="s">
        <v>57</v>
      </c>
      <c r="F1635" s="198" t="s">
        <v>923</v>
      </c>
      <c r="G1635" s="198" t="s">
        <v>9</v>
      </c>
      <c r="H1635" s="32">
        <v>5102.08</v>
      </c>
      <c r="I1635" s="32">
        <v>9488.2999999999993</v>
      </c>
      <c r="J1635" s="32">
        <v>9488.2999999999993</v>
      </c>
      <c r="Q1635" s="17"/>
    </row>
    <row r="1636" spans="1:17" ht="25.5">
      <c r="A1636" s="108" t="str">
        <f t="shared" si="50"/>
        <v>621041205 Б 00 00000000</v>
      </c>
      <c r="B1636" s="197" t="s">
        <v>924</v>
      </c>
      <c r="C1636" s="198" t="s">
        <v>412</v>
      </c>
      <c r="D1636" s="198" t="s">
        <v>73</v>
      </c>
      <c r="E1636" s="198" t="s">
        <v>57</v>
      </c>
      <c r="F1636" s="198" t="s">
        <v>925</v>
      </c>
      <c r="G1636" s="198" t="s">
        <v>9</v>
      </c>
      <c r="H1636" s="32">
        <v>5102.08</v>
      </c>
      <c r="I1636" s="32">
        <v>9488.2999999999993</v>
      </c>
      <c r="J1636" s="32">
        <v>9488.2999999999993</v>
      </c>
      <c r="Q1636" s="17"/>
    </row>
    <row r="1637" spans="1:17" ht="51">
      <c r="A1637" s="108" t="str">
        <f t="shared" si="50"/>
        <v>621041205 Б 01 00000000</v>
      </c>
      <c r="B1637" s="197" t="s">
        <v>926</v>
      </c>
      <c r="C1637" s="198" t="s">
        <v>412</v>
      </c>
      <c r="D1637" s="198" t="s">
        <v>73</v>
      </c>
      <c r="E1637" s="198" t="s">
        <v>57</v>
      </c>
      <c r="F1637" s="198" t="s">
        <v>927</v>
      </c>
      <c r="G1637" s="198" t="s">
        <v>9</v>
      </c>
      <c r="H1637" s="32">
        <v>4702.08</v>
      </c>
      <c r="I1637" s="32">
        <v>9488.2999999999993</v>
      </c>
      <c r="J1637" s="32">
        <v>9488.2999999999993</v>
      </c>
      <c r="Q1637" s="17"/>
    </row>
    <row r="1638" spans="1:17" ht="25.5">
      <c r="A1638" s="108" t="str">
        <f t="shared" si="50"/>
        <v>621041205 Б 01 20390000</v>
      </c>
      <c r="B1638" s="200" t="s">
        <v>928</v>
      </c>
      <c r="C1638" s="198" t="s">
        <v>412</v>
      </c>
      <c r="D1638" s="198" t="s">
        <v>73</v>
      </c>
      <c r="E1638" s="198" t="s">
        <v>57</v>
      </c>
      <c r="F1638" s="198" t="s">
        <v>929</v>
      </c>
      <c r="G1638" s="198" t="s">
        <v>9</v>
      </c>
      <c r="H1638" s="32">
        <v>4702.08</v>
      </c>
      <c r="I1638" s="32">
        <v>9488.2999999999993</v>
      </c>
      <c r="J1638" s="32">
        <v>9488.2999999999993</v>
      </c>
      <c r="Q1638" s="17"/>
    </row>
    <row r="1639" spans="1:17">
      <c r="A1639" s="108" t="str">
        <f t="shared" si="50"/>
        <v/>
      </c>
      <c r="B1639" s="220" t="s">
        <v>1104</v>
      </c>
      <c r="C1639" s="198"/>
      <c r="D1639" s="198"/>
      <c r="E1639" s="198"/>
      <c r="F1639" s="198"/>
      <c r="G1639" s="198"/>
      <c r="H1639" s="32"/>
      <c r="I1639" s="32"/>
      <c r="J1639" s="32"/>
      <c r="Q1639" s="17"/>
    </row>
    <row r="1640" spans="1:17">
      <c r="A1640" s="108" t="str">
        <f t="shared" si="50"/>
        <v>621041205 Б 01 20390000</v>
      </c>
      <c r="B1640" s="221" t="s">
        <v>1105</v>
      </c>
      <c r="C1640" s="222" t="s">
        <v>412</v>
      </c>
      <c r="D1640" s="222" t="s">
        <v>73</v>
      </c>
      <c r="E1640" s="222" t="s">
        <v>57</v>
      </c>
      <c r="F1640" s="222" t="s">
        <v>929</v>
      </c>
      <c r="G1640" s="222" t="s">
        <v>9</v>
      </c>
      <c r="H1640" s="229">
        <v>299.08</v>
      </c>
      <c r="I1640" s="229">
        <v>0</v>
      </c>
      <c r="J1640" s="229">
        <v>0</v>
      </c>
      <c r="Q1640" s="17"/>
    </row>
    <row r="1641" spans="1:17" ht="25.5">
      <c r="A1641" s="108" t="str">
        <f t="shared" si="50"/>
        <v>621041205 Б 01 20390240</v>
      </c>
      <c r="B1641" s="197" t="s">
        <v>28</v>
      </c>
      <c r="C1641" s="198" t="s">
        <v>412</v>
      </c>
      <c r="D1641" s="198" t="s">
        <v>73</v>
      </c>
      <c r="E1641" s="198" t="s">
        <v>57</v>
      </c>
      <c r="F1641" s="198" t="s">
        <v>929</v>
      </c>
      <c r="G1641" s="198" t="s">
        <v>29</v>
      </c>
      <c r="H1641" s="32">
        <v>4702.08</v>
      </c>
      <c r="I1641" s="32">
        <v>9488.2999999999993</v>
      </c>
      <c r="J1641" s="32">
        <v>9488.2999999999993</v>
      </c>
      <c r="Q1641" s="17"/>
    </row>
    <row r="1642" spans="1:17" ht="51">
      <c r="A1642" s="108" t="str">
        <f t="shared" si="50"/>
        <v>621041205 Б 02 00000000</v>
      </c>
      <c r="B1642" s="197" t="s">
        <v>930</v>
      </c>
      <c r="C1642" s="198" t="s">
        <v>412</v>
      </c>
      <c r="D1642" s="198" t="s">
        <v>73</v>
      </c>
      <c r="E1642" s="198" t="s">
        <v>57</v>
      </c>
      <c r="F1642" s="198" t="s">
        <v>931</v>
      </c>
      <c r="G1642" s="198" t="s">
        <v>9</v>
      </c>
      <c r="H1642" s="32">
        <v>400</v>
      </c>
      <c r="I1642" s="32">
        <v>0</v>
      </c>
      <c r="J1642" s="32">
        <v>0</v>
      </c>
      <c r="Q1642" s="17"/>
    </row>
    <row r="1643" spans="1:17">
      <c r="A1643" s="108" t="str">
        <f t="shared" si="50"/>
        <v>621041205 Б 02 21190000</v>
      </c>
      <c r="B1643" s="197" t="s">
        <v>932</v>
      </c>
      <c r="C1643" s="198" t="s">
        <v>412</v>
      </c>
      <c r="D1643" s="198" t="s">
        <v>73</v>
      </c>
      <c r="E1643" s="198" t="s">
        <v>57</v>
      </c>
      <c r="F1643" s="198" t="s">
        <v>933</v>
      </c>
      <c r="G1643" s="198" t="s">
        <v>9</v>
      </c>
      <c r="H1643" s="32">
        <v>400</v>
      </c>
      <c r="I1643" s="32">
        <v>0</v>
      </c>
      <c r="J1643" s="32">
        <v>0</v>
      </c>
      <c r="Q1643" s="17"/>
    </row>
    <row r="1644" spans="1:17" ht="25.5">
      <c r="A1644" s="108" t="str">
        <f t="shared" si="50"/>
        <v>621041205 Б 02 21190240</v>
      </c>
      <c r="B1644" s="197" t="s">
        <v>28</v>
      </c>
      <c r="C1644" s="198" t="s">
        <v>412</v>
      </c>
      <c r="D1644" s="198" t="s">
        <v>73</v>
      </c>
      <c r="E1644" s="198" t="s">
        <v>57</v>
      </c>
      <c r="F1644" s="198" t="s">
        <v>933</v>
      </c>
      <c r="G1644" s="198" t="s">
        <v>29</v>
      </c>
      <c r="H1644" s="32">
        <v>400</v>
      </c>
      <c r="I1644" s="32">
        <v>0</v>
      </c>
      <c r="J1644" s="32">
        <v>0</v>
      </c>
      <c r="Q1644" s="17"/>
    </row>
    <row r="1645" spans="1:17" ht="25.5">
      <c r="A1645" s="108" t="str">
        <f t="shared" si="50"/>
        <v>621041284 0 00 00000000</v>
      </c>
      <c r="B1645" s="220" t="s">
        <v>911</v>
      </c>
      <c r="C1645" s="198" t="s">
        <v>412</v>
      </c>
      <c r="D1645" s="198" t="s">
        <v>73</v>
      </c>
      <c r="E1645" s="198" t="s">
        <v>57</v>
      </c>
      <c r="F1645" s="199" t="s">
        <v>912</v>
      </c>
      <c r="G1645" s="199" t="s">
        <v>9</v>
      </c>
      <c r="H1645" s="20">
        <v>5000</v>
      </c>
      <c r="I1645" s="20">
        <v>100</v>
      </c>
      <c r="J1645" s="20">
        <v>100</v>
      </c>
      <c r="Q1645" s="17"/>
    </row>
    <row r="1646" spans="1:17">
      <c r="A1646" s="108" t="str">
        <f t="shared" si="50"/>
        <v>621041284 2 00 00000000</v>
      </c>
      <c r="B1646" s="280" t="s">
        <v>52</v>
      </c>
      <c r="C1646" s="198" t="s">
        <v>412</v>
      </c>
      <c r="D1646" s="198" t="s">
        <v>73</v>
      </c>
      <c r="E1646" s="198" t="s">
        <v>57</v>
      </c>
      <c r="F1646" s="199" t="s">
        <v>917</v>
      </c>
      <c r="G1646" s="199" t="s">
        <v>9</v>
      </c>
      <c r="H1646" s="20">
        <v>5000</v>
      </c>
      <c r="I1646" s="20">
        <v>100</v>
      </c>
      <c r="J1646" s="20">
        <v>100</v>
      </c>
      <c r="Q1646" s="17"/>
    </row>
    <row r="1647" spans="1:17" ht="25.5">
      <c r="A1647" s="108" t="str">
        <f t="shared" si="50"/>
        <v>621041284 2 00 21210000</v>
      </c>
      <c r="B1647" s="220" t="s">
        <v>934</v>
      </c>
      <c r="C1647" s="198" t="s">
        <v>412</v>
      </c>
      <c r="D1647" s="198" t="s">
        <v>73</v>
      </c>
      <c r="E1647" s="198" t="s">
        <v>57</v>
      </c>
      <c r="F1647" s="199" t="s">
        <v>935</v>
      </c>
      <c r="G1647" s="199" t="s">
        <v>9</v>
      </c>
      <c r="H1647" s="20">
        <v>5000</v>
      </c>
      <c r="I1647" s="20">
        <v>100</v>
      </c>
      <c r="J1647" s="20">
        <v>100</v>
      </c>
      <c r="Q1647" s="17"/>
    </row>
    <row r="1648" spans="1:17" ht="25.5">
      <c r="A1648" s="108" t="str">
        <f t="shared" si="50"/>
        <v>621041284 2 00 21210240</v>
      </c>
      <c r="B1648" s="197" t="s">
        <v>28</v>
      </c>
      <c r="C1648" s="198" t="s">
        <v>412</v>
      </c>
      <c r="D1648" s="198" t="s">
        <v>73</v>
      </c>
      <c r="E1648" s="198" t="s">
        <v>57</v>
      </c>
      <c r="F1648" s="199" t="s">
        <v>935</v>
      </c>
      <c r="G1648" s="199" t="s">
        <v>29</v>
      </c>
      <c r="H1648" s="20">
        <v>5000</v>
      </c>
      <c r="I1648" s="20">
        <v>100</v>
      </c>
      <c r="J1648" s="20">
        <v>100</v>
      </c>
      <c r="Q1648" s="17"/>
    </row>
    <row r="1649" spans="1:17">
      <c r="A1649" s="108" t="str">
        <f t="shared" si="50"/>
        <v>621050000 0 00 00000000</v>
      </c>
      <c r="B1649" s="191" t="s">
        <v>305</v>
      </c>
      <c r="C1649" s="192" t="s">
        <v>412</v>
      </c>
      <c r="D1649" s="193" t="s">
        <v>86</v>
      </c>
      <c r="E1649" s="193" t="s">
        <v>7</v>
      </c>
      <c r="F1649" s="193" t="s">
        <v>8</v>
      </c>
      <c r="G1649" s="193" t="s">
        <v>9</v>
      </c>
      <c r="H1649" s="18">
        <v>428063.37999999995</v>
      </c>
      <c r="I1649" s="18">
        <v>0</v>
      </c>
      <c r="J1649" s="18">
        <v>0</v>
      </c>
      <c r="Q1649" s="17"/>
    </row>
    <row r="1650" spans="1:17">
      <c r="A1650" s="108" t="str">
        <f t="shared" si="50"/>
        <v>621050100 0 00 00000000</v>
      </c>
      <c r="B1650" s="194" t="s">
        <v>765</v>
      </c>
      <c r="C1650" s="195" t="s">
        <v>412</v>
      </c>
      <c r="D1650" s="196" t="s">
        <v>86</v>
      </c>
      <c r="E1650" s="196" t="s">
        <v>11</v>
      </c>
      <c r="F1650" s="196" t="s">
        <v>8</v>
      </c>
      <c r="G1650" s="196" t="s">
        <v>9</v>
      </c>
      <c r="H1650" s="19">
        <v>1388</v>
      </c>
      <c r="I1650" s="19">
        <v>0</v>
      </c>
      <c r="J1650" s="19">
        <v>0</v>
      </c>
      <c r="Q1650" s="17"/>
    </row>
    <row r="1651" spans="1:17" ht="25.5">
      <c r="A1651" s="108" t="str">
        <f t="shared" si="50"/>
        <v>621050184 0 00 00000000</v>
      </c>
      <c r="B1651" s="220" t="s">
        <v>911</v>
      </c>
      <c r="C1651" s="198" t="s">
        <v>412</v>
      </c>
      <c r="D1651" s="199" t="s">
        <v>86</v>
      </c>
      <c r="E1651" s="199" t="s">
        <v>11</v>
      </c>
      <c r="F1651" s="199" t="s">
        <v>912</v>
      </c>
      <c r="G1651" s="199" t="s">
        <v>9</v>
      </c>
      <c r="H1651" s="20">
        <v>1388</v>
      </c>
      <c r="I1651" s="20">
        <v>0</v>
      </c>
      <c r="J1651" s="20">
        <v>0</v>
      </c>
      <c r="Q1651" s="17"/>
    </row>
    <row r="1652" spans="1:17">
      <c r="A1652" s="108" t="str">
        <f t="shared" si="50"/>
        <v>621050184 2 00 00000000</v>
      </c>
      <c r="B1652" s="281" t="s">
        <v>52</v>
      </c>
      <c r="C1652" s="198" t="s">
        <v>412</v>
      </c>
      <c r="D1652" s="199" t="s">
        <v>86</v>
      </c>
      <c r="E1652" s="199" t="s">
        <v>11</v>
      </c>
      <c r="F1652" s="199" t="s">
        <v>917</v>
      </c>
      <c r="G1652" s="199" t="s">
        <v>9</v>
      </c>
      <c r="H1652" s="20">
        <v>1388</v>
      </c>
      <c r="I1652" s="20">
        <v>0</v>
      </c>
      <c r="J1652" s="20">
        <v>0</v>
      </c>
      <c r="Q1652" s="17"/>
    </row>
    <row r="1653" spans="1:17">
      <c r="A1653" s="108" t="str">
        <f t="shared" si="50"/>
        <v>621050184 2 00 20200000</v>
      </c>
      <c r="B1653" s="280" t="s">
        <v>856</v>
      </c>
      <c r="C1653" s="198" t="s">
        <v>412</v>
      </c>
      <c r="D1653" s="199" t="s">
        <v>86</v>
      </c>
      <c r="E1653" s="199" t="s">
        <v>11</v>
      </c>
      <c r="F1653" s="199" t="s">
        <v>1079</v>
      </c>
      <c r="G1653" s="199" t="s">
        <v>9</v>
      </c>
      <c r="H1653" s="20">
        <v>1388</v>
      </c>
      <c r="I1653" s="20">
        <v>0</v>
      </c>
      <c r="J1653" s="20">
        <v>0</v>
      </c>
      <c r="Q1653" s="17"/>
    </row>
    <row r="1654" spans="1:17">
      <c r="A1654" s="108" t="str">
        <f t="shared" si="50"/>
        <v/>
      </c>
      <c r="B1654" s="220" t="s">
        <v>1104</v>
      </c>
      <c r="C1654" s="198"/>
      <c r="D1654" s="199"/>
      <c r="E1654" s="199"/>
      <c r="F1654" s="199"/>
      <c r="G1654" s="199"/>
      <c r="H1654" s="20"/>
      <c r="I1654" s="20"/>
      <c r="J1654" s="20"/>
      <c r="Q1654" s="17"/>
    </row>
    <row r="1655" spans="1:17">
      <c r="A1655" s="108" t="str">
        <f t="shared" si="50"/>
        <v>621050184 2 00 20200000</v>
      </c>
      <c r="B1655" s="221" t="s">
        <v>1105</v>
      </c>
      <c r="C1655" s="222" t="s">
        <v>412</v>
      </c>
      <c r="D1655" s="223" t="s">
        <v>86</v>
      </c>
      <c r="E1655" s="223" t="s">
        <v>11</v>
      </c>
      <c r="F1655" s="223" t="s">
        <v>1079</v>
      </c>
      <c r="G1655" s="223" t="s">
        <v>9</v>
      </c>
      <c r="H1655" s="224">
        <v>68</v>
      </c>
      <c r="I1655" s="224">
        <v>0</v>
      </c>
      <c r="J1655" s="224">
        <v>0</v>
      </c>
      <c r="Q1655" s="17"/>
    </row>
    <row r="1656" spans="1:17" ht="25.5">
      <c r="A1656" s="108" t="str">
        <f t="shared" si="50"/>
        <v>621050184 2 00 20200240</v>
      </c>
      <c r="B1656" s="197" t="s">
        <v>28</v>
      </c>
      <c r="C1656" s="198" t="s">
        <v>412</v>
      </c>
      <c r="D1656" s="199" t="s">
        <v>86</v>
      </c>
      <c r="E1656" s="199" t="s">
        <v>11</v>
      </c>
      <c r="F1656" s="199" t="s">
        <v>1079</v>
      </c>
      <c r="G1656" s="199" t="s">
        <v>29</v>
      </c>
      <c r="H1656" s="20">
        <v>1388</v>
      </c>
      <c r="I1656" s="20">
        <v>0</v>
      </c>
      <c r="J1656" s="20">
        <v>0</v>
      </c>
      <c r="Q1656" s="17"/>
    </row>
    <row r="1657" spans="1:17">
      <c r="A1657" s="108" t="str">
        <f t="shared" si="50"/>
        <v>621050300 0 00 00000000</v>
      </c>
      <c r="B1657" s="194" t="s">
        <v>306</v>
      </c>
      <c r="C1657" s="195" t="s">
        <v>412</v>
      </c>
      <c r="D1657" s="196" t="s">
        <v>86</v>
      </c>
      <c r="E1657" s="196" t="s">
        <v>13</v>
      </c>
      <c r="F1657" s="196" t="s">
        <v>8</v>
      </c>
      <c r="G1657" s="196" t="s">
        <v>9</v>
      </c>
      <c r="H1657" s="19">
        <v>426675.37999999995</v>
      </c>
      <c r="I1657" s="19">
        <v>0</v>
      </c>
      <c r="J1657" s="19">
        <v>0</v>
      </c>
      <c r="Q1657" s="17"/>
    </row>
    <row r="1658" spans="1:17" ht="38.25">
      <c r="A1658" s="108" t="str">
        <f t="shared" si="50"/>
        <v>621050304 0 00 00000000</v>
      </c>
      <c r="B1658" s="200" t="s">
        <v>293</v>
      </c>
      <c r="C1658" s="199" t="s">
        <v>412</v>
      </c>
      <c r="D1658" s="199" t="s">
        <v>86</v>
      </c>
      <c r="E1658" s="199" t="s">
        <v>13</v>
      </c>
      <c r="F1658" s="199" t="s">
        <v>294</v>
      </c>
      <c r="G1658" s="199" t="s">
        <v>9</v>
      </c>
      <c r="H1658" s="32">
        <v>389071.64999999997</v>
      </c>
      <c r="I1658" s="32">
        <v>0</v>
      </c>
      <c r="J1658" s="32">
        <v>0</v>
      </c>
      <c r="Q1658" s="17"/>
    </row>
    <row r="1659" spans="1:17" ht="25.5">
      <c r="A1659" s="108" t="str">
        <f t="shared" si="50"/>
        <v>621050304 3 00 00000000</v>
      </c>
      <c r="B1659" s="197" t="s">
        <v>307</v>
      </c>
      <c r="C1659" s="199" t="s">
        <v>412</v>
      </c>
      <c r="D1659" s="199" t="s">
        <v>86</v>
      </c>
      <c r="E1659" s="199" t="s">
        <v>13</v>
      </c>
      <c r="F1659" s="199" t="s">
        <v>308</v>
      </c>
      <c r="G1659" s="199" t="s">
        <v>9</v>
      </c>
      <c r="H1659" s="32">
        <v>389071.64999999997</v>
      </c>
      <c r="I1659" s="32">
        <v>0</v>
      </c>
      <c r="J1659" s="32">
        <v>0</v>
      </c>
      <c r="Q1659" s="17"/>
    </row>
    <row r="1660" spans="1:17" ht="25.5">
      <c r="A1660" s="108" t="str">
        <f t="shared" si="50"/>
        <v>621050304 3 04 00000000</v>
      </c>
      <c r="B1660" s="315" t="s">
        <v>309</v>
      </c>
      <c r="C1660" s="203" t="s">
        <v>412</v>
      </c>
      <c r="D1660" s="204" t="s">
        <v>86</v>
      </c>
      <c r="E1660" s="204" t="s">
        <v>13</v>
      </c>
      <c r="F1660" s="199" t="s">
        <v>310</v>
      </c>
      <c r="G1660" s="204" t="s">
        <v>9</v>
      </c>
      <c r="H1660" s="26">
        <v>389071.64999999997</v>
      </c>
      <c r="I1660" s="26">
        <v>0</v>
      </c>
      <c r="J1660" s="26">
        <v>0</v>
      </c>
      <c r="Q1660" s="17"/>
    </row>
    <row r="1661" spans="1:17" ht="25.5">
      <c r="A1661" s="108" t="str">
        <f t="shared" si="50"/>
        <v>621050304 3 04 20300000</v>
      </c>
      <c r="B1661" s="315" t="s">
        <v>542</v>
      </c>
      <c r="C1661" s="203" t="s">
        <v>412</v>
      </c>
      <c r="D1661" s="204" t="s">
        <v>86</v>
      </c>
      <c r="E1661" s="204" t="s">
        <v>13</v>
      </c>
      <c r="F1661" s="317" t="s">
        <v>543</v>
      </c>
      <c r="G1661" s="317" t="s">
        <v>9</v>
      </c>
      <c r="H1661" s="20">
        <v>12407.289999999999</v>
      </c>
      <c r="I1661" s="20">
        <v>0</v>
      </c>
      <c r="J1661" s="20">
        <v>0</v>
      </c>
      <c r="Q1661" s="17"/>
    </row>
    <row r="1662" spans="1:17">
      <c r="A1662" s="108" t="str">
        <f t="shared" si="50"/>
        <v/>
      </c>
      <c r="B1662" s="315" t="s">
        <v>1104</v>
      </c>
      <c r="C1662" s="203"/>
      <c r="D1662" s="204"/>
      <c r="E1662" s="204"/>
      <c r="F1662" s="317"/>
      <c r="G1662" s="317"/>
      <c r="H1662" s="20"/>
      <c r="I1662" s="20"/>
      <c r="J1662" s="20"/>
      <c r="Q1662" s="17"/>
    </row>
    <row r="1663" spans="1:17" ht="38.25">
      <c r="A1663" s="108" t="str">
        <f t="shared" si="50"/>
        <v>621050304 3 04 20300000</v>
      </c>
      <c r="B1663" s="315" t="s">
        <v>1148</v>
      </c>
      <c r="C1663" s="203" t="s">
        <v>412</v>
      </c>
      <c r="D1663" s="204" t="s">
        <v>86</v>
      </c>
      <c r="E1663" s="204" t="s">
        <v>13</v>
      </c>
      <c r="F1663" s="317" t="s">
        <v>543</v>
      </c>
      <c r="G1663" s="317" t="s">
        <v>9</v>
      </c>
      <c r="H1663" s="20">
        <v>5538.8899999999994</v>
      </c>
      <c r="I1663" s="20">
        <v>0</v>
      </c>
      <c r="J1663" s="20">
        <v>0</v>
      </c>
      <c r="Q1663" s="17"/>
    </row>
    <row r="1664" spans="1:17" ht="25.5">
      <c r="A1664" s="108" t="str">
        <f t="shared" si="50"/>
        <v>621050304 3 04 20300240</v>
      </c>
      <c r="B1664" s="315" t="s">
        <v>28</v>
      </c>
      <c r="C1664" s="203" t="s">
        <v>412</v>
      </c>
      <c r="D1664" s="204" t="s">
        <v>86</v>
      </c>
      <c r="E1664" s="204" t="s">
        <v>13</v>
      </c>
      <c r="F1664" s="317" t="s">
        <v>543</v>
      </c>
      <c r="G1664" s="317" t="s">
        <v>29</v>
      </c>
      <c r="H1664" s="20">
        <v>6868.4</v>
      </c>
      <c r="I1664" s="20">
        <v>0</v>
      </c>
      <c r="J1664" s="20">
        <v>0</v>
      </c>
      <c r="Q1664" s="17"/>
    </row>
    <row r="1665" spans="1:17">
      <c r="A1665" s="108" t="str">
        <f t="shared" si="50"/>
        <v>621050304 3 04 20300410</v>
      </c>
      <c r="B1665" s="339" t="s">
        <v>937</v>
      </c>
      <c r="C1665" s="232" t="s">
        <v>412</v>
      </c>
      <c r="D1665" s="233" t="s">
        <v>86</v>
      </c>
      <c r="E1665" s="233" t="s">
        <v>13</v>
      </c>
      <c r="F1665" s="340" t="s">
        <v>543</v>
      </c>
      <c r="G1665" s="340" t="s">
        <v>838</v>
      </c>
      <c r="H1665" s="235">
        <v>5538.8899999999994</v>
      </c>
      <c r="I1665" s="235">
        <v>0</v>
      </c>
      <c r="J1665" s="235">
        <v>0</v>
      </c>
      <c r="Q1665" s="17"/>
    </row>
    <row r="1666" spans="1:17" ht="63.75">
      <c r="A1666" s="108" t="str">
        <f t="shared" si="50"/>
        <v>621050304 3 04 20800000</v>
      </c>
      <c r="B1666" s="200" t="s">
        <v>1084</v>
      </c>
      <c r="C1666" s="203" t="s">
        <v>412</v>
      </c>
      <c r="D1666" s="204" t="s">
        <v>86</v>
      </c>
      <c r="E1666" s="204" t="s">
        <v>13</v>
      </c>
      <c r="F1666" s="204" t="s">
        <v>1085</v>
      </c>
      <c r="G1666" s="204" t="s">
        <v>9</v>
      </c>
      <c r="H1666" s="26">
        <v>1936.47</v>
      </c>
      <c r="I1666" s="26">
        <v>0</v>
      </c>
      <c r="J1666" s="26">
        <v>0</v>
      </c>
      <c r="Q1666" s="17"/>
    </row>
    <row r="1667" spans="1:17">
      <c r="A1667" s="108" t="str">
        <f t="shared" si="50"/>
        <v/>
      </c>
      <c r="B1667" s="220" t="s">
        <v>1104</v>
      </c>
      <c r="C1667" s="203"/>
      <c r="D1667" s="204"/>
      <c r="E1667" s="204"/>
      <c r="F1667" s="204"/>
      <c r="G1667" s="204"/>
      <c r="H1667" s="26"/>
      <c r="I1667" s="26"/>
      <c r="J1667" s="26"/>
      <c r="Q1667" s="17"/>
    </row>
    <row r="1668" spans="1:17">
      <c r="A1668" s="108" t="str">
        <f t="shared" si="50"/>
        <v>621050304 3 04 20800000</v>
      </c>
      <c r="B1668" s="318" t="s">
        <v>1105</v>
      </c>
      <c r="C1668" s="322" t="s">
        <v>412</v>
      </c>
      <c r="D1668" s="319" t="s">
        <v>86</v>
      </c>
      <c r="E1668" s="319" t="s">
        <v>13</v>
      </c>
      <c r="F1668" s="319" t="s">
        <v>1085</v>
      </c>
      <c r="G1668" s="319" t="s">
        <v>9</v>
      </c>
      <c r="H1668" s="320">
        <v>1936.47</v>
      </c>
      <c r="I1668" s="320">
        <v>0</v>
      </c>
      <c r="J1668" s="320">
        <v>0</v>
      </c>
      <c r="Q1668" s="17"/>
    </row>
    <row r="1669" spans="1:17" ht="25.5">
      <c r="A1669" s="108" t="str">
        <f t="shared" si="50"/>
        <v>621050304 3 04 20800240</v>
      </c>
      <c r="B1669" s="197" t="s">
        <v>28</v>
      </c>
      <c r="C1669" s="203" t="s">
        <v>412</v>
      </c>
      <c r="D1669" s="204" t="s">
        <v>86</v>
      </c>
      <c r="E1669" s="204" t="s">
        <v>13</v>
      </c>
      <c r="F1669" s="204" t="s">
        <v>1085</v>
      </c>
      <c r="G1669" s="204" t="s">
        <v>29</v>
      </c>
      <c r="H1669" s="26">
        <v>1936.47</v>
      </c>
      <c r="I1669" s="26">
        <v>0</v>
      </c>
      <c r="J1669" s="26">
        <v>0</v>
      </c>
      <c r="Q1669" s="17"/>
    </row>
    <row r="1670" spans="1:17" ht="38.25">
      <c r="A1670" s="108" t="str">
        <f t="shared" ref="A1670:A1733" si="51">C1670&amp;D1670&amp;E1670&amp;F1670&amp;G1670</f>
        <v>621050304 3 04 G6420000</v>
      </c>
      <c r="B1670" s="197" t="s">
        <v>1043</v>
      </c>
      <c r="C1670" s="203" t="s">
        <v>412</v>
      </c>
      <c r="D1670" s="204" t="s">
        <v>86</v>
      </c>
      <c r="E1670" s="204" t="s">
        <v>13</v>
      </c>
      <c r="F1670" s="204" t="s">
        <v>1056</v>
      </c>
      <c r="G1670" s="204" t="s">
        <v>9</v>
      </c>
      <c r="H1670" s="20">
        <v>10646.69</v>
      </c>
      <c r="I1670" s="20">
        <v>0</v>
      </c>
      <c r="J1670" s="20">
        <v>0</v>
      </c>
      <c r="Q1670" s="17"/>
    </row>
    <row r="1671" spans="1:17">
      <c r="A1671" s="108" t="str">
        <f t="shared" si="51"/>
        <v/>
      </c>
      <c r="B1671" s="205" t="s">
        <v>1045</v>
      </c>
      <c r="C1671" s="203"/>
      <c r="D1671" s="204"/>
      <c r="E1671" s="204"/>
      <c r="F1671" s="204"/>
      <c r="G1671" s="204"/>
      <c r="H1671" s="20"/>
      <c r="I1671" s="20"/>
      <c r="J1671" s="20"/>
      <c r="Q1671" s="17"/>
    </row>
    <row r="1672" spans="1:17">
      <c r="A1672" s="108" t="str">
        <f t="shared" si="51"/>
        <v>621050304 3 04 G6420000</v>
      </c>
      <c r="B1672" s="197" t="s">
        <v>1046</v>
      </c>
      <c r="C1672" s="203" t="s">
        <v>412</v>
      </c>
      <c r="D1672" s="204" t="s">
        <v>86</v>
      </c>
      <c r="E1672" s="204" t="s">
        <v>13</v>
      </c>
      <c r="F1672" s="204" t="s">
        <v>1056</v>
      </c>
      <c r="G1672" s="204" t="s">
        <v>9</v>
      </c>
      <c r="H1672" s="20">
        <v>310.2</v>
      </c>
      <c r="I1672" s="20">
        <v>0</v>
      </c>
      <c r="J1672" s="20">
        <v>0</v>
      </c>
      <c r="Q1672" s="17"/>
    </row>
    <row r="1673" spans="1:17">
      <c r="A1673" s="108" t="str">
        <f t="shared" si="51"/>
        <v>621050304 3 04 G6420000</v>
      </c>
      <c r="B1673" s="197" t="s">
        <v>1047</v>
      </c>
      <c r="C1673" s="203" t="s">
        <v>412</v>
      </c>
      <c r="D1673" s="204" t="s">
        <v>86</v>
      </c>
      <c r="E1673" s="204" t="s">
        <v>13</v>
      </c>
      <c r="F1673" s="204" t="s">
        <v>1056</v>
      </c>
      <c r="G1673" s="204" t="s">
        <v>9</v>
      </c>
      <c r="H1673" s="20">
        <v>10336.49</v>
      </c>
      <c r="I1673" s="20">
        <v>0</v>
      </c>
      <c r="J1673" s="20">
        <v>0</v>
      </c>
      <c r="Q1673" s="17"/>
    </row>
    <row r="1674" spans="1:17" ht="25.5">
      <c r="A1674" s="108" t="str">
        <f t="shared" si="51"/>
        <v>621050304 3 04 G6420240</v>
      </c>
      <c r="B1674" s="197" t="s">
        <v>28</v>
      </c>
      <c r="C1674" s="203" t="s">
        <v>412</v>
      </c>
      <c r="D1674" s="204" t="s">
        <v>86</v>
      </c>
      <c r="E1674" s="204" t="s">
        <v>13</v>
      </c>
      <c r="F1674" s="204" t="s">
        <v>1056</v>
      </c>
      <c r="G1674" s="204" t="s">
        <v>29</v>
      </c>
      <c r="H1674" s="20">
        <v>10646.69</v>
      </c>
      <c r="I1674" s="20">
        <v>0</v>
      </c>
      <c r="J1674" s="20">
        <v>0</v>
      </c>
      <c r="Q1674" s="17"/>
    </row>
    <row r="1675" spans="1:17" ht="25.5">
      <c r="A1675" s="108" t="str">
        <f t="shared" si="51"/>
        <v>621050304 3 04 S6420000</v>
      </c>
      <c r="B1675" s="200" t="s">
        <v>1048</v>
      </c>
      <c r="C1675" s="203" t="s">
        <v>412</v>
      </c>
      <c r="D1675" s="204" t="s">
        <v>86</v>
      </c>
      <c r="E1675" s="204" t="s">
        <v>13</v>
      </c>
      <c r="F1675" s="204" t="s">
        <v>1057</v>
      </c>
      <c r="G1675" s="204" t="s">
        <v>9</v>
      </c>
      <c r="H1675" s="20">
        <v>8709.7999999999993</v>
      </c>
      <c r="I1675" s="20">
        <v>0</v>
      </c>
      <c r="J1675" s="20">
        <v>0</v>
      </c>
    </row>
    <row r="1676" spans="1:17">
      <c r="A1676" s="108" t="str">
        <f t="shared" si="51"/>
        <v/>
      </c>
      <c r="B1676" s="205" t="s">
        <v>1045</v>
      </c>
      <c r="C1676" s="203"/>
      <c r="D1676" s="204"/>
      <c r="E1676" s="204"/>
      <c r="F1676" s="204"/>
      <c r="G1676" s="204"/>
      <c r="H1676" s="20"/>
      <c r="I1676" s="20"/>
      <c r="J1676" s="20"/>
    </row>
    <row r="1677" spans="1:17">
      <c r="A1677" s="108" t="str">
        <f t="shared" si="51"/>
        <v>621050304 3 04 S6420000</v>
      </c>
      <c r="B1677" s="197" t="s">
        <v>1050</v>
      </c>
      <c r="C1677" s="203" t="s">
        <v>412</v>
      </c>
      <c r="D1677" s="204" t="s">
        <v>86</v>
      </c>
      <c r="E1677" s="204" t="s">
        <v>13</v>
      </c>
      <c r="F1677" s="204" t="s">
        <v>1057</v>
      </c>
      <c r="G1677" s="204" t="s">
        <v>9</v>
      </c>
      <c r="H1677" s="20">
        <v>2709.8</v>
      </c>
      <c r="I1677" s="20">
        <v>0</v>
      </c>
      <c r="J1677" s="20">
        <v>0</v>
      </c>
    </row>
    <row r="1678" spans="1:17">
      <c r="A1678" s="108" t="str">
        <f t="shared" si="51"/>
        <v>621050304 3 04 S6420000</v>
      </c>
      <c r="B1678" s="197" t="s">
        <v>1051</v>
      </c>
      <c r="C1678" s="203" t="s">
        <v>412</v>
      </c>
      <c r="D1678" s="204" t="s">
        <v>86</v>
      </c>
      <c r="E1678" s="204" t="s">
        <v>13</v>
      </c>
      <c r="F1678" s="204" t="s">
        <v>1057</v>
      </c>
      <c r="G1678" s="204" t="s">
        <v>9</v>
      </c>
      <c r="H1678" s="20">
        <v>6000</v>
      </c>
      <c r="I1678" s="20">
        <v>0</v>
      </c>
      <c r="J1678" s="20">
        <v>0</v>
      </c>
    </row>
    <row r="1679" spans="1:17" ht="25.5">
      <c r="A1679" s="108" t="str">
        <f t="shared" si="51"/>
        <v>621050304 3 04 S6420240</v>
      </c>
      <c r="B1679" s="197" t="s">
        <v>28</v>
      </c>
      <c r="C1679" s="203" t="s">
        <v>412</v>
      </c>
      <c r="D1679" s="204" t="s">
        <v>86</v>
      </c>
      <c r="E1679" s="204" t="s">
        <v>13</v>
      </c>
      <c r="F1679" s="204" t="s">
        <v>1057</v>
      </c>
      <c r="G1679" s="204" t="s">
        <v>29</v>
      </c>
      <c r="H1679" s="20">
        <v>8709.7999999999993</v>
      </c>
      <c r="I1679" s="20">
        <v>0</v>
      </c>
      <c r="J1679" s="20">
        <v>0</v>
      </c>
    </row>
    <row r="1680" spans="1:17" ht="25.5">
      <c r="A1680" s="108" t="str">
        <f t="shared" si="51"/>
        <v>621050304 3 04 77330000</v>
      </c>
      <c r="B1680" s="197" t="s">
        <v>1149</v>
      </c>
      <c r="C1680" s="203" t="s">
        <v>412</v>
      </c>
      <c r="D1680" s="204" t="s">
        <v>86</v>
      </c>
      <c r="E1680" s="204" t="s">
        <v>13</v>
      </c>
      <c r="F1680" s="199" t="s">
        <v>1146</v>
      </c>
      <c r="G1680" s="204" t="s">
        <v>9</v>
      </c>
      <c r="H1680" s="20">
        <v>337602.82999999996</v>
      </c>
      <c r="I1680" s="20">
        <v>0</v>
      </c>
      <c r="J1680" s="20">
        <v>0</v>
      </c>
    </row>
    <row r="1681" spans="1:10" ht="25.5">
      <c r="A1681" s="108" t="str">
        <f t="shared" si="51"/>
        <v>621050304 3 04 77330240</v>
      </c>
      <c r="B1681" s="197" t="s">
        <v>28</v>
      </c>
      <c r="C1681" s="203" t="s">
        <v>412</v>
      </c>
      <c r="D1681" s="204" t="s">
        <v>86</v>
      </c>
      <c r="E1681" s="204" t="s">
        <v>13</v>
      </c>
      <c r="F1681" s="199" t="s">
        <v>1146</v>
      </c>
      <c r="G1681" s="204" t="s">
        <v>29</v>
      </c>
      <c r="H1681" s="20">
        <v>337602.82999999996</v>
      </c>
      <c r="I1681" s="20">
        <v>0</v>
      </c>
      <c r="J1681" s="20">
        <v>0</v>
      </c>
    </row>
    <row r="1682" spans="1:10" ht="25.5">
      <c r="A1682" s="108" t="str">
        <f t="shared" si="51"/>
        <v>621050304 3 04 S7330000</v>
      </c>
      <c r="B1682" s="197" t="s">
        <v>1150</v>
      </c>
      <c r="C1682" s="203" t="s">
        <v>412</v>
      </c>
      <c r="D1682" s="204" t="s">
        <v>86</v>
      </c>
      <c r="E1682" s="204" t="s">
        <v>13</v>
      </c>
      <c r="F1682" s="199" t="s">
        <v>1147</v>
      </c>
      <c r="G1682" s="204" t="s">
        <v>9</v>
      </c>
      <c r="H1682" s="20">
        <v>17768.57</v>
      </c>
      <c r="I1682" s="20">
        <v>0</v>
      </c>
      <c r="J1682" s="20">
        <v>0</v>
      </c>
    </row>
    <row r="1683" spans="1:10" ht="25.5">
      <c r="A1683" s="108" t="str">
        <f t="shared" si="51"/>
        <v>621050304 3 04 S7330240</v>
      </c>
      <c r="B1683" s="197" t="s">
        <v>28</v>
      </c>
      <c r="C1683" s="203" t="s">
        <v>412</v>
      </c>
      <c r="D1683" s="204" t="s">
        <v>86</v>
      </c>
      <c r="E1683" s="204" t="s">
        <v>13</v>
      </c>
      <c r="F1683" s="199" t="s">
        <v>1147</v>
      </c>
      <c r="G1683" s="204" t="s">
        <v>29</v>
      </c>
      <c r="H1683" s="20">
        <v>17768.57</v>
      </c>
      <c r="I1683" s="20">
        <v>0</v>
      </c>
      <c r="J1683" s="20">
        <v>0</v>
      </c>
    </row>
    <row r="1684" spans="1:10" ht="38.25">
      <c r="A1684" s="108" t="str">
        <f t="shared" si="51"/>
        <v>621050398 0 00 00000000</v>
      </c>
      <c r="B1684" s="197" t="s">
        <v>87</v>
      </c>
      <c r="C1684" s="203" t="s">
        <v>412</v>
      </c>
      <c r="D1684" s="204" t="s">
        <v>86</v>
      </c>
      <c r="E1684" s="204" t="s">
        <v>13</v>
      </c>
      <c r="F1684" s="204" t="s">
        <v>88</v>
      </c>
      <c r="G1684" s="204" t="s">
        <v>9</v>
      </c>
      <c r="H1684" s="20">
        <v>37603.730000000003</v>
      </c>
      <c r="I1684" s="20">
        <v>0</v>
      </c>
      <c r="J1684" s="20">
        <v>0</v>
      </c>
    </row>
    <row r="1685" spans="1:10" ht="38.25">
      <c r="A1685" s="108" t="str">
        <f t="shared" si="51"/>
        <v>621050398 2 00 00000000</v>
      </c>
      <c r="B1685" s="197" t="s">
        <v>1108</v>
      </c>
      <c r="C1685" s="203" t="s">
        <v>412</v>
      </c>
      <c r="D1685" s="204" t="s">
        <v>86</v>
      </c>
      <c r="E1685" s="204" t="s">
        <v>13</v>
      </c>
      <c r="F1685" s="204" t="s">
        <v>1109</v>
      </c>
      <c r="G1685" s="204" t="s">
        <v>9</v>
      </c>
      <c r="H1685" s="20">
        <v>37603.730000000003</v>
      </c>
      <c r="I1685" s="20">
        <v>0</v>
      </c>
      <c r="J1685" s="20">
        <v>0</v>
      </c>
    </row>
    <row r="1686" spans="1:10" ht="63.75">
      <c r="A1686" s="108" t="str">
        <f t="shared" si="51"/>
        <v>621050398 2 00 20800000</v>
      </c>
      <c r="B1686" s="341" t="s">
        <v>1084</v>
      </c>
      <c r="C1686" s="322" t="s">
        <v>412</v>
      </c>
      <c r="D1686" s="319" t="s">
        <v>86</v>
      </c>
      <c r="E1686" s="319" t="s">
        <v>13</v>
      </c>
      <c r="F1686" s="319" t="s">
        <v>1257</v>
      </c>
      <c r="G1686" s="319" t="s">
        <v>9</v>
      </c>
      <c r="H1686" s="320">
        <v>37603.730000000003</v>
      </c>
      <c r="I1686" s="320">
        <v>0</v>
      </c>
      <c r="J1686" s="320">
        <v>0</v>
      </c>
    </row>
    <row r="1687" spans="1:10">
      <c r="A1687" s="108" t="str">
        <f t="shared" si="51"/>
        <v/>
      </c>
      <c r="B1687" s="197" t="s">
        <v>1104</v>
      </c>
      <c r="C1687" s="203"/>
      <c r="D1687" s="204"/>
      <c r="E1687" s="204"/>
      <c r="F1687" s="204"/>
      <c r="G1687" s="204"/>
      <c r="H1687" s="26"/>
      <c r="I1687" s="32"/>
      <c r="J1687" s="32"/>
    </row>
    <row r="1688" spans="1:10" ht="51">
      <c r="A1688" s="108" t="str">
        <f t="shared" si="51"/>
        <v>621050398 2 00 20800000</v>
      </c>
      <c r="B1688" s="197" t="s">
        <v>1362</v>
      </c>
      <c r="C1688" s="203" t="s">
        <v>412</v>
      </c>
      <c r="D1688" s="204" t="s">
        <v>86</v>
      </c>
      <c r="E1688" s="204" t="s">
        <v>13</v>
      </c>
      <c r="F1688" s="204" t="s">
        <v>1257</v>
      </c>
      <c r="G1688" s="204" t="s">
        <v>9</v>
      </c>
      <c r="H1688" s="26">
        <v>37603.730000000003</v>
      </c>
      <c r="I1688" s="32">
        <v>0</v>
      </c>
      <c r="J1688" s="32">
        <v>0</v>
      </c>
    </row>
    <row r="1689" spans="1:10">
      <c r="A1689" s="108" t="str">
        <f t="shared" si="51"/>
        <v>621050398 2 00 20800410</v>
      </c>
      <c r="B1689" s="231" t="s">
        <v>937</v>
      </c>
      <c r="C1689" s="232" t="s">
        <v>412</v>
      </c>
      <c r="D1689" s="233" t="s">
        <v>86</v>
      </c>
      <c r="E1689" s="233" t="s">
        <v>13</v>
      </c>
      <c r="F1689" s="233" t="s">
        <v>1257</v>
      </c>
      <c r="G1689" s="233" t="s">
        <v>838</v>
      </c>
      <c r="H1689" s="235">
        <v>37603.730000000003</v>
      </c>
      <c r="I1689" s="235">
        <v>0</v>
      </c>
      <c r="J1689" s="235">
        <v>0</v>
      </c>
    </row>
    <row r="1690" spans="1:10">
      <c r="A1690" s="108" t="str">
        <f t="shared" si="51"/>
        <v>621070000 0 00 00000000</v>
      </c>
      <c r="B1690" s="191" t="s">
        <v>228</v>
      </c>
      <c r="C1690" s="192" t="s">
        <v>412</v>
      </c>
      <c r="D1690" s="193" t="s">
        <v>229</v>
      </c>
      <c r="E1690" s="193" t="s">
        <v>7</v>
      </c>
      <c r="F1690" s="193" t="s">
        <v>8</v>
      </c>
      <c r="G1690" s="193" t="s">
        <v>9</v>
      </c>
      <c r="H1690" s="18">
        <v>315814.77999999997</v>
      </c>
      <c r="I1690" s="18">
        <v>717741.57</v>
      </c>
      <c r="J1690" s="18">
        <v>19074.82</v>
      </c>
    </row>
    <row r="1691" spans="1:10">
      <c r="A1691" s="108" t="str">
        <f t="shared" si="51"/>
        <v>621070100 0 00 00000000</v>
      </c>
      <c r="B1691" s="194" t="s">
        <v>395</v>
      </c>
      <c r="C1691" s="195" t="s">
        <v>412</v>
      </c>
      <c r="D1691" s="196" t="s">
        <v>229</v>
      </c>
      <c r="E1691" s="196" t="s">
        <v>11</v>
      </c>
      <c r="F1691" s="196" t="s">
        <v>8</v>
      </c>
      <c r="G1691" s="196" t="s">
        <v>9</v>
      </c>
      <c r="H1691" s="19">
        <v>0</v>
      </c>
      <c r="I1691" s="19">
        <v>20089.579999999998</v>
      </c>
      <c r="J1691" s="19">
        <v>3495.1099999999997</v>
      </c>
    </row>
    <row r="1692" spans="1:10" ht="25.5">
      <c r="A1692" s="108" t="str">
        <f t="shared" si="51"/>
        <v>621070101 0 00 00000000</v>
      </c>
      <c r="B1692" s="205" t="s">
        <v>396</v>
      </c>
      <c r="C1692" s="198" t="s">
        <v>412</v>
      </c>
      <c r="D1692" s="199" t="s">
        <v>229</v>
      </c>
      <c r="E1692" s="199" t="s">
        <v>11</v>
      </c>
      <c r="F1692" s="199" t="s">
        <v>397</v>
      </c>
      <c r="G1692" s="199" t="s">
        <v>9</v>
      </c>
      <c r="H1692" s="20">
        <v>0</v>
      </c>
      <c r="I1692" s="20">
        <v>20089.579999999998</v>
      </c>
      <c r="J1692" s="20">
        <v>3495.1099999999997</v>
      </c>
    </row>
    <row r="1693" spans="1:10" ht="25.5">
      <c r="A1693" s="108" t="str">
        <f t="shared" si="51"/>
        <v>621070101 2 00 00000000</v>
      </c>
      <c r="B1693" s="197" t="s">
        <v>444</v>
      </c>
      <c r="C1693" s="198" t="s">
        <v>412</v>
      </c>
      <c r="D1693" s="199" t="s">
        <v>229</v>
      </c>
      <c r="E1693" s="199" t="s">
        <v>11</v>
      </c>
      <c r="F1693" s="199" t="s">
        <v>445</v>
      </c>
      <c r="G1693" s="199" t="s">
        <v>9</v>
      </c>
      <c r="H1693" s="20">
        <v>0</v>
      </c>
      <c r="I1693" s="20">
        <v>20089.579999999998</v>
      </c>
      <c r="J1693" s="20">
        <v>3495.1099999999997</v>
      </c>
    </row>
    <row r="1694" spans="1:10" ht="38.25">
      <c r="A1694" s="108" t="str">
        <f t="shared" si="51"/>
        <v>621070101 2 01 00000000</v>
      </c>
      <c r="B1694" s="197" t="s">
        <v>936</v>
      </c>
      <c r="C1694" s="198" t="s">
        <v>412</v>
      </c>
      <c r="D1694" s="199" t="s">
        <v>229</v>
      </c>
      <c r="E1694" s="199" t="s">
        <v>11</v>
      </c>
      <c r="F1694" s="199" t="s">
        <v>447</v>
      </c>
      <c r="G1694" s="199" t="s">
        <v>9</v>
      </c>
      <c r="H1694" s="20">
        <v>0</v>
      </c>
      <c r="I1694" s="20">
        <v>20089.579999999998</v>
      </c>
      <c r="J1694" s="20">
        <v>3495.1099999999997</v>
      </c>
    </row>
    <row r="1695" spans="1:10" ht="38.25">
      <c r="A1695" s="108" t="str">
        <f t="shared" si="51"/>
        <v>621070101 2 01 40010000</v>
      </c>
      <c r="B1695" s="197" t="s">
        <v>448</v>
      </c>
      <c r="C1695" s="198" t="s">
        <v>412</v>
      </c>
      <c r="D1695" s="199" t="s">
        <v>229</v>
      </c>
      <c r="E1695" s="199" t="s">
        <v>11</v>
      </c>
      <c r="F1695" s="199" t="s">
        <v>449</v>
      </c>
      <c r="G1695" s="199" t="s">
        <v>9</v>
      </c>
      <c r="H1695" s="20">
        <v>0</v>
      </c>
      <c r="I1695" s="20">
        <v>20089.579999999998</v>
      </c>
      <c r="J1695" s="20">
        <v>1006.3199999999997</v>
      </c>
    </row>
    <row r="1696" spans="1:10">
      <c r="A1696" s="108" t="str">
        <f t="shared" si="51"/>
        <v/>
      </c>
      <c r="B1696" s="197" t="s">
        <v>1104</v>
      </c>
      <c r="C1696" s="198"/>
      <c r="D1696" s="199"/>
      <c r="E1696" s="199"/>
      <c r="F1696" s="199"/>
      <c r="G1696" s="199"/>
      <c r="H1696" s="20"/>
      <c r="I1696" s="20"/>
      <c r="J1696" s="20"/>
    </row>
    <row r="1697" spans="1:10" ht="38.25">
      <c r="A1697" s="108" t="str">
        <f t="shared" si="51"/>
        <v>621070101 2 01 40010000</v>
      </c>
      <c r="B1697" s="197" t="s">
        <v>1151</v>
      </c>
      <c r="C1697" s="198" t="s">
        <v>412</v>
      </c>
      <c r="D1697" s="199" t="s">
        <v>229</v>
      </c>
      <c r="E1697" s="199" t="s">
        <v>11</v>
      </c>
      <c r="F1697" s="199" t="s">
        <v>449</v>
      </c>
      <c r="G1697" s="199" t="s">
        <v>9</v>
      </c>
      <c r="H1697" s="20">
        <v>0</v>
      </c>
      <c r="I1697" s="20">
        <v>8013.7</v>
      </c>
      <c r="J1697" s="20">
        <v>0</v>
      </c>
    </row>
    <row r="1698" spans="1:10" ht="38.25">
      <c r="A1698" s="108" t="str">
        <f t="shared" si="51"/>
        <v>621070101 2 01 40010000</v>
      </c>
      <c r="B1698" s="197" t="s">
        <v>1152</v>
      </c>
      <c r="C1698" s="198" t="s">
        <v>412</v>
      </c>
      <c r="D1698" s="199" t="s">
        <v>229</v>
      </c>
      <c r="E1698" s="199" t="s">
        <v>11</v>
      </c>
      <c r="F1698" s="199" t="s">
        <v>449</v>
      </c>
      <c r="G1698" s="199" t="s">
        <v>9</v>
      </c>
      <c r="H1698" s="20">
        <v>0</v>
      </c>
      <c r="I1698" s="20">
        <v>12075.88</v>
      </c>
      <c r="J1698" s="20">
        <v>1006.3199999999997</v>
      </c>
    </row>
    <row r="1699" spans="1:10">
      <c r="A1699" s="108" t="str">
        <f t="shared" si="51"/>
        <v>621070101 2 01 40010410</v>
      </c>
      <c r="B1699" s="231" t="s">
        <v>937</v>
      </c>
      <c r="C1699" s="232" t="s">
        <v>412</v>
      </c>
      <c r="D1699" s="233" t="s">
        <v>229</v>
      </c>
      <c r="E1699" s="233" t="s">
        <v>11</v>
      </c>
      <c r="F1699" s="233" t="s">
        <v>449</v>
      </c>
      <c r="G1699" s="233" t="s">
        <v>838</v>
      </c>
      <c r="H1699" s="235">
        <v>0</v>
      </c>
      <c r="I1699" s="235">
        <v>20089.579999999998</v>
      </c>
      <c r="J1699" s="235">
        <v>1006.3199999999997</v>
      </c>
    </row>
    <row r="1700" spans="1:10" ht="25.5">
      <c r="A1700" s="108" t="str">
        <f t="shared" si="51"/>
        <v>621070101 2 01 40060000</v>
      </c>
      <c r="B1700" s="197" t="s">
        <v>1153</v>
      </c>
      <c r="C1700" s="198" t="s">
        <v>412</v>
      </c>
      <c r="D1700" s="199" t="s">
        <v>229</v>
      </c>
      <c r="E1700" s="199" t="s">
        <v>11</v>
      </c>
      <c r="F1700" s="199" t="s">
        <v>1154</v>
      </c>
      <c r="G1700" s="199" t="s">
        <v>9</v>
      </c>
      <c r="H1700" s="20">
        <v>0</v>
      </c>
      <c r="I1700" s="20">
        <v>0</v>
      </c>
      <c r="J1700" s="20">
        <v>2488.79</v>
      </c>
    </row>
    <row r="1701" spans="1:10">
      <c r="A1701" s="108" t="str">
        <f t="shared" si="51"/>
        <v/>
      </c>
      <c r="B1701" s="197" t="s">
        <v>1104</v>
      </c>
      <c r="C1701" s="198"/>
      <c r="D1701" s="199"/>
      <c r="E1701" s="199"/>
      <c r="F1701" s="199"/>
      <c r="G1701" s="199"/>
      <c r="H1701" s="20"/>
      <c r="I1701" s="20"/>
      <c r="J1701" s="20"/>
    </row>
    <row r="1702" spans="1:10" ht="38.25">
      <c r="A1702" s="108" t="str">
        <f t="shared" si="51"/>
        <v>621070101 2 01 40060000</v>
      </c>
      <c r="B1702" s="207" t="s">
        <v>1363</v>
      </c>
      <c r="C1702" s="198" t="s">
        <v>412</v>
      </c>
      <c r="D1702" s="199" t="s">
        <v>229</v>
      </c>
      <c r="E1702" s="199" t="s">
        <v>11</v>
      </c>
      <c r="F1702" s="199" t="s">
        <v>1154</v>
      </c>
      <c r="G1702" s="199" t="s">
        <v>9</v>
      </c>
      <c r="H1702" s="20">
        <v>0</v>
      </c>
      <c r="I1702" s="20">
        <v>0</v>
      </c>
      <c r="J1702" s="20">
        <v>2488.79</v>
      </c>
    </row>
    <row r="1703" spans="1:10">
      <c r="A1703" s="108" t="str">
        <f t="shared" si="51"/>
        <v>621070101 2 01 40060410</v>
      </c>
      <c r="B1703" s="231" t="s">
        <v>937</v>
      </c>
      <c r="C1703" s="232" t="s">
        <v>412</v>
      </c>
      <c r="D1703" s="233" t="s">
        <v>229</v>
      </c>
      <c r="E1703" s="233" t="s">
        <v>11</v>
      </c>
      <c r="F1703" s="233" t="s">
        <v>1154</v>
      </c>
      <c r="G1703" s="233" t="s">
        <v>838</v>
      </c>
      <c r="H1703" s="235">
        <v>0</v>
      </c>
      <c r="I1703" s="235">
        <v>0</v>
      </c>
      <c r="J1703" s="235">
        <v>2488.79</v>
      </c>
    </row>
    <row r="1704" spans="1:10">
      <c r="A1704" s="108" t="str">
        <f t="shared" si="51"/>
        <v>621070200 0 00 00000000</v>
      </c>
      <c r="B1704" s="194" t="s">
        <v>438</v>
      </c>
      <c r="C1704" s="195" t="s">
        <v>412</v>
      </c>
      <c r="D1704" s="196" t="s">
        <v>229</v>
      </c>
      <c r="E1704" s="196" t="s">
        <v>62</v>
      </c>
      <c r="F1704" s="196" t="s">
        <v>8</v>
      </c>
      <c r="G1704" s="196" t="s">
        <v>9</v>
      </c>
      <c r="H1704" s="19">
        <v>315814.77999999997</v>
      </c>
      <c r="I1704" s="19">
        <v>697651.99</v>
      </c>
      <c r="J1704" s="19">
        <v>15579.71</v>
      </c>
    </row>
    <row r="1705" spans="1:10" ht="25.5">
      <c r="A1705" s="108" t="str">
        <f t="shared" si="51"/>
        <v>621070201 0 00 00000000</v>
      </c>
      <c r="B1705" s="205" t="s">
        <v>396</v>
      </c>
      <c r="C1705" s="198" t="s">
        <v>412</v>
      </c>
      <c r="D1705" s="199" t="s">
        <v>229</v>
      </c>
      <c r="E1705" s="199" t="s">
        <v>62</v>
      </c>
      <c r="F1705" s="199" t="s">
        <v>397</v>
      </c>
      <c r="G1705" s="199" t="s">
        <v>9</v>
      </c>
      <c r="H1705" s="20">
        <v>315814.77999999997</v>
      </c>
      <c r="I1705" s="20">
        <v>697651.99</v>
      </c>
      <c r="J1705" s="20">
        <v>15579.71</v>
      </c>
    </row>
    <row r="1706" spans="1:10" ht="25.5">
      <c r="A1706" s="108" t="str">
        <f t="shared" si="51"/>
        <v>621070201 2 00 00000000</v>
      </c>
      <c r="B1706" s="197" t="s">
        <v>444</v>
      </c>
      <c r="C1706" s="198" t="s">
        <v>412</v>
      </c>
      <c r="D1706" s="199" t="s">
        <v>229</v>
      </c>
      <c r="E1706" s="199" t="s">
        <v>62</v>
      </c>
      <c r="F1706" s="199" t="s">
        <v>445</v>
      </c>
      <c r="G1706" s="199" t="s">
        <v>9</v>
      </c>
      <c r="H1706" s="20">
        <v>315814.77999999997</v>
      </c>
      <c r="I1706" s="20">
        <v>697651.99</v>
      </c>
      <c r="J1706" s="20">
        <v>15579.71</v>
      </c>
    </row>
    <row r="1707" spans="1:10" ht="38.25">
      <c r="A1707" s="108" t="str">
        <f t="shared" si="51"/>
        <v>621070201 2 01 00000000</v>
      </c>
      <c r="B1707" s="197" t="s">
        <v>936</v>
      </c>
      <c r="C1707" s="198" t="s">
        <v>412</v>
      </c>
      <c r="D1707" s="199" t="s">
        <v>229</v>
      </c>
      <c r="E1707" s="199" t="s">
        <v>62</v>
      </c>
      <c r="F1707" s="199" t="s">
        <v>447</v>
      </c>
      <c r="G1707" s="199" t="s">
        <v>9</v>
      </c>
      <c r="H1707" s="20">
        <v>315814.77999999997</v>
      </c>
      <c r="I1707" s="20">
        <v>697651.99</v>
      </c>
      <c r="J1707" s="20">
        <v>15579.71</v>
      </c>
    </row>
    <row r="1708" spans="1:10" ht="38.25">
      <c r="A1708" s="108" t="str">
        <f t="shared" si="51"/>
        <v>621070201 2 01 40010000</v>
      </c>
      <c r="B1708" s="197" t="s">
        <v>448</v>
      </c>
      <c r="C1708" s="198" t="s">
        <v>412</v>
      </c>
      <c r="D1708" s="199" t="s">
        <v>229</v>
      </c>
      <c r="E1708" s="199" t="s">
        <v>62</v>
      </c>
      <c r="F1708" s="199" t="s">
        <v>449</v>
      </c>
      <c r="G1708" s="199" t="s">
        <v>9</v>
      </c>
      <c r="H1708" s="20">
        <v>16.25</v>
      </c>
      <c r="I1708" s="20">
        <v>0</v>
      </c>
      <c r="J1708" s="20">
        <v>15579.71</v>
      </c>
    </row>
    <row r="1709" spans="1:10">
      <c r="A1709" s="108" t="str">
        <f t="shared" si="51"/>
        <v/>
      </c>
      <c r="B1709" s="197" t="s">
        <v>1104</v>
      </c>
      <c r="C1709" s="198"/>
      <c r="D1709" s="199"/>
      <c r="E1709" s="199"/>
      <c r="F1709" s="199"/>
      <c r="G1709" s="199"/>
      <c r="H1709" s="20"/>
      <c r="I1709" s="20"/>
      <c r="J1709" s="20"/>
    </row>
    <row r="1710" spans="1:10" ht="38.25">
      <c r="A1710" s="108" t="str">
        <f t="shared" si="51"/>
        <v>621070201 2 01 40010000</v>
      </c>
      <c r="B1710" s="197" t="s">
        <v>1155</v>
      </c>
      <c r="C1710" s="198" t="s">
        <v>412</v>
      </c>
      <c r="D1710" s="199" t="s">
        <v>229</v>
      </c>
      <c r="E1710" s="199" t="s">
        <v>62</v>
      </c>
      <c r="F1710" s="199" t="s">
        <v>449</v>
      </c>
      <c r="G1710" s="199" t="s">
        <v>9</v>
      </c>
      <c r="H1710" s="20">
        <v>0</v>
      </c>
      <c r="I1710" s="20">
        <v>0</v>
      </c>
      <c r="J1710" s="20">
        <v>0</v>
      </c>
    </row>
    <row r="1711" spans="1:10" ht="51">
      <c r="A1711" s="108" t="str">
        <f t="shared" si="51"/>
        <v>621070201 2 01 40010000</v>
      </c>
      <c r="B1711" s="197" t="s">
        <v>1156</v>
      </c>
      <c r="C1711" s="198" t="s">
        <v>412</v>
      </c>
      <c r="D1711" s="199" t="s">
        <v>229</v>
      </c>
      <c r="E1711" s="199" t="s">
        <v>62</v>
      </c>
      <c r="F1711" s="199" t="s">
        <v>449</v>
      </c>
      <c r="G1711" s="199" t="s">
        <v>9</v>
      </c>
      <c r="H1711" s="20">
        <v>0</v>
      </c>
      <c r="I1711" s="20">
        <v>0</v>
      </c>
      <c r="J1711" s="20">
        <v>15579.71</v>
      </c>
    </row>
    <row r="1712" spans="1:10" ht="63.75">
      <c r="A1712" s="108" t="str">
        <f t="shared" si="51"/>
        <v>621070201 2 01 40010000</v>
      </c>
      <c r="B1712" s="228" t="s">
        <v>1157</v>
      </c>
      <c r="C1712" s="222" t="s">
        <v>412</v>
      </c>
      <c r="D1712" s="223" t="s">
        <v>229</v>
      </c>
      <c r="E1712" s="223" t="s">
        <v>62</v>
      </c>
      <c r="F1712" s="223" t="s">
        <v>449</v>
      </c>
      <c r="G1712" s="223" t="s">
        <v>9</v>
      </c>
      <c r="H1712" s="224">
        <v>16.25</v>
      </c>
      <c r="I1712" s="224">
        <v>0</v>
      </c>
      <c r="J1712" s="224">
        <v>0</v>
      </c>
    </row>
    <row r="1713" spans="1:10">
      <c r="A1713" s="108" t="str">
        <f t="shared" si="51"/>
        <v>621070201 2 01 40010410</v>
      </c>
      <c r="B1713" s="231" t="s">
        <v>937</v>
      </c>
      <c r="C1713" s="232" t="s">
        <v>412</v>
      </c>
      <c r="D1713" s="233" t="s">
        <v>229</v>
      </c>
      <c r="E1713" s="233" t="s">
        <v>62</v>
      </c>
      <c r="F1713" s="233" t="s">
        <v>449</v>
      </c>
      <c r="G1713" s="233" t="s">
        <v>838</v>
      </c>
      <c r="H1713" s="235">
        <v>16.25</v>
      </c>
      <c r="I1713" s="235">
        <v>0</v>
      </c>
      <c r="J1713" s="235">
        <v>15579.71</v>
      </c>
    </row>
    <row r="1714" spans="1:10" ht="25.5">
      <c r="A1714" s="108" t="str">
        <f t="shared" si="51"/>
        <v>621070201 2 01 L5200000</v>
      </c>
      <c r="B1714" s="197" t="s">
        <v>1364</v>
      </c>
      <c r="C1714" s="198" t="s">
        <v>412</v>
      </c>
      <c r="D1714" s="199" t="s">
        <v>229</v>
      </c>
      <c r="E1714" s="199" t="s">
        <v>62</v>
      </c>
      <c r="F1714" s="199" t="s">
        <v>1365</v>
      </c>
      <c r="G1714" s="199" t="s">
        <v>9</v>
      </c>
      <c r="H1714" s="20">
        <v>315789.46999999997</v>
      </c>
      <c r="I1714" s="20">
        <v>697651.99</v>
      </c>
      <c r="J1714" s="20">
        <v>0</v>
      </c>
    </row>
    <row r="1715" spans="1:10">
      <c r="A1715" s="108" t="str">
        <f t="shared" si="51"/>
        <v/>
      </c>
      <c r="B1715" s="197" t="s">
        <v>1104</v>
      </c>
      <c r="C1715" s="198"/>
      <c r="D1715" s="199"/>
      <c r="E1715" s="199"/>
      <c r="F1715" s="199"/>
      <c r="G1715" s="199"/>
      <c r="H1715" s="20"/>
      <c r="I1715" s="20"/>
      <c r="J1715" s="20"/>
    </row>
    <row r="1716" spans="1:10" ht="38.25">
      <c r="A1716" s="108" t="str">
        <f t="shared" si="51"/>
        <v>621070201 2 01 L5200000</v>
      </c>
      <c r="B1716" s="197" t="s">
        <v>1155</v>
      </c>
      <c r="C1716" s="198" t="s">
        <v>412</v>
      </c>
      <c r="D1716" s="199" t="s">
        <v>229</v>
      </c>
      <c r="E1716" s="199" t="s">
        <v>62</v>
      </c>
      <c r="F1716" s="199" t="s">
        <v>1365</v>
      </c>
      <c r="G1716" s="199" t="s">
        <v>9</v>
      </c>
      <c r="H1716" s="20">
        <v>315789.46999999997</v>
      </c>
      <c r="I1716" s="20">
        <v>697651.99</v>
      </c>
      <c r="J1716" s="20">
        <v>0</v>
      </c>
    </row>
    <row r="1717" spans="1:10">
      <c r="A1717" s="108" t="str">
        <f t="shared" si="51"/>
        <v/>
      </c>
      <c r="B1717" s="197" t="s">
        <v>1045</v>
      </c>
      <c r="C1717" s="198"/>
      <c r="D1717" s="199"/>
      <c r="E1717" s="199"/>
      <c r="F1717" s="199"/>
      <c r="G1717" s="199"/>
      <c r="H1717" s="20"/>
      <c r="I1717" s="20"/>
      <c r="J1717" s="20"/>
    </row>
    <row r="1718" spans="1:10">
      <c r="A1718" s="108" t="str">
        <f t="shared" si="51"/>
        <v>621070201 2 01 L5200000</v>
      </c>
      <c r="B1718" s="197" t="s">
        <v>1050</v>
      </c>
      <c r="C1718" s="198" t="s">
        <v>412</v>
      </c>
      <c r="D1718" s="199" t="s">
        <v>229</v>
      </c>
      <c r="E1718" s="199" t="s">
        <v>62</v>
      </c>
      <c r="F1718" s="199" t="s">
        <v>1365</v>
      </c>
      <c r="G1718" s="199" t="s">
        <v>9</v>
      </c>
      <c r="H1718" s="20">
        <v>257929.55</v>
      </c>
      <c r="I1718" s="20">
        <v>697651.99</v>
      </c>
      <c r="J1718" s="20">
        <v>0</v>
      </c>
    </row>
    <row r="1719" spans="1:10">
      <c r="A1719" s="108" t="str">
        <f t="shared" si="51"/>
        <v>621070201 2 01 L5200000</v>
      </c>
      <c r="B1719" s="197" t="s">
        <v>1051</v>
      </c>
      <c r="C1719" s="198" t="s">
        <v>412</v>
      </c>
      <c r="D1719" s="199" t="s">
        <v>229</v>
      </c>
      <c r="E1719" s="199" t="s">
        <v>62</v>
      </c>
      <c r="F1719" s="199" t="s">
        <v>1365</v>
      </c>
      <c r="G1719" s="199" t="s">
        <v>9</v>
      </c>
      <c r="H1719" s="20">
        <v>57859.920000000013</v>
      </c>
      <c r="I1719" s="20">
        <v>0</v>
      </c>
      <c r="J1719" s="20">
        <v>0</v>
      </c>
    </row>
    <row r="1720" spans="1:10">
      <c r="A1720" s="108" t="str">
        <f t="shared" si="51"/>
        <v>621070201 2 01 L5200000</v>
      </c>
      <c r="B1720" s="208" t="s">
        <v>1366</v>
      </c>
      <c r="C1720" s="209" t="s">
        <v>412</v>
      </c>
      <c r="D1720" s="236" t="s">
        <v>229</v>
      </c>
      <c r="E1720" s="236" t="s">
        <v>62</v>
      </c>
      <c r="F1720" s="236" t="s">
        <v>1365</v>
      </c>
      <c r="G1720" s="236" t="s">
        <v>9</v>
      </c>
      <c r="H1720" s="218">
        <v>0</v>
      </c>
      <c r="I1720" s="218">
        <v>0</v>
      </c>
      <c r="J1720" s="218">
        <v>0</v>
      </c>
    </row>
    <row r="1721" spans="1:10">
      <c r="A1721" s="108" t="str">
        <f t="shared" si="51"/>
        <v>621070201 2 01 L5200410</v>
      </c>
      <c r="B1721" s="231" t="s">
        <v>937</v>
      </c>
      <c r="C1721" s="232" t="s">
        <v>412</v>
      </c>
      <c r="D1721" s="233" t="s">
        <v>229</v>
      </c>
      <c r="E1721" s="233" t="s">
        <v>62</v>
      </c>
      <c r="F1721" s="233" t="s">
        <v>1365</v>
      </c>
      <c r="G1721" s="233" t="s">
        <v>838</v>
      </c>
      <c r="H1721" s="235">
        <v>315789.46999999997</v>
      </c>
      <c r="I1721" s="235">
        <v>697651.99</v>
      </c>
      <c r="J1721" s="235">
        <v>0</v>
      </c>
    </row>
    <row r="1722" spans="1:10" ht="38.25">
      <c r="A1722" s="108" t="str">
        <f t="shared" si="51"/>
        <v>621070201 2 01 R5200000</v>
      </c>
      <c r="B1722" s="197" t="s">
        <v>1077</v>
      </c>
      <c r="C1722" s="198" t="s">
        <v>412</v>
      </c>
      <c r="D1722" s="199" t="s">
        <v>229</v>
      </c>
      <c r="E1722" s="199" t="s">
        <v>62</v>
      </c>
      <c r="F1722" s="199" t="s">
        <v>1078</v>
      </c>
      <c r="G1722" s="199" t="s">
        <v>9</v>
      </c>
      <c r="H1722" s="20">
        <v>9.06</v>
      </c>
      <c r="I1722" s="20">
        <v>0</v>
      </c>
      <c r="J1722" s="20">
        <v>0</v>
      </c>
    </row>
    <row r="1723" spans="1:10">
      <c r="A1723" s="108" t="str">
        <f t="shared" si="51"/>
        <v/>
      </c>
      <c r="B1723" s="197" t="s">
        <v>1104</v>
      </c>
      <c r="C1723" s="198"/>
      <c r="D1723" s="199"/>
      <c r="E1723" s="199"/>
      <c r="F1723" s="199"/>
      <c r="G1723" s="199"/>
      <c r="H1723" s="20"/>
      <c r="I1723" s="20"/>
      <c r="J1723" s="20"/>
    </row>
    <row r="1724" spans="1:10" ht="63.75">
      <c r="A1724" s="108" t="str">
        <f t="shared" si="51"/>
        <v>621070201 2 01 R5200000</v>
      </c>
      <c r="B1724" s="342" t="s">
        <v>1367</v>
      </c>
      <c r="C1724" s="322" t="s">
        <v>412</v>
      </c>
      <c r="D1724" s="319" t="s">
        <v>229</v>
      </c>
      <c r="E1724" s="319" t="s">
        <v>62</v>
      </c>
      <c r="F1724" s="319" t="s">
        <v>1078</v>
      </c>
      <c r="G1724" s="319" t="s">
        <v>9</v>
      </c>
      <c r="H1724" s="320">
        <v>9.06</v>
      </c>
      <c r="I1724" s="320">
        <v>0</v>
      </c>
      <c r="J1724" s="320">
        <v>0</v>
      </c>
    </row>
    <row r="1725" spans="1:10">
      <c r="A1725" s="108" t="str">
        <f t="shared" si="51"/>
        <v>621070201 2 01 R5200410</v>
      </c>
      <c r="B1725" s="231" t="s">
        <v>937</v>
      </c>
      <c r="C1725" s="232" t="s">
        <v>412</v>
      </c>
      <c r="D1725" s="233" t="s">
        <v>229</v>
      </c>
      <c r="E1725" s="233" t="s">
        <v>62</v>
      </c>
      <c r="F1725" s="233" t="s">
        <v>1078</v>
      </c>
      <c r="G1725" s="233" t="s">
        <v>838</v>
      </c>
      <c r="H1725" s="235">
        <v>9.06</v>
      </c>
      <c r="I1725" s="235">
        <v>0</v>
      </c>
      <c r="J1725" s="235">
        <v>0</v>
      </c>
    </row>
    <row r="1726" spans="1:10">
      <c r="A1726" s="108" t="str">
        <f t="shared" si="51"/>
        <v>621080000 0 00 00000000</v>
      </c>
      <c r="B1726" s="191" t="s">
        <v>569</v>
      </c>
      <c r="C1726" s="192" t="s">
        <v>412</v>
      </c>
      <c r="D1726" s="193" t="s">
        <v>238</v>
      </c>
      <c r="E1726" s="193" t="s">
        <v>7</v>
      </c>
      <c r="F1726" s="193" t="s">
        <v>8</v>
      </c>
      <c r="G1726" s="193" t="s">
        <v>9</v>
      </c>
      <c r="H1726" s="18">
        <v>3206.53</v>
      </c>
      <c r="I1726" s="18">
        <v>800</v>
      </c>
      <c r="J1726" s="18">
        <v>800</v>
      </c>
    </row>
    <row r="1727" spans="1:10">
      <c r="A1727" s="108" t="str">
        <f t="shared" si="51"/>
        <v>621080100 0 00 00000000</v>
      </c>
      <c r="B1727" s="194" t="s">
        <v>239</v>
      </c>
      <c r="C1727" s="195" t="s">
        <v>412</v>
      </c>
      <c r="D1727" s="196" t="s">
        <v>238</v>
      </c>
      <c r="E1727" s="196" t="s">
        <v>11</v>
      </c>
      <c r="F1727" s="196" t="s">
        <v>8</v>
      </c>
      <c r="G1727" s="196" t="s">
        <v>9</v>
      </c>
      <c r="H1727" s="19">
        <v>3206.53</v>
      </c>
      <c r="I1727" s="19">
        <v>800</v>
      </c>
      <c r="J1727" s="19">
        <v>800</v>
      </c>
    </row>
    <row r="1728" spans="1:10">
      <c r="A1728" s="108" t="str">
        <f t="shared" si="51"/>
        <v>621080107 0 00 00000000</v>
      </c>
      <c r="B1728" s="197" t="s">
        <v>240</v>
      </c>
      <c r="C1728" s="198" t="s">
        <v>412</v>
      </c>
      <c r="D1728" s="199" t="s">
        <v>238</v>
      </c>
      <c r="E1728" s="199" t="s">
        <v>11</v>
      </c>
      <c r="F1728" s="204" t="s">
        <v>241</v>
      </c>
      <c r="G1728" s="199" t="s">
        <v>9</v>
      </c>
      <c r="H1728" s="20">
        <v>3206.53</v>
      </c>
      <c r="I1728" s="20">
        <v>800</v>
      </c>
      <c r="J1728" s="20">
        <v>800</v>
      </c>
    </row>
    <row r="1729" spans="1:10" ht="51">
      <c r="A1729" s="108" t="str">
        <f t="shared" si="51"/>
        <v>621080107 1 00 00000000</v>
      </c>
      <c r="B1729" s="197" t="s">
        <v>384</v>
      </c>
      <c r="C1729" s="198" t="s">
        <v>412</v>
      </c>
      <c r="D1729" s="199" t="s">
        <v>238</v>
      </c>
      <c r="E1729" s="199" t="s">
        <v>11</v>
      </c>
      <c r="F1729" s="204" t="s">
        <v>243</v>
      </c>
      <c r="G1729" s="199" t="s">
        <v>9</v>
      </c>
      <c r="H1729" s="20">
        <v>3112</v>
      </c>
      <c r="I1729" s="20">
        <v>800</v>
      </c>
      <c r="J1729" s="20">
        <v>800</v>
      </c>
    </row>
    <row r="1730" spans="1:10" ht="63.75">
      <c r="A1730" s="108" t="str">
        <f t="shared" si="51"/>
        <v>621080107 1 01 00000000</v>
      </c>
      <c r="B1730" s="197" t="s">
        <v>244</v>
      </c>
      <c r="C1730" s="198" t="s">
        <v>412</v>
      </c>
      <c r="D1730" s="199" t="s">
        <v>238</v>
      </c>
      <c r="E1730" s="199" t="s">
        <v>11</v>
      </c>
      <c r="F1730" s="204" t="s">
        <v>245</v>
      </c>
      <c r="G1730" s="199" t="s">
        <v>9</v>
      </c>
      <c r="H1730" s="20">
        <v>3112</v>
      </c>
      <c r="I1730" s="20">
        <v>800</v>
      </c>
      <c r="J1730" s="20">
        <v>800</v>
      </c>
    </row>
    <row r="1731" spans="1:10" ht="25.5">
      <c r="A1731" s="108" t="str">
        <f t="shared" si="51"/>
        <v>621080107 1 01 20060000</v>
      </c>
      <c r="B1731" s="197" t="s">
        <v>246</v>
      </c>
      <c r="C1731" s="198" t="s">
        <v>412</v>
      </c>
      <c r="D1731" s="199" t="s">
        <v>238</v>
      </c>
      <c r="E1731" s="199" t="s">
        <v>11</v>
      </c>
      <c r="F1731" s="204" t="s">
        <v>247</v>
      </c>
      <c r="G1731" s="199" t="s">
        <v>9</v>
      </c>
      <c r="H1731" s="20">
        <v>3112</v>
      </c>
      <c r="I1731" s="20">
        <v>800</v>
      </c>
      <c r="J1731" s="20">
        <v>800</v>
      </c>
    </row>
    <row r="1732" spans="1:10" ht="25.5">
      <c r="A1732" s="108" t="str">
        <f t="shared" si="51"/>
        <v>621080107 1 01 20060240</v>
      </c>
      <c r="B1732" s="200" t="s">
        <v>28</v>
      </c>
      <c r="C1732" s="198" t="s">
        <v>412</v>
      </c>
      <c r="D1732" s="199" t="s">
        <v>238</v>
      </c>
      <c r="E1732" s="199" t="s">
        <v>11</v>
      </c>
      <c r="F1732" s="204" t="s">
        <v>247</v>
      </c>
      <c r="G1732" s="199" t="s">
        <v>29</v>
      </c>
      <c r="H1732" s="20">
        <v>3112</v>
      </c>
      <c r="I1732" s="20">
        <v>800</v>
      </c>
      <c r="J1732" s="20">
        <v>800</v>
      </c>
    </row>
    <row r="1733" spans="1:10">
      <c r="A1733" s="108" t="str">
        <f t="shared" si="51"/>
        <v>621080107 2 00 00000000</v>
      </c>
      <c r="B1733" s="200" t="s">
        <v>519</v>
      </c>
      <c r="C1733" s="198" t="s">
        <v>412</v>
      </c>
      <c r="D1733" s="199" t="s">
        <v>238</v>
      </c>
      <c r="E1733" s="199" t="s">
        <v>11</v>
      </c>
      <c r="F1733" s="204" t="s">
        <v>520</v>
      </c>
      <c r="G1733" s="199" t="s">
        <v>9</v>
      </c>
      <c r="H1733" s="20">
        <v>94.53</v>
      </c>
      <c r="I1733" s="20">
        <v>0</v>
      </c>
      <c r="J1733" s="20">
        <v>0</v>
      </c>
    </row>
    <row r="1734" spans="1:10" ht="38.25">
      <c r="A1734" s="108" t="str">
        <f t="shared" ref="A1734:A1797" si="52">C1734&amp;D1734&amp;E1734&amp;F1734&amp;G1734</f>
        <v>621080107 2 13 00000000</v>
      </c>
      <c r="B1734" s="197" t="s">
        <v>1259</v>
      </c>
      <c r="C1734" s="198" t="s">
        <v>412</v>
      </c>
      <c r="D1734" s="199" t="s">
        <v>238</v>
      </c>
      <c r="E1734" s="199" t="s">
        <v>11</v>
      </c>
      <c r="F1734" s="204" t="s">
        <v>1260</v>
      </c>
      <c r="G1734" s="199" t="s">
        <v>9</v>
      </c>
      <c r="H1734" s="20">
        <v>94.53</v>
      </c>
      <c r="I1734" s="20">
        <v>0</v>
      </c>
      <c r="J1734" s="20">
        <v>0</v>
      </c>
    </row>
    <row r="1735" spans="1:10" ht="63.75">
      <c r="A1735" s="108" t="str">
        <f t="shared" si="52"/>
        <v>621080107 2 13 40020000</v>
      </c>
      <c r="B1735" s="205" t="s">
        <v>1261</v>
      </c>
      <c r="C1735" s="198" t="s">
        <v>412</v>
      </c>
      <c r="D1735" s="199" t="s">
        <v>238</v>
      </c>
      <c r="E1735" s="199" t="s">
        <v>11</v>
      </c>
      <c r="F1735" s="204" t="s">
        <v>1262</v>
      </c>
      <c r="G1735" s="199" t="s">
        <v>9</v>
      </c>
      <c r="H1735" s="20">
        <v>94.53</v>
      </c>
      <c r="I1735" s="20">
        <v>0</v>
      </c>
      <c r="J1735" s="20">
        <v>0</v>
      </c>
    </row>
    <row r="1736" spans="1:10">
      <c r="A1736" s="108" t="str">
        <f t="shared" si="52"/>
        <v/>
      </c>
      <c r="B1736" s="197" t="s">
        <v>1104</v>
      </c>
      <c r="C1736" s="198"/>
      <c r="D1736" s="199"/>
      <c r="E1736" s="199"/>
      <c r="F1736" s="204"/>
      <c r="G1736" s="199"/>
      <c r="H1736" s="20"/>
      <c r="I1736" s="20"/>
      <c r="J1736" s="20"/>
    </row>
    <row r="1737" spans="1:10" ht="38.25">
      <c r="A1737" s="108" t="str">
        <f t="shared" si="52"/>
        <v>621080107 2 13 40020000</v>
      </c>
      <c r="B1737" s="318" t="s">
        <v>1368</v>
      </c>
      <c r="C1737" s="322" t="s">
        <v>412</v>
      </c>
      <c r="D1737" s="319" t="s">
        <v>238</v>
      </c>
      <c r="E1737" s="319" t="s">
        <v>11</v>
      </c>
      <c r="F1737" s="319" t="s">
        <v>1262</v>
      </c>
      <c r="G1737" s="319" t="s">
        <v>9</v>
      </c>
      <c r="H1737" s="320">
        <v>94.53</v>
      </c>
      <c r="I1737" s="320">
        <v>0</v>
      </c>
      <c r="J1737" s="320">
        <v>0</v>
      </c>
    </row>
    <row r="1738" spans="1:10">
      <c r="A1738" s="108" t="str">
        <f t="shared" si="52"/>
        <v>621080107 2 13 40020410</v>
      </c>
      <c r="B1738" s="231" t="s">
        <v>937</v>
      </c>
      <c r="C1738" s="232" t="s">
        <v>412</v>
      </c>
      <c r="D1738" s="233" t="s">
        <v>238</v>
      </c>
      <c r="E1738" s="233" t="s">
        <v>11</v>
      </c>
      <c r="F1738" s="233" t="s">
        <v>1262</v>
      </c>
      <c r="G1738" s="233" t="s">
        <v>838</v>
      </c>
      <c r="H1738" s="235">
        <v>94.53</v>
      </c>
      <c r="I1738" s="235">
        <v>0</v>
      </c>
      <c r="J1738" s="235">
        <v>0</v>
      </c>
    </row>
    <row r="1739" spans="1:10">
      <c r="A1739" s="108" t="str">
        <f t="shared" si="52"/>
        <v>621110000 0 00 00000000</v>
      </c>
      <c r="B1739" s="191" t="s">
        <v>707</v>
      </c>
      <c r="C1739" s="192" t="s">
        <v>412</v>
      </c>
      <c r="D1739" s="193" t="s">
        <v>342</v>
      </c>
      <c r="E1739" s="193" t="s">
        <v>7</v>
      </c>
      <c r="F1739" s="193" t="s">
        <v>8</v>
      </c>
      <c r="G1739" s="193" t="s">
        <v>9</v>
      </c>
      <c r="H1739" s="18">
        <v>88</v>
      </c>
      <c r="I1739" s="18">
        <v>0</v>
      </c>
      <c r="J1739" s="18">
        <v>0</v>
      </c>
    </row>
    <row r="1740" spans="1:10">
      <c r="A1740" s="108" t="str">
        <f t="shared" si="52"/>
        <v>621110200 0 00 00000000</v>
      </c>
      <c r="B1740" s="194" t="s">
        <v>712</v>
      </c>
      <c r="C1740" s="195" t="s">
        <v>412</v>
      </c>
      <c r="D1740" s="196" t="s">
        <v>342</v>
      </c>
      <c r="E1740" s="196" t="s">
        <v>62</v>
      </c>
      <c r="F1740" s="196" t="s">
        <v>8</v>
      </c>
      <c r="G1740" s="196" t="s">
        <v>9</v>
      </c>
      <c r="H1740" s="19">
        <v>88</v>
      </c>
      <c r="I1740" s="19">
        <v>0</v>
      </c>
      <c r="J1740" s="19">
        <v>0</v>
      </c>
    </row>
    <row r="1741" spans="1:10" ht="25.5">
      <c r="A1741" s="108" t="str">
        <f t="shared" si="52"/>
        <v>621110208 0 00 00000000</v>
      </c>
      <c r="B1741" s="197" t="s">
        <v>700</v>
      </c>
      <c r="C1741" s="198" t="s">
        <v>412</v>
      </c>
      <c r="D1741" s="199" t="s">
        <v>342</v>
      </c>
      <c r="E1741" s="199" t="s">
        <v>62</v>
      </c>
      <c r="F1741" s="199" t="s">
        <v>701</v>
      </c>
      <c r="G1741" s="199" t="s">
        <v>9</v>
      </c>
      <c r="H1741" s="20">
        <v>88</v>
      </c>
      <c r="I1741" s="20">
        <v>0</v>
      </c>
      <c r="J1741" s="20">
        <v>0</v>
      </c>
    </row>
    <row r="1742" spans="1:10" ht="38.25">
      <c r="A1742" s="108" t="str">
        <f t="shared" si="52"/>
        <v>621110208 1 00 00000000</v>
      </c>
      <c r="B1742" s="197" t="s">
        <v>702</v>
      </c>
      <c r="C1742" s="198" t="s">
        <v>412</v>
      </c>
      <c r="D1742" s="199" t="s">
        <v>342</v>
      </c>
      <c r="E1742" s="199" t="s">
        <v>62</v>
      </c>
      <c r="F1742" s="199" t="s">
        <v>703</v>
      </c>
      <c r="G1742" s="199" t="s">
        <v>9</v>
      </c>
      <c r="H1742" s="20">
        <v>88</v>
      </c>
      <c r="I1742" s="20">
        <v>0</v>
      </c>
      <c r="J1742" s="20">
        <v>0</v>
      </c>
    </row>
    <row r="1743" spans="1:10" ht="25.5">
      <c r="A1743" s="108" t="str">
        <f t="shared" si="52"/>
        <v>621110208 1 04 00000000</v>
      </c>
      <c r="B1743" s="205" t="s">
        <v>1080</v>
      </c>
      <c r="C1743" s="198" t="s">
        <v>412</v>
      </c>
      <c r="D1743" s="199" t="s">
        <v>342</v>
      </c>
      <c r="E1743" s="199" t="s">
        <v>62</v>
      </c>
      <c r="F1743" s="199" t="s">
        <v>1081</v>
      </c>
      <c r="G1743" s="199" t="s">
        <v>9</v>
      </c>
      <c r="H1743" s="20">
        <v>88</v>
      </c>
      <c r="I1743" s="20">
        <v>0</v>
      </c>
      <c r="J1743" s="20">
        <v>0</v>
      </c>
    </row>
    <row r="1744" spans="1:10" ht="51">
      <c r="A1744" s="108" t="str">
        <f t="shared" si="52"/>
        <v>621110208 1 04 21380000</v>
      </c>
      <c r="B1744" s="205" t="s">
        <v>1082</v>
      </c>
      <c r="C1744" s="198" t="s">
        <v>412</v>
      </c>
      <c r="D1744" s="199" t="s">
        <v>342</v>
      </c>
      <c r="E1744" s="199" t="s">
        <v>62</v>
      </c>
      <c r="F1744" s="199" t="s">
        <v>1083</v>
      </c>
      <c r="G1744" s="199" t="s">
        <v>9</v>
      </c>
      <c r="H1744" s="20">
        <v>88</v>
      </c>
      <c r="I1744" s="20">
        <v>0</v>
      </c>
      <c r="J1744" s="20">
        <v>0</v>
      </c>
    </row>
    <row r="1745" spans="1:10">
      <c r="A1745" s="108" t="str">
        <f t="shared" si="52"/>
        <v/>
      </c>
      <c r="B1745" s="197" t="s">
        <v>1104</v>
      </c>
      <c r="C1745" s="198"/>
      <c r="D1745" s="199"/>
      <c r="E1745" s="199"/>
      <c r="F1745" s="199"/>
      <c r="G1745" s="199"/>
      <c r="H1745" s="20"/>
      <c r="I1745" s="20"/>
      <c r="J1745" s="20"/>
    </row>
    <row r="1746" spans="1:10">
      <c r="A1746" s="108" t="str">
        <f t="shared" si="52"/>
        <v>621110208 1 04 21380000</v>
      </c>
      <c r="B1746" s="228" t="s">
        <v>1105</v>
      </c>
      <c r="C1746" s="222" t="s">
        <v>412</v>
      </c>
      <c r="D1746" s="223" t="s">
        <v>342</v>
      </c>
      <c r="E1746" s="223" t="s">
        <v>62</v>
      </c>
      <c r="F1746" s="223" t="s">
        <v>1083</v>
      </c>
      <c r="G1746" s="223" t="s">
        <v>9</v>
      </c>
      <c r="H1746" s="224">
        <v>88</v>
      </c>
      <c r="I1746" s="224">
        <v>0</v>
      </c>
      <c r="J1746" s="224">
        <v>0</v>
      </c>
    </row>
    <row r="1747" spans="1:10" ht="25.5">
      <c r="A1747" s="108" t="str">
        <f t="shared" si="52"/>
        <v>621110208 1 04 21380240</v>
      </c>
      <c r="B1747" s="197" t="s">
        <v>28</v>
      </c>
      <c r="C1747" s="198" t="s">
        <v>412</v>
      </c>
      <c r="D1747" s="199" t="s">
        <v>342</v>
      </c>
      <c r="E1747" s="199" t="s">
        <v>62</v>
      </c>
      <c r="F1747" s="199" t="s">
        <v>1083</v>
      </c>
      <c r="G1747" s="199" t="s">
        <v>29</v>
      </c>
      <c r="H1747" s="20">
        <v>88</v>
      </c>
      <c r="I1747" s="20">
        <v>0</v>
      </c>
      <c r="J1747" s="20">
        <v>0</v>
      </c>
    </row>
    <row r="1748" spans="1:10">
      <c r="A1748" s="108" t="str">
        <f t="shared" si="52"/>
        <v/>
      </c>
      <c r="B1748" s="197"/>
      <c r="C1748" s="198"/>
      <c r="D1748" s="199"/>
      <c r="E1748" s="199"/>
      <c r="F1748" s="199"/>
      <c r="G1748" s="199"/>
      <c r="H1748" s="20"/>
      <c r="I1748" s="20"/>
      <c r="J1748" s="20"/>
    </row>
    <row r="1749" spans="1:10" ht="25.5">
      <c r="A1749" s="108" t="str">
        <f t="shared" si="52"/>
        <v>624000000 0 00 00000000</v>
      </c>
      <c r="B1749" s="202" t="s">
        <v>938</v>
      </c>
      <c r="C1749" s="189" t="s">
        <v>939</v>
      </c>
      <c r="D1749" s="190" t="s">
        <v>7</v>
      </c>
      <c r="E1749" s="190" t="s">
        <v>7</v>
      </c>
      <c r="F1749" s="190" t="s">
        <v>8</v>
      </c>
      <c r="G1749" s="190" t="s">
        <v>9</v>
      </c>
      <c r="H1749" s="25">
        <v>80989.17</v>
      </c>
      <c r="I1749" s="25">
        <v>79015</v>
      </c>
      <c r="J1749" s="25">
        <v>79015</v>
      </c>
    </row>
    <row r="1750" spans="1:10">
      <c r="A1750" s="108" t="str">
        <f t="shared" si="52"/>
        <v>624030000 0 00 00000000</v>
      </c>
      <c r="B1750" s="191" t="s">
        <v>940</v>
      </c>
      <c r="C1750" s="192" t="s">
        <v>939</v>
      </c>
      <c r="D1750" s="193" t="s">
        <v>13</v>
      </c>
      <c r="E1750" s="193" t="s">
        <v>7</v>
      </c>
      <c r="F1750" s="193" t="s">
        <v>8</v>
      </c>
      <c r="G1750" s="193" t="s">
        <v>9</v>
      </c>
      <c r="H1750" s="18">
        <v>80989.17</v>
      </c>
      <c r="I1750" s="18">
        <v>79015</v>
      </c>
      <c r="J1750" s="18">
        <v>79015</v>
      </c>
    </row>
    <row r="1751" spans="1:10" ht="38.25">
      <c r="A1751" s="108" t="str">
        <f t="shared" si="52"/>
        <v>624030900 0 00 00000000</v>
      </c>
      <c r="B1751" s="194" t="s">
        <v>941</v>
      </c>
      <c r="C1751" s="195" t="s">
        <v>939</v>
      </c>
      <c r="D1751" s="196" t="s">
        <v>13</v>
      </c>
      <c r="E1751" s="196" t="s">
        <v>471</v>
      </c>
      <c r="F1751" s="196" t="s">
        <v>8</v>
      </c>
      <c r="G1751" s="196" t="s">
        <v>9</v>
      </c>
      <c r="H1751" s="19">
        <v>80989.17</v>
      </c>
      <c r="I1751" s="19">
        <v>79015</v>
      </c>
      <c r="J1751" s="19">
        <v>79015</v>
      </c>
    </row>
    <row r="1752" spans="1:10" ht="38.25">
      <c r="A1752" s="108" t="str">
        <f t="shared" si="52"/>
        <v>624030915 0 00 00000000</v>
      </c>
      <c r="B1752" s="251" t="s">
        <v>146</v>
      </c>
      <c r="C1752" s="198" t="s">
        <v>939</v>
      </c>
      <c r="D1752" s="199" t="s">
        <v>13</v>
      </c>
      <c r="E1752" s="199" t="s">
        <v>471</v>
      </c>
      <c r="F1752" s="199" t="s">
        <v>147</v>
      </c>
      <c r="G1752" s="199" t="s">
        <v>9</v>
      </c>
      <c r="H1752" s="20">
        <v>22.95</v>
      </c>
      <c r="I1752" s="20">
        <v>22.95</v>
      </c>
      <c r="J1752" s="20">
        <v>22.95</v>
      </c>
    </row>
    <row r="1753" spans="1:10" ht="25.5">
      <c r="A1753" s="108" t="str">
        <f t="shared" si="52"/>
        <v>624030915 3 00 00000000</v>
      </c>
      <c r="B1753" s="197" t="s">
        <v>168</v>
      </c>
      <c r="C1753" s="198" t="s">
        <v>939</v>
      </c>
      <c r="D1753" s="199" t="s">
        <v>13</v>
      </c>
      <c r="E1753" s="199" t="s">
        <v>471</v>
      </c>
      <c r="F1753" s="199" t="s">
        <v>169</v>
      </c>
      <c r="G1753" s="199" t="s">
        <v>9</v>
      </c>
      <c r="H1753" s="20">
        <v>22.95</v>
      </c>
      <c r="I1753" s="20">
        <v>22.95</v>
      </c>
      <c r="J1753" s="20">
        <v>22.95</v>
      </c>
    </row>
    <row r="1754" spans="1:10" ht="25.5">
      <c r="A1754" s="108" t="str">
        <f t="shared" si="52"/>
        <v>624030915 3 02 00000000</v>
      </c>
      <c r="B1754" s="251" t="s">
        <v>942</v>
      </c>
      <c r="C1754" s="198" t="s">
        <v>939</v>
      </c>
      <c r="D1754" s="199" t="s">
        <v>13</v>
      </c>
      <c r="E1754" s="199" t="s">
        <v>471</v>
      </c>
      <c r="F1754" s="199" t="s">
        <v>943</v>
      </c>
      <c r="G1754" s="199" t="s">
        <v>9</v>
      </c>
      <c r="H1754" s="20">
        <v>22.95</v>
      </c>
      <c r="I1754" s="20">
        <v>22.95</v>
      </c>
      <c r="J1754" s="20">
        <v>22.95</v>
      </c>
    </row>
    <row r="1755" spans="1:10" ht="25.5">
      <c r="A1755" s="108" t="str">
        <f t="shared" si="52"/>
        <v>624030915 3 02 21290000</v>
      </c>
      <c r="B1755" s="251" t="s">
        <v>944</v>
      </c>
      <c r="C1755" s="198" t="s">
        <v>939</v>
      </c>
      <c r="D1755" s="199" t="s">
        <v>13</v>
      </c>
      <c r="E1755" s="199" t="s">
        <v>471</v>
      </c>
      <c r="F1755" s="199" t="s">
        <v>945</v>
      </c>
      <c r="G1755" s="199" t="s">
        <v>9</v>
      </c>
      <c r="H1755" s="20">
        <v>22.95</v>
      </c>
      <c r="I1755" s="20">
        <v>22.95</v>
      </c>
      <c r="J1755" s="20">
        <v>22.95</v>
      </c>
    </row>
    <row r="1756" spans="1:10" ht="25.5">
      <c r="A1756" s="108" t="str">
        <f t="shared" si="52"/>
        <v>624030915 3 02 21290240</v>
      </c>
      <c r="B1756" s="251" t="s">
        <v>28</v>
      </c>
      <c r="C1756" s="198" t="s">
        <v>939</v>
      </c>
      <c r="D1756" s="199" t="s">
        <v>13</v>
      </c>
      <c r="E1756" s="199" t="s">
        <v>471</v>
      </c>
      <c r="F1756" s="199" t="s">
        <v>945</v>
      </c>
      <c r="G1756" s="199" t="s">
        <v>29</v>
      </c>
      <c r="H1756" s="20">
        <v>22.95</v>
      </c>
      <c r="I1756" s="20">
        <v>22.95</v>
      </c>
      <c r="J1756" s="20">
        <v>22.95</v>
      </c>
    </row>
    <row r="1757" spans="1:10" ht="63.75">
      <c r="A1757" s="108" t="str">
        <f t="shared" si="52"/>
        <v>624030916 0 00 00000000</v>
      </c>
      <c r="B1757" s="197" t="s">
        <v>420</v>
      </c>
      <c r="C1757" s="198" t="s">
        <v>939</v>
      </c>
      <c r="D1757" s="199" t="s">
        <v>13</v>
      </c>
      <c r="E1757" s="199" t="s">
        <v>471</v>
      </c>
      <c r="F1757" s="199" t="s">
        <v>421</v>
      </c>
      <c r="G1757" s="199" t="s">
        <v>9</v>
      </c>
      <c r="H1757" s="20">
        <v>65161.380000000005</v>
      </c>
      <c r="I1757" s="20">
        <v>63153.26</v>
      </c>
      <c r="J1757" s="20">
        <v>63119.3</v>
      </c>
    </row>
    <row r="1758" spans="1:10" ht="38.25">
      <c r="A1758" s="108" t="str">
        <f t="shared" si="52"/>
        <v>624030916 1 00 00000000</v>
      </c>
      <c r="B1758" s="197" t="s">
        <v>946</v>
      </c>
      <c r="C1758" s="198" t="s">
        <v>939</v>
      </c>
      <c r="D1758" s="199" t="s">
        <v>13</v>
      </c>
      <c r="E1758" s="199" t="s">
        <v>471</v>
      </c>
      <c r="F1758" s="199" t="s">
        <v>947</v>
      </c>
      <c r="G1758" s="199" t="s">
        <v>9</v>
      </c>
      <c r="H1758" s="20">
        <v>35425.64</v>
      </c>
      <c r="I1758" s="20">
        <v>35425.64</v>
      </c>
      <c r="J1758" s="20">
        <v>35425.64</v>
      </c>
    </row>
    <row r="1759" spans="1:10" ht="38.25">
      <c r="A1759" s="108" t="str">
        <f t="shared" si="52"/>
        <v>624030916 1 01 00000000</v>
      </c>
      <c r="B1759" s="197" t="s">
        <v>948</v>
      </c>
      <c r="C1759" s="198" t="s">
        <v>939</v>
      </c>
      <c r="D1759" s="199" t="s">
        <v>13</v>
      </c>
      <c r="E1759" s="199" t="s">
        <v>471</v>
      </c>
      <c r="F1759" s="199" t="s">
        <v>949</v>
      </c>
      <c r="G1759" s="199" t="s">
        <v>9</v>
      </c>
      <c r="H1759" s="20">
        <v>100</v>
      </c>
      <c r="I1759" s="20">
        <v>100</v>
      </c>
      <c r="J1759" s="20">
        <v>100</v>
      </c>
    </row>
    <row r="1760" spans="1:10" ht="51">
      <c r="A1760" s="108" t="str">
        <f t="shared" si="52"/>
        <v>624030916 1 01 20120000</v>
      </c>
      <c r="B1760" s="251" t="s">
        <v>950</v>
      </c>
      <c r="C1760" s="198" t="s">
        <v>939</v>
      </c>
      <c r="D1760" s="199" t="s">
        <v>13</v>
      </c>
      <c r="E1760" s="199" t="s">
        <v>471</v>
      </c>
      <c r="F1760" s="199" t="s">
        <v>951</v>
      </c>
      <c r="G1760" s="199" t="s">
        <v>9</v>
      </c>
      <c r="H1760" s="20">
        <v>100</v>
      </c>
      <c r="I1760" s="20">
        <v>100</v>
      </c>
      <c r="J1760" s="20">
        <v>100</v>
      </c>
    </row>
    <row r="1761" spans="1:10" ht="25.5">
      <c r="A1761" s="108" t="str">
        <f t="shared" si="52"/>
        <v>624030916 1 01 20120240</v>
      </c>
      <c r="B1761" s="197" t="s">
        <v>28</v>
      </c>
      <c r="C1761" s="198" t="s">
        <v>939</v>
      </c>
      <c r="D1761" s="199" t="s">
        <v>13</v>
      </c>
      <c r="E1761" s="199" t="s">
        <v>471</v>
      </c>
      <c r="F1761" s="199" t="s">
        <v>951</v>
      </c>
      <c r="G1761" s="199" t="s">
        <v>29</v>
      </c>
      <c r="H1761" s="20">
        <v>100</v>
      </c>
      <c r="I1761" s="20">
        <v>100</v>
      </c>
      <c r="J1761" s="20">
        <v>100</v>
      </c>
    </row>
    <row r="1762" spans="1:10" ht="25.5">
      <c r="A1762" s="108" t="str">
        <f t="shared" si="52"/>
        <v>624030916 1 02 00000000</v>
      </c>
      <c r="B1762" s="251" t="s">
        <v>952</v>
      </c>
      <c r="C1762" s="198" t="s">
        <v>939</v>
      </c>
      <c r="D1762" s="199" t="s">
        <v>13</v>
      </c>
      <c r="E1762" s="199" t="s">
        <v>471</v>
      </c>
      <c r="F1762" s="199" t="s">
        <v>953</v>
      </c>
      <c r="G1762" s="199" t="s">
        <v>9</v>
      </c>
      <c r="H1762" s="20">
        <v>34895.64</v>
      </c>
      <c r="I1762" s="20">
        <v>34895.64</v>
      </c>
      <c r="J1762" s="20">
        <v>34895.64</v>
      </c>
    </row>
    <row r="1763" spans="1:10" ht="25.5">
      <c r="A1763" s="108" t="str">
        <f t="shared" si="52"/>
        <v>624030916 1 02 11010000</v>
      </c>
      <c r="B1763" s="251" t="s">
        <v>136</v>
      </c>
      <c r="C1763" s="198" t="s">
        <v>939</v>
      </c>
      <c r="D1763" s="199" t="s">
        <v>13</v>
      </c>
      <c r="E1763" s="199" t="s">
        <v>471</v>
      </c>
      <c r="F1763" s="199" t="s">
        <v>954</v>
      </c>
      <c r="G1763" s="199" t="s">
        <v>9</v>
      </c>
      <c r="H1763" s="20">
        <v>33898.07</v>
      </c>
      <c r="I1763" s="20">
        <v>34895.64</v>
      </c>
      <c r="J1763" s="20">
        <v>34895.64</v>
      </c>
    </row>
    <row r="1764" spans="1:10">
      <c r="A1764" s="108" t="str">
        <f t="shared" si="52"/>
        <v>624030916 1 02 11010110</v>
      </c>
      <c r="B1764" s="197" t="s">
        <v>138</v>
      </c>
      <c r="C1764" s="198" t="s">
        <v>939</v>
      </c>
      <c r="D1764" s="199" t="s">
        <v>13</v>
      </c>
      <c r="E1764" s="199" t="s">
        <v>471</v>
      </c>
      <c r="F1764" s="199" t="s">
        <v>954</v>
      </c>
      <c r="G1764" s="199" t="s">
        <v>139</v>
      </c>
      <c r="H1764" s="20">
        <v>28692.85</v>
      </c>
      <c r="I1764" s="20">
        <v>29690.42</v>
      </c>
      <c r="J1764" s="20">
        <v>29690.42</v>
      </c>
    </row>
    <row r="1765" spans="1:10" ht="25.5">
      <c r="A1765" s="108" t="str">
        <f t="shared" si="52"/>
        <v>624030916 1 02 11010240</v>
      </c>
      <c r="B1765" s="251" t="s">
        <v>28</v>
      </c>
      <c r="C1765" s="198" t="s">
        <v>939</v>
      </c>
      <c r="D1765" s="199" t="s">
        <v>13</v>
      </c>
      <c r="E1765" s="199" t="s">
        <v>471</v>
      </c>
      <c r="F1765" s="199" t="s">
        <v>954</v>
      </c>
      <c r="G1765" s="199" t="s">
        <v>29</v>
      </c>
      <c r="H1765" s="20">
        <v>4334.22</v>
      </c>
      <c r="I1765" s="20">
        <v>4264.22</v>
      </c>
      <c r="J1765" s="20">
        <v>4264.22</v>
      </c>
    </row>
    <row r="1766" spans="1:10">
      <c r="A1766" s="108" t="str">
        <f t="shared" si="52"/>
        <v>624030916 1 02 11010850</v>
      </c>
      <c r="B1766" s="251" t="s">
        <v>32</v>
      </c>
      <c r="C1766" s="198" t="s">
        <v>939</v>
      </c>
      <c r="D1766" s="199" t="s">
        <v>13</v>
      </c>
      <c r="E1766" s="199" t="s">
        <v>471</v>
      </c>
      <c r="F1766" s="199" t="s">
        <v>954</v>
      </c>
      <c r="G1766" s="199" t="s">
        <v>33</v>
      </c>
      <c r="H1766" s="20">
        <v>871</v>
      </c>
      <c r="I1766" s="20">
        <v>941</v>
      </c>
      <c r="J1766" s="20">
        <v>941</v>
      </c>
    </row>
    <row r="1767" spans="1:10" ht="191.25">
      <c r="A1767" s="108" t="str">
        <f t="shared" si="52"/>
        <v>624030916 1 02 77460000</v>
      </c>
      <c r="B1767" s="197" t="s">
        <v>1263</v>
      </c>
      <c r="C1767" s="198" t="s">
        <v>939</v>
      </c>
      <c r="D1767" s="199" t="s">
        <v>13</v>
      </c>
      <c r="E1767" s="199" t="s">
        <v>471</v>
      </c>
      <c r="F1767" s="199" t="s">
        <v>1369</v>
      </c>
      <c r="G1767" s="199" t="s">
        <v>9</v>
      </c>
      <c r="H1767" s="20">
        <v>997.57</v>
      </c>
      <c r="I1767" s="20">
        <v>0</v>
      </c>
      <c r="J1767" s="20">
        <v>0</v>
      </c>
    </row>
    <row r="1768" spans="1:10">
      <c r="A1768" s="108" t="str">
        <f t="shared" si="52"/>
        <v>624030916 1 02 77460110</v>
      </c>
      <c r="B1768" s="251" t="s">
        <v>138</v>
      </c>
      <c r="C1768" s="198" t="s">
        <v>939</v>
      </c>
      <c r="D1768" s="199" t="s">
        <v>13</v>
      </c>
      <c r="E1768" s="199" t="s">
        <v>471</v>
      </c>
      <c r="F1768" s="199" t="s">
        <v>1369</v>
      </c>
      <c r="G1768" s="199" t="s">
        <v>139</v>
      </c>
      <c r="H1768" s="20">
        <v>997.57</v>
      </c>
      <c r="I1768" s="20">
        <v>0</v>
      </c>
      <c r="J1768" s="20">
        <v>0</v>
      </c>
    </row>
    <row r="1769" spans="1:10" ht="25.5">
      <c r="A1769" s="108" t="str">
        <f t="shared" si="52"/>
        <v>624030916 1 03 00000000</v>
      </c>
      <c r="B1769" s="251" t="s">
        <v>942</v>
      </c>
      <c r="C1769" s="198" t="s">
        <v>939</v>
      </c>
      <c r="D1769" s="199" t="s">
        <v>13</v>
      </c>
      <c r="E1769" s="199" t="s">
        <v>471</v>
      </c>
      <c r="F1769" s="199" t="s">
        <v>955</v>
      </c>
      <c r="G1769" s="199" t="s">
        <v>9</v>
      </c>
      <c r="H1769" s="20">
        <v>430</v>
      </c>
      <c r="I1769" s="20">
        <v>430</v>
      </c>
      <c r="J1769" s="20">
        <v>430</v>
      </c>
    </row>
    <row r="1770" spans="1:10" ht="51">
      <c r="A1770" s="108" t="str">
        <f t="shared" si="52"/>
        <v>624030916 1 03 20120000</v>
      </c>
      <c r="B1770" s="197" t="s">
        <v>950</v>
      </c>
      <c r="C1770" s="198" t="s">
        <v>939</v>
      </c>
      <c r="D1770" s="199" t="s">
        <v>13</v>
      </c>
      <c r="E1770" s="199" t="s">
        <v>471</v>
      </c>
      <c r="F1770" s="199" t="s">
        <v>956</v>
      </c>
      <c r="G1770" s="199" t="s">
        <v>9</v>
      </c>
      <c r="H1770" s="20">
        <v>430</v>
      </c>
      <c r="I1770" s="20">
        <v>430</v>
      </c>
      <c r="J1770" s="20">
        <v>430</v>
      </c>
    </row>
    <row r="1771" spans="1:10" ht="25.5">
      <c r="A1771" s="108" t="str">
        <f t="shared" si="52"/>
        <v>624030916 1 03 20120240</v>
      </c>
      <c r="B1771" s="251" t="s">
        <v>28</v>
      </c>
      <c r="C1771" s="198" t="s">
        <v>939</v>
      </c>
      <c r="D1771" s="199" t="s">
        <v>13</v>
      </c>
      <c r="E1771" s="199" t="s">
        <v>471</v>
      </c>
      <c r="F1771" s="199" t="s">
        <v>956</v>
      </c>
      <c r="G1771" s="199" t="s">
        <v>29</v>
      </c>
      <c r="H1771" s="20">
        <v>430</v>
      </c>
      <c r="I1771" s="20">
        <v>430</v>
      </c>
      <c r="J1771" s="20">
        <v>430</v>
      </c>
    </row>
    <row r="1772" spans="1:10" ht="25.5">
      <c r="A1772" s="108" t="str">
        <f t="shared" si="52"/>
        <v>624030916 2 00 00000000</v>
      </c>
      <c r="B1772" s="197" t="s">
        <v>422</v>
      </c>
      <c r="C1772" s="198" t="s">
        <v>939</v>
      </c>
      <c r="D1772" s="199" t="s">
        <v>13</v>
      </c>
      <c r="E1772" s="199" t="s">
        <v>471</v>
      </c>
      <c r="F1772" s="199" t="s">
        <v>423</v>
      </c>
      <c r="G1772" s="199" t="s">
        <v>9</v>
      </c>
      <c r="H1772" s="20">
        <v>535</v>
      </c>
      <c r="I1772" s="20">
        <v>535</v>
      </c>
      <c r="J1772" s="20">
        <v>535</v>
      </c>
    </row>
    <row r="1773" spans="1:10" ht="25.5">
      <c r="A1773" s="108" t="str">
        <f t="shared" si="52"/>
        <v>624030916 2 01 00000000</v>
      </c>
      <c r="B1773" s="251" t="s">
        <v>957</v>
      </c>
      <c r="C1773" s="198" t="s">
        <v>939</v>
      </c>
      <c r="D1773" s="199" t="s">
        <v>13</v>
      </c>
      <c r="E1773" s="199" t="s">
        <v>471</v>
      </c>
      <c r="F1773" s="199" t="s">
        <v>958</v>
      </c>
      <c r="G1773" s="199" t="s">
        <v>9</v>
      </c>
      <c r="H1773" s="20">
        <v>535</v>
      </c>
      <c r="I1773" s="20">
        <v>535</v>
      </c>
      <c r="J1773" s="20">
        <v>535</v>
      </c>
    </row>
    <row r="1774" spans="1:10" ht="25.5">
      <c r="A1774" s="108" t="str">
        <f t="shared" si="52"/>
        <v>624030916 2 01 20540000</v>
      </c>
      <c r="B1774" s="251" t="s">
        <v>959</v>
      </c>
      <c r="C1774" s="198" t="s">
        <v>939</v>
      </c>
      <c r="D1774" s="199" t="s">
        <v>13</v>
      </c>
      <c r="E1774" s="199" t="s">
        <v>471</v>
      </c>
      <c r="F1774" s="199" t="s">
        <v>960</v>
      </c>
      <c r="G1774" s="199" t="s">
        <v>9</v>
      </c>
      <c r="H1774" s="20">
        <v>535</v>
      </c>
      <c r="I1774" s="20">
        <v>535</v>
      </c>
      <c r="J1774" s="20">
        <v>535</v>
      </c>
    </row>
    <row r="1775" spans="1:10" ht="25.5">
      <c r="A1775" s="108" t="str">
        <f t="shared" si="52"/>
        <v>624030916 2 01 20540240</v>
      </c>
      <c r="B1775" s="197" t="s">
        <v>28</v>
      </c>
      <c r="C1775" s="198" t="s">
        <v>939</v>
      </c>
      <c r="D1775" s="199" t="s">
        <v>13</v>
      </c>
      <c r="E1775" s="199" t="s">
        <v>471</v>
      </c>
      <c r="F1775" s="199" t="s">
        <v>960</v>
      </c>
      <c r="G1775" s="199" t="s">
        <v>29</v>
      </c>
      <c r="H1775" s="20">
        <v>535</v>
      </c>
      <c r="I1775" s="20">
        <v>535</v>
      </c>
      <c r="J1775" s="20">
        <v>535</v>
      </c>
    </row>
    <row r="1776" spans="1:10" ht="38.25">
      <c r="A1776" s="108" t="str">
        <f t="shared" si="52"/>
        <v>624030916 2 01 20540810</v>
      </c>
      <c r="B1776" s="282" t="s">
        <v>203</v>
      </c>
      <c r="C1776" s="209" t="s">
        <v>939</v>
      </c>
      <c r="D1776" s="236" t="s">
        <v>13</v>
      </c>
      <c r="E1776" s="236" t="s">
        <v>471</v>
      </c>
      <c r="F1776" s="236" t="s">
        <v>960</v>
      </c>
      <c r="G1776" s="236" t="s">
        <v>204</v>
      </c>
      <c r="H1776" s="218">
        <v>0</v>
      </c>
      <c r="I1776" s="218">
        <v>0</v>
      </c>
      <c r="J1776" s="218">
        <v>0</v>
      </c>
    </row>
    <row r="1777" spans="1:10" ht="25.5">
      <c r="A1777" s="108" t="str">
        <f t="shared" si="52"/>
        <v>624030916 3 00 00000000</v>
      </c>
      <c r="B1777" s="197" t="s">
        <v>961</v>
      </c>
      <c r="C1777" s="198" t="s">
        <v>939</v>
      </c>
      <c r="D1777" s="199" t="s">
        <v>13</v>
      </c>
      <c r="E1777" s="199" t="s">
        <v>471</v>
      </c>
      <c r="F1777" s="199" t="s">
        <v>962</v>
      </c>
      <c r="G1777" s="199" t="s">
        <v>9</v>
      </c>
      <c r="H1777" s="20">
        <v>29200.74</v>
      </c>
      <c r="I1777" s="20">
        <v>27192.620000000003</v>
      </c>
      <c r="J1777" s="20">
        <v>27158.660000000003</v>
      </c>
    </row>
    <row r="1778" spans="1:10" ht="38.25">
      <c r="A1778" s="108" t="str">
        <f t="shared" si="52"/>
        <v>624030916 3 01 00000000</v>
      </c>
      <c r="B1778" s="197" t="s">
        <v>963</v>
      </c>
      <c r="C1778" s="198" t="s">
        <v>939</v>
      </c>
      <c r="D1778" s="199" t="s">
        <v>13</v>
      </c>
      <c r="E1778" s="199" t="s">
        <v>471</v>
      </c>
      <c r="F1778" s="199" t="s">
        <v>964</v>
      </c>
      <c r="G1778" s="199" t="s">
        <v>9</v>
      </c>
      <c r="H1778" s="20">
        <v>23533.93</v>
      </c>
      <c r="I1778" s="20">
        <v>21525.81</v>
      </c>
      <c r="J1778" s="20">
        <v>21491.850000000002</v>
      </c>
    </row>
    <row r="1779" spans="1:10" ht="25.5">
      <c r="A1779" s="108" t="str">
        <f t="shared" si="52"/>
        <v>624030916 3 01 11010000</v>
      </c>
      <c r="B1779" s="251" t="s">
        <v>136</v>
      </c>
      <c r="C1779" s="198" t="s">
        <v>939</v>
      </c>
      <c r="D1779" s="199" t="s">
        <v>13</v>
      </c>
      <c r="E1779" s="199" t="s">
        <v>471</v>
      </c>
      <c r="F1779" s="199" t="s">
        <v>965</v>
      </c>
      <c r="G1779" s="199" t="s">
        <v>9</v>
      </c>
      <c r="H1779" s="20">
        <v>22864.02</v>
      </c>
      <c r="I1779" s="20">
        <v>21525.81</v>
      </c>
      <c r="J1779" s="20">
        <v>21491.850000000002</v>
      </c>
    </row>
    <row r="1780" spans="1:10">
      <c r="A1780" s="108" t="str">
        <f t="shared" si="52"/>
        <v>624030916 3 01 11010110</v>
      </c>
      <c r="B1780" s="251" t="s">
        <v>138</v>
      </c>
      <c r="C1780" s="198" t="s">
        <v>939</v>
      </c>
      <c r="D1780" s="199" t="s">
        <v>13</v>
      </c>
      <c r="E1780" s="199" t="s">
        <v>471</v>
      </c>
      <c r="F1780" s="199" t="s">
        <v>965</v>
      </c>
      <c r="G1780" s="199" t="s">
        <v>139</v>
      </c>
      <c r="H1780" s="20">
        <v>20029.599999999999</v>
      </c>
      <c r="I1780" s="20">
        <v>19776.88</v>
      </c>
      <c r="J1780" s="20">
        <v>19776.88</v>
      </c>
    </row>
    <row r="1781" spans="1:10" ht="25.5">
      <c r="A1781" s="108" t="str">
        <f t="shared" si="52"/>
        <v>624030916 3 01 11010240</v>
      </c>
      <c r="B1781" s="197" t="s">
        <v>28</v>
      </c>
      <c r="C1781" s="198" t="s">
        <v>939</v>
      </c>
      <c r="D1781" s="199" t="s">
        <v>13</v>
      </c>
      <c r="E1781" s="199" t="s">
        <v>471</v>
      </c>
      <c r="F1781" s="199" t="s">
        <v>965</v>
      </c>
      <c r="G1781" s="199" t="s">
        <v>29</v>
      </c>
      <c r="H1781" s="20">
        <v>2389.6999999999998</v>
      </c>
      <c r="I1781" s="20">
        <v>1338.16</v>
      </c>
      <c r="J1781" s="20">
        <v>1338.16</v>
      </c>
    </row>
    <row r="1782" spans="1:10">
      <c r="A1782" s="108" t="str">
        <f t="shared" si="52"/>
        <v>624030916 3 01 11010850</v>
      </c>
      <c r="B1782" s="251" t="s">
        <v>32</v>
      </c>
      <c r="C1782" s="198" t="s">
        <v>939</v>
      </c>
      <c r="D1782" s="199" t="s">
        <v>13</v>
      </c>
      <c r="E1782" s="199" t="s">
        <v>471</v>
      </c>
      <c r="F1782" s="199" t="s">
        <v>965</v>
      </c>
      <c r="G1782" s="199" t="s">
        <v>33</v>
      </c>
      <c r="H1782" s="20">
        <v>444.72</v>
      </c>
      <c r="I1782" s="20">
        <v>410.77</v>
      </c>
      <c r="J1782" s="20">
        <v>376.81</v>
      </c>
    </row>
    <row r="1783" spans="1:10" ht="191.25">
      <c r="A1783" s="108" t="str">
        <f t="shared" si="52"/>
        <v>624030916 3 01 77460000</v>
      </c>
      <c r="B1783" s="197" t="s">
        <v>1263</v>
      </c>
      <c r="C1783" s="198" t="s">
        <v>939</v>
      </c>
      <c r="D1783" s="199" t="s">
        <v>13</v>
      </c>
      <c r="E1783" s="199" t="s">
        <v>471</v>
      </c>
      <c r="F1783" s="199" t="s">
        <v>1370</v>
      </c>
      <c r="G1783" s="199" t="s">
        <v>9</v>
      </c>
      <c r="H1783" s="20">
        <v>669.91</v>
      </c>
      <c r="I1783" s="20">
        <v>0</v>
      </c>
      <c r="J1783" s="20">
        <v>0</v>
      </c>
    </row>
    <row r="1784" spans="1:10">
      <c r="A1784" s="108" t="str">
        <f t="shared" si="52"/>
        <v>624030916 3 01 77460110</v>
      </c>
      <c r="B1784" s="251" t="s">
        <v>138</v>
      </c>
      <c r="C1784" s="198" t="s">
        <v>939</v>
      </c>
      <c r="D1784" s="199" t="s">
        <v>13</v>
      </c>
      <c r="E1784" s="199" t="s">
        <v>471</v>
      </c>
      <c r="F1784" s="199" t="s">
        <v>1370</v>
      </c>
      <c r="G1784" s="199" t="s">
        <v>139</v>
      </c>
      <c r="H1784" s="20">
        <v>669.91</v>
      </c>
      <c r="I1784" s="20">
        <v>0</v>
      </c>
      <c r="J1784" s="20">
        <v>0</v>
      </c>
    </row>
    <row r="1785" spans="1:10" ht="63.75">
      <c r="A1785" s="108" t="str">
        <f t="shared" si="52"/>
        <v>624030916 3 02 00000000</v>
      </c>
      <c r="B1785" s="251" t="s">
        <v>966</v>
      </c>
      <c r="C1785" s="198" t="s">
        <v>939</v>
      </c>
      <c r="D1785" s="199" t="s">
        <v>13</v>
      </c>
      <c r="E1785" s="199" t="s">
        <v>471</v>
      </c>
      <c r="F1785" s="199" t="s">
        <v>967</v>
      </c>
      <c r="G1785" s="199" t="s">
        <v>9</v>
      </c>
      <c r="H1785" s="20">
        <v>2201.81</v>
      </c>
      <c r="I1785" s="20">
        <v>2201.81</v>
      </c>
      <c r="J1785" s="20">
        <v>2201.81</v>
      </c>
    </row>
    <row r="1786" spans="1:10" ht="51">
      <c r="A1786" s="108" t="str">
        <f t="shared" si="52"/>
        <v>624030916 3 02 20690000</v>
      </c>
      <c r="B1786" s="251" t="s">
        <v>968</v>
      </c>
      <c r="C1786" s="198" t="s">
        <v>939</v>
      </c>
      <c r="D1786" s="199" t="s">
        <v>13</v>
      </c>
      <c r="E1786" s="199" t="s">
        <v>471</v>
      </c>
      <c r="F1786" s="199" t="s">
        <v>969</v>
      </c>
      <c r="G1786" s="199" t="s">
        <v>9</v>
      </c>
      <c r="H1786" s="20">
        <v>2201.81</v>
      </c>
      <c r="I1786" s="20">
        <v>2201.81</v>
      </c>
      <c r="J1786" s="20">
        <v>2201.81</v>
      </c>
    </row>
    <row r="1787" spans="1:10" ht="25.5">
      <c r="A1787" s="108" t="str">
        <f t="shared" si="52"/>
        <v>624030916 3 02 20690240</v>
      </c>
      <c r="B1787" s="197" t="s">
        <v>28</v>
      </c>
      <c r="C1787" s="198" t="s">
        <v>939</v>
      </c>
      <c r="D1787" s="199" t="s">
        <v>13</v>
      </c>
      <c r="E1787" s="199" t="s">
        <v>471</v>
      </c>
      <c r="F1787" s="199" t="s">
        <v>969</v>
      </c>
      <c r="G1787" s="199" t="s">
        <v>29</v>
      </c>
      <c r="H1787" s="20">
        <v>2201.81</v>
      </c>
      <c r="I1787" s="20">
        <v>2201.81</v>
      </c>
      <c r="J1787" s="20">
        <v>2201.81</v>
      </c>
    </row>
    <row r="1788" spans="1:10" ht="63.75">
      <c r="A1788" s="108" t="str">
        <f t="shared" si="52"/>
        <v>624030916 3 03 00000000</v>
      </c>
      <c r="B1788" s="251" t="s">
        <v>970</v>
      </c>
      <c r="C1788" s="198" t="s">
        <v>939</v>
      </c>
      <c r="D1788" s="199" t="s">
        <v>13</v>
      </c>
      <c r="E1788" s="199" t="s">
        <v>471</v>
      </c>
      <c r="F1788" s="199" t="s">
        <v>971</v>
      </c>
      <c r="G1788" s="199" t="s">
        <v>9</v>
      </c>
      <c r="H1788" s="20">
        <v>2700</v>
      </c>
      <c r="I1788" s="20">
        <v>2700</v>
      </c>
      <c r="J1788" s="20">
        <v>2700</v>
      </c>
    </row>
    <row r="1789" spans="1:10" ht="25.5">
      <c r="A1789" s="108" t="str">
        <f t="shared" si="52"/>
        <v>624030916 3 03 20350000</v>
      </c>
      <c r="B1789" s="251" t="s">
        <v>152</v>
      </c>
      <c r="C1789" s="198" t="s">
        <v>939</v>
      </c>
      <c r="D1789" s="199" t="s">
        <v>13</v>
      </c>
      <c r="E1789" s="199" t="s">
        <v>471</v>
      </c>
      <c r="F1789" s="199" t="s">
        <v>972</v>
      </c>
      <c r="G1789" s="199" t="s">
        <v>9</v>
      </c>
      <c r="H1789" s="20">
        <v>2700</v>
      </c>
      <c r="I1789" s="20">
        <v>2700</v>
      </c>
      <c r="J1789" s="20">
        <v>2700</v>
      </c>
    </row>
    <row r="1790" spans="1:10" ht="25.5">
      <c r="A1790" s="108" t="str">
        <f t="shared" si="52"/>
        <v>624030916 3 03 20350240</v>
      </c>
      <c r="B1790" s="251" t="s">
        <v>28</v>
      </c>
      <c r="C1790" s="198" t="s">
        <v>939</v>
      </c>
      <c r="D1790" s="199" t="s">
        <v>13</v>
      </c>
      <c r="E1790" s="199" t="s">
        <v>471</v>
      </c>
      <c r="F1790" s="199" t="s">
        <v>972</v>
      </c>
      <c r="G1790" s="199" t="s">
        <v>29</v>
      </c>
      <c r="H1790" s="20">
        <v>2700</v>
      </c>
      <c r="I1790" s="20">
        <v>2700</v>
      </c>
      <c r="J1790" s="20">
        <v>2700</v>
      </c>
    </row>
    <row r="1791" spans="1:10" ht="63.75">
      <c r="A1791" s="108" t="str">
        <f t="shared" si="52"/>
        <v>624030916 3 04 00000000</v>
      </c>
      <c r="B1791" s="251" t="s">
        <v>973</v>
      </c>
      <c r="C1791" s="198" t="s">
        <v>939</v>
      </c>
      <c r="D1791" s="199" t="s">
        <v>13</v>
      </c>
      <c r="E1791" s="199" t="s">
        <v>471</v>
      </c>
      <c r="F1791" s="199" t="s">
        <v>974</v>
      </c>
      <c r="G1791" s="199" t="s">
        <v>9</v>
      </c>
      <c r="H1791" s="20">
        <v>765</v>
      </c>
      <c r="I1791" s="20">
        <v>765</v>
      </c>
      <c r="J1791" s="20">
        <v>765</v>
      </c>
    </row>
    <row r="1792" spans="1:10" ht="25.5">
      <c r="A1792" s="108" t="str">
        <f t="shared" si="52"/>
        <v>624030916 3 04 20350000</v>
      </c>
      <c r="B1792" s="251" t="s">
        <v>152</v>
      </c>
      <c r="C1792" s="198" t="s">
        <v>939</v>
      </c>
      <c r="D1792" s="199" t="s">
        <v>13</v>
      </c>
      <c r="E1792" s="199" t="s">
        <v>471</v>
      </c>
      <c r="F1792" s="199" t="s">
        <v>975</v>
      </c>
      <c r="G1792" s="199" t="s">
        <v>9</v>
      </c>
      <c r="H1792" s="20">
        <v>765</v>
      </c>
      <c r="I1792" s="20">
        <v>765</v>
      </c>
      <c r="J1792" s="20">
        <v>765</v>
      </c>
    </row>
    <row r="1793" spans="1:10" ht="25.5">
      <c r="A1793" s="108" t="str">
        <f t="shared" si="52"/>
        <v>624030916 3 04 20350240</v>
      </c>
      <c r="B1793" s="251" t="s">
        <v>28</v>
      </c>
      <c r="C1793" s="198" t="s">
        <v>939</v>
      </c>
      <c r="D1793" s="199" t="s">
        <v>13</v>
      </c>
      <c r="E1793" s="199" t="s">
        <v>471</v>
      </c>
      <c r="F1793" s="199" t="s">
        <v>975</v>
      </c>
      <c r="G1793" s="199" t="s">
        <v>29</v>
      </c>
      <c r="H1793" s="20">
        <v>765</v>
      </c>
      <c r="I1793" s="20">
        <v>765</v>
      </c>
      <c r="J1793" s="20">
        <v>765</v>
      </c>
    </row>
    <row r="1794" spans="1:10" ht="38.25">
      <c r="A1794" s="108" t="str">
        <f t="shared" si="52"/>
        <v>624030985 0 00 00000000</v>
      </c>
      <c r="B1794" s="250" t="s">
        <v>976</v>
      </c>
      <c r="C1794" s="198" t="s">
        <v>939</v>
      </c>
      <c r="D1794" s="199" t="s">
        <v>13</v>
      </c>
      <c r="E1794" s="199" t="s">
        <v>471</v>
      </c>
      <c r="F1794" s="199" t="s">
        <v>977</v>
      </c>
      <c r="G1794" s="199" t="s">
        <v>9</v>
      </c>
      <c r="H1794" s="20">
        <v>15804.84</v>
      </c>
      <c r="I1794" s="20">
        <v>15838.789999999999</v>
      </c>
      <c r="J1794" s="20">
        <v>15872.75</v>
      </c>
    </row>
    <row r="1795" spans="1:10" ht="38.25">
      <c r="A1795" s="108" t="str">
        <f t="shared" si="52"/>
        <v>624030985 1 00 00000000</v>
      </c>
      <c r="B1795" s="197" t="s">
        <v>978</v>
      </c>
      <c r="C1795" s="198" t="s">
        <v>939</v>
      </c>
      <c r="D1795" s="199" t="s">
        <v>13</v>
      </c>
      <c r="E1795" s="199" t="s">
        <v>471</v>
      </c>
      <c r="F1795" s="199" t="s">
        <v>979</v>
      </c>
      <c r="G1795" s="199" t="s">
        <v>9</v>
      </c>
      <c r="H1795" s="20">
        <v>15804.84</v>
      </c>
      <c r="I1795" s="20">
        <v>15838.789999999999</v>
      </c>
      <c r="J1795" s="20">
        <v>15872.75</v>
      </c>
    </row>
    <row r="1796" spans="1:10" ht="25.5">
      <c r="A1796" s="108" t="str">
        <f t="shared" si="52"/>
        <v>624030985 1 00 10010000</v>
      </c>
      <c r="B1796" s="251" t="s">
        <v>18</v>
      </c>
      <c r="C1796" s="198" t="s">
        <v>939</v>
      </c>
      <c r="D1796" s="199" t="s">
        <v>13</v>
      </c>
      <c r="E1796" s="199" t="s">
        <v>471</v>
      </c>
      <c r="F1796" s="199" t="s">
        <v>980</v>
      </c>
      <c r="G1796" s="199" t="s">
        <v>9</v>
      </c>
      <c r="H1796" s="20">
        <v>1685.22</v>
      </c>
      <c r="I1796" s="20">
        <v>1719.17</v>
      </c>
      <c r="J1796" s="20">
        <v>1753.13</v>
      </c>
    </row>
    <row r="1797" spans="1:10" ht="25.5">
      <c r="A1797" s="108" t="str">
        <f t="shared" si="52"/>
        <v>624030985 1 00 10010120</v>
      </c>
      <c r="B1797" s="197" t="s">
        <v>20</v>
      </c>
      <c r="C1797" s="198" t="s">
        <v>939</v>
      </c>
      <c r="D1797" s="199" t="s">
        <v>13</v>
      </c>
      <c r="E1797" s="199" t="s">
        <v>471</v>
      </c>
      <c r="F1797" s="199" t="s">
        <v>980</v>
      </c>
      <c r="G1797" s="199" t="s">
        <v>21</v>
      </c>
      <c r="H1797" s="20">
        <v>387.25</v>
      </c>
      <c r="I1797" s="20">
        <v>387.25</v>
      </c>
      <c r="J1797" s="20">
        <v>387.25</v>
      </c>
    </row>
    <row r="1798" spans="1:10" ht="25.5">
      <c r="A1798" s="108" t="str">
        <f t="shared" ref="A1798:A1819" si="53">C1798&amp;D1798&amp;E1798&amp;F1798&amp;G1798</f>
        <v>624030985 1 00 10010240</v>
      </c>
      <c r="B1798" s="278" t="s">
        <v>28</v>
      </c>
      <c r="C1798" s="198" t="s">
        <v>939</v>
      </c>
      <c r="D1798" s="199" t="s">
        <v>13</v>
      </c>
      <c r="E1798" s="199" t="s">
        <v>471</v>
      </c>
      <c r="F1798" s="199" t="s">
        <v>980</v>
      </c>
      <c r="G1798" s="199" t="s">
        <v>29</v>
      </c>
      <c r="H1798" s="20">
        <v>1183.98</v>
      </c>
      <c r="I1798" s="20">
        <v>1183.98</v>
      </c>
      <c r="J1798" s="20">
        <v>1183.98</v>
      </c>
    </row>
    <row r="1799" spans="1:10">
      <c r="A1799" s="108" t="str">
        <f t="shared" si="53"/>
        <v>624030985 1 00 10010850</v>
      </c>
      <c r="B1799" s="197" t="s">
        <v>32</v>
      </c>
      <c r="C1799" s="198" t="s">
        <v>939</v>
      </c>
      <c r="D1799" s="199" t="s">
        <v>13</v>
      </c>
      <c r="E1799" s="199" t="s">
        <v>471</v>
      </c>
      <c r="F1799" s="199" t="s">
        <v>980</v>
      </c>
      <c r="G1799" s="199" t="s">
        <v>33</v>
      </c>
      <c r="H1799" s="20">
        <v>113.99000000000001</v>
      </c>
      <c r="I1799" s="20">
        <v>147.94</v>
      </c>
      <c r="J1799" s="20">
        <v>181.9</v>
      </c>
    </row>
    <row r="1800" spans="1:10" ht="25.5">
      <c r="A1800" s="108" t="str">
        <f t="shared" si="53"/>
        <v>624030985 1 00 10020000</v>
      </c>
      <c r="B1800" s="251" t="s">
        <v>38</v>
      </c>
      <c r="C1800" s="198" t="s">
        <v>939</v>
      </c>
      <c r="D1800" s="199" t="s">
        <v>13</v>
      </c>
      <c r="E1800" s="199" t="s">
        <v>471</v>
      </c>
      <c r="F1800" s="199" t="s">
        <v>981</v>
      </c>
      <c r="G1800" s="199" t="s">
        <v>9</v>
      </c>
      <c r="H1800" s="20">
        <v>13657.84</v>
      </c>
      <c r="I1800" s="20">
        <v>14119.619999999999</v>
      </c>
      <c r="J1800" s="20">
        <v>14119.619999999999</v>
      </c>
    </row>
    <row r="1801" spans="1:10" ht="25.5">
      <c r="A1801" s="108" t="str">
        <f t="shared" si="53"/>
        <v>624030985 1 00 10020120</v>
      </c>
      <c r="B1801" s="197" t="s">
        <v>20</v>
      </c>
      <c r="C1801" s="198" t="s">
        <v>939</v>
      </c>
      <c r="D1801" s="199" t="s">
        <v>13</v>
      </c>
      <c r="E1801" s="199" t="s">
        <v>471</v>
      </c>
      <c r="F1801" s="199" t="s">
        <v>981</v>
      </c>
      <c r="G1801" s="199" t="s">
        <v>21</v>
      </c>
      <c r="H1801" s="20">
        <v>13657.84</v>
      </c>
      <c r="I1801" s="20">
        <v>14119.619999999999</v>
      </c>
      <c r="J1801" s="20">
        <v>14119.619999999999</v>
      </c>
    </row>
    <row r="1802" spans="1:10" ht="191.25">
      <c r="A1802" s="108" t="str">
        <f t="shared" si="53"/>
        <v>624030985 1 00 77460000</v>
      </c>
      <c r="B1802" s="197" t="s">
        <v>1263</v>
      </c>
      <c r="C1802" s="198" t="s">
        <v>939</v>
      </c>
      <c r="D1802" s="199" t="s">
        <v>13</v>
      </c>
      <c r="E1802" s="199" t="s">
        <v>471</v>
      </c>
      <c r="F1802" s="199" t="s">
        <v>1371</v>
      </c>
      <c r="G1802" s="199" t="s">
        <v>9</v>
      </c>
      <c r="H1802" s="20">
        <v>461.78</v>
      </c>
      <c r="I1802" s="20">
        <v>0</v>
      </c>
      <c r="J1802" s="20">
        <v>0</v>
      </c>
    </row>
    <row r="1803" spans="1:10" ht="25.5">
      <c r="A1803" s="108" t="str">
        <f t="shared" si="53"/>
        <v>624030985 1 00 77460120</v>
      </c>
      <c r="B1803" s="197" t="s">
        <v>20</v>
      </c>
      <c r="C1803" s="198" t="s">
        <v>939</v>
      </c>
      <c r="D1803" s="199" t="s">
        <v>13</v>
      </c>
      <c r="E1803" s="199" t="s">
        <v>471</v>
      </c>
      <c r="F1803" s="199" t="s">
        <v>1371</v>
      </c>
      <c r="G1803" s="199" t="s">
        <v>21</v>
      </c>
      <c r="H1803" s="20">
        <v>461.78</v>
      </c>
      <c r="I1803" s="20">
        <v>0</v>
      </c>
      <c r="J1803" s="20">
        <v>0</v>
      </c>
    </row>
    <row r="1804" spans="1:10">
      <c r="A1804" s="108" t="str">
        <f t="shared" si="53"/>
        <v/>
      </c>
      <c r="B1804" s="197"/>
      <c r="C1804" s="198"/>
      <c r="D1804" s="199"/>
      <c r="E1804" s="199"/>
      <c r="F1804" s="199"/>
      <c r="G1804" s="199"/>
      <c r="H1804" s="20"/>
      <c r="I1804" s="20"/>
      <c r="J1804" s="20"/>
    </row>
    <row r="1805" spans="1:10">
      <c r="A1805" s="108" t="str">
        <f t="shared" si="53"/>
        <v>643000000 0 00 00000000</v>
      </c>
      <c r="B1805" s="202" t="s">
        <v>982</v>
      </c>
      <c r="C1805" s="189" t="s">
        <v>983</v>
      </c>
      <c r="D1805" s="190" t="s">
        <v>7</v>
      </c>
      <c r="E1805" s="190" t="s">
        <v>7</v>
      </c>
      <c r="F1805" s="190" t="s">
        <v>8</v>
      </c>
      <c r="G1805" s="190" t="s">
        <v>9</v>
      </c>
      <c r="H1805" s="25">
        <v>14825.200000000003</v>
      </c>
      <c r="I1805" s="25">
        <v>14840.09</v>
      </c>
      <c r="J1805" s="25">
        <v>14840.09</v>
      </c>
    </row>
    <row r="1806" spans="1:10">
      <c r="A1806" s="108" t="str">
        <f t="shared" si="53"/>
        <v>643010000 0 00 00000000</v>
      </c>
      <c r="B1806" s="191" t="s">
        <v>10</v>
      </c>
      <c r="C1806" s="192" t="s">
        <v>983</v>
      </c>
      <c r="D1806" s="193" t="s">
        <v>11</v>
      </c>
      <c r="E1806" s="193" t="s">
        <v>7</v>
      </c>
      <c r="F1806" s="193" t="s">
        <v>8</v>
      </c>
      <c r="G1806" s="193" t="s">
        <v>9</v>
      </c>
      <c r="H1806" s="18">
        <v>14825.200000000003</v>
      </c>
      <c r="I1806" s="18">
        <v>14840.09</v>
      </c>
      <c r="J1806" s="18">
        <v>14840.09</v>
      </c>
    </row>
    <row r="1807" spans="1:10" ht="25.5">
      <c r="A1807" s="108" t="str">
        <f t="shared" si="53"/>
        <v>643010600 0 00 00000000</v>
      </c>
      <c r="B1807" s="194" t="s">
        <v>333</v>
      </c>
      <c r="C1807" s="195" t="s">
        <v>983</v>
      </c>
      <c r="D1807" s="196" t="s">
        <v>11</v>
      </c>
      <c r="E1807" s="196" t="s">
        <v>334</v>
      </c>
      <c r="F1807" s="196" t="s">
        <v>8</v>
      </c>
      <c r="G1807" s="196" t="s">
        <v>9</v>
      </c>
      <c r="H1807" s="19">
        <v>14825.200000000003</v>
      </c>
      <c r="I1807" s="19">
        <v>14840.09</v>
      </c>
      <c r="J1807" s="19">
        <v>14840.09</v>
      </c>
    </row>
    <row r="1808" spans="1:10" ht="26.25">
      <c r="A1808" s="108" t="str">
        <f t="shared" si="53"/>
        <v>643010686 0 00 00000000</v>
      </c>
      <c r="B1808" s="283" t="s">
        <v>984</v>
      </c>
      <c r="C1808" s="198" t="s">
        <v>983</v>
      </c>
      <c r="D1808" s="199" t="s">
        <v>11</v>
      </c>
      <c r="E1808" s="199" t="s">
        <v>334</v>
      </c>
      <c r="F1808" s="199" t="s">
        <v>985</v>
      </c>
      <c r="G1808" s="199" t="s">
        <v>9</v>
      </c>
      <c r="H1808" s="20">
        <v>14825.200000000003</v>
      </c>
      <c r="I1808" s="20">
        <v>14840.09</v>
      </c>
      <c r="J1808" s="20">
        <v>14840.09</v>
      </c>
    </row>
    <row r="1809" spans="1:10" ht="26.25">
      <c r="A1809" s="108" t="str">
        <f t="shared" si="53"/>
        <v>643010686 1 00 00000000</v>
      </c>
      <c r="B1809" s="283" t="s">
        <v>986</v>
      </c>
      <c r="C1809" s="198" t="s">
        <v>983</v>
      </c>
      <c r="D1809" s="199" t="s">
        <v>11</v>
      </c>
      <c r="E1809" s="199" t="s">
        <v>334</v>
      </c>
      <c r="F1809" s="199" t="s">
        <v>987</v>
      </c>
      <c r="G1809" s="199" t="s">
        <v>9</v>
      </c>
      <c r="H1809" s="20">
        <v>14825.200000000003</v>
      </c>
      <c r="I1809" s="20">
        <v>14840.09</v>
      </c>
      <c r="J1809" s="20">
        <v>14840.09</v>
      </c>
    </row>
    <row r="1810" spans="1:10" ht="25.5">
      <c r="A1810" s="108" t="str">
        <f t="shared" si="53"/>
        <v>643010686 1 00 10010000</v>
      </c>
      <c r="B1810" s="197" t="s">
        <v>18</v>
      </c>
      <c r="C1810" s="198" t="s">
        <v>983</v>
      </c>
      <c r="D1810" s="199" t="s">
        <v>11</v>
      </c>
      <c r="E1810" s="199" t="s">
        <v>334</v>
      </c>
      <c r="F1810" s="199" t="s">
        <v>988</v>
      </c>
      <c r="G1810" s="199" t="s">
        <v>9</v>
      </c>
      <c r="H1810" s="20">
        <v>3941.65</v>
      </c>
      <c r="I1810" s="20">
        <v>3953.5899999999997</v>
      </c>
      <c r="J1810" s="20">
        <v>3953.5899999999997</v>
      </c>
    </row>
    <row r="1811" spans="1:10" ht="25.5">
      <c r="A1811" s="108" t="str">
        <f t="shared" si="53"/>
        <v>643010686 1 00 10010120</v>
      </c>
      <c r="B1811" s="200" t="s">
        <v>20</v>
      </c>
      <c r="C1811" s="198" t="s">
        <v>983</v>
      </c>
      <c r="D1811" s="199" t="s">
        <v>11</v>
      </c>
      <c r="E1811" s="199" t="s">
        <v>334</v>
      </c>
      <c r="F1811" s="199" t="s">
        <v>988</v>
      </c>
      <c r="G1811" s="199" t="s">
        <v>21</v>
      </c>
      <c r="H1811" s="20">
        <v>586.86</v>
      </c>
      <c r="I1811" s="20">
        <v>583.91</v>
      </c>
      <c r="J1811" s="20">
        <v>583.91</v>
      </c>
    </row>
    <row r="1812" spans="1:10" ht="25.5">
      <c r="A1812" s="108" t="str">
        <f t="shared" si="53"/>
        <v>643010686 1 00 10010240</v>
      </c>
      <c r="B1812" s="197" t="s">
        <v>28</v>
      </c>
      <c r="C1812" s="198" t="s">
        <v>983</v>
      </c>
      <c r="D1812" s="199" t="s">
        <v>11</v>
      </c>
      <c r="E1812" s="199" t="s">
        <v>334</v>
      </c>
      <c r="F1812" s="199" t="s">
        <v>988</v>
      </c>
      <c r="G1812" s="199" t="s">
        <v>29</v>
      </c>
      <c r="H1812" s="20">
        <v>3243.09</v>
      </c>
      <c r="I1812" s="20">
        <v>3257.98</v>
      </c>
      <c r="J1812" s="20">
        <v>3257.98</v>
      </c>
    </row>
    <row r="1813" spans="1:10">
      <c r="A1813" s="108" t="str">
        <f t="shared" si="53"/>
        <v>643010686 1 00 10010850</v>
      </c>
      <c r="B1813" s="197" t="s">
        <v>32</v>
      </c>
      <c r="C1813" s="198" t="s">
        <v>983</v>
      </c>
      <c r="D1813" s="199" t="s">
        <v>11</v>
      </c>
      <c r="E1813" s="199" t="s">
        <v>334</v>
      </c>
      <c r="F1813" s="199" t="s">
        <v>988</v>
      </c>
      <c r="G1813" s="199" t="s">
        <v>33</v>
      </c>
      <c r="H1813" s="20">
        <v>111.69999999999999</v>
      </c>
      <c r="I1813" s="20">
        <v>111.69999999999999</v>
      </c>
      <c r="J1813" s="20">
        <v>111.69999999999999</v>
      </c>
    </row>
    <row r="1814" spans="1:10" ht="25.5">
      <c r="A1814" s="108" t="str">
        <f t="shared" si="53"/>
        <v>643010686 1 00 10020000</v>
      </c>
      <c r="B1814" s="200" t="s">
        <v>38</v>
      </c>
      <c r="C1814" s="198" t="s">
        <v>983</v>
      </c>
      <c r="D1814" s="199" t="s">
        <v>11</v>
      </c>
      <c r="E1814" s="199" t="s">
        <v>334</v>
      </c>
      <c r="F1814" s="199" t="s">
        <v>989</v>
      </c>
      <c r="G1814" s="199" t="s">
        <v>9</v>
      </c>
      <c r="H1814" s="20">
        <v>10537.510000000002</v>
      </c>
      <c r="I1814" s="20">
        <v>10886.5</v>
      </c>
      <c r="J1814" s="20">
        <v>10886.5</v>
      </c>
    </row>
    <row r="1815" spans="1:10" ht="25.5">
      <c r="A1815" s="108" t="str">
        <f t="shared" si="53"/>
        <v>643010686 1 00 10020120</v>
      </c>
      <c r="B1815" s="200" t="s">
        <v>20</v>
      </c>
      <c r="C1815" s="198" t="s">
        <v>983</v>
      </c>
      <c r="D1815" s="199" t="s">
        <v>11</v>
      </c>
      <c r="E1815" s="199" t="s">
        <v>334</v>
      </c>
      <c r="F1815" s="199" t="s">
        <v>989</v>
      </c>
      <c r="G1815" s="199" t="s">
        <v>21</v>
      </c>
      <c r="H1815" s="20">
        <v>10537.510000000002</v>
      </c>
      <c r="I1815" s="20">
        <v>10886.5</v>
      </c>
      <c r="J1815" s="20">
        <v>10886.5</v>
      </c>
    </row>
    <row r="1816" spans="1:10" ht="191.25">
      <c r="A1816" s="108" t="str">
        <f t="shared" si="53"/>
        <v>643010686 1 00 77460000</v>
      </c>
      <c r="B1816" s="197" t="s">
        <v>1263</v>
      </c>
      <c r="C1816" s="198" t="s">
        <v>983</v>
      </c>
      <c r="D1816" s="199" t="s">
        <v>11</v>
      </c>
      <c r="E1816" s="199" t="s">
        <v>334</v>
      </c>
      <c r="F1816" s="199" t="s">
        <v>1372</v>
      </c>
      <c r="G1816" s="199" t="s">
        <v>9</v>
      </c>
      <c r="H1816" s="20">
        <v>346.04</v>
      </c>
      <c r="I1816" s="20">
        <v>0</v>
      </c>
      <c r="J1816" s="20">
        <v>0</v>
      </c>
    </row>
    <row r="1817" spans="1:10" ht="25.5">
      <c r="A1817" s="108" t="str">
        <f t="shared" si="53"/>
        <v>643010686 1 00 77460120</v>
      </c>
      <c r="B1817" s="197" t="s">
        <v>20</v>
      </c>
      <c r="C1817" s="198" t="s">
        <v>983</v>
      </c>
      <c r="D1817" s="199" t="s">
        <v>11</v>
      </c>
      <c r="E1817" s="199" t="s">
        <v>334</v>
      </c>
      <c r="F1817" s="199" t="s">
        <v>1372</v>
      </c>
      <c r="G1817" s="199" t="s">
        <v>21</v>
      </c>
      <c r="H1817" s="20">
        <v>346.04</v>
      </c>
      <c r="I1817" s="20">
        <v>0</v>
      </c>
      <c r="J1817" s="20">
        <v>0</v>
      </c>
    </row>
    <row r="1818" spans="1:10">
      <c r="A1818" s="108" t="str">
        <f t="shared" si="53"/>
        <v/>
      </c>
      <c r="B1818" s="283"/>
      <c r="C1818" s="198"/>
      <c r="D1818" s="199"/>
      <c r="E1818" s="199"/>
      <c r="F1818" s="199"/>
      <c r="G1818" s="199"/>
      <c r="H1818" s="20"/>
      <c r="I1818" s="20"/>
      <c r="J1818" s="20"/>
    </row>
    <row r="1819" spans="1:10">
      <c r="A1819" s="108" t="str">
        <f t="shared" si="53"/>
        <v/>
      </c>
      <c r="B1819" s="284" t="s">
        <v>990</v>
      </c>
      <c r="C1819" s="285"/>
      <c r="D1819" s="190"/>
      <c r="E1819" s="190"/>
      <c r="F1819" s="190"/>
      <c r="G1819" s="190"/>
      <c r="H1819" s="25">
        <v>9864573.209999999</v>
      </c>
      <c r="I1819" s="25">
        <v>8751194.1099999994</v>
      </c>
      <c r="J1819" s="25">
        <v>8165786.0200000005</v>
      </c>
    </row>
    <row r="1820" spans="1:10">
      <c r="A1820" s="108" t="str">
        <f t="shared" ref="A1820:A1861" si="54">C1820&amp;D1820&amp;E1820&amp;F1820&amp;G1820</f>
        <v/>
      </c>
      <c r="B1820" s="286"/>
      <c r="C1820" s="68"/>
      <c r="D1820" s="69"/>
      <c r="E1820" s="69"/>
      <c r="F1820" s="69"/>
      <c r="G1820" s="69"/>
      <c r="H1820" s="70"/>
      <c r="I1820" s="70"/>
      <c r="J1820" s="18"/>
    </row>
    <row r="1821" spans="1:10">
      <c r="A1821" s="108" t="str">
        <f t="shared" si="54"/>
        <v/>
      </c>
      <c r="I1821" s="76"/>
      <c r="J1821" s="18"/>
    </row>
    <row r="1822" spans="1:10">
      <c r="A1822" s="108" t="str">
        <f t="shared" si="54"/>
        <v/>
      </c>
      <c r="I1822" s="76"/>
      <c r="J1822" s="18"/>
    </row>
    <row r="1823" spans="1:10">
      <c r="A1823" s="108" t="str">
        <f t="shared" si="54"/>
        <v/>
      </c>
    </row>
    <row r="1824" spans="1:10">
      <c r="A1824" s="108" t="str">
        <f t="shared" si="54"/>
        <v/>
      </c>
    </row>
    <row r="1825" spans="1:10">
      <c r="A1825" s="108" t="str">
        <f t="shared" si="54"/>
        <v>остатки местные на 01.01.2018</v>
      </c>
      <c r="B1825" s="86"/>
      <c r="C1825" s="86"/>
      <c r="D1825" s="87"/>
      <c r="E1825" s="87"/>
      <c r="F1825" s="288" t="s">
        <v>1158</v>
      </c>
      <c r="G1825" s="289"/>
      <c r="H1825" s="290">
        <v>28955.359999999997</v>
      </c>
      <c r="I1825" s="86"/>
      <c r="J1825" s="86"/>
    </row>
    <row r="1826" spans="1:10">
      <c r="A1826" s="108" t="str">
        <f t="shared" si="54"/>
        <v>д.б.</v>
      </c>
      <c r="B1826" s="48"/>
      <c r="C1826" s="48"/>
      <c r="D1826" s="23"/>
      <c r="E1826" s="23"/>
      <c r="F1826" s="291" t="s">
        <v>1159</v>
      </c>
      <c r="H1826" s="290">
        <v>28955.360000000001</v>
      </c>
      <c r="I1826" s="48"/>
      <c r="J1826" s="48"/>
    </row>
    <row r="1827" spans="1:10">
      <c r="A1827" s="108" t="str">
        <f t="shared" si="54"/>
        <v>откл</v>
      </c>
      <c r="B1827" s="48"/>
      <c r="C1827" s="48"/>
      <c r="D1827" s="23"/>
      <c r="E1827" s="23"/>
      <c r="F1827" s="291" t="s">
        <v>1160</v>
      </c>
      <c r="H1827" s="290">
        <v>0</v>
      </c>
      <c r="I1827" s="48"/>
      <c r="J1827" s="48"/>
    </row>
    <row r="1828" spans="1:10">
      <c r="A1828" s="108" t="str">
        <f t="shared" si="54"/>
        <v/>
      </c>
      <c r="B1828" s="48"/>
      <c r="C1828" s="48"/>
      <c r="D1828" s="23"/>
      <c r="E1828" s="23"/>
      <c r="F1828" s="291"/>
      <c r="H1828" s="290"/>
      <c r="I1828" s="48"/>
      <c r="J1828" s="48"/>
    </row>
    <row r="1829" spans="1:10">
      <c r="A1829" s="108" t="str">
        <f t="shared" si="54"/>
        <v/>
      </c>
      <c r="B1829" s="48"/>
      <c r="C1829" s="48"/>
      <c r="D1829" s="23"/>
      <c r="E1829" s="23"/>
      <c r="H1829" s="290"/>
      <c r="I1829" s="48"/>
      <c r="J1829" s="48"/>
    </row>
    <row r="1830" spans="1:10">
      <c r="A1830" s="108" t="str">
        <f t="shared" si="54"/>
        <v>остатки межбюдж на 01.01.2018</v>
      </c>
      <c r="D1830" s="90"/>
      <c r="E1830" s="90"/>
      <c r="F1830" s="343" t="s">
        <v>1373</v>
      </c>
      <c r="H1830" s="290">
        <v>51402.13</v>
      </c>
    </row>
    <row r="1831" spans="1:10">
      <c r="A1831" s="108" t="str">
        <f t="shared" si="54"/>
        <v>д.б.</v>
      </c>
      <c r="D1831" s="90"/>
      <c r="E1831" s="90"/>
      <c r="F1831" s="291" t="s">
        <v>1159</v>
      </c>
      <c r="H1831" s="290">
        <v>51402.13</v>
      </c>
    </row>
    <row r="1832" spans="1:10">
      <c r="A1832" s="108" t="str">
        <f t="shared" si="54"/>
        <v>откл</v>
      </c>
      <c r="D1832" s="90"/>
      <c r="E1832" s="90"/>
      <c r="F1832" s="291" t="s">
        <v>1160</v>
      </c>
      <c r="G1832" s="90"/>
      <c r="H1832" s="77">
        <v>0</v>
      </c>
      <c r="I1832" s="77"/>
    </row>
    <row r="1833" spans="1:10">
      <c r="A1833" s="108" t="str">
        <f t="shared" si="54"/>
        <v/>
      </c>
    </row>
    <row r="1834" spans="1:10">
      <c r="A1834" s="108" t="str">
        <f t="shared" si="54"/>
        <v/>
      </c>
      <c r="F1834" s="90"/>
      <c r="G1834" s="90"/>
      <c r="H1834" s="77"/>
      <c r="I1834" s="77"/>
      <c r="J1834" s="91"/>
    </row>
    <row r="1835" spans="1:10">
      <c r="A1835" s="108" t="str">
        <f t="shared" si="54"/>
        <v/>
      </c>
      <c r="F1835" s="90"/>
      <c r="G1835" s="90"/>
      <c r="H1835" s="77"/>
      <c r="I1835" s="77"/>
      <c r="J1835" s="91"/>
    </row>
    <row r="1836" spans="1:10">
      <c r="A1836" s="108" t="str">
        <f t="shared" si="54"/>
        <v/>
      </c>
      <c r="F1836" s="90"/>
      <c r="G1836" s="90"/>
      <c r="H1836" s="77"/>
      <c r="I1836" s="77"/>
      <c r="J1836" s="91"/>
    </row>
    <row r="1837" spans="1:10">
      <c r="A1837" s="108" t="str">
        <f t="shared" si="54"/>
        <v/>
      </c>
      <c r="F1837" s="90"/>
      <c r="G1837" s="90"/>
      <c r="H1837" s="76"/>
      <c r="I1837" s="77"/>
      <c r="J1837" s="77"/>
    </row>
    <row r="1838" spans="1:10">
      <c r="A1838" s="108" t="str">
        <f t="shared" si="54"/>
        <v/>
      </c>
      <c r="F1838" s="90"/>
      <c r="G1838" s="90"/>
      <c r="H1838" s="76"/>
      <c r="I1838" s="77"/>
      <c r="J1838" s="77"/>
    </row>
    <row r="1839" spans="1:10">
      <c r="A1839" s="108" t="str">
        <f t="shared" si="54"/>
        <v/>
      </c>
      <c r="F1839" s="90"/>
      <c r="G1839" s="90"/>
      <c r="H1839" s="76"/>
      <c r="I1839" s="77"/>
      <c r="J1839" s="77"/>
    </row>
    <row r="1840" spans="1:10">
      <c r="A1840" s="108" t="str">
        <f t="shared" si="54"/>
        <v/>
      </c>
      <c r="F1840" s="90"/>
      <c r="G1840" s="90"/>
      <c r="H1840" s="76"/>
      <c r="I1840" s="77"/>
      <c r="J1840" s="77"/>
    </row>
    <row r="1841" spans="1:10">
      <c r="A1841" s="108" t="str">
        <f t="shared" si="54"/>
        <v/>
      </c>
      <c r="F1841" s="90"/>
      <c r="G1841" s="90"/>
      <c r="H1841" s="77"/>
      <c r="I1841" s="77"/>
      <c r="J1841" s="91"/>
    </row>
    <row r="1842" spans="1:10">
      <c r="A1842" s="108" t="str">
        <f t="shared" si="54"/>
        <v/>
      </c>
      <c r="F1842" s="90"/>
      <c r="G1842" s="90"/>
      <c r="H1842" s="77"/>
      <c r="I1842" s="77"/>
      <c r="J1842" s="91"/>
    </row>
    <row r="1843" spans="1:10">
      <c r="A1843" s="108" t="str">
        <f t="shared" si="54"/>
        <v/>
      </c>
      <c r="F1843" s="90"/>
      <c r="G1843" s="90"/>
      <c r="H1843" s="77"/>
      <c r="I1843" s="77"/>
      <c r="J1843" s="91"/>
    </row>
    <row r="1844" spans="1:10">
      <c r="A1844" s="108" t="str">
        <f t="shared" si="54"/>
        <v/>
      </c>
      <c r="F1844" s="90"/>
      <c r="G1844" s="90"/>
      <c r="H1844" s="77"/>
      <c r="I1844" s="77"/>
      <c r="J1844" s="91"/>
    </row>
    <row r="1845" spans="1:10">
      <c r="A1845" s="108" t="str">
        <f t="shared" si="54"/>
        <v/>
      </c>
      <c r="F1845" s="90"/>
      <c r="G1845" s="90"/>
      <c r="H1845" s="77"/>
      <c r="I1845" s="77"/>
      <c r="J1845" s="91"/>
    </row>
    <row r="1846" spans="1:10">
      <c r="A1846" s="108" t="str">
        <f t="shared" si="54"/>
        <v/>
      </c>
    </row>
    <row r="1847" spans="1:10">
      <c r="A1847" s="108" t="str">
        <f t="shared" si="54"/>
        <v/>
      </c>
    </row>
    <row r="1848" spans="1:10">
      <c r="A1848" s="108" t="str">
        <f t="shared" si="54"/>
        <v/>
      </c>
    </row>
    <row r="1849" spans="1:10">
      <c r="A1849" s="108" t="str">
        <f t="shared" si="54"/>
        <v/>
      </c>
    </row>
    <row r="1850" spans="1:10">
      <c r="A1850" s="108" t="str">
        <f t="shared" si="54"/>
        <v/>
      </c>
    </row>
    <row r="1851" spans="1:10">
      <c r="A1851" s="108" t="str">
        <f t="shared" si="54"/>
        <v/>
      </c>
    </row>
    <row r="1852" spans="1:10">
      <c r="A1852" s="108" t="str">
        <f t="shared" si="54"/>
        <v/>
      </c>
    </row>
    <row r="1853" spans="1:10">
      <c r="A1853" s="108" t="str">
        <f t="shared" si="54"/>
        <v/>
      </c>
    </row>
    <row r="1854" spans="1:10">
      <c r="A1854" s="108" t="str">
        <f t="shared" si="54"/>
        <v/>
      </c>
    </row>
    <row r="1855" spans="1:10">
      <c r="A1855" s="108" t="str">
        <f t="shared" si="54"/>
        <v/>
      </c>
    </row>
    <row r="1856" spans="1:10">
      <c r="A1856" s="108" t="str">
        <f t="shared" si="54"/>
        <v/>
      </c>
    </row>
    <row r="1857" spans="1:1">
      <c r="A1857" s="108" t="str">
        <f t="shared" si="54"/>
        <v/>
      </c>
    </row>
    <row r="1858" spans="1:1">
      <c r="A1858" s="108" t="str">
        <f t="shared" si="54"/>
        <v/>
      </c>
    </row>
    <row r="1859" spans="1:1">
      <c r="A1859" s="108" t="str">
        <f t="shared" si="54"/>
        <v/>
      </c>
    </row>
    <row r="1860" spans="1:1">
      <c r="A1860" s="108" t="str">
        <f t="shared" si="54"/>
        <v/>
      </c>
    </row>
    <row r="1861" spans="1:1">
      <c r="A1861" s="108" t="str">
        <f t="shared" si="54"/>
        <v/>
      </c>
    </row>
    <row r="1862" spans="1:1">
      <c r="A1862" s="108" t="str">
        <f t="shared" ref="A1862:A1925" si="55">C1862&amp;D1862&amp;E1862&amp;F1862&amp;G1862</f>
        <v/>
      </c>
    </row>
    <row r="1863" spans="1:1">
      <c r="A1863" s="108" t="str">
        <f t="shared" si="55"/>
        <v/>
      </c>
    </row>
    <row r="1864" spans="1:1">
      <c r="A1864" s="108" t="str">
        <f t="shared" si="55"/>
        <v/>
      </c>
    </row>
    <row r="1865" spans="1:1">
      <c r="A1865" s="108" t="str">
        <f t="shared" si="55"/>
        <v/>
      </c>
    </row>
    <row r="1866" spans="1:1">
      <c r="A1866" s="108" t="str">
        <f t="shared" si="55"/>
        <v/>
      </c>
    </row>
    <row r="1867" spans="1:1">
      <c r="A1867" s="108" t="str">
        <f t="shared" si="55"/>
        <v/>
      </c>
    </row>
    <row r="1868" spans="1:1">
      <c r="A1868" s="108" t="str">
        <f t="shared" si="55"/>
        <v/>
      </c>
    </row>
    <row r="1869" spans="1:1">
      <c r="A1869" s="108" t="str">
        <f t="shared" si="55"/>
        <v/>
      </c>
    </row>
    <row r="1870" spans="1:1">
      <c r="A1870" s="108" t="str">
        <f t="shared" si="55"/>
        <v/>
      </c>
    </row>
    <row r="1871" spans="1:1">
      <c r="A1871" s="108" t="str">
        <f t="shared" si="55"/>
        <v/>
      </c>
    </row>
    <row r="1872" spans="1:1">
      <c r="A1872" s="108" t="str">
        <f t="shared" si="55"/>
        <v/>
      </c>
    </row>
    <row r="1873" spans="1:1">
      <c r="A1873" s="108" t="str">
        <f t="shared" si="55"/>
        <v/>
      </c>
    </row>
    <row r="1874" spans="1:1">
      <c r="A1874" s="108" t="str">
        <f t="shared" si="55"/>
        <v/>
      </c>
    </row>
    <row r="1875" spans="1:1">
      <c r="A1875" s="108" t="str">
        <f t="shared" si="55"/>
        <v/>
      </c>
    </row>
    <row r="1876" spans="1:1">
      <c r="A1876" s="108" t="str">
        <f t="shared" si="55"/>
        <v/>
      </c>
    </row>
    <row r="1877" spans="1:1">
      <c r="A1877" s="108" t="str">
        <f t="shared" si="55"/>
        <v/>
      </c>
    </row>
    <row r="1878" spans="1:1">
      <c r="A1878" s="108" t="str">
        <f t="shared" si="55"/>
        <v/>
      </c>
    </row>
    <row r="1879" spans="1:1">
      <c r="A1879" s="108" t="str">
        <f t="shared" si="55"/>
        <v/>
      </c>
    </row>
    <row r="1880" spans="1:1">
      <c r="A1880" s="108" t="str">
        <f t="shared" si="55"/>
        <v/>
      </c>
    </row>
    <row r="1881" spans="1:1">
      <c r="A1881" s="108" t="str">
        <f t="shared" si="55"/>
        <v/>
      </c>
    </row>
    <row r="1882" spans="1:1">
      <c r="A1882" s="108" t="str">
        <f t="shared" si="55"/>
        <v/>
      </c>
    </row>
    <row r="1883" spans="1:1">
      <c r="A1883" s="108" t="str">
        <f t="shared" si="55"/>
        <v/>
      </c>
    </row>
    <row r="1884" spans="1:1">
      <c r="A1884" s="108" t="str">
        <f t="shared" si="55"/>
        <v/>
      </c>
    </row>
    <row r="1885" spans="1:1">
      <c r="A1885" s="108" t="str">
        <f t="shared" si="55"/>
        <v/>
      </c>
    </row>
    <row r="1886" spans="1:1">
      <c r="A1886" s="108" t="str">
        <f t="shared" si="55"/>
        <v/>
      </c>
    </row>
    <row r="1887" spans="1:1">
      <c r="A1887" s="108" t="str">
        <f t="shared" si="55"/>
        <v/>
      </c>
    </row>
    <row r="1888" spans="1:1">
      <c r="A1888" s="108" t="str">
        <f t="shared" si="55"/>
        <v/>
      </c>
    </row>
    <row r="1889" spans="1:10">
      <c r="A1889" s="108" t="str">
        <f t="shared" si="55"/>
        <v/>
      </c>
    </row>
    <row r="1890" spans="1:10">
      <c r="A1890" s="108" t="str">
        <f t="shared" si="55"/>
        <v/>
      </c>
    </row>
    <row r="1891" spans="1:10">
      <c r="A1891" s="108" t="str">
        <f t="shared" si="55"/>
        <v>остатки межбюдж на 01.01.2018</v>
      </c>
      <c r="B1891" s="318"/>
      <c r="C1891" s="322"/>
      <c r="D1891" s="319"/>
      <c r="E1891" s="319"/>
      <c r="F1891" s="319" t="s">
        <v>1373</v>
      </c>
      <c r="G1891" s="319"/>
      <c r="H1891" s="320" t="e">
        <v>#REF!</v>
      </c>
      <c r="I1891" s="320"/>
      <c r="J1891" s="320"/>
    </row>
    <row r="1892" spans="1:10">
      <c r="A1892" s="108" t="str">
        <f t="shared" si="55"/>
        <v/>
      </c>
    </row>
    <row r="1893" spans="1:10">
      <c r="A1893" s="108" t="str">
        <f t="shared" si="55"/>
        <v/>
      </c>
    </row>
    <row r="1894" spans="1:10">
      <c r="A1894" s="108" t="str">
        <f t="shared" si="55"/>
        <v/>
      </c>
    </row>
    <row r="1895" spans="1:10">
      <c r="A1895" s="108" t="str">
        <f t="shared" si="55"/>
        <v/>
      </c>
    </row>
    <row r="1896" spans="1:10">
      <c r="A1896" s="108" t="str">
        <f t="shared" si="55"/>
        <v/>
      </c>
    </row>
    <row r="1897" spans="1:10">
      <c r="A1897" s="108" t="str">
        <f t="shared" si="55"/>
        <v/>
      </c>
    </row>
    <row r="1898" spans="1:10">
      <c r="A1898" s="108" t="str">
        <f t="shared" si="55"/>
        <v/>
      </c>
    </row>
    <row r="1899" spans="1:10">
      <c r="A1899" s="108" t="str">
        <f t="shared" si="55"/>
        <v/>
      </c>
    </row>
    <row r="1900" spans="1:10">
      <c r="A1900" s="108" t="str">
        <f t="shared" si="55"/>
        <v/>
      </c>
    </row>
    <row r="1901" spans="1:10">
      <c r="A1901" s="108" t="str">
        <f t="shared" si="55"/>
        <v/>
      </c>
    </row>
    <row r="1902" spans="1:10">
      <c r="A1902" s="108" t="str">
        <f t="shared" si="55"/>
        <v/>
      </c>
    </row>
    <row r="1903" spans="1:10">
      <c r="A1903" s="108" t="str">
        <f t="shared" si="55"/>
        <v/>
      </c>
    </row>
    <row r="1904" spans="1:10">
      <c r="A1904" s="108" t="str">
        <f t="shared" si="55"/>
        <v/>
      </c>
    </row>
    <row r="1905" spans="1:1">
      <c r="A1905" s="108" t="str">
        <f t="shared" si="55"/>
        <v/>
      </c>
    </row>
    <row r="1906" spans="1:1">
      <c r="A1906" s="108" t="str">
        <f t="shared" si="55"/>
        <v/>
      </c>
    </row>
    <row r="1907" spans="1:1">
      <c r="A1907" s="108" t="str">
        <f t="shared" si="55"/>
        <v/>
      </c>
    </row>
    <row r="1908" spans="1:1">
      <c r="A1908" s="108" t="str">
        <f t="shared" si="55"/>
        <v/>
      </c>
    </row>
    <row r="1909" spans="1:1">
      <c r="A1909" s="108" t="str">
        <f t="shared" si="55"/>
        <v/>
      </c>
    </row>
    <row r="1910" spans="1:1">
      <c r="A1910" s="108" t="str">
        <f t="shared" si="55"/>
        <v/>
      </c>
    </row>
    <row r="1911" spans="1:1">
      <c r="A1911" s="108" t="str">
        <f t="shared" si="55"/>
        <v/>
      </c>
    </row>
    <row r="1912" spans="1:1">
      <c r="A1912" s="108" t="str">
        <f t="shared" si="55"/>
        <v/>
      </c>
    </row>
    <row r="1913" spans="1:1">
      <c r="A1913" s="108" t="str">
        <f t="shared" si="55"/>
        <v/>
      </c>
    </row>
    <row r="1914" spans="1:1">
      <c r="A1914" s="108" t="str">
        <f t="shared" si="55"/>
        <v/>
      </c>
    </row>
    <row r="1915" spans="1:1">
      <c r="A1915" s="108" t="str">
        <f t="shared" si="55"/>
        <v/>
      </c>
    </row>
    <row r="1916" spans="1:1">
      <c r="A1916" s="108" t="str">
        <f t="shared" si="55"/>
        <v/>
      </c>
    </row>
    <row r="1917" spans="1:1">
      <c r="A1917" s="108" t="str">
        <f t="shared" si="55"/>
        <v/>
      </c>
    </row>
    <row r="1918" spans="1:1">
      <c r="A1918" s="108" t="str">
        <f t="shared" si="55"/>
        <v/>
      </c>
    </row>
    <row r="1919" spans="1:1">
      <c r="A1919" s="108" t="str">
        <f t="shared" si="55"/>
        <v/>
      </c>
    </row>
    <row r="1920" spans="1:1">
      <c r="A1920" s="108" t="str">
        <f t="shared" si="55"/>
        <v/>
      </c>
    </row>
    <row r="1921" spans="1:1">
      <c r="A1921" s="108" t="str">
        <f t="shared" si="55"/>
        <v/>
      </c>
    </row>
    <row r="1922" spans="1:1">
      <c r="A1922" s="108" t="str">
        <f t="shared" si="55"/>
        <v/>
      </c>
    </row>
    <row r="1923" spans="1:1">
      <c r="A1923" s="108" t="str">
        <f t="shared" si="55"/>
        <v/>
      </c>
    </row>
    <row r="1924" spans="1:1">
      <c r="A1924" s="108" t="str">
        <f t="shared" si="55"/>
        <v/>
      </c>
    </row>
    <row r="1925" spans="1:1">
      <c r="A1925" s="108" t="str">
        <f t="shared" si="55"/>
        <v/>
      </c>
    </row>
    <row r="1926" spans="1:1">
      <c r="A1926" s="108" t="str">
        <f t="shared" ref="A1926:A1989" si="56">C1926&amp;D1926&amp;E1926&amp;F1926&amp;G1926</f>
        <v/>
      </c>
    </row>
    <row r="1927" spans="1:1">
      <c r="A1927" s="108" t="str">
        <f t="shared" si="56"/>
        <v/>
      </c>
    </row>
    <row r="1928" spans="1:1">
      <c r="A1928" s="108" t="str">
        <f t="shared" si="56"/>
        <v/>
      </c>
    </row>
    <row r="1929" spans="1:1">
      <c r="A1929" s="108" t="str">
        <f t="shared" si="56"/>
        <v/>
      </c>
    </row>
    <row r="1930" spans="1:1">
      <c r="A1930" s="108" t="str">
        <f t="shared" si="56"/>
        <v/>
      </c>
    </row>
    <row r="1931" spans="1:1">
      <c r="A1931" s="108" t="str">
        <f t="shared" si="56"/>
        <v/>
      </c>
    </row>
    <row r="1932" spans="1:1">
      <c r="A1932" s="108" t="str">
        <f t="shared" si="56"/>
        <v/>
      </c>
    </row>
    <row r="1933" spans="1:1">
      <c r="A1933" s="108" t="str">
        <f t="shared" si="56"/>
        <v/>
      </c>
    </row>
    <row r="1934" spans="1:1">
      <c r="A1934" s="108" t="str">
        <f t="shared" si="56"/>
        <v/>
      </c>
    </row>
    <row r="1935" spans="1:1">
      <c r="A1935" s="108" t="str">
        <f t="shared" si="56"/>
        <v/>
      </c>
    </row>
    <row r="1936" spans="1:1">
      <c r="A1936" s="108" t="str">
        <f t="shared" si="56"/>
        <v/>
      </c>
    </row>
    <row r="1937" spans="1:1">
      <c r="A1937" s="108" t="str">
        <f t="shared" si="56"/>
        <v/>
      </c>
    </row>
    <row r="1938" spans="1:1">
      <c r="A1938" s="108" t="str">
        <f t="shared" si="56"/>
        <v/>
      </c>
    </row>
    <row r="1939" spans="1:1">
      <c r="A1939" s="108" t="str">
        <f t="shared" si="56"/>
        <v/>
      </c>
    </row>
    <row r="1940" spans="1:1">
      <c r="A1940" s="108" t="str">
        <f t="shared" si="56"/>
        <v/>
      </c>
    </row>
    <row r="1941" spans="1:1">
      <c r="A1941" s="108" t="str">
        <f t="shared" si="56"/>
        <v/>
      </c>
    </row>
    <row r="1942" spans="1:1">
      <c r="A1942" s="108" t="str">
        <f t="shared" si="56"/>
        <v/>
      </c>
    </row>
    <row r="1943" spans="1:1">
      <c r="A1943" s="108" t="str">
        <f t="shared" si="56"/>
        <v/>
      </c>
    </row>
    <row r="1944" spans="1:1">
      <c r="A1944" s="108" t="str">
        <f t="shared" si="56"/>
        <v/>
      </c>
    </row>
    <row r="1945" spans="1:1">
      <c r="A1945" s="108" t="str">
        <f t="shared" si="56"/>
        <v/>
      </c>
    </row>
    <row r="1946" spans="1:1">
      <c r="A1946" s="108" t="str">
        <f t="shared" si="56"/>
        <v/>
      </c>
    </row>
    <row r="1947" spans="1:1">
      <c r="A1947" s="108" t="str">
        <f t="shared" si="56"/>
        <v/>
      </c>
    </row>
    <row r="1948" spans="1:1">
      <c r="A1948" s="108" t="str">
        <f t="shared" si="56"/>
        <v/>
      </c>
    </row>
    <row r="1949" spans="1:1">
      <c r="A1949" s="108" t="str">
        <f t="shared" si="56"/>
        <v/>
      </c>
    </row>
    <row r="1950" spans="1:1">
      <c r="A1950" s="108" t="str">
        <f t="shared" si="56"/>
        <v/>
      </c>
    </row>
    <row r="1951" spans="1:1">
      <c r="A1951" s="108" t="str">
        <f t="shared" si="56"/>
        <v/>
      </c>
    </row>
    <row r="1952" spans="1:1">
      <c r="A1952" s="108" t="str">
        <f t="shared" si="56"/>
        <v/>
      </c>
    </row>
    <row r="1953" spans="1:1">
      <c r="A1953" s="108" t="str">
        <f t="shared" si="56"/>
        <v/>
      </c>
    </row>
    <row r="1954" spans="1:1">
      <c r="A1954" s="108" t="str">
        <f t="shared" si="56"/>
        <v/>
      </c>
    </row>
    <row r="1955" spans="1:1">
      <c r="A1955" s="108" t="str">
        <f t="shared" si="56"/>
        <v/>
      </c>
    </row>
    <row r="1956" spans="1:1">
      <c r="A1956" s="108" t="str">
        <f t="shared" si="56"/>
        <v/>
      </c>
    </row>
    <row r="1957" spans="1:1">
      <c r="A1957" s="108" t="str">
        <f t="shared" si="56"/>
        <v/>
      </c>
    </row>
    <row r="1958" spans="1:1">
      <c r="A1958" s="108" t="str">
        <f t="shared" si="56"/>
        <v/>
      </c>
    </row>
    <row r="1959" spans="1:1">
      <c r="A1959" s="108" t="str">
        <f t="shared" si="56"/>
        <v/>
      </c>
    </row>
    <row r="1960" spans="1:1">
      <c r="A1960" s="108" t="str">
        <f t="shared" si="56"/>
        <v/>
      </c>
    </row>
    <row r="1961" spans="1:1">
      <c r="A1961" s="108" t="str">
        <f t="shared" si="56"/>
        <v/>
      </c>
    </row>
    <row r="1962" spans="1:1">
      <c r="A1962" s="108" t="str">
        <f t="shared" si="56"/>
        <v/>
      </c>
    </row>
    <row r="1963" spans="1:1">
      <c r="A1963" s="108" t="str">
        <f t="shared" si="56"/>
        <v/>
      </c>
    </row>
    <row r="1964" spans="1:1">
      <c r="A1964" s="108" t="str">
        <f t="shared" si="56"/>
        <v/>
      </c>
    </row>
    <row r="1965" spans="1:1">
      <c r="A1965" s="108" t="str">
        <f t="shared" si="56"/>
        <v/>
      </c>
    </row>
    <row r="1966" spans="1:1">
      <c r="A1966" s="108" t="str">
        <f t="shared" si="56"/>
        <v/>
      </c>
    </row>
    <row r="1967" spans="1:1">
      <c r="A1967" s="108" t="str">
        <f t="shared" si="56"/>
        <v/>
      </c>
    </row>
    <row r="1968" spans="1:1">
      <c r="A1968" s="108" t="str">
        <f t="shared" si="56"/>
        <v/>
      </c>
    </row>
    <row r="1969" spans="1:1">
      <c r="A1969" s="108" t="str">
        <f t="shared" si="56"/>
        <v/>
      </c>
    </row>
    <row r="1970" spans="1:1">
      <c r="A1970" s="108" t="str">
        <f t="shared" si="56"/>
        <v/>
      </c>
    </row>
    <row r="1971" spans="1:1">
      <c r="A1971" s="108" t="str">
        <f t="shared" si="56"/>
        <v/>
      </c>
    </row>
    <row r="1972" spans="1:1">
      <c r="A1972" s="108" t="str">
        <f t="shared" si="56"/>
        <v/>
      </c>
    </row>
    <row r="1973" spans="1:1">
      <c r="A1973" s="108" t="str">
        <f t="shared" si="56"/>
        <v/>
      </c>
    </row>
    <row r="1974" spans="1:1">
      <c r="A1974" s="108" t="str">
        <f t="shared" si="56"/>
        <v/>
      </c>
    </row>
    <row r="1975" spans="1:1">
      <c r="A1975" s="108" t="str">
        <f t="shared" si="56"/>
        <v/>
      </c>
    </row>
    <row r="1976" spans="1:1">
      <c r="A1976" s="108" t="str">
        <f t="shared" si="56"/>
        <v/>
      </c>
    </row>
    <row r="1977" spans="1:1">
      <c r="A1977" s="108" t="str">
        <f t="shared" si="56"/>
        <v/>
      </c>
    </row>
    <row r="1978" spans="1:1">
      <c r="A1978" s="108" t="str">
        <f t="shared" si="56"/>
        <v/>
      </c>
    </row>
    <row r="1979" spans="1:1">
      <c r="A1979" s="108" t="str">
        <f t="shared" si="56"/>
        <v/>
      </c>
    </row>
    <row r="1980" spans="1:1">
      <c r="A1980" s="108" t="str">
        <f t="shared" si="56"/>
        <v/>
      </c>
    </row>
    <row r="1981" spans="1:1">
      <c r="A1981" s="108" t="str">
        <f t="shared" si="56"/>
        <v/>
      </c>
    </row>
    <row r="1982" spans="1:1">
      <c r="A1982" s="108" t="str">
        <f t="shared" si="56"/>
        <v/>
      </c>
    </row>
    <row r="1983" spans="1:1">
      <c r="A1983" s="108" t="str">
        <f t="shared" si="56"/>
        <v/>
      </c>
    </row>
    <row r="1984" spans="1:1">
      <c r="A1984" s="108" t="str">
        <f t="shared" si="56"/>
        <v/>
      </c>
    </row>
    <row r="1985" spans="1:1">
      <c r="A1985" s="108" t="str">
        <f t="shared" si="56"/>
        <v/>
      </c>
    </row>
    <row r="1986" spans="1:1">
      <c r="A1986" s="108" t="str">
        <f t="shared" si="56"/>
        <v/>
      </c>
    </row>
    <row r="1987" spans="1:1">
      <c r="A1987" s="108" t="str">
        <f t="shared" si="56"/>
        <v/>
      </c>
    </row>
    <row r="1988" spans="1:1">
      <c r="A1988" s="108" t="str">
        <f t="shared" si="56"/>
        <v/>
      </c>
    </row>
    <row r="1989" spans="1:1">
      <c r="A1989" s="108" t="str">
        <f t="shared" si="56"/>
        <v/>
      </c>
    </row>
    <row r="1990" spans="1:1">
      <c r="A1990" s="108" t="str">
        <f t="shared" ref="A1990:A2053" si="57">C1990&amp;D1990&amp;E1990&amp;F1990&amp;G1990</f>
        <v/>
      </c>
    </row>
    <row r="1991" spans="1:1">
      <c r="A1991" s="108" t="str">
        <f t="shared" si="57"/>
        <v/>
      </c>
    </row>
    <row r="1992" spans="1:1">
      <c r="A1992" s="108" t="str">
        <f t="shared" si="57"/>
        <v/>
      </c>
    </row>
    <row r="1993" spans="1:1">
      <c r="A1993" s="108" t="str">
        <f t="shared" si="57"/>
        <v/>
      </c>
    </row>
    <row r="1994" spans="1:1">
      <c r="A1994" s="108" t="str">
        <f t="shared" si="57"/>
        <v/>
      </c>
    </row>
    <row r="1995" spans="1:1">
      <c r="A1995" s="108" t="str">
        <f t="shared" si="57"/>
        <v/>
      </c>
    </row>
    <row r="1996" spans="1:1">
      <c r="A1996" s="108" t="str">
        <f t="shared" si="57"/>
        <v/>
      </c>
    </row>
    <row r="1997" spans="1:1">
      <c r="A1997" s="108" t="str">
        <f t="shared" si="57"/>
        <v/>
      </c>
    </row>
    <row r="1998" spans="1:1">
      <c r="A1998" s="108" t="str">
        <f t="shared" si="57"/>
        <v/>
      </c>
    </row>
    <row r="1999" spans="1:1">
      <c r="A1999" s="108" t="str">
        <f t="shared" si="57"/>
        <v/>
      </c>
    </row>
    <row r="2000" spans="1:1">
      <c r="A2000" s="108" t="str">
        <f t="shared" si="57"/>
        <v/>
      </c>
    </row>
    <row r="2001" spans="1:1">
      <c r="A2001" s="108" t="str">
        <f t="shared" si="57"/>
        <v/>
      </c>
    </row>
    <row r="2002" spans="1:1">
      <c r="A2002" s="108" t="str">
        <f t="shared" si="57"/>
        <v/>
      </c>
    </row>
    <row r="2003" spans="1:1">
      <c r="A2003" s="108" t="str">
        <f t="shared" si="57"/>
        <v/>
      </c>
    </row>
    <row r="2004" spans="1:1">
      <c r="A2004" s="108" t="str">
        <f t="shared" si="57"/>
        <v/>
      </c>
    </row>
    <row r="2005" spans="1:1">
      <c r="A2005" s="108" t="str">
        <f t="shared" si="57"/>
        <v/>
      </c>
    </row>
    <row r="2006" spans="1:1">
      <c r="A2006" s="108" t="str">
        <f t="shared" si="57"/>
        <v/>
      </c>
    </row>
    <row r="2007" spans="1:1">
      <c r="A2007" s="108" t="str">
        <f t="shared" si="57"/>
        <v/>
      </c>
    </row>
    <row r="2008" spans="1:1">
      <c r="A2008" s="108" t="str">
        <f t="shared" si="57"/>
        <v/>
      </c>
    </row>
    <row r="2009" spans="1:1">
      <c r="A2009" s="108" t="str">
        <f t="shared" si="57"/>
        <v/>
      </c>
    </row>
    <row r="2010" spans="1:1">
      <c r="A2010" s="108" t="str">
        <f t="shared" si="57"/>
        <v/>
      </c>
    </row>
    <row r="2011" spans="1:1">
      <c r="A2011" s="108" t="str">
        <f t="shared" si="57"/>
        <v/>
      </c>
    </row>
    <row r="2012" spans="1:1">
      <c r="A2012" s="108" t="str">
        <f t="shared" si="57"/>
        <v/>
      </c>
    </row>
    <row r="2013" spans="1:1">
      <c r="A2013" s="108" t="str">
        <f t="shared" si="57"/>
        <v/>
      </c>
    </row>
    <row r="2014" spans="1:1">
      <c r="A2014" s="108" t="str">
        <f t="shared" si="57"/>
        <v/>
      </c>
    </row>
    <row r="2015" spans="1:1">
      <c r="A2015" s="108" t="str">
        <f t="shared" si="57"/>
        <v/>
      </c>
    </row>
    <row r="2016" spans="1:1">
      <c r="A2016" s="108" t="str">
        <f t="shared" si="57"/>
        <v/>
      </c>
    </row>
    <row r="2017" spans="1:1">
      <c r="A2017" s="108" t="str">
        <f t="shared" si="57"/>
        <v/>
      </c>
    </row>
    <row r="2018" spans="1:1">
      <c r="A2018" s="108" t="str">
        <f t="shared" si="57"/>
        <v/>
      </c>
    </row>
    <row r="2019" spans="1:1">
      <c r="A2019" s="108" t="str">
        <f t="shared" si="57"/>
        <v/>
      </c>
    </row>
    <row r="2020" spans="1:1">
      <c r="A2020" s="108" t="str">
        <f t="shared" si="57"/>
        <v/>
      </c>
    </row>
    <row r="2021" spans="1:1">
      <c r="A2021" s="108" t="str">
        <f t="shared" si="57"/>
        <v/>
      </c>
    </row>
    <row r="2022" spans="1:1">
      <c r="A2022" s="108" t="str">
        <f t="shared" si="57"/>
        <v/>
      </c>
    </row>
    <row r="2023" spans="1:1">
      <c r="A2023" s="108" t="str">
        <f t="shared" si="57"/>
        <v/>
      </c>
    </row>
    <row r="2024" spans="1:1">
      <c r="A2024" s="108" t="str">
        <f t="shared" si="57"/>
        <v/>
      </c>
    </row>
    <row r="2025" spans="1:1">
      <c r="A2025" s="108" t="str">
        <f t="shared" si="57"/>
        <v/>
      </c>
    </row>
    <row r="2026" spans="1:1">
      <c r="A2026" s="108" t="str">
        <f t="shared" si="57"/>
        <v/>
      </c>
    </row>
    <row r="2027" spans="1:1">
      <c r="A2027" s="108" t="str">
        <f t="shared" si="57"/>
        <v/>
      </c>
    </row>
    <row r="2028" spans="1:1">
      <c r="A2028" s="108" t="str">
        <f t="shared" si="57"/>
        <v/>
      </c>
    </row>
    <row r="2029" spans="1:1">
      <c r="A2029" s="108" t="str">
        <f t="shared" si="57"/>
        <v/>
      </c>
    </row>
    <row r="2030" spans="1:1">
      <c r="A2030" s="108" t="str">
        <f t="shared" si="57"/>
        <v/>
      </c>
    </row>
    <row r="2031" spans="1:1">
      <c r="A2031" s="108" t="str">
        <f t="shared" si="57"/>
        <v/>
      </c>
    </row>
    <row r="2032" spans="1:1">
      <c r="A2032" s="108" t="str">
        <f t="shared" si="57"/>
        <v/>
      </c>
    </row>
    <row r="2033" spans="1:1">
      <c r="A2033" s="108" t="str">
        <f t="shared" si="57"/>
        <v/>
      </c>
    </row>
    <row r="2034" spans="1:1">
      <c r="A2034" s="108" t="str">
        <f t="shared" si="57"/>
        <v/>
      </c>
    </row>
    <row r="2035" spans="1:1">
      <c r="A2035" s="108" t="str">
        <f t="shared" si="57"/>
        <v/>
      </c>
    </row>
    <row r="2036" spans="1:1">
      <c r="A2036" s="108" t="str">
        <f t="shared" si="57"/>
        <v/>
      </c>
    </row>
    <row r="2037" spans="1:1">
      <c r="A2037" s="108" t="str">
        <f t="shared" si="57"/>
        <v/>
      </c>
    </row>
    <row r="2038" spans="1:1">
      <c r="A2038" s="108" t="str">
        <f t="shared" si="57"/>
        <v/>
      </c>
    </row>
    <row r="2039" spans="1:1">
      <c r="A2039" s="108" t="str">
        <f t="shared" si="57"/>
        <v/>
      </c>
    </row>
    <row r="2040" spans="1:1">
      <c r="A2040" s="108" t="str">
        <f t="shared" si="57"/>
        <v/>
      </c>
    </row>
    <row r="2041" spans="1:1">
      <c r="A2041" s="108" t="str">
        <f t="shared" si="57"/>
        <v/>
      </c>
    </row>
    <row r="2042" spans="1:1">
      <c r="A2042" s="108" t="str">
        <f t="shared" si="57"/>
        <v/>
      </c>
    </row>
    <row r="2043" spans="1:1">
      <c r="A2043" s="108" t="str">
        <f t="shared" si="57"/>
        <v/>
      </c>
    </row>
    <row r="2044" spans="1:1">
      <c r="A2044" s="108" t="str">
        <f t="shared" si="57"/>
        <v/>
      </c>
    </row>
    <row r="2045" spans="1:1">
      <c r="A2045" s="108" t="str">
        <f t="shared" si="57"/>
        <v/>
      </c>
    </row>
    <row r="2046" spans="1:1">
      <c r="A2046" s="108" t="str">
        <f t="shared" si="57"/>
        <v/>
      </c>
    </row>
    <row r="2047" spans="1:1">
      <c r="A2047" s="108" t="str">
        <f t="shared" si="57"/>
        <v/>
      </c>
    </row>
    <row r="2048" spans="1:1">
      <c r="A2048" s="108" t="str">
        <f t="shared" si="57"/>
        <v/>
      </c>
    </row>
    <row r="2049" spans="1:1">
      <c r="A2049" s="108" t="str">
        <f t="shared" si="57"/>
        <v/>
      </c>
    </row>
    <row r="2050" spans="1:1">
      <c r="A2050" s="108" t="str">
        <f t="shared" si="57"/>
        <v/>
      </c>
    </row>
    <row r="2051" spans="1:1">
      <c r="A2051" s="108" t="str">
        <f t="shared" si="57"/>
        <v/>
      </c>
    </row>
    <row r="2052" spans="1:1">
      <c r="A2052" s="108" t="str">
        <f t="shared" si="57"/>
        <v/>
      </c>
    </row>
    <row r="2053" spans="1:1">
      <c r="A2053" s="108" t="str">
        <f t="shared" si="57"/>
        <v/>
      </c>
    </row>
    <row r="2054" spans="1:1">
      <c r="A2054" s="108" t="str">
        <f t="shared" ref="A2054:A2117" si="58">C2054&amp;D2054&amp;E2054&amp;F2054&amp;G2054</f>
        <v/>
      </c>
    </row>
    <row r="2055" spans="1:1">
      <c r="A2055" s="108" t="str">
        <f t="shared" si="58"/>
        <v/>
      </c>
    </row>
    <row r="2056" spans="1:1">
      <c r="A2056" s="108" t="str">
        <f t="shared" si="58"/>
        <v/>
      </c>
    </row>
    <row r="2057" spans="1:1">
      <c r="A2057" s="108" t="str">
        <f t="shared" si="58"/>
        <v/>
      </c>
    </row>
    <row r="2058" spans="1:1">
      <c r="A2058" s="108" t="str">
        <f t="shared" si="58"/>
        <v/>
      </c>
    </row>
    <row r="2059" spans="1:1">
      <c r="A2059" s="108" t="str">
        <f t="shared" si="58"/>
        <v/>
      </c>
    </row>
    <row r="2060" spans="1:1">
      <c r="A2060" s="108" t="str">
        <f t="shared" si="58"/>
        <v/>
      </c>
    </row>
    <row r="2061" spans="1:1">
      <c r="A2061" s="108" t="str">
        <f t="shared" si="58"/>
        <v/>
      </c>
    </row>
    <row r="2062" spans="1:1">
      <c r="A2062" s="108" t="str">
        <f t="shared" si="58"/>
        <v/>
      </c>
    </row>
    <row r="2063" spans="1:1">
      <c r="A2063" s="108" t="str">
        <f t="shared" si="58"/>
        <v/>
      </c>
    </row>
    <row r="2064" spans="1:1">
      <c r="A2064" s="108" t="str">
        <f t="shared" si="58"/>
        <v/>
      </c>
    </row>
    <row r="2065" spans="1:1">
      <c r="A2065" s="108" t="str">
        <f t="shared" si="58"/>
        <v/>
      </c>
    </row>
    <row r="2066" spans="1:1">
      <c r="A2066" s="108" t="str">
        <f t="shared" si="58"/>
        <v/>
      </c>
    </row>
    <row r="2067" spans="1:1">
      <c r="A2067" s="108" t="str">
        <f t="shared" si="58"/>
        <v/>
      </c>
    </row>
    <row r="2068" spans="1:1">
      <c r="A2068" s="108" t="str">
        <f t="shared" si="58"/>
        <v/>
      </c>
    </row>
    <row r="2069" spans="1:1">
      <c r="A2069" s="108" t="str">
        <f t="shared" si="58"/>
        <v/>
      </c>
    </row>
    <row r="2070" spans="1:1">
      <c r="A2070" s="108" t="str">
        <f t="shared" si="58"/>
        <v/>
      </c>
    </row>
    <row r="2071" spans="1:1">
      <c r="A2071" s="108" t="str">
        <f t="shared" si="58"/>
        <v/>
      </c>
    </row>
    <row r="2072" spans="1:1">
      <c r="A2072" s="108" t="str">
        <f t="shared" si="58"/>
        <v/>
      </c>
    </row>
    <row r="2073" spans="1:1">
      <c r="A2073" s="108" t="str">
        <f t="shared" si="58"/>
        <v/>
      </c>
    </row>
    <row r="2074" spans="1:1">
      <c r="A2074" s="108" t="str">
        <f t="shared" si="58"/>
        <v/>
      </c>
    </row>
    <row r="2075" spans="1:1">
      <c r="A2075" s="108" t="str">
        <f t="shared" si="58"/>
        <v/>
      </c>
    </row>
    <row r="2076" spans="1:1">
      <c r="A2076" s="108" t="str">
        <f t="shared" si="58"/>
        <v/>
      </c>
    </row>
    <row r="2077" spans="1:1">
      <c r="A2077" s="108" t="str">
        <f t="shared" si="58"/>
        <v/>
      </c>
    </row>
    <row r="2078" spans="1:1">
      <c r="A2078" s="108" t="str">
        <f t="shared" si="58"/>
        <v/>
      </c>
    </row>
    <row r="2079" spans="1:1">
      <c r="A2079" s="108" t="str">
        <f t="shared" si="58"/>
        <v/>
      </c>
    </row>
    <row r="2080" spans="1:1">
      <c r="A2080" s="108" t="str">
        <f t="shared" si="58"/>
        <v/>
      </c>
    </row>
    <row r="2081" spans="1:1">
      <c r="A2081" s="108" t="str">
        <f t="shared" si="58"/>
        <v/>
      </c>
    </row>
    <row r="2082" spans="1:1">
      <c r="A2082" s="108" t="str">
        <f t="shared" si="58"/>
        <v/>
      </c>
    </row>
    <row r="2083" spans="1:1">
      <c r="A2083" s="108" t="str">
        <f t="shared" si="58"/>
        <v/>
      </c>
    </row>
    <row r="2084" spans="1:1">
      <c r="A2084" s="108" t="str">
        <f t="shared" si="58"/>
        <v/>
      </c>
    </row>
    <row r="2085" spans="1:1">
      <c r="A2085" s="108" t="str">
        <f t="shared" si="58"/>
        <v/>
      </c>
    </row>
    <row r="2086" spans="1:1">
      <c r="A2086" s="108" t="str">
        <f t="shared" si="58"/>
        <v/>
      </c>
    </row>
    <row r="2087" spans="1:1">
      <c r="A2087" s="108" t="str">
        <f t="shared" si="58"/>
        <v/>
      </c>
    </row>
    <row r="2088" spans="1:1">
      <c r="A2088" s="108" t="str">
        <f t="shared" si="58"/>
        <v/>
      </c>
    </row>
    <row r="2089" spans="1:1">
      <c r="A2089" s="108" t="str">
        <f t="shared" si="58"/>
        <v/>
      </c>
    </row>
    <row r="2090" spans="1:1">
      <c r="A2090" s="108" t="str">
        <f t="shared" si="58"/>
        <v/>
      </c>
    </row>
    <row r="2091" spans="1:1">
      <c r="A2091" s="108" t="str">
        <f t="shared" si="58"/>
        <v/>
      </c>
    </row>
    <row r="2092" spans="1:1">
      <c r="A2092" s="108" t="str">
        <f t="shared" si="58"/>
        <v/>
      </c>
    </row>
    <row r="2093" spans="1:1">
      <c r="A2093" s="108" t="str">
        <f t="shared" si="58"/>
        <v/>
      </c>
    </row>
    <row r="2094" spans="1:1">
      <c r="A2094" s="108" t="str">
        <f t="shared" si="58"/>
        <v/>
      </c>
    </row>
    <row r="2095" spans="1:1">
      <c r="A2095" s="108" t="str">
        <f t="shared" si="58"/>
        <v/>
      </c>
    </row>
    <row r="2096" spans="1:1">
      <c r="A2096" s="108" t="str">
        <f t="shared" si="58"/>
        <v/>
      </c>
    </row>
    <row r="2097" spans="1:1">
      <c r="A2097" s="108" t="str">
        <f t="shared" si="58"/>
        <v/>
      </c>
    </row>
    <row r="2098" spans="1:1">
      <c r="A2098" s="108" t="str">
        <f t="shared" si="58"/>
        <v/>
      </c>
    </row>
    <row r="2099" spans="1:1">
      <c r="A2099" s="108" t="str">
        <f t="shared" si="58"/>
        <v/>
      </c>
    </row>
    <row r="2100" spans="1:1">
      <c r="A2100" s="108" t="str">
        <f t="shared" si="58"/>
        <v/>
      </c>
    </row>
    <row r="2101" spans="1:1">
      <c r="A2101" s="108" t="str">
        <f t="shared" si="58"/>
        <v/>
      </c>
    </row>
    <row r="2102" spans="1:1">
      <c r="A2102" s="108" t="str">
        <f t="shared" si="58"/>
        <v/>
      </c>
    </row>
    <row r="2103" spans="1:1">
      <c r="A2103" s="108" t="str">
        <f t="shared" si="58"/>
        <v/>
      </c>
    </row>
    <row r="2104" spans="1:1">
      <c r="A2104" s="108" t="str">
        <f t="shared" si="58"/>
        <v/>
      </c>
    </row>
    <row r="2105" spans="1:1">
      <c r="A2105" s="108" t="str">
        <f t="shared" si="58"/>
        <v/>
      </c>
    </row>
    <row r="2106" spans="1:1">
      <c r="A2106" s="108" t="str">
        <f t="shared" si="58"/>
        <v/>
      </c>
    </row>
    <row r="2107" spans="1:1">
      <c r="A2107" s="108" t="str">
        <f t="shared" si="58"/>
        <v/>
      </c>
    </row>
    <row r="2108" spans="1:1">
      <c r="A2108" s="108" t="str">
        <f t="shared" si="58"/>
        <v/>
      </c>
    </row>
    <row r="2109" spans="1:1">
      <c r="A2109" s="108" t="str">
        <f t="shared" si="58"/>
        <v/>
      </c>
    </row>
    <row r="2110" spans="1:1">
      <c r="A2110" s="108" t="str">
        <f t="shared" si="58"/>
        <v/>
      </c>
    </row>
    <row r="2111" spans="1:1">
      <c r="A2111" s="108" t="str">
        <f t="shared" si="58"/>
        <v/>
      </c>
    </row>
    <row r="2112" spans="1:1">
      <c r="A2112" s="108" t="str">
        <f t="shared" si="58"/>
        <v/>
      </c>
    </row>
    <row r="2113" spans="1:1">
      <c r="A2113" s="108" t="str">
        <f t="shared" si="58"/>
        <v/>
      </c>
    </row>
    <row r="2114" spans="1:1">
      <c r="A2114" s="108" t="str">
        <f t="shared" si="58"/>
        <v/>
      </c>
    </row>
    <row r="2115" spans="1:1">
      <c r="A2115" s="108" t="str">
        <f t="shared" si="58"/>
        <v/>
      </c>
    </row>
    <row r="2116" spans="1:1">
      <c r="A2116" s="108" t="str">
        <f t="shared" si="58"/>
        <v/>
      </c>
    </row>
    <row r="2117" spans="1:1">
      <c r="A2117" s="108" t="str">
        <f t="shared" si="58"/>
        <v/>
      </c>
    </row>
    <row r="2118" spans="1:1">
      <c r="A2118" s="108" t="str">
        <f t="shared" ref="A2118:A2181" si="59">C2118&amp;D2118&amp;E2118&amp;F2118&amp;G2118</f>
        <v/>
      </c>
    </row>
    <row r="2119" spans="1:1">
      <c r="A2119" s="108" t="str">
        <f t="shared" si="59"/>
        <v/>
      </c>
    </row>
    <row r="2120" spans="1:1">
      <c r="A2120" s="108" t="str">
        <f t="shared" si="59"/>
        <v/>
      </c>
    </row>
    <row r="2121" spans="1:1">
      <c r="A2121" s="108" t="str">
        <f t="shared" si="59"/>
        <v/>
      </c>
    </row>
    <row r="2122" spans="1:1">
      <c r="A2122" s="108" t="str">
        <f t="shared" si="59"/>
        <v/>
      </c>
    </row>
    <row r="2123" spans="1:1">
      <c r="A2123" s="108" t="str">
        <f t="shared" si="59"/>
        <v/>
      </c>
    </row>
    <row r="2124" spans="1:1">
      <c r="A2124" s="108" t="str">
        <f t="shared" si="59"/>
        <v/>
      </c>
    </row>
    <row r="2125" spans="1:1">
      <c r="A2125" s="108" t="str">
        <f t="shared" si="59"/>
        <v/>
      </c>
    </row>
    <row r="2126" spans="1:1">
      <c r="A2126" s="108" t="str">
        <f t="shared" si="59"/>
        <v/>
      </c>
    </row>
    <row r="2127" spans="1:1">
      <c r="A2127" s="108" t="str">
        <f t="shared" si="59"/>
        <v/>
      </c>
    </row>
    <row r="2128" spans="1:1">
      <c r="A2128" s="108" t="str">
        <f t="shared" si="59"/>
        <v/>
      </c>
    </row>
    <row r="2129" spans="1:1">
      <c r="A2129" s="108" t="str">
        <f t="shared" si="59"/>
        <v/>
      </c>
    </row>
    <row r="2130" spans="1:1">
      <c r="A2130" s="108" t="str">
        <f t="shared" si="59"/>
        <v/>
      </c>
    </row>
    <row r="2131" spans="1:1">
      <c r="A2131" s="108" t="str">
        <f t="shared" si="59"/>
        <v/>
      </c>
    </row>
    <row r="2132" spans="1:1">
      <c r="A2132" s="108" t="str">
        <f t="shared" si="59"/>
        <v/>
      </c>
    </row>
    <row r="2133" spans="1:1">
      <c r="A2133" s="108" t="str">
        <f t="shared" si="59"/>
        <v/>
      </c>
    </row>
    <row r="2134" spans="1:1">
      <c r="A2134" s="108" t="str">
        <f t="shared" si="59"/>
        <v/>
      </c>
    </row>
    <row r="2135" spans="1:1">
      <c r="A2135" s="108" t="str">
        <f t="shared" si="59"/>
        <v/>
      </c>
    </row>
    <row r="2136" spans="1:1">
      <c r="A2136" s="108" t="str">
        <f t="shared" si="59"/>
        <v/>
      </c>
    </row>
    <row r="2137" spans="1:1">
      <c r="A2137" s="108" t="str">
        <f t="shared" si="59"/>
        <v/>
      </c>
    </row>
    <row r="2138" spans="1:1">
      <c r="A2138" s="108" t="str">
        <f t="shared" si="59"/>
        <v/>
      </c>
    </row>
    <row r="2139" spans="1:1">
      <c r="A2139" s="108" t="str">
        <f t="shared" si="59"/>
        <v/>
      </c>
    </row>
    <row r="2140" spans="1:1">
      <c r="A2140" s="108" t="str">
        <f t="shared" si="59"/>
        <v/>
      </c>
    </row>
    <row r="2141" spans="1:1">
      <c r="A2141" s="108" t="str">
        <f t="shared" si="59"/>
        <v/>
      </c>
    </row>
    <row r="2142" spans="1:1">
      <c r="A2142" s="108" t="str">
        <f t="shared" si="59"/>
        <v/>
      </c>
    </row>
    <row r="2143" spans="1:1">
      <c r="A2143" s="108" t="str">
        <f t="shared" si="59"/>
        <v/>
      </c>
    </row>
    <row r="2144" spans="1:1">
      <c r="A2144" s="108" t="str">
        <f t="shared" si="59"/>
        <v/>
      </c>
    </row>
    <row r="2145" spans="1:1">
      <c r="A2145" s="108" t="str">
        <f t="shared" si="59"/>
        <v/>
      </c>
    </row>
    <row r="2146" spans="1:1">
      <c r="A2146" s="108" t="str">
        <f t="shared" si="59"/>
        <v/>
      </c>
    </row>
    <row r="2147" spans="1:1">
      <c r="A2147" s="108" t="str">
        <f t="shared" si="59"/>
        <v/>
      </c>
    </row>
    <row r="2148" spans="1:1">
      <c r="A2148" s="108" t="str">
        <f t="shared" si="59"/>
        <v/>
      </c>
    </row>
    <row r="2149" spans="1:1">
      <c r="A2149" s="108" t="str">
        <f t="shared" si="59"/>
        <v/>
      </c>
    </row>
    <row r="2150" spans="1:1">
      <c r="A2150" s="108" t="str">
        <f t="shared" si="59"/>
        <v/>
      </c>
    </row>
    <row r="2151" spans="1:1">
      <c r="A2151" s="108" t="str">
        <f t="shared" si="59"/>
        <v/>
      </c>
    </row>
    <row r="2152" spans="1:1">
      <c r="A2152" s="108" t="str">
        <f t="shared" si="59"/>
        <v/>
      </c>
    </row>
    <row r="2153" spans="1:1">
      <c r="A2153" s="108" t="str">
        <f t="shared" si="59"/>
        <v/>
      </c>
    </row>
    <row r="2154" spans="1:1">
      <c r="A2154" s="108" t="str">
        <f t="shared" si="59"/>
        <v/>
      </c>
    </row>
    <row r="2155" spans="1:1">
      <c r="A2155" s="108" t="str">
        <f t="shared" si="59"/>
        <v/>
      </c>
    </row>
    <row r="2156" spans="1:1">
      <c r="A2156" s="108" t="str">
        <f t="shared" si="59"/>
        <v/>
      </c>
    </row>
    <row r="2157" spans="1:1">
      <c r="A2157" s="108" t="str">
        <f t="shared" si="59"/>
        <v/>
      </c>
    </row>
    <row r="2158" spans="1:1">
      <c r="A2158" s="108" t="str">
        <f t="shared" si="59"/>
        <v/>
      </c>
    </row>
    <row r="2159" spans="1:1">
      <c r="A2159" s="108" t="str">
        <f t="shared" si="59"/>
        <v/>
      </c>
    </row>
    <row r="2160" spans="1:1">
      <c r="A2160" s="108" t="str">
        <f t="shared" si="59"/>
        <v/>
      </c>
    </row>
    <row r="2161" spans="1:1">
      <c r="A2161" s="108" t="str">
        <f t="shared" si="59"/>
        <v/>
      </c>
    </row>
    <row r="2162" spans="1:1">
      <c r="A2162" s="108" t="str">
        <f t="shared" si="59"/>
        <v/>
      </c>
    </row>
    <row r="2163" spans="1:1">
      <c r="A2163" s="108" t="str">
        <f t="shared" si="59"/>
        <v/>
      </c>
    </row>
    <row r="2164" spans="1:1">
      <c r="A2164" s="108" t="str">
        <f t="shared" si="59"/>
        <v/>
      </c>
    </row>
    <row r="2165" spans="1:1">
      <c r="A2165" s="108" t="str">
        <f t="shared" si="59"/>
        <v/>
      </c>
    </row>
    <row r="2166" spans="1:1">
      <c r="A2166" s="108" t="str">
        <f t="shared" si="59"/>
        <v/>
      </c>
    </row>
    <row r="2167" spans="1:1">
      <c r="A2167" s="108" t="str">
        <f t="shared" si="59"/>
        <v/>
      </c>
    </row>
    <row r="2168" spans="1:1">
      <c r="A2168" s="108" t="str">
        <f t="shared" si="59"/>
        <v/>
      </c>
    </row>
    <row r="2169" spans="1:1">
      <c r="A2169" s="108" t="str">
        <f t="shared" si="59"/>
        <v/>
      </c>
    </row>
    <row r="2170" spans="1:1">
      <c r="A2170" s="108" t="str">
        <f t="shared" si="59"/>
        <v/>
      </c>
    </row>
    <row r="2171" spans="1:1">
      <c r="A2171" s="108" t="str">
        <f t="shared" si="59"/>
        <v/>
      </c>
    </row>
    <row r="2172" spans="1:1">
      <c r="A2172" s="108" t="str">
        <f t="shared" si="59"/>
        <v/>
      </c>
    </row>
    <row r="2173" spans="1:1">
      <c r="A2173" s="108" t="str">
        <f t="shared" si="59"/>
        <v/>
      </c>
    </row>
    <row r="2174" spans="1:1">
      <c r="A2174" s="108" t="str">
        <f t="shared" si="59"/>
        <v/>
      </c>
    </row>
    <row r="2175" spans="1:1">
      <c r="A2175" s="108" t="str">
        <f t="shared" si="59"/>
        <v/>
      </c>
    </row>
    <row r="2176" spans="1:1">
      <c r="A2176" s="108" t="str">
        <f t="shared" si="59"/>
        <v/>
      </c>
    </row>
    <row r="2177" spans="1:1">
      <c r="A2177" s="108" t="str">
        <f t="shared" si="59"/>
        <v/>
      </c>
    </row>
    <row r="2178" spans="1:1">
      <c r="A2178" s="108" t="str">
        <f t="shared" si="59"/>
        <v/>
      </c>
    </row>
    <row r="2179" spans="1:1">
      <c r="A2179" s="108" t="str">
        <f t="shared" si="59"/>
        <v/>
      </c>
    </row>
    <row r="2180" spans="1:1">
      <c r="A2180" s="108" t="str">
        <f t="shared" si="59"/>
        <v/>
      </c>
    </row>
    <row r="2181" spans="1:1">
      <c r="A2181" s="108" t="str">
        <f t="shared" si="59"/>
        <v/>
      </c>
    </row>
    <row r="2182" spans="1:1">
      <c r="A2182" s="108" t="str">
        <f t="shared" ref="A2182:A2245" si="60">C2182&amp;D2182&amp;E2182&amp;F2182&amp;G2182</f>
        <v/>
      </c>
    </row>
    <row r="2183" spans="1:1">
      <c r="A2183" s="108" t="str">
        <f t="shared" si="60"/>
        <v/>
      </c>
    </row>
    <row r="2184" spans="1:1">
      <c r="A2184" s="108" t="str">
        <f t="shared" si="60"/>
        <v/>
      </c>
    </row>
    <row r="2185" spans="1:1">
      <c r="A2185" s="108" t="str">
        <f t="shared" si="60"/>
        <v/>
      </c>
    </row>
    <row r="2186" spans="1:1">
      <c r="A2186" s="108" t="str">
        <f t="shared" si="60"/>
        <v/>
      </c>
    </row>
    <row r="2187" spans="1:1">
      <c r="A2187" s="108" t="str">
        <f t="shared" si="60"/>
        <v/>
      </c>
    </row>
    <row r="2188" spans="1:1">
      <c r="A2188" s="108" t="str">
        <f t="shared" si="60"/>
        <v/>
      </c>
    </row>
    <row r="2189" spans="1:1">
      <c r="A2189" s="108" t="str">
        <f t="shared" si="60"/>
        <v/>
      </c>
    </row>
    <row r="2190" spans="1:1">
      <c r="A2190" s="108" t="str">
        <f t="shared" si="60"/>
        <v/>
      </c>
    </row>
    <row r="2191" spans="1:1">
      <c r="A2191" s="108" t="str">
        <f t="shared" si="60"/>
        <v/>
      </c>
    </row>
    <row r="2192" spans="1:1">
      <c r="A2192" s="108" t="str">
        <f t="shared" si="60"/>
        <v/>
      </c>
    </row>
    <row r="2193" spans="1:1">
      <c r="A2193" s="108" t="str">
        <f t="shared" si="60"/>
        <v/>
      </c>
    </row>
    <row r="2194" spans="1:1">
      <c r="A2194" s="108" t="str">
        <f t="shared" si="60"/>
        <v/>
      </c>
    </row>
    <row r="2195" spans="1:1">
      <c r="A2195" s="108" t="str">
        <f t="shared" si="60"/>
        <v/>
      </c>
    </row>
    <row r="2196" spans="1:1">
      <c r="A2196" s="108" t="str">
        <f t="shared" si="60"/>
        <v/>
      </c>
    </row>
    <row r="2197" spans="1:1">
      <c r="A2197" s="108" t="str">
        <f t="shared" si="60"/>
        <v/>
      </c>
    </row>
    <row r="2198" spans="1:1">
      <c r="A2198" s="108" t="str">
        <f t="shared" si="60"/>
        <v/>
      </c>
    </row>
    <row r="2199" spans="1:1">
      <c r="A2199" s="108" t="str">
        <f t="shared" si="60"/>
        <v/>
      </c>
    </row>
    <row r="2200" spans="1:1">
      <c r="A2200" s="108" t="str">
        <f t="shared" si="60"/>
        <v/>
      </c>
    </row>
    <row r="2201" spans="1:1">
      <c r="A2201" s="108" t="str">
        <f t="shared" si="60"/>
        <v/>
      </c>
    </row>
    <row r="2202" spans="1:1">
      <c r="A2202" s="108" t="str">
        <f t="shared" si="60"/>
        <v/>
      </c>
    </row>
    <row r="2203" spans="1:1">
      <c r="A2203" s="108" t="str">
        <f t="shared" si="60"/>
        <v/>
      </c>
    </row>
    <row r="2204" spans="1:1">
      <c r="A2204" s="108" t="str">
        <f t="shared" si="60"/>
        <v/>
      </c>
    </row>
    <row r="2205" spans="1:1">
      <c r="A2205" s="108" t="str">
        <f t="shared" si="60"/>
        <v/>
      </c>
    </row>
    <row r="2206" spans="1:1">
      <c r="A2206" s="108" t="str">
        <f t="shared" si="60"/>
        <v/>
      </c>
    </row>
    <row r="2207" spans="1:1">
      <c r="A2207" s="108" t="str">
        <f t="shared" si="60"/>
        <v/>
      </c>
    </row>
    <row r="2208" spans="1:1">
      <c r="A2208" s="108" t="str">
        <f t="shared" si="60"/>
        <v/>
      </c>
    </row>
    <row r="2209" spans="1:1">
      <c r="A2209" s="108" t="str">
        <f t="shared" si="60"/>
        <v/>
      </c>
    </row>
    <row r="2210" spans="1:1">
      <c r="A2210" s="108" t="str">
        <f t="shared" si="60"/>
        <v/>
      </c>
    </row>
    <row r="2211" spans="1:1">
      <c r="A2211" s="108" t="str">
        <f t="shared" si="60"/>
        <v/>
      </c>
    </row>
    <row r="2212" spans="1:1">
      <c r="A2212" s="108" t="str">
        <f t="shared" si="60"/>
        <v/>
      </c>
    </row>
    <row r="2213" spans="1:1">
      <c r="A2213" s="108" t="str">
        <f t="shared" si="60"/>
        <v/>
      </c>
    </row>
    <row r="2214" spans="1:1">
      <c r="A2214" s="108" t="str">
        <f t="shared" si="60"/>
        <v/>
      </c>
    </row>
    <row r="2215" spans="1:1">
      <c r="A2215" s="108" t="str">
        <f t="shared" si="60"/>
        <v/>
      </c>
    </row>
    <row r="2216" spans="1:1">
      <c r="A2216" s="108" t="str">
        <f t="shared" si="60"/>
        <v/>
      </c>
    </row>
    <row r="2217" spans="1:1">
      <c r="A2217" s="108" t="str">
        <f t="shared" si="60"/>
        <v/>
      </c>
    </row>
    <row r="2218" spans="1:1">
      <c r="A2218" s="108" t="str">
        <f t="shared" si="60"/>
        <v/>
      </c>
    </row>
    <row r="2219" spans="1:1">
      <c r="A2219" s="108" t="str">
        <f t="shared" si="60"/>
        <v/>
      </c>
    </row>
    <row r="2220" spans="1:1">
      <c r="A2220" s="108" t="str">
        <f t="shared" si="60"/>
        <v/>
      </c>
    </row>
    <row r="2221" spans="1:1">
      <c r="A2221" s="108" t="str">
        <f t="shared" si="60"/>
        <v/>
      </c>
    </row>
    <row r="2222" spans="1:1">
      <c r="A2222" s="108" t="str">
        <f t="shared" si="60"/>
        <v/>
      </c>
    </row>
    <row r="2223" spans="1:1">
      <c r="A2223" s="108" t="str">
        <f t="shared" si="60"/>
        <v/>
      </c>
    </row>
    <row r="2224" spans="1:1">
      <c r="A2224" s="108" t="str">
        <f t="shared" si="60"/>
        <v/>
      </c>
    </row>
    <row r="2225" spans="1:1">
      <c r="A2225" s="108" t="str">
        <f t="shared" si="60"/>
        <v/>
      </c>
    </row>
    <row r="2226" spans="1:1">
      <c r="A2226" s="108" t="str">
        <f t="shared" si="60"/>
        <v/>
      </c>
    </row>
    <row r="2227" spans="1:1">
      <c r="A2227" s="108" t="str">
        <f t="shared" si="60"/>
        <v/>
      </c>
    </row>
    <row r="2228" spans="1:1">
      <c r="A2228" s="108" t="str">
        <f t="shared" si="60"/>
        <v/>
      </c>
    </row>
    <row r="2229" spans="1:1">
      <c r="A2229" s="108" t="str">
        <f t="shared" si="60"/>
        <v/>
      </c>
    </row>
    <row r="2230" spans="1:1">
      <c r="A2230" s="108" t="str">
        <f t="shared" si="60"/>
        <v/>
      </c>
    </row>
    <row r="2231" spans="1:1">
      <c r="A2231" s="108" t="str">
        <f t="shared" si="60"/>
        <v/>
      </c>
    </row>
    <row r="2232" spans="1:1">
      <c r="A2232" s="108" t="str">
        <f t="shared" si="60"/>
        <v/>
      </c>
    </row>
    <row r="2233" spans="1:1">
      <c r="A2233" s="108" t="str">
        <f t="shared" si="60"/>
        <v/>
      </c>
    </row>
    <row r="2234" spans="1:1">
      <c r="A2234" s="108" t="str">
        <f t="shared" si="60"/>
        <v/>
      </c>
    </row>
    <row r="2235" spans="1:1">
      <c r="A2235" s="108" t="str">
        <f t="shared" si="60"/>
        <v/>
      </c>
    </row>
    <row r="2236" spans="1:1">
      <c r="A2236" s="108" t="str">
        <f t="shared" si="60"/>
        <v/>
      </c>
    </row>
    <row r="2237" spans="1:1">
      <c r="A2237" s="108" t="str">
        <f t="shared" si="60"/>
        <v/>
      </c>
    </row>
    <row r="2238" spans="1:1">
      <c r="A2238" s="108" t="str">
        <f t="shared" si="60"/>
        <v/>
      </c>
    </row>
    <row r="2239" spans="1:1">
      <c r="A2239" s="108" t="str">
        <f t="shared" si="60"/>
        <v/>
      </c>
    </row>
    <row r="2240" spans="1:1">
      <c r="A2240" s="108" t="str">
        <f t="shared" si="60"/>
        <v/>
      </c>
    </row>
    <row r="2241" spans="1:1">
      <c r="A2241" s="108" t="str">
        <f t="shared" si="60"/>
        <v/>
      </c>
    </row>
    <row r="2242" spans="1:1">
      <c r="A2242" s="108" t="str">
        <f t="shared" si="60"/>
        <v/>
      </c>
    </row>
    <row r="2243" spans="1:1">
      <c r="A2243" s="108" t="str">
        <f t="shared" si="60"/>
        <v/>
      </c>
    </row>
    <row r="2244" spans="1:1">
      <c r="A2244" s="108" t="str">
        <f t="shared" si="60"/>
        <v/>
      </c>
    </row>
    <row r="2245" spans="1:1">
      <c r="A2245" s="108" t="str">
        <f t="shared" si="60"/>
        <v/>
      </c>
    </row>
    <row r="2246" spans="1:1">
      <c r="A2246" s="108" t="str">
        <f t="shared" ref="A2246:A2309" si="61">C2246&amp;D2246&amp;E2246&amp;F2246&amp;G2246</f>
        <v/>
      </c>
    </row>
    <row r="2247" spans="1:1">
      <c r="A2247" s="108" t="str">
        <f t="shared" si="61"/>
        <v/>
      </c>
    </row>
    <row r="2248" spans="1:1">
      <c r="A2248" s="108" t="str">
        <f t="shared" si="61"/>
        <v/>
      </c>
    </row>
    <row r="2249" spans="1:1">
      <c r="A2249" s="108" t="str">
        <f t="shared" si="61"/>
        <v/>
      </c>
    </row>
    <row r="2250" spans="1:1">
      <c r="A2250" s="108" t="str">
        <f t="shared" si="61"/>
        <v/>
      </c>
    </row>
    <row r="2251" spans="1:1">
      <c r="A2251" s="108" t="str">
        <f t="shared" si="61"/>
        <v/>
      </c>
    </row>
    <row r="2252" spans="1:1">
      <c r="A2252" s="108" t="str">
        <f t="shared" si="61"/>
        <v/>
      </c>
    </row>
    <row r="2253" spans="1:1">
      <c r="A2253" s="108" t="str">
        <f t="shared" si="61"/>
        <v/>
      </c>
    </row>
    <row r="2254" spans="1:1">
      <c r="A2254" s="108" t="str">
        <f t="shared" si="61"/>
        <v/>
      </c>
    </row>
    <row r="2255" spans="1:1">
      <c r="A2255" s="108" t="str">
        <f t="shared" si="61"/>
        <v/>
      </c>
    </row>
    <row r="2256" spans="1:1">
      <c r="A2256" s="108" t="str">
        <f t="shared" si="61"/>
        <v/>
      </c>
    </row>
    <row r="2257" spans="1:1">
      <c r="A2257" s="108" t="str">
        <f t="shared" si="61"/>
        <v/>
      </c>
    </row>
    <row r="2258" spans="1:1">
      <c r="A2258" s="108" t="str">
        <f t="shared" si="61"/>
        <v/>
      </c>
    </row>
    <row r="2259" spans="1:1">
      <c r="A2259" s="108" t="str">
        <f t="shared" si="61"/>
        <v/>
      </c>
    </row>
    <row r="2260" spans="1:1">
      <c r="A2260" s="108" t="str">
        <f t="shared" si="61"/>
        <v/>
      </c>
    </row>
    <row r="2261" spans="1:1">
      <c r="A2261" s="108" t="str">
        <f t="shared" si="61"/>
        <v/>
      </c>
    </row>
    <row r="2262" spans="1:1">
      <c r="A2262" s="108" t="str">
        <f t="shared" si="61"/>
        <v/>
      </c>
    </row>
    <row r="2263" spans="1:1">
      <c r="A2263" s="108" t="str">
        <f t="shared" si="61"/>
        <v/>
      </c>
    </row>
    <row r="2264" spans="1:1">
      <c r="A2264" s="108" t="str">
        <f t="shared" si="61"/>
        <v/>
      </c>
    </row>
    <row r="2265" spans="1:1">
      <c r="A2265" s="108" t="str">
        <f t="shared" si="61"/>
        <v/>
      </c>
    </row>
    <row r="2266" spans="1:1">
      <c r="A2266" s="108" t="str">
        <f t="shared" si="61"/>
        <v/>
      </c>
    </row>
    <row r="2267" spans="1:1">
      <c r="A2267" s="108" t="str">
        <f t="shared" si="61"/>
        <v/>
      </c>
    </row>
    <row r="2268" spans="1:1">
      <c r="A2268" s="108" t="str">
        <f t="shared" si="61"/>
        <v/>
      </c>
    </row>
    <row r="2269" spans="1:1">
      <c r="A2269" s="108" t="str">
        <f t="shared" si="61"/>
        <v/>
      </c>
    </row>
    <row r="2270" spans="1:1">
      <c r="A2270" s="108" t="str">
        <f t="shared" si="61"/>
        <v/>
      </c>
    </row>
    <row r="2271" spans="1:1">
      <c r="A2271" s="108" t="str">
        <f t="shared" si="61"/>
        <v/>
      </c>
    </row>
    <row r="2272" spans="1:1">
      <c r="A2272" s="108" t="str">
        <f t="shared" si="61"/>
        <v/>
      </c>
    </row>
    <row r="2273" spans="1:1">
      <c r="A2273" s="108" t="str">
        <f t="shared" si="61"/>
        <v/>
      </c>
    </row>
    <row r="2274" spans="1:1">
      <c r="A2274" s="108" t="str">
        <f t="shared" si="61"/>
        <v/>
      </c>
    </row>
    <row r="2275" spans="1:1">
      <c r="A2275" s="108" t="str">
        <f t="shared" si="61"/>
        <v/>
      </c>
    </row>
    <row r="2276" spans="1:1">
      <c r="A2276" s="108" t="str">
        <f t="shared" si="61"/>
        <v/>
      </c>
    </row>
    <row r="2277" spans="1:1">
      <c r="A2277" s="108" t="str">
        <f t="shared" si="61"/>
        <v/>
      </c>
    </row>
    <row r="2278" spans="1:1">
      <c r="A2278" s="108" t="str">
        <f t="shared" si="61"/>
        <v/>
      </c>
    </row>
    <row r="2279" spans="1:1">
      <c r="A2279" s="108" t="str">
        <f t="shared" si="61"/>
        <v/>
      </c>
    </row>
    <row r="2280" spans="1:1">
      <c r="A2280" s="108" t="str">
        <f t="shared" si="61"/>
        <v/>
      </c>
    </row>
    <row r="2281" spans="1:1">
      <c r="A2281" s="108" t="str">
        <f t="shared" si="61"/>
        <v/>
      </c>
    </row>
    <row r="2282" spans="1:1">
      <c r="A2282" s="108" t="str">
        <f t="shared" si="61"/>
        <v/>
      </c>
    </row>
    <row r="2283" spans="1:1">
      <c r="A2283" s="108" t="str">
        <f t="shared" si="61"/>
        <v/>
      </c>
    </row>
    <row r="2284" spans="1:1">
      <c r="A2284" s="108" t="str">
        <f t="shared" si="61"/>
        <v/>
      </c>
    </row>
    <row r="2285" spans="1:1">
      <c r="A2285" s="108" t="str">
        <f t="shared" si="61"/>
        <v/>
      </c>
    </row>
    <row r="2286" spans="1:1">
      <c r="A2286" s="108" t="str">
        <f t="shared" si="61"/>
        <v/>
      </c>
    </row>
    <row r="2287" spans="1:1">
      <c r="A2287" s="108" t="str">
        <f t="shared" si="61"/>
        <v/>
      </c>
    </row>
    <row r="2288" spans="1:1">
      <c r="A2288" s="108" t="str">
        <f t="shared" si="61"/>
        <v/>
      </c>
    </row>
    <row r="2289" spans="1:1">
      <c r="A2289" s="108" t="str">
        <f t="shared" si="61"/>
        <v/>
      </c>
    </row>
    <row r="2290" spans="1:1">
      <c r="A2290" s="108" t="str">
        <f t="shared" si="61"/>
        <v/>
      </c>
    </row>
    <row r="2291" spans="1:1">
      <c r="A2291" s="108" t="str">
        <f t="shared" si="61"/>
        <v/>
      </c>
    </row>
    <row r="2292" spans="1:1">
      <c r="A2292" s="108" t="str">
        <f t="shared" si="61"/>
        <v/>
      </c>
    </row>
    <row r="2293" spans="1:1">
      <c r="A2293" s="108" t="str">
        <f t="shared" si="61"/>
        <v/>
      </c>
    </row>
    <row r="2294" spans="1:1">
      <c r="A2294" s="108" t="str">
        <f t="shared" si="61"/>
        <v/>
      </c>
    </row>
    <row r="2295" spans="1:1">
      <c r="A2295" s="108" t="str">
        <f t="shared" si="61"/>
        <v/>
      </c>
    </row>
    <row r="2296" spans="1:1">
      <c r="A2296" s="108" t="str">
        <f t="shared" si="61"/>
        <v/>
      </c>
    </row>
    <row r="2297" spans="1:1">
      <c r="A2297" s="108" t="str">
        <f t="shared" si="61"/>
        <v/>
      </c>
    </row>
    <row r="2298" spans="1:1">
      <c r="A2298" s="108" t="str">
        <f t="shared" si="61"/>
        <v/>
      </c>
    </row>
    <row r="2299" spans="1:1">
      <c r="A2299" s="108" t="str">
        <f t="shared" si="61"/>
        <v/>
      </c>
    </row>
    <row r="2300" spans="1:1">
      <c r="A2300" s="108" t="str">
        <f t="shared" si="61"/>
        <v/>
      </c>
    </row>
    <row r="2301" spans="1:1">
      <c r="A2301" s="108" t="str">
        <f t="shared" si="61"/>
        <v/>
      </c>
    </row>
    <row r="2302" spans="1:1">
      <c r="A2302" s="108" t="str">
        <f t="shared" si="61"/>
        <v/>
      </c>
    </row>
    <row r="2303" spans="1:1">
      <c r="A2303" s="108" t="str">
        <f t="shared" si="61"/>
        <v/>
      </c>
    </row>
    <row r="2304" spans="1:1">
      <c r="A2304" s="108" t="str">
        <f t="shared" si="61"/>
        <v/>
      </c>
    </row>
    <row r="2305" spans="1:1">
      <c r="A2305" s="108" t="str">
        <f t="shared" si="61"/>
        <v/>
      </c>
    </row>
    <row r="2306" spans="1:1">
      <c r="A2306" s="108" t="str">
        <f t="shared" si="61"/>
        <v/>
      </c>
    </row>
    <row r="2307" spans="1:1">
      <c r="A2307" s="108" t="str">
        <f t="shared" si="61"/>
        <v/>
      </c>
    </row>
    <row r="2308" spans="1:1">
      <c r="A2308" s="108" t="str">
        <f t="shared" si="61"/>
        <v/>
      </c>
    </row>
    <row r="2309" spans="1:1">
      <c r="A2309" s="108" t="str">
        <f t="shared" si="61"/>
        <v/>
      </c>
    </row>
    <row r="2310" spans="1:1">
      <c r="A2310" s="108" t="str">
        <f t="shared" ref="A2310:A2373" si="62">C2310&amp;D2310&amp;E2310&amp;F2310&amp;G2310</f>
        <v/>
      </c>
    </row>
    <row r="2311" spans="1:1">
      <c r="A2311" s="108" t="str">
        <f t="shared" si="62"/>
        <v/>
      </c>
    </row>
    <row r="2312" spans="1:1">
      <c r="A2312" s="108" t="str">
        <f t="shared" si="62"/>
        <v/>
      </c>
    </row>
    <row r="2313" spans="1:1">
      <c r="A2313" s="108" t="str">
        <f t="shared" si="62"/>
        <v/>
      </c>
    </row>
    <row r="2314" spans="1:1">
      <c r="A2314" s="108" t="str">
        <f t="shared" si="62"/>
        <v/>
      </c>
    </row>
    <row r="2315" spans="1:1">
      <c r="A2315" s="108" t="str">
        <f t="shared" si="62"/>
        <v/>
      </c>
    </row>
    <row r="2316" spans="1:1">
      <c r="A2316" s="108" t="str">
        <f t="shared" si="62"/>
        <v/>
      </c>
    </row>
    <row r="2317" spans="1:1">
      <c r="A2317" s="108" t="str">
        <f t="shared" si="62"/>
        <v/>
      </c>
    </row>
    <row r="2318" spans="1:1">
      <c r="A2318" s="108" t="str">
        <f t="shared" si="62"/>
        <v/>
      </c>
    </row>
    <row r="2319" spans="1:1">
      <c r="A2319" s="108" t="str">
        <f t="shared" si="62"/>
        <v/>
      </c>
    </row>
    <row r="2320" spans="1:1">
      <c r="A2320" s="108" t="str">
        <f t="shared" si="62"/>
        <v/>
      </c>
    </row>
    <row r="2321" spans="1:1">
      <c r="A2321" s="108" t="str">
        <f t="shared" si="62"/>
        <v/>
      </c>
    </row>
    <row r="2322" spans="1:1">
      <c r="A2322" s="108" t="str">
        <f t="shared" si="62"/>
        <v/>
      </c>
    </row>
    <row r="2323" spans="1:1">
      <c r="A2323" s="108" t="str">
        <f t="shared" si="62"/>
        <v/>
      </c>
    </row>
    <row r="2324" spans="1:1">
      <c r="A2324" s="108" t="str">
        <f t="shared" si="62"/>
        <v/>
      </c>
    </row>
    <row r="2325" spans="1:1">
      <c r="A2325" s="108" t="str">
        <f t="shared" si="62"/>
        <v/>
      </c>
    </row>
    <row r="2326" spans="1:1">
      <c r="A2326" s="108" t="str">
        <f t="shared" si="62"/>
        <v/>
      </c>
    </row>
    <row r="2327" spans="1:1">
      <c r="A2327" s="108" t="str">
        <f t="shared" si="62"/>
        <v/>
      </c>
    </row>
    <row r="2328" spans="1:1">
      <c r="A2328" s="108" t="str">
        <f t="shared" si="62"/>
        <v/>
      </c>
    </row>
    <row r="2329" spans="1:1">
      <c r="A2329" s="108" t="str">
        <f t="shared" si="62"/>
        <v/>
      </c>
    </row>
    <row r="2330" spans="1:1">
      <c r="A2330" s="108" t="str">
        <f t="shared" si="62"/>
        <v/>
      </c>
    </row>
    <row r="2331" spans="1:1">
      <c r="A2331" s="108" t="str">
        <f t="shared" si="62"/>
        <v/>
      </c>
    </row>
    <row r="2332" spans="1:1">
      <c r="A2332" s="108" t="str">
        <f t="shared" si="62"/>
        <v/>
      </c>
    </row>
    <row r="2333" spans="1:1">
      <c r="A2333" s="108" t="str">
        <f t="shared" si="62"/>
        <v/>
      </c>
    </row>
    <row r="2334" spans="1:1">
      <c r="A2334" s="108" t="str">
        <f t="shared" si="62"/>
        <v/>
      </c>
    </row>
    <row r="2335" spans="1:1">
      <c r="A2335" s="108" t="str">
        <f t="shared" si="62"/>
        <v/>
      </c>
    </row>
    <row r="2336" spans="1:1">
      <c r="A2336" s="108" t="str">
        <f t="shared" si="62"/>
        <v/>
      </c>
    </row>
    <row r="2337" spans="1:1">
      <c r="A2337" s="108" t="str">
        <f t="shared" si="62"/>
        <v/>
      </c>
    </row>
    <row r="2338" spans="1:1">
      <c r="A2338" s="108" t="str">
        <f t="shared" si="62"/>
        <v/>
      </c>
    </row>
    <row r="2339" spans="1:1">
      <c r="A2339" s="108" t="str">
        <f t="shared" si="62"/>
        <v/>
      </c>
    </row>
    <row r="2340" spans="1:1">
      <c r="A2340" s="108" t="str">
        <f t="shared" si="62"/>
        <v/>
      </c>
    </row>
    <row r="2341" spans="1:1">
      <c r="A2341" s="108" t="str">
        <f t="shared" si="62"/>
        <v/>
      </c>
    </row>
    <row r="2342" spans="1:1">
      <c r="A2342" s="108" t="str">
        <f t="shared" si="62"/>
        <v/>
      </c>
    </row>
    <row r="2343" spans="1:1">
      <c r="A2343" s="108" t="str">
        <f t="shared" si="62"/>
        <v/>
      </c>
    </row>
    <row r="2344" spans="1:1">
      <c r="A2344" s="108" t="str">
        <f t="shared" si="62"/>
        <v/>
      </c>
    </row>
    <row r="2345" spans="1:1">
      <c r="A2345" s="108" t="str">
        <f t="shared" si="62"/>
        <v/>
      </c>
    </row>
    <row r="2346" spans="1:1">
      <c r="A2346" s="108" t="str">
        <f t="shared" si="62"/>
        <v/>
      </c>
    </row>
    <row r="2347" spans="1:1">
      <c r="A2347" s="108" t="str">
        <f t="shared" si="62"/>
        <v/>
      </c>
    </row>
    <row r="2348" spans="1:1">
      <c r="A2348" s="108" t="str">
        <f t="shared" si="62"/>
        <v/>
      </c>
    </row>
    <row r="2349" spans="1:1">
      <c r="A2349" s="108" t="str">
        <f t="shared" si="62"/>
        <v/>
      </c>
    </row>
    <row r="2350" spans="1:1">
      <c r="A2350" s="108" t="str">
        <f t="shared" si="62"/>
        <v/>
      </c>
    </row>
    <row r="2351" spans="1:1">
      <c r="A2351" s="108" t="str">
        <f t="shared" si="62"/>
        <v/>
      </c>
    </row>
    <row r="2352" spans="1:1">
      <c r="A2352" s="108" t="str">
        <f t="shared" si="62"/>
        <v/>
      </c>
    </row>
    <row r="2353" spans="1:1">
      <c r="A2353" s="108" t="str">
        <f t="shared" si="62"/>
        <v/>
      </c>
    </row>
    <row r="2354" spans="1:1">
      <c r="A2354" s="108" t="str">
        <f t="shared" si="62"/>
        <v/>
      </c>
    </row>
    <row r="2355" spans="1:1">
      <c r="A2355" s="108" t="str">
        <f t="shared" si="62"/>
        <v/>
      </c>
    </row>
    <row r="2356" spans="1:1">
      <c r="A2356" s="108" t="str">
        <f t="shared" si="62"/>
        <v/>
      </c>
    </row>
    <row r="2357" spans="1:1">
      <c r="A2357" s="108" t="str">
        <f t="shared" si="62"/>
        <v/>
      </c>
    </row>
    <row r="2358" spans="1:1">
      <c r="A2358" s="108" t="str">
        <f t="shared" si="62"/>
        <v/>
      </c>
    </row>
    <row r="2359" spans="1:1">
      <c r="A2359" s="108" t="str">
        <f t="shared" si="62"/>
        <v/>
      </c>
    </row>
    <row r="2360" spans="1:1">
      <c r="A2360" s="108" t="str">
        <f t="shared" si="62"/>
        <v/>
      </c>
    </row>
    <row r="2361" spans="1:1">
      <c r="A2361" s="108" t="str">
        <f t="shared" si="62"/>
        <v/>
      </c>
    </row>
    <row r="2362" spans="1:1">
      <c r="A2362" s="108" t="str">
        <f t="shared" si="62"/>
        <v/>
      </c>
    </row>
    <row r="2363" spans="1:1">
      <c r="A2363" s="108" t="str">
        <f t="shared" si="62"/>
        <v/>
      </c>
    </row>
    <row r="2364" spans="1:1">
      <c r="A2364" s="108" t="str">
        <f t="shared" si="62"/>
        <v/>
      </c>
    </row>
    <row r="2365" spans="1:1">
      <c r="A2365" s="108" t="str">
        <f t="shared" si="62"/>
        <v/>
      </c>
    </row>
    <row r="2366" spans="1:1">
      <c r="A2366" s="108" t="str">
        <f t="shared" si="62"/>
        <v/>
      </c>
    </row>
    <row r="2367" spans="1:1">
      <c r="A2367" s="108" t="str">
        <f t="shared" si="62"/>
        <v/>
      </c>
    </row>
    <row r="2368" spans="1:1">
      <c r="A2368" s="108" t="str">
        <f t="shared" si="62"/>
        <v/>
      </c>
    </row>
    <row r="2369" spans="1:1">
      <c r="A2369" s="108" t="str">
        <f t="shared" si="62"/>
        <v/>
      </c>
    </row>
    <row r="2370" spans="1:1">
      <c r="A2370" s="108" t="str">
        <f t="shared" si="62"/>
        <v/>
      </c>
    </row>
    <row r="2371" spans="1:1">
      <c r="A2371" s="108" t="str">
        <f t="shared" si="62"/>
        <v/>
      </c>
    </row>
    <row r="2372" spans="1:1">
      <c r="A2372" s="108" t="str">
        <f t="shared" si="62"/>
        <v/>
      </c>
    </row>
    <row r="2373" spans="1:1">
      <c r="A2373" s="108" t="str">
        <f t="shared" si="62"/>
        <v/>
      </c>
    </row>
    <row r="2374" spans="1:1">
      <c r="A2374" s="108" t="str">
        <f t="shared" ref="A2374:A2437" si="63">C2374&amp;D2374&amp;E2374&amp;F2374&amp;G2374</f>
        <v/>
      </c>
    </row>
    <row r="2375" spans="1:1">
      <c r="A2375" s="108" t="str">
        <f t="shared" si="63"/>
        <v/>
      </c>
    </row>
    <row r="2376" spans="1:1">
      <c r="A2376" s="108" t="str">
        <f t="shared" si="63"/>
        <v/>
      </c>
    </row>
    <row r="2377" spans="1:1">
      <c r="A2377" s="108" t="str">
        <f t="shared" si="63"/>
        <v/>
      </c>
    </row>
    <row r="2378" spans="1:1">
      <c r="A2378" s="108" t="str">
        <f t="shared" si="63"/>
        <v/>
      </c>
    </row>
    <row r="2379" spans="1:1">
      <c r="A2379" s="108" t="str">
        <f t="shared" si="63"/>
        <v/>
      </c>
    </row>
    <row r="2380" spans="1:1">
      <c r="A2380" s="108" t="str">
        <f t="shared" si="63"/>
        <v/>
      </c>
    </row>
    <row r="2381" spans="1:1">
      <c r="A2381" s="108" t="str">
        <f t="shared" si="63"/>
        <v/>
      </c>
    </row>
    <row r="2382" spans="1:1">
      <c r="A2382" s="108" t="str">
        <f t="shared" si="63"/>
        <v/>
      </c>
    </row>
    <row r="2383" spans="1:1">
      <c r="A2383" s="108" t="str">
        <f t="shared" si="63"/>
        <v/>
      </c>
    </row>
    <row r="2384" spans="1:1">
      <c r="A2384" s="108" t="str">
        <f t="shared" si="63"/>
        <v/>
      </c>
    </row>
    <row r="2385" spans="1:1">
      <c r="A2385" s="108" t="str">
        <f t="shared" si="63"/>
        <v/>
      </c>
    </row>
    <row r="2386" spans="1:1">
      <c r="A2386" s="108" t="str">
        <f t="shared" si="63"/>
        <v/>
      </c>
    </row>
    <row r="2387" spans="1:1">
      <c r="A2387" s="108" t="str">
        <f t="shared" si="63"/>
        <v/>
      </c>
    </row>
    <row r="2388" spans="1:1">
      <c r="A2388" s="108" t="str">
        <f t="shared" si="63"/>
        <v/>
      </c>
    </row>
    <row r="2389" spans="1:1">
      <c r="A2389" s="108" t="str">
        <f t="shared" si="63"/>
        <v/>
      </c>
    </row>
    <row r="2390" spans="1:1">
      <c r="A2390" s="108" t="str">
        <f t="shared" si="63"/>
        <v/>
      </c>
    </row>
    <row r="2391" spans="1:1">
      <c r="A2391" s="108" t="str">
        <f t="shared" si="63"/>
        <v/>
      </c>
    </row>
    <row r="2392" spans="1:1">
      <c r="A2392" s="108" t="str">
        <f t="shared" si="63"/>
        <v/>
      </c>
    </row>
    <row r="2393" spans="1:1">
      <c r="A2393" s="108" t="str">
        <f t="shared" si="63"/>
        <v/>
      </c>
    </row>
    <row r="2394" spans="1:1">
      <c r="A2394" s="108" t="str">
        <f t="shared" si="63"/>
        <v/>
      </c>
    </row>
    <row r="2395" spans="1:1">
      <c r="A2395" s="108" t="str">
        <f t="shared" si="63"/>
        <v/>
      </c>
    </row>
    <row r="2396" spans="1:1">
      <c r="A2396" s="108" t="str">
        <f t="shared" si="63"/>
        <v/>
      </c>
    </row>
    <row r="2397" spans="1:1">
      <c r="A2397" s="108" t="str">
        <f t="shared" si="63"/>
        <v/>
      </c>
    </row>
    <row r="2398" spans="1:1">
      <c r="A2398" s="108" t="str">
        <f t="shared" si="63"/>
        <v/>
      </c>
    </row>
    <row r="2399" spans="1:1">
      <c r="A2399" s="108" t="str">
        <f t="shared" si="63"/>
        <v/>
      </c>
    </row>
    <row r="2400" spans="1:1">
      <c r="A2400" s="108" t="str">
        <f t="shared" si="63"/>
        <v/>
      </c>
    </row>
    <row r="2401" spans="1:1">
      <c r="A2401" s="108" t="str">
        <f t="shared" si="63"/>
        <v/>
      </c>
    </row>
    <row r="2402" spans="1:1">
      <c r="A2402" s="108" t="str">
        <f t="shared" si="63"/>
        <v/>
      </c>
    </row>
    <row r="2403" spans="1:1">
      <c r="A2403" s="108" t="str">
        <f t="shared" si="63"/>
        <v/>
      </c>
    </row>
    <row r="2404" spans="1:1">
      <c r="A2404" s="108" t="str">
        <f t="shared" si="63"/>
        <v/>
      </c>
    </row>
    <row r="2405" spans="1:1">
      <c r="A2405" s="108" t="str">
        <f t="shared" si="63"/>
        <v/>
      </c>
    </row>
    <row r="2406" spans="1:1">
      <c r="A2406" s="108" t="str">
        <f t="shared" si="63"/>
        <v/>
      </c>
    </row>
    <row r="2407" spans="1:1">
      <c r="A2407" s="108" t="str">
        <f t="shared" si="63"/>
        <v/>
      </c>
    </row>
    <row r="2408" spans="1:1">
      <c r="A2408" s="108" t="str">
        <f t="shared" si="63"/>
        <v/>
      </c>
    </row>
    <row r="2409" spans="1:1">
      <c r="A2409" s="108" t="str">
        <f t="shared" si="63"/>
        <v/>
      </c>
    </row>
    <row r="2410" spans="1:1">
      <c r="A2410" s="108" t="str">
        <f t="shared" si="63"/>
        <v/>
      </c>
    </row>
    <row r="2411" spans="1:1">
      <c r="A2411" s="108" t="str">
        <f t="shared" si="63"/>
        <v/>
      </c>
    </row>
    <row r="2412" spans="1:1">
      <c r="A2412" s="108" t="str">
        <f t="shared" si="63"/>
        <v/>
      </c>
    </row>
    <row r="2413" spans="1:1">
      <c r="A2413" s="108" t="str">
        <f t="shared" si="63"/>
        <v/>
      </c>
    </row>
    <row r="2414" spans="1:1">
      <c r="A2414" s="108" t="str">
        <f t="shared" si="63"/>
        <v/>
      </c>
    </row>
    <row r="2415" spans="1:1">
      <c r="A2415" s="108" t="str">
        <f t="shared" si="63"/>
        <v/>
      </c>
    </row>
    <row r="2416" spans="1:1">
      <c r="A2416" s="108" t="str">
        <f t="shared" si="63"/>
        <v/>
      </c>
    </row>
    <row r="2417" spans="1:1">
      <c r="A2417" s="108" t="str">
        <f t="shared" si="63"/>
        <v/>
      </c>
    </row>
    <row r="2418" spans="1:1">
      <c r="A2418" s="108" t="str">
        <f t="shared" si="63"/>
        <v/>
      </c>
    </row>
    <row r="2419" spans="1:1">
      <c r="A2419" s="108" t="str">
        <f t="shared" si="63"/>
        <v/>
      </c>
    </row>
    <row r="2420" spans="1:1">
      <c r="A2420" s="108" t="str">
        <f t="shared" si="63"/>
        <v/>
      </c>
    </row>
    <row r="2421" spans="1:1">
      <c r="A2421" s="108" t="str">
        <f t="shared" si="63"/>
        <v/>
      </c>
    </row>
    <row r="2422" spans="1:1">
      <c r="A2422" s="108" t="str">
        <f t="shared" si="63"/>
        <v/>
      </c>
    </row>
    <row r="2423" spans="1:1">
      <c r="A2423" s="108" t="str">
        <f t="shared" si="63"/>
        <v/>
      </c>
    </row>
    <row r="2424" spans="1:1">
      <c r="A2424" s="108" t="str">
        <f t="shared" si="63"/>
        <v/>
      </c>
    </row>
    <row r="2425" spans="1:1">
      <c r="A2425" s="108" t="str">
        <f t="shared" si="63"/>
        <v/>
      </c>
    </row>
    <row r="2426" spans="1:1">
      <c r="A2426" s="108" t="str">
        <f t="shared" si="63"/>
        <v/>
      </c>
    </row>
    <row r="2427" spans="1:1">
      <c r="A2427" s="108" t="str">
        <f t="shared" si="63"/>
        <v/>
      </c>
    </row>
    <row r="2428" spans="1:1">
      <c r="A2428" s="108" t="str">
        <f t="shared" si="63"/>
        <v/>
      </c>
    </row>
    <row r="2429" spans="1:1">
      <c r="A2429" s="108" t="str">
        <f t="shared" si="63"/>
        <v/>
      </c>
    </row>
    <row r="2430" spans="1:1">
      <c r="A2430" s="108" t="str">
        <f t="shared" si="63"/>
        <v/>
      </c>
    </row>
    <row r="2431" spans="1:1">
      <c r="A2431" s="108" t="str">
        <f t="shared" si="63"/>
        <v/>
      </c>
    </row>
    <row r="2432" spans="1:1">
      <c r="A2432" s="108" t="str">
        <f t="shared" si="63"/>
        <v/>
      </c>
    </row>
    <row r="2433" spans="1:1">
      <c r="A2433" s="108" t="str">
        <f t="shared" si="63"/>
        <v/>
      </c>
    </row>
    <row r="2434" spans="1:1">
      <c r="A2434" s="108" t="str">
        <f t="shared" si="63"/>
        <v/>
      </c>
    </row>
    <row r="2435" spans="1:1">
      <c r="A2435" s="108" t="str">
        <f t="shared" si="63"/>
        <v/>
      </c>
    </row>
    <row r="2436" spans="1:1">
      <c r="A2436" s="108" t="str">
        <f t="shared" si="63"/>
        <v/>
      </c>
    </row>
    <row r="2437" spans="1:1">
      <c r="A2437" s="108" t="str">
        <f t="shared" si="63"/>
        <v/>
      </c>
    </row>
    <row r="2438" spans="1:1">
      <c r="A2438" s="108" t="str">
        <f t="shared" ref="A2438:A2501" si="64">C2438&amp;D2438&amp;E2438&amp;F2438&amp;G2438</f>
        <v/>
      </c>
    </row>
    <row r="2439" spans="1:1">
      <c r="A2439" s="108" t="str">
        <f t="shared" si="64"/>
        <v/>
      </c>
    </row>
    <row r="2440" spans="1:1">
      <c r="A2440" s="108" t="str">
        <f t="shared" si="64"/>
        <v/>
      </c>
    </row>
    <row r="2441" spans="1:1">
      <c r="A2441" s="108" t="str">
        <f t="shared" si="64"/>
        <v/>
      </c>
    </row>
    <row r="2442" spans="1:1">
      <c r="A2442" s="108" t="str">
        <f t="shared" si="64"/>
        <v/>
      </c>
    </row>
    <row r="2443" spans="1:1">
      <c r="A2443" s="108" t="str">
        <f t="shared" si="64"/>
        <v/>
      </c>
    </row>
    <row r="2444" spans="1:1">
      <c r="A2444" s="108" t="str">
        <f t="shared" si="64"/>
        <v/>
      </c>
    </row>
    <row r="2445" spans="1:1">
      <c r="A2445" s="108" t="str">
        <f t="shared" si="64"/>
        <v/>
      </c>
    </row>
    <row r="2446" spans="1:1">
      <c r="A2446" s="108" t="str">
        <f t="shared" si="64"/>
        <v/>
      </c>
    </row>
    <row r="2447" spans="1:1">
      <c r="A2447" s="108" t="str">
        <f t="shared" si="64"/>
        <v/>
      </c>
    </row>
    <row r="2448" spans="1:1">
      <c r="A2448" s="108" t="str">
        <f t="shared" si="64"/>
        <v/>
      </c>
    </row>
    <row r="2449" spans="1:1">
      <c r="A2449" s="108" t="str">
        <f t="shared" si="64"/>
        <v/>
      </c>
    </row>
    <row r="2450" spans="1:1">
      <c r="A2450" s="108" t="str">
        <f t="shared" si="64"/>
        <v/>
      </c>
    </row>
    <row r="2451" spans="1:1">
      <c r="A2451" s="108" t="str">
        <f t="shared" si="64"/>
        <v/>
      </c>
    </row>
    <row r="2452" spans="1:1">
      <c r="A2452" s="108" t="str">
        <f t="shared" si="64"/>
        <v/>
      </c>
    </row>
    <row r="2453" spans="1:1">
      <c r="A2453" s="108" t="str">
        <f t="shared" si="64"/>
        <v/>
      </c>
    </row>
    <row r="2454" spans="1:1">
      <c r="A2454" s="108" t="str">
        <f t="shared" si="64"/>
        <v/>
      </c>
    </row>
    <row r="2455" spans="1:1">
      <c r="A2455" s="108" t="str">
        <f t="shared" si="64"/>
        <v/>
      </c>
    </row>
    <row r="2456" spans="1:1">
      <c r="A2456" s="108" t="str">
        <f t="shared" si="64"/>
        <v/>
      </c>
    </row>
    <row r="2457" spans="1:1">
      <c r="A2457" s="108" t="str">
        <f t="shared" si="64"/>
        <v/>
      </c>
    </row>
    <row r="2458" spans="1:1">
      <c r="A2458" s="108" t="str">
        <f t="shared" si="64"/>
        <v/>
      </c>
    </row>
    <row r="2459" spans="1:1">
      <c r="A2459" s="108" t="str">
        <f t="shared" si="64"/>
        <v/>
      </c>
    </row>
    <row r="2460" spans="1:1">
      <c r="A2460" s="108" t="str">
        <f t="shared" si="64"/>
        <v/>
      </c>
    </row>
    <row r="2461" spans="1:1">
      <c r="A2461" s="108" t="str">
        <f t="shared" si="64"/>
        <v/>
      </c>
    </row>
    <row r="2462" spans="1:1">
      <c r="A2462" s="108" t="str">
        <f t="shared" si="64"/>
        <v/>
      </c>
    </row>
    <row r="2463" spans="1:1">
      <c r="A2463" s="108" t="str">
        <f t="shared" si="64"/>
        <v/>
      </c>
    </row>
    <row r="2464" spans="1:1">
      <c r="A2464" s="108" t="str">
        <f t="shared" si="64"/>
        <v/>
      </c>
    </row>
    <row r="2465" spans="1:1">
      <c r="A2465" s="108" t="str">
        <f t="shared" si="64"/>
        <v/>
      </c>
    </row>
    <row r="2466" spans="1:1">
      <c r="A2466" s="108" t="str">
        <f t="shared" si="64"/>
        <v/>
      </c>
    </row>
    <row r="2467" spans="1:1">
      <c r="A2467" s="108" t="str">
        <f t="shared" si="64"/>
        <v/>
      </c>
    </row>
    <row r="2468" spans="1:1">
      <c r="A2468" s="108" t="str">
        <f t="shared" si="64"/>
        <v/>
      </c>
    </row>
    <row r="2469" spans="1:1">
      <c r="A2469" s="108" t="str">
        <f t="shared" si="64"/>
        <v/>
      </c>
    </row>
    <row r="2470" spans="1:1">
      <c r="A2470" s="108" t="str">
        <f t="shared" si="64"/>
        <v/>
      </c>
    </row>
    <row r="2471" spans="1:1">
      <c r="A2471" s="108" t="str">
        <f t="shared" si="64"/>
        <v/>
      </c>
    </row>
    <row r="2472" spans="1:1">
      <c r="A2472" s="108" t="str">
        <f t="shared" si="64"/>
        <v/>
      </c>
    </row>
    <row r="2473" spans="1:1">
      <c r="A2473" s="108" t="str">
        <f t="shared" si="64"/>
        <v/>
      </c>
    </row>
    <row r="2474" spans="1:1">
      <c r="A2474" s="108" t="str">
        <f t="shared" si="64"/>
        <v/>
      </c>
    </row>
    <row r="2475" spans="1:1">
      <c r="A2475" s="108" t="str">
        <f t="shared" si="64"/>
        <v/>
      </c>
    </row>
    <row r="2476" spans="1:1">
      <c r="A2476" s="108" t="str">
        <f t="shared" si="64"/>
        <v/>
      </c>
    </row>
    <row r="2477" spans="1:1">
      <c r="A2477" s="108" t="str">
        <f t="shared" si="64"/>
        <v/>
      </c>
    </row>
    <row r="2478" spans="1:1">
      <c r="A2478" s="108" t="str">
        <f t="shared" si="64"/>
        <v/>
      </c>
    </row>
    <row r="2479" spans="1:1">
      <c r="A2479" s="108" t="str">
        <f t="shared" si="64"/>
        <v/>
      </c>
    </row>
    <row r="2480" spans="1:1">
      <c r="A2480" s="108" t="str">
        <f t="shared" si="64"/>
        <v/>
      </c>
    </row>
    <row r="2481" spans="1:1">
      <c r="A2481" s="108" t="str">
        <f t="shared" si="64"/>
        <v/>
      </c>
    </row>
    <row r="2482" spans="1:1">
      <c r="A2482" s="108" t="str">
        <f t="shared" si="64"/>
        <v/>
      </c>
    </row>
    <row r="2483" spans="1:1">
      <c r="A2483" s="108" t="str">
        <f t="shared" si="64"/>
        <v/>
      </c>
    </row>
    <row r="2484" spans="1:1">
      <c r="A2484" s="108" t="str">
        <f t="shared" si="64"/>
        <v/>
      </c>
    </row>
    <row r="2485" spans="1:1">
      <c r="A2485" s="108" t="str">
        <f t="shared" si="64"/>
        <v/>
      </c>
    </row>
    <row r="2486" spans="1:1">
      <c r="A2486" s="108" t="str">
        <f t="shared" si="64"/>
        <v/>
      </c>
    </row>
    <row r="2487" spans="1:1">
      <c r="A2487" s="108" t="str">
        <f t="shared" si="64"/>
        <v/>
      </c>
    </row>
    <row r="2488" spans="1:1">
      <c r="A2488" s="108" t="str">
        <f t="shared" si="64"/>
        <v/>
      </c>
    </row>
    <row r="2489" spans="1:1">
      <c r="A2489" s="108" t="str">
        <f t="shared" si="64"/>
        <v/>
      </c>
    </row>
    <row r="2490" spans="1:1">
      <c r="A2490" s="108" t="str">
        <f t="shared" si="64"/>
        <v/>
      </c>
    </row>
    <row r="2491" spans="1:1">
      <c r="A2491" s="108" t="str">
        <f t="shared" si="64"/>
        <v/>
      </c>
    </row>
    <row r="2492" spans="1:1">
      <c r="A2492" s="108" t="str">
        <f t="shared" si="64"/>
        <v/>
      </c>
    </row>
    <row r="2493" spans="1:1">
      <c r="A2493" s="108" t="str">
        <f t="shared" si="64"/>
        <v/>
      </c>
    </row>
    <row r="2494" spans="1:1">
      <c r="A2494" s="108" t="str">
        <f t="shared" si="64"/>
        <v/>
      </c>
    </row>
    <row r="2495" spans="1:1">
      <c r="A2495" s="108" t="str">
        <f t="shared" si="64"/>
        <v/>
      </c>
    </row>
    <row r="2496" spans="1:1">
      <c r="A2496" s="108" t="str">
        <f t="shared" si="64"/>
        <v/>
      </c>
    </row>
    <row r="2497" spans="1:1">
      <c r="A2497" s="108" t="str">
        <f t="shared" si="64"/>
        <v/>
      </c>
    </row>
    <row r="2498" spans="1:1">
      <c r="A2498" s="108" t="str">
        <f t="shared" si="64"/>
        <v/>
      </c>
    </row>
    <row r="2499" spans="1:1">
      <c r="A2499" s="108" t="str">
        <f t="shared" si="64"/>
        <v/>
      </c>
    </row>
    <row r="2500" spans="1:1">
      <c r="A2500" s="108" t="str">
        <f t="shared" si="64"/>
        <v/>
      </c>
    </row>
    <row r="2501" spans="1:1">
      <c r="A2501" s="108" t="str">
        <f t="shared" si="64"/>
        <v/>
      </c>
    </row>
    <row r="2502" spans="1:1">
      <c r="A2502" s="108" t="str">
        <f t="shared" ref="A2502:A2565" si="65">C2502&amp;D2502&amp;E2502&amp;F2502&amp;G2502</f>
        <v/>
      </c>
    </row>
    <row r="2503" spans="1:1">
      <c r="A2503" s="108" t="str">
        <f t="shared" si="65"/>
        <v/>
      </c>
    </row>
    <row r="2504" spans="1:1">
      <c r="A2504" s="108" t="str">
        <f t="shared" si="65"/>
        <v/>
      </c>
    </row>
    <row r="2505" spans="1:1">
      <c r="A2505" s="108" t="str">
        <f t="shared" si="65"/>
        <v/>
      </c>
    </row>
    <row r="2506" spans="1:1">
      <c r="A2506" s="108" t="str">
        <f t="shared" si="65"/>
        <v/>
      </c>
    </row>
    <row r="2507" spans="1:1">
      <c r="A2507" s="108" t="str">
        <f t="shared" si="65"/>
        <v/>
      </c>
    </row>
    <row r="2508" spans="1:1">
      <c r="A2508" s="108" t="str">
        <f t="shared" si="65"/>
        <v/>
      </c>
    </row>
    <row r="2509" spans="1:1">
      <c r="A2509" s="108" t="str">
        <f t="shared" si="65"/>
        <v/>
      </c>
    </row>
    <row r="2510" spans="1:1">
      <c r="A2510" s="108" t="str">
        <f t="shared" si="65"/>
        <v/>
      </c>
    </row>
    <row r="2511" spans="1:1">
      <c r="A2511" s="108" t="str">
        <f t="shared" si="65"/>
        <v/>
      </c>
    </row>
    <row r="2512" spans="1:1">
      <c r="A2512" s="108" t="str">
        <f t="shared" si="65"/>
        <v/>
      </c>
    </row>
    <row r="2513" spans="1:1">
      <c r="A2513" s="108" t="str">
        <f t="shared" si="65"/>
        <v/>
      </c>
    </row>
    <row r="2514" spans="1:1">
      <c r="A2514" s="108" t="str">
        <f t="shared" si="65"/>
        <v/>
      </c>
    </row>
    <row r="2515" spans="1:1">
      <c r="A2515" s="108" t="str">
        <f t="shared" si="65"/>
        <v/>
      </c>
    </row>
    <row r="2516" spans="1:1">
      <c r="A2516" s="108" t="str">
        <f t="shared" si="65"/>
        <v/>
      </c>
    </row>
    <row r="2517" spans="1:1">
      <c r="A2517" s="108" t="str">
        <f t="shared" si="65"/>
        <v/>
      </c>
    </row>
    <row r="2518" spans="1:1">
      <c r="A2518" s="108" t="str">
        <f t="shared" si="65"/>
        <v/>
      </c>
    </row>
    <row r="2519" spans="1:1">
      <c r="A2519" s="108" t="str">
        <f t="shared" si="65"/>
        <v/>
      </c>
    </row>
    <row r="2520" spans="1:1">
      <c r="A2520" s="108" t="str">
        <f t="shared" si="65"/>
        <v/>
      </c>
    </row>
    <row r="2521" spans="1:1">
      <c r="A2521" s="108" t="str">
        <f t="shared" si="65"/>
        <v/>
      </c>
    </row>
    <row r="2522" spans="1:1">
      <c r="A2522" s="108" t="str">
        <f t="shared" si="65"/>
        <v/>
      </c>
    </row>
    <row r="2523" spans="1:1">
      <c r="A2523" s="108" t="str">
        <f t="shared" si="65"/>
        <v/>
      </c>
    </row>
    <row r="2524" spans="1:1">
      <c r="A2524" s="108" t="str">
        <f t="shared" si="65"/>
        <v/>
      </c>
    </row>
    <row r="2525" spans="1:1">
      <c r="A2525" s="108" t="str">
        <f t="shared" si="65"/>
        <v/>
      </c>
    </row>
    <row r="2526" spans="1:1">
      <c r="A2526" s="108" t="str">
        <f t="shared" si="65"/>
        <v/>
      </c>
    </row>
    <row r="2527" spans="1:1">
      <c r="A2527" s="108" t="str">
        <f t="shared" si="65"/>
        <v/>
      </c>
    </row>
    <row r="2528" spans="1:1">
      <c r="A2528" s="108" t="str">
        <f t="shared" si="65"/>
        <v/>
      </c>
    </row>
    <row r="2529" spans="1:1">
      <c r="A2529" s="108" t="str">
        <f t="shared" si="65"/>
        <v/>
      </c>
    </row>
    <row r="2530" spans="1:1">
      <c r="A2530" s="108" t="str">
        <f t="shared" si="65"/>
        <v/>
      </c>
    </row>
    <row r="2531" spans="1:1">
      <c r="A2531" s="108" t="str">
        <f t="shared" si="65"/>
        <v/>
      </c>
    </row>
    <row r="2532" spans="1:1">
      <c r="A2532" s="108" t="str">
        <f t="shared" si="65"/>
        <v/>
      </c>
    </row>
    <row r="2533" spans="1:1">
      <c r="A2533" s="108" t="str">
        <f t="shared" si="65"/>
        <v/>
      </c>
    </row>
    <row r="2534" spans="1:1">
      <c r="A2534" s="108" t="str">
        <f t="shared" si="65"/>
        <v/>
      </c>
    </row>
    <row r="2535" spans="1:1">
      <c r="A2535" s="108" t="str">
        <f t="shared" si="65"/>
        <v/>
      </c>
    </row>
    <row r="2536" spans="1:1">
      <c r="A2536" s="108" t="str">
        <f t="shared" si="65"/>
        <v/>
      </c>
    </row>
    <row r="2537" spans="1:1">
      <c r="A2537" s="108" t="str">
        <f t="shared" si="65"/>
        <v/>
      </c>
    </row>
    <row r="2538" spans="1:1">
      <c r="A2538" s="108" t="str">
        <f t="shared" si="65"/>
        <v/>
      </c>
    </row>
    <row r="2539" spans="1:1">
      <c r="A2539" s="108" t="str">
        <f t="shared" si="65"/>
        <v/>
      </c>
    </row>
    <row r="2540" spans="1:1">
      <c r="A2540" s="108" t="str">
        <f t="shared" si="65"/>
        <v/>
      </c>
    </row>
    <row r="2541" spans="1:1">
      <c r="A2541" s="108" t="str">
        <f t="shared" si="65"/>
        <v/>
      </c>
    </row>
    <row r="2542" spans="1:1">
      <c r="A2542" s="108" t="str">
        <f t="shared" si="65"/>
        <v/>
      </c>
    </row>
    <row r="2543" spans="1:1">
      <c r="A2543" s="108" t="str">
        <f t="shared" si="65"/>
        <v/>
      </c>
    </row>
    <row r="2544" spans="1:1">
      <c r="A2544" s="108" t="str">
        <f t="shared" si="65"/>
        <v/>
      </c>
    </row>
    <row r="2545" spans="1:1">
      <c r="A2545" s="108" t="str">
        <f t="shared" si="65"/>
        <v/>
      </c>
    </row>
    <row r="2546" spans="1:1">
      <c r="A2546" s="108" t="str">
        <f t="shared" si="65"/>
        <v/>
      </c>
    </row>
    <row r="2547" spans="1:1">
      <c r="A2547" s="108" t="str">
        <f t="shared" si="65"/>
        <v/>
      </c>
    </row>
    <row r="2548" spans="1:1">
      <c r="A2548" s="108" t="str">
        <f t="shared" si="65"/>
        <v/>
      </c>
    </row>
    <row r="2549" spans="1:1">
      <c r="A2549" s="108" t="str">
        <f t="shared" si="65"/>
        <v/>
      </c>
    </row>
    <row r="2550" spans="1:1">
      <c r="A2550" s="108" t="str">
        <f t="shared" si="65"/>
        <v/>
      </c>
    </row>
    <row r="2551" spans="1:1">
      <c r="A2551" s="108" t="str">
        <f t="shared" si="65"/>
        <v/>
      </c>
    </row>
    <row r="2552" spans="1:1">
      <c r="A2552" s="108" t="str">
        <f t="shared" si="65"/>
        <v/>
      </c>
    </row>
    <row r="2553" spans="1:1">
      <c r="A2553" s="108" t="str">
        <f t="shared" si="65"/>
        <v/>
      </c>
    </row>
    <row r="2554" spans="1:1">
      <c r="A2554" s="108" t="str">
        <f t="shared" si="65"/>
        <v/>
      </c>
    </row>
    <row r="2555" spans="1:1">
      <c r="A2555" s="108" t="str">
        <f t="shared" si="65"/>
        <v/>
      </c>
    </row>
    <row r="2556" spans="1:1">
      <c r="A2556" s="108" t="str">
        <f t="shared" si="65"/>
        <v/>
      </c>
    </row>
    <row r="2557" spans="1:1">
      <c r="A2557" s="108" t="str">
        <f t="shared" si="65"/>
        <v/>
      </c>
    </row>
    <row r="2558" spans="1:1">
      <c r="A2558" s="108" t="str">
        <f t="shared" si="65"/>
        <v/>
      </c>
    </row>
    <row r="2559" spans="1:1">
      <c r="A2559" s="108" t="str">
        <f t="shared" si="65"/>
        <v/>
      </c>
    </row>
    <row r="2560" spans="1:1">
      <c r="A2560" s="108" t="str">
        <f t="shared" si="65"/>
        <v/>
      </c>
    </row>
    <row r="2561" spans="1:1">
      <c r="A2561" s="108" t="str">
        <f t="shared" si="65"/>
        <v/>
      </c>
    </row>
    <row r="2562" spans="1:1">
      <c r="A2562" s="108" t="str">
        <f t="shared" si="65"/>
        <v/>
      </c>
    </row>
    <row r="2563" spans="1:1">
      <c r="A2563" s="108" t="str">
        <f t="shared" si="65"/>
        <v/>
      </c>
    </row>
    <row r="2564" spans="1:1">
      <c r="A2564" s="108" t="str">
        <f t="shared" si="65"/>
        <v/>
      </c>
    </row>
    <row r="2565" spans="1:1">
      <c r="A2565" s="108" t="str">
        <f t="shared" si="65"/>
        <v/>
      </c>
    </row>
    <row r="2566" spans="1:1">
      <c r="A2566" s="108" t="str">
        <f t="shared" ref="A2566:A2629" si="66">C2566&amp;D2566&amp;E2566&amp;F2566&amp;G2566</f>
        <v/>
      </c>
    </row>
    <row r="2567" spans="1:1">
      <c r="A2567" s="108" t="str">
        <f t="shared" si="66"/>
        <v/>
      </c>
    </row>
    <row r="2568" spans="1:1">
      <c r="A2568" s="108" t="str">
        <f t="shared" si="66"/>
        <v/>
      </c>
    </row>
    <row r="2569" spans="1:1">
      <c r="A2569" s="108" t="str">
        <f t="shared" si="66"/>
        <v/>
      </c>
    </row>
    <row r="2570" spans="1:1">
      <c r="A2570" s="108" t="str">
        <f t="shared" si="66"/>
        <v/>
      </c>
    </row>
    <row r="2571" spans="1:1">
      <c r="A2571" s="108" t="str">
        <f t="shared" si="66"/>
        <v/>
      </c>
    </row>
    <row r="2572" spans="1:1">
      <c r="A2572" s="108" t="str">
        <f t="shared" si="66"/>
        <v/>
      </c>
    </row>
    <row r="2573" spans="1:1">
      <c r="A2573" s="108" t="str">
        <f t="shared" si="66"/>
        <v/>
      </c>
    </row>
    <row r="2574" spans="1:1">
      <c r="A2574" s="108" t="str">
        <f t="shared" si="66"/>
        <v/>
      </c>
    </row>
    <row r="2575" spans="1:1">
      <c r="A2575" s="108" t="str">
        <f t="shared" si="66"/>
        <v/>
      </c>
    </row>
    <row r="2576" spans="1:1">
      <c r="A2576" s="108" t="str">
        <f t="shared" si="66"/>
        <v/>
      </c>
    </row>
    <row r="2577" spans="1:1">
      <c r="A2577" s="108" t="str">
        <f t="shared" si="66"/>
        <v/>
      </c>
    </row>
    <row r="2578" spans="1:1">
      <c r="A2578" s="108" t="str">
        <f t="shared" si="66"/>
        <v/>
      </c>
    </row>
    <row r="2579" spans="1:1">
      <c r="A2579" s="108" t="str">
        <f t="shared" si="66"/>
        <v/>
      </c>
    </row>
    <row r="2580" spans="1:1">
      <c r="A2580" s="108" t="str">
        <f t="shared" si="66"/>
        <v/>
      </c>
    </row>
    <row r="2581" spans="1:1">
      <c r="A2581" s="108" t="str">
        <f t="shared" si="66"/>
        <v/>
      </c>
    </row>
    <row r="2582" spans="1:1">
      <c r="A2582" s="108" t="str">
        <f t="shared" si="66"/>
        <v/>
      </c>
    </row>
    <row r="2583" spans="1:1">
      <c r="A2583" s="108" t="str">
        <f t="shared" si="66"/>
        <v/>
      </c>
    </row>
    <row r="2584" spans="1:1">
      <c r="A2584" s="108" t="str">
        <f t="shared" si="66"/>
        <v/>
      </c>
    </row>
    <row r="2585" spans="1:1">
      <c r="A2585" s="108" t="str">
        <f t="shared" si="66"/>
        <v/>
      </c>
    </row>
    <row r="2586" spans="1:1">
      <c r="A2586" s="108" t="str">
        <f t="shared" si="66"/>
        <v/>
      </c>
    </row>
    <row r="2587" spans="1:1">
      <c r="A2587" s="108" t="str">
        <f t="shared" si="66"/>
        <v/>
      </c>
    </row>
    <row r="2588" spans="1:1">
      <c r="A2588" s="108" t="str">
        <f t="shared" si="66"/>
        <v/>
      </c>
    </row>
    <row r="2589" spans="1:1">
      <c r="A2589" s="108" t="str">
        <f t="shared" si="66"/>
        <v/>
      </c>
    </row>
    <row r="2590" spans="1:1">
      <c r="A2590" s="108" t="str">
        <f t="shared" si="66"/>
        <v/>
      </c>
    </row>
    <row r="2591" spans="1:1">
      <c r="A2591" s="108" t="str">
        <f t="shared" si="66"/>
        <v/>
      </c>
    </row>
    <row r="2592" spans="1:1">
      <c r="A2592" s="108" t="str">
        <f t="shared" si="66"/>
        <v/>
      </c>
    </row>
    <row r="2593" spans="1:1">
      <c r="A2593" s="108" t="str">
        <f t="shared" si="66"/>
        <v/>
      </c>
    </row>
    <row r="2594" spans="1:1">
      <c r="A2594" s="108" t="str">
        <f t="shared" si="66"/>
        <v/>
      </c>
    </row>
    <row r="2595" spans="1:1">
      <c r="A2595" s="108" t="str">
        <f t="shared" si="66"/>
        <v/>
      </c>
    </row>
    <row r="2596" spans="1:1">
      <c r="A2596" s="108" t="str">
        <f t="shared" si="66"/>
        <v/>
      </c>
    </row>
    <row r="2597" spans="1:1">
      <c r="A2597" s="108" t="str">
        <f t="shared" si="66"/>
        <v/>
      </c>
    </row>
    <row r="2598" spans="1:1">
      <c r="A2598" s="108" t="str">
        <f t="shared" si="66"/>
        <v/>
      </c>
    </row>
    <row r="2599" spans="1:1">
      <c r="A2599" s="108" t="str">
        <f t="shared" si="66"/>
        <v/>
      </c>
    </row>
    <row r="2600" spans="1:1">
      <c r="A2600" s="108" t="str">
        <f t="shared" si="66"/>
        <v/>
      </c>
    </row>
    <row r="2601" spans="1:1">
      <c r="A2601" s="108" t="str">
        <f t="shared" si="66"/>
        <v/>
      </c>
    </row>
    <row r="2602" spans="1:1">
      <c r="A2602" s="108" t="str">
        <f t="shared" si="66"/>
        <v/>
      </c>
    </row>
    <row r="2603" spans="1:1">
      <c r="A2603" s="108" t="str">
        <f t="shared" si="66"/>
        <v/>
      </c>
    </row>
    <row r="2604" spans="1:1">
      <c r="A2604" s="108" t="str">
        <f t="shared" si="66"/>
        <v/>
      </c>
    </row>
    <row r="2605" spans="1:1">
      <c r="A2605" s="108" t="str">
        <f t="shared" si="66"/>
        <v/>
      </c>
    </row>
    <row r="2606" spans="1:1">
      <c r="A2606" s="108" t="str">
        <f t="shared" si="66"/>
        <v/>
      </c>
    </row>
    <row r="2607" spans="1:1">
      <c r="A2607" s="108" t="str">
        <f t="shared" si="66"/>
        <v/>
      </c>
    </row>
    <row r="2608" spans="1:1">
      <c r="A2608" s="108" t="str">
        <f t="shared" si="66"/>
        <v/>
      </c>
    </row>
    <row r="2609" spans="1:1">
      <c r="A2609" s="108" t="str">
        <f t="shared" si="66"/>
        <v/>
      </c>
    </row>
    <row r="2610" spans="1:1">
      <c r="A2610" s="108" t="str">
        <f t="shared" si="66"/>
        <v/>
      </c>
    </row>
    <row r="2611" spans="1:1">
      <c r="A2611" s="108" t="str">
        <f t="shared" si="66"/>
        <v/>
      </c>
    </row>
    <row r="2612" spans="1:1">
      <c r="A2612" s="108" t="str">
        <f t="shared" si="66"/>
        <v/>
      </c>
    </row>
    <row r="2613" spans="1:1">
      <c r="A2613" s="108" t="str">
        <f t="shared" si="66"/>
        <v/>
      </c>
    </row>
    <row r="2614" spans="1:1">
      <c r="A2614" s="108" t="str">
        <f t="shared" si="66"/>
        <v/>
      </c>
    </row>
    <row r="2615" spans="1:1">
      <c r="A2615" s="108" t="str">
        <f t="shared" si="66"/>
        <v/>
      </c>
    </row>
    <row r="2616" spans="1:1">
      <c r="A2616" s="108" t="str">
        <f t="shared" si="66"/>
        <v/>
      </c>
    </row>
    <row r="2617" spans="1:1">
      <c r="A2617" s="108" t="str">
        <f t="shared" si="66"/>
        <v/>
      </c>
    </row>
    <row r="2618" spans="1:1">
      <c r="A2618" s="108" t="str">
        <f t="shared" si="66"/>
        <v/>
      </c>
    </row>
    <row r="2619" spans="1:1">
      <c r="A2619" s="108" t="str">
        <f t="shared" si="66"/>
        <v/>
      </c>
    </row>
    <row r="2620" spans="1:1">
      <c r="A2620" s="108" t="str">
        <f t="shared" si="66"/>
        <v/>
      </c>
    </row>
    <row r="2621" spans="1:1">
      <c r="A2621" s="108" t="str">
        <f t="shared" si="66"/>
        <v/>
      </c>
    </row>
    <row r="2622" spans="1:1">
      <c r="A2622" s="108" t="str">
        <f t="shared" si="66"/>
        <v/>
      </c>
    </row>
    <row r="2623" spans="1:1">
      <c r="A2623" s="108" t="str">
        <f t="shared" si="66"/>
        <v/>
      </c>
    </row>
    <row r="2624" spans="1:1">
      <c r="A2624" s="108" t="str">
        <f t="shared" si="66"/>
        <v/>
      </c>
    </row>
    <row r="2625" spans="1:1">
      <c r="A2625" s="108" t="str">
        <f t="shared" si="66"/>
        <v/>
      </c>
    </row>
    <row r="2626" spans="1:1">
      <c r="A2626" s="108" t="str">
        <f t="shared" si="66"/>
        <v/>
      </c>
    </row>
    <row r="2627" spans="1:1">
      <c r="A2627" s="108" t="str">
        <f t="shared" si="66"/>
        <v/>
      </c>
    </row>
    <row r="2628" spans="1:1">
      <c r="A2628" s="108" t="str">
        <f t="shared" si="66"/>
        <v/>
      </c>
    </row>
    <row r="2629" spans="1:1">
      <c r="A2629" s="108" t="str">
        <f t="shared" si="66"/>
        <v/>
      </c>
    </row>
    <row r="2630" spans="1:1">
      <c r="A2630" s="108" t="str">
        <f t="shared" ref="A2630:A2693" si="67">C2630&amp;D2630&amp;E2630&amp;F2630&amp;G2630</f>
        <v/>
      </c>
    </row>
    <row r="2631" spans="1:1">
      <c r="A2631" s="108" t="str">
        <f t="shared" si="67"/>
        <v/>
      </c>
    </row>
    <row r="2632" spans="1:1">
      <c r="A2632" s="108" t="str">
        <f t="shared" si="67"/>
        <v/>
      </c>
    </row>
    <row r="2633" spans="1:1">
      <c r="A2633" s="108" t="str">
        <f t="shared" si="67"/>
        <v/>
      </c>
    </row>
    <row r="2634" spans="1:1">
      <c r="A2634" s="108" t="str">
        <f t="shared" si="67"/>
        <v/>
      </c>
    </row>
    <row r="2635" spans="1:1">
      <c r="A2635" s="108" t="str">
        <f t="shared" si="67"/>
        <v/>
      </c>
    </row>
    <row r="2636" spans="1:1">
      <c r="A2636" s="108" t="str">
        <f t="shared" si="67"/>
        <v/>
      </c>
    </row>
    <row r="2637" spans="1:1">
      <c r="A2637" s="108" t="str">
        <f t="shared" si="67"/>
        <v/>
      </c>
    </row>
    <row r="2638" spans="1:1">
      <c r="A2638" s="108" t="str">
        <f t="shared" si="67"/>
        <v/>
      </c>
    </row>
    <row r="2639" spans="1:1">
      <c r="A2639" s="108" t="str">
        <f t="shared" si="67"/>
        <v/>
      </c>
    </row>
    <row r="2640" spans="1:1">
      <c r="A2640" s="108" t="str">
        <f t="shared" si="67"/>
        <v/>
      </c>
    </row>
    <row r="2641" spans="1:1">
      <c r="A2641" s="108" t="str">
        <f t="shared" si="67"/>
        <v/>
      </c>
    </row>
    <row r="2642" spans="1:1">
      <c r="A2642" s="108" t="str">
        <f t="shared" si="67"/>
        <v/>
      </c>
    </row>
    <row r="2643" spans="1:1">
      <c r="A2643" s="108" t="str">
        <f t="shared" si="67"/>
        <v/>
      </c>
    </row>
    <row r="2644" spans="1:1">
      <c r="A2644" s="108" t="str">
        <f t="shared" si="67"/>
        <v/>
      </c>
    </row>
    <row r="2645" spans="1:1">
      <c r="A2645" s="108" t="str">
        <f t="shared" si="67"/>
        <v/>
      </c>
    </row>
    <row r="2646" spans="1:1">
      <c r="A2646" s="108" t="str">
        <f t="shared" si="67"/>
        <v/>
      </c>
    </row>
    <row r="2647" spans="1:1">
      <c r="A2647" s="108" t="str">
        <f t="shared" si="67"/>
        <v/>
      </c>
    </row>
    <row r="2648" spans="1:1">
      <c r="A2648" s="108" t="str">
        <f t="shared" si="67"/>
        <v/>
      </c>
    </row>
    <row r="2649" spans="1:1">
      <c r="A2649" s="108" t="str">
        <f t="shared" si="67"/>
        <v/>
      </c>
    </row>
    <row r="2650" spans="1:1">
      <c r="A2650" s="108" t="str">
        <f t="shared" si="67"/>
        <v/>
      </c>
    </row>
    <row r="2651" spans="1:1">
      <c r="A2651" s="108" t="str">
        <f t="shared" si="67"/>
        <v/>
      </c>
    </row>
    <row r="2652" spans="1:1">
      <c r="A2652" s="108" t="str">
        <f t="shared" si="67"/>
        <v/>
      </c>
    </row>
    <row r="2653" spans="1:1">
      <c r="A2653" s="108" t="str">
        <f t="shared" si="67"/>
        <v/>
      </c>
    </row>
    <row r="2654" spans="1:1">
      <c r="A2654" s="108" t="str">
        <f t="shared" si="67"/>
        <v/>
      </c>
    </row>
    <row r="2655" spans="1:1">
      <c r="A2655" s="108" t="str">
        <f t="shared" si="67"/>
        <v/>
      </c>
    </row>
    <row r="2656" spans="1:1">
      <c r="A2656" s="108" t="str">
        <f t="shared" si="67"/>
        <v/>
      </c>
    </row>
    <row r="2657" spans="1:1">
      <c r="A2657" s="108" t="str">
        <f t="shared" si="67"/>
        <v/>
      </c>
    </row>
    <row r="2658" spans="1:1">
      <c r="A2658" s="108" t="str">
        <f t="shared" si="67"/>
        <v/>
      </c>
    </row>
    <row r="2659" spans="1:1">
      <c r="A2659" s="108" t="str">
        <f t="shared" si="67"/>
        <v/>
      </c>
    </row>
    <row r="2660" spans="1:1">
      <c r="A2660" s="108" t="str">
        <f t="shared" si="67"/>
        <v/>
      </c>
    </row>
    <row r="2661" spans="1:1">
      <c r="A2661" s="108" t="str">
        <f t="shared" si="67"/>
        <v/>
      </c>
    </row>
    <row r="2662" spans="1:1">
      <c r="A2662" s="108" t="str">
        <f t="shared" si="67"/>
        <v/>
      </c>
    </row>
    <row r="2663" spans="1:1">
      <c r="A2663" s="108" t="str">
        <f t="shared" si="67"/>
        <v/>
      </c>
    </row>
    <row r="2664" spans="1:1">
      <c r="A2664" s="108" t="str">
        <f t="shared" si="67"/>
        <v/>
      </c>
    </row>
    <row r="2665" spans="1:1">
      <c r="A2665" s="108" t="str">
        <f t="shared" si="67"/>
        <v/>
      </c>
    </row>
    <row r="2666" spans="1:1">
      <c r="A2666" s="108" t="str">
        <f t="shared" si="67"/>
        <v/>
      </c>
    </row>
    <row r="2667" spans="1:1">
      <c r="A2667" s="108" t="str">
        <f t="shared" si="67"/>
        <v/>
      </c>
    </row>
    <row r="2668" spans="1:1">
      <c r="A2668" s="108" t="str">
        <f t="shared" si="67"/>
        <v/>
      </c>
    </row>
    <row r="2669" spans="1:1">
      <c r="A2669" s="108" t="str">
        <f t="shared" si="67"/>
        <v/>
      </c>
    </row>
    <row r="2670" spans="1:1">
      <c r="A2670" s="108" t="str">
        <f t="shared" si="67"/>
        <v/>
      </c>
    </row>
    <row r="2671" spans="1:1">
      <c r="A2671" s="108" t="str">
        <f t="shared" si="67"/>
        <v/>
      </c>
    </row>
    <row r="2672" spans="1:1">
      <c r="A2672" s="108" t="str">
        <f t="shared" si="67"/>
        <v/>
      </c>
    </row>
    <row r="2673" spans="1:1">
      <c r="A2673" s="108" t="str">
        <f t="shared" si="67"/>
        <v/>
      </c>
    </row>
    <row r="2674" spans="1:1">
      <c r="A2674" s="108" t="str">
        <f t="shared" si="67"/>
        <v/>
      </c>
    </row>
    <row r="2675" spans="1:1">
      <c r="A2675" s="108" t="str">
        <f t="shared" si="67"/>
        <v/>
      </c>
    </row>
    <row r="2676" spans="1:1">
      <c r="A2676" s="108" t="str">
        <f t="shared" si="67"/>
        <v/>
      </c>
    </row>
    <row r="2677" spans="1:1">
      <c r="A2677" s="108" t="str">
        <f t="shared" si="67"/>
        <v/>
      </c>
    </row>
    <row r="2678" spans="1:1">
      <c r="A2678" s="108" t="str">
        <f t="shared" si="67"/>
        <v/>
      </c>
    </row>
    <row r="2679" spans="1:1">
      <c r="A2679" s="108" t="str">
        <f t="shared" si="67"/>
        <v/>
      </c>
    </row>
    <row r="2680" spans="1:1">
      <c r="A2680" s="108" t="str">
        <f t="shared" si="67"/>
        <v/>
      </c>
    </row>
    <row r="2681" spans="1:1">
      <c r="A2681" s="108" t="str">
        <f t="shared" si="67"/>
        <v/>
      </c>
    </row>
    <row r="2682" spans="1:1">
      <c r="A2682" s="108" t="str">
        <f t="shared" si="67"/>
        <v/>
      </c>
    </row>
    <row r="2683" spans="1:1">
      <c r="A2683" s="108" t="str">
        <f t="shared" si="67"/>
        <v/>
      </c>
    </row>
    <row r="2684" spans="1:1">
      <c r="A2684" s="108" t="str">
        <f t="shared" si="67"/>
        <v/>
      </c>
    </row>
    <row r="2685" spans="1:1">
      <c r="A2685" s="108" t="str">
        <f t="shared" si="67"/>
        <v/>
      </c>
    </row>
    <row r="2686" spans="1:1">
      <c r="A2686" s="108" t="str">
        <f t="shared" si="67"/>
        <v/>
      </c>
    </row>
    <row r="2687" spans="1:1">
      <c r="A2687" s="108" t="str">
        <f t="shared" si="67"/>
        <v/>
      </c>
    </row>
    <row r="2688" spans="1:1">
      <c r="A2688" s="108" t="str">
        <f t="shared" si="67"/>
        <v/>
      </c>
    </row>
    <row r="2689" spans="1:1">
      <c r="A2689" s="108" t="str">
        <f t="shared" si="67"/>
        <v/>
      </c>
    </row>
    <row r="2690" spans="1:1">
      <c r="A2690" s="108" t="str">
        <f t="shared" si="67"/>
        <v/>
      </c>
    </row>
    <row r="2691" spans="1:1">
      <c r="A2691" s="108" t="str">
        <f t="shared" si="67"/>
        <v/>
      </c>
    </row>
    <row r="2692" spans="1:1">
      <c r="A2692" s="108" t="str">
        <f t="shared" si="67"/>
        <v/>
      </c>
    </row>
    <row r="2693" spans="1:1">
      <c r="A2693" s="108" t="str">
        <f t="shared" si="67"/>
        <v/>
      </c>
    </row>
    <row r="2694" spans="1:1">
      <c r="A2694" s="108" t="str">
        <f t="shared" ref="A2694:A2757" si="68">C2694&amp;D2694&amp;E2694&amp;F2694&amp;G2694</f>
        <v/>
      </c>
    </row>
    <row r="2695" spans="1:1">
      <c r="A2695" s="108" t="str">
        <f t="shared" si="68"/>
        <v/>
      </c>
    </row>
    <row r="2696" spans="1:1">
      <c r="A2696" s="108" t="str">
        <f t="shared" si="68"/>
        <v/>
      </c>
    </row>
    <row r="2697" spans="1:1">
      <c r="A2697" s="108" t="str">
        <f t="shared" si="68"/>
        <v/>
      </c>
    </row>
    <row r="2698" spans="1:1">
      <c r="A2698" s="108" t="str">
        <f t="shared" si="68"/>
        <v/>
      </c>
    </row>
    <row r="2699" spans="1:1">
      <c r="A2699" s="108" t="str">
        <f t="shared" si="68"/>
        <v/>
      </c>
    </row>
    <row r="2700" spans="1:1">
      <c r="A2700" s="108" t="str">
        <f t="shared" si="68"/>
        <v/>
      </c>
    </row>
    <row r="2701" spans="1:1">
      <c r="A2701" s="108" t="str">
        <f t="shared" si="68"/>
        <v/>
      </c>
    </row>
    <row r="2702" spans="1:1">
      <c r="A2702" s="108" t="str">
        <f t="shared" si="68"/>
        <v/>
      </c>
    </row>
    <row r="2703" spans="1:1">
      <c r="A2703" s="108" t="str">
        <f t="shared" si="68"/>
        <v/>
      </c>
    </row>
    <row r="2704" spans="1:1">
      <c r="A2704" s="108" t="str">
        <f t="shared" si="68"/>
        <v/>
      </c>
    </row>
    <row r="2705" spans="1:1">
      <c r="A2705" s="108" t="str">
        <f t="shared" si="68"/>
        <v/>
      </c>
    </row>
    <row r="2706" spans="1:1">
      <c r="A2706" s="108" t="str">
        <f t="shared" si="68"/>
        <v/>
      </c>
    </row>
    <row r="2707" spans="1:1">
      <c r="A2707" s="108" t="str">
        <f t="shared" si="68"/>
        <v/>
      </c>
    </row>
    <row r="2708" spans="1:1">
      <c r="A2708" s="108" t="str">
        <f t="shared" si="68"/>
        <v/>
      </c>
    </row>
    <row r="2709" spans="1:1">
      <c r="A2709" s="108" t="str">
        <f t="shared" si="68"/>
        <v/>
      </c>
    </row>
    <row r="2710" spans="1:1">
      <c r="A2710" s="108" t="str">
        <f t="shared" si="68"/>
        <v/>
      </c>
    </row>
    <row r="2711" spans="1:1">
      <c r="A2711" s="108" t="str">
        <f t="shared" si="68"/>
        <v/>
      </c>
    </row>
    <row r="2712" spans="1:1">
      <c r="A2712" s="108" t="str">
        <f t="shared" si="68"/>
        <v/>
      </c>
    </row>
    <row r="2713" spans="1:1">
      <c r="A2713" s="108" t="str">
        <f t="shared" si="68"/>
        <v/>
      </c>
    </row>
    <row r="2714" spans="1:1">
      <c r="A2714" s="108" t="str">
        <f t="shared" si="68"/>
        <v/>
      </c>
    </row>
    <row r="2715" spans="1:1">
      <c r="A2715" s="108" t="str">
        <f t="shared" si="68"/>
        <v/>
      </c>
    </row>
    <row r="2716" spans="1:1">
      <c r="A2716" s="108" t="str">
        <f t="shared" si="68"/>
        <v/>
      </c>
    </row>
    <row r="2717" spans="1:1">
      <c r="A2717" s="108" t="str">
        <f t="shared" si="68"/>
        <v/>
      </c>
    </row>
    <row r="2718" spans="1:1">
      <c r="A2718" s="108" t="str">
        <f t="shared" si="68"/>
        <v/>
      </c>
    </row>
    <row r="2719" spans="1:1">
      <c r="A2719" s="108" t="str">
        <f t="shared" si="68"/>
        <v/>
      </c>
    </row>
    <row r="2720" spans="1:1">
      <c r="A2720" s="108" t="str">
        <f t="shared" si="68"/>
        <v/>
      </c>
    </row>
    <row r="2721" spans="1:1">
      <c r="A2721" s="108" t="str">
        <f t="shared" si="68"/>
        <v/>
      </c>
    </row>
    <row r="2722" spans="1:1">
      <c r="A2722" s="108" t="str">
        <f t="shared" si="68"/>
        <v/>
      </c>
    </row>
    <row r="2723" spans="1:1">
      <c r="A2723" s="108" t="str">
        <f t="shared" si="68"/>
        <v/>
      </c>
    </row>
    <row r="2724" spans="1:1">
      <c r="A2724" s="108" t="str">
        <f t="shared" si="68"/>
        <v/>
      </c>
    </row>
    <row r="2725" spans="1:1">
      <c r="A2725" s="108" t="str">
        <f t="shared" si="68"/>
        <v/>
      </c>
    </row>
    <row r="2726" spans="1:1">
      <c r="A2726" s="108" t="str">
        <f t="shared" si="68"/>
        <v/>
      </c>
    </row>
    <row r="2727" spans="1:1">
      <c r="A2727" s="108" t="str">
        <f t="shared" si="68"/>
        <v/>
      </c>
    </row>
    <row r="2728" spans="1:1">
      <c r="A2728" s="108" t="str">
        <f t="shared" si="68"/>
        <v/>
      </c>
    </row>
    <row r="2729" spans="1:1">
      <c r="A2729" s="108" t="str">
        <f t="shared" si="68"/>
        <v/>
      </c>
    </row>
    <row r="2730" spans="1:1">
      <c r="A2730" s="108" t="str">
        <f t="shared" si="68"/>
        <v/>
      </c>
    </row>
    <row r="2731" spans="1:1">
      <c r="A2731" s="108" t="str">
        <f t="shared" si="68"/>
        <v/>
      </c>
    </row>
    <row r="2732" spans="1:1">
      <c r="A2732" s="108" t="str">
        <f t="shared" si="68"/>
        <v/>
      </c>
    </row>
    <row r="2733" spans="1:1">
      <c r="A2733" s="108" t="str">
        <f t="shared" si="68"/>
        <v/>
      </c>
    </row>
    <row r="2734" spans="1:1">
      <c r="A2734" s="108" t="str">
        <f t="shared" si="68"/>
        <v/>
      </c>
    </row>
    <row r="2735" spans="1:1">
      <c r="A2735" s="108" t="str">
        <f t="shared" si="68"/>
        <v/>
      </c>
    </row>
    <row r="2736" spans="1:1">
      <c r="A2736" s="108" t="str">
        <f t="shared" si="68"/>
        <v/>
      </c>
    </row>
    <row r="2737" spans="1:1">
      <c r="A2737" s="108" t="str">
        <f t="shared" si="68"/>
        <v/>
      </c>
    </row>
    <row r="2738" spans="1:1">
      <c r="A2738" s="108" t="str">
        <f t="shared" si="68"/>
        <v/>
      </c>
    </row>
    <row r="2739" spans="1:1">
      <c r="A2739" s="108" t="str">
        <f t="shared" si="68"/>
        <v/>
      </c>
    </row>
    <row r="2740" spans="1:1">
      <c r="A2740" s="108" t="str">
        <f t="shared" si="68"/>
        <v/>
      </c>
    </row>
    <row r="2741" spans="1:1">
      <c r="A2741" s="108" t="str">
        <f t="shared" si="68"/>
        <v/>
      </c>
    </row>
    <row r="2742" spans="1:1">
      <c r="A2742" s="108" t="str">
        <f t="shared" si="68"/>
        <v/>
      </c>
    </row>
    <row r="2743" spans="1:1">
      <c r="A2743" s="108" t="str">
        <f t="shared" si="68"/>
        <v/>
      </c>
    </row>
    <row r="2744" spans="1:1">
      <c r="A2744" s="108" t="str">
        <f t="shared" si="68"/>
        <v/>
      </c>
    </row>
    <row r="2745" spans="1:1">
      <c r="A2745" s="108" t="str">
        <f t="shared" si="68"/>
        <v/>
      </c>
    </row>
    <row r="2746" spans="1:1">
      <c r="A2746" s="108" t="str">
        <f t="shared" si="68"/>
        <v/>
      </c>
    </row>
    <row r="2747" spans="1:1">
      <c r="A2747" s="108" t="str">
        <f t="shared" si="68"/>
        <v/>
      </c>
    </row>
    <row r="2748" spans="1:1">
      <c r="A2748" s="108" t="str">
        <f t="shared" si="68"/>
        <v/>
      </c>
    </row>
    <row r="2749" spans="1:1">
      <c r="A2749" s="108" t="str">
        <f t="shared" si="68"/>
        <v/>
      </c>
    </row>
    <row r="2750" spans="1:1">
      <c r="A2750" s="108" t="str">
        <f t="shared" si="68"/>
        <v/>
      </c>
    </row>
    <row r="2751" spans="1:1">
      <c r="A2751" s="108" t="str">
        <f t="shared" si="68"/>
        <v/>
      </c>
    </row>
    <row r="2752" spans="1:1">
      <c r="A2752" s="108" t="str">
        <f t="shared" si="68"/>
        <v/>
      </c>
    </row>
    <row r="2753" spans="1:1">
      <c r="A2753" s="108" t="str">
        <f t="shared" si="68"/>
        <v/>
      </c>
    </row>
    <row r="2754" spans="1:1">
      <c r="A2754" s="108" t="str">
        <f t="shared" si="68"/>
        <v/>
      </c>
    </row>
    <row r="2755" spans="1:1">
      <c r="A2755" s="108" t="str">
        <f t="shared" si="68"/>
        <v/>
      </c>
    </row>
    <row r="2756" spans="1:1">
      <c r="A2756" s="108" t="str">
        <f t="shared" si="68"/>
        <v/>
      </c>
    </row>
    <row r="2757" spans="1:1">
      <c r="A2757" s="108" t="str">
        <f t="shared" si="68"/>
        <v/>
      </c>
    </row>
    <row r="2758" spans="1:1">
      <c r="A2758" s="108" t="str">
        <f t="shared" ref="A2758:A2821" si="69">C2758&amp;D2758&amp;E2758&amp;F2758&amp;G2758</f>
        <v/>
      </c>
    </row>
    <row r="2759" spans="1:1">
      <c r="A2759" s="108" t="str">
        <f t="shared" si="69"/>
        <v/>
      </c>
    </row>
    <row r="2760" spans="1:1">
      <c r="A2760" s="108" t="str">
        <f t="shared" si="69"/>
        <v/>
      </c>
    </row>
    <row r="2761" spans="1:1">
      <c r="A2761" s="108" t="str">
        <f t="shared" si="69"/>
        <v/>
      </c>
    </row>
    <row r="2762" spans="1:1">
      <c r="A2762" s="108" t="str">
        <f t="shared" si="69"/>
        <v/>
      </c>
    </row>
    <row r="2763" spans="1:1">
      <c r="A2763" s="108" t="str">
        <f t="shared" si="69"/>
        <v/>
      </c>
    </row>
    <row r="2764" spans="1:1">
      <c r="A2764" s="108" t="str">
        <f t="shared" si="69"/>
        <v/>
      </c>
    </row>
    <row r="2765" spans="1:1">
      <c r="A2765" s="108" t="str">
        <f t="shared" si="69"/>
        <v/>
      </c>
    </row>
    <row r="2766" spans="1:1">
      <c r="A2766" s="108" t="str">
        <f t="shared" si="69"/>
        <v/>
      </c>
    </row>
    <row r="2767" spans="1:1">
      <c r="A2767" s="108" t="str">
        <f t="shared" si="69"/>
        <v/>
      </c>
    </row>
    <row r="2768" spans="1:1">
      <c r="A2768" s="108" t="str">
        <f t="shared" si="69"/>
        <v/>
      </c>
    </row>
    <row r="2769" spans="1:1">
      <c r="A2769" s="108" t="str">
        <f t="shared" si="69"/>
        <v/>
      </c>
    </row>
    <row r="2770" spans="1:1">
      <c r="A2770" s="108" t="str">
        <f t="shared" si="69"/>
        <v/>
      </c>
    </row>
    <row r="2771" spans="1:1">
      <c r="A2771" s="108" t="str">
        <f t="shared" si="69"/>
        <v/>
      </c>
    </row>
    <row r="2772" spans="1:1">
      <c r="A2772" s="108" t="str">
        <f t="shared" si="69"/>
        <v/>
      </c>
    </row>
    <row r="2773" spans="1:1">
      <c r="A2773" s="108" t="str">
        <f t="shared" si="69"/>
        <v/>
      </c>
    </row>
    <row r="2774" spans="1:1">
      <c r="A2774" s="108" t="str">
        <f t="shared" si="69"/>
        <v/>
      </c>
    </row>
    <row r="2775" spans="1:1">
      <c r="A2775" s="108" t="str">
        <f t="shared" si="69"/>
        <v/>
      </c>
    </row>
    <row r="2776" spans="1:1">
      <c r="A2776" s="108" t="str">
        <f t="shared" si="69"/>
        <v/>
      </c>
    </row>
    <row r="2777" spans="1:1">
      <c r="A2777" s="108" t="str">
        <f t="shared" si="69"/>
        <v/>
      </c>
    </row>
    <row r="2778" spans="1:1">
      <c r="A2778" s="108" t="str">
        <f t="shared" si="69"/>
        <v/>
      </c>
    </row>
    <row r="2779" spans="1:1">
      <c r="A2779" s="108" t="str">
        <f t="shared" si="69"/>
        <v/>
      </c>
    </row>
    <row r="2780" spans="1:1">
      <c r="A2780" s="108" t="str">
        <f t="shared" si="69"/>
        <v/>
      </c>
    </row>
    <row r="2781" spans="1:1">
      <c r="A2781" s="108" t="str">
        <f t="shared" si="69"/>
        <v/>
      </c>
    </row>
    <row r="2782" spans="1:1">
      <c r="A2782" s="108" t="str">
        <f t="shared" si="69"/>
        <v/>
      </c>
    </row>
    <row r="2783" spans="1:1">
      <c r="A2783" s="108" t="str">
        <f t="shared" si="69"/>
        <v/>
      </c>
    </row>
    <row r="2784" spans="1:1">
      <c r="A2784" s="108" t="str">
        <f t="shared" si="69"/>
        <v/>
      </c>
    </row>
    <row r="2785" spans="1:1">
      <c r="A2785" s="108" t="str">
        <f t="shared" si="69"/>
        <v/>
      </c>
    </row>
    <row r="2786" spans="1:1">
      <c r="A2786" s="108" t="str">
        <f t="shared" si="69"/>
        <v/>
      </c>
    </row>
    <row r="2787" spans="1:1">
      <c r="A2787" s="108" t="str">
        <f t="shared" si="69"/>
        <v/>
      </c>
    </row>
    <row r="2788" spans="1:1">
      <c r="A2788" s="108" t="str">
        <f t="shared" si="69"/>
        <v/>
      </c>
    </row>
    <row r="2789" spans="1:1">
      <c r="A2789" s="108" t="str">
        <f t="shared" si="69"/>
        <v/>
      </c>
    </row>
    <row r="2790" spans="1:1">
      <c r="A2790" s="108" t="str">
        <f t="shared" si="69"/>
        <v/>
      </c>
    </row>
    <row r="2791" spans="1:1">
      <c r="A2791" s="108" t="str">
        <f t="shared" si="69"/>
        <v/>
      </c>
    </row>
    <row r="2792" spans="1:1">
      <c r="A2792" s="108" t="str">
        <f t="shared" si="69"/>
        <v/>
      </c>
    </row>
    <row r="2793" spans="1:1">
      <c r="A2793" s="108" t="str">
        <f t="shared" si="69"/>
        <v/>
      </c>
    </row>
    <row r="2794" spans="1:1">
      <c r="A2794" s="108" t="str">
        <f t="shared" si="69"/>
        <v/>
      </c>
    </row>
    <row r="2795" spans="1:1">
      <c r="A2795" s="108" t="str">
        <f t="shared" si="69"/>
        <v/>
      </c>
    </row>
    <row r="2796" spans="1:1">
      <c r="A2796" s="108" t="str">
        <f t="shared" si="69"/>
        <v/>
      </c>
    </row>
    <row r="2797" spans="1:1">
      <c r="A2797" s="108" t="str">
        <f t="shared" si="69"/>
        <v/>
      </c>
    </row>
    <row r="2798" spans="1:1">
      <c r="A2798" s="108" t="str">
        <f t="shared" si="69"/>
        <v/>
      </c>
    </row>
    <row r="2799" spans="1:1">
      <c r="A2799" s="108" t="str">
        <f t="shared" si="69"/>
        <v/>
      </c>
    </row>
    <row r="2800" spans="1:1">
      <c r="A2800" s="108" t="str">
        <f t="shared" si="69"/>
        <v/>
      </c>
    </row>
    <row r="2801" spans="1:1">
      <c r="A2801" s="108" t="str">
        <f t="shared" si="69"/>
        <v/>
      </c>
    </row>
    <row r="2802" spans="1:1">
      <c r="A2802" s="108" t="str">
        <f t="shared" si="69"/>
        <v/>
      </c>
    </row>
    <row r="2803" spans="1:1">
      <c r="A2803" s="108" t="str">
        <f t="shared" si="69"/>
        <v/>
      </c>
    </row>
    <row r="2804" spans="1:1">
      <c r="A2804" s="108" t="str">
        <f t="shared" si="69"/>
        <v/>
      </c>
    </row>
    <row r="2805" spans="1:1">
      <c r="A2805" s="108" t="str">
        <f t="shared" si="69"/>
        <v/>
      </c>
    </row>
    <row r="2806" spans="1:1">
      <c r="A2806" s="108" t="str">
        <f t="shared" si="69"/>
        <v/>
      </c>
    </row>
    <row r="2807" spans="1:1">
      <c r="A2807" s="108" t="str">
        <f t="shared" si="69"/>
        <v/>
      </c>
    </row>
    <row r="2808" spans="1:1">
      <c r="A2808" s="108" t="str">
        <f t="shared" si="69"/>
        <v/>
      </c>
    </row>
    <row r="2809" spans="1:1">
      <c r="A2809" s="108" t="str">
        <f t="shared" si="69"/>
        <v/>
      </c>
    </row>
    <row r="2810" spans="1:1">
      <c r="A2810" s="108" t="str">
        <f t="shared" si="69"/>
        <v/>
      </c>
    </row>
    <row r="2811" spans="1:1">
      <c r="A2811" s="108" t="str">
        <f t="shared" si="69"/>
        <v/>
      </c>
    </row>
    <row r="2812" spans="1:1">
      <c r="A2812" s="108" t="str">
        <f t="shared" si="69"/>
        <v/>
      </c>
    </row>
    <row r="2813" spans="1:1">
      <c r="A2813" s="108" t="str">
        <f t="shared" si="69"/>
        <v/>
      </c>
    </row>
    <row r="2814" spans="1:1">
      <c r="A2814" s="108" t="str">
        <f t="shared" si="69"/>
        <v/>
      </c>
    </row>
    <row r="2815" spans="1:1">
      <c r="A2815" s="108" t="str">
        <f t="shared" si="69"/>
        <v/>
      </c>
    </row>
    <row r="2816" spans="1:1">
      <c r="A2816" s="108" t="str">
        <f t="shared" si="69"/>
        <v/>
      </c>
    </row>
    <row r="2817" spans="1:1">
      <c r="A2817" s="108" t="str">
        <f t="shared" si="69"/>
        <v/>
      </c>
    </row>
    <row r="2818" spans="1:1">
      <c r="A2818" s="108" t="str">
        <f t="shared" si="69"/>
        <v/>
      </c>
    </row>
    <row r="2819" spans="1:1">
      <c r="A2819" s="108" t="str">
        <f t="shared" si="69"/>
        <v/>
      </c>
    </row>
    <row r="2820" spans="1:1">
      <c r="A2820" s="108" t="str">
        <f t="shared" si="69"/>
        <v/>
      </c>
    </row>
    <row r="2821" spans="1:1">
      <c r="A2821" s="108" t="str">
        <f t="shared" si="69"/>
        <v/>
      </c>
    </row>
    <row r="2822" spans="1:1">
      <c r="A2822" s="108" t="str">
        <f t="shared" ref="A2822:A2885" si="70">C2822&amp;D2822&amp;E2822&amp;F2822&amp;G2822</f>
        <v/>
      </c>
    </row>
    <row r="2823" spans="1:1">
      <c r="A2823" s="108" t="str">
        <f t="shared" si="70"/>
        <v/>
      </c>
    </row>
    <row r="2824" spans="1:1">
      <c r="A2824" s="108" t="str">
        <f t="shared" si="70"/>
        <v/>
      </c>
    </row>
    <row r="2825" spans="1:1">
      <c r="A2825" s="108" t="str">
        <f t="shared" si="70"/>
        <v/>
      </c>
    </row>
    <row r="2826" spans="1:1">
      <c r="A2826" s="108" t="str">
        <f t="shared" si="70"/>
        <v/>
      </c>
    </row>
    <row r="2827" spans="1:1">
      <c r="A2827" s="108" t="str">
        <f t="shared" si="70"/>
        <v/>
      </c>
    </row>
    <row r="2828" spans="1:1">
      <c r="A2828" s="108" t="str">
        <f t="shared" si="70"/>
        <v/>
      </c>
    </row>
    <row r="2829" spans="1:1">
      <c r="A2829" s="108" t="str">
        <f t="shared" si="70"/>
        <v/>
      </c>
    </row>
    <row r="2830" spans="1:1">
      <c r="A2830" s="108" t="str">
        <f t="shared" si="70"/>
        <v/>
      </c>
    </row>
    <row r="2831" spans="1:1">
      <c r="A2831" s="108" t="str">
        <f t="shared" si="70"/>
        <v/>
      </c>
    </row>
    <row r="2832" spans="1:1">
      <c r="A2832" s="108" t="str">
        <f t="shared" si="70"/>
        <v/>
      </c>
    </row>
    <row r="2833" spans="1:1">
      <c r="A2833" s="108" t="str">
        <f t="shared" si="70"/>
        <v/>
      </c>
    </row>
    <row r="2834" spans="1:1">
      <c r="A2834" s="108" t="str">
        <f t="shared" si="70"/>
        <v/>
      </c>
    </row>
    <row r="2835" spans="1:1">
      <c r="A2835" s="108" t="str">
        <f t="shared" si="70"/>
        <v/>
      </c>
    </row>
    <row r="2836" spans="1:1">
      <c r="A2836" s="108" t="str">
        <f t="shared" si="70"/>
        <v/>
      </c>
    </row>
    <row r="2837" spans="1:1">
      <c r="A2837" s="108" t="str">
        <f t="shared" si="70"/>
        <v/>
      </c>
    </row>
    <row r="2838" spans="1:1">
      <c r="A2838" s="108" t="str">
        <f t="shared" si="70"/>
        <v/>
      </c>
    </row>
    <row r="2839" spans="1:1">
      <c r="A2839" s="108" t="str">
        <f t="shared" si="70"/>
        <v/>
      </c>
    </row>
    <row r="2840" spans="1:1">
      <c r="A2840" s="108" t="str">
        <f t="shared" si="70"/>
        <v/>
      </c>
    </row>
    <row r="2841" spans="1:1">
      <c r="A2841" s="108" t="str">
        <f t="shared" si="70"/>
        <v/>
      </c>
    </row>
    <row r="2842" spans="1:1">
      <c r="A2842" s="108" t="str">
        <f t="shared" si="70"/>
        <v/>
      </c>
    </row>
    <row r="2843" spans="1:1">
      <c r="A2843" s="108" t="str">
        <f t="shared" si="70"/>
        <v/>
      </c>
    </row>
    <row r="2844" spans="1:1">
      <c r="A2844" s="108" t="str">
        <f t="shared" si="70"/>
        <v/>
      </c>
    </row>
    <row r="2845" spans="1:1">
      <c r="A2845" s="108" t="str">
        <f t="shared" si="70"/>
        <v/>
      </c>
    </row>
    <row r="2846" spans="1:1">
      <c r="A2846" s="108" t="str">
        <f t="shared" si="70"/>
        <v/>
      </c>
    </row>
    <row r="2847" spans="1:1">
      <c r="A2847" s="108" t="str">
        <f t="shared" si="70"/>
        <v/>
      </c>
    </row>
    <row r="2848" spans="1:1">
      <c r="A2848" s="108" t="str">
        <f t="shared" si="70"/>
        <v/>
      </c>
    </row>
    <row r="2849" spans="1:1">
      <c r="A2849" s="108" t="str">
        <f t="shared" si="70"/>
        <v/>
      </c>
    </row>
    <row r="2850" spans="1:1">
      <c r="A2850" s="108" t="str">
        <f t="shared" si="70"/>
        <v/>
      </c>
    </row>
    <row r="2851" spans="1:1">
      <c r="A2851" s="108" t="str">
        <f t="shared" si="70"/>
        <v/>
      </c>
    </row>
    <row r="2852" spans="1:1">
      <c r="A2852" s="108" t="str">
        <f t="shared" si="70"/>
        <v/>
      </c>
    </row>
    <row r="2853" spans="1:1">
      <c r="A2853" s="108" t="str">
        <f t="shared" si="70"/>
        <v/>
      </c>
    </row>
    <row r="2854" spans="1:1">
      <c r="A2854" s="108" t="str">
        <f t="shared" si="70"/>
        <v/>
      </c>
    </row>
    <row r="2855" spans="1:1">
      <c r="A2855" s="108" t="str">
        <f t="shared" si="70"/>
        <v/>
      </c>
    </row>
    <row r="2856" spans="1:1">
      <c r="A2856" s="108" t="str">
        <f t="shared" si="70"/>
        <v/>
      </c>
    </row>
    <row r="2857" spans="1:1">
      <c r="A2857" s="108" t="str">
        <f t="shared" si="70"/>
        <v/>
      </c>
    </row>
    <row r="2858" spans="1:1">
      <c r="A2858" s="108" t="str">
        <f t="shared" si="70"/>
        <v/>
      </c>
    </row>
    <row r="2859" spans="1:1">
      <c r="A2859" s="108" t="str">
        <f t="shared" si="70"/>
        <v/>
      </c>
    </row>
    <row r="2860" spans="1:1">
      <c r="A2860" s="108" t="str">
        <f t="shared" si="70"/>
        <v/>
      </c>
    </row>
    <row r="2861" spans="1:1">
      <c r="A2861" s="108" t="str">
        <f t="shared" si="70"/>
        <v/>
      </c>
    </row>
    <row r="2862" spans="1:1">
      <c r="A2862" s="108" t="str">
        <f t="shared" si="70"/>
        <v/>
      </c>
    </row>
    <row r="2863" spans="1:1">
      <c r="A2863" s="108" t="str">
        <f t="shared" si="70"/>
        <v/>
      </c>
    </row>
    <row r="2864" spans="1:1">
      <c r="A2864" s="108" t="str">
        <f t="shared" si="70"/>
        <v/>
      </c>
    </row>
    <row r="2865" spans="1:1">
      <c r="A2865" s="108" t="str">
        <f t="shared" si="70"/>
        <v/>
      </c>
    </row>
    <row r="2866" spans="1:1">
      <c r="A2866" s="108" t="str">
        <f t="shared" si="70"/>
        <v/>
      </c>
    </row>
    <row r="2867" spans="1:1">
      <c r="A2867" s="108" t="str">
        <f t="shared" si="70"/>
        <v/>
      </c>
    </row>
    <row r="2868" spans="1:1">
      <c r="A2868" s="108" t="str">
        <f t="shared" si="70"/>
        <v/>
      </c>
    </row>
    <row r="2869" spans="1:1">
      <c r="A2869" s="108" t="str">
        <f t="shared" si="70"/>
        <v/>
      </c>
    </row>
    <row r="2870" spans="1:1">
      <c r="A2870" s="108" t="str">
        <f t="shared" si="70"/>
        <v/>
      </c>
    </row>
    <row r="2871" spans="1:1">
      <c r="A2871" s="108" t="str">
        <f t="shared" si="70"/>
        <v/>
      </c>
    </row>
    <row r="2872" spans="1:1">
      <c r="A2872" s="108" t="str">
        <f t="shared" si="70"/>
        <v/>
      </c>
    </row>
    <row r="2873" spans="1:1">
      <c r="A2873" s="108" t="str">
        <f t="shared" si="70"/>
        <v/>
      </c>
    </row>
    <row r="2874" spans="1:1">
      <c r="A2874" s="108" t="str">
        <f t="shared" si="70"/>
        <v/>
      </c>
    </row>
    <row r="2875" spans="1:1">
      <c r="A2875" s="108" t="str">
        <f t="shared" si="70"/>
        <v/>
      </c>
    </row>
    <row r="2876" spans="1:1">
      <c r="A2876" s="108" t="str">
        <f t="shared" si="70"/>
        <v/>
      </c>
    </row>
    <row r="2877" spans="1:1">
      <c r="A2877" s="108" t="str">
        <f t="shared" si="70"/>
        <v/>
      </c>
    </row>
    <row r="2878" spans="1:1">
      <c r="A2878" s="108" t="str">
        <f t="shared" si="70"/>
        <v/>
      </c>
    </row>
    <row r="2879" spans="1:1">
      <c r="A2879" s="108" t="str">
        <f t="shared" si="70"/>
        <v/>
      </c>
    </row>
    <row r="2880" spans="1:1">
      <c r="A2880" s="108" t="str">
        <f t="shared" si="70"/>
        <v/>
      </c>
    </row>
    <row r="2881" spans="1:1">
      <c r="A2881" s="108" t="str">
        <f t="shared" si="70"/>
        <v/>
      </c>
    </row>
    <row r="2882" spans="1:1">
      <c r="A2882" s="108" t="str">
        <f t="shared" si="70"/>
        <v/>
      </c>
    </row>
    <row r="2883" spans="1:1">
      <c r="A2883" s="108" t="str">
        <f t="shared" si="70"/>
        <v/>
      </c>
    </row>
    <row r="2884" spans="1:1">
      <c r="A2884" s="108" t="str">
        <f t="shared" si="70"/>
        <v/>
      </c>
    </row>
    <row r="2885" spans="1:1">
      <c r="A2885" s="108" t="str">
        <f t="shared" si="70"/>
        <v/>
      </c>
    </row>
    <row r="2886" spans="1:1">
      <c r="A2886" s="108" t="str">
        <f t="shared" ref="A2886:A2949" si="71">C2886&amp;D2886&amp;E2886&amp;F2886&amp;G2886</f>
        <v/>
      </c>
    </row>
    <row r="2887" spans="1:1">
      <c r="A2887" s="108" t="str">
        <f t="shared" si="71"/>
        <v/>
      </c>
    </row>
    <row r="2888" spans="1:1">
      <c r="A2888" s="108" t="str">
        <f t="shared" si="71"/>
        <v/>
      </c>
    </row>
    <row r="2889" spans="1:1">
      <c r="A2889" s="108" t="str">
        <f t="shared" si="71"/>
        <v/>
      </c>
    </row>
    <row r="2890" spans="1:1">
      <c r="A2890" s="108" t="str">
        <f t="shared" si="71"/>
        <v/>
      </c>
    </row>
    <row r="2891" spans="1:1">
      <c r="A2891" s="108" t="str">
        <f t="shared" si="71"/>
        <v/>
      </c>
    </row>
    <row r="2892" spans="1:1">
      <c r="A2892" s="108" t="str">
        <f t="shared" si="71"/>
        <v/>
      </c>
    </row>
    <row r="2893" spans="1:1">
      <c r="A2893" s="108" t="str">
        <f t="shared" si="71"/>
        <v/>
      </c>
    </row>
    <row r="2894" spans="1:1">
      <c r="A2894" s="108" t="str">
        <f t="shared" si="71"/>
        <v/>
      </c>
    </row>
    <row r="2895" spans="1:1">
      <c r="A2895" s="108" t="str">
        <f t="shared" si="71"/>
        <v/>
      </c>
    </row>
    <row r="2896" spans="1:1">
      <c r="A2896" s="108" t="str">
        <f t="shared" si="71"/>
        <v/>
      </c>
    </row>
    <row r="2897" spans="1:1">
      <c r="A2897" s="108" t="str">
        <f t="shared" si="71"/>
        <v/>
      </c>
    </row>
    <row r="2898" spans="1:1">
      <c r="A2898" s="108" t="str">
        <f t="shared" si="71"/>
        <v/>
      </c>
    </row>
    <row r="2899" spans="1:1">
      <c r="A2899" s="108" t="str">
        <f t="shared" si="71"/>
        <v/>
      </c>
    </row>
    <row r="2900" spans="1:1">
      <c r="A2900" s="108" t="str">
        <f t="shared" si="71"/>
        <v/>
      </c>
    </row>
    <row r="2901" spans="1:1">
      <c r="A2901" s="108" t="str">
        <f t="shared" si="71"/>
        <v/>
      </c>
    </row>
    <row r="2902" spans="1:1">
      <c r="A2902" s="108" t="str">
        <f t="shared" si="71"/>
        <v/>
      </c>
    </row>
    <row r="2903" spans="1:1">
      <c r="A2903" s="108" t="str">
        <f t="shared" si="71"/>
        <v/>
      </c>
    </row>
    <row r="2904" spans="1:1">
      <c r="A2904" s="108" t="str">
        <f t="shared" si="71"/>
        <v/>
      </c>
    </row>
    <row r="2905" spans="1:1">
      <c r="A2905" s="108" t="str">
        <f t="shared" si="71"/>
        <v/>
      </c>
    </row>
    <row r="2906" spans="1:1">
      <c r="A2906" s="108" t="str">
        <f t="shared" si="71"/>
        <v/>
      </c>
    </row>
    <row r="2907" spans="1:1">
      <c r="A2907" s="108" t="str">
        <f t="shared" si="71"/>
        <v/>
      </c>
    </row>
    <row r="2908" spans="1:1">
      <c r="A2908" s="108" t="str">
        <f t="shared" si="71"/>
        <v/>
      </c>
    </row>
    <row r="2909" spans="1:1">
      <c r="A2909" s="108" t="str">
        <f t="shared" si="71"/>
        <v/>
      </c>
    </row>
    <row r="2910" spans="1:1">
      <c r="A2910" s="108" t="str">
        <f t="shared" si="71"/>
        <v/>
      </c>
    </row>
    <row r="2911" spans="1:1">
      <c r="A2911" s="108" t="str">
        <f t="shared" si="71"/>
        <v/>
      </c>
    </row>
    <row r="2912" spans="1:1">
      <c r="A2912" s="108" t="str">
        <f t="shared" si="71"/>
        <v/>
      </c>
    </row>
    <row r="2913" spans="1:1">
      <c r="A2913" s="108" t="str">
        <f t="shared" si="71"/>
        <v/>
      </c>
    </row>
    <row r="2914" spans="1:1">
      <c r="A2914" s="108" t="str">
        <f t="shared" si="71"/>
        <v/>
      </c>
    </row>
    <row r="2915" spans="1:1">
      <c r="A2915" s="108" t="str">
        <f t="shared" si="71"/>
        <v/>
      </c>
    </row>
    <row r="2916" spans="1:1">
      <c r="A2916" s="108" t="str">
        <f t="shared" si="71"/>
        <v/>
      </c>
    </row>
    <row r="2917" spans="1:1">
      <c r="A2917" s="108" t="str">
        <f t="shared" si="71"/>
        <v/>
      </c>
    </row>
    <row r="2918" spans="1:1">
      <c r="A2918" s="108" t="str">
        <f t="shared" si="71"/>
        <v/>
      </c>
    </row>
    <row r="2919" spans="1:1">
      <c r="A2919" s="108" t="str">
        <f t="shared" si="71"/>
        <v/>
      </c>
    </row>
    <row r="2920" spans="1:1">
      <c r="A2920" s="108" t="str">
        <f t="shared" si="71"/>
        <v/>
      </c>
    </row>
    <row r="2921" spans="1:1">
      <c r="A2921" s="108" t="str">
        <f t="shared" si="71"/>
        <v/>
      </c>
    </row>
    <row r="2922" spans="1:1">
      <c r="A2922" s="108" t="str">
        <f t="shared" si="71"/>
        <v/>
      </c>
    </row>
    <row r="2923" spans="1:1">
      <c r="A2923" s="108" t="str">
        <f t="shared" si="71"/>
        <v/>
      </c>
    </row>
    <row r="2924" spans="1:1">
      <c r="A2924" s="108" t="str">
        <f t="shared" si="71"/>
        <v/>
      </c>
    </row>
    <row r="2925" spans="1:1">
      <c r="A2925" s="108" t="str">
        <f t="shared" si="71"/>
        <v/>
      </c>
    </row>
    <row r="2926" spans="1:1">
      <c r="A2926" s="108" t="str">
        <f t="shared" si="71"/>
        <v/>
      </c>
    </row>
    <row r="2927" spans="1:1">
      <c r="A2927" s="108" t="str">
        <f t="shared" si="71"/>
        <v/>
      </c>
    </row>
    <row r="2928" spans="1:1">
      <c r="A2928" s="108" t="str">
        <f t="shared" si="71"/>
        <v/>
      </c>
    </row>
    <row r="2929" spans="1:1">
      <c r="A2929" s="108" t="str">
        <f t="shared" si="71"/>
        <v/>
      </c>
    </row>
    <row r="2930" spans="1:1">
      <c r="A2930" s="108" t="str">
        <f t="shared" si="71"/>
        <v/>
      </c>
    </row>
    <row r="2931" spans="1:1">
      <c r="A2931" s="108" t="str">
        <f t="shared" si="71"/>
        <v/>
      </c>
    </row>
    <row r="2932" spans="1:1">
      <c r="A2932" s="108" t="str">
        <f t="shared" si="71"/>
        <v/>
      </c>
    </row>
    <row r="2933" spans="1:1">
      <c r="A2933" s="108" t="str">
        <f t="shared" si="71"/>
        <v/>
      </c>
    </row>
    <row r="2934" spans="1:1">
      <c r="A2934" s="108" t="str">
        <f t="shared" si="71"/>
        <v/>
      </c>
    </row>
    <row r="2935" spans="1:1">
      <c r="A2935" s="108" t="str">
        <f t="shared" si="71"/>
        <v/>
      </c>
    </row>
    <row r="2936" spans="1:1">
      <c r="A2936" s="108" t="str">
        <f t="shared" si="71"/>
        <v/>
      </c>
    </row>
    <row r="2937" spans="1:1">
      <c r="A2937" s="108" t="str">
        <f t="shared" si="71"/>
        <v/>
      </c>
    </row>
    <row r="2938" spans="1:1">
      <c r="A2938" s="108" t="str">
        <f t="shared" si="71"/>
        <v/>
      </c>
    </row>
    <row r="2939" spans="1:1">
      <c r="A2939" s="108" t="str">
        <f t="shared" si="71"/>
        <v/>
      </c>
    </row>
    <row r="2940" spans="1:1">
      <c r="A2940" s="108" t="str">
        <f t="shared" si="71"/>
        <v/>
      </c>
    </row>
    <row r="2941" spans="1:1">
      <c r="A2941" s="108" t="str">
        <f t="shared" si="71"/>
        <v/>
      </c>
    </row>
    <row r="2942" spans="1:1">
      <c r="A2942" s="108" t="str">
        <f t="shared" si="71"/>
        <v/>
      </c>
    </row>
    <row r="2943" spans="1:1">
      <c r="A2943" s="108" t="str">
        <f t="shared" si="71"/>
        <v/>
      </c>
    </row>
    <row r="2944" spans="1:1">
      <c r="A2944" s="108" t="str">
        <f t="shared" si="71"/>
        <v/>
      </c>
    </row>
    <row r="2945" spans="1:1">
      <c r="A2945" s="108" t="str">
        <f t="shared" si="71"/>
        <v/>
      </c>
    </row>
    <row r="2946" spans="1:1">
      <c r="A2946" s="108" t="str">
        <f t="shared" si="71"/>
        <v/>
      </c>
    </row>
    <row r="2947" spans="1:1">
      <c r="A2947" s="108" t="str">
        <f t="shared" si="71"/>
        <v/>
      </c>
    </row>
    <row r="2948" spans="1:1">
      <c r="A2948" s="108" t="str">
        <f t="shared" si="71"/>
        <v/>
      </c>
    </row>
    <row r="2949" spans="1:1">
      <c r="A2949" s="108" t="str">
        <f t="shared" si="71"/>
        <v/>
      </c>
    </row>
    <row r="2950" spans="1:1">
      <c r="A2950" s="108" t="str">
        <f t="shared" ref="A2950:A3000" si="72">C2950&amp;D2950&amp;E2950&amp;F2950&amp;G2950</f>
        <v/>
      </c>
    </row>
    <row r="2951" spans="1:1">
      <c r="A2951" s="108" t="str">
        <f t="shared" si="72"/>
        <v/>
      </c>
    </row>
    <row r="2952" spans="1:1">
      <c r="A2952" s="108" t="str">
        <f t="shared" si="72"/>
        <v/>
      </c>
    </row>
    <row r="2953" spans="1:1">
      <c r="A2953" s="108" t="str">
        <f t="shared" si="72"/>
        <v/>
      </c>
    </row>
    <row r="2954" spans="1:1">
      <c r="A2954" s="108" t="str">
        <f t="shared" si="72"/>
        <v/>
      </c>
    </row>
    <row r="2955" spans="1:1">
      <c r="A2955" s="108" t="str">
        <f t="shared" si="72"/>
        <v/>
      </c>
    </row>
    <row r="2956" spans="1:1">
      <c r="A2956" s="108" t="str">
        <f t="shared" si="72"/>
        <v/>
      </c>
    </row>
    <row r="2957" spans="1:1">
      <c r="A2957" s="108" t="str">
        <f t="shared" si="72"/>
        <v/>
      </c>
    </row>
    <row r="2958" spans="1:1">
      <c r="A2958" s="108" t="str">
        <f t="shared" si="72"/>
        <v/>
      </c>
    </row>
    <row r="2959" spans="1:1">
      <c r="A2959" s="108" t="str">
        <f t="shared" si="72"/>
        <v/>
      </c>
    </row>
    <row r="2960" spans="1:1">
      <c r="A2960" s="108" t="str">
        <f t="shared" si="72"/>
        <v/>
      </c>
    </row>
    <row r="2961" spans="1:1">
      <c r="A2961" s="108" t="str">
        <f t="shared" si="72"/>
        <v/>
      </c>
    </row>
    <row r="2962" spans="1:1">
      <c r="A2962" s="108" t="str">
        <f t="shared" si="72"/>
        <v/>
      </c>
    </row>
    <row r="2963" spans="1:1">
      <c r="A2963" s="108" t="str">
        <f t="shared" si="72"/>
        <v/>
      </c>
    </row>
    <row r="2964" spans="1:1">
      <c r="A2964" s="108" t="str">
        <f t="shared" si="72"/>
        <v/>
      </c>
    </row>
    <row r="2965" spans="1:1">
      <c r="A2965" s="108" t="str">
        <f t="shared" si="72"/>
        <v/>
      </c>
    </row>
    <row r="2966" spans="1:1">
      <c r="A2966" s="108" t="str">
        <f t="shared" si="72"/>
        <v/>
      </c>
    </row>
    <row r="2967" spans="1:1">
      <c r="A2967" s="108" t="str">
        <f t="shared" si="72"/>
        <v/>
      </c>
    </row>
    <row r="2968" spans="1:1">
      <c r="A2968" s="108" t="str">
        <f t="shared" si="72"/>
        <v/>
      </c>
    </row>
    <row r="2969" spans="1:1">
      <c r="A2969" s="108" t="str">
        <f t="shared" si="72"/>
        <v/>
      </c>
    </row>
    <row r="2970" spans="1:1">
      <c r="A2970" s="108" t="str">
        <f t="shared" si="72"/>
        <v/>
      </c>
    </row>
    <row r="2971" spans="1:1">
      <c r="A2971" s="108" t="str">
        <f t="shared" si="72"/>
        <v/>
      </c>
    </row>
    <row r="2972" spans="1:1">
      <c r="A2972" s="108" t="str">
        <f t="shared" si="72"/>
        <v/>
      </c>
    </row>
    <row r="2973" spans="1:1">
      <c r="A2973" s="108" t="str">
        <f t="shared" si="72"/>
        <v/>
      </c>
    </row>
    <row r="2974" spans="1:1">
      <c r="A2974" s="108" t="str">
        <f t="shared" si="72"/>
        <v/>
      </c>
    </row>
    <row r="2975" spans="1:1">
      <c r="A2975" s="108" t="str">
        <f t="shared" si="72"/>
        <v/>
      </c>
    </row>
    <row r="2976" spans="1:1">
      <c r="A2976" s="108" t="str">
        <f t="shared" si="72"/>
        <v/>
      </c>
    </row>
    <row r="2977" spans="1:1">
      <c r="A2977" s="108" t="str">
        <f t="shared" si="72"/>
        <v/>
      </c>
    </row>
    <row r="2978" spans="1:1">
      <c r="A2978" s="108" t="str">
        <f t="shared" si="72"/>
        <v/>
      </c>
    </row>
    <row r="2979" spans="1:1">
      <c r="A2979" s="108" t="str">
        <f t="shared" si="72"/>
        <v/>
      </c>
    </row>
    <row r="2980" spans="1:1">
      <c r="A2980" s="108" t="str">
        <f t="shared" si="72"/>
        <v/>
      </c>
    </row>
    <row r="2981" spans="1:1">
      <c r="A2981" s="108" t="str">
        <f t="shared" si="72"/>
        <v/>
      </c>
    </row>
    <row r="2982" spans="1:1">
      <c r="A2982" s="108" t="str">
        <f t="shared" si="72"/>
        <v/>
      </c>
    </row>
    <row r="2983" spans="1:1">
      <c r="A2983" s="108" t="str">
        <f t="shared" si="72"/>
        <v/>
      </c>
    </row>
    <row r="2984" spans="1:1">
      <c r="A2984" s="108" t="str">
        <f t="shared" si="72"/>
        <v/>
      </c>
    </row>
    <row r="2985" spans="1:1">
      <c r="A2985" s="108" t="str">
        <f t="shared" si="72"/>
        <v/>
      </c>
    </row>
    <row r="2986" spans="1:1">
      <c r="A2986" s="108" t="str">
        <f t="shared" si="72"/>
        <v/>
      </c>
    </row>
    <row r="2987" spans="1:1">
      <c r="A2987" s="108" t="str">
        <f t="shared" si="72"/>
        <v/>
      </c>
    </row>
    <row r="2988" spans="1:1">
      <c r="A2988" s="108" t="str">
        <f t="shared" si="72"/>
        <v/>
      </c>
    </row>
    <row r="2989" spans="1:1">
      <c r="A2989" s="108" t="str">
        <f t="shared" si="72"/>
        <v/>
      </c>
    </row>
    <row r="2990" spans="1:1">
      <c r="A2990" s="108" t="str">
        <f t="shared" si="72"/>
        <v/>
      </c>
    </row>
    <row r="2991" spans="1:1">
      <c r="A2991" s="108" t="str">
        <f t="shared" si="72"/>
        <v/>
      </c>
    </row>
    <row r="2992" spans="1:1">
      <c r="A2992" s="108" t="str">
        <f t="shared" si="72"/>
        <v/>
      </c>
    </row>
    <row r="2993" spans="1:1">
      <c r="A2993" s="108" t="str">
        <f t="shared" si="72"/>
        <v/>
      </c>
    </row>
    <row r="2994" spans="1:1">
      <c r="A2994" s="108" t="str">
        <f t="shared" si="72"/>
        <v/>
      </c>
    </row>
    <row r="2995" spans="1:1">
      <c r="A2995" s="108" t="str">
        <f t="shared" si="72"/>
        <v/>
      </c>
    </row>
    <row r="2996" spans="1:1">
      <c r="A2996" s="108" t="str">
        <f t="shared" si="72"/>
        <v/>
      </c>
    </row>
    <row r="2997" spans="1:1">
      <c r="A2997" s="108" t="str">
        <f t="shared" si="72"/>
        <v/>
      </c>
    </row>
    <row r="2998" spans="1:1">
      <c r="A2998" s="108" t="str">
        <f t="shared" si="72"/>
        <v/>
      </c>
    </row>
    <row r="2999" spans="1:1">
      <c r="A2999" s="108" t="str">
        <f t="shared" si="72"/>
        <v/>
      </c>
    </row>
    <row r="3000" spans="1:1">
      <c r="A3000" s="108" t="str">
        <f t="shared" si="72"/>
        <v/>
      </c>
    </row>
  </sheetData>
  <pageMargins left="0.59055118110236227" right="0.15748031496062992" top="0.51181102362204722" bottom="0.27559055118110237" header="0.19685039370078741" footer="0.15748031496062992"/>
  <pageSetup paperSize="9" scale="10" fitToHeight="2" orientation="portrait" r:id="rId1"/>
  <headerFooter differentFirst="1" alignWithMargins="0">
    <oddHeader>&amp;C&amp;P</oddHeader>
  </headerFooter>
  <rowBreaks count="1" manualBreakCount="1">
    <brk id="736" min="1" max="10" man="1"/>
  </rowBreaks>
</worksheet>
</file>

<file path=xl/worksheets/sheet8.xml><?xml version="1.0" encoding="utf-8"?>
<worksheet xmlns="http://schemas.openxmlformats.org/spreadsheetml/2006/main" xmlns:r="http://schemas.openxmlformats.org/officeDocument/2006/relationships">
  <sheetPr>
    <tabColor rgb="FFFF99FF"/>
  </sheetPr>
  <dimension ref="A1:D33"/>
  <sheetViews>
    <sheetView view="pageBreakPreview" zoomScale="75" zoomScaleNormal="75" zoomScaleSheetLayoutView="75" workbookViewId="0">
      <selection activeCell="D14" sqref="D14"/>
    </sheetView>
  </sheetViews>
  <sheetFormatPr defaultColWidth="8.7265625" defaultRowHeight="15"/>
  <cols>
    <col min="1" max="1" width="34.6328125" style="491" customWidth="1"/>
    <col min="2" max="2" width="14.7265625" style="491" customWidth="1"/>
    <col min="3" max="3" width="21.1796875" style="491" customWidth="1"/>
    <col min="4" max="4" width="13.1796875" style="491" customWidth="1"/>
    <col min="5" max="16384" width="8.7265625" style="491"/>
  </cols>
  <sheetData>
    <row r="1" spans="1:4" ht="16.5">
      <c r="A1" s="516" t="s">
        <v>2433</v>
      </c>
      <c r="B1" s="516"/>
      <c r="C1" s="516"/>
      <c r="D1" s="516"/>
    </row>
    <row r="2" spans="1:4" ht="15.75" customHeight="1">
      <c r="A2" s="516" t="s">
        <v>1013</v>
      </c>
      <c r="B2" s="516"/>
      <c r="C2" s="516"/>
      <c r="D2" s="516"/>
    </row>
    <row r="3" spans="1:4" ht="16.5">
      <c r="A3" s="517" t="s">
        <v>2434</v>
      </c>
      <c r="B3" s="517"/>
      <c r="C3" s="517"/>
      <c r="D3" s="517"/>
    </row>
    <row r="4" spans="1:4" ht="15.75">
      <c r="A4" s="492"/>
      <c r="B4" s="492"/>
      <c r="C4" s="493"/>
      <c r="D4" s="494" t="s">
        <v>996</v>
      </c>
    </row>
    <row r="5" spans="1:4" ht="15" customHeight="1">
      <c r="A5" s="518" t="s">
        <v>997</v>
      </c>
      <c r="B5" s="518" t="s">
        <v>1014</v>
      </c>
      <c r="C5" s="518" t="s">
        <v>1015</v>
      </c>
      <c r="D5" s="518" t="s">
        <v>999</v>
      </c>
    </row>
    <row r="6" spans="1:4" ht="87.75" customHeight="1">
      <c r="A6" s="519"/>
      <c r="B6" s="519"/>
      <c r="C6" s="519"/>
      <c r="D6" s="519"/>
    </row>
    <row r="7" spans="1:4" ht="15.75">
      <c r="A7" s="495">
        <v>1</v>
      </c>
      <c r="B7" s="495">
        <v>2</v>
      </c>
      <c r="C7" s="495">
        <v>3</v>
      </c>
      <c r="D7" s="496">
        <v>4</v>
      </c>
    </row>
    <row r="8" spans="1:4" ht="15.75">
      <c r="A8" s="497" t="s">
        <v>1016</v>
      </c>
      <c r="B8" s="498"/>
      <c r="C8" s="498"/>
      <c r="D8" s="499">
        <v>10375598224.190001</v>
      </c>
    </row>
    <row r="9" spans="1:4" ht="15.75">
      <c r="A9" s="497" t="s">
        <v>1017</v>
      </c>
      <c r="B9" s="498"/>
      <c r="C9" s="498"/>
      <c r="D9" s="499">
        <v>10851704916.709999</v>
      </c>
    </row>
    <row r="10" spans="1:4" ht="15.75">
      <c r="A10" s="497" t="s">
        <v>1018</v>
      </c>
      <c r="B10" s="498"/>
      <c r="C10" s="498"/>
      <c r="D10" s="499">
        <f>D8-D9</f>
        <v>-476106692.51999855</v>
      </c>
    </row>
    <row r="11" spans="1:4" ht="31.5">
      <c r="A11" s="497" t="s">
        <v>1019</v>
      </c>
      <c r="B11" s="498"/>
      <c r="C11" s="498"/>
      <c r="D11" s="499">
        <f>D13+D14+D15+D16+D17+D18</f>
        <v>476106692.51999807</v>
      </c>
    </row>
    <row r="12" spans="1:4" ht="31.5">
      <c r="A12" s="497" t="s">
        <v>1020</v>
      </c>
      <c r="B12" s="498">
        <v>604</v>
      </c>
      <c r="C12" s="498" t="s">
        <v>1021</v>
      </c>
      <c r="D12" s="499">
        <f>D13+D14+D15+D16</f>
        <v>369828848.86000013</v>
      </c>
    </row>
    <row r="13" spans="1:4" ht="47.25">
      <c r="A13" s="497" t="s">
        <v>1022</v>
      </c>
      <c r="B13" s="498">
        <v>604</v>
      </c>
      <c r="C13" s="500" t="s">
        <v>1023</v>
      </c>
      <c r="D13" s="501">
        <v>2551434848.8600001</v>
      </c>
    </row>
    <row r="14" spans="1:4" ht="63">
      <c r="A14" s="497" t="s">
        <v>1026</v>
      </c>
      <c r="B14" s="498">
        <v>604</v>
      </c>
      <c r="C14" s="500" t="s">
        <v>1027</v>
      </c>
      <c r="D14" s="501">
        <v>969496000</v>
      </c>
    </row>
    <row r="15" spans="1:4" ht="47.25">
      <c r="A15" s="497" t="s">
        <v>1024</v>
      </c>
      <c r="B15" s="498">
        <v>604</v>
      </c>
      <c r="C15" s="500" t="s">
        <v>1025</v>
      </c>
      <c r="D15" s="501">
        <v>-2181606000</v>
      </c>
    </row>
    <row r="16" spans="1:4" ht="47.25">
      <c r="A16" s="497" t="s">
        <v>1028</v>
      </c>
      <c r="B16" s="498">
        <v>604</v>
      </c>
      <c r="C16" s="500" t="s">
        <v>1029</v>
      </c>
      <c r="D16" s="501">
        <v>-969496000</v>
      </c>
    </row>
    <row r="17" spans="1:4" ht="47.25">
      <c r="A17" s="497" t="s">
        <v>2320</v>
      </c>
      <c r="B17" s="498">
        <v>602</v>
      </c>
      <c r="C17" s="500" t="s">
        <v>2321</v>
      </c>
      <c r="D17" s="501">
        <v>0</v>
      </c>
    </row>
    <row r="18" spans="1:4" ht="31.5">
      <c r="A18" s="497" t="s">
        <v>1030</v>
      </c>
      <c r="B18" s="498">
        <v>604</v>
      </c>
      <c r="C18" s="500" t="s">
        <v>1031</v>
      </c>
      <c r="D18" s="501">
        <f>D20+D19</f>
        <v>106277843.65999794</v>
      </c>
    </row>
    <row r="19" spans="1:4" ht="31.5">
      <c r="A19" s="497" t="s">
        <v>1032</v>
      </c>
      <c r="B19" s="498">
        <v>604</v>
      </c>
      <c r="C19" s="498" t="s">
        <v>1033</v>
      </c>
      <c r="D19" s="501">
        <f>-(D8+D13+D14+D17)</f>
        <v>-13896529073.050001</v>
      </c>
    </row>
    <row r="20" spans="1:4" ht="38.450000000000003" customHeight="1">
      <c r="A20" s="497" t="s">
        <v>1034</v>
      </c>
      <c r="B20" s="498">
        <v>604</v>
      </c>
      <c r="C20" s="498" t="s">
        <v>1035</v>
      </c>
      <c r="D20" s="501">
        <f>D9-D15-D16</f>
        <v>14002806916.709999</v>
      </c>
    </row>
    <row r="21" spans="1:4" ht="38.450000000000003" customHeight="1">
      <c r="A21" s="502" t="s">
        <v>1036</v>
      </c>
      <c r="B21" s="503"/>
      <c r="C21" s="503"/>
      <c r="D21" s="504">
        <v>0</v>
      </c>
    </row>
    <row r="22" spans="1:4" ht="20.25" customHeight="1"/>
    <row r="23" spans="1:4" ht="100.5" customHeight="1">
      <c r="A23" s="497" t="s">
        <v>2435</v>
      </c>
      <c r="B23" s="514" t="s">
        <v>2436</v>
      </c>
      <c r="C23" s="514"/>
      <c r="D23" s="505" t="s">
        <v>2323</v>
      </c>
    </row>
    <row r="24" spans="1:4" ht="15.75">
      <c r="A24" s="497"/>
      <c r="B24" s="515" t="s">
        <v>2437</v>
      </c>
      <c r="C24" s="515"/>
      <c r="D24" s="501"/>
    </row>
    <row r="25" spans="1:4" ht="15.75">
      <c r="A25" s="497"/>
      <c r="B25" s="498"/>
      <c r="C25" s="498"/>
      <c r="D25" s="501"/>
    </row>
    <row r="26" spans="1:4" ht="15.75">
      <c r="A26" s="502"/>
      <c r="B26" s="503"/>
      <c r="C26" s="503"/>
      <c r="D26" s="504"/>
    </row>
    <row r="29" spans="1:4" ht="15.75">
      <c r="D29" s="506"/>
    </row>
    <row r="31" spans="1:4">
      <c r="D31" s="507">
        <f>D16+D29</f>
        <v>-969496000</v>
      </c>
    </row>
    <row r="32" spans="1:4">
      <c r="D32" s="507">
        <f>[3]ИСТОЧНИКИ!B10</f>
        <v>0</v>
      </c>
    </row>
    <row r="33" spans="4:4">
      <c r="D33" s="507">
        <f>D31-D32</f>
        <v>-969496000</v>
      </c>
    </row>
  </sheetData>
  <mergeCells count="9">
    <mergeCell ref="B23:C23"/>
    <mergeCell ref="B24:C24"/>
    <mergeCell ref="A1:D1"/>
    <mergeCell ref="A2:D2"/>
    <mergeCell ref="A3:D3"/>
    <mergeCell ref="A5:A6"/>
    <mergeCell ref="B5:B6"/>
    <mergeCell ref="C5:C6"/>
    <mergeCell ref="D5:D6"/>
  </mergeCells>
  <pageMargins left="0.73" right="0.23622047244094491" top="0.35433070866141736" bottom="0.74803149606299213" header="0.31496062992125984" footer="0.31496062992125984"/>
  <pageSetup paperSize="9" scale="80" orientation="portrait" r:id="rId1"/>
</worksheet>
</file>

<file path=xl/worksheets/sheet9.xml><?xml version="1.0" encoding="utf-8"?>
<worksheet xmlns="http://schemas.openxmlformats.org/spreadsheetml/2006/main" xmlns:r="http://schemas.openxmlformats.org/officeDocument/2006/relationships">
  <sheetPr>
    <tabColor rgb="FFFF99FF"/>
  </sheetPr>
  <dimension ref="A1:G42"/>
  <sheetViews>
    <sheetView view="pageBreakPreview" zoomScale="75" zoomScaleNormal="75" zoomScaleSheetLayoutView="75" workbookViewId="0">
      <selection activeCell="A16" sqref="A16"/>
    </sheetView>
  </sheetViews>
  <sheetFormatPr defaultColWidth="8.7265625" defaultRowHeight="15"/>
  <cols>
    <col min="1" max="1" width="34.6328125" style="435" customWidth="1"/>
    <col min="2" max="2" width="14.36328125" style="435" customWidth="1"/>
    <col min="3" max="3" width="21.1796875" style="435" customWidth="1"/>
    <col min="4" max="4" width="13.1796875" style="435" customWidth="1"/>
    <col min="5" max="16384" width="8.7265625" style="435"/>
  </cols>
  <sheetData>
    <row r="1" spans="1:4" ht="15.75">
      <c r="A1" s="520" t="s">
        <v>1012</v>
      </c>
      <c r="B1" s="520"/>
      <c r="C1" s="520"/>
      <c r="D1" s="520"/>
    </row>
    <row r="2" spans="1:4" ht="15.75" customHeight="1">
      <c r="A2" s="520" t="s">
        <v>1013</v>
      </c>
      <c r="B2" s="520"/>
      <c r="C2" s="520"/>
      <c r="D2" s="520"/>
    </row>
    <row r="3" spans="1:4" ht="15.75">
      <c r="A3" s="521"/>
      <c r="B3" s="521"/>
      <c r="C3" s="436"/>
      <c r="D3" s="436"/>
    </row>
    <row r="4" spans="1:4" ht="15.75">
      <c r="A4" s="437"/>
      <c r="B4" s="437"/>
      <c r="C4" s="436"/>
      <c r="D4" s="438" t="s">
        <v>996</v>
      </c>
    </row>
    <row r="5" spans="1:4" ht="15" customHeight="1">
      <c r="A5" s="522" t="s">
        <v>997</v>
      </c>
      <c r="B5" s="522" t="s">
        <v>1014</v>
      </c>
      <c r="C5" s="522" t="s">
        <v>1015</v>
      </c>
      <c r="D5" s="522" t="s">
        <v>2319</v>
      </c>
    </row>
    <row r="6" spans="1:4" ht="87.75" customHeight="1">
      <c r="A6" s="523"/>
      <c r="B6" s="523"/>
      <c r="C6" s="523"/>
      <c r="D6" s="523"/>
    </row>
    <row r="7" spans="1:4" ht="15.75">
      <c r="A7" s="439">
        <v>1</v>
      </c>
      <c r="B7" s="439">
        <v>2</v>
      </c>
      <c r="C7" s="439">
        <v>3</v>
      </c>
      <c r="D7" s="440">
        <v>4</v>
      </c>
    </row>
    <row r="8" spans="1:4" ht="15.75">
      <c r="A8" s="441" t="s">
        <v>1016</v>
      </c>
      <c r="B8" s="442"/>
      <c r="C8" s="442"/>
      <c r="D8" s="443">
        <v>9792797121.4500008</v>
      </c>
    </row>
    <row r="9" spans="1:4" ht="15.75">
      <c r="A9" s="441" t="s">
        <v>1017</v>
      </c>
      <c r="B9" s="442"/>
      <c r="C9" s="442"/>
      <c r="D9" s="443">
        <v>10568903813.969999</v>
      </c>
    </row>
    <row r="10" spans="1:4" ht="15.75">
      <c r="A10" s="441" t="s">
        <v>1018</v>
      </c>
      <c r="B10" s="442"/>
      <c r="C10" s="442"/>
      <c r="D10" s="443">
        <f>D8-D9</f>
        <v>-776106692.51999855</v>
      </c>
    </row>
    <row r="11" spans="1:4" ht="31.5">
      <c r="A11" s="441" t="s">
        <v>1019</v>
      </c>
      <c r="B11" s="442"/>
      <c r="C11" s="442"/>
      <c r="D11" s="443">
        <f>D13+D14+D15+D16+D17+D18</f>
        <v>776106692.51999855</v>
      </c>
    </row>
    <row r="12" spans="1:4" ht="31.5">
      <c r="A12" s="441" t="s">
        <v>1020</v>
      </c>
      <c r="B12" s="442">
        <v>604</v>
      </c>
      <c r="C12" s="442" t="s">
        <v>1021</v>
      </c>
      <c r="D12" s="443">
        <f>D13+D14+D15+D16</f>
        <v>369828848.86000061</v>
      </c>
    </row>
    <row r="13" spans="1:4" ht="47.25">
      <c r="A13" s="441" t="s">
        <v>1022</v>
      </c>
      <c r="B13" s="442">
        <v>604</v>
      </c>
      <c r="C13" s="444" t="s">
        <v>1023</v>
      </c>
      <c r="D13" s="445">
        <v>3389828848.8600001</v>
      </c>
    </row>
    <row r="14" spans="1:4" ht="63">
      <c r="A14" s="441" t="s">
        <v>1026</v>
      </c>
      <c r="B14" s="442">
        <v>604</v>
      </c>
      <c r="C14" s="444" t="s">
        <v>1027</v>
      </c>
      <c r="D14" s="445">
        <v>1120000000</v>
      </c>
    </row>
    <row r="15" spans="1:4" ht="47.25">
      <c r="A15" s="441" t="s">
        <v>1024</v>
      </c>
      <c r="B15" s="442">
        <v>604</v>
      </c>
      <c r="C15" s="444" t="s">
        <v>1025</v>
      </c>
      <c r="D15" s="445">
        <v>-3020000000</v>
      </c>
    </row>
    <row r="16" spans="1:4" ht="47.25">
      <c r="A16" s="441" t="s">
        <v>1028</v>
      </c>
      <c r="B16" s="442">
        <v>604</v>
      </c>
      <c r="C16" s="444" t="s">
        <v>1029</v>
      </c>
      <c r="D16" s="445">
        <v>-1120000000</v>
      </c>
    </row>
    <row r="17" spans="1:7" ht="47.25">
      <c r="A17" s="441" t="s">
        <v>2320</v>
      </c>
      <c r="B17" s="442">
        <v>602</v>
      </c>
      <c r="C17" s="444" t="s">
        <v>2321</v>
      </c>
      <c r="D17" s="445">
        <v>300000000</v>
      </c>
    </row>
    <row r="18" spans="1:7" ht="31.5">
      <c r="A18" s="441" t="s">
        <v>1030</v>
      </c>
      <c r="B18" s="442">
        <v>604</v>
      </c>
      <c r="C18" s="444" t="s">
        <v>1031</v>
      </c>
      <c r="D18" s="445">
        <f>D20+D19</f>
        <v>106277843.65999794</v>
      </c>
    </row>
    <row r="19" spans="1:7" ht="31.5">
      <c r="A19" s="441" t="s">
        <v>1032</v>
      </c>
      <c r="B19" s="442">
        <v>604</v>
      </c>
      <c r="C19" s="442" t="s">
        <v>1033</v>
      </c>
      <c r="D19" s="445">
        <f>-(D8+D13+D14+D17)</f>
        <v>-14602625970.310001</v>
      </c>
    </row>
    <row r="20" spans="1:7" ht="38.450000000000003" customHeight="1">
      <c r="A20" s="441" t="s">
        <v>1034</v>
      </c>
      <c r="B20" s="442">
        <v>604</v>
      </c>
      <c r="C20" s="442" t="s">
        <v>1035</v>
      </c>
      <c r="D20" s="445">
        <f>D9-D15-D16</f>
        <v>14708903813.969999</v>
      </c>
    </row>
    <row r="21" spans="1:7" ht="15.75">
      <c r="A21" s="441"/>
      <c r="B21" s="442"/>
      <c r="C21" s="442"/>
      <c r="D21" s="445"/>
    </row>
    <row r="22" spans="1:7" ht="15.75">
      <c r="A22" s="446" t="s">
        <v>1036</v>
      </c>
      <c r="B22" s="447"/>
      <c r="C22" s="447"/>
      <c r="D22" s="448">
        <v>0</v>
      </c>
    </row>
    <row r="23" spans="1:7" ht="63.75" customHeight="1">
      <c r="A23" s="449" t="s">
        <v>1009</v>
      </c>
      <c r="B23" s="447"/>
      <c r="C23" s="447"/>
      <c r="D23" s="448"/>
    </row>
    <row r="24" spans="1:7" ht="15.75">
      <c r="A24" s="450" t="s">
        <v>1004</v>
      </c>
      <c r="B24" s="447"/>
      <c r="C24" s="447"/>
      <c r="D24" s="448"/>
    </row>
    <row r="25" spans="1:7" s="452" customFormat="1" ht="15.75">
      <c r="A25" s="451" t="s">
        <v>1005</v>
      </c>
      <c r="B25" s="104"/>
      <c r="C25" s="105"/>
      <c r="D25" s="105"/>
      <c r="E25" s="106"/>
      <c r="F25" s="106"/>
      <c r="G25" s="105"/>
    </row>
    <row r="26" spans="1:7" s="452" customFormat="1" ht="15.75">
      <c r="A26" s="451" t="s">
        <v>2322</v>
      </c>
      <c r="B26" s="104"/>
      <c r="C26" s="105"/>
      <c r="D26" s="105"/>
      <c r="E26" s="106"/>
      <c r="F26" s="106"/>
      <c r="G26" s="105"/>
    </row>
    <row r="27" spans="1:7" s="452" customFormat="1" ht="15.75">
      <c r="A27" s="451" t="s">
        <v>1010</v>
      </c>
      <c r="B27" s="104"/>
      <c r="C27" s="105"/>
      <c r="D27" s="105"/>
      <c r="E27" s="106"/>
      <c r="F27" s="106"/>
      <c r="G27" s="105"/>
    </row>
    <row r="28" spans="1:7" s="452" customFormat="1" ht="15.75">
      <c r="A28" s="451" t="s">
        <v>1007</v>
      </c>
      <c r="B28" s="104"/>
      <c r="C28" s="107"/>
      <c r="D28" s="5" t="s">
        <v>2323</v>
      </c>
      <c r="E28" s="106"/>
      <c r="F28" s="106"/>
    </row>
    <row r="29" spans="1:7" ht="15.75">
      <c r="A29" s="446"/>
      <c r="B29" s="447"/>
      <c r="C29" s="447"/>
      <c r="D29" s="448"/>
    </row>
    <row r="30" spans="1:7" ht="15.75">
      <c r="A30" s="446"/>
      <c r="B30" s="447"/>
      <c r="C30" s="447"/>
      <c r="D30" s="448"/>
    </row>
    <row r="31" spans="1:7" ht="15.75">
      <c r="A31" s="446"/>
      <c r="B31" s="447"/>
      <c r="C31" s="447"/>
      <c r="D31" s="448"/>
    </row>
    <row r="32" spans="1:7" ht="15.75">
      <c r="A32" s="446"/>
      <c r="B32" s="447"/>
      <c r="C32" s="447"/>
      <c r="D32" s="448"/>
    </row>
    <row r="33" spans="1:4" ht="15.75">
      <c r="A33" s="446"/>
      <c r="B33" s="447"/>
      <c r="C33" s="447"/>
      <c r="D33" s="448"/>
    </row>
    <row r="34" spans="1:4" ht="15.75">
      <c r="A34" s="446"/>
      <c r="B34" s="447"/>
      <c r="C34" s="447"/>
      <c r="D34" s="448"/>
    </row>
    <row r="35" spans="1:4" ht="15.75">
      <c r="A35" s="446"/>
      <c r="B35" s="447"/>
      <c r="C35" s="447"/>
      <c r="D35" s="448"/>
    </row>
    <row r="38" spans="1:4" ht="15.75">
      <c r="D38" s="453"/>
    </row>
    <row r="40" spans="1:4">
      <c r="D40" s="454">
        <f>D16+D38</f>
        <v>-1120000000</v>
      </c>
    </row>
    <row r="41" spans="1:4">
      <c r="D41" s="454">
        <f>[4]ИСТОЧНИКИ!B10</f>
        <v>0</v>
      </c>
    </row>
    <row r="42" spans="1:4">
      <c r="D42" s="454">
        <f>D40-D41</f>
        <v>-1120000000</v>
      </c>
    </row>
  </sheetData>
  <mergeCells count="7">
    <mergeCell ref="A1:D1"/>
    <mergeCell ref="A2:D2"/>
    <mergeCell ref="A3:B3"/>
    <mergeCell ref="A5:A6"/>
    <mergeCell ref="B5:B6"/>
    <mergeCell ref="C5:C6"/>
    <mergeCell ref="D5:D6"/>
  </mergeCells>
  <pageMargins left="0.73" right="0.23622047244094491" top="0.35433070866141736" bottom="0.74803149606299213" header="0.31496062992125984" footer="0.31496062992125984"/>
  <pageSetup paperSize="9" scale="8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16</vt:i4>
      </vt:variant>
      <vt:variant>
        <vt:lpstr>Именованные диапазоны</vt:lpstr>
      </vt:variant>
      <vt:variant>
        <vt:i4>22</vt:i4>
      </vt:variant>
    </vt:vector>
  </HeadingPairs>
  <TitlesOfParts>
    <vt:vector size="38" baseType="lpstr">
      <vt:lpstr>БА расх 2018</vt:lpstr>
      <vt:lpstr>БА расх 2018 (2)</vt:lpstr>
      <vt:lpstr>БА расх 2018 (3)</vt:lpstr>
      <vt:lpstr>БА расх 2018 (на 25 02 18)</vt:lpstr>
      <vt:lpstr>БА расх 2018 (31 03)</vt:lpstr>
      <vt:lpstr>БА расх 2018 31 12 2018</vt:lpstr>
      <vt:lpstr>Вед-я стр-ра</vt:lpstr>
      <vt:lpstr>БА источники 2018 31.12.18</vt:lpstr>
      <vt:lpstr>БА источн (31 10) 2018</vt:lpstr>
      <vt:lpstr>БА расх 2019-2020</vt:lpstr>
      <vt:lpstr>БА источники (2019-2020)</vt:lpstr>
      <vt:lpstr>сравн ЦСР</vt:lpstr>
      <vt:lpstr>АС БЮДЖЕТ на 31 10</vt:lpstr>
      <vt:lpstr>реш СГД № 265</vt:lpstr>
      <vt:lpstr>Лист5</vt:lpstr>
      <vt:lpstr>исх данные АС БЮДЖЕТ (2)</vt:lpstr>
      <vt:lpstr>'БА расх 2018'!Заголовки_для_печати</vt:lpstr>
      <vt:lpstr>'БА расх 2018 (2)'!Заголовки_для_печати</vt:lpstr>
      <vt:lpstr>'БА расх 2018 (3)'!Заголовки_для_печати</vt:lpstr>
      <vt:lpstr>'БА расх 2018 (31 03)'!Заголовки_для_печати</vt:lpstr>
      <vt:lpstr>'БА расх 2018 (на 25 02 18)'!Заголовки_для_печати</vt:lpstr>
      <vt:lpstr>'БА расх 2018 31 12 2018'!Заголовки_для_печати</vt:lpstr>
      <vt:lpstr>'БА расх 2019-2020'!Заголовки_для_печати</vt:lpstr>
      <vt:lpstr>'Вед-я стр-ра'!Заголовки_для_печати</vt:lpstr>
      <vt:lpstr>'реш СГД № 265'!Заголовки_для_печати</vt:lpstr>
      <vt:lpstr>'БА источн (31 10) 2018'!Область_печати</vt:lpstr>
      <vt:lpstr>'БА источники (2019-2020)'!Область_печати</vt:lpstr>
      <vt:lpstr>'БА источники 2018 31.12.18'!Область_печати</vt:lpstr>
      <vt:lpstr>'БА расх 2018'!Область_печати</vt:lpstr>
      <vt:lpstr>'БА расх 2018 (2)'!Область_печати</vt:lpstr>
      <vt:lpstr>'БА расх 2018 (3)'!Область_печати</vt:lpstr>
      <vt:lpstr>'БА расх 2018 (31 03)'!Область_печати</vt:lpstr>
      <vt:lpstr>'БА расх 2018 (на 25 02 18)'!Область_печати</vt:lpstr>
      <vt:lpstr>'БА расх 2018 31 12 2018'!Область_печати</vt:lpstr>
      <vt:lpstr>'БА расх 2019-2020'!Область_печати</vt:lpstr>
      <vt:lpstr>'Вед-я стр-ра'!Область_печати</vt:lpstr>
      <vt:lpstr>'реш СГД № 265'!Область_печати</vt:lpstr>
      <vt:lpstr>'сравн ЦСР'!Область_печати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Y.Gomzina</dc:creator>
  <cp:lastModifiedBy>S.Karaeva</cp:lastModifiedBy>
  <cp:lastPrinted>2019-03-14T12:27:45Z</cp:lastPrinted>
  <dcterms:created xsi:type="dcterms:W3CDTF">2017-11-28T15:34:30Z</dcterms:created>
  <dcterms:modified xsi:type="dcterms:W3CDTF">2019-03-14T13:59:56Z</dcterms:modified>
</cp:coreProperties>
</file>